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filterPrivacy="1" codeName="ThisWorkbook" defaultThemeVersion="124226"/>
  <xr:revisionPtr revIDLastSave="0" documentId="13_ncr:1_{2CAE32BE-FDD3-4C3B-833D-031BF5847CF6}" xr6:coauthVersionLast="47" xr6:coauthVersionMax="47" xr10:uidLastSave="{00000000-0000-0000-0000-000000000000}"/>
  <bookViews>
    <workbookView xWindow="38280" yWindow="-120" windowWidth="29040" windowHeight="15720" tabRatio="867" firstSheet="2" activeTab="3" xr2:uid="{00000000-000D-0000-FFFF-FFFF00000000}"/>
  </bookViews>
  <sheets>
    <sheet name="TOC" sheetId="1" r:id="rId1"/>
    <sheet name="FISC" sheetId="2" r:id="rId2"/>
    <sheet name="For Comparison" sheetId="19" r:id="rId3"/>
    <sheet name="FISCinyear" sheetId="5" r:id="rId4"/>
    <sheet name="PRINCIPAL DOMDEBT" sheetId="18" r:id="rId5"/>
    <sheet name="RRA Tax " sheetId="15" r:id="rId6"/>
    <sheet name="Sheet1" sheetId="7" state="hidden" r:id="rId7"/>
    <sheet name="Sheet2" sheetId="8" state="hidden" r:id="rId8"/>
    <sheet name="Sheet4" sheetId="11" state="hidden" r:id="rId9"/>
    <sheet name="Sheet3" sheetId="14" state="hidden" r:id="rId10"/>
  </sheets>
  <externalReferences>
    <externalReference r:id="rId11"/>
  </externalReferences>
  <definedNames>
    <definedName name="BNR_OTR_RecPyt_FISCinyear">FISCinyear!$DC$131:$EL$134</definedName>
    <definedName name="BOP_FISC">FISC!$I$237:$AT$246</definedName>
    <definedName name="BudgetFL_GFS1986">FISC!$D$1462:$AF$1521</definedName>
    <definedName name="DMO_DebDisb_FISCinyear">FISCinyear!$DC$5:$EL$29</definedName>
    <definedName name="DOMDEBT_FISC">FISC!$I$166:$AT$193</definedName>
    <definedName name="EXTDEBT_ALL">FISC!$I$109:$AT$162</definedName>
    <definedName name="EXTDEBT_PRINT">FISC!$D$108:$AT$162</definedName>
    <definedName name="EXTFIN_ALL">FISC!$I$56:$AT$106</definedName>
    <definedName name="EXTFIN_PRINT">FISC!$D$55:$AT$106</definedName>
    <definedName name="FISC_BOP">FISC!$I$1648:$AT$1652</definedName>
    <definedName name="FISC_MON">FISC!$I$1606:$AT$1642</definedName>
    <definedName name="FISC_REAL">FISC!$I$1526:$AT$1570</definedName>
    <definedName name="FISCAL_annual_DOMDEBT">FISC!$D$1656:$AT$1702</definedName>
    <definedName name="FISCAL_assumptions">FISC!$I$283:$AT$399</definedName>
    <definedName name="FISCAL_DEBT_OUTPUT">FISC!$D$1705:$AT$1713</definedName>
    <definedName name="FISCAL_inyear_DOMDEBT1415">FISCinyear!$D$1064:$EL$1128</definedName>
    <definedName name="FISCAL_inyear_DOMDEBTproj">FISCinyear!$EL$1064:$HR$1128</definedName>
    <definedName name="FISCAL_MON_PRINT">FISC!$D$1574:$AT$1642</definedName>
    <definedName name="FISCAL_OUTPUT">FISC!$D$870:$AT$981</definedName>
    <definedName name="FISCAL_OUTPUT_progr_act">FISC!$D$1717:$AT$1753</definedName>
    <definedName name="FISCAL_PCI4_may2021">FISC!$D$1758:$AT$1779</definedName>
    <definedName name="FISCAL_Rwametric_Mdat">FISCinyear!$E$1131:$FV$1156</definedName>
    <definedName name="FISCAL_TOFE_inyear_201415">FISCinyear!$D$462:$DB$619</definedName>
    <definedName name="FISCAL_TOFE_inyear_201418">FISCinyear!$D$462:$IG$619</definedName>
    <definedName name="FISCAL1986_TOFE">FISC!$D$668:$AT$855</definedName>
    <definedName name="FISCAL2014_OUTPUT">FISC!$D$1286:$AT$1454</definedName>
    <definedName name="FISCAL2014_OUTPUT_inyear">FISCinyear!$D$972:$DB$998</definedName>
    <definedName name="FISCAL2014_TOFE">FISC!$D$985:$AT$1261</definedName>
    <definedName name="FISCAL2014_TOFE_inyear">FISCinyear!$D$663:$DB$941</definedName>
    <definedName name="GEE_ALL">FISC!$K$41:$AT$53</definedName>
    <definedName name="GEE_PRINT">FISC!$D$41:$AT$53</definedName>
    <definedName name="guidance_FISC">TOC!$A$2:$P$149</definedName>
    <definedName name="IFMIS_DEBT_FISCinyear">FISCinyear!$DC$283:$EL$294</definedName>
    <definedName name="IFMIS_Ex_FISCinyear">FISCinyear!$DC$263:$EL$268</definedName>
    <definedName name="IFMIS_EXP_Ord_FISCinyear">FISCinyear!$DC$218:$EL$233</definedName>
    <definedName name="IFMIS_EXP_Pyt_FISCinyear">FISCinyear!$DC$237:$EL$259</definedName>
    <definedName name="IFMIS_TaxExp_FISCinyear">FISCinyear!$DC$272:$EL$275</definedName>
    <definedName name="MON_MF">FISC!$I$249:$AT$270</definedName>
    <definedName name="MonSur_FISCinyear">FISCinyear!$DC$308:$EL$311</definedName>
    <definedName name="_xlnm.Print_Area" localSheetId="1">FISC!$D$1270:$AO$1286</definedName>
    <definedName name="_xlnm.Print_Area" localSheetId="3">FISCinyear!$D$663:$JN$969</definedName>
    <definedName name="_xlnm.Print_Area" localSheetId="2">'For Comparison'!$A$1:$AO$109</definedName>
    <definedName name="_xlnm.Print_Titles" localSheetId="2">'For Comparison'!$A:$A,'For Comparison'!$1:$3</definedName>
    <definedName name="Privat_Rec_FISCinyear">FISCinyear!$DC$279:$EL$279</definedName>
    <definedName name="REAL_FISC">FISC!$I$272:$AT$280</definedName>
    <definedName name="REAL_MF">FISC!$I$199:$AT$233</definedName>
    <definedName name="RRA_tax_FISCinyear">FISCinyear!$DC$160:$EL$204</definedName>
    <definedName name="RRA_taxDECENTR_FISCinyear">FISCinyear!$DC$208:$EL$213</definedName>
    <definedName name="TAB_FISC_complete">FISC!$D$2:$AT$1652</definedName>
    <definedName name="TOC_guidance">TOC!$A$2:$O$149</definedName>
    <definedName name="TreBNR_DomDeb_FISCinyear">FISCinyear!$DC$76:$EL$127</definedName>
    <definedName name="TreBNR_ExtDeb_FISCinyear">FISCinyear!$DC$33:$EL$72</definedName>
    <definedName name="WEO_ALL">FISC!$I$7:$AT$37</definedName>
    <definedName name="WEO_PRINT">FISC!$D$7:$AT$37</definedName>
  </definedNames>
  <calcPr calcId="191029" calcOnSave="0"/>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U964" i="5" l="1"/>
  <c r="IT964" i="5"/>
  <c r="IV964" i="5"/>
  <c r="JM964" i="5"/>
  <c r="JL964" i="5"/>
  <c r="JN964" i="5"/>
  <c r="JJ964" i="5"/>
  <c r="JI964" i="5"/>
  <c r="JK964" i="5"/>
  <c r="JG964" i="5"/>
  <c r="JF964" i="5"/>
  <c r="JH964" i="5"/>
  <c r="JD964" i="5"/>
  <c r="JC964" i="5"/>
  <c r="JA964" i="5"/>
  <c r="IZ964" i="5"/>
  <c r="IW964" i="5"/>
  <c r="IX964" i="5"/>
  <c r="JE964" i="5"/>
  <c r="JB964" i="5"/>
  <c r="IY964" i="5"/>
  <c r="AT402" i="2"/>
  <c r="AP404" i="2"/>
  <c r="AQ404" i="2"/>
  <c r="AR404" i="2"/>
  <c r="AS404" i="2"/>
  <c r="AT404" i="2"/>
  <c r="AS403" i="2"/>
  <c r="AP402" i="2"/>
  <c r="AQ402" i="2"/>
  <c r="AQ403" i="2" s="1"/>
  <c r="AR402" i="2"/>
  <c r="AR403" i="2" s="1"/>
  <c r="AS402" i="2"/>
  <c r="AT403" i="2" s="1"/>
  <c r="AP1200" i="2"/>
  <c r="AQ1200" i="2"/>
  <c r="AR1200" i="2"/>
  <c r="AS1200" i="2"/>
  <c r="AT1200" i="2"/>
  <c r="AK1203" i="2"/>
  <c r="AJ1203" i="2"/>
  <c r="AP1204" i="2" l="1"/>
  <c r="AQ1204" i="2"/>
  <c r="AR1204" i="2"/>
  <c r="AS1204" i="2"/>
  <c r="AT1204" i="2"/>
  <c r="AJ1075" i="2"/>
  <c r="JM940" i="5" l="1"/>
  <c r="JM939" i="5"/>
  <c r="JL940" i="5"/>
  <c r="JL939" i="5"/>
  <c r="JJ940" i="5"/>
  <c r="JJ939" i="5"/>
  <c r="JI940" i="5"/>
  <c r="JI939" i="5"/>
  <c r="JG940" i="5"/>
  <c r="JG939" i="5"/>
  <c r="JF940" i="5"/>
  <c r="JF939" i="5"/>
  <c r="AK107" i="19" s="1"/>
  <c r="JD940" i="5"/>
  <c r="JD939" i="5"/>
  <c r="JC940" i="5"/>
  <c r="JC939" i="5"/>
  <c r="JA940" i="5"/>
  <c r="IZ940" i="5"/>
  <c r="IZ939" i="5"/>
  <c r="JA939" i="5"/>
  <c r="JM938" i="5"/>
  <c r="JL938" i="5"/>
  <c r="JJ938" i="5"/>
  <c r="JI938" i="5"/>
  <c r="JG938" i="5"/>
  <c r="JF938" i="5"/>
  <c r="JD938" i="5"/>
  <c r="JC938" i="5"/>
  <c r="JA938" i="5"/>
  <c r="IZ938" i="5"/>
  <c r="JL933" i="5"/>
  <c r="JL935" i="5"/>
  <c r="JL719" i="5"/>
  <c r="JI719" i="5"/>
  <c r="BB105" i="19"/>
  <c r="BB75" i="19"/>
  <c r="BB64" i="19"/>
  <c r="BB63" i="19"/>
  <c r="BB57" i="19"/>
  <c r="BB35" i="19"/>
  <c r="BB30" i="19"/>
  <c r="BB23" i="19"/>
  <c r="BA108" i="19"/>
  <c r="BA54" i="19"/>
  <c r="BB54" i="19" s="1"/>
  <c r="BA52" i="19"/>
  <c r="BB52" i="19" s="1"/>
  <c r="BA47" i="19"/>
  <c r="BB47" i="19" s="1"/>
  <c r="BA26" i="19"/>
  <c r="BB26" i="19" s="1"/>
  <c r="AT105" i="19"/>
  <c r="AT75" i="19"/>
  <c r="AT64" i="19"/>
  <c r="AT63" i="19"/>
  <c r="AT57" i="19"/>
  <c r="AS54" i="19"/>
  <c r="AT54" i="19" s="1"/>
  <c r="AS52" i="19"/>
  <c r="AT52" i="19" s="1"/>
  <c r="AS47" i="19"/>
  <c r="AT47" i="19" s="1"/>
  <c r="AT35" i="19"/>
  <c r="AT30" i="19"/>
  <c r="AS26" i="19"/>
  <c r="AT26" i="19" s="1"/>
  <c r="AK54" i="19"/>
  <c r="AL54" i="19" s="1"/>
  <c r="AK52" i="19"/>
  <c r="AL52" i="19" s="1"/>
  <c r="AK47" i="19"/>
  <c r="AL47" i="19" s="1"/>
  <c r="AK26" i="19"/>
  <c r="AL26" i="19" s="1"/>
  <c r="AL64" i="19"/>
  <c r="AL63" i="19"/>
  <c r="AL57" i="19"/>
  <c r="AL35" i="19"/>
  <c r="AL30" i="19"/>
  <c r="AB102" i="19"/>
  <c r="JM935" i="5"/>
  <c r="JL932" i="5"/>
  <c r="JL931" i="5"/>
  <c r="JM932" i="5"/>
  <c r="JM931" i="5"/>
  <c r="JM933" i="5"/>
  <c r="JM930" i="5" s="1"/>
  <c r="JJ932" i="5"/>
  <c r="JI932" i="5"/>
  <c r="JI931" i="5"/>
  <c r="JJ931" i="5"/>
  <c r="JG932" i="5"/>
  <c r="JG931" i="5"/>
  <c r="JF932" i="5"/>
  <c r="JF931" i="5"/>
  <c r="JD931" i="5"/>
  <c r="JC931" i="5"/>
  <c r="JD933" i="5"/>
  <c r="JD932" i="5"/>
  <c r="JC932" i="5"/>
  <c r="JA932" i="5"/>
  <c r="JA931" i="5"/>
  <c r="IZ931" i="5"/>
  <c r="IZ932" i="5"/>
  <c r="AC47" i="19"/>
  <c r="AD47" i="19" s="1"/>
  <c r="AC52" i="19"/>
  <c r="AD52" i="19" s="1"/>
  <c r="AC54" i="19"/>
  <c r="AD54" i="19" s="1"/>
  <c r="JN787" i="5"/>
  <c r="JM785" i="5"/>
  <c r="JM784" i="5"/>
  <c r="JM783" i="5"/>
  <c r="JL785" i="5"/>
  <c r="JL784" i="5"/>
  <c r="JL783" i="5"/>
  <c r="JJ785" i="5"/>
  <c r="JJ784" i="5"/>
  <c r="JJ783" i="5"/>
  <c r="JK787" i="5"/>
  <c r="JI785" i="5"/>
  <c r="JI784" i="5"/>
  <c r="JI783" i="5"/>
  <c r="JH787" i="5"/>
  <c r="JG785" i="5"/>
  <c r="JG784" i="5"/>
  <c r="JF785" i="5"/>
  <c r="JF784" i="5"/>
  <c r="JG783" i="5"/>
  <c r="JF783" i="5"/>
  <c r="JE787" i="5"/>
  <c r="JD785" i="5"/>
  <c r="JD784" i="5"/>
  <c r="JD783" i="5"/>
  <c r="JC785" i="5"/>
  <c r="JC784" i="5"/>
  <c r="JC783" i="5"/>
  <c r="IZ783" i="5"/>
  <c r="JA785" i="5"/>
  <c r="JA784" i="5"/>
  <c r="JA783" i="5"/>
  <c r="IZ785" i="5"/>
  <c r="IZ784" i="5"/>
  <c r="JA781" i="5"/>
  <c r="IZ781" i="5"/>
  <c r="AD64" i="19"/>
  <c r="AD63" i="19"/>
  <c r="AD57" i="19"/>
  <c r="AD35" i="19"/>
  <c r="AC26" i="19"/>
  <c r="AD26" i="19" s="1"/>
  <c r="JL915" i="5"/>
  <c r="BA93" i="19" s="1"/>
  <c r="JL912" i="5"/>
  <c r="JI915" i="5"/>
  <c r="AS93" i="19" s="1"/>
  <c r="JI912" i="5"/>
  <c r="JF915" i="5"/>
  <c r="JF912" i="5"/>
  <c r="JC915" i="5"/>
  <c r="AC93" i="19" s="1"/>
  <c r="JC912" i="5"/>
  <c r="IZ915" i="5"/>
  <c r="IZ912" i="5"/>
  <c r="IW915" i="5"/>
  <c r="K93" i="19" s="1"/>
  <c r="V64" i="19"/>
  <c r="V57" i="19"/>
  <c r="N103" i="19"/>
  <c r="N79" i="19"/>
  <c r="N78" i="19"/>
  <c r="N57" i="19"/>
  <c r="N54" i="19"/>
  <c r="N52" i="19"/>
  <c r="N47" i="19"/>
  <c r="N40" i="19"/>
  <c r="N35" i="19"/>
  <c r="N26" i="19"/>
  <c r="AS106" i="19" l="1"/>
  <c r="AS12" i="19"/>
  <c r="BA12" i="19"/>
  <c r="BA102" i="19"/>
  <c r="AC34" i="19"/>
  <c r="AK102" i="19"/>
  <c r="BA104" i="19"/>
  <c r="BA106" i="19"/>
  <c r="AS102" i="19"/>
  <c r="U107" i="19"/>
  <c r="AS107" i="19"/>
  <c r="BA107" i="19"/>
  <c r="AC107" i="19"/>
  <c r="AK34" i="19"/>
  <c r="JM929" i="5"/>
  <c r="BA34" i="19"/>
  <c r="AC102" i="19"/>
  <c r="AS34" i="19"/>
  <c r="U34" i="19"/>
  <c r="JL930" i="5"/>
  <c r="BA103" i="19"/>
  <c r="BA101" i="19" l="1"/>
  <c r="JL929" i="5"/>
  <c r="JL928" i="5" s="1"/>
  <c r="BA100" i="19" l="1"/>
  <c r="JL920" i="5"/>
  <c r="BA99" i="19"/>
  <c r="BA95" i="19" l="1"/>
  <c r="JL790" i="5"/>
  <c r="JI790" i="5"/>
  <c r="JF790" i="5"/>
  <c r="JC790" i="5"/>
  <c r="IZ935" i="5"/>
  <c r="IW883" i="5"/>
  <c r="K76" i="19" s="1"/>
  <c r="AS38" i="19" l="1"/>
  <c r="BA38" i="19"/>
  <c r="IW661" i="5"/>
  <c r="AR67" i="19" l="1"/>
  <c r="AO1252" i="2" l="1"/>
  <c r="AO1106" i="2"/>
  <c r="JN932" i="5" l="1"/>
  <c r="JI885" i="5"/>
  <c r="JF885" i="5"/>
  <c r="JC885" i="5"/>
  <c r="IZ885" i="5"/>
  <c r="AK77" i="19" l="1"/>
  <c r="AC77" i="19"/>
  <c r="AS77" i="19"/>
  <c r="AO1251" i="2"/>
  <c r="AN1251" i="2"/>
  <c r="AM1251" i="2"/>
  <c r="AL1251" i="2"/>
  <c r="JE931" i="5" l="1"/>
  <c r="JK931" i="5"/>
  <c r="JH931" i="5"/>
  <c r="JN931" i="5"/>
  <c r="AK1107" i="2"/>
  <c r="AW35" i="19" l="1"/>
  <c r="AR34" i="19"/>
  <c r="AR35" i="19"/>
  <c r="AO35" i="19"/>
  <c r="AJ34" i="19"/>
  <c r="AJ35" i="19"/>
  <c r="AP35" i="19" s="1"/>
  <c r="AG35" i="19"/>
  <c r="AK1251" i="2" l="1"/>
  <c r="AK1104" i="2"/>
  <c r="AB34" i="19"/>
  <c r="AB35" i="19"/>
  <c r="T34" i="19"/>
  <c r="T35" i="19"/>
  <c r="I34" i="19"/>
  <c r="I35" i="19"/>
  <c r="AO1104" i="2"/>
  <c r="AN1104" i="2"/>
  <c r="AM1104" i="2"/>
  <c r="AL1104" i="2"/>
  <c r="JB931" i="5" l="1"/>
  <c r="AO1100" i="2"/>
  <c r="AK1096" i="2"/>
  <c r="AK1100" i="2"/>
  <c r="AO1098" i="2"/>
  <c r="AK1098" i="2"/>
  <c r="AJ644" i="2"/>
  <c r="AJ1096" i="2" s="1"/>
  <c r="JB784" i="5" l="1"/>
  <c r="JN786" i="5"/>
  <c r="JN784" i="5"/>
  <c r="W35" i="19"/>
  <c r="Y35" i="19" s="1"/>
  <c r="IZ786" i="5"/>
  <c r="JB786" i="5"/>
  <c r="JA786" i="5" l="1"/>
  <c r="U35" i="19"/>
  <c r="V35" i="19" s="1"/>
  <c r="AN1099" i="2"/>
  <c r="AO1099" i="2"/>
  <c r="AP1099" i="2"/>
  <c r="AQ1099" i="2"/>
  <c r="AR1099" i="2"/>
  <c r="AS1099" i="2"/>
  <c r="AT1099" i="2"/>
  <c r="AJ1097" i="2"/>
  <c r="JN785" i="5" l="1"/>
  <c r="JK785" i="5"/>
  <c r="AO1258" i="2" l="1"/>
  <c r="AZ40" i="19" l="1"/>
  <c r="AY39" i="19"/>
  <c r="BC39" i="19" s="1"/>
  <c r="BE39" i="19" s="1"/>
  <c r="AR40" i="19"/>
  <c r="AU39" i="19"/>
  <c r="AW39" i="19" s="1"/>
  <c r="AJ40" i="19"/>
  <c r="AM39" i="19"/>
  <c r="AO39" i="19" s="1"/>
  <c r="AB40" i="19"/>
  <c r="AE39" i="19"/>
  <c r="AB39" i="19" l="1"/>
  <c r="AJ39" i="19"/>
  <c r="AR39" i="19"/>
  <c r="AZ39" i="19"/>
  <c r="AK1256" i="2" l="1"/>
  <c r="AK1259" i="2" l="1"/>
  <c r="AL1259" i="2"/>
  <c r="AM1259" i="2"/>
  <c r="AN1259" i="2"/>
  <c r="AO1259" i="2"/>
  <c r="AJ1259" i="2"/>
  <c r="AP1098" i="2"/>
  <c r="AQ1098" i="2"/>
  <c r="AR1098" i="2"/>
  <c r="AS1098" i="2"/>
  <c r="AT1098" i="2"/>
  <c r="AL1097" i="2"/>
  <c r="AM1097" i="2"/>
  <c r="AN1097" i="2"/>
  <c r="AO1097" i="2"/>
  <c r="AK1097" i="2"/>
  <c r="BC34" i="19" l="1"/>
  <c r="BB34" i="19" s="1"/>
  <c r="JN783" i="5"/>
  <c r="JE783" i="5"/>
  <c r="JH783" i="5"/>
  <c r="JK939" i="5"/>
  <c r="JE939" i="5"/>
  <c r="JB783" i="5"/>
  <c r="JK783" i="5"/>
  <c r="JN939" i="5"/>
  <c r="JH939" i="5"/>
  <c r="JB939" i="5"/>
  <c r="BE34" i="19" l="1"/>
  <c r="AM646" i="2" l="1"/>
  <c r="AM645" i="2"/>
  <c r="AM1099" i="2" s="1"/>
  <c r="AL646" i="2"/>
  <c r="AL645" i="2"/>
  <c r="AL1099" i="2" s="1"/>
  <c r="AK646" i="2"/>
  <c r="AK645" i="2"/>
  <c r="AK1099" i="2" s="1"/>
  <c r="AN644" i="2"/>
  <c r="AM644" i="2"/>
  <c r="AL644" i="2"/>
  <c r="AN643" i="2"/>
  <c r="AN1258" i="2" s="1"/>
  <c r="AM643" i="2"/>
  <c r="AM1258" i="2" s="1"/>
  <c r="AL643" i="2"/>
  <c r="AL1258" i="2" s="1"/>
  <c r="AK643" i="2"/>
  <c r="AK1258" i="2" s="1"/>
  <c r="AO1102" i="2"/>
  <c r="AM1100" i="2" l="1"/>
  <c r="JH786" i="5" s="1"/>
  <c r="AM1096" i="2"/>
  <c r="AL1100" i="2"/>
  <c r="JE786" i="5" s="1"/>
  <c r="AL1096" i="2"/>
  <c r="AN1100" i="2"/>
  <c r="JK786" i="5" s="1"/>
  <c r="AN1096" i="2"/>
  <c r="JB785" i="5"/>
  <c r="JE785" i="5"/>
  <c r="JH785" i="5"/>
  <c r="AN1098" i="2"/>
  <c r="AL1098" i="2"/>
  <c r="AM1098" i="2"/>
  <c r="W34" i="19"/>
  <c r="V34" i="19" s="1"/>
  <c r="AL1106" i="2"/>
  <c r="AM34" i="19" l="1"/>
  <c r="AL34" i="19" s="1"/>
  <c r="JH784" i="5"/>
  <c r="AU34" i="19"/>
  <c r="AW34" i="19" s="1"/>
  <c r="JK784" i="5"/>
  <c r="AE34" i="19"/>
  <c r="AG34" i="19" s="1"/>
  <c r="JE784" i="5"/>
  <c r="Y34" i="19"/>
  <c r="AK647" i="2"/>
  <c r="AL647" i="2"/>
  <c r="AM647" i="2"/>
  <c r="AN647" i="2"/>
  <c r="AO647" i="2"/>
  <c r="AJ647" i="2"/>
  <c r="AO1256" i="2"/>
  <c r="AN1256" i="2"/>
  <c r="AM1256" i="2"/>
  <c r="AL1256" i="2"/>
  <c r="AJ1256" i="2"/>
  <c r="AO34" i="19" l="1"/>
  <c r="AD34" i="19"/>
  <c r="AT34" i="19"/>
  <c r="AK1206" i="2"/>
  <c r="AK1204" i="2" s="1"/>
  <c r="AO1206" i="2"/>
  <c r="AO1204" i="2" s="1"/>
  <c r="AN1206" i="2"/>
  <c r="AN1204" i="2" s="1"/>
  <c r="AL1206" i="2"/>
  <c r="AL1204" i="2" s="1"/>
  <c r="AM1206" i="2"/>
  <c r="AM1204" i="2" s="1"/>
  <c r="U78" i="19"/>
  <c r="V78" i="19" s="1"/>
  <c r="U54" i="19"/>
  <c r="V54" i="19" s="1"/>
  <c r="U52" i="19"/>
  <c r="V52" i="19" s="1"/>
  <c r="U47" i="19"/>
  <c r="V47" i="19" s="1"/>
  <c r="U26" i="19"/>
  <c r="V26" i="19" s="1"/>
  <c r="T26" i="19" l="1"/>
  <c r="T30" i="19"/>
  <c r="I30" i="19"/>
  <c r="O30" i="19"/>
  <c r="N30" i="19" s="1"/>
  <c r="AK1102" i="2" l="1"/>
  <c r="AT1233" i="2"/>
  <c r="AS1233" i="2"/>
  <c r="AR1233" i="2"/>
  <c r="AQ1233" i="2"/>
  <c r="AP1233" i="2"/>
  <c r="AO1233" i="2"/>
  <c r="AN1233" i="2"/>
  <c r="AM1233" i="2"/>
  <c r="AL1233" i="2"/>
  <c r="AK1233" i="2"/>
  <c r="AJ1233" i="2"/>
  <c r="AQ126" i="18"/>
  <c r="AP126" i="18"/>
  <c r="AR126" i="18" s="1"/>
  <c r="AN126" i="18"/>
  <c r="AM126" i="18"/>
  <c r="AO126" i="18" s="1"/>
  <c r="AK126" i="18"/>
  <c r="AJ126" i="18"/>
  <c r="AL126" i="18" s="1"/>
  <c r="AH126" i="18"/>
  <c r="AG126" i="18"/>
  <c r="AI126" i="18" s="1"/>
  <c r="AE126" i="18"/>
  <c r="AD126" i="18"/>
  <c r="AF126" i="18" s="1"/>
  <c r="AB126" i="18"/>
  <c r="AA126" i="18"/>
  <c r="AC126" i="18" s="1"/>
  <c r="Y126" i="18"/>
  <c r="X126" i="18"/>
  <c r="V126" i="18"/>
  <c r="U126" i="18"/>
  <c r="W126" i="18" s="1"/>
  <c r="S126" i="18"/>
  <c r="R126" i="18"/>
  <c r="T126" i="18" s="1"/>
  <c r="P126" i="18"/>
  <c r="P63" i="18" s="1"/>
  <c r="O126" i="18"/>
  <c r="M126" i="18"/>
  <c r="L126" i="18"/>
  <c r="J126" i="18"/>
  <c r="I126" i="18"/>
  <c r="H126" i="18"/>
  <c r="F126" i="18"/>
  <c r="D126" i="18"/>
  <c r="D63" i="18" s="1"/>
  <c r="C126" i="18"/>
  <c r="C63" i="18" s="1"/>
  <c r="AR125" i="18"/>
  <c r="AO125" i="18"/>
  <c r="AL125" i="18"/>
  <c r="AI125" i="18"/>
  <c r="AF125" i="18"/>
  <c r="AC125" i="18"/>
  <c r="Z125" i="18"/>
  <c r="W125" i="18"/>
  <c r="T125" i="18"/>
  <c r="Q125" i="18"/>
  <c r="N125" i="18"/>
  <c r="K125" i="18"/>
  <c r="AR124" i="18"/>
  <c r="AO124" i="18"/>
  <c r="AL124" i="18"/>
  <c r="AI124" i="18"/>
  <c r="AF124" i="18"/>
  <c r="AC124" i="18"/>
  <c r="Z124" i="18"/>
  <c r="W124" i="18"/>
  <c r="T124" i="18"/>
  <c r="Q124" i="18"/>
  <c r="N124" i="18"/>
  <c r="K124" i="18"/>
  <c r="AR123" i="18"/>
  <c r="AO123" i="18"/>
  <c r="AL123" i="18"/>
  <c r="AI123" i="18"/>
  <c r="AF123" i="18"/>
  <c r="AC123" i="18"/>
  <c r="Z123" i="18"/>
  <c r="W123" i="18"/>
  <c r="T123" i="18"/>
  <c r="Q123" i="18"/>
  <c r="N123" i="18"/>
  <c r="K123" i="18"/>
  <c r="AQ122" i="18"/>
  <c r="AP122" i="18"/>
  <c r="AR122" i="18" s="1"/>
  <c r="AR63" i="18" s="1"/>
  <c r="AN122" i="18"/>
  <c r="AM122" i="18"/>
  <c r="AO122" i="18" s="1"/>
  <c r="AK122" i="18"/>
  <c r="AJ122" i="18"/>
  <c r="AL122" i="18" s="1"/>
  <c r="AH122" i="18"/>
  <c r="AH63" i="18" s="1"/>
  <c r="AG122" i="18"/>
  <c r="AE122" i="18"/>
  <c r="AE63" i="18" s="1"/>
  <c r="AD122" i="18"/>
  <c r="AF122" i="18" s="1"/>
  <c r="AB122" i="18"/>
  <c r="AA122" i="18"/>
  <c r="Y122" i="18"/>
  <c r="X122" i="18"/>
  <c r="X63" i="18" s="1"/>
  <c r="V122" i="18"/>
  <c r="U122" i="18"/>
  <c r="W122" i="18" s="1"/>
  <c r="S122" i="18"/>
  <c r="R122" i="18"/>
  <c r="P122" i="18"/>
  <c r="O122" i="18"/>
  <c r="Q122" i="18" s="1"/>
  <c r="M122" i="18"/>
  <c r="L122" i="18"/>
  <c r="N122" i="18" s="1"/>
  <c r="J122" i="18"/>
  <c r="I122" i="18"/>
  <c r="K122" i="18" s="1"/>
  <c r="H122" i="18"/>
  <c r="AR121" i="18"/>
  <c r="AO121" i="18"/>
  <c r="AL121" i="18"/>
  <c r="AI121" i="18"/>
  <c r="AF121" i="18"/>
  <c r="AC121" i="18"/>
  <c r="Z121" i="18"/>
  <c r="W121" i="18"/>
  <c r="T121" i="18"/>
  <c r="Q121" i="18"/>
  <c r="N121" i="18"/>
  <c r="K121" i="18"/>
  <c r="G63" i="18"/>
  <c r="F63" i="18"/>
  <c r="E63" i="18"/>
  <c r="L63" i="18"/>
  <c r="H63" i="18"/>
  <c r="M63" i="18"/>
  <c r="J63" i="18"/>
  <c r="AQ63" i="18"/>
  <c r="AP63" i="18"/>
  <c r="AN63" i="18"/>
  <c r="AM63" i="18"/>
  <c r="AK63" i="18"/>
  <c r="J59" i="18"/>
  <c r="J3" i="18" s="1"/>
  <c r="I59" i="18"/>
  <c r="I3" i="18" s="1"/>
  <c r="R3" i="18"/>
  <c r="S3" i="18"/>
  <c r="U3" i="18"/>
  <c r="V3" i="18"/>
  <c r="C3" i="18"/>
  <c r="D3" i="18"/>
  <c r="G3" i="18"/>
  <c r="Q59" i="18"/>
  <c r="T59" i="18"/>
  <c r="W59" i="18"/>
  <c r="Z59" i="18"/>
  <c r="AC59" i="18"/>
  <c r="AC3" i="18" s="1"/>
  <c r="AP1234" i="2" s="1"/>
  <c r="AL59" i="18"/>
  <c r="AL3" i="18" s="1"/>
  <c r="AS1234" i="2" s="1"/>
  <c r="AO59" i="18"/>
  <c r="AO3" i="18" s="1"/>
  <c r="AT1234" i="2" s="1"/>
  <c r="AR59" i="18"/>
  <c r="C59" i="18"/>
  <c r="D59" i="18"/>
  <c r="E59" i="18"/>
  <c r="E3" i="18" s="1"/>
  <c r="F59" i="18"/>
  <c r="K59" i="18"/>
  <c r="AF59" i="18"/>
  <c r="AF3" i="18" s="1"/>
  <c r="AQ1234" i="2" s="1"/>
  <c r="N59" i="18"/>
  <c r="G59" i="18"/>
  <c r="H59" i="18"/>
  <c r="H3" i="18" s="1"/>
  <c r="L59" i="18"/>
  <c r="L3" i="18" s="1"/>
  <c r="M59" i="18"/>
  <c r="M3" i="18" s="1"/>
  <c r="O59" i="18"/>
  <c r="O3" i="18" s="1"/>
  <c r="P59" i="18"/>
  <c r="P3" i="18" s="1"/>
  <c r="R59" i="18"/>
  <c r="S59" i="18"/>
  <c r="U59" i="18"/>
  <c r="V59" i="18"/>
  <c r="X59" i="18"/>
  <c r="X3" i="18" s="1"/>
  <c r="Y59" i="18"/>
  <c r="Y3" i="18" s="1"/>
  <c r="AA59" i="18"/>
  <c r="AA3" i="18" s="1"/>
  <c r="AB59" i="18"/>
  <c r="AB3" i="18" s="1"/>
  <c r="AD59" i="18"/>
  <c r="AD3" i="18" s="1"/>
  <c r="AE59" i="18"/>
  <c r="AE3" i="18" s="1"/>
  <c r="AG59" i="18"/>
  <c r="AG3" i="18" s="1"/>
  <c r="AH59" i="18"/>
  <c r="AH3" i="18" s="1"/>
  <c r="AI59" i="18"/>
  <c r="AI3" i="18" s="1"/>
  <c r="AR1234" i="2" s="1"/>
  <c r="AJ59" i="18"/>
  <c r="AJ3" i="18" s="1"/>
  <c r="AK59" i="18"/>
  <c r="AK3" i="18" s="1"/>
  <c r="AM59" i="18"/>
  <c r="AM3" i="18" s="1"/>
  <c r="AN59" i="18"/>
  <c r="AN3" i="18" s="1"/>
  <c r="AP59" i="18"/>
  <c r="AP3" i="18" s="1"/>
  <c r="AQ59" i="18"/>
  <c r="AQ3" i="18" s="1"/>
  <c r="AJ1253" i="2"/>
  <c r="AG63" i="18" l="1"/>
  <c r="T122" i="18"/>
  <c r="Z122" i="18"/>
  <c r="S63" i="18"/>
  <c r="V63" i="18"/>
  <c r="AF63" i="18"/>
  <c r="AJ63" i="18"/>
  <c r="AJ1249" i="2"/>
  <c r="G126" i="18"/>
  <c r="K126" i="18"/>
  <c r="Z126" i="18"/>
  <c r="AA63" i="18"/>
  <c r="N126" i="18"/>
  <c r="N63" i="18" s="1"/>
  <c r="U63" i="18"/>
  <c r="AB63" i="18"/>
  <c r="R63" i="18"/>
  <c r="Q126" i="18"/>
  <c r="Q63" i="18" s="1"/>
  <c r="Z63" i="18"/>
  <c r="AL63" i="18"/>
  <c r="AO63" i="18"/>
  <c r="W63" i="18"/>
  <c r="Y63" i="18"/>
  <c r="AI122" i="18"/>
  <c r="AI63" i="18" s="1"/>
  <c r="K63" i="18"/>
  <c r="AC122" i="18"/>
  <c r="AC63" i="18" s="1"/>
  <c r="T63" i="18"/>
  <c r="I63" i="18"/>
  <c r="AD63" i="18"/>
  <c r="O63" i="18"/>
  <c r="T3" i="18"/>
  <c r="AM1234" i="2" s="1"/>
  <c r="F3" i="18"/>
  <c r="Q3" i="18"/>
  <c r="AL1234" i="2" s="1"/>
  <c r="Z3" i="18"/>
  <c r="AO1234" i="2" s="1"/>
  <c r="N3" i="18"/>
  <c r="AK1234" i="2" s="1"/>
  <c r="K3" i="18"/>
  <c r="AJ1234" i="2" s="1"/>
  <c r="W3" i="18"/>
  <c r="AN1234" i="2" s="1"/>
  <c r="AR3" i="18"/>
  <c r="AO1255" i="2"/>
  <c r="AN1255" i="2"/>
  <c r="AM1255" i="2"/>
  <c r="AL1255" i="2"/>
  <c r="AK1255" i="2"/>
  <c r="AJ1255" i="2"/>
  <c r="AJ402" i="2" l="1"/>
  <c r="AJ1176" i="2" l="1"/>
  <c r="AJ638" i="2"/>
  <c r="AJ1104" i="2" s="1"/>
  <c r="AO1067" i="2"/>
  <c r="AK1563" i="2" l="1"/>
  <c r="AJ1563" i="2"/>
  <c r="AD1563" i="2"/>
  <c r="AC1563" i="2"/>
  <c r="AB1563" i="2"/>
  <c r="AA1563" i="2"/>
  <c r="Z1563" i="2"/>
  <c r="Y1563" i="2"/>
  <c r="X1563" i="2"/>
  <c r="AT1562" i="2"/>
  <c r="AS1562" i="2"/>
  <c r="AR1562" i="2"/>
  <c r="AQ1562" i="2"/>
  <c r="AP1562" i="2"/>
  <c r="AO1562" i="2"/>
  <c r="AN1562" i="2"/>
  <c r="AM1562" i="2"/>
  <c r="AL1562" i="2"/>
  <c r="AK1562" i="2"/>
  <c r="AJ1562" i="2"/>
  <c r="AI1562" i="2"/>
  <c r="AH1562" i="2"/>
  <c r="AG1562" i="2"/>
  <c r="AF1562" i="2"/>
  <c r="AE1562" i="2"/>
  <c r="AD1562" i="2"/>
  <c r="AC1562" i="2"/>
  <c r="AB1562" i="2"/>
  <c r="AA1562" i="2"/>
  <c r="Z1562" i="2"/>
  <c r="Y1562" i="2"/>
  <c r="X1562" i="2"/>
  <c r="W1548" i="2"/>
  <c r="Z1541" i="2"/>
  <c r="AA1541" i="2"/>
  <c r="AB1541" i="2"/>
  <c r="AC1541" i="2"/>
  <c r="AD1541" i="2"/>
  <c r="AE1541" i="2"/>
  <c r="AF1541" i="2"/>
  <c r="AI1538" i="2"/>
  <c r="AJ1538" i="2"/>
  <c r="AK1538" i="2"/>
  <c r="AL1538" i="2"/>
  <c r="AM1538" i="2"/>
  <c r="AN1538" i="2"/>
  <c r="AO1538" i="2"/>
  <c r="AP1538" i="2"/>
  <c r="AQ1538" i="2"/>
  <c r="AR1538" i="2"/>
  <c r="AS1538" i="2"/>
  <c r="AT1538" i="2"/>
  <c r="AP1541" i="2"/>
  <c r="AQ1541" i="2"/>
  <c r="AR1541" i="2"/>
  <c r="AS1541" i="2"/>
  <c r="AT1541" i="2"/>
  <c r="AK416" i="2" l="1"/>
  <c r="AL997" i="2"/>
  <c r="AK1062" i="2"/>
  <c r="AL1062" i="2" s="1"/>
  <c r="AM1062" i="2" s="1"/>
  <c r="AN1062" i="2" s="1"/>
  <c r="AO1062" i="2" s="1"/>
  <c r="AM1112" i="2" l="1"/>
  <c r="IN921" i="5" l="1"/>
  <c r="IO916" i="5"/>
  <c r="AK1051" i="2" l="1"/>
  <c r="AO1051" i="2"/>
  <c r="AN1051" i="2"/>
  <c r="AM1051" i="2"/>
  <c r="AL1051" i="2"/>
  <c r="GD1133" i="5"/>
  <c r="GE1133" i="5"/>
  <c r="GF1133" i="5"/>
  <c r="GG1133" i="5"/>
  <c r="GH1133" i="5"/>
  <c r="GD1134" i="5"/>
  <c r="GE1134" i="5"/>
  <c r="GF1134" i="5"/>
  <c r="GG1134" i="5"/>
  <c r="GH1134" i="5"/>
  <c r="GD1135" i="5"/>
  <c r="GE1135" i="5"/>
  <c r="GF1135" i="5"/>
  <c r="GG1135" i="5"/>
  <c r="GH1135" i="5"/>
  <c r="GD1136" i="5"/>
  <c r="GE1136" i="5"/>
  <c r="GF1136" i="5"/>
  <c r="GG1136" i="5"/>
  <c r="GH1136" i="5"/>
  <c r="GD1137" i="5"/>
  <c r="GE1137" i="5"/>
  <c r="GF1137" i="5"/>
  <c r="GG1137" i="5"/>
  <c r="GH1137" i="5"/>
  <c r="GD1138" i="5"/>
  <c r="GE1138" i="5"/>
  <c r="GF1138" i="5"/>
  <c r="GG1138" i="5"/>
  <c r="GH1138" i="5"/>
  <c r="GD1139" i="5"/>
  <c r="GE1139" i="5"/>
  <c r="GF1139" i="5"/>
  <c r="GG1139" i="5"/>
  <c r="GH1139" i="5"/>
  <c r="GD1140" i="5"/>
  <c r="GE1140" i="5"/>
  <c r="GF1140" i="5"/>
  <c r="GG1140" i="5"/>
  <c r="GH1140" i="5"/>
  <c r="GD1143" i="5"/>
  <c r="GE1143" i="5"/>
  <c r="GF1143" i="5"/>
  <c r="GG1143" i="5"/>
  <c r="GH1143" i="5"/>
  <c r="GD1144" i="5"/>
  <c r="GE1144" i="5"/>
  <c r="GF1144" i="5"/>
  <c r="GG1144" i="5"/>
  <c r="GH1144" i="5"/>
  <c r="GD1145" i="5"/>
  <c r="GE1145" i="5"/>
  <c r="GF1145" i="5"/>
  <c r="GG1145" i="5"/>
  <c r="GH1145" i="5"/>
  <c r="GD1146" i="5"/>
  <c r="GE1146" i="5"/>
  <c r="GF1146" i="5"/>
  <c r="GG1146" i="5"/>
  <c r="GH1146" i="5"/>
  <c r="GD1147" i="5"/>
  <c r="GE1147" i="5"/>
  <c r="GF1147" i="5"/>
  <c r="GG1147" i="5"/>
  <c r="GH1147" i="5"/>
  <c r="GD1148" i="5"/>
  <c r="GE1148" i="5"/>
  <c r="GF1148" i="5"/>
  <c r="GG1148" i="5"/>
  <c r="GH1148" i="5"/>
  <c r="GD1150" i="5"/>
  <c r="GE1150" i="5"/>
  <c r="GF1150" i="5"/>
  <c r="GG1150" i="5"/>
  <c r="GH1150" i="5"/>
  <c r="GD1152" i="5"/>
  <c r="GE1152" i="5"/>
  <c r="GF1152" i="5"/>
  <c r="GG1152" i="5"/>
  <c r="GH1152" i="5"/>
  <c r="GU1152" i="5"/>
  <c r="GV1152" i="5"/>
  <c r="GW1152" i="5"/>
  <c r="GX1152" i="5"/>
  <c r="GY1152" i="5"/>
  <c r="GZ1152" i="5"/>
  <c r="HA1152" i="5"/>
  <c r="HB1152" i="5"/>
  <c r="HC1152" i="5"/>
  <c r="HD1152" i="5"/>
  <c r="HE1152" i="5"/>
  <c r="HF1152" i="5"/>
  <c r="HG1152" i="5"/>
  <c r="HH1152" i="5"/>
  <c r="HI1152" i="5"/>
  <c r="HJ1152" i="5"/>
  <c r="HK1152" i="5"/>
  <c r="HL1152" i="5"/>
  <c r="GD1153" i="5"/>
  <c r="GE1153" i="5"/>
  <c r="GF1153" i="5"/>
  <c r="GG1153" i="5"/>
  <c r="GH1153" i="5"/>
  <c r="GD1155" i="5"/>
  <c r="GE1155" i="5"/>
  <c r="GF1155" i="5"/>
  <c r="GG1155" i="5"/>
  <c r="GH1155" i="5"/>
  <c r="FW1150" i="5"/>
  <c r="FX1150" i="5"/>
  <c r="FY1150" i="5"/>
  <c r="FZ1150" i="5"/>
  <c r="GA1150" i="5"/>
  <c r="GB1150" i="5"/>
  <c r="GC1150" i="5"/>
  <c r="FW1152" i="5"/>
  <c r="FX1152" i="5"/>
  <c r="FY1152" i="5"/>
  <c r="FZ1152" i="5"/>
  <c r="GA1152" i="5"/>
  <c r="GB1152" i="5"/>
  <c r="GC1152" i="5"/>
  <c r="FW1153" i="5"/>
  <c r="FX1153" i="5"/>
  <c r="FY1153" i="5"/>
  <c r="FZ1153" i="5"/>
  <c r="GA1153" i="5"/>
  <c r="GB1153" i="5"/>
  <c r="GC1153" i="5"/>
  <c r="FW1155" i="5"/>
  <c r="FX1155" i="5"/>
  <c r="FY1155" i="5"/>
  <c r="FZ1155" i="5"/>
  <c r="GA1155" i="5"/>
  <c r="GB1155" i="5"/>
  <c r="GC1155" i="5"/>
  <c r="GB1144" i="5"/>
  <c r="GC1144" i="5"/>
  <c r="FW1145" i="5"/>
  <c r="FX1145" i="5"/>
  <c r="FY1145" i="5"/>
  <c r="FZ1145" i="5"/>
  <c r="GA1145" i="5"/>
  <c r="GB1145" i="5"/>
  <c r="GC1145" i="5"/>
  <c r="FW1146" i="5"/>
  <c r="FX1146" i="5"/>
  <c r="FY1146" i="5"/>
  <c r="FZ1146" i="5"/>
  <c r="GA1146" i="5"/>
  <c r="GB1146" i="5"/>
  <c r="GC1146" i="5"/>
  <c r="FW1147" i="5"/>
  <c r="FX1147" i="5"/>
  <c r="FY1147" i="5"/>
  <c r="FZ1147" i="5"/>
  <c r="GA1147" i="5"/>
  <c r="GB1147" i="5"/>
  <c r="GC1147" i="5"/>
  <c r="FW1148" i="5"/>
  <c r="FX1148" i="5"/>
  <c r="FY1148" i="5"/>
  <c r="FZ1148" i="5"/>
  <c r="GA1148" i="5"/>
  <c r="GB1148" i="5"/>
  <c r="GC1148" i="5"/>
  <c r="FW1144" i="5"/>
  <c r="FX1144" i="5"/>
  <c r="FY1144" i="5"/>
  <c r="FZ1144" i="5"/>
  <c r="GA1144" i="5"/>
  <c r="FW1143" i="5"/>
  <c r="FX1143" i="5"/>
  <c r="FY1143" i="5"/>
  <c r="FZ1143" i="5"/>
  <c r="GA1143" i="5"/>
  <c r="GB1143" i="5"/>
  <c r="GC1143" i="5"/>
  <c r="FW1139" i="5"/>
  <c r="FX1139" i="5"/>
  <c r="FY1139" i="5"/>
  <c r="FZ1139" i="5"/>
  <c r="GA1139" i="5"/>
  <c r="GB1139" i="5"/>
  <c r="GC1139" i="5"/>
  <c r="FW1140" i="5"/>
  <c r="FX1140" i="5"/>
  <c r="FY1140" i="5"/>
  <c r="FZ1140" i="5"/>
  <c r="GA1140" i="5"/>
  <c r="GB1140" i="5"/>
  <c r="GC1140" i="5"/>
  <c r="FW1138" i="5"/>
  <c r="FX1138" i="5"/>
  <c r="FY1138" i="5"/>
  <c r="FZ1138" i="5"/>
  <c r="GA1138" i="5"/>
  <c r="GB1138" i="5"/>
  <c r="GC1138" i="5"/>
  <c r="FW1137" i="5"/>
  <c r="FX1137" i="5"/>
  <c r="FY1137" i="5"/>
  <c r="FZ1137" i="5"/>
  <c r="GA1137" i="5"/>
  <c r="GB1137" i="5"/>
  <c r="FW1136" i="5"/>
  <c r="FX1136" i="5"/>
  <c r="FY1136" i="5"/>
  <c r="FZ1136" i="5"/>
  <c r="GA1136" i="5"/>
  <c r="GB1136" i="5"/>
  <c r="GC1136" i="5"/>
  <c r="FW1135" i="5"/>
  <c r="FX1135" i="5"/>
  <c r="FY1135" i="5"/>
  <c r="FZ1135" i="5"/>
  <c r="GA1135" i="5"/>
  <c r="GB1135" i="5"/>
  <c r="GC1135" i="5"/>
  <c r="GC1133" i="5"/>
  <c r="FW1134" i="5"/>
  <c r="FX1134" i="5"/>
  <c r="FY1134" i="5"/>
  <c r="FZ1134" i="5"/>
  <c r="GA1134" i="5"/>
  <c r="GB1134" i="5"/>
  <c r="GC1134" i="5"/>
  <c r="FW1133" i="5"/>
  <c r="FX1133" i="5"/>
  <c r="FY1133" i="5"/>
  <c r="FZ1133" i="5"/>
  <c r="GA1133" i="5"/>
  <c r="GB1133" i="5"/>
  <c r="GC1154" i="5" l="1"/>
  <c r="GE1154" i="5"/>
  <c r="GE1156" i="5" s="1"/>
  <c r="GD1154" i="5"/>
  <c r="FZ1132" i="5"/>
  <c r="GA1132" i="5"/>
  <c r="GD1156" i="5"/>
  <c r="FX1154" i="5"/>
  <c r="FX1156" i="5" s="1"/>
  <c r="FW1154" i="5"/>
  <c r="FW1156" i="5" s="1"/>
  <c r="GF1154" i="5"/>
  <c r="GF1156" i="5" s="1"/>
  <c r="GF1142" i="5"/>
  <c r="GE1142" i="5"/>
  <c r="GB1142" i="5"/>
  <c r="GD1142" i="5"/>
  <c r="GF1132" i="5"/>
  <c r="GE1132" i="5"/>
  <c r="GD1132" i="5"/>
  <c r="GC1156" i="5"/>
  <c r="FY1132" i="5"/>
  <c r="GH1132" i="5"/>
  <c r="FX1132" i="5"/>
  <c r="GG1132" i="5"/>
  <c r="FW1132" i="5"/>
  <c r="GB1154" i="5"/>
  <c r="GB1156" i="5" s="1"/>
  <c r="GA1154" i="5"/>
  <c r="GA1156" i="5" s="1"/>
  <c r="FZ1154" i="5"/>
  <c r="FZ1156" i="5" s="1"/>
  <c r="GH1154" i="5"/>
  <c r="GH1156" i="5" s="1"/>
  <c r="GH1142" i="5"/>
  <c r="FY1154" i="5"/>
  <c r="FY1156" i="5" s="1"/>
  <c r="GG1154" i="5"/>
  <c r="GG1156" i="5" s="1"/>
  <c r="GG1142" i="5"/>
  <c r="GB1132" i="5"/>
  <c r="GC1142" i="5"/>
  <c r="GA1142" i="5"/>
  <c r="FZ1142" i="5"/>
  <c r="FY1142" i="5"/>
  <c r="FX1142" i="5"/>
  <c r="FW1142" i="5"/>
  <c r="H67" i="19"/>
  <c r="L103" i="19"/>
  <c r="L98" i="19"/>
  <c r="L97" i="19"/>
  <c r="L96" i="19"/>
  <c r="L93" i="19"/>
  <c r="L81" i="19"/>
  <c r="L80" i="19"/>
  <c r="L79" i="19"/>
  <c r="L78" i="19"/>
  <c r="L77" i="19"/>
  <c r="L76" i="19"/>
  <c r="L63" i="19"/>
  <c r="L54" i="19"/>
  <c r="L52" i="19"/>
  <c r="L47" i="19"/>
  <c r="L41" i="19"/>
  <c r="L40" i="19"/>
  <c r="L31" i="19"/>
  <c r="L30" i="19"/>
  <c r="L29" i="19"/>
  <c r="L26" i="19"/>
  <c r="M65" i="19"/>
  <c r="M66" i="19" s="1"/>
  <c r="J65" i="19"/>
  <c r="J66" i="19" s="1"/>
  <c r="J68" i="19" s="1"/>
  <c r="L68" i="19" s="1"/>
  <c r="J67" i="19" l="1"/>
  <c r="M67" i="19"/>
  <c r="H59" i="19"/>
  <c r="H58" i="19"/>
  <c r="M59" i="19"/>
  <c r="J59" i="19"/>
  <c r="M58" i="19"/>
  <c r="J58" i="19"/>
  <c r="BE78" i="19" l="1"/>
  <c r="AW78" i="19"/>
  <c r="AZ78" i="19"/>
  <c r="AZ79" i="19"/>
  <c r="AR78" i="19"/>
  <c r="AR79" i="19"/>
  <c r="AO78" i="19"/>
  <c r="AJ78" i="19"/>
  <c r="AJ79" i="19"/>
  <c r="AG78" i="19"/>
  <c r="AB78" i="19"/>
  <c r="AB79" i="19"/>
  <c r="T78" i="19"/>
  <c r="T79" i="19"/>
  <c r="Y78" i="19"/>
  <c r="Q78" i="19"/>
  <c r="Q79" i="19"/>
  <c r="I78" i="19"/>
  <c r="I79" i="19"/>
  <c r="AY67" i="19" l="1"/>
  <c r="AZ67" i="19" s="1"/>
  <c r="AB67" i="19"/>
  <c r="AZ66" i="19"/>
  <c r="AR66" i="19"/>
  <c r="AJ66" i="19"/>
  <c r="AB66" i="19"/>
  <c r="T67" i="19"/>
  <c r="I66" i="19"/>
  <c r="W39" i="19"/>
  <c r="BE105" i="19" l="1"/>
  <c r="AW105" i="19"/>
  <c r="BE75" i="19"/>
  <c r="AW75" i="19"/>
  <c r="AJ77" i="19"/>
  <c r="AJ80" i="19"/>
  <c r="AJ105" i="19"/>
  <c r="AJ75" i="19"/>
  <c r="T39" i="19"/>
  <c r="T40" i="19"/>
  <c r="AO26" i="19"/>
  <c r="AW26" i="19"/>
  <c r="BE26" i="19"/>
  <c r="AO1114" i="2"/>
  <c r="BC46" i="19" s="1"/>
  <c r="AN1114" i="2"/>
  <c r="AU46" i="19" s="1"/>
  <c r="AM1114" i="2"/>
  <c r="AM46" i="19" s="1"/>
  <c r="AO1113" i="2"/>
  <c r="BC45" i="19" s="1"/>
  <c r="AN1113" i="2"/>
  <c r="AU45" i="19" s="1"/>
  <c r="AM1113" i="2"/>
  <c r="AM45" i="19" s="1"/>
  <c r="AO1112" i="2"/>
  <c r="BC44" i="19" s="1"/>
  <c r="AN1112" i="2"/>
  <c r="AU44" i="19" s="1"/>
  <c r="AM44" i="19"/>
  <c r="AP30" i="19"/>
  <c r="BE47" i="19"/>
  <c r="BE52" i="19"/>
  <c r="AW47" i="19"/>
  <c r="AO47" i="19"/>
  <c r="AO54" i="19"/>
  <c r="AJ43" i="19"/>
  <c r="AJ44" i="19"/>
  <c r="AJ45" i="19"/>
  <c r="AJ46" i="19"/>
  <c r="AJ47" i="19"/>
  <c r="AJ48" i="19"/>
  <c r="AJ49" i="19"/>
  <c r="AJ50" i="19"/>
  <c r="AJ51" i="19"/>
  <c r="AJ52" i="19"/>
  <c r="AJ53" i="19"/>
  <c r="AJ54" i="19"/>
  <c r="AB105" i="19"/>
  <c r="AB77" i="19"/>
  <c r="AB80" i="19"/>
  <c r="AB75" i="19"/>
  <c r="Y39" i="19"/>
  <c r="AG39" i="19"/>
  <c r="AG26" i="19"/>
  <c r="Y26" i="19"/>
  <c r="T105" i="19"/>
  <c r="T106" i="19"/>
  <c r="T75" i="19"/>
  <c r="T76" i="19"/>
  <c r="T77" i="19"/>
  <c r="I105" i="19"/>
  <c r="I75" i="19"/>
  <c r="I76" i="19"/>
  <c r="I77" i="19"/>
  <c r="I80" i="19"/>
  <c r="I81" i="19"/>
  <c r="O105" i="19"/>
  <c r="I40" i="19"/>
  <c r="R40" i="19" s="1"/>
  <c r="H39" i="19"/>
  <c r="Q26" i="19"/>
  <c r="AG47" i="19"/>
  <c r="AG52" i="19"/>
  <c r="AE116" i="19" s="1"/>
  <c r="AG54" i="19"/>
  <c r="AB44" i="19"/>
  <c r="AB45" i="19"/>
  <c r="AB46" i="19"/>
  <c r="AB47" i="19"/>
  <c r="AB48" i="19"/>
  <c r="AB49" i="19"/>
  <c r="AB50" i="19"/>
  <c r="AB51" i="19"/>
  <c r="AB52" i="19"/>
  <c r="AB53" i="19"/>
  <c r="AB54" i="19"/>
  <c r="Q47" i="19"/>
  <c r="Q52" i="19"/>
  <c r="Q54" i="19"/>
  <c r="Y47" i="19"/>
  <c r="Y52" i="19"/>
  <c r="W116" i="19" s="1"/>
  <c r="Y54" i="19"/>
  <c r="T44" i="19"/>
  <c r="T45" i="19"/>
  <c r="T46" i="19"/>
  <c r="T47" i="19"/>
  <c r="T48" i="19"/>
  <c r="T49" i="19"/>
  <c r="T50" i="19"/>
  <c r="T51" i="19"/>
  <c r="T52" i="19"/>
  <c r="T53" i="19"/>
  <c r="T54" i="19"/>
  <c r="I43" i="19"/>
  <c r="I44" i="19"/>
  <c r="I45" i="19"/>
  <c r="I46" i="19"/>
  <c r="I47" i="19"/>
  <c r="I48" i="19"/>
  <c r="I49" i="19"/>
  <c r="I50" i="19"/>
  <c r="I51" i="19"/>
  <c r="I52" i="19"/>
  <c r="I53" i="19"/>
  <c r="I54" i="19"/>
  <c r="AZ108" i="19"/>
  <c r="AZ106" i="19"/>
  <c r="AZ105" i="19"/>
  <c r="AZ104" i="19"/>
  <c r="AZ103" i="19"/>
  <c r="AZ101" i="19"/>
  <c r="AZ100" i="19"/>
  <c r="AZ99" i="19"/>
  <c r="AZ98" i="19"/>
  <c r="AZ97" i="19"/>
  <c r="AZ96" i="19"/>
  <c r="AZ95" i="19"/>
  <c r="AZ94" i="19"/>
  <c r="AZ93" i="19"/>
  <c r="AZ92" i="19"/>
  <c r="AZ91" i="19"/>
  <c r="AZ90" i="19"/>
  <c r="AZ89" i="19"/>
  <c r="AZ88" i="19"/>
  <c r="AZ87" i="19"/>
  <c r="AZ86" i="19"/>
  <c r="AZ85" i="19"/>
  <c r="AZ84" i="19"/>
  <c r="AZ83" i="19"/>
  <c r="AZ82" i="19"/>
  <c r="AZ81" i="19"/>
  <c r="AZ80" i="19"/>
  <c r="AZ77" i="19"/>
  <c r="AZ76" i="19"/>
  <c r="AZ75" i="19"/>
  <c r="AZ74" i="19"/>
  <c r="AZ73" i="19"/>
  <c r="AZ72" i="19"/>
  <c r="AZ71" i="19"/>
  <c r="AZ70" i="19"/>
  <c r="AZ69" i="19"/>
  <c r="AZ65" i="19"/>
  <c r="AZ63" i="19"/>
  <c r="AZ62" i="19"/>
  <c r="AZ61" i="19"/>
  <c r="AZ60" i="19"/>
  <c r="AZ59" i="19"/>
  <c r="AZ58" i="19"/>
  <c r="AZ56" i="19"/>
  <c r="AZ55" i="19"/>
  <c r="AZ54" i="19"/>
  <c r="AZ53" i="19"/>
  <c r="AZ52" i="19"/>
  <c r="AZ51" i="19"/>
  <c r="AZ50" i="19"/>
  <c r="AZ49" i="19"/>
  <c r="AZ48" i="19"/>
  <c r="AZ47" i="19"/>
  <c r="AZ46" i="19"/>
  <c r="AZ45" i="19"/>
  <c r="AZ44" i="19"/>
  <c r="AZ43" i="19"/>
  <c r="AZ42" i="19"/>
  <c r="AZ41" i="19"/>
  <c r="AZ38" i="19"/>
  <c r="AZ37" i="19"/>
  <c r="AZ36" i="19"/>
  <c r="AZ33" i="19"/>
  <c r="AZ32" i="19"/>
  <c r="AZ31" i="19"/>
  <c r="AZ30" i="19"/>
  <c r="AZ29" i="19"/>
  <c r="AZ28" i="19"/>
  <c r="AZ27" i="19"/>
  <c r="AZ26" i="19"/>
  <c r="AZ25" i="19"/>
  <c r="AZ24" i="19"/>
  <c r="AZ23" i="19"/>
  <c r="AZ22" i="19"/>
  <c r="AZ21" i="19"/>
  <c r="AZ20" i="19"/>
  <c r="AZ19" i="19"/>
  <c r="AZ18" i="19"/>
  <c r="AZ17" i="19"/>
  <c r="AZ16" i="19"/>
  <c r="AZ15" i="19"/>
  <c r="AZ14" i="19"/>
  <c r="AZ13" i="19"/>
  <c r="AZ12" i="19"/>
  <c r="AZ11" i="19"/>
  <c r="AZ10" i="19"/>
  <c r="AZ9" i="19"/>
  <c r="AZ8" i="19"/>
  <c r="AZ7" i="19"/>
  <c r="AZ6" i="19"/>
  <c r="AZ5" i="19"/>
  <c r="AZ4" i="19"/>
  <c r="AR108" i="19"/>
  <c r="AR106" i="19"/>
  <c r="AR105" i="19"/>
  <c r="AR104" i="19"/>
  <c r="AR103" i="19"/>
  <c r="AR101" i="19"/>
  <c r="AR100" i="19"/>
  <c r="AR99" i="19"/>
  <c r="AR98" i="19"/>
  <c r="AR97" i="19"/>
  <c r="AR96" i="19"/>
  <c r="AR95" i="19"/>
  <c r="AR94" i="19"/>
  <c r="AR93" i="19"/>
  <c r="AR92" i="19"/>
  <c r="AR91" i="19"/>
  <c r="AR90" i="19"/>
  <c r="AR89" i="19"/>
  <c r="AR88" i="19"/>
  <c r="AR87" i="19"/>
  <c r="AR86" i="19"/>
  <c r="AR85" i="19"/>
  <c r="AR84" i="19"/>
  <c r="AR83" i="19"/>
  <c r="AR82" i="19"/>
  <c r="AR81" i="19"/>
  <c r="AR80" i="19"/>
  <c r="AR77" i="19"/>
  <c r="AR76" i="19"/>
  <c r="AR75" i="19"/>
  <c r="AR74" i="19"/>
  <c r="AR73" i="19"/>
  <c r="AR72" i="19"/>
  <c r="AR71" i="19"/>
  <c r="AR70" i="19"/>
  <c r="AR69" i="19"/>
  <c r="AR65" i="19"/>
  <c r="AR63" i="19"/>
  <c r="AR62" i="19"/>
  <c r="AR61" i="19"/>
  <c r="AR60" i="19"/>
  <c r="AR59" i="19"/>
  <c r="AR58" i="19"/>
  <c r="AR56" i="19"/>
  <c r="AR55" i="19"/>
  <c r="AR54" i="19"/>
  <c r="AR53" i="19"/>
  <c r="AR52" i="19"/>
  <c r="AR51" i="19"/>
  <c r="AR50" i="19"/>
  <c r="AR49" i="19"/>
  <c r="AR48" i="19"/>
  <c r="AR47" i="19"/>
  <c r="AR46" i="19"/>
  <c r="AR45" i="19"/>
  <c r="AR44" i="19"/>
  <c r="AR43" i="19"/>
  <c r="AR42" i="19"/>
  <c r="AR41" i="19"/>
  <c r="AR38" i="19"/>
  <c r="AR37" i="19"/>
  <c r="AR36" i="19"/>
  <c r="AR33" i="19"/>
  <c r="AR32" i="19"/>
  <c r="AR31" i="19"/>
  <c r="AR30" i="19"/>
  <c r="AR29" i="19"/>
  <c r="AR28" i="19"/>
  <c r="AR27" i="19"/>
  <c r="AR26" i="19"/>
  <c r="AR25" i="19"/>
  <c r="AR24" i="19"/>
  <c r="AR23" i="19"/>
  <c r="AR22" i="19"/>
  <c r="AR21" i="19"/>
  <c r="AR20" i="19"/>
  <c r="AR19" i="19"/>
  <c r="AR18" i="19"/>
  <c r="AR17" i="19"/>
  <c r="AR16" i="19"/>
  <c r="AR15" i="19"/>
  <c r="AR14" i="19"/>
  <c r="AR13" i="19"/>
  <c r="AR12" i="19"/>
  <c r="AR11" i="19"/>
  <c r="AR10" i="19"/>
  <c r="AR9" i="19"/>
  <c r="AR8" i="19"/>
  <c r="AR7" i="19"/>
  <c r="AR6" i="19"/>
  <c r="AR5" i="19"/>
  <c r="AR4" i="19"/>
  <c r="I65" i="19"/>
  <c r="D1349" i="2"/>
  <c r="D1436" i="2" s="1"/>
  <c r="D1354" i="2"/>
  <c r="D1441" i="2" s="1"/>
  <c r="AM1106" i="2"/>
  <c r="AN1106" i="2"/>
  <c r="IW938" i="5"/>
  <c r="K106" i="19" s="1"/>
  <c r="IW937" i="5"/>
  <c r="K105" i="19" s="1"/>
  <c r="IW936" i="5"/>
  <c r="IX936" i="5" s="1"/>
  <c r="IW935" i="5"/>
  <c r="K104" i="19" s="1"/>
  <c r="IW934" i="5"/>
  <c r="IW933" i="5"/>
  <c r="IW931" i="5"/>
  <c r="IW930" i="5"/>
  <c r="K101" i="19" s="1"/>
  <c r="IW927" i="5"/>
  <c r="IW926" i="5"/>
  <c r="IW925" i="5"/>
  <c r="IX925" i="5" s="1"/>
  <c r="IW924" i="5"/>
  <c r="IW923" i="5"/>
  <c r="IW922" i="5"/>
  <c r="IW921" i="5"/>
  <c r="IX921" i="5" s="1"/>
  <c r="IW919" i="5"/>
  <c r="K94" i="19" s="1"/>
  <c r="IW918" i="5"/>
  <c r="IW917" i="5"/>
  <c r="IW916" i="5"/>
  <c r="IW914" i="5"/>
  <c r="IX914" i="5" s="1"/>
  <c r="IW913" i="5"/>
  <c r="IX913" i="5" s="1"/>
  <c r="IW911" i="5"/>
  <c r="IW908" i="5"/>
  <c r="K90" i="19" s="1"/>
  <c r="IW907" i="5"/>
  <c r="K89" i="19" s="1"/>
  <c r="IW905" i="5"/>
  <c r="IW904" i="5"/>
  <c r="IW902" i="5"/>
  <c r="IW901" i="5"/>
  <c r="IW897" i="5"/>
  <c r="IW896" i="5"/>
  <c r="IW895" i="5"/>
  <c r="IW894" i="5"/>
  <c r="IX894" i="5" s="1"/>
  <c r="IW891" i="5"/>
  <c r="IX891" i="5" s="1"/>
  <c r="IW889" i="5"/>
  <c r="IW888" i="5"/>
  <c r="IW887" i="5"/>
  <c r="IW886" i="5"/>
  <c r="IW885" i="5"/>
  <c r="IW884" i="5"/>
  <c r="IW882" i="5"/>
  <c r="IW881" i="5"/>
  <c r="K75" i="19" s="1"/>
  <c r="IW880" i="5"/>
  <c r="IW879" i="5"/>
  <c r="IW878" i="5"/>
  <c r="IW877" i="5"/>
  <c r="K74" i="19" s="1"/>
  <c r="IW876" i="5"/>
  <c r="K73" i="19" s="1"/>
  <c r="IW875" i="5"/>
  <c r="K72" i="19" s="1"/>
  <c r="IW874" i="5"/>
  <c r="IW873" i="5"/>
  <c r="IW872" i="5"/>
  <c r="IW871" i="5"/>
  <c r="IW869" i="5"/>
  <c r="IW868" i="5"/>
  <c r="IW867" i="5"/>
  <c r="IW866" i="5"/>
  <c r="IW865" i="5"/>
  <c r="IW863" i="5"/>
  <c r="IW862" i="5"/>
  <c r="IW860" i="5"/>
  <c r="IW859" i="5"/>
  <c r="K71" i="19" s="1"/>
  <c r="IW858" i="5"/>
  <c r="IX858" i="5" s="1"/>
  <c r="IW855" i="5"/>
  <c r="IX855" i="5" s="1"/>
  <c r="IW854" i="5"/>
  <c r="IX854" i="5" s="1"/>
  <c r="IW848" i="5"/>
  <c r="IX848" i="5" s="1"/>
  <c r="IW847" i="5"/>
  <c r="IX847" i="5" s="1"/>
  <c r="IW846" i="5"/>
  <c r="IX846" i="5" s="1"/>
  <c r="IW841" i="5"/>
  <c r="IX841" i="5" s="1"/>
  <c r="IW836" i="5"/>
  <c r="IX836" i="5" s="1"/>
  <c r="IW833" i="5"/>
  <c r="IX833" i="5" s="1"/>
  <c r="IW832" i="5"/>
  <c r="IW831" i="5"/>
  <c r="IW830" i="5"/>
  <c r="IW828" i="5"/>
  <c r="IW827" i="5"/>
  <c r="IW826" i="5"/>
  <c r="IW825" i="5"/>
  <c r="IW824" i="5"/>
  <c r="IW823" i="5"/>
  <c r="IW821" i="5"/>
  <c r="IW820" i="5"/>
  <c r="IW819" i="5"/>
  <c r="IW814" i="5"/>
  <c r="IX814" i="5" s="1"/>
  <c r="IW812" i="5"/>
  <c r="IW810" i="5"/>
  <c r="IW809" i="5"/>
  <c r="IW808" i="5"/>
  <c r="IW807" i="5"/>
  <c r="IX807" i="5" s="1"/>
  <c r="IW806" i="5"/>
  <c r="IX806" i="5" s="1"/>
  <c r="IW805" i="5"/>
  <c r="IW804" i="5"/>
  <c r="K53" i="19" s="1"/>
  <c r="IW803" i="5"/>
  <c r="IX803" i="5" s="1"/>
  <c r="IW802" i="5"/>
  <c r="K51" i="19" s="1"/>
  <c r="IW801" i="5"/>
  <c r="K50" i="19" s="1"/>
  <c r="L50" i="19" s="1"/>
  <c r="IW800" i="5"/>
  <c r="K49" i="19" s="1"/>
  <c r="IW799" i="5"/>
  <c r="K48" i="19" s="1"/>
  <c r="IW798" i="5"/>
  <c r="K46" i="19" s="1"/>
  <c r="IW797" i="5"/>
  <c r="K45" i="19" s="1"/>
  <c r="IW796" i="5"/>
  <c r="K44" i="19" s="1"/>
  <c r="IW794" i="5"/>
  <c r="IW793" i="5"/>
  <c r="IW792" i="5"/>
  <c r="K42" i="19" s="1"/>
  <c r="IW791" i="5"/>
  <c r="IW790" i="5"/>
  <c r="IW787" i="5"/>
  <c r="IW782" i="5"/>
  <c r="IW779" i="5"/>
  <c r="IW778" i="5"/>
  <c r="IW777" i="5"/>
  <c r="IW776" i="5"/>
  <c r="IW775" i="5"/>
  <c r="IW774" i="5"/>
  <c r="IW773" i="5"/>
  <c r="IW772" i="5"/>
  <c r="IW771" i="5"/>
  <c r="IW770" i="5"/>
  <c r="IW769" i="5"/>
  <c r="IW768" i="5"/>
  <c r="IW767" i="5"/>
  <c r="IW766" i="5"/>
  <c r="IW765" i="5"/>
  <c r="IW763" i="5"/>
  <c r="IW762" i="5"/>
  <c r="IW761" i="5"/>
  <c r="IW760" i="5"/>
  <c r="IW759" i="5"/>
  <c r="IW758" i="5"/>
  <c r="IW756" i="5"/>
  <c r="IW753" i="5"/>
  <c r="IW752" i="5"/>
  <c r="IW748" i="5"/>
  <c r="IW746" i="5"/>
  <c r="IW745" i="5"/>
  <c r="IW744" i="5"/>
  <c r="K21" i="19" s="1"/>
  <c r="IW742" i="5"/>
  <c r="IW741" i="5"/>
  <c r="IW740" i="5"/>
  <c r="IW738" i="5"/>
  <c r="IW735" i="5"/>
  <c r="IW734" i="5"/>
  <c r="IW729" i="5"/>
  <c r="K17" i="19" s="1"/>
  <c r="IW728" i="5"/>
  <c r="IW727" i="5"/>
  <c r="IW726" i="5"/>
  <c r="IW725" i="5"/>
  <c r="IW720" i="5"/>
  <c r="IW716" i="5"/>
  <c r="IW715" i="5"/>
  <c r="IW714" i="5"/>
  <c r="IW713" i="5"/>
  <c r="IW712" i="5"/>
  <c r="IW711" i="5"/>
  <c r="IW710" i="5"/>
  <c r="IW709" i="5"/>
  <c r="IW708" i="5"/>
  <c r="IW707" i="5"/>
  <c r="IW700" i="5"/>
  <c r="IW699" i="5"/>
  <c r="IW694" i="5"/>
  <c r="IW688" i="5"/>
  <c r="IW687" i="5"/>
  <c r="IW676" i="5"/>
  <c r="IW670" i="5"/>
  <c r="HG929" i="5"/>
  <c r="HG928" i="5" s="1"/>
  <c r="HH929" i="5"/>
  <c r="HH928" i="5" s="1"/>
  <c r="HH920" i="5" s="1"/>
  <c r="HI929" i="5"/>
  <c r="HI928" i="5" s="1"/>
  <c r="HI920" i="5" s="1"/>
  <c r="HJ929" i="5"/>
  <c r="HJ928" i="5" s="1"/>
  <c r="HJ920" i="5" s="1"/>
  <c r="HK929" i="5"/>
  <c r="HK928" i="5" s="1"/>
  <c r="HK920" i="5" s="1"/>
  <c r="HL929" i="5"/>
  <c r="HL928" i="5" s="1"/>
  <c r="HL920" i="5" s="1"/>
  <c r="HF912" i="5"/>
  <c r="HG912" i="5"/>
  <c r="HH912" i="5"/>
  <c r="HH910" i="5" s="1"/>
  <c r="HH909" i="5" s="1"/>
  <c r="HI912" i="5"/>
  <c r="HI910" i="5" s="1"/>
  <c r="HI909" i="5" s="1"/>
  <c r="HJ912" i="5"/>
  <c r="HJ910" i="5" s="1"/>
  <c r="HJ909" i="5" s="1"/>
  <c r="HK912" i="5"/>
  <c r="HK910" i="5" s="1"/>
  <c r="HK909" i="5" s="1"/>
  <c r="HL912" i="5"/>
  <c r="HL910" i="5" s="1"/>
  <c r="HL909" i="5" s="1"/>
  <c r="HG906" i="5"/>
  <c r="HH906" i="5"/>
  <c r="HI906" i="5"/>
  <c r="HJ906" i="5"/>
  <c r="HK906" i="5"/>
  <c r="HL906" i="5"/>
  <c r="HF903" i="5"/>
  <c r="HG903" i="5"/>
  <c r="HH903" i="5"/>
  <c r="HI903" i="5"/>
  <c r="HJ903" i="5"/>
  <c r="HK903" i="5"/>
  <c r="HL903" i="5"/>
  <c r="HG900" i="5"/>
  <c r="HH900" i="5"/>
  <c r="HI900" i="5"/>
  <c r="HJ900" i="5"/>
  <c r="HK900" i="5"/>
  <c r="HL900" i="5"/>
  <c r="HG890" i="5"/>
  <c r="HH890" i="5"/>
  <c r="HI890" i="5"/>
  <c r="HJ890" i="5"/>
  <c r="HK890" i="5"/>
  <c r="HL890" i="5"/>
  <c r="HG870" i="5"/>
  <c r="HH870" i="5"/>
  <c r="HI870" i="5"/>
  <c r="HJ870" i="5"/>
  <c r="HK870" i="5"/>
  <c r="HL870" i="5"/>
  <c r="HG864" i="5"/>
  <c r="HH864" i="5"/>
  <c r="HI864" i="5"/>
  <c r="HJ864" i="5"/>
  <c r="HK864" i="5"/>
  <c r="HL864" i="5"/>
  <c r="HL861" i="5"/>
  <c r="HG861" i="5"/>
  <c r="HH861" i="5"/>
  <c r="HI861" i="5"/>
  <c r="HJ861" i="5"/>
  <c r="HK861" i="5"/>
  <c r="HG857" i="5"/>
  <c r="HH857" i="5"/>
  <c r="HI857" i="5"/>
  <c r="HJ857" i="5"/>
  <c r="HK857" i="5"/>
  <c r="HL857" i="5"/>
  <c r="HG829" i="5"/>
  <c r="HH829" i="5"/>
  <c r="HI829" i="5"/>
  <c r="HJ829" i="5"/>
  <c r="HK829" i="5"/>
  <c r="HL829" i="5"/>
  <c r="HG822" i="5"/>
  <c r="HG1150" i="5" s="1"/>
  <c r="HH822" i="5"/>
  <c r="HH1150" i="5" s="1"/>
  <c r="HI822" i="5"/>
  <c r="HI1150" i="5" s="1"/>
  <c r="HJ822" i="5"/>
  <c r="HJ1150" i="5" s="1"/>
  <c r="HK822" i="5"/>
  <c r="HK1150" i="5" s="1"/>
  <c r="HL822" i="5"/>
  <c r="HL1150" i="5" s="1"/>
  <c r="HG813" i="5"/>
  <c r="HG1148" i="5" s="1"/>
  <c r="HH813" i="5"/>
  <c r="HH1148" i="5" s="1"/>
  <c r="HI813" i="5"/>
  <c r="HJ813" i="5"/>
  <c r="HJ1148" i="5" s="1"/>
  <c r="HK813" i="5"/>
  <c r="HK1148" i="5" s="1"/>
  <c r="HL813" i="5"/>
  <c r="HG811" i="5"/>
  <c r="HH811" i="5"/>
  <c r="HI811" i="5"/>
  <c r="HJ811" i="5"/>
  <c r="HK811" i="5"/>
  <c r="HL811" i="5"/>
  <c r="HG795" i="5"/>
  <c r="HH795" i="5"/>
  <c r="HI795" i="5"/>
  <c r="HJ795" i="5"/>
  <c r="HK795" i="5"/>
  <c r="HL795" i="5"/>
  <c r="HL789" i="5"/>
  <c r="HG789" i="5"/>
  <c r="HH789" i="5"/>
  <c r="HI789" i="5"/>
  <c r="HJ789" i="5"/>
  <c r="HK789" i="5"/>
  <c r="HG788" i="5"/>
  <c r="HG1145" i="5" s="1"/>
  <c r="HH788" i="5"/>
  <c r="HH1145" i="5" s="1"/>
  <c r="HI788" i="5"/>
  <c r="HI1145" i="5" s="1"/>
  <c r="HJ788" i="5"/>
  <c r="HJ1145" i="5" s="1"/>
  <c r="HK788" i="5"/>
  <c r="HK1145" i="5" s="1"/>
  <c r="HL788" i="5"/>
  <c r="HL1145" i="5" s="1"/>
  <c r="HG781" i="5"/>
  <c r="HG1146" i="5" s="1"/>
  <c r="HH781" i="5"/>
  <c r="HH1146" i="5" s="1"/>
  <c r="HI781" i="5"/>
  <c r="HI1146" i="5" s="1"/>
  <c r="HJ781" i="5"/>
  <c r="HJ1146" i="5" s="1"/>
  <c r="HK781" i="5"/>
  <c r="HK1146" i="5" s="1"/>
  <c r="HL781" i="5"/>
  <c r="HL1146" i="5" s="1"/>
  <c r="HG780" i="5"/>
  <c r="HH780" i="5"/>
  <c r="HI780" i="5"/>
  <c r="HJ780" i="5"/>
  <c r="HK780" i="5"/>
  <c r="HL780" i="5"/>
  <c r="HG764" i="5"/>
  <c r="HH764" i="5"/>
  <c r="HI764" i="5"/>
  <c r="HJ764" i="5"/>
  <c r="HK764" i="5"/>
  <c r="HL764" i="5"/>
  <c r="HG757" i="5"/>
  <c r="HG1144" i="5" s="1"/>
  <c r="HH757" i="5"/>
  <c r="HH1144" i="5" s="1"/>
  <c r="HI757" i="5"/>
  <c r="HI1144" i="5" s="1"/>
  <c r="HJ757" i="5"/>
  <c r="HJ1144" i="5" s="1"/>
  <c r="HK757" i="5"/>
  <c r="HK1144" i="5" s="1"/>
  <c r="HL757" i="5"/>
  <c r="HL1144" i="5" s="1"/>
  <c r="HG755" i="5"/>
  <c r="HG1143" i="5" s="1"/>
  <c r="HH755" i="5"/>
  <c r="HH1143" i="5" s="1"/>
  <c r="HI755" i="5"/>
  <c r="HI1143" i="5" s="1"/>
  <c r="HJ755" i="5"/>
  <c r="HJ1143" i="5" s="1"/>
  <c r="HK755" i="5"/>
  <c r="HK1143" i="5" s="1"/>
  <c r="HL755" i="5"/>
  <c r="HL1143" i="5" s="1"/>
  <c r="HG751" i="5"/>
  <c r="HH751" i="5"/>
  <c r="HI751" i="5"/>
  <c r="HJ751" i="5"/>
  <c r="HK751" i="5"/>
  <c r="HL751" i="5"/>
  <c r="HH750" i="5"/>
  <c r="HI750" i="5"/>
  <c r="HJ750" i="5"/>
  <c r="HK750" i="5"/>
  <c r="HL750" i="5"/>
  <c r="HG750" i="5"/>
  <c r="HG747" i="5"/>
  <c r="HH747" i="5"/>
  <c r="HI747" i="5"/>
  <c r="HJ747" i="5"/>
  <c r="HK747" i="5"/>
  <c r="HL747" i="5"/>
  <c r="HG743" i="5"/>
  <c r="HH743" i="5"/>
  <c r="HI743" i="5"/>
  <c r="HJ743" i="5"/>
  <c r="HK743" i="5"/>
  <c r="HL743" i="5"/>
  <c r="HG739" i="5"/>
  <c r="HH739" i="5"/>
  <c r="HI739" i="5"/>
  <c r="HJ739" i="5"/>
  <c r="HK739" i="5"/>
  <c r="HL739" i="5"/>
  <c r="HG737" i="5"/>
  <c r="HH737" i="5"/>
  <c r="HI737" i="5"/>
  <c r="HJ737" i="5"/>
  <c r="HK737" i="5"/>
  <c r="HL737" i="5"/>
  <c r="HG736" i="5"/>
  <c r="HH736" i="5"/>
  <c r="HI736" i="5"/>
  <c r="HJ736" i="5"/>
  <c r="HK736" i="5"/>
  <c r="HL736" i="5"/>
  <c r="HL733" i="5"/>
  <c r="HG733" i="5"/>
  <c r="HH733" i="5"/>
  <c r="HI733" i="5"/>
  <c r="HJ733" i="5"/>
  <c r="HK733" i="5"/>
  <c r="HG732" i="5"/>
  <c r="HH732" i="5"/>
  <c r="HI732" i="5"/>
  <c r="HJ732" i="5"/>
  <c r="HK732" i="5"/>
  <c r="HL732" i="5"/>
  <c r="HG731" i="5"/>
  <c r="HH731" i="5"/>
  <c r="HI731" i="5"/>
  <c r="HJ731" i="5"/>
  <c r="HK731" i="5"/>
  <c r="HL731" i="5"/>
  <c r="HG723" i="5"/>
  <c r="HH723" i="5"/>
  <c r="HH722" i="5" s="1"/>
  <c r="HI723" i="5"/>
  <c r="HJ723" i="5"/>
  <c r="HK723" i="5"/>
  <c r="HL723" i="5"/>
  <c r="HG724" i="5"/>
  <c r="HH724" i="5"/>
  <c r="HI724" i="5"/>
  <c r="HJ724" i="5"/>
  <c r="HK724" i="5"/>
  <c r="HL724" i="5"/>
  <c r="HG721" i="5"/>
  <c r="HH721" i="5"/>
  <c r="HI721" i="5"/>
  <c r="HJ721" i="5"/>
  <c r="HK721" i="5"/>
  <c r="HL721" i="5"/>
  <c r="HG719" i="5"/>
  <c r="HH719" i="5"/>
  <c r="HI719" i="5"/>
  <c r="HJ719" i="5"/>
  <c r="HK719" i="5"/>
  <c r="HL719" i="5"/>
  <c r="HG701" i="5"/>
  <c r="HH701" i="5"/>
  <c r="HI701" i="5"/>
  <c r="HJ701" i="5"/>
  <c r="HK701" i="5"/>
  <c r="HL701" i="5"/>
  <c r="HG702" i="5"/>
  <c r="HH702" i="5"/>
  <c r="HI702" i="5"/>
  <c r="HJ702" i="5"/>
  <c r="HK702" i="5"/>
  <c r="HL702" i="5"/>
  <c r="HG703" i="5"/>
  <c r="HH703" i="5"/>
  <c r="HI703" i="5"/>
  <c r="HJ703" i="5"/>
  <c r="HK703" i="5"/>
  <c r="HL703" i="5"/>
  <c r="HG704" i="5"/>
  <c r="HH704" i="5"/>
  <c r="HI704" i="5"/>
  <c r="HJ704" i="5"/>
  <c r="HK704" i="5"/>
  <c r="HL704" i="5"/>
  <c r="HG705" i="5"/>
  <c r="HH705" i="5"/>
  <c r="HI705" i="5"/>
  <c r="HJ705" i="5"/>
  <c r="HK705" i="5"/>
  <c r="HL705" i="5"/>
  <c r="HG706" i="5"/>
  <c r="HH706" i="5"/>
  <c r="HI706" i="5"/>
  <c r="HJ706" i="5"/>
  <c r="HK706" i="5"/>
  <c r="HL706" i="5"/>
  <c r="HG697" i="5"/>
  <c r="HG1136" i="5" s="1"/>
  <c r="HH697" i="5"/>
  <c r="HH1136" i="5" s="1"/>
  <c r="HI697" i="5"/>
  <c r="HI1136" i="5" s="1"/>
  <c r="HJ697" i="5"/>
  <c r="HJ1136" i="5" s="1"/>
  <c r="HK697" i="5"/>
  <c r="HK1136" i="5" s="1"/>
  <c r="HL697" i="5"/>
  <c r="HL1136" i="5" s="1"/>
  <c r="HG698" i="5"/>
  <c r="HH698" i="5"/>
  <c r="HI698" i="5"/>
  <c r="HJ698" i="5"/>
  <c r="HK698" i="5"/>
  <c r="HL698" i="5"/>
  <c r="HK695" i="5"/>
  <c r="HL695" i="5"/>
  <c r="HG696" i="5"/>
  <c r="HH696" i="5"/>
  <c r="HI696" i="5"/>
  <c r="HJ696" i="5"/>
  <c r="HK696" i="5"/>
  <c r="HL696" i="5"/>
  <c r="HG695" i="5"/>
  <c r="HH695" i="5"/>
  <c r="HI695" i="5"/>
  <c r="HJ695" i="5"/>
  <c r="HG693" i="5"/>
  <c r="HH693" i="5"/>
  <c r="HI693" i="5"/>
  <c r="HJ693" i="5"/>
  <c r="HK693" i="5"/>
  <c r="HL693" i="5"/>
  <c r="HG692" i="5"/>
  <c r="HH692" i="5"/>
  <c r="HI692" i="5"/>
  <c r="HJ692" i="5"/>
  <c r="HK692" i="5"/>
  <c r="HL692" i="5"/>
  <c r="HG690" i="5"/>
  <c r="HH690" i="5"/>
  <c r="HI690" i="5"/>
  <c r="HJ690" i="5"/>
  <c r="HK690" i="5"/>
  <c r="HL690" i="5"/>
  <c r="HG691" i="5"/>
  <c r="HH691" i="5"/>
  <c r="HI691" i="5"/>
  <c r="HJ691" i="5"/>
  <c r="HK691" i="5"/>
  <c r="HL691" i="5"/>
  <c r="HG689" i="5"/>
  <c r="HH689" i="5"/>
  <c r="HI689" i="5"/>
  <c r="HJ689" i="5"/>
  <c r="HK689" i="5"/>
  <c r="HL689" i="5"/>
  <c r="HG686" i="5"/>
  <c r="HH686" i="5"/>
  <c r="HI686" i="5"/>
  <c r="HJ686" i="5"/>
  <c r="HK686" i="5"/>
  <c r="HL686" i="5"/>
  <c r="HG684" i="5"/>
  <c r="HH684" i="5"/>
  <c r="HI684" i="5"/>
  <c r="HJ684" i="5"/>
  <c r="HK684" i="5"/>
  <c r="HL684" i="5"/>
  <c r="HG685" i="5"/>
  <c r="HH685" i="5"/>
  <c r="HI685" i="5"/>
  <c r="HJ685" i="5"/>
  <c r="HK685" i="5"/>
  <c r="HL685" i="5"/>
  <c r="HG683" i="5"/>
  <c r="HH683" i="5"/>
  <c r="HI683" i="5"/>
  <c r="HJ683" i="5"/>
  <c r="HK683" i="5"/>
  <c r="HL683" i="5"/>
  <c r="HG682" i="5"/>
  <c r="HH682" i="5"/>
  <c r="HI682" i="5"/>
  <c r="HJ682" i="5"/>
  <c r="HK682" i="5"/>
  <c r="HL682" i="5"/>
  <c r="HG681" i="5"/>
  <c r="HG1135" i="5" s="1"/>
  <c r="HH681" i="5"/>
  <c r="HH1135" i="5" s="1"/>
  <c r="HI681" i="5"/>
  <c r="HI1135" i="5" s="1"/>
  <c r="HJ681" i="5"/>
  <c r="HJ1135" i="5" s="1"/>
  <c r="HK681" i="5"/>
  <c r="HK1135" i="5" s="1"/>
  <c r="HL681" i="5"/>
  <c r="HL1135" i="5" s="1"/>
  <c r="HG677" i="5"/>
  <c r="HH677" i="5"/>
  <c r="HI677" i="5"/>
  <c r="HJ677" i="5"/>
  <c r="HK677" i="5"/>
  <c r="HL677" i="5"/>
  <c r="HG678" i="5"/>
  <c r="HH678" i="5"/>
  <c r="HI678" i="5"/>
  <c r="HJ678" i="5"/>
  <c r="HK678" i="5"/>
  <c r="HL678" i="5"/>
  <c r="IW678" i="5" s="1"/>
  <c r="HG679" i="5"/>
  <c r="HH679" i="5"/>
  <c r="HI679" i="5"/>
  <c r="HJ679" i="5"/>
  <c r="HK679" i="5"/>
  <c r="HL679" i="5"/>
  <c r="HG680" i="5"/>
  <c r="HH680" i="5"/>
  <c r="HI680" i="5"/>
  <c r="HJ680" i="5"/>
  <c r="HK680" i="5"/>
  <c r="HL680" i="5"/>
  <c r="HG675" i="5"/>
  <c r="HH675" i="5"/>
  <c r="HI675" i="5"/>
  <c r="HJ675" i="5"/>
  <c r="HK675" i="5"/>
  <c r="HL675" i="5"/>
  <c r="HG674" i="5"/>
  <c r="HH674" i="5"/>
  <c r="HI674" i="5"/>
  <c r="HJ674" i="5"/>
  <c r="HK674" i="5"/>
  <c r="HL674" i="5"/>
  <c r="HG673" i="5"/>
  <c r="HH673" i="5"/>
  <c r="HI673" i="5"/>
  <c r="HJ673" i="5"/>
  <c r="HK673" i="5"/>
  <c r="HL673" i="5"/>
  <c r="HG672" i="5"/>
  <c r="HH672" i="5"/>
  <c r="HI672" i="5"/>
  <c r="HJ672" i="5"/>
  <c r="HK672" i="5"/>
  <c r="HL672" i="5"/>
  <c r="HG671" i="5"/>
  <c r="HH671" i="5"/>
  <c r="HI671" i="5"/>
  <c r="HJ671" i="5"/>
  <c r="HK671" i="5"/>
  <c r="HL671" i="5"/>
  <c r="HG669" i="5"/>
  <c r="HH669" i="5"/>
  <c r="HI669" i="5"/>
  <c r="HJ669" i="5"/>
  <c r="HK669" i="5"/>
  <c r="HL669" i="5"/>
  <c r="HG668" i="5"/>
  <c r="HH668" i="5"/>
  <c r="HI668" i="5"/>
  <c r="HJ668" i="5"/>
  <c r="HK668" i="5"/>
  <c r="HL668" i="5"/>
  <c r="HG665" i="5"/>
  <c r="HH665" i="5"/>
  <c r="HI665" i="5"/>
  <c r="HJ665" i="5"/>
  <c r="HK665" i="5"/>
  <c r="HL665" i="5"/>
  <c r="HJ718" i="5" l="1"/>
  <c r="BE45" i="19"/>
  <c r="BE46" i="19"/>
  <c r="AO45" i="19"/>
  <c r="AO44" i="19"/>
  <c r="AO46" i="19"/>
  <c r="HK749" i="5"/>
  <c r="HH1134" i="5"/>
  <c r="IW900" i="5"/>
  <c r="K86" i="19" s="1"/>
  <c r="L86" i="19" s="1"/>
  <c r="IW750" i="5"/>
  <c r="HK899" i="5"/>
  <c r="HK1155" i="5" s="1"/>
  <c r="HK730" i="5"/>
  <c r="HK1137" i="5" s="1"/>
  <c r="HJ899" i="5"/>
  <c r="HJ1155" i="5" s="1"/>
  <c r="HH1139" i="5"/>
  <c r="HI749" i="5"/>
  <c r="HI730" i="5" s="1"/>
  <c r="HI1137" i="5" s="1"/>
  <c r="HK856" i="5"/>
  <c r="HJ749" i="5"/>
  <c r="HJ730" i="5" s="1"/>
  <c r="HJ1137" i="5" s="1"/>
  <c r="HL718" i="5"/>
  <c r="HI856" i="5"/>
  <c r="IW829" i="5"/>
  <c r="K38" i="19"/>
  <c r="K39" i="19"/>
  <c r="IW674" i="5"/>
  <c r="K7" i="19" s="1"/>
  <c r="L7" i="19" s="1"/>
  <c r="IW857" i="5"/>
  <c r="K70" i="19" s="1"/>
  <c r="L90" i="19"/>
  <c r="IW703" i="5"/>
  <c r="HI1139" i="5"/>
  <c r="L42" i="19"/>
  <c r="L75" i="19"/>
  <c r="N105" i="19"/>
  <c r="L105" i="19"/>
  <c r="HL722" i="5"/>
  <c r="IW693" i="5"/>
  <c r="HG1139" i="5"/>
  <c r="HG1147" i="5"/>
  <c r="HG1142" i="5" s="1"/>
  <c r="HH1153" i="5"/>
  <c r="IW906" i="5"/>
  <c r="K88" i="19" s="1"/>
  <c r="IW677" i="5"/>
  <c r="IW702" i="5"/>
  <c r="IW795" i="5"/>
  <c r="K43" i="19" s="1"/>
  <c r="L43" i="19" s="1"/>
  <c r="L51" i="19"/>
  <c r="IW680" i="5"/>
  <c r="IW705" i="5"/>
  <c r="IW701" i="5"/>
  <c r="L101" i="19"/>
  <c r="IW669" i="5"/>
  <c r="IW724" i="5"/>
  <c r="K16" i="19" s="1"/>
  <c r="L73" i="19"/>
  <c r="N74" i="19"/>
  <c r="L74" i="19"/>
  <c r="HK722" i="5"/>
  <c r="IW682" i="5"/>
  <c r="L104" i="19"/>
  <c r="HI722" i="5"/>
  <c r="HJ1147" i="5"/>
  <c r="HJ1142" i="5" s="1"/>
  <c r="L17" i="19"/>
  <c r="L106" i="19"/>
  <c r="IW690" i="5"/>
  <c r="HL1140" i="5"/>
  <c r="IW743" i="5"/>
  <c r="HL1147" i="5"/>
  <c r="IW861" i="5"/>
  <c r="L44" i="19"/>
  <c r="IW912" i="5"/>
  <c r="IW689" i="5"/>
  <c r="IW673" i="5"/>
  <c r="HJ722" i="5"/>
  <c r="IW684" i="5"/>
  <c r="IW723" i="5"/>
  <c r="K15" i="19" s="1"/>
  <c r="HK1140" i="5"/>
  <c r="HL899" i="5"/>
  <c r="HL1155" i="5" s="1"/>
  <c r="HG910" i="5"/>
  <c r="IW910" i="5" s="1"/>
  <c r="K92" i="19" s="1"/>
  <c r="L45" i="19"/>
  <c r="IW870" i="5"/>
  <c r="IW671" i="5"/>
  <c r="IW751" i="5"/>
  <c r="HK1134" i="5"/>
  <c r="IW675" i="5"/>
  <c r="IW686" i="5"/>
  <c r="IW696" i="5"/>
  <c r="IW706" i="5"/>
  <c r="IW736" i="5"/>
  <c r="IW780" i="5"/>
  <c r="K32" i="19" s="1"/>
  <c r="L46" i="19"/>
  <c r="IW698" i="5"/>
  <c r="IW903" i="5"/>
  <c r="K87" i="19" s="1"/>
  <c r="L87" i="19" s="1"/>
  <c r="IW679" i="5"/>
  <c r="IW704" i="5"/>
  <c r="L89" i="19"/>
  <c r="HJ1134" i="5"/>
  <c r="HI1140" i="5"/>
  <c r="IW864" i="5"/>
  <c r="L48" i="19"/>
  <c r="L94" i="19"/>
  <c r="L21" i="19"/>
  <c r="IW692" i="5"/>
  <c r="IW747" i="5"/>
  <c r="K22" i="19" s="1"/>
  <c r="L53" i="19"/>
  <c r="IW685" i="5"/>
  <c r="IW732" i="5"/>
  <c r="L72" i="19"/>
  <c r="IW811" i="5"/>
  <c r="K55" i="19" s="1"/>
  <c r="HL749" i="5"/>
  <c r="HL730" i="5" s="1"/>
  <c r="HL1137" i="5" s="1"/>
  <c r="IW691" i="5"/>
  <c r="IW739" i="5"/>
  <c r="IW733" i="5"/>
  <c r="IW695" i="5"/>
  <c r="IW764" i="5"/>
  <c r="K28" i="19" s="1"/>
  <c r="L71" i="19"/>
  <c r="HI1134" i="5"/>
  <c r="IW672" i="5"/>
  <c r="IW683" i="5"/>
  <c r="HH1140" i="5"/>
  <c r="IW731" i="5"/>
  <c r="K19" i="19" s="1"/>
  <c r="IW737" i="5"/>
  <c r="K20" i="19" s="1"/>
  <c r="L49" i="19"/>
  <c r="IW928" i="5"/>
  <c r="K99" i="19" s="1"/>
  <c r="HG920" i="5"/>
  <c r="IW920" i="5" s="1"/>
  <c r="K95" i="19" s="1"/>
  <c r="HG667" i="5"/>
  <c r="HG1134" i="5"/>
  <c r="HG1140" i="5"/>
  <c r="HH749" i="5"/>
  <c r="HH730" i="5" s="1"/>
  <c r="HH1137" i="5" s="1"/>
  <c r="HH818" i="5"/>
  <c r="IW697" i="5"/>
  <c r="K9" i="19" s="1"/>
  <c r="L9" i="19" s="1"/>
  <c r="IW757" i="5"/>
  <c r="K27" i="19" s="1"/>
  <c r="HI754" i="5"/>
  <c r="HI1148" i="5"/>
  <c r="HG818" i="5"/>
  <c r="HJ856" i="5"/>
  <c r="IW822" i="5"/>
  <c r="K62" i="19" s="1"/>
  <c r="L62" i="19" s="1"/>
  <c r="HK1147" i="5"/>
  <c r="HK1142" i="5" s="1"/>
  <c r="HJ754" i="5"/>
  <c r="HI1147" i="5"/>
  <c r="IW719" i="5"/>
  <c r="K12" i="19" s="1"/>
  <c r="HG754" i="5"/>
  <c r="HH754" i="5"/>
  <c r="HH1147" i="5"/>
  <c r="HH1142" i="5" s="1"/>
  <c r="HL1153" i="5"/>
  <c r="HL667" i="5"/>
  <c r="HL1134" i="5"/>
  <c r="IW781" i="5"/>
  <c r="K33" i="19" s="1"/>
  <c r="HK1153" i="5"/>
  <c r="IW721" i="5"/>
  <c r="K13" i="19" s="1"/>
  <c r="HJ1153" i="5"/>
  <c r="HI718" i="5"/>
  <c r="HG722" i="5"/>
  <c r="HI1153" i="5"/>
  <c r="HH718" i="5"/>
  <c r="HH717" i="5" s="1"/>
  <c r="HH1138" i="5" s="1"/>
  <c r="IW788" i="5"/>
  <c r="K36" i="19" s="1"/>
  <c r="HG718" i="5"/>
  <c r="HG749" i="5"/>
  <c r="IW789" i="5"/>
  <c r="K37" i="19" s="1"/>
  <c r="L37" i="19" s="1"/>
  <c r="HL1139" i="5"/>
  <c r="HK718" i="5"/>
  <c r="IW681" i="5"/>
  <c r="K8" i="19" s="1"/>
  <c r="L8" i="19" s="1"/>
  <c r="HK1139" i="5"/>
  <c r="HJ1139" i="5"/>
  <c r="IW668" i="5"/>
  <c r="K6" i="19" s="1"/>
  <c r="L6" i="19" s="1"/>
  <c r="IW813" i="5"/>
  <c r="K56" i="19" s="1"/>
  <c r="L56" i="19" s="1"/>
  <c r="HI899" i="5"/>
  <c r="HI1155" i="5" s="1"/>
  <c r="HL818" i="5"/>
  <c r="HL856" i="5"/>
  <c r="HH899" i="5"/>
  <c r="HH1155" i="5" s="1"/>
  <c r="IW929" i="5"/>
  <c r="K100" i="19" s="1"/>
  <c r="HJ1140" i="5"/>
  <c r="HK818" i="5"/>
  <c r="HG899" i="5"/>
  <c r="IW890" i="5"/>
  <c r="HL754" i="5"/>
  <c r="HL1148" i="5"/>
  <c r="HJ818" i="5"/>
  <c r="IW755" i="5"/>
  <c r="K25" i="19" s="1"/>
  <c r="HI818" i="5"/>
  <c r="I39" i="19"/>
  <c r="I67" i="19"/>
  <c r="AW46" i="19"/>
  <c r="AW45" i="19"/>
  <c r="AW44" i="19"/>
  <c r="AW52" i="19"/>
  <c r="AU116" i="19" s="1"/>
  <c r="BE44" i="19"/>
  <c r="AW54" i="19"/>
  <c r="AO52" i="19"/>
  <c r="AM116" i="19" s="1"/>
  <c r="BE54" i="19"/>
  <c r="Q105" i="19"/>
  <c r="HH856" i="5"/>
  <c r="HG856" i="5"/>
  <c r="HK754" i="5"/>
  <c r="HK667" i="5"/>
  <c r="HJ667" i="5"/>
  <c r="HI667" i="5"/>
  <c r="HH667" i="5"/>
  <c r="HJ717" i="5" l="1"/>
  <c r="HJ1138" i="5" s="1"/>
  <c r="HK717" i="5"/>
  <c r="HK1138" i="5" s="1"/>
  <c r="HJ898" i="5"/>
  <c r="HJ893" i="5" s="1"/>
  <c r="HJ892" i="5" s="1"/>
  <c r="HI717" i="5"/>
  <c r="HI1138" i="5" s="1"/>
  <c r="HL898" i="5"/>
  <c r="HL893" i="5" s="1"/>
  <c r="HL892" i="5" s="1"/>
  <c r="HK898" i="5"/>
  <c r="HK893" i="5" s="1"/>
  <c r="HK892" i="5" s="1"/>
  <c r="HG909" i="5"/>
  <c r="IW909" i="5" s="1"/>
  <c r="K91" i="19" s="1"/>
  <c r="L91" i="19" s="1"/>
  <c r="HG1153" i="5"/>
  <c r="IW749" i="5"/>
  <c r="K23" i="19" s="1"/>
  <c r="L23" i="19" s="1"/>
  <c r="HI1142" i="5"/>
  <c r="HL717" i="5"/>
  <c r="HL1138" i="5" s="1"/>
  <c r="HK1154" i="5"/>
  <c r="HK1156" i="5" s="1"/>
  <c r="HL1142" i="5"/>
  <c r="L19" i="19"/>
  <c r="HJ1154" i="5"/>
  <c r="HJ1156" i="5" s="1"/>
  <c r="L99" i="19"/>
  <c r="L32" i="19"/>
  <c r="L36" i="19"/>
  <c r="HL1154" i="5"/>
  <c r="HL1156" i="5" s="1"/>
  <c r="IW722" i="5"/>
  <c r="K14" i="19" s="1"/>
  <c r="L28" i="19"/>
  <c r="L70" i="19"/>
  <c r="L16" i="19"/>
  <c r="L27" i="19"/>
  <c r="L12" i="19"/>
  <c r="L22" i="19"/>
  <c r="L55" i="19"/>
  <c r="L92" i="19"/>
  <c r="L39" i="19"/>
  <c r="L100" i="19"/>
  <c r="L13" i="19"/>
  <c r="L25" i="19"/>
  <c r="L38" i="19"/>
  <c r="L15" i="19"/>
  <c r="L20" i="19"/>
  <c r="L33" i="19"/>
  <c r="HG730" i="5"/>
  <c r="HG816" i="5" s="1"/>
  <c r="L95" i="19"/>
  <c r="N88" i="19"/>
  <c r="L88" i="19"/>
  <c r="HH898" i="5"/>
  <c r="HH893" i="5" s="1"/>
  <c r="HH892" i="5" s="1"/>
  <c r="HH1154" i="5" s="1"/>
  <c r="HH1156" i="5" s="1"/>
  <c r="HL817" i="5"/>
  <c r="HL1151" i="5"/>
  <c r="HL1149" i="5" s="1"/>
  <c r="HG817" i="5"/>
  <c r="HG1151" i="5"/>
  <c r="HG1149" i="5" s="1"/>
  <c r="HG1141" i="5" s="1"/>
  <c r="IW818" i="5"/>
  <c r="K61" i="19" s="1"/>
  <c r="HI898" i="5"/>
  <c r="HI893" i="5" s="1"/>
  <c r="HI892" i="5" s="1"/>
  <c r="HI1154" i="5" s="1"/>
  <c r="HI1156" i="5" s="1"/>
  <c r="HH1133" i="5"/>
  <c r="HH1132" i="5" s="1"/>
  <c r="HH816" i="5"/>
  <c r="HI666" i="5"/>
  <c r="HI1133" i="5"/>
  <c r="HI1132" i="5" s="1"/>
  <c r="HI816" i="5"/>
  <c r="HI817" i="5"/>
  <c r="HI1151" i="5"/>
  <c r="HI1149" i="5" s="1"/>
  <c r="IW856" i="5"/>
  <c r="K69" i="19" s="1"/>
  <c r="HJ666" i="5"/>
  <c r="HJ1133" i="5"/>
  <c r="HJ1132" i="5" s="1"/>
  <c r="HJ816" i="5"/>
  <c r="HH817" i="5"/>
  <c r="HH1151" i="5"/>
  <c r="HH1149" i="5" s="1"/>
  <c r="HH1141" i="5" s="1"/>
  <c r="HK666" i="5"/>
  <c r="HK1133" i="5"/>
  <c r="HK1132" i="5" s="1"/>
  <c r="HK816" i="5"/>
  <c r="HJ817" i="5"/>
  <c r="HJ1151" i="5"/>
  <c r="HJ1149" i="5" s="1"/>
  <c r="HJ1141" i="5" s="1"/>
  <c r="HG1133" i="5"/>
  <c r="IW667" i="5"/>
  <c r="K5" i="19" s="1"/>
  <c r="HG898" i="5"/>
  <c r="HG1155" i="5"/>
  <c r="IW899" i="5"/>
  <c r="K85" i="19" s="1"/>
  <c r="L85" i="19" s="1"/>
  <c r="HL1133" i="5"/>
  <c r="HL1132" i="5" s="1"/>
  <c r="HL816" i="5"/>
  <c r="HK817" i="5"/>
  <c r="HK1151" i="5"/>
  <c r="HK1149" i="5" s="1"/>
  <c r="HK1141" i="5" s="1"/>
  <c r="IW718" i="5"/>
  <c r="K11" i="19" s="1"/>
  <c r="L11" i="19" s="1"/>
  <c r="HG717" i="5"/>
  <c r="IW754" i="5"/>
  <c r="K24" i="19" s="1"/>
  <c r="HH666" i="5"/>
  <c r="HI1141" i="5" l="1"/>
  <c r="HL666" i="5"/>
  <c r="HL815" i="5" s="1"/>
  <c r="HL834" i="5" s="1"/>
  <c r="HL941" i="5" s="1"/>
  <c r="HG666" i="5"/>
  <c r="HL1141" i="5"/>
  <c r="HL1157" i="5" s="1"/>
  <c r="HL835" i="5"/>
  <c r="HJ835" i="5"/>
  <c r="IW816" i="5"/>
  <c r="HH1157" i="5"/>
  <c r="IW730" i="5"/>
  <c r="K18" i="19" s="1"/>
  <c r="L18" i="19" s="1"/>
  <c r="HG1137" i="5"/>
  <c r="L14" i="19"/>
  <c r="L24" i="19"/>
  <c r="HG1132" i="5"/>
  <c r="L69" i="19"/>
  <c r="HI1157" i="5"/>
  <c r="L61" i="19"/>
  <c r="L5" i="19"/>
  <c r="K59" i="19"/>
  <c r="L59" i="19" s="1"/>
  <c r="HG815" i="5"/>
  <c r="HG842" i="5"/>
  <c r="HK1157" i="5"/>
  <c r="HH815" i="5"/>
  <c r="HH834" i="5" s="1"/>
  <c r="HH941" i="5" s="1"/>
  <c r="HH842" i="5"/>
  <c r="HI815" i="5"/>
  <c r="HI834" i="5" s="1"/>
  <c r="HI941" i="5" s="1"/>
  <c r="HI842" i="5"/>
  <c r="HK815" i="5"/>
  <c r="HK834" i="5" s="1"/>
  <c r="HK941" i="5" s="1"/>
  <c r="HK842" i="5"/>
  <c r="IW898" i="5"/>
  <c r="K84" i="19" s="1"/>
  <c r="L84" i="19" s="1"/>
  <c r="HG893" i="5"/>
  <c r="HI835" i="5"/>
  <c r="HK835" i="5"/>
  <c r="HG1138" i="5"/>
  <c r="IW717" i="5"/>
  <c r="K10" i="19" s="1"/>
  <c r="L10" i="19" s="1"/>
  <c r="HH835" i="5"/>
  <c r="HG835" i="5"/>
  <c r="IW817" i="5"/>
  <c r="K60" i="19" s="1"/>
  <c r="HJ1157" i="5"/>
  <c r="HJ815" i="5"/>
  <c r="HJ834" i="5" s="1"/>
  <c r="HJ941" i="5" s="1"/>
  <c r="HJ842" i="5"/>
  <c r="HL842" i="5" l="1"/>
  <c r="IW835" i="5"/>
  <c r="L60" i="19"/>
  <c r="HG892" i="5"/>
  <c r="IW893" i="5"/>
  <c r="K83" i="19" s="1"/>
  <c r="L83" i="19" s="1"/>
  <c r="IW842" i="5"/>
  <c r="IW815" i="5"/>
  <c r="HG834" i="5"/>
  <c r="AI406" i="2"/>
  <c r="AK406" i="2"/>
  <c r="AE406" i="2"/>
  <c r="IW834" i="5" l="1"/>
  <c r="HG941" i="5"/>
  <c r="IW941" i="5" s="1"/>
  <c r="K108" i="19" s="1"/>
  <c r="L108" i="19" s="1"/>
  <c r="IW853" i="5"/>
  <c r="IW852" i="5"/>
  <c r="IW851" i="5"/>
  <c r="IW850" i="5"/>
  <c r="IW849" i="5"/>
  <c r="IW845" i="5"/>
  <c r="IW844" i="5"/>
  <c r="IW892" i="5"/>
  <c r="K82" i="19" s="1"/>
  <c r="L82" i="19" s="1"/>
  <c r="HG1154" i="5"/>
  <c r="AP1373" i="2"/>
  <c r="AQ1373" i="2"/>
  <c r="AR1373" i="2"/>
  <c r="AS1373" i="2"/>
  <c r="AT1373" i="2"/>
  <c r="AP1291" i="2"/>
  <c r="AQ1291" i="2"/>
  <c r="AR1291" i="2"/>
  <c r="AS1291" i="2"/>
  <c r="AT1291" i="2"/>
  <c r="AP1299" i="2"/>
  <c r="AQ1299" i="2"/>
  <c r="AR1299" i="2"/>
  <c r="AS1299" i="2"/>
  <c r="AT1299" i="2"/>
  <c r="AP1300" i="2"/>
  <c r="AQ1300" i="2"/>
  <c r="AR1300" i="2"/>
  <c r="AS1300" i="2"/>
  <c r="AT1300" i="2"/>
  <c r="AP1302" i="2"/>
  <c r="AQ1302" i="2"/>
  <c r="AR1302" i="2"/>
  <c r="AS1302" i="2"/>
  <c r="AT1302" i="2"/>
  <c r="AP1316" i="2"/>
  <c r="AQ1316" i="2"/>
  <c r="AR1316" i="2"/>
  <c r="AS1316" i="2"/>
  <c r="AT1316" i="2"/>
  <c r="AP1318" i="2"/>
  <c r="AQ1318" i="2"/>
  <c r="AR1318" i="2"/>
  <c r="AS1318" i="2"/>
  <c r="AT1318" i="2"/>
  <c r="AP1319" i="2"/>
  <c r="AQ1319" i="2"/>
  <c r="AR1319" i="2"/>
  <c r="AS1319" i="2"/>
  <c r="AT1319" i="2"/>
  <c r="AP1320" i="2"/>
  <c r="AQ1320" i="2"/>
  <c r="AR1320" i="2"/>
  <c r="AS1320" i="2"/>
  <c r="AT1320" i="2"/>
  <c r="AP1323" i="2"/>
  <c r="AQ1323" i="2"/>
  <c r="AR1323" i="2"/>
  <c r="AS1323" i="2"/>
  <c r="AT1323" i="2"/>
  <c r="AP1332" i="2"/>
  <c r="AQ1332" i="2"/>
  <c r="AR1332" i="2"/>
  <c r="AS1332" i="2"/>
  <c r="AT1332" i="2"/>
  <c r="AP1333" i="2"/>
  <c r="AQ1333" i="2"/>
  <c r="AR1333" i="2"/>
  <c r="AS1333" i="2"/>
  <c r="AT1333" i="2"/>
  <c r="AP1335" i="2"/>
  <c r="AQ1335" i="2"/>
  <c r="AR1335" i="2"/>
  <c r="AS1335" i="2"/>
  <c r="AT1335" i="2"/>
  <c r="AP1359" i="2"/>
  <c r="AQ1359" i="2"/>
  <c r="AR1359" i="2"/>
  <c r="AS1359" i="2"/>
  <c r="AT1359" i="2"/>
  <c r="AQ1370" i="2"/>
  <c r="AQ1457" i="2" s="1"/>
  <c r="AR1370" i="2"/>
  <c r="AR1457" i="2" s="1"/>
  <c r="AS1370" i="2"/>
  <c r="AS1457" i="2" s="1"/>
  <c r="AT1370" i="2"/>
  <c r="AT1457" i="2" s="1"/>
  <c r="AQ1260" i="2"/>
  <c r="AR1260" i="2"/>
  <c r="AS1260" i="2"/>
  <c r="AT1260" i="2"/>
  <c r="AQ1259" i="2"/>
  <c r="AR1259" i="2"/>
  <c r="AS1259" i="2"/>
  <c r="AT1259" i="2"/>
  <c r="AQ1258" i="2"/>
  <c r="AQ1366" i="2" s="1"/>
  <c r="AR1258" i="2"/>
  <c r="AR1366" i="2" s="1"/>
  <c r="AS1258" i="2"/>
  <c r="AS1366" i="2" s="1"/>
  <c r="AT1258" i="2"/>
  <c r="AT1366" i="2" s="1"/>
  <c r="AQ1256" i="2"/>
  <c r="AR1256" i="2"/>
  <c r="AS1256" i="2"/>
  <c r="AT1256" i="2"/>
  <c r="AQ1255" i="2"/>
  <c r="AR1255" i="2"/>
  <c r="AS1255" i="2"/>
  <c r="AT1255" i="2"/>
  <c r="AT1365" i="2" s="1"/>
  <c r="AQ1253" i="2"/>
  <c r="AQ1364" i="2" s="1"/>
  <c r="AR1253" i="2"/>
  <c r="AS1253" i="2"/>
  <c r="AS1249" i="2" s="1"/>
  <c r="AT1253" i="2"/>
  <c r="AT1249" i="2" s="1"/>
  <c r="AQ1252" i="2"/>
  <c r="AR1252" i="2"/>
  <c r="AS1252" i="2"/>
  <c r="AT1252" i="2"/>
  <c r="AQ1251" i="2"/>
  <c r="AR1251" i="2"/>
  <c r="AS1251" i="2"/>
  <c r="AT1251" i="2"/>
  <c r="AQ1250" i="2"/>
  <c r="AR1250" i="2"/>
  <c r="AS1250" i="2"/>
  <c r="AT1250" i="2"/>
  <c r="AP1246" i="2"/>
  <c r="AP1245" i="2" s="1"/>
  <c r="AP1241" i="2" s="1"/>
  <c r="AQ1246" i="2"/>
  <c r="AQ1245" i="2" s="1"/>
  <c r="AQ1241" i="2" s="1"/>
  <c r="AR1246" i="2"/>
  <c r="AR1245" i="2" s="1"/>
  <c r="AR1241" i="2" s="1"/>
  <c r="AS1246" i="2"/>
  <c r="AS1245" i="2" s="1"/>
  <c r="AS1241" i="2" s="1"/>
  <c r="AT1246" i="2"/>
  <c r="AT1245" i="2" s="1"/>
  <c r="AT1241" i="2" s="1"/>
  <c r="AO1242" i="2"/>
  <c r="AP1242" i="2"/>
  <c r="AQ1242" i="2"/>
  <c r="AR1242" i="2"/>
  <c r="AS1242" i="2"/>
  <c r="AT1242" i="2"/>
  <c r="AP1238" i="2"/>
  <c r="AQ1238" i="2"/>
  <c r="AR1238" i="2"/>
  <c r="AS1238" i="2"/>
  <c r="AT1238" i="2"/>
  <c r="AS1231" i="2"/>
  <c r="AT1231" i="2"/>
  <c r="AP1195" i="2"/>
  <c r="AQ1195" i="2"/>
  <c r="AR1195" i="2"/>
  <c r="AS1195" i="2"/>
  <c r="AT1195" i="2"/>
  <c r="AP1142" i="2"/>
  <c r="AQ1142" i="2"/>
  <c r="AR1142" i="2"/>
  <c r="AS1142" i="2"/>
  <c r="AT1142" i="2"/>
  <c r="AP1137" i="2"/>
  <c r="AQ1137" i="2"/>
  <c r="AR1137" i="2"/>
  <c r="AS1137" i="2"/>
  <c r="AT1137" i="2"/>
  <c r="AP1128" i="2"/>
  <c r="AQ1128" i="2"/>
  <c r="AR1128" i="2"/>
  <c r="AS1128" i="2"/>
  <c r="AT1128" i="2"/>
  <c r="AP1114" i="2"/>
  <c r="AQ1114" i="2"/>
  <c r="AR1114" i="2"/>
  <c r="AS1114" i="2"/>
  <c r="AT1114" i="2"/>
  <c r="AP1113" i="2"/>
  <c r="AQ1113" i="2"/>
  <c r="AR1113" i="2"/>
  <c r="AS1113" i="2"/>
  <c r="AT1113" i="2"/>
  <c r="AP1112" i="2"/>
  <c r="AQ1112" i="2"/>
  <c r="AR1112" i="2"/>
  <c r="AS1112" i="2"/>
  <c r="AT1112" i="2"/>
  <c r="AP1110" i="2"/>
  <c r="AQ1110" i="2"/>
  <c r="AR1110" i="2"/>
  <c r="AS1110" i="2"/>
  <c r="AT1110" i="2"/>
  <c r="AP1108" i="2"/>
  <c r="AQ1108" i="2"/>
  <c r="AR1108" i="2"/>
  <c r="AS1108" i="2"/>
  <c r="AT1108" i="2"/>
  <c r="AQ1104" i="2"/>
  <c r="AR1104" i="2"/>
  <c r="AS1104" i="2"/>
  <c r="AT1104" i="2"/>
  <c r="AQ1102" i="2"/>
  <c r="AR1102" i="2"/>
  <c r="AS1102" i="2"/>
  <c r="AT1102" i="2"/>
  <c r="AT1546" i="2" s="1"/>
  <c r="AQ1097" i="2"/>
  <c r="AR1097" i="2"/>
  <c r="AS1097" i="2"/>
  <c r="AT1097" i="2"/>
  <c r="AQ1096" i="2"/>
  <c r="AR1096" i="2"/>
  <c r="AS1096" i="2"/>
  <c r="AT1096" i="2"/>
  <c r="AQ1051" i="2"/>
  <c r="AQ1307" i="2" s="1"/>
  <c r="AR1051" i="2"/>
  <c r="AR1307" i="2" s="1"/>
  <c r="AS1051" i="2"/>
  <c r="AS1307" i="2" s="1"/>
  <c r="AT1051" i="2"/>
  <c r="AT1307" i="2" s="1"/>
  <c r="AQ1046" i="2"/>
  <c r="AR1046" i="2"/>
  <c r="AS1046" i="2"/>
  <c r="AT1046" i="2"/>
  <c r="AP1022" i="2"/>
  <c r="AP1010" i="2"/>
  <c r="AN406" i="2"/>
  <c r="AO406" i="2" s="1"/>
  <c r="AP406" i="2"/>
  <c r="AQ406" i="2"/>
  <c r="AR406" i="2"/>
  <c r="AS406" i="2"/>
  <c r="AT406" i="2"/>
  <c r="AP998" i="2"/>
  <c r="AQ998" i="2" s="1"/>
  <c r="AK983" i="2"/>
  <c r="AL983" i="2"/>
  <c r="AM983" i="2"/>
  <c r="AN983" i="2"/>
  <c r="AO983" i="2"/>
  <c r="AP992" i="2"/>
  <c r="AQ992" i="2" s="1"/>
  <c r="AR992" i="2" s="1"/>
  <c r="AS992" i="2" s="1"/>
  <c r="AT992" i="2" s="1"/>
  <c r="AP987" i="2"/>
  <c r="AQ987" i="2"/>
  <c r="AR987" i="2"/>
  <c r="AS987" i="2"/>
  <c r="AT987" i="2"/>
  <c r="AP985" i="2"/>
  <c r="AQ985" i="2"/>
  <c r="AR985" i="2"/>
  <c r="AS985" i="2"/>
  <c r="AT985" i="2"/>
  <c r="AP656" i="2"/>
  <c r="AQ656" i="2"/>
  <c r="AR656" i="2"/>
  <c r="AS656" i="2"/>
  <c r="AT656" i="2"/>
  <c r="AP632" i="2"/>
  <c r="AQ632" i="2"/>
  <c r="AR632" i="2"/>
  <c r="AS632" i="2"/>
  <c r="AT632" i="2"/>
  <c r="AQ626" i="2"/>
  <c r="AR626" i="2"/>
  <c r="AS626" i="2"/>
  <c r="AT626" i="2"/>
  <c r="AQ627" i="2"/>
  <c r="AR627" i="2"/>
  <c r="AS627" i="2"/>
  <c r="AT627" i="2"/>
  <c r="AQ582" i="2"/>
  <c r="AR582" i="2"/>
  <c r="AS582" i="2"/>
  <c r="AT582" i="2"/>
  <c r="AP585" i="2"/>
  <c r="AQ585" i="2"/>
  <c r="AR585" i="2"/>
  <c r="AS585" i="2"/>
  <c r="AT585" i="2"/>
  <c r="AP592" i="2"/>
  <c r="AQ592" i="2"/>
  <c r="AR592" i="2"/>
  <c r="AS592" i="2"/>
  <c r="AT592" i="2"/>
  <c r="AQ580" i="2"/>
  <c r="AR580" i="2"/>
  <c r="AS580" i="2"/>
  <c r="AT580" i="2"/>
  <c r="AP562" i="2"/>
  <c r="AQ562" i="2"/>
  <c r="AR562" i="2"/>
  <c r="AS562" i="2"/>
  <c r="AT562" i="2"/>
  <c r="AQ565" i="2"/>
  <c r="AR565" i="2"/>
  <c r="AS565" i="2"/>
  <c r="AT565" i="2"/>
  <c r="AP566" i="2"/>
  <c r="AQ566" i="2"/>
  <c r="AR566" i="2"/>
  <c r="AS566" i="2"/>
  <c r="AT566" i="2"/>
  <c r="AP567" i="2"/>
  <c r="AQ567" i="2"/>
  <c r="AR567" i="2"/>
  <c r="AS567" i="2"/>
  <c r="AT567" i="2"/>
  <c r="AQ568" i="2"/>
  <c r="AR568" i="2"/>
  <c r="AS568" i="2"/>
  <c r="AT568" i="2"/>
  <c r="AP569" i="2"/>
  <c r="AQ569" i="2"/>
  <c r="AR569" i="2"/>
  <c r="AS569" i="2"/>
  <c r="AT569" i="2"/>
  <c r="AQ570" i="2"/>
  <c r="AR570" i="2"/>
  <c r="AS570" i="2"/>
  <c r="AT570" i="2"/>
  <c r="AP572" i="2"/>
  <c r="AQ572" i="2"/>
  <c r="AR572" i="2"/>
  <c r="AS572" i="2"/>
  <c r="AT572" i="2"/>
  <c r="AQ575" i="2"/>
  <c r="AR575" i="2"/>
  <c r="AS575" i="2"/>
  <c r="AT575" i="2"/>
  <c r="AQ576" i="2"/>
  <c r="AR576" i="2"/>
  <c r="AS576" i="2"/>
  <c r="AT576" i="2"/>
  <c r="AQ578" i="2"/>
  <c r="AR578" i="2"/>
  <c r="AS578" i="2"/>
  <c r="AT578" i="2"/>
  <c r="AP579" i="2"/>
  <c r="AQ579" i="2"/>
  <c r="AR579" i="2"/>
  <c r="AS579" i="2"/>
  <c r="AT579" i="2"/>
  <c r="AP561" i="2"/>
  <c r="AQ561" i="2"/>
  <c r="AR561" i="2"/>
  <c r="AS561" i="2"/>
  <c r="AT561" i="2"/>
  <c r="AQ559" i="2"/>
  <c r="AP559" i="2"/>
  <c r="AR559" i="2"/>
  <c r="AS559" i="2"/>
  <c r="AT559" i="2"/>
  <c r="AP557" i="2"/>
  <c r="AQ557" i="2"/>
  <c r="AR557" i="2"/>
  <c r="AS557" i="2"/>
  <c r="AT557" i="2"/>
  <c r="AP555" i="2"/>
  <c r="AQ555" i="2"/>
  <c r="AR555" i="2"/>
  <c r="AS555" i="2"/>
  <c r="AT555" i="2"/>
  <c r="AN404" i="2"/>
  <c r="AR1547" i="2" l="1"/>
  <c r="AQ1547" i="2"/>
  <c r="AR1134" i="2"/>
  <c r="AR1331" i="2" s="1"/>
  <c r="AS1134" i="2"/>
  <c r="AT1134" i="2"/>
  <c r="AT1202" i="2"/>
  <c r="AS1546" i="2"/>
  <c r="AT1551" i="2"/>
  <c r="AS1044" i="2"/>
  <c r="AS1039" i="2" s="1"/>
  <c r="AR1546" i="2"/>
  <c r="AS1547" i="2"/>
  <c r="AT1547" i="2"/>
  <c r="AS1365" i="2"/>
  <c r="AS1551" i="2"/>
  <c r="AT1044" i="2"/>
  <c r="AT1039" i="2" s="1"/>
  <c r="AT1557" i="2" s="1"/>
  <c r="AR1365" i="2"/>
  <c r="AR1551" i="2"/>
  <c r="AT1115" i="2"/>
  <c r="AQ1365" i="2"/>
  <c r="AS1115" i="2"/>
  <c r="AQ1546" i="2"/>
  <c r="AT1364" i="2"/>
  <c r="AS1364" i="2"/>
  <c r="HG1156" i="5"/>
  <c r="HG1157" i="5"/>
  <c r="IW840" i="5"/>
  <c r="IW839" i="5"/>
  <c r="IW838" i="5"/>
  <c r="IW837" i="5"/>
  <c r="AT1363" i="2"/>
  <c r="AR1095" i="2"/>
  <c r="AR1321" i="2" s="1"/>
  <c r="AQ1095" i="2"/>
  <c r="AQ1321" i="2" s="1"/>
  <c r="AS1363" i="2"/>
  <c r="AT1298" i="2"/>
  <c r="AP997" i="2"/>
  <c r="AT1230" i="2"/>
  <c r="AT1228" i="2" s="1"/>
  <c r="AT1227" i="2" s="1"/>
  <c r="AP1115" i="2"/>
  <c r="AS1230" i="2"/>
  <c r="AS1228" i="2" s="1"/>
  <c r="AS1227" i="2" s="1"/>
  <c r="AR1298" i="2"/>
  <c r="AS1298" i="2"/>
  <c r="AR1358" i="2"/>
  <c r="AQ997" i="2"/>
  <c r="AR998" i="2"/>
  <c r="AQ1022" i="2"/>
  <c r="AP1188" i="2"/>
  <c r="AP1187" i="2" s="1"/>
  <c r="AQ1298" i="2"/>
  <c r="AT1193" i="2"/>
  <c r="AT1358" i="2"/>
  <c r="AT1303" i="2"/>
  <c r="AT1301" i="2" s="1"/>
  <c r="AP1298" i="2"/>
  <c r="AS1193" i="2"/>
  <c r="AS1358" i="2"/>
  <c r="AS1303" i="2"/>
  <c r="AS1301" i="2" s="1"/>
  <c r="AR1231" i="2"/>
  <c r="AR1044" i="2"/>
  <c r="AR1039" i="2" s="1"/>
  <c r="AR1303" i="2"/>
  <c r="AQ1115" i="2"/>
  <c r="AP1231" i="2"/>
  <c r="AR1115" i="2"/>
  <c r="AR1249" i="2"/>
  <c r="AR1363" i="2" s="1"/>
  <c r="AR1364" i="2"/>
  <c r="AQ1044" i="2"/>
  <c r="AQ1039" i="2" s="1"/>
  <c r="AQ1303" i="2"/>
  <c r="AQ1231" i="2"/>
  <c r="AQ1249" i="2"/>
  <c r="AS1202" i="2"/>
  <c r="AR1202" i="2"/>
  <c r="AT1095" i="2"/>
  <c r="AT1321" i="2" s="1"/>
  <c r="AS1095" i="2"/>
  <c r="AS1321" i="2" s="1"/>
  <c r="AO404" i="2"/>
  <c r="AT1331" i="2"/>
  <c r="AR1193" i="2"/>
  <c r="AS1331" i="2"/>
  <c r="AT1248" i="2"/>
  <c r="AT1247" i="2" s="1"/>
  <c r="AT1239" i="2" s="1"/>
  <c r="AS1248" i="2"/>
  <c r="AS1247" i="2" s="1"/>
  <c r="AS1239" i="2" s="1"/>
  <c r="AQ1202" i="2"/>
  <c r="AQ1010" i="2"/>
  <c r="AR1010" i="2" s="1"/>
  <c r="AT1554" i="2" l="1"/>
  <c r="AS1554" i="2"/>
  <c r="AQ1557" i="2"/>
  <c r="AS1557" i="2"/>
  <c r="AS1362" i="2"/>
  <c r="AS1558" i="2"/>
  <c r="AR1554" i="2"/>
  <c r="AR1557" i="2"/>
  <c r="AT1362" i="2"/>
  <c r="AT1558" i="2"/>
  <c r="AR1230" i="2"/>
  <c r="AR1228" i="2" s="1"/>
  <c r="AR1227" i="2" s="1"/>
  <c r="AQ1248" i="2"/>
  <c r="AQ1247" i="2" s="1"/>
  <c r="AQ1239" i="2" s="1"/>
  <c r="AQ1363" i="2"/>
  <c r="AR1301" i="2"/>
  <c r="AR1248" i="2"/>
  <c r="AR1247" i="2" s="1"/>
  <c r="AR1239" i="2" s="1"/>
  <c r="AR1022" i="2"/>
  <c r="AQ1188" i="2"/>
  <c r="AQ1187" i="2" s="1"/>
  <c r="AR997" i="2"/>
  <c r="AS998" i="2"/>
  <c r="AQ1301" i="2"/>
  <c r="AS1010" i="2"/>
  <c r="AT1010" i="2" s="1"/>
  <c r="AQ1362" i="2" l="1"/>
  <c r="AQ1558" i="2"/>
  <c r="AR1362" i="2"/>
  <c r="AR1558" i="2"/>
  <c r="AT998" i="2"/>
  <c r="AT997" i="2" s="1"/>
  <c r="AS997" i="2"/>
  <c r="AS1022" i="2"/>
  <c r="AR1188" i="2"/>
  <c r="AR1187" i="2" s="1"/>
  <c r="AM404" i="2"/>
  <c r="AN402" i="2"/>
  <c r="AU109" i="19" s="1"/>
  <c r="AV35" i="19" s="1"/>
  <c r="AX35" i="19" s="1"/>
  <c r="AO402" i="2"/>
  <c r="AQ1388" i="2"/>
  <c r="AQ424" i="2"/>
  <c r="AR424" i="2"/>
  <c r="AS424" i="2"/>
  <c r="AT424" i="2"/>
  <c r="AO418" i="2"/>
  <c r="AP418" i="2"/>
  <c r="AQ418" i="2"/>
  <c r="AR418" i="2"/>
  <c r="AS418" i="2"/>
  <c r="AT418" i="2"/>
  <c r="AQ416" i="2"/>
  <c r="AR416" i="2"/>
  <c r="AS416" i="2"/>
  <c r="AT416" i="2"/>
  <c r="AP417" i="2"/>
  <c r="AQ1066" i="2" s="1"/>
  <c r="AQ417" i="2"/>
  <c r="AR1066" i="2" s="1"/>
  <c r="AR417" i="2"/>
  <c r="AS1066" i="2" s="1"/>
  <c r="AS417" i="2"/>
  <c r="AT417" i="2"/>
  <c r="AP410" i="2"/>
  <c r="AQ410" i="2"/>
  <c r="AR410" i="2"/>
  <c r="AS410" i="2"/>
  <c r="AT410" i="2"/>
  <c r="AQ413" i="2"/>
  <c r="AR413" i="2"/>
  <c r="AS413" i="2"/>
  <c r="AT413" i="2"/>
  <c r="AP408" i="2"/>
  <c r="AQ408" i="2"/>
  <c r="AR408" i="2"/>
  <c r="AS408" i="2"/>
  <c r="AT408" i="2"/>
  <c r="AQ407" i="2"/>
  <c r="AR407" i="2"/>
  <c r="AS407" i="2"/>
  <c r="AT407" i="2"/>
  <c r="AO1096" i="2"/>
  <c r="AJ407" i="2"/>
  <c r="BC109" i="19" l="1"/>
  <c r="BD35" i="19" s="1"/>
  <c r="AP403" i="2"/>
  <c r="AR1449" i="2"/>
  <c r="AT1066" i="2"/>
  <c r="AV39" i="19"/>
  <c r="AX39" i="19" s="1"/>
  <c r="AV34" i="19"/>
  <c r="AX34" i="19" s="1"/>
  <c r="AV78" i="19"/>
  <c r="AX78" i="19" s="1"/>
  <c r="AV105" i="19"/>
  <c r="AX105" i="19" s="1"/>
  <c r="AV26" i="19"/>
  <c r="AX26" i="19" s="1"/>
  <c r="AV52" i="19"/>
  <c r="AX52" i="19" s="1"/>
  <c r="AV47" i="19"/>
  <c r="AX47" i="19" s="1"/>
  <c r="AV75" i="19"/>
  <c r="AX75" i="19" s="1"/>
  <c r="AV44" i="19"/>
  <c r="AX44" i="19" s="1"/>
  <c r="AV46" i="19"/>
  <c r="AX46" i="19" s="1"/>
  <c r="AV45" i="19"/>
  <c r="AX45" i="19" s="1"/>
  <c r="AV54" i="19"/>
  <c r="AX54" i="19" s="1"/>
  <c r="BD39" i="19"/>
  <c r="BF39" i="19" s="1"/>
  <c r="BD34" i="19"/>
  <c r="BF34" i="19" s="1"/>
  <c r="BD78" i="19"/>
  <c r="BF78" i="19" s="1"/>
  <c r="BD105" i="19"/>
  <c r="BF105" i="19" s="1"/>
  <c r="BD52" i="19"/>
  <c r="BF52" i="19" s="1"/>
  <c r="BD26" i="19"/>
  <c r="BF26" i="19" s="1"/>
  <c r="BD54" i="19"/>
  <c r="BF54" i="19" s="1"/>
  <c r="BD75" i="19"/>
  <c r="BF75" i="19" s="1"/>
  <c r="BD47" i="19"/>
  <c r="BF47" i="19" s="1"/>
  <c r="BD44" i="19"/>
  <c r="BF44" i="19" s="1"/>
  <c r="BD46" i="19"/>
  <c r="BF46" i="19" s="1"/>
  <c r="BD45" i="19"/>
  <c r="BF45" i="19" s="1"/>
  <c r="AS614" i="2"/>
  <c r="AP423" i="2"/>
  <c r="AT434" i="2"/>
  <c r="AQ1450" i="2"/>
  <c r="AS608" i="2"/>
  <c r="AS603" i="2"/>
  <c r="AS630" i="2"/>
  <c r="AS622" i="2"/>
  <c r="AP622" i="2"/>
  <c r="AP603" i="2"/>
  <c r="AP614" i="2"/>
  <c r="AP608" i="2"/>
  <c r="AP630" i="2"/>
  <c r="AT1086" i="2"/>
  <c r="AT507" i="2"/>
  <c r="AT1455" i="2"/>
  <c r="AT1407" i="2"/>
  <c r="AT1278" i="2"/>
  <c r="AT1389" i="2"/>
  <c r="AT1176" i="2"/>
  <c r="AT1419" i="2"/>
  <c r="AT1369" i="2"/>
  <c r="AT1456" i="2" s="1"/>
  <c r="AT1403" i="2"/>
  <c r="AT617" i="2"/>
  <c r="AT1127" i="2" s="1"/>
  <c r="AT1325" i="2" s="1"/>
  <c r="AT1412" i="2" s="1"/>
  <c r="AT552" i="2"/>
  <c r="AT1406" i="2"/>
  <c r="AT1422" i="2"/>
  <c r="AT1385" i="2"/>
  <c r="AT1452" i="2"/>
  <c r="AT1453" i="2"/>
  <c r="AT1446" i="2"/>
  <c r="AT1378" i="2"/>
  <c r="AT1410" i="2"/>
  <c r="AT1387" i="2"/>
  <c r="AT1386" i="2"/>
  <c r="AT1394" i="2"/>
  <c r="AT1450" i="2"/>
  <c r="AT1451" i="2"/>
  <c r="AT1405" i="2"/>
  <c r="AT1420" i="2"/>
  <c r="AT1388" i="2"/>
  <c r="AT1390" i="2"/>
  <c r="AT1445" i="2"/>
  <c r="AT1418" i="2"/>
  <c r="AT1449" i="2"/>
  <c r="AT1408" i="2"/>
  <c r="AR507" i="2"/>
  <c r="AR1407" i="2"/>
  <c r="AR1410" i="2"/>
  <c r="AR1389" i="2"/>
  <c r="AR1387" i="2"/>
  <c r="AR1278" i="2"/>
  <c r="AR1455" i="2"/>
  <c r="AR1176" i="2"/>
  <c r="AR1369" i="2"/>
  <c r="AR1456" i="2" s="1"/>
  <c r="AR1405" i="2"/>
  <c r="AR617" i="2"/>
  <c r="AR1127" i="2" s="1"/>
  <c r="AR1325" i="2" s="1"/>
  <c r="AR1412" i="2" s="1"/>
  <c r="AR1420" i="2"/>
  <c r="AR1378" i="2"/>
  <c r="AR1419" i="2"/>
  <c r="AR1403" i="2"/>
  <c r="AR1452" i="2"/>
  <c r="AR1406" i="2"/>
  <c r="AR1408" i="2"/>
  <c r="AR1386" i="2"/>
  <c r="AR1453" i="2"/>
  <c r="AR1446" i="2"/>
  <c r="AR1422" i="2"/>
  <c r="AR1394" i="2"/>
  <c r="AR1450" i="2"/>
  <c r="AR1390" i="2"/>
  <c r="AR1418" i="2"/>
  <c r="AR1385" i="2"/>
  <c r="AR1451" i="2"/>
  <c r="AR1445" i="2"/>
  <c r="AS507" i="2"/>
  <c r="AS1407" i="2"/>
  <c r="AS1455" i="2"/>
  <c r="AS1278" i="2"/>
  <c r="AS1176" i="2"/>
  <c r="AS1369" i="2"/>
  <c r="AS1456" i="2" s="1"/>
  <c r="AS1422" i="2"/>
  <c r="AS617" i="2"/>
  <c r="AS1127" i="2" s="1"/>
  <c r="AS1325" i="2" s="1"/>
  <c r="AS1412" i="2" s="1"/>
  <c r="AS1389" i="2"/>
  <c r="AS1406" i="2"/>
  <c r="AS1452" i="2"/>
  <c r="AS1450" i="2"/>
  <c r="AS1410" i="2"/>
  <c r="AS1451" i="2"/>
  <c r="AS1446" i="2"/>
  <c r="AS1386" i="2"/>
  <c r="AS1453" i="2"/>
  <c r="AS1394" i="2"/>
  <c r="AS1419" i="2"/>
  <c r="AS1405" i="2"/>
  <c r="AS1403" i="2"/>
  <c r="AS1378" i="2"/>
  <c r="AS1420" i="2"/>
  <c r="AS1387" i="2"/>
  <c r="AS1445" i="2"/>
  <c r="AS1390" i="2"/>
  <c r="AS1385" i="2"/>
  <c r="AS1388" i="2"/>
  <c r="AS1449" i="2"/>
  <c r="AS1408" i="2"/>
  <c r="AS1418" i="2"/>
  <c r="AQ507" i="2"/>
  <c r="AQ1455" i="2"/>
  <c r="AQ1387" i="2"/>
  <c r="AQ1278" i="2"/>
  <c r="AQ1410" i="2"/>
  <c r="AQ1389" i="2"/>
  <c r="AQ1378" i="2"/>
  <c r="AQ1369" i="2"/>
  <c r="AQ1456" i="2" s="1"/>
  <c r="AQ1405" i="2"/>
  <c r="AQ617" i="2"/>
  <c r="AQ1127" i="2" s="1"/>
  <c r="AQ1325" i="2" s="1"/>
  <c r="AQ1412" i="2" s="1"/>
  <c r="AQ1420" i="2"/>
  <c r="AQ1176" i="2"/>
  <c r="AQ1451" i="2"/>
  <c r="AQ1407" i="2"/>
  <c r="AQ1386" i="2"/>
  <c r="AQ1422" i="2"/>
  <c r="AQ1394" i="2"/>
  <c r="AQ1406" i="2"/>
  <c r="AQ1403" i="2"/>
  <c r="AQ1453" i="2"/>
  <c r="AQ1452" i="2"/>
  <c r="AQ1419" i="2"/>
  <c r="AQ1446" i="2"/>
  <c r="AQ1408" i="2"/>
  <c r="AQ434" i="2"/>
  <c r="AQ1385" i="2"/>
  <c r="AQ1390" i="2"/>
  <c r="AT1022" i="2"/>
  <c r="AT1188" i="2" s="1"/>
  <c r="AT1187" i="2" s="1"/>
  <c r="AS1188" i="2"/>
  <c r="AS1187" i="2" s="1"/>
  <c r="AS1086" i="2"/>
  <c r="AP1369" i="2"/>
  <c r="AP1456" i="2" s="1"/>
  <c r="AP1176" i="2"/>
  <c r="AP1455" i="2"/>
  <c r="AP1278" i="2"/>
  <c r="AP1389" i="2"/>
  <c r="AP1378" i="2"/>
  <c r="AP1410" i="2"/>
  <c r="AP1405" i="2"/>
  <c r="AP1420" i="2"/>
  <c r="AP617" i="2"/>
  <c r="AP1127" i="2" s="1"/>
  <c r="AP1325" i="2" s="1"/>
  <c r="AP1412" i="2" s="1"/>
  <c r="AP1407" i="2"/>
  <c r="AP507" i="2"/>
  <c r="AP1446" i="2"/>
  <c r="AP1406" i="2"/>
  <c r="AP1387" i="2"/>
  <c r="AP1422" i="2"/>
  <c r="AP1403" i="2"/>
  <c r="AP434" i="2"/>
  <c r="AP1386" i="2"/>
  <c r="AP1419" i="2"/>
  <c r="AP1385" i="2"/>
  <c r="AR423" i="2"/>
  <c r="AQ1449" i="2"/>
  <c r="AR1086" i="2"/>
  <c r="AT423" i="2"/>
  <c r="AR434" i="2"/>
  <c r="AQ423" i="2"/>
  <c r="AS434" i="2"/>
  <c r="AQ1086" i="2"/>
  <c r="AR1388" i="2"/>
  <c r="AS423" i="2"/>
  <c r="AN407" i="2"/>
  <c r="AO407" i="2"/>
  <c r="AQ614" i="2" l="1"/>
  <c r="AQ622" i="2"/>
  <c r="AQ603" i="2"/>
  <c r="AQ608" i="2"/>
  <c r="AQ630" i="2"/>
  <c r="AS1267" i="2"/>
  <c r="AS1174" i="2"/>
  <c r="AR1267" i="2"/>
  <c r="AR1174" i="2"/>
  <c r="AT1267" i="2"/>
  <c r="AT1174" i="2"/>
  <c r="AR614" i="2"/>
  <c r="AR622" i="2"/>
  <c r="AR603" i="2"/>
  <c r="AR608" i="2"/>
  <c r="AR630" i="2"/>
  <c r="AQ1267" i="2"/>
  <c r="AT630" i="2"/>
  <c r="AT608" i="2"/>
  <c r="AT614" i="2"/>
  <c r="AT603" i="2"/>
  <c r="AT622" i="2"/>
  <c r="AP1267" i="2"/>
  <c r="BC90" i="19"/>
  <c r="BC41" i="19"/>
  <c r="BC36" i="19"/>
  <c r="BC80" i="19"/>
  <c r="BB80" i="19" s="1"/>
  <c r="AU90" i="19"/>
  <c r="AU41" i="19"/>
  <c r="AU80" i="19"/>
  <c r="AT80" i="19" s="1"/>
  <c r="AM90" i="19"/>
  <c r="AM41" i="19"/>
  <c r="AM98" i="19"/>
  <c r="AL98" i="19" s="1"/>
  <c r="AM97" i="19"/>
  <c r="AL97" i="19" s="1"/>
  <c r="AM96" i="19"/>
  <c r="AL96" i="19" s="1"/>
  <c r="AM81" i="19"/>
  <c r="AL81" i="19" s="1"/>
  <c r="AM80" i="19"/>
  <c r="AL80" i="19" s="1"/>
  <c r="AM72" i="19"/>
  <c r="AM29" i="19"/>
  <c r="AL29" i="19" s="1"/>
  <c r="AJ646" i="2"/>
  <c r="AJ645" i="2"/>
  <c r="AJ1099" i="2" s="1"/>
  <c r="AJ1098" i="2"/>
  <c r="AJ643" i="2"/>
  <c r="AJ642" i="2"/>
  <c r="AJ641" i="2"/>
  <c r="AJ1102" i="2" l="1"/>
  <c r="AJ1095" i="2" s="1"/>
  <c r="AW90" i="19"/>
  <c r="BE90" i="19"/>
  <c r="O34" i="19"/>
  <c r="N34" i="19" s="1"/>
  <c r="AJ1206" i="2"/>
  <c r="AJ1204" i="2" s="1"/>
  <c r="AO90" i="19"/>
  <c r="AW80" i="19"/>
  <c r="AV80" i="19"/>
  <c r="AX80" i="19" s="1"/>
  <c r="BD80" i="19"/>
  <c r="BF80" i="19" s="1"/>
  <c r="BE80" i="19"/>
  <c r="AK1106" i="2"/>
  <c r="AT1173" i="2"/>
  <c r="AT1357" i="2"/>
  <c r="AR1173" i="2"/>
  <c r="AR1357" i="2"/>
  <c r="AS1173" i="2"/>
  <c r="AS1357" i="2"/>
  <c r="AJ640" i="2"/>
  <c r="Q34" i="19" l="1"/>
  <c r="AT1356" i="2"/>
  <c r="AT1443" i="2" s="1"/>
  <c r="AT1444" i="2"/>
  <c r="AR1356" i="2"/>
  <c r="AR1443" i="2" s="1"/>
  <c r="AR1444" i="2"/>
  <c r="AS1356" i="2"/>
  <c r="AS1443" i="2" s="1"/>
  <c r="AS1444" i="2"/>
  <c r="BD90" i="19"/>
  <c r="BF90" i="19" s="1"/>
  <c r="BD63" i="19"/>
  <c r="BF63" i="19" s="1"/>
  <c r="BD41" i="19"/>
  <c r="BF41" i="19" s="1"/>
  <c r="BD36" i="19"/>
  <c r="BF36" i="19" s="1"/>
  <c r="BD30" i="19"/>
  <c r="BF30" i="19" s="1"/>
  <c r="BD23" i="19"/>
  <c r="BF23" i="19" s="1"/>
  <c r="AV90" i="19"/>
  <c r="AX90" i="19" s="1"/>
  <c r="AV63" i="19"/>
  <c r="AX63" i="19" s="1"/>
  <c r="AV41" i="19"/>
  <c r="AX41" i="19" s="1"/>
  <c r="AV30" i="19"/>
  <c r="AX30" i="19" s="1"/>
  <c r="AV23" i="19"/>
  <c r="AX23" i="19" s="1"/>
  <c r="BE109" i="19"/>
  <c r="BE63" i="19"/>
  <c r="BE41" i="19"/>
  <c r="BE36" i="19"/>
  <c r="AW109" i="19"/>
  <c r="AW63" i="19"/>
  <c r="AW23" i="19"/>
  <c r="BE23" i="19" l="1"/>
  <c r="AW41" i="19"/>
  <c r="AJ1252" i="2" l="1"/>
  <c r="AJ1251" i="2" l="1"/>
  <c r="O102" i="19" l="1"/>
  <c r="Q102" i="19" l="1"/>
  <c r="N102" i="19"/>
  <c r="AK1252" i="2"/>
  <c r="AL1252" i="2"/>
  <c r="AM1252" i="2"/>
  <c r="AN1252" i="2"/>
  <c r="JE932" i="5" l="1"/>
  <c r="JK932" i="5"/>
  <c r="JH932" i="5"/>
  <c r="JB932" i="5"/>
  <c r="BC102" i="19"/>
  <c r="BB102" i="19" s="1"/>
  <c r="AU102" i="19"/>
  <c r="AM102" i="19"/>
  <c r="AE102" i="19"/>
  <c r="W102" i="19"/>
  <c r="AL1112" i="2"/>
  <c r="AE44" i="19" s="1"/>
  <c r="AG44" i="19" s="1"/>
  <c r="AK1113" i="2"/>
  <c r="W45" i="19" s="1"/>
  <c r="AL1113" i="2"/>
  <c r="AE45" i="19" s="1"/>
  <c r="AG45" i="19" s="1"/>
  <c r="AL1114" i="2"/>
  <c r="AE46" i="19" s="1"/>
  <c r="AG46" i="19" s="1"/>
  <c r="AK1114" i="2"/>
  <c r="W46" i="19" s="1"/>
  <c r="AK1112" i="2"/>
  <c r="W44" i="19" s="1"/>
  <c r="AJ1114" i="2"/>
  <c r="O46" i="19" s="1"/>
  <c r="AJ1113" i="2"/>
  <c r="O45" i="19" s="1"/>
  <c r="AJ1112" i="2"/>
  <c r="O44" i="19" s="1"/>
  <c r="AV102" i="19" l="1"/>
  <c r="AX102" i="19" s="1"/>
  <c r="AT102" i="19"/>
  <c r="BD102" i="19"/>
  <c r="BF102" i="19" s="1"/>
  <c r="Q44" i="19"/>
  <c r="N44" i="19"/>
  <c r="Q46" i="19"/>
  <c r="N46" i="19"/>
  <c r="Q45" i="19"/>
  <c r="N45" i="19"/>
  <c r="Y102" i="19"/>
  <c r="V102" i="19"/>
  <c r="AG102" i="19"/>
  <c r="AD102" i="19"/>
  <c r="AO102" i="19"/>
  <c r="AL102" i="19"/>
  <c r="Y46" i="19"/>
  <c r="Y44" i="19"/>
  <c r="Y45" i="19"/>
  <c r="AW102" i="19"/>
  <c r="BE102" i="19"/>
  <c r="AJ592" i="2"/>
  <c r="BC38" i="19" l="1"/>
  <c r="BB38" i="19" s="1"/>
  <c r="AU38" i="19"/>
  <c r="AM38" i="19"/>
  <c r="AL1260" i="2"/>
  <c r="AM1260" i="2"/>
  <c r="AN1260" i="2"/>
  <c r="AO1260" i="2"/>
  <c r="AK1260" i="2"/>
  <c r="AJ1260" i="2"/>
  <c r="AM106" i="19"/>
  <c r="AJ1258" i="2"/>
  <c r="AL1102" i="2"/>
  <c r="AM1102" i="2"/>
  <c r="AN1102" i="2"/>
  <c r="JN940" i="5" l="1"/>
  <c r="JH940" i="5"/>
  <c r="O107" i="19"/>
  <c r="Q107" i="19" s="1"/>
  <c r="JB940" i="5"/>
  <c r="JK940" i="5"/>
  <c r="JE940" i="5"/>
  <c r="AU40" i="19"/>
  <c r="AW40" i="19" s="1"/>
  <c r="AT38" i="19"/>
  <c r="AM40" i="19"/>
  <c r="AO40" i="19" s="1"/>
  <c r="AN1546" i="2"/>
  <c r="AW38" i="19"/>
  <c r="AV38" i="19"/>
  <c r="AX38" i="19" s="1"/>
  <c r="BC40" i="19"/>
  <c r="BE40" i="19" s="1"/>
  <c r="AV40" i="19"/>
  <c r="AX40" i="19" s="1"/>
  <c r="BE38" i="19"/>
  <c r="BD38" i="19"/>
  <c r="BF38" i="19" s="1"/>
  <c r="AM107" i="19"/>
  <c r="AL107" i="19" s="1"/>
  <c r="W107" i="19"/>
  <c r="V107" i="19" s="1"/>
  <c r="AU107" i="19"/>
  <c r="AT107" i="19" s="1"/>
  <c r="BC107" i="19"/>
  <c r="BB107" i="19" s="1"/>
  <c r="AE107" i="19"/>
  <c r="AD107" i="19" s="1"/>
  <c r="AJ1547" i="2"/>
  <c r="AL1546" i="2"/>
  <c r="AK1546" i="2"/>
  <c r="AJ1546" i="2"/>
  <c r="AM36" i="19"/>
  <c r="AM1546" i="2"/>
  <c r="AM1547" i="2"/>
  <c r="AN1547" i="2"/>
  <c r="AM33" i="19"/>
  <c r="AL1547" i="2"/>
  <c r="AK1547" i="2"/>
  <c r="AU36" i="19"/>
  <c r="AU33" i="19"/>
  <c r="BC106" i="19"/>
  <c r="BB106" i="19" s="1"/>
  <c r="AU106" i="19"/>
  <c r="AT106" i="19" s="1"/>
  <c r="BC33" i="19"/>
  <c r="AK640" i="2"/>
  <c r="AL640" i="2"/>
  <c r="AM640" i="2"/>
  <c r="AN640" i="2"/>
  <c r="BD40" i="19" l="1"/>
  <c r="BF40" i="19" s="1"/>
  <c r="N107" i="19"/>
  <c r="AG107" i="19"/>
  <c r="Y107" i="19"/>
  <c r="BE107" i="19"/>
  <c r="BD107" i="19"/>
  <c r="BF107" i="19" s="1"/>
  <c r="AV107" i="19"/>
  <c r="AX107" i="19" s="1"/>
  <c r="AW107" i="19"/>
  <c r="AO107" i="19"/>
  <c r="W77" i="19"/>
  <c r="AV36" i="19"/>
  <c r="AX36" i="19" s="1"/>
  <c r="AW36" i="19"/>
  <c r="BD33" i="19"/>
  <c r="BF33" i="19" s="1"/>
  <c r="BE33" i="19"/>
  <c r="AV106" i="19"/>
  <c r="AX106" i="19" s="1"/>
  <c r="AW106" i="19"/>
  <c r="BD106" i="19"/>
  <c r="BF106" i="19" s="1"/>
  <c r="BE106" i="19"/>
  <c r="AV33" i="19"/>
  <c r="AX33" i="19" s="1"/>
  <c r="AW33" i="19"/>
  <c r="AL1095" i="2"/>
  <c r="AK1095" i="2"/>
  <c r="AU77" i="19" l="1"/>
  <c r="BC77" i="19"/>
  <c r="AE77" i="19"/>
  <c r="AM77" i="19"/>
  <c r="Y77" i="19"/>
  <c r="W79" i="19"/>
  <c r="Y79" i="19" s="1"/>
  <c r="AJ88" i="19"/>
  <c r="AJ91" i="19"/>
  <c r="AJ93" i="19"/>
  <c r="AJ92" i="19"/>
  <c r="AJ90" i="19"/>
  <c r="AJ89" i="19"/>
  <c r="AJ87" i="19"/>
  <c r="AJ86" i="19"/>
  <c r="AB85" i="19"/>
  <c r="AB88" i="19"/>
  <c r="AB91" i="19"/>
  <c r="AB93" i="19"/>
  <c r="AB92" i="19"/>
  <c r="AB89" i="19"/>
  <c r="AB86" i="19"/>
  <c r="W90" i="19"/>
  <c r="T86" i="19"/>
  <c r="T88" i="19"/>
  <c r="T91" i="19"/>
  <c r="T93" i="19"/>
  <c r="T87" i="19"/>
  <c r="Q88" i="19"/>
  <c r="O90" i="19"/>
  <c r="N90" i="19" s="1"/>
  <c r="I92" i="19"/>
  <c r="I93" i="19"/>
  <c r="I91" i="19"/>
  <c r="I90" i="19"/>
  <c r="I86" i="19"/>
  <c r="I87" i="19"/>
  <c r="BE77" i="19" l="1"/>
  <c r="AU79" i="19"/>
  <c r="AW79" i="19" s="1"/>
  <c r="AT77" i="19"/>
  <c r="AO77" i="19"/>
  <c r="AL77" i="19"/>
  <c r="AG77" i="19"/>
  <c r="AD77" i="19"/>
  <c r="BD77" i="19"/>
  <c r="BF77" i="19" s="1"/>
  <c r="AW77" i="19"/>
  <c r="AV77" i="19"/>
  <c r="AX77" i="19" s="1"/>
  <c r="AM79" i="19"/>
  <c r="AO79" i="19" s="1"/>
  <c r="AE79" i="19"/>
  <c r="AG79" i="19" s="1"/>
  <c r="BC79" i="19"/>
  <c r="BD79" i="19" s="1"/>
  <c r="BF79" i="19" s="1"/>
  <c r="AV79" i="19"/>
  <c r="AX79" i="19" s="1"/>
  <c r="Q90" i="19"/>
  <c r="Y90" i="19"/>
  <c r="T92" i="19"/>
  <c r="T90" i="19"/>
  <c r="T89" i="19"/>
  <c r="I89" i="19"/>
  <c r="AB87" i="19"/>
  <c r="AB90" i="19"/>
  <c r="BE79" i="19" l="1"/>
  <c r="AC30" i="19"/>
  <c r="AD30" i="19" s="1"/>
  <c r="AC29" i="19"/>
  <c r="JB759" i="5"/>
  <c r="O77" i="19"/>
  <c r="N77" i="19" s="1"/>
  <c r="W30" i="19" l="1"/>
  <c r="Q77" i="19"/>
  <c r="IZ759" i="5"/>
  <c r="IY759" i="5"/>
  <c r="IX759" i="5" s="1"/>
  <c r="Y30" i="19" l="1"/>
  <c r="U30" i="19"/>
  <c r="V30" i="19" s="1"/>
  <c r="Q30" i="19"/>
  <c r="JA759" i="5"/>
  <c r="AJ1080" i="2"/>
  <c r="AJ1139" i="2" l="1"/>
  <c r="AJ1197" i="2" l="1"/>
  <c r="AJ1195" i="2" s="1"/>
  <c r="AK1042" i="2"/>
  <c r="AJ1042" i="2"/>
  <c r="AJ1043" i="2"/>
  <c r="O13" i="19" l="1"/>
  <c r="N13" i="19" s="1"/>
  <c r="AK1195" i="2"/>
  <c r="AL1195" i="2"/>
  <c r="AM1195" i="2"/>
  <c r="AN1195" i="2"/>
  <c r="AO1195" i="2"/>
  <c r="AJ103" i="19" l="1"/>
  <c r="AB103" i="19"/>
  <c r="T103" i="19"/>
  <c r="Q103" i="19" l="1"/>
  <c r="I103" i="19"/>
  <c r="Z57" i="19"/>
  <c r="U80" i="19" l="1"/>
  <c r="U63" i="19"/>
  <c r="V63" i="19" s="1"/>
  <c r="U29" i="19"/>
  <c r="D80" i="19"/>
  <c r="C108" i="19"/>
  <c r="C106" i="19"/>
  <c r="C104" i="19"/>
  <c r="C101" i="19"/>
  <c r="C100" i="19"/>
  <c r="C99" i="19"/>
  <c r="C98" i="19"/>
  <c r="C97" i="19"/>
  <c r="C96" i="19"/>
  <c r="C95" i="19"/>
  <c r="C94" i="19"/>
  <c r="C91" i="19"/>
  <c r="C88" i="19"/>
  <c r="C85" i="19"/>
  <c r="C84" i="19"/>
  <c r="C83" i="19"/>
  <c r="C82" i="19"/>
  <c r="C81" i="19"/>
  <c r="C80" i="19"/>
  <c r="C76" i="19"/>
  <c r="C74" i="19"/>
  <c r="C73" i="19"/>
  <c r="C72" i="19"/>
  <c r="C71" i="19"/>
  <c r="C70" i="19"/>
  <c r="C69" i="19"/>
  <c r="C68" i="19"/>
  <c r="C64" i="19"/>
  <c r="C63" i="19"/>
  <c r="C62" i="19"/>
  <c r="C61" i="19"/>
  <c r="C60" i="19"/>
  <c r="C57" i="19"/>
  <c r="C56" i="19"/>
  <c r="C55" i="19"/>
  <c r="C43" i="19"/>
  <c r="C42" i="19"/>
  <c r="C38" i="19"/>
  <c r="C37" i="19"/>
  <c r="C36" i="19"/>
  <c r="C33" i="19"/>
  <c r="C32" i="19"/>
  <c r="C31" i="19"/>
  <c r="C29" i="19"/>
  <c r="C28" i="19"/>
  <c r="C27" i="19"/>
  <c r="C25" i="19"/>
  <c r="C24" i="19"/>
  <c r="C23" i="19"/>
  <c r="C22" i="19"/>
  <c r="C21" i="19"/>
  <c r="C20" i="19"/>
  <c r="C19" i="19"/>
  <c r="C18" i="19"/>
  <c r="C17" i="19"/>
  <c r="C16" i="19"/>
  <c r="C15" i="19"/>
  <c r="C14" i="19"/>
  <c r="C13" i="19"/>
  <c r="C12" i="19"/>
  <c r="C11" i="19"/>
  <c r="C10" i="19"/>
  <c r="C9" i="19"/>
  <c r="C8" i="19"/>
  <c r="C7" i="19"/>
  <c r="C6" i="19"/>
  <c r="C5" i="19"/>
  <c r="D108" i="19" l="1"/>
  <c r="D98" i="19"/>
  <c r="D97" i="19"/>
  <c r="F96" i="19"/>
  <c r="F88" i="19"/>
  <c r="F85" i="19"/>
  <c r="D81" i="19"/>
  <c r="F74" i="19"/>
  <c r="D72" i="19"/>
  <c r="F63" i="19"/>
  <c r="D41" i="19"/>
  <c r="C41" i="19"/>
  <c r="F36" i="19"/>
  <c r="F33" i="19"/>
  <c r="F29" i="19"/>
  <c r="D28" i="19"/>
  <c r="F21" i="19"/>
  <c r="F17" i="19"/>
  <c r="F16" i="19"/>
  <c r="F15" i="19"/>
  <c r="F14" i="19"/>
  <c r="F13" i="19"/>
  <c r="F12" i="19"/>
  <c r="F11" i="19"/>
  <c r="B4" i="19"/>
  <c r="C4" i="19" s="1"/>
  <c r="F97" i="19" l="1"/>
  <c r="F72" i="19"/>
  <c r="F81" i="19"/>
  <c r="F98" i="19"/>
  <c r="F28" i="19"/>
  <c r="F80" i="19"/>
  <c r="F41" i="19"/>
  <c r="F31" i="19"/>
  <c r="F108" i="19"/>
  <c r="B58" i="19"/>
  <c r="C58" i="19" s="1"/>
  <c r="B65" i="19"/>
  <c r="C65" i="19" s="1"/>
  <c r="B59" i="19" l="1"/>
  <c r="C59" i="19" s="1"/>
  <c r="B66" i="19"/>
  <c r="C66" i="19" s="1"/>
  <c r="AQ1230" i="2" l="1"/>
  <c r="AQ1228" i="2" s="1"/>
  <c r="AQ1227" i="2" s="1"/>
  <c r="AP1062" i="2" l="1"/>
  <c r="AQ1062" i="2" s="1"/>
  <c r="AR1062" i="2" s="1"/>
  <c r="AS1062" i="2" s="1"/>
  <c r="AT1062" i="2" s="1"/>
  <c r="AO63" i="19"/>
  <c r="AG63" i="19"/>
  <c r="Y63" i="19"/>
  <c r="IY878" i="5" l="1"/>
  <c r="IX878" i="5" s="1"/>
  <c r="IY758" i="5"/>
  <c r="IX758" i="5" s="1"/>
  <c r="IY823" i="5"/>
  <c r="IX823" i="5" s="1"/>
  <c r="O63" i="19" l="1"/>
  <c r="N63" i="19" s="1"/>
  <c r="Q63" i="19" l="1"/>
  <c r="O29" i="19" l="1"/>
  <c r="N29" i="19" s="1"/>
  <c r="O72" i="19"/>
  <c r="N72" i="19" s="1"/>
  <c r="O81" i="19"/>
  <c r="N81" i="19" s="1"/>
  <c r="O96" i="19"/>
  <c r="N96" i="19" s="1"/>
  <c r="O97" i="19"/>
  <c r="N97" i="19" s="1"/>
  <c r="O98" i="19"/>
  <c r="N98" i="19" s="1"/>
  <c r="Q81" i="19" l="1"/>
  <c r="Q29" i="19"/>
  <c r="I63" i="19" l="1"/>
  <c r="T63" i="19"/>
  <c r="AB63" i="19"/>
  <c r="O104" i="19" l="1"/>
  <c r="N104" i="19" s="1"/>
  <c r="AJ63" i="19"/>
  <c r="AJ62" i="19"/>
  <c r="O80" i="19"/>
  <c r="N80" i="19" s="1"/>
  <c r="AO41" i="19"/>
  <c r="AE80" i="19"/>
  <c r="AD80" i="19" s="1"/>
  <c r="AE41" i="19"/>
  <c r="AG41" i="19" s="1"/>
  <c r="W80" i="19"/>
  <c r="V80" i="19" s="1"/>
  <c r="W23" i="19"/>
  <c r="AJ108" i="19"/>
  <c r="AB108" i="19"/>
  <c r="T108" i="19"/>
  <c r="I108" i="19"/>
  <c r="AJ106" i="19"/>
  <c r="AB106" i="19"/>
  <c r="I106" i="19"/>
  <c r="AJ104" i="19"/>
  <c r="AB104" i="19"/>
  <c r="T104" i="19"/>
  <c r="I104" i="19"/>
  <c r="AJ101" i="19"/>
  <c r="AB101" i="19"/>
  <c r="T101" i="19"/>
  <c r="I101" i="19"/>
  <c r="AJ100" i="19"/>
  <c r="AB100" i="19"/>
  <c r="T100" i="19"/>
  <c r="I100" i="19"/>
  <c r="AJ99" i="19"/>
  <c r="AB99" i="19"/>
  <c r="T99" i="19"/>
  <c r="I99" i="19"/>
  <c r="AO98" i="19"/>
  <c r="AJ98" i="19"/>
  <c r="AE98" i="19"/>
  <c r="AB98" i="19"/>
  <c r="W98" i="19"/>
  <c r="T98" i="19"/>
  <c r="I98" i="19"/>
  <c r="AJ97" i="19"/>
  <c r="AE97" i="19"/>
  <c r="AB97" i="19"/>
  <c r="W97" i="19"/>
  <c r="V97" i="19" s="1"/>
  <c r="T97" i="19"/>
  <c r="Q97" i="19"/>
  <c r="I97" i="19"/>
  <c r="AO96" i="19"/>
  <c r="AJ96" i="19"/>
  <c r="AE96" i="19"/>
  <c r="AB96" i="19"/>
  <c r="W96" i="19"/>
  <c r="T96" i="19"/>
  <c r="I96" i="19"/>
  <c r="AJ95" i="19"/>
  <c r="AB95" i="19"/>
  <c r="T95" i="19"/>
  <c r="I95" i="19"/>
  <c r="AJ94" i="19"/>
  <c r="AB94" i="19"/>
  <c r="T94" i="19"/>
  <c r="I94" i="19"/>
  <c r="I88" i="19"/>
  <c r="AJ85" i="19"/>
  <c r="T85" i="19"/>
  <c r="I85" i="19"/>
  <c r="AJ84" i="19"/>
  <c r="AB84" i="19"/>
  <c r="T84" i="19"/>
  <c r="I84" i="19"/>
  <c r="AJ83" i="19"/>
  <c r="AB83" i="19"/>
  <c r="T83" i="19"/>
  <c r="I83" i="19"/>
  <c r="AJ82" i="19"/>
  <c r="AB82" i="19"/>
  <c r="T82" i="19"/>
  <c r="I82" i="19"/>
  <c r="AO81" i="19"/>
  <c r="AJ81" i="19"/>
  <c r="AE81" i="19"/>
  <c r="AD81" i="19" s="1"/>
  <c r="AB81" i="19"/>
  <c r="W81" i="19"/>
  <c r="T81" i="19"/>
  <c r="T80" i="19"/>
  <c r="AJ76" i="19"/>
  <c r="AB76" i="19"/>
  <c r="AJ74" i="19"/>
  <c r="AB74" i="19"/>
  <c r="T74" i="19"/>
  <c r="Q74" i="19"/>
  <c r="I74" i="19"/>
  <c r="AJ73" i="19"/>
  <c r="AB73" i="19"/>
  <c r="T73" i="19"/>
  <c r="I73" i="19"/>
  <c r="AO72" i="19"/>
  <c r="AJ72" i="19"/>
  <c r="AE72" i="19"/>
  <c r="AG72" i="19" s="1"/>
  <c r="AB72" i="19"/>
  <c r="W72" i="19"/>
  <c r="T72" i="19"/>
  <c r="Q72" i="19"/>
  <c r="I72" i="19"/>
  <c r="AJ71" i="19"/>
  <c r="AB71" i="19"/>
  <c r="T71" i="19"/>
  <c r="I71" i="19"/>
  <c r="AJ70" i="19"/>
  <c r="AB70" i="19"/>
  <c r="T70" i="19"/>
  <c r="I70" i="19"/>
  <c r="AJ69" i="19"/>
  <c r="AB69" i="19"/>
  <c r="T69" i="19"/>
  <c r="I69" i="19"/>
  <c r="AB62" i="19"/>
  <c r="T62" i="19"/>
  <c r="I62" i="19"/>
  <c r="AJ61" i="19"/>
  <c r="AB61" i="19"/>
  <c r="T61" i="19"/>
  <c r="I61" i="19"/>
  <c r="AJ60" i="19"/>
  <c r="AB60" i="19"/>
  <c r="T60" i="19"/>
  <c r="I60" i="19"/>
  <c r="AJ56" i="19"/>
  <c r="AB56" i="19"/>
  <c r="T56" i="19"/>
  <c r="I56" i="19"/>
  <c r="AJ55" i="19"/>
  <c r="AB55" i="19"/>
  <c r="T55" i="19"/>
  <c r="I55" i="19"/>
  <c r="AB43" i="19"/>
  <c r="T43" i="19"/>
  <c r="AJ42" i="19"/>
  <c r="AB42" i="19"/>
  <c r="T42" i="19"/>
  <c r="I42" i="19"/>
  <c r="AJ41" i="19"/>
  <c r="T41" i="19"/>
  <c r="I41" i="19"/>
  <c r="AJ38" i="19"/>
  <c r="AB38" i="19"/>
  <c r="T38" i="19"/>
  <c r="I38" i="19"/>
  <c r="AJ37" i="19"/>
  <c r="AB37" i="19"/>
  <c r="T37" i="19"/>
  <c r="I37" i="19"/>
  <c r="AJ36" i="19"/>
  <c r="AB36" i="19"/>
  <c r="T36" i="19"/>
  <c r="I36" i="19"/>
  <c r="AJ33" i="19"/>
  <c r="AB33" i="19"/>
  <c r="T33" i="19"/>
  <c r="I33" i="19"/>
  <c r="AJ32" i="19"/>
  <c r="AB32" i="19"/>
  <c r="T32" i="19"/>
  <c r="I32" i="19"/>
  <c r="AJ31" i="19"/>
  <c r="AB31" i="19"/>
  <c r="T31" i="19"/>
  <c r="I31" i="19"/>
  <c r="AJ29" i="19"/>
  <c r="AE29" i="19"/>
  <c r="AD29" i="19" s="1"/>
  <c r="AB29" i="19"/>
  <c r="W29" i="19"/>
  <c r="V29" i="19" s="1"/>
  <c r="T29" i="19"/>
  <c r="I29" i="19"/>
  <c r="AJ28" i="19"/>
  <c r="AB28" i="19"/>
  <c r="T28" i="19"/>
  <c r="I28" i="19"/>
  <c r="AJ27" i="19"/>
  <c r="AB27" i="19"/>
  <c r="T27" i="19"/>
  <c r="I27" i="19"/>
  <c r="AJ25" i="19"/>
  <c r="AB25" i="19"/>
  <c r="T25" i="19"/>
  <c r="I25" i="19"/>
  <c r="AJ24" i="19"/>
  <c r="AB24" i="19"/>
  <c r="T24" i="19"/>
  <c r="I24" i="19"/>
  <c r="AJ23" i="19"/>
  <c r="I23" i="19"/>
  <c r="AJ22" i="19"/>
  <c r="AB22" i="19"/>
  <c r="T22" i="19"/>
  <c r="I22" i="19"/>
  <c r="AJ21" i="19"/>
  <c r="AB21" i="19"/>
  <c r="T21" i="19"/>
  <c r="I21" i="19"/>
  <c r="AJ20" i="19"/>
  <c r="AB20" i="19"/>
  <c r="T20" i="19"/>
  <c r="I20" i="19"/>
  <c r="AJ19" i="19"/>
  <c r="AB19" i="19"/>
  <c r="T19" i="19"/>
  <c r="I19" i="19"/>
  <c r="AJ18" i="19"/>
  <c r="AB18" i="19"/>
  <c r="T18" i="19"/>
  <c r="I18" i="19"/>
  <c r="AJ17" i="19"/>
  <c r="AB17" i="19"/>
  <c r="T17" i="19"/>
  <c r="AJ16" i="19"/>
  <c r="AB16" i="19"/>
  <c r="AJ15" i="19"/>
  <c r="AB15" i="19"/>
  <c r="T15" i="19"/>
  <c r="AJ14" i="19"/>
  <c r="AB14" i="19"/>
  <c r="AJ13" i="19"/>
  <c r="AB13" i="19"/>
  <c r="Q13" i="19"/>
  <c r="I13" i="19"/>
  <c r="AJ12" i="19"/>
  <c r="AB12" i="19"/>
  <c r="AJ11" i="19"/>
  <c r="AB11" i="19"/>
  <c r="AJ10" i="19"/>
  <c r="AB10" i="19"/>
  <c r="AJ9" i="19"/>
  <c r="AB9" i="19"/>
  <c r="T9" i="19"/>
  <c r="I9" i="19"/>
  <c r="AJ8" i="19"/>
  <c r="AB8" i="19"/>
  <c r="T8" i="19"/>
  <c r="I8" i="19"/>
  <c r="AJ7" i="19"/>
  <c r="AB7" i="19"/>
  <c r="T7" i="19"/>
  <c r="I7" i="19"/>
  <c r="AJ6" i="19"/>
  <c r="AB6" i="19"/>
  <c r="T6" i="19"/>
  <c r="I6" i="19"/>
  <c r="AJ5" i="19"/>
  <c r="AB5" i="19"/>
  <c r="T5" i="19"/>
  <c r="I5" i="19"/>
  <c r="AJ4" i="19"/>
  <c r="AJ1201" i="2"/>
  <c r="IY882" i="5" s="1"/>
  <c r="IX882" i="5" s="1"/>
  <c r="Y98" i="19" l="1"/>
  <c r="V98" i="19"/>
  <c r="AG96" i="19"/>
  <c r="AD96" i="19"/>
  <c r="AG98" i="19"/>
  <c r="AD98" i="19"/>
  <c r="Y96" i="19"/>
  <c r="V96" i="19"/>
  <c r="Y81" i="19"/>
  <c r="V81" i="19"/>
  <c r="AG97" i="19"/>
  <c r="AD97" i="19"/>
  <c r="Y29" i="19"/>
  <c r="AG29" i="19"/>
  <c r="Q80" i="19"/>
  <c r="Y80" i="19"/>
  <c r="I16" i="19"/>
  <c r="I14" i="19"/>
  <c r="T11" i="19"/>
  <c r="AJ58" i="19"/>
  <c r="Y72" i="19"/>
  <c r="AO80" i="19"/>
  <c r="T58" i="19"/>
  <c r="T59" i="19"/>
  <c r="AB58" i="19"/>
  <c r="AB59" i="19"/>
  <c r="I12" i="19"/>
  <c r="AB4" i="19"/>
  <c r="I11" i="19"/>
  <c r="Q98" i="19"/>
  <c r="T13" i="19"/>
  <c r="T4" i="19"/>
  <c r="AO97" i="19"/>
  <c r="AG81" i="19"/>
  <c r="I15" i="19"/>
  <c r="AO29" i="19"/>
  <c r="T10" i="19"/>
  <c r="Q96" i="19"/>
  <c r="T14" i="19"/>
  <c r="T12" i="19"/>
  <c r="T16" i="19"/>
  <c r="Y97" i="19"/>
  <c r="AG80" i="19"/>
  <c r="I10" i="19"/>
  <c r="AJ59" i="19" l="1"/>
  <c r="AB65" i="19"/>
  <c r="AJ65" i="19"/>
  <c r="AJ67" i="19" s="1"/>
  <c r="T65" i="19"/>
  <c r="T66" i="19"/>
  <c r="I4" i="19"/>
  <c r="I58" i="19" l="1"/>
  <c r="I59" i="19" l="1"/>
  <c r="AJ632" i="2"/>
  <c r="T23" i="19" l="1"/>
  <c r="Y23" i="19"/>
  <c r="AG23" i="19" l="1"/>
  <c r="AB23" i="19"/>
  <c r="AJ1092" i="2"/>
  <c r="AK1202" i="2"/>
  <c r="BC74" i="19"/>
  <c r="AU74" i="19"/>
  <c r="IU915" i="5"/>
  <c r="O36" i="19"/>
  <c r="N36" i="19" s="1"/>
  <c r="U93" i="19" l="1"/>
  <c r="AM93" i="19"/>
  <c r="BE74" i="19"/>
  <c r="BD74" i="19"/>
  <c r="BF74" i="19" s="1"/>
  <c r="AW74" i="19"/>
  <c r="AV74" i="19"/>
  <c r="AX74" i="19" s="1"/>
  <c r="Q36" i="19"/>
  <c r="AJ1231" i="2"/>
  <c r="W76" i="19"/>
  <c r="AK93" i="19" l="1"/>
  <c r="AL93" i="19" s="1"/>
  <c r="W93" i="19"/>
  <c r="Y93" i="19" s="1"/>
  <c r="AO93" i="19"/>
  <c r="Y76" i="19"/>
  <c r="AU93" i="19"/>
  <c r="AT93" i="19" s="1"/>
  <c r="BC93" i="19"/>
  <c r="BB93" i="19" s="1"/>
  <c r="O93" i="19"/>
  <c r="N93" i="19" s="1"/>
  <c r="O92" i="19"/>
  <c r="N92" i="19" s="1"/>
  <c r="GU668" i="5"/>
  <c r="GV668" i="5"/>
  <c r="GW668" i="5"/>
  <c r="GX668" i="5"/>
  <c r="GY668" i="5"/>
  <c r="GZ668" i="5"/>
  <c r="GU673" i="5"/>
  <c r="GV673" i="5"/>
  <c r="GW673" i="5"/>
  <c r="GX673" i="5"/>
  <c r="GY673" i="5"/>
  <c r="IT673" i="5" s="1"/>
  <c r="GZ673" i="5"/>
  <c r="GU674" i="5"/>
  <c r="GV674" i="5"/>
  <c r="GW674" i="5"/>
  <c r="GX674" i="5"/>
  <c r="GY674" i="5"/>
  <c r="GZ674" i="5"/>
  <c r="GU681" i="5"/>
  <c r="GU1135" i="5" s="1"/>
  <c r="GV681" i="5"/>
  <c r="GV1135" i="5" s="1"/>
  <c r="GW681" i="5"/>
  <c r="GW1135" i="5" s="1"/>
  <c r="GX681" i="5"/>
  <c r="GX1135" i="5" s="1"/>
  <c r="GY681" i="5"/>
  <c r="GY1135" i="5" s="1"/>
  <c r="GZ681" i="5"/>
  <c r="GZ1135" i="5" s="1"/>
  <c r="GU697" i="5"/>
  <c r="GU1136" i="5" s="1"/>
  <c r="GV697" i="5"/>
  <c r="GV1136" i="5" s="1"/>
  <c r="GW697" i="5"/>
  <c r="GW1136" i="5" s="1"/>
  <c r="GX697" i="5"/>
  <c r="GX1136" i="5" s="1"/>
  <c r="GY697" i="5"/>
  <c r="GY1136" i="5" s="1"/>
  <c r="GZ697" i="5"/>
  <c r="GZ1136" i="5" s="1"/>
  <c r="GU706" i="5"/>
  <c r="GV706" i="5"/>
  <c r="GW706" i="5"/>
  <c r="GX706" i="5"/>
  <c r="GY706" i="5"/>
  <c r="GZ706" i="5"/>
  <c r="IT707" i="5"/>
  <c r="GU719" i="5"/>
  <c r="GV719" i="5"/>
  <c r="GW719" i="5"/>
  <c r="GX719" i="5"/>
  <c r="GY719" i="5"/>
  <c r="GZ719" i="5"/>
  <c r="GU721" i="5"/>
  <c r="GV721" i="5"/>
  <c r="GV1140" i="5" s="1"/>
  <c r="GW721" i="5"/>
  <c r="GW1140" i="5" s="1"/>
  <c r="GX721" i="5"/>
  <c r="GX1140" i="5" s="1"/>
  <c r="GY721" i="5"/>
  <c r="GY1140" i="5" s="1"/>
  <c r="GZ721" i="5"/>
  <c r="GZ1140" i="5" s="1"/>
  <c r="GU723" i="5"/>
  <c r="GV723" i="5"/>
  <c r="GW723" i="5"/>
  <c r="GX723" i="5"/>
  <c r="GY723" i="5"/>
  <c r="GZ723" i="5"/>
  <c r="GU724" i="5"/>
  <c r="GV724" i="5"/>
  <c r="GW724" i="5"/>
  <c r="GX724" i="5"/>
  <c r="GY724" i="5"/>
  <c r="GZ724" i="5"/>
  <c r="IT726" i="5"/>
  <c r="IT729" i="5"/>
  <c r="GU731" i="5"/>
  <c r="GV731" i="5"/>
  <c r="GW731" i="5"/>
  <c r="GX731" i="5"/>
  <c r="GY731" i="5"/>
  <c r="GZ731" i="5"/>
  <c r="GU737" i="5"/>
  <c r="GV737" i="5"/>
  <c r="GW737" i="5"/>
  <c r="GX737" i="5"/>
  <c r="GY737" i="5"/>
  <c r="GZ737" i="5"/>
  <c r="GU747" i="5"/>
  <c r="GV747" i="5"/>
  <c r="GW747" i="5"/>
  <c r="GX747" i="5"/>
  <c r="GY747" i="5"/>
  <c r="GZ747" i="5"/>
  <c r="IT749" i="5"/>
  <c r="IT753" i="5"/>
  <c r="GU755" i="5"/>
  <c r="GU1143" i="5" s="1"/>
  <c r="GV755" i="5"/>
  <c r="GV1143" i="5" s="1"/>
  <c r="GW755" i="5"/>
  <c r="GW1143" i="5" s="1"/>
  <c r="GX755" i="5"/>
  <c r="GX1143" i="5" s="1"/>
  <c r="GY755" i="5"/>
  <c r="GY1143" i="5" s="1"/>
  <c r="GZ755" i="5"/>
  <c r="GZ1143" i="5" s="1"/>
  <c r="GU757" i="5"/>
  <c r="GU1144" i="5" s="1"/>
  <c r="GV757" i="5"/>
  <c r="GV1144" i="5" s="1"/>
  <c r="GW757" i="5"/>
  <c r="GW1144" i="5" s="1"/>
  <c r="GX757" i="5"/>
  <c r="GX1144" i="5" s="1"/>
  <c r="GY757" i="5"/>
  <c r="GY1144" i="5" s="1"/>
  <c r="GZ757" i="5"/>
  <c r="GZ1144" i="5" s="1"/>
  <c r="IT779" i="5"/>
  <c r="GU781" i="5"/>
  <c r="GU1146" i="5" s="1"/>
  <c r="GV781" i="5"/>
  <c r="GV1146" i="5" s="1"/>
  <c r="GW781" i="5"/>
  <c r="GW1146" i="5" s="1"/>
  <c r="GX781" i="5"/>
  <c r="GX1146" i="5" s="1"/>
  <c r="GY781" i="5"/>
  <c r="GY1146" i="5" s="1"/>
  <c r="GZ781" i="5"/>
  <c r="GZ1146" i="5" s="1"/>
  <c r="GU788" i="5"/>
  <c r="GU1145" i="5" s="1"/>
  <c r="GV788" i="5"/>
  <c r="GV1145" i="5" s="1"/>
  <c r="GW788" i="5"/>
  <c r="GW1145" i="5" s="1"/>
  <c r="GX788" i="5"/>
  <c r="GX1145" i="5" s="1"/>
  <c r="GY788" i="5"/>
  <c r="GY1145" i="5" s="1"/>
  <c r="GZ788" i="5"/>
  <c r="GZ1145" i="5" s="1"/>
  <c r="GU789" i="5"/>
  <c r="GV789" i="5"/>
  <c r="GW789" i="5"/>
  <c r="GX789" i="5"/>
  <c r="GY789" i="5"/>
  <c r="GZ789" i="5"/>
  <c r="GU795" i="5"/>
  <c r="GV795" i="5"/>
  <c r="GW795" i="5"/>
  <c r="GX795" i="5"/>
  <c r="GY795" i="5"/>
  <c r="GZ795" i="5"/>
  <c r="GU811" i="5"/>
  <c r="GV811" i="5"/>
  <c r="GW811" i="5"/>
  <c r="GX811" i="5"/>
  <c r="GY811" i="5"/>
  <c r="GZ811" i="5"/>
  <c r="GU813" i="5"/>
  <c r="GU1148" i="5" s="1"/>
  <c r="GV813" i="5"/>
  <c r="GV1148" i="5" s="1"/>
  <c r="GW813" i="5"/>
  <c r="GW1148" i="5" s="1"/>
  <c r="GX813" i="5"/>
  <c r="GX1148" i="5" s="1"/>
  <c r="GY813" i="5"/>
  <c r="GY1148" i="5" s="1"/>
  <c r="GZ813" i="5"/>
  <c r="GZ1148" i="5" s="1"/>
  <c r="IT728" i="5"/>
  <c r="IT935" i="5"/>
  <c r="IT881" i="5"/>
  <c r="GU822" i="5"/>
  <c r="GU1150" i="5" s="1"/>
  <c r="GV822" i="5"/>
  <c r="GV1150" i="5" s="1"/>
  <c r="GW822" i="5"/>
  <c r="GW1150" i="5" s="1"/>
  <c r="GX822" i="5"/>
  <c r="GX1150" i="5" s="1"/>
  <c r="GY822" i="5"/>
  <c r="GY1150" i="5" s="1"/>
  <c r="GZ822" i="5"/>
  <c r="GZ1150" i="5" s="1"/>
  <c r="HA668" i="5"/>
  <c r="HB668" i="5"/>
  <c r="HC668" i="5"/>
  <c r="HD668" i="5"/>
  <c r="HE668" i="5"/>
  <c r="HF668" i="5"/>
  <c r="HA673" i="5"/>
  <c r="HB673" i="5"/>
  <c r="HC673" i="5"/>
  <c r="HD673" i="5"/>
  <c r="HE673" i="5"/>
  <c r="HF673" i="5"/>
  <c r="HA674" i="5"/>
  <c r="HB674" i="5"/>
  <c r="HC674" i="5"/>
  <c r="HD674" i="5"/>
  <c r="HE674" i="5"/>
  <c r="HF674" i="5"/>
  <c r="HA681" i="5"/>
  <c r="HA1135" i="5" s="1"/>
  <c r="HB681" i="5"/>
  <c r="HB1135" i="5" s="1"/>
  <c r="HC681" i="5"/>
  <c r="HC1135" i="5" s="1"/>
  <c r="HD681" i="5"/>
  <c r="HD1135" i="5" s="1"/>
  <c r="HE681" i="5"/>
  <c r="HE1135" i="5" s="1"/>
  <c r="HF681" i="5"/>
  <c r="HF1135" i="5" s="1"/>
  <c r="HA697" i="5"/>
  <c r="HA1136" i="5" s="1"/>
  <c r="HB697" i="5"/>
  <c r="HB1136" i="5" s="1"/>
  <c r="HC697" i="5"/>
  <c r="HC1136" i="5" s="1"/>
  <c r="HD697" i="5"/>
  <c r="HD1136" i="5" s="1"/>
  <c r="HE697" i="5"/>
  <c r="HE1136" i="5" s="1"/>
  <c r="HF697" i="5"/>
  <c r="HF1136" i="5" s="1"/>
  <c r="HA706" i="5"/>
  <c r="HB706" i="5"/>
  <c r="HC706" i="5"/>
  <c r="HD706" i="5"/>
  <c r="HE706" i="5"/>
  <c r="HF706" i="5"/>
  <c r="IU707" i="5"/>
  <c r="HA719" i="5"/>
  <c r="HB719" i="5"/>
  <c r="HC719" i="5"/>
  <c r="HD719" i="5"/>
  <c r="HE719" i="5"/>
  <c r="HE1139" i="5" s="1"/>
  <c r="HF719" i="5"/>
  <c r="HF1139" i="5" s="1"/>
  <c r="HA721" i="5"/>
  <c r="HB721" i="5"/>
  <c r="HC721" i="5"/>
  <c r="HD721" i="5"/>
  <c r="HE721" i="5"/>
  <c r="HF721" i="5"/>
  <c r="HA723" i="5"/>
  <c r="HB723" i="5"/>
  <c r="HC723" i="5"/>
  <c r="HD723" i="5"/>
  <c r="HE723" i="5"/>
  <c r="HF723" i="5"/>
  <c r="HA724" i="5"/>
  <c r="HB724" i="5"/>
  <c r="HC724" i="5"/>
  <c r="HD724" i="5"/>
  <c r="HE724" i="5"/>
  <c r="HF724" i="5"/>
  <c r="IU726" i="5"/>
  <c r="IU729" i="5"/>
  <c r="HA731" i="5"/>
  <c r="HB731" i="5"/>
  <c r="HC731" i="5"/>
  <c r="HD731" i="5"/>
  <c r="HE731" i="5"/>
  <c r="HF731" i="5"/>
  <c r="HA737" i="5"/>
  <c r="HB737" i="5"/>
  <c r="HC737" i="5"/>
  <c r="HD737" i="5"/>
  <c r="HE737" i="5"/>
  <c r="HF737" i="5"/>
  <c r="HA747" i="5"/>
  <c r="HB747" i="5"/>
  <c r="HC747" i="5"/>
  <c r="HD747" i="5"/>
  <c r="HE747" i="5"/>
  <c r="HF747" i="5"/>
  <c r="IU749" i="5"/>
  <c r="IU753" i="5"/>
  <c r="HA755" i="5"/>
  <c r="HA1143" i="5" s="1"/>
  <c r="HB755" i="5"/>
  <c r="HB1143" i="5" s="1"/>
  <c r="HC755" i="5"/>
  <c r="HC1143" i="5" s="1"/>
  <c r="HD755" i="5"/>
  <c r="HD1143" i="5" s="1"/>
  <c r="HE755" i="5"/>
  <c r="HE1143" i="5" s="1"/>
  <c r="HF755" i="5"/>
  <c r="HF1143" i="5" s="1"/>
  <c r="HA757" i="5"/>
  <c r="HA1144" i="5" s="1"/>
  <c r="HB757" i="5"/>
  <c r="HB1144" i="5" s="1"/>
  <c r="HC757" i="5"/>
  <c r="HC1144" i="5" s="1"/>
  <c r="HD757" i="5"/>
  <c r="HD1144" i="5" s="1"/>
  <c r="HE757" i="5"/>
  <c r="HE1144" i="5" s="1"/>
  <c r="HF757" i="5"/>
  <c r="HF1144" i="5" s="1"/>
  <c r="IU779" i="5"/>
  <c r="HA781" i="5"/>
  <c r="HA1146" i="5" s="1"/>
  <c r="HB781" i="5"/>
  <c r="HB1146" i="5" s="1"/>
  <c r="HC781" i="5"/>
  <c r="HC1146" i="5" s="1"/>
  <c r="HD781" i="5"/>
  <c r="HD1146" i="5" s="1"/>
  <c r="HE781" i="5"/>
  <c r="HE1146" i="5" s="1"/>
  <c r="HF781" i="5"/>
  <c r="HF1146" i="5" s="1"/>
  <c r="HA788" i="5"/>
  <c r="HA1145" i="5" s="1"/>
  <c r="HB788" i="5"/>
  <c r="HB1145" i="5" s="1"/>
  <c r="HC788" i="5"/>
  <c r="HC1145" i="5" s="1"/>
  <c r="HD788" i="5"/>
  <c r="HD1145" i="5" s="1"/>
  <c r="HE788" i="5"/>
  <c r="HE1145" i="5" s="1"/>
  <c r="HF788" i="5"/>
  <c r="HF1145" i="5" s="1"/>
  <c r="HA789" i="5"/>
  <c r="HB789" i="5"/>
  <c r="HC789" i="5"/>
  <c r="HD789" i="5"/>
  <c r="HE789" i="5"/>
  <c r="HF789" i="5"/>
  <c r="HA795" i="5"/>
  <c r="HB795" i="5"/>
  <c r="HC795" i="5"/>
  <c r="HD795" i="5"/>
  <c r="HE795" i="5"/>
  <c r="HF795" i="5"/>
  <c r="HA811" i="5"/>
  <c r="HB811" i="5"/>
  <c r="HC811" i="5"/>
  <c r="HD811" i="5"/>
  <c r="HE811" i="5"/>
  <c r="HF811" i="5"/>
  <c r="HA813" i="5"/>
  <c r="HA1148" i="5" s="1"/>
  <c r="HB813" i="5"/>
  <c r="HB1148" i="5" s="1"/>
  <c r="HC813" i="5"/>
  <c r="HC1148" i="5" s="1"/>
  <c r="HD813" i="5"/>
  <c r="HD1148" i="5" s="1"/>
  <c r="HE813" i="5"/>
  <c r="HE1148" i="5" s="1"/>
  <c r="HF813" i="5"/>
  <c r="HF1148" i="5" s="1"/>
  <c r="IU728" i="5"/>
  <c r="IU935" i="5"/>
  <c r="IU881" i="5"/>
  <c r="HA822" i="5"/>
  <c r="HA1150" i="5" s="1"/>
  <c r="HB822" i="5"/>
  <c r="HB1150" i="5" s="1"/>
  <c r="HC822" i="5"/>
  <c r="HC1150" i="5" s="1"/>
  <c r="HD822" i="5"/>
  <c r="HD1150" i="5" s="1"/>
  <c r="HE822" i="5"/>
  <c r="HE1150" i="5" s="1"/>
  <c r="HF822" i="5"/>
  <c r="HF1150" i="5" s="1"/>
  <c r="IT859" i="5"/>
  <c r="IT875" i="5"/>
  <c r="IT876" i="5"/>
  <c r="IT883" i="5"/>
  <c r="IT661" i="5" s="1"/>
  <c r="IT887" i="5"/>
  <c r="IT888" i="5"/>
  <c r="IT889" i="5"/>
  <c r="IU859" i="5"/>
  <c r="IU875" i="5"/>
  <c r="IU876" i="5"/>
  <c r="IU883" i="5"/>
  <c r="IU661" i="5" s="1"/>
  <c r="IU887" i="5"/>
  <c r="IU888" i="5"/>
  <c r="IU889" i="5"/>
  <c r="HA890" i="5"/>
  <c r="HB890" i="5"/>
  <c r="HC890" i="5"/>
  <c r="HD890" i="5"/>
  <c r="HE890" i="5"/>
  <c r="HF890" i="5"/>
  <c r="IT902" i="5"/>
  <c r="IT900" i="5" s="1"/>
  <c r="IT905" i="5"/>
  <c r="IT903" i="5" s="1"/>
  <c r="IT907" i="5"/>
  <c r="IT908" i="5"/>
  <c r="IT911" i="5"/>
  <c r="GU912" i="5"/>
  <c r="GU910" i="5" s="1"/>
  <c r="GU909" i="5" s="1"/>
  <c r="GV912" i="5"/>
  <c r="GV910" i="5" s="1"/>
  <c r="GV909" i="5" s="1"/>
  <c r="GW912" i="5"/>
  <c r="GX912" i="5"/>
  <c r="GX910" i="5" s="1"/>
  <c r="GX909" i="5" s="1"/>
  <c r="GY912" i="5"/>
  <c r="GY910" i="5" s="1"/>
  <c r="GY909" i="5" s="1"/>
  <c r="GZ912" i="5"/>
  <c r="GZ910" i="5" s="1"/>
  <c r="GZ909" i="5" s="1"/>
  <c r="IT915" i="5"/>
  <c r="IV915" i="5" s="1"/>
  <c r="AI1234" i="2" s="1"/>
  <c r="AI1610" i="2" s="1"/>
  <c r="IT916" i="5"/>
  <c r="IT917" i="5"/>
  <c r="IT918" i="5"/>
  <c r="IT919" i="5"/>
  <c r="IT930" i="5"/>
  <c r="IT938" i="5"/>
  <c r="IU902" i="5"/>
  <c r="IU905" i="5"/>
  <c r="AI1632" i="2" s="1"/>
  <c r="IU907" i="5"/>
  <c r="IU908" i="5"/>
  <c r="IU911" i="5"/>
  <c r="HA912" i="5"/>
  <c r="HA910" i="5" s="1"/>
  <c r="HA909" i="5" s="1"/>
  <c r="HB912" i="5"/>
  <c r="HB910" i="5" s="1"/>
  <c r="HB909" i="5" s="1"/>
  <c r="HC912" i="5"/>
  <c r="HC910" i="5" s="1"/>
  <c r="HC909" i="5" s="1"/>
  <c r="HD912" i="5"/>
  <c r="HD910" i="5" s="1"/>
  <c r="HD909" i="5" s="1"/>
  <c r="HE912" i="5"/>
  <c r="HE910" i="5" s="1"/>
  <c r="HE909" i="5" s="1"/>
  <c r="HF910" i="5"/>
  <c r="HF909" i="5" s="1"/>
  <c r="IU916" i="5"/>
  <c r="IU917" i="5"/>
  <c r="IU918" i="5"/>
  <c r="IU919" i="5"/>
  <c r="IU930" i="5"/>
  <c r="IU938" i="5"/>
  <c r="IU922" i="5"/>
  <c r="IV922" i="5" s="1"/>
  <c r="AI1241" i="2" s="1"/>
  <c r="IT937" i="5"/>
  <c r="IU937" i="5"/>
  <c r="IU936" i="5"/>
  <c r="IV936" i="5" s="1"/>
  <c r="AI1256" i="2" s="1"/>
  <c r="IU931" i="5"/>
  <c r="IV931" i="5" s="1"/>
  <c r="AI1250" i="2" s="1"/>
  <c r="IU927" i="5"/>
  <c r="IV927" i="5" s="1"/>
  <c r="AI1246" i="2" s="1"/>
  <c r="IU926" i="5"/>
  <c r="IV926" i="5" s="1"/>
  <c r="AI1245" i="2" s="1"/>
  <c r="IU925" i="5"/>
  <c r="IV925" i="5" s="1"/>
  <c r="AI1244" i="2" s="1"/>
  <c r="IU924" i="5"/>
  <c r="IV924" i="5" s="1"/>
  <c r="AI1243" i="2" s="1"/>
  <c r="IU923" i="5"/>
  <c r="IV923" i="5" s="1"/>
  <c r="AI1242" i="2" s="1"/>
  <c r="IV921" i="5"/>
  <c r="AI1240" i="2" s="1"/>
  <c r="IV904" i="5"/>
  <c r="AI1225" i="2" s="1"/>
  <c r="IV901" i="5"/>
  <c r="AI1222" i="2" s="1"/>
  <c r="IT897" i="5"/>
  <c r="IU897" i="5"/>
  <c r="IT896" i="5"/>
  <c r="IU896" i="5"/>
  <c r="IT895" i="5"/>
  <c r="IU895" i="5"/>
  <c r="IT894" i="5"/>
  <c r="IU894" i="5"/>
  <c r="IU891" i="5"/>
  <c r="IV891" i="5" s="1"/>
  <c r="AI1212" i="2" s="1"/>
  <c r="IT886" i="5"/>
  <c r="IU886" i="5"/>
  <c r="IT885" i="5"/>
  <c r="IU885" i="5"/>
  <c r="IT884" i="5"/>
  <c r="IU884" i="5"/>
  <c r="IT880" i="5"/>
  <c r="IU880" i="5"/>
  <c r="IT879" i="5"/>
  <c r="IU879" i="5"/>
  <c r="IT877" i="5"/>
  <c r="IU877" i="5"/>
  <c r="IT874" i="5"/>
  <c r="IU874" i="5"/>
  <c r="IT873" i="5"/>
  <c r="IU873" i="5"/>
  <c r="IT872" i="5"/>
  <c r="IU872" i="5"/>
  <c r="IT871" i="5"/>
  <c r="IU871" i="5"/>
  <c r="GU870" i="5"/>
  <c r="GV870" i="5"/>
  <c r="GW870" i="5"/>
  <c r="GX870" i="5"/>
  <c r="GY870" i="5"/>
  <c r="GZ870" i="5"/>
  <c r="HA870" i="5"/>
  <c r="HB870" i="5"/>
  <c r="HC870" i="5"/>
  <c r="HD870" i="5"/>
  <c r="HE870" i="5"/>
  <c r="HF870" i="5"/>
  <c r="IT869" i="5"/>
  <c r="IU869" i="5"/>
  <c r="IT868" i="5"/>
  <c r="IU868" i="5"/>
  <c r="IT867" i="5"/>
  <c r="IU867" i="5"/>
  <c r="IT866" i="5"/>
  <c r="IU866" i="5"/>
  <c r="IT865" i="5"/>
  <c r="IU865" i="5"/>
  <c r="GU864" i="5"/>
  <c r="GV864" i="5"/>
  <c r="GW864" i="5"/>
  <c r="GX864" i="5"/>
  <c r="GY864" i="5"/>
  <c r="GZ864" i="5"/>
  <c r="HA864" i="5"/>
  <c r="HB864" i="5"/>
  <c r="HC864" i="5"/>
  <c r="HD864" i="5"/>
  <c r="HE864" i="5"/>
  <c r="HF864" i="5"/>
  <c r="IT863" i="5"/>
  <c r="IU863" i="5"/>
  <c r="IT862" i="5"/>
  <c r="IU862" i="5"/>
  <c r="GU861" i="5"/>
  <c r="GV861" i="5"/>
  <c r="GW861" i="5"/>
  <c r="GX861" i="5"/>
  <c r="GY861" i="5"/>
  <c r="GZ861" i="5"/>
  <c r="HA861" i="5"/>
  <c r="HB861" i="5"/>
  <c r="HC861" i="5"/>
  <c r="HD861" i="5"/>
  <c r="HE861" i="5"/>
  <c r="HF861" i="5"/>
  <c r="IT860" i="5"/>
  <c r="AM1177" i="2" s="1"/>
  <c r="JH860" i="5" s="1"/>
  <c r="IU860" i="5"/>
  <c r="AN1177" i="2" s="1"/>
  <c r="JK860" i="5" s="1"/>
  <c r="IV858" i="5"/>
  <c r="AI1175" i="2" s="1"/>
  <c r="IT832" i="5"/>
  <c r="IU832" i="5"/>
  <c r="IT831" i="5"/>
  <c r="IU831" i="5"/>
  <c r="IT830" i="5"/>
  <c r="IU830" i="5"/>
  <c r="GU829" i="5"/>
  <c r="GV829" i="5"/>
  <c r="GW829" i="5"/>
  <c r="GX829" i="5"/>
  <c r="GY829" i="5"/>
  <c r="GZ829" i="5"/>
  <c r="HA829" i="5"/>
  <c r="HB829" i="5"/>
  <c r="HC829" i="5"/>
  <c r="HD829" i="5"/>
  <c r="HE829" i="5"/>
  <c r="HF829" i="5"/>
  <c r="IU828" i="5"/>
  <c r="IV828" i="5" s="1"/>
  <c r="AI1144" i="2" s="1"/>
  <c r="IU827" i="5"/>
  <c r="IV827" i="5" s="1"/>
  <c r="AI1143" i="2" s="1"/>
  <c r="IV826" i="5"/>
  <c r="AI1142" i="2" s="1"/>
  <c r="IT825" i="5"/>
  <c r="IU825" i="5"/>
  <c r="IT824" i="5"/>
  <c r="IU824" i="5"/>
  <c r="IT821" i="5"/>
  <c r="IU821" i="5"/>
  <c r="IU820" i="5"/>
  <c r="IV820" i="5" s="1"/>
  <c r="AI1136" i="2" s="1"/>
  <c r="AI1333" i="2" s="1"/>
  <c r="IU819" i="5"/>
  <c r="IV819" i="5" s="1"/>
  <c r="AI1135" i="2" s="1"/>
  <c r="IU812" i="5"/>
  <c r="IV812" i="5" s="1"/>
  <c r="AI1128" i="2" s="1"/>
  <c r="IT810" i="5"/>
  <c r="IU810" i="5"/>
  <c r="IU809" i="5"/>
  <c r="IV809" i="5" s="1"/>
  <c r="AI1125" i="2"/>
  <c r="IT808" i="5"/>
  <c r="IU808" i="5"/>
  <c r="IT807" i="5"/>
  <c r="IU807" i="5"/>
  <c r="IT806" i="5"/>
  <c r="IU806" i="5"/>
  <c r="IT805" i="5"/>
  <c r="IU805" i="5"/>
  <c r="IT804" i="5"/>
  <c r="IU804" i="5"/>
  <c r="IT803" i="5"/>
  <c r="IU803" i="5"/>
  <c r="IT802" i="5"/>
  <c r="IU802" i="5"/>
  <c r="IT801" i="5"/>
  <c r="IU801" i="5"/>
  <c r="IT800" i="5"/>
  <c r="IU800" i="5"/>
  <c r="IT799" i="5"/>
  <c r="IU799" i="5"/>
  <c r="IT798" i="5"/>
  <c r="IU798" i="5"/>
  <c r="IT797" i="5"/>
  <c r="IU797" i="5"/>
  <c r="IT796" i="5"/>
  <c r="IU796" i="5"/>
  <c r="IT794" i="5"/>
  <c r="IU794" i="5"/>
  <c r="IT793" i="5"/>
  <c r="IU793" i="5"/>
  <c r="IT792" i="5"/>
  <c r="IU792" i="5"/>
  <c r="IT791" i="5"/>
  <c r="IU791" i="5"/>
  <c r="IT790" i="5"/>
  <c r="IU790" i="5"/>
  <c r="IT787" i="5"/>
  <c r="IU787" i="5"/>
  <c r="IT782" i="5"/>
  <c r="IU782" i="5"/>
  <c r="IT778" i="5"/>
  <c r="IU778" i="5"/>
  <c r="IT777" i="5"/>
  <c r="IU777" i="5"/>
  <c r="IT776" i="5"/>
  <c r="IU776" i="5"/>
  <c r="IT775" i="5"/>
  <c r="IU775" i="5"/>
  <c r="IT774" i="5"/>
  <c r="IU774" i="5"/>
  <c r="IT773" i="5"/>
  <c r="IU773" i="5"/>
  <c r="IT772" i="5"/>
  <c r="IU772" i="5"/>
  <c r="IT771" i="5"/>
  <c r="IU771" i="5"/>
  <c r="IT770" i="5"/>
  <c r="IU770" i="5"/>
  <c r="IT769" i="5"/>
  <c r="IU769" i="5"/>
  <c r="IT768" i="5"/>
  <c r="IU768" i="5"/>
  <c r="IV768" i="5" s="1"/>
  <c r="IT767" i="5"/>
  <c r="IU767" i="5"/>
  <c r="IT766" i="5"/>
  <c r="IU766" i="5"/>
  <c r="IT765" i="5"/>
  <c r="IU765" i="5"/>
  <c r="GU764" i="5"/>
  <c r="GV764" i="5"/>
  <c r="GW764" i="5"/>
  <c r="GX764" i="5"/>
  <c r="GY764" i="5"/>
  <c r="GZ764" i="5"/>
  <c r="HA764" i="5"/>
  <c r="HB764" i="5"/>
  <c r="HC764" i="5"/>
  <c r="HD764" i="5"/>
  <c r="HE764" i="5"/>
  <c r="HF764" i="5"/>
  <c r="IT763" i="5"/>
  <c r="IU763" i="5"/>
  <c r="IT762" i="5"/>
  <c r="IU762" i="5"/>
  <c r="IT761" i="5"/>
  <c r="IU761" i="5"/>
  <c r="IT760" i="5"/>
  <c r="IU760" i="5"/>
  <c r="IT756" i="5"/>
  <c r="IU756" i="5"/>
  <c r="IT752" i="5"/>
  <c r="IU752" i="5"/>
  <c r="IT751" i="5"/>
  <c r="IU751" i="5"/>
  <c r="IT750" i="5"/>
  <c r="IU750" i="5"/>
  <c r="IT748" i="5"/>
  <c r="IU748" i="5"/>
  <c r="IT746" i="5"/>
  <c r="IU746" i="5"/>
  <c r="IT745" i="5"/>
  <c r="IU745" i="5"/>
  <c r="IT744" i="5"/>
  <c r="IU744" i="5"/>
  <c r="GU743" i="5"/>
  <c r="GV743" i="5"/>
  <c r="GW743" i="5"/>
  <c r="GX743" i="5"/>
  <c r="GY743" i="5"/>
  <c r="GZ743" i="5"/>
  <c r="HA743" i="5"/>
  <c r="HB743" i="5"/>
  <c r="HC743" i="5"/>
  <c r="HD743" i="5"/>
  <c r="HE743" i="5"/>
  <c r="HF743" i="5"/>
  <c r="IT742" i="5"/>
  <c r="IU742" i="5"/>
  <c r="IT741" i="5"/>
  <c r="IU741" i="5"/>
  <c r="IT740" i="5"/>
  <c r="IU740" i="5"/>
  <c r="GU739" i="5"/>
  <c r="GV739" i="5"/>
  <c r="GW739" i="5"/>
  <c r="GX739" i="5"/>
  <c r="GY739" i="5"/>
  <c r="GZ739" i="5"/>
  <c r="HA739" i="5"/>
  <c r="HB739" i="5"/>
  <c r="HC739" i="5"/>
  <c r="HD739" i="5"/>
  <c r="HE739" i="5"/>
  <c r="HF739" i="5"/>
  <c r="IT738" i="5"/>
  <c r="IU738" i="5"/>
  <c r="GU736" i="5"/>
  <c r="GV736" i="5"/>
  <c r="GW736" i="5"/>
  <c r="GX736" i="5"/>
  <c r="GY736" i="5"/>
  <c r="GZ736" i="5"/>
  <c r="HA736" i="5"/>
  <c r="HB736" i="5"/>
  <c r="HC736" i="5"/>
  <c r="HD736" i="5"/>
  <c r="HE736" i="5"/>
  <c r="HF736" i="5"/>
  <c r="IT735" i="5"/>
  <c r="IU735" i="5"/>
  <c r="IT734" i="5"/>
  <c r="IU734" i="5"/>
  <c r="GU733" i="5"/>
  <c r="GV733" i="5"/>
  <c r="GW733" i="5"/>
  <c r="GX733" i="5"/>
  <c r="GY733" i="5"/>
  <c r="GZ733" i="5"/>
  <c r="HA733" i="5"/>
  <c r="HB733" i="5"/>
  <c r="HC733" i="5"/>
  <c r="HD733" i="5"/>
  <c r="HE733" i="5"/>
  <c r="HF733" i="5"/>
  <c r="GU732" i="5"/>
  <c r="GV732" i="5"/>
  <c r="GW732" i="5"/>
  <c r="GX732" i="5"/>
  <c r="GY732" i="5"/>
  <c r="GZ732" i="5"/>
  <c r="HA732" i="5"/>
  <c r="HB732" i="5"/>
  <c r="HC732" i="5"/>
  <c r="HD732" i="5"/>
  <c r="HE732" i="5"/>
  <c r="HF732" i="5"/>
  <c r="IT727" i="5"/>
  <c r="IU727" i="5"/>
  <c r="IU725" i="5"/>
  <c r="IV725" i="5" s="1"/>
  <c r="AI1047" i="2" s="1"/>
  <c r="IT720" i="5"/>
  <c r="IU720" i="5"/>
  <c r="IT716" i="5"/>
  <c r="IU716" i="5"/>
  <c r="IT715" i="5"/>
  <c r="IU715" i="5"/>
  <c r="IT714" i="5"/>
  <c r="IU714" i="5"/>
  <c r="IT713" i="5"/>
  <c r="IU713" i="5"/>
  <c r="IT712" i="5"/>
  <c r="IU712" i="5"/>
  <c r="IT711" i="5"/>
  <c r="IU711" i="5"/>
  <c r="IT710" i="5"/>
  <c r="IU710" i="5"/>
  <c r="IT709" i="5"/>
  <c r="IU709" i="5"/>
  <c r="IT708" i="5"/>
  <c r="IU708" i="5"/>
  <c r="GU705" i="5"/>
  <c r="GV705" i="5"/>
  <c r="GW705" i="5"/>
  <c r="GX705" i="5"/>
  <c r="GY705" i="5"/>
  <c r="GZ705" i="5"/>
  <c r="HA705" i="5"/>
  <c r="HB705" i="5"/>
  <c r="HC705" i="5"/>
  <c r="HD705" i="5"/>
  <c r="HE705" i="5"/>
  <c r="HF705" i="5"/>
  <c r="GU704" i="5"/>
  <c r="GV704" i="5"/>
  <c r="GW704" i="5"/>
  <c r="GX704" i="5"/>
  <c r="GY704" i="5"/>
  <c r="GZ704" i="5"/>
  <c r="HA704" i="5"/>
  <c r="HB704" i="5"/>
  <c r="HC704" i="5"/>
  <c r="HD704" i="5"/>
  <c r="HE704" i="5"/>
  <c r="HF704" i="5"/>
  <c r="GU703" i="5"/>
  <c r="GV703" i="5"/>
  <c r="GW703" i="5"/>
  <c r="GX703" i="5"/>
  <c r="GY703" i="5"/>
  <c r="GZ703" i="5"/>
  <c r="HA703" i="5"/>
  <c r="HB703" i="5"/>
  <c r="HC703" i="5"/>
  <c r="HD703" i="5"/>
  <c r="HE703" i="5"/>
  <c r="HF703" i="5"/>
  <c r="GU702" i="5"/>
  <c r="GV702" i="5"/>
  <c r="GW702" i="5"/>
  <c r="GX702" i="5"/>
  <c r="GY702" i="5"/>
  <c r="GZ702" i="5"/>
  <c r="HA702" i="5"/>
  <c r="HB702" i="5"/>
  <c r="HC702" i="5"/>
  <c r="HD702" i="5"/>
  <c r="HE702" i="5"/>
  <c r="HF702" i="5"/>
  <c r="GU701" i="5"/>
  <c r="GV701" i="5"/>
  <c r="GW701" i="5"/>
  <c r="GX701" i="5"/>
  <c r="GY701" i="5"/>
  <c r="GZ701" i="5"/>
  <c r="HA701" i="5"/>
  <c r="HB701" i="5"/>
  <c r="HC701" i="5"/>
  <c r="HD701" i="5"/>
  <c r="HE701" i="5"/>
  <c r="HF701" i="5"/>
  <c r="IT700" i="5"/>
  <c r="IU700" i="5"/>
  <c r="IT699" i="5"/>
  <c r="IU699" i="5"/>
  <c r="GU698" i="5"/>
  <c r="GV698" i="5"/>
  <c r="GW698" i="5"/>
  <c r="GX698" i="5"/>
  <c r="GY698" i="5"/>
  <c r="GZ698" i="5"/>
  <c r="HA698" i="5"/>
  <c r="HB698" i="5"/>
  <c r="HC698" i="5"/>
  <c r="HD698" i="5"/>
  <c r="HE698" i="5"/>
  <c r="HF698" i="5"/>
  <c r="GU696" i="5"/>
  <c r="GV696" i="5"/>
  <c r="GW696" i="5"/>
  <c r="GX696" i="5"/>
  <c r="GY696" i="5"/>
  <c r="GZ696" i="5"/>
  <c r="HA696" i="5"/>
  <c r="HB696" i="5"/>
  <c r="HC696" i="5"/>
  <c r="HD696" i="5"/>
  <c r="HE696" i="5"/>
  <c r="HF696" i="5"/>
  <c r="GU695" i="5"/>
  <c r="GV695" i="5"/>
  <c r="GW695" i="5"/>
  <c r="GX695" i="5"/>
  <c r="GY695" i="5"/>
  <c r="GZ695" i="5"/>
  <c r="HA695" i="5"/>
  <c r="HB695" i="5"/>
  <c r="HC695" i="5"/>
  <c r="HD695" i="5"/>
  <c r="HE695" i="5"/>
  <c r="HF695" i="5"/>
  <c r="IT694" i="5"/>
  <c r="IU694" i="5"/>
  <c r="GU693" i="5"/>
  <c r="GV693" i="5"/>
  <c r="GW693" i="5"/>
  <c r="GX693" i="5"/>
  <c r="GY693" i="5"/>
  <c r="GZ693" i="5"/>
  <c r="HA693" i="5"/>
  <c r="HB693" i="5"/>
  <c r="HC693" i="5"/>
  <c r="HD693" i="5"/>
  <c r="HE693" i="5"/>
  <c r="HF693" i="5"/>
  <c r="GU692" i="5"/>
  <c r="GV692" i="5"/>
  <c r="GW692" i="5"/>
  <c r="GX692" i="5"/>
  <c r="GY692" i="5"/>
  <c r="GZ692" i="5"/>
  <c r="HA692" i="5"/>
  <c r="HB692" i="5"/>
  <c r="HC692" i="5"/>
  <c r="HD692" i="5"/>
  <c r="HE692" i="5"/>
  <c r="HF692" i="5"/>
  <c r="GU691" i="5"/>
  <c r="GV691" i="5"/>
  <c r="GW691" i="5"/>
  <c r="GX691" i="5"/>
  <c r="GY691" i="5"/>
  <c r="GZ691" i="5"/>
  <c r="HA691" i="5"/>
  <c r="HB691" i="5"/>
  <c r="HC691" i="5"/>
  <c r="HD691" i="5"/>
  <c r="HE691" i="5"/>
  <c r="HF691" i="5"/>
  <c r="GU690" i="5"/>
  <c r="GV690" i="5"/>
  <c r="GW690" i="5"/>
  <c r="GX690" i="5"/>
  <c r="GY690" i="5"/>
  <c r="GZ690" i="5"/>
  <c r="HA690" i="5"/>
  <c r="HB690" i="5"/>
  <c r="HC690" i="5"/>
  <c r="HD690" i="5"/>
  <c r="HE690" i="5"/>
  <c r="HF690" i="5"/>
  <c r="GU689" i="5"/>
  <c r="GV689" i="5"/>
  <c r="GW689" i="5"/>
  <c r="GX689" i="5"/>
  <c r="GY689" i="5"/>
  <c r="GZ689" i="5"/>
  <c r="HA689" i="5"/>
  <c r="HB689" i="5"/>
  <c r="HC689" i="5"/>
  <c r="HD689" i="5"/>
  <c r="HE689" i="5"/>
  <c r="HF689" i="5"/>
  <c r="IT688" i="5"/>
  <c r="IU688" i="5"/>
  <c r="IT687" i="5"/>
  <c r="IU687" i="5"/>
  <c r="GU686" i="5"/>
  <c r="GV686" i="5"/>
  <c r="GW686" i="5"/>
  <c r="GX686" i="5"/>
  <c r="GY686" i="5"/>
  <c r="GZ686" i="5"/>
  <c r="HA686" i="5"/>
  <c r="HB686" i="5"/>
  <c r="HC686" i="5"/>
  <c r="HD686" i="5"/>
  <c r="HE686" i="5"/>
  <c r="HF686" i="5"/>
  <c r="GU685" i="5"/>
  <c r="GV685" i="5"/>
  <c r="GW685" i="5"/>
  <c r="GX685" i="5"/>
  <c r="GY685" i="5"/>
  <c r="GZ685" i="5"/>
  <c r="HA685" i="5"/>
  <c r="HB685" i="5"/>
  <c r="HC685" i="5"/>
  <c r="HD685" i="5"/>
  <c r="HE685" i="5"/>
  <c r="HF685" i="5"/>
  <c r="GU684" i="5"/>
  <c r="GV684" i="5"/>
  <c r="GW684" i="5"/>
  <c r="GX684" i="5"/>
  <c r="GY684" i="5"/>
  <c r="GZ684" i="5"/>
  <c r="HA684" i="5"/>
  <c r="HB684" i="5"/>
  <c r="HC684" i="5"/>
  <c r="HD684" i="5"/>
  <c r="HE684" i="5"/>
  <c r="HF684" i="5"/>
  <c r="GU683" i="5"/>
  <c r="GV683" i="5"/>
  <c r="GW683" i="5"/>
  <c r="GX683" i="5"/>
  <c r="GY683" i="5"/>
  <c r="GZ683" i="5"/>
  <c r="HA683" i="5"/>
  <c r="HB683" i="5"/>
  <c r="HC683" i="5"/>
  <c r="HD683" i="5"/>
  <c r="HE683" i="5"/>
  <c r="HF683" i="5"/>
  <c r="GU682" i="5"/>
  <c r="GV682" i="5"/>
  <c r="GW682" i="5"/>
  <c r="GX682" i="5"/>
  <c r="GY682" i="5"/>
  <c r="GZ682" i="5"/>
  <c r="HA682" i="5"/>
  <c r="HB682" i="5"/>
  <c r="HC682" i="5"/>
  <c r="HD682" i="5"/>
  <c r="HE682" i="5"/>
  <c r="HF682" i="5"/>
  <c r="GU680" i="5"/>
  <c r="GV680" i="5"/>
  <c r="GW680" i="5"/>
  <c r="GX680" i="5"/>
  <c r="GY680" i="5"/>
  <c r="GZ680" i="5"/>
  <c r="HA680" i="5"/>
  <c r="HB680" i="5"/>
  <c r="HC680" i="5"/>
  <c r="HD680" i="5"/>
  <c r="HE680" i="5"/>
  <c r="HF680" i="5"/>
  <c r="GU679" i="5"/>
  <c r="GV679" i="5"/>
  <c r="GW679" i="5"/>
  <c r="GX679" i="5"/>
  <c r="GY679" i="5"/>
  <c r="GZ679" i="5"/>
  <c r="HA679" i="5"/>
  <c r="HB679" i="5"/>
  <c r="HC679" i="5"/>
  <c r="HD679" i="5"/>
  <c r="HE679" i="5"/>
  <c r="HF679" i="5"/>
  <c r="GU678" i="5"/>
  <c r="GV678" i="5"/>
  <c r="GW678" i="5"/>
  <c r="GX678" i="5"/>
  <c r="GY678" i="5"/>
  <c r="GZ678" i="5"/>
  <c r="HA678" i="5"/>
  <c r="HB678" i="5"/>
  <c r="HC678" i="5"/>
  <c r="HD678" i="5"/>
  <c r="HE678" i="5"/>
  <c r="HF678" i="5"/>
  <c r="GU677" i="5"/>
  <c r="GV677" i="5"/>
  <c r="GW677" i="5"/>
  <c r="GX677" i="5"/>
  <c r="GY677" i="5"/>
  <c r="GZ677" i="5"/>
  <c r="HA677" i="5"/>
  <c r="HB677" i="5"/>
  <c r="HC677" i="5"/>
  <c r="HD677" i="5"/>
  <c r="HE677" i="5"/>
  <c r="HF677" i="5"/>
  <c r="IT676" i="5"/>
  <c r="IU676" i="5"/>
  <c r="GU675" i="5"/>
  <c r="GV675" i="5"/>
  <c r="GW675" i="5"/>
  <c r="GX675" i="5"/>
  <c r="GY675" i="5"/>
  <c r="GZ675" i="5"/>
  <c r="HA675" i="5"/>
  <c r="HB675" i="5"/>
  <c r="HC675" i="5"/>
  <c r="HD675" i="5"/>
  <c r="HE675" i="5"/>
  <c r="HF675" i="5"/>
  <c r="GU672" i="5"/>
  <c r="GV672" i="5"/>
  <c r="GW672" i="5"/>
  <c r="GX672" i="5"/>
  <c r="GY672" i="5"/>
  <c r="GZ672" i="5"/>
  <c r="HA672" i="5"/>
  <c r="HB672" i="5"/>
  <c r="HC672" i="5"/>
  <c r="HD672" i="5"/>
  <c r="HE672" i="5"/>
  <c r="HF672" i="5"/>
  <c r="GU671" i="5"/>
  <c r="GV671" i="5"/>
  <c r="GW671" i="5"/>
  <c r="GX671" i="5"/>
  <c r="GY671" i="5"/>
  <c r="GZ671" i="5"/>
  <c r="HA671" i="5"/>
  <c r="HB671" i="5"/>
  <c r="HC671" i="5"/>
  <c r="HD671" i="5"/>
  <c r="HE671" i="5"/>
  <c r="HF671" i="5"/>
  <c r="IT670" i="5"/>
  <c r="IU670" i="5"/>
  <c r="GU669" i="5"/>
  <c r="GV669" i="5"/>
  <c r="GW669" i="5"/>
  <c r="GX669" i="5"/>
  <c r="GY669" i="5"/>
  <c r="GZ669" i="5"/>
  <c r="HA669" i="5"/>
  <c r="HB669" i="5"/>
  <c r="HC669" i="5"/>
  <c r="HD669" i="5"/>
  <c r="HE669" i="5"/>
  <c r="HF669" i="5"/>
  <c r="GI668" i="5"/>
  <c r="GI673" i="5"/>
  <c r="GI674" i="5"/>
  <c r="GI681" i="5"/>
  <c r="GI1135" i="5" s="1"/>
  <c r="GI697" i="5"/>
  <c r="GI1136" i="5" s="1"/>
  <c r="GI719" i="5"/>
  <c r="GI721" i="5"/>
  <c r="GI723" i="5"/>
  <c r="GI724" i="5"/>
  <c r="GI731" i="5"/>
  <c r="GI737" i="5"/>
  <c r="GI747" i="5"/>
  <c r="GJ668" i="5"/>
  <c r="GJ673" i="5"/>
  <c r="GJ674" i="5"/>
  <c r="GJ681" i="5"/>
  <c r="GJ1135" i="5" s="1"/>
  <c r="GJ697" i="5"/>
  <c r="GJ1136" i="5" s="1"/>
  <c r="GJ719" i="5"/>
  <c r="GJ721" i="5"/>
  <c r="GJ723" i="5"/>
  <c r="GJ724" i="5"/>
  <c r="GJ731" i="5"/>
  <c r="GJ737" i="5"/>
  <c r="GJ747" i="5"/>
  <c r="GK668" i="5"/>
  <c r="GK673" i="5"/>
  <c r="GK674" i="5"/>
  <c r="GK681" i="5"/>
  <c r="GK1135" i="5" s="1"/>
  <c r="GK697" i="5"/>
  <c r="GK1136" i="5" s="1"/>
  <c r="GK719" i="5"/>
  <c r="GK721" i="5"/>
  <c r="GK723" i="5"/>
  <c r="GK724" i="5"/>
  <c r="GK731" i="5"/>
  <c r="GK737" i="5"/>
  <c r="GK747" i="5"/>
  <c r="GL668" i="5"/>
  <c r="GL673" i="5"/>
  <c r="GL674" i="5"/>
  <c r="GL681" i="5"/>
  <c r="GL1135" i="5" s="1"/>
  <c r="GL697" i="5"/>
  <c r="GL1136" i="5" s="1"/>
  <c r="GL719" i="5"/>
  <c r="GL721" i="5"/>
  <c r="GL723" i="5"/>
  <c r="GL724" i="5"/>
  <c r="GL731" i="5"/>
  <c r="GL737" i="5"/>
  <c r="GL747" i="5"/>
  <c r="GM668" i="5"/>
  <c r="GM673" i="5"/>
  <c r="GM674" i="5"/>
  <c r="GM681" i="5"/>
  <c r="GM1135" i="5" s="1"/>
  <c r="GM697" i="5"/>
  <c r="GM1136" i="5" s="1"/>
  <c r="GM719" i="5"/>
  <c r="GM721" i="5"/>
  <c r="GM723" i="5"/>
  <c r="GM724" i="5"/>
  <c r="GM731" i="5"/>
  <c r="GM737" i="5"/>
  <c r="GM747" i="5"/>
  <c r="GN668" i="5"/>
  <c r="GN673" i="5"/>
  <c r="GN674" i="5"/>
  <c r="GN681" i="5"/>
  <c r="GN1135" i="5" s="1"/>
  <c r="GN697" i="5"/>
  <c r="GN1136" i="5" s="1"/>
  <c r="GN719" i="5"/>
  <c r="GN721" i="5"/>
  <c r="GN723" i="5"/>
  <c r="GN724" i="5"/>
  <c r="GN731" i="5"/>
  <c r="GN737" i="5"/>
  <c r="GN747" i="5"/>
  <c r="GO668" i="5"/>
  <c r="GO673" i="5"/>
  <c r="GO674" i="5"/>
  <c r="GO681" i="5"/>
  <c r="GO1135" i="5" s="1"/>
  <c r="GO697" i="5"/>
  <c r="GO1136" i="5" s="1"/>
  <c r="GO719" i="5"/>
  <c r="GO721" i="5"/>
  <c r="GO723" i="5"/>
  <c r="GO724" i="5"/>
  <c r="GO731" i="5"/>
  <c r="GO737" i="5"/>
  <c r="GO747" i="5"/>
  <c r="GP668" i="5"/>
  <c r="GP673" i="5"/>
  <c r="GP674" i="5"/>
  <c r="GP681" i="5"/>
  <c r="GP1135" i="5" s="1"/>
  <c r="GP697" i="5"/>
  <c r="GP1136" i="5" s="1"/>
  <c r="GP719" i="5"/>
  <c r="GP721" i="5"/>
  <c r="GP723" i="5"/>
  <c r="GP724" i="5"/>
  <c r="GP731" i="5"/>
  <c r="GP737" i="5"/>
  <c r="GP747" i="5"/>
  <c r="GQ668" i="5"/>
  <c r="GQ673" i="5"/>
  <c r="GQ674" i="5"/>
  <c r="GQ681" i="5"/>
  <c r="GQ1135" i="5" s="1"/>
  <c r="GQ697" i="5"/>
  <c r="GQ1136" i="5" s="1"/>
  <c r="GQ719" i="5"/>
  <c r="GQ721" i="5"/>
  <c r="GQ723" i="5"/>
  <c r="GQ724" i="5"/>
  <c r="GQ731" i="5"/>
  <c r="GQ737" i="5"/>
  <c r="GQ747" i="5"/>
  <c r="GR668" i="5"/>
  <c r="GR673" i="5"/>
  <c r="GR674" i="5"/>
  <c r="GR681" i="5"/>
  <c r="GR1135" i="5" s="1"/>
  <c r="GR697" i="5"/>
  <c r="GR1136" i="5" s="1"/>
  <c r="GR719" i="5"/>
  <c r="GR721" i="5"/>
  <c r="GR723" i="5"/>
  <c r="GR724" i="5"/>
  <c r="GR731" i="5"/>
  <c r="GR737" i="5"/>
  <c r="GR747" i="5"/>
  <c r="GS668" i="5"/>
  <c r="GS673" i="5"/>
  <c r="GS674" i="5"/>
  <c r="GS681" i="5"/>
  <c r="GS1135" i="5" s="1"/>
  <c r="GS697" i="5"/>
  <c r="GS1136" i="5" s="1"/>
  <c r="GS719" i="5"/>
  <c r="GS721" i="5"/>
  <c r="GS723" i="5"/>
  <c r="GS724" i="5"/>
  <c r="GS731" i="5"/>
  <c r="GS737" i="5"/>
  <c r="GS747" i="5"/>
  <c r="GT668" i="5"/>
  <c r="GT673" i="5"/>
  <c r="GT674" i="5"/>
  <c r="GT681" i="5"/>
  <c r="GT1135" i="5" s="1"/>
  <c r="GT697" i="5"/>
  <c r="GT1136" i="5" s="1"/>
  <c r="GT719" i="5"/>
  <c r="GT721" i="5"/>
  <c r="GT723" i="5"/>
  <c r="GT724" i="5"/>
  <c r="GT731" i="5"/>
  <c r="GT737" i="5"/>
  <c r="GT747" i="5"/>
  <c r="GI669" i="5"/>
  <c r="GJ669" i="5"/>
  <c r="GK669" i="5"/>
  <c r="GL669" i="5"/>
  <c r="GM669" i="5"/>
  <c r="GN669" i="5"/>
  <c r="GO669" i="5"/>
  <c r="GP669" i="5"/>
  <c r="GQ669" i="5"/>
  <c r="GR669" i="5"/>
  <c r="GS669" i="5"/>
  <c r="GT669" i="5"/>
  <c r="IQ670" i="5"/>
  <c r="IR670" i="5"/>
  <c r="GI671" i="5"/>
  <c r="GJ671" i="5"/>
  <c r="GK671" i="5"/>
  <c r="GL671" i="5"/>
  <c r="GM671" i="5"/>
  <c r="GN671" i="5"/>
  <c r="GO671" i="5"/>
  <c r="GP671" i="5"/>
  <c r="GQ671" i="5"/>
  <c r="GR671" i="5"/>
  <c r="GS671" i="5"/>
  <c r="GT671" i="5"/>
  <c r="GI672" i="5"/>
  <c r="GJ672" i="5"/>
  <c r="GK672" i="5"/>
  <c r="GL672" i="5"/>
  <c r="GM672" i="5"/>
  <c r="GN672" i="5"/>
  <c r="GO672" i="5"/>
  <c r="GP672" i="5"/>
  <c r="GQ672" i="5"/>
  <c r="GR672" i="5"/>
  <c r="GS672" i="5"/>
  <c r="GT672" i="5"/>
  <c r="GI675" i="5"/>
  <c r="GJ675" i="5"/>
  <c r="GK675" i="5"/>
  <c r="GL675" i="5"/>
  <c r="GM675" i="5"/>
  <c r="GN675" i="5"/>
  <c r="GO675" i="5"/>
  <c r="GP675" i="5"/>
  <c r="GQ675" i="5"/>
  <c r="GR675" i="5"/>
  <c r="GS675" i="5"/>
  <c r="GT675" i="5"/>
  <c r="IQ676" i="5"/>
  <c r="IR676" i="5"/>
  <c r="GI677" i="5"/>
  <c r="GJ677" i="5"/>
  <c r="GK677" i="5"/>
  <c r="GL677" i="5"/>
  <c r="GM677" i="5"/>
  <c r="GN677" i="5"/>
  <c r="GO677" i="5"/>
  <c r="GP677" i="5"/>
  <c r="GQ677" i="5"/>
  <c r="GR677" i="5"/>
  <c r="GS677" i="5"/>
  <c r="GT677" i="5"/>
  <c r="GI678" i="5"/>
  <c r="GJ678" i="5"/>
  <c r="GK678" i="5"/>
  <c r="GL678" i="5"/>
  <c r="GM678" i="5"/>
  <c r="GN678" i="5"/>
  <c r="GO678" i="5"/>
  <c r="GP678" i="5"/>
  <c r="GQ678" i="5"/>
  <c r="GR678" i="5"/>
  <c r="GS678" i="5"/>
  <c r="GT678" i="5"/>
  <c r="GI679" i="5"/>
  <c r="GJ679" i="5"/>
  <c r="GK679" i="5"/>
  <c r="GL679" i="5"/>
  <c r="GM679" i="5"/>
  <c r="GN679" i="5"/>
  <c r="GO679" i="5"/>
  <c r="GP679" i="5"/>
  <c r="GQ679" i="5"/>
  <c r="GR679" i="5"/>
  <c r="GS679" i="5"/>
  <c r="GT679" i="5"/>
  <c r="GI680" i="5"/>
  <c r="GJ680" i="5"/>
  <c r="GK680" i="5"/>
  <c r="GL680" i="5"/>
  <c r="GM680" i="5"/>
  <c r="GN680" i="5"/>
  <c r="GO680" i="5"/>
  <c r="GP680" i="5"/>
  <c r="GQ680" i="5"/>
  <c r="GR680" i="5"/>
  <c r="GS680" i="5"/>
  <c r="GT680" i="5"/>
  <c r="GI682" i="5"/>
  <c r="GJ682" i="5"/>
  <c r="GK682" i="5"/>
  <c r="GL682" i="5"/>
  <c r="GM682" i="5"/>
  <c r="GN682" i="5"/>
  <c r="GO682" i="5"/>
  <c r="GP682" i="5"/>
  <c r="GQ682" i="5"/>
  <c r="GR682" i="5"/>
  <c r="GS682" i="5"/>
  <c r="GT682" i="5"/>
  <c r="GI683" i="5"/>
  <c r="GJ683" i="5"/>
  <c r="GK683" i="5"/>
  <c r="GL683" i="5"/>
  <c r="GM683" i="5"/>
  <c r="GN683" i="5"/>
  <c r="GO683" i="5"/>
  <c r="GP683" i="5"/>
  <c r="GQ683" i="5"/>
  <c r="GR683" i="5"/>
  <c r="GS683" i="5"/>
  <c r="GT683" i="5"/>
  <c r="GI684" i="5"/>
  <c r="GJ684" i="5"/>
  <c r="GK684" i="5"/>
  <c r="GL684" i="5"/>
  <c r="GM684" i="5"/>
  <c r="GN684" i="5"/>
  <c r="GO684" i="5"/>
  <c r="GP684" i="5"/>
  <c r="GQ684" i="5"/>
  <c r="GR684" i="5"/>
  <c r="GS684" i="5"/>
  <c r="GT684" i="5"/>
  <c r="GI685" i="5"/>
  <c r="GJ685" i="5"/>
  <c r="GK685" i="5"/>
  <c r="GL685" i="5"/>
  <c r="GM685" i="5"/>
  <c r="GN685" i="5"/>
  <c r="GO685" i="5"/>
  <c r="GP685" i="5"/>
  <c r="GQ685" i="5"/>
  <c r="GR685" i="5"/>
  <c r="GS685" i="5"/>
  <c r="GT685" i="5"/>
  <c r="GI686" i="5"/>
  <c r="GJ686" i="5"/>
  <c r="GK686" i="5"/>
  <c r="GL686" i="5"/>
  <c r="GM686" i="5"/>
  <c r="GN686" i="5"/>
  <c r="GO686" i="5"/>
  <c r="GP686" i="5"/>
  <c r="GQ686" i="5"/>
  <c r="GR686" i="5"/>
  <c r="GS686" i="5"/>
  <c r="GT686" i="5"/>
  <c r="IQ687" i="5"/>
  <c r="IR687" i="5"/>
  <c r="IQ688" i="5"/>
  <c r="IR688" i="5"/>
  <c r="GI689" i="5"/>
  <c r="GJ689" i="5"/>
  <c r="GK689" i="5"/>
  <c r="GL689" i="5"/>
  <c r="GM689" i="5"/>
  <c r="GN689" i="5"/>
  <c r="GO689" i="5"/>
  <c r="GP689" i="5"/>
  <c r="GQ689" i="5"/>
  <c r="GR689" i="5"/>
  <c r="GS689" i="5"/>
  <c r="GT689" i="5"/>
  <c r="GI690" i="5"/>
  <c r="GJ690" i="5"/>
  <c r="GK690" i="5"/>
  <c r="GL690" i="5"/>
  <c r="GM690" i="5"/>
  <c r="GN690" i="5"/>
  <c r="GO690" i="5"/>
  <c r="GP690" i="5"/>
  <c r="GQ690" i="5"/>
  <c r="GR690" i="5"/>
  <c r="GS690" i="5"/>
  <c r="GT690" i="5"/>
  <c r="GI691" i="5"/>
  <c r="GJ691" i="5"/>
  <c r="GK691" i="5"/>
  <c r="GL691" i="5"/>
  <c r="GM691" i="5"/>
  <c r="GN691" i="5"/>
  <c r="GO691" i="5"/>
  <c r="GP691" i="5"/>
  <c r="GQ691" i="5"/>
  <c r="GR691" i="5"/>
  <c r="GS691" i="5"/>
  <c r="GT691" i="5"/>
  <c r="GI692" i="5"/>
  <c r="GJ692" i="5"/>
  <c r="GK692" i="5"/>
  <c r="GL692" i="5"/>
  <c r="GM692" i="5"/>
  <c r="GN692" i="5"/>
  <c r="GO692" i="5"/>
  <c r="GP692" i="5"/>
  <c r="GQ692" i="5"/>
  <c r="GR692" i="5"/>
  <c r="GS692" i="5"/>
  <c r="GT692" i="5"/>
  <c r="GI693" i="5"/>
  <c r="GJ693" i="5"/>
  <c r="GK693" i="5"/>
  <c r="GL693" i="5"/>
  <c r="GM693" i="5"/>
  <c r="GN693" i="5"/>
  <c r="GO693" i="5"/>
  <c r="GP693" i="5"/>
  <c r="GQ693" i="5"/>
  <c r="GR693" i="5"/>
  <c r="GS693" i="5"/>
  <c r="GT693" i="5"/>
  <c r="IQ694" i="5"/>
  <c r="IR694" i="5"/>
  <c r="IQ695" i="5"/>
  <c r="IR695" i="5"/>
  <c r="GI696" i="5"/>
  <c r="GJ696" i="5"/>
  <c r="GK696" i="5"/>
  <c r="GL696" i="5"/>
  <c r="GM696" i="5"/>
  <c r="GN696" i="5"/>
  <c r="GO696" i="5"/>
  <c r="GP696" i="5"/>
  <c r="GQ696" i="5"/>
  <c r="GR696" i="5"/>
  <c r="GS696" i="5"/>
  <c r="GT696" i="5"/>
  <c r="GI698" i="5"/>
  <c r="GJ698" i="5"/>
  <c r="GK698" i="5"/>
  <c r="GL698" i="5"/>
  <c r="GM698" i="5"/>
  <c r="GN698" i="5"/>
  <c r="GO698" i="5"/>
  <c r="GP698" i="5"/>
  <c r="GQ698" i="5"/>
  <c r="GR698" i="5"/>
  <c r="GS698" i="5"/>
  <c r="GT698" i="5"/>
  <c r="IQ699" i="5"/>
  <c r="IR699" i="5"/>
  <c r="IQ700" i="5"/>
  <c r="IR700" i="5"/>
  <c r="GI701" i="5"/>
  <c r="GJ701" i="5"/>
  <c r="GK701" i="5"/>
  <c r="GL701" i="5"/>
  <c r="GM701" i="5"/>
  <c r="GN701" i="5"/>
  <c r="GO701" i="5"/>
  <c r="GP701" i="5"/>
  <c r="GQ701" i="5"/>
  <c r="GR701" i="5"/>
  <c r="GS701" i="5"/>
  <c r="GT701" i="5"/>
  <c r="GI702" i="5"/>
  <c r="GJ702" i="5"/>
  <c r="GK702" i="5"/>
  <c r="GL702" i="5"/>
  <c r="GM702" i="5"/>
  <c r="GN702" i="5"/>
  <c r="GO702" i="5"/>
  <c r="GP702" i="5"/>
  <c r="GQ702" i="5"/>
  <c r="GR702" i="5"/>
  <c r="GS702" i="5"/>
  <c r="GT702" i="5"/>
  <c r="GI703" i="5"/>
  <c r="GJ703" i="5"/>
  <c r="GK703" i="5"/>
  <c r="GL703" i="5"/>
  <c r="GM703" i="5"/>
  <c r="GN703" i="5"/>
  <c r="GO703" i="5"/>
  <c r="GP703" i="5"/>
  <c r="GQ703" i="5"/>
  <c r="GR703" i="5"/>
  <c r="GS703" i="5"/>
  <c r="GT703" i="5"/>
  <c r="GI704" i="5"/>
  <c r="GJ704" i="5"/>
  <c r="GK704" i="5"/>
  <c r="GL704" i="5"/>
  <c r="GM704" i="5"/>
  <c r="GN704" i="5"/>
  <c r="GO704" i="5"/>
  <c r="GP704" i="5"/>
  <c r="GQ704" i="5"/>
  <c r="GR704" i="5"/>
  <c r="GS704" i="5"/>
  <c r="GT704" i="5"/>
  <c r="GI705" i="5"/>
  <c r="GJ705" i="5"/>
  <c r="GK705" i="5"/>
  <c r="GL705" i="5"/>
  <c r="GM705" i="5"/>
  <c r="GN705" i="5"/>
  <c r="GO705" i="5"/>
  <c r="GP705" i="5"/>
  <c r="GQ705" i="5"/>
  <c r="GR705" i="5"/>
  <c r="GS705" i="5"/>
  <c r="GT705" i="5"/>
  <c r="GI706" i="5"/>
  <c r="GJ706" i="5"/>
  <c r="GK706" i="5"/>
  <c r="GL706" i="5"/>
  <c r="GM706" i="5"/>
  <c r="GN706" i="5"/>
  <c r="GO706" i="5"/>
  <c r="GP706" i="5"/>
  <c r="GQ706" i="5"/>
  <c r="GR706" i="5"/>
  <c r="GS706" i="5"/>
  <c r="GT706" i="5"/>
  <c r="IQ707" i="5"/>
  <c r="IQ977" i="5" s="1"/>
  <c r="IR707" i="5"/>
  <c r="IQ708" i="5"/>
  <c r="IR708" i="5"/>
  <c r="IQ709" i="5"/>
  <c r="IR709" i="5"/>
  <c r="IQ710" i="5"/>
  <c r="IR710" i="5"/>
  <c r="IQ711" i="5"/>
  <c r="IR711" i="5"/>
  <c r="IQ712" i="5"/>
  <c r="IR712" i="5"/>
  <c r="IQ713" i="5"/>
  <c r="IR713" i="5"/>
  <c r="IQ714" i="5"/>
  <c r="IR714" i="5"/>
  <c r="IQ715" i="5"/>
  <c r="IR715" i="5"/>
  <c r="IQ716" i="5"/>
  <c r="IR716" i="5"/>
  <c r="IQ720" i="5"/>
  <c r="IR720" i="5"/>
  <c r="IQ725" i="5"/>
  <c r="IR725" i="5"/>
  <c r="IQ726" i="5"/>
  <c r="IR726" i="5"/>
  <c r="IQ727" i="5"/>
  <c r="IR727" i="5"/>
  <c r="IQ728" i="5"/>
  <c r="IR728" i="5"/>
  <c r="IQ729" i="5"/>
  <c r="IR729" i="5"/>
  <c r="GI732" i="5"/>
  <c r="GJ732" i="5"/>
  <c r="GK732" i="5"/>
  <c r="GL732" i="5"/>
  <c r="GM732" i="5"/>
  <c r="GN732" i="5"/>
  <c r="GO732" i="5"/>
  <c r="GP732" i="5"/>
  <c r="GQ732" i="5"/>
  <c r="GR732" i="5"/>
  <c r="GS732" i="5"/>
  <c r="GT732" i="5"/>
  <c r="IQ733" i="5"/>
  <c r="IR733" i="5"/>
  <c r="IQ734" i="5"/>
  <c r="IR734" i="5"/>
  <c r="IQ735" i="5"/>
  <c r="IR735" i="5"/>
  <c r="AK1057" i="2" s="1"/>
  <c r="AL1057" i="2" s="1"/>
  <c r="AM1057" i="2" s="1"/>
  <c r="JH735" i="5" s="1"/>
  <c r="GI736" i="5"/>
  <c r="GJ736" i="5"/>
  <c r="GK736" i="5"/>
  <c r="GL736" i="5"/>
  <c r="GM736" i="5"/>
  <c r="GN736" i="5"/>
  <c r="GO736" i="5"/>
  <c r="GP736" i="5"/>
  <c r="GQ736" i="5"/>
  <c r="GR736" i="5"/>
  <c r="GS736" i="5"/>
  <c r="GT736" i="5"/>
  <c r="IQ738" i="5"/>
  <c r="IR738" i="5"/>
  <c r="GI739" i="5"/>
  <c r="GJ739" i="5"/>
  <c r="GK739" i="5"/>
  <c r="GL739" i="5"/>
  <c r="GM739" i="5"/>
  <c r="GN739" i="5"/>
  <c r="GO739" i="5"/>
  <c r="GP739" i="5"/>
  <c r="GQ739" i="5"/>
  <c r="GR739" i="5"/>
  <c r="GS739" i="5"/>
  <c r="GT739" i="5"/>
  <c r="IQ740" i="5"/>
  <c r="IR740" i="5"/>
  <c r="IQ741" i="5"/>
  <c r="IR741" i="5"/>
  <c r="IQ742" i="5"/>
  <c r="IR742" i="5"/>
  <c r="GI743" i="5"/>
  <c r="GJ743" i="5"/>
  <c r="GK743" i="5"/>
  <c r="GL743" i="5"/>
  <c r="GM743" i="5"/>
  <c r="GN743" i="5"/>
  <c r="GO743" i="5"/>
  <c r="GP743" i="5"/>
  <c r="GQ743" i="5"/>
  <c r="GR743" i="5"/>
  <c r="GS743" i="5"/>
  <c r="GT743" i="5"/>
  <c r="IQ744" i="5"/>
  <c r="IR744" i="5"/>
  <c r="IQ745" i="5"/>
  <c r="IR745" i="5"/>
  <c r="IQ746" i="5"/>
  <c r="IR746" i="5"/>
  <c r="IQ748" i="5"/>
  <c r="IR748" i="5"/>
  <c r="IQ749" i="5"/>
  <c r="IR749" i="5"/>
  <c r="IQ750" i="5"/>
  <c r="IR750" i="5"/>
  <c r="IQ751" i="5"/>
  <c r="IR751" i="5"/>
  <c r="IQ752" i="5"/>
  <c r="IR752" i="5"/>
  <c r="IQ753" i="5"/>
  <c r="IR753" i="5"/>
  <c r="GI755" i="5"/>
  <c r="GI1143" i="5" s="1"/>
  <c r="GI757" i="5"/>
  <c r="GI393" i="5"/>
  <c r="GI789" i="5"/>
  <c r="GI795" i="5"/>
  <c r="GI811" i="5"/>
  <c r="GI813" i="5"/>
  <c r="GI1148" i="5" s="1"/>
  <c r="GJ755" i="5"/>
  <c r="GJ1143" i="5" s="1"/>
  <c r="GJ757" i="5"/>
  <c r="GJ393" i="5"/>
  <c r="GJ780" i="5" s="1"/>
  <c r="GJ789" i="5"/>
  <c r="GJ795" i="5"/>
  <c r="GJ811" i="5"/>
  <c r="GJ813" i="5"/>
  <c r="GJ1148" i="5" s="1"/>
  <c r="GK755" i="5"/>
  <c r="GK1143" i="5" s="1"/>
  <c r="GK757" i="5"/>
  <c r="GK393" i="5"/>
  <c r="GK789" i="5"/>
  <c r="GK795" i="5"/>
  <c r="GK811" i="5"/>
  <c r="GK813" i="5"/>
  <c r="GK1148" i="5" s="1"/>
  <c r="GL755" i="5"/>
  <c r="GL1143" i="5" s="1"/>
  <c r="GL757" i="5"/>
  <c r="GL393" i="5"/>
  <c r="GL789" i="5"/>
  <c r="GL795" i="5"/>
  <c r="GL811" i="5"/>
  <c r="GL813" i="5"/>
  <c r="GL1148" i="5" s="1"/>
  <c r="GM755" i="5"/>
  <c r="GM1143" i="5" s="1"/>
  <c r="GM757" i="5"/>
  <c r="GM393" i="5"/>
  <c r="GM780" i="5" s="1"/>
  <c r="GM789" i="5"/>
  <c r="GM795" i="5"/>
  <c r="GM811" i="5"/>
  <c r="GM813" i="5"/>
  <c r="GM1148" i="5" s="1"/>
  <c r="GN755" i="5"/>
  <c r="GN1143" i="5" s="1"/>
  <c r="GN757" i="5"/>
  <c r="GN393" i="5"/>
  <c r="GN389" i="5" s="1"/>
  <c r="GN789" i="5"/>
  <c r="GN795" i="5"/>
  <c r="GN811" i="5"/>
  <c r="GN813" i="5"/>
  <c r="GN1148" i="5" s="1"/>
  <c r="GO755" i="5"/>
  <c r="GO1143" i="5" s="1"/>
  <c r="GO757" i="5"/>
  <c r="GO1144" i="5" s="1"/>
  <c r="GO780" i="5"/>
  <c r="GO789" i="5"/>
  <c r="GO795" i="5"/>
  <c r="GO811" i="5"/>
  <c r="GO813" i="5"/>
  <c r="GO1148" i="5" s="1"/>
  <c r="GP755" i="5"/>
  <c r="GP1143" i="5" s="1"/>
  <c r="GP757" i="5"/>
  <c r="GP1144" i="5" s="1"/>
  <c r="GP780" i="5"/>
  <c r="GP789" i="5"/>
  <c r="GP795" i="5"/>
  <c r="GP811" i="5"/>
  <c r="GP813" i="5"/>
  <c r="GP1148" i="5" s="1"/>
  <c r="GQ755" i="5"/>
  <c r="GQ1143" i="5" s="1"/>
  <c r="GQ757" i="5"/>
  <c r="GQ1144" i="5" s="1"/>
  <c r="GQ780" i="5"/>
  <c r="GQ789" i="5"/>
  <c r="GQ795" i="5"/>
  <c r="GQ811" i="5"/>
  <c r="GQ813" i="5"/>
  <c r="GQ1148" i="5" s="1"/>
  <c r="GR755" i="5"/>
  <c r="GR1143" i="5" s="1"/>
  <c r="GR757" i="5"/>
  <c r="GR1144" i="5" s="1"/>
  <c r="GR780" i="5"/>
  <c r="GR789" i="5"/>
  <c r="GR795" i="5"/>
  <c r="GR811" i="5"/>
  <c r="GR813" i="5"/>
  <c r="GR1148" i="5" s="1"/>
  <c r="GS755" i="5"/>
  <c r="GS1143" i="5" s="1"/>
  <c r="GS757" i="5"/>
  <c r="GS1144" i="5" s="1"/>
  <c r="GS780" i="5"/>
  <c r="GS789" i="5"/>
  <c r="GS795" i="5"/>
  <c r="GS811" i="5"/>
  <c r="GS813" i="5"/>
  <c r="GS1148" i="5" s="1"/>
  <c r="GT755" i="5"/>
  <c r="GT1143" i="5" s="1"/>
  <c r="GT757" i="5"/>
  <c r="GT1144" i="5" s="1"/>
  <c r="GT780" i="5"/>
  <c r="GT789" i="5"/>
  <c r="GT795" i="5"/>
  <c r="GT811" i="5"/>
  <c r="GT813" i="5"/>
  <c r="GT1148" i="5" s="1"/>
  <c r="GI400" i="5"/>
  <c r="GI822" i="5" s="1"/>
  <c r="GJ400" i="5"/>
  <c r="GJ822" i="5" s="1"/>
  <c r="GK400" i="5"/>
  <c r="GK822" i="5" s="1"/>
  <c r="GL400" i="5"/>
  <c r="GL822" i="5" s="1"/>
  <c r="GM400" i="5"/>
  <c r="GM822" i="5" s="1"/>
  <c r="GN400" i="5"/>
  <c r="GN822" i="5" s="1"/>
  <c r="GO400" i="5"/>
  <c r="GO822" i="5" s="1"/>
  <c r="GO1150" i="5" s="1"/>
  <c r="GP400" i="5"/>
  <c r="GP822" i="5" s="1"/>
  <c r="GP1150" i="5" s="1"/>
  <c r="GQ400" i="5"/>
  <c r="GQ822" i="5" s="1"/>
  <c r="GQ1150" i="5" s="1"/>
  <c r="GR400" i="5"/>
  <c r="GR822" i="5" s="1"/>
  <c r="GR1150" i="5" s="1"/>
  <c r="GS400" i="5"/>
  <c r="GS822" i="5" s="1"/>
  <c r="GS1150" i="5" s="1"/>
  <c r="GT400" i="5"/>
  <c r="GT822" i="5" s="1"/>
  <c r="GT1150" i="5" s="1"/>
  <c r="GI876" i="5"/>
  <c r="GI883" i="5"/>
  <c r="GI890" i="5"/>
  <c r="GJ876" i="5"/>
  <c r="GJ883" i="5"/>
  <c r="GJ890" i="5"/>
  <c r="GK876" i="5"/>
  <c r="GK883" i="5"/>
  <c r="GK890" i="5"/>
  <c r="GL876" i="5"/>
  <c r="GL883" i="5"/>
  <c r="GL890" i="5"/>
  <c r="GM876" i="5"/>
  <c r="GM883" i="5"/>
  <c r="GM890" i="5"/>
  <c r="GN876" i="5"/>
  <c r="GN883" i="5"/>
  <c r="GN890" i="5"/>
  <c r="GO876" i="5"/>
  <c r="GO890" i="5"/>
  <c r="GP876" i="5"/>
  <c r="GP890" i="5"/>
  <c r="GQ876" i="5"/>
  <c r="GQ890" i="5"/>
  <c r="GR876" i="5"/>
  <c r="GR891" i="5"/>
  <c r="GR890" i="5" s="1"/>
  <c r="GS876" i="5"/>
  <c r="GS890" i="5"/>
  <c r="GT876" i="5"/>
  <c r="GT890" i="5"/>
  <c r="GI900" i="5"/>
  <c r="GI903" i="5"/>
  <c r="GI906" i="5"/>
  <c r="GI909" i="5"/>
  <c r="GI922" i="5"/>
  <c r="GI929" i="5"/>
  <c r="GI928" i="5" s="1"/>
  <c r="GJ900" i="5"/>
  <c r="GJ903" i="5"/>
  <c r="GJ906" i="5"/>
  <c r="GJ909" i="5"/>
  <c r="GJ922" i="5"/>
  <c r="GJ929" i="5"/>
  <c r="GJ928" i="5" s="1"/>
  <c r="GK900" i="5"/>
  <c r="GK903" i="5"/>
  <c r="GK906" i="5"/>
  <c r="GK909" i="5"/>
  <c r="GK922" i="5"/>
  <c r="GK929" i="5"/>
  <c r="GK928" i="5" s="1"/>
  <c r="GL900" i="5"/>
  <c r="GL903" i="5"/>
  <c r="GL906" i="5"/>
  <c r="GL909" i="5"/>
  <c r="GL922" i="5"/>
  <c r="GL929" i="5"/>
  <c r="GL928" i="5" s="1"/>
  <c r="GM900" i="5"/>
  <c r="GM903" i="5"/>
  <c r="GM906" i="5"/>
  <c r="GM909" i="5"/>
  <c r="GM922" i="5"/>
  <c r="GM929" i="5"/>
  <c r="GM928" i="5" s="1"/>
  <c r="GN900" i="5"/>
  <c r="GN903" i="5"/>
  <c r="GN906" i="5"/>
  <c r="GN909" i="5"/>
  <c r="GN922" i="5"/>
  <c r="GN929" i="5"/>
  <c r="GO900" i="5"/>
  <c r="GO903" i="5"/>
  <c r="GO906" i="5"/>
  <c r="GO909" i="5"/>
  <c r="GO922" i="5"/>
  <c r="GO929" i="5"/>
  <c r="GO928" i="5" s="1"/>
  <c r="GP900" i="5"/>
  <c r="GP903" i="5"/>
  <c r="GP906" i="5"/>
  <c r="GP909" i="5"/>
  <c r="GP922" i="5"/>
  <c r="GP929" i="5"/>
  <c r="GP928" i="5" s="1"/>
  <c r="GQ900" i="5"/>
  <c r="GQ903" i="5"/>
  <c r="GQ906" i="5"/>
  <c r="GQ909" i="5"/>
  <c r="GQ922" i="5"/>
  <c r="GQ929" i="5"/>
  <c r="GQ928" i="5" s="1"/>
  <c r="GR900" i="5"/>
  <c r="GR903" i="5"/>
  <c r="GR906" i="5"/>
  <c r="GR909" i="5"/>
  <c r="GR922" i="5"/>
  <c r="GR929" i="5"/>
  <c r="GR938" i="5"/>
  <c r="IR938" i="5" s="1"/>
  <c r="GS900" i="5"/>
  <c r="GS903" i="5"/>
  <c r="GS906" i="5"/>
  <c r="GS909" i="5"/>
  <c r="GS922" i="5"/>
  <c r="GS929" i="5"/>
  <c r="GS928" i="5" s="1"/>
  <c r="GT900" i="5"/>
  <c r="GT903" i="5"/>
  <c r="GT906" i="5"/>
  <c r="GT909" i="5"/>
  <c r="GT922" i="5"/>
  <c r="GT929" i="5"/>
  <c r="GT928" i="5" s="1"/>
  <c r="IU933" i="5"/>
  <c r="IU934" i="5"/>
  <c r="IT913" i="5"/>
  <c r="IU913" i="5"/>
  <c r="IT914" i="5"/>
  <c r="IU914" i="5"/>
  <c r="IV814" i="5"/>
  <c r="HO914" i="5"/>
  <c r="HO913" i="5"/>
  <c r="HA780" i="5"/>
  <c r="HA857" i="5"/>
  <c r="HA900" i="5"/>
  <c r="HA903" i="5"/>
  <c r="HA906" i="5"/>
  <c r="HA929" i="5"/>
  <c r="HA928" i="5" s="1"/>
  <c r="HA920" i="5" s="1"/>
  <c r="HB780" i="5"/>
  <c r="HB857" i="5"/>
  <c r="HB900" i="5"/>
  <c r="HB903" i="5"/>
  <c r="HB906" i="5"/>
  <c r="HB929" i="5"/>
  <c r="HB928" i="5" s="1"/>
  <c r="HB920" i="5" s="1"/>
  <c r="HC780" i="5"/>
  <c r="HC857" i="5"/>
  <c r="HC900" i="5"/>
  <c r="HC903" i="5"/>
  <c r="HC906" i="5"/>
  <c r="HC929" i="5"/>
  <c r="HC928" i="5" s="1"/>
  <c r="HC920" i="5" s="1"/>
  <c r="HD780" i="5"/>
  <c r="HD857" i="5"/>
  <c r="HD900" i="5"/>
  <c r="HD903" i="5"/>
  <c r="HD906" i="5"/>
  <c r="HD929" i="5"/>
  <c r="HD928" i="5" s="1"/>
  <c r="HD920" i="5" s="1"/>
  <c r="HE780" i="5"/>
  <c r="HE857" i="5"/>
  <c r="HE900" i="5"/>
  <c r="HE903" i="5"/>
  <c r="HE906" i="5"/>
  <c r="HE929" i="5"/>
  <c r="HE928" i="5" s="1"/>
  <c r="HE920" i="5" s="1"/>
  <c r="HF780" i="5"/>
  <c r="HF857" i="5"/>
  <c r="HF900" i="5"/>
  <c r="HF906" i="5"/>
  <c r="HF929" i="5"/>
  <c r="HF928" i="5" s="1"/>
  <c r="HF920" i="5" s="1"/>
  <c r="GV906" i="5"/>
  <c r="GW906" i="5"/>
  <c r="GX906" i="5"/>
  <c r="GY906" i="5"/>
  <c r="GZ906" i="5"/>
  <c r="GV903" i="5"/>
  <c r="GW903" i="5"/>
  <c r="GX903" i="5"/>
  <c r="GY903" i="5"/>
  <c r="GZ903" i="5"/>
  <c r="GU890" i="5"/>
  <c r="GV890" i="5"/>
  <c r="GW890" i="5"/>
  <c r="GX890" i="5"/>
  <c r="GY890" i="5"/>
  <c r="GZ890" i="5"/>
  <c r="HA665" i="5"/>
  <c r="HB665" i="5"/>
  <c r="HC665" i="5"/>
  <c r="HD665" i="5"/>
  <c r="HE665" i="5"/>
  <c r="HF665" i="5"/>
  <c r="W33" i="19"/>
  <c r="W106" i="19"/>
  <c r="AE33" i="19"/>
  <c r="AE106" i="19"/>
  <c r="AO33" i="19"/>
  <c r="AK1253" i="2"/>
  <c r="AH402" i="2"/>
  <c r="AG402" i="2"/>
  <c r="AJ418" i="2"/>
  <c r="IR777" i="5"/>
  <c r="IQ778" i="5"/>
  <c r="IR776" i="5"/>
  <c r="IR778" i="5"/>
  <c r="IQ776" i="5"/>
  <c r="IY778" i="5"/>
  <c r="IX778" i="5" s="1"/>
  <c r="IY809" i="5"/>
  <c r="IX809" i="5" s="1"/>
  <c r="IY810" i="5"/>
  <c r="IX810" i="5" s="1"/>
  <c r="AJ1142" i="2"/>
  <c r="IY826" i="5" s="1"/>
  <c r="IX826" i="5" s="1"/>
  <c r="IY827" i="5"/>
  <c r="IX827" i="5" s="1"/>
  <c r="IY828" i="5"/>
  <c r="IX828" i="5" s="1"/>
  <c r="JH828" i="5"/>
  <c r="JH827" i="5"/>
  <c r="JK827" i="5"/>
  <c r="JK828" i="5"/>
  <c r="JJ935" i="5"/>
  <c r="JJ933" i="5"/>
  <c r="JJ930" i="5" s="1"/>
  <c r="AM402" i="2"/>
  <c r="AO1238" i="2"/>
  <c r="BC94" i="19" s="1"/>
  <c r="AN1238" i="2"/>
  <c r="AU94" i="19" s="1"/>
  <c r="AM1238" i="2"/>
  <c r="AM94" i="19" s="1"/>
  <c r="AJ1238" i="2"/>
  <c r="O94" i="19" s="1"/>
  <c r="N94" i="19" s="1"/>
  <c r="AN1021" i="2"/>
  <c r="AO1021" i="2" s="1"/>
  <c r="JN688" i="5"/>
  <c r="JL688" i="5" s="1"/>
  <c r="JK687" i="5"/>
  <c r="JI687" i="5" s="1"/>
  <c r="AJ997" i="2"/>
  <c r="IY675" i="5" s="1"/>
  <c r="IX675" i="5" s="1"/>
  <c r="AK997" i="2"/>
  <c r="JE675" i="5"/>
  <c r="JC675" i="5" s="1"/>
  <c r="AM997" i="2"/>
  <c r="JH675" i="5" s="1"/>
  <c r="JF675" i="5" s="1"/>
  <c r="JK670" i="5"/>
  <c r="D828" i="5"/>
  <c r="D827" i="5"/>
  <c r="D808" i="5"/>
  <c r="D809" i="5"/>
  <c r="D810" i="5"/>
  <c r="D778" i="5"/>
  <c r="JB720" i="5"/>
  <c r="IY720" i="5"/>
  <c r="JE775" i="5"/>
  <c r="AO1642" i="2"/>
  <c r="AO1641" i="2"/>
  <c r="AO1637" i="2"/>
  <c r="AO1633" i="2"/>
  <c r="AO1651" i="2"/>
  <c r="AO1650" i="2"/>
  <c r="AO1629" i="2"/>
  <c r="AO1626" i="2"/>
  <c r="AO1625" i="2"/>
  <c r="AO1621" i="2"/>
  <c r="AO1617" i="2"/>
  <c r="AO1613" i="2"/>
  <c r="AO1609" i="2"/>
  <c r="GU929" i="5"/>
  <c r="GU928" i="5" s="1"/>
  <c r="GU920" i="5" s="1"/>
  <c r="GV929" i="5"/>
  <c r="GV928" i="5" s="1"/>
  <c r="GV920" i="5" s="1"/>
  <c r="GW929" i="5"/>
  <c r="GW928" i="5" s="1"/>
  <c r="GW920" i="5" s="1"/>
  <c r="GX929" i="5"/>
  <c r="GX928" i="5" s="1"/>
  <c r="GX920" i="5" s="1"/>
  <c r="GY929" i="5"/>
  <c r="GY928" i="5" s="1"/>
  <c r="GY920" i="5" s="1"/>
  <c r="GZ929" i="5"/>
  <c r="GZ928" i="5" s="1"/>
  <c r="GZ920" i="5" s="1"/>
  <c r="GU906" i="5"/>
  <c r="GU903" i="5"/>
  <c r="GU900" i="5"/>
  <c r="GV900" i="5"/>
  <c r="GW900" i="5"/>
  <c r="GX900" i="5"/>
  <c r="GY900" i="5"/>
  <c r="GZ900" i="5"/>
  <c r="GU857" i="5"/>
  <c r="GV857" i="5"/>
  <c r="GW857" i="5"/>
  <c r="GX857" i="5"/>
  <c r="GY857" i="5"/>
  <c r="GZ857" i="5"/>
  <c r="GU780" i="5"/>
  <c r="GV780" i="5"/>
  <c r="GW780" i="5"/>
  <c r="GX780" i="5"/>
  <c r="GY780" i="5"/>
  <c r="GZ780" i="5"/>
  <c r="GU665" i="5"/>
  <c r="GV665" i="5"/>
  <c r="GW665" i="5"/>
  <c r="GX665" i="5"/>
  <c r="GY665" i="5"/>
  <c r="GZ665" i="5"/>
  <c r="AO1541" i="2"/>
  <c r="AN1650" i="2"/>
  <c r="AN1651" i="2"/>
  <c r="AN1642" i="2"/>
  <c r="AN1641" i="2"/>
  <c r="AN1626" i="2"/>
  <c r="AN1541" i="2"/>
  <c r="JH770" i="5"/>
  <c r="AN1046" i="2"/>
  <c r="AM1041" i="2"/>
  <c r="AL1045" i="2"/>
  <c r="AM1043" i="2"/>
  <c r="AL1043" i="2"/>
  <c r="AK1043" i="2"/>
  <c r="AM413" i="2"/>
  <c r="AM1652" i="2" s="1"/>
  <c r="AJ416" i="2"/>
  <c r="AL416" i="2"/>
  <c r="AM416" i="2"/>
  <c r="JG744" i="5" s="1"/>
  <c r="AI417" i="2"/>
  <c r="AJ417" i="2"/>
  <c r="AK417" i="2"/>
  <c r="JC744" i="5" s="1"/>
  <c r="AL417" i="2"/>
  <c r="JF744" i="5" s="1"/>
  <c r="AI416" i="2"/>
  <c r="AH417" i="2"/>
  <c r="JL788" i="5"/>
  <c r="BA36" i="19" s="1"/>
  <c r="BB36" i="19" s="1"/>
  <c r="JI788" i="5"/>
  <c r="AS36" i="19" s="1"/>
  <c r="AT36" i="19" s="1"/>
  <c r="JF781" i="5"/>
  <c r="JN934" i="5"/>
  <c r="JN921" i="5"/>
  <c r="JN924" i="5"/>
  <c r="JN925" i="5"/>
  <c r="JN911" i="5"/>
  <c r="JL911" i="5" s="1"/>
  <c r="JN916" i="5"/>
  <c r="JN917" i="5"/>
  <c r="JL917" i="5" s="1"/>
  <c r="JN918" i="5"/>
  <c r="JN904" i="5"/>
  <c r="JM904" i="5" s="1"/>
  <c r="JN908" i="5"/>
  <c r="JN894" i="5"/>
  <c r="JN901" i="5"/>
  <c r="JM901" i="5" s="1"/>
  <c r="JN886" i="5"/>
  <c r="JN887" i="5"/>
  <c r="JN888" i="5"/>
  <c r="JL888" i="5" s="1"/>
  <c r="JN889" i="5"/>
  <c r="JN890" i="5"/>
  <c r="JN891" i="5"/>
  <c r="JN858" i="5"/>
  <c r="JN863" i="5"/>
  <c r="JL863" i="5" s="1"/>
  <c r="JN866" i="5"/>
  <c r="JN867" i="5"/>
  <c r="JN868" i="5"/>
  <c r="JL868" i="5" s="1"/>
  <c r="JN869" i="5"/>
  <c r="JN872" i="5"/>
  <c r="JL872" i="5" s="1"/>
  <c r="JN873" i="5"/>
  <c r="JL873" i="5" s="1"/>
  <c r="JN874" i="5"/>
  <c r="JL874" i="5" s="1"/>
  <c r="JN875" i="5"/>
  <c r="JL875" i="5" s="1"/>
  <c r="BA72" i="19" s="1"/>
  <c r="JN879" i="5"/>
  <c r="JL879" i="5" s="1"/>
  <c r="JN880" i="5"/>
  <c r="JL880" i="5" s="1"/>
  <c r="JM880" i="5" s="1"/>
  <c r="JN884" i="5"/>
  <c r="JL884" i="5" s="1"/>
  <c r="JN854" i="5"/>
  <c r="JN855" i="5"/>
  <c r="JN841" i="5"/>
  <c r="JN846" i="5"/>
  <c r="JN848" i="5"/>
  <c r="JN836" i="5"/>
  <c r="JN819" i="5"/>
  <c r="JN820" i="5"/>
  <c r="JN824" i="5"/>
  <c r="JL824" i="5" s="1"/>
  <c r="JN825" i="5"/>
  <c r="JN827" i="5"/>
  <c r="JN830" i="5"/>
  <c r="JL830" i="5" s="1"/>
  <c r="JN832" i="5"/>
  <c r="JL832" i="5" s="1"/>
  <c r="JN833" i="5"/>
  <c r="JN803" i="5"/>
  <c r="JN805" i="5"/>
  <c r="JN806" i="5"/>
  <c r="JN807" i="5"/>
  <c r="JN808" i="5"/>
  <c r="JL808" i="5" s="1"/>
  <c r="JM808" i="5" s="1"/>
  <c r="JN814" i="5"/>
  <c r="JN673" i="5"/>
  <c r="JL673" i="5" s="1"/>
  <c r="JN700" i="5"/>
  <c r="JL700" i="5" s="1"/>
  <c r="JN701" i="5"/>
  <c r="JL701" i="5" s="1"/>
  <c r="JN707" i="5"/>
  <c r="JN708" i="5"/>
  <c r="JL708" i="5" s="1"/>
  <c r="JN709" i="5"/>
  <c r="JN710" i="5"/>
  <c r="JL710" i="5" s="1"/>
  <c r="JN711" i="5"/>
  <c r="JL711" i="5" s="1"/>
  <c r="JN712" i="5"/>
  <c r="JL712" i="5" s="1"/>
  <c r="JN713" i="5"/>
  <c r="JL713" i="5" s="1"/>
  <c r="JN714" i="5"/>
  <c r="JL714" i="5" s="1"/>
  <c r="JN715" i="5"/>
  <c r="JL715" i="5" s="1"/>
  <c r="JN716" i="5"/>
  <c r="JN720" i="5"/>
  <c r="JN741" i="5"/>
  <c r="JL741" i="5" s="1"/>
  <c r="JM741" i="5" s="1"/>
  <c r="JN742" i="5"/>
  <c r="JN751" i="5"/>
  <c r="JL751" i="5" s="1"/>
  <c r="JM751" i="5" s="1"/>
  <c r="JN752" i="5"/>
  <c r="JN756" i="5"/>
  <c r="JL756" i="5" s="1"/>
  <c r="JM756" i="5" s="1"/>
  <c r="JN760" i="5"/>
  <c r="JN761" i="5"/>
  <c r="JL761" i="5" s="1"/>
  <c r="JN762" i="5"/>
  <c r="JL762" i="5" s="1"/>
  <c r="JN763" i="5"/>
  <c r="JL763" i="5" s="1"/>
  <c r="JN765" i="5"/>
  <c r="JN766" i="5"/>
  <c r="JN767" i="5"/>
  <c r="JN768" i="5"/>
  <c r="JN769" i="5"/>
  <c r="JN771" i="5"/>
  <c r="JN773" i="5"/>
  <c r="JN774" i="5"/>
  <c r="JN775" i="5"/>
  <c r="JN776" i="5"/>
  <c r="JN791" i="5"/>
  <c r="JN793" i="5"/>
  <c r="JL793" i="5" s="1"/>
  <c r="JN796" i="5"/>
  <c r="JL796" i="5" s="1"/>
  <c r="BA44" i="19" s="1"/>
  <c r="BB44" i="19" s="1"/>
  <c r="JN797" i="5"/>
  <c r="JN798" i="5"/>
  <c r="JK934" i="5"/>
  <c r="JK921" i="5"/>
  <c r="JK924" i="5"/>
  <c r="JK925" i="5"/>
  <c r="JK911" i="5"/>
  <c r="JI911" i="5" s="1"/>
  <c r="JK916" i="5"/>
  <c r="JI916" i="5" s="1"/>
  <c r="JK917" i="5"/>
  <c r="JI917" i="5" s="1"/>
  <c r="JK918" i="5"/>
  <c r="JI918" i="5" s="1"/>
  <c r="JJ918" i="5" s="1"/>
  <c r="JK904" i="5"/>
  <c r="JI904" i="5" s="1"/>
  <c r="JK908" i="5"/>
  <c r="JI908" i="5" s="1"/>
  <c r="AS90" i="19" s="1"/>
  <c r="AT90" i="19" s="1"/>
  <c r="JK894" i="5"/>
  <c r="JK901" i="5"/>
  <c r="JI901" i="5" s="1"/>
  <c r="JK891" i="5"/>
  <c r="JK879" i="5"/>
  <c r="JI879" i="5" s="1"/>
  <c r="JK880" i="5"/>
  <c r="JK884" i="5"/>
  <c r="JI884" i="5" s="1"/>
  <c r="JK886" i="5"/>
  <c r="JI886" i="5" s="1"/>
  <c r="JJ886" i="5" s="1"/>
  <c r="JK887" i="5"/>
  <c r="JK888" i="5"/>
  <c r="JK889" i="5"/>
  <c r="JK890" i="5"/>
  <c r="JK858" i="5"/>
  <c r="JK863" i="5"/>
  <c r="JI863" i="5" s="1"/>
  <c r="JK866" i="5"/>
  <c r="JI866" i="5" s="1"/>
  <c r="JK867" i="5"/>
  <c r="JI867" i="5" s="1"/>
  <c r="JJ867" i="5" s="1"/>
  <c r="JK868" i="5"/>
  <c r="JK869" i="5"/>
  <c r="JI869" i="5" s="1"/>
  <c r="JK872" i="5"/>
  <c r="JI872" i="5" s="1"/>
  <c r="JJ872" i="5" s="1"/>
  <c r="JK873" i="5"/>
  <c r="JK874" i="5"/>
  <c r="JI874" i="5" s="1"/>
  <c r="JK875" i="5"/>
  <c r="JI875" i="5" s="1"/>
  <c r="AS72" i="19" s="1"/>
  <c r="JK846" i="5"/>
  <c r="JK848" i="5"/>
  <c r="JK841" i="5"/>
  <c r="JK836" i="5"/>
  <c r="JK833" i="5"/>
  <c r="JK819" i="5"/>
  <c r="JK820" i="5"/>
  <c r="JK824" i="5"/>
  <c r="JI824" i="5" s="1"/>
  <c r="JK825" i="5"/>
  <c r="JK830" i="5"/>
  <c r="JK832" i="5"/>
  <c r="JI832" i="5" s="1"/>
  <c r="JK806" i="5"/>
  <c r="JK807" i="5"/>
  <c r="JK808" i="5"/>
  <c r="JI808" i="5" s="1"/>
  <c r="JJ808" i="5" s="1"/>
  <c r="JK814" i="5"/>
  <c r="JK796" i="5"/>
  <c r="JK797" i="5"/>
  <c r="JI797" i="5" s="1"/>
  <c r="JK798" i="5"/>
  <c r="JI798" i="5" s="1"/>
  <c r="AS46" i="19" s="1"/>
  <c r="AT46" i="19" s="1"/>
  <c r="JK803" i="5"/>
  <c r="JK805" i="5"/>
  <c r="JK765" i="5"/>
  <c r="JK766" i="5"/>
  <c r="JK767" i="5"/>
  <c r="JK768" i="5"/>
  <c r="JK769" i="5"/>
  <c r="JK771" i="5"/>
  <c r="JK773" i="5"/>
  <c r="JK774" i="5"/>
  <c r="JK775" i="5"/>
  <c r="JK776" i="5"/>
  <c r="JK791" i="5"/>
  <c r="JI791" i="5" s="1"/>
  <c r="JJ791" i="5" s="1"/>
  <c r="JK756" i="5"/>
  <c r="JI756" i="5" s="1"/>
  <c r="JJ756" i="5" s="1"/>
  <c r="JK760" i="5"/>
  <c r="JK761" i="5"/>
  <c r="JK762" i="5"/>
  <c r="JK763" i="5"/>
  <c r="JI763" i="5" s="1"/>
  <c r="JK741" i="5"/>
  <c r="JI741" i="5" s="1"/>
  <c r="JK742" i="5"/>
  <c r="JK751" i="5"/>
  <c r="JK752" i="5"/>
  <c r="JI752" i="5" s="1"/>
  <c r="JK708" i="5"/>
  <c r="JI708" i="5" s="1"/>
  <c r="JK709" i="5"/>
  <c r="JI709" i="5" s="1"/>
  <c r="JK710" i="5"/>
  <c r="JI710" i="5" s="1"/>
  <c r="JK711" i="5"/>
  <c r="JI711" i="5" s="1"/>
  <c r="JK712" i="5"/>
  <c r="JI712" i="5" s="1"/>
  <c r="JK713" i="5"/>
  <c r="JI713" i="5" s="1"/>
  <c r="JK714" i="5"/>
  <c r="JI714" i="5" s="1"/>
  <c r="JK715" i="5"/>
  <c r="JI715" i="5" s="1"/>
  <c r="JK716" i="5"/>
  <c r="JK720" i="5"/>
  <c r="JK700" i="5"/>
  <c r="JK701" i="5"/>
  <c r="JK707" i="5"/>
  <c r="JI707" i="5" s="1"/>
  <c r="JK673" i="5"/>
  <c r="JI673" i="5" s="1"/>
  <c r="JI663" i="5"/>
  <c r="JN664" i="5"/>
  <c r="JM664" i="5"/>
  <c r="JL664" i="5"/>
  <c r="JN663" i="5"/>
  <c r="JM663" i="5"/>
  <c r="JL663" i="5"/>
  <c r="JN463" i="5"/>
  <c r="JM463" i="5"/>
  <c r="JL463" i="5"/>
  <c r="JN462" i="5"/>
  <c r="JN461" i="5"/>
  <c r="JM461" i="5"/>
  <c r="JL461" i="5"/>
  <c r="JK664" i="5"/>
  <c r="JJ664" i="5"/>
  <c r="JI664" i="5"/>
  <c r="JK663" i="5"/>
  <c r="JJ663" i="5"/>
  <c r="JK463" i="5"/>
  <c r="JJ463" i="5"/>
  <c r="JI463" i="5"/>
  <c r="JK462" i="5"/>
  <c r="JK461" i="5"/>
  <c r="JJ461" i="5"/>
  <c r="JI461" i="5"/>
  <c r="FY818" i="5"/>
  <c r="FY817" i="5" s="1"/>
  <c r="FY986" i="5" s="1"/>
  <c r="FZ818" i="5"/>
  <c r="GA818" i="5"/>
  <c r="GB818" i="5"/>
  <c r="GB1151" i="5" s="1"/>
  <c r="GB1149" i="5" s="1"/>
  <c r="GB1141" i="5" s="1"/>
  <c r="GB1157" i="5" s="1"/>
  <c r="GC818" i="5"/>
  <c r="GD818" i="5"/>
  <c r="GE818" i="5"/>
  <c r="GE987" i="5" s="1"/>
  <c r="GF818" i="5"/>
  <c r="GG818" i="5"/>
  <c r="GH818" i="5"/>
  <c r="FW818" i="5"/>
  <c r="FW987" i="5" s="1"/>
  <c r="FX818" i="5"/>
  <c r="FX1151" i="5" s="1"/>
  <c r="FX1149" i="5" s="1"/>
  <c r="FX1141" i="5" s="1"/>
  <c r="FX1157" i="5" s="1"/>
  <c r="IL744" i="5"/>
  <c r="IM744" i="5" s="1"/>
  <c r="AF1066" i="2" s="1"/>
  <c r="IJ744" i="5"/>
  <c r="IG744" i="5"/>
  <c r="ID744" i="5"/>
  <c r="IA744" i="5"/>
  <c r="HX744" i="5"/>
  <c r="HU744" i="5"/>
  <c r="HR744" i="5"/>
  <c r="JG935" i="5"/>
  <c r="JF935" i="5"/>
  <c r="JG933" i="5"/>
  <c r="JF933" i="5"/>
  <c r="JF788" i="5"/>
  <c r="JG781" i="5"/>
  <c r="JC781" i="5"/>
  <c r="JF729" i="5"/>
  <c r="JC729" i="5"/>
  <c r="JF724" i="5"/>
  <c r="JF723" i="5"/>
  <c r="JF721" i="5"/>
  <c r="JF719" i="5"/>
  <c r="JC719" i="5"/>
  <c r="JK788" i="5"/>
  <c r="AM1373" i="2"/>
  <c r="AN1373" i="2"/>
  <c r="AO1373" i="2"/>
  <c r="AN1291" i="2"/>
  <c r="AO1291" i="2"/>
  <c r="AN1296" i="2"/>
  <c r="AO1296" i="2"/>
  <c r="AN1316" i="2"/>
  <c r="AO1316" i="2"/>
  <c r="AN1318" i="2"/>
  <c r="AO1318" i="2"/>
  <c r="AN1319" i="2"/>
  <c r="AO1319" i="2"/>
  <c r="AO1323" i="2"/>
  <c r="AN1332" i="2"/>
  <c r="AO1332" i="2"/>
  <c r="AN1333" i="2"/>
  <c r="AO1333" i="2"/>
  <c r="AN1335" i="2"/>
  <c r="AO1335" i="2"/>
  <c r="AN1359" i="2"/>
  <c r="AO1359" i="2"/>
  <c r="AG735" i="2"/>
  <c r="IP520" i="5" s="1"/>
  <c r="AN910" i="2"/>
  <c r="AO910" i="2"/>
  <c r="AN917" i="2"/>
  <c r="AO917" i="2"/>
  <c r="AN730" i="2"/>
  <c r="AO730" i="2"/>
  <c r="AN781" i="2"/>
  <c r="AO781" i="2"/>
  <c r="AN830" i="2"/>
  <c r="AN831" i="2" s="1"/>
  <c r="AO830" i="2"/>
  <c r="AO831" i="2" s="1"/>
  <c r="AN847" i="2"/>
  <c r="AN846" i="2" s="1"/>
  <c r="AN845" i="2" s="1"/>
  <c r="AN844" i="2" s="1"/>
  <c r="AO847" i="2"/>
  <c r="AO846" i="2" s="1"/>
  <c r="AO845" i="2" s="1"/>
  <c r="AO844" i="2" s="1"/>
  <c r="AN855" i="2"/>
  <c r="AN915" i="2" s="1"/>
  <c r="AO855" i="2"/>
  <c r="AO915" i="2" s="1"/>
  <c r="AO408" i="2"/>
  <c r="AM407" i="2"/>
  <c r="AN555" i="2"/>
  <c r="AO557" i="2"/>
  <c r="AN317" i="2"/>
  <c r="JK770" i="5"/>
  <c r="JN770" i="5"/>
  <c r="JK772" i="5"/>
  <c r="JN772" i="5"/>
  <c r="AN1092" i="2"/>
  <c r="JK777" i="5" s="1"/>
  <c r="AO1092" i="2"/>
  <c r="JN777" i="5" s="1"/>
  <c r="AN1188" i="2"/>
  <c r="AN1187" i="2" s="1"/>
  <c r="JK870" i="5" s="1"/>
  <c r="AO1188" i="2"/>
  <c r="AO1187" i="2" s="1"/>
  <c r="JN870" i="5" s="1"/>
  <c r="JK877" i="5"/>
  <c r="JI877" i="5" s="1"/>
  <c r="AS74" i="19" s="1"/>
  <c r="AT74" i="19" s="1"/>
  <c r="JN877" i="5"/>
  <c r="AO1202" i="2"/>
  <c r="AO1638" i="2"/>
  <c r="AN1242" i="2"/>
  <c r="JK923" i="5" s="1"/>
  <c r="JN923" i="5"/>
  <c r="AN1246" i="2"/>
  <c r="AN1245" i="2" s="1"/>
  <c r="AO1246" i="2"/>
  <c r="AN1137" i="2"/>
  <c r="JK821" i="5" s="1"/>
  <c r="AO1137" i="2"/>
  <c r="JN821" i="5" s="1"/>
  <c r="AN1142" i="2"/>
  <c r="JK826" i="5" s="1"/>
  <c r="AO1142" i="2"/>
  <c r="JN826" i="5" s="1"/>
  <c r="AN1128" i="2"/>
  <c r="JK812" i="5" s="1"/>
  <c r="AO1128" i="2"/>
  <c r="JN812" i="5" s="1"/>
  <c r="JL812" i="5" s="1"/>
  <c r="AN1115" i="2"/>
  <c r="AO1115" i="2"/>
  <c r="AN1110" i="2"/>
  <c r="JK794" i="5" s="1"/>
  <c r="AO1110" i="2"/>
  <c r="JN794" i="5" s="1"/>
  <c r="JN788" i="5"/>
  <c r="AN987" i="2"/>
  <c r="AO987" i="2"/>
  <c r="AN985" i="2"/>
  <c r="AO985" i="2"/>
  <c r="AN632" i="2"/>
  <c r="AO632" i="2"/>
  <c r="AN592" i="2"/>
  <c r="AO592" i="2"/>
  <c r="AN286" i="2"/>
  <c r="AO286" i="2"/>
  <c r="AO296" i="2"/>
  <c r="AN297" i="2"/>
  <c r="AO297" i="2"/>
  <c r="AN373" i="2"/>
  <c r="AO373" i="2"/>
  <c r="AN418" i="2"/>
  <c r="AN410" i="2"/>
  <c r="AO410" i="2"/>
  <c r="IG803" i="5"/>
  <c r="IG805" i="5"/>
  <c r="IJ803" i="5"/>
  <c r="IJ805" i="5"/>
  <c r="ID803" i="5"/>
  <c r="ID805" i="5"/>
  <c r="IA803" i="5"/>
  <c r="IA805" i="5"/>
  <c r="HX803" i="5"/>
  <c r="HX805" i="5"/>
  <c r="HU803" i="5"/>
  <c r="HU805" i="5"/>
  <c r="HR803" i="5"/>
  <c r="HR805" i="5"/>
  <c r="AM1721" i="2"/>
  <c r="AL1721" i="2" s="1"/>
  <c r="AK1721" i="2"/>
  <c r="AJ1721" i="2" s="1"/>
  <c r="AO313" i="2"/>
  <c r="AN313" i="2"/>
  <c r="AN557" i="2"/>
  <c r="JN915" i="5"/>
  <c r="JM915" i="5" s="1"/>
  <c r="AO1610" i="2"/>
  <c r="AN1610" i="2"/>
  <c r="JK915" i="5"/>
  <c r="JJ915" i="5" s="1"/>
  <c r="AO1231" i="2"/>
  <c r="JN912" i="5"/>
  <c r="AN1637" i="2" s="1"/>
  <c r="AN1231" i="2"/>
  <c r="AU92" i="19" s="1"/>
  <c r="AN1638" i="2"/>
  <c r="JK912" i="5"/>
  <c r="JJ912" i="5" s="1"/>
  <c r="AO1250" i="2"/>
  <c r="AP1250" i="2"/>
  <c r="AN408" i="2"/>
  <c r="AO315" i="2"/>
  <c r="AO559" i="2"/>
  <c r="AN315" i="2"/>
  <c r="AN561" i="2"/>
  <c r="AO561" i="2"/>
  <c r="AN559" i="2"/>
  <c r="AN335" i="2"/>
  <c r="AN579" i="2"/>
  <c r="AO371" i="2"/>
  <c r="AO363" i="2"/>
  <c r="AK1788" i="2"/>
  <c r="AL1788" i="2"/>
  <c r="AM1788" i="2"/>
  <c r="AO335" i="2"/>
  <c r="AO317" i="2"/>
  <c r="AO359" i="2"/>
  <c r="AO555" i="2"/>
  <c r="AO579" i="2"/>
  <c r="IS964" i="5"/>
  <c r="IP964" i="5"/>
  <c r="IM964" i="5"/>
  <c r="IJ964" i="5"/>
  <c r="IG964" i="5"/>
  <c r="ID964" i="5"/>
  <c r="IA964" i="5"/>
  <c r="HX964" i="5"/>
  <c r="HU964" i="5"/>
  <c r="HR964" i="5"/>
  <c r="W1275" i="2"/>
  <c r="V1275" i="2"/>
  <c r="JH858" i="5"/>
  <c r="JH863" i="5"/>
  <c r="JF863" i="5" s="1"/>
  <c r="JG863" i="5" s="1"/>
  <c r="JH866" i="5"/>
  <c r="JF866" i="5" s="1"/>
  <c r="JG866" i="5" s="1"/>
  <c r="JH867" i="5"/>
  <c r="JH868" i="5"/>
  <c r="JH869" i="5"/>
  <c r="JH872" i="5"/>
  <c r="JH873" i="5"/>
  <c r="JH874" i="5"/>
  <c r="JF874" i="5" s="1"/>
  <c r="JH875" i="5"/>
  <c r="JF875" i="5" s="1"/>
  <c r="JH879" i="5"/>
  <c r="JF879" i="5" s="1"/>
  <c r="JG879" i="5" s="1"/>
  <c r="JH880" i="5"/>
  <c r="JF880" i="5" s="1"/>
  <c r="JG880" i="5" s="1"/>
  <c r="JH884" i="5"/>
  <c r="JF884" i="5" s="1"/>
  <c r="JH886" i="5"/>
  <c r="JF886" i="5" s="1"/>
  <c r="JG886" i="5" s="1"/>
  <c r="JH887" i="5"/>
  <c r="JF887" i="5" s="1"/>
  <c r="JH888" i="5"/>
  <c r="JF888" i="5" s="1"/>
  <c r="JH889" i="5"/>
  <c r="JF889" i="5" s="1"/>
  <c r="JH890" i="5"/>
  <c r="JH891" i="5"/>
  <c r="JH894" i="5"/>
  <c r="JH901" i="5"/>
  <c r="JH904" i="5"/>
  <c r="JG904" i="5" s="1"/>
  <c r="JH908" i="5"/>
  <c r="JH911" i="5"/>
  <c r="JF911" i="5" s="1"/>
  <c r="JH916" i="5"/>
  <c r="JF916" i="5" s="1"/>
  <c r="JG916" i="5" s="1"/>
  <c r="JH917" i="5"/>
  <c r="JF917" i="5" s="1"/>
  <c r="JG917" i="5" s="1"/>
  <c r="JH918" i="5"/>
  <c r="JF918" i="5" s="1"/>
  <c r="JH921" i="5"/>
  <c r="JH924" i="5"/>
  <c r="JH925" i="5"/>
  <c r="JH830" i="5"/>
  <c r="JH832" i="5"/>
  <c r="JF832" i="5" s="1"/>
  <c r="JH833" i="5"/>
  <c r="JH836" i="5"/>
  <c r="JH841" i="5"/>
  <c r="JH848" i="5"/>
  <c r="JH850" i="5"/>
  <c r="JH812" i="5"/>
  <c r="JF812" i="5" s="1"/>
  <c r="JG812" i="5" s="1"/>
  <c r="JH814" i="5"/>
  <c r="JH819" i="5"/>
  <c r="JH820" i="5"/>
  <c r="JH821" i="5"/>
  <c r="JH824" i="5"/>
  <c r="JF824" i="5" s="1"/>
  <c r="JH825" i="5"/>
  <c r="JH826" i="5"/>
  <c r="JH808" i="5"/>
  <c r="JF808" i="5" s="1"/>
  <c r="JH805" i="5"/>
  <c r="JF805" i="5" s="1"/>
  <c r="JG805" i="5" s="1"/>
  <c r="JH670" i="5"/>
  <c r="JF670" i="5" s="1"/>
  <c r="JH673" i="5"/>
  <c r="JF673" i="5" s="1"/>
  <c r="JH687" i="5"/>
  <c r="JF687" i="5" s="1"/>
  <c r="JH688" i="5"/>
  <c r="JF688" i="5" s="1"/>
  <c r="JH694" i="5"/>
  <c r="JH699" i="5"/>
  <c r="JH700" i="5"/>
  <c r="JF700" i="5" s="1"/>
  <c r="JH701" i="5"/>
  <c r="JF701" i="5" s="1"/>
  <c r="JH707" i="5"/>
  <c r="JF707" i="5" s="1"/>
  <c r="JH708" i="5"/>
  <c r="JH709" i="5"/>
  <c r="JF709" i="5" s="1"/>
  <c r="JH710" i="5"/>
  <c r="JF710" i="5" s="1"/>
  <c r="JH711" i="5"/>
  <c r="JF711" i="5" s="1"/>
  <c r="JH712" i="5"/>
  <c r="JH713" i="5"/>
  <c r="JF713" i="5" s="1"/>
  <c r="JH714" i="5"/>
  <c r="JH715" i="5"/>
  <c r="JH716" i="5"/>
  <c r="JH720" i="5"/>
  <c r="JH741" i="5"/>
  <c r="JF741" i="5" s="1"/>
  <c r="JH742" i="5"/>
  <c r="JF742" i="5" s="1"/>
  <c r="JG742" i="5" s="1"/>
  <c r="JH751" i="5"/>
  <c r="JF751" i="5" s="1"/>
  <c r="JH752" i="5"/>
  <c r="JF752" i="5" s="1"/>
  <c r="JH756" i="5"/>
  <c r="JF756" i="5" s="1"/>
  <c r="JH760" i="5"/>
  <c r="JF760" i="5" s="1"/>
  <c r="JH761" i="5"/>
  <c r="JF761" i="5" s="1"/>
  <c r="JG761" i="5" s="1"/>
  <c r="JH762" i="5"/>
  <c r="JF762" i="5" s="1"/>
  <c r="JG762" i="5" s="1"/>
  <c r="JH763" i="5"/>
  <c r="JH765" i="5"/>
  <c r="JH766" i="5"/>
  <c r="JH767" i="5"/>
  <c r="JH768" i="5"/>
  <c r="JH769" i="5"/>
  <c r="JH771" i="5"/>
  <c r="JH773" i="5"/>
  <c r="JH774" i="5"/>
  <c r="JH775" i="5"/>
  <c r="JH776" i="5"/>
  <c r="JH791" i="5"/>
  <c r="JH796" i="5"/>
  <c r="JH797" i="5"/>
  <c r="JH798" i="5"/>
  <c r="IY819" i="5"/>
  <c r="IX819" i="5" s="1"/>
  <c r="IY820" i="5"/>
  <c r="IX820" i="5" s="1"/>
  <c r="JH772" i="5"/>
  <c r="JB772" i="5"/>
  <c r="JE770" i="5"/>
  <c r="JB770" i="5"/>
  <c r="JH885" i="5"/>
  <c r="JE885" i="5"/>
  <c r="JD885" i="5" s="1"/>
  <c r="AM74" i="19"/>
  <c r="W74" i="19"/>
  <c r="JE776" i="5"/>
  <c r="JB776" i="5"/>
  <c r="AM1137" i="2"/>
  <c r="AL1137" i="2"/>
  <c r="AK1137" i="2"/>
  <c r="AJ1137" i="2"/>
  <c r="D821" i="5"/>
  <c r="AI635" i="2"/>
  <c r="W1563" i="2"/>
  <c r="W1565" i="2" s="1"/>
  <c r="V1563" i="2"/>
  <c r="V1565" i="2" s="1"/>
  <c r="AH1541" i="2"/>
  <c r="JB775" i="5"/>
  <c r="IY775" i="5"/>
  <c r="IX775" i="5" s="1"/>
  <c r="JB769" i="5"/>
  <c r="JB773" i="5"/>
  <c r="JB774" i="5"/>
  <c r="JB768" i="5"/>
  <c r="JH912" i="5"/>
  <c r="JH915" i="5"/>
  <c r="JB885" i="5"/>
  <c r="IY885" i="5"/>
  <c r="IX885" i="5" s="1"/>
  <c r="IY937" i="5"/>
  <c r="IX937" i="5" s="1"/>
  <c r="AH1092" i="2"/>
  <c r="AH1110" i="2"/>
  <c r="AH1130" i="2"/>
  <c r="D826" i="5"/>
  <c r="D812" i="5"/>
  <c r="D794" i="5"/>
  <c r="D777" i="5"/>
  <c r="IQ858" i="5"/>
  <c r="IR858" i="5"/>
  <c r="IQ859" i="5"/>
  <c r="IR859" i="5"/>
  <c r="AH1620" i="2" s="1"/>
  <c r="IQ860" i="5"/>
  <c r="AJ1177" i="2" s="1"/>
  <c r="IY860" i="5" s="1"/>
  <c r="IX860" i="5" s="1"/>
  <c r="IR860" i="5"/>
  <c r="IQ862" i="5"/>
  <c r="IR862" i="5"/>
  <c r="IQ863" i="5"/>
  <c r="IR863" i="5"/>
  <c r="IQ865" i="5"/>
  <c r="IR865" i="5"/>
  <c r="IQ866" i="5"/>
  <c r="IR866" i="5"/>
  <c r="IQ867" i="5"/>
  <c r="IR867" i="5"/>
  <c r="IQ868" i="5"/>
  <c r="IR868" i="5"/>
  <c r="IQ869" i="5"/>
  <c r="IR869" i="5"/>
  <c r="IQ871" i="5"/>
  <c r="IR871" i="5"/>
  <c r="IQ872" i="5"/>
  <c r="IR872" i="5"/>
  <c r="IQ873" i="5"/>
  <c r="IR873" i="5"/>
  <c r="IQ874" i="5"/>
  <c r="IR874" i="5"/>
  <c r="IQ875" i="5"/>
  <c r="IR875" i="5"/>
  <c r="IQ877" i="5"/>
  <c r="IR877" i="5"/>
  <c r="IQ879" i="5"/>
  <c r="IR879" i="5"/>
  <c r="IQ880" i="5"/>
  <c r="IR880" i="5"/>
  <c r="IQ881" i="5"/>
  <c r="IR881" i="5"/>
  <c r="IR883" i="5"/>
  <c r="IR661" i="5" s="1"/>
  <c r="IQ884" i="5"/>
  <c r="IR884" i="5"/>
  <c r="IQ885" i="5"/>
  <c r="IR885" i="5"/>
  <c r="IQ886" i="5"/>
  <c r="IR886" i="5"/>
  <c r="IQ887" i="5"/>
  <c r="IR887" i="5"/>
  <c r="IQ888" i="5"/>
  <c r="IR888" i="5"/>
  <c r="IQ889" i="5"/>
  <c r="IR889" i="5"/>
  <c r="IQ891" i="5"/>
  <c r="IQ894" i="5"/>
  <c r="IR894" i="5"/>
  <c r="IQ895" i="5"/>
  <c r="IR895" i="5"/>
  <c r="IQ896" i="5"/>
  <c r="IR896" i="5"/>
  <c r="IQ897" i="5"/>
  <c r="IR897" i="5"/>
  <c r="IQ901" i="5"/>
  <c r="IR901" i="5"/>
  <c r="IQ902" i="5"/>
  <c r="IR902" i="5"/>
  <c r="IQ904" i="5"/>
  <c r="IR904" i="5"/>
  <c r="IQ905" i="5"/>
  <c r="IR905" i="5"/>
  <c r="IQ907" i="5"/>
  <c r="IR907" i="5"/>
  <c r="IQ908" i="5"/>
  <c r="IR908" i="5"/>
  <c r="IQ910" i="5"/>
  <c r="IR910" i="5"/>
  <c r="IQ911" i="5"/>
  <c r="IR911" i="5"/>
  <c r="IQ912" i="5"/>
  <c r="AG1637" i="2" s="1"/>
  <c r="IR912" i="5"/>
  <c r="IQ915" i="5"/>
  <c r="AG1609" i="2" s="1"/>
  <c r="IR915" i="5"/>
  <c r="AH1608" i="2" s="1"/>
  <c r="IQ916" i="5"/>
  <c r="IR916" i="5"/>
  <c r="IQ917" i="5"/>
  <c r="IR917" i="5"/>
  <c r="IQ918" i="5"/>
  <c r="IR918" i="5"/>
  <c r="IQ919" i="5"/>
  <c r="IR919" i="5"/>
  <c r="IQ921" i="5"/>
  <c r="IR921" i="5"/>
  <c r="IQ923" i="5"/>
  <c r="IR923" i="5"/>
  <c r="IQ924" i="5"/>
  <c r="IR924" i="5"/>
  <c r="IQ925" i="5"/>
  <c r="IR925" i="5"/>
  <c r="IQ926" i="5"/>
  <c r="IR926" i="5"/>
  <c r="IQ927" i="5"/>
  <c r="IR927" i="5"/>
  <c r="IQ930" i="5"/>
  <c r="IR930" i="5"/>
  <c r="IQ931" i="5"/>
  <c r="IR931" i="5"/>
  <c r="IQ933" i="5"/>
  <c r="IR933" i="5"/>
  <c r="IQ934" i="5"/>
  <c r="IR934" i="5"/>
  <c r="IQ935" i="5"/>
  <c r="IR935" i="5"/>
  <c r="IQ936" i="5"/>
  <c r="IR936" i="5"/>
  <c r="IQ937" i="5"/>
  <c r="IR937" i="5"/>
  <c r="IQ938" i="5"/>
  <c r="IR855" i="5"/>
  <c r="IQ855" i="5"/>
  <c r="IR854" i="5"/>
  <c r="IQ854" i="5"/>
  <c r="IR853" i="5"/>
  <c r="IQ853" i="5"/>
  <c r="IR852" i="5"/>
  <c r="IQ852" i="5"/>
  <c r="IR851" i="5"/>
  <c r="IQ851" i="5"/>
  <c r="IR850" i="5"/>
  <c r="IQ850" i="5"/>
  <c r="IR849" i="5"/>
  <c r="IQ849" i="5"/>
  <c r="IR848" i="5"/>
  <c r="IQ848" i="5"/>
  <c r="IR847" i="5"/>
  <c r="IQ847" i="5"/>
  <c r="IR846" i="5"/>
  <c r="IQ846" i="5"/>
  <c r="IR841" i="5"/>
  <c r="IQ841" i="5"/>
  <c r="IR840" i="5"/>
  <c r="IQ840" i="5"/>
  <c r="IR839" i="5"/>
  <c r="IQ839" i="5"/>
  <c r="IR838" i="5"/>
  <c r="IQ838" i="5"/>
  <c r="IR837" i="5"/>
  <c r="IQ837" i="5"/>
  <c r="IR833" i="5"/>
  <c r="IQ833" i="5"/>
  <c r="IR832" i="5"/>
  <c r="IQ832" i="5"/>
  <c r="IR831" i="5"/>
  <c r="IQ831" i="5"/>
  <c r="IR830" i="5"/>
  <c r="IQ830" i="5"/>
  <c r="IR829" i="5"/>
  <c r="IQ829" i="5"/>
  <c r="IR827" i="5"/>
  <c r="IQ827" i="5"/>
  <c r="IR826" i="5"/>
  <c r="IQ826" i="5"/>
  <c r="IR825" i="5"/>
  <c r="IQ825" i="5"/>
  <c r="IR824" i="5"/>
  <c r="IQ824" i="5"/>
  <c r="IR821" i="5"/>
  <c r="IQ821" i="5"/>
  <c r="IR820" i="5"/>
  <c r="IQ820" i="5"/>
  <c r="IR819" i="5"/>
  <c r="IQ819" i="5"/>
  <c r="IQ806" i="5"/>
  <c r="IR806" i="5"/>
  <c r="IQ807" i="5"/>
  <c r="IR807" i="5"/>
  <c r="IQ808" i="5"/>
  <c r="IR808" i="5"/>
  <c r="IQ812" i="5"/>
  <c r="IR812" i="5"/>
  <c r="IR805" i="5"/>
  <c r="IQ805" i="5"/>
  <c r="IR804" i="5"/>
  <c r="IQ804" i="5"/>
  <c r="IR803" i="5"/>
  <c r="IQ803" i="5"/>
  <c r="IR802" i="5"/>
  <c r="IQ802" i="5"/>
  <c r="IR801" i="5"/>
  <c r="IR800" i="5"/>
  <c r="IR799" i="5"/>
  <c r="IR798" i="5"/>
  <c r="IQ798" i="5"/>
  <c r="IR797" i="5"/>
  <c r="IR796" i="5"/>
  <c r="IQ782" i="5"/>
  <c r="IR782" i="5"/>
  <c r="IQ787" i="5"/>
  <c r="IR787" i="5"/>
  <c r="IQ790" i="5"/>
  <c r="IR790" i="5"/>
  <c r="IQ791" i="5"/>
  <c r="IR791" i="5"/>
  <c r="IQ792" i="5"/>
  <c r="IR792" i="5"/>
  <c r="IQ793" i="5"/>
  <c r="IR793" i="5"/>
  <c r="IR779" i="5"/>
  <c r="IQ779" i="5"/>
  <c r="IQ756" i="5"/>
  <c r="IR756" i="5"/>
  <c r="IQ760" i="5"/>
  <c r="IR760" i="5"/>
  <c r="IQ761" i="5"/>
  <c r="IR761" i="5"/>
  <c r="IQ762" i="5"/>
  <c r="IR762" i="5"/>
  <c r="IQ763" i="5"/>
  <c r="IR763" i="5"/>
  <c r="IQ765" i="5"/>
  <c r="IR765" i="5"/>
  <c r="IQ766" i="5"/>
  <c r="IR766" i="5"/>
  <c r="IQ767" i="5"/>
  <c r="IR767" i="5"/>
  <c r="IQ768" i="5"/>
  <c r="IR768" i="5"/>
  <c r="IQ769" i="5"/>
  <c r="IR769" i="5"/>
  <c r="IQ770" i="5"/>
  <c r="IR770" i="5"/>
  <c r="IQ771" i="5"/>
  <c r="IR771" i="5"/>
  <c r="IQ772" i="5"/>
  <c r="IR772" i="5"/>
  <c r="IQ773" i="5"/>
  <c r="IR773" i="5"/>
  <c r="IQ774" i="5"/>
  <c r="IR774" i="5"/>
  <c r="IQ775" i="5"/>
  <c r="IR775" i="5"/>
  <c r="GJ764" i="5"/>
  <c r="GK764" i="5"/>
  <c r="GL764" i="5"/>
  <c r="GM764" i="5"/>
  <c r="GN764" i="5"/>
  <c r="GO764" i="5"/>
  <c r="GP764" i="5"/>
  <c r="GQ764" i="5"/>
  <c r="GR764" i="5"/>
  <c r="GS764" i="5"/>
  <c r="GT764" i="5"/>
  <c r="GI764" i="5"/>
  <c r="GD736" i="5"/>
  <c r="GE736" i="5"/>
  <c r="GF736" i="5"/>
  <c r="GG736" i="5"/>
  <c r="GH736" i="5"/>
  <c r="GC736" i="5"/>
  <c r="GJ788" i="5"/>
  <c r="GJ1145" i="5" s="1"/>
  <c r="GK788" i="5"/>
  <c r="GK1145" i="5" s="1"/>
  <c r="GL788" i="5"/>
  <c r="GL1145" i="5" s="1"/>
  <c r="GM788" i="5"/>
  <c r="GM1145" i="5" s="1"/>
  <c r="GN788" i="5"/>
  <c r="GN1145" i="5" s="1"/>
  <c r="GO788" i="5"/>
  <c r="GO1145" i="5" s="1"/>
  <c r="GP788" i="5"/>
  <c r="GP1145" i="5" s="1"/>
  <c r="GQ788" i="5"/>
  <c r="GQ1145" i="5" s="1"/>
  <c r="GR788" i="5"/>
  <c r="GR1145" i="5" s="1"/>
  <c r="GS788" i="5"/>
  <c r="GS1145" i="5" s="1"/>
  <c r="GT788" i="5"/>
  <c r="GT1145" i="5" s="1"/>
  <c r="GI788" i="5"/>
  <c r="GI1145" i="5" s="1"/>
  <c r="GO861" i="5"/>
  <c r="GO870" i="5"/>
  <c r="GP870" i="5"/>
  <c r="GQ870" i="5"/>
  <c r="GR870" i="5"/>
  <c r="GS870" i="5"/>
  <c r="GT870" i="5"/>
  <c r="GO864" i="5"/>
  <c r="GP864" i="5"/>
  <c r="GQ864" i="5"/>
  <c r="GR864" i="5"/>
  <c r="GS864" i="5"/>
  <c r="GT864" i="5"/>
  <c r="GP861" i="5"/>
  <c r="GQ861" i="5"/>
  <c r="GR861" i="5"/>
  <c r="GS861" i="5"/>
  <c r="GT861" i="5"/>
  <c r="GO389" i="5"/>
  <c r="GP389" i="5"/>
  <c r="GQ389" i="5"/>
  <c r="GR389" i="5"/>
  <c r="GS389" i="5"/>
  <c r="GT389" i="5"/>
  <c r="GO781" i="5"/>
  <c r="GO1146" i="5" s="1"/>
  <c r="GP781" i="5"/>
  <c r="GP1146" i="5" s="1"/>
  <c r="GQ781" i="5"/>
  <c r="GQ1146" i="5" s="1"/>
  <c r="GR781" i="5"/>
  <c r="GR1146" i="5" s="1"/>
  <c r="GS781" i="5"/>
  <c r="GS1146" i="5" s="1"/>
  <c r="GT781" i="5"/>
  <c r="GT1146" i="5" s="1"/>
  <c r="GR665" i="5"/>
  <c r="GS665" i="5"/>
  <c r="GT665" i="5"/>
  <c r="AK1142" i="2"/>
  <c r="AL1142" i="2"/>
  <c r="JE826" i="5" s="1"/>
  <c r="AM1142" i="2"/>
  <c r="AJ1835" i="2"/>
  <c r="AE36" i="19"/>
  <c r="AO36" i="19"/>
  <c r="AM1148" i="5"/>
  <c r="AM1147" i="5" s="1"/>
  <c r="AL1148" i="5"/>
  <c r="AL1147" i="5" s="1"/>
  <c r="AK1148" i="5"/>
  <c r="AK1147" i="5" s="1"/>
  <c r="AJ1148" i="5"/>
  <c r="AJ1147" i="5" s="1"/>
  <c r="AI1148" i="5"/>
  <c r="AI1147" i="5" s="1"/>
  <c r="AM1128" i="2"/>
  <c r="AL1128" i="2"/>
  <c r="JE812" i="5" s="1"/>
  <c r="AK1128" i="2"/>
  <c r="AJ1128" i="2"/>
  <c r="IY812" i="5" s="1"/>
  <c r="IX812" i="5" s="1"/>
  <c r="AH1148" i="5"/>
  <c r="AH1147" i="5" s="1"/>
  <c r="AM1132" i="5"/>
  <c r="AM1130" i="5" s="1"/>
  <c r="AL1132" i="5"/>
  <c r="AK1132" i="5"/>
  <c r="AK1130" i="5" s="1"/>
  <c r="AJ1132" i="5"/>
  <c r="AJ1130" i="5" s="1"/>
  <c r="AI1132" i="5"/>
  <c r="AI1130" i="5" s="1"/>
  <c r="AM1110" i="2"/>
  <c r="JH794" i="5" s="1"/>
  <c r="AL1110" i="2"/>
  <c r="JE794" i="5" s="1"/>
  <c r="AK1110" i="2"/>
  <c r="JB794" i="5" s="1"/>
  <c r="AJ1110" i="2"/>
  <c r="AH1132" i="5"/>
  <c r="AM1120" i="5"/>
  <c r="AL1120" i="5"/>
  <c r="AK1120" i="5"/>
  <c r="AJ1120" i="5"/>
  <c r="AI1120" i="5"/>
  <c r="AM1092" i="2"/>
  <c r="JH777" i="5" s="1"/>
  <c r="AL1092" i="2"/>
  <c r="JE777" i="5" s="1"/>
  <c r="AK1092" i="2"/>
  <c r="JB777" i="5" s="1"/>
  <c r="IY777" i="5"/>
  <c r="IX777" i="5" s="1"/>
  <c r="AH1120" i="5"/>
  <c r="AH1102" i="5" s="1"/>
  <c r="AL284" i="2"/>
  <c r="AM284" i="2"/>
  <c r="AL286" i="2"/>
  <c r="AM286" i="2"/>
  <c r="AL297" i="2"/>
  <c r="AM297" i="2"/>
  <c r="AL311" i="2"/>
  <c r="AM311" i="2"/>
  <c r="AL313" i="2"/>
  <c r="AM313" i="2"/>
  <c r="AL315" i="2"/>
  <c r="AM315" i="2"/>
  <c r="AL317" i="2"/>
  <c r="AM317" i="2"/>
  <c r="AL335" i="2"/>
  <c r="AM335" i="2"/>
  <c r="AL373" i="2"/>
  <c r="AM373" i="2"/>
  <c r="AN359" i="2"/>
  <c r="AN371" i="2"/>
  <c r="AN363" i="2"/>
  <c r="AL418" i="2"/>
  <c r="AM418" i="2"/>
  <c r="IY776" i="5"/>
  <c r="IX776" i="5" s="1"/>
  <c r="AJ1041" i="2"/>
  <c r="AK1041" i="2"/>
  <c r="AL1041" i="2"/>
  <c r="GJ870" i="5"/>
  <c r="GK870" i="5"/>
  <c r="GL870" i="5"/>
  <c r="GM870" i="5"/>
  <c r="GN870" i="5"/>
  <c r="GI870" i="5"/>
  <c r="GJ864" i="5"/>
  <c r="GK864" i="5"/>
  <c r="GL864" i="5"/>
  <c r="GM864" i="5"/>
  <c r="GN864" i="5"/>
  <c r="GI864" i="5"/>
  <c r="GJ861" i="5"/>
  <c r="GK861" i="5"/>
  <c r="GL861" i="5"/>
  <c r="GM861" i="5"/>
  <c r="GN861" i="5"/>
  <c r="GI861" i="5"/>
  <c r="IQ794" i="5"/>
  <c r="IR794" i="5" s="1"/>
  <c r="IQ814" i="5"/>
  <c r="IR814" i="5" s="1"/>
  <c r="IQ836" i="5"/>
  <c r="IR836" i="5" s="1"/>
  <c r="GJ781" i="5"/>
  <c r="GJ1146" i="5" s="1"/>
  <c r="GK781" i="5"/>
  <c r="GK1146" i="5" s="1"/>
  <c r="GL781" i="5"/>
  <c r="GL1146" i="5" s="1"/>
  <c r="GM781" i="5"/>
  <c r="GM1146" i="5" s="1"/>
  <c r="GN781" i="5"/>
  <c r="GN1146" i="5" s="1"/>
  <c r="GI781" i="5"/>
  <c r="GI1146" i="5" s="1"/>
  <c r="G148" i="8"/>
  <c r="H148" i="8" s="1"/>
  <c r="G147" i="8"/>
  <c r="H147" i="8" s="1"/>
  <c r="G146" i="8"/>
  <c r="H146" i="8" s="1"/>
  <c r="G145" i="8"/>
  <c r="H145" i="8" s="1"/>
  <c r="G144" i="8"/>
  <c r="H144" i="8" s="1"/>
  <c r="G143" i="8"/>
  <c r="H143" i="8" s="1"/>
  <c r="G142" i="8"/>
  <c r="H142" i="8" s="1"/>
  <c r="G141" i="8"/>
  <c r="H141" i="8" s="1"/>
  <c r="G140" i="8"/>
  <c r="H140" i="8" s="1"/>
  <c r="G139" i="8"/>
  <c r="H139" i="8" s="1"/>
  <c r="G138" i="8"/>
  <c r="H138" i="8" s="1"/>
  <c r="G137" i="8"/>
  <c r="H137" i="8" s="1"/>
  <c r="G136" i="8"/>
  <c r="H136" i="8" s="1"/>
  <c r="G135" i="8"/>
  <c r="H135" i="8" s="1"/>
  <c r="G134" i="8"/>
  <c r="H134" i="8" s="1"/>
  <c r="G133" i="8"/>
  <c r="H133" i="8" s="1"/>
  <c r="G132" i="8"/>
  <c r="H132" i="8" s="1"/>
  <c r="G131" i="8"/>
  <c r="H131" i="8" s="1"/>
  <c r="G130" i="8"/>
  <c r="H130" i="8" s="1"/>
  <c r="G129" i="8"/>
  <c r="H129" i="8" s="1"/>
  <c r="G128" i="8"/>
  <c r="H128" i="8" s="1"/>
  <c r="G127" i="8"/>
  <c r="H127" i="8" s="1"/>
  <c r="G126" i="8"/>
  <c r="H126" i="8" s="1"/>
  <c r="G125" i="8"/>
  <c r="H125" i="8" s="1"/>
  <c r="G124" i="8"/>
  <c r="H124" i="8" s="1"/>
  <c r="G123" i="8"/>
  <c r="H123" i="8" s="1"/>
  <c r="G122" i="8"/>
  <c r="H122" i="8" s="1"/>
  <c r="G121" i="8"/>
  <c r="H121" i="8" s="1"/>
  <c r="G120" i="8"/>
  <c r="H120" i="8" s="1"/>
  <c r="G119" i="8"/>
  <c r="H119" i="8" s="1"/>
  <c r="G118" i="8"/>
  <c r="H118" i="8" s="1"/>
  <c r="G117" i="8"/>
  <c r="H117" i="8" s="1"/>
  <c r="G116" i="8"/>
  <c r="H116" i="8" s="1"/>
  <c r="G115" i="8"/>
  <c r="H115" i="8" s="1"/>
  <c r="G114" i="8"/>
  <c r="H114" i="8" s="1"/>
  <c r="G113" i="8"/>
  <c r="H113" i="8" s="1"/>
  <c r="G112" i="8"/>
  <c r="H112" i="8" s="1"/>
  <c r="G111" i="8"/>
  <c r="H111" i="8" s="1"/>
  <c r="G110" i="8"/>
  <c r="H110" i="8" s="1"/>
  <c r="G109" i="8"/>
  <c r="H109" i="8" s="1"/>
  <c r="G108" i="8"/>
  <c r="H108" i="8" s="1"/>
  <c r="G107" i="8"/>
  <c r="H107" i="8" s="1"/>
  <c r="G106" i="8"/>
  <c r="H106" i="8" s="1"/>
  <c r="G104" i="8"/>
  <c r="H104" i="8" s="1"/>
  <c r="G103" i="8"/>
  <c r="H103" i="8" s="1"/>
  <c r="G102" i="8"/>
  <c r="H102" i="8" s="1"/>
  <c r="G101" i="8"/>
  <c r="H101" i="8" s="1"/>
  <c r="G100" i="8"/>
  <c r="H100" i="8" s="1"/>
  <c r="G99" i="8"/>
  <c r="H99" i="8" s="1"/>
  <c r="G98" i="8"/>
  <c r="H98" i="8" s="1"/>
  <c r="G97" i="8"/>
  <c r="H97" i="8" s="1"/>
  <c r="G96" i="8"/>
  <c r="H96" i="8" s="1"/>
  <c r="G95" i="8"/>
  <c r="H95" i="8" s="1"/>
  <c r="G94" i="8"/>
  <c r="H94" i="8" s="1"/>
  <c r="G93" i="8"/>
  <c r="H93" i="8" s="1"/>
  <c r="G92" i="8"/>
  <c r="H92" i="8" s="1"/>
  <c r="G91" i="8"/>
  <c r="H91" i="8" s="1"/>
  <c r="G90" i="8"/>
  <c r="H90" i="8" s="1"/>
  <c r="G89" i="8"/>
  <c r="H89" i="8" s="1"/>
  <c r="G88" i="8"/>
  <c r="H88" i="8" s="1"/>
  <c r="G87" i="8"/>
  <c r="H87" i="8" s="1"/>
  <c r="G86" i="8"/>
  <c r="H86" i="8" s="1"/>
  <c r="G85" i="8"/>
  <c r="H85" i="8" s="1"/>
  <c r="G84" i="8"/>
  <c r="H84" i="8" s="1"/>
  <c r="G83" i="8"/>
  <c r="H83" i="8" s="1"/>
  <c r="G82" i="8"/>
  <c r="H82" i="8" s="1"/>
  <c r="G81" i="8"/>
  <c r="H81" i="8" s="1"/>
  <c r="G80" i="8"/>
  <c r="H80" i="8" s="1"/>
  <c r="G79" i="8"/>
  <c r="H79" i="8" s="1"/>
  <c r="G78" i="8"/>
  <c r="H78" i="8" s="1"/>
  <c r="G77" i="8"/>
  <c r="H77" i="8" s="1"/>
  <c r="G76" i="8"/>
  <c r="H76" i="8" s="1"/>
  <c r="G75" i="8"/>
  <c r="H75" i="8" s="1"/>
  <c r="G74" i="8"/>
  <c r="H74" i="8" s="1"/>
  <c r="G73" i="8"/>
  <c r="H73" i="8" s="1"/>
  <c r="G72" i="8"/>
  <c r="H72" i="8" s="1"/>
  <c r="G71" i="8"/>
  <c r="H71" i="8" s="1"/>
  <c r="G70" i="8"/>
  <c r="H70" i="8" s="1"/>
  <c r="G69" i="8"/>
  <c r="H69" i="8" s="1"/>
  <c r="G68" i="8"/>
  <c r="H68" i="8" s="1"/>
  <c r="G67" i="8"/>
  <c r="H67" i="8" s="1"/>
  <c r="G66" i="8"/>
  <c r="H66" i="8" s="1"/>
  <c r="G65" i="8"/>
  <c r="H65" i="8" s="1"/>
  <c r="G64" i="8"/>
  <c r="H64" i="8" s="1"/>
  <c r="G63" i="8"/>
  <c r="H63" i="8" s="1"/>
  <c r="G62" i="8"/>
  <c r="H62" i="8" s="1"/>
  <c r="G61" i="8"/>
  <c r="H61" i="8" s="1"/>
  <c r="G60" i="8"/>
  <c r="H60" i="8" s="1"/>
  <c r="G59" i="8"/>
  <c r="H59" i="8" s="1"/>
  <c r="G58" i="8"/>
  <c r="H58" i="8" s="1"/>
  <c r="G57" i="8"/>
  <c r="H57" i="8" s="1"/>
  <c r="G56" i="8"/>
  <c r="H56" i="8" s="1"/>
  <c r="G55" i="8"/>
  <c r="H55" i="8" s="1"/>
  <c r="G54" i="8"/>
  <c r="H54" i="8" s="1"/>
  <c r="G53" i="8"/>
  <c r="H53" i="8" s="1"/>
  <c r="G52" i="8"/>
  <c r="H52" i="8" s="1"/>
  <c r="G51" i="8"/>
  <c r="H51" i="8" s="1"/>
  <c r="G50" i="8"/>
  <c r="H50" i="8" s="1"/>
  <c r="G49" i="8"/>
  <c r="H49" i="8" s="1"/>
  <c r="G48" i="8"/>
  <c r="H48" i="8" s="1"/>
  <c r="G47" i="8"/>
  <c r="H47" i="8" s="1"/>
  <c r="G46" i="8"/>
  <c r="H46" i="8" s="1"/>
  <c r="G45" i="8"/>
  <c r="H45" i="8" s="1"/>
  <c r="G44" i="8"/>
  <c r="H44" i="8" s="1"/>
  <c r="G43" i="8"/>
  <c r="H43" i="8" s="1"/>
  <c r="G42" i="8"/>
  <c r="H42" i="8" s="1"/>
  <c r="G41" i="8"/>
  <c r="G40" i="8"/>
  <c r="H40" i="8" s="1"/>
  <c r="G39" i="8"/>
  <c r="H39" i="8" s="1"/>
  <c r="G38" i="8"/>
  <c r="H38" i="8" s="1"/>
  <c r="G37" i="8"/>
  <c r="H37" i="8" s="1"/>
  <c r="G36" i="8"/>
  <c r="H36" i="8" s="1"/>
  <c r="G35" i="8"/>
  <c r="H35" i="8" s="1"/>
  <c r="G34" i="8"/>
  <c r="H34" i="8" s="1"/>
  <c r="G33" i="8"/>
  <c r="H33" i="8" s="1"/>
  <c r="G32" i="8"/>
  <c r="H32" i="8" s="1"/>
  <c r="G31" i="8"/>
  <c r="H31" i="8" s="1"/>
  <c r="G30" i="8"/>
  <c r="H30" i="8" s="1"/>
  <c r="G28" i="8"/>
  <c r="H28" i="8" s="1"/>
  <c r="G27" i="8"/>
  <c r="H27" i="8" s="1"/>
  <c r="G26" i="8"/>
  <c r="H26" i="8" s="1"/>
  <c r="G25" i="8"/>
  <c r="H25" i="8" s="1"/>
  <c r="G24" i="8"/>
  <c r="H24" i="8" s="1"/>
  <c r="G23" i="8"/>
  <c r="H23" i="8" s="1"/>
  <c r="G22" i="8"/>
  <c r="H22" i="8" s="1"/>
  <c r="G21" i="8"/>
  <c r="H21" i="8" s="1"/>
  <c r="G20" i="8"/>
  <c r="H20" i="8" s="1"/>
  <c r="G19" i="8"/>
  <c r="H19" i="8" s="1"/>
  <c r="G18" i="8"/>
  <c r="H18" i="8" s="1"/>
  <c r="G17" i="8"/>
  <c r="H17" i="8" s="1"/>
  <c r="G16" i="8"/>
  <c r="H16" i="8" s="1"/>
  <c r="G15" i="8"/>
  <c r="H15" i="8" s="1"/>
  <c r="G14" i="8"/>
  <c r="H14" i="8" s="1"/>
  <c r="G13" i="8"/>
  <c r="H13" i="8" s="1"/>
  <c r="G12" i="8"/>
  <c r="H12" i="8" s="1"/>
  <c r="G11" i="8"/>
  <c r="H11" i="8" s="1"/>
  <c r="G10" i="8"/>
  <c r="H10" i="8" s="1"/>
  <c r="G9" i="8"/>
  <c r="H9" i="8" s="1"/>
  <c r="G8" i="8"/>
  <c r="H8" i="8" s="1"/>
  <c r="G7" i="8"/>
  <c r="H7" i="8" s="1"/>
  <c r="T134" i="7"/>
  <c r="S134" i="7"/>
  <c r="R134" i="7"/>
  <c r="Q134" i="7"/>
  <c r="L134" i="7"/>
  <c r="J134" i="7"/>
  <c r="G134" i="7"/>
  <c r="F134" i="7"/>
  <c r="D134" i="7"/>
  <c r="C134" i="7"/>
  <c r="T133" i="7"/>
  <c r="S133" i="7"/>
  <c r="R133" i="7"/>
  <c r="Q133" i="7"/>
  <c r="L133" i="7"/>
  <c r="J133" i="7"/>
  <c r="G133" i="7"/>
  <c r="F133" i="7"/>
  <c r="D133" i="7"/>
  <c r="C133" i="7"/>
  <c r="R132" i="7"/>
  <c r="Q132" i="7"/>
  <c r="L132" i="7"/>
  <c r="J132" i="7"/>
  <c r="G132" i="7"/>
  <c r="R131" i="7"/>
  <c r="Q131" i="7"/>
  <c r="L131" i="7"/>
  <c r="J131" i="7"/>
  <c r="G131" i="7"/>
  <c r="R130" i="7"/>
  <c r="Q130" i="7"/>
  <c r="J130" i="7"/>
  <c r="G130" i="7"/>
  <c r="R129" i="7"/>
  <c r="Q129" i="7"/>
  <c r="L129" i="7"/>
  <c r="J129" i="7"/>
  <c r="G129" i="7"/>
  <c r="J128" i="7"/>
  <c r="I128" i="7"/>
  <c r="G128" i="7"/>
  <c r="F128" i="7"/>
  <c r="D128" i="7"/>
  <c r="C128" i="7"/>
  <c r="J124" i="7"/>
  <c r="R123" i="7"/>
  <c r="Q123" i="7"/>
  <c r="L123" i="7"/>
  <c r="J123" i="7"/>
  <c r="F123" i="7"/>
  <c r="D123" i="7"/>
  <c r="R122" i="7"/>
  <c r="Q122" i="7"/>
  <c r="L122" i="7"/>
  <c r="J122" i="7"/>
  <c r="F122" i="7"/>
  <c r="D122" i="7"/>
  <c r="R121" i="7"/>
  <c r="Q121" i="7"/>
  <c r="L121" i="7"/>
  <c r="J121" i="7"/>
  <c r="F121" i="7"/>
  <c r="D121" i="7"/>
  <c r="L119" i="7"/>
  <c r="J119" i="7"/>
  <c r="F119" i="7"/>
  <c r="D119" i="7"/>
  <c r="C119" i="7"/>
  <c r="R118" i="7"/>
  <c r="Q118" i="7"/>
  <c r="L118" i="7"/>
  <c r="J118" i="7"/>
  <c r="F118" i="7"/>
  <c r="D118" i="7"/>
  <c r="R117" i="7"/>
  <c r="Q117" i="7"/>
  <c r="L117" i="7"/>
  <c r="J117" i="7"/>
  <c r="F117" i="7"/>
  <c r="D117" i="7"/>
  <c r="R113" i="7"/>
  <c r="Q113" i="7"/>
  <c r="P113" i="7"/>
  <c r="O113" i="7"/>
  <c r="N113" i="7"/>
  <c r="M113" i="7"/>
  <c r="L113" i="7"/>
  <c r="J113" i="7"/>
  <c r="I113" i="7"/>
  <c r="G113" i="7"/>
  <c r="F113" i="7"/>
  <c r="D113" i="7"/>
  <c r="C113" i="7"/>
  <c r="R111" i="7"/>
  <c r="Q111" i="7"/>
  <c r="P111" i="7"/>
  <c r="O111" i="7"/>
  <c r="N111" i="7"/>
  <c r="M111" i="7"/>
  <c r="L111" i="7"/>
  <c r="J111" i="7"/>
  <c r="I111" i="7"/>
  <c r="G111" i="7"/>
  <c r="F111" i="7"/>
  <c r="D111" i="7"/>
  <c r="C111" i="7"/>
  <c r="R108" i="7"/>
  <c r="Q108" i="7"/>
  <c r="P108" i="7"/>
  <c r="O108" i="7"/>
  <c r="N108" i="7"/>
  <c r="M108" i="7"/>
  <c r="L108" i="7"/>
  <c r="J108" i="7"/>
  <c r="I108" i="7"/>
  <c r="G108" i="7"/>
  <c r="F108" i="7"/>
  <c r="D108" i="7"/>
  <c r="C108" i="7"/>
  <c r="R107" i="7"/>
  <c r="Q107" i="7"/>
  <c r="P107" i="7"/>
  <c r="O107" i="7"/>
  <c r="N107" i="7"/>
  <c r="M107" i="7"/>
  <c r="L107" i="7"/>
  <c r="J107" i="7"/>
  <c r="I107" i="7"/>
  <c r="G107" i="7"/>
  <c r="F107" i="7"/>
  <c r="D107" i="7"/>
  <c r="C107" i="7"/>
  <c r="J106" i="7"/>
  <c r="R104" i="7"/>
  <c r="Q104" i="7"/>
  <c r="L104" i="7"/>
  <c r="J104" i="7"/>
  <c r="I104" i="7"/>
  <c r="G104" i="7"/>
  <c r="F104" i="7"/>
  <c r="D104" i="7"/>
  <c r="C104" i="7"/>
  <c r="T101" i="7"/>
  <c r="S101" i="7"/>
  <c r="R101" i="7"/>
  <c r="Q101" i="7"/>
  <c r="L101" i="7"/>
  <c r="J101" i="7"/>
  <c r="I101" i="7"/>
  <c r="G101" i="7"/>
  <c r="F101" i="7"/>
  <c r="D101" i="7"/>
  <c r="C101" i="7"/>
  <c r="T100" i="7"/>
  <c r="S100" i="7"/>
  <c r="R100" i="7"/>
  <c r="Q100" i="7"/>
  <c r="L100" i="7"/>
  <c r="J100" i="7"/>
  <c r="I100" i="7"/>
  <c r="G100" i="7"/>
  <c r="F100" i="7"/>
  <c r="D100" i="7"/>
  <c r="C100" i="7"/>
  <c r="L99" i="7"/>
  <c r="J99" i="7"/>
  <c r="L98" i="7"/>
  <c r="J98" i="7"/>
  <c r="R96" i="7"/>
  <c r="Q96" i="7"/>
  <c r="R95" i="7"/>
  <c r="Q95" i="7"/>
  <c r="Q94" i="7"/>
  <c r="J94" i="7"/>
  <c r="R93" i="7"/>
  <c r="Q93" i="7"/>
  <c r="F93" i="7"/>
  <c r="D93" i="7"/>
  <c r="C93" i="7"/>
  <c r="J92" i="7"/>
  <c r="T90" i="7"/>
  <c r="S90" i="7"/>
  <c r="R90" i="7"/>
  <c r="Q90" i="7"/>
  <c r="F90" i="7"/>
  <c r="D90" i="7"/>
  <c r="C90" i="7"/>
  <c r="R89" i="7"/>
  <c r="Q89" i="7"/>
  <c r="J89" i="7"/>
  <c r="J88" i="7"/>
  <c r="Q87" i="7"/>
  <c r="J85" i="7"/>
  <c r="S84" i="7"/>
  <c r="R83" i="7"/>
  <c r="Q83" i="7"/>
  <c r="L83" i="7"/>
  <c r="J83" i="7"/>
  <c r="R81" i="7"/>
  <c r="Q81" i="7"/>
  <c r="L81" i="7"/>
  <c r="J81" i="7"/>
  <c r="F81" i="7"/>
  <c r="D81" i="7"/>
  <c r="R80" i="7"/>
  <c r="Q80" i="7"/>
  <c r="L80" i="7"/>
  <c r="J80" i="7"/>
  <c r="F80" i="7"/>
  <c r="D80" i="7"/>
  <c r="R79" i="7"/>
  <c r="Q79" i="7"/>
  <c r="L79" i="7"/>
  <c r="J79" i="7"/>
  <c r="F79" i="7"/>
  <c r="D79" i="7"/>
  <c r="R78" i="7"/>
  <c r="Q78" i="7"/>
  <c r="L78" i="7"/>
  <c r="J78" i="7"/>
  <c r="F78" i="7"/>
  <c r="D78" i="7"/>
  <c r="T77" i="7"/>
  <c r="S77" i="7"/>
  <c r="R77" i="7"/>
  <c r="Q77" i="7"/>
  <c r="L77" i="7"/>
  <c r="J77" i="7"/>
  <c r="G77" i="7"/>
  <c r="F77" i="7"/>
  <c r="D77" i="7"/>
  <c r="C77" i="7"/>
  <c r="T76" i="7"/>
  <c r="S76" i="7"/>
  <c r="R76" i="7"/>
  <c r="Q76" i="7"/>
  <c r="L76" i="7"/>
  <c r="J76" i="7"/>
  <c r="G76" i="7"/>
  <c r="F76" i="7"/>
  <c r="D76" i="7"/>
  <c r="C76" i="7"/>
  <c r="R74" i="7"/>
  <c r="Q74" i="7"/>
  <c r="L74" i="7"/>
  <c r="J74" i="7"/>
  <c r="R72" i="7"/>
  <c r="Q72" i="7"/>
  <c r="R71" i="7"/>
  <c r="Q71" i="7"/>
  <c r="L71" i="7"/>
  <c r="J71" i="7"/>
  <c r="F71" i="7"/>
  <c r="D71" i="7"/>
  <c r="R70" i="7"/>
  <c r="Q70" i="7"/>
  <c r="L70" i="7"/>
  <c r="J70" i="7"/>
  <c r="F70" i="7"/>
  <c r="D70" i="7"/>
  <c r="J69" i="7"/>
  <c r="T67" i="7"/>
  <c r="S67" i="7"/>
  <c r="R67" i="7"/>
  <c r="Q67" i="7"/>
  <c r="L67" i="7"/>
  <c r="J67" i="7"/>
  <c r="G67" i="7"/>
  <c r="F67" i="7"/>
  <c r="D67" i="7"/>
  <c r="C67" i="7"/>
  <c r="I66" i="7"/>
  <c r="G66" i="7"/>
  <c r="F66" i="7"/>
  <c r="D66" i="7"/>
  <c r="C66" i="7"/>
  <c r="T65" i="7"/>
  <c r="S65" i="7"/>
  <c r="R65" i="7"/>
  <c r="Q65" i="7"/>
  <c r="L65" i="7"/>
  <c r="J65" i="7"/>
  <c r="F65" i="7"/>
  <c r="D65" i="7"/>
  <c r="C65" i="7"/>
  <c r="Q64" i="7"/>
  <c r="J64" i="7"/>
  <c r="Q63" i="7"/>
  <c r="J63" i="7"/>
  <c r="Q62" i="7"/>
  <c r="J62" i="7"/>
  <c r="R60" i="7"/>
  <c r="Q60" i="7"/>
  <c r="L60" i="7"/>
  <c r="J60" i="7"/>
  <c r="F60" i="7"/>
  <c r="D60" i="7"/>
  <c r="T58" i="7"/>
  <c r="S58" i="7"/>
  <c r="R58" i="7"/>
  <c r="Q58" i="7"/>
  <c r="P58" i="7"/>
  <c r="O58" i="7"/>
  <c r="N58" i="7"/>
  <c r="M58" i="7"/>
  <c r="L58" i="7"/>
  <c r="J58" i="7"/>
  <c r="I58" i="7"/>
  <c r="G58" i="7"/>
  <c r="F58" i="7"/>
  <c r="D58" i="7"/>
  <c r="C58" i="7"/>
  <c r="J53" i="7"/>
  <c r="R52" i="7"/>
  <c r="Q52" i="7"/>
  <c r="L52" i="7"/>
  <c r="J52" i="7"/>
  <c r="F52" i="7"/>
  <c r="D52" i="7"/>
  <c r="J51" i="7"/>
  <c r="S50" i="7"/>
  <c r="T49" i="7"/>
  <c r="S49" i="7"/>
  <c r="R49" i="7"/>
  <c r="Q49" i="7"/>
  <c r="P49" i="7"/>
  <c r="O49" i="7"/>
  <c r="N49" i="7"/>
  <c r="M49" i="7"/>
  <c r="L49" i="7"/>
  <c r="J49" i="7"/>
  <c r="G49" i="7"/>
  <c r="F49" i="7"/>
  <c r="D49" i="7"/>
  <c r="F48" i="7"/>
  <c r="D48" i="7"/>
  <c r="T47" i="7"/>
  <c r="S47" i="7"/>
  <c r="R47" i="7"/>
  <c r="Q47" i="7"/>
  <c r="P47" i="7"/>
  <c r="O47" i="7"/>
  <c r="N47" i="7"/>
  <c r="M47" i="7"/>
  <c r="L47" i="7"/>
  <c r="J47" i="7"/>
  <c r="F47" i="7"/>
  <c r="D47" i="7"/>
  <c r="R45" i="7"/>
  <c r="Q45" i="7"/>
  <c r="P45" i="7"/>
  <c r="O45" i="7"/>
  <c r="N45" i="7"/>
  <c r="M45" i="7"/>
  <c r="L45" i="7"/>
  <c r="J45" i="7"/>
  <c r="F45" i="7"/>
  <c r="D45" i="7"/>
  <c r="R44" i="7"/>
  <c r="Q44" i="7"/>
  <c r="P44" i="7"/>
  <c r="O44" i="7"/>
  <c r="N44" i="7"/>
  <c r="M44" i="7"/>
  <c r="L44" i="7"/>
  <c r="J44" i="7"/>
  <c r="F44" i="7"/>
  <c r="D44" i="7"/>
  <c r="R43" i="7"/>
  <c r="Q43" i="7"/>
  <c r="P43" i="7"/>
  <c r="O43" i="7"/>
  <c r="N43" i="7"/>
  <c r="M43" i="7"/>
  <c r="L43" i="7"/>
  <c r="J43" i="7"/>
  <c r="F43" i="7"/>
  <c r="D43" i="7"/>
  <c r="T40" i="7"/>
  <c r="S40" i="7"/>
  <c r="R40" i="7"/>
  <c r="Q40" i="7"/>
  <c r="P40" i="7"/>
  <c r="O40" i="7"/>
  <c r="N40" i="7"/>
  <c r="L40" i="7"/>
  <c r="J40" i="7"/>
  <c r="I40" i="7"/>
  <c r="G40" i="7"/>
  <c r="F40" i="7"/>
  <c r="D40" i="7"/>
  <c r="C40" i="7"/>
  <c r="T38" i="7"/>
  <c r="S38" i="7"/>
  <c r="R38" i="7"/>
  <c r="Q38" i="7"/>
  <c r="P38" i="7"/>
  <c r="O38" i="7"/>
  <c r="N38" i="7"/>
  <c r="M38" i="7"/>
  <c r="L38" i="7"/>
  <c r="J38" i="7"/>
  <c r="I38" i="7"/>
  <c r="G38" i="7"/>
  <c r="F38" i="7"/>
  <c r="D38" i="7"/>
  <c r="C38" i="7"/>
  <c r="R37" i="7"/>
  <c r="Q37" i="7"/>
  <c r="L37" i="7"/>
  <c r="J37" i="7"/>
  <c r="T36" i="7"/>
  <c r="S36" i="7"/>
  <c r="R36" i="7"/>
  <c r="Q36" i="7"/>
  <c r="P36" i="7"/>
  <c r="O36" i="7"/>
  <c r="N36" i="7"/>
  <c r="M36" i="7"/>
  <c r="L36" i="7"/>
  <c r="J36" i="7"/>
  <c r="F36" i="7"/>
  <c r="D36" i="7"/>
  <c r="C36" i="7"/>
  <c r="T35" i="7"/>
  <c r="S35" i="7"/>
  <c r="R35" i="7"/>
  <c r="Q35" i="7"/>
  <c r="P35" i="7"/>
  <c r="O35" i="7"/>
  <c r="N35" i="7"/>
  <c r="M35" i="7"/>
  <c r="L35" i="7"/>
  <c r="J35" i="7"/>
  <c r="F35" i="7"/>
  <c r="D35" i="7"/>
  <c r="C35" i="7"/>
  <c r="J32" i="7"/>
  <c r="I32" i="7"/>
  <c r="G32" i="7"/>
  <c r="F32" i="7"/>
  <c r="D32" i="7"/>
  <c r="C32" i="7"/>
  <c r="J27" i="7"/>
  <c r="Q26" i="7"/>
  <c r="J26" i="7"/>
  <c r="J25" i="7"/>
  <c r="T23" i="7"/>
  <c r="S23" i="7"/>
  <c r="R23" i="7"/>
  <c r="Q23" i="7"/>
  <c r="L23" i="7"/>
  <c r="J23" i="7"/>
  <c r="I23" i="7"/>
  <c r="G23" i="7"/>
  <c r="F23" i="7"/>
  <c r="D23" i="7"/>
  <c r="C23" i="7"/>
  <c r="J22" i="7"/>
  <c r="F22" i="7"/>
  <c r="D22" i="7"/>
  <c r="R21" i="7"/>
  <c r="Q21" i="7"/>
  <c r="T19" i="7"/>
  <c r="S19" i="7"/>
  <c r="R19" i="7"/>
  <c r="Q19" i="7"/>
  <c r="L19" i="7"/>
  <c r="J19" i="7"/>
  <c r="I19" i="7"/>
  <c r="G19" i="7"/>
  <c r="F19" i="7"/>
  <c r="D19" i="7"/>
  <c r="C19" i="7"/>
  <c r="J18" i="7"/>
  <c r="R17" i="7"/>
  <c r="Q17" i="7"/>
  <c r="L17" i="7"/>
  <c r="J17" i="7"/>
  <c r="R16" i="7"/>
  <c r="Q16" i="7"/>
  <c r="L16" i="7"/>
  <c r="J16" i="7"/>
  <c r="R15" i="7"/>
  <c r="Q15" i="7"/>
  <c r="L15" i="7"/>
  <c r="J15" i="7"/>
  <c r="J13" i="7"/>
  <c r="R12" i="7"/>
  <c r="Q12" i="7"/>
  <c r="L12" i="7"/>
  <c r="J12" i="7"/>
  <c r="Q11" i="7"/>
  <c r="J11" i="7"/>
  <c r="J10" i="7"/>
  <c r="T9" i="7"/>
  <c r="S9" i="7"/>
  <c r="R9" i="7"/>
  <c r="Q9" i="7"/>
  <c r="P9" i="7"/>
  <c r="O9" i="7"/>
  <c r="N9" i="7"/>
  <c r="M9" i="7"/>
  <c r="L9" i="7"/>
  <c r="J9" i="7"/>
  <c r="I9" i="7"/>
  <c r="G9" i="7"/>
  <c r="F9" i="7"/>
  <c r="D9" i="7"/>
  <c r="T6" i="7"/>
  <c r="S6" i="7"/>
  <c r="R6" i="7"/>
  <c r="Q6" i="7"/>
  <c r="P6" i="7"/>
  <c r="M6" i="7"/>
  <c r="L6" i="7"/>
  <c r="J6" i="7"/>
  <c r="I6" i="7"/>
  <c r="G6" i="7"/>
  <c r="F6" i="7"/>
  <c r="D6" i="7"/>
  <c r="C6" i="7"/>
  <c r="E34" i="15"/>
  <c r="E28" i="15"/>
  <c r="E24" i="15"/>
  <c r="E19" i="15"/>
  <c r="E7" i="15"/>
  <c r="BR1156" i="5"/>
  <c r="BQ1156" i="5"/>
  <c r="BP1156" i="5"/>
  <c r="BO1156" i="5"/>
  <c r="BN1156" i="5"/>
  <c r="BM1156" i="5"/>
  <c r="BL1156" i="5"/>
  <c r="BK1156" i="5"/>
  <c r="BJ1156" i="5"/>
  <c r="BI1156" i="5"/>
  <c r="BH1156" i="5"/>
  <c r="BG1156" i="5"/>
  <c r="BF1156" i="5"/>
  <c r="BE1156" i="5"/>
  <c r="BD1156" i="5"/>
  <c r="BC1156" i="5"/>
  <c r="BB1156" i="5"/>
  <c r="BA1156" i="5"/>
  <c r="AZ1156" i="5"/>
  <c r="AY1156" i="5"/>
  <c r="AX1156" i="5"/>
  <c r="AW1156" i="5"/>
  <c r="AV1156" i="5"/>
  <c r="AU1156" i="5"/>
  <c r="AT1156" i="5"/>
  <c r="AS1156" i="5"/>
  <c r="AR1156" i="5"/>
  <c r="AQ1156" i="5"/>
  <c r="AP1156" i="5"/>
  <c r="AO1156" i="5"/>
  <c r="AN1156" i="5"/>
  <c r="AM1156" i="5"/>
  <c r="AL1156" i="5"/>
  <c r="AK1156" i="5"/>
  <c r="AJ1156" i="5"/>
  <c r="AI1156" i="5"/>
  <c r="AH1156" i="5"/>
  <c r="AG1156" i="5"/>
  <c r="AF1156" i="5"/>
  <c r="AE1156" i="5"/>
  <c r="AD1156" i="5"/>
  <c r="AC1156" i="5"/>
  <c r="AB1156" i="5"/>
  <c r="AA1156" i="5"/>
  <c r="Z1156" i="5"/>
  <c r="Y1156" i="5"/>
  <c r="X1156" i="5"/>
  <c r="W1156" i="5"/>
  <c r="V1156" i="5"/>
  <c r="U1156" i="5"/>
  <c r="T1156" i="5"/>
  <c r="S1156" i="5"/>
  <c r="R1156" i="5"/>
  <c r="Q1156" i="5"/>
  <c r="P1156" i="5"/>
  <c r="O1156" i="5"/>
  <c r="N1156" i="5"/>
  <c r="M1156" i="5"/>
  <c r="L1156" i="5"/>
  <c r="K1156" i="5"/>
  <c r="J1156" i="5"/>
  <c r="I1156" i="5"/>
  <c r="H1156" i="5"/>
  <c r="G1156" i="5"/>
  <c r="F1156" i="5"/>
  <c r="E1156" i="5"/>
  <c r="CD1155" i="5"/>
  <c r="CC1155" i="5"/>
  <c r="CB1155" i="5"/>
  <c r="CA1155" i="5"/>
  <c r="BZ1155" i="5"/>
  <c r="BY1155" i="5"/>
  <c r="BX1155" i="5"/>
  <c r="BW1155" i="5"/>
  <c r="BV1155" i="5"/>
  <c r="BU1155" i="5"/>
  <c r="BT1155" i="5"/>
  <c r="BS1155" i="5"/>
  <c r="BR1155" i="5"/>
  <c r="BQ1155" i="5"/>
  <c r="BP1155" i="5"/>
  <c r="BO1155" i="5"/>
  <c r="BN1155" i="5"/>
  <c r="BM1155" i="5"/>
  <c r="BL1155" i="5"/>
  <c r="BK1155" i="5"/>
  <c r="BJ1155" i="5"/>
  <c r="BI1155" i="5"/>
  <c r="BH1155" i="5"/>
  <c r="BG1155" i="5"/>
  <c r="BF1155" i="5"/>
  <c r="BE1155" i="5"/>
  <c r="BD1155" i="5"/>
  <c r="BC1155" i="5"/>
  <c r="BB1155" i="5"/>
  <c r="BA1155" i="5"/>
  <c r="AZ1155" i="5"/>
  <c r="AY1155" i="5"/>
  <c r="AX1155" i="5"/>
  <c r="AW1155" i="5"/>
  <c r="AV1155" i="5"/>
  <c r="AU1155" i="5"/>
  <c r="AT1155" i="5"/>
  <c r="AS1155" i="5"/>
  <c r="AR1155" i="5"/>
  <c r="AQ1155" i="5"/>
  <c r="AP1155" i="5"/>
  <c r="AO1155" i="5"/>
  <c r="AN1155" i="5"/>
  <c r="AM1155" i="5"/>
  <c r="AL1155" i="5"/>
  <c r="AK1155" i="5"/>
  <c r="AJ1155" i="5"/>
  <c r="AI1155" i="5"/>
  <c r="AH1155" i="5"/>
  <c r="AG1155" i="5"/>
  <c r="AF1155" i="5"/>
  <c r="AE1155" i="5"/>
  <c r="AD1155" i="5"/>
  <c r="AC1155" i="5"/>
  <c r="AB1155" i="5"/>
  <c r="AA1155" i="5"/>
  <c r="Z1155" i="5"/>
  <c r="Y1155" i="5"/>
  <c r="X1155" i="5"/>
  <c r="W1155" i="5"/>
  <c r="V1155" i="5"/>
  <c r="U1155" i="5"/>
  <c r="T1155" i="5"/>
  <c r="S1155" i="5"/>
  <c r="R1155" i="5"/>
  <c r="Q1155" i="5"/>
  <c r="P1155" i="5"/>
  <c r="O1155" i="5"/>
  <c r="N1155" i="5"/>
  <c r="M1155" i="5"/>
  <c r="L1155" i="5"/>
  <c r="K1155" i="5"/>
  <c r="J1155" i="5"/>
  <c r="I1155" i="5"/>
  <c r="H1155" i="5"/>
  <c r="G1155" i="5"/>
  <c r="F1155" i="5"/>
  <c r="E1155" i="5"/>
  <c r="FV1152" i="5"/>
  <c r="FU1152" i="5"/>
  <c r="FT1152" i="5"/>
  <c r="FS1152" i="5"/>
  <c r="FR1152" i="5"/>
  <c r="FQ1152" i="5"/>
  <c r="FP1152" i="5"/>
  <c r="FO1152" i="5"/>
  <c r="FN1152" i="5"/>
  <c r="FM1152" i="5"/>
  <c r="FL1152" i="5"/>
  <c r="FK1152" i="5"/>
  <c r="FJ1152" i="5"/>
  <c r="FI1152" i="5"/>
  <c r="FH1152" i="5"/>
  <c r="FG1152" i="5"/>
  <c r="FF1152" i="5"/>
  <c r="FE1152" i="5"/>
  <c r="FD1152" i="5"/>
  <c r="FC1152" i="5"/>
  <c r="FB1152" i="5"/>
  <c r="FA1152" i="5"/>
  <c r="EZ1152" i="5"/>
  <c r="EY1152" i="5"/>
  <c r="CD1152" i="5"/>
  <c r="CC1152" i="5"/>
  <c r="CB1152" i="5"/>
  <c r="CA1152" i="5"/>
  <c r="BZ1152" i="5"/>
  <c r="BY1152" i="5"/>
  <c r="BX1152" i="5"/>
  <c r="BW1152" i="5"/>
  <c r="BV1152" i="5"/>
  <c r="BU1152" i="5"/>
  <c r="BT1152" i="5"/>
  <c r="BS1152" i="5"/>
  <c r="BR1152" i="5"/>
  <c r="BQ1152" i="5"/>
  <c r="BP1152" i="5"/>
  <c r="BO1152" i="5"/>
  <c r="BN1152" i="5"/>
  <c r="BM1152" i="5"/>
  <c r="BL1152" i="5"/>
  <c r="BK1152" i="5"/>
  <c r="BJ1152" i="5"/>
  <c r="BI1152" i="5"/>
  <c r="BH1152" i="5"/>
  <c r="BG1152" i="5"/>
  <c r="BF1152" i="5"/>
  <c r="BE1152" i="5"/>
  <c r="BD1152" i="5"/>
  <c r="BC1152" i="5"/>
  <c r="BB1152" i="5"/>
  <c r="BA1152" i="5"/>
  <c r="AZ1152" i="5"/>
  <c r="AY1152" i="5"/>
  <c r="AX1152" i="5"/>
  <c r="AW1152" i="5"/>
  <c r="AV1152" i="5"/>
  <c r="AU1152" i="5"/>
  <c r="AT1152" i="5"/>
  <c r="AS1152" i="5"/>
  <c r="AR1152" i="5"/>
  <c r="AQ1152" i="5"/>
  <c r="AP1152" i="5"/>
  <c r="AO1152" i="5"/>
  <c r="AN1152" i="5"/>
  <c r="AM1152" i="5"/>
  <c r="AL1152" i="5"/>
  <c r="AK1152" i="5"/>
  <c r="AJ1152" i="5"/>
  <c r="AI1152" i="5"/>
  <c r="AH1152" i="5"/>
  <c r="AG1152" i="5"/>
  <c r="AF1152" i="5"/>
  <c r="AE1152" i="5"/>
  <c r="AD1152" i="5"/>
  <c r="AC1152" i="5"/>
  <c r="AB1152" i="5"/>
  <c r="AA1152" i="5"/>
  <c r="Z1152" i="5"/>
  <c r="Y1152" i="5"/>
  <c r="X1152" i="5"/>
  <c r="W1152" i="5"/>
  <c r="V1152" i="5"/>
  <c r="U1152" i="5"/>
  <c r="T1152" i="5"/>
  <c r="S1152" i="5"/>
  <c r="R1152" i="5"/>
  <c r="Q1152" i="5"/>
  <c r="P1152" i="5"/>
  <c r="O1152" i="5"/>
  <c r="N1152" i="5"/>
  <c r="M1152" i="5"/>
  <c r="L1152" i="5"/>
  <c r="K1152" i="5"/>
  <c r="J1152" i="5"/>
  <c r="I1152" i="5"/>
  <c r="H1152" i="5"/>
  <c r="G1152" i="5"/>
  <c r="F1152" i="5"/>
  <c r="E1152" i="5"/>
  <c r="CD1151" i="5"/>
  <c r="CC1151" i="5"/>
  <c r="CB1151" i="5"/>
  <c r="CA1151" i="5"/>
  <c r="BZ1151" i="5"/>
  <c r="BY1151" i="5"/>
  <c r="BX1151" i="5"/>
  <c r="BW1151" i="5"/>
  <c r="BV1151" i="5"/>
  <c r="BU1151" i="5"/>
  <c r="BT1151" i="5"/>
  <c r="BS1151" i="5"/>
  <c r="BR1151" i="5"/>
  <c r="BQ1151" i="5"/>
  <c r="BP1151" i="5"/>
  <c r="BO1151" i="5"/>
  <c r="BN1151" i="5"/>
  <c r="BM1151" i="5"/>
  <c r="BL1151" i="5"/>
  <c r="BK1151" i="5"/>
  <c r="BJ1151" i="5"/>
  <c r="BI1151" i="5"/>
  <c r="BH1151" i="5"/>
  <c r="BG1151" i="5"/>
  <c r="BF1151" i="5"/>
  <c r="BE1151" i="5"/>
  <c r="BD1151" i="5"/>
  <c r="BC1151" i="5"/>
  <c r="BB1151" i="5"/>
  <c r="BA1151" i="5"/>
  <c r="AZ1151" i="5"/>
  <c r="AY1151" i="5"/>
  <c r="AX1151" i="5"/>
  <c r="AW1151" i="5"/>
  <c r="AV1151" i="5"/>
  <c r="AU1151" i="5"/>
  <c r="AT1151" i="5"/>
  <c r="AS1151" i="5"/>
  <c r="AR1151" i="5"/>
  <c r="AQ1151" i="5"/>
  <c r="AP1151" i="5"/>
  <c r="AO1151" i="5"/>
  <c r="AN1151" i="5"/>
  <c r="AM1151" i="5"/>
  <c r="AL1151" i="5"/>
  <c r="AK1151" i="5"/>
  <c r="AJ1151" i="5"/>
  <c r="AI1151" i="5"/>
  <c r="AH1151" i="5"/>
  <c r="AG1151" i="5"/>
  <c r="AF1151" i="5"/>
  <c r="AE1151" i="5"/>
  <c r="AD1151" i="5"/>
  <c r="AC1151" i="5"/>
  <c r="AB1151" i="5"/>
  <c r="AA1151" i="5"/>
  <c r="Z1151" i="5"/>
  <c r="Y1151" i="5"/>
  <c r="X1151" i="5"/>
  <c r="W1151" i="5"/>
  <c r="V1151" i="5"/>
  <c r="U1151" i="5"/>
  <c r="T1151" i="5"/>
  <c r="S1151" i="5"/>
  <c r="R1151" i="5"/>
  <c r="Q1151" i="5"/>
  <c r="P1151" i="5"/>
  <c r="O1151" i="5"/>
  <c r="N1151" i="5"/>
  <c r="M1151" i="5"/>
  <c r="L1151" i="5"/>
  <c r="K1151" i="5"/>
  <c r="J1151" i="5"/>
  <c r="I1151" i="5"/>
  <c r="H1151" i="5"/>
  <c r="G1151" i="5"/>
  <c r="F1151" i="5"/>
  <c r="E1151" i="5"/>
  <c r="CD1150" i="5"/>
  <c r="CC1150" i="5"/>
  <c r="CB1150" i="5"/>
  <c r="CA1150" i="5"/>
  <c r="BZ1150" i="5"/>
  <c r="BY1150" i="5"/>
  <c r="BX1150" i="5"/>
  <c r="BW1150" i="5"/>
  <c r="BV1150" i="5"/>
  <c r="BU1150" i="5"/>
  <c r="BT1150" i="5"/>
  <c r="BS1150" i="5"/>
  <c r="BR1150" i="5"/>
  <c r="BQ1150" i="5"/>
  <c r="BP1150" i="5"/>
  <c r="BO1150" i="5"/>
  <c r="BN1150" i="5"/>
  <c r="BM1150" i="5"/>
  <c r="BL1150" i="5"/>
  <c r="BK1150" i="5"/>
  <c r="BJ1150" i="5"/>
  <c r="BI1150" i="5"/>
  <c r="BH1150" i="5"/>
  <c r="BG1150" i="5"/>
  <c r="BF1150" i="5"/>
  <c r="BE1150" i="5"/>
  <c r="BD1150" i="5"/>
  <c r="BC1150" i="5"/>
  <c r="BB1150" i="5"/>
  <c r="BA1150" i="5"/>
  <c r="AZ1150" i="5"/>
  <c r="AY1150" i="5"/>
  <c r="AX1150" i="5"/>
  <c r="AW1150" i="5"/>
  <c r="AV1150" i="5"/>
  <c r="AU1150" i="5"/>
  <c r="AT1150" i="5"/>
  <c r="AS1150" i="5"/>
  <c r="AR1150" i="5"/>
  <c r="AQ1150" i="5"/>
  <c r="AP1150" i="5"/>
  <c r="AO1150" i="5"/>
  <c r="AN1150" i="5"/>
  <c r="AM1150" i="5"/>
  <c r="AL1150" i="5"/>
  <c r="AK1150" i="5"/>
  <c r="AJ1150" i="5"/>
  <c r="AI1150" i="5"/>
  <c r="AH1150" i="5"/>
  <c r="AG1150" i="5"/>
  <c r="AF1150" i="5"/>
  <c r="AE1150" i="5"/>
  <c r="AD1150" i="5"/>
  <c r="AC1150" i="5"/>
  <c r="AB1150" i="5"/>
  <c r="AA1150" i="5"/>
  <c r="Z1150" i="5"/>
  <c r="Y1150" i="5"/>
  <c r="X1150" i="5"/>
  <c r="W1150" i="5"/>
  <c r="V1150" i="5"/>
  <c r="U1150" i="5"/>
  <c r="T1150" i="5"/>
  <c r="S1150" i="5"/>
  <c r="R1150" i="5"/>
  <c r="Q1150" i="5"/>
  <c r="P1150" i="5"/>
  <c r="O1150" i="5"/>
  <c r="N1150" i="5"/>
  <c r="M1150" i="5"/>
  <c r="L1150" i="5"/>
  <c r="K1150" i="5"/>
  <c r="J1150" i="5"/>
  <c r="I1150" i="5"/>
  <c r="H1150" i="5"/>
  <c r="G1150" i="5"/>
  <c r="F1150" i="5"/>
  <c r="E1150" i="5"/>
  <c r="CD1148" i="5"/>
  <c r="CC1148" i="5"/>
  <c r="CB1148" i="5"/>
  <c r="CA1148" i="5"/>
  <c r="BZ1148" i="5"/>
  <c r="BY1148" i="5"/>
  <c r="BX1148" i="5"/>
  <c r="BW1148" i="5"/>
  <c r="BV1148" i="5"/>
  <c r="BU1148" i="5"/>
  <c r="BT1148" i="5"/>
  <c r="BS1148" i="5"/>
  <c r="BR1148" i="5"/>
  <c r="BQ1148" i="5"/>
  <c r="BP1148" i="5"/>
  <c r="BO1148" i="5"/>
  <c r="BN1148" i="5"/>
  <c r="BM1148" i="5"/>
  <c r="BL1148" i="5"/>
  <c r="BK1148" i="5"/>
  <c r="BJ1148" i="5"/>
  <c r="BI1148" i="5"/>
  <c r="BH1148" i="5"/>
  <c r="BG1148" i="5"/>
  <c r="BF1148" i="5"/>
  <c r="BE1148" i="5"/>
  <c r="BD1148" i="5"/>
  <c r="BC1148" i="5"/>
  <c r="BB1148" i="5"/>
  <c r="BA1148" i="5"/>
  <c r="AZ1148" i="5"/>
  <c r="AY1148" i="5"/>
  <c r="AX1148" i="5"/>
  <c r="AW1148" i="5"/>
  <c r="AV1148" i="5"/>
  <c r="AU1148" i="5"/>
  <c r="AT1148" i="5"/>
  <c r="AS1148" i="5"/>
  <c r="AR1148" i="5"/>
  <c r="AQ1148" i="5"/>
  <c r="AP1148" i="5"/>
  <c r="AO1148" i="5"/>
  <c r="AN1148" i="5"/>
  <c r="X1148" i="5"/>
  <c r="W1148" i="5"/>
  <c r="V1148" i="5"/>
  <c r="U1148" i="5"/>
  <c r="T1148" i="5"/>
  <c r="S1148" i="5"/>
  <c r="R1148" i="5"/>
  <c r="Q1148" i="5"/>
  <c r="P1148" i="5"/>
  <c r="O1148" i="5"/>
  <c r="N1148" i="5"/>
  <c r="M1148" i="5"/>
  <c r="L1148" i="5"/>
  <c r="K1148" i="5"/>
  <c r="J1148" i="5"/>
  <c r="I1148" i="5"/>
  <c r="H1148" i="5"/>
  <c r="G1148" i="5"/>
  <c r="F1148" i="5"/>
  <c r="E1148" i="5"/>
  <c r="CD1147" i="5"/>
  <c r="CC1147" i="5"/>
  <c r="CB1147" i="5"/>
  <c r="CA1147" i="5"/>
  <c r="BZ1147" i="5"/>
  <c r="BY1147" i="5"/>
  <c r="BX1147" i="5"/>
  <c r="BW1147" i="5"/>
  <c r="BV1147" i="5"/>
  <c r="BU1147" i="5"/>
  <c r="BT1147" i="5"/>
  <c r="BS1147" i="5"/>
  <c r="BR1147" i="5"/>
  <c r="BQ1147" i="5"/>
  <c r="BP1147" i="5"/>
  <c r="BO1147" i="5"/>
  <c r="BN1147" i="5"/>
  <c r="BM1147" i="5"/>
  <c r="BL1147" i="5"/>
  <c r="BK1147" i="5"/>
  <c r="BJ1147" i="5"/>
  <c r="BI1147" i="5"/>
  <c r="BH1147" i="5"/>
  <c r="BG1147" i="5"/>
  <c r="BF1147" i="5"/>
  <c r="BE1147" i="5"/>
  <c r="BD1147" i="5"/>
  <c r="BC1147" i="5"/>
  <c r="BB1147" i="5"/>
  <c r="BA1147" i="5"/>
  <c r="AZ1147" i="5"/>
  <c r="AY1147" i="5"/>
  <c r="AX1147" i="5"/>
  <c r="AW1147" i="5"/>
  <c r="AV1147" i="5"/>
  <c r="AU1147" i="5"/>
  <c r="AT1147" i="5"/>
  <c r="AS1147" i="5"/>
  <c r="AR1147" i="5"/>
  <c r="AQ1147" i="5"/>
  <c r="AN1147" i="5"/>
  <c r="AG1147" i="5"/>
  <c r="AF1147" i="5"/>
  <c r="AE1147" i="5"/>
  <c r="AD1147" i="5"/>
  <c r="AC1147" i="5"/>
  <c r="AB1147" i="5"/>
  <c r="AA1147" i="5"/>
  <c r="Z1147" i="5"/>
  <c r="Y1147" i="5"/>
  <c r="X1147" i="5"/>
  <c r="W1147" i="5"/>
  <c r="V1147" i="5"/>
  <c r="U1147" i="5"/>
  <c r="T1147" i="5"/>
  <c r="S1147" i="5"/>
  <c r="R1147" i="5"/>
  <c r="Q1147" i="5"/>
  <c r="P1147" i="5"/>
  <c r="O1147" i="5"/>
  <c r="N1147" i="5"/>
  <c r="M1147" i="5"/>
  <c r="L1147" i="5"/>
  <c r="K1147" i="5"/>
  <c r="J1147" i="5"/>
  <c r="I1147" i="5"/>
  <c r="H1147" i="5"/>
  <c r="G1147" i="5"/>
  <c r="F1147" i="5"/>
  <c r="E1147" i="5"/>
  <c r="CD1146" i="5"/>
  <c r="CC1146" i="5"/>
  <c r="CB1146" i="5"/>
  <c r="CA1146" i="5"/>
  <c r="BZ1146" i="5"/>
  <c r="BY1146" i="5"/>
  <c r="BX1146" i="5"/>
  <c r="BW1146" i="5"/>
  <c r="BV1146" i="5"/>
  <c r="BU1146" i="5"/>
  <c r="BT1146" i="5"/>
  <c r="BS1146" i="5"/>
  <c r="BR1146" i="5"/>
  <c r="BQ1146" i="5"/>
  <c r="BP1146" i="5"/>
  <c r="BO1146" i="5"/>
  <c r="BN1146" i="5"/>
  <c r="BM1146" i="5"/>
  <c r="BL1146" i="5"/>
  <c r="BK1146" i="5"/>
  <c r="BJ1146" i="5"/>
  <c r="BI1146" i="5"/>
  <c r="BH1146" i="5"/>
  <c r="BG1146" i="5"/>
  <c r="BF1146" i="5"/>
  <c r="BE1146" i="5"/>
  <c r="BD1146" i="5"/>
  <c r="BC1146" i="5"/>
  <c r="BB1146" i="5"/>
  <c r="BA1146" i="5"/>
  <c r="AZ1146" i="5"/>
  <c r="AY1146" i="5"/>
  <c r="AX1146" i="5"/>
  <c r="AW1146" i="5"/>
  <c r="AV1146" i="5"/>
  <c r="AU1146" i="5"/>
  <c r="AT1146" i="5"/>
  <c r="AS1146" i="5"/>
  <c r="AR1146" i="5"/>
  <c r="AQ1146" i="5"/>
  <c r="AP1146" i="5"/>
  <c r="AO1146" i="5"/>
  <c r="AN1146" i="5"/>
  <c r="AM1146" i="5"/>
  <c r="AL1146" i="5"/>
  <c r="AK1146" i="5"/>
  <c r="AJ1146" i="5"/>
  <c r="AI1146" i="5"/>
  <c r="AH1146" i="5"/>
  <c r="AG1146" i="5"/>
  <c r="AF1146" i="5"/>
  <c r="AE1146" i="5"/>
  <c r="AD1146" i="5"/>
  <c r="AC1146" i="5"/>
  <c r="AB1146" i="5"/>
  <c r="AA1146" i="5"/>
  <c r="Z1146" i="5"/>
  <c r="Y1146" i="5"/>
  <c r="X1146" i="5"/>
  <c r="W1146" i="5"/>
  <c r="V1146" i="5"/>
  <c r="U1146" i="5"/>
  <c r="T1146" i="5"/>
  <c r="S1146" i="5"/>
  <c r="R1146" i="5"/>
  <c r="Q1146" i="5"/>
  <c r="P1146" i="5"/>
  <c r="O1146" i="5"/>
  <c r="N1146" i="5"/>
  <c r="M1146" i="5"/>
  <c r="L1146" i="5"/>
  <c r="K1146" i="5"/>
  <c r="J1146" i="5"/>
  <c r="I1146" i="5"/>
  <c r="H1146" i="5"/>
  <c r="G1146" i="5"/>
  <c r="F1146" i="5"/>
  <c r="E1146" i="5"/>
  <c r="CD1145" i="5"/>
  <c r="CC1145" i="5"/>
  <c r="CB1145" i="5"/>
  <c r="CA1145" i="5"/>
  <c r="BZ1145" i="5"/>
  <c r="BY1145" i="5"/>
  <c r="BX1145" i="5"/>
  <c r="BW1145" i="5"/>
  <c r="BV1145" i="5"/>
  <c r="BU1145" i="5"/>
  <c r="BT1145" i="5"/>
  <c r="BS1145" i="5"/>
  <c r="BR1145" i="5"/>
  <c r="BQ1145" i="5"/>
  <c r="BP1145" i="5"/>
  <c r="BO1145" i="5"/>
  <c r="BN1145" i="5"/>
  <c r="BM1145" i="5"/>
  <c r="BL1145" i="5"/>
  <c r="BK1145" i="5"/>
  <c r="BJ1145" i="5"/>
  <c r="BI1145" i="5"/>
  <c r="BH1145" i="5"/>
  <c r="BG1145" i="5"/>
  <c r="BF1145" i="5"/>
  <c r="BE1145" i="5"/>
  <c r="BD1145" i="5"/>
  <c r="BC1145" i="5"/>
  <c r="BB1145" i="5"/>
  <c r="BA1145" i="5"/>
  <c r="AZ1145" i="5"/>
  <c r="AY1145" i="5"/>
  <c r="AX1145" i="5"/>
  <c r="AW1145" i="5"/>
  <c r="AV1145" i="5"/>
  <c r="AU1145" i="5"/>
  <c r="AT1145" i="5"/>
  <c r="AS1145" i="5"/>
  <c r="AR1145" i="5"/>
  <c r="AQ1145" i="5"/>
  <c r="AP1145" i="5"/>
  <c r="AO1145" i="5"/>
  <c r="AN1145" i="5"/>
  <c r="AM1145" i="5"/>
  <c r="AL1145" i="5"/>
  <c r="AK1145" i="5"/>
  <c r="AJ1145" i="5"/>
  <c r="AI1145" i="5"/>
  <c r="AH1145" i="5"/>
  <c r="AG1145" i="5"/>
  <c r="AF1145" i="5"/>
  <c r="AE1145" i="5"/>
  <c r="AD1145" i="5"/>
  <c r="AC1145" i="5"/>
  <c r="AB1145" i="5"/>
  <c r="AA1145" i="5"/>
  <c r="Z1145" i="5"/>
  <c r="Y1145" i="5"/>
  <c r="X1145" i="5"/>
  <c r="W1145" i="5"/>
  <c r="V1145" i="5"/>
  <c r="U1145" i="5"/>
  <c r="T1145" i="5"/>
  <c r="S1145" i="5"/>
  <c r="R1145" i="5"/>
  <c r="Q1145" i="5"/>
  <c r="P1145" i="5"/>
  <c r="O1145" i="5"/>
  <c r="N1145" i="5"/>
  <c r="M1145" i="5"/>
  <c r="L1145" i="5"/>
  <c r="K1145" i="5"/>
  <c r="J1145" i="5"/>
  <c r="I1145" i="5"/>
  <c r="H1145" i="5"/>
  <c r="G1145" i="5"/>
  <c r="F1145" i="5"/>
  <c r="E1145" i="5"/>
  <c r="CD1144" i="5"/>
  <c r="CC1144" i="5"/>
  <c r="CB1144" i="5"/>
  <c r="CA1144" i="5"/>
  <c r="BZ1144" i="5"/>
  <c r="BY1144" i="5"/>
  <c r="BX1144" i="5"/>
  <c r="BW1144" i="5"/>
  <c r="BV1144" i="5"/>
  <c r="BU1144" i="5"/>
  <c r="BT1144" i="5"/>
  <c r="BS1144" i="5"/>
  <c r="BR1144" i="5"/>
  <c r="BQ1144" i="5"/>
  <c r="BP1144" i="5"/>
  <c r="BO1144" i="5"/>
  <c r="BN1144" i="5"/>
  <c r="BM1144" i="5"/>
  <c r="BL1144" i="5"/>
  <c r="BK1144" i="5"/>
  <c r="BJ1144" i="5"/>
  <c r="BI1144" i="5"/>
  <c r="BH1144" i="5"/>
  <c r="BG1144" i="5"/>
  <c r="BF1144" i="5"/>
  <c r="BE1144" i="5"/>
  <c r="BD1144" i="5"/>
  <c r="BC1144" i="5"/>
  <c r="BB1144" i="5"/>
  <c r="BA1144" i="5"/>
  <c r="AZ1144" i="5"/>
  <c r="AY1144" i="5"/>
  <c r="AX1144" i="5"/>
  <c r="AW1144" i="5"/>
  <c r="AV1144" i="5"/>
  <c r="AU1144" i="5"/>
  <c r="AT1144" i="5"/>
  <c r="AS1144" i="5"/>
  <c r="AR1144" i="5"/>
  <c r="AQ1144" i="5"/>
  <c r="AP1144" i="5"/>
  <c r="AO1144" i="5"/>
  <c r="AN1144" i="5"/>
  <c r="AM1144" i="5"/>
  <c r="AL1144" i="5"/>
  <c r="AK1144" i="5"/>
  <c r="AJ1144" i="5"/>
  <c r="AI1144" i="5"/>
  <c r="AH1144" i="5"/>
  <c r="AG1144" i="5"/>
  <c r="AF1144" i="5"/>
  <c r="AE1144" i="5"/>
  <c r="AD1144" i="5"/>
  <c r="AC1144" i="5"/>
  <c r="AB1144" i="5"/>
  <c r="AA1144" i="5"/>
  <c r="Z1144" i="5"/>
  <c r="Y1144" i="5"/>
  <c r="X1144" i="5"/>
  <c r="W1144" i="5"/>
  <c r="V1144" i="5"/>
  <c r="U1144" i="5"/>
  <c r="T1144" i="5"/>
  <c r="S1144" i="5"/>
  <c r="R1144" i="5"/>
  <c r="Q1144" i="5"/>
  <c r="P1144" i="5"/>
  <c r="O1144" i="5"/>
  <c r="N1144" i="5"/>
  <c r="M1144" i="5"/>
  <c r="L1144" i="5"/>
  <c r="K1144" i="5"/>
  <c r="J1144" i="5"/>
  <c r="I1144" i="5"/>
  <c r="H1144" i="5"/>
  <c r="G1144" i="5"/>
  <c r="F1144" i="5"/>
  <c r="E1144" i="5"/>
  <c r="CD1143" i="5"/>
  <c r="CC1143" i="5"/>
  <c r="CB1143" i="5"/>
  <c r="CA1143" i="5"/>
  <c r="BZ1143" i="5"/>
  <c r="BY1143" i="5"/>
  <c r="BX1143" i="5"/>
  <c r="BW1143" i="5"/>
  <c r="BV1143" i="5"/>
  <c r="BU1143" i="5"/>
  <c r="BT1143" i="5"/>
  <c r="BS1143" i="5"/>
  <c r="BR1143" i="5"/>
  <c r="BQ1143" i="5"/>
  <c r="BP1143" i="5"/>
  <c r="BO1143" i="5"/>
  <c r="BN1143" i="5"/>
  <c r="BM1143" i="5"/>
  <c r="BL1143" i="5"/>
  <c r="BK1143" i="5"/>
  <c r="BJ1143" i="5"/>
  <c r="BI1143" i="5"/>
  <c r="BH1143" i="5"/>
  <c r="BG1143" i="5"/>
  <c r="BF1143" i="5"/>
  <c r="BE1143" i="5"/>
  <c r="BD1143" i="5"/>
  <c r="BC1143" i="5"/>
  <c r="BB1143" i="5"/>
  <c r="BA1143" i="5"/>
  <c r="AZ1143" i="5"/>
  <c r="AY1143" i="5"/>
  <c r="AX1143" i="5"/>
  <c r="AW1143" i="5"/>
  <c r="AV1143" i="5"/>
  <c r="AU1143" i="5"/>
  <c r="AT1143" i="5"/>
  <c r="AS1143" i="5"/>
  <c r="AR1143" i="5"/>
  <c r="AQ1143" i="5"/>
  <c r="AP1143" i="5"/>
  <c r="AO1143" i="5"/>
  <c r="AN1143" i="5"/>
  <c r="AM1143" i="5"/>
  <c r="AL1143" i="5"/>
  <c r="AK1143" i="5"/>
  <c r="AJ1143" i="5"/>
  <c r="AI1143" i="5"/>
  <c r="AH1143" i="5"/>
  <c r="AG1143" i="5"/>
  <c r="AF1143" i="5"/>
  <c r="AE1143" i="5"/>
  <c r="AD1143" i="5"/>
  <c r="AC1143" i="5"/>
  <c r="AB1143" i="5"/>
  <c r="AA1143" i="5"/>
  <c r="Z1143" i="5"/>
  <c r="Y1143" i="5"/>
  <c r="X1143" i="5"/>
  <c r="W1143" i="5"/>
  <c r="V1143" i="5"/>
  <c r="U1143" i="5"/>
  <c r="T1143" i="5"/>
  <c r="S1143" i="5"/>
  <c r="R1143" i="5"/>
  <c r="Q1143" i="5"/>
  <c r="P1143" i="5"/>
  <c r="O1143" i="5"/>
  <c r="N1143" i="5"/>
  <c r="M1143" i="5"/>
  <c r="L1143" i="5"/>
  <c r="K1143" i="5"/>
  <c r="J1143" i="5"/>
  <c r="I1143" i="5"/>
  <c r="H1143" i="5"/>
  <c r="G1143" i="5"/>
  <c r="F1143" i="5"/>
  <c r="E1143" i="5"/>
  <c r="CD1140" i="5"/>
  <c r="CC1140" i="5"/>
  <c r="CB1140" i="5"/>
  <c r="CA1140" i="5"/>
  <c r="BZ1140" i="5"/>
  <c r="BY1140" i="5"/>
  <c r="BX1140" i="5"/>
  <c r="BW1140" i="5"/>
  <c r="BV1140" i="5"/>
  <c r="BU1140" i="5"/>
  <c r="BT1140" i="5"/>
  <c r="BS1140" i="5"/>
  <c r="BR1140" i="5"/>
  <c r="BQ1140" i="5"/>
  <c r="BP1140" i="5"/>
  <c r="BO1140" i="5"/>
  <c r="BN1140" i="5"/>
  <c r="BM1140" i="5"/>
  <c r="BL1140" i="5"/>
  <c r="BK1140" i="5"/>
  <c r="BJ1140" i="5"/>
  <c r="BI1140" i="5"/>
  <c r="BH1140" i="5"/>
  <c r="BG1140" i="5"/>
  <c r="BF1140" i="5"/>
  <c r="BE1140" i="5"/>
  <c r="BD1140" i="5"/>
  <c r="BC1140" i="5"/>
  <c r="BB1140" i="5"/>
  <c r="BA1140" i="5"/>
  <c r="AZ1140" i="5"/>
  <c r="AY1140" i="5"/>
  <c r="AX1140" i="5"/>
  <c r="AW1140" i="5"/>
  <c r="AV1140" i="5"/>
  <c r="AU1140" i="5"/>
  <c r="AT1140" i="5"/>
  <c r="AS1140" i="5"/>
  <c r="AR1140" i="5"/>
  <c r="AQ1140" i="5"/>
  <c r="AP1140" i="5"/>
  <c r="AO1140" i="5"/>
  <c r="AN1140" i="5"/>
  <c r="AM1140" i="5"/>
  <c r="AL1140" i="5"/>
  <c r="AK1140" i="5"/>
  <c r="AJ1140" i="5"/>
  <c r="AI1140" i="5"/>
  <c r="AH1140" i="5"/>
  <c r="AG1140" i="5"/>
  <c r="AF1140" i="5"/>
  <c r="AE1140" i="5"/>
  <c r="AD1140" i="5"/>
  <c r="AC1140" i="5"/>
  <c r="AB1140" i="5"/>
  <c r="AA1140" i="5"/>
  <c r="Z1140" i="5"/>
  <c r="Y1140" i="5"/>
  <c r="X1140" i="5"/>
  <c r="W1140" i="5"/>
  <c r="V1140" i="5"/>
  <c r="U1140" i="5"/>
  <c r="T1140" i="5"/>
  <c r="S1140" i="5"/>
  <c r="R1140" i="5"/>
  <c r="Q1140" i="5"/>
  <c r="P1140" i="5"/>
  <c r="O1140" i="5"/>
  <c r="N1140" i="5"/>
  <c r="M1140" i="5"/>
  <c r="L1140" i="5"/>
  <c r="K1140" i="5"/>
  <c r="J1140" i="5"/>
  <c r="I1140" i="5"/>
  <c r="H1140" i="5"/>
  <c r="G1140" i="5"/>
  <c r="F1140" i="5"/>
  <c r="E1140" i="5"/>
  <c r="CD1139" i="5"/>
  <c r="CC1139" i="5"/>
  <c r="CB1139" i="5"/>
  <c r="CA1139" i="5"/>
  <c r="BZ1139" i="5"/>
  <c r="BY1139" i="5"/>
  <c r="BX1139" i="5"/>
  <c r="BW1139" i="5"/>
  <c r="BV1139" i="5"/>
  <c r="BU1139" i="5"/>
  <c r="BT1139" i="5"/>
  <c r="BS1139" i="5"/>
  <c r="BR1139" i="5"/>
  <c r="BQ1139" i="5"/>
  <c r="BP1139" i="5"/>
  <c r="BO1139" i="5"/>
  <c r="BN1139" i="5"/>
  <c r="BM1139" i="5"/>
  <c r="BL1139" i="5"/>
  <c r="BK1139" i="5"/>
  <c r="BJ1139" i="5"/>
  <c r="BI1139" i="5"/>
  <c r="BH1139" i="5"/>
  <c r="BG1139" i="5"/>
  <c r="BF1139" i="5"/>
  <c r="BE1139" i="5"/>
  <c r="BD1139" i="5"/>
  <c r="BC1139" i="5"/>
  <c r="BB1139" i="5"/>
  <c r="BA1139" i="5"/>
  <c r="AZ1139" i="5"/>
  <c r="AY1139" i="5"/>
  <c r="AX1139" i="5"/>
  <c r="AW1139" i="5"/>
  <c r="AV1139" i="5"/>
  <c r="AU1139" i="5"/>
  <c r="AT1139" i="5"/>
  <c r="AS1139" i="5"/>
  <c r="AR1139" i="5"/>
  <c r="AQ1139" i="5"/>
  <c r="AP1139" i="5"/>
  <c r="AO1139" i="5"/>
  <c r="AN1139" i="5"/>
  <c r="AM1139" i="5"/>
  <c r="AL1139" i="5"/>
  <c r="AK1139" i="5"/>
  <c r="AJ1139" i="5"/>
  <c r="AI1139" i="5"/>
  <c r="AH1139" i="5"/>
  <c r="AG1139" i="5"/>
  <c r="AF1139" i="5"/>
  <c r="AE1139" i="5"/>
  <c r="AD1139" i="5"/>
  <c r="AC1139" i="5"/>
  <c r="AB1139" i="5"/>
  <c r="AA1139" i="5"/>
  <c r="Z1139" i="5"/>
  <c r="Y1139" i="5"/>
  <c r="X1139" i="5"/>
  <c r="W1139" i="5"/>
  <c r="V1139" i="5"/>
  <c r="U1139" i="5"/>
  <c r="T1139" i="5"/>
  <c r="S1139" i="5"/>
  <c r="R1139" i="5"/>
  <c r="Q1139" i="5"/>
  <c r="P1139" i="5"/>
  <c r="O1139" i="5"/>
  <c r="N1139" i="5"/>
  <c r="M1139" i="5"/>
  <c r="L1139" i="5"/>
  <c r="K1139" i="5"/>
  <c r="J1139" i="5"/>
  <c r="I1139" i="5"/>
  <c r="H1139" i="5"/>
  <c r="G1139" i="5"/>
  <c r="F1139" i="5"/>
  <c r="E1139" i="5"/>
  <c r="BU1137" i="5"/>
  <c r="BT1137" i="5"/>
  <c r="BS1137" i="5"/>
  <c r="BR1137" i="5"/>
  <c r="BQ1137" i="5"/>
  <c r="BP1137" i="5"/>
  <c r="BO1137" i="5"/>
  <c r="BN1137" i="5"/>
  <c r="BM1137" i="5"/>
  <c r="BL1137" i="5"/>
  <c r="BK1137" i="5"/>
  <c r="BJ1137" i="5"/>
  <c r="BI1137" i="5"/>
  <c r="BH1137" i="5"/>
  <c r="BG1137" i="5"/>
  <c r="BF1137" i="5"/>
  <c r="BE1137" i="5"/>
  <c r="BD1137" i="5"/>
  <c r="BC1137" i="5"/>
  <c r="BB1137" i="5"/>
  <c r="BA1137" i="5"/>
  <c r="AZ1137" i="5"/>
  <c r="AY1137" i="5"/>
  <c r="AX1137" i="5"/>
  <c r="AW1137" i="5"/>
  <c r="AV1137" i="5"/>
  <c r="AU1137" i="5"/>
  <c r="AT1137" i="5"/>
  <c r="AS1137" i="5"/>
  <c r="AR1137" i="5"/>
  <c r="AQ1137" i="5"/>
  <c r="AP1137" i="5"/>
  <c r="AO1137" i="5"/>
  <c r="AN1137" i="5"/>
  <c r="AM1137" i="5"/>
  <c r="AL1137" i="5"/>
  <c r="AK1137" i="5"/>
  <c r="AJ1137" i="5"/>
  <c r="AI1137" i="5"/>
  <c r="AH1137" i="5"/>
  <c r="AG1137" i="5"/>
  <c r="AF1137" i="5"/>
  <c r="AE1137" i="5"/>
  <c r="AD1137" i="5"/>
  <c r="AC1137" i="5"/>
  <c r="AB1137" i="5"/>
  <c r="AA1137" i="5"/>
  <c r="Z1137" i="5"/>
  <c r="Y1137" i="5"/>
  <c r="X1137" i="5"/>
  <c r="W1137" i="5"/>
  <c r="V1137" i="5"/>
  <c r="U1137" i="5"/>
  <c r="T1137" i="5"/>
  <c r="S1137" i="5"/>
  <c r="R1137" i="5"/>
  <c r="Q1137" i="5"/>
  <c r="P1137" i="5"/>
  <c r="O1137" i="5"/>
  <c r="N1137" i="5"/>
  <c r="M1137" i="5"/>
  <c r="L1137" i="5"/>
  <c r="K1137" i="5"/>
  <c r="J1137" i="5"/>
  <c r="I1137" i="5"/>
  <c r="H1137" i="5"/>
  <c r="G1137" i="5"/>
  <c r="F1137" i="5"/>
  <c r="E1137" i="5"/>
  <c r="CD1136" i="5"/>
  <c r="CC1136" i="5"/>
  <c r="CB1136" i="5"/>
  <c r="CA1136" i="5"/>
  <c r="BZ1136" i="5"/>
  <c r="BY1136" i="5"/>
  <c r="BX1136" i="5"/>
  <c r="BW1136" i="5"/>
  <c r="BV1136" i="5"/>
  <c r="BU1136" i="5"/>
  <c r="BT1136" i="5"/>
  <c r="BS1136" i="5"/>
  <c r="BR1136" i="5"/>
  <c r="BQ1136" i="5"/>
  <c r="BP1136" i="5"/>
  <c r="BO1136" i="5"/>
  <c r="BN1136" i="5"/>
  <c r="BM1136" i="5"/>
  <c r="BL1136" i="5"/>
  <c r="BK1136" i="5"/>
  <c r="BJ1136" i="5"/>
  <c r="BI1136" i="5"/>
  <c r="BH1136" i="5"/>
  <c r="BG1136" i="5"/>
  <c r="BF1136" i="5"/>
  <c r="BE1136" i="5"/>
  <c r="BD1136" i="5"/>
  <c r="BC1136" i="5"/>
  <c r="BB1136" i="5"/>
  <c r="BA1136" i="5"/>
  <c r="AZ1136" i="5"/>
  <c r="AY1136" i="5"/>
  <c r="AX1136" i="5"/>
  <c r="AW1136" i="5"/>
  <c r="AV1136" i="5"/>
  <c r="AU1136" i="5"/>
  <c r="AT1136" i="5"/>
  <c r="AS1136" i="5"/>
  <c r="AR1136" i="5"/>
  <c r="AQ1136" i="5"/>
  <c r="AP1136" i="5"/>
  <c r="AO1136" i="5"/>
  <c r="AN1136" i="5"/>
  <c r="AM1136" i="5"/>
  <c r="AL1136" i="5"/>
  <c r="AK1136" i="5"/>
  <c r="AJ1136" i="5"/>
  <c r="AI1136" i="5"/>
  <c r="AH1136" i="5"/>
  <c r="AG1136" i="5"/>
  <c r="AF1136" i="5"/>
  <c r="AE1136" i="5"/>
  <c r="AD1136" i="5"/>
  <c r="AC1136" i="5"/>
  <c r="AB1136" i="5"/>
  <c r="AA1136" i="5"/>
  <c r="Z1136" i="5"/>
  <c r="Y1136" i="5"/>
  <c r="X1136" i="5"/>
  <c r="W1136" i="5"/>
  <c r="V1136" i="5"/>
  <c r="U1136" i="5"/>
  <c r="T1136" i="5"/>
  <c r="S1136" i="5"/>
  <c r="R1136" i="5"/>
  <c r="Q1136" i="5"/>
  <c r="P1136" i="5"/>
  <c r="O1136" i="5"/>
  <c r="N1136" i="5"/>
  <c r="M1136" i="5"/>
  <c r="L1136" i="5"/>
  <c r="K1136" i="5"/>
  <c r="J1136" i="5"/>
  <c r="I1136" i="5"/>
  <c r="H1136" i="5"/>
  <c r="G1136" i="5"/>
  <c r="F1136" i="5"/>
  <c r="E1136" i="5"/>
  <c r="CD1135" i="5"/>
  <c r="CC1135" i="5"/>
  <c r="CB1135" i="5"/>
  <c r="CA1135" i="5"/>
  <c r="BZ1135" i="5"/>
  <c r="BY1135" i="5"/>
  <c r="BX1135" i="5"/>
  <c r="BW1135" i="5"/>
  <c r="BV1135" i="5"/>
  <c r="BU1135" i="5"/>
  <c r="BT1135" i="5"/>
  <c r="BS1135" i="5"/>
  <c r="BR1135" i="5"/>
  <c r="BQ1135" i="5"/>
  <c r="BP1135" i="5"/>
  <c r="BO1135" i="5"/>
  <c r="BN1135" i="5"/>
  <c r="BM1135" i="5"/>
  <c r="BL1135" i="5"/>
  <c r="BK1135" i="5"/>
  <c r="BJ1135" i="5"/>
  <c r="BI1135" i="5"/>
  <c r="BH1135" i="5"/>
  <c r="BG1135" i="5"/>
  <c r="BF1135" i="5"/>
  <c r="BE1135" i="5"/>
  <c r="BD1135" i="5"/>
  <c r="BC1135" i="5"/>
  <c r="BB1135" i="5"/>
  <c r="BA1135" i="5"/>
  <c r="AZ1135" i="5"/>
  <c r="AY1135" i="5"/>
  <c r="AX1135" i="5"/>
  <c r="AW1135" i="5"/>
  <c r="AV1135" i="5"/>
  <c r="AU1135" i="5"/>
  <c r="AT1135" i="5"/>
  <c r="AS1135" i="5"/>
  <c r="AR1135" i="5"/>
  <c r="AQ1135" i="5"/>
  <c r="AP1135" i="5"/>
  <c r="AO1135" i="5"/>
  <c r="AN1135" i="5"/>
  <c r="AM1135" i="5"/>
  <c r="AL1135" i="5"/>
  <c r="AK1135" i="5"/>
  <c r="AJ1135" i="5"/>
  <c r="AI1135" i="5"/>
  <c r="AH1135" i="5"/>
  <c r="AG1135" i="5"/>
  <c r="AF1135" i="5"/>
  <c r="AE1135" i="5"/>
  <c r="AD1135" i="5"/>
  <c r="AC1135" i="5"/>
  <c r="AB1135" i="5"/>
  <c r="AA1135" i="5"/>
  <c r="Z1135" i="5"/>
  <c r="Y1135" i="5"/>
  <c r="X1135" i="5"/>
  <c r="W1135" i="5"/>
  <c r="V1135" i="5"/>
  <c r="U1135" i="5"/>
  <c r="T1135" i="5"/>
  <c r="S1135" i="5"/>
  <c r="R1135" i="5"/>
  <c r="Q1135" i="5"/>
  <c r="P1135" i="5"/>
  <c r="O1135" i="5"/>
  <c r="N1135" i="5"/>
  <c r="M1135" i="5"/>
  <c r="L1135" i="5"/>
  <c r="K1135" i="5"/>
  <c r="J1135" i="5"/>
  <c r="I1135" i="5"/>
  <c r="H1135" i="5"/>
  <c r="G1135" i="5"/>
  <c r="F1135" i="5"/>
  <c r="E1135" i="5"/>
  <c r="CD1134" i="5"/>
  <c r="CC1134" i="5"/>
  <c r="CB1134" i="5"/>
  <c r="CA1134" i="5"/>
  <c r="BZ1134" i="5"/>
  <c r="BY1134" i="5"/>
  <c r="BX1134" i="5"/>
  <c r="BW1134" i="5"/>
  <c r="BV1134" i="5"/>
  <c r="BU1134" i="5"/>
  <c r="BT1134" i="5"/>
  <c r="BS1134" i="5"/>
  <c r="BR1134" i="5"/>
  <c r="BQ1134" i="5"/>
  <c r="BP1134" i="5"/>
  <c r="BO1134" i="5"/>
  <c r="BN1134" i="5"/>
  <c r="BM1134" i="5"/>
  <c r="BL1134" i="5"/>
  <c r="BK1134" i="5"/>
  <c r="BJ1134" i="5"/>
  <c r="BI1134" i="5"/>
  <c r="BH1134" i="5"/>
  <c r="BG1134" i="5"/>
  <c r="BF1134" i="5"/>
  <c r="BE1134" i="5"/>
  <c r="BD1134" i="5"/>
  <c r="BC1134" i="5"/>
  <c r="BB1134" i="5"/>
  <c r="BA1134" i="5"/>
  <c r="AZ1134" i="5"/>
  <c r="AY1134" i="5"/>
  <c r="AX1134" i="5"/>
  <c r="AW1134" i="5"/>
  <c r="AV1134" i="5"/>
  <c r="AU1134" i="5"/>
  <c r="AT1134" i="5"/>
  <c r="AS1134" i="5"/>
  <c r="AR1134" i="5"/>
  <c r="AQ1134" i="5"/>
  <c r="AP1134" i="5"/>
  <c r="AO1134" i="5"/>
  <c r="AN1134" i="5"/>
  <c r="AM1134" i="5"/>
  <c r="AL1134" i="5"/>
  <c r="AK1134" i="5"/>
  <c r="AJ1134" i="5"/>
  <c r="AI1134" i="5"/>
  <c r="AH1134" i="5"/>
  <c r="AG1134" i="5"/>
  <c r="AF1134" i="5"/>
  <c r="AE1134" i="5"/>
  <c r="AD1134" i="5"/>
  <c r="AC1134" i="5"/>
  <c r="AB1134" i="5"/>
  <c r="AA1134" i="5"/>
  <c r="Z1134" i="5"/>
  <c r="Y1134" i="5"/>
  <c r="X1134" i="5"/>
  <c r="W1134" i="5"/>
  <c r="V1134" i="5"/>
  <c r="U1134" i="5"/>
  <c r="T1134" i="5"/>
  <c r="S1134" i="5"/>
  <c r="R1134" i="5"/>
  <c r="Q1134" i="5"/>
  <c r="P1134" i="5"/>
  <c r="O1134" i="5"/>
  <c r="N1134" i="5"/>
  <c r="M1134" i="5"/>
  <c r="L1134" i="5"/>
  <c r="K1134" i="5"/>
  <c r="J1134" i="5"/>
  <c r="I1134" i="5"/>
  <c r="H1134" i="5"/>
  <c r="G1134" i="5"/>
  <c r="F1134" i="5"/>
  <c r="E1134" i="5"/>
  <c r="HR1127" i="5"/>
  <c r="HR1126" i="5"/>
  <c r="HR1124" i="5"/>
  <c r="HR1123" i="5"/>
  <c r="HR1122" i="5"/>
  <c r="HR1121" i="5"/>
  <c r="HR1119" i="5"/>
  <c r="HR1117" i="5"/>
  <c r="HR1116" i="5"/>
  <c r="HR1114" i="5"/>
  <c r="HR1113" i="5"/>
  <c r="HR1112" i="5"/>
  <c r="HR1110" i="5"/>
  <c r="HR1109" i="5"/>
  <c r="HR1108" i="5"/>
  <c r="HR1107" i="5"/>
  <c r="HR1106" i="5"/>
  <c r="HR1105" i="5"/>
  <c r="HR1103" i="5"/>
  <c r="D1101" i="5"/>
  <c r="HR1101" i="5" s="1"/>
  <c r="D1099" i="5"/>
  <c r="HR1099" i="5" s="1"/>
  <c r="DT1097" i="5"/>
  <c r="DS1097" i="5"/>
  <c r="DR1097" i="5"/>
  <c r="DQ1097" i="5"/>
  <c r="DP1097" i="5"/>
  <c r="DO1097" i="5"/>
  <c r="DN1097" i="5"/>
  <c r="HX1097" i="5" s="1"/>
  <c r="DM1097" i="5"/>
  <c r="DL1097" i="5"/>
  <c r="DK1097" i="5"/>
  <c r="DJ1097" i="5"/>
  <c r="DI1097" i="5"/>
  <c r="DH1097" i="5"/>
  <c r="D1097" i="5"/>
  <c r="HR1097" i="5" s="1"/>
  <c r="HR1095" i="5"/>
  <c r="DT1093" i="5"/>
  <c r="DS1093" i="5"/>
  <c r="DR1093" i="5"/>
  <c r="DQ1093" i="5"/>
  <c r="DP1093" i="5"/>
  <c r="DO1093" i="5"/>
  <c r="DN1093" i="5"/>
  <c r="HX1093" i="5" s="1"/>
  <c r="AA1685" i="2" s="1"/>
  <c r="DM1093" i="5"/>
  <c r="DL1093" i="5"/>
  <c r="DK1093" i="5"/>
  <c r="DJ1093" i="5"/>
  <c r="DI1093" i="5"/>
  <c r="DH1093" i="5"/>
  <c r="Z1685" i="2" s="1"/>
  <c r="DG1093" i="5"/>
  <c r="DF1093" i="5"/>
  <c r="DE1093" i="5"/>
  <c r="DD1093" i="5"/>
  <c r="DC1093" i="5"/>
  <c r="DB1093" i="5"/>
  <c r="DA1093" i="5"/>
  <c r="CZ1093" i="5"/>
  <c r="CY1093" i="5"/>
  <c r="CX1093" i="5"/>
  <c r="CW1093" i="5"/>
  <c r="CV1093" i="5"/>
  <c r="CU1093" i="5"/>
  <c r="CT1093" i="5"/>
  <c r="CS1093" i="5"/>
  <c r="CR1093" i="5"/>
  <c r="CQ1093" i="5"/>
  <c r="CP1093" i="5"/>
  <c r="CJ1093" i="5"/>
  <c r="X1685" i="2" s="1"/>
  <c r="D1093" i="5"/>
  <c r="DT1092" i="5"/>
  <c r="DS1092" i="5"/>
  <c r="DR1092" i="5"/>
  <c r="DQ1092" i="5"/>
  <c r="DP1092" i="5"/>
  <c r="DO1092" i="5"/>
  <c r="DN1092" i="5"/>
  <c r="HX1092" i="5" s="1"/>
  <c r="AA1684" i="2" s="1"/>
  <c r="DM1092" i="5"/>
  <c r="DL1092" i="5"/>
  <c r="DK1092" i="5"/>
  <c r="DJ1092" i="5"/>
  <c r="DI1092" i="5"/>
  <c r="DH1092" i="5"/>
  <c r="Z1684" i="2" s="1"/>
  <c r="DG1092" i="5"/>
  <c r="DF1092" i="5"/>
  <c r="DE1092" i="5"/>
  <c r="DD1092" i="5"/>
  <c r="DC1092" i="5"/>
  <c r="DB1092" i="5"/>
  <c r="HU1092" i="5" s="1"/>
  <c r="DA1092" i="5"/>
  <c r="CZ1092" i="5"/>
  <c r="CY1092" i="5"/>
  <c r="CX1092" i="5"/>
  <c r="CW1092" i="5"/>
  <c r="CV1092" i="5"/>
  <c r="Y1684" i="2" s="1"/>
  <c r="CU1092" i="5"/>
  <c r="CT1092" i="5"/>
  <c r="CS1092" i="5"/>
  <c r="CR1092" i="5"/>
  <c r="CQ1092" i="5"/>
  <c r="CP1092" i="5"/>
  <c r="CJ1092" i="5"/>
  <c r="X1684" i="2" s="1"/>
  <c r="D1092" i="5"/>
  <c r="HR1091" i="5"/>
  <c r="HX1090" i="5"/>
  <c r="DT1089" i="5"/>
  <c r="DS1089" i="5"/>
  <c r="DR1089" i="5"/>
  <c r="DQ1089" i="5"/>
  <c r="DP1089" i="5"/>
  <c r="DO1089" i="5"/>
  <c r="DN1089" i="5"/>
  <c r="HX1089" i="5" s="1"/>
  <c r="AA1681" i="2" s="1"/>
  <c r="DM1089" i="5"/>
  <c r="DL1089" i="5"/>
  <c r="DK1089" i="5"/>
  <c r="DJ1089" i="5"/>
  <c r="DI1089" i="5"/>
  <c r="DH1089" i="5"/>
  <c r="DG1089" i="5"/>
  <c r="DF1089" i="5"/>
  <c r="DE1089" i="5"/>
  <c r="DD1089" i="5"/>
  <c r="DC1089" i="5"/>
  <c r="DB1089" i="5"/>
  <c r="DA1089" i="5"/>
  <c r="CZ1089" i="5"/>
  <c r="CY1089" i="5"/>
  <c r="CX1089" i="5"/>
  <c r="CW1089" i="5"/>
  <c r="CV1089" i="5"/>
  <c r="Y1681" i="2" s="1"/>
  <c r="CU1089" i="5"/>
  <c r="CT1089" i="5"/>
  <c r="CS1089" i="5"/>
  <c r="CR1089" i="5"/>
  <c r="CQ1089" i="5"/>
  <c r="CP1089" i="5"/>
  <c r="CJ1089" i="5"/>
  <c r="D1089" i="5"/>
  <c r="DT1088" i="5"/>
  <c r="DS1088" i="5"/>
  <c r="DR1088" i="5"/>
  <c r="DQ1088" i="5"/>
  <c r="DP1088" i="5"/>
  <c r="DO1088" i="5"/>
  <c r="DN1088" i="5"/>
  <c r="DM1088" i="5"/>
  <c r="DL1088" i="5"/>
  <c r="DK1088" i="5"/>
  <c r="DJ1088" i="5"/>
  <c r="DI1088" i="5"/>
  <c r="DH1088" i="5"/>
  <c r="Z1680" i="2" s="1"/>
  <c r="DG1088" i="5"/>
  <c r="DF1088" i="5"/>
  <c r="DE1088" i="5"/>
  <c r="DD1088" i="5"/>
  <c r="DC1088" i="5"/>
  <c r="DB1088" i="5"/>
  <c r="HU1088" i="5" s="1"/>
  <c r="DA1088" i="5"/>
  <c r="CZ1088" i="5"/>
  <c r="CY1088" i="5"/>
  <c r="CX1088" i="5"/>
  <c r="CW1088" i="5"/>
  <c r="CV1088" i="5"/>
  <c r="CU1088" i="5"/>
  <c r="CT1088" i="5"/>
  <c r="CS1088" i="5"/>
  <c r="CR1088" i="5"/>
  <c r="CQ1088" i="5"/>
  <c r="CP1088" i="5"/>
  <c r="CJ1088" i="5"/>
  <c r="X1680" i="2" s="1"/>
  <c r="D1088" i="5"/>
  <c r="HR1087" i="5"/>
  <c r="DT1086" i="5"/>
  <c r="DS1086" i="5"/>
  <c r="DR1086" i="5"/>
  <c r="DQ1086" i="5"/>
  <c r="DP1086" i="5"/>
  <c r="DO1086" i="5"/>
  <c r="DN1086" i="5"/>
  <c r="HX1086" i="5" s="1"/>
  <c r="AA1678" i="2" s="1"/>
  <c r="DM1086" i="5"/>
  <c r="DL1086" i="5"/>
  <c r="DK1086" i="5"/>
  <c r="DJ1086" i="5"/>
  <c r="DI1086" i="5"/>
  <c r="DH1086" i="5"/>
  <c r="Z1678" i="2" s="1"/>
  <c r="DG1086" i="5"/>
  <c r="DF1086" i="5"/>
  <c r="DE1086" i="5"/>
  <c r="DD1086" i="5"/>
  <c r="DC1086" i="5"/>
  <c r="DB1086" i="5"/>
  <c r="HU1086" i="5" s="1"/>
  <c r="DA1086" i="5"/>
  <c r="CZ1086" i="5"/>
  <c r="CY1086" i="5"/>
  <c r="CX1086" i="5"/>
  <c r="CW1086" i="5"/>
  <c r="CV1086" i="5"/>
  <c r="CU1086" i="5"/>
  <c r="CT1086" i="5"/>
  <c r="CS1086" i="5"/>
  <c r="CR1086" i="5"/>
  <c r="CQ1086" i="5"/>
  <c r="CP1086" i="5"/>
  <c r="CJ1086" i="5"/>
  <c r="X1678" i="2" s="1"/>
  <c r="D1086" i="5"/>
  <c r="DT1085" i="5"/>
  <c r="DS1085" i="5"/>
  <c r="DR1085" i="5"/>
  <c r="DQ1085" i="5"/>
  <c r="DP1085" i="5"/>
  <c r="DO1085" i="5"/>
  <c r="DN1085" i="5"/>
  <c r="HX1085" i="5" s="1"/>
  <c r="AA1677" i="2" s="1"/>
  <c r="DM1085" i="5"/>
  <c r="DL1085" i="5"/>
  <c r="DK1085" i="5"/>
  <c r="DJ1085" i="5"/>
  <c r="DI1085" i="5"/>
  <c r="DH1085" i="5"/>
  <c r="DG1085" i="5"/>
  <c r="DF1085" i="5"/>
  <c r="DE1085" i="5"/>
  <c r="DD1085" i="5"/>
  <c r="DC1085" i="5"/>
  <c r="DB1085" i="5"/>
  <c r="DA1085" i="5"/>
  <c r="CZ1085" i="5"/>
  <c r="CY1085" i="5"/>
  <c r="CX1085" i="5"/>
  <c r="CW1085" i="5"/>
  <c r="CV1085" i="5"/>
  <c r="Y1677" i="2" s="1"/>
  <c r="CU1085" i="5"/>
  <c r="CT1085" i="5"/>
  <c r="CS1085" i="5"/>
  <c r="CR1085" i="5"/>
  <c r="CQ1085" i="5"/>
  <c r="CP1085" i="5"/>
  <c r="CJ1085" i="5"/>
  <c r="X1677" i="2" s="1"/>
  <c r="D1085" i="5"/>
  <c r="D1084" i="5"/>
  <c r="HR1084" i="5" s="1"/>
  <c r="HR1083" i="5"/>
  <c r="DT1081" i="5"/>
  <c r="DS1081" i="5"/>
  <c r="DR1081" i="5"/>
  <c r="DQ1081" i="5"/>
  <c r="DP1081" i="5"/>
  <c r="DO1081" i="5"/>
  <c r="DN1081" i="5"/>
  <c r="HX1081" i="5" s="1"/>
  <c r="AA1673" i="2" s="1"/>
  <c r="DM1081" i="5"/>
  <c r="DL1081" i="5"/>
  <c r="DK1081" i="5"/>
  <c r="DJ1081" i="5"/>
  <c r="DI1081" i="5"/>
  <c r="DH1081" i="5"/>
  <c r="Z1673" i="2" s="1"/>
  <c r="DG1081" i="5"/>
  <c r="DF1081" i="5"/>
  <c r="DE1081" i="5"/>
  <c r="DD1081" i="5"/>
  <c r="DC1081" i="5"/>
  <c r="DB1081" i="5"/>
  <c r="HU1081" i="5" s="1"/>
  <c r="DA1081" i="5"/>
  <c r="CZ1081" i="5"/>
  <c r="CY1081" i="5"/>
  <c r="CX1081" i="5"/>
  <c r="CW1081" i="5"/>
  <c r="CV1081" i="5"/>
  <c r="Y1673" i="2" s="1"/>
  <c r="CU1081" i="5"/>
  <c r="CT1081" i="5"/>
  <c r="CS1081" i="5"/>
  <c r="CR1081" i="5"/>
  <c r="CQ1081" i="5"/>
  <c r="CP1081" i="5"/>
  <c r="CJ1081" i="5"/>
  <c r="X1673" i="2" s="1"/>
  <c r="D1081" i="5"/>
  <c r="DT1080" i="5"/>
  <c r="DS1080" i="5"/>
  <c r="DR1080" i="5"/>
  <c r="DQ1080" i="5"/>
  <c r="DP1080" i="5"/>
  <c r="DO1080" i="5"/>
  <c r="DN1080" i="5"/>
  <c r="HX1080" i="5" s="1"/>
  <c r="AA1672" i="2" s="1"/>
  <c r="DM1080" i="5"/>
  <c r="DL1080" i="5"/>
  <c r="DK1080" i="5"/>
  <c r="DJ1080" i="5"/>
  <c r="DI1080" i="5"/>
  <c r="DH1080" i="5"/>
  <c r="Z1672" i="2" s="1"/>
  <c r="DG1080" i="5"/>
  <c r="DF1080" i="5"/>
  <c r="DE1080" i="5"/>
  <c r="DD1080" i="5"/>
  <c r="DC1080" i="5"/>
  <c r="DB1080" i="5"/>
  <c r="HU1080" i="5" s="1"/>
  <c r="DA1080" i="5"/>
  <c r="CZ1080" i="5"/>
  <c r="CY1080" i="5"/>
  <c r="CX1080" i="5"/>
  <c r="CW1080" i="5"/>
  <c r="CV1080" i="5"/>
  <c r="CU1080" i="5"/>
  <c r="CT1080" i="5"/>
  <c r="CS1080" i="5"/>
  <c r="CR1080" i="5"/>
  <c r="CQ1080" i="5"/>
  <c r="CP1080" i="5"/>
  <c r="CJ1080" i="5"/>
  <c r="X1672" i="2" s="1"/>
  <c r="D1080" i="5"/>
  <c r="DT1079" i="5"/>
  <c r="DS1079" i="5"/>
  <c r="DR1079" i="5"/>
  <c r="DQ1079" i="5"/>
  <c r="DP1079" i="5"/>
  <c r="DO1079" i="5"/>
  <c r="DN1079" i="5"/>
  <c r="DM1079" i="5"/>
  <c r="DL1079" i="5"/>
  <c r="DK1079" i="5"/>
  <c r="DJ1079" i="5"/>
  <c r="DI1079" i="5"/>
  <c r="DH1079" i="5"/>
  <c r="DG1079" i="5"/>
  <c r="DF1079" i="5"/>
  <c r="DE1079" i="5"/>
  <c r="DD1079" i="5"/>
  <c r="DC1079" i="5"/>
  <c r="DB1079" i="5"/>
  <c r="DA1079" i="5"/>
  <c r="CZ1079" i="5"/>
  <c r="CY1079" i="5"/>
  <c r="CX1079" i="5"/>
  <c r="CW1079" i="5"/>
  <c r="CV1079" i="5"/>
  <c r="Y1671" i="2" s="1"/>
  <c r="CU1079" i="5"/>
  <c r="CT1079" i="5"/>
  <c r="CS1079" i="5"/>
  <c r="CR1079" i="5"/>
  <c r="CQ1079" i="5"/>
  <c r="CP1079" i="5"/>
  <c r="CJ1079" i="5"/>
  <c r="X1671" i="2" s="1"/>
  <c r="D1079" i="5"/>
  <c r="D1671" i="2" s="1"/>
  <c r="HR1078" i="5"/>
  <c r="HR1077" i="5"/>
  <c r="DT1077" i="5"/>
  <c r="DS1077" i="5"/>
  <c r="DR1077" i="5"/>
  <c r="DQ1077" i="5"/>
  <c r="DP1077" i="5"/>
  <c r="DO1077" i="5"/>
  <c r="DN1077" i="5"/>
  <c r="DM1077" i="5"/>
  <c r="DL1077" i="5"/>
  <c r="DK1077" i="5"/>
  <c r="DJ1077" i="5"/>
  <c r="DI1077" i="5"/>
  <c r="DH1077" i="5"/>
  <c r="DG1077" i="5"/>
  <c r="DF1077" i="5"/>
  <c r="DE1077" i="5"/>
  <c r="DD1077" i="5"/>
  <c r="DC1077" i="5"/>
  <c r="DB1077" i="5"/>
  <c r="HU1077" i="5" s="1"/>
  <c r="DA1077" i="5"/>
  <c r="CZ1077" i="5"/>
  <c r="CY1077" i="5"/>
  <c r="CX1077" i="5"/>
  <c r="CW1077" i="5"/>
  <c r="CV1077" i="5"/>
  <c r="Y1669" i="2" s="1"/>
  <c r="CU1077" i="5"/>
  <c r="CT1077" i="5"/>
  <c r="CS1077" i="5"/>
  <c r="CR1077" i="5"/>
  <c r="CQ1077" i="5"/>
  <c r="CP1077" i="5"/>
  <c r="CJ1077" i="5"/>
  <c r="HR1076" i="5"/>
  <c r="DT1076" i="5"/>
  <c r="DS1076" i="5"/>
  <c r="DR1076" i="5"/>
  <c r="DQ1076" i="5"/>
  <c r="DP1076" i="5"/>
  <c r="DO1076" i="5"/>
  <c r="DN1076" i="5"/>
  <c r="HX1076" i="5" s="1"/>
  <c r="AA1668" i="2" s="1"/>
  <c r="DM1076" i="5"/>
  <c r="DL1076" i="5"/>
  <c r="DK1076" i="5"/>
  <c r="DJ1076" i="5"/>
  <c r="DI1076" i="5"/>
  <c r="DH1076" i="5"/>
  <c r="Z1668" i="2" s="1"/>
  <c r="DG1076" i="5"/>
  <c r="DF1076" i="5"/>
  <c r="DE1076" i="5"/>
  <c r="DD1076" i="5"/>
  <c r="DC1076" i="5"/>
  <c r="DB1076" i="5"/>
  <c r="DA1076" i="5"/>
  <c r="CZ1076" i="5"/>
  <c r="CY1076" i="5"/>
  <c r="CX1076" i="5"/>
  <c r="CW1076" i="5"/>
  <c r="CV1076" i="5"/>
  <c r="CU1076" i="5"/>
  <c r="CT1076" i="5"/>
  <c r="CS1076" i="5"/>
  <c r="CR1076" i="5"/>
  <c r="CQ1076" i="5"/>
  <c r="CP1076" i="5"/>
  <c r="CJ1076" i="5"/>
  <c r="X1668" i="2" s="1"/>
  <c r="HR1075" i="5"/>
  <c r="HR1074" i="5"/>
  <c r="HR1073" i="5"/>
  <c r="HR1071" i="5"/>
  <c r="HR1070" i="5"/>
  <c r="DT1070" i="5"/>
  <c r="DS1070" i="5"/>
  <c r="DR1070" i="5"/>
  <c r="DQ1070" i="5"/>
  <c r="DP1070" i="5"/>
  <c r="DO1070" i="5"/>
  <c r="DN1070" i="5"/>
  <c r="DM1070" i="5"/>
  <c r="DL1070" i="5"/>
  <c r="DK1070" i="5"/>
  <c r="DJ1070" i="5"/>
  <c r="DI1070" i="5"/>
  <c r="DH1070" i="5"/>
  <c r="Z1662" i="2" s="1"/>
  <c r="DG1070" i="5"/>
  <c r="DF1070" i="5"/>
  <c r="DE1070" i="5"/>
  <c r="DD1070" i="5"/>
  <c r="DC1070" i="5"/>
  <c r="DB1070" i="5"/>
  <c r="HU1070" i="5" s="1"/>
  <c r="DA1070" i="5"/>
  <c r="CZ1070" i="5"/>
  <c r="CY1070" i="5"/>
  <c r="CX1070" i="5"/>
  <c r="CW1070" i="5"/>
  <c r="CV1070" i="5"/>
  <c r="Y1662" i="2" s="1"/>
  <c r="CU1070" i="5"/>
  <c r="CT1070" i="5"/>
  <c r="CS1070" i="5"/>
  <c r="CR1070" i="5"/>
  <c r="CQ1070" i="5"/>
  <c r="CP1070" i="5"/>
  <c r="CJ1070" i="5"/>
  <c r="X1662" i="2" s="1"/>
  <c r="HR1069" i="5"/>
  <c r="DT1069" i="5"/>
  <c r="DS1069" i="5"/>
  <c r="DR1069" i="5"/>
  <c r="DQ1069" i="5"/>
  <c r="DP1069" i="5"/>
  <c r="DO1069" i="5"/>
  <c r="DN1069" i="5"/>
  <c r="HX1069" i="5" s="1"/>
  <c r="AA1661" i="2" s="1"/>
  <c r="DM1069" i="5"/>
  <c r="DL1069" i="5"/>
  <c r="DK1069" i="5"/>
  <c r="DJ1069" i="5"/>
  <c r="DI1069" i="5"/>
  <c r="DH1069" i="5"/>
  <c r="DG1069" i="5"/>
  <c r="DF1069" i="5"/>
  <c r="DE1069" i="5"/>
  <c r="DD1069" i="5"/>
  <c r="DC1069" i="5"/>
  <c r="DB1069" i="5"/>
  <c r="HU1069" i="5" s="1"/>
  <c r="DA1069" i="5"/>
  <c r="CZ1069" i="5"/>
  <c r="CY1069" i="5"/>
  <c r="CX1069" i="5"/>
  <c r="CW1069" i="5"/>
  <c r="CV1069" i="5"/>
  <c r="CU1069" i="5"/>
  <c r="CT1069" i="5"/>
  <c r="CS1069" i="5"/>
  <c r="CR1069" i="5"/>
  <c r="CQ1069" i="5"/>
  <c r="CP1069" i="5"/>
  <c r="CJ1069" i="5"/>
  <c r="HR1068" i="5"/>
  <c r="DZ1066" i="5"/>
  <c r="DY1066" i="5"/>
  <c r="DX1066" i="5"/>
  <c r="DW1066" i="5"/>
  <c r="DV1066" i="5"/>
  <c r="DU1066" i="5"/>
  <c r="DT1066" i="5"/>
  <c r="DS1066" i="5"/>
  <c r="DR1066" i="5"/>
  <c r="DQ1066" i="5"/>
  <c r="DP1066" i="5"/>
  <c r="DO1066" i="5"/>
  <c r="DN1066" i="5"/>
  <c r="DM1066" i="5"/>
  <c r="DL1066" i="5"/>
  <c r="DK1066" i="5"/>
  <c r="DJ1066" i="5"/>
  <c r="DI1066" i="5"/>
  <c r="DH1066" i="5"/>
  <c r="DG1066" i="5"/>
  <c r="DF1066" i="5"/>
  <c r="DE1066" i="5"/>
  <c r="DD1066" i="5"/>
  <c r="DC1066" i="5"/>
  <c r="DB1066" i="5"/>
  <c r="DA1066" i="5"/>
  <c r="CZ1066" i="5"/>
  <c r="CY1066" i="5"/>
  <c r="CX1066" i="5"/>
  <c r="CW1066" i="5"/>
  <c r="CV1066" i="5"/>
  <c r="CU1066" i="5"/>
  <c r="CT1066" i="5"/>
  <c r="CS1066" i="5"/>
  <c r="CR1066" i="5"/>
  <c r="CQ1066" i="5"/>
  <c r="CP1066" i="5"/>
  <c r="CO1066" i="5"/>
  <c r="CN1066" i="5"/>
  <c r="CM1066" i="5"/>
  <c r="CL1066" i="5"/>
  <c r="CK1066" i="5"/>
  <c r="CJ1066" i="5"/>
  <c r="HX1065" i="5"/>
  <c r="HU1065" i="5"/>
  <c r="IJ1064" i="5"/>
  <c r="IG1064" i="5"/>
  <c r="ID1064" i="5"/>
  <c r="IC1064" i="5"/>
  <c r="IB1064" i="5"/>
  <c r="IA1064" i="5"/>
  <c r="HZ1064" i="5"/>
  <c r="HY1064" i="5"/>
  <c r="HX1064" i="5"/>
  <c r="HW1064" i="5"/>
  <c r="HV1064" i="5"/>
  <c r="HU1064" i="5"/>
  <c r="HR1064" i="5"/>
  <c r="H56" i="1" s="1"/>
  <c r="D1064" i="5"/>
  <c r="DF1001" i="5"/>
  <c r="DE1001" i="5"/>
  <c r="DD1001" i="5"/>
  <c r="DC1001" i="5"/>
  <c r="DB1001" i="5"/>
  <c r="DA1001" i="5"/>
  <c r="CZ1001" i="5"/>
  <c r="CY1001" i="5"/>
  <c r="CX1001" i="5"/>
  <c r="CW1001" i="5"/>
  <c r="CV1001" i="5"/>
  <c r="CU1001" i="5"/>
  <c r="CT1001" i="5"/>
  <c r="CS1001" i="5"/>
  <c r="CR1001" i="5"/>
  <c r="CQ1001" i="5"/>
  <c r="CP1001" i="5"/>
  <c r="CJ1001" i="5"/>
  <c r="GH998" i="5"/>
  <c r="GG998" i="5"/>
  <c r="GF998" i="5"/>
  <c r="GE998" i="5"/>
  <c r="GD998" i="5"/>
  <c r="GC998" i="5"/>
  <c r="GB998" i="5"/>
  <c r="GA998" i="5"/>
  <c r="FZ998" i="5"/>
  <c r="FY998" i="5"/>
  <c r="FX998" i="5"/>
  <c r="FW998" i="5"/>
  <c r="D998" i="5"/>
  <c r="D1367" i="2" s="1"/>
  <c r="GH997" i="5"/>
  <c r="GG997" i="5"/>
  <c r="GF997" i="5"/>
  <c r="GE997" i="5"/>
  <c r="GD997" i="5"/>
  <c r="GC997" i="5"/>
  <c r="GB997" i="5"/>
  <c r="GA997" i="5"/>
  <c r="FZ997" i="5"/>
  <c r="FY997" i="5"/>
  <c r="FX997" i="5"/>
  <c r="FW997" i="5"/>
  <c r="D997" i="5"/>
  <c r="D1362" i="2" s="1"/>
  <c r="GH996" i="5"/>
  <c r="GG996" i="5"/>
  <c r="GF996" i="5"/>
  <c r="GE996" i="5"/>
  <c r="GD996" i="5"/>
  <c r="GC996" i="5"/>
  <c r="GB996" i="5"/>
  <c r="GA996" i="5"/>
  <c r="FZ996" i="5"/>
  <c r="FY996" i="5"/>
  <c r="FX996" i="5"/>
  <c r="FW996" i="5"/>
  <c r="D996" i="5"/>
  <c r="D1361" i="2" s="1"/>
  <c r="GH995" i="5"/>
  <c r="GG995" i="5"/>
  <c r="GF995" i="5"/>
  <c r="GE995" i="5"/>
  <c r="GD995" i="5"/>
  <c r="GC995" i="5"/>
  <c r="GB995" i="5"/>
  <c r="GA995" i="5"/>
  <c r="FZ995" i="5"/>
  <c r="FY995" i="5"/>
  <c r="FX995" i="5"/>
  <c r="FW995" i="5"/>
  <c r="AL995" i="5"/>
  <c r="D995" i="5"/>
  <c r="D1360" i="2" s="1"/>
  <c r="KP994" i="5"/>
  <c r="KO994" i="5"/>
  <c r="KN994" i="5"/>
  <c r="KM994" i="5"/>
  <c r="GH994" i="5"/>
  <c r="GG994" i="5"/>
  <c r="GF994" i="5"/>
  <c r="GE994" i="5"/>
  <c r="GD994" i="5"/>
  <c r="GC994" i="5"/>
  <c r="GB994" i="5"/>
  <c r="GA994" i="5"/>
  <c r="FZ994" i="5"/>
  <c r="FY994" i="5"/>
  <c r="FX994" i="5"/>
  <c r="FW994" i="5"/>
  <c r="FV994" i="5"/>
  <c r="FU994" i="5"/>
  <c r="FT994" i="5"/>
  <c r="FS994" i="5"/>
  <c r="FR994" i="5"/>
  <c r="FQ994" i="5"/>
  <c r="FP994" i="5"/>
  <c r="FO994" i="5"/>
  <c r="FN994" i="5"/>
  <c r="FM994" i="5"/>
  <c r="FL994" i="5"/>
  <c r="FK994" i="5"/>
  <c r="FJ994" i="5"/>
  <c r="FI994" i="5"/>
  <c r="FH994" i="5"/>
  <c r="FG994" i="5"/>
  <c r="FF994" i="5"/>
  <c r="FE994" i="5"/>
  <c r="FD994" i="5"/>
  <c r="FC994" i="5"/>
  <c r="FB994" i="5"/>
  <c r="FA994" i="5"/>
  <c r="EZ994" i="5"/>
  <c r="EY994" i="5"/>
  <c r="EX994" i="5"/>
  <c r="EW994" i="5"/>
  <c r="EV994" i="5"/>
  <c r="EU994" i="5"/>
  <c r="ET994" i="5"/>
  <c r="ES994" i="5"/>
  <c r="ER994" i="5"/>
  <c r="EQ994" i="5"/>
  <c r="EP994" i="5"/>
  <c r="EO994" i="5"/>
  <c r="EN994" i="5"/>
  <c r="EM994" i="5"/>
  <c r="EL994" i="5"/>
  <c r="EK994" i="5"/>
  <c r="EJ994" i="5"/>
  <c r="EI994" i="5"/>
  <c r="EH994" i="5"/>
  <c r="EG994" i="5"/>
  <c r="EF994" i="5"/>
  <c r="EE994" i="5"/>
  <c r="ED994" i="5"/>
  <c r="EC994" i="5"/>
  <c r="EB994" i="5"/>
  <c r="EA994" i="5"/>
  <c r="DZ994" i="5"/>
  <c r="DY994" i="5"/>
  <c r="DX994" i="5"/>
  <c r="DW994" i="5"/>
  <c r="DV994" i="5"/>
  <c r="DU994" i="5"/>
  <c r="DT994" i="5"/>
  <c r="DS994" i="5"/>
  <c r="DR994" i="5"/>
  <c r="DQ994" i="5"/>
  <c r="DP994" i="5"/>
  <c r="DO994" i="5"/>
  <c r="DN994" i="5"/>
  <c r="DM994" i="5"/>
  <c r="DL994" i="5"/>
  <c r="DK994" i="5"/>
  <c r="DJ994" i="5"/>
  <c r="DI994" i="5"/>
  <c r="DH994" i="5"/>
  <c r="DG994" i="5"/>
  <c r="DF994" i="5"/>
  <c r="DE994" i="5"/>
  <c r="DD994" i="5"/>
  <c r="DC994" i="5"/>
  <c r="DB994" i="5"/>
  <c r="DA994" i="5"/>
  <c r="CZ994" i="5"/>
  <c r="CY994" i="5"/>
  <c r="CX994" i="5"/>
  <c r="CW994" i="5"/>
  <c r="CV994" i="5"/>
  <c r="CU994" i="5"/>
  <c r="CT994" i="5"/>
  <c r="CS994" i="5"/>
  <c r="CR994" i="5"/>
  <c r="CQ994" i="5"/>
  <c r="CP994" i="5"/>
  <c r="CO994" i="5"/>
  <c r="CN994" i="5"/>
  <c r="CM994" i="5"/>
  <c r="CL994" i="5"/>
  <c r="CK994" i="5"/>
  <c r="CJ994" i="5"/>
  <c r="CI994" i="5"/>
  <c r="CH994" i="5"/>
  <c r="CG994" i="5"/>
  <c r="CF994" i="5"/>
  <c r="CE994" i="5"/>
  <c r="CD994" i="5"/>
  <c r="CC994" i="5"/>
  <c r="CB994" i="5"/>
  <c r="CA994" i="5"/>
  <c r="BZ994" i="5"/>
  <c r="BY994" i="5"/>
  <c r="BX994" i="5"/>
  <c r="BW994" i="5"/>
  <c r="BV994" i="5"/>
  <c r="BU994" i="5"/>
  <c r="BT994" i="5"/>
  <c r="BS994" i="5"/>
  <c r="BR994" i="5"/>
  <c r="BQ994" i="5"/>
  <c r="BP994" i="5"/>
  <c r="BO994" i="5"/>
  <c r="BN994" i="5"/>
  <c r="BM994" i="5"/>
  <c r="BL994" i="5"/>
  <c r="BK994" i="5"/>
  <c r="BJ994" i="5"/>
  <c r="BI994" i="5"/>
  <c r="BH994" i="5"/>
  <c r="BG994" i="5"/>
  <c r="BF994" i="5"/>
  <c r="BE994" i="5"/>
  <c r="BD994" i="5"/>
  <c r="BC994" i="5"/>
  <c r="BB994" i="5"/>
  <c r="BA994" i="5"/>
  <c r="AZ994" i="5"/>
  <c r="AY994" i="5"/>
  <c r="AX994" i="5"/>
  <c r="AW994" i="5"/>
  <c r="AV994" i="5"/>
  <c r="AU994" i="5"/>
  <c r="AT994" i="5"/>
  <c r="AS994" i="5"/>
  <c r="AR994" i="5"/>
  <c r="AQ994" i="5"/>
  <c r="AP994" i="5"/>
  <c r="AO994" i="5"/>
  <c r="AN994" i="5"/>
  <c r="AM994" i="5"/>
  <c r="AL994" i="5"/>
  <c r="AK994" i="5"/>
  <c r="AJ994" i="5"/>
  <c r="AI994" i="5"/>
  <c r="AH994" i="5"/>
  <c r="AG994" i="5"/>
  <c r="AF994" i="5"/>
  <c r="AE994" i="5"/>
  <c r="AD994" i="5"/>
  <c r="AC994" i="5"/>
  <c r="AB994" i="5"/>
  <c r="AA994" i="5"/>
  <c r="Z994" i="5"/>
  <c r="Y994" i="5"/>
  <c r="X994" i="5"/>
  <c r="W994" i="5"/>
  <c r="V994" i="5"/>
  <c r="U994" i="5"/>
  <c r="T994" i="5"/>
  <c r="S994" i="5"/>
  <c r="R994" i="5"/>
  <c r="Q994" i="5"/>
  <c r="P994" i="5"/>
  <c r="O994" i="5"/>
  <c r="N994" i="5"/>
  <c r="M994" i="5"/>
  <c r="L994" i="5"/>
  <c r="K994" i="5"/>
  <c r="J994" i="5"/>
  <c r="I994" i="5"/>
  <c r="H994" i="5"/>
  <c r="G994" i="5"/>
  <c r="F994" i="5"/>
  <c r="E994" i="5"/>
  <c r="D994" i="5"/>
  <c r="D1359" i="2" s="1"/>
  <c r="GH993" i="5"/>
  <c r="GG993" i="5"/>
  <c r="GF993" i="5"/>
  <c r="GE993" i="5"/>
  <c r="GD993" i="5"/>
  <c r="GC993" i="5"/>
  <c r="GB993" i="5"/>
  <c r="GA993" i="5"/>
  <c r="FZ993" i="5"/>
  <c r="FY993" i="5"/>
  <c r="FX993" i="5"/>
  <c r="FW993" i="5"/>
  <c r="D993" i="5"/>
  <c r="D1357" i="2" s="1"/>
  <c r="GH992" i="5"/>
  <c r="GG992" i="5"/>
  <c r="GF992" i="5"/>
  <c r="GE992" i="5"/>
  <c r="GD992" i="5"/>
  <c r="GC992" i="5"/>
  <c r="GB992" i="5"/>
  <c r="GA992" i="5"/>
  <c r="FZ992" i="5"/>
  <c r="FY992" i="5"/>
  <c r="FX992" i="5"/>
  <c r="FW992" i="5"/>
  <c r="D992" i="5"/>
  <c r="D1356" i="2" s="1"/>
  <c r="GH991" i="5"/>
  <c r="GG991" i="5"/>
  <c r="GF991" i="5"/>
  <c r="GE991" i="5"/>
  <c r="GD991" i="5"/>
  <c r="GC991" i="5"/>
  <c r="GB991" i="5"/>
  <c r="GA991" i="5"/>
  <c r="FZ991" i="5"/>
  <c r="FY991" i="5"/>
  <c r="FX991" i="5"/>
  <c r="FW991" i="5"/>
  <c r="D991" i="5"/>
  <c r="D1338" i="2" s="1"/>
  <c r="GH990" i="5"/>
  <c r="GG990" i="5"/>
  <c r="GF990" i="5"/>
  <c r="GE990" i="5"/>
  <c r="GD990" i="5"/>
  <c r="GC990" i="5"/>
  <c r="GB990" i="5"/>
  <c r="GA990" i="5"/>
  <c r="FZ990" i="5"/>
  <c r="FY990" i="5"/>
  <c r="FX990" i="5"/>
  <c r="FW990" i="5"/>
  <c r="D990" i="5"/>
  <c r="D1337" i="2" s="1"/>
  <c r="D989" i="5"/>
  <c r="D1336" i="2" s="1"/>
  <c r="GH988" i="5"/>
  <c r="GG988" i="5"/>
  <c r="GF988" i="5"/>
  <c r="GE988" i="5"/>
  <c r="GD988" i="5"/>
  <c r="GC988" i="5"/>
  <c r="GB988" i="5"/>
  <c r="GA988" i="5"/>
  <c r="FZ988" i="5"/>
  <c r="FY988" i="5"/>
  <c r="FX988" i="5"/>
  <c r="FW988" i="5"/>
  <c r="CD988" i="5"/>
  <c r="CC988" i="5"/>
  <c r="CB988" i="5"/>
  <c r="CA988" i="5"/>
  <c r="BZ988" i="5"/>
  <c r="BY988" i="5"/>
  <c r="BX988" i="5"/>
  <c r="BW988" i="5"/>
  <c r="BV988" i="5"/>
  <c r="BU988" i="5"/>
  <c r="BT988" i="5"/>
  <c r="BS988" i="5"/>
  <c r="BR988" i="5"/>
  <c r="BQ988" i="5"/>
  <c r="BP988" i="5"/>
  <c r="BO988" i="5"/>
  <c r="BN988" i="5"/>
  <c r="BM988" i="5"/>
  <c r="BL988" i="5"/>
  <c r="BK988" i="5"/>
  <c r="BJ988" i="5"/>
  <c r="BI988" i="5"/>
  <c r="BH988" i="5"/>
  <c r="BG988" i="5"/>
  <c r="BF988" i="5"/>
  <c r="BE988" i="5"/>
  <c r="BD988" i="5"/>
  <c r="BC988" i="5"/>
  <c r="BB988" i="5"/>
  <c r="BA988" i="5"/>
  <c r="AZ988" i="5"/>
  <c r="AY988" i="5"/>
  <c r="AX988" i="5"/>
  <c r="AW988" i="5"/>
  <c r="AV988" i="5"/>
  <c r="AU988" i="5"/>
  <c r="AT988" i="5"/>
  <c r="AS988" i="5"/>
  <c r="AR988" i="5"/>
  <c r="AQ988" i="5"/>
  <c r="AP988" i="5"/>
  <c r="AO988" i="5"/>
  <c r="D988" i="5"/>
  <c r="D1334" i="2" s="1"/>
  <c r="KP987" i="5"/>
  <c r="KO987" i="5"/>
  <c r="KN987" i="5"/>
  <c r="KM987" i="5"/>
  <c r="DT987" i="5"/>
  <c r="DS987" i="5"/>
  <c r="DR987" i="5"/>
  <c r="DQ987" i="5"/>
  <c r="DP987" i="5"/>
  <c r="DO987" i="5"/>
  <c r="DN987" i="5"/>
  <c r="DM987" i="5"/>
  <c r="DL987" i="5"/>
  <c r="DK987" i="5"/>
  <c r="DJ987" i="5"/>
  <c r="DI987" i="5"/>
  <c r="DH987" i="5"/>
  <c r="DG987" i="5"/>
  <c r="DF987" i="5"/>
  <c r="DE987" i="5"/>
  <c r="DD987" i="5"/>
  <c r="DC987" i="5"/>
  <c r="CD987" i="5"/>
  <c r="CC987" i="5"/>
  <c r="CB987" i="5"/>
  <c r="CA987" i="5"/>
  <c r="BZ987" i="5"/>
  <c r="BY987" i="5"/>
  <c r="BX987" i="5"/>
  <c r="BW987" i="5"/>
  <c r="BV987" i="5"/>
  <c r="BU987" i="5"/>
  <c r="BT987" i="5"/>
  <c r="BS987" i="5"/>
  <c r="BR987" i="5"/>
  <c r="BQ987" i="5"/>
  <c r="BP987" i="5"/>
  <c r="BO987" i="5"/>
  <c r="BN987" i="5"/>
  <c r="BM987" i="5"/>
  <c r="BL987" i="5"/>
  <c r="BK987" i="5"/>
  <c r="BJ987" i="5"/>
  <c r="BI987" i="5"/>
  <c r="BH987" i="5"/>
  <c r="BG987" i="5"/>
  <c r="BF987" i="5"/>
  <c r="BE987" i="5"/>
  <c r="BD987" i="5"/>
  <c r="BC987" i="5"/>
  <c r="BB987" i="5"/>
  <c r="BA987" i="5"/>
  <c r="AZ987" i="5"/>
  <c r="AY987" i="5"/>
  <c r="AX987" i="5"/>
  <c r="AW987" i="5"/>
  <c r="AV987" i="5"/>
  <c r="AU987" i="5"/>
  <c r="AT987" i="5"/>
  <c r="AS987" i="5"/>
  <c r="AR987" i="5"/>
  <c r="AQ987" i="5"/>
  <c r="AP987" i="5"/>
  <c r="AO987" i="5"/>
  <c r="AN987" i="5"/>
  <c r="AM987" i="5"/>
  <c r="AL987" i="5"/>
  <c r="AK987" i="5"/>
  <c r="AJ987" i="5"/>
  <c r="AI987" i="5"/>
  <c r="AH987" i="5"/>
  <c r="AG987" i="5"/>
  <c r="AF987" i="5"/>
  <c r="AE987" i="5"/>
  <c r="AD987" i="5"/>
  <c r="AC987" i="5"/>
  <c r="AB987" i="5"/>
  <c r="AA987" i="5"/>
  <c r="Z987" i="5"/>
  <c r="Y987" i="5"/>
  <c r="X987" i="5"/>
  <c r="W987" i="5"/>
  <c r="V987" i="5"/>
  <c r="U987" i="5"/>
  <c r="T987" i="5"/>
  <c r="S987" i="5"/>
  <c r="R987" i="5"/>
  <c r="Q987" i="5"/>
  <c r="P987" i="5"/>
  <c r="O987" i="5"/>
  <c r="N987" i="5"/>
  <c r="M987" i="5"/>
  <c r="L987" i="5"/>
  <c r="K987" i="5"/>
  <c r="J987" i="5"/>
  <c r="I987" i="5"/>
  <c r="H987" i="5"/>
  <c r="G987" i="5"/>
  <c r="F987" i="5"/>
  <c r="E987" i="5"/>
  <c r="D987" i="5"/>
  <c r="D1331" i="2" s="1"/>
  <c r="D986" i="5"/>
  <c r="D1330" i="2" s="1"/>
  <c r="D1417" i="2" s="1"/>
  <c r="GH985" i="5"/>
  <c r="GG985" i="5"/>
  <c r="GF985" i="5"/>
  <c r="GE985" i="5"/>
  <c r="GD985" i="5"/>
  <c r="GC985" i="5"/>
  <c r="GB985" i="5"/>
  <c r="GA985" i="5"/>
  <c r="FZ985" i="5"/>
  <c r="FY985" i="5"/>
  <c r="FX985" i="5"/>
  <c r="FW985" i="5"/>
  <c r="D985" i="5"/>
  <c r="D1329" i="2" s="1"/>
  <c r="GH984" i="5"/>
  <c r="GG984" i="5"/>
  <c r="GF984" i="5"/>
  <c r="GE984" i="5"/>
  <c r="GD984" i="5"/>
  <c r="GC984" i="5"/>
  <c r="GB984" i="5"/>
  <c r="GA984" i="5"/>
  <c r="FZ984" i="5"/>
  <c r="FY984" i="5"/>
  <c r="FX984" i="5"/>
  <c r="FW984" i="5"/>
  <c r="D984" i="5"/>
  <c r="D1328" i="2" s="1"/>
  <c r="D983" i="5"/>
  <c r="D1327" i="2" s="1"/>
  <c r="GH982" i="5"/>
  <c r="GG982" i="5"/>
  <c r="GF982" i="5"/>
  <c r="GE982" i="5"/>
  <c r="GD982" i="5"/>
  <c r="GC982" i="5"/>
  <c r="GB982" i="5"/>
  <c r="GA982" i="5"/>
  <c r="FZ982" i="5"/>
  <c r="FY982" i="5"/>
  <c r="FX982" i="5"/>
  <c r="FW982" i="5"/>
  <c r="D982" i="5"/>
  <c r="D1314" i="2" s="1"/>
  <c r="GH981" i="5"/>
  <c r="GG981" i="5"/>
  <c r="GF981" i="5"/>
  <c r="GE981" i="5"/>
  <c r="GD981" i="5"/>
  <c r="GB981" i="5"/>
  <c r="GA981" i="5"/>
  <c r="FZ981" i="5"/>
  <c r="FY981" i="5"/>
  <c r="FX981" i="5"/>
  <c r="FW981" i="5"/>
  <c r="D981" i="5"/>
  <c r="D1308" i="2" s="1"/>
  <c r="KP980" i="5"/>
  <c r="KO980" i="5"/>
  <c r="KN980" i="5"/>
  <c r="KM980" i="5"/>
  <c r="GH980" i="5"/>
  <c r="GG980" i="5"/>
  <c r="GF980" i="5"/>
  <c r="GE980" i="5"/>
  <c r="GD980" i="5"/>
  <c r="GC980" i="5"/>
  <c r="GB980" i="5"/>
  <c r="GA980" i="5"/>
  <c r="FZ980" i="5"/>
  <c r="FY980" i="5"/>
  <c r="FX980" i="5"/>
  <c r="FW980" i="5"/>
  <c r="CD980" i="5"/>
  <c r="CC980" i="5"/>
  <c r="CB980" i="5"/>
  <c r="CA980" i="5"/>
  <c r="BZ980" i="5"/>
  <c r="BY980" i="5"/>
  <c r="BX980" i="5"/>
  <c r="BW980" i="5"/>
  <c r="BV980" i="5"/>
  <c r="BU980" i="5"/>
  <c r="BT980" i="5"/>
  <c r="BS980" i="5"/>
  <c r="BR980" i="5"/>
  <c r="BQ980" i="5"/>
  <c r="BP980" i="5"/>
  <c r="BO980" i="5"/>
  <c r="BN980" i="5"/>
  <c r="BM980" i="5"/>
  <c r="BL980" i="5"/>
  <c r="BK980" i="5"/>
  <c r="BJ980" i="5"/>
  <c r="BI980" i="5"/>
  <c r="BH980" i="5"/>
  <c r="BG980" i="5"/>
  <c r="BF980" i="5"/>
  <c r="BE980" i="5"/>
  <c r="BD980" i="5"/>
  <c r="BC980" i="5"/>
  <c r="BB980" i="5"/>
  <c r="BA980" i="5"/>
  <c r="AZ980" i="5"/>
  <c r="AY980" i="5"/>
  <c r="AX980" i="5"/>
  <c r="AW980" i="5"/>
  <c r="AV980" i="5"/>
  <c r="AU980" i="5"/>
  <c r="AT980" i="5"/>
  <c r="AS980" i="5"/>
  <c r="AR980" i="5"/>
  <c r="AQ980" i="5"/>
  <c r="AP980" i="5"/>
  <c r="AO980" i="5"/>
  <c r="AN980" i="5"/>
  <c r="AM980" i="5"/>
  <c r="AL980" i="5"/>
  <c r="AK980" i="5"/>
  <c r="AJ980" i="5"/>
  <c r="AI980" i="5"/>
  <c r="AH980" i="5"/>
  <c r="AG980" i="5"/>
  <c r="AF980" i="5"/>
  <c r="AE980" i="5"/>
  <c r="AD980" i="5"/>
  <c r="AC980" i="5"/>
  <c r="AB980" i="5"/>
  <c r="AA980" i="5"/>
  <c r="Z980" i="5"/>
  <c r="Y980" i="5"/>
  <c r="X980" i="5"/>
  <c r="W980" i="5"/>
  <c r="V980" i="5"/>
  <c r="U980" i="5"/>
  <c r="T980" i="5"/>
  <c r="S980" i="5"/>
  <c r="R980" i="5"/>
  <c r="Q980" i="5"/>
  <c r="P980" i="5"/>
  <c r="O980" i="5"/>
  <c r="N980" i="5"/>
  <c r="M980" i="5"/>
  <c r="L980" i="5"/>
  <c r="K980" i="5"/>
  <c r="J980" i="5"/>
  <c r="I980" i="5"/>
  <c r="H980" i="5"/>
  <c r="G980" i="5"/>
  <c r="F980" i="5"/>
  <c r="E980" i="5"/>
  <c r="D980" i="5"/>
  <c r="D1300" i="2" s="1"/>
  <c r="KP979" i="5"/>
  <c r="KO979" i="5"/>
  <c r="KN979" i="5"/>
  <c r="KM979" i="5"/>
  <c r="GH979" i="5"/>
  <c r="GG979" i="5"/>
  <c r="GF979" i="5"/>
  <c r="GE979" i="5"/>
  <c r="GD979" i="5"/>
  <c r="GC979" i="5"/>
  <c r="GB979" i="5"/>
  <c r="GA979" i="5"/>
  <c r="FZ979" i="5"/>
  <c r="FY979" i="5"/>
  <c r="FX979" i="5"/>
  <c r="FW979" i="5"/>
  <c r="CD979" i="5"/>
  <c r="CC979" i="5"/>
  <c r="CB979" i="5"/>
  <c r="CA979" i="5"/>
  <c r="BZ979" i="5"/>
  <c r="BY979" i="5"/>
  <c r="BX979" i="5"/>
  <c r="BW979" i="5"/>
  <c r="BV979" i="5"/>
  <c r="BU979" i="5"/>
  <c r="BT979" i="5"/>
  <c r="BS979" i="5"/>
  <c r="BR979" i="5"/>
  <c r="BQ979" i="5"/>
  <c r="BP979" i="5"/>
  <c r="BO979" i="5"/>
  <c r="BN979" i="5"/>
  <c r="BM979" i="5"/>
  <c r="BL979" i="5"/>
  <c r="BK979" i="5"/>
  <c r="BJ979" i="5"/>
  <c r="BI979" i="5"/>
  <c r="BH979" i="5"/>
  <c r="BG979" i="5"/>
  <c r="BF979" i="5"/>
  <c r="BE979" i="5"/>
  <c r="BD979" i="5"/>
  <c r="BC979" i="5"/>
  <c r="BB979" i="5"/>
  <c r="BA979" i="5"/>
  <c r="AZ979" i="5"/>
  <c r="AY979" i="5"/>
  <c r="AX979" i="5"/>
  <c r="AW979" i="5"/>
  <c r="AV979" i="5"/>
  <c r="AU979" i="5"/>
  <c r="AT979" i="5"/>
  <c r="AS979" i="5"/>
  <c r="AR979" i="5"/>
  <c r="AQ979" i="5"/>
  <c r="AP979" i="5"/>
  <c r="AO979" i="5"/>
  <c r="AN979" i="5"/>
  <c r="AM979" i="5"/>
  <c r="AL979" i="5"/>
  <c r="AK979" i="5"/>
  <c r="AJ979" i="5"/>
  <c r="AI979" i="5"/>
  <c r="AH979" i="5"/>
  <c r="AG979" i="5"/>
  <c r="AF979" i="5"/>
  <c r="AE979" i="5"/>
  <c r="AD979" i="5"/>
  <c r="AC979" i="5"/>
  <c r="AB979" i="5"/>
  <c r="AA979" i="5"/>
  <c r="Z979" i="5"/>
  <c r="Y979" i="5"/>
  <c r="X979" i="5"/>
  <c r="W979" i="5"/>
  <c r="V979" i="5"/>
  <c r="U979" i="5"/>
  <c r="T979" i="5"/>
  <c r="S979" i="5"/>
  <c r="R979" i="5"/>
  <c r="Q979" i="5"/>
  <c r="P979" i="5"/>
  <c r="O979" i="5"/>
  <c r="N979" i="5"/>
  <c r="M979" i="5"/>
  <c r="L979" i="5"/>
  <c r="K979" i="5"/>
  <c r="J979" i="5"/>
  <c r="I979" i="5"/>
  <c r="H979" i="5"/>
  <c r="G979" i="5"/>
  <c r="F979" i="5"/>
  <c r="E979" i="5"/>
  <c r="D979" i="5"/>
  <c r="D1299" i="2" s="1"/>
  <c r="GH978" i="5"/>
  <c r="GG978" i="5"/>
  <c r="GF978" i="5"/>
  <c r="GE978" i="5"/>
  <c r="GD978" i="5"/>
  <c r="GC978" i="5"/>
  <c r="GB978" i="5"/>
  <c r="GA978" i="5"/>
  <c r="FZ978" i="5"/>
  <c r="FY978" i="5"/>
  <c r="FX978" i="5"/>
  <c r="FW978" i="5"/>
  <c r="D978" i="5"/>
  <c r="D1297" i="2" s="1"/>
  <c r="GH977" i="5"/>
  <c r="GG977" i="5"/>
  <c r="GF977" i="5"/>
  <c r="GE977" i="5"/>
  <c r="GD977" i="5"/>
  <c r="GC977" i="5"/>
  <c r="GB977" i="5"/>
  <c r="GA977" i="5"/>
  <c r="FZ977" i="5"/>
  <c r="FY977" i="5"/>
  <c r="FX977" i="5"/>
  <c r="FW977" i="5"/>
  <c r="D977" i="5"/>
  <c r="D1296" i="2" s="1"/>
  <c r="GH976" i="5"/>
  <c r="GG976" i="5"/>
  <c r="GF976" i="5"/>
  <c r="GE976" i="5"/>
  <c r="GD976" i="5"/>
  <c r="GC976" i="5"/>
  <c r="GB976" i="5"/>
  <c r="GA976" i="5"/>
  <c r="FZ976" i="5"/>
  <c r="FY976" i="5"/>
  <c r="FX976" i="5"/>
  <c r="FW976" i="5"/>
  <c r="D976" i="5"/>
  <c r="D1289" i="2" s="1"/>
  <c r="GH975" i="5"/>
  <c r="GG975" i="5"/>
  <c r="GF975" i="5"/>
  <c r="GE975" i="5"/>
  <c r="GD975" i="5"/>
  <c r="GB975" i="5"/>
  <c r="GA975" i="5"/>
  <c r="FZ975" i="5"/>
  <c r="FY975" i="5"/>
  <c r="FX975" i="5"/>
  <c r="FW975" i="5"/>
  <c r="D975" i="5"/>
  <c r="D1288" i="2" s="1"/>
  <c r="HR974" i="5"/>
  <c r="GH974" i="5"/>
  <c r="GG974" i="5"/>
  <c r="GF974" i="5"/>
  <c r="GE974" i="5"/>
  <c r="GD974" i="5"/>
  <c r="GC974" i="5"/>
  <c r="GB974" i="5"/>
  <c r="GA974" i="5"/>
  <c r="FZ974" i="5"/>
  <c r="FY974" i="5"/>
  <c r="FX974" i="5"/>
  <c r="FW974" i="5"/>
  <c r="FV974" i="5"/>
  <c r="FU974" i="5"/>
  <c r="FT974" i="5"/>
  <c r="FS974" i="5"/>
  <c r="FR974" i="5"/>
  <c r="FQ974" i="5"/>
  <c r="FP974" i="5"/>
  <c r="FO974" i="5"/>
  <c r="FN974" i="5"/>
  <c r="FM974" i="5"/>
  <c r="FL974" i="5"/>
  <c r="FK974" i="5"/>
  <c r="FJ974" i="5"/>
  <c r="FI974" i="5"/>
  <c r="FH974" i="5"/>
  <c r="FG974" i="5"/>
  <c r="FF974" i="5"/>
  <c r="FE974" i="5"/>
  <c r="FD974" i="5"/>
  <c r="FC974" i="5"/>
  <c r="FB974" i="5"/>
  <c r="FA974" i="5"/>
  <c r="EZ974" i="5"/>
  <c r="EY974" i="5"/>
  <c r="EX974" i="5"/>
  <c r="EW974" i="5"/>
  <c r="EV974" i="5"/>
  <c r="EU974" i="5"/>
  <c r="ET974" i="5"/>
  <c r="ES974" i="5"/>
  <c r="ER974" i="5"/>
  <c r="EQ974" i="5"/>
  <c r="EP974" i="5"/>
  <c r="EO974" i="5"/>
  <c r="EN974" i="5"/>
  <c r="EM974" i="5"/>
  <c r="EL974" i="5"/>
  <c r="EK974" i="5"/>
  <c r="EJ974" i="5"/>
  <c r="EI974" i="5"/>
  <c r="EH974" i="5"/>
  <c r="EG974" i="5"/>
  <c r="EF974" i="5"/>
  <c r="EE974" i="5"/>
  <c r="ED974" i="5"/>
  <c r="EC974" i="5"/>
  <c r="EB974" i="5"/>
  <c r="EA974" i="5"/>
  <c r="DZ974" i="5"/>
  <c r="DY974" i="5"/>
  <c r="DX974" i="5"/>
  <c r="DW974" i="5"/>
  <c r="DV974" i="5"/>
  <c r="DU974" i="5"/>
  <c r="DT974" i="5"/>
  <c r="DS974" i="5"/>
  <c r="DR974" i="5"/>
  <c r="DQ974" i="5"/>
  <c r="DP974" i="5"/>
  <c r="DO974" i="5"/>
  <c r="DN974" i="5"/>
  <c r="DM974" i="5"/>
  <c r="DL974" i="5"/>
  <c r="DK974" i="5"/>
  <c r="DJ974" i="5"/>
  <c r="DI974" i="5"/>
  <c r="DH974" i="5"/>
  <c r="DG974" i="5"/>
  <c r="DF974" i="5"/>
  <c r="DE974" i="5"/>
  <c r="DD974" i="5"/>
  <c r="DC974" i="5"/>
  <c r="DB974" i="5"/>
  <c r="DA974" i="5"/>
  <c r="CZ974" i="5"/>
  <c r="CY974" i="5"/>
  <c r="CX974" i="5"/>
  <c r="CW974" i="5"/>
  <c r="CV974" i="5"/>
  <c r="CU974" i="5"/>
  <c r="CT974" i="5"/>
  <c r="CS974" i="5"/>
  <c r="CR974" i="5"/>
  <c r="CQ974" i="5"/>
  <c r="CP974" i="5"/>
  <c r="CO974" i="5"/>
  <c r="CN974" i="5"/>
  <c r="CM974" i="5"/>
  <c r="CL974" i="5"/>
  <c r="CK974" i="5"/>
  <c r="CJ974" i="5"/>
  <c r="CI974" i="5"/>
  <c r="CH974" i="5"/>
  <c r="CG974" i="5"/>
  <c r="CF974" i="5"/>
  <c r="CE974" i="5"/>
  <c r="CD974" i="5"/>
  <c r="CC974" i="5"/>
  <c r="CB974" i="5"/>
  <c r="CA974" i="5"/>
  <c r="BZ974" i="5"/>
  <c r="BY974" i="5"/>
  <c r="BX974" i="5"/>
  <c r="BW974" i="5"/>
  <c r="BV974" i="5"/>
  <c r="BU974" i="5"/>
  <c r="BT974" i="5"/>
  <c r="BS974" i="5"/>
  <c r="BR974" i="5"/>
  <c r="BQ974" i="5"/>
  <c r="BP974" i="5"/>
  <c r="BO974" i="5"/>
  <c r="BN974" i="5"/>
  <c r="BM974" i="5"/>
  <c r="BL974" i="5"/>
  <c r="BK974" i="5"/>
  <c r="BJ974" i="5"/>
  <c r="BI974" i="5"/>
  <c r="BH974" i="5"/>
  <c r="BG974" i="5"/>
  <c r="BF974" i="5"/>
  <c r="BE974" i="5"/>
  <c r="BD974" i="5"/>
  <c r="BC974" i="5"/>
  <c r="BB974" i="5"/>
  <c r="BA974" i="5"/>
  <c r="AZ974" i="5"/>
  <c r="AY974" i="5"/>
  <c r="AX974" i="5"/>
  <c r="AW974" i="5"/>
  <c r="AV974" i="5"/>
  <c r="AU974" i="5"/>
  <c r="AT974" i="5"/>
  <c r="AS974" i="5"/>
  <c r="AR974" i="5"/>
  <c r="AQ974" i="5"/>
  <c r="AP974" i="5"/>
  <c r="AO974" i="5"/>
  <c r="AN974" i="5"/>
  <c r="AM974" i="5"/>
  <c r="AL974" i="5"/>
  <c r="AK974" i="5"/>
  <c r="AJ974" i="5"/>
  <c r="AI974" i="5"/>
  <c r="AH974" i="5"/>
  <c r="AG974" i="5"/>
  <c r="AF974" i="5"/>
  <c r="AE974" i="5"/>
  <c r="AD974" i="5"/>
  <c r="AC974" i="5"/>
  <c r="AB974" i="5"/>
  <c r="AA974" i="5"/>
  <c r="Z974" i="5"/>
  <c r="Y974" i="5"/>
  <c r="X974" i="5"/>
  <c r="W974" i="5"/>
  <c r="V974" i="5"/>
  <c r="U974" i="5"/>
  <c r="T974" i="5"/>
  <c r="S974" i="5"/>
  <c r="R974" i="5"/>
  <c r="Q974" i="5"/>
  <c r="P974" i="5"/>
  <c r="O974" i="5"/>
  <c r="N974" i="5"/>
  <c r="M974" i="5"/>
  <c r="L974" i="5"/>
  <c r="K974" i="5"/>
  <c r="J974" i="5"/>
  <c r="I974" i="5"/>
  <c r="H974" i="5"/>
  <c r="G974" i="5"/>
  <c r="F974" i="5"/>
  <c r="E974" i="5"/>
  <c r="IM972" i="5"/>
  <c r="IJ972" i="5"/>
  <c r="IG972" i="5"/>
  <c r="ID972" i="5"/>
  <c r="IC972" i="5"/>
  <c r="IB972" i="5"/>
  <c r="IA972" i="5"/>
  <c r="HZ972" i="5"/>
  <c r="HY972" i="5"/>
  <c r="HX972" i="5"/>
  <c r="HW972" i="5"/>
  <c r="HV972" i="5"/>
  <c r="HU972" i="5"/>
  <c r="HT972" i="5"/>
  <c r="HS972" i="5"/>
  <c r="HR972" i="5"/>
  <c r="IM971" i="5"/>
  <c r="IJ971" i="5"/>
  <c r="IG971" i="5"/>
  <c r="ID971" i="5"/>
  <c r="IC971" i="5"/>
  <c r="IB971" i="5"/>
  <c r="IA971" i="5"/>
  <c r="HZ971" i="5"/>
  <c r="HY971" i="5"/>
  <c r="HX971" i="5"/>
  <c r="HW971" i="5"/>
  <c r="HV971" i="5"/>
  <c r="HU971" i="5"/>
  <c r="HT971" i="5"/>
  <c r="HS971" i="5"/>
  <c r="HR971" i="5"/>
  <c r="JB954" i="5"/>
  <c r="IY954" i="5"/>
  <c r="IV954" i="5"/>
  <c r="IS954" i="5"/>
  <c r="IP954" i="5"/>
  <c r="IM954" i="5"/>
  <c r="IJ954" i="5"/>
  <c r="IG954" i="5"/>
  <c r="ID954" i="5"/>
  <c r="IA954" i="5"/>
  <c r="HX954" i="5"/>
  <c r="HU954" i="5"/>
  <c r="HR954" i="5"/>
  <c r="IO938" i="5"/>
  <c r="IN938" i="5"/>
  <c r="HQ938" i="5"/>
  <c r="HP938" i="5"/>
  <c r="FV938" i="5"/>
  <c r="FU938" i="5"/>
  <c r="FT938" i="5"/>
  <c r="FS938" i="5"/>
  <c r="FR938" i="5"/>
  <c r="FQ938" i="5"/>
  <c r="FP938" i="5"/>
  <c r="FO938" i="5"/>
  <c r="FN938" i="5"/>
  <c r="FM938" i="5"/>
  <c r="FL938" i="5"/>
  <c r="FK938" i="5"/>
  <c r="FJ938" i="5"/>
  <c r="FI938" i="5"/>
  <c r="FH938" i="5"/>
  <c r="FG938" i="5"/>
  <c r="FF938" i="5"/>
  <c r="FE938" i="5"/>
  <c r="FD938" i="5"/>
  <c r="FC938" i="5"/>
  <c r="FB938" i="5"/>
  <c r="FA938" i="5"/>
  <c r="EZ938" i="5"/>
  <c r="EY938" i="5"/>
  <c r="EX938" i="5"/>
  <c r="EW938" i="5"/>
  <c r="EV938" i="5"/>
  <c r="EU938" i="5"/>
  <c r="ET938" i="5"/>
  <c r="ES938" i="5"/>
  <c r="ER938" i="5"/>
  <c r="EQ938" i="5"/>
  <c r="EP938" i="5"/>
  <c r="EO938" i="5"/>
  <c r="EN938" i="5"/>
  <c r="EM938" i="5"/>
  <c r="EL938" i="5"/>
  <c r="EK938" i="5"/>
  <c r="EJ938" i="5"/>
  <c r="EI938" i="5"/>
  <c r="EH938" i="5"/>
  <c r="EG938" i="5"/>
  <c r="EF938" i="5"/>
  <c r="EE938" i="5"/>
  <c r="ED938" i="5"/>
  <c r="EC938" i="5"/>
  <c r="EB938" i="5"/>
  <c r="EA938" i="5"/>
  <c r="DZ938" i="5"/>
  <c r="DY938" i="5"/>
  <c r="DX938" i="5"/>
  <c r="DW938" i="5"/>
  <c r="DV938" i="5"/>
  <c r="DU938" i="5"/>
  <c r="DT938" i="5"/>
  <c r="DS938" i="5"/>
  <c r="DR938" i="5"/>
  <c r="DQ938" i="5"/>
  <c r="DP938" i="5"/>
  <c r="DO938" i="5"/>
  <c r="DN938" i="5"/>
  <c r="DM938" i="5"/>
  <c r="DL938" i="5"/>
  <c r="DK938" i="5"/>
  <c r="DJ938" i="5"/>
  <c r="DI938" i="5"/>
  <c r="DH938" i="5"/>
  <c r="DG938" i="5"/>
  <c r="DF938" i="5"/>
  <c r="DE938" i="5"/>
  <c r="DD938" i="5"/>
  <c r="DC938" i="5"/>
  <c r="DB938" i="5"/>
  <c r="DA938" i="5"/>
  <c r="CZ938" i="5"/>
  <c r="CY938" i="5"/>
  <c r="CX938" i="5"/>
  <c r="CW938" i="5"/>
  <c r="CV938" i="5"/>
  <c r="CU938" i="5"/>
  <c r="CT938" i="5"/>
  <c r="CS938" i="5"/>
  <c r="CR938" i="5"/>
  <c r="CQ938" i="5"/>
  <c r="IO937" i="5"/>
  <c r="IN937" i="5"/>
  <c r="IL937" i="5"/>
  <c r="IM937" i="5" s="1"/>
  <c r="AF1257" i="2" s="1"/>
  <c r="JD935" i="5"/>
  <c r="JC935" i="5"/>
  <c r="JA935" i="5"/>
  <c r="IO935" i="5"/>
  <c r="IN935" i="5"/>
  <c r="HQ935" i="5"/>
  <c r="HP935" i="5"/>
  <c r="FV935" i="5"/>
  <c r="FU935" i="5"/>
  <c r="FT935" i="5"/>
  <c r="FS935" i="5"/>
  <c r="FR935" i="5"/>
  <c r="FQ935" i="5"/>
  <c r="FP935" i="5"/>
  <c r="FO935" i="5"/>
  <c r="FN935" i="5"/>
  <c r="FM935" i="5"/>
  <c r="FL935" i="5"/>
  <c r="FK935" i="5"/>
  <c r="FJ935" i="5"/>
  <c r="FI935" i="5"/>
  <c r="FH935" i="5"/>
  <c r="FG935" i="5"/>
  <c r="FF935" i="5"/>
  <c r="FE935" i="5"/>
  <c r="FD935" i="5"/>
  <c r="FC935" i="5"/>
  <c r="FB935" i="5"/>
  <c r="FA935" i="5"/>
  <c r="EZ935" i="5"/>
  <c r="EY935" i="5"/>
  <c r="EX935" i="5"/>
  <c r="EW935" i="5"/>
  <c r="EV935" i="5"/>
  <c r="EU935" i="5"/>
  <c r="ET935" i="5"/>
  <c r="ES935" i="5"/>
  <c r="ER935" i="5"/>
  <c r="EQ935" i="5"/>
  <c r="EP935" i="5"/>
  <c r="EO935" i="5"/>
  <c r="EN935" i="5"/>
  <c r="EM935" i="5"/>
  <c r="EL935" i="5"/>
  <c r="EK935" i="5"/>
  <c r="EJ935" i="5"/>
  <c r="EI935" i="5"/>
  <c r="EH935" i="5"/>
  <c r="EG935" i="5"/>
  <c r="EF935" i="5"/>
  <c r="EE935" i="5"/>
  <c r="ED935" i="5"/>
  <c r="EC935" i="5"/>
  <c r="EB935" i="5"/>
  <c r="EA935" i="5"/>
  <c r="DZ935" i="5"/>
  <c r="DY935" i="5"/>
  <c r="DX935" i="5"/>
  <c r="DW935" i="5"/>
  <c r="DV935" i="5"/>
  <c r="DU935" i="5"/>
  <c r="DT935" i="5"/>
  <c r="DS935" i="5"/>
  <c r="DR935" i="5"/>
  <c r="DQ935" i="5"/>
  <c r="DP935" i="5"/>
  <c r="DO935" i="5"/>
  <c r="DN935" i="5"/>
  <c r="DM935" i="5"/>
  <c r="DL935" i="5"/>
  <c r="DK935" i="5"/>
  <c r="DJ935" i="5"/>
  <c r="DI935" i="5"/>
  <c r="DH935" i="5"/>
  <c r="DG935" i="5"/>
  <c r="DF935" i="5"/>
  <c r="DE935" i="5"/>
  <c r="DD935" i="5"/>
  <c r="DC935" i="5"/>
  <c r="DB935" i="5"/>
  <c r="DA935" i="5"/>
  <c r="CZ935" i="5"/>
  <c r="CY935" i="5"/>
  <c r="CX935" i="5"/>
  <c r="CW935" i="5"/>
  <c r="CV935" i="5"/>
  <c r="CU935" i="5"/>
  <c r="CT935" i="5"/>
  <c r="CS935" i="5"/>
  <c r="CR935" i="5"/>
  <c r="CQ935" i="5"/>
  <c r="IT934" i="5"/>
  <c r="JC933" i="5"/>
  <c r="JA933" i="5"/>
  <c r="IZ933" i="5"/>
  <c r="IT933" i="5"/>
  <c r="IO933" i="5"/>
  <c r="IN933" i="5"/>
  <c r="IL933" i="5"/>
  <c r="IK933" i="5"/>
  <c r="IO931" i="5"/>
  <c r="IN931" i="5"/>
  <c r="IL931" i="5"/>
  <c r="IM931" i="5" s="1"/>
  <c r="AF1250" i="2" s="1"/>
  <c r="IO930" i="5"/>
  <c r="IN930" i="5"/>
  <c r="HQ930" i="5"/>
  <c r="HP930" i="5"/>
  <c r="FV930" i="5"/>
  <c r="FU930" i="5"/>
  <c r="FT930" i="5"/>
  <c r="FS930" i="5"/>
  <c r="FR930" i="5"/>
  <c r="FQ930" i="5"/>
  <c r="FP930" i="5"/>
  <c r="FO930" i="5"/>
  <c r="FN930" i="5"/>
  <c r="FM930" i="5"/>
  <c r="FL930" i="5"/>
  <c r="FK930" i="5"/>
  <c r="FJ930" i="5"/>
  <c r="FI930" i="5"/>
  <c r="FH930" i="5"/>
  <c r="FG930" i="5"/>
  <c r="FF930" i="5"/>
  <c r="FE930" i="5"/>
  <c r="FD930" i="5"/>
  <c r="FC930" i="5"/>
  <c r="FB930" i="5"/>
  <c r="FA930" i="5"/>
  <c r="EZ930" i="5"/>
  <c r="EY930" i="5"/>
  <c r="EX930" i="5"/>
  <c r="EW930" i="5"/>
  <c r="EV930" i="5"/>
  <c r="EU930" i="5"/>
  <c r="ET930" i="5"/>
  <c r="ES930" i="5"/>
  <c r="ER930" i="5"/>
  <c r="EQ930" i="5"/>
  <c r="EP930" i="5"/>
  <c r="EO930" i="5"/>
  <c r="EN930" i="5"/>
  <c r="EM930" i="5"/>
  <c r="EL930" i="5"/>
  <c r="EK930" i="5"/>
  <c r="EJ930" i="5"/>
  <c r="EI930" i="5"/>
  <c r="EH930" i="5"/>
  <c r="EG930" i="5"/>
  <c r="EF930" i="5"/>
  <c r="EE930" i="5"/>
  <c r="ED930" i="5"/>
  <c r="EC930" i="5"/>
  <c r="EB930" i="5"/>
  <c r="EA930" i="5"/>
  <c r="DZ930" i="5"/>
  <c r="DY930" i="5"/>
  <c r="DX930" i="5"/>
  <c r="DW930" i="5"/>
  <c r="DV930" i="5"/>
  <c r="DU930" i="5"/>
  <c r="DT930" i="5"/>
  <c r="DS930" i="5"/>
  <c r="DR930" i="5"/>
  <c r="DQ930" i="5"/>
  <c r="DP930" i="5"/>
  <c r="DO930" i="5"/>
  <c r="DN930" i="5"/>
  <c r="DM930" i="5"/>
  <c r="DL930" i="5"/>
  <c r="DK930" i="5"/>
  <c r="DJ930" i="5"/>
  <c r="DI930" i="5"/>
  <c r="DH930" i="5"/>
  <c r="DG930" i="5"/>
  <c r="DF930" i="5"/>
  <c r="DE930" i="5"/>
  <c r="DD930" i="5"/>
  <c r="DC930" i="5"/>
  <c r="DB930" i="5"/>
  <c r="DA930" i="5"/>
  <c r="CZ930" i="5"/>
  <c r="CY930" i="5"/>
  <c r="CX930" i="5"/>
  <c r="CW930" i="5"/>
  <c r="CV930" i="5"/>
  <c r="CU930" i="5"/>
  <c r="CT930" i="5"/>
  <c r="CS930" i="5"/>
  <c r="CR930" i="5"/>
  <c r="CQ930" i="5"/>
  <c r="KP929" i="5"/>
  <c r="KP928" i="5" s="1"/>
  <c r="KP920" i="5" s="1"/>
  <c r="KP997" i="5" s="1"/>
  <c r="KO929" i="5"/>
  <c r="KO928" i="5" s="1"/>
  <c r="KO920" i="5" s="1"/>
  <c r="KO997" i="5" s="1"/>
  <c r="KN929" i="5"/>
  <c r="KN928" i="5" s="1"/>
  <c r="KN920" i="5" s="1"/>
  <c r="KN997" i="5" s="1"/>
  <c r="KM929" i="5"/>
  <c r="KM928" i="5" s="1"/>
  <c r="KM920" i="5" s="1"/>
  <c r="KM997" i="5" s="1"/>
  <c r="IO929" i="5"/>
  <c r="IN929" i="5"/>
  <c r="CP929" i="5"/>
  <c r="CP928" i="5" s="1"/>
  <c r="CP920" i="5" s="1"/>
  <c r="CP997" i="5" s="1"/>
  <c r="CO929" i="5"/>
  <c r="CO928" i="5" s="1"/>
  <c r="CO920" i="5" s="1"/>
  <c r="CO997" i="5" s="1"/>
  <c r="CN929" i="5"/>
  <c r="CN928" i="5" s="1"/>
  <c r="CN920" i="5" s="1"/>
  <c r="CN997" i="5" s="1"/>
  <c r="CM929" i="5"/>
  <c r="CM928" i="5" s="1"/>
  <c r="CM920" i="5" s="1"/>
  <c r="CM997" i="5" s="1"/>
  <c r="CL929" i="5"/>
  <c r="CL928" i="5" s="1"/>
  <c r="CK929" i="5"/>
  <c r="CK928" i="5" s="1"/>
  <c r="CK920" i="5" s="1"/>
  <c r="CK997" i="5" s="1"/>
  <c r="CJ929" i="5"/>
  <c r="CJ928" i="5" s="1"/>
  <c r="CJ920" i="5" s="1"/>
  <c r="CJ997" i="5" s="1"/>
  <c r="CI929" i="5"/>
  <c r="CI928" i="5" s="1"/>
  <c r="CH929" i="5"/>
  <c r="CH928" i="5" s="1"/>
  <c r="CH920" i="5" s="1"/>
  <c r="CH997" i="5" s="1"/>
  <c r="CG929" i="5"/>
  <c r="CG928" i="5" s="1"/>
  <c r="CG920" i="5" s="1"/>
  <c r="CG997" i="5" s="1"/>
  <c r="CF929" i="5"/>
  <c r="CF928" i="5" s="1"/>
  <c r="CF920" i="5" s="1"/>
  <c r="CF997" i="5" s="1"/>
  <c r="CE929" i="5"/>
  <c r="CE928" i="5" s="1"/>
  <c r="CE920" i="5" s="1"/>
  <c r="CE997" i="5" s="1"/>
  <c r="CD929" i="5"/>
  <c r="CD928" i="5" s="1"/>
  <c r="CD920" i="5" s="1"/>
  <c r="CD997" i="5" s="1"/>
  <c r="CC929" i="5"/>
  <c r="CC928" i="5" s="1"/>
  <c r="CC920" i="5" s="1"/>
  <c r="CC997" i="5" s="1"/>
  <c r="CB929" i="5"/>
  <c r="CB928" i="5" s="1"/>
  <c r="CB920" i="5" s="1"/>
  <c r="CB997" i="5" s="1"/>
  <c r="CA929" i="5"/>
  <c r="CA928" i="5" s="1"/>
  <c r="CA920" i="5" s="1"/>
  <c r="CA997" i="5" s="1"/>
  <c r="BZ929" i="5"/>
  <c r="BZ928" i="5" s="1"/>
  <c r="BZ920" i="5" s="1"/>
  <c r="BZ997" i="5" s="1"/>
  <c r="BY929" i="5"/>
  <c r="BY928" i="5" s="1"/>
  <c r="BY920" i="5" s="1"/>
  <c r="BX929" i="5"/>
  <c r="BX928" i="5" s="1"/>
  <c r="BX920" i="5" s="1"/>
  <c r="BX997" i="5" s="1"/>
  <c r="BW929" i="5"/>
  <c r="BW928" i="5" s="1"/>
  <c r="BW920" i="5" s="1"/>
  <c r="BW997" i="5" s="1"/>
  <c r="BV929" i="5"/>
  <c r="BV928" i="5" s="1"/>
  <c r="BV920" i="5" s="1"/>
  <c r="BV997" i="5" s="1"/>
  <c r="BU929" i="5"/>
  <c r="BU928" i="5" s="1"/>
  <c r="BU920" i="5" s="1"/>
  <c r="BU997" i="5" s="1"/>
  <c r="BT929" i="5"/>
  <c r="BT928" i="5" s="1"/>
  <c r="BT920" i="5" s="1"/>
  <c r="BT997" i="5" s="1"/>
  <c r="BS929" i="5"/>
  <c r="BS928" i="5" s="1"/>
  <c r="BS920" i="5" s="1"/>
  <c r="BR929" i="5"/>
  <c r="BR928" i="5" s="1"/>
  <c r="BR920" i="5" s="1"/>
  <c r="BR997" i="5" s="1"/>
  <c r="BQ929" i="5"/>
  <c r="BQ928" i="5" s="1"/>
  <c r="BQ920" i="5" s="1"/>
  <c r="BP929" i="5"/>
  <c r="BP928" i="5" s="1"/>
  <c r="BP920" i="5" s="1"/>
  <c r="BP997" i="5" s="1"/>
  <c r="BO929" i="5"/>
  <c r="BO928" i="5" s="1"/>
  <c r="BO920" i="5" s="1"/>
  <c r="BN929" i="5"/>
  <c r="BN928" i="5" s="1"/>
  <c r="BN920" i="5" s="1"/>
  <c r="BM929" i="5"/>
  <c r="BM928" i="5" s="1"/>
  <c r="BM920" i="5" s="1"/>
  <c r="BL929" i="5"/>
  <c r="BL928" i="5" s="1"/>
  <c r="BL920" i="5" s="1"/>
  <c r="BL997" i="5" s="1"/>
  <c r="BK929" i="5"/>
  <c r="BK928" i="5" s="1"/>
  <c r="BK920" i="5" s="1"/>
  <c r="BJ929" i="5"/>
  <c r="BJ928" i="5" s="1"/>
  <c r="BJ920" i="5" s="1"/>
  <c r="BJ997" i="5" s="1"/>
  <c r="BI929" i="5"/>
  <c r="BI928" i="5" s="1"/>
  <c r="BI920" i="5" s="1"/>
  <c r="BI997" i="5" s="1"/>
  <c r="BH929" i="5"/>
  <c r="BH928" i="5" s="1"/>
  <c r="BH920" i="5" s="1"/>
  <c r="BH997" i="5" s="1"/>
  <c r="BG929" i="5"/>
  <c r="BG928" i="5" s="1"/>
  <c r="BG920" i="5" s="1"/>
  <c r="BG997" i="5" s="1"/>
  <c r="BF929" i="5"/>
  <c r="BF928" i="5" s="1"/>
  <c r="BF920" i="5" s="1"/>
  <c r="BF997" i="5" s="1"/>
  <c r="BE929" i="5"/>
  <c r="BE928" i="5" s="1"/>
  <c r="BE920" i="5" s="1"/>
  <c r="BD929" i="5"/>
  <c r="BD928" i="5" s="1"/>
  <c r="BD920" i="5" s="1"/>
  <c r="BD997" i="5" s="1"/>
  <c r="BC929" i="5"/>
  <c r="BC928" i="5" s="1"/>
  <c r="BC920" i="5" s="1"/>
  <c r="BC997" i="5" s="1"/>
  <c r="BB929" i="5"/>
  <c r="BB928" i="5" s="1"/>
  <c r="BB920" i="5" s="1"/>
  <c r="BB997" i="5" s="1"/>
  <c r="BA929" i="5"/>
  <c r="BA928" i="5" s="1"/>
  <c r="BA920" i="5" s="1"/>
  <c r="BA997" i="5" s="1"/>
  <c r="AZ929" i="5"/>
  <c r="AZ928" i="5" s="1"/>
  <c r="AZ920" i="5" s="1"/>
  <c r="AY929" i="5"/>
  <c r="AY928" i="5" s="1"/>
  <c r="AY920" i="5" s="1"/>
  <c r="AY997" i="5" s="1"/>
  <c r="AX929" i="5"/>
  <c r="AX928" i="5" s="1"/>
  <c r="AX920" i="5" s="1"/>
  <c r="AX997" i="5" s="1"/>
  <c r="AW929" i="5"/>
  <c r="AW928" i="5" s="1"/>
  <c r="AW920" i="5" s="1"/>
  <c r="AW997" i="5" s="1"/>
  <c r="AV929" i="5"/>
  <c r="AV928" i="5" s="1"/>
  <c r="AV920" i="5" s="1"/>
  <c r="AU929" i="5"/>
  <c r="AU928" i="5" s="1"/>
  <c r="AU920" i="5" s="1"/>
  <c r="AT929" i="5"/>
  <c r="AT928" i="5" s="1"/>
  <c r="AT920" i="5" s="1"/>
  <c r="AT997" i="5" s="1"/>
  <c r="AS929" i="5"/>
  <c r="AS928" i="5" s="1"/>
  <c r="AS920" i="5" s="1"/>
  <c r="AS997" i="5" s="1"/>
  <c r="AR929" i="5"/>
  <c r="AR928" i="5" s="1"/>
  <c r="AR920" i="5" s="1"/>
  <c r="AR997" i="5" s="1"/>
  <c r="AQ929" i="5"/>
  <c r="AQ928" i="5" s="1"/>
  <c r="AQ920" i="5" s="1"/>
  <c r="AP929" i="5"/>
  <c r="AP928" i="5" s="1"/>
  <c r="AP920" i="5" s="1"/>
  <c r="AO929" i="5"/>
  <c r="AO928" i="5" s="1"/>
  <c r="AO920" i="5" s="1"/>
  <c r="AN929" i="5"/>
  <c r="AN928" i="5" s="1"/>
  <c r="AN920" i="5" s="1"/>
  <c r="AM929" i="5"/>
  <c r="AM928" i="5" s="1"/>
  <c r="AM920" i="5" s="1"/>
  <c r="AM997" i="5" s="1"/>
  <c r="AL929" i="5"/>
  <c r="AL928" i="5" s="1"/>
  <c r="AL920" i="5" s="1"/>
  <c r="AL997" i="5" s="1"/>
  <c r="AK929" i="5"/>
  <c r="AK928" i="5" s="1"/>
  <c r="AK920" i="5" s="1"/>
  <c r="AK997" i="5" s="1"/>
  <c r="AJ929" i="5"/>
  <c r="AJ928" i="5" s="1"/>
  <c r="AJ920" i="5" s="1"/>
  <c r="AJ997" i="5" s="1"/>
  <c r="AI929" i="5"/>
  <c r="AI928" i="5" s="1"/>
  <c r="AI920" i="5" s="1"/>
  <c r="AI997" i="5" s="1"/>
  <c r="AH929" i="5"/>
  <c r="AH928" i="5" s="1"/>
  <c r="AH920" i="5" s="1"/>
  <c r="AH997" i="5" s="1"/>
  <c r="AG929" i="5"/>
  <c r="AG928" i="5" s="1"/>
  <c r="AG920" i="5" s="1"/>
  <c r="AF929" i="5"/>
  <c r="AF928" i="5" s="1"/>
  <c r="AF920" i="5" s="1"/>
  <c r="AF997" i="5" s="1"/>
  <c r="AE929" i="5"/>
  <c r="AE928" i="5" s="1"/>
  <c r="AE920" i="5" s="1"/>
  <c r="AD929" i="5"/>
  <c r="AD928" i="5" s="1"/>
  <c r="AD920" i="5" s="1"/>
  <c r="AC929" i="5"/>
  <c r="AC928" i="5" s="1"/>
  <c r="AC920" i="5" s="1"/>
  <c r="AB929" i="5"/>
  <c r="AB928" i="5" s="1"/>
  <c r="AB920" i="5" s="1"/>
  <c r="AA929" i="5"/>
  <c r="AA928" i="5" s="1"/>
  <c r="AA920" i="5" s="1"/>
  <c r="Z929" i="5"/>
  <c r="Z928" i="5" s="1"/>
  <c r="Z920" i="5" s="1"/>
  <c r="Y929" i="5"/>
  <c r="Y928" i="5" s="1"/>
  <c r="Y920" i="5" s="1"/>
  <c r="Y997" i="5" s="1"/>
  <c r="X929" i="5"/>
  <c r="X928" i="5" s="1"/>
  <c r="X920" i="5" s="1"/>
  <c r="X997" i="5" s="1"/>
  <c r="W929" i="5"/>
  <c r="W928" i="5" s="1"/>
  <c r="W920" i="5" s="1"/>
  <c r="W997" i="5" s="1"/>
  <c r="V929" i="5"/>
  <c r="V928" i="5" s="1"/>
  <c r="V920" i="5" s="1"/>
  <c r="V997" i="5" s="1"/>
  <c r="U929" i="5"/>
  <c r="U928" i="5" s="1"/>
  <c r="U920" i="5" s="1"/>
  <c r="U997" i="5" s="1"/>
  <c r="T929" i="5"/>
  <c r="T928" i="5" s="1"/>
  <c r="T920" i="5" s="1"/>
  <c r="S929" i="5"/>
  <c r="S928" i="5" s="1"/>
  <c r="S920" i="5" s="1"/>
  <c r="S997" i="5" s="1"/>
  <c r="R929" i="5"/>
  <c r="R928" i="5" s="1"/>
  <c r="R920" i="5" s="1"/>
  <c r="Q929" i="5"/>
  <c r="Q928" i="5" s="1"/>
  <c r="Q920" i="5" s="1"/>
  <c r="P929" i="5"/>
  <c r="P928" i="5" s="1"/>
  <c r="P920" i="5" s="1"/>
  <c r="P997" i="5" s="1"/>
  <c r="O929" i="5"/>
  <c r="O928" i="5" s="1"/>
  <c r="O920" i="5" s="1"/>
  <c r="O997" i="5" s="1"/>
  <c r="N929" i="5"/>
  <c r="N928" i="5" s="1"/>
  <c r="N920" i="5" s="1"/>
  <c r="N997" i="5" s="1"/>
  <c r="M929" i="5"/>
  <c r="M928" i="5" s="1"/>
  <c r="M920" i="5" s="1"/>
  <c r="L929" i="5"/>
  <c r="L928" i="5" s="1"/>
  <c r="L920" i="5" s="1"/>
  <c r="L997" i="5" s="1"/>
  <c r="K929" i="5"/>
  <c r="K928" i="5" s="1"/>
  <c r="K920" i="5" s="1"/>
  <c r="K997" i="5" s="1"/>
  <c r="J929" i="5"/>
  <c r="J928" i="5" s="1"/>
  <c r="J920" i="5" s="1"/>
  <c r="J997" i="5" s="1"/>
  <c r="I929" i="5"/>
  <c r="I928" i="5" s="1"/>
  <c r="I920" i="5" s="1"/>
  <c r="I997" i="5" s="1"/>
  <c r="H929" i="5"/>
  <c r="H928" i="5" s="1"/>
  <c r="H920" i="5" s="1"/>
  <c r="G929" i="5"/>
  <c r="G928" i="5" s="1"/>
  <c r="G920" i="5" s="1"/>
  <c r="G997" i="5" s="1"/>
  <c r="F929" i="5"/>
  <c r="F928" i="5" s="1"/>
  <c r="F920" i="5" s="1"/>
  <c r="E929" i="5"/>
  <c r="E928" i="5" s="1"/>
  <c r="E920" i="5" s="1"/>
  <c r="IO928" i="5"/>
  <c r="IN928" i="5"/>
  <c r="IO927" i="5"/>
  <c r="IN927" i="5"/>
  <c r="IL927" i="5"/>
  <c r="IK927" i="5"/>
  <c r="IJ927" i="5"/>
  <c r="IO926" i="5"/>
  <c r="IN926" i="5"/>
  <c r="IL926" i="5"/>
  <c r="IK926" i="5"/>
  <c r="IJ926" i="5"/>
  <c r="JE925" i="5"/>
  <c r="IO925" i="5"/>
  <c r="IN925" i="5"/>
  <c r="JE924" i="5"/>
  <c r="JB924" i="5"/>
  <c r="IY924" i="5"/>
  <c r="IX924" i="5" s="1"/>
  <c r="IO924" i="5"/>
  <c r="IN924" i="5"/>
  <c r="IL924" i="5"/>
  <c r="IK924" i="5"/>
  <c r="IJ924" i="5"/>
  <c r="IO923" i="5"/>
  <c r="IN923" i="5"/>
  <c r="IL923" i="5"/>
  <c r="IK923" i="5"/>
  <c r="IJ923" i="5"/>
  <c r="IO922" i="5"/>
  <c r="IN922" i="5"/>
  <c r="IL922" i="5"/>
  <c r="IK922" i="5"/>
  <c r="IJ922" i="5"/>
  <c r="JE921" i="5"/>
  <c r="IO921" i="5"/>
  <c r="IJ921" i="5"/>
  <c r="IO920" i="5"/>
  <c r="IO997" i="5" s="1"/>
  <c r="IN920" i="5"/>
  <c r="IO919" i="5"/>
  <c r="IN919" i="5"/>
  <c r="IL919" i="5"/>
  <c r="IK919" i="5"/>
  <c r="II919" i="5"/>
  <c r="IH919" i="5"/>
  <c r="IF919" i="5"/>
  <c r="IE919" i="5"/>
  <c r="IC919" i="5"/>
  <c r="IB919" i="5"/>
  <c r="HQ919" i="5"/>
  <c r="HP919" i="5"/>
  <c r="DZ919" i="5"/>
  <c r="DY919" i="5"/>
  <c r="DX919" i="5"/>
  <c r="DW919" i="5"/>
  <c r="DV919" i="5"/>
  <c r="DU919" i="5"/>
  <c r="DT919" i="5"/>
  <c r="DS919" i="5"/>
  <c r="DR919" i="5"/>
  <c r="DQ919" i="5"/>
  <c r="DP919" i="5"/>
  <c r="DO919" i="5"/>
  <c r="DN919" i="5"/>
  <c r="DM919" i="5"/>
  <c r="DL919" i="5"/>
  <c r="DK919" i="5"/>
  <c r="DJ919" i="5"/>
  <c r="DI919" i="5"/>
  <c r="DH919" i="5"/>
  <c r="DG919" i="5"/>
  <c r="DF919" i="5"/>
  <c r="DE919" i="5"/>
  <c r="DD919" i="5"/>
  <c r="DC919" i="5"/>
  <c r="DB919" i="5"/>
  <c r="DA919" i="5"/>
  <c r="CZ919" i="5"/>
  <c r="CY919" i="5"/>
  <c r="CX919" i="5"/>
  <c r="CW919" i="5"/>
  <c r="CV919" i="5"/>
  <c r="CU919" i="5"/>
  <c r="CT919" i="5"/>
  <c r="CS919" i="5"/>
  <c r="CR919" i="5"/>
  <c r="CQ919" i="5"/>
  <c r="JE918" i="5"/>
  <c r="JC918" i="5" s="1"/>
  <c r="JD918" i="5" s="1"/>
  <c r="JB918" i="5"/>
  <c r="IZ918" i="5" s="1"/>
  <c r="JA918" i="5" s="1"/>
  <c r="IY918" i="5"/>
  <c r="IX918" i="5" s="1"/>
  <c r="IO918" i="5"/>
  <c r="IN918" i="5"/>
  <c r="IL918" i="5"/>
  <c r="IK918" i="5"/>
  <c r="JE917" i="5"/>
  <c r="JC917" i="5" s="1"/>
  <c r="JD917" i="5" s="1"/>
  <c r="JB917" i="5"/>
  <c r="IZ917" i="5" s="1"/>
  <c r="IY917" i="5"/>
  <c r="IX917" i="5" s="1"/>
  <c r="IO917" i="5"/>
  <c r="IN917" i="5"/>
  <c r="IL917" i="5"/>
  <c r="IK917" i="5"/>
  <c r="JE916" i="5"/>
  <c r="JB916" i="5"/>
  <c r="IY916" i="5"/>
  <c r="IX916" i="5" s="1"/>
  <c r="IN916" i="5"/>
  <c r="IL916" i="5"/>
  <c r="IK916" i="5"/>
  <c r="JE915" i="5"/>
  <c r="JB915" i="5"/>
  <c r="JA915" i="5" s="1"/>
  <c r="IO915" i="5"/>
  <c r="AG1608" i="2" s="1"/>
  <c r="IN915" i="5"/>
  <c r="AF1609" i="2" s="1"/>
  <c r="IL915" i="5"/>
  <c r="IK915" i="5"/>
  <c r="AE1609" i="2" s="1"/>
  <c r="JE912" i="5"/>
  <c r="JB912" i="5"/>
  <c r="JA912" i="5" s="1"/>
  <c r="IO912" i="5"/>
  <c r="IN912" i="5"/>
  <c r="AF1637" i="2" s="1"/>
  <c r="IL912" i="5"/>
  <c r="AF1636" i="2" s="1"/>
  <c r="IK912" i="5"/>
  <c r="JE911" i="5"/>
  <c r="JC911" i="5" s="1"/>
  <c r="JD911" i="5" s="1"/>
  <c r="JB911" i="5"/>
  <c r="IZ911" i="5" s="1"/>
  <c r="JA911" i="5" s="1"/>
  <c r="IY911" i="5"/>
  <c r="IX911" i="5" s="1"/>
  <c r="IO911" i="5"/>
  <c r="IN911" i="5"/>
  <c r="IL911" i="5"/>
  <c r="IK911" i="5"/>
  <c r="IO910" i="5"/>
  <c r="IN910" i="5"/>
  <c r="IL910" i="5"/>
  <c r="IK910" i="5"/>
  <c r="IO909" i="5"/>
  <c r="IN909" i="5"/>
  <c r="IL909" i="5"/>
  <c r="IK909" i="5"/>
  <c r="II909" i="5"/>
  <c r="IH909" i="5"/>
  <c r="IF909" i="5"/>
  <c r="IE909" i="5"/>
  <c r="IC909" i="5"/>
  <c r="IB909" i="5"/>
  <c r="HZ909" i="5"/>
  <c r="HY909" i="5"/>
  <c r="HW909" i="5"/>
  <c r="HV909" i="5"/>
  <c r="HT909" i="5"/>
  <c r="HS909" i="5"/>
  <c r="HQ909" i="5"/>
  <c r="HP909" i="5"/>
  <c r="JE908" i="5"/>
  <c r="JB908" i="5"/>
  <c r="IZ908" i="5" s="1"/>
  <c r="IY908" i="5"/>
  <c r="IX908" i="5" s="1"/>
  <c r="IO908" i="5"/>
  <c r="IN908" i="5"/>
  <c r="IL908" i="5"/>
  <c r="IK908" i="5"/>
  <c r="II908" i="5"/>
  <c r="IH908" i="5"/>
  <c r="IF908" i="5"/>
  <c r="IE908" i="5"/>
  <c r="IC908" i="5"/>
  <c r="IB908" i="5"/>
  <c r="HZ908" i="5"/>
  <c r="HY908" i="5"/>
  <c r="HW908" i="5"/>
  <c r="HV908" i="5"/>
  <c r="HT908" i="5"/>
  <c r="HS908" i="5"/>
  <c r="HQ908" i="5"/>
  <c r="HP908" i="5"/>
  <c r="IO907" i="5"/>
  <c r="IN907" i="5"/>
  <c r="IL907" i="5"/>
  <c r="IK907" i="5"/>
  <c r="II907" i="5"/>
  <c r="IH907" i="5"/>
  <c r="IF907" i="5"/>
  <c r="IE907" i="5"/>
  <c r="IC907" i="5"/>
  <c r="IB907" i="5"/>
  <c r="HZ907" i="5"/>
  <c r="HY907" i="5"/>
  <c r="HW907" i="5"/>
  <c r="HV907" i="5"/>
  <c r="HT907" i="5"/>
  <c r="HS907" i="5"/>
  <c r="HQ907" i="5"/>
  <c r="HP907" i="5"/>
  <c r="KP906" i="5"/>
  <c r="KO906" i="5"/>
  <c r="KN906" i="5"/>
  <c r="KM906" i="5"/>
  <c r="IO906" i="5"/>
  <c r="IN906" i="5"/>
  <c r="FV906" i="5"/>
  <c r="FU906" i="5"/>
  <c r="FT906" i="5"/>
  <c r="FS906" i="5"/>
  <c r="FR906" i="5"/>
  <c r="FQ906" i="5"/>
  <c r="FP906" i="5"/>
  <c r="FO906" i="5"/>
  <c r="FN906" i="5"/>
  <c r="FM906" i="5"/>
  <c r="FL906" i="5"/>
  <c r="FK906" i="5"/>
  <c r="FJ906" i="5"/>
  <c r="FI906" i="5"/>
  <c r="FH906" i="5"/>
  <c r="FG906" i="5"/>
  <c r="FF906" i="5"/>
  <c r="FE906" i="5"/>
  <c r="FD906" i="5"/>
  <c r="FC906" i="5"/>
  <c r="FB906" i="5"/>
  <c r="FA906" i="5"/>
  <c r="EZ906" i="5"/>
  <c r="EY906" i="5"/>
  <c r="EX906" i="5"/>
  <c r="EW906" i="5"/>
  <c r="EV906" i="5"/>
  <c r="EU906" i="5"/>
  <c r="ET906" i="5"/>
  <c r="ES906" i="5"/>
  <c r="ER906" i="5"/>
  <c r="EQ906" i="5"/>
  <c r="EP906" i="5"/>
  <c r="EO906" i="5"/>
  <c r="EN906" i="5"/>
  <c r="EM906" i="5"/>
  <c r="EL906" i="5"/>
  <c r="EK906" i="5"/>
  <c r="EJ906" i="5"/>
  <c r="EI906" i="5"/>
  <c r="EH906" i="5"/>
  <c r="EG906" i="5"/>
  <c r="EF906" i="5"/>
  <c r="EE906" i="5"/>
  <c r="ED906" i="5"/>
  <c r="EC906" i="5"/>
  <c r="EB906" i="5"/>
  <c r="EA906" i="5"/>
  <c r="DZ906" i="5"/>
  <c r="DY906" i="5"/>
  <c r="DX906" i="5"/>
  <c r="DW906" i="5"/>
  <c r="DV906" i="5"/>
  <c r="DU906" i="5"/>
  <c r="DT906" i="5"/>
  <c r="DS906" i="5"/>
  <c r="DR906" i="5"/>
  <c r="DQ906" i="5"/>
  <c r="DP906" i="5"/>
  <c r="DO906" i="5"/>
  <c r="DN906" i="5"/>
  <c r="DN898" i="5" s="1"/>
  <c r="DM906" i="5"/>
  <c r="DL906" i="5"/>
  <c r="DL898" i="5" s="1"/>
  <c r="DK906" i="5"/>
  <c r="DK898" i="5" s="1"/>
  <c r="DJ906" i="5"/>
  <c r="DJ898" i="5" s="1"/>
  <c r="DI906" i="5"/>
  <c r="DI898" i="5" s="1"/>
  <c r="DH906" i="5"/>
  <c r="DH898" i="5" s="1"/>
  <c r="DG906" i="5"/>
  <c r="DG898" i="5" s="1"/>
  <c r="DF906" i="5"/>
  <c r="DF898" i="5" s="1"/>
  <c r="DE906" i="5"/>
  <c r="DE898" i="5" s="1"/>
  <c r="DD906" i="5"/>
  <c r="DD898" i="5" s="1"/>
  <c r="DC906" i="5"/>
  <c r="DC898" i="5" s="1"/>
  <c r="DB906" i="5"/>
  <c r="DA906" i="5"/>
  <c r="CZ906" i="5"/>
  <c r="CY906" i="5"/>
  <c r="CX906" i="5"/>
  <c r="CW906" i="5"/>
  <c r="CV906" i="5"/>
  <c r="CU906" i="5"/>
  <c r="CT906" i="5"/>
  <c r="CS906" i="5"/>
  <c r="CR906" i="5"/>
  <c r="CQ906" i="5"/>
  <c r="CP906" i="5"/>
  <c r="CO906" i="5"/>
  <c r="CN906" i="5"/>
  <c r="CM906" i="5"/>
  <c r="CL906" i="5"/>
  <c r="CK906" i="5"/>
  <c r="CJ906" i="5"/>
  <c r="CI906" i="5"/>
  <c r="CH906" i="5"/>
  <c r="CG906" i="5"/>
  <c r="CF906" i="5"/>
  <c r="CE906" i="5"/>
  <c r="CD906" i="5"/>
  <c r="IO905" i="5"/>
  <c r="IN905" i="5"/>
  <c r="IJ905" i="5"/>
  <c r="JE904" i="5"/>
  <c r="JC904" i="5" s="1"/>
  <c r="JB904" i="5"/>
  <c r="IY904" i="5"/>
  <c r="IX904" i="5" s="1"/>
  <c r="IO904" i="5"/>
  <c r="IN904" i="5"/>
  <c r="IL904" i="5"/>
  <c r="IM904" i="5" s="1"/>
  <c r="AF1225" i="2" s="1"/>
  <c r="IJ904" i="5"/>
  <c r="IO903" i="5"/>
  <c r="IN903" i="5"/>
  <c r="IL903" i="5"/>
  <c r="II903" i="5"/>
  <c r="IH903" i="5"/>
  <c r="IF903" i="5"/>
  <c r="IE903" i="5"/>
  <c r="IC903" i="5"/>
  <c r="IB903" i="5"/>
  <c r="HZ903" i="5"/>
  <c r="HY903" i="5"/>
  <c r="HW903" i="5"/>
  <c r="HV903" i="5"/>
  <c r="HT903" i="5"/>
  <c r="HS903" i="5"/>
  <c r="HQ903" i="5"/>
  <c r="HP903" i="5"/>
  <c r="IO902" i="5"/>
  <c r="IN902" i="5"/>
  <c r="IJ902" i="5"/>
  <c r="JE901" i="5"/>
  <c r="JC901" i="5" s="1"/>
  <c r="JB901" i="5"/>
  <c r="JA901" i="5" s="1"/>
  <c r="IY901" i="5"/>
  <c r="IX901" i="5" s="1"/>
  <c r="IO901" i="5"/>
  <c r="IN901" i="5"/>
  <c r="IP901" i="5" s="1"/>
  <c r="AG1222" i="2" s="1"/>
  <c r="IL901" i="5"/>
  <c r="IJ901" i="5"/>
  <c r="IO900" i="5"/>
  <c r="IN900" i="5"/>
  <c r="IL900" i="5"/>
  <c r="IL902" i="5" s="1"/>
  <c r="IK900" i="5"/>
  <c r="II900" i="5"/>
  <c r="IH900" i="5"/>
  <c r="IF900" i="5"/>
  <c r="IE900" i="5"/>
  <c r="IC900" i="5"/>
  <c r="IB900" i="5"/>
  <c r="HZ900" i="5"/>
  <c r="HY900" i="5"/>
  <c r="HW900" i="5"/>
  <c r="HV900" i="5"/>
  <c r="HT900" i="5"/>
  <c r="HS900" i="5"/>
  <c r="HQ900" i="5"/>
  <c r="HP900" i="5"/>
  <c r="KP899" i="5"/>
  <c r="KO899" i="5"/>
  <c r="KN899" i="5"/>
  <c r="KM899" i="5"/>
  <c r="IO899" i="5"/>
  <c r="IN899" i="5"/>
  <c r="HW899" i="5"/>
  <c r="HV899" i="5"/>
  <c r="FV899" i="5"/>
  <c r="FV1155" i="5" s="1"/>
  <c r="FU899" i="5"/>
  <c r="FU1155" i="5" s="1"/>
  <c r="FT899" i="5"/>
  <c r="FT1155" i="5" s="1"/>
  <c r="FS899" i="5"/>
  <c r="FS1155" i="5" s="1"/>
  <c r="FR899" i="5"/>
  <c r="FQ899" i="5"/>
  <c r="FQ1155" i="5" s="1"/>
  <c r="FP899" i="5"/>
  <c r="FP1155" i="5" s="1"/>
  <c r="FO899" i="5"/>
  <c r="FN899" i="5"/>
  <c r="FM899" i="5"/>
  <c r="FL899" i="5"/>
  <c r="FL1155" i="5" s="1"/>
  <c r="FK899" i="5"/>
  <c r="FK1155" i="5" s="1"/>
  <c r="FJ899" i="5"/>
  <c r="FI899" i="5"/>
  <c r="FH899" i="5"/>
  <c r="FH1155" i="5" s="1"/>
  <c r="FG899" i="5"/>
  <c r="FF899" i="5"/>
  <c r="FF1155" i="5" s="1"/>
  <c r="FE899" i="5"/>
  <c r="FD899" i="5"/>
  <c r="FC899" i="5"/>
  <c r="FC1155" i="5" s="1"/>
  <c r="FB899" i="5"/>
  <c r="FB1155" i="5" s="1"/>
  <c r="FA899" i="5"/>
  <c r="FA1155" i="5" s="1"/>
  <c r="EZ899" i="5"/>
  <c r="EY899" i="5"/>
  <c r="EX899" i="5"/>
  <c r="EX898" i="5" s="1"/>
  <c r="EX893" i="5" s="1"/>
  <c r="EX996" i="5" s="1"/>
  <c r="EW899" i="5"/>
  <c r="EV899" i="5"/>
  <c r="EU899" i="5"/>
  <c r="ET899" i="5"/>
  <c r="ES899" i="5"/>
  <c r="ER899" i="5"/>
  <c r="EQ899" i="5"/>
  <c r="EP899" i="5"/>
  <c r="EO899" i="5"/>
  <c r="EO898" i="5" s="1"/>
  <c r="EO893" i="5" s="1"/>
  <c r="EO996" i="5" s="1"/>
  <c r="EN899" i="5"/>
  <c r="EM899" i="5"/>
  <c r="EL899" i="5"/>
  <c r="EK899" i="5"/>
  <c r="EJ899" i="5"/>
  <c r="EI899" i="5"/>
  <c r="EH899" i="5"/>
  <c r="EG899" i="5"/>
  <c r="EF899" i="5"/>
  <c r="EE899" i="5"/>
  <c r="ED899" i="5"/>
  <c r="EC899" i="5"/>
  <c r="EB899" i="5"/>
  <c r="EA899" i="5"/>
  <c r="DZ899" i="5"/>
  <c r="DY899" i="5"/>
  <c r="DX899" i="5"/>
  <c r="DW899" i="5"/>
  <c r="DV899" i="5"/>
  <c r="DU899" i="5"/>
  <c r="DT899" i="5"/>
  <c r="DS899" i="5"/>
  <c r="DR899" i="5"/>
  <c r="DQ899" i="5"/>
  <c r="DP899" i="5"/>
  <c r="DO899" i="5"/>
  <c r="DB899" i="5"/>
  <c r="DA899" i="5"/>
  <c r="CZ899" i="5"/>
  <c r="CY899" i="5"/>
  <c r="CX899" i="5"/>
  <c r="CW899" i="5"/>
  <c r="CV899" i="5"/>
  <c r="CU899" i="5"/>
  <c r="CT899" i="5"/>
  <c r="CS899" i="5"/>
  <c r="CR899" i="5"/>
  <c r="CQ899" i="5"/>
  <c r="CP899" i="5"/>
  <c r="CO899" i="5"/>
  <c r="CN899" i="5"/>
  <c r="CM899" i="5"/>
  <c r="CL899" i="5"/>
  <c r="CK899" i="5"/>
  <c r="CJ899" i="5"/>
  <c r="CI899" i="5"/>
  <c r="CH899" i="5"/>
  <c r="CG899" i="5"/>
  <c r="CF899" i="5"/>
  <c r="CE899" i="5"/>
  <c r="CD899" i="5"/>
  <c r="IO898" i="5"/>
  <c r="AG1584" i="2" s="1"/>
  <c r="IN898" i="5"/>
  <c r="AF1585" i="2" s="1"/>
  <c r="CC898" i="5"/>
  <c r="CC893" i="5" s="1"/>
  <c r="CC996" i="5" s="1"/>
  <c r="CB898" i="5"/>
  <c r="CB893" i="5" s="1"/>
  <c r="CB996" i="5" s="1"/>
  <c r="CA898" i="5"/>
  <c r="CA893" i="5" s="1"/>
  <c r="CA996" i="5" s="1"/>
  <c r="BZ898" i="5"/>
  <c r="BZ893" i="5" s="1"/>
  <c r="BZ996" i="5" s="1"/>
  <c r="BY898" i="5"/>
  <c r="BY893" i="5" s="1"/>
  <c r="BY996" i="5" s="1"/>
  <c r="BX898" i="5"/>
  <c r="BX893" i="5" s="1"/>
  <c r="BW898" i="5"/>
  <c r="BW893" i="5" s="1"/>
  <c r="BV898" i="5"/>
  <c r="BV893" i="5" s="1"/>
  <c r="BU898" i="5"/>
  <c r="BU893" i="5" s="1"/>
  <c r="BT898" i="5"/>
  <c r="BT893" i="5" s="1"/>
  <c r="BS898" i="5"/>
  <c r="BS893" i="5" s="1"/>
  <c r="BS996" i="5" s="1"/>
  <c r="BR898" i="5"/>
  <c r="BR893" i="5" s="1"/>
  <c r="BQ898" i="5"/>
  <c r="BQ893" i="5" s="1"/>
  <c r="BQ996" i="5" s="1"/>
  <c r="BP898" i="5"/>
  <c r="BP893" i="5" s="1"/>
  <c r="BP996" i="5" s="1"/>
  <c r="BO898" i="5"/>
  <c r="BO893" i="5" s="1"/>
  <c r="BO996" i="5" s="1"/>
  <c r="BN898" i="5"/>
  <c r="BN893" i="5" s="1"/>
  <c r="BN996" i="5" s="1"/>
  <c r="BM898" i="5"/>
  <c r="BM893" i="5" s="1"/>
  <c r="BM996" i="5" s="1"/>
  <c r="BL898" i="5"/>
  <c r="BL893" i="5" s="1"/>
  <c r="BL996" i="5" s="1"/>
  <c r="BK898" i="5"/>
  <c r="BK893" i="5" s="1"/>
  <c r="BK996" i="5" s="1"/>
  <c r="BJ898" i="5"/>
  <c r="BJ893" i="5" s="1"/>
  <c r="BI898" i="5"/>
  <c r="BI893" i="5" s="1"/>
  <c r="BH898" i="5"/>
  <c r="BH893" i="5" s="1"/>
  <c r="BH996" i="5" s="1"/>
  <c r="BG898" i="5"/>
  <c r="BG893" i="5" s="1"/>
  <c r="BG996" i="5" s="1"/>
  <c r="BF898" i="5"/>
  <c r="BF893" i="5" s="1"/>
  <c r="BF996" i="5" s="1"/>
  <c r="BE898" i="5"/>
  <c r="BE893" i="5" s="1"/>
  <c r="BE996" i="5" s="1"/>
  <c r="BD898" i="5"/>
  <c r="BD893" i="5" s="1"/>
  <c r="BD996" i="5" s="1"/>
  <c r="BC898" i="5"/>
  <c r="BC893" i="5" s="1"/>
  <c r="BB898" i="5"/>
  <c r="BB893" i="5" s="1"/>
  <c r="BA898" i="5"/>
  <c r="BA893" i="5" s="1"/>
  <c r="AZ898" i="5"/>
  <c r="AZ893" i="5" s="1"/>
  <c r="AZ996" i="5" s="1"/>
  <c r="AY898" i="5"/>
  <c r="AY893" i="5" s="1"/>
  <c r="AY996" i="5" s="1"/>
  <c r="AX898" i="5"/>
  <c r="AX893" i="5" s="1"/>
  <c r="AW898" i="5"/>
  <c r="AW893" i="5" s="1"/>
  <c r="AW996" i="5" s="1"/>
  <c r="AV898" i="5"/>
  <c r="AV893" i="5" s="1"/>
  <c r="AV996" i="5" s="1"/>
  <c r="AU898" i="5"/>
  <c r="AU893" i="5" s="1"/>
  <c r="AU996" i="5" s="1"/>
  <c r="AT898" i="5"/>
  <c r="AT893" i="5" s="1"/>
  <c r="AS898" i="5"/>
  <c r="AS893" i="5" s="1"/>
  <c r="AR898" i="5"/>
  <c r="AR893" i="5" s="1"/>
  <c r="AR996" i="5" s="1"/>
  <c r="AQ898" i="5"/>
  <c r="AQ893" i="5" s="1"/>
  <c r="AQ996" i="5" s="1"/>
  <c r="AP898" i="5"/>
  <c r="AP893" i="5" s="1"/>
  <c r="AP996" i="5" s="1"/>
  <c r="AO898" i="5"/>
  <c r="AO893" i="5" s="1"/>
  <c r="AO996" i="5" s="1"/>
  <c r="AN898" i="5"/>
  <c r="AN893" i="5" s="1"/>
  <c r="AN996" i="5" s="1"/>
  <c r="AM898" i="5"/>
  <c r="AM893" i="5" s="1"/>
  <c r="AL898" i="5"/>
  <c r="AL893" i="5" s="1"/>
  <c r="AL996" i="5" s="1"/>
  <c r="AK898" i="5"/>
  <c r="AK893" i="5" s="1"/>
  <c r="AK996" i="5" s="1"/>
  <c r="AJ898" i="5"/>
  <c r="AJ893" i="5" s="1"/>
  <c r="AI898" i="5"/>
  <c r="AI893" i="5" s="1"/>
  <c r="AI996" i="5" s="1"/>
  <c r="AH898" i="5"/>
  <c r="AH893" i="5" s="1"/>
  <c r="AG898" i="5"/>
  <c r="AG893" i="5" s="1"/>
  <c r="AG996" i="5" s="1"/>
  <c r="AF898" i="5"/>
  <c r="AF893" i="5" s="1"/>
  <c r="AF996" i="5" s="1"/>
  <c r="AE898" i="5"/>
  <c r="AE893" i="5" s="1"/>
  <c r="AE996" i="5" s="1"/>
  <c r="AD898" i="5"/>
  <c r="AD893" i="5" s="1"/>
  <c r="AD996" i="5" s="1"/>
  <c r="AC898" i="5"/>
  <c r="AC893" i="5" s="1"/>
  <c r="AC996" i="5" s="1"/>
  <c r="AB898" i="5"/>
  <c r="AB893" i="5" s="1"/>
  <c r="AB996" i="5" s="1"/>
  <c r="AA898" i="5"/>
  <c r="AA893" i="5" s="1"/>
  <c r="AA996" i="5" s="1"/>
  <c r="Z898" i="5"/>
  <c r="Z893" i="5" s="1"/>
  <c r="Z996" i="5" s="1"/>
  <c r="Y898" i="5"/>
  <c r="Y893" i="5" s="1"/>
  <c r="Y996" i="5" s="1"/>
  <c r="X898" i="5"/>
  <c r="X893" i="5" s="1"/>
  <c r="X996" i="5" s="1"/>
  <c r="W898" i="5"/>
  <c r="W893" i="5" s="1"/>
  <c r="W996" i="5" s="1"/>
  <c r="V898" i="5"/>
  <c r="V893" i="5" s="1"/>
  <c r="V996" i="5" s="1"/>
  <c r="U898" i="5"/>
  <c r="U893" i="5" s="1"/>
  <c r="U996" i="5" s="1"/>
  <c r="T898" i="5"/>
  <c r="T893" i="5" s="1"/>
  <c r="T996" i="5" s="1"/>
  <c r="S898" i="5"/>
  <c r="S893" i="5" s="1"/>
  <c r="S996" i="5" s="1"/>
  <c r="R898" i="5"/>
  <c r="R893" i="5" s="1"/>
  <c r="R996" i="5" s="1"/>
  <c r="Q898" i="5"/>
  <c r="Q893" i="5" s="1"/>
  <c r="Q996" i="5" s="1"/>
  <c r="P898" i="5"/>
  <c r="P893" i="5" s="1"/>
  <c r="O898" i="5"/>
  <c r="O893" i="5" s="1"/>
  <c r="O996" i="5" s="1"/>
  <c r="N898" i="5"/>
  <c r="N893" i="5" s="1"/>
  <c r="N996" i="5" s="1"/>
  <c r="M898" i="5"/>
  <c r="M893" i="5" s="1"/>
  <c r="M996" i="5" s="1"/>
  <c r="L898" i="5"/>
  <c r="L893" i="5" s="1"/>
  <c r="K898" i="5"/>
  <c r="K893" i="5" s="1"/>
  <c r="J898" i="5"/>
  <c r="J893" i="5" s="1"/>
  <c r="J996" i="5" s="1"/>
  <c r="I898" i="5"/>
  <c r="I893" i="5" s="1"/>
  <c r="H898" i="5"/>
  <c r="H893" i="5" s="1"/>
  <c r="H996" i="5" s="1"/>
  <c r="G898" i="5"/>
  <c r="G893" i="5" s="1"/>
  <c r="F898" i="5"/>
  <c r="F893" i="5" s="1"/>
  <c r="F996" i="5" s="1"/>
  <c r="E898" i="5"/>
  <c r="E893" i="5" s="1"/>
  <c r="E996" i="5" s="1"/>
  <c r="IO897" i="5"/>
  <c r="IN897" i="5"/>
  <c r="IL897" i="5"/>
  <c r="IK897" i="5"/>
  <c r="IJ897" i="5"/>
  <c r="AE1218" i="2" s="1"/>
  <c r="AE1269" i="2" s="1"/>
  <c r="IO896" i="5"/>
  <c r="IN896" i="5"/>
  <c r="IL896" i="5"/>
  <c r="IK896" i="5"/>
  <c r="IJ896" i="5"/>
  <c r="AE1217" i="2" s="1"/>
  <c r="AE1268" i="2" s="1"/>
  <c r="IO895" i="5"/>
  <c r="IN895" i="5"/>
  <c r="IL895" i="5"/>
  <c r="IK895" i="5"/>
  <c r="II895" i="5"/>
  <c r="IH895" i="5"/>
  <c r="IF895" i="5"/>
  <c r="IE895" i="5"/>
  <c r="IC895" i="5"/>
  <c r="IB895" i="5"/>
  <c r="HZ895" i="5"/>
  <c r="HY895" i="5"/>
  <c r="HW895" i="5"/>
  <c r="HV895" i="5"/>
  <c r="HT895" i="5"/>
  <c r="HS895" i="5"/>
  <c r="HQ895" i="5"/>
  <c r="HP895" i="5"/>
  <c r="HR895" i="5" s="1"/>
  <c r="Y1216" i="2" s="1"/>
  <c r="JE894" i="5"/>
  <c r="IO894" i="5"/>
  <c r="IN894" i="5"/>
  <c r="IO893" i="5"/>
  <c r="IO996" i="5" s="1"/>
  <c r="IN893" i="5"/>
  <c r="IO892" i="5"/>
  <c r="IN892" i="5"/>
  <c r="JE891" i="5"/>
  <c r="IO891" i="5"/>
  <c r="IN891" i="5"/>
  <c r="JE890" i="5"/>
  <c r="JB890" i="5"/>
  <c r="IY890" i="5"/>
  <c r="IX890" i="5" s="1"/>
  <c r="IO890" i="5"/>
  <c r="IN890" i="5"/>
  <c r="IL890" i="5"/>
  <c r="IK890" i="5"/>
  <c r="II890" i="5"/>
  <c r="IH890" i="5"/>
  <c r="IF890" i="5"/>
  <c r="IE890" i="5"/>
  <c r="IC890" i="5"/>
  <c r="IB890" i="5"/>
  <c r="HZ890" i="5"/>
  <c r="HY890" i="5"/>
  <c r="HW890" i="5"/>
  <c r="HV890" i="5"/>
  <c r="HT890" i="5"/>
  <c r="HS890" i="5"/>
  <c r="HS994" i="5" s="1"/>
  <c r="HQ890" i="5"/>
  <c r="HP890" i="5"/>
  <c r="JE889" i="5"/>
  <c r="JC889" i="5" s="1"/>
  <c r="JB889" i="5"/>
  <c r="IZ889" i="5" s="1"/>
  <c r="JA889" i="5" s="1"/>
  <c r="IY889" i="5"/>
  <c r="IX889" i="5" s="1"/>
  <c r="IO889" i="5"/>
  <c r="IN889" i="5"/>
  <c r="IL889" i="5"/>
  <c r="IK889" i="5"/>
  <c r="JE888" i="5"/>
  <c r="JC888" i="5" s="1"/>
  <c r="JD888" i="5" s="1"/>
  <c r="JB888" i="5"/>
  <c r="IZ888" i="5" s="1"/>
  <c r="JA888" i="5" s="1"/>
  <c r="IY888" i="5"/>
  <c r="IX888" i="5" s="1"/>
  <c r="IO888" i="5"/>
  <c r="IN888" i="5"/>
  <c r="IL888" i="5"/>
  <c r="IK888" i="5"/>
  <c r="JE887" i="5"/>
  <c r="JC887" i="5" s="1"/>
  <c r="JD887" i="5" s="1"/>
  <c r="JB887" i="5"/>
  <c r="IZ887" i="5" s="1"/>
  <c r="JA887" i="5" s="1"/>
  <c r="IY887" i="5"/>
  <c r="IX887" i="5" s="1"/>
  <c r="IO887" i="5"/>
  <c r="IN887" i="5"/>
  <c r="IL887" i="5"/>
  <c r="IK887" i="5"/>
  <c r="JE886" i="5"/>
  <c r="JC886" i="5" s="1"/>
  <c r="JD886" i="5" s="1"/>
  <c r="JB886" i="5"/>
  <c r="IZ886" i="5" s="1"/>
  <c r="JA886" i="5" s="1"/>
  <c r="IY886" i="5"/>
  <c r="IX886" i="5" s="1"/>
  <c r="IO886" i="5"/>
  <c r="IN886" i="5"/>
  <c r="IL886" i="5"/>
  <c r="IM886" i="5" s="1"/>
  <c r="AF1207" i="2" s="1"/>
  <c r="IO885" i="5"/>
  <c r="IN885" i="5"/>
  <c r="IL885" i="5"/>
  <c r="IM885" i="5" s="1"/>
  <c r="AF1204" i="2" s="1"/>
  <c r="JE884" i="5"/>
  <c r="JC884" i="5" s="1"/>
  <c r="JB884" i="5"/>
  <c r="IZ884" i="5" s="1"/>
  <c r="IO884" i="5"/>
  <c r="IN884" i="5"/>
  <c r="IL884" i="5"/>
  <c r="IM884" i="5" s="1"/>
  <c r="AF1203" i="2" s="1"/>
  <c r="IO883" i="5"/>
  <c r="IO661" i="5" s="1"/>
  <c r="IN883" i="5"/>
  <c r="IN661" i="5" s="1"/>
  <c r="IL883" i="5"/>
  <c r="IL661" i="5" s="1"/>
  <c r="IK883" i="5"/>
  <c r="IO881" i="5"/>
  <c r="IN881" i="5"/>
  <c r="IL881" i="5"/>
  <c r="IK881" i="5"/>
  <c r="II881" i="5"/>
  <c r="IH881" i="5"/>
  <c r="IF881" i="5"/>
  <c r="IE881" i="5"/>
  <c r="IC881" i="5"/>
  <c r="IB881" i="5"/>
  <c r="HZ881" i="5"/>
  <c r="HY881" i="5"/>
  <c r="HW881" i="5"/>
  <c r="HV881" i="5"/>
  <c r="HT881" i="5"/>
  <c r="HS881" i="5"/>
  <c r="HQ881" i="5"/>
  <c r="HP881" i="5"/>
  <c r="JE880" i="5"/>
  <c r="JB880" i="5"/>
  <c r="IZ880" i="5" s="1"/>
  <c r="IY880" i="5"/>
  <c r="IX880" i="5" s="1"/>
  <c r="IO880" i="5"/>
  <c r="IN880" i="5"/>
  <c r="IL880" i="5"/>
  <c r="IM880" i="5" s="1"/>
  <c r="AF1199" i="2" s="1"/>
  <c r="JE879" i="5"/>
  <c r="JC879" i="5" s="1"/>
  <c r="JB879" i="5"/>
  <c r="IZ879" i="5" s="1"/>
  <c r="IY879" i="5"/>
  <c r="IX879" i="5" s="1"/>
  <c r="IO879" i="5"/>
  <c r="IN879" i="5"/>
  <c r="IL879" i="5"/>
  <c r="IM879" i="5" s="1"/>
  <c r="AF1198" i="2" s="1"/>
  <c r="IO877" i="5"/>
  <c r="IN877" i="5"/>
  <c r="IL877" i="5"/>
  <c r="IK877" i="5"/>
  <c r="II877" i="5"/>
  <c r="IH877" i="5"/>
  <c r="IF877" i="5"/>
  <c r="IE877" i="5"/>
  <c r="IC877" i="5"/>
  <c r="IB877" i="5"/>
  <c r="HZ877" i="5"/>
  <c r="HY877" i="5"/>
  <c r="HW877" i="5"/>
  <c r="HV877" i="5"/>
  <c r="HT877" i="5"/>
  <c r="HS877" i="5"/>
  <c r="HQ877" i="5"/>
  <c r="HP877" i="5"/>
  <c r="IO876" i="5"/>
  <c r="IN876" i="5"/>
  <c r="IL876" i="5"/>
  <c r="IK876" i="5"/>
  <c r="II876" i="5"/>
  <c r="IH876" i="5"/>
  <c r="IF876" i="5"/>
  <c r="IE876" i="5"/>
  <c r="IC876" i="5"/>
  <c r="IB876" i="5"/>
  <c r="HZ876" i="5"/>
  <c r="HY876" i="5"/>
  <c r="HW876" i="5"/>
  <c r="HV876" i="5"/>
  <c r="HQ876" i="5"/>
  <c r="HP876" i="5"/>
  <c r="DB876" i="5"/>
  <c r="DB857" i="5" s="1"/>
  <c r="DB993" i="5" s="1"/>
  <c r="DA876" i="5"/>
  <c r="DA857" i="5" s="1"/>
  <c r="DA856" i="5" s="1"/>
  <c r="DA992" i="5" s="1"/>
  <c r="CZ876" i="5"/>
  <c r="CZ857" i="5" s="1"/>
  <c r="CZ993" i="5" s="1"/>
  <c r="CY876" i="5"/>
  <c r="CX876" i="5"/>
  <c r="CX857" i="5" s="1"/>
  <c r="CX993" i="5" s="1"/>
  <c r="CW876" i="5"/>
  <c r="CW857" i="5" s="1"/>
  <c r="CW993" i="5" s="1"/>
  <c r="CV876" i="5"/>
  <c r="CV857" i="5" s="1"/>
  <c r="CV856" i="5" s="1"/>
  <c r="CV992" i="5" s="1"/>
  <c r="CU876" i="5"/>
  <c r="CU857" i="5" s="1"/>
  <c r="CU993" i="5" s="1"/>
  <c r="CT876" i="5"/>
  <c r="CT857" i="5" s="1"/>
  <c r="CT993" i="5" s="1"/>
  <c r="CS876" i="5"/>
  <c r="CS857" i="5" s="1"/>
  <c r="CR876" i="5"/>
  <c r="CQ876" i="5"/>
  <c r="CQ857" i="5" s="1"/>
  <c r="JE875" i="5"/>
  <c r="JC875" i="5" s="1"/>
  <c r="JB875" i="5"/>
  <c r="IZ875" i="5" s="1"/>
  <c r="IY875" i="5"/>
  <c r="IO875" i="5"/>
  <c r="IN875" i="5"/>
  <c r="IL875" i="5"/>
  <c r="IK875" i="5"/>
  <c r="II875" i="5"/>
  <c r="IH875" i="5"/>
  <c r="IF875" i="5"/>
  <c r="IE875" i="5"/>
  <c r="IC875" i="5"/>
  <c r="IB875" i="5"/>
  <c r="HZ875" i="5"/>
  <c r="HY875" i="5"/>
  <c r="HW875" i="5"/>
  <c r="HV875" i="5"/>
  <c r="HT875" i="5"/>
  <c r="HS875" i="5"/>
  <c r="HQ875" i="5"/>
  <c r="HP875" i="5"/>
  <c r="JE874" i="5"/>
  <c r="JC874" i="5" s="1"/>
  <c r="JB874" i="5"/>
  <c r="IZ874" i="5" s="1"/>
  <c r="IY874" i="5"/>
  <c r="IX874" i="5" s="1"/>
  <c r="IO874" i="5"/>
  <c r="IN874" i="5"/>
  <c r="IL874" i="5"/>
  <c r="IK874" i="5"/>
  <c r="II874" i="5"/>
  <c r="IH874" i="5"/>
  <c r="IF874" i="5"/>
  <c r="IE874" i="5"/>
  <c r="IC874" i="5"/>
  <c r="IB874" i="5"/>
  <c r="HZ874" i="5"/>
  <c r="HY874" i="5"/>
  <c r="HW874" i="5"/>
  <c r="HV874" i="5"/>
  <c r="HT874" i="5"/>
  <c r="HS874" i="5"/>
  <c r="HQ874" i="5"/>
  <c r="HP874" i="5"/>
  <c r="JE873" i="5"/>
  <c r="JB873" i="5"/>
  <c r="IY873" i="5"/>
  <c r="IX873" i="5" s="1"/>
  <c r="IO873" i="5"/>
  <c r="IN873" i="5"/>
  <c r="IL873" i="5"/>
  <c r="IM873" i="5" s="1"/>
  <c r="AF1190" i="2" s="1"/>
  <c r="JE872" i="5"/>
  <c r="JC872" i="5" s="1"/>
  <c r="JD872" i="5" s="1"/>
  <c r="JB872" i="5"/>
  <c r="IY872" i="5"/>
  <c r="IX872" i="5" s="1"/>
  <c r="IO872" i="5"/>
  <c r="IN872" i="5"/>
  <c r="IL872" i="5"/>
  <c r="IM872" i="5" s="1"/>
  <c r="AF1189" i="2" s="1"/>
  <c r="IO871" i="5"/>
  <c r="IN871" i="5"/>
  <c r="IL871" i="5"/>
  <c r="IM871" i="5" s="1"/>
  <c r="AF1188" i="2" s="1"/>
  <c r="IO870" i="5"/>
  <c r="IN870" i="5"/>
  <c r="IL870" i="5"/>
  <c r="IK870" i="5"/>
  <c r="JE869" i="5"/>
  <c r="JC869" i="5" s="1"/>
  <c r="JD869" i="5" s="1"/>
  <c r="JB869" i="5"/>
  <c r="IY869" i="5"/>
  <c r="IX869" i="5" s="1"/>
  <c r="IO869" i="5"/>
  <c r="IN869" i="5"/>
  <c r="IL869" i="5"/>
  <c r="IM869" i="5" s="1"/>
  <c r="AF1186" i="2" s="1"/>
  <c r="JE868" i="5"/>
  <c r="JB868" i="5"/>
  <c r="IZ868" i="5" s="1"/>
  <c r="IY868" i="5"/>
  <c r="IX868" i="5" s="1"/>
  <c r="IO868" i="5"/>
  <c r="IN868" i="5"/>
  <c r="IL868" i="5"/>
  <c r="IM868" i="5" s="1"/>
  <c r="AF1185" i="2" s="1"/>
  <c r="JE867" i="5"/>
  <c r="JB867" i="5"/>
  <c r="IZ867" i="5" s="1"/>
  <c r="IY867" i="5"/>
  <c r="IX867" i="5" s="1"/>
  <c r="IO867" i="5"/>
  <c r="IN867" i="5"/>
  <c r="IL867" i="5"/>
  <c r="IM867" i="5" s="1"/>
  <c r="AF1184" i="2" s="1"/>
  <c r="JE866" i="5"/>
  <c r="JC866" i="5" s="1"/>
  <c r="JD866" i="5" s="1"/>
  <c r="JB866" i="5"/>
  <c r="IZ866" i="5" s="1"/>
  <c r="JA866" i="5" s="1"/>
  <c r="IY866" i="5"/>
  <c r="IX866" i="5" s="1"/>
  <c r="IO866" i="5"/>
  <c r="IN866" i="5"/>
  <c r="IL866" i="5"/>
  <c r="IM866" i="5" s="1"/>
  <c r="AF1183" i="2" s="1"/>
  <c r="IO865" i="5"/>
  <c r="IN865" i="5"/>
  <c r="IL865" i="5"/>
  <c r="IM865" i="5" s="1"/>
  <c r="AF1182" i="2" s="1"/>
  <c r="IO864" i="5"/>
  <c r="IN864" i="5"/>
  <c r="IL864" i="5"/>
  <c r="IK864" i="5"/>
  <c r="II864" i="5"/>
  <c r="IH864" i="5"/>
  <c r="IF864" i="5"/>
  <c r="IE864" i="5"/>
  <c r="IC864" i="5"/>
  <c r="IB864" i="5"/>
  <c r="HZ864" i="5"/>
  <c r="HY864" i="5"/>
  <c r="HW864" i="5"/>
  <c r="HV864" i="5"/>
  <c r="HT864" i="5"/>
  <c r="HS864" i="5"/>
  <c r="HQ864" i="5"/>
  <c r="HP864" i="5"/>
  <c r="JE863" i="5"/>
  <c r="JB863" i="5"/>
  <c r="IZ863" i="5" s="1"/>
  <c r="JA863" i="5" s="1"/>
  <c r="IY863" i="5"/>
  <c r="IX863" i="5" s="1"/>
  <c r="IO863" i="5"/>
  <c r="IN863" i="5"/>
  <c r="IL863" i="5"/>
  <c r="IM863" i="5" s="1"/>
  <c r="AF1180" i="2" s="1"/>
  <c r="IO862" i="5"/>
  <c r="IN862" i="5"/>
  <c r="IP862" i="5" s="1"/>
  <c r="AG1179" i="2" s="1"/>
  <c r="IL862" i="5"/>
  <c r="IM862" i="5" s="1"/>
  <c r="AF1179" i="2" s="1"/>
  <c r="IO861" i="5"/>
  <c r="IN861" i="5"/>
  <c r="IL861" i="5"/>
  <c r="IK861" i="5"/>
  <c r="II861" i="5"/>
  <c r="IH861" i="5"/>
  <c r="IF861" i="5"/>
  <c r="IE861" i="5"/>
  <c r="IC861" i="5"/>
  <c r="IB861" i="5"/>
  <c r="HZ861" i="5"/>
  <c r="HY861" i="5"/>
  <c r="HW861" i="5"/>
  <c r="HV861" i="5"/>
  <c r="HT861" i="5"/>
  <c r="HS861" i="5"/>
  <c r="HQ861" i="5"/>
  <c r="HP861" i="5"/>
  <c r="IO860" i="5"/>
  <c r="IN860" i="5"/>
  <c r="IL860" i="5"/>
  <c r="IM860" i="5" s="1"/>
  <c r="AF1177" i="2" s="1"/>
  <c r="IO859" i="5"/>
  <c r="AG1620" i="2" s="1"/>
  <c r="IN859" i="5"/>
  <c r="IL859" i="5"/>
  <c r="IK859" i="5"/>
  <c r="II859" i="5"/>
  <c r="IH859" i="5"/>
  <c r="IF859" i="5"/>
  <c r="AD1588" i="2" s="1"/>
  <c r="IE859" i="5"/>
  <c r="IC859" i="5"/>
  <c r="AC1588" i="2" s="1"/>
  <c r="IB859" i="5"/>
  <c r="HZ859" i="5"/>
  <c r="HY859" i="5"/>
  <c r="AA1589" i="2" s="1"/>
  <c r="HW859" i="5"/>
  <c r="AA1588" i="2" s="1"/>
  <c r="HV859" i="5"/>
  <c r="HT859" i="5"/>
  <c r="Z1588" i="2" s="1"/>
  <c r="HS859" i="5"/>
  <c r="Y1589" i="2" s="1"/>
  <c r="HQ859" i="5"/>
  <c r="HP859" i="5"/>
  <c r="X1589" i="2" s="1"/>
  <c r="JE858" i="5"/>
  <c r="IO858" i="5"/>
  <c r="IN858" i="5"/>
  <c r="KP857" i="5"/>
  <c r="KP993" i="5" s="1"/>
  <c r="KO857" i="5"/>
  <c r="KN857" i="5"/>
  <c r="KM857" i="5"/>
  <c r="KM993" i="5" s="1"/>
  <c r="IO857" i="5"/>
  <c r="IN857" i="5"/>
  <c r="FV857" i="5"/>
  <c r="FU857" i="5"/>
  <c r="FU856" i="5" s="1"/>
  <c r="FU992" i="5" s="1"/>
  <c r="FT857" i="5"/>
  <c r="FT993" i="5" s="1"/>
  <c r="FS857" i="5"/>
  <c r="FR857" i="5"/>
  <c r="FR856" i="5" s="1"/>
  <c r="FR992" i="5" s="1"/>
  <c r="FQ857" i="5"/>
  <c r="FQ993" i="5" s="1"/>
  <c r="FP857" i="5"/>
  <c r="FP993" i="5" s="1"/>
  <c r="FO857" i="5"/>
  <c r="FN857" i="5"/>
  <c r="FN856" i="5" s="1"/>
  <c r="FN992" i="5" s="1"/>
  <c r="FM857" i="5"/>
  <c r="FL857" i="5"/>
  <c r="FK857" i="5"/>
  <c r="FJ857" i="5"/>
  <c r="FI857" i="5"/>
  <c r="FH857" i="5"/>
  <c r="FG857" i="5"/>
  <c r="FF857" i="5"/>
  <c r="FE857" i="5"/>
  <c r="FD857" i="5"/>
  <c r="FC857" i="5"/>
  <c r="FB857" i="5"/>
  <c r="FB993" i="5" s="1"/>
  <c r="FA857" i="5"/>
  <c r="EZ857" i="5"/>
  <c r="EZ856" i="5" s="1"/>
  <c r="EZ992" i="5" s="1"/>
  <c r="EY857" i="5"/>
  <c r="EX857" i="5"/>
  <c r="EX993" i="5" s="1"/>
  <c r="EW857" i="5"/>
  <c r="EW993" i="5" s="1"/>
  <c r="EV857" i="5"/>
  <c r="EV856" i="5" s="1"/>
  <c r="EV992" i="5" s="1"/>
  <c r="EU857" i="5"/>
  <c r="EU993" i="5" s="1"/>
  <c r="ET857" i="5"/>
  <c r="ET856" i="5" s="1"/>
  <c r="ET992" i="5" s="1"/>
  <c r="ES857" i="5"/>
  <c r="ER857" i="5"/>
  <c r="EQ857" i="5"/>
  <c r="EP857" i="5"/>
  <c r="EP993" i="5" s="1"/>
  <c r="EO857" i="5"/>
  <c r="EN857" i="5"/>
  <c r="EN856" i="5" s="1"/>
  <c r="EN992" i="5" s="1"/>
  <c r="EM857" i="5"/>
  <c r="EL857" i="5"/>
  <c r="EK857" i="5"/>
  <c r="EJ857" i="5"/>
  <c r="EI857" i="5"/>
  <c r="EI993" i="5" s="1"/>
  <c r="EH857" i="5"/>
  <c r="EH993" i="5" s="1"/>
  <c r="EG857" i="5"/>
  <c r="EG856" i="5" s="1"/>
  <c r="EG992" i="5" s="1"/>
  <c r="EF857" i="5"/>
  <c r="EE857" i="5"/>
  <c r="EE993" i="5" s="1"/>
  <c r="ED857" i="5"/>
  <c r="ED993" i="5" s="1"/>
  <c r="EC857" i="5"/>
  <c r="EB857" i="5"/>
  <c r="EA857" i="5"/>
  <c r="EA993" i="5" s="1"/>
  <c r="DZ857" i="5"/>
  <c r="DZ993" i="5" s="1"/>
  <c r="DY857" i="5"/>
  <c r="DX857" i="5"/>
  <c r="DW857" i="5"/>
  <c r="DV857" i="5"/>
  <c r="DU857" i="5"/>
  <c r="DT857" i="5"/>
  <c r="DS857" i="5"/>
  <c r="DS993" i="5" s="1"/>
  <c r="DR857" i="5"/>
  <c r="DQ857" i="5"/>
  <c r="DP857" i="5"/>
  <c r="DP993" i="5" s="1"/>
  <c r="DO857" i="5"/>
  <c r="DN857" i="5"/>
  <c r="DM857" i="5"/>
  <c r="DM993" i="5" s="1"/>
  <c r="DL857" i="5"/>
  <c r="DL993" i="5" s="1"/>
  <c r="DK857" i="5"/>
  <c r="DK856" i="5" s="1"/>
  <c r="DK992" i="5" s="1"/>
  <c r="DJ857" i="5"/>
  <c r="DJ856" i="5" s="1"/>
  <c r="DJ992" i="5" s="1"/>
  <c r="DI857" i="5"/>
  <c r="DI993" i="5" s="1"/>
  <c r="DH857" i="5"/>
  <c r="DH993" i="5" s="1"/>
  <c r="DG857" i="5"/>
  <c r="DG856" i="5" s="1"/>
  <c r="DG992" i="5" s="1"/>
  <c r="DF857" i="5"/>
  <c r="DF993" i="5" s="1"/>
  <c r="DE857" i="5"/>
  <c r="DD857" i="5"/>
  <c r="DC857" i="5"/>
  <c r="DC856" i="5" s="1"/>
  <c r="DC992" i="5" s="1"/>
  <c r="CP857" i="5"/>
  <c r="CO857" i="5"/>
  <c r="CN857" i="5"/>
  <c r="CM857" i="5"/>
  <c r="CL857" i="5"/>
  <c r="CK857" i="5"/>
  <c r="CJ857" i="5"/>
  <c r="CI857" i="5"/>
  <c r="CH857" i="5"/>
  <c r="CH993" i="5" s="1"/>
  <c r="CG857" i="5"/>
  <c r="CF857" i="5"/>
  <c r="CF993" i="5" s="1"/>
  <c r="CE857" i="5"/>
  <c r="CD857" i="5"/>
  <c r="CD993" i="5" s="1"/>
  <c r="CC857" i="5"/>
  <c r="CC993" i="5" s="1"/>
  <c r="CB857" i="5"/>
  <c r="CA857" i="5"/>
  <c r="CA993" i="5" s="1"/>
  <c r="BZ857" i="5"/>
  <c r="BZ856" i="5" s="1"/>
  <c r="BZ992" i="5" s="1"/>
  <c r="BY857" i="5"/>
  <c r="BX857" i="5"/>
  <c r="BW857" i="5"/>
  <c r="BV857" i="5"/>
  <c r="BV856" i="5" s="1"/>
  <c r="BV992" i="5" s="1"/>
  <c r="BU857" i="5"/>
  <c r="BT857" i="5"/>
  <c r="BS857" i="5"/>
  <c r="BS856" i="5" s="1"/>
  <c r="BS992" i="5" s="1"/>
  <c r="BR857" i="5"/>
  <c r="BR856" i="5" s="1"/>
  <c r="BR992" i="5" s="1"/>
  <c r="BQ857" i="5"/>
  <c r="BP857" i="5"/>
  <c r="BP856" i="5" s="1"/>
  <c r="BP992" i="5" s="1"/>
  <c r="BO857" i="5"/>
  <c r="BO856" i="5" s="1"/>
  <c r="BO992" i="5" s="1"/>
  <c r="BN857" i="5"/>
  <c r="BN993" i="5" s="1"/>
  <c r="BM857" i="5"/>
  <c r="BL857" i="5"/>
  <c r="BK857" i="5"/>
  <c r="BJ857" i="5"/>
  <c r="BJ856" i="5" s="1"/>
  <c r="BJ992" i="5" s="1"/>
  <c r="BI857" i="5"/>
  <c r="BI993" i="5" s="1"/>
  <c r="BH857" i="5"/>
  <c r="BH993" i="5" s="1"/>
  <c r="BG857" i="5"/>
  <c r="BG993" i="5" s="1"/>
  <c r="BF857" i="5"/>
  <c r="BF993" i="5" s="1"/>
  <c r="BE857" i="5"/>
  <c r="BD857" i="5"/>
  <c r="BD993" i="5" s="1"/>
  <c r="BC857" i="5"/>
  <c r="BB857" i="5"/>
  <c r="BA857" i="5"/>
  <c r="AZ857" i="5"/>
  <c r="AZ856" i="5" s="1"/>
  <c r="AZ992" i="5" s="1"/>
  <c r="AY857" i="5"/>
  <c r="AX857" i="5"/>
  <c r="AW857" i="5"/>
  <c r="AV857" i="5"/>
  <c r="AV993" i="5" s="1"/>
  <c r="AU857" i="5"/>
  <c r="AT857" i="5"/>
  <c r="AS857" i="5"/>
  <c r="AS856" i="5" s="1"/>
  <c r="AS992" i="5" s="1"/>
  <c r="AR857" i="5"/>
  <c r="AQ857" i="5"/>
  <c r="AQ993" i="5" s="1"/>
  <c r="AP857" i="5"/>
  <c r="AP993" i="5" s="1"/>
  <c r="AO857" i="5"/>
  <c r="AN857" i="5"/>
  <c r="AN856" i="5" s="1"/>
  <c r="AN992" i="5" s="1"/>
  <c r="AM857" i="5"/>
  <c r="AL857" i="5"/>
  <c r="AL856" i="5" s="1"/>
  <c r="AL992" i="5" s="1"/>
  <c r="AK857" i="5"/>
  <c r="AJ857" i="5"/>
  <c r="AJ993" i="5" s="1"/>
  <c r="AI857" i="5"/>
  <c r="AH857" i="5"/>
  <c r="AH993" i="5" s="1"/>
  <c r="AG857" i="5"/>
  <c r="AF857" i="5"/>
  <c r="AE857" i="5"/>
  <c r="AD857" i="5"/>
  <c r="AC857" i="5"/>
  <c r="AB857" i="5"/>
  <c r="AB993" i="5" s="1"/>
  <c r="AA857" i="5"/>
  <c r="AA993" i="5" s="1"/>
  <c r="Z857" i="5"/>
  <c r="Z856" i="5" s="1"/>
  <c r="Z992" i="5" s="1"/>
  <c r="Y857" i="5"/>
  <c r="Y993" i="5" s="1"/>
  <c r="X857" i="5"/>
  <c r="X993" i="5" s="1"/>
  <c r="W857" i="5"/>
  <c r="W993" i="5" s="1"/>
  <c r="V857" i="5"/>
  <c r="V993" i="5" s="1"/>
  <c r="U857" i="5"/>
  <c r="T857" i="5"/>
  <c r="S857" i="5"/>
  <c r="S993" i="5" s="1"/>
  <c r="R857" i="5"/>
  <c r="R993" i="5" s="1"/>
  <c r="Q857" i="5"/>
  <c r="P857" i="5"/>
  <c r="O857" i="5"/>
  <c r="O993" i="5" s="1"/>
  <c r="N857" i="5"/>
  <c r="N856" i="5" s="1"/>
  <c r="N992" i="5" s="1"/>
  <c r="M857" i="5"/>
  <c r="L857" i="5"/>
  <c r="L993" i="5" s="1"/>
  <c r="K857" i="5"/>
  <c r="J857" i="5"/>
  <c r="J993" i="5" s="1"/>
  <c r="I857" i="5"/>
  <c r="I993" i="5" s="1"/>
  <c r="H857" i="5"/>
  <c r="G857" i="5"/>
  <c r="F857" i="5"/>
  <c r="F993" i="5" s="1"/>
  <c r="E857" i="5"/>
  <c r="IO856" i="5"/>
  <c r="IO992" i="5" s="1"/>
  <c r="IN856" i="5"/>
  <c r="AF1577" i="2" s="1"/>
  <c r="JE855" i="5"/>
  <c r="IO855" i="5"/>
  <c r="IN855" i="5"/>
  <c r="JE854" i="5"/>
  <c r="IO854" i="5"/>
  <c r="IN854" i="5"/>
  <c r="IO853" i="5"/>
  <c r="IN853" i="5"/>
  <c r="IO852" i="5"/>
  <c r="IN852" i="5"/>
  <c r="IO851" i="5"/>
  <c r="IN851" i="5"/>
  <c r="IO850" i="5"/>
  <c r="IN850" i="5"/>
  <c r="IO849" i="5"/>
  <c r="IN849" i="5"/>
  <c r="JE848" i="5"/>
  <c r="IO848" i="5"/>
  <c r="IN848" i="5"/>
  <c r="IO847" i="5"/>
  <c r="IN847" i="5"/>
  <c r="JE846" i="5"/>
  <c r="IO846" i="5"/>
  <c r="IN846" i="5"/>
  <c r="JE841" i="5"/>
  <c r="IO841" i="5"/>
  <c r="IN841" i="5"/>
  <c r="IO840" i="5"/>
  <c r="IN840" i="5"/>
  <c r="IO839" i="5"/>
  <c r="IN839" i="5"/>
  <c r="IO838" i="5"/>
  <c r="IN838" i="5"/>
  <c r="IO837" i="5"/>
  <c r="IN837" i="5"/>
  <c r="JE836" i="5"/>
  <c r="IO836" i="5"/>
  <c r="IN836" i="5"/>
  <c r="IO835" i="5"/>
  <c r="IN835" i="5"/>
  <c r="IO834" i="5"/>
  <c r="IN834" i="5"/>
  <c r="JE833" i="5"/>
  <c r="JB833" i="5"/>
  <c r="IO833" i="5"/>
  <c r="IN833" i="5"/>
  <c r="JE832" i="5"/>
  <c r="JC832" i="5" s="1"/>
  <c r="JD832" i="5" s="1"/>
  <c r="JB832" i="5"/>
  <c r="IZ832" i="5" s="1"/>
  <c r="JA832" i="5" s="1"/>
  <c r="IY832" i="5"/>
  <c r="IX832" i="5" s="1"/>
  <c r="IO832" i="5"/>
  <c r="IN832" i="5"/>
  <c r="FV832" i="5"/>
  <c r="FU832" i="5"/>
  <c r="FT832" i="5"/>
  <c r="FS832" i="5"/>
  <c r="FR832" i="5"/>
  <c r="FQ832" i="5"/>
  <c r="FP832" i="5"/>
  <c r="FO832" i="5"/>
  <c r="FN832" i="5"/>
  <c r="FM832" i="5"/>
  <c r="FL832" i="5"/>
  <c r="FK832" i="5"/>
  <c r="FJ832" i="5"/>
  <c r="FI832" i="5"/>
  <c r="FH832" i="5"/>
  <c r="FG832" i="5"/>
  <c r="FF832" i="5"/>
  <c r="FE832" i="5"/>
  <c r="FD832" i="5"/>
  <c r="FC832" i="5"/>
  <c r="FB832" i="5"/>
  <c r="FA832" i="5"/>
  <c r="EZ832" i="5"/>
  <c r="EY832" i="5"/>
  <c r="EX832" i="5"/>
  <c r="EW832" i="5"/>
  <c r="EV832" i="5"/>
  <c r="EU832" i="5"/>
  <c r="ET832" i="5"/>
  <c r="ES832" i="5"/>
  <c r="ER832" i="5"/>
  <c r="EQ832" i="5"/>
  <c r="EP832" i="5"/>
  <c r="EO832" i="5"/>
  <c r="EN832" i="5"/>
  <c r="EM832" i="5"/>
  <c r="EL832" i="5"/>
  <c r="EK832" i="5"/>
  <c r="EJ832" i="5"/>
  <c r="EI832" i="5"/>
  <c r="EH832" i="5"/>
  <c r="EG832" i="5"/>
  <c r="EF832" i="5"/>
  <c r="EE832" i="5"/>
  <c r="ED832" i="5"/>
  <c r="EC832" i="5"/>
  <c r="EB832" i="5"/>
  <c r="EA832" i="5"/>
  <c r="DZ832" i="5"/>
  <c r="DY832" i="5"/>
  <c r="DX832" i="5"/>
  <c r="DW832" i="5"/>
  <c r="DV832" i="5"/>
  <c r="DU832" i="5"/>
  <c r="DT832" i="5"/>
  <c r="DS832" i="5"/>
  <c r="DR832" i="5"/>
  <c r="DQ832" i="5"/>
  <c r="DP832" i="5"/>
  <c r="DO832" i="5"/>
  <c r="DN832" i="5"/>
  <c r="DM832" i="5"/>
  <c r="DL832" i="5"/>
  <c r="DK832" i="5"/>
  <c r="DJ832" i="5"/>
  <c r="DI832" i="5"/>
  <c r="DH832" i="5"/>
  <c r="DG832" i="5"/>
  <c r="DF832" i="5"/>
  <c r="DE832" i="5"/>
  <c r="DD832" i="5"/>
  <c r="DC832" i="5"/>
  <c r="DB832" i="5"/>
  <c r="DA832" i="5"/>
  <c r="CZ832" i="5"/>
  <c r="CY832" i="5"/>
  <c r="CX832" i="5"/>
  <c r="CW832" i="5"/>
  <c r="CV832" i="5"/>
  <c r="CU832" i="5"/>
  <c r="CT832" i="5"/>
  <c r="CS832" i="5"/>
  <c r="CR832" i="5"/>
  <c r="CQ832" i="5"/>
  <c r="CP832" i="5"/>
  <c r="CO832" i="5"/>
  <c r="CN832" i="5"/>
  <c r="CM832" i="5"/>
  <c r="CL832" i="5"/>
  <c r="CK832" i="5"/>
  <c r="CJ832" i="5"/>
  <c r="CI832" i="5"/>
  <c r="CH832" i="5"/>
  <c r="CG832" i="5"/>
  <c r="CF832" i="5"/>
  <c r="CE832" i="5"/>
  <c r="E832" i="5"/>
  <c r="IO831" i="5"/>
  <c r="IN831" i="5"/>
  <c r="FV831" i="5"/>
  <c r="FU831" i="5"/>
  <c r="FT831" i="5"/>
  <c r="FS831" i="5"/>
  <c r="FR831" i="5"/>
  <c r="FQ831" i="5"/>
  <c r="FP831" i="5"/>
  <c r="FO831" i="5"/>
  <c r="FN831" i="5"/>
  <c r="FM831" i="5"/>
  <c r="FL831" i="5"/>
  <c r="FK831" i="5"/>
  <c r="FJ831" i="5"/>
  <c r="FI831" i="5"/>
  <c r="FH831" i="5"/>
  <c r="FG831" i="5"/>
  <c r="FF831" i="5"/>
  <c r="FE831" i="5"/>
  <c r="FD831" i="5"/>
  <c r="FC831" i="5"/>
  <c r="FB831" i="5"/>
  <c r="FA831" i="5"/>
  <c r="EZ831" i="5"/>
  <c r="EY831" i="5"/>
  <c r="EX831" i="5"/>
  <c r="EW831" i="5"/>
  <c r="EV831" i="5"/>
  <c r="EU831" i="5"/>
  <c r="ET831" i="5"/>
  <c r="ES831" i="5"/>
  <c r="ER831" i="5"/>
  <c r="EQ831" i="5"/>
  <c r="EP831" i="5"/>
  <c r="EO831" i="5"/>
  <c r="EN831" i="5"/>
  <c r="EM831" i="5"/>
  <c r="EL831" i="5"/>
  <c r="EK831" i="5"/>
  <c r="EJ831" i="5"/>
  <c r="EI831" i="5"/>
  <c r="EH831" i="5"/>
  <c r="EG831" i="5"/>
  <c r="EF831" i="5"/>
  <c r="EE831" i="5"/>
  <c r="ED831" i="5"/>
  <c r="EC831" i="5"/>
  <c r="EB831" i="5"/>
  <c r="EA831" i="5"/>
  <c r="DZ831" i="5"/>
  <c r="DY831" i="5"/>
  <c r="DX831" i="5"/>
  <c r="DW831" i="5"/>
  <c r="DV831" i="5"/>
  <c r="DU831" i="5"/>
  <c r="DT831" i="5"/>
  <c r="DS831" i="5"/>
  <c r="DR831" i="5"/>
  <c r="DQ831" i="5"/>
  <c r="DP831" i="5"/>
  <c r="DO831" i="5"/>
  <c r="DN831" i="5"/>
  <c r="DM831" i="5"/>
  <c r="DL831" i="5"/>
  <c r="DK831" i="5"/>
  <c r="DJ831" i="5"/>
  <c r="DI831" i="5"/>
  <c r="DH831" i="5"/>
  <c r="DG831" i="5"/>
  <c r="DF831" i="5"/>
  <c r="DE831" i="5"/>
  <c r="DD831" i="5"/>
  <c r="DC831" i="5"/>
  <c r="DB831" i="5"/>
  <c r="DA831" i="5"/>
  <c r="CZ831" i="5"/>
  <c r="CY831" i="5"/>
  <c r="CX831" i="5"/>
  <c r="CW831" i="5"/>
  <c r="CV831" i="5"/>
  <c r="CU831" i="5"/>
  <c r="CT831" i="5"/>
  <c r="CS831" i="5"/>
  <c r="CR831" i="5"/>
  <c r="CQ831" i="5"/>
  <c r="CP831" i="5"/>
  <c r="CO831" i="5"/>
  <c r="CN831" i="5"/>
  <c r="CM831" i="5"/>
  <c r="CL831" i="5"/>
  <c r="CK831" i="5"/>
  <c r="CJ831" i="5"/>
  <c r="CI831" i="5"/>
  <c r="CH831" i="5"/>
  <c r="CG831" i="5"/>
  <c r="CF831" i="5"/>
  <c r="CE831" i="5"/>
  <c r="JE830" i="5"/>
  <c r="JC830" i="5" s="1"/>
  <c r="JB830" i="5"/>
  <c r="IZ830" i="5" s="1"/>
  <c r="JA830" i="5" s="1"/>
  <c r="IY830" i="5"/>
  <c r="IX830" i="5" s="1"/>
  <c r="IO830" i="5"/>
  <c r="IN830" i="5"/>
  <c r="FV830" i="5"/>
  <c r="FU830" i="5"/>
  <c r="FT830" i="5"/>
  <c r="FS830" i="5"/>
  <c r="FR830" i="5"/>
  <c r="FQ830" i="5"/>
  <c r="FP830" i="5"/>
  <c r="FO830" i="5"/>
  <c r="FN830" i="5"/>
  <c r="FM830" i="5"/>
  <c r="FL830" i="5"/>
  <c r="FK830" i="5"/>
  <c r="FJ830" i="5"/>
  <c r="FI830" i="5"/>
  <c r="FH830" i="5"/>
  <c r="FG830" i="5"/>
  <c r="FF830" i="5"/>
  <c r="FE830" i="5"/>
  <c r="FD830" i="5"/>
  <c r="FC830" i="5"/>
  <c r="FB830" i="5"/>
  <c r="FA830" i="5"/>
  <c r="EZ830" i="5"/>
  <c r="EY830" i="5"/>
  <c r="EX830" i="5"/>
  <c r="EW830" i="5"/>
  <c r="EV830" i="5"/>
  <c r="EU830" i="5"/>
  <c r="ET830" i="5"/>
  <c r="ES830" i="5"/>
  <c r="ER830" i="5"/>
  <c r="EQ830" i="5"/>
  <c r="EP830" i="5"/>
  <c r="EO830" i="5"/>
  <c r="EN830" i="5"/>
  <c r="EM830" i="5"/>
  <c r="EL830" i="5"/>
  <c r="EK830" i="5"/>
  <c r="EJ830" i="5"/>
  <c r="EI830" i="5"/>
  <c r="EH830" i="5"/>
  <c r="EG830" i="5"/>
  <c r="EF830" i="5"/>
  <c r="EE830" i="5"/>
  <c r="ED830" i="5"/>
  <c r="EC830" i="5"/>
  <c r="EB830" i="5"/>
  <c r="EA830" i="5"/>
  <c r="DZ830" i="5"/>
  <c r="DY830" i="5"/>
  <c r="DX830" i="5"/>
  <c r="DW830" i="5"/>
  <c r="DV830" i="5"/>
  <c r="DU830" i="5"/>
  <c r="DT830" i="5"/>
  <c r="DS830" i="5"/>
  <c r="DR830" i="5"/>
  <c r="DQ830" i="5"/>
  <c r="DP830" i="5"/>
  <c r="DO830" i="5"/>
  <c r="DN830" i="5"/>
  <c r="DM830" i="5"/>
  <c r="DL830" i="5"/>
  <c r="DK830" i="5"/>
  <c r="DJ830" i="5"/>
  <c r="DI830" i="5"/>
  <c r="DH830" i="5"/>
  <c r="DG830" i="5"/>
  <c r="DF830" i="5"/>
  <c r="DE830" i="5"/>
  <c r="DD830" i="5"/>
  <c r="DC830" i="5"/>
  <c r="DB830" i="5"/>
  <c r="DA830" i="5"/>
  <c r="CZ830" i="5"/>
  <c r="CY830" i="5"/>
  <c r="CX830" i="5"/>
  <c r="CW830" i="5"/>
  <c r="CV830" i="5"/>
  <c r="CU830" i="5"/>
  <c r="CT830" i="5"/>
  <c r="CS830" i="5"/>
  <c r="CR830" i="5"/>
  <c r="CQ830" i="5"/>
  <c r="CP830" i="5"/>
  <c r="CO830" i="5"/>
  <c r="CN830" i="5"/>
  <c r="CM830" i="5"/>
  <c r="CL830" i="5"/>
  <c r="CK830" i="5"/>
  <c r="CJ830" i="5"/>
  <c r="CI830" i="5"/>
  <c r="CH830" i="5"/>
  <c r="CG830" i="5"/>
  <c r="CF830" i="5"/>
  <c r="CE830" i="5"/>
  <c r="E830" i="5"/>
  <c r="IO829" i="5"/>
  <c r="IN829" i="5"/>
  <c r="FV829" i="5"/>
  <c r="FU829" i="5"/>
  <c r="FT829" i="5"/>
  <c r="FS829" i="5"/>
  <c r="FR829" i="5"/>
  <c r="FQ829" i="5"/>
  <c r="FP829" i="5"/>
  <c r="FO829" i="5"/>
  <c r="FN829" i="5"/>
  <c r="FM829" i="5"/>
  <c r="FL829" i="5"/>
  <c r="FK829" i="5"/>
  <c r="FJ829" i="5"/>
  <c r="FI829" i="5"/>
  <c r="FH829" i="5"/>
  <c r="FG829" i="5"/>
  <c r="FF829" i="5"/>
  <c r="FE829" i="5"/>
  <c r="FD829" i="5"/>
  <c r="FC829" i="5"/>
  <c r="FB829" i="5"/>
  <c r="FA829" i="5"/>
  <c r="EZ829" i="5"/>
  <c r="EY829" i="5"/>
  <c r="EX829" i="5"/>
  <c r="EW829" i="5"/>
  <c r="EV829" i="5"/>
  <c r="EU829" i="5"/>
  <c r="ET829" i="5"/>
  <c r="ES829" i="5"/>
  <c r="ER829" i="5"/>
  <c r="EQ829" i="5"/>
  <c r="EP829" i="5"/>
  <c r="EO829" i="5"/>
  <c r="EN829" i="5"/>
  <c r="EM829" i="5"/>
  <c r="EL829" i="5"/>
  <c r="EK829" i="5"/>
  <c r="EJ829" i="5"/>
  <c r="EI829" i="5"/>
  <c r="EH829" i="5"/>
  <c r="EG829" i="5"/>
  <c r="EF829" i="5"/>
  <c r="EE829" i="5"/>
  <c r="ED829" i="5"/>
  <c r="EC829" i="5"/>
  <c r="EB829" i="5"/>
  <c r="EA829" i="5"/>
  <c r="DZ829" i="5"/>
  <c r="DY829" i="5"/>
  <c r="DX829" i="5"/>
  <c r="DW829" i="5"/>
  <c r="DV829" i="5"/>
  <c r="DU829" i="5"/>
  <c r="DT829" i="5"/>
  <c r="DS829" i="5"/>
  <c r="DR829" i="5"/>
  <c r="DQ829" i="5"/>
  <c r="DP829" i="5"/>
  <c r="DO829" i="5"/>
  <c r="DN829" i="5"/>
  <c r="DM829" i="5"/>
  <c r="DL829" i="5"/>
  <c r="DK829" i="5"/>
  <c r="DJ829" i="5"/>
  <c r="DI829" i="5"/>
  <c r="DH829" i="5"/>
  <c r="DG829" i="5"/>
  <c r="DF829" i="5"/>
  <c r="DE829" i="5"/>
  <c r="DD829" i="5"/>
  <c r="DC829" i="5"/>
  <c r="DB829" i="5"/>
  <c r="DA829" i="5"/>
  <c r="CZ829" i="5"/>
  <c r="CY829" i="5"/>
  <c r="CX829" i="5"/>
  <c r="CW829" i="5"/>
  <c r="CV829" i="5"/>
  <c r="CU829" i="5"/>
  <c r="CT829" i="5"/>
  <c r="CS829" i="5"/>
  <c r="CR829" i="5"/>
  <c r="CQ829" i="5"/>
  <c r="CP829" i="5"/>
  <c r="CO829" i="5"/>
  <c r="CN829" i="5"/>
  <c r="CM829" i="5"/>
  <c r="CL829" i="5"/>
  <c r="CK829" i="5"/>
  <c r="CJ829" i="5"/>
  <c r="CI829" i="5"/>
  <c r="CH829" i="5"/>
  <c r="CG829" i="5"/>
  <c r="CF829" i="5"/>
  <c r="CE829" i="5"/>
  <c r="E829" i="5"/>
  <c r="IO827" i="5"/>
  <c r="IN827" i="5"/>
  <c r="IO826" i="5"/>
  <c r="IN826" i="5"/>
  <c r="JE825" i="5"/>
  <c r="JB825" i="5"/>
  <c r="IY825" i="5"/>
  <c r="IX825" i="5" s="1"/>
  <c r="IO825" i="5"/>
  <c r="IN825" i="5"/>
  <c r="IL825" i="5"/>
  <c r="IM825" i="5" s="1"/>
  <c r="AF1141" i="2" s="1"/>
  <c r="IJ825" i="5"/>
  <c r="JE824" i="5"/>
  <c r="JC824" i="5" s="1"/>
  <c r="JB824" i="5"/>
  <c r="IZ824" i="5" s="1"/>
  <c r="IY824" i="5"/>
  <c r="IX824" i="5" s="1"/>
  <c r="IO824" i="5"/>
  <c r="IN824" i="5"/>
  <c r="IL824" i="5"/>
  <c r="IM824" i="5" s="1"/>
  <c r="AF1140" i="2" s="1"/>
  <c r="AF1335" i="2" s="1"/>
  <c r="IJ824" i="5"/>
  <c r="KP822" i="5"/>
  <c r="KP988" i="5" s="1"/>
  <c r="KO822" i="5"/>
  <c r="KN822" i="5"/>
  <c r="KM822" i="5"/>
  <c r="KM817" i="5" s="1"/>
  <c r="KM986" i="5" s="1"/>
  <c r="IO822" i="5"/>
  <c r="IO988" i="5" s="1"/>
  <c r="IN822" i="5"/>
  <c r="AN822" i="5"/>
  <c r="AM822" i="5"/>
  <c r="AM817" i="5" s="1"/>
  <c r="AM986" i="5" s="1"/>
  <c r="AL822" i="5"/>
  <c r="AL817" i="5" s="1"/>
  <c r="AL986" i="5" s="1"/>
  <c r="AK822" i="5"/>
  <c r="AK988" i="5" s="1"/>
  <c r="AJ822" i="5"/>
  <c r="AI822" i="5"/>
  <c r="AH822" i="5"/>
  <c r="AH988" i="5" s="1"/>
  <c r="AG822" i="5"/>
  <c r="AG988" i="5" s="1"/>
  <c r="AF822" i="5"/>
  <c r="AF988" i="5" s="1"/>
  <c r="AE822" i="5"/>
  <c r="AE988" i="5" s="1"/>
  <c r="AD822" i="5"/>
  <c r="AC822" i="5"/>
  <c r="AB822" i="5"/>
  <c r="AA822" i="5"/>
  <c r="Z822" i="5"/>
  <c r="Y822" i="5"/>
  <c r="X822" i="5"/>
  <c r="W822" i="5"/>
  <c r="V822" i="5"/>
  <c r="U822" i="5"/>
  <c r="T822" i="5"/>
  <c r="T988" i="5" s="1"/>
  <c r="S822" i="5"/>
  <c r="R822" i="5"/>
  <c r="R988" i="5" s="1"/>
  <c r="Q822" i="5"/>
  <c r="Q988" i="5" s="1"/>
  <c r="P822" i="5"/>
  <c r="P817" i="5" s="1"/>
  <c r="P986" i="5" s="1"/>
  <c r="O822" i="5"/>
  <c r="N822" i="5"/>
  <c r="N988" i="5" s="1"/>
  <c r="M822" i="5"/>
  <c r="M988" i="5" s="1"/>
  <c r="L822" i="5"/>
  <c r="K822" i="5"/>
  <c r="K817" i="5" s="1"/>
  <c r="K986" i="5" s="1"/>
  <c r="J822" i="5"/>
  <c r="J817" i="5" s="1"/>
  <c r="J986" i="5" s="1"/>
  <c r="I822" i="5"/>
  <c r="I988" i="5" s="1"/>
  <c r="H822" i="5"/>
  <c r="G822" i="5"/>
  <c r="F822" i="5"/>
  <c r="IO821" i="5"/>
  <c r="IN821" i="5"/>
  <c r="IL821" i="5"/>
  <c r="IM821" i="5" s="1"/>
  <c r="AF1137" i="2" s="1"/>
  <c r="JE820" i="5"/>
  <c r="IO820" i="5"/>
  <c r="IN820" i="5"/>
  <c r="IL820" i="5"/>
  <c r="IM820" i="5" s="1"/>
  <c r="AF1136" i="2" s="1"/>
  <c r="AF1333" i="2" s="1"/>
  <c r="JE819" i="5"/>
  <c r="JB819" i="5"/>
  <c r="IO819" i="5"/>
  <c r="IN819" i="5"/>
  <c r="IL819" i="5"/>
  <c r="IM819" i="5" s="1"/>
  <c r="AF1135" i="2" s="1"/>
  <c r="HY818" i="5"/>
  <c r="HW818" i="5"/>
  <c r="HV818" i="5"/>
  <c r="CD817" i="5"/>
  <c r="CD986" i="5" s="1"/>
  <c r="CC817" i="5"/>
  <c r="CC986" i="5" s="1"/>
  <c r="CB817" i="5"/>
  <c r="CB986" i="5" s="1"/>
  <c r="CA817" i="5"/>
  <c r="CA986" i="5" s="1"/>
  <c r="BZ817" i="5"/>
  <c r="BZ986" i="5" s="1"/>
  <c r="BY817" i="5"/>
  <c r="BY986" i="5" s="1"/>
  <c r="BX817" i="5"/>
  <c r="BX986" i="5" s="1"/>
  <c r="BW817" i="5"/>
  <c r="BW986" i="5" s="1"/>
  <c r="BV817" i="5"/>
  <c r="BV986" i="5" s="1"/>
  <c r="BU817" i="5"/>
  <c r="BU986" i="5" s="1"/>
  <c r="BT817" i="5"/>
  <c r="BT986" i="5" s="1"/>
  <c r="BS817" i="5"/>
  <c r="BS986" i="5" s="1"/>
  <c r="BR817" i="5"/>
  <c r="BR986" i="5" s="1"/>
  <c r="BQ817" i="5"/>
  <c r="BP817" i="5"/>
  <c r="BP986" i="5" s="1"/>
  <c r="BO817" i="5"/>
  <c r="BO986" i="5" s="1"/>
  <c r="BN817" i="5"/>
  <c r="BN986" i="5" s="1"/>
  <c r="BM817" i="5"/>
  <c r="BM986" i="5" s="1"/>
  <c r="BL817" i="5"/>
  <c r="BL986" i="5" s="1"/>
  <c r="BK817" i="5"/>
  <c r="BK986" i="5" s="1"/>
  <c r="BJ817" i="5"/>
  <c r="BJ986" i="5" s="1"/>
  <c r="BI817" i="5"/>
  <c r="BI986" i="5" s="1"/>
  <c r="BH817" i="5"/>
  <c r="BH986" i="5" s="1"/>
  <c r="BG817" i="5"/>
  <c r="BG986" i="5" s="1"/>
  <c r="BF817" i="5"/>
  <c r="BF986" i="5" s="1"/>
  <c r="BE817" i="5"/>
  <c r="BE986" i="5" s="1"/>
  <c r="BD817" i="5"/>
  <c r="BD986" i="5" s="1"/>
  <c r="BC817" i="5"/>
  <c r="BC986" i="5" s="1"/>
  <c r="BB817" i="5"/>
  <c r="BB986" i="5" s="1"/>
  <c r="BA817" i="5"/>
  <c r="BA986" i="5" s="1"/>
  <c r="AZ817" i="5"/>
  <c r="AZ986" i="5" s="1"/>
  <c r="AY817" i="5"/>
  <c r="AY986" i="5" s="1"/>
  <c r="AX817" i="5"/>
  <c r="AX986" i="5" s="1"/>
  <c r="AW817" i="5"/>
  <c r="AW986" i="5" s="1"/>
  <c r="AV817" i="5"/>
  <c r="AV986" i="5" s="1"/>
  <c r="AU817" i="5"/>
  <c r="AU986" i="5" s="1"/>
  <c r="AT817" i="5"/>
  <c r="AT986" i="5" s="1"/>
  <c r="AS817" i="5"/>
  <c r="AS986" i="5" s="1"/>
  <c r="AR817" i="5"/>
  <c r="AR986" i="5" s="1"/>
  <c r="AQ817" i="5"/>
  <c r="AQ986" i="5" s="1"/>
  <c r="AP817" i="5"/>
  <c r="AP986" i="5" s="1"/>
  <c r="AO817" i="5"/>
  <c r="AO986" i="5" s="1"/>
  <c r="IO816" i="5"/>
  <c r="IO985" i="5" s="1"/>
  <c r="IN816" i="5"/>
  <c r="IO815" i="5"/>
  <c r="IN815" i="5"/>
  <c r="JE814" i="5"/>
  <c r="IO814" i="5"/>
  <c r="IN814" i="5"/>
  <c r="IO813" i="5"/>
  <c r="IN813" i="5"/>
  <c r="FV813" i="5"/>
  <c r="FV1148" i="5" s="1"/>
  <c r="FU813" i="5"/>
  <c r="FU1148" i="5" s="1"/>
  <c r="FT813" i="5"/>
  <c r="FT1148" i="5" s="1"/>
  <c r="FS813" i="5"/>
  <c r="FS1148" i="5" s="1"/>
  <c r="FR813" i="5"/>
  <c r="FR1148" i="5" s="1"/>
  <c r="FQ813" i="5"/>
  <c r="FQ1148" i="5" s="1"/>
  <c r="FP813" i="5"/>
  <c r="FO813" i="5"/>
  <c r="FO1148" i="5" s="1"/>
  <c r="FN813" i="5"/>
  <c r="FN1148" i="5" s="1"/>
  <c r="FM813" i="5"/>
  <c r="FM1148" i="5" s="1"/>
  <c r="FL813" i="5"/>
  <c r="FL1148" i="5" s="1"/>
  <c r="FK813" i="5"/>
  <c r="FK1148" i="5" s="1"/>
  <c r="FJ813" i="5"/>
  <c r="FI813" i="5"/>
  <c r="FI1148" i="5" s="1"/>
  <c r="FH813" i="5"/>
  <c r="FH1148" i="5" s="1"/>
  <c r="FG813" i="5"/>
  <c r="FG1148" i="5" s="1"/>
  <c r="FF813" i="5"/>
  <c r="FF1148" i="5" s="1"/>
  <c r="FE813" i="5"/>
  <c r="FE1148" i="5" s="1"/>
  <c r="FD813" i="5"/>
  <c r="FD1148" i="5" s="1"/>
  <c r="FC813" i="5"/>
  <c r="FC1148" i="5" s="1"/>
  <c r="FB813" i="5"/>
  <c r="FB1148" i="5" s="1"/>
  <c r="FA813" i="5"/>
  <c r="EZ813" i="5"/>
  <c r="EZ1148" i="5" s="1"/>
  <c r="EY813" i="5"/>
  <c r="EY1148" i="5" s="1"/>
  <c r="EX813" i="5"/>
  <c r="EW813" i="5"/>
  <c r="EV813" i="5"/>
  <c r="EU813" i="5"/>
  <c r="ET813" i="5"/>
  <c r="ES813" i="5"/>
  <c r="ER813" i="5"/>
  <c r="EQ813" i="5"/>
  <c r="EP813" i="5"/>
  <c r="EO813" i="5"/>
  <c r="EN813" i="5"/>
  <c r="EM813" i="5"/>
  <c r="EL813" i="5"/>
  <c r="EK813" i="5"/>
  <c r="EJ813" i="5"/>
  <c r="EI813" i="5"/>
  <c r="EH813" i="5"/>
  <c r="EG813" i="5"/>
  <c r="EF813" i="5"/>
  <c r="EE813" i="5"/>
  <c r="ED813" i="5"/>
  <c r="EC813" i="5"/>
  <c r="EB813" i="5"/>
  <c r="EA813" i="5"/>
  <c r="DZ813" i="5"/>
  <c r="DY813" i="5"/>
  <c r="DX813" i="5"/>
  <c r="DW813" i="5"/>
  <c r="DV813" i="5"/>
  <c r="DU813" i="5"/>
  <c r="DT813" i="5"/>
  <c r="DS813" i="5"/>
  <c r="DR813" i="5"/>
  <c r="DQ813" i="5"/>
  <c r="DP813" i="5"/>
  <c r="DO813" i="5"/>
  <c r="DN813" i="5"/>
  <c r="DM813" i="5"/>
  <c r="DL813" i="5"/>
  <c r="DK813" i="5"/>
  <c r="DJ813" i="5"/>
  <c r="DI813" i="5"/>
  <c r="DH813" i="5"/>
  <c r="DG813" i="5"/>
  <c r="DF813" i="5"/>
  <c r="DE813" i="5"/>
  <c r="DD813" i="5"/>
  <c r="DC813" i="5"/>
  <c r="DB813" i="5"/>
  <c r="DA813" i="5"/>
  <c r="CZ813" i="5"/>
  <c r="CY813" i="5"/>
  <c r="CX813" i="5"/>
  <c r="CW813" i="5"/>
  <c r="CV813" i="5"/>
  <c r="CU813" i="5"/>
  <c r="CT813" i="5"/>
  <c r="CS813" i="5"/>
  <c r="CR813" i="5"/>
  <c r="CQ813" i="5"/>
  <c r="CP813" i="5"/>
  <c r="CO813" i="5"/>
  <c r="CN813" i="5"/>
  <c r="CM813" i="5"/>
  <c r="CL813" i="5"/>
  <c r="CK813" i="5"/>
  <c r="CJ813" i="5"/>
  <c r="CI813" i="5"/>
  <c r="CH813" i="5"/>
  <c r="CG813" i="5"/>
  <c r="CF813" i="5"/>
  <c r="CE813" i="5"/>
  <c r="E813" i="5"/>
  <c r="IO812" i="5"/>
  <c r="IN812" i="5"/>
  <c r="IL812" i="5"/>
  <c r="IM812" i="5" s="1"/>
  <c r="II812" i="5"/>
  <c r="IO811" i="5"/>
  <c r="IN811" i="5"/>
  <c r="FV811" i="5"/>
  <c r="FU811" i="5"/>
  <c r="FT811" i="5"/>
  <c r="FS811" i="5"/>
  <c r="FR811" i="5"/>
  <c r="FQ811" i="5"/>
  <c r="FP811" i="5"/>
  <c r="FO811" i="5"/>
  <c r="FN811" i="5"/>
  <c r="FM811" i="5"/>
  <c r="FL811" i="5"/>
  <c r="FK811" i="5"/>
  <c r="FJ811" i="5"/>
  <c r="FI811" i="5"/>
  <c r="FH811" i="5"/>
  <c r="FG811" i="5"/>
  <c r="FF811" i="5"/>
  <c r="FE811" i="5"/>
  <c r="FD811" i="5"/>
  <c r="FC811" i="5"/>
  <c r="FB811" i="5"/>
  <c r="FA811" i="5"/>
  <c r="EZ811" i="5"/>
  <c r="EY811" i="5"/>
  <c r="EX811" i="5"/>
  <c r="EW811" i="5"/>
  <c r="EV811" i="5"/>
  <c r="EU811" i="5"/>
  <c r="ET811" i="5"/>
  <c r="ES811" i="5"/>
  <c r="ER811" i="5"/>
  <c r="EQ811" i="5"/>
  <c r="EP811" i="5"/>
  <c r="EO811" i="5"/>
  <c r="EN811" i="5"/>
  <c r="EM811" i="5"/>
  <c r="EL811" i="5"/>
  <c r="EK811" i="5"/>
  <c r="EJ811" i="5"/>
  <c r="EI811" i="5"/>
  <c r="EH811" i="5"/>
  <c r="EG811" i="5"/>
  <c r="EF811" i="5"/>
  <c r="EE811" i="5"/>
  <c r="ED811" i="5"/>
  <c r="EC811" i="5"/>
  <c r="EB811" i="5"/>
  <c r="EA811" i="5"/>
  <c r="DZ811" i="5"/>
  <c r="DY811" i="5"/>
  <c r="DX811" i="5"/>
  <c r="DW811" i="5"/>
  <c r="DV811" i="5"/>
  <c r="DU811" i="5"/>
  <c r="DT811" i="5"/>
  <c r="DS811" i="5"/>
  <c r="DR811" i="5"/>
  <c r="DQ811" i="5"/>
  <c r="DP811" i="5"/>
  <c r="DO811" i="5"/>
  <c r="DN811" i="5"/>
  <c r="DM811" i="5"/>
  <c r="DL811" i="5"/>
  <c r="DK811" i="5"/>
  <c r="DJ811" i="5"/>
  <c r="DI811" i="5"/>
  <c r="DH811" i="5"/>
  <c r="DG811" i="5"/>
  <c r="DF811" i="5"/>
  <c r="DE811" i="5"/>
  <c r="DD811" i="5"/>
  <c r="DC811" i="5"/>
  <c r="DB811" i="5"/>
  <c r="DA811" i="5"/>
  <c r="CZ811" i="5"/>
  <c r="CY811" i="5"/>
  <c r="CX811" i="5"/>
  <c r="CW811" i="5"/>
  <c r="CV811" i="5"/>
  <c r="CU811" i="5"/>
  <c r="CT811" i="5"/>
  <c r="CS811" i="5"/>
  <c r="CR811" i="5"/>
  <c r="CQ811" i="5"/>
  <c r="CP811" i="5"/>
  <c r="CO811" i="5"/>
  <c r="CN811" i="5"/>
  <c r="CM811" i="5"/>
  <c r="CL811" i="5"/>
  <c r="CK811" i="5"/>
  <c r="CJ811" i="5"/>
  <c r="CI811" i="5"/>
  <c r="CH811" i="5"/>
  <c r="CG811" i="5"/>
  <c r="CF811" i="5"/>
  <c r="CE811" i="5"/>
  <c r="E811" i="5"/>
  <c r="JE808" i="5"/>
  <c r="JC808" i="5" s="1"/>
  <c r="JD808" i="5" s="1"/>
  <c r="JB808" i="5"/>
  <c r="IZ808" i="5" s="1"/>
  <c r="JA808" i="5" s="1"/>
  <c r="IY808" i="5"/>
  <c r="IX808" i="5" s="1"/>
  <c r="IO808" i="5"/>
  <c r="IN808" i="5"/>
  <c r="IL808" i="5"/>
  <c r="IK808" i="5"/>
  <c r="IO807" i="5"/>
  <c r="IN807" i="5"/>
  <c r="D807" i="5"/>
  <c r="IO806" i="5"/>
  <c r="IN806" i="5"/>
  <c r="D806" i="5"/>
  <c r="JE805" i="5"/>
  <c r="JC805" i="5" s="1"/>
  <c r="JB805" i="5"/>
  <c r="IY805" i="5"/>
  <c r="IX805" i="5" s="1"/>
  <c r="IO805" i="5"/>
  <c r="IN805" i="5"/>
  <c r="IL805" i="5"/>
  <c r="IM805" i="5" s="1"/>
  <c r="AF1121" i="2" s="1"/>
  <c r="IO804" i="5"/>
  <c r="IN804" i="5"/>
  <c r="IL804" i="5"/>
  <c r="IM804" i="5" s="1"/>
  <c r="AF1120" i="2" s="1"/>
  <c r="IO803" i="5"/>
  <c r="IN803" i="5"/>
  <c r="D803" i="5"/>
  <c r="IO802" i="5"/>
  <c r="IN802" i="5"/>
  <c r="IL802" i="5"/>
  <c r="IM802" i="5" s="1"/>
  <c r="AF1118" i="2" s="1"/>
  <c r="IO801" i="5"/>
  <c r="IN801" i="5"/>
  <c r="IO947" i="5" s="1"/>
  <c r="IL801" i="5"/>
  <c r="IM801" i="5" s="1"/>
  <c r="AF1117" i="2" s="1"/>
  <c r="IO800" i="5"/>
  <c r="IN800" i="5"/>
  <c r="IM800" i="5"/>
  <c r="AF1116" i="2" s="1"/>
  <c r="IO799" i="5"/>
  <c r="IN799" i="5"/>
  <c r="IL799" i="5"/>
  <c r="IM799" i="5" s="1"/>
  <c r="AF1115" i="2" s="1"/>
  <c r="JE798" i="5"/>
  <c r="JB798" i="5"/>
  <c r="IZ798" i="5" s="1"/>
  <c r="IY798" i="5"/>
  <c r="IX798" i="5" s="1"/>
  <c r="IO798" i="5"/>
  <c r="IN798" i="5"/>
  <c r="IL798" i="5"/>
  <c r="IM798" i="5" s="1"/>
  <c r="AF1114" i="2" s="1"/>
  <c r="JE797" i="5"/>
  <c r="JB797" i="5"/>
  <c r="IZ797" i="5" s="1"/>
  <c r="IY797" i="5"/>
  <c r="IX797" i="5" s="1"/>
  <c r="IO797" i="5"/>
  <c r="IN797" i="5"/>
  <c r="IL797" i="5"/>
  <c r="IM797" i="5" s="1"/>
  <c r="AF1113" i="2" s="1"/>
  <c r="JE796" i="5"/>
  <c r="JB796" i="5"/>
  <c r="IZ796" i="5" s="1"/>
  <c r="IY796" i="5"/>
  <c r="IX796" i="5" s="1"/>
  <c r="IO796" i="5"/>
  <c r="IN796" i="5"/>
  <c r="IL796" i="5"/>
  <c r="IM796" i="5" s="1"/>
  <c r="AF1112" i="2" s="1"/>
  <c r="IO795" i="5"/>
  <c r="IN795" i="5"/>
  <c r="FV795" i="5"/>
  <c r="FU795" i="5"/>
  <c r="FT795" i="5"/>
  <c r="FS795" i="5"/>
  <c r="FR795" i="5"/>
  <c r="FQ795" i="5"/>
  <c r="FP795" i="5"/>
  <c r="FO795" i="5"/>
  <c r="FN795" i="5"/>
  <c r="FM795" i="5"/>
  <c r="FL795" i="5"/>
  <c r="FK795" i="5"/>
  <c r="FJ795" i="5"/>
  <c r="FI795" i="5"/>
  <c r="FH795" i="5"/>
  <c r="FG795" i="5"/>
  <c r="FF795" i="5"/>
  <c r="FE795" i="5"/>
  <c r="FD795" i="5"/>
  <c r="FC795" i="5"/>
  <c r="FB795" i="5"/>
  <c r="FA795" i="5"/>
  <c r="EZ795" i="5"/>
  <c r="EY795" i="5"/>
  <c r="EX795" i="5"/>
  <c r="EW795" i="5"/>
  <c r="EV795" i="5"/>
  <c r="EU795" i="5"/>
  <c r="ET795" i="5"/>
  <c r="ES795" i="5"/>
  <c r="ER795" i="5"/>
  <c r="EQ795" i="5"/>
  <c r="EP795" i="5"/>
  <c r="EO795" i="5"/>
  <c r="EN795" i="5"/>
  <c r="EM795" i="5"/>
  <c r="EL795" i="5"/>
  <c r="EK795" i="5"/>
  <c r="EJ795" i="5"/>
  <c r="EI795" i="5"/>
  <c r="EH795" i="5"/>
  <c r="EG795" i="5"/>
  <c r="EF795" i="5"/>
  <c r="EE795" i="5"/>
  <c r="ED795" i="5"/>
  <c r="EC795" i="5"/>
  <c r="EB795" i="5"/>
  <c r="EA795" i="5"/>
  <c r="DZ795" i="5"/>
  <c r="DY795" i="5"/>
  <c r="DX795" i="5"/>
  <c r="DW795" i="5"/>
  <c r="DV795" i="5"/>
  <c r="DU795" i="5"/>
  <c r="DT795" i="5"/>
  <c r="DS795" i="5"/>
  <c r="DR795" i="5"/>
  <c r="DQ795" i="5"/>
  <c r="DP795" i="5"/>
  <c r="DO795" i="5"/>
  <c r="DN795" i="5"/>
  <c r="DM795" i="5"/>
  <c r="DL795" i="5"/>
  <c r="DK795" i="5"/>
  <c r="DJ795" i="5"/>
  <c r="DI795" i="5"/>
  <c r="DH795" i="5"/>
  <c r="DG795" i="5"/>
  <c r="DF795" i="5"/>
  <c r="DE795" i="5"/>
  <c r="DD795" i="5"/>
  <c r="DC795" i="5"/>
  <c r="DB795" i="5"/>
  <c r="DA795" i="5"/>
  <c r="CZ795" i="5"/>
  <c r="CY795" i="5"/>
  <c r="CX795" i="5"/>
  <c r="CW795" i="5"/>
  <c r="CV795" i="5"/>
  <c r="CU795" i="5"/>
  <c r="CT795" i="5"/>
  <c r="CS795" i="5"/>
  <c r="CR795" i="5"/>
  <c r="CQ795" i="5"/>
  <c r="CP795" i="5"/>
  <c r="CO795" i="5"/>
  <c r="CN795" i="5"/>
  <c r="CM795" i="5"/>
  <c r="CL795" i="5"/>
  <c r="CK795" i="5"/>
  <c r="CJ795" i="5"/>
  <c r="CI795" i="5"/>
  <c r="CH795" i="5"/>
  <c r="CG795" i="5"/>
  <c r="CF795" i="5"/>
  <c r="CE795" i="5"/>
  <c r="E795" i="5"/>
  <c r="IY793" i="5"/>
  <c r="IX793" i="5" s="1"/>
  <c r="IO793" i="5"/>
  <c r="IN793" i="5"/>
  <c r="IL793" i="5"/>
  <c r="IM793" i="5" s="1"/>
  <c r="AF1109" i="2" s="1"/>
  <c r="AF1323" i="2" s="1"/>
  <c r="IO792" i="5"/>
  <c r="IN792" i="5"/>
  <c r="IL792" i="5"/>
  <c r="IM792" i="5" s="1"/>
  <c r="AF1108" i="2" s="1"/>
  <c r="IO791" i="5"/>
  <c r="IN791" i="5"/>
  <c r="IL791" i="5"/>
  <c r="IM791" i="5" s="1"/>
  <c r="AF1107" i="2" s="1"/>
  <c r="IO790" i="5"/>
  <c r="IN790" i="5"/>
  <c r="IL790" i="5"/>
  <c r="IM790" i="5" s="1"/>
  <c r="AF1104" i="2" s="1"/>
  <c r="AF638" i="2" s="1"/>
  <c r="II790" i="5"/>
  <c r="IH790" i="5"/>
  <c r="IF790" i="5"/>
  <c r="IE790" i="5"/>
  <c r="IC790" i="5"/>
  <c r="IB790" i="5"/>
  <c r="HZ790" i="5"/>
  <c r="HY790" i="5"/>
  <c r="HW790" i="5"/>
  <c r="HV790" i="5"/>
  <c r="HT790" i="5"/>
  <c r="HS790" i="5"/>
  <c r="HQ790" i="5"/>
  <c r="HP790" i="5"/>
  <c r="IO789" i="5"/>
  <c r="IN789" i="5"/>
  <c r="FV789" i="5"/>
  <c r="FU789" i="5"/>
  <c r="FT789" i="5"/>
  <c r="FS789" i="5"/>
  <c r="FR789" i="5"/>
  <c r="FQ789" i="5"/>
  <c r="FP789" i="5"/>
  <c r="FO789" i="5"/>
  <c r="FN789" i="5"/>
  <c r="FM789" i="5"/>
  <c r="FL789" i="5"/>
  <c r="FK789" i="5"/>
  <c r="FJ789" i="5"/>
  <c r="FI789" i="5"/>
  <c r="FH789" i="5"/>
  <c r="FG789" i="5"/>
  <c r="FF789" i="5"/>
  <c r="FE789" i="5"/>
  <c r="FD789" i="5"/>
  <c r="FC789" i="5"/>
  <c r="FB789" i="5"/>
  <c r="FA789" i="5"/>
  <c r="EZ789" i="5"/>
  <c r="EY789" i="5"/>
  <c r="EX789" i="5"/>
  <c r="EW789" i="5"/>
  <c r="EV789" i="5"/>
  <c r="EU789" i="5"/>
  <c r="ET789" i="5"/>
  <c r="ES789" i="5"/>
  <c r="ER789" i="5"/>
  <c r="EQ789" i="5"/>
  <c r="EP789" i="5"/>
  <c r="EO789" i="5"/>
  <c r="EN789" i="5"/>
  <c r="EM789" i="5"/>
  <c r="EL789" i="5"/>
  <c r="EK789" i="5"/>
  <c r="EJ789" i="5"/>
  <c r="EI789" i="5"/>
  <c r="EH789" i="5"/>
  <c r="EG789" i="5"/>
  <c r="EF789" i="5"/>
  <c r="EE789" i="5"/>
  <c r="ED789" i="5"/>
  <c r="EC789" i="5"/>
  <c r="EB789" i="5"/>
  <c r="EA789" i="5"/>
  <c r="DZ789" i="5"/>
  <c r="DY789" i="5"/>
  <c r="DX789" i="5"/>
  <c r="DW789" i="5"/>
  <c r="DV789" i="5"/>
  <c r="DU789" i="5"/>
  <c r="DT789" i="5"/>
  <c r="DS789" i="5"/>
  <c r="DR789" i="5"/>
  <c r="DQ789" i="5"/>
  <c r="DP789" i="5"/>
  <c r="DO789" i="5"/>
  <c r="DN789" i="5"/>
  <c r="DM789" i="5"/>
  <c r="DL789" i="5"/>
  <c r="DK789" i="5"/>
  <c r="DJ789" i="5"/>
  <c r="DI789" i="5"/>
  <c r="DH789" i="5"/>
  <c r="DG789" i="5"/>
  <c r="DF789" i="5"/>
  <c r="DE789" i="5"/>
  <c r="DD789" i="5"/>
  <c r="DC789" i="5"/>
  <c r="DB789" i="5"/>
  <c r="DA789" i="5"/>
  <c r="CZ789" i="5"/>
  <c r="CY789" i="5"/>
  <c r="CX789" i="5"/>
  <c r="CW789" i="5"/>
  <c r="CV789" i="5"/>
  <c r="CU789" i="5"/>
  <c r="CT789" i="5"/>
  <c r="CS789" i="5"/>
  <c r="CR789" i="5"/>
  <c r="CQ789" i="5"/>
  <c r="CP789" i="5"/>
  <c r="CO789" i="5"/>
  <c r="CN789" i="5"/>
  <c r="CM789" i="5"/>
  <c r="CL789" i="5"/>
  <c r="CK789" i="5"/>
  <c r="CJ789" i="5"/>
  <c r="CI789" i="5"/>
  <c r="CH789" i="5"/>
  <c r="CG789" i="5"/>
  <c r="CF789" i="5"/>
  <c r="CE789" i="5"/>
  <c r="JC788" i="5"/>
  <c r="IZ788" i="5"/>
  <c r="IO788" i="5"/>
  <c r="IN788" i="5"/>
  <c r="FV788" i="5"/>
  <c r="FV1145" i="5" s="1"/>
  <c r="FU788" i="5"/>
  <c r="FU1145" i="5" s="1"/>
  <c r="FT788" i="5"/>
  <c r="FT1145" i="5" s="1"/>
  <c r="FS788" i="5"/>
  <c r="FR788" i="5"/>
  <c r="FR1145" i="5" s="1"/>
  <c r="FQ788" i="5"/>
  <c r="FQ1145" i="5" s="1"/>
  <c r="FP788" i="5"/>
  <c r="FP1145" i="5" s="1"/>
  <c r="FO788" i="5"/>
  <c r="FO1145" i="5" s="1"/>
  <c r="FN788" i="5"/>
  <c r="FN1145" i="5" s="1"/>
  <c r="FM788" i="5"/>
  <c r="FM1145" i="5" s="1"/>
  <c r="FL788" i="5"/>
  <c r="FL1145" i="5" s="1"/>
  <c r="FK788" i="5"/>
  <c r="FK1145" i="5" s="1"/>
  <c r="FJ788" i="5"/>
  <c r="FJ1145" i="5" s="1"/>
  <c r="FI788" i="5"/>
  <c r="FH788" i="5"/>
  <c r="FH1145" i="5" s="1"/>
  <c r="FG788" i="5"/>
  <c r="FG1145" i="5" s="1"/>
  <c r="FF788" i="5"/>
  <c r="FF1145" i="5" s="1"/>
  <c r="FE788" i="5"/>
  <c r="FE1145" i="5" s="1"/>
  <c r="FD788" i="5"/>
  <c r="FD1145" i="5" s="1"/>
  <c r="FC788" i="5"/>
  <c r="FC1145" i="5" s="1"/>
  <c r="FB788" i="5"/>
  <c r="FB1145" i="5" s="1"/>
  <c r="FA788" i="5"/>
  <c r="FA1145" i="5" s="1"/>
  <c r="EZ788" i="5"/>
  <c r="EZ1145" i="5" s="1"/>
  <c r="EY788" i="5"/>
  <c r="EX788" i="5"/>
  <c r="EW788" i="5"/>
  <c r="EV788" i="5"/>
  <c r="EU788" i="5"/>
  <c r="ET788" i="5"/>
  <c r="ES788" i="5"/>
  <c r="ER788" i="5"/>
  <c r="EQ788" i="5"/>
  <c r="EP788" i="5"/>
  <c r="EO788" i="5"/>
  <c r="EN788" i="5"/>
  <c r="EM788" i="5"/>
  <c r="EL788" i="5"/>
  <c r="EK788" i="5"/>
  <c r="EJ788" i="5"/>
  <c r="EI788" i="5"/>
  <c r="EH788" i="5"/>
  <c r="EG788" i="5"/>
  <c r="EF788" i="5"/>
  <c r="EE788" i="5"/>
  <c r="ED788" i="5"/>
  <c r="EC788" i="5"/>
  <c r="EB788" i="5"/>
  <c r="EA788" i="5"/>
  <c r="DZ788" i="5"/>
  <c r="DY788" i="5"/>
  <c r="DX788" i="5"/>
  <c r="DW788" i="5"/>
  <c r="DV788" i="5"/>
  <c r="DU788" i="5"/>
  <c r="DT788" i="5"/>
  <c r="DS788" i="5"/>
  <c r="DR788" i="5"/>
  <c r="DQ788" i="5"/>
  <c r="DP788" i="5"/>
  <c r="DO788" i="5"/>
  <c r="DN788" i="5"/>
  <c r="DM788" i="5"/>
  <c r="DL788" i="5"/>
  <c r="DK788" i="5"/>
  <c r="DJ788" i="5"/>
  <c r="DI788" i="5"/>
  <c r="DH788" i="5"/>
  <c r="DG788" i="5"/>
  <c r="DF788" i="5"/>
  <c r="DE788" i="5"/>
  <c r="DD788" i="5"/>
  <c r="DC788" i="5"/>
  <c r="DB788" i="5"/>
  <c r="DA788" i="5"/>
  <c r="CZ788" i="5"/>
  <c r="CY788" i="5"/>
  <c r="CX788" i="5"/>
  <c r="CW788" i="5"/>
  <c r="CV788" i="5"/>
  <c r="CU788" i="5"/>
  <c r="CT788" i="5"/>
  <c r="CS788" i="5"/>
  <c r="CR788" i="5"/>
  <c r="CQ788" i="5"/>
  <c r="CP788" i="5"/>
  <c r="CO788" i="5"/>
  <c r="CN788" i="5"/>
  <c r="CM788" i="5"/>
  <c r="CL788" i="5"/>
  <c r="CK788" i="5"/>
  <c r="CJ788" i="5"/>
  <c r="CI788" i="5"/>
  <c r="CH788" i="5"/>
  <c r="CG788" i="5"/>
  <c r="CF788" i="5"/>
  <c r="CE788" i="5"/>
  <c r="JB787" i="5"/>
  <c r="IO787" i="5"/>
  <c r="IN787" i="5"/>
  <c r="IO782" i="5"/>
  <c r="IN782" i="5"/>
  <c r="IL782" i="5"/>
  <c r="IM782" i="5" s="1"/>
  <c r="AF1098" i="2" s="1"/>
  <c r="JD781" i="5"/>
  <c r="IO781" i="5"/>
  <c r="IN781" i="5"/>
  <c r="FV781" i="5"/>
  <c r="FU781" i="5"/>
  <c r="FU1146" i="5" s="1"/>
  <c r="FT781" i="5"/>
  <c r="FT1146" i="5" s="1"/>
  <c r="FS781" i="5"/>
  <c r="FS1146" i="5" s="1"/>
  <c r="FR781" i="5"/>
  <c r="FR1146" i="5" s="1"/>
  <c r="FQ781" i="5"/>
  <c r="FQ1146" i="5" s="1"/>
  <c r="FP781" i="5"/>
  <c r="FP1146" i="5" s="1"/>
  <c r="FO781" i="5"/>
  <c r="FO1146" i="5" s="1"/>
  <c r="FN781" i="5"/>
  <c r="FN1146" i="5" s="1"/>
  <c r="FM781" i="5"/>
  <c r="FM1146" i="5" s="1"/>
  <c r="FL781" i="5"/>
  <c r="FL1146" i="5" s="1"/>
  <c r="FK781" i="5"/>
  <c r="FK1146" i="5" s="1"/>
  <c r="FJ781" i="5"/>
  <c r="FJ1146" i="5" s="1"/>
  <c r="FI781" i="5"/>
  <c r="FI1146" i="5" s="1"/>
  <c r="FH781" i="5"/>
  <c r="FH1146" i="5" s="1"/>
  <c r="FG781" i="5"/>
  <c r="FG1146" i="5" s="1"/>
  <c r="FF781" i="5"/>
  <c r="FF1146" i="5" s="1"/>
  <c r="FE781" i="5"/>
  <c r="FE1146" i="5" s="1"/>
  <c r="FD781" i="5"/>
  <c r="FD1146" i="5" s="1"/>
  <c r="FC781" i="5"/>
  <c r="FC1146" i="5" s="1"/>
  <c r="FB781" i="5"/>
  <c r="FB1146" i="5" s="1"/>
  <c r="FA781" i="5"/>
  <c r="FA1146" i="5" s="1"/>
  <c r="EZ781" i="5"/>
  <c r="EY781" i="5"/>
  <c r="EY1146" i="5" s="1"/>
  <c r="EX781" i="5"/>
  <c r="EW781" i="5"/>
  <c r="EV781" i="5"/>
  <c r="EU781" i="5"/>
  <c r="ET781" i="5"/>
  <c r="ES781" i="5"/>
  <c r="ER781" i="5"/>
  <c r="EQ781" i="5"/>
  <c r="EP781" i="5"/>
  <c r="EO781" i="5"/>
  <c r="EN781" i="5"/>
  <c r="EM781" i="5"/>
  <c r="EL781" i="5"/>
  <c r="EK781" i="5"/>
  <c r="EJ781" i="5"/>
  <c r="EI781" i="5"/>
  <c r="EH781" i="5"/>
  <c r="EG781" i="5"/>
  <c r="EF781" i="5"/>
  <c r="EE781" i="5"/>
  <c r="ED781" i="5"/>
  <c r="EC781" i="5"/>
  <c r="EB781" i="5"/>
  <c r="EA781" i="5"/>
  <c r="DZ781" i="5"/>
  <c r="DY781" i="5"/>
  <c r="DX781" i="5"/>
  <c r="DW781" i="5"/>
  <c r="DV781" i="5"/>
  <c r="DU781" i="5"/>
  <c r="DT781" i="5"/>
  <c r="DS781" i="5"/>
  <c r="DR781" i="5"/>
  <c r="DQ781" i="5"/>
  <c r="DP781" i="5"/>
  <c r="DO781" i="5"/>
  <c r="DN781" i="5"/>
  <c r="DM781" i="5"/>
  <c r="DL781" i="5"/>
  <c r="DK781" i="5"/>
  <c r="DJ781" i="5"/>
  <c r="DI781" i="5"/>
  <c r="DH781" i="5"/>
  <c r="DG781" i="5"/>
  <c r="DF781" i="5"/>
  <c r="DE781" i="5"/>
  <c r="DD781" i="5"/>
  <c r="DC781" i="5"/>
  <c r="DB781" i="5"/>
  <c r="DA781" i="5"/>
  <c r="CZ781" i="5"/>
  <c r="CY781" i="5"/>
  <c r="CX781" i="5"/>
  <c r="CW781" i="5"/>
  <c r="CV781" i="5"/>
  <c r="CU781" i="5"/>
  <c r="CT781" i="5"/>
  <c r="CS781" i="5"/>
  <c r="CR781" i="5"/>
  <c r="CQ781" i="5"/>
  <c r="CP781" i="5"/>
  <c r="CO781" i="5"/>
  <c r="CN781" i="5"/>
  <c r="CM781" i="5"/>
  <c r="CL781" i="5"/>
  <c r="CK781" i="5"/>
  <c r="CJ781" i="5"/>
  <c r="CI781" i="5"/>
  <c r="CH781" i="5"/>
  <c r="CG781" i="5"/>
  <c r="CF781" i="5"/>
  <c r="CE781" i="5"/>
  <c r="IO780" i="5"/>
  <c r="IN780" i="5"/>
  <c r="FV780" i="5"/>
  <c r="FU780" i="5"/>
  <c r="FT780" i="5"/>
  <c r="FS780" i="5"/>
  <c r="FR780" i="5"/>
  <c r="FQ780" i="5"/>
  <c r="FP780" i="5"/>
  <c r="FO780" i="5"/>
  <c r="FN780" i="5"/>
  <c r="FM780" i="5"/>
  <c r="FL780" i="5"/>
  <c r="FK780" i="5"/>
  <c r="FJ780" i="5"/>
  <c r="FI780" i="5"/>
  <c r="FH780" i="5"/>
  <c r="FG780" i="5"/>
  <c r="FF780" i="5"/>
  <c r="FE780" i="5"/>
  <c r="FD780" i="5"/>
  <c r="FC780" i="5"/>
  <c r="FB780" i="5"/>
  <c r="FA780" i="5"/>
  <c r="EZ780" i="5"/>
  <c r="EY780" i="5"/>
  <c r="EX780" i="5"/>
  <c r="EW780" i="5"/>
  <c r="EV780" i="5"/>
  <c r="EU780" i="5"/>
  <c r="ET780" i="5"/>
  <c r="ES780" i="5"/>
  <c r="ER780" i="5"/>
  <c r="EQ780" i="5"/>
  <c r="EP780" i="5"/>
  <c r="EO780" i="5"/>
  <c r="EN780" i="5"/>
  <c r="EM780" i="5"/>
  <c r="EL780" i="5"/>
  <c r="EK780" i="5"/>
  <c r="EJ780" i="5"/>
  <c r="EI780" i="5"/>
  <c r="EH780" i="5"/>
  <c r="EG780" i="5"/>
  <c r="EF780" i="5"/>
  <c r="EE780" i="5"/>
  <c r="ED780" i="5"/>
  <c r="EC780" i="5"/>
  <c r="EB780" i="5"/>
  <c r="EA780" i="5"/>
  <c r="DZ780" i="5"/>
  <c r="DY780" i="5"/>
  <c r="DX780" i="5"/>
  <c r="DW780" i="5"/>
  <c r="DV780" i="5"/>
  <c r="DU780" i="5"/>
  <c r="DT780" i="5"/>
  <c r="DS780" i="5"/>
  <c r="DR780" i="5"/>
  <c r="DQ780" i="5"/>
  <c r="DP780" i="5"/>
  <c r="DO780" i="5"/>
  <c r="DN780" i="5"/>
  <c r="DM780" i="5"/>
  <c r="DL780" i="5"/>
  <c r="DK780" i="5"/>
  <c r="DJ780" i="5"/>
  <c r="DI780" i="5"/>
  <c r="DH780" i="5"/>
  <c r="DG780" i="5"/>
  <c r="DF780" i="5"/>
  <c r="DE780" i="5"/>
  <c r="DD780" i="5"/>
  <c r="DC780" i="5"/>
  <c r="DB780" i="5"/>
  <c r="DA780" i="5"/>
  <c r="CZ780" i="5"/>
  <c r="CY780" i="5"/>
  <c r="CX780" i="5"/>
  <c r="CW780" i="5"/>
  <c r="CV780" i="5"/>
  <c r="CU780" i="5"/>
  <c r="CT780" i="5"/>
  <c r="CS780" i="5"/>
  <c r="CR780" i="5"/>
  <c r="CQ780" i="5"/>
  <c r="CP780" i="5"/>
  <c r="CO780" i="5"/>
  <c r="CN780" i="5"/>
  <c r="CM780" i="5"/>
  <c r="CL780" i="5"/>
  <c r="CK780" i="5"/>
  <c r="CJ780" i="5"/>
  <c r="CI780" i="5"/>
  <c r="CH780" i="5"/>
  <c r="CG780" i="5"/>
  <c r="CF780" i="5"/>
  <c r="CE780" i="5"/>
  <c r="AN780" i="5"/>
  <c r="AN754" i="5" s="1"/>
  <c r="AN982" i="5" s="1"/>
  <c r="AM780" i="5"/>
  <c r="AM754" i="5" s="1"/>
  <c r="AM982" i="5" s="1"/>
  <c r="AL780" i="5"/>
  <c r="AL754" i="5" s="1"/>
  <c r="AL982" i="5" s="1"/>
  <c r="AK780" i="5"/>
  <c r="AK754" i="5" s="1"/>
  <c r="AK982" i="5" s="1"/>
  <c r="AJ780" i="5"/>
  <c r="AJ754" i="5" s="1"/>
  <c r="AJ982" i="5" s="1"/>
  <c r="AI780" i="5"/>
  <c r="AI754" i="5" s="1"/>
  <c r="AI982" i="5" s="1"/>
  <c r="AH780" i="5"/>
  <c r="AH754" i="5" s="1"/>
  <c r="AH982" i="5" s="1"/>
  <c r="AG780" i="5"/>
  <c r="AG754" i="5" s="1"/>
  <c r="AG982" i="5" s="1"/>
  <c r="AF780" i="5"/>
  <c r="AF754" i="5" s="1"/>
  <c r="AF982" i="5" s="1"/>
  <c r="AE780" i="5"/>
  <c r="AE754" i="5" s="1"/>
  <c r="AE982" i="5" s="1"/>
  <c r="AD780" i="5"/>
  <c r="AD754" i="5" s="1"/>
  <c r="AD982" i="5" s="1"/>
  <c r="AC780" i="5"/>
  <c r="AC754" i="5" s="1"/>
  <c r="AB780" i="5"/>
  <c r="AB754" i="5" s="1"/>
  <c r="AB982" i="5" s="1"/>
  <c r="AA780" i="5"/>
  <c r="AA754" i="5" s="1"/>
  <c r="AA982" i="5" s="1"/>
  <c r="Z780" i="5"/>
  <c r="Z754" i="5" s="1"/>
  <c r="Z982" i="5" s="1"/>
  <c r="Y780" i="5"/>
  <c r="Y754" i="5" s="1"/>
  <c r="Y982" i="5" s="1"/>
  <c r="X780" i="5"/>
  <c r="X754" i="5" s="1"/>
  <c r="X982" i="5" s="1"/>
  <c r="W780" i="5"/>
  <c r="W754" i="5" s="1"/>
  <c r="W982" i="5" s="1"/>
  <c r="V780" i="5"/>
  <c r="V754" i="5" s="1"/>
  <c r="V982" i="5" s="1"/>
  <c r="U780" i="5"/>
  <c r="U754" i="5" s="1"/>
  <c r="U982" i="5" s="1"/>
  <c r="T780" i="5"/>
  <c r="T754" i="5" s="1"/>
  <c r="T982" i="5" s="1"/>
  <c r="S780" i="5"/>
  <c r="S754" i="5" s="1"/>
  <c r="S982" i="5" s="1"/>
  <c r="R780" i="5"/>
  <c r="R754" i="5" s="1"/>
  <c r="R982" i="5" s="1"/>
  <c r="Q780" i="5"/>
  <c r="Q754" i="5" s="1"/>
  <c r="Q982" i="5" s="1"/>
  <c r="P780" i="5"/>
  <c r="P754" i="5" s="1"/>
  <c r="P982" i="5" s="1"/>
  <c r="O780" i="5"/>
  <c r="O754" i="5" s="1"/>
  <c r="O982" i="5" s="1"/>
  <c r="N780" i="5"/>
  <c r="N754" i="5" s="1"/>
  <c r="N982" i="5" s="1"/>
  <c r="M780" i="5"/>
  <c r="M754" i="5" s="1"/>
  <c r="M982" i="5" s="1"/>
  <c r="L780" i="5"/>
  <c r="L754" i="5" s="1"/>
  <c r="L982" i="5" s="1"/>
  <c r="K780" i="5"/>
  <c r="K754" i="5" s="1"/>
  <c r="K982" i="5" s="1"/>
  <c r="J780" i="5"/>
  <c r="J754" i="5" s="1"/>
  <c r="J982" i="5" s="1"/>
  <c r="I780" i="5"/>
  <c r="I754" i="5" s="1"/>
  <c r="H780" i="5"/>
  <c r="H754" i="5" s="1"/>
  <c r="H982" i="5" s="1"/>
  <c r="G780" i="5"/>
  <c r="G754" i="5" s="1"/>
  <c r="G982" i="5" s="1"/>
  <c r="F780" i="5"/>
  <c r="F754" i="5" s="1"/>
  <c r="F982" i="5" s="1"/>
  <c r="E780" i="5"/>
  <c r="IO779" i="5"/>
  <c r="IN779" i="5"/>
  <c r="FV779" i="5"/>
  <c r="FU779" i="5"/>
  <c r="FT779" i="5"/>
  <c r="FS779" i="5"/>
  <c r="FR779" i="5"/>
  <c r="FQ779" i="5"/>
  <c r="FP779" i="5"/>
  <c r="FO779" i="5"/>
  <c r="FN779" i="5"/>
  <c r="FM779" i="5"/>
  <c r="FL779" i="5"/>
  <c r="FK779" i="5"/>
  <c r="FJ779" i="5"/>
  <c r="FI779" i="5"/>
  <c r="FH779" i="5"/>
  <c r="FG779" i="5"/>
  <c r="FF779" i="5"/>
  <c r="FE779" i="5"/>
  <c r="FD779" i="5"/>
  <c r="FC779" i="5"/>
  <c r="FB779" i="5"/>
  <c r="FA779" i="5"/>
  <c r="EZ779" i="5"/>
  <c r="EY779" i="5"/>
  <c r="EX779" i="5"/>
  <c r="EW779" i="5"/>
  <c r="EV779" i="5"/>
  <c r="EU779" i="5"/>
  <c r="ET779" i="5"/>
  <c r="ES779" i="5"/>
  <c r="ER779" i="5"/>
  <c r="EQ779" i="5"/>
  <c r="EP779" i="5"/>
  <c r="EO779" i="5"/>
  <c r="EN779" i="5"/>
  <c r="EM779" i="5"/>
  <c r="EL779" i="5"/>
  <c r="EK779" i="5"/>
  <c r="EJ779" i="5"/>
  <c r="EI779" i="5"/>
  <c r="EH779" i="5"/>
  <c r="EG779" i="5"/>
  <c r="EF779" i="5"/>
  <c r="EE779" i="5"/>
  <c r="ED779" i="5"/>
  <c r="EC779" i="5"/>
  <c r="EB779" i="5"/>
  <c r="EA779" i="5"/>
  <c r="DZ779" i="5"/>
  <c r="DY779" i="5"/>
  <c r="DX779" i="5"/>
  <c r="DW779" i="5"/>
  <c r="DV779" i="5"/>
  <c r="DU779" i="5"/>
  <c r="DT779" i="5"/>
  <c r="DS779" i="5"/>
  <c r="DR779" i="5"/>
  <c r="DQ779" i="5"/>
  <c r="DP779" i="5"/>
  <c r="DO779" i="5"/>
  <c r="DN779" i="5"/>
  <c r="DM779" i="5"/>
  <c r="DL779" i="5"/>
  <c r="DK779" i="5"/>
  <c r="DJ779" i="5"/>
  <c r="DI779" i="5"/>
  <c r="DH779" i="5"/>
  <c r="DG779" i="5"/>
  <c r="DF779" i="5"/>
  <c r="DE779" i="5"/>
  <c r="DD779" i="5"/>
  <c r="DC779" i="5"/>
  <c r="DB779" i="5"/>
  <c r="DA779" i="5"/>
  <c r="CZ779" i="5"/>
  <c r="CY779" i="5"/>
  <c r="CX779" i="5"/>
  <c r="CW779" i="5"/>
  <c r="CV779" i="5"/>
  <c r="CU779" i="5"/>
  <c r="CT779" i="5"/>
  <c r="CS779" i="5"/>
  <c r="CR779" i="5"/>
  <c r="CQ779" i="5"/>
  <c r="CP779" i="5"/>
  <c r="CO779" i="5"/>
  <c r="CN779" i="5"/>
  <c r="CM779" i="5"/>
  <c r="CL779" i="5"/>
  <c r="CK779" i="5"/>
  <c r="CJ779" i="5"/>
  <c r="CI779" i="5"/>
  <c r="CH779" i="5"/>
  <c r="CG779" i="5"/>
  <c r="CF779" i="5"/>
  <c r="CE779" i="5"/>
  <c r="JE774" i="5"/>
  <c r="JE773" i="5"/>
  <c r="JE772" i="5"/>
  <c r="JE771" i="5"/>
  <c r="JB771" i="5"/>
  <c r="JE769" i="5"/>
  <c r="JE768" i="5"/>
  <c r="JE767" i="5"/>
  <c r="JB767" i="5"/>
  <c r="IY767" i="5"/>
  <c r="IX767" i="5" s="1"/>
  <c r="IO767" i="5"/>
  <c r="IN767" i="5"/>
  <c r="D767" i="5"/>
  <c r="JE766" i="5"/>
  <c r="JB766" i="5"/>
  <c r="IY766" i="5"/>
  <c r="IX766" i="5" s="1"/>
  <c r="IO766" i="5"/>
  <c r="IN766" i="5"/>
  <c r="IM766" i="5"/>
  <c r="JE765" i="5"/>
  <c r="JB765" i="5"/>
  <c r="IY765" i="5"/>
  <c r="IX765" i="5" s="1"/>
  <c r="IO765" i="5"/>
  <c r="IN765" i="5"/>
  <c r="IM765" i="5"/>
  <c r="IO764" i="5"/>
  <c r="IN764" i="5"/>
  <c r="IL764" i="5"/>
  <c r="IM764" i="5" s="1"/>
  <c r="AF1086" i="2" s="1"/>
  <c r="JE763" i="5"/>
  <c r="JC763" i="5" s="1"/>
  <c r="JD763" i="5" s="1"/>
  <c r="JB763" i="5"/>
  <c r="IZ763" i="5" s="1"/>
  <c r="JA763" i="5" s="1"/>
  <c r="IY763" i="5"/>
  <c r="IX763" i="5" s="1"/>
  <c r="IO763" i="5"/>
  <c r="IN763" i="5"/>
  <c r="IL763" i="5"/>
  <c r="IK763" i="5"/>
  <c r="JE762" i="5"/>
  <c r="JC762" i="5" s="1"/>
  <c r="JB762" i="5"/>
  <c r="IY762" i="5"/>
  <c r="IX762" i="5" s="1"/>
  <c r="IO762" i="5"/>
  <c r="IN762" i="5"/>
  <c r="IL762" i="5"/>
  <c r="IM762" i="5" s="1"/>
  <c r="AF1084" i="2" s="1"/>
  <c r="JE761" i="5"/>
  <c r="JC761" i="5" s="1"/>
  <c r="JD761" i="5" s="1"/>
  <c r="JB761" i="5"/>
  <c r="IZ761" i="5" s="1"/>
  <c r="IY761" i="5"/>
  <c r="IX761" i="5" s="1"/>
  <c r="IO761" i="5"/>
  <c r="IN761" i="5"/>
  <c r="IL761" i="5"/>
  <c r="IM761" i="5" s="1"/>
  <c r="AF1083" i="2" s="1"/>
  <c r="AF1319" i="2" s="1"/>
  <c r="JE760" i="5"/>
  <c r="JC760" i="5" s="1"/>
  <c r="JD760" i="5" s="1"/>
  <c r="JB760" i="5"/>
  <c r="IZ760" i="5" s="1"/>
  <c r="JA760" i="5" s="1"/>
  <c r="IY760" i="5"/>
  <c r="IX760" i="5" s="1"/>
  <c r="IO760" i="5"/>
  <c r="IN760" i="5"/>
  <c r="IL760" i="5"/>
  <c r="IM760" i="5" s="1"/>
  <c r="AF1082" i="2" s="1"/>
  <c r="AF1318" i="2" s="1"/>
  <c r="IO757" i="5"/>
  <c r="IN757" i="5"/>
  <c r="FV757" i="5"/>
  <c r="FV1144" i="5" s="1"/>
  <c r="FU757" i="5"/>
  <c r="FU1144" i="5" s="1"/>
  <c r="FT757" i="5"/>
  <c r="FS757" i="5"/>
  <c r="FS1144" i="5" s="1"/>
  <c r="FR757" i="5"/>
  <c r="FR1144" i="5" s="1"/>
  <c r="FQ757" i="5"/>
  <c r="FQ1144" i="5" s="1"/>
  <c r="FP757" i="5"/>
  <c r="FP1144" i="5" s="1"/>
  <c r="FO757" i="5"/>
  <c r="FO1144" i="5" s="1"/>
  <c r="FM757" i="5"/>
  <c r="FM1144" i="5" s="1"/>
  <c r="FL757" i="5"/>
  <c r="FL1144" i="5" s="1"/>
  <c r="FK757" i="5"/>
  <c r="FK1144" i="5" s="1"/>
  <c r="FJ757" i="5"/>
  <c r="FJ1144" i="5" s="1"/>
  <c r="FI757" i="5"/>
  <c r="FI1144" i="5" s="1"/>
  <c r="FH757" i="5"/>
  <c r="FH1144" i="5" s="1"/>
  <c r="FG757" i="5"/>
  <c r="FG1144" i="5" s="1"/>
  <c r="FF757" i="5"/>
  <c r="FF1144" i="5" s="1"/>
  <c r="FE757" i="5"/>
  <c r="FD757" i="5"/>
  <c r="FC757" i="5"/>
  <c r="FB757" i="5"/>
  <c r="FB1144" i="5" s="1"/>
  <c r="FA757" i="5"/>
  <c r="FA1144" i="5" s="1"/>
  <c r="EZ757" i="5"/>
  <c r="EZ1144" i="5" s="1"/>
  <c r="EY757" i="5"/>
  <c r="EY1144" i="5" s="1"/>
  <c r="EX757" i="5"/>
  <c r="EW757" i="5"/>
  <c r="EV757" i="5"/>
  <c r="EU757" i="5"/>
  <c r="ET757" i="5"/>
  <c r="ES757" i="5"/>
  <c r="ER757" i="5"/>
  <c r="EQ757" i="5"/>
  <c r="EP757" i="5"/>
  <c r="EO757" i="5"/>
  <c r="EN757" i="5"/>
  <c r="EM757" i="5"/>
  <c r="EL757" i="5"/>
  <c r="EK757" i="5"/>
  <c r="EJ757" i="5"/>
  <c r="EI757" i="5"/>
  <c r="EH757" i="5"/>
  <c r="EG757" i="5"/>
  <c r="EF757" i="5"/>
  <c r="EE757" i="5"/>
  <c r="ED757" i="5"/>
  <c r="EC757" i="5"/>
  <c r="EB757" i="5"/>
  <c r="EA757" i="5"/>
  <c r="DZ757" i="5"/>
  <c r="DY757" i="5"/>
  <c r="DX757" i="5"/>
  <c r="DW757" i="5"/>
  <c r="DV757" i="5"/>
  <c r="DU757" i="5"/>
  <c r="DT757" i="5"/>
  <c r="DS757" i="5"/>
  <c r="DR757" i="5"/>
  <c r="DQ757" i="5"/>
  <c r="DP757" i="5"/>
  <c r="DO757" i="5"/>
  <c r="DN757" i="5"/>
  <c r="DM757" i="5"/>
  <c r="DL757" i="5"/>
  <c r="DK757" i="5"/>
  <c r="DJ757" i="5"/>
  <c r="DI757" i="5"/>
  <c r="DH757" i="5"/>
  <c r="DG757" i="5"/>
  <c r="DF757" i="5"/>
  <c r="DE757" i="5"/>
  <c r="DD757" i="5"/>
  <c r="DC757" i="5"/>
  <c r="DB757" i="5"/>
  <c r="DA757" i="5"/>
  <c r="CZ757" i="5"/>
  <c r="CY757" i="5"/>
  <c r="CX757" i="5"/>
  <c r="CW757" i="5"/>
  <c r="CV757" i="5"/>
  <c r="CU757" i="5"/>
  <c r="CT757" i="5"/>
  <c r="CS757" i="5"/>
  <c r="CR757" i="5"/>
  <c r="CQ757" i="5"/>
  <c r="CP757" i="5"/>
  <c r="CO757" i="5"/>
  <c r="CN757" i="5"/>
  <c r="CM757" i="5"/>
  <c r="CL757" i="5"/>
  <c r="CK757" i="5"/>
  <c r="CJ757" i="5"/>
  <c r="CI757" i="5"/>
  <c r="CH757" i="5"/>
  <c r="CG757" i="5"/>
  <c r="CF757" i="5"/>
  <c r="CE757" i="5"/>
  <c r="E757" i="5"/>
  <c r="JE756" i="5"/>
  <c r="JC756" i="5" s="1"/>
  <c r="JD756" i="5" s="1"/>
  <c r="JB756" i="5"/>
  <c r="IZ756" i="5" s="1"/>
  <c r="JA756" i="5" s="1"/>
  <c r="IY756" i="5"/>
  <c r="IX756" i="5" s="1"/>
  <c r="IO756" i="5"/>
  <c r="IN756" i="5"/>
  <c r="IL756" i="5"/>
  <c r="IM756" i="5" s="1"/>
  <c r="AF1078" i="2" s="1"/>
  <c r="AF1316" i="2" s="1"/>
  <c r="IO755" i="5"/>
  <c r="IN755" i="5"/>
  <c r="FV755" i="5"/>
  <c r="FV1143" i="5" s="1"/>
  <c r="FU755" i="5"/>
  <c r="FT755" i="5"/>
  <c r="FT1143" i="5" s="1"/>
  <c r="FS755" i="5"/>
  <c r="FS1143" i="5" s="1"/>
  <c r="FR755" i="5"/>
  <c r="FQ755" i="5"/>
  <c r="FQ1143" i="5" s="1"/>
  <c r="FP755" i="5"/>
  <c r="FP1143" i="5" s="1"/>
  <c r="FO755" i="5"/>
  <c r="FO1143" i="5" s="1"/>
  <c r="FN755" i="5"/>
  <c r="FN1143" i="5" s="1"/>
  <c r="FM755" i="5"/>
  <c r="FL755" i="5"/>
  <c r="FL1143" i="5" s="1"/>
  <c r="FK755" i="5"/>
  <c r="FK1143" i="5" s="1"/>
  <c r="FJ755" i="5"/>
  <c r="FJ1143" i="5" s="1"/>
  <c r="FI755" i="5"/>
  <c r="FH755" i="5"/>
  <c r="FG755" i="5"/>
  <c r="FF755" i="5"/>
  <c r="FE755" i="5"/>
  <c r="FE1143" i="5" s="1"/>
  <c r="FD755" i="5"/>
  <c r="FD1143" i="5" s="1"/>
  <c r="FC755" i="5"/>
  <c r="FC1143" i="5" s="1"/>
  <c r="FB755" i="5"/>
  <c r="FA755" i="5"/>
  <c r="FA1143" i="5" s="1"/>
  <c r="EZ755" i="5"/>
  <c r="EZ1143" i="5" s="1"/>
  <c r="EY755" i="5"/>
  <c r="EY1143" i="5" s="1"/>
  <c r="EX755" i="5"/>
  <c r="EW755" i="5"/>
  <c r="EV755" i="5"/>
  <c r="EU755" i="5"/>
  <c r="ET755" i="5"/>
  <c r="ES755" i="5"/>
  <c r="ER755" i="5"/>
  <c r="EQ755" i="5"/>
  <c r="EP755" i="5"/>
  <c r="EO755" i="5"/>
  <c r="EN755" i="5"/>
  <c r="EM755" i="5"/>
  <c r="EL755" i="5"/>
  <c r="EK755" i="5"/>
  <c r="EJ755" i="5"/>
  <c r="EI755" i="5"/>
  <c r="EH755" i="5"/>
  <c r="EG755" i="5"/>
  <c r="EF755" i="5"/>
  <c r="EE755" i="5"/>
  <c r="ED755" i="5"/>
  <c r="EC755" i="5"/>
  <c r="EB755" i="5"/>
  <c r="EA755" i="5"/>
  <c r="DZ755" i="5"/>
  <c r="DY755" i="5"/>
  <c r="DX755" i="5"/>
  <c r="DW755" i="5"/>
  <c r="DV755" i="5"/>
  <c r="DU755" i="5"/>
  <c r="DT755" i="5"/>
  <c r="DS755" i="5"/>
  <c r="DR755" i="5"/>
  <c r="DQ755" i="5"/>
  <c r="DP755" i="5"/>
  <c r="DO755" i="5"/>
  <c r="DN755" i="5"/>
  <c r="DM755" i="5"/>
  <c r="DL755" i="5"/>
  <c r="DK755" i="5"/>
  <c r="DJ755" i="5"/>
  <c r="DI755" i="5"/>
  <c r="DH755" i="5"/>
  <c r="DG755" i="5"/>
  <c r="DF755" i="5"/>
  <c r="DE755" i="5"/>
  <c r="DD755" i="5"/>
  <c r="DC755" i="5"/>
  <c r="DB755" i="5"/>
  <c r="DA755" i="5"/>
  <c r="CZ755" i="5"/>
  <c r="CY755" i="5"/>
  <c r="CX755" i="5"/>
  <c r="CW755" i="5"/>
  <c r="CV755" i="5"/>
  <c r="CU755" i="5"/>
  <c r="CT755" i="5"/>
  <c r="CS755" i="5"/>
  <c r="CR755" i="5"/>
  <c r="CQ755" i="5"/>
  <c r="CP755" i="5"/>
  <c r="CO755" i="5"/>
  <c r="CN755" i="5"/>
  <c r="CM755" i="5"/>
  <c r="CL755" i="5"/>
  <c r="CK755" i="5"/>
  <c r="CJ755" i="5"/>
  <c r="CI755" i="5"/>
  <c r="CH755" i="5"/>
  <c r="CG755" i="5"/>
  <c r="CF755" i="5"/>
  <c r="CE755" i="5"/>
  <c r="E755" i="5"/>
  <c r="KP754" i="5"/>
  <c r="KP982" i="5" s="1"/>
  <c r="KO754" i="5"/>
  <c r="KO982" i="5" s="1"/>
  <c r="KN754" i="5"/>
  <c r="KN982" i="5" s="1"/>
  <c r="KM754" i="5"/>
  <c r="KM982" i="5" s="1"/>
  <c r="IO754" i="5"/>
  <c r="IO982" i="5" s="1"/>
  <c r="IN754" i="5"/>
  <c r="CD754" i="5"/>
  <c r="CD982" i="5" s="1"/>
  <c r="CC754" i="5"/>
  <c r="CC982" i="5" s="1"/>
  <c r="CB754" i="5"/>
  <c r="CB982" i="5" s="1"/>
  <c r="CA754" i="5"/>
  <c r="CA982" i="5" s="1"/>
  <c r="BZ754" i="5"/>
  <c r="BZ982" i="5" s="1"/>
  <c r="BY754" i="5"/>
  <c r="BY982" i="5" s="1"/>
  <c r="BX754" i="5"/>
  <c r="BX982" i="5" s="1"/>
  <c r="BW754" i="5"/>
  <c r="BW982" i="5" s="1"/>
  <c r="BV754" i="5"/>
  <c r="BV982" i="5" s="1"/>
  <c r="BU754" i="5"/>
  <c r="BU982" i="5" s="1"/>
  <c r="BT754" i="5"/>
  <c r="BT982" i="5" s="1"/>
  <c r="BS754" i="5"/>
  <c r="BS982" i="5" s="1"/>
  <c r="BR754" i="5"/>
  <c r="BR982" i="5" s="1"/>
  <c r="BQ754" i="5"/>
  <c r="BQ982" i="5" s="1"/>
  <c r="BP754" i="5"/>
  <c r="BP982" i="5" s="1"/>
  <c r="BO754" i="5"/>
  <c r="BO982" i="5" s="1"/>
  <c r="BN754" i="5"/>
  <c r="BN982" i="5" s="1"/>
  <c r="BM754" i="5"/>
  <c r="BM982" i="5" s="1"/>
  <c r="BL754" i="5"/>
  <c r="BL982" i="5" s="1"/>
  <c r="BK754" i="5"/>
  <c r="BK982" i="5" s="1"/>
  <c r="BJ754" i="5"/>
  <c r="BJ982" i="5" s="1"/>
  <c r="BI754" i="5"/>
  <c r="BI982" i="5" s="1"/>
  <c r="BH754" i="5"/>
  <c r="BH982" i="5" s="1"/>
  <c r="BG754" i="5"/>
  <c r="BG982" i="5" s="1"/>
  <c r="BF754" i="5"/>
  <c r="BF982" i="5" s="1"/>
  <c r="BE754" i="5"/>
  <c r="BE982" i="5" s="1"/>
  <c r="BD754" i="5"/>
  <c r="BD982" i="5" s="1"/>
  <c r="BC754" i="5"/>
  <c r="BC982" i="5" s="1"/>
  <c r="BB754" i="5"/>
  <c r="BB982" i="5" s="1"/>
  <c r="BA754" i="5"/>
  <c r="BA982" i="5" s="1"/>
  <c r="AZ754" i="5"/>
  <c r="AZ982" i="5" s="1"/>
  <c r="AY754" i="5"/>
  <c r="AY982" i="5" s="1"/>
  <c r="AX754" i="5"/>
  <c r="AX982" i="5" s="1"/>
  <c r="AW754" i="5"/>
  <c r="AW982" i="5" s="1"/>
  <c r="AV754" i="5"/>
  <c r="AV982" i="5" s="1"/>
  <c r="AU754" i="5"/>
  <c r="AU982" i="5" s="1"/>
  <c r="AT754" i="5"/>
  <c r="AT982" i="5" s="1"/>
  <c r="AS754" i="5"/>
  <c r="AS982" i="5" s="1"/>
  <c r="AR754" i="5"/>
  <c r="AR982" i="5" s="1"/>
  <c r="AQ754" i="5"/>
  <c r="AQ982" i="5" s="1"/>
  <c r="AP754" i="5"/>
  <c r="AP982" i="5" s="1"/>
  <c r="AO754" i="5"/>
  <c r="AO982" i="5" s="1"/>
  <c r="IO753" i="5"/>
  <c r="IN753" i="5"/>
  <c r="FV753" i="5"/>
  <c r="FU753" i="5"/>
  <c r="FT753" i="5"/>
  <c r="FS753" i="5"/>
  <c r="FR753" i="5"/>
  <c r="FQ753" i="5"/>
  <c r="FP753" i="5"/>
  <c r="FO753" i="5"/>
  <c r="FN753" i="5"/>
  <c r="FM753" i="5"/>
  <c r="FL753" i="5"/>
  <c r="FK753" i="5"/>
  <c r="FJ753" i="5"/>
  <c r="FI753" i="5"/>
  <c r="FH753" i="5"/>
  <c r="FG753" i="5"/>
  <c r="FF753" i="5"/>
  <c r="FE753" i="5"/>
  <c r="FD753" i="5"/>
  <c r="FC753" i="5"/>
  <c r="FB753" i="5"/>
  <c r="FA753" i="5"/>
  <c r="EZ753" i="5"/>
  <c r="EY753" i="5"/>
  <c r="EX753" i="5"/>
  <c r="EW753" i="5"/>
  <c r="EV753" i="5"/>
  <c r="EU753" i="5"/>
  <c r="ET753" i="5"/>
  <c r="ES753" i="5"/>
  <c r="ER753" i="5"/>
  <c r="EQ753" i="5"/>
  <c r="EP753" i="5"/>
  <c r="EO753" i="5"/>
  <c r="EN753" i="5"/>
  <c r="EM753" i="5"/>
  <c r="EL753" i="5"/>
  <c r="EK753" i="5"/>
  <c r="EJ753" i="5"/>
  <c r="EI753" i="5"/>
  <c r="EH753" i="5"/>
  <c r="EG753" i="5"/>
  <c r="EF753" i="5"/>
  <c r="EE753" i="5"/>
  <c r="ED753" i="5"/>
  <c r="EC753" i="5"/>
  <c r="EB753" i="5"/>
  <c r="EA753" i="5"/>
  <c r="DZ753" i="5"/>
  <c r="DY753" i="5"/>
  <c r="DX753" i="5"/>
  <c r="DW753" i="5"/>
  <c r="DV753" i="5"/>
  <c r="DU753" i="5"/>
  <c r="DT753" i="5"/>
  <c r="DS753" i="5"/>
  <c r="DR753" i="5"/>
  <c r="DQ753" i="5"/>
  <c r="DP753" i="5"/>
  <c r="DO753" i="5"/>
  <c r="DN753" i="5"/>
  <c r="DM753" i="5"/>
  <c r="DL753" i="5"/>
  <c r="DK753" i="5"/>
  <c r="DJ753" i="5"/>
  <c r="DI753" i="5"/>
  <c r="DH753" i="5"/>
  <c r="DG753" i="5"/>
  <c r="DF753" i="5"/>
  <c r="DE753" i="5"/>
  <c r="DD753" i="5"/>
  <c r="DC753" i="5"/>
  <c r="DB753" i="5"/>
  <c r="DA753" i="5"/>
  <c r="CZ753" i="5"/>
  <c r="CY753" i="5"/>
  <c r="CX753" i="5"/>
  <c r="CW753" i="5"/>
  <c r="CV753" i="5"/>
  <c r="CU753" i="5"/>
  <c r="CT753" i="5"/>
  <c r="CS753" i="5"/>
  <c r="CR753" i="5"/>
  <c r="CQ753" i="5"/>
  <c r="CP753" i="5"/>
  <c r="CO753" i="5"/>
  <c r="CN753" i="5"/>
  <c r="CM753" i="5"/>
  <c r="CL753" i="5"/>
  <c r="CK753" i="5"/>
  <c r="CJ753" i="5"/>
  <c r="CI753" i="5"/>
  <c r="CH753" i="5"/>
  <c r="CG753" i="5"/>
  <c r="CF753" i="5"/>
  <c r="CE753" i="5"/>
  <c r="JE752" i="5"/>
  <c r="JB752" i="5"/>
  <c r="IZ752" i="5" s="1"/>
  <c r="JA752" i="5" s="1"/>
  <c r="IY752" i="5"/>
  <c r="IX752" i="5" s="1"/>
  <c r="IO752" i="5"/>
  <c r="IN752" i="5"/>
  <c r="IL752" i="5"/>
  <c r="IK752" i="5"/>
  <c r="JE751" i="5"/>
  <c r="JB751" i="5"/>
  <c r="IZ751" i="5" s="1"/>
  <c r="JA751" i="5" s="1"/>
  <c r="IY751" i="5"/>
  <c r="IX751" i="5" s="1"/>
  <c r="IO751" i="5"/>
  <c r="IN751" i="5"/>
  <c r="FV751" i="5"/>
  <c r="FU751" i="5"/>
  <c r="FT751" i="5"/>
  <c r="FS751" i="5"/>
  <c r="FR751" i="5"/>
  <c r="FQ751" i="5"/>
  <c r="FP751" i="5"/>
  <c r="FO751" i="5"/>
  <c r="FN751" i="5"/>
  <c r="FM751" i="5"/>
  <c r="FL751" i="5"/>
  <c r="FK751" i="5"/>
  <c r="FJ751" i="5"/>
  <c r="FI751" i="5"/>
  <c r="FH751" i="5"/>
  <c r="FG751" i="5"/>
  <c r="FF751" i="5"/>
  <c r="FE751" i="5"/>
  <c r="FD751" i="5"/>
  <c r="FC751" i="5"/>
  <c r="FB751" i="5"/>
  <c r="FA751" i="5"/>
  <c r="EZ751" i="5"/>
  <c r="EY751" i="5"/>
  <c r="EX751" i="5"/>
  <c r="EW751" i="5"/>
  <c r="EV751" i="5"/>
  <c r="EU751" i="5"/>
  <c r="ET751" i="5"/>
  <c r="ES751" i="5"/>
  <c r="ER751" i="5"/>
  <c r="EQ751" i="5"/>
  <c r="EP751" i="5"/>
  <c r="EO751" i="5"/>
  <c r="EN751" i="5"/>
  <c r="EM751" i="5"/>
  <c r="EL751" i="5"/>
  <c r="EK751" i="5"/>
  <c r="EJ751" i="5"/>
  <c r="EI751" i="5"/>
  <c r="EH751" i="5"/>
  <c r="EG751" i="5"/>
  <c r="EF751" i="5"/>
  <c r="EE751" i="5"/>
  <c r="ED751" i="5"/>
  <c r="EC751" i="5"/>
  <c r="EB751" i="5"/>
  <c r="EA751" i="5"/>
  <c r="DZ751" i="5"/>
  <c r="DY751" i="5"/>
  <c r="DX751" i="5"/>
  <c r="DW751" i="5"/>
  <c r="DV751" i="5"/>
  <c r="DU751" i="5"/>
  <c r="DT751" i="5"/>
  <c r="DS751" i="5"/>
  <c r="DR751" i="5"/>
  <c r="DQ751" i="5"/>
  <c r="DP751" i="5"/>
  <c r="DO751" i="5"/>
  <c r="DN751" i="5"/>
  <c r="DM751" i="5"/>
  <c r="DL751" i="5"/>
  <c r="DK751" i="5"/>
  <c r="DJ751" i="5"/>
  <c r="DI751" i="5"/>
  <c r="DH751" i="5"/>
  <c r="DG751" i="5"/>
  <c r="DF751" i="5"/>
  <c r="DE751" i="5"/>
  <c r="DD751" i="5"/>
  <c r="DC751" i="5"/>
  <c r="DB751" i="5"/>
  <c r="DA751" i="5"/>
  <c r="CZ751" i="5"/>
  <c r="CY751" i="5"/>
  <c r="CX751" i="5"/>
  <c r="CW751" i="5"/>
  <c r="CV751" i="5"/>
  <c r="CU751" i="5"/>
  <c r="CT751" i="5"/>
  <c r="CS751" i="5"/>
  <c r="CR751" i="5"/>
  <c r="CQ751" i="5"/>
  <c r="CP751" i="5"/>
  <c r="CO751" i="5"/>
  <c r="CN751" i="5"/>
  <c r="CM751" i="5"/>
  <c r="CL751" i="5"/>
  <c r="CK751" i="5"/>
  <c r="CJ751" i="5"/>
  <c r="CI751" i="5"/>
  <c r="CH751" i="5"/>
  <c r="CG751" i="5"/>
  <c r="CF751" i="5"/>
  <c r="CE751" i="5"/>
  <c r="IO750" i="5"/>
  <c r="IN750" i="5"/>
  <c r="FV750" i="5"/>
  <c r="FU750" i="5"/>
  <c r="FT750" i="5"/>
  <c r="FS750" i="5"/>
  <c r="FR750" i="5"/>
  <c r="FQ750" i="5"/>
  <c r="FP750" i="5"/>
  <c r="FO750" i="5"/>
  <c r="FN750" i="5"/>
  <c r="FM750" i="5"/>
  <c r="FL750" i="5"/>
  <c r="FK750" i="5"/>
  <c r="FJ750" i="5"/>
  <c r="FI750" i="5"/>
  <c r="FH750" i="5"/>
  <c r="FG750" i="5"/>
  <c r="FF750" i="5"/>
  <c r="FE750" i="5"/>
  <c r="FD750" i="5"/>
  <c r="FC750" i="5"/>
  <c r="FB750" i="5"/>
  <c r="FA750" i="5"/>
  <c r="EZ750" i="5"/>
  <c r="EY750" i="5"/>
  <c r="EX750" i="5"/>
  <c r="EW750" i="5"/>
  <c r="EV750" i="5"/>
  <c r="EU750" i="5"/>
  <c r="ET750" i="5"/>
  <c r="ES750" i="5"/>
  <c r="ER750" i="5"/>
  <c r="EQ750" i="5"/>
  <c r="EP750" i="5"/>
  <c r="EO750" i="5"/>
  <c r="EN750" i="5"/>
  <c r="EM750" i="5"/>
  <c r="EL750" i="5"/>
  <c r="EK750" i="5"/>
  <c r="EJ750" i="5"/>
  <c r="EI750" i="5"/>
  <c r="EH750" i="5"/>
  <c r="EG750" i="5"/>
  <c r="EF750" i="5"/>
  <c r="EE750" i="5"/>
  <c r="ED750" i="5"/>
  <c r="EC750" i="5"/>
  <c r="EB750" i="5"/>
  <c r="EA750" i="5"/>
  <c r="DZ750" i="5"/>
  <c r="DY750" i="5"/>
  <c r="DX750" i="5"/>
  <c r="DW750" i="5"/>
  <c r="DV750" i="5"/>
  <c r="DU750" i="5"/>
  <c r="DT750" i="5"/>
  <c r="DS750" i="5"/>
  <c r="DR750" i="5"/>
  <c r="DQ750" i="5"/>
  <c r="DP750" i="5"/>
  <c r="DO750" i="5"/>
  <c r="DN750" i="5"/>
  <c r="DM750" i="5"/>
  <c r="DL750" i="5"/>
  <c r="DK750" i="5"/>
  <c r="DJ750" i="5"/>
  <c r="DI750" i="5"/>
  <c r="DH750" i="5"/>
  <c r="DG750" i="5"/>
  <c r="DF750" i="5"/>
  <c r="DE750" i="5"/>
  <c r="DD750" i="5"/>
  <c r="DC750" i="5"/>
  <c r="DB750" i="5"/>
  <c r="DA750" i="5"/>
  <c r="CZ750" i="5"/>
  <c r="CY750" i="5"/>
  <c r="CX750" i="5"/>
  <c r="CW750" i="5"/>
  <c r="CV750" i="5"/>
  <c r="CU750" i="5"/>
  <c r="CT750" i="5"/>
  <c r="CS750" i="5"/>
  <c r="CR750" i="5"/>
  <c r="CQ750" i="5"/>
  <c r="CP750" i="5"/>
  <c r="CO750" i="5"/>
  <c r="CN750" i="5"/>
  <c r="CM750" i="5"/>
  <c r="CL750" i="5"/>
  <c r="CK750" i="5"/>
  <c r="CJ750" i="5"/>
  <c r="CI750" i="5"/>
  <c r="CH750" i="5"/>
  <c r="CG750" i="5"/>
  <c r="CF750" i="5"/>
  <c r="CE750" i="5"/>
  <c r="IN749" i="5"/>
  <c r="GC749" i="5"/>
  <c r="GC666" i="5" s="1"/>
  <c r="FV749" i="5"/>
  <c r="FU749" i="5"/>
  <c r="FT749" i="5"/>
  <c r="FS749" i="5"/>
  <c r="FR749" i="5"/>
  <c r="FQ749" i="5"/>
  <c r="FP749" i="5"/>
  <c r="FO749" i="5"/>
  <c r="FN749" i="5"/>
  <c r="FM749" i="5"/>
  <c r="FL749" i="5"/>
  <c r="FK749" i="5"/>
  <c r="FJ749" i="5"/>
  <c r="FI749" i="5"/>
  <c r="FH749" i="5"/>
  <c r="FG749" i="5"/>
  <c r="FF749" i="5"/>
  <c r="FE749" i="5"/>
  <c r="FD749" i="5"/>
  <c r="FC749" i="5"/>
  <c r="FB749" i="5"/>
  <c r="FA749" i="5"/>
  <c r="EZ749" i="5"/>
  <c r="EY749" i="5"/>
  <c r="EX749" i="5"/>
  <c r="EW749" i="5"/>
  <c r="EV749" i="5"/>
  <c r="EU749" i="5"/>
  <c r="ET749" i="5"/>
  <c r="ES749" i="5"/>
  <c r="ER749" i="5"/>
  <c r="EQ749" i="5"/>
  <c r="EP749" i="5"/>
  <c r="EO749" i="5"/>
  <c r="EN749" i="5"/>
  <c r="EM749" i="5"/>
  <c r="EL749" i="5"/>
  <c r="EK749" i="5"/>
  <c r="EJ749" i="5"/>
  <c r="EI749" i="5"/>
  <c r="EH749" i="5"/>
  <c r="EG749" i="5"/>
  <c r="EF749" i="5"/>
  <c r="EE749" i="5"/>
  <c r="ED749" i="5"/>
  <c r="EC749" i="5"/>
  <c r="EB749" i="5"/>
  <c r="EA749" i="5"/>
  <c r="DZ749" i="5"/>
  <c r="DY749" i="5"/>
  <c r="DX749" i="5"/>
  <c r="DW749" i="5"/>
  <c r="DV749" i="5"/>
  <c r="DU749" i="5"/>
  <c r="DT749" i="5"/>
  <c r="DS749" i="5"/>
  <c r="DR749" i="5"/>
  <c r="DQ749" i="5"/>
  <c r="DP749" i="5"/>
  <c r="DO749" i="5"/>
  <c r="DN749" i="5"/>
  <c r="DM749" i="5"/>
  <c r="DL749" i="5"/>
  <c r="DK749" i="5"/>
  <c r="DJ749" i="5"/>
  <c r="DI749" i="5"/>
  <c r="DH749" i="5"/>
  <c r="DG749" i="5"/>
  <c r="DF749" i="5"/>
  <c r="DE749" i="5"/>
  <c r="DD749" i="5"/>
  <c r="DC749" i="5"/>
  <c r="DB749" i="5"/>
  <c r="DA749" i="5"/>
  <c r="CZ749" i="5"/>
  <c r="CY749" i="5"/>
  <c r="CX749" i="5"/>
  <c r="CW749" i="5"/>
  <c r="CV749" i="5"/>
  <c r="CU749" i="5"/>
  <c r="CT749" i="5"/>
  <c r="CS749" i="5"/>
  <c r="CR749" i="5"/>
  <c r="CQ749" i="5"/>
  <c r="CP749" i="5"/>
  <c r="CO749" i="5"/>
  <c r="CN749" i="5"/>
  <c r="CM749" i="5"/>
  <c r="CL749" i="5"/>
  <c r="CK749" i="5"/>
  <c r="CJ749" i="5"/>
  <c r="CI749" i="5"/>
  <c r="CH749" i="5"/>
  <c r="CG749" i="5"/>
  <c r="CF749" i="5"/>
  <c r="CE749" i="5"/>
  <c r="JB748" i="5"/>
  <c r="IY748" i="5"/>
  <c r="IX748" i="5" s="1"/>
  <c r="IO748" i="5"/>
  <c r="IN748" i="5"/>
  <c r="IL748" i="5"/>
  <c r="IM748" i="5" s="1"/>
  <c r="AF1070" i="2" s="1"/>
  <c r="IO747" i="5"/>
  <c r="IN747" i="5"/>
  <c r="FV747" i="5"/>
  <c r="FU747" i="5"/>
  <c r="FT747" i="5"/>
  <c r="FS747" i="5"/>
  <c r="FR747" i="5"/>
  <c r="FQ747" i="5"/>
  <c r="FP747" i="5"/>
  <c r="FO747" i="5"/>
  <c r="FN747" i="5"/>
  <c r="FM747" i="5"/>
  <c r="FL747" i="5"/>
  <c r="FK747" i="5"/>
  <c r="FJ747" i="5"/>
  <c r="FI747" i="5"/>
  <c r="FH747" i="5"/>
  <c r="FG747" i="5"/>
  <c r="FF747" i="5"/>
  <c r="FE747" i="5"/>
  <c r="FD747" i="5"/>
  <c r="FC747" i="5"/>
  <c r="FB747" i="5"/>
  <c r="FA747" i="5"/>
  <c r="EZ747" i="5"/>
  <c r="EY747" i="5"/>
  <c r="EX747" i="5"/>
  <c r="EW747" i="5"/>
  <c r="EV747" i="5"/>
  <c r="EU747" i="5"/>
  <c r="ET747" i="5"/>
  <c r="ES747" i="5"/>
  <c r="ER747" i="5"/>
  <c r="EQ747" i="5"/>
  <c r="EP747" i="5"/>
  <c r="EO747" i="5"/>
  <c r="EN747" i="5"/>
  <c r="EM747" i="5"/>
  <c r="EL747" i="5"/>
  <c r="EK747" i="5"/>
  <c r="EJ747" i="5"/>
  <c r="EI747" i="5"/>
  <c r="EH747" i="5"/>
  <c r="EG747" i="5"/>
  <c r="EF747" i="5"/>
  <c r="EE747" i="5"/>
  <c r="ED747" i="5"/>
  <c r="EC747" i="5"/>
  <c r="EB747" i="5"/>
  <c r="EA747" i="5"/>
  <c r="DZ747" i="5"/>
  <c r="DY747" i="5"/>
  <c r="DX747" i="5"/>
  <c r="DW747" i="5"/>
  <c r="DV747" i="5"/>
  <c r="DU747" i="5"/>
  <c r="DT747" i="5"/>
  <c r="DS747" i="5"/>
  <c r="DR747" i="5"/>
  <c r="DQ747" i="5"/>
  <c r="DP747" i="5"/>
  <c r="DO747" i="5"/>
  <c r="DN747" i="5"/>
  <c r="DM747" i="5"/>
  <c r="DL747" i="5"/>
  <c r="DK747" i="5"/>
  <c r="DJ747" i="5"/>
  <c r="DI747" i="5"/>
  <c r="DH747" i="5"/>
  <c r="DG747" i="5"/>
  <c r="DF747" i="5"/>
  <c r="DE747" i="5"/>
  <c r="DD747" i="5"/>
  <c r="DC747" i="5"/>
  <c r="DB747" i="5"/>
  <c r="DA747" i="5"/>
  <c r="CZ747" i="5"/>
  <c r="CY747" i="5"/>
  <c r="CX747" i="5"/>
  <c r="CW747" i="5"/>
  <c r="CV747" i="5"/>
  <c r="CU747" i="5"/>
  <c r="CT747" i="5"/>
  <c r="CS747" i="5"/>
  <c r="CR747" i="5"/>
  <c r="CQ747" i="5"/>
  <c r="CP747" i="5"/>
  <c r="CO747" i="5"/>
  <c r="CN747" i="5"/>
  <c r="CM747" i="5"/>
  <c r="CL747" i="5"/>
  <c r="CK747" i="5"/>
  <c r="CJ747" i="5"/>
  <c r="CI747" i="5"/>
  <c r="CH747" i="5"/>
  <c r="CG747" i="5"/>
  <c r="CF747" i="5"/>
  <c r="CE747" i="5"/>
  <c r="IO746" i="5"/>
  <c r="IN746" i="5"/>
  <c r="FV746" i="5"/>
  <c r="FU746" i="5"/>
  <c r="FT746" i="5"/>
  <c r="FS746" i="5"/>
  <c r="FR746" i="5"/>
  <c r="FQ746" i="5"/>
  <c r="FP746" i="5"/>
  <c r="FO746" i="5"/>
  <c r="FN746" i="5"/>
  <c r="FM746" i="5"/>
  <c r="FL746" i="5"/>
  <c r="FK746" i="5"/>
  <c r="FJ746" i="5"/>
  <c r="FI746" i="5"/>
  <c r="FH746" i="5"/>
  <c r="FG746" i="5"/>
  <c r="FF746" i="5"/>
  <c r="FE746" i="5"/>
  <c r="FD746" i="5"/>
  <c r="FC746" i="5"/>
  <c r="FB746" i="5"/>
  <c r="FA746" i="5"/>
  <c r="EZ746" i="5"/>
  <c r="EY746" i="5"/>
  <c r="EX746" i="5"/>
  <c r="EW746" i="5"/>
  <c r="EV746" i="5"/>
  <c r="EU746" i="5"/>
  <c r="ET746" i="5"/>
  <c r="ES746" i="5"/>
  <c r="ER746" i="5"/>
  <c r="EQ746" i="5"/>
  <c r="EP746" i="5"/>
  <c r="EO746" i="5"/>
  <c r="EN746" i="5"/>
  <c r="EM746" i="5"/>
  <c r="EL746" i="5"/>
  <c r="EK746" i="5"/>
  <c r="EJ746" i="5"/>
  <c r="EI746" i="5"/>
  <c r="EH746" i="5"/>
  <c r="EG746" i="5"/>
  <c r="EF746" i="5"/>
  <c r="EE746" i="5"/>
  <c r="ED746" i="5"/>
  <c r="EC746" i="5"/>
  <c r="EB746" i="5"/>
  <c r="EA746" i="5"/>
  <c r="DZ746" i="5"/>
  <c r="DY746" i="5"/>
  <c r="DX746" i="5"/>
  <c r="DW746" i="5"/>
  <c r="DV746" i="5"/>
  <c r="DU746" i="5"/>
  <c r="DT746" i="5"/>
  <c r="DS746" i="5"/>
  <c r="DR746" i="5"/>
  <c r="DQ746" i="5"/>
  <c r="DP746" i="5"/>
  <c r="DO746" i="5"/>
  <c r="DN746" i="5"/>
  <c r="DM746" i="5"/>
  <c r="DL746" i="5"/>
  <c r="DK746" i="5"/>
  <c r="DJ746" i="5"/>
  <c r="DI746" i="5"/>
  <c r="DH746" i="5"/>
  <c r="DG746" i="5"/>
  <c r="DF746" i="5"/>
  <c r="DE746" i="5"/>
  <c r="DD746" i="5"/>
  <c r="DC746" i="5"/>
  <c r="DB746" i="5"/>
  <c r="DA746" i="5"/>
  <c r="CZ746" i="5"/>
  <c r="CY746" i="5"/>
  <c r="CX746" i="5"/>
  <c r="CW746" i="5"/>
  <c r="CV746" i="5"/>
  <c r="CU746" i="5"/>
  <c r="CT746" i="5"/>
  <c r="CS746" i="5"/>
  <c r="CR746" i="5"/>
  <c r="CQ746" i="5"/>
  <c r="CP746" i="5"/>
  <c r="CO746" i="5"/>
  <c r="CN746" i="5"/>
  <c r="CM746" i="5"/>
  <c r="CL746" i="5"/>
  <c r="CK746" i="5"/>
  <c r="CJ746" i="5"/>
  <c r="CI746" i="5"/>
  <c r="CH746" i="5"/>
  <c r="CG746" i="5"/>
  <c r="CF746" i="5"/>
  <c r="CE746" i="5"/>
  <c r="JE745" i="5"/>
  <c r="JC745" i="5" s="1"/>
  <c r="JD745" i="5" s="1"/>
  <c r="JB745" i="5"/>
  <c r="IZ745" i="5" s="1"/>
  <c r="JA745" i="5" s="1"/>
  <c r="IY745" i="5"/>
  <c r="IX745" i="5" s="1"/>
  <c r="IO745" i="5"/>
  <c r="IN745" i="5"/>
  <c r="IL745" i="5"/>
  <c r="IM745" i="5" s="1"/>
  <c r="AF1067" i="2" s="1"/>
  <c r="IO744" i="5"/>
  <c r="IN744" i="5"/>
  <c r="IO743" i="5"/>
  <c r="IN743" i="5"/>
  <c r="FV743" i="5"/>
  <c r="FU743" i="5"/>
  <c r="FT743" i="5"/>
  <c r="FS743" i="5"/>
  <c r="FR743" i="5"/>
  <c r="FQ743" i="5"/>
  <c r="FP743" i="5"/>
  <c r="FO743" i="5"/>
  <c r="FN743" i="5"/>
  <c r="FM743" i="5"/>
  <c r="FL743" i="5"/>
  <c r="FK743" i="5"/>
  <c r="FJ743" i="5"/>
  <c r="FI743" i="5"/>
  <c r="FH743" i="5"/>
  <c r="FG743" i="5"/>
  <c r="FF743" i="5"/>
  <c r="FE743" i="5"/>
  <c r="FD743" i="5"/>
  <c r="FC743" i="5"/>
  <c r="FB743" i="5"/>
  <c r="FA743" i="5"/>
  <c r="EZ743" i="5"/>
  <c r="EY743" i="5"/>
  <c r="EX743" i="5"/>
  <c r="EW743" i="5"/>
  <c r="EV743" i="5"/>
  <c r="EU743" i="5"/>
  <c r="ET743" i="5"/>
  <c r="ES743" i="5"/>
  <c r="ER743" i="5"/>
  <c r="EQ743" i="5"/>
  <c r="EP743" i="5"/>
  <c r="EO743" i="5"/>
  <c r="EN743" i="5"/>
  <c r="EM743" i="5"/>
  <c r="EL743" i="5"/>
  <c r="EK743" i="5"/>
  <c r="EJ743" i="5"/>
  <c r="EI743" i="5"/>
  <c r="EH743" i="5"/>
  <c r="EG743" i="5"/>
  <c r="EF743" i="5"/>
  <c r="EE743" i="5"/>
  <c r="ED743" i="5"/>
  <c r="EC743" i="5"/>
  <c r="EB743" i="5"/>
  <c r="EA743" i="5"/>
  <c r="DZ743" i="5"/>
  <c r="DY743" i="5"/>
  <c r="DX743" i="5"/>
  <c r="DW743" i="5"/>
  <c r="DV743" i="5"/>
  <c r="DU743" i="5"/>
  <c r="DT743" i="5"/>
  <c r="DS743" i="5"/>
  <c r="DR743" i="5"/>
  <c r="DQ743" i="5"/>
  <c r="DP743" i="5"/>
  <c r="DO743" i="5"/>
  <c r="DN743" i="5"/>
  <c r="DM743" i="5"/>
  <c r="DL743" i="5"/>
  <c r="DK743" i="5"/>
  <c r="DJ743" i="5"/>
  <c r="DI743" i="5"/>
  <c r="DH743" i="5"/>
  <c r="DG743" i="5"/>
  <c r="DF743" i="5"/>
  <c r="DE743" i="5"/>
  <c r="DD743" i="5"/>
  <c r="DC743" i="5"/>
  <c r="DB743" i="5"/>
  <c r="DA743" i="5"/>
  <c r="CZ743" i="5"/>
  <c r="CY743" i="5"/>
  <c r="CX743" i="5"/>
  <c r="CW743" i="5"/>
  <c r="CV743" i="5"/>
  <c r="CU743" i="5"/>
  <c r="CT743" i="5"/>
  <c r="CS743" i="5"/>
  <c r="CR743" i="5"/>
  <c r="CQ743" i="5"/>
  <c r="CP743" i="5"/>
  <c r="CO743" i="5"/>
  <c r="CN743" i="5"/>
  <c r="CM743" i="5"/>
  <c r="CL743" i="5"/>
  <c r="CK743" i="5"/>
  <c r="CJ743" i="5"/>
  <c r="CI743" i="5"/>
  <c r="CH743" i="5"/>
  <c r="CG743" i="5"/>
  <c r="CF743" i="5"/>
  <c r="CE743" i="5"/>
  <c r="JE742" i="5"/>
  <c r="JC742" i="5" s="1"/>
  <c r="JB742" i="5"/>
  <c r="IZ742" i="5" s="1"/>
  <c r="JA742" i="5" s="1"/>
  <c r="IY742" i="5"/>
  <c r="IX742" i="5" s="1"/>
  <c r="IO742" i="5"/>
  <c r="IN742" i="5"/>
  <c r="IL742" i="5"/>
  <c r="IM742" i="5" s="1"/>
  <c r="AF1064" i="2" s="1"/>
  <c r="JE741" i="5"/>
  <c r="JC741" i="5" s="1"/>
  <c r="JB741" i="5"/>
  <c r="IZ741" i="5" s="1"/>
  <c r="JA741" i="5" s="1"/>
  <c r="IY741" i="5"/>
  <c r="IX741" i="5" s="1"/>
  <c r="IO741" i="5"/>
  <c r="IN741" i="5"/>
  <c r="IL741" i="5"/>
  <c r="IM741" i="5" s="1"/>
  <c r="AF1063" i="2" s="1"/>
  <c r="IO740" i="5"/>
  <c r="IN740" i="5"/>
  <c r="IL740" i="5"/>
  <c r="IM740" i="5" s="1"/>
  <c r="AF1062" i="2" s="1"/>
  <c r="IO739" i="5"/>
  <c r="IN739" i="5"/>
  <c r="FV739" i="5"/>
  <c r="FU739" i="5"/>
  <c r="FT739" i="5"/>
  <c r="FS739" i="5"/>
  <c r="FR739" i="5"/>
  <c r="FQ739" i="5"/>
  <c r="FP739" i="5"/>
  <c r="FO739" i="5"/>
  <c r="FN739" i="5"/>
  <c r="FM739" i="5"/>
  <c r="FL739" i="5"/>
  <c r="FK739" i="5"/>
  <c r="FJ739" i="5"/>
  <c r="FI739" i="5"/>
  <c r="FH739" i="5"/>
  <c r="FG739" i="5"/>
  <c r="FF739" i="5"/>
  <c r="FE739" i="5"/>
  <c r="FD739" i="5"/>
  <c r="FC739" i="5"/>
  <c r="FB739" i="5"/>
  <c r="FA739" i="5"/>
  <c r="EZ739" i="5"/>
  <c r="EY739" i="5"/>
  <c r="EX739" i="5"/>
  <c r="EW739" i="5"/>
  <c r="EV739" i="5"/>
  <c r="EU739" i="5"/>
  <c r="ET739" i="5"/>
  <c r="ES739" i="5"/>
  <c r="ER739" i="5"/>
  <c r="EQ739" i="5"/>
  <c r="EP739" i="5"/>
  <c r="EO739" i="5"/>
  <c r="EN739" i="5"/>
  <c r="EM739" i="5"/>
  <c r="EL739" i="5"/>
  <c r="EK739" i="5"/>
  <c r="EJ739" i="5"/>
  <c r="EI739" i="5"/>
  <c r="EH739" i="5"/>
  <c r="EG739" i="5"/>
  <c r="EF739" i="5"/>
  <c r="EE739" i="5"/>
  <c r="ED739" i="5"/>
  <c r="EC739" i="5"/>
  <c r="EB739" i="5"/>
  <c r="EA739" i="5"/>
  <c r="DZ739" i="5"/>
  <c r="DY739" i="5"/>
  <c r="DX739" i="5"/>
  <c r="DW739" i="5"/>
  <c r="DV739" i="5"/>
  <c r="DU739" i="5"/>
  <c r="DT739" i="5"/>
  <c r="DS739" i="5"/>
  <c r="DR739" i="5"/>
  <c r="DQ739" i="5"/>
  <c r="DP739" i="5"/>
  <c r="DO739" i="5"/>
  <c r="DN739" i="5"/>
  <c r="DM739" i="5"/>
  <c r="DL739" i="5"/>
  <c r="DK739" i="5"/>
  <c r="DJ739" i="5"/>
  <c r="DI739" i="5"/>
  <c r="DH739" i="5"/>
  <c r="DG739" i="5"/>
  <c r="DF739" i="5"/>
  <c r="DE739" i="5"/>
  <c r="DD739" i="5"/>
  <c r="DC739" i="5"/>
  <c r="DB739" i="5"/>
  <c r="DA739" i="5"/>
  <c r="CZ739" i="5"/>
  <c r="CY739" i="5"/>
  <c r="CX739" i="5"/>
  <c r="CW739" i="5"/>
  <c r="CV739" i="5"/>
  <c r="CU739" i="5"/>
  <c r="CT739" i="5"/>
  <c r="CS739" i="5"/>
  <c r="CR739" i="5"/>
  <c r="CQ739" i="5"/>
  <c r="CP739" i="5"/>
  <c r="CO739" i="5"/>
  <c r="CN739" i="5"/>
  <c r="CM739" i="5"/>
  <c r="CL739" i="5"/>
  <c r="CK739" i="5"/>
  <c r="CJ739" i="5"/>
  <c r="CI739" i="5"/>
  <c r="CH739" i="5"/>
  <c r="CG739" i="5"/>
  <c r="CF739" i="5"/>
  <c r="CE739" i="5"/>
  <c r="IO738" i="5"/>
  <c r="IN738" i="5"/>
  <c r="FV738" i="5"/>
  <c r="FU738" i="5"/>
  <c r="FT738" i="5"/>
  <c r="FS738" i="5"/>
  <c r="FR738" i="5"/>
  <c r="FQ738" i="5"/>
  <c r="FP738" i="5"/>
  <c r="FO738" i="5"/>
  <c r="FN738" i="5"/>
  <c r="FM738" i="5"/>
  <c r="FL738" i="5"/>
  <c r="FK738" i="5"/>
  <c r="FJ738" i="5"/>
  <c r="FI738" i="5"/>
  <c r="FH738" i="5"/>
  <c r="FG738" i="5"/>
  <c r="FF738" i="5"/>
  <c r="FE738" i="5"/>
  <c r="FD738" i="5"/>
  <c r="FC738" i="5"/>
  <c r="FB738" i="5"/>
  <c r="FA738" i="5"/>
  <c r="EZ738" i="5"/>
  <c r="EY738" i="5"/>
  <c r="EX738" i="5"/>
  <c r="EW738" i="5"/>
  <c r="EV738" i="5"/>
  <c r="EU738" i="5"/>
  <c r="ET738" i="5"/>
  <c r="ES738" i="5"/>
  <c r="ER738" i="5"/>
  <c r="EQ738" i="5"/>
  <c r="EP738" i="5"/>
  <c r="EO738" i="5"/>
  <c r="EN738" i="5"/>
  <c r="EM738" i="5"/>
  <c r="EL738" i="5"/>
  <c r="EK738" i="5"/>
  <c r="EJ738" i="5"/>
  <c r="EI738" i="5"/>
  <c r="EH738" i="5"/>
  <c r="EG738" i="5"/>
  <c r="EF738" i="5"/>
  <c r="EE738" i="5"/>
  <c r="ED738" i="5"/>
  <c r="EC738" i="5"/>
  <c r="EB738" i="5"/>
  <c r="EA738" i="5"/>
  <c r="DZ738" i="5"/>
  <c r="DY738" i="5"/>
  <c r="DX738" i="5"/>
  <c r="DW738" i="5"/>
  <c r="DV738" i="5"/>
  <c r="DU738" i="5"/>
  <c r="DT738" i="5"/>
  <c r="DS738" i="5"/>
  <c r="DR738" i="5"/>
  <c r="DQ738" i="5"/>
  <c r="DP738" i="5"/>
  <c r="DO738" i="5"/>
  <c r="DN738" i="5"/>
  <c r="DM738" i="5"/>
  <c r="DL738" i="5"/>
  <c r="DK738" i="5"/>
  <c r="DJ738" i="5"/>
  <c r="DI738" i="5"/>
  <c r="DH738" i="5"/>
  <c r="DG738" i="5"/>
  <c r="DF738" i="5"/>
  <c r="DE738" i="5"/>
  <c r="DD738" i="5"/>
  <c r="DC738" i="5"/>
  <c r="DB738" i="5"/>
  <c r="DA738" i="5"/>
  <c r="CZ738" i="5"/>
  <c r="CY738" i="5"/>
  <c r="CX738" i="5"/>
  <c r="CW738" i="5"/>
  <c r="CV738" i="5"/>
  <c r="CU738" i="5"/>
  <c r="CT738" i="5"/>
  <c r="CS738" i="5"/>
  <c r="CR738" i="5"/>
  <c r="CQ738" i="5"/>
  <c r="CP738" i="5"/>
  <c r="CO738" i="5"/>
  <c r="CN738" i="5"/>
  <c r="CM738" i="5"/>
  <c r="CL738" i="5"/>
  <c r="CK738" i="5"/>
  <c r="CJ738" i="5"/>
  <c r="CI738" i="5"/>
  <c r="CH738" i="5"/>
  <c r="CG738" i="5"/>
  <c r="CF738" i="5"/>
  <c r="CE738" i="5"/>
  <c r="IO737" i="5"/>
  <c r="IN737" i="5"/>
  <c r="FV737" i="5"/>
  <c r="FU737" i="5"/>
  <c r="FT737" i="5"/>
  <c r="FS737" i="5"/>
  <c r="FR737" i="5"/>
  <c r="FQ737" i="5"/>
  <c r="FP737" i="5"/>
  <c r="FO737" i="5"/>
  <c r="FN737" i="5"/>
  <c r="FM737" i="5"/>
  <c r="FL737" i="5"/>
  <c r="FK737" i="5"/>
  <c r="FJ737" i="5"/>
  <c r="FI737" i="5"/>
  <c r="FH737" i="5"/>
  <c r="FG737" i="5"/>
  <c r="FF737" i="5"/>
  <c r="FE737" i="5"/>
  <c r="FD737" i="5"/>
  <c r="FC737" i="5"/>
  <c r="FB737" i="5"/>
  <c r="FA737" i="5"/>
  <c r="EZ737" i="5"/>
  <c r="EY737" i="5"/>
  <c r="EX737" i="5"/>
  <c r="EW737" i="5"/>
  <c r="EV737" i="5"/>
  <c r="EU737" i="5"/>
  <c r="ET737" i="5"/>
  <c r="ES737" i="5"/>
  <c r="ER737" i="5"/>
  <c r="EQ737" i="5"/>
  <c r="EP737" i="5"/>
  <c r="EO737" i="5"/>
  <c r="EN737" i="5"/>
  <c r="EM737" i="5"/>
  <c r="EL737" i="5"/>
  <c r="EK737" i="5"/>
  <c r="EJ737" i="5"/>
  <c r="EI737" i="5"/>
  <c r="EH737" i="5"/>
  <c r="EG737" i="5"/>
  <c r="EF737" i="5"/>
  <c r="EE737" i="5"/>
  <c r="ED737" i="5"/>
  <c r="EC737" i="5"/>
  <c r="EB737" i="5"/>
  <c r="EA737" i="5"/>
  <c r="DZ737" i="5"/>
  <c r="DY737" i="5"/>
  <c r="DX737" i="5"/>
  <c r="DW737" i="5"/>
  <c r="DV737" i="5"/>
  <c r="DU737" i="5"/>
  <c r="DT737" i="5"/>
  <c r="DS737" i="5"/>
  <c r="DR737" i="5"/>
  <c r="DQ737" i="5"/>
  <c r="DP737" i="5"/>
  <c r="DO737" i="5"/>
  <c r="DN737" i="5"/>
  <c r="DM737" i="5"/>
  <c r="DL737" i="5"/>
  <c r="DK737" i="5"/>
  <c r="DJ737" i="5"/>
  <c r="DI737" i="5"/>
  <c r="DH737" i="5"/>
  <c r="DG737" i="5"/>
  <c r="DF737" i="5"/>
  <c r="DE737" i="5"/>
  <c r="DD737" i="5"/>
  <c r="DC737" i="5"/>
  <c r="DB737" i="5"/>
  <c r="DA737" i="5"/>
  <c r="CZ737" i="5"/>
  <c r="CY737" i="5"/>
  <c r="CX737" i="5"/>
  <c r="CW737" i="5"/>
  <c r="CV737" i="5"/>
  <c r="CU737" i="5"/>
  <c r="CT737" i="5"/>
  <c r="CS737" i="5"/>
  <c r="CR737" i="5"/>
  <c r="CQ737" i="5"/>
  <c r="CP737" i="5"/>
  <c r="CO737" i="5"/>
  <c r="CN737" i="5"/>
  <c r="CM737" i="5"/>
  <c r="CL737" i="5"/>
  <c r="CK737" i="5"/>
  <c r="CJ737" i="5"/>
  <c r="CI737" i="5"/>
  <c r="CH737" i="5"/>
  <c r="CG737" i="5"/>
  <c r="CF737" i="5"/>
  <c r="CE737" i="5"/>
  <c r="IN736" i="5"/>
  <c r="FV736" i="5"/>
  <c r="FU736" i="5"/>
  <c r="FT736" i="5"/>
  <c r="FS736" i="5"/>
  <c r="FR736" i="5"/>
  <c r="FQ736" i="5"/>
  <c r="FP736" i="5"/>
  <c r="FO736" i="5"/>
  <c r="FN736" i="5"/>
  <c r="FM736" i="5"/>
  <c r="FL736" i="5"/>
  <c r="FK736" i="5"/>
  <c r="FJ736" i="5"/>
  <c r="FI736" i="5"/>
  <c r="FH736" i="5"/>
  <c r="FG736" i="5"/>
  <c r="FF736" i="5"/>
  <c r="FE736" i="5"/>
  <c r="FD736" i="5"/>
  <c r="FC736" i="5"/>
  <c r="FB736" i="5"/>
  <c r="FA736" i="5"/>
  <c r="EZ736" i="5"/>
  <c r="EY736" i="5"/>
  <c r="EX736" i="5"/>
  <c r="EW736" i="5"/>
  <c r="EV736" i="5"/>
  <c r="EU736" i="5"/>
  <c r="ET736" i="5"/>
  <c r="ES736" i="5"/>
  <c r="ER736" i="5"/>
  <c r="EQ736" i="5"/>
  <c r="EP736" i="5"/>
  <c r="EO736" i="5"/>
  <c r="EN736" i="5"/>
  <c r="EM736" i="5"/>
  <c r="EL736" i="5"/>
  <c r="EK736" i="5"/>
  <c r="EJ736" i="5"/>
  <c r="EI736" i="5"/>
  <c r="EH736" i="5"/>
  <c r="EG736" i="5"/>
  <c r="EF736" i="5"/>
  <c r="EE736" i="5"/>
  <c r="ED736" i="5"/>
  <c r="EC736" i="5"/>
  <c r="EB736" i="5"/>
  <c r="EA736" i="5"/>
  <c r="DZ736" i="5"/>
  <c r="DY736" i="5"/>
  <c r="DX736" i="5"/>
  <c r="DW736" i="5"/>
  <c r="DV736" i="5"/>
  <c r="DU736" i="5"/>
  <c r="DT736" i="5"/>
  <c r="DS736" i="5"/>
  <c r="DR736" i="5"/>
  <c r="DQ736" i="5"/>
  <c r="DP736" i="5"/>
  <c r="DO736" i="5"/>
  <c r="DN736" i="5"/>
  <c r="DM736" i="5"/>
  <c r="DL736" i="5"/>
  <c r="DK736" i="5"/>
  <c r="DJ736" i="5"/>
  <c r="DI736" i="5"/>
  <c r="DH736" i="5"/>
  <c r="DG736" i="5"/>
  <c r="DF736" i="5"/>
  <c r="DE736" i="5"/>
  <c r="DD736" i="5"/>
  <c r="DC736" i="5"/>
  <c r="DB736" i="5"/>
  <c r="DA736" i="5"/>
  <c r="CZ736" i="5"/>
  <c r="CY736" i="5"/>
  <c r="CX736" i="5"/>
  <c r="CW736" i="5"/>
  <c r="CV736" i="5"/>
  <c r="CU736" i="5"/>
  <c r="CT736" i="5"/>
  <c r="CS736" i="5"/>
  <c r="CR736" i="5"/>
  <c r="CQ736" i="5"/>
  <c r="CP736" i="5"/>
  <c r="CO736" i="5"/>
  <c r="CN736" i="5"/>
  <c r="CM736" i="5"/>
  <c r="CL736" i="5"/>
  <c r="CK736" i="5"/>
  <c r="CJ736" i="5"/>
  <c r="CI736" i="5"/>
  <c r="CH736" i="5"/>
  <c r="CG736" i="5"/>
  <c r="CF736" i="5"/>
  <c r="CE736" i="5"/>
  <c r="IO735" i="5"/>
  <c r="IN735" i="5"/>
  <c r="FV735" i="5"/>
  <c r="FU735" i="5"/>
  <c r="FT735" i="5"/>
  <c r="FS735" i="5"/>
  <c r="FR735" i="5"/>
  <c r="FQ735" i="5"/>
  <c r="FP735" i="5"/>
  <c r="FO735" i="5"/>
  <c r="FN735" i="5"/>
  <c r="FM735" i="5"/>
  <c r="FL735" i="5"/>
  <c r="FK735" i="5"/>
  <c r="FJ735" i="5"/>
  <c r="FI735" i="5"/>
  <c r="FH735" i="5"/>
  <c r="FG735" i="5"/>
  <c r="FF735" i="5"/>
  <c r="FE735" i="5"/>
  <c r="FD735" i="5"/>
  <c r="FC735" i="5"/>
  <c r="FB735" i="5"/>
  <c r="FA735" i="5"/>
  <c r="EZ735" i="5"/>
  <c r="EY735" i="5"/>
  <c r="EX735" i="5"/>
  <c r="EW735" i="5"/>
  <c r="EV735" i="5"/>
  <c r="EU735" i="5"/>
  <c r="ET735" i="5"/>
  <c r="ES735" i="5"/>
  <c r="ER735" i="5"/>
  <c r="EQ735" i="5"/>
  <c r="EP735" i="5"/>
  <c r="EO735" i="5"/>
  <c r="EN735" i="5"/>
  <c r="EM735" i="5"/>
  <c r="EL735" i="5"/>
  <c r="EK735" i="5"/>
  <c r="EJ735" i="5"/>
  <c r="EI735" i="5"/>
  <c r="EH735" i="5"/>
  <c r="EG735" i="5"/>
  <c r="EF735" i="5"/>
  <c r="EE735" i="5"/>
  <c r="ED735" i="5"/>
  <c r="EC735" i="5"/>
  <c r="EB735" i="5"/>
  <c r="EA735" i="5"/>
  <c r="DZ735" i="5"/>
  <c r="DY735" i="5"/>
  <c r="DX735" i="5"/>
  <c r="DW735" i="5"/>
  <c r="DV735" i="5"/>
  <c r="DU735" i="5"/>
  <c r="DT735" i="5"/>
  <c r="DS735" i="5"/>
  <c r="DR735" i="5"/>
  <c r="DQ735" i="5"/>
  <c r="DP735" i="5"/>
  <c r="DO735" i="5"/>
  <c r="DN735" i="5"/>
  <c r="DM735" i="5"/>
  <c r="DL735" i="5"/>
  <c r="DK735" i="5"/>
  <c r="DJ735" i="5"/>
  <c r="DI735" i="5"/>
  <c r="DH735" i="5"/>
  <c r="DG735" i="5"/>
  <c r="DF735" i="5"/>
  <c r="DE735" i="5"/>
  <c r="DD735" i="5"/>
  <c r="DC735" i="5"/>
  <c r="DB735" i="5"/>
  <c r="DA735" i="5"/>
  <c r="CZ735" i="5"/>
  <c r="CY735" i="5"/>
  <c r="CX735" i="5"/>
  <c r="CW735" i="5"/>
  <c r="CV735" i="5"/>
  <c r="CU735" i="5"/>
  <c r="CT735" i="5"/>
  <c r="CS735" i="5"/>
  <c r="CR735" i="5"/>
  <c r="CQ735" i="5"/>
  <c r="CP735" i="5"/>
  <c r="CO735" i="5"/>
  <c r="CN735" i="5"/>
  <c r="CM735" i="5"/>
  <c r="CL735" i="5"/>
  <c r="CK735" i="5"/>
  <c r="CJ735" i="5"/>
  <c r="CI735" i="5"/>
  <c r="CH735" i="5"/>
  <c r="CG735" i="5"/>
  <c r="CF735" i="5"/>
  <c r="CE735" i="5"/>
  <c r="IO734" i="5"/>
  <c r="IN734" i="5"/>
  <c r="FV734" i="5"/>
  <c r="FU734" i="5"/>
  <c r="FT734" i="5"/>
  <c r="FS734" i="5"/>
  <c r="FR734" i="5"/>
  <c r="FQ734" i="5"/>
  <c r="FP734" i="5"/>
  <c r="FO734" i="5"/>
  <c r="FN734" i="5"/>
  <c r="FM734" i="5"/>
  <c r="FL734" i="5"/>
  <c r="FK734" i="5"/>
  <c r="FJ734" i="5"/>
  <c r="FI734" i="5"/>
  <c r="FH734" i="5"/>
  <c r="FG734" i="5"/>
  <c r="FF734" i="5"/>
  <c r="FE734" i="5"/>
  <c r="FD734" i="5"/>
  <c r="FC734" i="5"/>
  <c r="FB734" i="5"/>
  <c r="FA734" i="5"/>
  <c r="EZ734" i="5"/>
  <c r="EY734" i="5"/>
  <c r="EX734" i="5"/>
  <c r="EW734" i="5"/>
  <c r="EV734" i="5"/>
  <c r="EU734" i="5"/>
  <c r="ET734" i="5"/>
  <c r="ES734" i="5"/>
  <c r="ER734" i="5"/>
  <c r="EQ734" i="5"/>
  <c r="EP734" i="5"/>
  <c r="EO734" i="5"/>
  <c r="EN734" i="5"/>
  <c r="EM734" i="5"/>
  <c r="EL734" i="5"/>
  <c r="EK734" i="5"/>
  <c r="EJ734" i="5"/>
  <c r="EI734" i="5"/>
  <c r="EH734" i="5"/>
  <c r="EG734" i="5"/>
  <c r="EF734" i="5"/>
  <c r="EE734" i="5"/>
  <c r="ED734" i="5"/>
  <c r="EC734" i="5"/>
  <c r="EB734" i="5"/>
  <c r="EA734" i="5"/>
  <c r="DZ734" i="5"/>
  <c r="DY734" i="5"/>
  <c r="DX734" i="5"/>
  <c r="DW734" i="5"/>
  <c r="DV734" i="5"/>
  <c r="DU734" i="5"/>
  <c r="DT734" i="5"/>
  <c r="DS734" i="5"/>
  <c r="DR734" i="5"/>
  <c r="DQ734" i="5"/>
  <c r="DP734" i="5"/>
  <c r="DO734" i="5"/>
  <c r="DN734" i="5"/>
  <c r="DM734" i="5"/>
  <c r="DL734" i="5"/>
  <c r="DK734" i="5"/>
  <c r="DJ734" i="5"/>
  <c r="DI734" i="5"/>
  <c r="DH734" i="5"/>
  <c r="DG734" i="5"/>
  <c r="DF734" i="5"/>
  <c r="DE734" i="5"/>
  <c r="DD734" i="5"/>
  <c r="DC734" i="5"/>
  <c r="DB734" i="5"/>
  <c r="DA734" i="5"/>
  <c r="CZ734" i="5"/>
  <c r="CY734" i="5"/>
  <c r="CX734" i="5"/>
  <c r="CW734" i="5"/>
  <c r="CV734" i="5"/>
  <c r="CU734" i="5"/>
  <c r="CT734" i="5"/>
  <c r="CS734" i="5"/>
  <c r="CR734" i="5"/>
  <c r="CQ734" i="5"/>
  <c r="CP734" i="5"/>
  <c r="CO734" i="5"/>
  <c r="CN734" i="5"/>
  <c r="CM734" i="5"/>
  <c r="CL734" i="5"/>
  <c r="CK734" i="5"/>
  <c r="CJ734" i="5"/>
  <c r="CI734" i="5"/>
  <c r="CH734" i="5"/>
  <c r="CG734" i="5"/>
  <c r="CF734" i="5"/>
  <c r="CE734" i="5"/>
  <c r="IO733" i="5"/>
  <c r="IN733" i="5"/>
  <c r="FV733" i="5"/>
  <c r="FU733" i="5"/>
  <c r="FT733" i="5"/>
  <c r="FS733" i="5"/>
  <c r="FR733" i="5"/>
  <c r="FQ733" i="5"/>
  <c r="FP733" i="5"/>
  <c r="FO733" i="5"/>
  <c r="FN733" i="5"/>
  <c r="FM733" i="5"/>
  <c r="FL733" i="5"/>
  <c r="FK733" i="5"/>
  <c r="FJ733" i="5"/>
  <c r="FI733" i="5"/>
  <c r="FH733" i="5"/>
  <c r="FG733" i="5"/>
  <c r="FF733" i="5"/>
  <c r="FE733" i="5"/>
  <c r="FD733" i="5"/>
  <c r="FC733" i="5"/>
  <c r="FB733" i="5"/>
  <c r="FA733" i="5"/>
  <c r="EZ733" i="5"/>
  <c r="EY733" i="5"/>
  <c r="EX733" i="5"/>
  <c r="EW733" i="5"/>
  <c r="EV733" i="5"/>
  <c r="EU733" i="5"/>
  <c r="ET733" i="5"/>
  <c r="ES733" i="5"/>
  <c r="ER733" i="5"/>
  <c r="EQ733" i="5"/>
  <c r="EP733" i="5"/>
  <c r="EO733" i="5"/>
  <c r="EN733" i="5"/>
  <c r="EM733" i="5"/>
  <c r="EL733" i="5"/>
  <c r="EK733" i="5"/>
  <c r="EJ733" i="5"/>
  <c r="EI733" i="5"/>
  <c r="EH733" i="5"/>
  <c r="EG733" i="5"/>
  <c r="EF733" i="5"/>
  <c r="EE733" i="5"/>
  <c r="ED733" i="5"/>
  <c r="EC733" i="5"/>
  <c r="EB733" i="5"/>
  <c r="EA733" i="5"/>
  <c r="DZ733" i="5"/>
  <c r="DY733" i="5"/>
  <c r="DX733" i="5"/>
  <c r="DW733" i="5"/>
  <c r="DV733" i="5"/>
  <c r="DU733" i="5"/>
  <c r="DT733" i="5"/>
  <c r="DS733" i="5"/>
  <c r="DR733" i="5"/>
  <c r="DQ733" i="5"/>
  <c r="DP733" i="5"/>
  <c r="DO733" i="5"/>
  <c r="DN733" i="5"/>
  <c r="DM733" i="5"/>
  <c r="DL733" i="5"/>
  <c r="DK733" i="5"/>
  <c r="DJ733" i="5"/>
  <c r="DI733" i="5"/>
  <c r="DH733" i="5"/>
  <c r="DG733" i="5"/>
  <c r="DF733" i="5"/>
  <c r="DE733" i="5"/>
  <c r="DD733" i="5"/>
  <c r="DC733" i="5"/>
  <c r="DB733" i="5"/>
  <c r="DA733" i="5"/>
  <c r="CZ733" i="5"/>
  <c r="CY733" i="5"/>
  <c r="CX733" i="5"/>
  <c r="CW733" i="5"/>
  <c r="CV733" i="5"/>
  <c r="CU733" i="5"/>
  <c r="CT733" i="5"/>
  <c r="CS733" i="5"/>
  <c r="CR733" i="5"/>
  <c r="CQ733" i="5"/>
  <c r="CP733" i="5"/>
  <c r="CO733" i="5"/>
  <c r="CN733" i="5"/>
  <c r="CM733" i="5"/>
  <c r="CL733" i="5"/>
  <c r="CK733" i="5"/>
  <c r="CJ733" i="5"/>
  <c r="CI733" i="5"/>
  <c r="CH733" i="5"/>
  <c r="CG733" i="5"/>
  <c r="CF733" i="5"/>
  <c r="CE733" i="5"/>
  <c r="IO732" i="5"/>
  <c r="IN732" i="5"/>
  <c r="FV732" i="5"/>
  <c r="FU732" i="5"/>
  <c r="FT732" i="5"/>
  <c r="FS732" i="5"/>
  <c r="FR732" i="5"/>
  <c r="FQ732" i="5"/>
  <c r="FP732" i="5"/>
  <c r="FO732" i="5"/>
  <c r="FN732" i="5"/>
  <c r="FM732" i="5"/>
  <c r="FL732" i="5"/>
  <c r="FK732" i="5"/>
  <c r="FJ732" i="5"/>
  <c r="FI732" i="5"/>
  <c r="FH732" i="5"/>
  <c r="FG732" i="5"/>
  <c r="FF732" i="5"/>
  <c r="FE732" i="5"/>
  <c r="FD732" i="5"/>
  <c r="FC732" i="5"/>
  <c r="FB732" i="5"/>
  <c r="FA732" i="5"/>
  <c r="EZ732" i="5"/>
  <c r="EY732" i="5"/>
  <c r="EX732" i="5"/>
  <c r="EW732" i="5"/>
  <c r="EV732" i="5"/>
  <c r="EU732" i="5"/>
  <c r="ET732" i="5"/>
  <c r="ES732" i="5"/>
  <c r="ER732" i="5"/>
  <c r="EQ732" i="5"/>
  <c r="EP732" i="5"/>
  <c r="EO732" i="5"/>
  <c r="EN732" i="5"/>
  <c r="EM732" i="5"/>
  <c r="EL732" i="5"/>
  <c r="EK732" i="5"/>
  <c r="EJ732" i="5"/>
  <c r="EI732" i="5"/>
  <c r="EH732" i="5"/>
  <c r="EG732" i="5"/>
  <c r="EF732" i="5"/>
  <c r="EE732" i="5"/>
  <c r="ED732" i="5"/>
  <c r="EC732" i="5"/>
  <c r="EB732" i="5"/>
  <c r="EA732" i="5"/>
  <c r="DZ732" i="5"/>
  <c r="DY732" i="5"/>
  <c r="DX732" i="5"/>
  <c r="DW732" i="5"/>
  <c r="DV732" i="5"/>
  <c r="DU732" i="5"/>
  <c r="DT732" i="5"/>
  <c r="DS732" i="5"/>
  <c r="DR732" i="5"/>
  <c r="DQ732" i="5"/>
  <c r="DP732" i="5"/>
  <c r="DO732" i="5"/>
  <c r="DN732" i="5"/>
  <c r="DM732" i="5"/>
  <c r="DL732" i="5"/>
  <c r="DK732" i="5"/>
  <c r="DJ732" i="5"/>
  <c r="DI732" i="5"/>
  <c r="DH732" i="5"/>
  <c r="DG732" i="5"/>
  <c r="DF732" i="5"/>
  <c r="DE732" i="5"/>
  <c r="DD732" i="5"/>
  <c r="DC732" i="5"/>
  <c r="DB732" i="5"/>
  <c r="DA732" i="5"/>
  <c r="CZ732" i="5"/>
  <c r="CY732" i="5"/>
  <c r="CX732" i="5"/>
  <c r="CW732" i="5"/>
  <c r="CV732" i="5"/>
  <c r="CU732" i="5"/>
  <c r="CT732" i="5"/>
  <c r="CS732" i="5"/>
  <c r="CR732" i="5"/>
  <c r="CQ732" i="5"/>
  <c r="CP732" i="5"/>
  <c r="CO732" i="5"/>
  <c r="CN732" i="5"/>
  <c r="CM732" i="5"/>
  <c r="CL732" i="5"/>
  <c r="CK732" i="5"/>
  <c r="CJ732" i="5"/>
  <c r="CI732" i="5"/>
  <c r="CH732" i="5"/>
  <c r="CG732" i="5"/>
  <c r="CF732" i="5"/>
  <c r="CE732" i="5"/>
  <c r="IO731" i="5"/>
  <c r="IN731" i="5"/>
  <c r="FV731" i="5"/>
  <c r="FU731" i="5"/>
  <c r="FT731" i="5"/>
  <c r="FS731" i="5"/>
  <c r="FR731" i="5"/>
  <c r="FQ731" i="5"/>
  <c r="FP731" i="5"/>
  <c r="FO731" i="5"/>
  <c r="FN731" i="5"/>
  <c r="FM731" i="5"/>
  <c r="FL731" i="5"/>
  <c r="FK731" i="5"/>
  <c r="FJ731" i="5"/>
  <c r="FI731" i="5"/>
  <c r="FH731" i="5"/>
  <c r="FG731" i="5"/>
  <c r="FF731" i="5"/>
  <c r="FE731" i="5"/>
  <c r="FD731" i="5"/>
  <c r="FC731" i="5"/>
  <c r="FB731" i="5"/>
  <c r="FA731" i="5"/>
  <c r="EZ731" i="5"/>
  <c r="EY731" i="5"/>
  <c r="EX731" i="5"/>
  <c r="EW731" i="5"/>
  <c r="EV731" i="5"/>
  <c r="EU731" i="5"/>
  <c r="ET731" i="5"/>
  <c r="ES731" i="5"/>
  <c r="ER731" i="5"/>
  <c r="EQ731" i="5"/>
  <c r="EP731" i="5"/>
  <c r="EO731" i="5"/>
  <c r="EN731" i="5"/>
  <c r="EM731" i="5"/>
  <c r="EL731" i="5"/>
  <c r="EK731" i="5"/>
  <c r="EJ731" i="5"/>
  <c r="EI731" i="5"/>
  <c r="EH731" i="5"/>
  <c r="EG731" i="5"/>
  <c r="EF731" i="5"/>
  <c r="EE731" i="5"/>
  <c r="ED731" i="5"/>
  <c r="EC731" i="5"/>
  <c r="EB731" i="5"/>
  <c r="EA731" i="5"/>
  <c r="DZ731" i="5"/>
  <c r="DY731" i="5"/>
  <c r="DX731" i="5"/>
  <c r="DW731" i="5"/>
  <c r="DV731" i="5"/>
  <c r="DU731" i="5"/>
  <c r="DT731" i="5"/>
  <c r="DS731" i="5"/>
  <c r="DR731" i="5"/>
  <c r="DQ731" i="5"/>
  <c r="DP731" i="5"/>
  <c r="DO731" i="5"/>
  <c r="DN731" i="5"/>
  <c r="DM731" i="5"/>
  <c r="DL731" i="5"/>
  <c r="DK731" i="5"/>
  <c r="DJ731" i="5"/>
  <c r="DI731" i="5"/>
  <c r="DH731" i="5"/>
  <c r="DG731" i="5"/>
  <c r="DF731" i="5"/>
  <c r="DE731" i="5"/>
  <c r="DD731" i="5"/>
  <c r="DC731" i="5"/>
  <c r="DB731" i="5"/>
  <c r="DA731" i="5"/>
  <c r="CZ731" i="5"/>
  <c r="CY731" i="5"/>
  <c r="CX731" i="5"/>
  <c r="CW731" i="5"/>
  <c r="CV731" i="5"/>
  <c r="CU731" i="5"/>
  <c r="CT731" i="5"/>
  <c r="CS731" i="5"/>
  <c r="CR731" i="5"/>
  <c r="CQ731" i="5"/>
  <c r="CP731" i="5"/>
  <c r="CO731" i="5"/>
  <c r="CN731" i="5"/>
  <c r="CM731" i="5"/>
  <c r="CL731" i="5"/>
  <c r="CK731" i="5"/>
  <c r="CJ731" i="5"/>
  <c r="CI731" i="5"/>
  <c r="CH731" i="5"/>
  <c r="CG731" i="5"/>
  <c r="CF731" i="5"/>
  <c r="CE731" i="5"/>
  <c r="KP730" i="5"/>
  <c r="KP981" i="5" s="1"/>
  <c r="KO730" i="5"/>
  <c r="KO981" i="5" s="1"/>
  <c r="KN730" i="5"/>
  <c r="KN981" i="5" s="1"/>
  <c r="KM730" i="5"/>
  <c r="KM981" i="5" s="1"/>
  <c r="IN730" i="5"/>
  <c r="CD730" i="5"/>
  <c r="CD981" i="5" s="1"/>
  <c r="CC730" i="5"/>
  <c r="CC981" i="5" s="1"/>
  <c r="CB730" i="5"/>
  <c r="CB981" i="5" s="1"/>
  <c r="CA730" i="5"/>
  <c r="CA981" i="5" s="1"/>
  <c r="BZ730" i="5"/>
  <c r="BZ981" i="5" s="1"/>
  <c r="BY730" i="5"/>
  <c r="BY981" i="5" s="1"/>
  <c r="BX730" i="5"/>
  <c r="BX981" i="5" s="1"/>
  <c r="BW730" i="5"/>
  <c r="BW981" i="5" s="1"/>
  <c r="BV730" i="5"/>
  <c r="BV981" i="5" s="1"/>
  <c r="BU730" i="5"/>
  <c r="BU981" i="5" s="1"/>
  <c r="BT730" i="5"/>
  <c r="BT981" i="5" s="1"/>
  <c r="BS730" i="5"/>
  <c r="BS981" i="5" s="1"/>
  <c r="BR730" i="5"/>
  <c r="BR981" i="5" s="1"/>
  <c r="BQ730" i="5"/>
  <c r="BQ981" i="5" s="1"/>
  <c r="BP730" i="5"/>
  <c r="BP981" i="5" s="1"/>
  <c r="BO730" i="5"/>
  <c r="BO981" i="5" s="1"/>
  <c r="BN730" i="5"/>
  <c r="BN981" i="5" s="1"/>
  <c r="BM730" i="5"/>
  <c r="BM981" i="5" s="1"/>
  <c r="BL730" i="5"/>
  <c r="BL981" i="5" s="1"/>
  <c r="BK730" i="5"/>
  <c r="BK981" i="5" s="1"/>
  <c r="BJ730" i="5"/>
  <c r="BJ981" i="5" s="1"/>
  <c r="BI730" i="5"/>
  <c r="BI981" i="5" s="1"/>
  <c r="BH730" i="5"/>
  <c r="BH981" i="5" s="1"/>
  <c r="BG730" i="5"/>
  <c r="BG981" i="5" s="1"/>
  <c r="BF730" i="5"/>
  <c r="BE730" i="5"/>
  <c r="BE981" i="5" s="1"/>
  <c r="BD730" i="5"/>
  <c r="BD981" i="5" s="1"/>
  <c r="BC730" i="5"/>
  <c r="BC981" i="5" s="1"/>
  <c r="BB730" i="5"/>
  <c r="BB981" i="5" s="1"/>
  <c r="BA730" i="5"/>
  <c r="BA981" i="5" s="1"/>
  <c r="AZ730" i="5"/>
  <c r="AZ981" i="5" s="1"/>
  <c r="AY730" i="5"/>
  <c r="AX730" i="5"/>
  <c r="AX981" i="5" s="1"/>
  <c r="AW730" i="5"/>
  <c r="AW981" i="5" s="1"/>
  <c r="AV730" i="5"/>
  <c r="AV981" i="5" s="1"/>
  <c r="AU730" i="5"/>
  <c r="AU981" i="5" s="1"/>
  <c r="AT730" i="5"/>
  <c r="AT981" i="5" s="1"/>
  <c r="AS730" i="5"/>
  <c r="AS981" i="5" s="1"/>
  <c r="AR730" i="5"/>
  <c r="AR981" i="5" s="1"/>
  <c r="AQ730" i="5"/>
  <c r="AQ981" i="5" s="1"/>
  <c r="AP730" i="5"/>
  <c r="AP981" i="5" s="1"/>
  <c r="AO730" i="5"/>
  <c r="AO981" i="5" s="1"/>
  <c r="AN730" i="5"/>
  <c r="AM730" i="5"/>
  <c r="AM981" i="5" s="1"/>
  <c r="AL730" i="5"/>
  <c r="AL981" i="5" s="1"/>
  <c r="AK730" i="5"/>
  <c r="AK981" i="5" s="1"/>
  <c r="AJ730" i="5"/>
  <c r="AJ981" i="5" s="1"/>
  <c r="AI730" i="5"/>
  <c r="AI981" i="5" s="1"/>
  <c r="AH730" i="5"/>
  <c r="AH981" i="5" s="1"/>
  <c r="AG730" i="5"/>
  <c r="AG981" i="5" s="1"/>
  <c r="AF730" i="5"/>
  <c r="AF981" i="5" s="1"/>
  <c r="AE730" i="5"/>
  <c r="AE981" i="5" s="1"/>
  <c r="AD730" i="5"/>
  <c r="AD981" i="5" s="1"/>
  <c r="AC730" i="5"/>
  <c r="AC981" i="5" s="1"/>
  <c r="AB730" i="5"/>
  <c r="AB981" i="5" s="1"/>
  <c r="AA730" i="5"/>
  <c r="Z730" i="5"/>
  <c r="Z981" i="5" s="1"/>
  <c r="Y730" i="5"/>
  <c r="Y981" i="5" s="1"/>
  <c r="X730" i="5"/>
  <c r="X981" i="5" s="1"/>
  <c r="W730" i="5"/>
  <c r="W981" i="5" s="1"/>
  <c r="V730" i="5"/>
  <c r="V981" i="5" s="1"/>
  <c r="U730" i="5"/>
  <c r="U981" i="5" s="1"/>
  <c r="T730" i="5"/>
  <c r="T981" i="5" s="1"/>
  <c r="S730" i="5"/>
  <c r="S981" i="5" s="1"/>
  <c r="R730" i="5"/>
  <c r="R981" i="5" s="1"/>
  <c r="Q730" i="5"/>
  <c r="Q981" i="5" s="1"/>
  <c r="P730" i="5"/>
  <c r="P981" i="5" s="1"/>
  <c r="O730" i="5"/>
  <c r="O981" i="5" s="1"/>
  <c r="N730" i="5"/>
  <c r="N981" i="5" s="1"/>
  <c r="M730" i="5"/>
  <c r="M981" i="5" s="1"/>
  <c r="L730" i="5"/>
  <c r="L981" i="5" s="1"/>
  <c r="K730" i="5"/>
  <c r="K981" i="5" s="1"/>
  <c r="J730" i="5"/>
  <c r="J981" i="5" s="1"/>
  <c r="I730" i="5"/>
  <c r="I981" i="5" s="1"/>
  <c r="H730" i="5"/>
  <c r="H981" i="5" s="1"/>
  <c r="G730" i="5"/>
  <c r="G981" i="5" s="1"/>
  <c r="F730" i="5"/>
  <c r="F981" i="5" s="1"/>
  <c r="E730" i="5"/>
  <c r="E981" i="5" s="1"/>
  <c r="JD729" i="5"/>
  <c r="JA729" i="5"/>
  <c r="IZ729" i="5"/>
  <c r="IO729" i="5"/>
  <c r="IN729" i="5"/>
  <c r="IL729" i="5"/>
  <c r="IM729" i="5" s="1"/>
  <c r="AF1051" i="2" s="1"/>
  <c r="AF1307" i="2" s="1"/>
  <c r="IJ729" i="5"/>
  <c r="IO728" i="5"/>
  <c r="IN728" i="5"/>
  <c r="FV728" i="5"/>
  <c r="FU728" i="5"/>
  <c r="FT728" i="5"/>
  <c r="FS728" i="5"/>
  <c r="FR728" i="5"/>
  <c r="FQ728" i="5"/>
  <c r="FP728" i="5"/>
  <c r="FO728" i="5"/>
  <c r="FN728" i="5"/>
  <c r="FM728" i="5"/>
  <c r="FL728" i="5"/>
  <c r="FK728" i="5"/>
  <c r="FJ728" i="5"/>
  <c r="FI728" i="5"/>
  <c r="FH728" i="5"/>
  <c r="FG728" i="5"/>
  <c r="FF728" i="5"/>
  <c r="FE728" i="5"/>
  <c r="FD728" i="5"/>
  <c r="FC728" i="5"/>
  <c r="FB728" i="5"/>
  <c r="FA728" i="5"/>
  <c r="EZ728" i="5"/>
  <c r="EY728" i="5"/>
  <c r="EX728" i="5"/>
  <c r="EW728" i="5"/>
  <c r="EV728" i="5"/>
  <c r="EU728" i="5"/>
  <c r="ET728" i="5"/>
  <c r="ES728" i="5"/>
  <c r="ER728" i="5"/>
  <c r="EQ728" i="5"/>
  <c r="EP728" i="5"/>
  <c r="EO728" i="5"/>
  <c r="EN728" i="5"/>
  <c r="EM728" i="5"/>
  <c r="EL728" i="5"/>
  <c r="EK728" i="5"/>
  <c r="EJ728" i="5"/>
  <c r="EI728" i="5"/>
  <c r="EH728" i="5"/>
  <c r="EG728" i="5"/>
  <c r="EF728" i="5"/>
  <c r="EE728" i="5"/>
  <c r="ED728" i="5"/>
  <c r="EC728" i="5"/>
  <c r="EB728" i="5"/>
  <c r="EA728" i="5"/>
  <c r="DZ728" i="5"/>
  <c r="DY728" i="5"/>
  <c r="DX728" i="5"/>
  <c r="DW728" i="5"/>
  <c r="DV728" i="5"/>
  <c r="DU728" i="5"/>
  <c r="DT728" i="5"/>
  <c r="DS728" i="5"/>
  <c r="DR728" i="5"/>
  <c r="DQ728" i="5"/>
  <c r="DP728" i="5"/>
  <c r="DO728" i="5"/>
  <c r="DN728" i="5"/>
  <c r="DM728" i="5"/>
  <c r="DL728" i="5"/>
  <c r="DK728" i="5"/>
  <c r="DJ728" i="5"/>
  <c r="DI728" i="5"/>
  <c r="DH728" i="5"/>
  <c r="DG728" i="5"/>
  <c r="DF728" i="5"/>
  <c r="DE728" i="5"/>
  <c r="DD728" i="5"/>
  <c r="DC728" i="5"/>
  <c r="DB728" i="5"/>
  <c r="DA728" i="5"/>
  <c r="CZ728" i="5"/>
  <c r="CY728" i="5"/>
  <c r="CX728" i="5"/>
  <c r="CW728" i="5"/>
  <c r="CV728" i="5"/>
  <c r="CU728" i="5"/>
  <c r="CT728" i="5"/>
  <c r="CS728" i="5"/>
  <c r="CR728" i="5"/>
  <c r="CQ728" i="5"/>
  <c r="CP728" i="5"/>
  <c r="CO728" i="5"/>
  <c r="CN728" i="5"/>
  <c r="CM728" i="5"/>
  <c r="CL728" i="5"/>
  <c r="CK728" i="5"/>
  <c r="CJ728" i="5"/>
  <c r="CI728" i="5"/>
  <c r="CH728" i="5"/>
  <c r="CG728" i="5"/>
  <c r="CF728" i="5"/>
  <c r="CE728" i="5"/>
  <c r="IO727" i="5"/>
  <c r="IN727" i="5"/>
  <c r="FV727" i="5"/>
  <c r="FU727" i="5"/>
  <c r="FT727" i="5"/>
  <c r="FS727" i="5"/>
  <c r="FR727" i="5"/>
  <c r="FQ727" i="5"/>
  <c r="FP727" i="5"/>
  <c r="FO727" i="5"/>
  <c r="FN727" i="5"/>
  <c r="FM727" i="5"/>
  <c r="FL727" i="5"/>
  <c r="FK727" i="5"/>
  <c r="FJ727" i="5"/>
  <c r="FI727" i="5"/>
  <c r="FH727" i="5"/>
  <c r="FG727" i="5"/>
  <c r="FF727" i="5"/>
  <c r="FE727" i="5"/>
  <c r="FD727" i="5"/>
  <c r="FC727" i="5"/>
  <c r="FB727" i="5"/>
  <c r="FA727" i="5"/>
  <c r="EZ727" i="5"/>
  <c r="EY727" i="5"/>
  <c r="EX727" i="5"/>
  <c r="EW727" i="5"/>
  <c r="EV727" i="5"/>
  <c r="EU727" i="5"/>
  <c r="ET727" i="5"/>
  <c r="ES727" i="5"/>
  <c r="ER727" i="5"/>
  <c r="EQ727" i="5"/>
  <c r="EP727" i="5"/>
  <c r="EO727" i="5"/>
  <c r="EN727" i="5"/>
  <c r="EM727" i="5"/>
  <c r="EL727" i="5"/>
  <c r="EK727" i="5"/>
  <c r="EJ727" i="5"/>
  <c r="EI727" i="5"/>
  <c r="EH727" i="5"/>
  <c r="EG727" i="5"/>
  <c r="EF727" i="5"/>
  <c r="EE727" i="5"/>
  <c r="ED727" i="5"/>
  <c r="EC727" i="5"/>
  <c r="EB727" i="5"/>
  <c r="EA727" i="5"/>
  <c r="DZ727" i="5"/>
  <c r="DY727" i="5"/>
  <c r="DX727" i="5"/>
  <c r="DW727" i="5"/>
  <c r="DV727" i="5"/>
  <c r="DU727" i="5"/>
  <c r="DT727" i="5"/>
  <c r="DS727" i="5"/>
  <c r="DR727" i="5"/>
  <c r="DQ727" i="5"/>
  <c r="DP727" i="5"/>
  <c r="DO727" i="5"/>
  <c r="DN727" i="5"/>
  <c r="DM727" i="5"/>
  <c r="DL727" i="5"/>
  <c r="DK727" i="5"/>
  <c r="DJ727" i="5"/>
  <c r="DI727" i="5"/>
  <c r="DH727" i="5"/>
  <c r="DG727" i="5"/>
  <c r="DF727" i="5"/>
  <c r="DE727" i="5"/>
  <c r="DD727" i="5"/>
  <c r="DC727" i="5"/>
  <c r="DB727" i="5"/>
  <c r="DA727" i="5"/>
  <c r="CZ727" i="5"/>
  <c r="CY727" i="5"/>
  <c r="CX727" i="5"/>
  <c r="CW727" i="5"/>
  <c r="CV727" i="5"/>
  <c r="CU727" i="5"/>
  <c r="CT727" i="5"/>
  <c r="CS727" i="5"/>
  <c r="CR727" i="5"/>
  <c r="CQ727" i="5"/>
  <c r="CP727" i="5"/>
  <c r="CO727" i="5"/>
  <c r="CN727" i="5"/>
  <c r="CM727" i="5"/>
  <c r="CL727" i="5"/>
  <c r="CK727" i="5"/>
  <c r="CJ727" i="5"/>
  <c r="CI727" i="5"/>
  <c r="CH727" i="5"/>
  <c r="CG727" i="5"/>
  <c r="CF727" i="5"/>
  <c r="CE727" i="5"/>
  <c r="IO726" i="5"/>
  <c r="IN726" i="5"/>
  <c r="FV726" i="5"/>
  <c r="FU726" i="5"/>
  <c r="FT726" i="5"/>
  <c r="FS726" i="5"/>
  <c r="FR726" i="5"/>
  <c r="FQ726" i="5"/>
  <c r="FP726" i="5"/>
  <c r="FO726" i="5"/>
  <c r="FN726" i="5"/>
  <c r="FM726" i="5"/>
  <c r="FL726" i="5"/>
  <c r="FK726" i="5"/>
  <c r="FJ726" i="5"/>
  <c r="FI726" i="5"/>
  <c r="FH726" i="5"/>
  <c r="FG726" i="5"/>
  <c r="FF726" i="5"/>
  <c r="FE726" i="5"/>
  <c r="FD726" i="5"/>
  <c r="FC726" i="5"/>
  <c r="FB726" i="5"/>
  <c r="FA726" i="5"/>
  <c r="EZ726" i="5"/>
  <c r="EY726" i="5"/>
  <c r="EX726" i="5"/>
  <c r="EW726" i="5"/>
  <c r="EV726" i="5"/>
  <c r="EU726" i="5"/>
  <c r="ET726" i="5"/>
  <c r="ES726" i="5"/>
  <c r="ER726" i="5"/>
  <c r="EQ726" i="5"/>
  <c r="EP726" i="5"/>
  <c r="EO726" i="5"/>
  <c r="EN726" i="5"/>
  <c r="EM726" i="5"/>
  <c r="EL726" i="5"/>
  <c r="EK726" i="5"/>
  <c r="EJ726" i="5"/>
  <c r="EI726" i="5"/>
  <c r="EH726" i="5"/>
  <c r="EG726" i="5"/>
  <c r="EF726" i="5"/>
  <c r="EE726" i="5"/>
  <c r="ED726" i="5"/>
  <c r="EC726" i="5"/>
  <c r="EB726" i="5"/>
  <c r="EA726" i="5"/>
  <c r="DZ726" i="5"/>
  <c r="DY726" i="5"/>
  <c r="DX726" i="5"/>
  <c r="DW726" i="5"/>
  <c r="DV726" i="5"/>
  <c r="DU726" i="5"/>
  <c r="DT726" i="5"/>
  <c r="DS726" i="5"/>
  <c r="DR726" i="5"/>
  <c r="DQ726" i="5"/>
  <c r="DP726" i="5"/>
  <c r="DO726" i="5"/>
  <c r="DN726" i="5"/>
  <c r="DM726" i="5"/>
  <c r="DL726" i="5"/>
  <c r="DK726" i="5"/>
  <c r="DJ726" i="5"/>
  <c r="DI726" i="5"/>
  <c r="DH726" i="5"/>
  <c r="DG726" i="5"/>
  <c r="DF726" i="5"/>
  <c r="DE726" i="5"/>
  <c r="DD726" i="5"/>
  <c r="DC726" i="5"/>
  <c r="DB726" i="5"/>
  <c r="DA726" i="5"/>
  <c r="CZ726" i="5"/>
  <c r="CY726" i="5"/>
  <c r="CX726" i="5"/>
  <c r="CW726" i="5"/>
  <c r="CV726" i="5"/>
  <c r="CU726" i="5"/>
  <c r="CT726" i="5"/>
  <c r="CS726" i="5"/>
  <c r="CR726" i="5"/>
  <c r="CQ726" i="5"/>
  <c r="CP726" i="5"/>
  <c r="CO726" i="5"/>
  <c r="CN726" i="5"/>
  <c r="CM726" i="5"/>
  <c r="CL726" i="5"/>
  <c r="CK726" i="5"/>
  <c r="CJ726" i="5"/>
  <c r="CI726" i="5"/>
  <c r="CH726" i="5"/>
  <c r="CG726" i="5"/>
  <c r="CF726" i="5"/>
  <c r="CE726" i="5"/>
  <c r="IO725" i="5"/>
  <c r="IN725" i="5"/>
  <c r="IL725" i="5"/>
  <c r="IM725" i="5" s="1"/>
  <c r="AF1047" i="2" s="1"/>
  <c r="JD724" i="5"/>
  <c r="JC724" i="5"/>
  <c r="JA724" i="5"/>
  <c r="IZ724" i="5"/>
  <c r="IO724" i="5"/>
  <c r="IN724" i="5"/>
  <c r="FV724" i="5"/>
  <c r="FU724" i="5"/>
  <c r="FT724" i="5"/>
  <c r="FS724" i="5"/>
  <c r="FR724" i="5"/>
  <c r="FQ724" i="5"/>
  <c r="FP724" i="5"/>
  <c r="FO724" i="5"/>
  <c r="FN724" i="5"/>
  <c r="FM724" i="5"/>
  <c r="FL724" i="5"/>
  <c r="FK724" i="5"/>
  <c r="FJ724" i="5"/>
  <c r="FI724" i="5"/>
  <c r="FH724" i="5"/>
  <c r="FG724" i="5"/>
  <c r="FF724" i="5"/>
  <c r="FE724" i="5"/>
  <c r="FD724" i="5"/>
  <c r="FC724" i="5"/>
  <c r="FB724" i="5"/>
  <c r="FA724" i="5"/>
  <c r="EZ724" i="5"/>
  <c r="EY724" i="5"/>
  <c r="EX724" i="5"/>
  <c r="EW724" i="5"/>
  <c r="EV724" i="5"/>
  <c r="EU724" i="5"/>
  <c r="ET724" i="5"/>
  <c r="ES724" i="5"/>
  <c r="ER724" i="5"/>
  <c r="EQ724" i="5"/>
  <c r="EP724" i="5"/>
  <c r="EO724" i="5"/>
  <c r="EN724" i="5"/>
  <c r="EM724" i="5"/>
  <c r="EL724" i="5"/>
  <c r="EK724" i="5"/>
  <c r="EJ724" i="5"/>
  <c r="EI724" i="5"/>
  <c r="EH724" i="5"/>
  <c r="EG724" i="5"/>
  <c r="EF724" i="5"/>
  <c r="EE724" i="5"/>
  <c r="ED724" i="5"/>
  <c r="EC724" i="5"/>
  <c r="EB724" i="5"/>
  <c r="EA724" i="5"/>
  <c r="DZ724" i="5"/>
  <c r="DY724" i="5"/>
  <c r="DX724" i="5"/>
  <c r="DW724" i="5"/>
  <c r="DV724" i="5"/>
  <c r="DU724" i="5"/>
  <c r="DT724" i="5"/>
  <c r="DS724" i="5"/>
  <c r="DR724" i="5"/>
  <c r="DQ724" i="5"/>
  <c r="DP724" i="5"/>
  <c r="DO724" i="5"/>
  <c r="DN724" i="5"/>
  <c r="DM724" i="5"/>
  <c r="DL724" i="5"/>
  <c r="DK724" i="5"/>
  <c r="DJ724" i="5"/>
  <c r="DI724" i="5"/>
  <c r="DH724" i="5"/>
  <c r="DG724" i="5"/>
  <c r="DF724" i="5"/>
  <c r="DE724" i="5"/>
  <c r="DD724" i="5"/>
  <c r="DC724" i="5"/>
  <c r="DB724" i="5"/>
  <c r="DA724" i="5"/>
  <c r="CZ724" i="5"/>
  <c r="CY724" i="5"/>
  <c r="CX724" i="5"/>
  <c r="CW724" i="5"/>
  <c r="CV724" i="5"/>
  <c r="CU724" i="5"/>
  <c r="CT724" i="5"/>
  <c r="CS724" i="5"/>
  <c r="CR724" i="5"/>
  <c r="CQ724" i="5"/>
  <c r="CP724" i="5"/>
  <c r="CO724" i="5"/>
  <c r="CN724" i="5"/>
  <c r="CM724" i="5"/>
  <c r="CL724" i="5"/>
  <c r="CK724" i="5"/>
  <c r="CJ724" i="5"/>
  <c r="CI724" i="5"/>
  <c r="CH724" i="5"/>
  <c r="CG724" i="5"/>
  <c r="CF724" i="5"/>
  <c r="CE724" i="5"/>
  <c r="JD723" i="5"/>
  <c r="JC723" i="5"/>
  <c r="JA723" i="5"/>
  <c r="IZ723" i="5"/>
  <c r="IO723" i="5"/>
  <c r="IN723" i="5"/>
  <c r="FV723" i="5"/>
  <c r="FU723" i="5"/>
  <c r="FT723" i="5"/>
  <c r="FS723" i="5"/>
  <c r="FR723" i="5"/>
  <c r="FQ723" i="5"/>
  <c r="FP723" i="5"/>
  <c r="FO723" i="5"/>
  <c r="FN723" i="5"/>
  <c r="FM723" i="5"/>
  <c r="FL723" i="5"/>
  <c r="FK723" i="5"/>
  <c r="FJ723" i="5"/>
  <c r="FI723" i="5"/>
  <c r="FH723" i="5"/>
  <c r="FG723" i="5"/>
  <c r="FF723" i="5"/>
  <c r="FE723" i="5"/>
  <c r="FD723" i="5"/>
  <c r="FC723" i="5"/>
  <c r="FB723" i="5"/>
  <c r="FA723" i="5"/>
  <c r="EZ723" i="5"/>
  <c r="EY723" i="5"/>
  <c r="EX723" i="5"/>
  <c r="EW723" i="5"/>
  <c r="EV723" i="5"/>
  <c r="EU723" i="5"/>
  <c r="ET723" i="5"/>
  <c r="ES723" i="5"/>
  <c r="ER723" i="5"/>
  <c r="EQ723" i="5"/>
  <c r="EP723" i="5"/>
  <c r="EO723" i="5"/>
  <c r="EN723" i="5"/>
  <c r="EM723" i="5"/>
  <c r="EL723" i="5"/>
  <c r="EK723" i="5"/>
  <c r="EJ723" i="5"/>
  <c r="EI723" i="5"/>
  <c r="EH723" i="5"/>
  <c r="EG723" i="5"/>
  <c r="EF723" i="5"/>
  <c r="EE723" i="5"/>
  <c r="ED723" i="5"/>
  <c r="EC723" i="5"/>
  <c r="EB723" i="5"/>
  <c r="EA723" i="5"/>
  <c r="DZ723" i="5"/>
  <c r="DY723" i="5"/>
  <c r="DX723" i="5"/>
  <c r="DW723" i="5"/>
  <c r="DV723" i="5"/>
  <c r="DU723" i="5"/>
  <c r="DT723" i="5"/>
  <c r="DS723" i="5"/>
  <c r="DR723" i="5"/>
  <c r="DQ723" i="5"/>
  <c r="DP723" i="5"/>
  <c r="DO723" i="5"/>
  <c r="DN723" i="5"/>
  <c r="DM723" i="5"/>
  <c r="DL723" i="5"/>
  <c r="DK723" i="5"/>
  <c r="DJ723" i="5"/>
  <c r="DI723" i="5"/>
  <c r="DH723" i="5"/>
  <c r="DG723" i="5"/>
  <c r="DF723" i="5"/>
  <c r="DE723" i="5"/>
  <c r="DD723" i="5"/>
  <c r="DC723" i="5"/>
  <c r="DB723" i="5"/>
  <c r="DA723" i="5"/>
  <c r="CZ723" i="5"/>
  <c r="CY723" i="5"/>
  <c r="CX723" i="5"/>
  <c r="CW723" i="5"/>
  <c r="CV723" i="5"/>
  <c r="CU723" i="5"/>
  <c r="CT723" i="5"/>
  <c r="CS723" i="5"/>
  <c r="CR723" i="5"/>
  <c r="CQ723" i="5"/>
  <c r="CP723" i="5"/>
  <c r="CO723" i="5"/>
  <c r="CN723" i="5"/>
  <c r="CM723" i="5"/>
  <c r="CL723" i="5"/>
  <c r="CK723" i="5"/>
  <c r="CJ723" i="5"/>
  <c r="CI723" i="5"/>
  <c r="CH723" i="5"/>
  <c r="CG723" i="5"/>
  <c r="CF723" i="5"/>
  <c r="CE723" i="5"/>
  <c r="KP722" i="5"/>
  <c r="KO722" i="5"/>
  <c r="KN722" i="5"/>
  <c r="KM722" i="5"/>
  <c r="IO722" i="5"/>
  <c r="IN722" i="5"/>
  <c r="CD722" i="5"/>
  <c r="CC722" i="5"/>
  <c r="CB722" i="5"/>
  <c r="CA722" i="5"/>
  <c r="BZ722" i="5"/>
  <c r="BY722" i="5"/>
  <c r="BX722" i="5"/>
  <c r="BW722" i="5"/>
  <c r="BV722" i="5"/>
  <c r="BU722" i="5"/>
  <c r="BT722" i="5"/>
  <c r="BS722" i="5"/>
  <c r="BR722" i="5"/>
  <c r="BQ722" i="5"/>
  <c r="BP722" i="5"/>
  <c r="BO722" i="5"/>
  <c r="BN722" i="5"/>
  <c r="BM722" i="5"/>
  <c r="BL722" i="5"/>
  <c r="BK722" i="5"/>
  <c r="BJ722" i="5"/>
  <c r="BI722" i="5"/>
  <c r="BH722" i="5"/>
  <c r="BG722" i="5"/>
  <c r="BF722" i="5"/>
  <c r="BE722" i="5"/>
  <c r="BD722" i="5"/>
  <c r="BC722" i="5"/>
  <c r="BB722" i="5"/>
  <c r="BA722" i="5"/>
  <c r="AZ722" i="5"/>
  <c r="AY722" i="5"/>
  <c r="AX722" i="5"/>
  <c r="AW722" i="5"/>
  <c r="AV722" i="5"/>
  <c r="AU722" i="5"/>
  <c r="AT722" i="5"/>
  <c r="AS722" i="5"/>
  <c r="AR722" i="5"/>
  <c r="AQ722" i="5"/>
  <c r="AP722" i="5"/>
  <c r="AO722" i="5"/>
  <c r="AN722" i="5"/>
  <c r="AM722" i="5"/>
  <c r="AL722" i="5"/>
  <c r="AK722" i="5"/>
  <c r="AJ722" i="5"/>
  <c r="AI722" i="5"/>
  <c r="AH722" i="5"/>
  <c r="AG722" i="5"/>
  <c r="AF722" i="5"/>
  <c r="AE722" i="5"/>
  <c r="AD722" i="5"/>
  <c r="AC722" i="5"/>
  <c r="AB722" i="5"/>
  <c r="AA722" i="5"/>
  <c r="Z722" i="5"/>
  <c r="Y722" i="5"/>
  <c r="X722" i="5"/>
  <c r="W722" i="5"/>
  <c r="V722" i="5"/>
  <c r="U722" i="5"/>
  <c r="T722" i="5"/>
  <c r="S722" i="5"/>
  <c r="R722" i="5"/>
  <c r="Q722" i="5"/>
  <c r="P722" i="5"/>
  <c r="O722" i="5"/>
  <c r="N722" i="5"/>
  <c r="M722" i="5"/>
  <c r="L722" i="5"/>
  <c r="K722" i="5"/>
  <c r="J722" i="5"/>
  <c r="I722" i="5"/>
  <c r="H722" i="5"/>
  <c r="G722" i="5"/>
  <c r="F722" i="5"/>
  <c r="E722" i="5"/>
  <c r="JD721" i="5"/>
  <c r="JC721" i="5"/>
  <c r="JA721" i="5"/>
  <c r="IZ721" i="5"/>
  <c r="IO721" i="5"/>
  <c r="IN721" i="5"/>
  <c r="FV721" i="5"/>
  <c r="FU721" i="5"/>
  <c r="FT721" i="5"/>
  <c r="FS721" i="5"/>
  <c r="FR721" i="5"/>
  <c r="FQ721" i="5"/>
  <c r="FP721" i="5"/>
  <c r="FO721" i="5"/>
  <c r="FN721" i="5"/>
  <c r="FM721" i="5"/>
  <c r="FL721" i="5"/>
  <c r="FK721" i="5"/>
  <c r="FJ721" i="5"/>
  <c r="FI721" i="5"/>
  <c r="FH721" i="5"/>
  <c r="FG721" i="5"/>
  <c r="FF721" i="5"/>
  <c r="FE721" i="5"/>
  <c r="FD721" i="5"/>
  <c r="FC721" i="5"/>
  <c r="FB721" i="5"/>
  <c r="FA721" i="5"/>
  <c r="EZ721" i="5"/>
  <c r="EY721" i="5"/>
  <c r="EX721" i="5"/>
  <c r="EW721" i="5"/>
  <c r="EV721" i="5"/>
  <c r="EU721" i="5"/>
  <c r="ET721" i="5"/>
  <c r="ES721" i="5"/>
  <c r="ER721" i="5"/>
  <c r="EQ721" i="5"/>
  <c r="EP721" i="5"/>
  <c r="EO721" i="5"/>
  <c r="EN721" i="5"/>
  <c r="EM721" i="5"/>
  <c r="EL721" i="5"/>
  <c r="EK721" i="5"/>
  <c r="EJ721" i="5"/>
  <c r="EI721" i="5"/>
  <c r="EH721" i="5"/>
  <c r="EG721" i="5"/>
  <c r="EF721" i="5"/>
  <c r="EE721" i="5"/>
  <c r="ED721" i="5"/>
  <c r="EC721" i="5"/>
  <c r="EB721" i="5"/>
  <c r="EA721" i="5"/>
  <c r="DZ721" i="5"/>
  <c r="DY721" i="5"/>
  <c r="DX721" i="5"/>
  <c r="DW721" i="5"/>
  <c r="DV721" i="5"/>
  <c r="DU721" i="5"/>
  <c r="DT721" i="5"/>
  <c r="DS721" i="5"/>
  <c r="DR721" i="5"/>
  <c r="DQ721" i="5"/>
  <c r="DP721" i="5"/>
  <c r="DO721" i="5"/>
  <c r="DN721" i="5"/>
  <c r="DM721" i="5"/>
  <c r="DL721" i="5"/>
  <c r="DK721" i="5"/>
  <c r="DJ721" i="5"/>
  <c r="DI721" i="5"/>
  <c r="DH721" i="5"/>
  <c r="DG721" i="5"/>
  <c r="DF721" i="5"/>
  <c r="DE721" i="5"/>
  <c r="DD721" i="5"/>
  <c r="DC721" i="5"/>
  <c r="DB721" i="5"/>
  <c r="DA721" i="5"/>
  <c r="CZ721" i="5"/>
  <c r="CY721" i="5"/>
  <c r="CX721" i="5"/>
  <c r="CW721" i="5"/>
  <c r="CV721" i="5"/>
  <c r="CU721" i="5"/>
  <c r="CT721" i="5"/>
  <c r="CS721" i="5"/>
  <c r="CR721" i="5"/>
  <c r="CQ721" i="5"/>
  <c r="CP721" i="5"/>
  <c r="CO721" i="5"/>
  <c r="CN721" i="5"/>
  <c r="CM721" i="5"/>
  <c r="CL721" i="5"/>
  <c r="CK721" i="5"/>
  <c r="CJ721" i="5"/>
  <c r="CI721" i="5"/>
  <c r="CH721" i="5"/>
  <c r="CG721" i="5"/>
  <c r="CF721" i="5"/>
  <c r="CE721" i="5"/>
  <c r="IO720" i="5"/>
  <c r="IN720" i="5"/>
  <c r="D720" i="5"/>
  <c r="JD719" i="5"/>
  <c r="JA719" i="5"/>
  <c r="IZ719" i="5"/>
  <c r="IO719" i="5"/>
  <c r="IN719" i="5"/>
  <c r="FV719" i="5"/>
  <c r="FU719" i="5"/>
  <c r="FT719" i="5"/>
  <c r="FS719" i="5"/>
  <c r="FR719" i="5"/>
  <c r="FQ719" i="5"/>
  <c r="FP719" i="5"/>
  <c r="FO719" i="5"/>
  <c r="FN719" i="5"/>
  <c r="FM719" i="5"/>
  <c r="FL719" i="5"/>
  <c r="FK719" i="5"/>
  <c r="FJ719" i="5"/>
  <c r="FI719" i="5"/>
  <c r="FH719" i="5"/>
  <c r="FG719" i="5"/>
  <c r="FF719" i="5"/>
  <c r="FE719" i="5"/>
  <c r="FD719" i="5"/>
  <c r="FC719" i="5"/>
  <c r="FB719" i="5"/>
  <c r="FA719" i="5"/>
  <c r="EZ719" i="5"/>
  <c r="EY719" i="5"/>
  <c r="EX719" i="5"/>
  <c r="EW719" i="5"/>
  <c r="EV719" i="5"/>
  <c r="EU719" i="5"/>
  <c r="ET719" i="5"/>
  <c r="ES719" i="5"/>
  <c r="ER719" i="5"/>
  <c r="EQ719" i="5"/>
  <c r="EP719" i="5"/>
  <c r="EO719" i="5"/>
  <c r="EN719" i="5"/>
  <c r="EM719" i="5"/>
  <c r="EL719" i="5"/>
  <c r="EK719" i="5"/>
  <c r="EJ719" i="5"/>
  <c r="EI719" i="5"/>
  <c r="EH719" i="5"/>
  <c r="EG719" i="5"/>
  <c r="EF719" i="5"/>
  <c r="EE719" i="5"/>
  <c r="ED719" i="5"/>
  <c r="EC719" i="5"/>
  <c r="EB719" i="5"/>
  <c r="EA719" i="5"/>
  <c r="DZ719" i="5"/>
  <c r="DY719" i="5"/>
  <c r="DX719" i="5"/>
  <c r="DW719" i="5"/>
  <c r="DV719" i="5"/>
  <c r="DU719" i="5"/>
  <c r="DT719" i="5"/>
  <c r="DS719" i="5"/>
  <c r="DR719" i="5"/>
  <c r="DQ719" i="5"/>
  <c r="DP719" i="5"/>
  <c r="DO719" i="5"/>
  <c r="DN719" i="5"/>
  <c r="DM719" i="5"/>
  <c r="DL719" i="5"/>
  <c r="DK719" i="5"/>
  <c r="DJ719" i="5"/>
  <c r="DI719" i="5"/>
  <c r="DH719" i="5"/>
  <c r="DG719" i="5"/>
  <c r="DF719" i="5"/>
  <c r="DE719" i="5"/>
  <c r="DD719" i="5"/>
  <c r="DC719" i="5"/>
  <c r="DB719" i="5"/>
  <c r="DA719" i="5"/>
  <c r="CZ719" i="5"/>
  <c r="CY719" i="5"/>
  <c r="CX719" i="5"/>
  <c r="CW719" i="5"/>
  <c r="CV719" i="5"/>
  <c r="CU719" i="5"/>
  <c r="CT719" i="5"/>
  <c r="CS719" i="5"/>
  <c r="CR719" i="5"/>
  <c r="CQ719" i="5"/>
  <c r="CP719" i="5"/>
  <c r="CO719" i="5"/>
  <c r="CN719" i="5"/>
  <c r="CM719" i="5"/>
  <c r="CL719" i="5"/>
  <c r="CK719" i="5"/>
  <c r="CJ719" i="5"/>
  <c r="CI719" i="5"/>
  <c r="CH719" i="5"/>
  <c r="CG719" i="5"/>
  <c r="CF719" i="5"/>
  <c r="CE719" i="5"/>
  <c r="KP718" i="5"/>
  <c r="KO718" i="5"/>
  <c r="KN718" i="5"/>
  <c r="KM718" i="5"/>
  <c r="IO718" i="5"/>
  <c r="IN718" i="5"/>
  <c r="CD718" i="5"/>
  <c r="CC718" i="5"/>
  <c r="CB718" i="5"/>
  <c r="CA718" i="5"/>
  <c r="BZ718" i="5"/>
  <c r="BY718" i="5"/>
  <c r="BX718" i="5"/>
  <c r="BW718" i="5"/>
  <c r="BV718" i="5"/>
  <c r="BU718" i="5"/>
  <c r="BT718" i="5"/>
  <c r="BS718" i="5"/>
  <c r="BR718" i="5"/>
  <c r="BQ718" i="5"/>
  <c r="BP718" i="5"/>
  <c r="BO718" i="5"/>
  <c r="BN718" i="5"/>
  <c r="BM718" i="5"/>
  <c r="BL718" i="5"/>
  <c r="BK718" i="5"/>
  <c r="BJ718" i="5"/>
  <c r="BI718" i="5"/>
  <c r="BH718" i="5"/>
  <c r="BG718" i="5"/>
  <c r="BF718" i="5"/>
  <c r="BE718" i="5"/>
  <c r="BD718" i="5"/>
  <c r="BC718" i="5"/>
  <c r="BB718" i="5"/>
  <c r="BA718" i="5"/>
  <c r="AZ718" i="5"/>
  <c r="AY718" i="5"/>
  <c r="AX718" i="5"/>
  <c r="AW718" i="5"/>
  <c r="AV718" i="5"/>
  <c r="AU718" i="5"/>
  <c r="AT718" i="5"/>
  <c r="AS718" i="5"/>
  <c r="AR718" i="5"/>
  <c r="AQ718" i="5"/>
  <c r="AP718" i="5"/>
  <c r="AO718" i="5"/>
  <c r="AN718" i="5"/>
  <c r="AM718" i="5"/>
  <c r="AL718" i="5"/>
  <c r="AK718" i="5"/>
  <c r="AJ718" i="5"/>
  <c r="AI718" i="5"/>
  <c r="AH718" i="5"/>
  <c r="AG718" i="5"/>
  <c r="AF718" i="5"/>
  <c r="AE718" i="5"/>
  <c r="AD718" i="5"/>
  <c r="AC718" i="5"/>
  <c r="AB718" i="5"/>
  <c r="AA718" i="5"/>
  <c r="Z718" i="5"/>
  <c r="Y718" i="5"/>
  <c r="X718" i="5"/>
  <c r="W718" i="5"/>
  <c r="V718" i="5"/>
  <c r="U718" i="5"/>
  <c r="T718" i="5"/>
  <c r="S718" i="5"/>
  <c r="R718" i="5"/>
  <c r="Q718" i="5"/>
  <c r="P718" i="5"/>
  <c r="O718" i="5"/>
  <c r="N718" i="5"/>
  <c r="M718" i="5"/>
  <c r="L718" i="5"/>
  <c r="K718" i="5"/>
  <c r="J718" i="5"/>
  <c r="I718" i="5"/>
  <c r="H718" i="5"/>
  <c r="G718" i="5"/>
  <c r="F718" i="5"/>
  <c r="E718" i="5"/>
  <c r="IO717" i="5"/>
  <c r="IO978" i="5" s="1"/>
  <c r="IN717" i="5"/>
  <c r="JE716" i="5"/>
  <c r="JC716" i="5" s="1"/>
  <c r="JB716" i="5"/>
  <c r="IZ716" i="5" s="1"/>
  <c r="IY716" i="5"/>
  <c r="IX716" i="5" s="1"/>
  <c r="IO716" i="5"/>
  <c r="IN716" i="5"/>
  <c r="FV716" i="5"/>
  <c r="FU716" i="5"/>
  <c r="FT716" i="5"/>
  <c r="FS716" i="5"/>
  <c r="FR716" i="5"/>
  <c r="FQ716" i="5"/>
  <c r="FP716" i="5"/>
  <c r="FO716" i="5"/>
  <c r="FN716" i="5"/>
  <c r="FM716" i="5"/>
  <c r="FL716" i="5"/>
  <c r="FK716" i="5"/>
  <c r="FJ716" i="5"/>
  <c r="FI716" i="5"/>
  <c r="FH716" i="5"/>
  <c r="FG716" i="5"/>
  <c r="FF716" i="5"/>
  <c r="FE716" i="5"/>
  <c r="FD716" i="5"/>
  <c r="FC716" i="5"/>
  <c r="FB716" i="5"/>
  <c r="FA716" i="5"/>
  <c r="EZ716" i="5"/>
  <c r="EY716" i="5"/>
  <c r="EX716" i="5"/>
  <c r="EW716" i="5"/>
  <c r="EV716" i="5"/>
  <c r="EU716" i="5"/>
  <c r="ET716" i="5"/>
  <c r="ES716" i="5"/>
  <c r="ER716" i="5"/>
  <c r="EQ716" i="5"/>
  <c r="EP716" i="5"/>
  <c r="EO716" i="5"/>
  <c r="EN716" i="5"/>
  <c r="EM716" i="5"/>
  <c r="EL716" i="5"/>
  <c r="EK716" i="5"/>
  <c r="EJ716" i="5"/>
  <c r="EI716" i="5"/>
  <c r="EH716" i="5"/>
  <c r="EG716" i="5"/>
  <c r="EF716" i="5"/>
  <c r="EE716" i="5"/>
  <c r="ED716" i="5"/>
  <c r="EC716" i="5"/>
  <c r="EB716" i="5"/>
  <c r="EA716" i="5"/>
  <c r="DZ716" i="5"/>
  <c r="DY716" i="5"/>
  <c r="DX716" i="5"/>
  <c r="DW716" i="5"/>
  <c r="DV716" i="5"/>
  <c r="DU716" i="5"/>
  <c r="DT716" i="5"/>
  <c r="DS716" i="5"/>
  <c r="DR716" i="5"/>
  <c r="DQ716" i="5"/>
  <c r="DP716" i="5"/>
  <c r="DO716" i="5"/>
  <c r="DN716" i="5"/>
  <c r="DM716" i="5"/>
  <c r="DL716" i="5"/>
  <c r="DK716" i="5"/>
  <c r="DJ716" i="5"/>
  <c r="DI716" i="5"/>
  <c r="DH716" i="5"/>
  <c r="DG716" i="5"/>
  <c r="DF716" i="5"/>
  <c r="DE716" i="5"/>
  <c r="DD716" i="5"/>
  <c r="DC716" i="5"/>
  <c r="DB716" i="5"/>
  <c r="DA716" i="5"/>
  <c r="CZ716" i="5"/>
  <c r="CY716" i="5"/>
  <c r="CX716" i="5"/>
  <c r="CW716" i="5"/>
  <c r="CV716" i="5"/>
  <c r="CU716" i="5"/>
  <c r="CT716" i="5"/>
  <c r="CS716" i="5"/>
  <c r="CR716" i="5"/>
  <c r="CQ716" i="5"/>
  <c r="CP716" i="5"/>
  <c r="CO716" i="5"/>
  <c r="CN716" i="5"/>
  <c r="CM716" i="5"/>
  <c r="CL716" i="5"/>
  <c r="CK716" i="5"/>
  <c r="CJ716" i="5"/>
  <c r="CI716" i="5"/>
  <c r="CH716" i="5"/>
  <c r="CG716" i="5"/>
  <c r="CF716" i="5"/>
  <c r="CE716" i="5"/>
  <c r="JE715" i="5"/>
  <c r="JB715" i="5"/>
  <c r="IY715" i="5"/>
  <c r="IX715" i="5" s="1"/>
  <c r="IO715" i="5"/>
  <c r="IN715" i="5"/>
  <c r="FV715" i="5"/>
  <c r="FU715" i="5"/>
  <c r="FT715" i="5"/>
  <c r="FS715" i="5"/>
  <c r="FR715" i="5"/>
  <c r="FQ715" i="5"/>
  <c r="FP715" i="5"/>
  <c r="FO715" i="5"/>
  <c r="FN715" i="5"/>
  <c r="FM715" i="5"/>
  <c r="FL715" i="5"/>
  <c r="FK715" i="5"/>
  <c r="FJ715" i="5"/>
  <c r="FI715" i="5"/>
  <c r="FH715" i="5"/>
  <c r="FG715" i="5"/>
  <c r="FF715" i="5"/>
  <c r="FE715" i="5"/>
  <c r="FD715" i="5"/>
  <c r="FC715" i="5"/>
  <c r="FB715" i="5"/>
  <c r="FA715" i="5"/>
  <c r="EZ715" i="5"/>
  <c r="EY715" i="5"/>
  <c r="EX715" i="5"/>
  <c r="EW715" i="5"/>
  <c r="EV715" i="5"/>
  <c r="EU715" i="5"/>
  <c r="ET715" i="5"/>
  <c r="ES715" i="5"/>
  <c r="ER715" i="5"/>
  <c r="EQ715" i="5"/>
  <c r="EP715" i="5"/>
  <c r="EO715" i="5"/>
  <c r="EN715" i="5"/>
  <c r="EM715" i="5"/>
  <c r="EL715" i="5"/>
  <c r="EK715" i="5"/>
  <c r="EJ715" i="5"/>
  <c r="EI715" i="5"/>
  <c r="EH715" i="5"/>
  <c r="EG715" i="5"/>
  <c r="EF715" i="5"/>
  <c r="EE715" i="5"/>
  <c r="ED715" i="5"/>
  <c r="EC715" i="5"/>
  <c r="EB715" i="5"/>
  <c r="EA715" i="5"/>
  <c r="DZ715" i="5"/>
  <c r="DY715" i="5"/>
  <c r="DX715" i="5"/>
  <c r="DW715" i="5"/>
  <c r="DV715" i="5"/>
  <c r="DU715" i="5"/>
  <c r="DT715" i="5"/>
  <c r="DS715" i="5"/>
  <c r="DR715" i="5"/>
  <c r="DQ715" i="5"/>
  <c r="DP715" i="5"/>
  <c r="DO715" i="5"/>
  <c r="DN715" i="5"/>
  <c r="DM715" i="5"/>
  <c r="DL715" i="5"/>
  <c r="DK715" i="5"/>
  <c r="DJ715" i="5"/>
  <c r="DI715" i="5"/>
  <c r="DH715" i="5"/>
  <c r="DG715" i="5"/>
  <c r="DF715" i="5"/>
  <c r="DE715" i="5"/>
  <c r="DD715" i="5"/>
  <c r="DC715" i="5"/>
  <c r="DB715" i="5"/>
  <c r="DA715" i="5"/>
  <c r="CZ715" i="5"/>
  <c r="CY715" i="5"/>
  <c r="CX715" i="5"/>
  <c r="CW715" i="5"/>
  <c r="CV715" i="5"/>
  <c r="CU715" i="5"/>
  <c r="CT715" i="5"/>
  <c r="CS715" i="5"/>
  <c r="CR715" i="5"/>
  <c r="CQ715" i="5"/>
  <c r="CP715" i="5"/>
  <c r="CO715" i="5"/>
  <c r="CN715" i="5"/>
  <c r="CM715" i="5"/>
  <c r="CL715" i="5"/>
  <c r="CK715" i="5"/>
  <c r="CJ715" i="5"/>
  <c r="CI715" i="5"/>
  <c r="CH715" i="5"/>
  <c r="CG715" i="5"/>
  <c r="CF715" i="5"/>
  <c r="CE715" i="5"/>
  <c r="JE714" i="5"/>
  <c r="JC714" i="5" s="1"/>
  <c r="JB714" i="5"/>
  <c r="IZ714" i="5" s="1"/>
  <c r="IY714" i="5"/>
  <c r="IX714" i="5" s="1"/>
  <c r="IO714" i="5"/>
  <c r="IN714" i="5"/>
  <c r="FV714" i="5"/>
  <c r="FU714" i="5"/>
  <c r="FT714" i="5"/>
  <c r="FS714" i="5"/>
  <c r="FR714" i="5"/>
  <c r="FQ714" i="5"/>
  <c r="FP714" i="5"/>
  <c r="FO714" i="5"/>
  <c r="FN714" i="5"/>
  <c r="FM714" i="5"/>
  <c r="FL714" i="5"/>
  <c r="FK714" i="5"/>
  <c r="FJ714" i="5"/>
  <c r="FI714" i="5"/>
  <c r="FH714" i="5"/>
  <c r="FG714" i="5"/>
  <c r="FF714" i="5"/>
  <c r="FE714" i="5"/>
  <c r="FD714" i="5"/>
  <c r="FC714" i="5"/>
  <c r="FB714" i="5"/>
  <c r="FA714" i="5"/>
  <c r="EZ714" i="5"/>
  <c r="EY714" i="5"/>
  <c r="EX714" i="5"/>
  <c r="EW714" i="5"/>
  <c r="EV714" i="5"/>
  <c r="EU714" i="5"/>
  <c r="ET714" i="5"/>
  <c r="ES714" i="5"/>
  <c r="ER714" i="5"/>
  <c r="EQ714" i="5"/>
  <c r="EP714" i="5"/>
  <c r="EO714" i="5"/>
  <c r="EN714" i="5"/>
  <c r="EM714" i="5"/>
  <c r="EL714" i="5"/>
  <c r="EK714" i="5"/>
  <c r="EJ714" i="5"/>
  <c r="EI714" i="5"/>
  <c r="EH714" i="5"/>
  <c r="EG714" i="5"/>
  <c r="EF714" i="5"/>
  <c r="EE714" i="5"/>
  <c r="ED714" i="5"/>
  <c r="EC714" i="5"/>
  <c r="EB714" i="5"/>
  <c r="EA714" i="5"/>
  <c r="DZ714" i="5"/>
  <c r="DY714" i="5"/>
  <c r="DX714" i="5"/>
  <c r="DW714" i="5"/>
  <c r="DV714" i="5"/>
  <c r="DU714" i="5"/>
  <c r="DT714" i="5"/>
  <c r="DS714" i="5"/>
  <c r="DR714" i="5"/>
  <c r="DQ714" i="5"/>
  <c r="DP714" i="5"/>
  <c r="DO714" i="5"/>
  <c r="DN714" i="5"/>
  <c r="DM714" i="5"/>
  <c r="DL714" i="5"/>
  <c r="DK714" i="5"/>
  <c r="DJ714" i="5"/>
  <c r="DI714" i="5"/>
  <c r="DH714" i="5"/>
  <c r="DG714" i="5"/>
  <c r="DF714" i="5"/>
  <c r="DE714" i="5"/>
  <c r="DD714" i="5"/>
  <c r="DC714" i="5"/>
  <c r="DB714" i="5"/>
  <c r="DA714" i="5"/>
  <c r="CZ714" i="5"/>
  <c r="CY714" i="5"/>
  <c r="CX714" i="5"/>
  <c r="CW714" i="5"/>
  <c r="CV714" i="5"/>
  <c r="CU714" i="5"/>
  <c r="CT714" i="5"/>
  <c r="CS714" i="5"/>
  <c r="CR714" i="5"/>
  <c r="CQ714" i="5"/>
  <c r="CP714" i="5"/>
  <c r="CO714" i="5"/>
  <c r="CN714" i="5"/>
  <c r="CM714" i="5"/>
  <c r="CL714" i="5"/>
  <c r="CK714" i="5"/>
  <c r="CJ714" i="5"/>
  <c r="CI714" i="5"/>
  <c r="CH714" i="5"/>
  <c r="CG714" i="5"/>
  <c r="CF714" i="5"/>
  <c r="CE714" i="5"/>
  <c r="JE713" i="5"/>
  <c r="JC713" i="5" s="1"/>
  <c r="JB713" i="5"/>
  <c r="IY713" i="5"/>
  <c r="IX713" i="5" s="1"/>
  <c r="IO713" i="5"/>
  <c r="IN713" i="5"/>
  <c r="FV713" i="5"/>
  <c r="FU713" i="5"/>
  <c r="FT713" i="5"/>
  <c r="FS713" i="5"/>
  <c r="FR713" i="5"/>
  <c r="FQ713" i="5"/>
  <c r="FP713" i="5"/>
  <c r="FO713" i="5"/>
  <c r="FN713" i="5"/>
  <c r="FM713" i="5"/>
  <c r="FL713" i="5"/>
  <c r="FK713" i="5"/>
  <c r="FJ713" i="5"/>
  <c r="FI713" i="5"/>
  <c r="FH713" i="5"/>
  <c r="FG713" i="5"/>
  <c r="FF713" i="5"/>
  <c r="FE713" i="5"/>
  <c r="FD713" i="5"/>
  <c r="FC713" i="5"/>
  <c r="FB713" i="5"/>
  <c r="FA713" i="5"/>
  <c r="EZ713" i="5"/>
  <c r="EY713" i="5"/>
  <c r="EX713" i="5"/>
  <c r="EW713" i="5"/>
  <c r="EV713" i="5"/>
  <c r="EU713" i="5"/>
  <c r="ET713" i="5"/>
  <c r="ES713" i="5"/>
  <c r="ER713" i="5"/>
  <c r="EQ713" i="5"/>
  <c r="EP713" i="5"/>
  <c r="EO713" i="5"/>
  <c r="EN713" i="5"/>
  <c r="EM713" i="5"/>
  <c r="EL713" i="5"/>
  <c r="EK713" i="5"/>
  <c r="EJ713" i="5"/>
  <c r="EI713" i="5"/>
  <c r="EH713" i="5"/>
  <c r="EG713" i="5"/>
  <c r="EF713" i="5"/>
  <c r="EE713" i="5"/>
  <c r="ED713" i="5"/>
  <c r="EC713" i="5"/>
  <c r="EB713" i="5"/>
  <c r="EA713" i="5"/>
  <c r="DZ713" i="5"/>
  <c r="DY713" i="5"/>
  <c r="DX713" i="5"/>
  <c r="DW713" i="5"/>
  <c r="DV713" i="5"/>
  <c r="DU713" i="5"/>
  <c r="DT713" i="5"/>
  <c r="DS713" i="5"/>
  <c r="DR713" i="5"/>
  <c r="DQ713" i="5"/>
  <c r="DP713" i="5"/>
  <c r="DO713" i="5"/>
  <c r="DN713" i="5"/>
  <c r="DM713" i="5"/>
  <c r="DL713" i="5"/>
  <c r="DK713" i="5"/>
  <c r="DJ713" i="5"/>
  <c r="DI713" i="5"/>
  <c r="DH713" i="5"/>
  <c r="DG713" i="5"/>
  <c r="DF713" i="5"/>
  <c r="DE713" i="5"/>
  <c r="DD713" i="5"/>
  <c r="DC713" i="5"/>
  <c r="DB713" i="5"/>
  <c r="DA713" i="5"/>
  <c r="CZ713" i="5"/>
  <c r="CY713" i="5"/>
  <c r="CX713" i="5"/>
  <c r="CW713" i="5"/>
  <c r="CV713" i="5"/>
  <c r="CU713" i="5"/>
  <c r="CT713" i="5"/>
  <c r="CS713" i="5"/>
  <c r="CR713" i="5"/>
  <c r="CQ713" i="5"/>
  <c r="CP713" i="5"/>
  <c r="CO713" i="5"/>
  <c r="CN713" i="5"/>
  <c r="CM713" i="5"/>
  <c r="CL713" i="5"/>
  <c r="CK713" i="5"/>
  <c r="CJ713" i="5"/>
  <c r="CI713" i="5"/>
  <c r="CH713" i="5"/>
  <c r="CG713" i="5"/>
  <c r="CF713" i="5"/>
  <c r="CE713" i="5"/>
  <c r="JE712" i="5"/>
  <c r="JB712" i="5"/>
  <c r="IZ712" i="5" s="1"/>
  <c r="IY712" i="5"/>
  <c r="IX712" i="5" s="1"/>
  <c r="IO712" i="5"/>
  <c r="IN712" i="5"/>
  <c r="FV712" i="5"/>
  <c r="FU712" i="5"/>
  <c r="FT712" i="5"/>
  <c r="FS712" i="5"/>
  <c r="FR712" i="5"/>
  <c r="FQ712" i="5"/>
  <c r="FP712" i="5"/>
  <c r="FO712" i="5"/>
  <c r="FN712" i="5"/>
  <c r="FM712" i="5"/>
  <c r="FL712" i="5"/>
  <c r="FK712" i="5"/>
  <c r="FJ712" i="5"/>
  <c r="FI712" i="5"/>
  <c r="FH712" i="5"/>
  <c r="FG712" i="5"/>
  <c r="FF712" i="5"/>
  <c r="FE712" i="5"/>
  <c r="FD712" i="5"/>
  <c r="FC712" i="5"/>
  <c r="FB712" i="5"/>
  <c r="FA712" i="5"/>
  <c r="EZ712" i="5"/>
  <c r="EY712" i="5"/>
  <c r="EX712" i="5"/>
  <c r="EW712" i="5"/>
  <c r="EV712" i="5"/>
  <c r="EU712" i="5"/>
  <c r="ET712" i="5"/>
  <c r="ES712" i="5"/>
  <c r="ER712" i="5"/>
  <c r="EQ712" i="5"/>
  <c r="EP712" i="5"/>
  <c r="EO712" i="5"/>
  <c r="EN712" i="5"/>
  <c r="EM712" i="5"/>
  <c r="EL712" i="5"/>
  <c r="EK712" i="5"/>
  <c r="EJ712" i="5"/>
  <c r="EI712" i="5"/>
  <c r="EH712" i="5"/>
  <c r="EG712" i="5"/>
  <c r="EF712" i="5"/>
  <c r="EE712" i="5"/>
  <c r="ED712" i="5"/>
  <c r="EC712" i="5"/>
  <c r="EB712" i="5"/>
  <c r="EA712" i="5"/>
  <c r="DZ712" i="5"/>
  <c r="DY712" i="5"/>
  <c r="DX712" i="5"/>
  <c r="DW712" i="5"/>
  <c r="DV712" i="5"/>
  <c r="DU712" i="5"/>
  <c r="DT712" i="5"/>
  <c r="DS712" i="5"/>
  <c r="DR712" i="5"/>
  <c r="DQ712" i="5"/>
  <c r="DP712" i="5"/>
  <c r="DO712" i="5"/>
  <c r="DN712" i="5"/>
  <c r="DM712" i="5"/>
  <c r="DL712" i="5"/>
  <c r="DK712" i="5"/>
  <c r="DJ712" i="5"/>
  <c r="DI712" i="5"/>
  <c r="DH712" i="5"/>
  <c r="DG712" i="5"/>
  <c r="DF712" i="5"/>
  <c r="DE712" i="5"/>
  <c r="DD712" i="5"/>
  <c r="DC712" i="5"/>
  <c r="DB712" i="5"/>
  <c r="DA712" i="5"/>
  <c r="CZ712" i="5"/>
  <c r="CY712" i="5"/>
  <c r="CX712" i="5"/>
  <c r="CW712" i="5"/>
  <c r="CV712" i="5"/>
  <c r="CU712" i="5"/>
  <c r="CT712" i="5"/>
  <c r="CS712" i="5"/>
  <c r="CR712" i="5"/>
  <c r="CQ712" i="5"/>
  <c r="CP712" i="5"/>
  <c r="CO712" i="5"/>
  <c r="CN712" i="5"/>
  <c r="CM712" i="5"/>
  <c r="CL712" i="5"/>
  <c r="CK712" i="5"/>
  <c r="CJ712" i="5"/>
  <c r="CI712" i="5"/>
  <c r="CH712" i="5"/>
  <c r="CG712" i="5"/>
  <c r="CF712" i="5"/>
  <c r="CE712" i="5"/>
  <c r="JE711" i="5"/>
  <c r="JB711" i="5"/>
  <c r="IZ711" i="5" s="1"/>
  <c r="IY711" i="5"/>
  <c r="IX711" i="5" s="1"/>
  <c r="IO711" i="5"/>
  <c r="IN711" i="5"/>
  <c r="FV711" i="5"/>
  <c r="FU711" i="5"/>
  <c r="FT711" i="5"/>
  <c r="FS711" i="5"/>
  <c r="FR711" i="5"/>
  <c r="FQ711" i="5"/>
  <c r="FP711" i="5"/>
  <c r="FO711" i="5"/>
  <c r="FN711" i="5"/>
  <c r="FM711" i="5"/>
  <c r="FL711" i="5"/>
  <c r="FK711" i="5"/>
  <c r="FJ711" i="5"/>
  <c r="FI711" i="5"/>
  <c r="FH711" i="5"/>
  <c r="FG711" i="5"/>
  <c r="FF711" i="5"/>
  <c r="FE711" i="5"/>
  <c r="FD711" i="5"/>
  <c r="FC711" i="5"/>
  <c r="FB711" i="5"/>
  <c r="FA711" i="5"/>
  <c r="EZ711" i="5"/>
  <c r="EY711" i="5"/>
  <c r="EX711" i="5"/>
  <c r="EW711" i="5"/>
  <c r="EV711" i="5"/>
  <c r="EU711" i="5"/>
  <c r="ET711" i="5"/>
  <c r="ES711" i="5"/>
  <c r="ER711" i="5"/>
  <c r="EQ711" i="5"/>
  <c r="EP711" i="5"/>
  <c r="EO711" i="5"/>
  <c r="EN711" i="5"/>
  <c r="EM711" i="5"/>
  <c r="EL711" i="5"/>
  <c r="EK711" i="5"/>
  <c r="EJ711" i="5"/>
  <c r="EI711" i="5"/>
  <c r="EH711" i="5"/>
  <c r="EG711" i="5"/>
  <c r="EF711" i="5"/>
  <c r="EE711" i="5"/>
  <c r="ED711" i="5"/>
  <c r="EC711" i="5"/>
  <c r="EB711" i="5"/>
  <c r="EA711" i="5"/>
  <c r="DZ711" i="5"/>
  <c r="DY711" i="5"/>
  <c r="DX711" i="5"/>
  <c r="DW711" i="5"/>
  <c r="DV711" i="5"/>
  <c r="DU711" i="5"/>
  <c r="DT711" i="5"/>
  <c r="DS711" i="5"/>
  <c r="DR711" i="5"/>
  <c r="DQ711" i="5"/>
  <c r="DP711" i="5"/>
  <c r="DO711" i="5"/>
  <c r="DN711" i="5"/>
  <c r="DM711" i="5"/>
  <c r="DL711" i="5"/>
  <c r="DK711" i="5"/>
  <c r="DJ711" i="5"/>
  <c r="DI711" i="5"/>
  <c r="DH711" i="5"/>
  <c r="DG711" i="5"/>
  <c r="DF711" i="5"/>
  <c r="DE711" i="5"/>
  <c r="DD711" i="5"/>
  <c r="DC711" i="5"/>
  <c r="DB711" i="5"/>
  <c r="DA711" i="5"/>
  <c r="CZ711" i="5"/>
  <c r="CY711" i="5"/>
  <c r="CX711" i="5"/>
  <c r="CW711" i="5"/>
  <c r="CV711" i="5"/>
  <c r="CU711" i="5"/>
  <c r="CT711" i="5"/>
  <c r="CS711" i="5"/>
  <c r="CR711" i="5"/>
  <c r="CQ711" i="5"/>
  <c r="CP711" i="5"/>
  <c r="CO711" i="5"/>
  <c r="CN711" i="5"/>
  <c r="CM711" i="5"/>
  <c r="CL711" i="5"/>
  <c r="CK711" i="5"/>
  <c r="CJ711" i="5"/>
  <c r="CI711" i="5"/>
  <c r="CH711" i="5"/>
  <c r="CG711" i="5"/>
  <c r="CF711" i="5"/>
  <c r="CE711" i="5"/>
  <c r="JE710" i="5"/>
  <c r="JB710" i="5"/>
  <c r="IY710" i="5"/>
  <c r="IX710" i="5" s="1"/>
  <c r="IO710" i="5"/>
  <c r="IN710" i="5"/>
  <c r="FV710" i="5"/>
  <c r="FU710" i="5"/>
  <c r="FT710" i="5"/>
  <c r="FS710" i="5"/>
  <c r="FR710" i="5"/>
  <c r="FQ710" i="5"/>
  <c r="FP710" i="5"/>
  <c r="FO710" i="5"/>
  <c r="FN710" i="5"/>
  <c r="FM710" i="5"/>
  <c r="FL710" i="5"/>
  <c r="FK710" i="5"/>
  <c r="FJ710" i="5"/>
  <c r="FI710" i="5"/>
  <c r="FH710" i="5"/>
  <c r="FG710" i="5"/>
  <c r="FF710" i="5"/>
  <c r="FE710" i="5"/>
  <c r="FD710" i="5"/>
  <c r="FC710" i="5"/>
  <c r="FB710" i="5"/>
  <c r="FA710" i="5"/>
  <c r="EZ710" i="5"/>
  <c r="EY710" i="5"/>
  <c r="EX710" i="5"/>
  <c r="EW710" i="5"/>
  <c r="EV710" i="5"/>
  <c r="EU710" i="5"/>
  <c r="ET710" i="5"/>
  <c r="ES710" i="5"/>
  <c r="ER710" i="5"/>
  <c r="EQ710" i="5"/>
  <c r="EP710" i="5"/>
  <c r="EO710" i="5"/>
  <c r="EN710" i="5"/>
  <c r="EM710" i="5"/>
  <c r="EL710" i="5"/>
  <c r="EK710" i="5"/>
  <c r="EJ710" i="5"/>
  <c r="EI710" i="5"/>
  <c r="EH710" i="5"/>
  <c r="EG710" i="5"/>
  <c r="EF710" i="5"/>
  <c r="EE710" i="5"/>
  <c r="ED710" i="5"/>
  <c r="EC710" i="5"/>
  <c r="EB710" i="5"/>
  <c r="EA710" i="5"/>
  <c r="DZ710" i="5"/>
  <c r="DY710" i="5"/>
  <c r="DX710" i="5"/>
  <c r="DW710" i="5"/>
  <c r="DV710" i="5"/>
  <c r="DU710" i="5"/>
  <c r="DT710" i="5"/>
  <c r="DS710" i="5"/>
  <c r="DR710" i="5"/>
  <c r="DQ710" i="5"/>
  <c r="DP710" i="5"/>
  <c r="DO710" i="5"/>
  <c r="DN710" i="5"/>
  <c r="DM710" i="5"/>
  <c r="DL710" i="5"/>
  <c r="DK710" i="5"/>
  <c r="DJ710" i="5"/>
  <c r="DI710" i="5"/>
  <c r="DH710" i="5"/>
  <c r="DG710" i="5"/>
  <c r="DF710" i="5"/>
  <c r="DE710" i="5"/>
  <c r="DD710" i="5"/>
  <c r="DC710" i="5"/>
  <c r="DB710" i="5"/>
  <c r="DA710" i="5"/>
  <c r="CZ710" i="5"/>
  <c r="CY710" i="5"/>
  <c r="CX710" i="5"/>
  <c r="CW710" i="5"/>
  <c r="CV710" i="5"/>
  <c r="CU710" i="5"/>
  <c r="CT710" i="5"/>
  <c r="CS710" i="5"/>
  <c r="CR710" i="5"/>
  <c r="CQ710" i="5"/>
  <c r="CP710" i="5"/>
  <c r="CO710" i="5"/>
  <c r="CN710" i="5"/>
  <c r="CM710" i="5"/>
  <c r="CL710" i="5"/>
  <c r="CK710" i="5"/>
  <c r="CJ710" i="5"/>
  <c r="CI710" i="5"/>
  <c r="CH710" i="5"/>
  <c r="CG710" i="5"/>
  <c r="CF710" i="5"/>
  <c r="CE710" i="5"/>
  <c r="JE709" i="5"/>
  <c r="JB709" i="5"/>
  <c r="IZ709" i="5" s="1"/>
  <c r="IY709" i="5"/>
  <c r="IX709" i="5" s="1"/>
  <c r="IO709" i="5"/>
  <c r="IN709" i="5"/>
  <c r="FV709" i="5"/>
  <c r="FU709" i="5"/>
  <c r="FT709" i="5"/>
  <c r="FS709" i="5"/>
  <c r="FR709" i="5"/>
  <c r="FQ709" i="5"/>
  <c r="FP709" i="5"/>
  <c r="FO709" i="5"/>
  <c r="FN709" i="5"/>
  <c r="FM709" i="5"/>
  <c r="FL709" i="5"/>
  <c r="FK709" i="5"/>
  <c r="FJ709" i="5"/>
  <c r="FI709" i="5"/>
  <c r="FH709" i="5"/>
  <c r="FG709" i="5"/>
  <c r="FF709" i="5"/>
  <c r="FE709" i="5"/>
  <c r="FD709" i="5"/>
  <c r="FC709" i="5"/>
  <c r="FB709" i="5"/>
  <c r="FA709" i="5"/>
  <c r="EZ709" i="5"/>
  <c r="EY709" i="5"/>
  <c r="EX709" i="5"/>
  <c r="EW709" i="5"/>
  <c r="EV709" i="5"/>
  <c r="EU709" i="5"/>
  <c r="ET709" i="5"/>
  <c r="ES709" i="5"/>
  <c r="ER709" i="5"/>
  <c r="EQ709" i="5"/>
  <c r="EP709" i="5"/>
  <c r="EO709" i="5"/>
  <c r="EN709" i="5"/>
  <c r="EM709" i="5"/>
  <c r="EL709" i="5"/>
  <c r="EK709" i="5"/>
  <c r="EJ709" i="5"/>
  <c r="EI709" i="5"/>
  <c r="EH709" i="5"/>
  <c r="EG709" i="5"/>
  <c r="EF709" i="5"/>
  <c r="EE709" i="5"/>
  <c r="ED709" i="5"/>
  <c r="EC709" i="5"/>
  <c r="EB709" i="5"/>
  <c r="EA709" i="5"/>
  <c r="DZ709" i="5"/>
  <c r="DY709" i="5"/>
  <c r="DX709" i="5"/>
  <c r="DW709" i="5"/>
  <c r="DV709" i="5"/>
  <c r="DU709" i="5"/>
  <c r="DT709" i="5"/>
  <c r="DS709" i="5"/>
  <c r="DR709" i="5"/>
  <c r="DQ709" i="5"/>
  <c r="DP709" i="5"/>
  <c r="DO709" i="5"/>
  <c r="DN709" i="5"/>
  <c r="DM709" i="5"/>
  <c r="DL709" i="5"/>
  <c r="DK709" i="5"/>
  <c r="DJ709" i="5"/>
  <c r="DI709" i="5"/>
  <c r="DH709" i="5"/>
  <c r="DG709" i="5"/>
  <c r="DF709" i="5"/>
  <c r="DE709" i="5"/>
  <c r="DD709" i="5"/>
  <c r="DC709" i="5"/>
  <c r="DB709" i="5"/>
  <c r="DA709" i="5"/>
  <c r="CZ709" i="5"/>
  <c r="CY709" i="5"/>
  <c r="CX709" i="5"/>
  <c r="CW709" i="5"/>
  <c r="CV709" i="5"/>
  <c r="CU709" i="5"/>
  <c r="CT709" i="5"/>
  <c r="CS709" i="5"/>
  <c r="CR709" i="5"/>
  <c r="CQ709" i="5"/>
  <c r="CP709" i="5"/>
  <c r="CO709" i="5"/>
  <c r="CN709" i="5"/>
  <c r="CM709" i="5"/>
  <c r="CL709" i="5"/>
  <c r="CK709" i="5"/>
  <c r="CJ709" i="5"/>
  <c r="CI709" i="5"/>
  <c r="CH709" i="5"/>
  <c r="CG709" i="5"/>
  <c r="CF709" i="5"/>
  <c r="CE709" i="5"/>
  <c r="JE708" i="5"/>
  <c r="JB708" i="5"/>
  <c r="IY708" i="5"/>
  <c r="IX708" i="5" s="1"/>
  <c r="IO708" i="5"/>
  <c r="IN708" i="5"/>
  <c r="FV708" i="5"/>
  <c r="FU708" i="5"/>
  <c r="FT708" i="5"/>
  <c r="FS708" i="5"/>
  <c r="FR708" i="5"/>
  <c r="FQ708" i="5"/>
  <c r="FP708" i="5"/>
  <c r="FO708" i="5"/>
  <c r="FN708" i="5"/>
  <c r="FM708" i="5"/>
  <c r="FL708" i="5"/>
  <c r="FK708" i="5"/>
  <c r="FJ708" i="5"/>
  <c r="FI708" i="5"/>
  <c r="FH708" i="5"/>
  <c r="FG708" i="5"/>
  <c r="FF708" i="5"/>
  <c r="FE708" i="5"/>
  <c r="FD708" i="5"/>
  <c r="FC708" i="5"/>
  <c r="FB708" i="5"/>
  <c r="FA708" i="5"/>
  <c r="EZ708" i="5"/>
  <c r="EY708" i="5"/>
  <c r="EX708" i="5"/>
  <c r="EW708" i="5"/>
  <c r="EV708" i="5"/>
  <c r="EU708" i="5"/>
  <c r="ET708" i="5"/>
  <c r="ES708" i="5"/>
  <c r="ER708" i="5"/>
  <c r="EQ708" i="5"/>
  <c r="EP708" i="5"/>
  <c r="EO708" i="5"/>
  <c r="EN708" i="5"/>
  <c r="EM708" i="5"/>
  <c r="EL708" i="5"/>
  <c r="EK708" i="5"/>
  <c r="EJ708" i="5"/>
  <c r="EI708" i="5"/>
  <c r="EH708" i="5"/>
  <c r="EG708" i="5"/>
  <c r="EF708" i="5"/>
  <c r="EE708" i="5"/>
  <c r="ED708" i="5"/>
  <c r="EC708" i="5"/>
  <c r="EB708" i="5"/>
  <c r="EA708" i="5"/>
  <c r="DZ708" i="5"/>
  <c r="DY708" i="5"/>
  <c r="DX708" i="5"/>
  <c r="DW708" i="5"/>
  <c r="DV708" i="5"/>
  <c r="DU708" i="5"/>
  <c r="DT708" i="5"/>
  <c r="DS708" i="5"/>
  <c r="DR708" i="5"/>
  <c r="DQ708" i="5"/>
  <c r="DP708" i="5"/>
  <c r="DO708" i="5"/>
  <c r="DN708" i="5"/>
  <c r="DM708" i="5"/>
  <c r="DL708" i="5"/>
  <c r="DK708" i="5"/>
  <c r="DJ708" i="5"/>
  <c r="DI708" i="5"/>
  <c r="DH708" i="5"/>
  <c r="DG708" i="5"/>
  <c r="DF708" i="5"/>
  <c r="DE708" i="5"/>
  <c r="DD708" i="5"/>
  <c r="DC708" i="5"/>
  <c r="DB708" i="5"/>
  <c r="DA708" i="5"/>
  <c r="CZ708" i="5"/>
  <c r="CY708" i="5"/>
  <c r="CX708" i="5"/>
  <c r="CW708" i="5"/>
  <c r="CV708" i="5"/>
  <c r="CU708" i="5"/>
  <c r="CT708" i="5"/>
  <c r="CS708" i="5"/>
  <c r="CR708" i="5"/>
  <c r="CQ708" i="5"/>
  <c r="CP708" i="5"/>
  <c r="CO708" i="5"/>
  <c r="CN708" i="5"/>
  <c r="CM708" i="5"/>
  <c r="CL708" i="5"/>
  <c r="CK708" i="5"/>
  <c r="CJ708" i="5"/>
  <c r="CI708" i="5"/>
  <c r="CH708" i="5"/>
  <c r="CG708" i="5"/>
  <c r="CF708" i="5"/>
  <c r="CE708" i="5"/>
  <c r="KP707" i="5"/>
  <c r="KP977" i="5" s="1"/>
  <c r="KO707" i="5"/>
  <c r="KO977" i="5" s="1"/>
  <c r="KN707" i="5"/>
  <c r="KN977" i="5" s="1"/>
  <c r="KM707" i="5"/>
  <c r="JE707" i="5"/>
  <c r="JB707" i="5"/>
  <c r="IZ707" i="5" s="1"/>
  <c r="IY707" i="5"/>
  <c r="IX707" i="5" s="1"/>
  <c r="IO707" i="5"/>
  <c r="IO977" i="5" s="1"/>
  <c r="IN707" i="5"/>
  <c r="CD707" i="5"/>
  <c r="CD977" i="5" s="1"/>
  <c r="CC707" i="5"/>
  <c r="CC977" i="5" s="1"/>
  <c r="CB707" i="5"/>
  <c r="CA707" i="5"/>
  <c r="CA977" i="5" s="1"/>
  <c r="BZ707" i="5"/>
  <c r="BZ977" i="5" s="1"/>
  <c r="BY707" i="5"/>
  <c r="BY977" i="5" s="1"/>
  <c r="BX707" i="5"/>
  <c r="BX977" i="5" s="1"/>
  <c r="BW707" i="5"/>
  <c r="BW977" i="5" s="1"/>
  <c r="BV707" i="5"/>
  <c r="BV977" i="5" s="1"/>
  <c r="BU707" i="5"/>
  <c r="BU977" i="5" s="1"/>
  <c r="BT707" i="5"/>
  <c r="BT977" i="5" s="1"/>
  <c r="BS707" i="5"/>
  <c r="BS977" i="5" s="1"/>
  <c r="BR707" i="5"/>
  <c r="BR977" i="5" s="1"/>
  <c r="BQ707" i="5"/>
  <c r="BQ977" i="5" s="1"/>
  <c r="BP707" i="5"/>
  <c r="BP977" i="5" s="1"/>
  <c r="BO707" i="5"/>
  <c r="BO977" i="5" s="1"/>
  <c r="BN707" i="5"/>
  <c r="BM707" i="5"/>
  <c r="BM977" i="5" s="1"/>
  <c r="BL707" i="5"/>
  <c r="BL977" i="5" s="1"/>
  <c r="BK707" i="5"/>
  <c r="BJ707" i="5"/>
  <c r="BJ977" i="5" s="1"/>
  <c r="BI707" i="5"/>
  <c r="BI977" i="5" s="1"/>
  <c r="BH707" i="5"/>
  <c r="BH977" i="5" s="1"/>
  <c r="BG707" i="5"/>
  <c r="BG977" i="5" s="1"/>
  <c r="BF707" i="5"/>
  <c r="BF977" i="5" s="1"/>
  <c r="BE707" i="5"/>
  <c r="BE977" i="5" s="1"/>
  <c r="BD707" i="5"/>
  <c r="BD977" i="5" s="1"/>
  <c r="BC707" i="5"/>
  <c r="BC977" i="5" s="1"/>
  <c r="BB707" i="5"/>
  <c r="BB977" i="5" s="1"/>
  <c r="BA707" i="5"/>
  <c r="BA977" i="5" s="1"/>
  <c r="AZ707" i="5"/>
  <c r="AY707" i="5"/>
  <c r="AY977" i="5" s="1"/>
  <c r="AX707" i="5"/>
  <c r="AX977" i="5" s="1"/>
  <c r="AW707" i="5"/>
  <c r="AW977" i="5" s="1"/>
  <c r="AV707" i="5"/>
  <c r="AV977" i="5" s="1"/>
  <c r="AU707" i="5"/>
  <c r="AU977" i="5" s="1"/>
  <c r="AT707" i="5"/>
  <c r="AS707" i="5"/>
  <c r="AS977" i="5" s="1"/>
  <c r="AR707" i="5"/>
  <c r="AQ707" i="5"/>
  <c r="AQ977" i="5" s="1"/>
  <c r="AP707" i="5"/>
  <c r="AP977" i="5" s="1"/>
  <c r="AO707" i="5"/>
  <c r="AO977" i="5" s="1"/>
  <c r="AN707" i="5"/>
  <c r="AN977" i="5" s="1"/>
  <c r="AM707" i="5"/>
  <c r="AL707" i="5"/>
  <c r="AL977" i="5" s="1"/>
  <c r="AK707" i="5"/>
  <c r="AK977" i="5" s="1"/>
  <c r="AJ707" i="5"/>
  <c r="AJ977" i="5" s="1"/>
  <c r="AI707" i="5"/>
  <c r="AI977" i="5" s="1"/>
  <c r="AH707" i="5"/>
  <c r="AH977" i="5" s="1"/>
  <c r="AG707" i="5"/>
  <c r="AG977" i="5" s="1"/>
  <c r="AF707" i="5"/>
  <c r="AF977" i="5" s="1"/>
  <c r="AE707" i="5"/>
  <c r="AD707" i="5"/>
  <c r="AC707" i="5"/>
  <c r="AC977" i="5" s="1"/>
  <c r="AB707" i="5"/>
  <c r="AB977" i="5" s="1"/>
  <c r="AA707" i="5"/>
  <c r="AA977" i="5" s="1"/>
  <c r="Z707" i="5"/>
  <c r="Z977" i="5" s="1"/>
  <c r="Y707" i="5"/>
  <c r="X707" i="5"/>
  <c r="X977" i="5" s="1"/>
  <c r="W707" i="5"/>
  <c r="W977" i="5" s="1"/>
  <c r="V707" i="5"/>
  <c r="V977" i="5" s="1"/>
  <c r="U707" i="5"/>
  <c r="U977" i="5" s="1"/>
  <c r="T707" i="5"/>
  <c r="T977" i="5" s="1"/>
  <c r="S707" i="5"/>
  <c r="S977" i="5" s="1"/>
  <c r="R707" i="5"/>
  <c r="R977" i="5" s="1"/>
  <c r="Q707" i="5"/>
  <c r="Q977" i="5" s="1"/>
  <c r="P707" i="5"/>
  <c r="P977" i="5" s="1"/>
  <c r="O707" i="5"/>
  <c r="O977" i="5" s="1"/>
  <c r="N707" i="5"/>
  <c r="N977" i="5" s="1"/>
  <c r="M707" i="5"/>
  <c r="M977" i="5" s="1"/>
  <c r="L707" i="5"/>
  <c r="L977" i="5" s="1"/>
  <c r="K707" i="5"/>
  <c r="K977" i="5" s="1"/>
  <c r="J707" i="5"/>
  <c r="J977" i="5" s="1"/>
  <c r="I707" i="5"/>
  <c r="I977" i="5" s="1"/>
  <c r="H707" i="5"/>
  <c r="H977" i="5" s="1"/>
  <c r="G707" i="5"/>
  <c r="G977" i="5" s="1"/>
  <c r="F707" i="5"/>
  <c r="F977" i="5" s="1"/>
  <c r="E707" i="5"/>
  <c r="E977" i="5" s="1"/>
  <c r="IO706" i="5"/>
  <c r="IN706" i="5"/>
  <c r="FV706" i="5"/>
  <c r="FU706" i="5"/>
  <c r="FT706" i="5"/>
  <c r="FS706" i="5"/>
  <c r="FR706" i="5"/>
  <c r="FQ706" i="5"/>
  <c r="FP706" i="5"/>
  <c r="FO706" i="5"/>
  <c r="FN706" i="5"/>
  <c r="FM706" i="5"/>
  <c r="FL706" i="5"/>
  <c r="FK706" i="5"/>
  <c r="FJ706" i="5"/>
  <c r="FI706" i="5"/>
  <c r="FH706" i="5"/>
  <c r="FG706" i="5"/>
  <c r="FF706" i="5"/>
  <c r="FE706" i="5"/>
  <c r="FD706" i="5"/>
  <c r="FC706" i="5"/>
  <c r="FB706" i="5"/>
  <c r="FA706" i="5"/>
  <c r="EZ706" i="5"/>
  <c r="EY706" i="5"/>
  <c r="EX706" i="5"/>
  <c r="EW706" i="5"/>
  <c r="EV706" i="5"/>
  <c r="EU706" i="5"/>
  <c r="ET706" i="5"/>
  <c r="ES706" i="5"/>
  <c r="ER706" i="5"/>
  <c r="EQ706" i="5"/>
  <c r="EP706" i="5"/>
  <c r="EO706" i="5"/>
  <c r="EN706" i="5"/>
  <c r="EM706" i="5"/>
  <c r="EL706" i="5"/>
  <c r="EK706" i="5"/>
  <c r="EJ706" i="5"/>
  <c r="EI706" i="5"/>
  <c r="EH706" i="5"/>
  <c r="EG706" i="5"/>
  <c r="EF706" i="5"/>
  <c r="EE706" i="5"/>
  <c r="ED706" i="5"/>
  <c r="EC706" i="5"/>
  <c r="EB706" i="5"/>
  <c r="EA706" i="5"/>
  <c r="DZ706" i="5"/>
  <c r="DY706" i="5"/>
  <c r="DX706" i="5"/>
  <c r="DW706" i="5"/>
  <c r="DV706" i="5"/>
  <c r="DU706" i="5"/>
  <c r="DT706" i="5"/>
  <c r="DS706" i="5"/>
  <c r="DR706" i="5"/>
  <c r="DQ706" i="5"/>
  <c r="DP706" i="5"/>
  <c r="DO706" i="5"/>
  <c r="DN706" i="5"/>
  <c r="DM706" i="5"/>
  <c r="DL706" i="5"/>
  <c r="DK706" i="5"/>
  <c r="DJ706" i="5"/>
  <c r="DI706" i="5"/>
  <c r="DH706" i="5"/>
  <c r="DG706" i="5"/>
  <c r="DF706" i="5"/>
  <c r="DE706" i="5"/>
  <c r="DD706" i="5"/>
  <c r="DC706" i="5"/>
  <c r="DB706" i="5"/>
  <c r="DA706" i="5"/>
  <c r="CZ706" i="5"/>
  <c r="CY706" i="5"/>
  <c r="CX706" i="5"/>
  <c r="CW706" i="5"/>
  <c r="CV706" i="5"/>
  <c r="CU706" i="5"/>
  <c r="CT706" i="5"/>
  <c r="CS706" i="5"/>
  <c r="CR706" i="5"/>
  <c r="CQ706" i="5"/>
  <c r="CP706" i="5"/>
  <c r="CO706" i="5"/>
  <c r="CN706" i="5"/>
  <c r="CM706" i="5"/>
  <c r="CL706" i="5"/>
  <c r="CK706" i="5"/>
  <c r="CJ706" i="5"/>
  <c r="CI706" i="5"/>
  <c r="CH706" i="5"/>
  <c r="CG706" i="5"/>
  <c r="CF706" i="5"/>
  <c r="CE706" i="5"/>
  <c r="CD706" i="5"/>
  <c r="IO705" i="5"/>
  <c r="IN705" i="5"/>
  <c r="FV705" i="5"/>
  <c r="FU705" i="5"/>
  <c r="FT705" i="5"/>
  <c r="FS705" i="5"/>
  <c r="FR705" i="5"/>
  <c r="FQ705" i="5"/>
  <c r="FP705" i="5"/>
  <c r="FO705" i="5"/>
  <c r="FN705" i="5"/>
  <c r="FM705" i="5"/>
  <c r="FL705" i="5"/>
  <c r="FK705" i="5"/>
  <c r="FJ705" i="5"/>
  <c r="FI705" i="5"/>
  <c r="FH705" i="5"/>
  <c r="FG705" i="5"/>
  <c r="FF705" i="5"/>
  <c r="FE705" i="5"/>
  <c r="FD705" i="5"/>
  <c r="FC705" i="5"/>
  <c r="FB705" i="5"/>
  <c r="FA705" i="5"/>
  <c r="EZ705" i="5"/>
  <c r="EY705" i="5"/>
  <c r="EX705" i="5"/>
  <c r="EW705" i="5"/>
  <c r="EV705" i="5"/>
  <c r="EU705" i="5"/>
  <c r="ET705" i="5"/>
  <c r="ES705" i="5"/>
  <c r="ER705" i="5"/>
  <c r="EQ705" i="5"/>
  <c r="EP705" i="5"/>
  <c r="EO705" i="5"/>
  <c r="EN705" i="5"/>
  <c r="EM705" i="5"/>
  <c r="EL705" i="5"/>
  <c r="EK705" i="5"/>
  <c r="EJ705" i="5"/>
  <c r="EI705" i="5"/>
  <c r="EH705" i="5"/>
  <c r="EG705" i="5"/>
  <c r="EF705" i="5"/>
  <c r="EE705" i="5"/>
  <c r="ED705" i="5"/>
  <c r="EC705" i="5"/>
  <c r="EB705" i="5"/>
  <c r="EA705" i="5"/>
  <c r="DZ705" i="5"/>
  <c r="DY705" i="5"/>
  <c r="DX705" i="5"/>
  <c r="DW705" i="5"/>
  <c r="DV705" i="5"/>
  <c r="DU705" i="5"/>
  <c r="DT705" i="5"/>
  <c r="DS705" i="5"/>
  <c r="DR705" i="5"/>
  <c r="DQ705" i="5"/>
  <c r="DP705" i="5"/>
  <c r="DO705" i="5"/>
  <c r="DN705" i="5"/>
  <c r="DM705" i="5"/>
  <c r="DL705" i="5"/>
  <c r="DK705" i="5"/>
  <c r="DJ705" i="5"/>
  <c r="DI705" i="5"/>
  <c r="DH705" i="5"/>
  <c r="DG705" i="5"/>
  <c r="DF705" i="5"/>
  <c r="DE705" i="5"/>
  <c r="DD705" i="5"/>
  <c r="DC705" i="5"/>
  <c r="DB705" i="5"/>
  <c r="DA705" i="5"/>
  <c r="CZ705" i="5"/>
  <c r="CY705" i="5"/>
  <c r="CX705" i="5"/>
  <c r="CW705" i="5"/>
  <c r="CV705" i="5"/>
  <c r="CU705" i="5"/>
  <c r="CT705" i="5"/>
  <c r="CS705" i="5"/>
  <c r="CR705" i="5"/>
  <c r="CQ705" i="5"/>
  <c r="CP705" i="5"/>
  <c r="CO705" i="5"/>
  <c r="CN705" i="5"/>
  <c r="CM705" i="5"/>
  <c r="CL705" i="5"/>
  <c r="CK705" i="5"/>
  <c r="CJ705" i="5"/>
  <c r="CI705" i="5"/>
  <c r="CH705" i="5"/>
  <c r="CG705" i="5"/>
  <c r="CF705" i="5"/>
  <c r="CE705" i="5"/>
  <c r="IO704" i="5"/>
  <c r="IN704" i="5"/>
  <c r="FV704" i="5"/>
  <c r="FU704" i="5"/>
  <c r="FT704" i="5"/>
  <c r="FS704" i="5"/>
  <c r="FR704" i="5"/>
  <c r="FQ704" i="5"/>
  <c r="FP704" i="5"/>
  <c r="FO704" i="5"/>
  <c r="FN704" i="5"/>
  <c r="FM704" i="5"/>
  <c r="FL704" i="5"/>
  <c r="FK704" i="5"/>
  <c r="FJ704" i="5"/>
  <c r="FI704" i="5"/>
  <c r="FH704" i="5"/>
  <c r="FG704" i="5"/>
  <c r="FF704" i="5"/>
  <c r="FE704" i="5"/>
  <c r="FD704" i="5"/>
  <c r="FC704" i="5"/>
  <c r="FB704" i="5"/>
  <c r="FA704" i="5"/>
  <c r="EZ704" i="5"/>
  <c r="EY704" i="5"/>
  <c r="EX704" i="5"/>
  <c r="EW704" i="5"/>
  <c r="EV704" i="5"/>
  <c r="EU704" i="5"/>
  <c r="ET704" i="5"/>
  <c r="ES704" i="5"/>
  <c r="ER704" i="5"/>
  <c r="EQ704" i="5"/>
  <c r="EP704" i="5"/>
  <c r="EO704" i="5"/>
  <c r="EN704" i="5"/>
  <c r="EM704" i="5"/>
  <c r="EL704" i="5"/>
  <c r="EK704" i="5"/>
  <c r="EJ704" i="5"/>
  <c r="EI704" i="5"/>
  <c r="EH704" i="5"/>
  <c r="EG704" i="5"/>
  <c r="EF704" i="5"/>
  <c r="EE704" i="5"/>
  <c r="ED704" i="5"/>
  <c r="EC704" i="5"/>
  <c r="EB704" i="5"/>
  <c r="EA704" i="5"/>
  <c r="DZ704" i="5"/>
  <c r="DY704" i="5"/>
  <c r="DX704" i="5"/>
  <c r="DW704" i="5"/>
  <c r="DV704" i="5"/>
  <c r="DU704" i="5"/>
  <c r="DT704" i="5"/>
  <c r="DS704" i="5"/>
  <c r="DR704" i="5"/>
  <c r="DQ704" i="5"/>
  <c r="DP704" i="5"/>
  <c r="DO704" i="5"/>
  <c r="DN704" i="5"/>
  <c r="DM704" i="5"/>
  <c r="DL704" i="5"/>
  <c r="DK704" i="5"/>
  <c r="DJ704" i="5"/>
  <c r="DI704" i="5"/>
  <c r="DH704" i="5"/>
  <c r="DG704" i="5"/>
  <c r="DF704" i="5"/>
  <c r="DE704" i="5"/>
  <c r="DD704" i="5"/>
  <c r="DC704" i="5"/>
  <c r="DB704" i="5"/>
  <c r="DA704" i="5"/>
  <c r="CZ704" i="5"/>
  <c r="CY704" i="5"/>
  <c r="CX704" i="5"/>
  <c r="CW704" i="5"/>
  <c r="CV704" i="5"/>
  <c r="CU704" i="5"/>
  <c r="CT704" i="5"/>
  <c r="CS704" i="5"/>
  <c r="CR704" i="5"/>
  <c r="CQ704" i="5"/>
  <c r="CP704" i="5"/>
  <c r="CO704" i="5"/>
  <c r="CN704" i="5"/>
  <c r="CM704" i="5"/>
  <c r="CL704" i="5"/>
  <c r="CK704" i="5"/>
  <c r="CJ704" i="5"/>
  <c r="CI704" i="5"/>
  <c r="CH704" i="5"/>
  <c r="CG704" i="5"/>
  <c r="CF704" i="5"/>
  <c r="CE704" i="5"/>
  <c r="IO703" i="5"/>
  <c r="IN703" i="5"/>
  <c r="FV703" i="5"/>
  <c r="FU703" i="5"/>
  <c r="FT703" i="5"/>
  <c r="FS703" i="5"/>
  <c r="FR703" i="5"/>
  <c r="FQ703" i="5"/>
  <c r="FP703" i="5"/>
  <c r="FO703" i="5"/>
  <c r="FN703" i="5"/>
  <c r="FM703" i="5"/>
  <c r="FL703" i="5"/>
  <c r="FK703" i="5"/>
  <c r="FJ703" i="5"/>
  <c r="FI703" i="5"/>
  <c r="FH703" i="5"/>
  <c r="FG703" i="5"/>
  <c r="FF703" i="5"/>
  <c r="FE703" i="5"/>
  <c r="FD703" i="5"/>
  <c r="FC703" i="5"/>
  <c r="FB703" i="5"/>
  <c r="FA703" i="5"/>
  <c r="EZ703" i="5"/>
  <c r="EY703" i="5"/>
  <c r="EX703" i="5"/>
  <c r="EW703" i="5"/>
  <c r="EV703" i="5"/>
  <c r="EU703" i="5"/>
  <c r="ET703" i="5"/>
  <c r="ES703" i="5"/>
  <c r="ER703" i="5"/>
  <c r="EQ703" i="5"/>
  <c r="EP703" i="5"/>
  <c r="EO703" i="5"/>
  <c r="EN703" i="5"/>
  <c r="EM703" i="5"/>
  <c r="EL703" i="5"/>
  <c r="EK703" i="5"/>
  <c r="EJ703" i="5"/>
  <c r="EI703" i="5"/>
  <c r="EH703" i="5"/>
  <c r="EG703" i="5"/>
  <c r="EF703" i="5"/>
  <c r="EE703" i="5"/>
  <c r="ED703" i="5"/>
  <c r="EC703" i="5"/>
  <c r="EB703" i="5"/>
  <c r="EA703" i="5"/>
  <c r="DZ703" i="5"/>
  <c r="DY703" i="5"/>
  <c r="DX703" i="5"/>
  <c r="DW703" i="5"/>
  <c r="DV703" i="5"/>
  <c r="DU703" i="5"/>
  <c r="DT703" i="5"/>
  <c r="DS703" i="5"/>
  <c r="DR703" i="5"/>
  <c r="DQ703" i="5"/>
  <c r="DP703" i="5"/>
  <c r="DO703" i="5"/>
  <c r="DN703" i="5"/>
  <c r="DM703" i="5"/>
  <c r="DL703" i="5"/>
  <c r="DK703" i="5"/>
  <c r="DJ703" i="5"/>
  <c r="DI703" i="5"/>
  <c r="DH703" i="5"/>
  <c r="DG703" i="5"/>
  <c r="DF703" i="5"/>
  <c r="DE703" i="5"/>
  <c r="DD703" i="5"/>
  <c r="DC703" i="5"/>
  <c r="DB703" i="5"/>
  <c r="DA703" i="5"/>
  <c r="CZ703" i="5"/>
  <c r="CY703" i="5"/>
  <c r="CX703" i="5"/>
  <c r="CW703" i="5"/>
  <c r="CV703" i="5"/>
  <c r="CU703" i="5"/>
  <c r="CT703" i="5"/>
  <c r="CS703" i="5"/>
  <c r="CR703" i="5"/>
  <c r="CQ703" i="5"/>
  <c r="CP703" i="5"/>
  <c r="CO703" i="5"/>
  <c r="CN703" i="5"/>
  <c r="CM703" i="5"/>
  <c r="CL703" i="5"/>
  <c r="CK703" i="5"/>
  <c r="CJ703" i="5"/>
  <c r="CI703" i="5"/>
  <c r="CH703" i="5"/>
  <c r="CG703" i="5"/>
  <c r="CF703" i="5"/>
  <c r="CE703" i="5"/>
  <c r="IO702" i="5"/>
  <c r="IN702" i="5"/>
  <c r="FV702" i="5"/>
  <c r="FU702" i="5"/>
  <c r="FT702" i="5"/>
  <c r="FS702" i="5"/>
  <c r="FR702" i="5"/>
  <c r="FQ702" i="5"/>
  <c r="FP702" i="5"/>
  <c r="FO702" i="5"/>
  <c r="FN702" i="5"/>
  <c r="FM702" i="5"/>
  <c r="FL702" i="5"/>
  <c r="FK702" i="5"/>
  <c r="FJ702" i="5"/>
  <c r="FI702" i="5"/>
  <c r="FH702" i="5"/>
  <c r="FG702" i="5"/>
  <c r="FF702" i="5"/>
  <c r="FE702" i="5"/>
  <c r="FD702" i="5"/>
  <c r="FC702" i="5"/>
  <c r="FB702" i="5"/>
  <c r="FA702" i="5"/>
  <c r="EZ702" i="5"/>
  <c r="EY702" i="5"/>
  <c r="EX702" i="5"/>
  <c r="EW702" i="5"/>
  <c r="EV702" i="5"/>
  <c r="EU702" i="5"/>
  <c r="ET702" i="5"/>
  <c r="ES702" i="5"/>
  <c r="ER702" i="5"/>
  <c r="EQ702" i="5"/>
  <c r="EP702" i="5"/>
  <c r="EO702" i="5"/>
  <c r="EN702" i="5"/>
  <c r="EM702" i="5"/>
  <c r="EL702" i="5"/>
  <c r="EK702" i="5"/>
  <c r="EJ702" i="5"/>
  <c r="EI702" i="5"/>
  <c r="EH702" i="5"/>
  <c r="EG702" i="5"/>
  <c r="EF702" i="5"/>
  <c r="EE702" i="5"/>
  <c r="ED702" i="5"/>
  <c r="EC702" i="5"/>
  <c r="EB702" i="5"/>
  <c r="EA702" i="5"/>
  <c r="DZ702" i="5"/>
  <c r="DY702" i="5"/>
  <c r="DX702" i="5"/>
  <c r="DW702" i="5"/>
  <c r="DV702" i="5"/>
  <c r="DU702" i="5"/>
  <c r="DT702" i="5"/>
  <c r="DS702" i="5"/>
  <c r="DR702" i="5"/>
  <c r="DQ702" i="5"/>
  <c r="DP702" i="5"/>
  <c r="DO702" i="5"/>
  <c r="DN702" i="5"/>
  <c r="DM702" i="5"/>
  <c r="DL702" i="5"/>
  <c r="DK702" i="5"/>
  <c r="DJ702" i="5"/>
  <c r="DI702" i="5"/>
  <c r="DH702" i="5"/>
  <c r="DG702" i="5"/>
  <c r="DF702" i="5"/>
  <c r="DE702" i="5"/>
  <c r="DD702" i="5"/>
  <c r="DC702" i="5"/>
  <c r="DB702" i="5"/>
  <c r="DA702" i="5"/>
  <c r="CZ702" i="5"/>
  <c r="CY702" i="5"/>
  <c r="CX702" i="5"/>
  <c r="CW702" i="5"/>
  <c r="CV702" i="5"/>
  <c r="CU702" i="5"/>
  <c r="CT702" i="5"/>
  <c r="CS702" i="5"/>
  <c r="CR702" i="5"/>
  <c r="CQ702" i="5"/>
  <c r="CP702" i="5"/>
  <c r="CO702" i="5"/>
  <c r="CN702" i="5"/>
  <c r="CM702" i="5"/>
  <c r="CL702" i="5"/>
  <c r="CK702" i="5"/>
  <c r="CJ702" i="5"/>
  <c r="CI702" i="5"/>
  <c r="CH702" i="5"/>
  <c r="CG702" i="5"/>
  <c r="CF702" i="5"/>
  <c r="CE702" i="5"/>
  <c r="JE701" i="5"/>
  <c r="JC701" i="5" s="1"/>
  <c r="JB701" i="5"/>
  <c r="IZ701" i="5" s="1"/>
  <c r="IY701" i="5"/>
  <c r="IX701" i="5" s="1"/>
  <c r="IO701" i="5"/>
  <c r="IN701" i="5"/>
  <c r="FV701" i="5"/>
  <c r="FU701" i="5"/>
  <c r="FT701" i="5"/>
  <c r="FS701" i="5"/>
  <c r="FR701" i="5"/>
  <c r="FQ701" i="5"/>
  <c r="FP701" i="5"/>
  <c r="FO701" i="5"/>
  <c r="FN701" i="5"/>
  <c r="FM701" i="5"/>
  <c r="FL701" i="5"/>
  <c r="FK701" i="5"/>
  <c r="FJ701" i="5"/>
  <c r="FI701" i="5"/>
  <c r="FH701" i="5"/>
  <c r="FG701" i="5"/>
  <c r="FF701" i="5"/>
  <c r="FE701" i="5"/>
  <c r="FD701" i="5"/>
  <c r="FC701" i="5"/>
  <c r="FB701" i="5"/>
  <c r="FA701" i="5"/>
  <c r="EZ701" i="5"/>
  <c r="EY701" i="5"/>
  <c r="EX701" i="5"/>
  <c r="EW701" i="5"/>
  <c r="EV701" i="5"/>
  <c r="EU701" i="5"/>
  <c r="ET701" i="5"/>
  <c r="ES701" i="5"/>
  <c r="ER701" i="5"/>
  <c r="EQ701" i="5"/>
  <c r="EP701" i="5"/>
  <c r="EO701" i="5"/>
  <c r="EN701" i="5"/>
  <c r="EM701" i="5"/>
  <c r="EL701" i="5"/>
  <c r="EK701" i="5"/>
  <c r="EJ701" i="5"/>
  <c r="EI701" i="5"/>
  <c r="EH701" i="5"/>
  <c r="EG701" i="5"/>
  <c r="EF701" i="5"/>
  <c r="EE701" i="5"/>
  <c r="ED701" i="5"/>
  <c r="EC701" i="5"/>
  <c r="EB701" i="5"/>
  <c r="EA701" i="5"/>
  <c r="DZ701" i="5"/>
  <c r="DY701" i="5"/>
  <c r="DX701" i="5"/>
  <c r="DW701" i="5"/>
  <c r="DV701" i="5"/>
  <c r="DU701" i="5"/>
  <c r="DT701" i="5"/>
  <c r="DS701" i="5"/>
  <c r="DR701" i="5"/>
  <c r="DQ701" i="5"/>
  <c r="DP701" i="5"/>
  <c r="DO701" i="5"/>
  <c r="DN701" i="5"/>
  <c r="DM701" i="5"/>
  <c r="DL701" i="5"/>
  <c r="DK701" i="5"/>
  <c r="DJ701" i="5"/>
  <c r="DI701" i="5"/>
  <c r="DH701" i="5"/>
  <c r="DG701" i="5"/>
  <c r="DF701" i="5"/>
  <c r="DE701" i="5"/>
  <c r="DD701" i="5"/>
  <c r="DC701" i="5"/>
  <c r="DB701" i="5"/>
  <c r="DA701" i="5"/>
  <c r="CZ701" i="5"/>
  <c r="CY701" i="5"/>
  <c r="CX701" i="5"/>
  <c r="CW701" i="5"/>
  <c r="CV701" i="5"/>
  <c r="CU701" i="5"/>
  <c r="CT701" i="5"/>
  <c r="CS701" i="5"/>
  <c r="CR701" i="5"/>
  <c r="CQ701" i="5"/>
  <c r="CP701" i="5"/>
  <c r="CO701" i="5"/>
  <c r="CN701" i="5"/>
  <c r="CM701" i="5"/>
  <c r="CL701" i="5"/>
  <c r="CK701" i="5"/>
  <c r="CJ701" i="5"/>
  <c r="CI701" i="5"/>
  <c r="CH701" i="5"/>
  <c r="CG701" i="5"/>
  <c r="CF701" i="5"/>
  <c r="CE701" i="5"/>
  <c r="JE700" i="5"/>
  <c r="JB700" i="5"/>
  <c r="IY700" i="5"/>
  <c r="IX700" i="5" s="1"/>
  <c r="IO700" i="5"/>
  <c r="IN700" i="5"/>
  <c r="IL700" i="5"/>
  <c r="IK700" i="5"/>
  <c r="JE699" i="5"/>
  <c r="JB699" i="5"/>
  <c r="IZ699" i="5" s="1"/>
  <c r="IY699" i="5"/>
  <c r="IX699" i="5" s="1"/>
  <c r="IO699" i="5"/>
  <c r="IN699" i="5"/>
  <c r="IL699" i="5"/>
  <c r="IM699" i="5" s="1"/>
  <c r="AF1021" i="2" s="1"/>
  <c r="IO698" i="5"/>
  <c r="IN698" i="5"/>
  <c r="FV698" i="5"/>
  <c r="FU698" i="5"/>
  <c r="FT698" i="5"/>
  <c r="FS698" i="5"/>
  <c r="FR698" i="5"/>
  <c r="FQ698" i="5"/>
  <c r="FP698" i="5"/>
  <c r="FO698" i="5"/>
  <c r="FN698" i="5"/>
  <c r="FM698" i="5"/>
  <c r="FL698" i="5"/>
  <c r="FK698" i="5"/>
  <c r="FJ698" i="5"/>
  <c r="FI698" i="5"/>
  <c r="FH698" i="5"/>
  <c r="FG698" i="5"/>
  <c r="FF698" i="5"/>
  <c r="FE698" i="5"/>
  <c r="FD698" i="5"/>
  <c r="FC698" i="5"/>
  <c r="FB698" i="5"/>
  <c r="FA698" i="5"/>
  <c r="EZ698" i="5"/>
  <c r="EY698" i="5"/>
  <c r="EX698" i="5"/>
  <c r="EW698" i="5"/>
  <c r="EV698" i="5"/>
  <c r="EU698" i="5"/>
  <c r="ET698" i="5"/>
  <c r="ES698" i="5"/>
  <c r="ER698" i="5"/>
  <c r="EQ698" i="5"/>
  <c r="EP698" i="5"/>
  <c r="EO698" i="5"/>
  <c r="EN698" i="5"/>
  <c r="EM698" i="5"/>
  <c r="EL698" i="5"/>
  <c r="EK698" i="5"/>
  <c r="EJ698" i="5"/>
  <c r="EI698" i="5"/>
  <c r="EH698" i="5"/>
  <c r="EG698" i="5"/>
  <c r="EF698" i="5"/>
  <c r="EE698" i="5"/>
  <c r="ED698" i="5"/>
  <c r="EC698" i="5"/>
  <c r="EB698" i="5"/>
  <c r="EA698" i="5"/>
  <c r="DZ698" i="5"/>
  <c r="DY698" i="5"/>
  <c r="DX698" i="5"/>
  <c r="DW698" i="5"/>
  <c r="DV698" i="5"/>
  <c r="DU698" i="5"/>
  <c r="DT698" i="5"/>
  <c r="DS698" i="5"/>
  <c r="DR698" i="5"/>
  <c r="DQ698" i="5"/>
  <c r="DP698" i="5"/>
  <c r="DO698" i="5"/>
  <c r="DN698" i="5"/>
  <c r="DM698" i="5"/>
  <c r="DL698" i="5"/>
  <c r="DK698" i="5"/>
  <c r="DJ698" i="5"/>
  <c r="DI698" i="5"/>
  <c r="DH698" i="5"/>
  <c r="DG698" i="5"/>
  <c r="DF698" i="5"/>
  <c r="DE698" i="5"/>
  <c r="DD698" i="5"/>
  <c r="DC698" i="5"/>
  <c r="DB698" i="5"/>
  <c r="DA698" i="5"/>
  <c r="CZ698" i="5"/>
  <c r="CY698" i="5"/>
  <c r="CX698" i="5"/>
  <c r="CW698" i="5"/>
  <c r="CV698" i="5"/>
  <c r="CU698" i="5"/>
  <c r="CT698" i="5"/>
  <c r="CS698" i="5"/>
  <c r="CR698" i="5"/>
  <c r="CQ698" i="5"/>
  <c r="CP698" i="5"/>
  <c r="CO698" i="5"/>
  <c r="CN698" i="5"/>
  <c r="CM698" i="5"/>
  <c r="CL698" i="5"/>
  <c r="CK698" i="5"/>
  <c r="CJ698" i="5"/>
  <c r="CI698" i="5"/>
  <c r="CH698" i="5"/>
  <c r="CG698" i="5"/>
  <c r="CF698" i="5"/>
  <c r="CE698" i="5"/>
  <c r="IO697" i="5"/>
  <c r="IN697" i="5"/>
  <c r="FV697" i="5"/>
  <c r="FV1136" i="5" s="1"/>
  <c r="FU697" i="5"/>
  <c r="FU1136" i="5" s="1"/>
  <c r="FT697" i="5"/>
  <c r="FT1136" i="5" s="1"/>
  <c r="FS697" i="5"/>
  <c r="FS1136" i="5" s="1"/>
  <c r="FR697" i="5"/>
  <c r="FR1136" i="5" s="1"/>
  <c r="FQ697" i="5"/>
  <c r="FQ1136" i="5" s="1"/>
  <c r="FP697" i="5"/>
  <c r="FP1136" i="5" s="1"/>
  <c r="FO697" i="5"/>
  <c r="FO1136" i="5" s="1"/>
  <c r="FN697" i="5"/>
  <c r="FN1136" i="5" s="1"/>
  <c r="FM697" i="5"/>
  <c r="FM1136" i="5" s="1"/>
  <c r="FL697" i="5"/>
  <c r="FL1136" i="5" s="1"/>
  <c r="FK697" i="5"/>
  <c r="FK1136" i="5" s="1"/>
  <c r="FJ697" i="5"/>
  <c r="FJ1136" i="5" s="1"/>
  <c r="FI697" i="5"/>
  <c r="FI1136" i="5" s="1"/>
  <c r="FH697" i="5"/>
  <c r="FH1136" i="5" s="1"/>
  <c r="FG697" i="5"/>
  <c r="FF697" i="5"/>
  <c r="FF1136" i="5" s="1"/>
  <c r="FE697" i="5"/>
  <c r="FE1136" i="5" s="1"/>
  <c r="FD697" i="5"/>
  <c r="FD1136" i="5" s="1"/>
  <c r="FC697" i="5"/>
  <c r="FB697" i="5"/>
  <c r="FB1136" i="5" s="1"/>
  <c r="FA697" i="5"/>
  <c r="FA1136" i="5" s="1"/>
  <c r="EZ697" i="5"/>
  <c r="EZ1136" i="5" s="1"/>
  <c r="EY697" i="5"/>
  <c r="EY1136" i="5" s="1"/>
  <c r="EX697" i="5"/>
  <c r="EW697" i="5"/>
  <c r="EV697" i="5"/>
  <c r="EU697" i="5"/>
  <c r="ET697" i="5"/>
  <c r="ES697" i="5"/>
  <c r="ER697" i="5"/>
  <c r="EQ697" i="5"/>
  <c r="EP697" i="5"/>
  <c r="EO697" i="5"/>
  <c r="EN697" i="5"/>
  <c r="EM697" i="5"/>
  <c r="EL697" i="5"/>
  <c r="EK697" i="5"/>
  <c r="EJ697" i="5"/>
  <c r="EI697" i="5"/>
  <c r="EH697" i="5"/>
  <c r="EG697" i="5"/>
  <c r="EF697" i="5"/>
  <c r="EE697" i="5"/>
  <c r="ED697" i="5"/>
  <c r="EC697" i="5"/>
  <c r="EB697" i="5"/>
  <c r="EA697" i="5"/>
  <c r="DZ697" i="5"/>
  <c r="DY697" i="5"/>
  <c r="DX697" i="5"/>
  <c r="DW697" i="5"/>
  <c r="DV697" i="5"/>
  <c r="DU697" i="5"/>
  <c r="DT697" i="5"/>
  <c r="DS697" i="5"/>
  <c r="DR697" i="5"/>
  <c r="DQ697" i="5"/>
  <c r="DP697" i="5"/>
  <c r="DO697" i="5"/>
  <c r="DN697" i="5"/>
  <c r="DM697" i="5"/>
  <c r="DL697" i="5"/>
  <c r="DK697" i="5"/>
  <c r="DJ697" i="5"/>
  <c r="DI697" i="5"/>
  <c r="DH697" i="5"/>
  <c r="DG697" i="5"/>
  <c r="DF697" i="5"/>
  <c r="DE697" i="5"/>
  <c r="DD697" i="5"/>
  <c r="DC697" i="5"/>
  <c r="DB697" i="5"/>
  <c r="DA697" i="5"/>
  <c r="CZ697" i="5"/>
  <c r="CY697" i="5"/>
  <c r="CX697" i="5"/>
  <c r="CW697" i="5"/>
  <c r="CV697" i="5"/>
  <c r="CU697" i="5"/>
  <c r="CT697" i="5"/>
  <c r="CS697" i="5"/>
  <c r="CR697" i="5"/>
  <c r="CQ697" i="5"/>
  <c r="CP697" i="5"/>
  <c r="CO697" i="5"/>
  <c r="CN697" i="5"/>
  <c r="CM697" i="5"/>
  <c r="CL697" i="5"/>
  <c r="CK697" i="5"/>
  <c r="CJ697" i="5"/>
  <c r="CI697" i="5"/>
  <c r="CH697" i="5"/>
  <c r="CG697" i="5"/>
  <c r="CF697" i="5"/>
  <c r="CE697" i="5"/>
  <c r="CD697" i="5"/>
  <c r="IO696" i="5"/>
  <c r="IN696" i="5"/>
  <c r="FV696" i="5"/>
  <c r="FU696" i="5"/>
  <c r="FT696" i="5"/>
  <c r="FS696" i="5"/>
  <c r="FR696" i="5"/>
  <c r="FQ696" i="5"/>
  <c r="FP696" i="5"/>
  <c r="FO696" i="5"/>
  <c r="FN696" i="5"/>
  <c r="FM696" i="5"/>
  <c r="FL696" i="5"/>
  <c r="FK696" i="5"/>
  <c r="FJ696" i="5"/>
  <c r="FI696" i="5"/>
  <c r="FH696" i="5"/>
  <c r="FG696" i="5"/>
  <c r="FF696" i="5"/>
  <c r="FE696" i="5"/>
  <c r="FD696" i="5"/>
  <c r="FC696" i="5"/>
  <c r="FB696" i="5"/>
  <c r="FA696" i="5"/>
  <c r="EZ696" i="5"/>
  <c r="EY696" i="5"/>
  <c r="EX696" i="5"/>
  <c r="EW696" i="5"/>
  <c r="EV696" i="5"/>
  <c r="EU696" i="5"/>
  <c r="ET696" i="5"/>
  <c r="ES696" i="5"/>
  <c r="ER696" i="5"/>
  <c r="EQ696" i="5"/>
  <c r="EP696" i="5"/>
  <c r="EO696" i="5"/>
  <c r="EN696" i="5"/>
  <c r="EM696" i="5"/>
  <c r="EL696" i="5"/>
  <c r="EK696" i="5"/>
  <c r="EJ696" i="5"/>
  <c r="EI696" i="5"/>
  <c r="EH696" i="5"/>
  <c r="EG696" i="5"/>
  <c r="EF696" i="5"/>
  <c r="EE696" i="5"/>
  <c r="ED696" i="5"/>
  <c r="EC696" i="5"/>
  <c r="EB696" i="5"/>
  <c r="EA696" i="5"/>
  <c r="DZ696" i="5"/>
  <c r="DY696" i="5"/>
  <c r="DX696" i="5"/>
  <c r="DW696" i="5"/>
  <c r="DV696" i="5"/>
  <c r="DU696" i="5"/>
  <c r="DT696" i="5"/>
  <c r="DS696" i="5"/>
  <c r="DR696" i="5"/>
  <c r="DQ696" i="5"/>
  <c r="DP696" i="5"/>
  <c r="DO696" i="5"/>
  <c r="DN696" i="5"/>
  <c r="DM696" i="5"/>
  <c r="DL696" i="5"/>
  <c r="DK696" i="5"/>
  <c r="DJ696" i="5"/>
  <c r="DI696" i="5"/>
  <c r="DH696" i="5"/>
  <c r="DG696" i="5"/>
  <c r="DF696" i="5"/>
  <c r="DE696" i="5"/>
  <c r="DD696" i="5"/>
  <c r="DC696" i="5"/>
  <c r="DB696" i="5"/>
  <c r="DA696" i="5"/>
  <c r="CZ696" i="5"/>
  <c r="CY696" i="5"/>
  <c r="CX696" i="5"/>
  <c r="CW696" i="5"/>
  <c r="CV696" i="5"/>
  <c r="CU696" i="5"/>
  <c r="CT696" i="5"/>
  <c r="CS696" i="5"/>
  <c r="CR696" i="5"/>
  <c r="CQ696" i="5"/>
  <c r="CP696" i="5"/>
  <c r="CO696" i="5"/>
  <c r="CN696" i="5"/>
  <c r="CM696" i="5"/>
  <c r="CL696" i="5"/>
  <c r="CK696" i="5"/>
  <c r="CJ696" i="5"/>
  <c r="CI696" i="5"/>
  <c r="CH696" i="5"/>
  <c r="CG696" i="5"/>
  <c r="CF696" i="5"/>
  <c r="CE696" i="5"/>
  <c r="IO695" i="5"/>
  <c r="IN695" i="5"/>
  <c r="IL695" i="5"/>
  <c r="IM695" i="5" s="1"/>
  <c r="AF1017" i="2" s="1"/>
  <c r="JE694" i="5"/>
  <c r="JB694" i="5"/>
  <c r="IY694" i="5"/>
  <c r="IX694" i="5" s="1"/>
  <c r="IO694" i="5"/>
  <c r="IN694" i="5"/>
  <c r="IL694" i="5"/>
  <c r="IK694" i="5"/>
  <c r="IO693" i="5"/>
  <c r="IN693" i="5"/>
  <c r="FV693" i="5"/>
  <c r="FU693" i="5"/>
  <c r="FT693" i="5"/>
  <c r="FS693" i="5"/>
  <c r="FR693" i="5"/>
  <c r="FQ693" i="5"/>
  <c r="FP693" i="5"/>
  <c r="FO693" i="5"/>
  <c r="FN693" i="5"/>
  <c r="FM693" i="5"/>
  <c r="FL693" i="5"/>
  <c r="FK693" i="5"/>
  <c r="FJ693" i="5"/>
  <c r="FI693" i="5"/>
  <c r="FH693" i="5"/>
  <c r="FG693" i="5"/>
  <c r="FF693" i="5"/>
  <c r="FE693" i="5"/>
  <c r="FD693" i="5"/>
  <c r="FC693" i="5"/>
  <c r="FB693" i="5"/>
  <c r="FA693" i="5"/>
  <c r="EZ693" i="5"/>
  <c r="EY693" i="5"/>
  <c r="EX693" i="5"/>
  <c r="EW693" i="5"/>
  <c r="EV693" i="5"/>
  <c r="EU693" i="5"/>
  <c r="ET693" i="5"/>
  <c r="ES693" i="5"/>
  <c r="ER693" i="5"/>
  <c r="EQ693" i="5"/>
  <c r="EP693" i="5"/>
  <c r="EO693" i="5"/>
  <c r="EN693" i="5"/>
  <c r="EM693" i="5"/>
  <c r="EL693" i="5"/>
  <c r="EK693" i="5"/>
  <c r="EJ693" i="5"/>
  <c r="EI693" i="5"/>
  <c r="EH693" i="5"/>
  <c r="EG693" i="5"/>
  <c r="EF693" i="5"/>
  <c r="EE693" i="5"/>
  <c r="ED693" i="5"/>
  <c r="EC693" i="5"/>
  <c r="EB693" i="5"/>
  <c r="EA693" i="5"/>
  <c r="DZ693" i="5"/>
  <c r="DY693" i="5"/>
  <c r="DX693" i="5"/>
  <c r="DW693" i="5"/>
  <c r="DV693" i="5"/>
  <c r="DU693" i="5"/>
  <c r="DT693" i="5"/>
  <c r="DS693" i="5"/>
  <c r="DR693" i="5"/>
  <c r="DQ693" i="5"/>
  <c r="DP693" i="5"/>
  <c r="DO693" i="5"/>
  <c r="DN693" i="5"/>
  <c r="DM693" i="5"/>
  <c r="DL693" i="5"/>
  <c r="DK693" i="5"/>
  <c r="DJ693" i="5"/>
  <c r="DI693" i="5"/>
  <c r="DH693" i="5"/>
  <c r="DG693" i="5"/>
  <c r="DF693" i="5"/>
  <c r="DE693" i="5"/>
  <c r="DD693" i="5"/>
  <c r="DC693" i="5"/>
  <c r="DB693" i="5"/>
  <c r="DA693" i="5"/>
  <c r="CZ693" i="5"/>
  <c r="CY693" i="5"/>
  <c r="CX693" i="5"/>
  <c r="CW693" i="5"/>
  <c r="CV693" i="5"/>
  <c r="CU693" i="5"/>
  <c r="CT693" i="5"/>
  <c r="CS693" i="5"/>
  <c r="CR693" i="5"/>
  <c r="CQ693" i="5"/>
  <c r="CP693" i="5"/>
  <c r="CO693" i="5"/>
  <c r="CN693" i="5"/>
  <c r="CM693" i="5"/>
  <c r="CL693" i="5"/>
  <c r="CK693" i="5"/>
  <c r="CJ693" i="5"/>
  <c r="CI693" i="5"/>
  <c r="CH693" i="5"/>
  <c r="CG693" i="5"/>
  <c r="CF693" i="5"/>
  <c r="CE693" i="5"/>
  <c r="IO692" i="5"/>
  <c r="IN692" i="5"/>
  <c r="FV692" i="5"/>
  <c r="FU692" i="5"/>
  <c r="FT692" i="5"/>
  <c r="FS692" i="5"/>
  <c r="FR692" i="5"/>
  <c r="FQ692" i="5"/>
  <c r="FP692" i="5"/>
  <c r="FO692" i="5"/>
  <c r="FN692" i="5"/>
  <c r="FM692" i="5"/>
  <c r="FL692" i="5"/>
  <c r="FK692" i="5"/>
  <c r="FJ692" i="5"/>
  <c r="FI692" i="5"/>
  <c r="FH692" i="5"/>
  <c r="FG692" i="5"/>
  <c r="FF692" i="5"/>
  <c r="FE692" i="5"/>
  <c r="FD692" i="5"/>
  <c r="FC692" i="5"/>
  <c r="FB692" i="5"/>
  <c r="FA692" i="5"/>
  <c r="EZ692" i="5"/>
  <c r="EY692" i="5"/>
  <c r="EX692" i="5"/>
  <c r="EW692" i="5"/>
  <c r="EV692" i="5"/>
  <c r="EU692" i="5"/>
  <c r="ET692" i="5"/>
  <c r="ES692" i="5"/>
  <c r="ER692" i="5"/>
  <c r="EQ692" i="5"/>
  <c r="EP692" i="5"/>
  <c r="EO692" i="5"/>
  <c r="EN692" i="5"/>
  <c r="EM692" i="5"/>
  <c r="EL692" i="5"/>
  <c r="EK692" i="5"/>
  <c r="EJ692" i="5"/>
  <c r="EI692" i="5"/>
  <c r="EH692" i="5"/>
  <c r="EG692" i="5"/>
  <c r="EF692" i="5"/>
  <c r="EE692" i="5"/>
  <c r="ED692" i="5"/>
  <c r="EC692" i="5"/>
  <c r="EB692" i="5"/>
  <c r="EA692" i="5"/>
  <c r="DZ692" i="5"/>
  <c r="DY692" i="5"/>
  <c r="DX692" i="5"/>
  <c r="DW692" i="5"/>
  <c r="DV692" i="5"/>
  <c r="DU692" i="5"/>
  <c r="DT692" i="5"/>
  <c r="DS692" i="5"/>
  <c r="DR692" i="5"/>
  <c r="DQ692" i="5"/>
  <c r="DP692" i="5"/>
  <c r="DO692" i="5"/>
  <c r="DN692" i="5"/>
  <c r="DM692" i="5"/>
  <c r="DL692" i="5"/>
  <c r="DK692" i="5"/>
  <c r="DJ692" i="5"/>
  <c r="DI692" i="5"/>
  <c r="DH692" i="5"/>
  <c r="DG692" i="5"/>
  <c r="DF692" i="5"/>
  <c r="DE692" i="5"/>
  <c r="DD692" i="5"/>
  <c r="DC692" i="5"/>
  <c r="DB692" i="5"/>
  <c r="DA692" i="5"/>
  <c r="CZ692" i="5"/>
  <c r="CY692" i="5"/>
  <c r="CX692" i="5"/>
  <c r="CW692" i="5"/>
  <c r="CV692" i="5"/>
  <c r="CU692" i="5"/>
  <c r="CT692" i="5"/>
  <c r="CS692" i="5"/>
  <c r="CR692" i="5"/>
  <c r="CQ692" i="5"/>
  <c r="CP692" i="5"/>
  <c r="CO692" i="5"/>
  <c r="CN692" i="5"/>
  <c r="CM692" i="5"/>
  <c r="CL692" i="5"/>
  <c r="CK692" i="5"/>
  <c r="CJ692" i="5"/>
  <c r="CI692" i="5"/>
  <c r="CH692" i="5"/>
  <c r="CG692" i="5"/>
  <c r="CF692" i="5"/>
  <c r="CE692" i="5"/>
  <c r="IO691" i="5"/>
  <c r="IN691" i="5"/>
  <c r="FV691" i="5"/>
  <c r="FU691" i="5"/>
  <c r="FT691" i="5"/>
  <c r="FS691" i="5"/>
  <c r="FR691" i="5"/>
  <c r="FQ691" i="5"/>
  <c r="FP691" i="5"/>
  <c r="FO691" i="5"/>
  <c r="FN691" i="5"/>
  <c r="FM691" i="5"/>
  <c r="FL691" i="5"/>
  <c r="FK691" i="5"/>
  <c r="FJ691" i="5"/>
  <c r="FI691" i="5"/>
  <c r="FH691" i="5"/>
  <c r="FG691" i="5"/>
  <c r="FF691" i="5"/>
  <c r="FE691" i="5"/>
  <c r="FD691" i="5"/>
  <c r="FC691" i="5"/>
  <c r="FB691" i="5"/>
  <c r="FA691" i="5"/>
  <c r="EZ691" i="5"/>
  <c r="EY691" i="5"/>
  <c r="EX691" i="5"/>
  <c r="EW691" i="5"/>
  <c r="EV691" i="5"/>
  <c r="EU691" i="5"/>
  <c r="ET691" i="5"/>
  <c r="ES691" i="5"/>
  <c r="ER691" i="5"/>
  <c r="EQ691" i="5"/>
  <c r="EP691" i="5"/>
  <c r="EO691" i="5"/>
  <c r="EN691" i="5"/>
  <c r="EM691" i="5"/>
  <c r="EL691" i="5"/>
  <c r="EK691" i="5"/>
  <c r="EJ691" i="5"/>
  <c r="EI691" i="5"/>
  <c r="EH691" i="5"/>
  <c r="EG691" i="5"/>
  <c r="EF691" i="5"/>
  <c r="EE691" i="5"/>
  <c r="ED691" i="5"/>
  <c r="EC691" i="5"/>
  <c r="EB691" i="5"/>
  <c r="EA691" i="5"/>
  <c r="DZ691" i="5"/>
  <c r="DY691" i="5"/>
  <c r="DX691" i="5"/>
  <c r="DW691" i="5"/>
  <c r="DV691" i="5"/>
  <c r="DU691" i="5"/>
  <c r="DT691" i="5"/>
  <c r="DS691" i="5"/>
  <c r="DR691" i="5"/>
  <c r="DQ691" i="5"/>
  <c r="DP691" i="5"/>
  <c r="DO691" i="5"/>
  <c r="DN691" i="5"/>
  <c r="DM691" i="5"/>
  <c r="DL691" i="5"/>
  <c r="DK691" i="5"/>
  <c r="DJ691" i="5"/>
  <c r="DI691" i="5"/>
  <c r="DH691" i="5"/>
  <c r="DG691" i="5"/>
  <c r="DF691" i="5"/>
  <c r="DE691" i="5"/>
  <c r="DD691" i="5"/>
  <c r="DC691" i="5"/>
  <c r="DB691" i="5"/>
  <c r="DA691" i="5"/>
  <c r="CZ691" i="5"/>
  <c r="CY691" i="5"/>
  <c r="CX691" i="5"/>
  <c r="CW691" i="5"/>
  <c r="CV691" i="5"/>
  <c r="CU691" i="5"/>
  <c r="CT691" i="5"/>
  <c r="CS691" i="5"/>
  <c r="CR691" i="5"/>
  <c r="CQ691" i="5"/>
  <c r="CP691" i="5"/>
  <c r="CO691" i="5"/>
  <c r="CN691" i="5"/>
  <c r="CM691" i="5"/>
  <c r="CL691" i="5"/>
  <c r="CK691" i="5"/>
  <c r="CJ691" i="5"/>
  <c r="CI691" i="5"/>
  <c r="CH691" i="5"/>
  <c r="CG691" i="5"/>
  <c r="CF691" i="5"/>
  <c r="CE691" i="5"/>
  <c r="IO690" i="5"/>
  <c r="IN690" i="5"/>
  <c r="FV690" i="5"/>
  <c r="FU690" i="5"/>
  <c r="FT690" i="5"/>
  <c r="FS690" i="5"/>
  <c r="FR690" i="5"/>
  <c r="FQ690" i="5"/>
  <c r="FP690" i="5"/>
  <c r="FO690" i="5"/>
  <c r="FN690" i="5"/>
  <c r="FM690" i="5"/>
  <c r="FL690" i="5"/>
  <c r="FK690" i="5"/>
  <c r="FJ690" i="5"/>
  <c r="FI690" i="5"/>
  <c r="FH690" i="5"/>
  <c r="FG690" i="5"/>
  <c r="FF690" i="5"/>
  <c r="FE690" i="5"/>
  <c r="FD690" i="5"/>
  <c r="FC690" i="5"/>
  <c r="FB690" i="5"/>
  <c r="FA690" i="5"/>
  <c r="EZ690" i="5"/>
  <c r="EY690" i="5"/>
  <c r="EX690" i="5"/>
  <c r="EW690" i="5"/>
  <c r="EV690" i="5"/>
  <c r="EU690" i="5"/>
  <c r="ET690" i="5"/>
  <c r="ES690" i="5"/>
  <c r="ER690" i="5"/>
  <c r="EQ690" i="5"/>
  <c r="EP690" i="5"/>
  <c r="EO690" i="5"/>
  <c r="EN690" i="5"/>
  <c r="EM690" i="5"/>
  <c r="EL690" i="5"/>
  <c r="EK690" i="5"/>
  <c r="EJ690" i="5"/>
  <c r="EI690" i="5"/>
  <c r="EH690" i="5"/>
  <c r="EG690" i="5"/>
  <c r="EF690" i="5"/>
  <c r="EE690" i="5"/>
  <c r="ED690" i="5"/>
  <c r="EC690" i="5"/>
  <c r="EB690" i="5"/>
  <c r="EA690" i="5"/>
  <c r="DZ690" i="5"/>
  <c r="DY690" i="5"/>
  <c r="DX690" i="5"/>
  <c r="DW690" i="5"/>
  <c r="DV690" i="5"/>
  <c r="DU690" i="5"/>
  <c r="DT690" i="5"/>
  <c r="DS690" i="5"/>
  <c r="DR690" i="5"/>
  <c r="DQ690" i="5"/>
  <c r="DP690" i="5"/>
  <c r="DO690" i="5"/>
  <c r="DN690" i="5"/>
  <c r="DM690" i="5"/>
  <c r="DL690" i="5"/>
  <c r="DK690" i="5"/>
  <c r="DJ690" i="5"/>
  <c r="DI690" i="5"/>
  <c r="DH690" i="5"/>
  <c r="DG690" i="5"/>
  <c r="DF690" i="5"/>
  <c r="DE690" i="5"/>
  <c r="DD690" i="5"/>
  <c r="DC690" i="5"/>
  <c r="DB690" i="5"/>
  <c r="DA690" i="5"/>
  <c r="CZ690" i="5"/>
  <c r="CY690" i="5"/>
  <c r="CX690" i="5"/>
  <c r="CW690" i="5"/>
  <c r="CV690" i="5"/>
  <c r="CU690" i="5"/>
  <c r="CT690" i="5"/>
  <c r="CS690" i="5"/>
  <c r="CR690" i="5"/>
  <c r="CQ690" i="5"/>
  <c r="CP690" i="5"/>
  <c r="CO690" i="5"/>
  <c r="CN690" i="5"/>
  <c r="CM690" i="5"/>
  <c r="CL690" i="5"/>
  <c r="CK690" i="5"/>
  <c r="CJ690" i="5"/>
  <c r="CI690" i="5"/>
  <c r="CH690" i="5"/>
  <c r="CG690" i="5"/>
  <c r="CF690" i="5"/>
  <c r="CE690" i="5"/>
  <c r="IO689" i="5"/>
  <c r="IN689" i="5"/>
  <c r="FV689" i="5"/>
  <c r="FU689" i="5"/>
  <c r="FT689" i="5"/>
  <c r="FS689" i="5"/>
  <c r="FR689" i="5"/>
  <c r="FQ689" i="5"/>
  <c r="FP689" i="5"/>
  <c r="FO689" i="5"/>
  <c r="FN689" i="5"/>
  <c r="FM689" i="5"/>
  <c r="FL689" i="5"/>
  <c r="FK689" i="5"/>
  <c r="FJ689" i="5"/>
  <c r="FI689" i="5"/>
  <c r="FH689" i="5"/>
  <c r="FG689" i="5"/>
  <c r="FF689" i="5"/>
  <c r="FE689" i="5"/>
  <c r="FD689" i="5"/>
  <c r="FC689" i="5"/>
  <c r="FB689" i="5"/>
  <c r="FA689" i="5"/>
  <c r="EZ689" i="5"/>
  <c r="EY689" i="5"/>
  <c r="EX689" i="5"/>
  <c r="EW689" i="5"/>
  <c r="EV689" i="5"/>
  <c r="EU689" i="5"/>
  <c r="ET689" i="5"/>
  <c r="ES689" i="5"/>
  <c r="ER689" i="5"/>
  <c r="EQ689" i="5"/>
  <c r="EP689" i="5"/>
  <c r="EO689" i="5"/>
  <c r="EN689" i="5"/>
  <c r="EM689" i="5"/>
  <c r="EL689" i="5"/>
  <c r="EK689" i="5"/>
  <c r="EJ689" i="5"/>
  <c r="EI689" i="5"/>
  <c r="EH689" i="5"/>
  <c r="EG689" i="5"/>
  <c r="EF689" i="5"/>
  <c r="EE689" i="5"/>
  <c r="ED689" i="5"/>
  <c r="EC689" i="5"/>
  <c r="EB689" i="5"/>
  <c r="EA689" i="5"/>
  <c r="DZ689" i="5"/>
  <c r="DY689" i="5"/>
  <c r="DX689" i="5"/>
  <c r="DW689" i="5"/>
  <c r="DV689" i="5"/>
  <c r="DU689" i="5"/>
  <c r="DT689" i="5"/>
  <c r="DS689" i="5"/>
  <c r="DR689" i="5"/>
  <c r="DQ689" i="5"/>
  <c r="DP689" i="5"/>
  <c r="DO689" i="5"/>
  <c r="DN689" i="5"/>
  <c r="DM689" i="5"/>
  <c r="DL689" i="5"/>
  <c r="DK689" i="5"/>
  <c r="DJ689" i="5"/>
  <c r="DI689" i="5"/>
  <c r="DH689" i="5"/>
  <c r="DG689" i="5"/>
  <c r="DF689" i="5"/>
  <c r="DE689" i="5"/>
  <c r="DD689" i="5"/>
  <c r="DC689" i="5"/>
  <c r="DB689" i="5"/>
  <c r="DA689" i="5"/>
  <c r="CZ689" i="5"/>
  <c r="CY689" i="5"/>
  <c r="CX689" i="5"/>
  <c r="CW689" i="5"/>
  <c r="CV689" i="5"/>
  <c r="CU689" i="5"/>
  <c r="CT689" i="5"/>
  <c r="CS689" i="5"/>
  <c r="CR689" i="5"/>
  <c r="CQ689" i="5"/>
  <c r="CP689" i="5"/>
  <c r="CO689" i="5"/>
  <c r="CN689" i="5"/>
  <c r="CM689" i="5"/>
  <c r="CL689" i="5"/>
  <c r="CK689" i="5"/>
  <c r="CJ689" i="5"/>
  <c r="CI689" i="5"/>
  <c r="CH689" i="5"/>
  <c r="CG689" i="5"/>
  <c r="CF689" i="5"/>
  <c r="CE689" i="5"/>
  <c r="JE688" i="5"/>
  <c r="JB688" i="5"/>
  <c r="IY688" i="5"/>
  <c r="IX688" i="5" s="1"/>
  <c r="IO688" i="5"/>
  <c r="IN688" i="5"/>
  <c r="IL688" i="5"/>
  <c r="IK688" i="5"/>
  <c r="JE687" i="5"/>
  <c r="JB687" i="5"/>
  <c r="IY687" i="5"/>
  <c r="IX687" i="5" s="1"/>
  <c r="IO687" i="5"/>
  <c r="IN687" i="5"/>
  <c r="IL687" i="5"/>
  <c r="IK687" i="5"/>
  <c r="IO686" i="5"/>
  <c r="IN686" i="5"/>
  <c r="FV686" i="5"/>
  <c r="FU686" i="5"/>
  <c r="FT686" i="5"/>
  <c r="FS686" i="5"/>
  <c r="FR686" i="5"/>
  <c r="FQ686" i="5"/>
  <c r="FP686" i="5"/>
  <c r="FO686" i="5"/>
  <c r="FN686" i="5"/>
  <c r="FM686" i="5"/>
  <c r="FL686" i="5"/>
  <c r="FK686" i="5"/>
  <c r="FJ686" i="5"/>
  <c r="FI686" i="5"/>
  <c r="FH686" i="5"/>
  <c r="FG686" i="5"/>
  <c r="FF686" i="5"/>
  <c r="FE686" i="5"/>
  <c r="FD686" i="5"/>
  <c r="FC686" i="5"/>
  <c r="FB686" i="5"/>
  <c r="FA686" i="5"/>
  <c r="EZ686" i="5"/>
  <c r="EY686" i="5"/>
  <c r="EX686" i="5"/>
  <c r="EW686" i="5"/>
  <c r="EV686" i="5"/>
  <c r="EU686" i="5"/>
  <c r="ET686" i="5"/>
  <c r="ES686" i="5"/>
  <c r="ER686" i="5"/>
  <c r="EQ686" i="5"/>
  <c r="EP686" i="5"/>
  <c r="EO686" i="5"/>
  <c r="EN686" i="5"/>
  <c r="EM686" i="5"/>
  <c r="EL686" i="5"/>
  <c r="EK686" i="5"/>
  <c r="EJ686" i="5"/>
  <c r="EI686" i="5"/>
  <c r="EH686" i="5"/>
  <c r="EG686" i="5"/>
  <c r="EF686" i="5"/>
  <c r="EE686" i="5"/>
  <c r="ED686" i="5"/>
  <c r="EC686" i="5"/>
  <c r="EB686" i="5"/>
  <c r="EA686" i="5"/>
  <c r="DZ686" i="5"/>
  <c r="DY686" i="5"/>
  <c r="DX686" i="5"/>
  <c r="DW686" i="5"/>
  <c r="DV686" i="5"/>
  <c r="DU686" i="5"/>
  <c r="DT686" i="5"/>
  <c r="DS686" i="5"/>
  <c r="DR686" i="5"/>
  <c r="DQ686" i="5"/>
  <c r="DP686" i="5"/>
  <c r="DO686" i="5"/>
  <c r="DN686" i="5"/>
  <c r="DM686" i="5"/>
  <c r="DL686" i="5"/>
  <c r="DK686" i="5"/>
  <c r="DJ686" i="5"/>
  <c r="DI686" i="5"/>
  <c r="DH686" i="5"/>
  <c r="DG686" i="5"/>
  <c r="DF686" i="5"/>
  <c r="DE686" i="5"/>
  <c r="DD686" i="5"/>
  <c r="DC686" i="5"/>
  <c r="DB686" i="5"/>
  <c r="DA686" i="5"/>
  <c r="CZ686" i="5"/>
  <c r="CY686" i="5"/>
  <c r="CX686" i="5"/>
  <c r="CW686" i="5"/>
  <c r="CV686" i="5"/>
  <c r="CU686" i="5"/>
  <c r="CT686" i="5"/>
  <c r="CS686" i="5"/>
  <c r="CR686" i="5"/>
  <c r="CQ686" i="5"/>
  <c r="CP686" i="5"/>
  <c r="CO686" i="5"/>
  <c r="CN686" i="5"/>
  <c r="CM686" i="5"/>
  <c r="CL686" i="5"/>
  <c r="CK686" i="5"/>
  <c r="CJ686" i="5"/>
  <c r="CI686" i="5"/>
  <c r="CH686" i="5"/>
  <c r="CG686" i="5"/>
  <c r="CF686" i="5"/>
  <c r="CE686" i="5"/>
  <c r="IO685" i="5"/>
  <c r="IN685" i="5"/>
  <c r="FV685" i="5"/>
  <c r="FU685" i="5"/>
  <c r="FT685" i="5"/>
  <c r="FS685" i="5"/>
  <c r="FR685" i="5"/>
  <c r="FQ685" i="5"/>
  <c r="FP685" i="5"/>
  <c r="FO685" i="5"/>
  <c r="FN685" i="5"/>
  <c r="FM685" i="5"/>
  <c r="FL685" i="5"/>
  <c r="FK685" i="5"/>
  <c r="FJ685" i="5"/>
  <c r="FI685" i="5"/>
  <c r="FH685" i="5"/>
  <c r="FG685" i="5"/>
  <c r="FF685" i="5"/>
  <c r="FE685" i="5"/>
  <c r="FD685" i="5"/>
  <c r="FC685" i="5"/>
  <c r="FB685" i="5"/>
  <c r="FA685" i="5"/>
  <c r="EZ685" i="5"/>
  <c r="EY685" i="5"/>
  <c r="EX685" i="5"/>
  <c r="EW685" i="5"/>
  <c r="EV685" i="5"/>
  <c r="EU685" i="5"/>
  <c r="ET685" i="5"/>
  <c r="ES685" i="5"/>
  <c r="ER685" i="5"/>
  <c r="EQ685" i="5"/>
  <c r="EP685" i="5"/>
  <c r="EO685" i="5"/>
  <c r="EN685" i="5"/>
  <c r="EM685" i="5"/>
  <c r="EL685" i="5"/>
  <c r="EK685" i="5"/>
  <c r="EJ685" i="5"/>
  <c r="EI685" i="5"/>
  <c r="EH685" i="5"/>
  <c r="EG685" i="5"/>
  <c r="EF685" i="5"/>
  <c r="EE685" i="5"/>
  <c r="ED685" i="5"/>
  <c r="EC685" i="5"/>
  <c r="EB685" i="5"/>
  <c r="EA685" i="5"/>
  <c r="DZ685" i="5"/>
  <c r="DY685" i="5"/>
  <c r="DX685" i="5"/>
  <c r="DW685" i="5"/>
  <c r="DV685" i="5"/>
  <c r="DU685" i="5"/>
  <c r="DT685" i="5"/>
  <c r="DS685" i="5"/>
  <c r="DR685" i="5"/>
  <c r="DQ685" i="5"/>
  <c r="DP685" i="5"/>
  <c r="DO685" i="5"/>
  <c r="DN685" i="5"/>
  <c r="DM685" i="5"/>
  <c r="DL685" i="5"/>
  <c r="DK685" i="5"/>
  <c r="DJ685" i="5"/>
  <c r="DI685" i="5"/>
  <c r="DH685" i="5"/>
  <c r="DG685" i="5"/>
  <c r="DF685" i="5"/>
  <c r="DE685" i="5"/>
  <c r="DD685" i="5"/>
  <c r="DC685" i="5"/>
  <c r="DB685" i="5"/>
  <c r="DA685" i="5"/>
  <c r="CZ685" i="5"/>
  <c r="CY685" i="5"/>
  <c r="CX685" i="5"/>
  <c r="CW685" i="5"/>
  <c r="CV685" i="5"/>
  <c r="CU685" i="5"/>
  <c r="CT685" i="5"/>
  <c r="CS685" i="5"/>
  <c r="CR685" i="5"/>
  <c r="CQ685" i="5"/>
  <c r="CP685" i="5"/>
  <c r="CO685" i="5"/>
  <c r="CN685" i="5"/>
  <c r="CM685" i="5"/>
  <c r="CL685" i="5"/>
  <c r="CK685" i="5"/>
  <c r="CJ685" i="5"/>
  <c r="CI685" i="5"/>
  <c r="CH685" i="5"/>
  <c r="CG685" i="5"/>
  <c r="CF685" i="5"/>
  <c r="CE685" i="5"/>
  <c r="IO684" i="5"/>
  <c r="IN684" i="5"/>
  <c r="FV684" i="5"/>
  <c r="FU684" i="5"/>
  <c r="FT684" i="5"/>
  <c r="FS684" i="5"/>
  <c r="FR684" i="5"/>
  <c r="FQ684" i="5"/>
  <c r="FP684" i="5"/>
  <c r="FO684" i="5"/>
  <c r="FN684" i="5"/>
  <c r="FM684" i="5"/>
  <c r="FL684" i="5"/>
  <c r="FK684" i="5"/>
  <c r="FJ684" i="5"/>
  <c r="FI684" i="5"/>
  <c r="FH684" i="5"/>
  <c r="FG684" i="5"/>
  <c r="FF684" i="5"/>
  <c r="FE684" i="5"/>
  <c r="FD684" i="5"/>
  <c r="FC684" i="5"/>
  <c r="FB684" i="5"/>
  <c r="FA684" i="5"/>
  <c r="EZ684" i="5"/>
  <c r="EY684" i="5"/>
  <c r="EX684" i="5"/>
  <c r="EW684" i="5"/>
  <c r="EV684" i="5"/>
  <c r="EU684" i="5"/>
  <c r="ET684" i="5"/>
  <c r="ES684" i="5"/>
  <c r="ER684" i="5"/>
  <c r="EQ684" i="5"/>
  <c r="EP684" i="5"/>
  <c r="EO684" i="5"/>
  <c r="EN684" i="5"/>
  <c r="EM684" i="5"/>
  <c r="EL684" i="5"/>
  <c r="EK684" i="5"/>
  <c r="EJ684" i="5"/>
  <c r="EI684" i="5"/>
  <c r="EH684" i="5"/>
  <c r="EG684" i="5"/>
  <c r="EF684" i="5"/>
  <c r="EE684" i="5"/>
  <c r="ED684" i="5"/>
  <c r="EC684" i="5"/>
  <c r="EB684" i="5"/>
  <c r="EA684" i="5"/>
  <c r="DZ684" i="5"/>
  <c r="DY684" i="5"/>
  <c r="DX684" i="5"/>
  <c r="DW684" i="5"/>
  <c r="DV684" i="5"/>
  <c r="DU684" i="5"/>
  <c r="DT684" i="5"/>
  <c r="DS684" i="5"/>
  <c r="DR684" i="5"/>
  <c r="DQ684" i="5"/>
  <c r="DP684" i="5"/>
  <c r="DO684" i="5"/>
  <c r="DN684" i="5"/>
  <c r="DM684" i="5"/>
  <c r="DL684" i="5"/>
  <c r="DK684" i="5"/>
  <c r="DJ684" i="5"/>
  <c r="DI684" i="5"/>
  <c r="DH684" i="5"/>
  <c r="DG684" i="5"/>
  <c r="DF684" i="5"/>
  <c r="DE684" i="5"/>
  <c r="DD684" i="5"/>
  <c r="DC684" i="5"/>
  <c r="DB684" i="5"/>
  <c r="DA684" i="5"/>
  <c r="CZ684" i="5"/>
  <c r="CY684" i="5"/>
  <c r="CX684" i="5"/>
  <c r="CW684" i="5"/>
  <c r="CV684" i="5"/>
  <c r="CU684" i="5"/>
  <c r="CT684" i="5"/>
  <c r="CS684" i="5"/>
  <c r="CR684" i="5"/>
  <c r="CQ684" i="5"/>
  <c r="CP684" i="5"/>
  <c r="CO684" i="5"/>
  <c r="CN684" i="5"/>
  <c r="CM684" i="5"/>
  <c r="CL684" i="5"/>
  <c r="CK684" i="5"/>
  <c r="CJ684" i="5"/>
  <c r="CI684" i="5"/>
  <c r="CH684" i="5"/>
  <c r="CG684" i="5"/>
  <c r="CF684" i="5"/>
  <c r="CE684" i="5"/>
  <c r="IO683" i="5"/>
  <c r="IN683" i="5"/>
  <c r="FV683" i="5"/>
  <c r="FU683" i="5"/>
  <c r="FT683" i="5"/>
  <c r="FS683" i="5"/>
  <c r="FR683" i="5"/>
  <c r="FQ683" i="5"/>
  <c r="FP683" i="5"/>
  <c r="FO683" i="5"/>
  <c r="FN683" i="5"/>
  <c r="FM683" i="5"/>
  <c r="FL683" i="5"/>
  <c r="FK683" i="5"/>
  <c r="FJ683" i="5"/>
  <c r="FI683" i="5"/>
  <c r="FH683" i="5"/>
  <c r="FG683" i="5"/>
  <c r="FF683" i="5"/>
  <c r="FE683" i="5"/>
  <c r="FD683" i="5"/>
  <c r="FC683" i="5"/>
  <c r="FB683" i="5"/>
  <c r="FA683" i="5"/>
  <c r="EZ683" i="5"/>
  <c r="EY683" i="5"/>
  <c r="EX683" i="5"/>
  <c r="EW683" i="5"/>
  <c r="EV683" i="5"/>
  <c r="EU683" i="5"/>
  <c r="ET683" i="5"/>
  <c r="ES683" i="5"/>
  <c r="ER683" i="5"/>
  <c r="EQ683" i="5"/>
  <c r="EP683" i="5"/>
  <c r="EO683" i="5"/>
  <c r="EN683" i="5"/>
  <c r="EM683" i="5"/>
  <c r="EL683" i="5"/>
  <c r="EK683" i="5"/>
  <c r="EJ683" i="5"/>
  <c r="EI683" i="5"/>
  <c r="EH683" i="5"/>
  <c r="EG683" i="5"/>
  <c r="EF683" i="5"/>
  <c r="EE683" i="5"/>
  <c r="ED683" i="5"/>
  <c r="EC683" i="5"/>
  <c r="EB683" i="5"/>
  <c r="EA683" i="5"/>
  <c r="DZ683" i="5"/>
  <c r="DY683" i="5"/>
  <c r="DX683" i="5"/>
  <c r="DW683" i="5"/>
  <c r="DV683" i="5"/>
  <c r="DU683" i="5"/>
  <c r="DT683" i="5"/>
  <c r="DS683" i="5"/>
  <c r="DR683" i="5"/>
  <c r="DQ683" i="5"/>
  <c r="DP683" i="5"/>
  <c r="DO683" i="5"/>
  <c r="DN683" i="5"/>
  <c r="DM683" i="5"/>
  <c r="DL683" i="5"/>
  <c r="DK683" i="5"/>
  <c r="DJ683" i="5"/>
  <c r="DI683" i="5"/>
  <c r="DH683" i="5"/>
  <c r="DG683" i="5"/>
  <c r="DF683" i="5"/>
  <c r="DE683" i="5"/>
  <c r="DD683" i="5"/>
  <c r="DC683" i="5"/>
  <c r="DB683" i="5"/>
  <c r="DA683" i="5"/>
  <c r="CZ683" i="5"/>
  <c r="CY683" i="5"/>
  <c r="CX683" i="5"/>
  <c r="CW683" i="5"/>
  <c r="CV683" i="5"/>
  <c r="CU683" i="5"/>
  <c r="CT683" i="5"/>
  <c r="CS683" i="5"/>
  <c r="CR683" i="5"/>
  <c r="CQ683" i="5"/>
  <c r="CP683" i="5"/>
  <c r="CO683" i="5"/>
  <c r="CN683" i="5"/>
  <c r="CM683" i="5"/>
  <c r="CL683" i="5"/>
  <c r="CK683" i="5"/>
  <c r="CJ683" i="5"/>
  <c r="CI683" i="5"/>
  <c r="CH683" i="5"/>
  <c r="CG683" i="5"/>
  <c r="CF683" i="5"/>
  <c r="CE683" i="5"/>
  <c r="IO682" i="5"/>
  <c r="IN682" i="5"/>
  <c r="FV682" i="5"/>
  <c r="FU682" i="5"/>
  <c r="FT682" i="5"/>
  <c r="FS682" i="5"/>
  <c r="FR682" i="5"/>
  <c r="FQ682" i="5"/>
  <c r="FP682" i="5"/>
  <c r="FO682" i="5"/>
  <c r="FN682" i="5"/>
  <c r="FM682" i="5"/>
  <c r="FL682" i="5"/>
  <c r="FK682" i="5"/>
  <c r="FJ682" i="5"/>
  <c r="FI682" i="5"/>
  <c r="FH682" i="5"/>
  <c r="FG682" i="5"/>
  <c r="FF682" i="5"/>
  <c r="FE682" i="5"/>
  <c r="FD682" i="5"/>
  <c r="FC682" i="5"/>
  <c r="FB682" i="5"/>
  <c r="FA682" i="5"/>
  <c r="EZ682" i="5"/>
  <c r="EY682" i="5"/>
  <c r="EX682" i="5"/>
  <c r="EW682" i="5"/>
  <c r="EV682" i="5"/>
  <c r="EU682" i="5"/>
  <c r="ET682" i="5"/>
  <c r="ES682" i="5"/>
  <c r="ER682" i="5"/>
  <c r="EQ682" i="5"/>
  <c r="EP682" i="5"/>
  <c r="EO682" i="5"/>
  <c r="EN682" i="5"/>
  <c r="EM682" i="5"/>
  <c r="EL682" i="5"/>
  <c r="EK682" i="5"/>
  <c r="EJ682" i="5"/>
  <c r="EI682" i="5"/>
  <c r="EH682" i="5"/>
  <c r="EG682" i="5"/>
  <c r="EF682" i="5"/>
  <c r="EE682" i="5"/>
  <c r="ED682" i="5"/>
  <c r="EC682" i="5"/>
  <c r="EB682" i="5"/>
  <c r="EA682" i="5"/>
  <c r="DZ682" i="5"/>
  <c r="DY682" i="5"/>
  <c r="DX682" i="5"/>
  <c r="DW682" i="5"/>
  <c r="DV682" i="5"/>
  <c r="DU682" i="5"/>
  <c r="DT682" i="5"/>
  <c r="DS682" i="5"/>
  <c r="DR682" i="5"/>
  <c r="DQ682" i="5"/>
  <c r="DP682" i="5"/>
  <c r="DO682" i="5"/>
  <c r="DN682" i="5"/>
  <c r="DM682" i="5"/>
  <c r="DL682" i="5"/>
  <c r="DK682" i="5"/>
  <c r="DJ682" i="5"/>
  <c r="DI682" i="5"/>
  <c r="DH682" i="5"/>
  <c r="DG682" i="5"/>
  <c r="DF682" i="5"/>
  <c r="DE682" i="5"/>
  <c r="DD682" i="5"/>
  <c r="DC682" i="5"/>
  <c r="DB682" i="5"/>
  <c r="DA682" i="5"/>
  <c r="CZ682" i="5"/>
  <c r="CY682" i="5"/>
  <c r="CX682" i="5"/>
  <c r="CW682" i="5"/>
  <c r="CV682" i="5"/>
  <c r="CU682" i="5"/>
  <c r="CT682" i="5"/>
  <c r="CS682" i="5"/>
  <c r="CR682" i="5"/>
  <c r="CQ682" i="5"/>
  <c r="CP682" i="5"/>
  <c r="CO682" i="5"/>
  <c r="CN682" i="5"/>
  <c r="CM682" i="5"/>
  <c r="CL682" i="5"/>
  <c r="CK682" i="5"/>
  <c r="CJ682" i="5"/>
  <c r="CI682" i="5"/>
  <c r="CH682" i="5"/>
  <c r="CG682" i="5"/>
  <c r="CF682" i="5"/>
  <c r="CE682" i="5"/>
  <c r="IO681" i="5"/>
  <c r="IN681" i="5"/>
  <c r="FV681" i="5"/>
  <c r="FV1135" i="5" s="1"/>
  <c r="FU681" i="5"/>
  <c r="FU1135" i="5" s="1"/>
  <c r="FT681" i="5"/>
  <c r="FT1135" i="5" s="1"/>
  <c r="FS681" i="5"/>
  <c r="FS1135" i="5" s="1"/>
  <c r="FR681" i="5"/>
  <c r="FR1135" i="5" s="1"/>
  <c r="FQ681" i="5"/>
  <c r="FQ1135" i="5" s="1"/>
  <c r="FP681" i="5"/>
  <c r="FP1135" i="5" s="1"/>
  <c r="FO681" i="5"/>
  <c r="FO1135" i="5" s="1"/>
  <c r="FN681" i="5"/>
  <c r="FN1135" i="5" s="1"/>
  <c r="FM681" i="5"/>
  <c r="FM1135" i="5" s="1"/>
  <c r="FL681" i="5"/>
  <c r="FL1135" i="5" s="1"/>
  <c r="FK681" i="5"/>
  <c r="FK1135" i="5" s="1"/>
  <c r="FJ681" i="5"/>
  <c r="FI681" i="5"/>
  <c r="FI1135" i="5" s="1"/>
  <c r="FH681" i="5"/>
  <c r="FH1135" i="5" s="1"/>
  <c r="FG681" i="5"/>
  <c r="FG1135" i="5" s="1"/>
  <c r="FF681" i="5"/>
  <c r="FF1135" i="5" s="1"/>
  <c r="FE681" i="5"/>
  <c r="FE1135" i="5" s="1"/>
  <c r="FD681" i="5"/>
  <c r="FD1135" i="5" s="1"/>
  <c r="FC681" i="5"/>
  <c r="FC1135" i="5" s="1"/>
  <c r="FB681" i="5"/>
  <c r="FB1135" i="5" s="1"/>
  <c r="FA681" i="5"/>
  <c r="FA1135" i="5" s="1"/>
  <c r="EZ681" i="5"/>
  <c r="EY681" i="5"/>
  <c r="EY1135" i="5" s="1"/>
  <c r="EX681" i="5"/>
  <c r="EW681" i="5"/>
  <c r="EV681" i="5"/>
  <c r="EU681" i="5"/>
  <c r="ET681" i="5"/>
  <c r="ES681" i="5"/>
  <c r="ER681" i="5"/>
  <c r="EQ681" i="5"/>
  <c r="EP681" i="5"/>
  <c r="EO681" i="5"/>
  <c r="EN681" i="5"/>
  <c r="EM681" i="5"/>
  <c r="EL681" i="5"/>
  <c r="EK681" i="5"/>
  <c r="EJ681" i="5"/>
  <c r="EI681" i="5"/>
  <c r="EH681" i="5"/>
  <c r="EG681" i="5"/>
  <c r="EF681" i="5"/>
  <c r="EE681" i="5"/>
  <c r="ED681" i="5"/>
  <c r="EC681" i="5"/>
  <c r="EB681" i="5"/>
  <c r="EA681" i="5"/>
  <c r="DZ681" i="5"/>
  <c r="DY681" i="5"/>
  <c r="DX681" i="5"/>
  <c r="DW681" i="5"/>
  <c r="DV681" i="5"/>
  <c r="DU681" i="5"/>
  <c r="DT681" i="5"/>
  <c r="DS681" i="5"/>
  <c r="DR681" i="5"/>
  <c r="DQ681" i="5"/>
  <c r="DP681" i="5"/>
  <c r="DO681" i="5"/>
  <c r="DN681" i="5"/>
  <c r="DM681" i="5"/>
  <c r="DL681" i="5"/>
  <c r="DK681" i="5"/>
  <c r="DJ681" i="5"/>
  <c r="DI681" i="5"/>
  <c r="DH681" i="5"/>
  <c r="DG681" i="5"/>
  <c r="DF681" i="5"/>
  <c r="DE681" i="5"/>
  <c r="DD681" i="5"/>
  <c r="DC681" i="5"/>
  <c r="DB681" i="5"/>
  <c r="DA681" i="5"/>
  <c r="CZ681" i="5"/>
  <c r="CY681" i="5"/>
  <c r="CX681" i="5"/>
  <c r="CW681" i="5"/>
  <c r="CV681" i="5"/>
  <c r="CU681" i="5"/>
  <c r="CT681" i="5"/>
  <c r="CS681" i="5"/>
  <c r="CR681" i="5"/>
  <c r="CQ681" i="5"/>
  <c r="CP681" i="5"/>
  <c r="CO681" i="5"/>
  <c r="CN681" i="5"/>
  <c r="CM681" i="5"/>
  <c r="CL681" i="5"/>
  <c r="CK681" i="5"/>
  <c r="CJ681" i="5"/>
  <c r="CI681" i="5"/>
  <c r="CH681" i="5"/>
  <c r="CG681" i="5"/>
  <c r="CF681" i="5"/>
  <c r="CE681" i="5"/>
  <c r="CD681" i="5"/>
  <c r="IO680" i="5"/>
  <c r="IN680" i="5"/>
  <c r="FV680" i="5"/>
  <c r="FU680" i="5"/>
  <c r="FT680" i="5"/>
  <c r="FS680" i="5"/>
  <c r="FR680" i="5"/>
  <c r="FQ680" i="5"/>
  <c r="FP680" i="5"/>
  <c r="FO680" i="5"/>
  <c r="FN680" i="5"/>
  <c r="FM680" i="5"/>
  <c r="FL680" i="5"/>
  <c r="FK680" i="5"/>
  <c r="FJ680" i="5"/>
  <c r="FI680" i="5"/>
  <c r="FH680" i="5"/>
  <c r="FG680" i="5"/>
  <c r="FF680" i="5"/>
  <c r="FE680" i="5"/>
  <c r="FD680" i="5"/>
  <c r="FC680" i="5"/>
  <c r="FB680" i="5"/>
  <c r="FA680" i="5"/>
  <c r="EZ680" i="5"/>
  <c r="EY680" i="5"/>
  <c r="EX680" i="5"/>
  <c r="EW680" i="5"/>
  <c r="EV680" i="5"/>
  <c r="EU680" i="5"/>
  <c r="ET680" i="5"/>
  <c r="ES680" i="5"/>
  <c r="ER680" i="5"/>
  <c r="EQ680" i="5"/>
  <c r="EP680" i="5"/>
  <c r="EO680" i="5"/>
  <c r="EN680" i="5"/>
  <c r="EM680" i="5"/>
  <c r="EL680" i="5"/>
  <c r="EK680" i="5"/>
  <c r="EJ680" i="5"/>
  <c r="EI680" i="5"/>
  <c r="EH680" i="5"/>
  <c r="EG680" i="5"/>
  <c r="EF680" i="5"/>
  <c r="EE680" i="5"/>
  <c r="ED680" i="5"/>
  <c r="EC680" i="5"/>
  <c r="EB680" i="5"/>
  <c r="EA680" i="5"/>
  <c r="DZ680" i="5"/>
  <c r="DY680" i="5"/>
  <c r="DX680" i="5"/>
  <c r="DW680" i="5"/>
  <c r="DV680" i="5"/>
  <c r="DU680" i="5"/>
  <c r="DT680" i="5"/>
  <c r="DS680" i="5"/>
  <c r="DR680" i="5"/>
  <c r="DQ680" i="5"/>
  <c r="DP680" i="5"/>
  <c r="DO680" i="5"/>
  <c r="DN680" i="5"/>
  <c r="DM680" i="5"/>
  <c r="DL680" i="5"/>
  <c r="DK680" i="5"/>
  <c r="DJ680" i="5"/>
  <c r="DI680" i="5"/>
  <c r="DH680" i="5"/>
  <c r="DG680" i="5"/>
  <c r="DF680" i="5"/>
  <c r="DE680" i="5"/>
  <c r="DD680" i="5"/>
  <c r="DC680" i="5"/>
  <c r="DB680" i="5"/>
  <c r="DA680" i="5"/>
  <c r="CZ680" i="5"/>
  <c r="CY680" i="5"/>
  <c r="CX680" i="5"/>
  <c r="CW680" i="5"/>
  <c r="CV680" i="5"/>
  <c r="CU680" i="5"/>
  <c r="CT680" i="5"/>
  <c r="CS680" i="5"/>
  <c r="CR680" i="5"/>
  <c r="CQ680" i="5"/>
  <c r="CP680" i="5"/>
  <c r="CO680" i="5"/>
  <c r="CN680" i="5"/>
  <c r="CM680" i="5"/>
  <c r="CL680" i="5"/>
  <c r="CK680" i="5"/>
  <c r="CJ680" i="5"/>
  <c r="CI680" i="5"/>
  <c r="CH680" i="5"/>
  <c r="CG680" i="5"/>
  <c r="CF680" i="5"/>
  <c r="CE680" i="5"/>
  <c r="IO679" i="5"/>
  <c r="IN679" i="5"/>
  <c r="FV679" i="5"/>
  <c r="FU679" i="5"/>
  <c r="FT679" i="5"/>
  <c r="FS679" i="5"/>
  <c r="FR679" i="5"/>
  <c r="FQ679" i="5"/>
  <c r="FP679" i="5"/>
  <c r="FO679" i="5"/>
  <c r="FN679" i="5"/>
  <c r="FM679" i="5"/>
  <c r="FL679" i="5"/>
  <c r="FK679" i="5"/>
  <c r="FJ679" i="5"/>
  <c r="FI679" i="5"/>
  <c r="FH679" i="5"/>
  <c r="FG679" i="5"/>
  <c r="FF679" i="5"/>
  <c r="FE679" i="5"/>
  <c r="FD679" i="5"/>
  <c r="FC679" i="5"/>
  <c r="FB679" i="5"/>
  <c r="FA679" i="5"/>
  <c r="EZ679" i="5"/>
  <c r="EY679" i="5"/>
  <c r="EX679" i="5"/>
  <c r="EW679" i="5"/>
  <c r="EV679" i="5"/>
  <c r="EU679" i="5"/>
  <c r="ET679" i="5"/>
  <c r="ES679" i="5"/>
  <c r="ER679" i="5"/>
  <c r="EQ679" i="5"/>
  <c r="EP679" i="5"/>
  <c r="EO679" i="5"/>
  <c r="EN679" i="5"/>
  <c r="EM679" i="5"/>
  <c r="EL679" i="5"/>
  <c r="EK679" i="5"/>
  <c r="EJ679" i="5"/>
  <c r="EI679" i="5"/>
  <c r="EH679" i="5"/>
  <c r="EG679" i="5"/>
  <c r="EF679" i="5"/>
  <c r="EE679" i="5"/>
  <c r="ED679" i="5"/>
  <c r="EC679" i="5"/>
  <c r="EB679" i="5"/>
  <c r="EA679" i="5"/>
  <c r="DZ679" i="5"/>
  <c r="DY679" i="5"/>
  <c r="DX679" i="5"/>
  <c r="DW679" i="5"/>
  <c r="DV679" i="5"/>
  <c r="DU679" i="5"/>
  <c r="DT679" i="5"/>
  <c r="DS679" i="5"/>
  <c r="DR679" i="5"/>
  <c r="DQ679" i="5"/>
  <c r="DP679" i="5"/>
  <c r="DO679" i="5"/>
  <c r="DN679" i="5"/>
  <c r="DM679" i="5"/>
  <c r="DL679" i="5"/>
  <c r="DK679" i="5"/>
  <c r="DJ679" i="5"/>
  <c r="DI679" i="5"/>
  <c r="DH679" i="5"/>
  <c r="DG679" i="5"/>
  <c r="DF679" i="5"/>
  <c r="DE679" i="5"/>
  <c r="DD679" i="5"/>
  <c r="DC679" i="5"/>
  <c r="DB679" i="5"/>
  <c r="DA679" i="5"/>
  <c r="CZ679" i="5"/>
  <c r="CY679" i="5"/>
  <c r="CX679" i="5"/>
  <c r="CW679" i="5"/>
  <c r="CV679" i="5"/>
  <c r="CU679" i="5"/>
  <c r="CT679" i="5"/>
  <c r="CS679" i="5"/>
  <c r="CR679" i="5"/>
  <c r="CQ679" i="5"/>
  <c r="CP679" i="5"/>
  <c r="CO679" i="5"/>
  <c r="CN679" i="5"/>
  <c r="CM679" i="5"/>
  <c r="CL679" i="5"/>
  <c r="CK679" i="5"/>
  <c r="CJ679" i="5"/>
  <c r="CI679" i="5"/>
  <c r="CH679" i="5"/>
  <c r="CG679" i="5"/>
  <c r="CF679" i="5"/>
  <c r="CE679" i="5"/>
  <c r="IO678" i="5"/>
  <c r="IN678" i="5"/>
  <c r="FV678" i="5"/>
  <c r="FU678" i="5"/>
  <c r="FT678" i="5"/>
  <c r="FS678" i="5"/>
  <c r="FR678" i="5"/>
  <c r="FQ678" i="5"/>
  <c r="FP678" i="5"/>
  <c r="FO678" i="5"/>
  <c r="FN678" i="5"/>
  <c r="FM678" i="5"/>
  <c r="FL678" i="5"/>
  <c r="FK678" i="5"/>
  <c r="FJ678" i="5"/>
  <c r="FI678" i="5"/>
  <c r="FH678" i="5"/>
  <c r="FG678" i="5"/>
  <c r="FF678" i="5"/>
  <c r="FE678" i="5"/>
  <c r="FD678" i="5"/>
  <c r="FC678" i="5"/>
  <c r="FB678" i="5"/>
  <c r="FA678" i="5"/>
  <c r="EZ678" i="5"/>
  <c r="EY678" i="5"/>
  <c r="EX678" i="5"/>
  <c r="EW678" i="5"/>
  <c r="EV678" i="5"/>
  <c r="EU678" i="5"/>
  <c r="ET678" i="5"/>
  <c r="ES678" i="5"/>
  <c r="ER678" i="5"/>
  <c r="EQ678" i="5"/>
  <c r="EP678" i="5"/>
  <c r="EO678" i="5"/>
  <c r="EN678" i="5"/>
  <c r="EM678" i="5"/>
  <c r="EL678" i="5"/>
  <c r="EK678" i="5"/>
  <c r="EJ678" i="5"/>
  <c r="EI678" i="5"/>
  <c r="EH678" i="5"/>
  <c r="EG678" i="5"/>
  <c r="EF678" i="5"/>
  <c r="EE678" i="5"/>
  <c r="ED678" i="5"/>
  <c r="EC678" i="5"/>
  <c r="EB678" i="5"/>
  <c r="EA678" i="5"/>
  <c r="DZ678" i="5"/>
  <c r="DY678" i="5"/>
  <c r="DX678" i="5"/>
  <c r="DW678" i="5"/>
  <c r="DV678" i="5"/>
  <c r="DU678" i="5"/>
  <c r="DT678" i="5"/>
  <c r="DS678" i="5"/>
  <c r="DR678" i="5"/>
  <c r="DQ678" i="5"/>
  <c r="DP678" i="5"/>
  <c r="DO678" i="5"/>
  <c r="DN678" i="5"/>
  <c r="DM678" i="5"/>
  <c r="DL678" i="5"/>
  <c r="DK678" i="5"/>
  <c r="DJ678" i="5"/>
  <c r="DI678" i="5"/>
  <c r="DH678" i="5"/>
  <c r="DG678" i="5"/>
  <c r="DF678" i="5"/>
  <c r="DE678" i="5"/>
  <c r="DD678" i="5"/>
  <c r="DC678" i="5"/>
  <c r="DB678" i="5"/>
  <c r="DA678" i="5"/>
  <c r="CZ678" i="5"/>
  <c r="CY678" i="5"/>
  <c r="CX678" i="5"/>
  <c r="CW678" i="5"/>
  <c r="CV678" i="5"/>
  <c r="CU678" i="5"/>
  <c r="CT678" i="5"/>
  <c r="CS678" i="5"/>
  <c r="CR678" i="5"/>
  <c r="CQ678" i="5"/>
  <c r="CP678" i="5"/>
  <c r="CO678" i="5"/>
  <c r="CN678" i="5"/>
  <c r="CM678" i="5"/>
  <c r="CL678" i="5"/>
  <c r="CK678" i="5"/>
  <c r="CJ678" i="5"/>
  <c r="CI678" i="5"/>
  <c r="CH678" i="5"/>
  <c r="CG678" i="5"/>
  <c r="CF678" i="5"/>
  <c r="CE678" i="5"/>
  <c r="IO677" i="5"/>
  <c r="IN677" i="5"/>
  <c r="FV677" i="5"/>
  <c r="FU677" i="5"/>
  <c r="FT677" i="5"/>
  <c r="FS677" i="5"/>
  <c r="FR677" i="5"/>
  <c r="FQ677" i="5"/>
  <c r="FP677" i="5"/>
  <c r="FO677" i="5"/>
  <c r="FN677" i="5"/>
  <c r="FM677" i="5"/>
  <c r="FL677" i="5"/>
  <c r="FK677" i="5"/>
  <c r="FJ677" i="5"/>
  <c r="FI677" i="5"/>
  <c r="FH677" i="5"/>
  <c r="FG677" i="5"/>
  <c r="FF677" i="5"/>
  <c r="FE677" i="5"/>
  <c r="FD677" i="5"/>
  <c r="FC677" i="5"/>
  <c r="FB677" i="5"/>
  <c r="FA677" i="5"/>
  <c r="EZ677" i="5"/>
  <c r="EY677" i="5"/>
  <c r="EX677" i="5"/>
  <c r="EW677" i="5"/>
  <c r="EV677" i="5"/>
  <c r="EU677" i="5"/>
  <c r="ET677" i="5"/>
  <c r="ES677" i="5"/>
  <c r="ER677" i="5"/>
  <c r="EQ677" i="5"/>
  <c r="EP677" i="5"/>
  <c r="EO677" i="5"/>
  <c r="EN677" i="5"/>
  <c r="EM677" i="5"/>
  <c r="EL677" i="5"/>
  <c r="EK677" i="5"/>
  <c r="EJ677" i="5"/>
  <c r="EI677" i="5"/>
  <c r="EH677" i="5"/>
  <c r="EG677" i="5"/>
  <c r="EF677" i="5"/>
  <c r="EE677" i="5"/>
  <c r="ED677" i="5"/>
  <c r="EC677" i="5"/>
  <c r="EB677" i="5"/>
  <c r="EA677" i="5"/>
  <c r="DZ677" i="5"/>
  <c r="DY677" i="5"/>
  <c r="DX677" i="5"/>
  <c r="DW677" i="5"/>
  <c r="DV677" i="5"/>
  <c r="DU677" i="5"/>
  <c r="DT677" i="5"/>
  <c r="DS677" i="5"/>
  <c r="DR677" i="5"/>
  <c r="DQ677" i="5"/>
  <c r="DP677" i="5"/>
  <c r="DO677" i="5"/>
  <c r="DN677" i="5"/>
  <c r="DM677" i="5"/>
  <c r="DL677" i="5"/>
  <c r="DK677" i="5"/>
  <c r="DJ677" i="5"/>
  <c r="DI677" i="5"/>
  <c r="DH677" i="5"/>
  <c r="DG677" i="5"/>
  <c r="DF677" i="5"/>
  <c r="DE677" i="5"/>
  <c r="DD677" i="5"/>
  <c r="DC677" i="5"/>
  <c r="DB677" i="5"/>
  <c r="DA677" i="5"/>
  <c r="CZ677" i="5"/>
  <c r="CY677" i="5"/>
  <c r="CX677" i="5"/>
  <c r="CW677" i="5"/>
  <c r="CV677" i="5"/>
  <c r="CU677" i="5"/>
  <c r="CT677" i="5"/>
  <c r="CS677" i="5"/>
  <c r="CR677" i="5"/>
  <c r="CQ677" i="5"/>
  <c r="CP677" i="5"/>
  <c r="CO677" i="5"/>
  <c r="CN677" i="5"/>
  <c r="CM677" i="5"/>
  <c r="CL677" i="5"/>
  <c r="CK677" i="5"/>
  <c r="CJ677" i="5"/>
  <c r="CI677" i="5"/>
  <c r="CH677" i="5"/>
  <c r="CG677" i="5"/>
  <c r="CF677" i="5"/>
  <c r="CE677" i="5"/>
  <c r="JE676" i="5"/>
  <c r="JC676" i="5" s="1"/>
  <c r="IY676" i="5"/>
  <c r="IX676" i="5" s="1"/>
  <c r="IO676" i="5"/>
  <c r="IN676" i="5"/>
  <c r="IL676" i="5"/>
  <c r="IM676" i="5" s="1"/>
  <c r="AF998" i="2" s="1"/>
  <c r="IO675" i="5"/>
  <c r="IN675" i="5"/>
  <c r="FV675" i="5"/>
  <c r="FU675" i="5"/>
  <c r="FT675" i="5"/>
  <c r="FS675" i="5"/>
  <c r="FR675" i="5"/>
  <c r="FQ675" i="5"/>
  <c r="FP675" i="5"/>
  <c r="FO675" i="5"/>
  <c r="FN675" i="5"/>
  <c r="FM675" i="5"/>
  <c r="FL675" i="5"/>
  <c r="FK675" i="5"/>
  <c r="FJ675" i="5"/>
  <c r="FI675" i="5"/>
  <c r="FH675" i="5"/>
  <c r="FG675" i="5"/>
  <c r="FF675" i="5"/>
  <c r="FE675" i="5"/>
  <c r="FD675" i="5"/>
  <c r="FC675" i="5"/>
  <c r="FB675" i="5"/>
  <c r="FA675" i="5"/>
  <c r="EZ675" i="5"/>
  <c r="EY675" i="5"/>
  <c r="EX675" i="5"/>
  <c r="EW675" i="5"/>
  <c r="EV675" i="5"/>
  <c r="EU675" i="5"/>
  <c r="ET675" i="5"/>
  <c r="ES675" i="5"/>
  <c r="ER675" i="5"/>
  <c r="EQ675" i="5"/>
  <c r="EP675" i="5"/>
  <c r="EO675" i="5"/>
  <c r="EN675" i="5"/>
  <c r="EM675" i="5"/>
  <c r="EL675" i="5"/>
  <c r="EK675" i="5"/>
  <c r="EJ675" i="5"/>
  <c r="EI675" i="5"/>
  <c r="EH675" i="5"/>
  <c r="EG675" i="5"/>
  <c r="EF675" i="5"/>
  <c r="EE675" i="5"/>
  <c r="ED675" i="5"/>
  <c r="EC675" i="5"/>
  <c r="EB675" i="5"/>
  <c r="EA675" i="5"/>
  <c r="DZ675" i="5"/>
  <c r="DY675" i="5"/>
  <c r="DX675" i="5"/>
  <c r="DW675" i="5"/>
  <c r="DV675" i="5"/>
  <c r="DU675" i="5"/>
  <c r="DT675" i="5"/>
  <c r="DS675" i="5"/>
  <c r="DR675" i="5"/>
  <c r="DQ675" i="5"/>
  <c r="DP675" i="5"/>
  <c r="DO675" i="5"/>
  <c r="DN675" i="5"/>
  <c r="DM675" i="5"/>
  <c r="DL675" i="5"/>
  <c r="DK675" i="5"/>
  <c r="DJ675" i="5"/>
  <c r="DI675" i="5"/>
  <c r="DH675" i="5"/>
  <c r="DG675" i="5"/>
  <c r="DF675" i="5"/>
  <c r="DE675" i="5"/>
  <c r="DD675" i="5"/>
  <c r="DC675" i="5"/>
  <c r="DB675" i="5"/>
  <c r="DA675" i="5"/>
  <c r="CZ675" i="5"/>
  <c r="CY675" i="5"/>
  <c r="CX675" i="5"/>
  <c r="CW675" i="5"/>
  <c r="CV675" i="5"/>
  <c r="CU675" i="5"/>
  <c r="CT675" i="5"/>
  <c r="CS675" i="5"/>
  <c r="CR675" i="5"/>
  <c r="CQ675" i="5"/>
  <c r="CP675" i="5"/>
  <c r="CO675" i="5"/>
  <c r="CN675" i="5"/>
  <c r="CM675" i="5"/>
  <c r="CL675" i="5"/>
  <c r="CK675" i="5"/>
  <c r="CJ675" i="5"/>
  <c r="CI675" i="5"/>
  <c r="CH675" i="5"/>
  <c r="CG675" i="5"/>
  <c r="CF675" i="5"/>
  <c r="CE675" i="5"/>
  <c r="IO674" i="5"/>
  <c r="IN674" i="5"/>
  <c r="FV674" i="5"/>
  <c r="FU674" i="5"/>
  <c r="FT674" i="5"/>
  <c r="FS674" i="5"/>
  <c r="FR674" i="5"/>
  <c r="FQ674" i="5"/>
  <c r="FP674" i="5"/>
  <c r="FO674" i="5"/>
  <c r="FN674" i="5"/>
  <c r="FM674" i="5"/>
  <c r="FL674" i="5"/>
  <c r="FK674" i="5"/>
  <c r="FJ674" i="5"/>
  <c r="FI674" i="5"/>
  <c r="FH674" i="5"/>
  <c r="FG674" i="5"/>
  <c r="FF674" i="5"/>
  <c r="FE674" i="5"/>
  <c r="FD674" i="5"/>
  <c r="FC674" i="5"/>
  <c r="FB674" i="5"/>
  <c r="FA674" i="5"/>
  <c r="EZ674" i="5"/>
  <c r="EY674" i="5"/>
  <c r="EX674" i="5"/>
  <c r="EW674" i="5"/>
  <c r="EV674" i="5"/>
  <c r="EU674" i="5"/>
  <c r="ET674" i="5"/>
  <c r="ES674" i="5"/>
  <c r="ER674" i="5"/>
  <c r="EQ674" i="5"/>
  <c r="EP674" i="5"/>
  <c r="EO674" i="5"/>
  <c r="EN674" i="5"/>
  <c r="EM674" i="5"/>
  <c r="EL674" i="5"/>
  <c r="EK674" i="5"/>
  <c r="EJ674" i="5"/>
  <c r="EI674" i="5"/>
  <c r="EH674" i="5"/>
  <c r="EG674" i="5"/>
  <c r="EF674" i="5"/>
  <c r="EE674" i="5"/>
  <c r="ED674" i="5"/>
  <c r="EC674" i="5"/>
  <c r="EB674" i="5"/>
  <c r="EA674" i="5"/>
  <c r="DZ674" i="5"/>
  <c r="DY674" i="5"/>
  <c r="DX674" i="5"/>
  <c r="DW674" i="5"/>
  <c r="DV674" i="5"/>
  <c r="DU674" i="5"/>
  <c r="DT674" i="5"/>
  <c r="DS674" i="5"/>
  <c r="DR674" i="5"/>
  <c r="DQ674" i="5"/>
  <c r="DP674" i="5"/>
  <c r="DO674" i="5"/>
  <c r="DN674" i="5"/>
  <c r="DM674" i="5"/>
  <c r="DL674" i="5"/>
  <c r="DK674" i="5"/>
  <c r="DJ674" i="5"/>
  <c r="DI674" i="5"/>
  <c r="DH674" i="5"/>
  <c r="DG674" i="5"/>
  <c r="DF674" i="5"/>
  <c r="DE674" i="5"/>
  <c r="DD674" i="5"/>
  <c r="DC674" i="5"/>
  <c r="DB674" i="5"/>
  <c r="DA674" i="5"/>
  <c r="CZ674" i="5"/>
  <c r="CY674" i="5"/>
  <c r="CX674" i="5"/>
  <c r="CW674" i="5"/>
  <c r="CV674" i="5"/>
  <c r="CU674" i="5"/>
  <c r="CT674" i="5"/>
  <c r="CS674" i="5"/>
  <c r="CR674" i="5"/>
  <c r="CQ674" i="5"/>
  <c r="CP674" i="5"/>
  <c r="CO674" i="5"/>
  <c r="CN674" i="5"/>
  <c r="CM674" i="5"/>
  <c r="CL674" i="5"/>
  <c r="CK674" i="5"/>
  <c r="CJ674" i="5"/>
  <c r="CI674" i="5"/>
  <c r="CH674" i="5"/>
  <c r="CG674" i="5"/>
  <c r="CF674" i="5"/>
  <c r="CE674" i="5"/>
  <c r="CD674" i="5"/>
  <c r="JE673" i="5"/>
  <c r="JC673" i="5" s="1"/>
  <c r="JB673" i="5"/>
  <c r="IY673" i="5"/>
  <c r="IX673" i="5" s="1"/>
  <c r="IO673" i="5"/>
  <c r="IN673" i="5"/>
  <c r="FV673" i="5"/>
  <c r="FU673" i="5"/>
  <c r="FT673" i="5"/>
  <c r="FS673" i="5"/>
  <c r="FR673" i="5"/>
  <c r="FQ673" i="5"/>
  <c r="FP673" i="5"/>
  <c r="FO673" i="5"/>
  <c r="FN673" i="5"/>
  <c r="FM673" i="5"/>
  <c r="FL673" i="5"/>
  <c r="FK673" i="5"/>
  <c r="FJ673" i="5"/>
  <c r="FI673" i="5"/>
  <c r="FH673" i="5"/>
  <c r="FG673" i="5"/>
  <c r="FF673" i="5"/>
  <c r="FE673" i="5"/>
  <c r="FD673" i="5"/>
  <c r="FC673" i="5"/>
  <c r="FB673" i="5"/>
  <c r="FA673" i="5"/>
  <c r="EZ673" i="5"/>
  <c r="EY673" i="5"/>
  <c r="EX673" i="5"/>
  <c r="EW673" i="5"/>
  <c r="EV673" i="5"/>
  <c r="EU673" i="5"/>
  <c r="ET673" i="5"/>
  <c r="ES673" i="5"/>
  <c r="ER673" i="5"/>
  <c r="EQ673" i="5"/>
  <c r="EP673" i="5"/>
  <c r="EO673" i="5"/>
  <c r="EN673" i="5"/>
  <c r="EM673" i="5"/>
  <c r="EL673" i="5"/>
  <c r="EK673" i="5"/>
  <c r="EJ673" i="5"/>
  <c r="EI673" i="5"/>
  <c r="EH673" i="5"/>
  <c r="EG673" i="5"/>
  <c r="EF673" i="5"/>
  <c r="EE673" i="5"/>
  <c r="ED673" i="5"/>
  <c r="EC673" i="5"/>
  <c r="EB673" i="5"/>
  <c r="EA673" i="5"/>
  <c r="DZ673" i="5"/>
  <c r="DY673" i="5"/>
  <c r="DX673" i="5"/>
  <c r="DW673" i="5"/>
  <c r="DV673" i="5"/>
  <c r="DU673" i="5"/>
  <c r="DT673" i="5"/>
  <c r="DS673" i="5"/>
  <c r="DR673" i="5"/>
  <c r="DQ673" i="5"/>
  <c r="DP673" i="5"/>
  <c r="DO673" i="5"/>
  <c r="DN673" i="5"/>
  <c r="DM673" i="5"/>
  <c r="DL673" i="5"/>
  <c r="DK673" i="5"/>
  <c r="DJ673" i="5"/>
  <c r="DI673" i="5"/>
  <c r="DH673" i="5"/>
  <c r="DG673" i="5"/>
  <c r="DF673" i="5"/>
  <c r="DE673" i="5"/>
  <c r="DD673" i="5"/>
  <c r="DC673" i="5"/>
  <c r="DB673" i="5"/>
  <c r="DA673" i="5"/>
  <c r="CZ673" i="5"/>
  <c r="CY673" i="5"/>
  <c r="CX673" i="5"/>
  <c r="CW673" i="5"/>
  <c r="CV673" i="5"/>
  <c r="CU673" i="5"/>
  <c r="CT673" i="5"/>
  <c r="CS673" i="5"/>
  <c r="CR673" i="5"/>
  <c r="CQ673" i="5"/>
  <c r="CP673" i="5"/>
  <c r="CO673" i="5"/>
  <c r="CN673" i="5"/>
  <c r="CM673" i="5"/>
  <c r="CL673" i="5"/>
  <c r="CK673" i="5"/>
  <c r="CJ673" i="5"/>
  <c r="CI673" i="5"/>
  <c r="CH673" i="5"/>
  <c r="CG673" i="5"/>
  <c r="CF673" i="5"/>
  <c r="CE673" i="5"/>
  <c r="CD673" i="5"/>
  <c r="IO672" i="5"/>
  <c r="IN672" i="5"/>
  <c r="FV672" i="5"/>
  <c r="FU672" i="5"/>
  <c r="FT672" i="5"/>
  <c r="FS672" i="5"/>
  <c r="FR672" i="5"/>
  <c r="FQ672" i="5"/>
  <c r="FP672" i="5"/>
  <c r="FO672" i="5"/>
  <c r="FN672" i="5"/>
  <c r="FM672" i="5"/>
  <c r="FL672" i="5"/>
  <c r="FK672" i="5"/>
  <c r="FJ672" i="5"/>
  <c r="FI672" i="5"/>
  <c r="FH672" i="5"/>
  <c r="FG672" i="5"/>
  <c r="FF672" i="5"/>
  <c r="FE672" i="5"/>
  <c r="FD672" i="5"/>
  <c r="FC672" i="5"/>
  <c r="FB672" i="5"/>
  <c r="FA672" i="5"/>
  <c r="EZ672" i="5"/>
  <c r="EY672" i="5"/>
  <c r="EX672" i="5"/>
  <c r="EW672" i="5"/>
  <c r="EV672" i="5"/>
  <c r="EU672" i="5"/>
  <c r="ET672" i="5"/>
  <c r="ES672" i="5"/>
  <c r="ER672" i="5"/>
  <c r="EQ672" i="5"/>
  <c r="EP672" i="5"/>
  <c r="EO672" i="5"/>
  <c r="EN672" i="5"/>
  <c r="EM672" i="5"/>
  <c r="EL672" i="5"/>
  <c r="EK672" i="5"/>
  <c r="EJ672" i="5"/>
  <c r="EI672" i="5"/>
  <c r="EH672" i="5"/>
  <c r="EG672" i="5"/>
  <c r="EF672" i="5"/>
  <c r="EE672" i="5"/>
  <c r="ED672" i="5"/>
  <c r="EC672" i="5"/>
  <c r="EB672" i="5"/>
  <c r="EA672" i="5"/>
  <c r="DZ672" i="5"/>
  <c r="DY672" i="5"/>
  <c r="DX672" i="5"/>
  <c r="DW672" i="5"/>
  <c r="DV672" i="5"/>
  <c r="DU672" i="5"/>
  <c r="DT672" i="5"/>
  <c r="DS672" i="5"/>
  <c r="DR672" i="5"/>
  <c r="DQ672" i="5"/>
  <c r="DP672" i="5"/>
  <c r="DO672" i="5"/>
  <c r="DN672" i="5"/>
  <c r="DM672" i="5"/>
  <c r="DL672" i="5"/>
  <c r="DK672" i="5"/>
  <c r="DJ672" i="5"/>
  <c r="DI672" i="5"/>
  <c r="DH672" i="5"/>
  <c r="DG672" i="5"/>
  <c r="DF672" i="5"/>
  <c r="DE672" i="5"/>
  <c r="DD672" i="5"/>
  <c r="DC672" i="5"/>
  <c r="DB672" i="5"/>
  <c r="DA672" i="5"/>
  <c r="CZ672" i="5"/>
  <c r="CY672" i="5"/>
  <c r="CX672" i="5"/>
  <c r="CW672" i="5"/>
  <c r="CV672" i="5"/>
  <c r="CU672" i="5"/>
  <c r="CT672" i="5"/>
  <c r="CS672" i="5"/>
  <c r="CR672" i="5"/>
  <c r="CQ672" i="5"/>
  <c r="CP672" i="5"/>
  <c r="CO672" i="5"/>
  <c r="CN672" i="5"/>
  <c r="CM672" i="5"/>
  <c r="CL672" i="5"/>
  <c r="CK672" i="5"/>
  <c r="CJ672" i="5"/>
  <c r="CI672" i="5"/>
  <c r="CH672" i="5"/>
  <c r="CG672" i="5"/>
  <c r="CF672" i="5"/>
  <c r="CE672" i="5"/>
  <c r="IO671" i="5"/>
  <c r="IN671" i="5"/>
  <c r="FV671" i="5"/>
  <c r="FU671" i="5"/>
  <c r="FT671" i="5"/>
  <c r="FS671" i="5"/>
  <c r="FR671" i="5"/>
  <c r="FQ671" i="5"/>
  <c r="FP671" i="5"/>
  <c r="FO671" i="5"/>
  <c r="FN671" i="5"/>
  <c r="FM671" i="5"/>
  <c r="FL671" i="5"/>
  <c r="FK671" i="5"/>
  <c r="FJ671" i="5"/>
  <c r="FI671" i="5"/>
  <c r="FH671" i="5"/>
  <c r="FG671" i="5"/>
  <c r="FF671" i="5"/>
  <c r="FE671" i="5"/>
  <c r="FD671" i="5"/>
  <c r="FC671" i="5"/>
  <c r="FB671" i="5"/>
  <c r="FA671" i="5"/>
  <c r="EZ671" i="5"/>
  <c r="EY671" i="5"/>
  <c r="EX671" i="5"/>
  <c r="EW671" i="5"/>
  <c r="EV671" i="5"/>
  <c r="EU671" i="5"/>
  <c r="ET671" i="5"/>
  <c r="ES671" i="5"/>
  <c r="ER671" i="5"/>
  <c r="EQ671" i="5"/>
  <c r="EP671" i="5"/>
  <c r="EO671" i="5"/>
  <c r="EN671" i="5"/>
  <c r="EM671" i="5"/>
  <c r="EL671" i="5"/>
  <c r="EK671" i="5"/>
  <c r="EJ671" i="5"/>
  <c r="EI671" i="5"/>
  <c r="EH671" i="5"/>
  <c r="EG671" i="5"/>
  <c r="EF671" i="5"/>
  <c r="EE671" i="5"/>
  <c r="ED671" i="5"/>
  <c r="EC671" i="5"/>
  <c r="EB671" i="5"/>
  <c r="EA671" i="5"/>
  <c r="DZ671" i="5"/>
  <c r="DY671" i="5"/>
  <c r="DX671" i="5"/>
  <c r="DW671" i="5"/>
  <c r="DV671" i="5"/>
  <c r="DU671" i="5"/>
  <c r="DT671" i="5"/>
  <c r="DS671" i="5"/>
  <c r="DR671" i="5"/>
  <c r="DQ671" i="5"/>
  <c r="DP671" i="5"/>
  <c r="DO671" i="5"/>
  <c r="DN671" i="5"/>
  <c r="DM671" i="5"/>
  <c r="DL671" i="5"/>
  <c r="DK671" i="5"/>
  <c r="DJ671" i="5"/>
  <c r="DI671" i="5"/>
  <c r="DH671" i="5"/>
  <c r="DG671" i="5"/>
  <c r="DF671" i="5"/>
  <c r="DE671" i="5"/>
  <c r="DD671" i="5"/>
  <c r="DC671" i="5"/>
  <c r="DB671" i="5"/>
  <c r="DA671" i="5"/>
  <c r="CZ671" i="5"/>
  <c r="CY671" i="5"/>
  <c r="CX671" i="5"/>
  <c r="CW671" i="5"/>
  <c r="CV671" i="5"/>
  <c r="CU671" i="5"/>
  <c r="CT671" i="5"/>
  <c r="CS671" i="5"/>
  <c r="CR671" i="5"/>
  <c r="CQ671" i="5"/>
  <c r="CP671" i="5"/>
  <c r="CO671" i="5"/>
  <c r="CN671" i="5"/>
  <c r="CM671" i="5"/>
  <c r="CL671" i="5"/>
  <c r="CK671" i="5"/>
  <c r="CJ671" i="5"/>
  <c r="CI671" i="5"/>
  <c r="CH671" i="5"/>
  <c r="CG671" i="5"/>
  <c r="CF671" i="5"/>
  <c r="CE671" i="5"/>
  <c r="JE670" i="5"/>
  <c r="JC670" i="5" s="1"/>
  <c r="JB670" i="5"/>
  <c r="IZ670" i="5" s="1"/>
  <c r="IY670" i="5"/>
  <c r="IX670" i="5" s="1"/>
  <c r="IO670" i="5"/>
  <c r="IN670" i="5"/>
  <c r="IL670" i="5"/>
  <c r="IK670" i="5"/>
  <c r="IO669" i="5"/>
  <c r="IN669" i="5"/>
  <c r="FV669" i="5"/>
  <c r="FU669" i="5"/>
  <c r="FT669" i="5"/>
  <c r="FS669" i="5"/>
  <c r="FR669" i="5"/>
  <c r="FQ669" i="5"/>
  <c r="FP669" i="5"/>
  <c r="FO669" i="5"/>
  <c r="FN669" i="5"/>
  <c r="FM669" i="5"/>
  <c r="FL669" i="5"/>
  <c r="FK669" i="5"/>
  <c r="FJ669" i="5"/>
  <c r="FI669" i="5"/>
  <c r="FH669" i="5"/>
  <c r="FG669" i="5"/>
  <c r="FF669" i="5"/>
  <c r="FE669" i="5"/>
  <c r="FD669" i="5"/>
  <c r="FC669" i="5"/>
  <c r="FB669" i="5"/>
  <c r="FA669" i="5"/>
  <c r="EZ669" i="5"/>
  <c r="EY669" i="5"/>
  <c r="EX669" i="5"/>
  <c r="EW669" i="5"/>
  <c r="EV669" i="5"/>
  <c r="EU669" i="5"/>
  <c r="ET669" i="5"/>
  <c r="ES669" i="5"/>
  <c r="ER669" i="5"/>
  <c r="EQ669" i="5"/>
  <c r="EP669" i="5"/>
  <c r="EO669" i="5"/>
  <c r="EN669" i="5"/>
  <c r="EM669" i="5"/>
  <c r="EL669" i="5"/>
  <c r="EK669" i="5"/>
  <c r="EJ669" i="5"/>
  <c r="EI669" i="5"/>
  <c r="EH669" i="5"/>
  <c r="EG669" i="5"/>
  <c r="EF669" i="5"/>
  <c r="EE669" i="5"/>
  <c r="ED669" i="5"/>
  <c r="EC669" i="5"/>
  <c r="EB669" i="5"/>
  <c r="EA669" i="5"/>
  <c r="DZ669" i="5"/>
  <c r="DY669" i="5"/>
  <c r="DX669" i="5"/>
  <c r="DW669" i="5"/>
  <c r="DV669" i="5"/>
  <c r="DU669" i="5"/>
  <c r="DT669" i="5"/>
  <c r="DS669" i="5"/>
  <c r="DR669" i="5"/>
  <c r="DQ669" i="5"/>
  <c r="DP669" i="5"/>
  <c r="DO669" i="5"/>
  <c r="DN669" i="5"/>
  <c r="DM669" i="5"/>
  <c r="DL669" i="5"/>
  <c r="DK669" i="5"/>
  <c r="DJ669" i="5"/>
  <c r="DI669" i="5"/>
  <c r="DH669" i="5"/>
  <c r="DG669" i="5"/>
  <c r="DF669" i="5"/>
  <c r="DE669" i="5"/>
  <c r="DD669" i="5"/>
  <c r="DC669" i="5"/>
  <c r="DB669" i="5"/>
  <c r="DA669" i="5"/>
  <c r="CZ669" i="5"/>
  <c r="CY669" i="5"/>
  <c r="CX669" i="5"/>
  <c r="CW669" i="5"/>
  <c r="CV669" i="5"/>
  <c r="CU669" i="5"/>
  <c r="CT669" i="5"/>
  <c r="CS669" i="5"/>
  <c r="CR669" i="5"/>
  <c r="CQ669" i="5"/>
  <c r="CP669" i="5"/>
  <c r="CO669" i="5"/>
  <c r="CN669" i="5"/>
  <c r="CM669" i="5"/>
  <c r="CL669" i="5"/>
  <c r="CK669" i="5"/>
  <c r="CJ669" i="5"/>
  <c r="CI669" i="5"/>
  <c r="CH669" i="5"/>
  <c r="CG669" i="5"/>
  <c r="CF669" i="5"/>
  <c r="CE669" i="5"/>
  <c r="IO668" i="5"/>
  <c r="IN668" i="5"/>
  <c r="FV668" i="5"/>
  <c r="FU668" i="5"/>
  <c r="FT668" i="5"/>
  <c r="FS668" i="5"/>
  <c r="FR668" i="5"/>
  <c r="FQ668" i="5"/>
  <c r="FP668" i="5"/>
  <c r="FO668" i="5"/>
  <c r="FN668" i="5"/>
  <c r="FM668" i="5"/>
  <c r="FL668" i="5"/>
  <c r="FK668" i="5"/>
  <c r="FJ668" i="5"/>
  <c r="FI668" i="5"/>
  <c r="FH668" i="5"/>
  <c r="FG668" i="5"/>
  <c r="FF668" i="5"/>
  <c r="FE668" i="5"/>
  <c r="FD668" i="5"/>
  <c r="FC668" i="5"/>
  <c r="FB668" i="5"/>
  <c r="FA668" i="5"/>
  <c r="EZ668" i="5"/>
  <c r="EY668" i="5"/>
  <c r="EX668" i="5"/>
  <c r="EW668" i="5"/>
  <c r="EV668" i="5"/>
  <c r="EU668" i="5"/>
  <c r="ET668" i="5"/>
  <c r="ES668" i="5"/>
  <c r="ER668" i="5"/>
  <c r="EQ668" i="5"/>
  <c r="EP668" i="5"/>
  <c r="EO668" i="5"/>
  <c r="EN668" i="5"/>
  <c r="EM668" i="5"/>
  <c r="EL668" i="5"/>
  <c r="EK668" i="5"/>
  <c r="EJ668" i="5"/>
  <c r="EI668" i="5"/>
  <c r="EH668" i="5"/>
  <c r="EG668" i="5"/>
  <c r="EF668" i="5"/>
  <c r="EE668" i="5"/>
  <c r="ED668" i="5"/>
  <c r="EC668" i="5"/>
  <c r="EB668" i="5"/>
  <c r="EA668" i="5"/>
  <c r="DZ668" i="5"/>
  <c r="DY668" i="5"/>
  <c r="DX668" i="5"/>
  <c r="DW668" i="5"/>
  <c r="DV668" i="5"/>
  <c r="DU668" i="5"/>
  <c r="DT668" i="5"/>
  <c r="DS668" i="5"/>
  <c r="DR668" i="5"/>
  <c r="DQ668" i="5"/>
  <c r="DP668" i="5"/>
  <c r="DO668" i="5"/>
  <c r="DN668" i="5"/>
  <c r="DM668" i="5"/>
  <c r="DL668" i="5"/>
  <c r="DK668" i="5"/>
  <c r="DJ668" i="5"/>
  <c r="DI668" i="5"/>
  <c r="DH668" i="5"/>
  <c r="DG668" i="5"/>
  <c r="DF668" i="5"/>
  <c r="DE668" i="5"/>
  <c r="DD668" i="5"/>
  <c r="DC668" i="5"/>
  <c r="DB668" i="5"/>
  <c r="DA668" i="5"/>
  <c r="CZ668" i="5"/>
  <c r="CY668" i="5"/>
  <c r="CX668" i="5"/>
  <c r="CW668" i="5"/>
  <c r="CV668" i="5"/>
  <c r="CU668" i="5"/>
  <c r="CT668" i="5"/>
  <c r="CS668" i="5"/>
  <c r="CR668" i="5"/>
  <c r="CQ668" i="5"/>
  <c r="CP668" i="5"/>
  <c r="CO668" i="5"/>
  <c r="CN668" i="5"/>
  <c r="CM668" i="5"/>
  <c r="CL668" i="5"/>
  <c r="CK668" i="5"/>
  <c r="CJ668" i="5"/>
  <c r="CI668" i="5"/>
  <c r="CH668" i="5"/>
  <c r="CG668" i="5"/>
  <c r="CF668" i="5"/>
  <c r="CE668" i="5"/>
  <c r="CD668" i="5"/>
  <c r="KP667" i="5"/>
  <c r="KP976" i="5" s="1"/>
  <c r="KO667" i="5"/>
  <c r="KN667" i="5"/>
  <c r="KM667" i="5"/>
  <c r="KM976" i="5" s="1"/>
  <c r="IO667" i="5"/>
  <c r="IN667" i="5"/>
  <c r="CC667" i="5"/>
  <c r="CC976" i="5" s="1"/>
  <c r="CB667" i="5"/>
  <c r="CB976" i="5" s="1"/>
  <c r="CA667" i="5"/>
  <c r="CA976" i="5" s="1"/>
  <c r="BZ667" i="5"/>
  <c r="BZ976" i="5" s="1"/>
  <c r="BY667" i="5"/>
  <c r="BY976" i="5" s="1"/>
  <c r="BX667" i="5"/>
  <c r="BX976" i="5" s="1"/>
  <c r="BW667" i="5"/>
  <c r="BW976" i="5" s="1"/>
  <c r="BV667" i="5"/>
  <c r="BV976" i="5" s="1"/>
  <c r="BU667" i="5"/>
  <c r="BU976" i="5" s="1"/>
  <c r="BT667" i="5"/>
  <c r="BT976" i="5" s="1"/>
  <c r="BS667" i="5"/>
  <c r="BS976" i="5" s="1"/>
  <c r="BR667" i="5"/>
  <c r="BR976" i="5" s="1"/>
  <c r="BQ667" i="5"/>
  <c r="BP667" i="5"/>
  <c r="BP976" i="5" s="1"/>
  <c r="BO667" i="5"/>
  <c r="BO976" i="5" s="1"/>
  <c r="BN667" i="5"/>
  <c r="BN976" i="5" s="1"/>
  <c r="BM667" i="5"/>
  <c r="BM976" i="5" s="1"/>
  <c r="BL667" i="5"/>
  <c r="BL976" i="5" s="1"/>
  <c r="BK667" i="5"/>
  <c r="BK976" i="5" s="1"/>
  <c r="BJ667" i="5"/>
  <c r="BJ976" i="5" s="1"/>
  <c r="BI667" i="5"/>
  <c r="BI976" i="5" s="1"/>
  <c r="BH667" i="5"/>
  <c r="BH976" i="5" s="1"/>
  <c r="BG667" i="5"/>
  <c r="BG976" i="5" s="1"/>
  <c r="BF667" i="5"/>
  <c r="BF976" i="5" s="1"/>
  <c r="BE667" i="5"/>
  <c r="BE976" i="5" s="1"/>
  <c r="BD667" i="5"/>
  <c r="BD976" i="5" s="1"/>
  <c r="BC667" i="5"/>
  <c r="BC976" i="5" s="1"/>
  <c r="BB667" i="5"/>
  <c r="BB976" i="5" s="1"/>
  <c r="BA667" i="5"/>
  <c r="BA976" i="5" s="1"/>
  <c r="AZ667" i="5"/>
  <c r="AZ976" i="5" s="1"/>
  <c r="AY667" i="5"/>
  <c r="AY976" i="5" s="1"/>
  <c r="AX667" i="5"/>
  <c r="AX976" i="5" s="1"/>
  <c r="AW667" i="5"/>
  <c r="AW976" i="5" s="1"/>
  <c r="AV667" i="5"/>
  <c r="AV976" i="5" s="1"/>
  <c r="AU667" i="5"/>
  <c r="AU976" i="5" s="1"/>
  <c r="AT667" i="5"/>
  <c r="AT976" i="5" s="1"/>
  <c r="AS667" i="5"/>
  <c r="AS976" i="5" s="1"/>
  <c r="AR667" i="5"/>
  <c r="AR976" i="5" s="1"/>
  <c r="AQ667" i="5"/>
  <c r="AQ976" i="5" s="1"/>
  <c r="AP667" i="5"/>
  <c r="AP976" i="5" s="1"/>
  <c r="AO667" i="5"/>
  <c r="AO976" i="5" s="1"/>
  <c r="AN667" i="5"/>
  <c r="AN976" i="5" s="1"/>
  <c r="AM667" i="5"/>
  <c r="AM976" i="5" s="1"/>
  <c r="AL667" i="5"/>
  <c r="AK667" i="5"/>
  <c r="AK976" i="5" s="1"/>
  <c r="AJ667" i="5"/>
  <c r="AJ976" i="5" s="1"/>
  <c r="AI667" i="5"/>
  <c r="AI976" i="5" s="1"/>
  <c r="AH667" i="5"/>
  <c r="AH976" i="5" s="1"/>
  <c r="AG667" i="5"/>
  <c r="AG976" i="5" s="1"/>
  <c r="AF667" i="5"/>
  <c r="AF976" i="5" s="1"/>
  <c r="AE667" i="5"/>
  <c r="AE976" i="5" s="1"/>
  <c r="AD667" i="5"/>
  <c r="AD976" i="5" s="1"/>
  <c r="AC667" i="5"/>
  <c r="AC976" i="5" s="1"/>
  <c r="AB667" i="5"/>
  <c r="AB976" i="5" s="1"/>
  <c r="AA667" i="5"/>
  <c r="AA976" i="5" s="1"/>
  <c r="Z667" i="5"/>
  <c r="Z976" i="5" s="1"/>
  <c r="Y667" i="5"/>
  <c r="Y976" i="5" s="1"/>
  <c r="X667" i="5"/>
  <c r="X976" i="5" s="1"/>
  <c r="W667" i="5"/>
  <c r="W976" i="5" s="1"/>
  <c r="V667" i="5"/>
  <c r="V976" i="5" s="1"/>
  <c r="U667" i="5"/>
  <c r="T667" i="5"/>
  <c r="T976" i="5" s="1"/>
  <c r="S667" i="5"/>
  <c r="R667" i="5"/>
  <c r="R976" i="5" s="1"/>
  <c r="Q667" i="5"/>
  <c r="Q976" i="5" s="1"/>
  <c r="P667" i="5"/>
  <c r="P976" i="5" s="1"/>
  <c r="O667" i="5"/>
  <c r="O976" i="5" s="1"/>
  <c r="N667" i="5"/>
  <c r="N976" i="5" s="1"/>
  <c r="M667" i="5"/>
  <c r="M976" i="5" s="1"/>
  <c r="L667" i="5"/>
  <c r="L976" i="5" s="1"/>
  <c r="K667" i="5"/>
  <c r="K976" i="5" s="1"/>
  <c r="J667" i="5"/>
  <c r="J976" i="5" s="1"/>
  <c r="I667" i="5"/>
  <c r="I976" i="5" s="1"/>
  <c r="H667" i="5"/>
  <c r="H976" i="5" s="1"/>
  <c r="G667" i="5"/>
  <c r="G976" i="5" s="1"/>
  <c r="F667" i="5"/>
  <c r="F976" i="5" s="1"/>
  <c r="E667" i="5"/>
  <c r="E976" i="5" s="1"/>
  <c r="IN666" i="5"/>
  <c r="GQ665" i="5"/>
  <c r="GP665" i="5"/>
  <c r="GO665" i="5"/>
  <c r="GN665" i="5"/>
  <c r="GM665" i="5"/>
  <c r="GL665" i="5"/>
  <c r="GK665" i="5"/>
  <c r="GJ665" i="5"/>
  <c r="GI665" i="5"/>
  <c r="GH665" i="5"/>
  <c r="GG665" i="5"/>
  <c r="GF665" i="5"/>
  <c r="GE665" i="5"/>
  <c r="GD665" i="5"/>
  <c r="GC665" i="5"/>
  <c r="GB665" i="5"/>
  <c r="GA665" i="5"/>
  <c r="FZ665" i="5"/>
  <c r="FY665" i="5"/>
  <c r="FX665" i="5"/>
  <c r="FW665" i="5"/>
  <c r="FV665" i="5"/>
  <c r="FU665" i="5"/>
  <c r="FT665" i="5"/>
  <c r="FS665" i="5"/>
  <c r="FR665" i="5"/>
  <c r="FQ665" i="5"/>
  <c r="FP665" i="5"/>
  <c r="FO665" i="5"/>
  <c r="FN665" i="5"/>
  <c r="FM665" i="5"/>
  <c r="FL665" i="5"/>
  <c r="FK665" i="5"/>
  <c r="FJ665" i="5"/>
  <c r="FI665" i="5"/>
  <c r="FH665" i="5"/>
  <c r="FG665" i="5"/>
  <c r="FF665" i="5"/>
  <c r="FE665" i="5"/>
  <c r="FD665" i="5"/>
  <c r="FC665" i="5"/>
  <c r="FB665" i="5"/>
  <c r="FA665" i="5"/>
  <c r="EZ665" i="5"/>
  <c r="EY665" i="5"/>
  <c r="EX665" i="5"/>
  <c r="EW665" i="5"/>
  <c r="EV665" i="5"/>
  <c r="EU665" i="5"/>
  <c r="ET665" i="5"/>
  <c r="ES665" i="5"/>
  <c r="ER665" i="5"/>
  <c r="EQ665" i="5"/>
  <c r="EP665" i="5"/>
  <c r="EO665" i="5"/>
  <c r="EN665" i="5"/>
  <c r="EM665" i="5"/>
  <c r="EL665" i="5"/>
  <c r="EK665" i="5"/>
  <c r="EJ665" i="5"/>
  <c r="EI665" i="5"/>
  <c r="EH665" i="5"/>
  <c r="EG665" i="5"/>
  <c r="EF665" i="5"/>
  <c r="EE665" i="5"/>
  <c r="ED665" i="5"/>
  <c r="EC665" i="5"/>
  <c r="EB665" i="5"/>
  <c r="EA665" i="5"/>
  <c r="DZ665" i="5"/>
  <c r="DY665" i="5"/>
  <c r="DX665" i="5"/>
  <c r="DW665" i="5"/>
  <c r="DV665" i="5"/>
  <c r="DU665" i="5"/>
  <c r="DT665" i="5"/>
  <c r="DS665" i="5"/>
  <c r="DR665" i="5"/>
  <c r="DQ665" i="5"/>
  <c r="DP665" i="5"/>
  <c r="DO665" i="5"/>
  <c r="DN665" i="5"/>
  <c r="DM665" i="5"/>
  <c r="DL665" i="5"/>
  <c r="DK665" i="5"/>
  <c r="DJ665" i="5"/>
  <c r="DI665" i="5"/>
  <c r="DH665" i="5"/>
  <c r="DG665" i="5"/>
  <c r="DF665" i="5"/>
  <c r="DE665" i="5"/>
  <c r="DD665" i="5"/>
  <c r="DC665" i="5"/>
  <c r="DB665" i="5"/>
  <c r="DA665" i="5"/>
  <c r="CZ665" i="5"/>
  <c r="CY665" i="5"/>
  <c r="CX665" i="5"/>
  <c r="CW665" i="5"/>
  <c r="CV665" i="5"/>
  <c r="CU665" i="5"/>
  <c r="CT665" i="5"/>
  <c r="CS665" i="5"/>
  <c r="CR665" i="5"/>
  <c r="CQ665" i="5"/>
  <c r="CP665" i="5"/>
  <c r="CO665" i="5"/>
  <c r="CN665" i="5"/>
  <c r="CM665" i="5"/>
  <c r="CL665" i="5"/>
  <c r="CK665" i="5"/>
  <c r="CJ665" i="5"/>
  <c r="CI665" i="5"/>
  <c r="CH665" i="5"/>
  <c r="CG665" i="5"/>
  <c r="CF665" i="5"/>
  <c r="CE665" i="5"/>
  <c r="CD665" i="5"/>
  <c r="CC665" i="5"/>
  <c r="CB665" i="5"/>
  <c r="CA665" i="5"/>
  <c r="BZ665" i="5"/>
  <c r="BY665" i="5"/>
  <c r="BX665" i="5"/>
  <c r="BW665" i="5"/>
  <c r="BV665" i="5"/>
  <c r="BU665" i="5"/>
  <c r="BT665" i="5"/>
  <c r="BS665" i="5"/>
  <c r="BR665" i="5"/>
  <c r="BQ665" i="5"/>
  <c r="BP665" i="5"/>
  <c r="BO665" i="5"/>
  <c r="BN665" i="5"/>
  <c r="BM665" i="5"/>
  <c r="BL665" i="5"/>
  <c r="BK665" i="5"/>
  <c r="BJ665" i="5"/>
  <c r="BI665" i="5"/>
  <c r="BH665" i="5"/>
  <c r="BG665" i="5"/>
  <c r="BF665" i="5"/>
  <c r="BE665" i="5"/>
  <c r="BD665" i="5"/>
  <c r="BC665" i="5"/>
  <c r="BB665" i="5"/>
  <c r="BA665" i="5"/>
  <c r="AZ665" i="5"/>
  <c r="AY665" i="5"/>
  <c r="AX665" i="5"/>
  <c r="AW665" i="5"/>
  <c r="AV665" i="5"/>
  <c r="AU665" i="5"/>
  <c r="AT665" i="5"/>
  <c r="AS665" i="5"/>
  <c r="AR665" i="5"/>
  <c r="AQ665" i="5"/>
  <c r="AP665" i="5"/>
  <c r="AO665" i="5"/>
  <c r="AN665" i="5"/>
  <c r="AM665" i="5"/>
  <c r="AL665" i="5"/>
  <c r="AK665" i="5"/>
  <c r="AJ665" i="5"/>
  <c r="AI665" i="5"/>
  <c r="AH665" i="5"/>
  <c r="AG665" i="5"/>
  <c r="AF665" i="5"/>
  <c r="AE665" i="5"/>
  <c r="AD665" i="5"/>
  <c r="AC665" i="5"/>
  <c r="AB665" i="5"/>
  <c r="AA665" i="5"/>
  <c r="Z665" i="5"/>
  <c r="Y665" i="5"/>
  <c r="X665" i="5"/>
  <c r="W665" i="5"/>
  <c r="V665" i="5"/>
  <c r="U665" i="5"/>
  <c r="T665" i="5"/>
  <c r="S665" i="5"/>
  <c r="R665" i="5"/>
  <c r="Q665" i="5"/>
  <c r="P665" i="5"/>
  <c r="O665" i="5"/>
  <c r="N665" i="5"/>
  <c r="M665" i="5"/>
  <c r="L665" i="5"/>
  <c r="K665" i="5"/>
  <c r="J665" i="5"/>
  <c r="I665" i="5"/>
  <c r="H665" i="5"/>
  <c r="G665" i="5"/>
  <c r="F665" i="5"/>
  <c r="E665" i="5"/>
  <c r="JH664" i="5"/>
  <c r="JG664" i="5"/>
  <c r="JF664" i="5"/>
  <c r="JE664" i="5"/>
  <c r="JD664" i="5"/>
  <c r="JC664" i="5"/>
  <c r="JB664" i="5"/>
  <c r="JA664" i="5"/>
  <c r="IZ664" i="5"/>
  <c r="IY664" i="5"/>
  <c r="IX664" i="5"/>
  <c r="IW664" i="5"/>
  <c r="IV664" i="5"/>
  <c r="IU664" i="5"/>
  <c r="IT664" i="5"/>
  <c r="IS664" i="5"/>
  <c r="IR664" i="5"/>
  <c r="IQ664" i="5"/>
  <c r="IP664" i="5"/>
  <c r="IO664" i="5"/>
  <c r="IN664" i="5"/>
  <c r="IM664" i="5"/>
  <c r="IL664" i="5"/>
  <c r="IK664" i="5"/>
  <c r="IJ664" i="5"/>
  <c r="II664" i="5"/>
  <c r="IH664" i="5"/>
  <c r="IG664" i="5"/>
  <c r="IF664" i="5"/>
  <c r="IE664" i="5"/>
  <c r="ID664" i="5"/>
  <c r="IC664" i="5"/>
  <c r="IB664" i="5"/>
  <c r="IA664" i="5"/>
  <c r="HZ664" i="5"/>
  <c r="HY664" i="5"/>
  <c r="HX664" i="5"/>
  <c r="HW664" i="5"/>
  <c r="HV664" i="5"/>
  <c r="HU664" i="5"/>
  <c r="HT664" i="5"/>
  <c r="HS664" i="5"/>
  <c r="HR664" i="5"/>
  <c r="HQ664" i="5"/>
  <c r="HP664" i="5"/>
  <c r="JH663" i="5"/>
  <c r="JG663" i="5"/>
  <c r="JF663" i="5"/>
  <c r="JE663" i="5"/>
  <c r="JD663" i="5"/>
  <c r="JC663" i="5"/>
  <c r="JB663" i="5"/>
  <c r="JA663" i="5"/>
  <c r="IZ663" i="5"/>
  <c r="IY663" i="5"/>
  <c r="IX663" i="5"/>
  <c r="IW663" i="5"/>
  <c r="IV663" i="5"/>
  <c r="IU663" i="5"/>
  <c r="IT663" i="5"/>
  <c r="IS663" i="5"/>
  <c r="IR663" i="5"/>
  <c r="IQ663" i="5"/>
  <c r="IP663" i="5"/>
  <c r="IO663" i="5"/>
  <c r="IN663" i="5"/>
  <c r="IM663" i="5"/>
  <c r="IL663" i="5"/>
  <c r="IK663" i="5"/>
  <c r="IJ663" i="5"/>
  <c r="II663" i="5"/>
  <c r="IH663" i="5"/>
  <c r="IG663" i="5"/>
  <c r="IF663" i="5"/>
  <c r="IE663" i="5"/>
  <c r="ID663" i="5"/>
  <c r="IC663" i="5"/>
  <c r="IB663" i="5"/>
  <c r="IA663" i="5"/>
  <c r="HZ663" i="5"/>
  <c r="HY663" i="5"/>
  <c r="HX663" i="5"/>
  <c r="HW663" i="5"/>
  <c r="HV663" i="5"/>
  <c r="HU663" i="5"/>
  <c r="HT663" i="5"/>
  <c r="HS663" i="5"/>
  <c r="HR663" i="5"/>
  <c r="IY662" i="5"/>
  <c r="IV662" i="5"/>
  <c r="IS662" i="5"/>
  <c r="IP662" i="5"/>
  <c r="IM662" i="5"/>
  <c r="IJ662" i="5"/>
  <c r="IG662" i="5"/>
  <c r="IF662" i="5"/>
  <c r="IE662" i="5"/>
  <c r="ID662" i="5"/>
  <c r="IC662" i="5"/>
  <c r="IB662" i="5"/>
  <c r="IA662" i="5"/>
  <c r="HZ662" i="5"/>
  <c r="HY662" i="5"/>
  <c r="HX662" i="5"/>
  <c r="HW662" i="5"/>
  <c r="HV662" i="5"/>
  <c r="HU662" i="5"/>
  <c r="HT662" i="5"/>
  <c r="HS662" i="5"/>
  <c r="HR662" i="5"/>
  <c r="D660" i="5"/>
  <c r="D659" i="5"/>
  <c r="D658" i="5"/>
  <c r="D657" i="5"/>
  <c r="D656" i="5"/>
  <c r="D655" i="5"/>
  <c r="IP654" i="5"/>
  <c r="D653" i="5"/>
  <c r="D652" i="5"/>
  <c r="IP651" i="5"/>
  <c r="IP650" i="5"/>
  <c r="IP649" i="5"/>
  <c r="IP648" i="5"/>
  <c r="KP645" i="5"/>
  <c r="KO645" i="5"/>
  <c r="KN645" i="5"/>
  <c r="KM645" i="5"/>
  <c r="IP645" i="5"/>
  <c r="CD645" i="5"/>
  <c r="CC645" i="5"/>
  <c r="CB645" i="5"/>
  <c r="CA645" i="5"/>
  <c r="BZ645" i="5"/>
  <c r="BY645" i="5"/>
  <c r="BX645" i="5"/>
  <c r="BW645" i="5"/>
  <c r="BV645" i="5"/>
  <c r="BU645" i="5"/>
  <c r="BT645" i="5"/>
  <c r="BS645" i="5"/>
  <c r="BR645" i="5"/>
  <c r="BQ645" i="5"/>
  <c r="BP645" i="5"/>
  <c r="BO645" i="5"/>
  <c r="BN645" i="5"/>
  <c r="BM645" i="5"/>
  <c r="BL645" i="5"/>
  <c r="BK645" i="5"/>
  <c r="BJ645" i="5"/>
  <c r="BI645" i="5"/>
  <c r="BH645" i="5"/>
  <c r="BG645" i="5"/>
  <c r="BF645" i="5"/>
  <c r="BE645" i="5"/>
  <c r="BD645" i="5"/>
  <c r="BC645" i="5"/>
  <c r="BB645" i="5"/>
  <c r="BA645" i="5"/>
  <c r="AZ645" i="5"/>
  <c r="AY645" i="5"/>
  <c r="AX645" i="5"/>
  <c r="AW645" i="5"/>
  <c r="AV645" i="5"/>
  <c r="AU645" i="5"/>
  <c r="AT645" i="5"/>
  <c r="AS645" i="5"/>
  <c r="AR645" i="5"/>
  <c r="AQ645" i="5"/>
  <c r="AP645" i="5"/>
  <c r="AO645" i="5"/>
  <c r="AN645" i="5"/>
  <c r="AM645" i="5"/>
  <c r="AL645" i="5"/>
  <c r="AK645" i="5"/>
  <c r="AJ645" i="5"/>
  <c r="AI645" i="5"/>
  <c r="AH645" i="5"/>
  <c r="AG645" i="5"/>
  <c r="AF645" i="5"/>
  <c r="AE645" i="5"/>
  <c r="AD645" i="5"/>
  <c r="AC645" i="5"/>
  <c r="AB645" i="5"/>
  <c r="AA645" i="5"/>
  <c r="Z645" i="5"/>
  <c r="Y645" i="5"/>
  <c r="X645" i="5"/>
  <c r="W645" i="5"/>
  <c r="V645" i="5"/>
  <c r="U645" i="5"/>
  <c r="T645" i="5"/>
  <c r="S645" i="5"/>
  <c r="R645" i="5"/>
  <c r="Q645" i="5"/>
  <c r="P645" i="5"/>
  <c r="O645" i="5"/>
  <c r="N645" i="5"/>
  <c r="M645" i="5"/>
  <c r="L645" i="5"/>
  <c r="K645" i="5"/>
  <c r="J645" i="5"/>
  <c r="I645" i="5"/>
  <c r="H645" i="5"/>
  <c r="G645" i="5"/>
  <c r="F645" i="5"/>
  <c r="E645" i="5"/>
  <c r="IP644" i="5"/>
  <c r="CD644" i="5"/>
  <c r="CC644" i="5"/>
  <c r="CB644" i="5"/>
  <c r="CA644" i="5"/>
  <c r="BZ644" i="5"/>
  <c r="BY644" i="5"/>
  <c r="BX644" i="5"/>
  <c r="BW644" i="5"/>
  <c r="BV644" i="5"/>
  <c r="BU644" i="5"/>
  <c r="BT644" i="5"/>
  <c r="BS644" i="5"/>
  <c r="BR644" i="5"/>
  <c r="BQ644" i="5"/>
  <c r="BP644" i="5"/>
  <c r="BO644" i="5"/>
  <c r="BN644" i="5"/>
  <c r="BM644" i="5"/>
  <c r="BL644" i="5"/>
  <c r="BK644" i="5"/>
  <c r="BJ644" i="5"/>
  <c r="BI644" i="5"/>
  <c r="BH644" i="5"/>
  <c r="BG644" i="5"/>
  <c r="BF644" i="5"/>
  <c r="BE644" i="5"/>
  <c r="BD644" i="5"/>
  <c r="BC644" i="5"/>
  <c r="BB644" i="5"/>
  <c r="BA644" i="5"/>
  <c r="AZ644" i="5"/>
  <c r="AY644" i="5"/>
  <c r="AX644" i="5"/>
  <c r="AW644" i="5"/>
  <c r="AV644" i="5"/>
  <c r="AU644" i="5"/>
  <c r="AT644" i="5"/>
  <c r="AS644" i="5"/>
  <c r="AR644" i="5"/>
  <c r="AQ644" i="5"/>
  <c r="AP644" i="5"/>
  <c r="AO644" i="5"/>
  <c r="AN644" i="5"/>
  <c r="AM644" i="5"/>
  <c r="AL644" i="5"/>
  <c r="AK644" i="5"/>
  <c r="AJ644" i="5"/>
  <c r="AI644" i="5"/>
  <c r="AH644" i="5"/>
  <c r="AG644" i="5"/>
  <c r="AF644" i="5"/>
  <c r="AE644" i="5"/>
  <c r="AD644" i="5"/>
  <c r="AC644" i="5"/>
  <c r="AB644" i="5"/>
  <c r="AA644" i="5"/>
  <c r="Z644" i="5"/>
  <c r="Y644" i="5"/>
  <c r="X644" i="5"/>
  <c r="W644" i="5"/>
  <c r="V644" i="5"/>
  <c r="U644" i="5"/>
  <c r="T644" i="5"/>
  <c r="S644" i="5"/>
  <c r="R644" i="5"/>
  <c r="Q644" i="5"/>
  <c r="P644" i="5"/>
  <c r="O644" i="5"/>
  <c r="N644" i="5"/>
  <c r="M644" i="5"/>
  <c r="L644" i="5"/>
  <c r="K644" i="5"/>
  <c r="J644" i="5"/>
  <c r="I644" i="5"/>
  <c r="H644" i="5"/>
  <c r="G644" i="5"/>
  <c r="F644" i="5"/>
  <c r="E644" i="5"/>
  <c r="IP643" i="5"/>
  <c r="IP642" i="5"/>
  <c r="IP640" i="5"/>
  <c r="CD640" i="5"/>
  <c r="CC640" i="5"/>
  <c r="CB640" i="5"/>
  <c r="CA640" i="5"/>
  <c r="BZ640" i="5"/>
  <c r="BY640" i="5"/>
  <c r="BX640" i="5"/>
  <c r="BW640" i="5"/>
  <c r="BV640" i="5"/>
  <c r="BU640" i="5"/>
  <c r="BT640" i="5"/>
  <c r="BS640" i="5"/>
  <c r="BR640" i="5"/>
  <c r="BQ640" i="5"/>
  <c r="BP640" i="5"/>
  <c r="BO640" i="5"/>
  <c r="BN640" i="5"/>
  <c r="BM640" i="5"/>
  <c r="BL640" i="5"/>
  <c r="BK640" i="5"/>
  <c r="BJ640" i="5"/>
  <c r="BI640" i="5"/>
  <c r="BH640" i="5"/>
  <c r="BG640" i="5"/>
  <c r="BF640" i="5"/>
  <c r="BE640" i="5"/>
  <c r="BD640" i="5"/>
  <c r="BC640" i="5"/>
  <c r="BB640" i="5"/>
  <c r="BA640" i="5"/>
  <c r="AZ640" i="5"/>
  <c r="AY640" i="5"/>
  <c r="AX640" i="5"/>
  <c r="AW640" i="5"/>
  <c r="AV640" i="5"/>
  <c r="AU640" i="5"/>
  <c r="AT640" i="5"/>
  <c r="AS640" i="5"/>
  <c r="AR640" i="5"/>
  <c r="AQ640" i="5"/>
  <c r="AP640" i="5"/>
  <c r="AO640" i="5"/>
  <c r="AN640" i="5"/>
  <c r="AM640" i="5"/>
  <c r="AL640" i="5"/>
  <c r="AK640" i="5"/>
  <c r="AJ640" i="5"/>
  <c r="AI640" i="5"/>
  <c r="AH640" i="5"/>
  <c r="AG640" i="5"/>
  <c r="AF640" i="5"/>
  <c r="AE640" i="5"/>
  <c r="AD640" i="5"/>
  <c r="AC640" i="5"/>
  <c r="AB640" i="5"/>
  <c r="AA640" i="5"/>
  <c r="Z640" i="5"/>
  <c r="Y640" i="5"/>
  <c r="X640" i="5"/>
  <c r="W640" i="5"/>
  <c r="V640" i="5"/>
  <c r="U640" i="5"/>
  <c r="T640" i="5"/>
  <c r="S640" i="5"/>
  <c r="R640" i="5"/>
  <c r="Q640" i="5"/>
  <c r="P640" i="5"/>
  <c r="O640" i="5"/>
  <c r="N640" i="5"/>
  <c r="M640" i="5"/>
  <c r="L640" i="5"/>
  <c r="K640" i="5"/>
  <c r="J640" i="5"/>
  <c r="I640" i="5"/>
  <c r="H640" i="5"/>
  <c r="G640" i="5"/>
  <c r="F640" i="5"/>
  <c r="E640" i="5"/>
  <c r="IP638" i="5"/>
  <c r="IP636" i="5"/>
  <c r="IP635" i="5"/>
  <c r="IP633" i="5"/>
  <c r="CD633" i="5"/>
  <c r="CC633" i="5"/>
  <c r="CB633" i="5"/>
  <c r="CA633" i="5"/>
  <c r="BZ633" i="5"/>
  <c r="BY633" i="5"/>
  <c r="BX633" i="5"/>
  <c r="BW633" i="5"/>
  <c r="BV633" i="5"/>
  <c r="BU633" i="5"/>
  <c r="BT633" i="5"/>
  <c r="BS633" i="5"/>
  <c r="BR633" i="5"/>
  <c r="BQ633" i="5"/>
  <c r="BP633" i="5"/>
  <c r="BO633" i="5"/>
  <c r="BN633" i="5"/>
  <c r="BM633" i="5"/>
  <c r="BL633" i="5"/>
  <c r="BK633" i="5"/>
  <c r="BJ633" i="5"/>
  <c r="BI633" i="5"/>
  <c r="BH633" i="5"/>
  <c r="BG633" i="5"/>
  <c r="BF633" i="5"/>
  <c r="BE633" i="5"/>
  <c r="BD633" i="5"/>
  <c r="BC633" i="5"/>
  <c r="BB633" i="5"/>
  <c r="BA633" i="5"/>
  <c r="AZ633" i="5"/>
  <c r="AY633" i="5"/>
  <c r="AX633" i="5"/>
  <c r="AW633" i="5"/>
  <c r="AV633" i="5"/>
  <c r="AU633" i="5"/>
  <c r="AT633" i="5"/>
  <c r="AS633" i="5"/>
  <c r="AR633" i="5"/>
  <c r="AQ633" i="5"/>
  <c r="AP633" i="5"/>
  <c r="AO633" i="5"/>
  <c r="AN633" i="5"/>
  <c r="AM633" i="5"/>
  <c r="AL633" i="5"/>
  <c r="AK633" i="5"/>
  <c r="AJ633" i="5"/>
  <c r="AI633" i="5"/>
  <c r="AH633" i="5"/>
  <c r="AG633" i="5"/>
  <c r="AF633" i="5"/>
  <c r="AE633" i="5"/>
  <c r="AD633" i="5"/>
  <c r="AC633" i="5"/>
  <c r="AB633" i="5"/>
  <c r="AA633" i="5"/>
  <c r="Z633" i="5"/>
  <c r="Y633" i="5"/>
  <c r="X633" i="5"/>
  <c r="W633" i="5"/>
  <c r="V633" i="5"/>
  <c r="U633" i="5"/>
  <c r="T633" i="5"/>
  <c r="S633" i="5"/>
  <c r="R633" i="5"/>
  <c r="Q633" i="5"/>
  <c r="P633" i="5"/>
  <c r="O633" i="5"/>
  <c r="N633" i="5"/>
  <c r="M633" i="5"/>
  <c r="L633" i="5"/>
  <c r="K633" i="5"/>
  <c r="J633" i="5"/>
  <c r="I633" i="5"/>
  <c r="H633" i="5"/>
  <c r="G633" i="5"/>
  <c r="F633" i="5"/>
  <c r="E633" i="5"/>
  <c r="IP632" i="5"/>
  <c r="CD632" i="5"/>
  <c r="CC632" i="5"/>
  <c r="CB632" i="5"/>
  <c r="CA632" i="5"/>
  <c r="BZ632" i="5"/>
  <c r="BY632" i="5"/>
  <c r="BX632" i="5"/>
  <c r="BW632" i="5"/>
  <c r="BV632" i="5"/>
  <c r="BU632" i="5"/>
  <c r="BT632" i="5"/>
  <c r="BS632" i="5"/>
  <c r="BR632" i="5"/>
  <c r="BQ632" i="5"/>
  <c r="BP632" i="5"/>
  <c r="BO632" i="5"/>
  <c r="BN632" i="5"/>
  <c r="BM632" i="5"/>
  <c r="BL632" i="5"/>
  <c r="BK632" i="5"/>
  <c r="BJ632" i="5"/>
  <c r="BI632" i="5"/>
  <c r="BH632" i="5"/>
  <c r="BG632" i="5"/>
  <c r="BF632" i="5"/>
  <c r="BE632" i="5"/>
  <c r="BD632" i="5"/>
  <c r="BC632" i="5"/>
  <c r="BB632" i="5"/>
  <c r="BA632" i="5"/>
  <c r="AZ632" i="5"/>
  <c r="AY632" i="5"/>
  <c r="AX632" i="5"/>
  <c r="AW632" i="5"/>
  <c r="AV632" i="5"/>
  <c r="AU632" i="5"/>
  <c r="AT632" i="5"/>
  <c r="AS632" i="5"/>
  <c r="AR632" i="5"/>
  <c r="AQ632" i="5"/>
  <c r="AP632" i="5"/>
  <c r="AO632" i="5"/>
  <c r="AN632" i="5"/>
  <c r="AM632" i="5"/>
  <c r="AL632" i="5"/>
  <c r="AK632" i="5"/>
  <c r="AJ632" i="5"/>
  <c r="AI632" i="5"/>
  <c r="AH632" i="5"/>
  <c r="AG632" i="5"/>
  <c r="AF632" i="5"/>
  <c r="AE632" i="5"/>
  <c r="AD632" i="5"/>
  <c r="AC632" i="5"/>
  <c r="AB632" i="5"/>
  <c r="AA632" i="5"/>
  <c r="Z632" i="5"/>
  <c r="Y632" i="5"/>
  <c r="X632" i="5"/>
  <c r="W632" i="5"/>
  <c r="V632" i="5"/>
  <c r="U632" i="5"/>
  <c r="T632" i="5"/>
  <c r="S632" i="5"/>
  <c r="R632" i="5"/>
  <c r="Q632" i="5"/>
  <c r="P632" i="5"/>
  <c r="O632" i="5"/>
  <c r="N632" i="5"/>
  <c r="M632" i="5"/>
  <c r="L632" i="5"/>
  <c r="K632" i="5"/>
  <c r="J632" i="5"/>
  <c r="I632" i="5"/>
  <c r="H632" i="5"/>
  <c r="G632" i="5"/>
  <c r="F632" i="5"/>
  <c r="E632" i="5"/>
  <c r="IP631" i="5"/>
  <c r="D630" i="5"/>
  <c r="IP629" i="5"/>
  <c r="BU629" i="5"/>
  <c r="BT629" i="5"/>
  <c r="BS629" i="5"/>
  <c r="BR629" i="5"/>
  <c r="BQ629" i="5"/>
  <c r="BP629" i="5"/>
  <c r="BO629" i="5"/>
  <c r="BN629" i="5"/>
  <c r="BM629" i="5"/>
  <c r="BL629" i="5"/>
  <c r="BK629" i="5"/>
  <c r="BJ629" i="5"/>
  <c r="BI629" i="5"/>
  <c r="BH629" i="5"/>
  <c r="BG629" i="5"/>
  <c r="BF629" i="5"/>
  <c r="BE629" i="5"/>
  <c r="BD629" i="5"/>
  <c r="BC629" i="5"/>
  <c r="BB629" i="5"/>
  <c r="BA629" i="5"/>
  <c r="AZ629" i="5"/>
  <c r="AY629" i="5"/>
  <c r="AX629" i="5"/>
  <c r="AW629" i="5"/>
  <c r="AV629" i="5"/>
  <c r="AU629" i="5"/>
  <c r="AT629" i="5"/>
  <c r="AS629" i="5"/>
  <c r="AR629" i="5"/>
  <c r="AQ629" i="5"/>
  <c r="AP629" i="5"/>
  <c r="AO629" i="5"/>
  <c r="AN629" i="5"/>
  <c r="AM629" i="5"/>
  <c r="AM1161" i="5" s="1"/>
  <c r="AL629" i="5"/>
  <c r="AL1161" i="5" s="1"/>
  <c r="AK629" i="5"/>
  <c r="AK1161" i="5" s="1"/>
  <c r="AJ629" i="5"/>
  <c r="AJ1161" i="5" s="1"/>
  <c r="AI629" i="5"/>
  <c r="AI1161" i="5" s="1"/>
  <c r="AH629" i="5"/>
  <c r="AH1161" i="5" s="1"/>
  <c r="AH1163" i="5" s="1"/>
  <c r="AG629" i="5"/>
  <c r="AF629" i="5"/>
  <c r="AE629" i="5"/>
  <c r="AD629" i="5"/>
  <c r="AC629" i="5"/>
  <c r="AB629" i="5"/>
  <c r="AA629" i="5"/>
  <c r="Z629" i="5"/>
  <c r="Y629" i="5"/>
  <c r="X629" i="5"/>
  <c r="W629" i="5"/>
  <c r="V629" i="5"/>
  <c r="U629" i="5"/>
  <c r="T629" i="5"/>
  <c r="S629" i="5"/>
  <c r="R629" i="5"/>
  <c r="Q629" i="5"/>
  <c r="P629" i="5"/>
  <c r="O629" i="5"/>
  <c r="N629" i="5"/>
  <c r="M629" i="5"/>
  <c r="L629" i="5"/>
  <c r="K629" i="5"/>
  <c r="J629" i="5"/>
  <c r="I629" i="5"/>
  <c r="H629" i="5"/>
  <c r="G629" i="5"/>
  <c r="F629" i="5"/>
  <c r="E629" i="5"/>
  <c r="IP628" i="5"/>
  <c r="IP627" i="5"/>
  <c r="IP626" i="5"/>
  <c r="DZ625" i="5"/>
  <c r="DY625" i="5"/>
  <c r="DX625" i="5"/>
  <c r="DW625" i="5"/>
  <c r="DV625" i="5"/>
  <c r="DU625" i="5"/>
  <c r="DT625" i="5"/>
  <c r="DS625" i="5"/>
  <c r="DR625" i="5"/>
  <c r="DQ625" i="5"/>
  <c r="DP625" i="5"/>
  <c r="DO625" i="5"/>
  <c r="DN625" i="5"/>
  <c r="DM625" i="5"/>
  <c r="DL625" i="5"/>
  <c r="DK625" i="5"/>
  <c r="DJ625" i="5"/>
  <c r="DI625" i="5"/>
  <c r="DH625" i="5"/>
  <c r="DG625" i="5"/>
  <c r="DF625" i="5"/>
  <c r="DE625" i="5"/>
  <c r="DD625" i="5"/>
  <c r="DC625" i="5"/>
  <c r="DB625" i="5"/>
  <c r="DA625" i="5"/>
  <c r="CZ625" i="5"/>
  <c r="CY625" i="5"/>
  <c r="CX625" i="5"/>
  <c r="CW625" i="5"/>
  <c r="CV625" i="5"/>
  <c r="CU625" i="5"/>
  <c r="CT625" i="5"/>
  <c r="CS625" i="5"/>
  <c r="CR625" i="5"/>
  <c r="CQ625" i="5"/>
  <c r="CP625" i="5"/>
  <c r="CJ625" i="5"/>
  <c r="CI625" i="5"/>
  <c r="CH625" i="5"/>
  <c r="CG625" i="5"/>
  <c r="CF625" i="5"/>
  <c r="CE625" i="5"/>
  <c r="CD625" i="5"/>
  <c r="D625" i="5"/>
  <c r="IM624" i="5"/>
  <c r="IJ624" i="5"/>
  <c r="IG624" i="5"/>
  <c r="IF624" i="5"/>
  <c r="IE624" i="5"/>
  <c r="ID624" i="5"/>
  <c r="IC624" i="5"/>
  <c r="IB624" i="5"/>
  <c r="IA624" i="5"/>
  <c r="HZ624" i="5"/>
  <c r="HY624" i="5"/>
  <c r="HW624" i="5"/>
  <c r="HV624" i="5"/>
  <c r="HU624" i="5"/>
  <c r="HT624" i="5"/>
  <c r="HS624" i="5"/>
  <c r="HR624" i="5"/>
  <c r="D624" i="5"/>
  <c r="H46" i="1" s="1"/>
  <c r="IP623" i="5"/>
  <c r="IO623" i="5"/>
  <c r="IM623" i="5"/>
  <c r="IJ623" i="5"/>
  <c r="IG623" i="5"/>
  <c r="IF623" i="5"/>
  <c r="ID623" i="5"/>
  <c r="IC623" i="5"/>
  <c r="IA623" i="5"/>
  <c r="HZ623" i="5"/>
  <c r="HY623" i="5"/>
  <c r="HX623" i="5"/>
  <c r="HW623" i="5"/>
  <c r="HU623" i="5"/>
  <c r="HT623" i="5"/>
  <c r="HR623" i="5"/>
  <c r="IR622" i="5"/>
  <c r="IQ622" i="5"/>
  <c r="IP622" i="5"/>
  <c r="IO622" i="5"/>
  <c r="IM622" i="5"/>
  <c r="IJ622" i="5"/>
  <c r="IG622" i="5"/>
  <c r="IF622" i="5"/>
  <c r="IE622" i="5"/>
  <c r="ID622" i="5"/>
  <c r="IC622" i="5"/>
  <c r="IB622" i="5"/>
  <c r="IA622" i="5"/>
  <c r="HZ622" i="5"/>
  <c r="HY622" i="5"/>
  <c r="HX622" i="5"/>
  <c r="HW622" i="5"/>
  <c r="HV622" i="5"/>
  <c r="HU622" i="5"/>
  <c r="HT622" i="5"/>
  <c r="HR622" i="5"/>
  <c r="IL620" i="5"/>
  <c r="ID620" i="5"/>
  <c r="IM619" i="5"/>
  <c r="IL619" i="5" s="1"/>
  <c r="IJ619" i="5"/>
  <c r="ID619" i="5"/>
  <c r="HX619" i="5"/>
  <c r="HR619" i="5"/>
  <c r="D619" i="5"/>
  <c r="IM618" i="5"/>
  <c r="IL618" i="5" s="1"/>
  <c r="IJ618" i="5"/>
  <c r="ID618" i="5"/>
  <c r="HX618" i="5"/>
  <c r="HR618" i="5"/>
  <c r="D618" i="5"/>
  <c r="IL617" i="5"/>
  <c r="ID617" i="5"/>
  <c r="D617" i="5"/>
  <c r="IM616" i="5"/>
  <c r="IL616" i="5" s="1"/>
  <c r="IJ616" i="5"/>
  <c r="ID616" i="5"/>
  <c r="D616" i="5"/>
  <c r="IM615" i="5"/>
  <c r="T142" i="7" s="1"/>
  <c r="IJ615" i="5"/>
  <c r="S142" i="7" s="1"/>
  <c r="ID615" i="5"/>
  <c r="M142" i="7" s="1"/>
  <c r="D615" i="5"/>
  <c r="IM614" i="5"/>
  <c r="T141" i="7" s="1"/>
  <c r="IJ614" i="5"/>
  <c r="IJ1113" i="5" s="1"/>
  <c r="ID614" i="5"/>
  <c r="ID1113" i="5" s="1"/>
  <c r="EX614" i="5"/>
  <c r="EW614" i="5"/>
  <c r="EV614" i="5"/>
  <c r="EU614" i="5"/>
  <c r="ET614" i="5"/>
  <c r="ES614" i="5"/>
  <c r="ER614" i="5"/>
  <c r="EQ614" i="5"/>
  <c r="EP614" i="5"/>
  <c r="EO614" i="5"/>
  <c r="EN614" i="5"/>
  <c r="EM614" i="5"/>
  <c r="EL614" i="5"/>
  <c r="EK614" i="5"/>
  <c r="EJ614" i="5"/>
  <c r="EI614" i="5"/>
  <c r="EH614" i="5"/>
  <c r="EG614" i="5"/>
  <c r="EF614" i="5"/>
  <c r="EE614" i="5"/>
  <c r="ED614" i="5"/>
  <c r="EC614" i="5"/>
  <c r="EB614" i="5"/>
  <c r="EA614" i="5"/>
  <c r="DZ614" i="5"/>
  <c r="DY614" i="5"/>
  <c r="DX614" i="5"/>
  <c r="DW614" i="5"/>
  <c r="DV614" i="5"/>
  <c r="DU614" i="5"/>
  <c r="DT614" i="5"/>
  <c r="DS614" i="5"/>
  <c r="DR614" i="5"/>
  <c r="DQ614" i="5"/>
  <c r="DP614" i="5"/>
  <c r="DO614" i="5"/>
  <c r="DN614" i="5"/>
  <c r="DM614" i="5"/>
  <c r="DL614" i="5"/>
  <c r="DK614" i="5"/>
  <c r="DJ614" i="5"/>
  <c r="DI614" i="5"/>
  <c r="DH614" i="5"/>
  <c r="DG614" i="5"/>
  <c r="DF614" i="5"/>
  <c r="DE614" i="5"/>
  <c r="DD614" i="5"/>
  <c r="DC614" i="5"/>
  <c r="DB614" i="5"/>
  <c r="DA614" i="5"/>
  <c r="CZ614" i="5"/>
  <c r="CY614" i="5"/>
  <c r="CX614" i="5"/>
  <c r="CW614" i="5"/>
  <c r="CV614" i="5"/>
  <c r="CU614" i="5"/>
  <c r="CT614" i="5"/>
  <c r="CS614" i="5"/>
  <c r="CR614" i="5"/>
  <c r="CQ614" i="5"/>
  <c r="CP614" i="5"/>
  <c r="CO614" i="5"/>
  <c r="CN614" i="5"/>
  <c r="CM614" i="5"/>
  <c r="CL614" i="5"/>
  <c r="CK614" i="5"/>
  <c r="CJ614" i="5"/>
  <c r="CI614" i="5"/>
  <c r="CH614" i="5"/>
  <c r="CG614" i="5"/>
  <c r="CF614" i="5"/>
  <c r="CE614" i="5"/>
  <c r="D614" i="5"/>
  <c r="IM613" i="5"/>
  <c r="IJ613" i="5"/>
  <c r="S140" i="7" s="1"/>
  <c r="ID613" i="5"/>
  <c r="M140" i="7" s="1"/>
  <c r="EX613" i="5"/>
  <c r="EW613" i="5"/>
  <c r="EV613" i="5"/>
  <c r="EU613" i="5"/>
  <c r="ET613" i="5"/>
  <c r="ES613" i="5"/>
  <c r="ER613" i="5"/>
  <c r="EQ613" i="5"/>
  <c r="EP613" i="5"/>
  <c r="EO613" i="5"/>
  <c r="EN613" i="5"/>
  <c r="EM613" i="5"/>
  <c r="EL613" i="5"/>
  <c r="EK613" i="5"/>
  <c r="EJ613" i="5"/>
  <c r="EI613" i="5"/>
  <c r="EH613" i="5"/>
  <c r="EG613" i="5"/>
  <c r="EF613" i="5"/>
  <c r="EE613" i="5"/>
  <c r="ED613" i="5"/>
  <c r="EC613" i="5"/>
  <c r="EB613" i="5"/>
  <c r="EA613" i="5"/>
  <c r="DZ613" i="5"/>
  <c r="DY613" i="5"/>
  <c r="DX613" i="5"/>
  <c r="DW613" i="5"/>
  <c r="DV613" i="5"/>
  <c r="DU613" i="5"/>
  <c r="DT613" i="5"/>
  <c r="DS613" i="5"/>
  <c r="DR613" i="5"/>
  <c r="DQ613" i="5"/>
  <c r="DP613" i="5"/>
  <c r="DO613" i="5"/>
  <c r="DN613" i="5"/>
  <c r="DM613" i="5"/>
  <c r="DL613" i="5"/>
  <c r="DK613" i="5"/>
  <c r="DJ613" i="5"/>
  <c r="DI613" i="5"/>
  <c r="DH613" i="5"/>
  <c r="DG613" i="5"/>
  <c r="DF613" i="5"/>
  <c r="DE613" i="5"/>
  <c r="DD613" i="5"/>
  <c r="DC613" i="5"/>
  <c r="DB613" i="5"/>
  <c r="DA613" i="5"/>
  <c r="CZ613" i="5"/>
  <c r="CY613" i="5"/>
  <c r="CX613" i="5"/>
  <c r="CW613" i="5"/>
  <c r="CV613" i="5"/>
  <c r="CU613" i="5"/>
  <c r="CT613" i="5"/>
  <c r="CS613" i="5"/>
  <c r="CR613" i="5"/>
  <c r="CQ613" i="5"/>
  <c r="CP613" i="5"/>
  <c r="CO613" i="5"/>
  <c r="CN613" i="5"/>
  <c r="CM613" i="5"/>
  <c r="CL613" i="5"/>
  <c r="CK613" i="5"/>
  <c r="CJ613" i="5"/>
  <c r="CI613" i="5"/>
  <c r="CH613" i="5"/>
  <c r="CG613" i="5"/>
  <c r="CF613" i="5"/>
  <c r="CE613" i="5"/>
  <c r="D613" i="5"/>
  <c r="IM612" i="5"/>
  <c r="IK612" i="5" s="1"/>
  <c r="IJ612" i="5"/>
  <c r="S139" i="7" s="1"/>
  <c r="ID612" i="5"/>
  <c r="M139" i="7" s="1"/>
  <c r="EX612" i="5"/>
  <c r="EW612" i="5"/>
  <c r="EV612" i="5"/>
  <c r="EU612" i="5"/>
  <c r="ET612" i="5"/>
  <c r="ES612" i="5"/>
  <c r="ER612" i="5"/>
  <c r="EQ612" i="5"/>
  <c r="EP612" i="5"/>
  <c r="EO612" i="5"/>
  <c r="EN612" i="5"/>
  <c r="EM612" i="5"/>
  <c r="EL612" i="5"/>
  <c r="EK612" i="5"/>
  <c r="EJ612" i="5"/>
  <c r="EI612" i="5"/>
  <c r="EH612" i="5"/>
  <c r="EG612" i="5"/>
  <c r="EF612" i="5"/>
  <c r="EE612" i="5"/>
  <c r="ED612" i="5"/>
  <c r="EC612" i="5"/>
  <c r="EB612" i="5"/>
  <c r="EA612" i="5"/>
  <c r="DZ612" i="5"/>
  <c r="DY612" i="5"/>
  <c r="DX612" i="5"/>
  <c r="DW612" i="5"/>
  <c r="DV612" i="5"/>
  <c r="DU612" i="5"/>
  <c r="DT612" i="5"/>
  <c r="DS612" i="5"/>
  <c r="DR612" i="5"/>
  <c r="DQ612" i="5"/>
  <c r="DP612" i="5"/>
  <c r="DO612" i="5"/>
  <c r="DN612" i="5"/>
  <c r="DM612" i="5"/>
  <c r="DL612" i="5"/>
  <c r="DK612" i="5"/>
  <c r="DJ612" i="5"/>
  <c r="DI612" i="5"/>
  <c r="DH612" i="5"/>
  <c r="DG612" i="5"/>
  <c r="DF612" i="5"/>
  <c r="DE612" i="5"/>
  <c r="DD612" i="5"/>
  <c r="DC612" i="5"/>
  <c r="DB612" i="5"/>
  <c r="DA612" i="5"/>
  <c r="CZ612" i="5"/>
  <c r="CY612" i="5"/>
  <c r="CX612" i="5"/>
  <c r="CW612" i="5"/>
  <c r="CV612" i="5"/>
  <c r="CU612" i="5"/>
  <c r="CT612" i="5"/>
  <c r="CS612" i="5"/>
  <c r="CR612" i="5"/>
  <c r="CQ612" i="5"/>
  <c r="CP612" i="5"/>
  <c r="CO612" i="5"/>
  <c r="CN612" i="5"/>
  <c r="CM612" i="5"/>
  <c r="CL612" i="5"/>
  <c r="CK612" i="5"/>
  <c r="CJ612" i="5"/>
  <c r="CI612" i="5"/>
  <c r="CH612" i="5"/>
  <c r="CG612" i="5"/>
  <c r="CF612" i="5"/>
  <c r="CE612" i="5"/>
  <c r="D612" i="5"/>
  <c r="KP611" i="5"/>
  <c r="KP610" i="5" s="1"/>
  <c r="KO611" i="5"/>
  <c r="KO610" i="5" s="1"/>
  <c r="KN611" i="5"/>
  <c r="KN610" i="5" s="1"/>
  <c r="KM611" i="5"/>
  <c r="KM610" i="5" s="1"/>
  <c r="IM611" i="5"/>
  <c r="T138" i="7" s="1"/>
  <c r="IJ611" i="5"/>
  <c r="S138" i="7" s="1"/>
  <c r="ID611" i="5"/>
  <c r="M138" i="7" s="1"/>
  <c r="D611" i="5"/>
  <c r="IM610" i="5"/>
  <c r="T137" i="7" s="1"/>
  <c r="IJ610" i="5"/>
  <c r="ID610" i="5"/>
  <c r="M137" i="7" s="1"/>
  <c r="CD610" i="5"/>
  <c r="CD1156" i="5" s="1"/>
  <c r="CC610" i="5"/>
  <c r="CC1156" i="5" s="1"/>
  <c r="CB610" i="5"/>
  <c r="CB1156" i="5" s="1"/>
  <c r="CA610" i="5"/>
  <c r="CA1156" i="5" s="1"/>
  <c r="BZ610" i="5"/>
  <c r="BZ1156" i="5" s="1"/>
  <c r="BY610" i="5"/>
  <c r="BY1156" i="5" s="1"/>
  <c r="BX610" i="5"/>
  <c r="BX1156" i="5" s="1"/>
  <c r="BW610" i="5"/>
  <c r="BW1156" i="5" s="1"/>
  <c r="BV610" i="5"/>
  <c r="BV1156" i="5" s="1"/>
  <c r="BU610" i="5"/>
  <c r="BU1156" i="5" s="1"/>
  <c r="BT610" i="5"/>
  <c r="BT1156" i="5" s="1"/>
  <c r="BS610" i="5"/>
  <c r="BS1156" i="5" s="1"/>
  <c r="D610" i="5"/>
  <c r="IM609" i="5"/>
  <c r="T136" i="7" s="1"/>
  <c r="IJ609" i="5"/>
  <c r="S136" i="7" s="1"/>
  <c r="ID609" i="5"/>
  <c r="HW609" i="5"/>
  <c r="F136" i="7" s="1"/>
  <c r="HV609" i="5"/>
  <c r="HU609" i="5"/>
  <c r="HT609" i="5"/>
  <c r="C136" i="7" s="1"/>
  <c r="HS609" i="5"/>
  <c r="HR609" i="5"/>
  <c r="EX609" i="5"/>
  <c r="EW609" i="5"/>
  <c r="EV609" i="5"/>
  <c r="EU609" i="5"/>
  <c r="ET609" i="5"/>
  <c r="ES609" i="5"/>
  <c r="ER609" i="5"/>
  <c r="EQ609" i="5"/>
  <c r="EP609" i="5"/>
  <c r="EO609" i="5"/>
  <c r="EN609" i="5"/>
  <c r="EM609" i="5"/>
  <c r="EL609" i="5"/>
  <c r="EK609" i="5"/>
  <c r="EJ609" i="5"/>
  <c r="EI609" i="5"/>
  <c r="EH609" i="5"/>
  <c r="EG609" i="5"/>
  <c r="EF609" i="5"/>
  <c r="EE609" i="5"/>
  <c r="ED609" i="5"/>
  <c r="EC609" i="5"/>
  <c r="EB609" i="5"/>
  <c r="EA609" i="5"/>
  <c r="DZ609" i="5"/>
  <c r="DY609" i="5"/>
  <c r="DX609" i="5"/>
  <c r="DW609" i="5"/>
  <c r="DV609" i="5"/>
  <c r="DU609" i="5"/>
  <c r="DT609" i="5"/>
  <c r="DS609" i="5"/>
  <c r="DR609" i="5"/>
  <c r="DQ609" i="5"/>
  <c r="DP609" i="5"/>
  <c r="DO609" i="5"/>
  <c r="D609" i="5"/>
  <c r="IM608" i="5"/>
  <c r="IJ608" i="5"/>
  <c r="ID608" i="5"/>
  <c r="HW608" i="5"/>
  <c r="F135" i="7" s="1"/>
  <c r="HV608" i="5"/>
  <c r="HU608" i="5"/>
  <c r="HT608" i="5"/>
  <c r="C135" i="7" s="1"/>
  <c r="HS608" i="5"/>
  <c r="HR608" i="5"/>
  <c r="EX608" i="5"/>
  <c r="EW608" i="5"/>
  <c r="EV608" i="5"/>
  <c r="EU608" i="5"/>
  <c r="ET608" i="5"/>
  <c r="ES608" i="5"/>
  <c r="ER608" i="5"/>
  <c r="EQ608" i="5"/>
  <c r="EP608" i="5"/>
  <c r="EO608" i="5"/>
  <c r="EN608" i="5"/>
  <c r="EM608" i="5"/>
  <c r="EL608" i="5"/>
  <c r="EK608" i="5"/>
  <c r="EJ608" i="5"/>
  <c r="EI608" i="5"/>
  <c r="EH608" i="5"/>
  <c r="EG608" i="5"/>
  <c r="EF608" i="5"/>
  <c r="EE608" i="5"/>
  <c r="ED608" i="5"/>
  <c r="EC608" i="5"/>
  <c r="EB608" i="5"/>
  <c r="EA608" i="5"/>
  <c r="DZ608" i="5"/>
  <c r="DY608" i="5"/>
  <c r="DX608" i="5"/>
  <c r="DW608" i="5"/>
  <c r="DV608" i="5"/>
  <c r="DU608" i="5"/>
  <c r="DT608" i="5"/>
  <c r="DS608" i="5"/>
  <c r="DR608" i="5"/>
  <c r="DQ608" i="5"/>
  <c r="DP608" i="5"/>
  <c r="DO608" i="5"/>
  <c r="D608" i="5"/>
  <c r="IZ607" i="5"/>
  <c r="JA607" i="5" s="1"/>
  <c r="IW607" i="5"/>
  <c r="IX607" i="5" s="1"/>
  <c r="IT607" i="5"/>
  <c r="IU607" i="5" s="1"/>
  <c r="IQ607" i="5"/>
  <c r="IR607" i="5" s="1"/>
  <c r="IN607" i="5"/>
  <c r="IO607" i="5" s="1"/>
  <c r="IK607" i="5"/>
  <c r="IL607" i="5" s="1"/>
  <c r="IF607" i="5"/>
  <c r="O134" i="7" s="1"/>
  <c r="IE607" i="5"/>
  <c r="ID607" i="5"/>
  <c r="M134" i="7" s="1"/>
  <c r="HZ607" i="5"/>
  <c r="I134" i="7" s="1"/>
  <c r="IZ606" i="5"/>
  <c r="JA606" i="5" s="1"/>
  <c r="IW606" i="5"/>
  <c r="IX606" i="5" s="1"/>
  <c r="IT606" i="5"/>
  <c r="IU606" i="5" s="1"/>
  <c r="IQ606" i="5"/>
  <c r="IR606" i="5" s="1"/>
  <c r="IN606" i="5"/>
  <c r="IO606" i="5" s="1"/>
  <c r="IK606" i="5"/>
  <c r="IL606" i="5" s="1"/>
  <c r="IF606" i="5"/>
  <c r="O133" i="7" s="1"/>
  <c r="IE606" i="5"/>
  <c r="N133" i="7" s="1"/>
  <c r="ID606" i="5"/>
  <c r="M133" i="7" s="1"/>
  <c r="HZ606" i="5"/>
  <c r="JB605" i="5"/>
  <c r="IY605" i="5"/>
  <c r="IW605" i="5" s="1"/>
  <c r="IX605" i="5" s="1"/>
  <c r="IV605" i="5"/>
  <c r="IT605" i="5" s="1"/>
  <c r="IS605" i="5"/>
  <c r="IQ605" i="5" s="1"/>
  <c r="IR605" i="5" s="1"/>
  <c r="IP605" i="5"/>
  <c r="IN605" i="5" s="1"/>
  <c r="IM605" i="5"/>
  <c r="T132" i="7" s="1"/>
  <c r="IJ605" i="5"/>
  <c r="S132" i="7" s="1"/>
  <c r="IF605" i="5"/>
  <c r="O132" i="7" s="1"/>
  <c r="IE605" i="5"/>
  <c r="N132" i="7" s="1"/>
  <c r="ID605" i="5"/>
  <c r="M132" i="7" s="1"/>
  <c r="HZ605" i="5"/>
  <c r="IA605" i="5" s="1"/>
  <c r="HW605" i="5"/>
  <c r="F132" i="7" s="1"/>
  <c r="HV605" i="5"/>
  <c r="D132" i="7" s="1"/>
  <c r="HU605" i="5"/>
  <c r="HT605" i="5"/>
  <c r="C132" i="7" s="1"/>
  <c r="HS605" i="5"/>
  <c r="HR605" i="5"/>
  <c r="D605" i="5"/>
  <c r="IN604" i="5"/>
  <c r="IM604" i="5"/>
  <c r="IK604" i="5"/>
  <c r="IJ604" i="5"/>
  <c r="IH604" i="5"/>
  <c r="IP603" i="5"/>
  <c r="IO603" i="5" s="1"/>
  <c r="IM603" i="5"/>
  <c r="IL603" i="5" s="1"/>
  <c r="IJ603" i="5"/>
  <c r="IH603" i="5" s="1"/>
  <c r="II603" i="5" s="1"/>
  <c r="JB602" i="5"/>
  <c r="IZ602" i="5" s="1"/>
  <c r="IY602" i="5"/>
  <c r="IW602" i="5" s="1"/>
  <c r="IX602" i="5" s="1"/>
  <c r="IV602" i="5"/>
  <c r="IT602" i="5" s="1"/>
  <c r="IS602" i="5"/>
  <c r="IQ602" i="5" s="1"/>
  <c r="IR602" i="5" s="1"/>
  <c r="IP602" i="5"/>
  <c r="IN602" i="5" s="1"/>
  <c r="IO602" i="5" s="1"/>
  <c r="IM602" i="5"/>
  <c r="IK602" i="5" s="1"/>
  <c r="IL602" i="5" s="1"/>
  <c r="IJ602" i="5"/>
  <c r="S131" i="7" s="1"/>
  <c r="IF602" i="5"/>
  <c r="O131" i="7" s="1"/>
  <c r="IE602" i="5"/>
  <c r="N131" i="7" s="1"/>
  <c r="ID602" i="5"/>
  <c r="M131" i="7" s="1"/>
  <c r="HZ602" i="5"/>
  <c r="I131" i="7" s="1"/>
  <c r="HW602" i="5"/>
  <c r="F131" i="7" s="1"/>
  <c r="HV602" i="5"/>
  <c r="HU602" i="5"/>
  <c r="HT602" i="5"/>
  <c r="C131" i="7" s="1"/>
  <c r="HS602" i="5"/>
  <c r="HR602" i="5"/>
  <c r="D602" i="5"/>
  <c r="JB601" i="5"/>
  <c r="IZ601" i="5" s="1"/>
  <c r="JA601" i="5" s="1"/>
  <c r="IY601" i="5"/>
  <c r="IV601" i="5"/>
  <c r="IS601" i="5"/>
  <c r="IP601" i="5"/>
  <c r="IN601" i="5" s="1"/>
  <c r="IO601" i="5" s="1"/>
  <c r="IM601" i="5"/>
  <c r="IJ601" i="5"/>
  <c r="S130" i="7" s="1"/>
  <c r="ID601" i="5"/>
  <c r="HR601" i="5"/>
  <c r="EX601" i="5"/>
  <c r="EW601" i="5"/>
  <c r="EV601" i="5"/>
  <c r="EU601" i="5"/>
  <c r="ET601" i="5"/>
  <c r="ES601" i="5"/>
  <c r="ER601" i="5"/>
  <c r="EQ601" i="5"/>
  <c r="EP601" i="5"/>
  <c r="EO601" i="5"/>
  <c r="EN601" i="5"/>
  <c r="EM601" i="5"/>
  <c r="EL601" i="5"/>
  <c r="EK601" i="5"/>
  <c r="EJ601" i="5"/>
  <c r="EI601" i="5"/>
  <c r="EH601" i="5"/>
  <c r="EG601" i="5"/>
  <c r="EF601" i="5"/>
  <c r="EE601" i="5"/>
  <c r="ED601" i="5"/>
  <c r="EC601" i="5"/>
  <c r="EB601" i="5"/>
  <c r="EA601" i="5"/>
  <c r="DZ601" i="5"/>
  <c r="DY601" i="5"/>
  <c r="DX601" i="5"/>
  <c r="DW601" i="5"/>
  <c r="DV601" i="5"/>
  <c r="DU601" i="5"/>
  <c r="DT601" i="5"/>
  <c r="DS601" i="5"/>
  <c r="DR601" i="5"/>
  <c r="DQ601" i="5"/>
  <c r="DP601" i="5"/>
  <c r="DO601" i="5"/>
  <c r="DN601" i="5"/>
  <c r="DM601" i="5"/>
  <c r="DL601" i="5"/>
  <c r="DK601" i="5"/>
  <c r="DJ601" i="5"/>
  <c r="DI601" i="5"/>
  <c r="DH601" i="5"/>
  <c r="DG601" i="5"/>
  <c r="DF601" i="5"/>
  <c r="DE601" i="5"/>
  <c r="DD601" i="5"/>
  <c r="DC601" i="5"/>
  <c r="DB601" i="5"/>
  <c r="DA601" i="5"/>
  <c r="CZ601" i="5"/>
  <c r="CY601" i="5"/>
  <c r="CX601" i="5"/>
  <c r="CW601" i="5"/>
  <c r="CV601" i="5"/>
  <c r="CU601" i="5"/>
  <c r="CT601" i="5"/>
  <c r="CS601" i="5"/>
  <c r="CR601" i="5"/>
  <c r="CQ601" i="5"/>
  <c r="CP601" i="5"/>
  <c r="CO601" i="5"/>
  <c r="CN601" i="5"/>
  <c r="CM601" i="5"/>
  <c r="CL601" i="5"/>
  <c r="CK601" i="5"/>
  <c r="CJ601" i="5"/>
  <c r="CI601" i="5"/>
  <c r="CH601" i="5"/>
  <c r="CG601" i="5"/>
  <c r="CF601" i="5"/>
  <c r="CE601" i="5"/>
  <c r="D601" i="5"/>
  <c r="JB600" i="5"/>
  <c r="IZ600" i="5" s="1"/>
  <c r="JA600" i="5" s="1"/>
  <c r="IY600" i="5"/>
  <c r="IV600" i="5"/>
  <c r="IT600" i="5" s="1"/>
  <c r="IU600" i="5" s="1"/>
  <c r="IS600" i="5"/>
  <c r="IP600" i="5"/>
  <c r="IN600" i="5" s="1"/>
  <c r="IO600" i="5" s="1"/>
  <c r="IM600" i="5"/>
  <c r="T129" i="7" s="1"/>
  <c r="IJ600" i="5"/>
  <c r="ID600" i="5"/>
  <c r="D600" i="5"/>
  <c r="KK599" i="5"/>
  <c r="IM599" i="5"/>
  <c r="IJ599" i="5"/>
  <c r="S128" i="7" s="1"/>
  <c r="IF599" i="5"/>
  <c r="O128" i="7" s="1"/>
  <c r="IE599" i="5"/>
  <c r="N128" i="7" s="1"/>
  <c r="ID599" i="5"/>
  <c r="M128" i="7" s="1"/>
  <c r="D599" i="5"/>
  <c r="IZ598" i="5"/>
  <c r="IW598" i="5"/>
  <c r="IT598" i="5"/>
  <c r="IQ598" i="5"/>
  <c r="IN598" i="5"/>
  <c r="IM598" i="5"/>
  <c r="IK598" i="5"/>
  <c r="IJ598" i="5"/>
  <c r="S127" i="7" s="1"/>
  <c r="IH598" i="5"/>
  <c r="Q127" i="7" s="1"/>
  <c r="ID598" i="5"/>
  <c r="M127" i="7" s="1"/>
  <c r="IB598" i="5"/>
  <c r="J127" i="7" s="1"/>
  <c r="D598" i="5"/>
  <c r="IM597" i="5"/>
  <c r="T126" i="7" s="1"/>
  <c r="IJ597" i="5"/>
  <c r="S126" i="7" s="1"/>
  <c r="ID597" i="5"/>
  <c r="ID1107" i="5" s="1"/>
  <c r="EX597" i="5"/>
  <c r="EW597" i="5"/>
  <c r="EV597" i="5"/>
  <c r="EU597" i="5"/>
  <c r="ET597" i="5"/>
  <c r="ES597" i="5"/>
  <c r="ER597" i="5"/>
  <c r="EQ597" i="5"/>
  <c r="EP597" i="5"/>
  <c r="EO597" i="5"/>
  <c r="EN597" i="5"/>
  <c r="EM597" i="5"/>
  <c r="EL597" i="5"/>
  <c r="EK597" i="5"/>
  <c r="EJ597" i="5"/>
  <c r="EI597" i="5"/>
  <c r="EH597" i="5"/>
  <c r="EG597" i="5"/>
  <c r="EF597" i="5"/>
  <c r="EE597" i="5"/>
  <c r="ED597" i="5"/>
  <c r="EC597" i="5"/>
  <c r="EB597" i="5"/>
  <c r="EA597" i="5"/>
  <c r="DZ597" i="5"/>
  <c r="DY597" i="5"/>
  <c r="DX597" i="5"/>
  <c r="DW597" i="5"/>
  <c r="DV597" i="5"/>
  <c r="DU597" i="5"/>
  <c r="DT597" i="5"/>
  <c r="DS597" i="5"/>
  <c r="DR597" i="5"/>
  <c r="DR655" i="5" s="1"/>
  <c r="DQ597" i="5"/>
  <c r="DQ655" i="5" s="1"/>
  <c r="DP597" i="5"/>
  <c r="DP655" i="5" s="1"/>
  <c r="DO597" i="5"/>
  <c r="DO655" i="5" s="1"/>
  <c r="DN597" i="5"/>
  <c r="DM597" i="5"/>
  <c r="DL597" i="5"/>
  <c r="DL655" i="5" s="1"/>
  <c r="DK597" i="5"/>
  <c r="DJ597" i="5"/>
  <c r="DJ655" i="5" s="1"/>
  <c r="DI597" i="5"/>
  <c r="DI655" i="5" s="1"/>
  <c r="DH597" i="5"/>
  <c r="DH655" i="5" s="1"/>
  <c r="DG597" i="5"/>
  <c r="DG655" i="5" s="1"/>
  <c r="DF597" i="5"/>
  <c r="DF655" i="5" s="1"/>
  <c r="DE597" i="5"/>
  <c r="DE655" i="5" s="1"/>
  <c r="DD597" i="5"/>
  <c r="DD655" i="5" s="1"/>
  <c r="DC597" i="5"/>
  <c r="DB597" i="5"/>
  <c r="DA597" i="5"/>
  <c r="CZ597" i="5"/>
  <c r="CY597" i="5"/>
  <c r="CX597" i="5"/>
  <c r="CW597" i="5"/>
  <c r="CV597" i="5"/>
  <c r="CU597" i="5"/>
  <c r="CT597" i="5"/>
  <c r="CS597" i="5"/>
  <c r="CR597" i="5"/>
  <c r="CQ597" i="5"/>
  <c r="CP597" i="5"/>
  <c r="CO597" i="5"/>
  <c r="CN597" i="5"/>
  <c r="CM597" i="5"/>
  <c r="CL597" i="5"/>
  <c r="CK597" i="5"/>
  <c r="CJ597" i="5"/>
  <c r="CI597" i="5"/>
  <c r="CH597" i="5"/>
  <c r="CG597" i="5"/>
  <c r="CF597" i="5"/>
  <c r="CE597" i="5"/>
  <c r="IM596" i="5"/>
  <c r="IM654" i="5" s="1"/>
  <c r="IJ596" i="5"/>
  <c r="IJ654" i="5" s="1"/>
  <c r="ID596" i="5"/>
  <c r="ID655" i="5" s="1"/>
  <c r="D596" i="5"/>
  <c r="D654" i="5" s="1"/>
  <c r="IZ595" i="5"/>
  <c r="IW595" i="5"/>
  <c r="IT595" i="5"/>
  <c r="IQ595" i="5"/>
  <c r="IN595" i="5"/>
  <c r="IK595" i="5"/>
  <c r="IJ595" i="5"/>
  <c r="S124" i="7" s="1"/>
  <c r="IH595" i="5"/>
  <c r="Q124" i="7" s="1"/>
  <c r="ID595" i="5"/>
  <c r="HR595" i="5"/>
  <c r="EX595" i="5"/>
  <c r="EW595" i="5"/>
  <c r="EV595" i="5"/>
  <c r="EU595" i="5"/>
  <c r="ET595" i="5"/>
  <c r="ES595" i="5"/>
  <c r="ER595" i="5"/>
  <c r="EQ595" i="5"/>
  <c r="EP595" i="5"/>
  <c r="EO595" i="5"/>
  <c r="EN595" i="5"/>
  <c r="EM595" i="5"/>
  <c r="EL595" i="5"/>
  <c r="EK595" i="5"/>
  <c r="EJ595" i="5"/>
  <c r="EI595" i="5"/>
  <c r="EH595" i="5"/>
  <c r="EG595" i="5"/>
  <c r="EF595" i="5"/>
  <c r="EE595" i="5"/>
  <c r="ED595" i="5"/>
  <c r="EC595" i="5"/>
  <c r="EB595" i="5"/>
  <c r="EA595" i="5"/>
  <c r="DZ595" i="5"/>
  <c r="DY595" i="5"/>
  <c r="DX595" i="5"/>
  <c r="DW595" i="5"/>
  <c r="DV595" i="5"/>
  <c r="DU595" i="5"/>
  <c r="DT595" i="5"/>
  <c r="DS595" i="5"/>
  <c r="DR595" i="5"/>
  <c r="DQ595" i="5"/>
  <c r="DP595" i="5"/>
  <c r="DO595" i="5"/>
  <c r="DN595" i="5"/>
  <c r="DM595" i="5"/>
  <c r="DL595" i="5"/>
  <c r="DK595" i="5"/>
  <c r="DJ595" i="5"/>
  <c r="DI595" i="5"/>
  <c r="DH595" i="5"/>
  <c r="DG595" i="5"/>
  <c r="DF595" i="5"/>
  <c r="DE595" i="5"/>
  <c r="DD595" i="5"/>
  <c r="DC595" i="5"/>
  <c r="DB595" i="5"/>
  <c r="DA595" i="5"/>
  <c r="CZ595" i="5"/>
  <c r="CY595" i="5"/>
  <c r="CX595" i="5"/>
  <c r="CW595" i="5"/>
  <c r="CV595" i="5"/>
  <c r="CU595" i="5"/>
  <c r="CT595" i="5"/>
  <c r="CS595" i="5"/>
  <c r="CR595" i="5"/>
  <c r="CQ595" i="5"/>
  <c r="CP595" i="5"/>
  <c r="CO595" i="5"/>
  <c r="CN595" i="5"/>
  <c r="CM595" i="5"/>
  <c r="CL595" i="5"/>
  <c r="CK595" i="5"/>
  <c r="CJ595" i="5"/>
  <c r="CI595" i="5"/>
  <c r="CH595" i="5"/>
  <c r="CG595" i="5"/>
  <c r="CF595" i="5"/>
  <c r="CE595" i="5"/>
  <c r="D595" i="5"/>
  <c r="JB594" i="5"/>
  <c r="IZ594" i="5" s="1"/>
  <c r="JA594" i="5" s="1"/>
  <c r="IY594" i="5"/>
  <c r="IV594" i="5"/>
  <c r="IT594" i="5" s="1"/>
  <c r="IU594" i="5" s="1"/>
  <c r="IS594" i="5"/>
  <c r="IQ594" i="5" s="1"/>
  <c r="IP594" i="5"/>
  <c r="IM594" i="5"/>
  <c r="IJ594" i="5"/>
  <c r="S123" i="7" s="1"/>
  <c r="IF594" i="5"/>
  <c r="O123" i="7" s="1"/>
  <c r="IE594" i="5"/>
  <c r="ID594" i="5"/>
  <c r="M123" i="7" s="1"/>
  <c r="HZ594" i="5"/>
  <c r="I123" i="7" s="1"/>
  <c r="HY594" i="5"/>
  <c r="HU594" i="5"/>
  <c r="HT594" i="5"/>
  <c r="C123" i="7" s="1"/>
  <c r="HS594" i="5"/>
  <c r="HR594" i="5"/>
  <c r="D594" i="5"/>
  <c r="JB593" i="5"/>
  <c r="IZ593" i="5" s="1"/>
  <c r="JA593" i="5" s="1"/>
  <c r="IY593" i="5"/>
  <c r="IW593" i="5" s="1"/>
  <c r="IX593" i="5" s="1"/>
  <c r="IV593" i="5"/>
  <c r="IS593" i="5"/>
  <c r="IP593" i="5"/>
  <c r="IN593" i="5" s="1"/>
  <c r="IM593" i="5"/>
  <c r="T122" i="7" s="1"/>
  <c r="IJ593" i="5"/>
  <c r="S122" i="7" s="1"/>
  <c r="IF593" i="5"/>
  <c r="O122" i="7" s="1"/>
  <c r="IE593" i="5"/>
  <c r="ID593" i="5"/>
  <c r="M122" i="7" s="1"/>
  <c r="HZ593" i="5"/>
  <c r="I122" i="7" s="1"/>
  <c r="HY593" i="5"/>
  <c r="G122" i="7" s="1"/>
  <c r="HU593" i="5"/>
  <c r="HT593" i="5"/>
  <c r="C122" i="7" s="1"/>
  <c r="HS593" i="5"/>
  <c r="HR593" i="5"/>
  <c r="D593" i="5"/>
  <c r="JB592" i="5"/>
  <c r="IY592" i="5"/>
  <c r="IW592" i="5" s="1"/>
  <c r="IV592" i="5"/>
  <c r="IT592" i="5" s="1"/>
  <c r="IS592" i="5"/>
  <c r="IQ592" i="5" s="1"/>
  <c r="IR592" i="5" s="1"/>
  <c r="IP592" i="5"/>
  <c r="IN592" i="5" s="1"/>
  <c r="IO592" i="5" s="1"/>
  <c r="IM592" i="5"/>
  <c r="T121" i="7" s="1"/>
  <c r="IJ592" i="5"/>
  <c r="S121" i="7" s="1"/>
  <c r="IF592" i="5"/>
  <c r="O121" i="7" s="1"/>
  <c r="IE592" i="5"/>
  <c r="N121" i="7" s="1"/>
  <c r="ID592" i="5"/>
  <c r="M121" i="7" s="1"/>
  <c r="HZ592" i="5"/>
  <c r="I121" i="7" s="1"/>
  <c r="HY592" i="5"/>
  <c r="G121" i="7" s="1"/>
  <c r="HU592" i="5"/>
  <c r="HT592" i="5"/>
  <c r="C121" i="7" s="1"/>
  <c r="HS592" i="5"/>
  <c r="HR592" i="5"/>
  <c r="D592" i="5"/>
  <c r="IZ591" i="5"/>
  <c r="IW591" i="5"/>
  <c r="IT591" i="5"/>
  <c r="IQ591" i="5"/>
  <c r="IN591" i="5"/>
  <c r="IK591" i="5"/>
  <c r="IJ591" i="5"/>
  <c r="IH591" i="5"/>
  <c r="Q120" i="7" s="1"/>
  <c r="ID591" i="5"/>
  <c r="M120" i="7" s="1"/>
  <c r="IB591" i="5"/>
  <c r="J120" i="7" s="1"/>
  <c r="EX591" i="5"/>
  <c r="EW591" i="5"/>
  <c r="EV591" i="5"/>
  <c r="EU591" i="5"/>
  <c r="ET591" i="5"/>
  <c r="ES591" i="5"/>
  <c r="ER591" i="5"/>
  <c r="EQ591" i="5"/>
  <c r="EP591" i="5"/>
  <c r="EO591" i="5"/>
  <c r="EN591" i="5"/>
  <c r="EM591" i="5"/>
  <c r="EL591" i="5"/>
  <c r="EK591" i="5"/>
  <c r="EJ591" i="5"/>
  <c r="EI591" i="5"/>
  <c r="EH591" i="5"/>
  <c r="EG591" i="5"/>
  <c r="EF591" i="5"/>
  <c r="EE591" i="5"/>
  <c r="ED591" i="5"/>
  <c r="EC591" i="5"/>
  <c r="EB591" i="5"/>
  <c r="EA591" i="5"/>
  <c r="DZ591" i="5"/>
  <c r="DY591" i="5"/>
  <c r="DX591" i="5"/>
  <c r="DW591" i="5"/>
  <c r="DV591" i="5"/>
  <c r="DU591" i="5"/>
  <c r="DT591" i="5"/>
  <c r="DS591" i="5"/>
  <c r="DR591" i="5"/>
  <c r="DQ591" i="5"/>
  <c r="DP591" i="5"/>
  <c r="DO591" i="5"/>
  <c r="DN591" i="5"/>
  <c r="DM591" i="5"/>
  <c r="DL591" i="5"/>
  <c r="DK591" i="5"/>
  <c r="DJ591" i="5"/>
  <c r="DI591" i="5"/>
  <c r="DH591" i="5"/>
  <c r="DG591" i="5"/>
  <c r="DF591" i="5"/>
  <c r="DE591" i="5"/>
  <c r="DD591" i="5"/>
  <c r="DC591" i="5"/>
  <c r="DB591" i="5"/>
  <c r="DA591" i="5"/>
  <c r="CZ591" i="5"/>
  <c r="CY591" i="5"/>
  <c r="CX591" i="5"/>
  <c r="CW591" i="5"/>
  <c r="CV591" i="5"/>
  <c r="CU591" i="5"/>
  <c r="CT591" i="5"/>
  <c r="CS591" i="5"/>
  <c r="CR591" i="5"/>
  <c r="CQ591" i="5"/>
  <c r="CP591" i="5"/>
  <c r="CO591" i="5"/>
  <c r="CN591" i="5"/>
  <c r="CM591" i="5"/>
  <c r="CL591" i="5"/>
  <c r="CK591" i="5"/>
  <c r="CJ591" i="5"/>
  <c r="CI591" i="5"/>
  <c r="CH591" i="5"/>
  <c r="CG591" i="5"/>
  <c r="CF591" i="5"/>
  <c r="CE591" i="5"/>
  <c r="D591" i="5"/>
  <c r="IZ590" i="5"/>
  <c r="JA590" i="5" s="1"/>
  <c r="IW590" i="5"/>
  <c r="IX590" i="5" s="1"/>
  <c r="IT590" i="5"/>
  <c r="IU590" i="5" s="1"/>
  <c r="IQ590" i="5"/>
  <c r="IR590" i="5" s="1"/>
  <c r="IN590" i="5"/>
  <c r="IK590" i="5"/>
  <c r="Q119" i="7" s="1"/>
  <c r="IJ590" i="5"/>
  <c r="IF590" i="5"/>
  <c r="O119" i="7" s="1"/>
  <c r="IE590" i="5"/>
  <c r="ID590" i="5"/>
  <c r="M119" i="7" s="1"/>
  <c r="HZ590" i="5"/>
  <c r="I119" i="7" s="1"/>
  <c r="HY590" i="5"/>
  <c r="G119" i="7" s="1"/>
  <c r="JB589" i="5"/>
  <c r="JA589" i="5" s="1"/>
  <c r="IY589" i="5"/>
  <c r="IX589" i="5" s="1"/>
  <c r="IV589" i="5"/>
  <c r="IS589" i="5"/>
  <c r="IP589" i="5"/>
  <c r="IM589" i="5"/>
  <c r="T118" i="7" s="1"/>
  <c r="IJ589" i="5"/>
  <c r="S118" i="7" s="1"/>
  <c r="ID589" i="5"/>
  <c r="M118" i="7" s="1"/>
  <c r="HR589" i="5"/>
  <c r="EX589" i="5"/>
  <c r="EW589" i="5"/>
  <c r="EV589" i="5"/>
  <c r="EU589" i="5"/>
  <c r="ET589" i="5"/>
  <c r="ES589" i="5"/>
  <c r="ER589" i="5"/>
  <c r="EQ589" i="5"/>
  <c r="EP589" i="5"/>
  <c r="EO589" i="5"/>
  <c r="EN589" i="5"/>
  <c r="EM589" i="5"/>
  <c r="EL589" i="5"/>
  <c r="EK589" i="5"/>
  <c r="EJ589" i="5"/>
  <c r="EI589" i="5"/>
  <c r="EH589" i="5"/>
  <c r="EG589" i="5"/>
  <c r="EF589" i="5"/>
  <c r="EE589" i="5"/>
  <c r="ED589" i="5"/>
  <c r="EC589" i="5"/>
  <c r="EB589" i="5"/>
  <c r="EA589" i="5"/>
  <c r="DZ589" i="5"/>
  <c r="DY589" i="5"/>
  <c r="DX589" i="5"/>
  <c r="DW589" i="5"/>
  <c r="DV589" i="5"/>
  <c r="DU589" i="5"/>
  <c r="DT589" i="5"/>
  <c r="DS589" i="5"/>
  <c r="DR589" i="5"/>
  <c r="DQ589" i="5"/>
  <c r="DP589" i="5"/>
  <c r="DO589" i="5"/>
  <c r="DN589" i="5"/>
  <c r="DM589" i="5"/>
  <c r="DL589" i="5"/>
  <c r="DK589" i="5"/>
  <c r="DJ589" i="5"/>
  <c r="DI589" i="5"/>
  <c r="DH589" i="5"/>
  <c r="DG589" i="5"/>
  <c r="DF589" i="5"/>
  <c r="DE589" i="5"/>
  <c r="DD589" i="5"/>
  <c r="DC589" i="5"/>
  <c r="DB589" i="5"/>
  <c r="DA589" i="5"/>
  <c r="CZ589" i="5"/>
  <c r="CY589" i="5"/>
  <c r="CX589" i="5"/>
  <c r="CW589" i="5"/>
  <c r="CV589" i="5"/>
  <c r="CU589" i="5"/>
  <c r="CT589" i="5"/>
  <c r="CS589" i="5"/>
  <c r="CR589" i="5"/>
  <c r="CQ589" i="5"/>
  <c r="CP589" i="5"/>
  <c r="CO589" i="5"/>
  <c r="CN589" i="5"/>
  <c r="CM589" i="5"/>
  <c r="CL589" i="5"/>
  <c r="CK589" i="5"/>
  <c r="CJ589" i="5"/>
  <c r="CI589" i="5"/>
  <c r="CH589" i="5"/>
  <c r="CG589" i="5"/>
  <c r="CF589" i="5"/>
  <c r="CE589" i="5"/>
  <c r="D589" i="5"/>
  <c r="JB588" i="5"/>
  <c r="JA588" i="5" s="1"/>
  <c r="IY588" i="5"/>
  <c r="IX588" i="5" s="1"/>
  <c r="IV588" i="5"/>
  <c r="IS588" i="5"/>
  <c r="IM588" i="5"/>
  <c r="T117" i="7" s="1"/>
  <c r="IJ588" i="5"/>
  <c r="S117" i="7" s="1"/>
  <c r="ID588" i="5"/>
  <c r="M117" i="7" s="1"/>
  <c r="HR588" i="5"/>
  <c r="EX588" i="5"/>
  <c r="EW588" i="5"/>
  <c r="EV588" i="5"/>
  <c r="EU588" i="5"/>
  <c r="ET588" i="5"/>
  <c r="ES588" i="5"/>
  <c r="ER588" i="5"/>
  <c r="EQ588" i="5"/>
  <c r="EP588" i="5"/>
  <c r="EO588" i="5"/>
  <c r="EN588" i="5"/>
  <c r="EM588" i="5"/>
  <c r="EL588" i="5"/>
  <c r="EK588" i="5"/>
  <c r="EJ588" i="5"/>
  <c r="EI588" i="5"/>
  <c r="EH588" i="5"/>
  <c r="EG588" i="5"/>
  <c r="EF588" i="5"/>
  <c r="EE588" i="5"/>
  <c r="ED588" i="5"/>
  <c r="EC588" i="5"/>
  <c r="EB588" i="5"/>
  <c r="EA588" i="5"/>
  <c r="DZ588" i="5"/>
  <c r="DY588" i="5"/>
  <c r="DX588" i="5"/>
  <c r="DW588" i="5"/>
  <c r="DV588" i="5"/>
  <c r="DU588" i="5"/>
  <c r="DT588" i="5"/>
  <c r="DS588" i="5"/>
  <c r="DR588" i="5"/>
  <c r="DQ588" i="5"/>
  <c r="DP588" i="5"/>
  <c r="DO588" i="5"/>
  <c r="DN588" i="5"/>
  <c r="DM588" i="5"/>
  <c r="DL588" i="5"/>
  <c r="DK588" i="5"/>
  <c r="DJ588" i="5"/>
  <c r="DI588" i="5"/>
  <c r="DH588" i="5"/>
  <c r="DG588" i="5"/>
  <c r="DF588" i="5"/>
  <c r="DE588" i="5"/>
  <c r="DD588" i="5"/>
  <c r="DC588" i="5"/>
  <c r="DB588" i="5"/>
  <c r="DA588" i="5"/>
  <c r="CZ588" i="5"/>
  <c r="CY588" i="5"/>
  <c r="CX588" i="5"/>
  <c r="CW588" i="5"/>
  <c r="CV588" i="5"/>
  <c r="CU588" i="5"/>
  <c r="CT588" i="5"/>
  <c r="CS588" i="5"/>
  <c r="CR588" i="5"/>
  <c r="CQ588" i="5"/>
  <c r="CP588" i="5"/>
  <c r="CO588" i="5"/>
  <c r="CN588" i="5"/>
  <c r="CM588" i="5"/>
  <c r="CL588" i="5"/>
  <c r="CK588" i="5"/>
  <c r="CJ588" i="5"/>
  <c r="CI588" i="5"/>
  <c r="CH588" i="5"/>
  <c r="CG588" i="5"/>
  <c r="CF588" i="5"/>
  <c r="CE588" i="5"/>
  <c r="D588" i="5"/>
  <c r="IJ587" i="5"/>
  <c r="IH587" i="5" s="1"/>
  <c r="IH586" i="5" s="1"/>
  <c r="IZ586" i="5"/>
  <c r="IW586" i="5"/>
  <c r="IT586" i="5"/>
  <c r="IQ586" i="5"/>
  <c r="IN586" i="5"/>
  <c r="IK586" i="5"/>
  <c r="IJ586" i="5"/>
  <c r="S116" i="7" s="1"/>
  <c r="ID586" i="5"/>
  <c r="M116" i="7" s="1"/>
  <c r="IB586" i="5"/>
  <c r="EX586" i="5"/>
  <c r="EW586" i="5"/>
  <c r="EV586" i="5"/>
  <c r="EU586" i="5"/>
  <c r="ET586" i="5"/>
  <c r="ES586" i="5"/>
  <c r="ER586" i="5"/>
  <c r="EQ586" i="5"/>
  <c r="EP586" i="5"/>
  <c r="EO586" i="5"/>
  <c r="EN586" i="5"/>
  <c r="EM586" i="5"/>
  <c r="EL586" i="5"/>
  <c r="EK586" i="5"/>
  <c r="EJ586" i="5"/>
  <c r="EI586" i="5"/>
  <c r="EH586" i="5"/>
  <c r="EG586" i="5"/>
  <c r="EF586" i="5"/>
  <c r="EE586" i="5"/>
  <c r="ED586" i="5"/>
  <c r="EC586" i="5"/>
  <c r="EB586" i="5"/>
  <c r="EA586" i="5"/>
  <c r="DZ586" i="5"/>
  <c r="DY586" i="5"/>
  <c r="DX586" i="5"/>
  <c r="DW586" i="5"/>
  <c r="DV586" i="5"/>
  <c r="DU586" i="5"/>
  <c r="DT586" i="5"/>
  <c r="DS586" i="5"/>
  <c r="DR586" i="5"/>
  <c r="DQ586" i="5"/>
  <c r="DP586" i="5"/>
  <c r="DO586" i="5"/>
  <c r="DN586" i="5"/>
  <c r="DM586" i="5"/>
  <c r="DL586" i="5"/>
  <c r="DK586" i="5"/>
  <c r="DJ586" i="5"/>
  <c r="DI586" i="5"/>
  <c r="DH586" i="5"/>
  <c r="DG586" i="5"/>
  <c r="DF586" i="5"/>
  <c r="DE586" i="5"/>
  <c r="DD586" i="5"/>
  <c r="DC586" i="5"/>
  <c r="DB586" i="5"/>
  <c r="DA586" i="5"/>
  <c r="CZ586" i="5"/>
  <c r="CY586" i="5"/>
  <c r="CX586" i="5"/>
  <c r="CW586" i="5"/>
  <c r="CV586" i="5"/>
  <c r="CU586" i="5"/>
  <c r="CT586" i="5"/>
  <c r="CS586" i="5"/>
  <c r="CR586" i="5"/>
  <c r="CQ586" i="5"/>
  <c r="CP586" i="5"/>
  <c r="CO586" i="5"/>
  <c r="CN586" i="5"/>
  <c r="CM586" i="5"/>
  <c r="CL586" i="5"/>
  <c r="CK586" i="5"/>
  <c r="CJ586" i="5"/>
  <c r="CI586" i="5"/>
  <c r="CH586" i="5"/>
  <c r="CG586" i="5"/>
  <c r="CF586" i="5"/>
  <c r="CE586" i="5"/>
  <c r="D586" i="5"/>
  <c r="KP585" i="5"/>
  <c r="KP584" i="5" s="1"/>
  <c r="KP651" i="5" s="1"/>
  <c r="KO585" i="5"/>
  <c r="KO584" i="5" s="1"/>
  <c r="KO651" i="5" s="1"/>
  <c r="KN585" i="5"/>
  <c r="KN584" i="5" s="1"/>
  <c r="KN651" i="5" s="1"/>
  <c r="KM585" i="5"/>
  <c r="KM584" i="5" s="1"/>
  <c r="KM651" i="5" s="1"/>
  <c r="IM585" i="5"/>
  <c r="T115" i="7" s="1"/>
  <c r="IJ585" i="5"/>
  <c r="S115" i="7" s="1"/>
  <c r="ID585" i="5"/>
  <c r="M115" i="7" s="1"/>
  <c r="CD585" i="5"/>
  <c r="CD584" i="5" s="1"/>
  <c r="CD1153" i="5" s="1"/>
  <c r="CC585" i="5"/>
  <c r="CC584" i="5" s="1"/>
  <c r="CC651" i="5" s="1"/>
  <c r="CB585" i="5"/>
  <c r="CB584" i="5" s="1"/>
  <c r="CA585" i="5"/>
  <c r="CA584" i="5" s="1"/>
  <c r="CA1153" i="5" s="1"/>
  <c r="BZ585" i="5"/>
  <c r="BZ584" i="5" s="1"/>
  <c r="BY585" i="5"/>
  <c r="BY584" i="5" s="1"/>
  <c r="BY1153" i="5" s="1"/>
  <c r="BX585" i="5"/>
  <c r="BX584" i="5" s="1"/>
  <c r="BW585" i="5"/>
  <c r="BW584" i="5" s="1"/>
  <c r="BV585" i="5"/>
  <c r="BV584" i="5" s="1"/>
  <c r="BU585" i="5"/>
  <c r="BU584" i="5" s="1"/>
  <c r="BU651" i="5" s="1"/>
  <c r="BT585" i="5"/>
  <c r="BT584" i="5" s="1"/>
  <c r="BS585" i="5"/>
  <c r="BS584" i="5" s="1"/>
  <c r="BS1153" i="5" s="1"/>
  <c r="BR585" i="5"/>
  <c r="BR584" i="5" s="1"/>
  <c r="BQ585" i="5"/>
  <c r="BQ584" i="5" s="1"/>
  <c r="BQ1153" i="5" s="1"/>
  <c r="BP585" i="5"/>
  <c r="BP584" i="5" s="1"/>
  <c r="BP1153" i="5" s="1"/>
  <c r="BO585" i="5"/>
  <c r="BO584" i="5" s="1"/>
  <c r="BO1153" i="5" s="1"/>
  <c r="BN585" i="5"/>
  <c r="BN584" i="5" s="1"/>
  <c r="BM585" i="5"/>
  <c r="BM584" i="5" s="1"/>
  <c r="BM651" i="5" s="1"/>
  <c r="BL585" i="5"/>
  <c r="BL584" i="5" s="1"/>
  <c r="BK585" i="5"/>
  <c r="BK584" i="5" s="1"/>
  <c r="BJ585" i="5"/>
  <c r="BJ584" i="5" s="1"/>
  <c r="BJ651" i="5" s="1"/>
  <c r="BI585" i="5"/>
  <c r="BI584" i="5" s="1"/>
  <c r="BH585" i="5"/>
  <c r="BH584" i="5" s="1"/>
  <c r="BG585" i="5"/>
  <c r="BG584" i="5" s="1"/>
  <c r="BF585" i="5"/>
  <c r="BF584" i="5" s="1"/>
  <c r="BF1153" i="5" s="1"/>
  <c r="BE585" i="5"/>
  <c r="BE584" i="5" s="1"/>
  <c r="BD585" i="5"/>
  <c r="BD584" i="5" s="1"/>
  <c r="BC585" i="5"/>
  <c r="BC584" i="5" s="1"/>
  <c r="BB585" i="5"/>
  <c r="BB584" i="5" s="1"/>
  <c r="BB651" i="5" s="1"/>
  <c r="BA585" i="5"/>
  <c r="BA584" i="5" s="1"/>
  <c r="AZ585" i="5"/>
  <c r="AZ584" i="5" s="1"/>
  <c r="AZ1153" i="5" s="1"/>
  <c r="AY585" i="5"/>
  <c r="AY584" i="5" s="1"/>
  <c r="AX585" i="5"/>
  <c r="AX584" i="5" s="1"/>
  <c r="AW585" i="5"/>
  <c r="AW584" i="5" s="1"/>
  <c r="AV585" i="5"/>
  <c r="AV584" i="5" s="1"/>
  <c r="AV1153" i="5" s="1"/>
  <c r="AU585" i="5"/>
  <c r="AU584" i="5" s="1"/>
  <c r="AT585" i="5"/>
  <c r="AT584" i="5" s="1"/>
  <c r="AS585" i="5"/>
  <c r="AS584" i="5" s="1"/>
  <c r="AR585" i="5"/>
  <c r="AR584" i="5" s="1"/>
  <c r="AQ585" i="5"/>
  <c r="AQ584" i="5" s="1"/>
  <c r="AP585" i="5"/>
  <c r="AP584" i="5" s="1"/>
  <c r="AP651" i="5" s="1"/>
  <c r="AO585" i="5"/>
  <c r="AO584" i="5" s="1"/>
  <c r="AN585" i="5"/>
  <c r="AN584" i="5" s="1"/>
  <c r="AN1153" i="5" s="1"/>
  <c r="AM585" i="5"/>
  <c r="AM584" i="5" s="1"/>
  <c r="AM1153" i="5" s="1"/>
  <c r="AL585" i="5"/>
  <c r="AL584" i="5" s="1"/>
  <c r="AK585" i="5"/>
  <c r="AK584" i="5" s="1"/>
  <c r="AK651" i="5" s="1"/>
  <c r="AJ585" i="5"/>
  <c r="AJ584" i="5" s="1"/>
  <c r="AI585" i="5"/>
  <c r="AI584" i="5" s="1"/>
  <c r="AH585" i="5"/>
  <c r="AH584" i="5" s="1"/>
  <c r="AH1153" i="5" s="1"/>
  <c r="AG585" i="5"/>
  <c r="AG584" i="5" s="1"/>
  <c r="AF585" i="5"/>
  <c r="AF584" i="5" s="1"/>
  <c r="AF1153" i="5" s="1"/>
  <c r="AE585" i="5"/>
  <c r="AE584" i="5" s="1"/>
  <c r="AE1153" i="5" s="1"/>
  <c r="AD585" i="5"/>
  <c r="AD584" i="5" s="1"/>
  <c r="AD1153" i="5" s="1"/>
  <c r="AC585" i="5"/>
  <c r="AC584" i="5" s="1"/>
  <c r="AB585" i="5"/>
  <c r="AB584" i="5" s="1"/>
  <c r="AA585" i="5"/>
  <c r="AA584" i="5" s="1"/>
  <c r="Z585" i="5"/>
  <c r="Z584" i="5" s="1"/>
  <c r="Y585" i="5"/>
  <c r="Y584" i="5" s="1"/>
  <c r="X585" i="5"/>
  <c r="X584" i="5" s="1"/>
  <c r="W585" i="5"/>
  <c r="W584" i="5" s="1"/>
  <c r="V585" i="5"/>
  <c r="V584" i="5" s="1"/>
  <c r="V651" i="5" s="1"/>
  <c r="U585" i="5"/>
  <c r="U584" i="5" s="1"/>
  <c r="T585" i="5"/>
  <c r="T584" i="5" s="1"/>
  <c r="S585" i="5"/>
  <c r="S584" i="5" s="1"/>
  <c r="R585" i="5"/>
  <c r="R584" i="5" s="1"/>
  <c r="Q585" i="5"/>
  <c r="Q584" i="5" s="1"/>
  <c r="Q651" i="5" s="1"/>
  <c r="P585" i="5"/>
  <c r="P584" i="5" s="1"/>
  <c r="P1153" i="5" s="1"/>
  <c r="O585" i="5"/>
  <c r="O584" i="5" s="1"/>
  <c r="N585" i="5"/>
  <c r="N584" i="5" s="1"/>
  <c r="N651" i="5" s="1"/>
  <c r="M585" i="5"/>
  <c r="M584" i="5" s="1"/>
  <c r="M1153" i="5" s="1"/>
  <c r="L585" i="5"/>
  <c r="L584" i="5" s="1"/>
  <c r="L1153" i="5" s="1"/>
  <c r="K585" i="5"/>
  <c r="K584" i="5" s="1"/>
  <c r="K1153" i="5" s="1"/>
  <c r="J585" i="5"/>
  <c r="J584" i="5" s="1"/>
  <c r="I585" i="5"/>
  <c r="I584" i="5" s="1"/>
  <c r="H585" i="5"/>
  <c r="H584" i="5" s="1"/>
  <c r="G585" i="5"/>
  <c r="G584" i="5" s="1"/>
  <c r="F585" i="5"/>
  <c r="F584" i="5" s="1"/>
  <c r="E585" i="5"/>
  <c r="E584" i="5" s="1"/>
  <c r="E1153" i="5" s="1"/>
  <c r="D585" i="5"/>
  <c r="IM584" i="5"/>
  <c r="IJ584" i="5"/>
  <c r="S114" i="7" s="1"/>
  <c r="ID584" i="5"/>
  <c r="ID651" i="5" s="1"/>
  <c r="D584" i="5"/>
  <c r="D651" i="5" s="1"/>
  <c r="JB583" i="5"/>
  <c r="IZ583" i="5" s="1"/>
  <c r="JA583" i="5" s="1"/>
  <c r="IY583" i="5"/>
  <c r="IW583" i="5" s="1"/>
  <c r="IX583" i="5" s="1"/>
  <c r="IV583" i="5"/>
  <c r="IT583" i="5" s="1"/>
  <c r="IU583" i="5" s="1"/>
  <c r="IS583" i="5"/>
  <c r="IQ583" i="5" s="1"/>
  <c r="IR583" i="5" s="1"/>
  <c r="IP583" i="5"/>
  <c r="IM583" i="5"/>
  <c r="IJ583" i="5"/>
  <c r="S113" i="7" s="1"/>
  <c r="HR583" i="5"/>
  <c r="IM582" i="5"/>
  <c r="IJ582" i="5"/>
  <c r="S112" i="7" s="1"/>
  <c r="ID582" i="5"/>
  <c r="D582" i="5"/>
  <c r="D650" i="5" s="1"/>
  <c r="JB581" i="5"/>
  <c r="IZ581" i="5" s="1"/>
  <c r="JA581" i="5" s="1"/>
  <c r="IY581" i="5"/>
  <c r="IV581" i="5"/>
  <c r="IS581" i="5"/>
  <c r="IP581" i="5"/>
  <c r="IN581" i="5" s="1"/>
  <c r="IO581" i="5" s="1"/>
  <c r="IM581" i="5"/>
  <c r="T111" i="7" s="1"/>
  <c r="IJ581" i="5"/>
  <c r="S111" i="7" s="1"/>
  <c r="HR581" i="5"/>
  <c r="IM580" i="5"/>
  <c r="IM649" i="5" s="1"/>
  <c r="IJ580" i="5"/>
  <c r="ID580" i="5"/>
  <c r="ID649" i="5" s="1"/>
  <c r="D580" i="5"/>
  <c r="D649" i="5" s="1"/>
  <c r="IM579" i="5"/>
  <c r="T109" i="7" s="1"/>
  <c r="IJ579" i="5"/>
  <c r="ID579" i="5"/>
  <c r="M109" i="7" s="1"/>
  <c r="D579" i="5"/>
  <c r="D648" i="5" s="1"/>
  <c r="JB578" i="5"/>
  <c r="IZ578" i="5" s="1"/>
  <c r="JA578" i="5" s="1"/>
  <c r="IY578" i="5"/>
  <c r="IW578" i="5" s="1"/>
  <c r="IX578" i="5" s="1"/>
  <c r="IV578" i="5"/>
  <c r="IT578" i="5" s="1"/>
  <c r="IU578" i="5" s="1"/>
  <c r="IS578" i="5"/>
  <c r="IQ578" i="5" s="1"/>
  <c r="IR578" i="5" s="1"/>
  <c r="IP578" i="5"/>
  <c r="IN578" i="5" s="1"/>
  <c r="IO578" i="5" s="1"/>
  <c r="IM578" i="5"/>
  <c r="IJ578" i="5"/>
  <c r="S108" i="7" s="1"/>
  <c r="D578" i="5"/>
  <c r="D647" i="5" s="1"/>
  <c r="JB577" i="5"/>
  <c r="IY577" i="5"/>
  <c r="IV577" i="5"/>
  <c r="IT577" i="5" s="1"/>
  <c r="IS577" i="5"/>
  <c r="IQ577" i="5" s="1"/>
  <c r="IP577" i="5"/>
  <c r="IN577" i="5" s="1"/>
  <c r="IM577" i="5"/>
  <c r="IJ577" i="5"/>
  <c r="S107" i="7" s="1"/>
  <c r="IP576" i="5"/>
  <c r="IM576" i="5"/>
  <c r="T106" i="7" s="1"/>
  <c r="IJ576" i="5"/>
  <c r="S106" i="7" s="1"/>
  <c r="ID576" i="5"/>
  <c r="IC576" i="5" s="1"/>
  <c r="EX576" i="5"/>
  <c r="EX575" i="5" s="1"/>
  <c r="EW576" i="5"/>
  <c r="EW575" i="5" s="1"/>
  <c r="EV576" i="5"/>
  <c r="EV575" i="5" s="1"/>
  <c r="EU576" i="5"/>
  <c r="EU575" i="5" s="1"/>
  <c r="ET576" i="5"/>
  <c r="ES576" i="5"/>
  <c r="ES575" i="5" s="1"/>
  <c r="ER576" i="5"/>
  <c r="ER575" i="5" s="1"/>
  <c r="EQ576" i="5"/>
  <c r="EQ575" i="5" s="1"/>
  <c r="EP576" i="5"/>
  <c r="EP575" i="5" s="1"/>
  <c r="EO576" i="5"/>
  <c r="EO575" i="5" s="1"/>
  <c r="EN576" i="5"/>
  <c r="EM576" i="5"/>
  <c r="EM575" i="5" s="1"/>
  <c r="EL576" i="5"/>
  <c r="EL575" i="5" s="1"/>
  <c r="EK576" i="5"/>
  <c r="EK575" i="5" s="1"/>
  <c r="EJ576" i="5"/>
  <c r="EJ575" i="5" s="1"/>
  <c r="EI576" i="5"/>
  <c r="EI575" i="5" s="1"/>
  <c r="EH576" i="5"/>
  <c r="EH575" i="5" s="1"/>
  <c r="EG576" i="5"/>
  <c r="EG575" i="5" s="1"/>
  <c r="EF576" i="5"/>
  <c r="EF575" i="5" s="1"/>
  <c r="EE576" i="5"/>
  <c r="EE575" i="5" s="1"/>
  <c r="ED576" i="5"/>
  <c r="ED575" i="5" s="1"/>
  <c r="EC576" i="5"/>
  <c r="EC575" i="5" s="1"/>
  <c r="EB576" i="5"/>
  <c r="EB575" i="5" s="1"/>
  <c r="EA576" i="5"/>
  <c r="EA575" i="5" s="1"/>
  <c r="DZ576" i="5"/>
  <c r="DZ575" i="5" s="1"/>
  <c r="DY576" i="5"/>
  <c r="DY575" i="5" s="1"/>
  <c r="DX576" i="5"/>
  <c r="DX575" i="5" s="1"/>
  <c r="DW576" i="5"/>
  <c r="DW575" i="5" s="1"/>
  <c r="DV576" i="5"/>
  <c r="DV575" i="5" s="1"/>
  <c r="DU576" i="5"/>
  <c r="DT576" i="5"/>
  <c r="DS576" i="5"/>
  <c r="DS645" i="5" s="1"/>
  <c r="DR576" i="5"/>
  <c r="DR575" i="5" s="1"/>
  <c r="DR644" i="5" s="1"/>
  <c r="DQ576" i="5"/>
  <c r="DQ645" i="5" s="1"/>
  <c r="DP576" i="5"/>
  <c r="DO576" i="5"/>
  <c r="DN576" i="5"/>
  <c r="DM576" i="5"/>
  <c r="DL576" i="5"/>
  <c r="DK576" i="5"/>
  <c r="DJ576" i="5"/>
  <c r="DI576" i="5"/>
  <c r="DH576" i="5"/>
  <c r="DG576" i="5"/>
  <c r="DG575" i="5" s="1"/>
  <c r="DG644" i="5" s="1"/>
  <c r="DF576" i="5"/>
  <c r="DE576" i="5"/>
  <c r="DD576" i="5"/>
  <c r="DC576" i="5"/>
  <c r="DC645" i="5" s="1"/>
  <c r="DB576" i="5"/>
  <c r="DA576" i="5"/>
  <c r="CZ576" i="5"/>
  <c r="CY576" i="5"/>
  <c r="CY645" i="5" s="1"/>
  <c r="CX576" i="5"/>
  <c r="CW576" i="5"/>
  <c r="CV576" i="5"/>
  <c r="CU576" i="5"/>
  <c r="CU575" i="5" s="1"/>
  <c r="CU644" i="5" s="1"/>
  <c r="CT576" i="5"/>
  <c r="CS576" i="5"/>
  <c r="CR576" i="5"/>
  <c r="CQ576" i="5"/>
  <c r="CP576" i="5"/>
  <c r="CP575" i="5" s="1"/>
  <c r="CP644" i="5" s="1"/>
  <c r="CO576" i="5"/>
  <c r="CN576" i="5"/>
  <c r="CM576" i="5"/>
  <c r="CL576" i="5"/>
  <c r="CK576" i="5"/>
  <c r="CJ576" i="5"/>
  <c r="CI576" i="5"/>
  <c r="CH576" i="5"/>
  <c r="CG576" i="5"/>
  <c r="CG645" i="5" s="1"/>
  <c r="CF576" i="5"/>
  <c r="CE576" i="5"/>
  <c r="D576" i="5"/>
  <c r="D645" i="5" s="1"/>
  <c r="KP575" i="5"/>
  <c r="KP644" i="5" s="1"/>
  <c r="KO575" i="5"/>
  <c r="KO644" i="5" s="1"/>
  <c r="KN575" i="5"/>
  <c r="KN644" i="5" s="1"/>
  <c r="KM575" i="5"/>
  <c r="KM644" i="5" s="1"/>
  <c r="IM575" i="5"/>
  <c r="IM644" i="5" s="1"/>
  <c r="IJ575" i="5"/>
  <c r="ID575" i="5"/>
  <c r="M105" i="7" s="1"/>
  <c r="IB575" i="5"/>
  <c r="J105" i="7" s="1"/>
  <c r="D575" i="5"/>
  <c r="D644" i="5" s="1"/>
  <c r="IM574" i="5"/>
  <c r="T104" i="7" s="1"/>
  <c r="IJ574" i="5"/>
  <c r="S104" i="7" s="1"/>
  <c r="IF574" i="5"/>
  <c r="O104" i="7" s="1"/>
  <c r="IE574" i="5"/>
  <c r="N104" i="7" s="1"/>
  <c r="IM573" i="5"/>
  <c r="IJ573" i="5"/>
  <c r="ID573" i="5"/>
  <c r="D573" i="5"/>
  <c r="D643" i="5" s="1"/>
  <c r="IM572" i="5"/>
  <c r="IJ572" i="5"/>
  <c r="S102" i="7" s="1"/>
  <c r="ID572" i="5"/>
  <c r="D572" i="5"/>
  <c r="D642" i="5" s="1"/>
  <c r="IZ571" i="5"/>
  <c r="JA571" i="5" s="1"/>
  <c r="IW571" i="5"/>
  <c r="IX571" i="5" s="1"/>
  <c r="IT571" i="5"/>
  <c r="IU571" i="5" s="1"/>
  <c r="IQ571" i="5"/>
  <c r="IR571" i="5" s="1"/>
  <c r="IN571" i="5"/>
  <c r="IO571" i="5" s="1"/>
  <c r="IK571" i="5"/>
  <c r="IL571" i="5" s="1"/>
  <c r="IF571" i="5"/>
  <c r="IE571" i="5"/>
  <c r="N101" i="7" s="1"/>
  <c r="ID571" i="5"/>
  <c r="M101" i="7" s="1"/>
  <c r="HR571" i="5"/>
  <c r="D571" i="5"/>
  <c r="D641" i="5" s="1"/>
  <c r="IZ570" i="5"/>
  <c r="JA570" i="5" s="1"/>
  <c r="IW570" i="5"/>
  <c r="IX570" i="5" s="1"/>
  <c r="IT570" i="5"/>
  <c r="IU570" i="5" s="1"/>
  <c r="IQ570" i="5"/>
  <c r="IR570" i="5" s="1"/>
  <c r="IN570" i="5"/>
  <c r="IO570" i="5" s="1"/>
  <c r="IK570" i="5"/>
  <c r="IL570" i="5" s="1"/>
  <c r="IF570" i="5"/>
  <c r="O100" i="7" s="1"/>
  <c r="IE570" i="5"/>
  <c r="ID570" i="5"/>
  <c r="M100" i="7" s="1"/>
  <c r="HR570" i="5"/>
  <c r="IM569" i="5"/>
  <c r="T99" i="7" s="1"/>
  <c r="IJ569" i="5"/>
  <c r="S99" i="7" s="1"/>
  <c r="ID569" i="5"/>
  <c r="M99" i="7" s="1"/>
  <c r="D569" i="5"/>
  <c r="IM568" i="5"/>
  <c r="T98" i="7" s="1"/>
  <c r="IJ568" i="5"/>
  <c r="S98" i="7" s="1"/>
  <c r="ID568" i="5"/>
  <c r="M98" i="7" s="1"/>
  <c r="D568" i="5"/>
  <c r="IM567" i="5"/>
  <c r="T97" i="7" s="1"/>
  <c r="IJ567" i="5"/>
  <c r="S97" i="7" s="1"/>
  <c r="ID567" i="5"/>
  <c r="M97" i="7" s="1"/>
  <c r="D567" i="5"/>
  <c r="JB566" i="5"/>
  <c r="IZ566" i="5" s="1"/>
  <c r="JA566" i="5" s="1"/>
  <c r="IY566" i="5"/>
  <c r="IW566" i="5" s="1"/>
  <c r="IV566" i="5"/>
  <c r="IT566" i="5" s="1"/>
  <c r="IU566" i="5" s="1"/>
  <c r="IS566" i="5"/>
  <c r="IQ566" i="5" s="1"/>
  <c r="IR566" i="5" s="1"/>
  <c r="IP566" i="5"/>
  <c r="IN566" i="5" s="1"/>
  <c r="IM566" i="5"/>
  <c r="IJ566" i="5"/>
  <c r="S96" i="7" s="1"/>
  <c r="IF566" i="5"/>
  <c r="IE566" i="5"/>
  <c r="N96" i="7" s="1"/>
  <c r="ID566" i="5"/>
  <c r="M96" i="7" s="1"/>
  <c r="HZ566" i="5"/>
  <c r="I96" i="7" s="1"/>
  <c r="HY566" i="5"/>
  <c r="HV566" i="5"/>
  <c r="HU566" i="5"/>
  <c r="HT566" i="5"/>
  <c r="C96" i="7" s="1"/>
  <c r="HS566" i="5"/>
  <c r="HR566" i="5"/>
  <c r="D566" i="5"/>
  <c r="JB565" i="5"/>
  <c r="IZ565" i="5" s="1"/>
  <c r="IY565" i="5"/>
  <c r="IW565" i="5" s="1"/>
  <c r="IX565" i="5" s="1"/>
  <c r="IV565" i="5"/>
  <c r="IS565" i="5"/>
  <c r="IQ565" i="5" s="1"/>
  <c r="IP565" i="5"/>
  <c r="IN565" i="5" s="1"/>
  <c r="IM565" i="5"/>
  <c r="IK565" i="5" s="1"/>
  <c r="IJ565" i="5"/>
  <c r="S95" i="7" s="1"/>
  <c r="IF565" i="5"/>
  <c r="O95" i="7" s="1"/>
  <c r="IE565" i="5"/>
  <c r="ID565" i="5"/>
  <c r="M95" i="7" s="1"/>
  <c r="HZ565" i="5"/>
  <c r="I95" i="7" s="1"/>
  <c r="HY565" i="5"/>
  <c r="G95" i="7" s="1"/>
  <c r="HV565" i="5"/>
  <c r="D95" i="7" s="1"/>
  <c r="HU565" i="5"/>
  <c r="HT565" i="5"/>
  <c r="C95" i="7" s="1"/>
  <c r="HS565" i="5"/>
  <c r="HR565" i="5"/>
  <c r="D565" i="5"/>
  <c r="IM564" i="5"/>
  <c r="IK564" i="5" s="1"/>
  <c r="IL564" i="5" s="1"/>
  <c r="IJ564" i="5"/>
  <c r="S94" i="7" s="1"/>
  <c r="ID564" i="5"/>
  <c r="IC564" i="5" s="1"/>
  <c r="L94" i="7" s="1"/>
  <c r="EX564" i="5"/>
  <c r="EW564" i="5"/>
  <c r="EV564" i="5"/>
  <c r="EU564" i="5"/>
  <c r="ET564" i="5"/>
  <c r="ES564" i="5"/>
  <c r="ER564" i="5"/>
  <c r="EQ564" i="5"/>
  <c r="EP564" i="5"/>
  <c r="EO564" i="5"/>
  <c r="EN564" i="5"/>
  <c r="EM564" i="5"/>
  <c r="EL564" i="5"/>
  <c r="EK564" i="5"/>
  <c r="EJ564" i="5"/>
  <c r="EI564" i="5"/>
  <c r="EH564" i="5"/>
  <c r="EG564" i="5"/>
  <c r="EF564" i="5"/>
  <c r="EE564" i="5"/>
  <c r="ED564" i="5"/>
  <c r="EC564" i="5"/>
  <c r="EB564" i="5"/>
  <c r="EA564" i="5"/>
  <c r="DZ564" i="5"/>
  <c r="DY564" i="5"/>
  <c r="DX564" i="5"/>
  <c r="DW564" i="5"/>
  <c r="DV564" i="5"/>
  <c r="DU564" i="5"/>
  <c r="DT564" i="5"/>
  <c r="DS564" i="5"/>
  <c r="DR564" i="5"/>
  <c r="DQ564" i="5"/>
  <c r="DP564" i="5"/>
  <c r="DO564" i="5"/>
  <c r="DN564" i="5"/>
  <c r="DM564" i="5"/>
  <c r="DL564" i="5"/>
  <c r="DK564" i="5"/>
  <c r="DJ564" i="5"/>
  <c r="DI564" i="5"/>
  <c r="DH564" i="5"/>
  <c r="DG564" i="5"/>
  <c r="DF564" i="5"/>
  <c r="DE564" i="5"/>
  <c r="DD564" i="5"/>
  <c r="DC564" i="5"/>
  <c r="DB564" i="5"/>
  <c r="DA564" i="5"/>
  <c r="CZ564" i="5"/>
  <c r="CY564" i="5"/>
  <c r="CX564" i="5"/>
  <c r="CW564" i="5"/>
  <c r="CV564" i="5"/>
  <c r="CU564" i="5"/>
  <c r="CT564" i="5"/>
  <c r="CS564" i="5"/>
  <c r="CR564" i="5"/>
  <c r="CQ564" i="5"/>
  <c r="CP564" i="5"/>
  <c r="CO564" i="5"/>
  <c r="CN564" i="5"/>
  <c r="CM564" i="5"/>
  <c r="CL564" i="5"/>
  <c r="CK564" i="5"/>
  <c r="CJ564" i="5"/>
  <c r="CI564" i="5"/>
  <c r="CH564" i="5"/>
  <c r="CG564" i="5"/>
  <c r="CF564" i="5"/>
  <c r="CE564" i="5"/>
  <c r="D564" i="5"/>
  <c r="IM563" i="5"/>
  <c r="IK563" i="5" s="1"/>
  <c r="IJ563" i="5"/>
  <c r="II563" i="5" s="1"/>
  <c r="HO563" i="5"/>
  <c r="JB562" i="5"/>
  <c r="IZ562" i="5" s="1"/>
  <c r="IY562" i="5"/>
  <c r="IW562" i="5" s="1"/>
  <c r="IX562" i="5" s="1"/>
  <c r="IV562" i="5"/>
  <c r="IT562" i="5" s="1"/>
  <c r="IU562" i="5" s="1"/>
  <c r="IS562" i="5"/>
  <c r="IQ562" i="5" s="1"/>
  <c r="IR562" i="5" s="1"/>
  <c r="IP562" i="5"/>
  <c r="IN562" i="5" s="1"/>
  <c r="IO562" i="5" s="1"/>
  <c r="IM562" i="5"/>
  <c r="ID562" i="5"/>
  <c r="M93" i="7" s="1"/>
  <c r="EX562" i="5"/>
  <c r="EW562" i="5"/>
  <c r="EV562" i="5"/>
  <c r="EU562" i="5"/>
  <c r="ET562" i="5"/>
  <c r="ES562" i="5"/>
  <c r="ER562" i="5"/>
  <c r="EQ562" i="5"/>
  <c r="EP562" i="5"/>
  <c r="EO562" i="5"/>
  <c r="EN562" i="5"/>
  <c r="EM562" i="5"/>
  <c r="EL562" i="5"/>
  <c r="EK562" i="5"/>
  <c r="EJ562" i="5"/>
  <c r="EI562" i="5"/>
  <c r="EH562" i="5"/>
  <c r="EG562" i="5"/>
  <c r="EF562" i="5"/>
  <c r="EE562" i="5"/>
  <c r="ED562" i="5"/>
  <c r="EC562" i="5"/>
  <c r="EB562" i="5"/>
  <c r="EA562" i="5"/>
  <c r="DZ562" i="5"/>
  <c r="DY562" i="5"/>
  <c r="DX562" i="5"/>
  <c r="DW562" i="5"/>
  <c r="DV562" i="5"/>
  <c r="DU562" i="5"/>
  <c r="DT562" i="5"/>
  <c r="DS562" i="5"/>
  <c r="DR562" i="5"/>
  <c r="DQ562" i="5"/>
  <c r="DP562" i="5"/>
  <c r="DO562" i="5"/>
  <c r="DN562" i="5"/>
  <c r="DM562" i="5"/>
  <c r="IM561" i="5"/>
  <c r="T92" i="7" s="1"/>
  <c r="IJ561" i="5"/>
  <c r="ID561" i="5"/>
  <c r="M92" i="7" s="1"/>
  <c r="EX561" i="5"/>
  <c r="EX600" i="5" s="1"/>
  <c r="EW561" i="5"/>
  <c r="EW600" i="5" s="1"/>
  <c r="EV561" i="5"/>
  <c r="EV600" i="5" s="1"/>
  <c r="EU561" i="5"/>
  <c r="ET561" i="5"/>
  <c r="ET600" i="5" s="1"/>
  <c r="ES561" i="5"/>
  <c r="ES600" i="5" s="1"/>
  <c r="ER561" i="5"/>
  <c r="ER600" i="5" s="1"/>
  <c r="EQ561" i="5"/>
  <c r="EQ600" i="5" s="1"/>
  <c r="EP561" i="5"/>
  <c r="EP600" i="5" s="1"/>
  <c r="EO561" i="5"/>
  <c r="EO600" i="5" s="1"/>
  <c r="EN561" i="5"/>
  <c r="EN600" i="5" s="1"/>
  <c r="EM561" i="5"/>
  <c r="EM600" i="5" s="1"/>
  <c r="EL561" i="5"/>
  <c r="EL600" i="5" s="1"/>
  <c r="EK561" i="5"/>
  <c r="EK600" i="5" s="1"/>
  <c r="EJ561" i="5"/>
  <c r="EI561" i="5"/>
  <c r="EI600" i="5" s="1"/>
  <c r="EH561" i="5"/>
  <c r="EH600" i="5" s="1"/>
  <c r="EG561" i="5"/>
  <c r="EG600" i="5" s="1"/>
  <c r="EF561" i="5"/>
  <c r="EF600" i="5" s="1"/>
  <c r="EE561" i="5"/>
  <c r="EE600" i="5" s="1"/>
  <c r="ED561" i="5"/>
  <c r="EC561" i="5"/>
  <c r="EC600" i="5" s="1"/>
  <c r="EB561" i="5"/>
  <c r="EB600" i="5" s="1"/>
  <c r="EA561" i="5"/>
  <c r="EA600" i="5" s="1"/>
  <c r="DZ561" i="5"/>
  <c r="DZ600" i="5" s="1"/>
  <c r="DY561" i="5"/>
  <c r="DY600" i="5" s="1"/>
  <c r="DX561" i="5"/>
  <c r="DX600" i="5" s="1"/>
  <c r="DW561" i="5"/>
  <c r="DV561" i="5"/>
  <c r="DV600" i="5" s="1"/>
  <c r="DU561" i="5"/>
  <c r="DU600" i="5" s="1"/>
  <c r="DT561" i="5"/>
  <c r="DT600" i="5" s="1"/>
  <c r="DS561" i="5"/>
  <c r="DR561" i="5"/>
  <c r="DR600" i="5" s="1"/>
  <c r="DQ561" i="5"/>
  <c r="DP561" i="5"/>
  <c r="DP600" i="5" s="1"/>
  <c r="DO561" i="5"/>
  <c r="DO600" i="5" s="1"/>
  <c r="DN561" i="5"/>
  <c r="DN600" i="5" s="1"/>
  <c r="DM561" i="5"/>
  <c r="DM600" i="5" s="1"/>
  <c r="DL561" i="5"/>
  <c r="DL600" i="5" s="1"/>
  <c r="DK561" i="5"/>
  <c r="DK600" i="5" s="1"/>
  <c r="DJ561" i="5"/>
  <c r="DI561" i="5"/>
  <c r="DI600" i="5" s="1"/>
  <c r="DH561" i="5"/>
  <c r="DH600" i="5" s="1"/>
  <c r="DG561" i="5"/>
  <c r="DG600" i="5" s="1"/>
  <c r="DF561" i="5"/>
  <c r="DF600" i="5" s="1"/>
  <c r="DE561" i="5"/>
  <c r="DE600" i="5" s="1"/>
  <c r="DD561" i="5"/>
  <c r="DD600" i="5" s="1"/>
  <c r="DC561" i="5"/>
  <c r="DC600" i="5" s="1"/>
  <c r="DB561" i="5"/>
  <c r="DB600" i="5" s="1"/>
  <c r="DA561" i="5"/>
  <c r="DA600" i="5" s="1"/>
  <c r="CZ561" i="5"/>
  <c r="CY561" i="5"/>
  <c r="CY600" i="5" s="1"/>
  <c r="CX561" i="5"/>
  <c r="CX600" i="5" s="1"/>
  <c r="CW561" i="5"/>
  <c r="CW600" i="5" s="1"/>
  <c r="CV561" i="5"/>
  <c r="CU561" i="5"/>
  <c r="CU600" i="5" s="1"/>
  <c r="CT561" i="5"/>
  <c r="CT600" i="5" s="1"/>
  <c r="CS561" i="5"/>
  <c r="CS600" i="5" s="1"/>
  <c r="CR561" i="5"/>
  <c r="CR600" i="5" s="1"/>
  <c r="CQ561" i="5"/>
  <c r="CP561" i="5"/>
  <c r="CO561" i="5"/>
  <c r="CO600" i="5" s="1"/>
  <c r="CN561" i="5"/>
  <c r="CM561" i="5"/>
  <c r="CM600" i="5" s="1"/>
  <c r="CL561" i="5"/>
  <c r="CL600" i="5" s="1"/>
  <c r="CK561" i="5"/>
  <c r="CJ561" i="5"/>
  <c r="CJ600" i="5" s="1"/>
  <c r="CI561" i="5"/>
  <c r="CI600" i="5" s="1"/>
  <c r="CH561" i="5"/>
  <c r="CH600" i="5" s="1"/>
  <c r="CG561" i="5"/>
  <c r="CG600" i="5" s="1"/>
  <c r="CF561" i="5"/>
  <c r="CF600" i="5" s="1"/>
  <c r="CE561" i="5"/>
  <c r="CE600" i="5" s="1"/>
  <c r="D561" i="5"/>
  <c r="JB560" i="5"/>
  <c r="IZ560" i="5" s="1"/>
  <c r="JA560" i="5" s="1"/>
  <c r="IY560" i="5"/>
  <c r="IV560" i="5"/>
  <c r="IT560" i="5" s="1"/>
  <c r="IS560" i="5"/>
  <c r="IQ560" i="5" s="1"/>
  <c r="IR560" i="5" s="1"/>
  <c r="IM560" i="5"/>
  <c r="T91" i="7" s="1"/>
  <c r="IJ560" i="5"/>
  <c r="S91" i="7" s="1"/>
  <c r="IF560" i="5"/>
  <c r="O91" i="7" s="1"/>
  <c r="IE560" i="5"/>
  <c r="ID560" i="5"/>
  <c r="M91" i="7" s="1"/>
  <c r="HZ560" i="5"/>
  <c r="I91" i="7" s="1"/>
  <c r="HY560" i="5"/>
  <c r="G91" i="7" s="1"/>
  <c r="HW560" i="5"/>
  <c r="F91" i="7" s="1"/>
  <c r="HV560" i="5"/>
  <c r="D91" i="7" s="1"/>
  <c r="HU560" i="5"/>
  <c r="HT560" i="5"/>
  <c r="C91" i="7" s="1"/>
  <c r="HS560" i="5"/>
  <c r="HR560" i="5"/>
  <c r="D560" i="5"/>
  <c r="IZ559" i="5"/>
  <c r="JA559" i="5" s="1"/>
  <c r="IW559" i="5"/>
  <c r="IX559" i="5" s="1"/>
  <c r="IT559" i="5"/>
  <c r="IU559" i="5" s="1"/>
  <c r="IQ559" i="5"/>
  <c r="IR559" i="5" s="1"/>
  <c r="IN559" i="5"/>
  <c r="IO559" i="5" s="1"/>
  <c r="IK559" i="5"/>
  <c r="IL559" i="5" s="1"/>
  <c r="ID559" i="5"/>
  <c r="M90" i="7" s="1"/>
  <c r="EX559" i="5"/>
  <c r="EW559" i="5"/>
  <c r="EV559" i="5"/>
  <c r="EU559" i="5"/>
  <c r="ET559" i="5"/>
  <c r="ES559" i="5"/>
  <c r="ER559" i="5"/>
  <c r="EQ559" i="5"/>
  <c r="EP559" i="5"/>
  <c r="EO559" i="5"/>
  <c r="EN559" i="5"/>
  <c r="EM559" i="5"/>
  <c r="EL559" i="5"/>
  <c r="EK559" i="5"/>
  <c r="EJ559" i="5"/>
  <c r="EI559" i="5"/>
  <c r="EH559" i="5"/>
  <c r="EG559" i="5"/>
  <c r="EF559" i="5"/>
  <c r="EE559" i="5"/>
  <c r="ED559" i="5"/>
  <c r="EC559" i="5"/>
  <c r="EB559" i="5"/>
  <c r="EA559" i="5"/>
  <c r="DZ559" i="5"/>
  <c r="DY559" i="5"/>
  <c r="DX559" i="5"/>
  <c r="DW559" i="5"/>
  <c r="DV559" i="5"/>
  <c r="DU559" i="5"/>
  <c r="DT559" i="5"/>
  <c r="DS559" i="5"/>
  <c r="DR559" i="5"/>
  <c r="DQ559" i="5"/>
  <c r="DP559" i="5"/>
  <c r="DO559" i="5"/>
  <c r="D559" i="5"/>
  <c r="IM558" i="5"/>
  <c r="T89" i="7" s="1"/>
  <c r="IJ558" i="5"/>
  <c r="S89" i="7" s="1"/>
  <c r="ID558" i="5"/>
  <c r="M89" i="7" s="1"/>
  <c r="EX558" i="5"/>
  <c r="EW558" i="5"/>
  <c r="EV558" i="5"/>
  <c r="EU558" i="5"/>
  <c r="ET558" i="5"/>
  <c r="ES558" i="5"/>
  <c r="ER558" i="5"/>
  <c r="EQ558" i="5"/>
  <c r="EP558" i="5"/>
  <c r="EO558" i="5"/>
  <c r="EN558" i="5"/>
  <c r="EM558" i="5"/>
  <c r="EL558" i="5"/>
  <c r="EK558" i="5"/>
  <c r="EJ558" i="5"/>
  <c r="EI558" i="5"/>
  <c r="EH558" i="5"/>
  <c r="EG558" i="5"/>
  <c r="EF558" i="5"/>
  <c r="EE558" i="5"/>
  <c r="ED558" i="5"/>
  <c r="EC558" i="5"/>
  <c r="EB558" i="5"/>
  <c r="EA558" i="5"/>
  <c r="DZ558" i="5"/>
  <c r="DY558" i="5"/>
  <c r="DX558" i="5"/>
  <c r="DW558" i="5"/>
  <c r="DV558" i="5"/>
  <c r="DU558" i="5"/>
  <c r="DT558" i="5"/>
  <c r="DS558" i="5"/>
  <c r="DR558" i="5"/>
  <c r="DQ558" i="5"/>
  <c r="DP558" i="5"/>
  <c r="DO558" i="5"/>
  <c r="DN558" i="5"/>
  <c r="DM558" i="5"/>
  <c r="DL558" i="5"/>
  <c r="DK558" i="5"/>
  <c r="DJ558" i="5"/>
  <c r="DI558" i="5"/>
  <c r="DH558" i="5"/>
  <c r="DG558" i="5"/>
  <c r="DF558" i="5"/>
  <c r="DE558" i="5"/>
  <c r="DD558" i="5"/>
  <c r="DC558" i="5"/>
  <c r="DB558" i="5"/>
  <c r="DA558" i="5"/>
  <c r="CZ558" i="5"/>
  <c r="CY558" i="5"/>
  <c r="CX558" i="5"/>
  <c r="CW558" i="5"/>
  <c r="CV558" i="5"/>
  <c r="CU558" i="5"/>
  <c r="CT558" i="5"/>
  <c r="CS558" i="5"/>
  <c r="CR558" i="5"/>
  <c r="CQ558" i="5"/>
  <c r="CP558" i="5"/>
  <c r="CO558" i="5"/>
  <c r="CN558" i="5"/>
  <c r="CM558" i="5"/>
  <c r="CL558" i="5"/>
  <c r="CK558" i="5"/>
  <c r="CJ558" i="5"/>
  <c r="CI558" i="5"/>
  <c r="CH558" i="5"/>
  <c r="CG558" i="5"/>
  <c r="CF558" i="5"/>
  <c r="CE558" i="5"/>
  <c r="D558" i="5"/>
  <c r="JB557" i="5"/>
  <c r="IZ557" i="5" s="1"/>
  <c r="JA557" i="5" s="1"/>
  <c r="IY557" i="5"/>
  <c r="IW557" i="5" s="1"/>
  <c r="IX557" i="5" s="1"/>
  <c r="IV557" i="5"/>
  <c r="IT557" i="5" s="1"/>
  <c r="IU557" i="5" s="1"/>
  <c r="IS557" i="5"/>
  <c r="IQ557" i="5" s="1"/>
  <c r="IP557" i="5"/>
  <c r="IN557" i="5" s="1"/>
  <c r="IO557" i="5" s="1"/>
  <c r="IM557" i="5"/>
  <c r="IJ557" i="5"/>
  <c r="IF557" i="5"/>
  <c r="O88" i="7" s="1"/>
  <c r="IE557" i="5"/>
  <c r="N88" i="7" s="1"/>
  <c r="ID557" i="5"/>
  <c r="M88" i="7" s="1"/>
  <c r="HZ557" i="5"/>
  <c r="I88" i="7" s="1"/>
  <c r="HY557" i="5"/>
  <c r="HW557" i="5"/>
  <c r="F88" i="7" s="1"/>
  <c r="HV557" i="5"/>
  <c r="D88" i="7" s="1"/>
  <c r="HU557" i="5"/>
  <c r="HT557" i="5"/>
  <c r="C88" i="7" s="1"/>
  <c r="HS557" i="5"/>
  <c r="D557" i="5"/>
  <c r="JB555" i="5"/>
  <c r="IZ555" i="5" s="1"/>
  <c r="JA555" i="5" s="1"/>
  <c r="IY555" i="5"/>
  <c r="IW555" i="5" s="1"/>
  <c r="IX555" i="5" s="1"/>
  <c r="IV555" i="5"/>
  <c r="IT555" i="5" s="1"/>
  <c r="IU555" i="5" s="1"/>
  <c r="IS555" i="5"/>
  <c r="IP555" i="5"/>
  <c r="IM555" i="5"/>
  <c r="IJ555" i="5"/>
  <c r="S87" i="7" s="1"/>
  <c r="IF555" i="5"/>
  <c r="O87" i="7" s="1"/>
  <c r="IE555" i="5"/>
  <c r="ID555" i="5"/>
  <c r="IB555" i="5" s="1"/>
  <c r="HZ555" i="5"/>
  <c r="I87" i="7" s="1"/>
  <c r="HY555" i="5"/>
  <c r="HV555" i="5"/>
  <c r="HW555" i="5" s="1"/>
  <c r="F87" i="7" s="1"/>
  <c r="HU555" i="5"/>
  <c r="HT555" i="5"/>
  <c r="C87" i="7" s="1"/>
  <c r="HS555" i="5"/>
  <c r="HR555" i="5"/>
  <c r="D555" i="5"/>
  <c r="IM554" i="5"/>
  <c r="IJ554" i="5"/>
  <c r="ID554" i="5"/>
  <c r="M86" i="7" s="1"/>
  <c r="IB554" i="5"/>
  <c r="J86" i="7" s="1"/>
  <c r="EX554" i="5"/>
  <c r="EW554" i="5"/>
  <c r="EV554" i="5"/>
  <c r="EU554" i="5"/>
  <c r="ET554" i="5"/>
  <c r="ES554" i="5"/>
  <c r="ER554" i="5"/>
  <c r="EQ554" i="5"/>
  <c r="EP554" i="5"/>
  <c r="EO554" i="5"/>
  <c r="EN554" i="5"/>
  <c r="EM554" i="5"/>
  <c r="EL554" i="5"/>
  <c r="EK554" i="5"/>
  <c r="EJ554" i="5"/>
  <c r="EI554" i="5"/>
  <c r="EH554" i="5"/>
  <c r="EG554" i="5"/>
  <c r="EF554" i="5"/>
  <c r="EE554" i="5"/>
  <c r="ED554" i="5"/>
  <c r="EC554" i="5"/>
  <c r="EB554" i="5"/>
  <c r="EA554" i="5"/>
  <c r="DZ554" i="5"/>
  <c r="DY554" i="5"/>
  <c r="DX554" i="5"/>
  <c r="DW554" i="5"/>
  <c r="DV554" i="5"/>
  <c r="DU554" i="5"/>
  <c r="DT554" i="5"/>
  <c r="DS554" i="5"/>
  <c r="DR554" i="5"/>
  <c r="DQ554" i="5"/>
  <c r="DP554" i="5"/>
  <c r="DO554" i="5"/>
  <c r="DN554" i="5"/>
  <c r="DM554" i="5"/>
  <c r="DL554" i="5"/>
  <c r="DK554" i="5"/>
  <c r="DJ554" i="5"/>
  <c r="DI554" i="5"/>
  <c r="DH554" i="5"/>
  <c r="DG554" i="5"/>
  <c r="DF554" i="5"/>
  <c r="DE554" i="5"/>
  <c r="DD554" i="5"/>
  <c r="DC554" i="5"/>
  <c r="DB554" i="5"/>
  <c r="DA554" i="5"/>
  <c r="CZ554" i="5"/>
  <c r="CY554" i="5"/>
  <c r="CX554" i="5"/>
  <c r="CW554" i="5"/>
  <c r="CV554" i="5"/>
  <c r="CU554" i="5"/>
  <c r="CT554" i="5"/>
  <c r="CS554" i="5"/>
  <c r="CR554" i="5"/>
  <c r="CQ554" i="5"/>
  <c r="CP554" i="5"/>
  <c r="CO554" i="5"/>
  <c r="CN554" i="5"/>
  <c r="CM554" i="5"/>
  <c r="CL554" i="5"/>
  <c r="CK554" i="5"/>
  <c r="CJ554" i="5"/>
  <c r="CI554" i="5"/>
  <c r="CH554" i="5"/>
  <c r="CG554" i="5"/>
  <c r="CF554" i="5"/>
  <c r="CE554" i="5"/>
  <c r="D554" i="5"/>
  <c r="JB553" i="5"/>
  <c r="IZ553" i="5" s="1"/>
  <c r="JA553" i="5" s="1"/>
  <c r="IY553" i="5"/>
  <c r="IV553" i="5"/>
  <c r="IT553" i="5" s="1"/>
  <c r="IU553" i="5" s="1"/>
  <c r="IS553" i="5"/>
  <c r="IM553" i="5"/>
  <c r="T85" i="7" s="1"/>
  <c r="IJ553" i="5"/>
  <c r="IH553" i="5" s="1"/>
  <c r="ID553" i="5"/>
  <c r="M85" i="7" s="1"/>
  <c r="HU553" i="5"/>
  <c r="HT553" i="5"/>
  <c r="C85" i="7" s="1"/>
  <c r="HS553" i="5"/>
  <c r="EX553" i="5"/>
  <c r="EW553" i="5"/>
  <c r="EV553" i="5"/>
  <c r="EU553" i="5"/>
  <c r="ET553" i="5"/>
  <c r="ES553" i="5"/>
  <c r="ER553" i="5"/>
  <c r="EQ553" i="5"/>
  <c r="EP553" i="5"/>
  <c r="EO553" i="5"/>
  <c r="EN553" i="5"/>
  <c r="EM553" i="5"/>
  <c r="EL553" i="5"/>
  <c r="EK553" i="5"/>
  <c r="EJ553" i="5"/>
  <c r="EI553" i="5"/>
  <c r="EH553" i="5"/>
  <c r="EG553" i="5"/>
  <c r="EF553" i="5"/>
  <c r="EE553" i="5"/>
  <c r="ED553" i="5"/>
  <c r="EC553" i="5"/>
  <c r="EB553" i="5"/>
  <c r="EA553" i="5"/>
  <c r="DZ553" i="5"/>
  <c r="DY553" i="5"/>
  <c r="DX553" i="5"/>
  <c r="DW553" i="5"/>
  <c r="DV553" i="5"/>
  <c r="DU553" i="5"/>
  <c r="DT553" i="5"/>
  <c r="DS553" i="5"/>
  <c r="DR553" i="5"/>
  <c r="DQ553" i="5"/>
  <c r="DP553" i="5"/>
  <c r="DO553" i="5"/>
  <c r="DN553" i="5"/>
  <c r="DM553" i="5"/>
  <c r="DL553" i="5"/>
  <c r="DK553" i="5"/>
  <c r="DJ553" i="5"/>
  <c r="DI553" i="5"/>
  <c r="DH553" i="5"/>
  <c r="DG553" i="5"/>
  <c r="DF553" i="5"/>
  <c r="DE553" i="5"/>
  <c r="DD553" i="5"/>
  <c r="DC553" i="5"/>
  <c r="D553" i="5"/>
  <c r="JB552" i="5"/>
  <c r="IZ552" i="5" s="1"/>
  <c r="JA552" i="5" s="1"/>
  <c r="IY552" i="5"/>
  <c r="IW552" i="5" s="1"/>
  <c r="IX552" i="5" s="1"/>
  <c r="IV552" i="5"/>
  <c r="IT552" i="5" s="1"/>
  <c r="IU552" i="5" s="1"/>
  <c r="IS552" i="5"/>
  <c r="IQ552" i="5" s="1"/>
  <c r="IR552" i="5" s="1"/>
  <c r="IM552" i="5"/>
  <c r="T84" i="7" s="1"/>
  <c r="IJ552" i="5"/>
  <c r="S93" i="7" s="1"/>
  <c r="ID552" i="5"/>
  <c r="M84" i="7" s="1"/>
  <c r="HU552" i="5"/>
  <c r="HT552" i="5"/>
  <c r="C84" i="7" s="1"/>
  <c r="HS552" i="5"/>
  <c r="EX552" i="5"/>
  <c r="EW552" i="5"/>
  <c r="EV552" i="5"/>
  <c r="EU552" i="5"/>
  <c r="ET552" i="5"/>
  <c r="ES552" i="5"/>
  <c r="ER552" i="5"/>
  <c r="EQ552" i="5"/>
  <c r="EP552" i="5"/>
  <c r="EO552" i="5"/>
  <c r="EN552" i="5"/>
  <c r="EM552" i="5"/>
  <c r="EL552" i="5"/>
  <c r="EK552" i="5"/>
  <c r="EJ552" i="5"/>
  <c r="EI552" i="5"/>
  <c r="EH552" i="5"/>
  <c r="EG552" i="5"/>
  <c r="EF552" i="5"/>
  <c r="EE552" i="5"/>
  <c r="ED552" i="5"/>
  <c r="EC552" i="5"/>
  <c r="EB552" i="5"/>
  <c r="EA552" i="5"/>
  <c r="DZ552" i="5"/>
  <c r="DY552" i="5"/>
  <c r="DX552" i="5"/>
  <c r="DW552" i="5"/>
  <c r="DV552" i="5"/>
  <c r="DU552" i="5"/>
  <c r="DT552" i="5"/>
  <c r="DS552" i="5"/>
  <c r="DR552" i="5"/>
  <c r="DQ552" i="5"/>
  <c r="DP552" i="5"/>
  <c r="DO552" i="5"/>
  <c r="DN552" i="5"/>
  <c r="DM552" i="5"/>
  <c r="DL552" i="5"/>
  <c r="DK552" i="5"/>
  <c r="DJ552" i="5"/>
  <c r="DI552" i="5"/>
  <c r="DH552" i="5"/>
  <c r="DG552" i="5"/>
  <c r="DF552" i="5"/>
  <c r="DE552" i="5"/>
  <c r="DD552" i="5"/>
  <c r="DC552" i="5"/>
  <c r="D552" i="5"/>
  <c r="JB551" i="5"/>
  <c r="IZ551" i="5" s="1"/>
  <c r="JA551" i="5" s="1"/>
  <c r="IY551" i="5"/>
  <c r="IW551" i="5" s="1"/>
  <c r="IV551" i="5"/>
  <c r="IT551" i="5" s="1"/>
  <c r="IS551" i="5"/>
  <c r="IP551" i="5"/>
  <c r="IN551" i="5" s="1"/>
  <c r="IM551" i="5"/>
  <c r="T83" i="7" s="1"/>
  <c r="IJ551" i="5"/>
  <c r="S83" i="7" s="1"/>
  <c r="ID551" i="5"/>
  <c r="M83" i="7" s="1"/>
  <c r="HU551" i="5"/>
  <c r="HT551" i="5"/>
  <c r="C83" i="7" s="1"/>
  <c r="HS551" i="5"/>
  <c r="HR551" i="5"/>
  <c r="EX551" i="5"/>
  <c r="EW551" i="5"/>
  <c r="EV551" i="5"/>
  <c r="EU551" i="5"/>
  <c r="ET551" i="5"/>
  <c r="ES551" i="5"/>
  <c r="ER551" i="5"/>
  <c r="EQ551" i="5"/>
  <c r="EP551" i="5"/>
  <c r="EO551" i="5"/>
  <c r="EN551" i="5"/>
  <c r="EM551" i="5"/>
  <c r="EL551" i="5"/>
  <c r="EK551" i="5"/>
  <c r="EJ551" i="5"/>
  <c r="EI551" i="5"/>
  <c r="EH551" i="5"/>
  <c r="EG551" i="5"/>
  <c r="EF551" i="5"/>
  <c r="EE551" i="5"/>
  <c r="ED551" i="5"/>
  <c r="EC551" i="5"/>
  <c r="EB551" i="5"/>
  <c r="EA551" i="5"/>
  <c r="DZ551" i="5"/>
  <c r="DY551" i="5"/>
  <c r="DX551" i="5"/>
  <c r="DW551" i="5"/>
  <c r="DV551" i="5"/>
  <c r="DU551" i="5"/>
  <c r="DT551" i="5"/>
  <c r="DS551" i="5"/>
  <c r="DR551" i="5"/>
  <c r="DQ551" i="5"/>
  <c r="DP551" i="5"/>
  <c r="DO551" i="5"/>
  <c r="DN551" i="5"/>
  <c r="DM551" i="5"/>
  <c r="DL551" i="5"/>
  <c r="DK551" i="5"/>
  <c r="DJ551" i="5"/>
  <c r="DI551" i="5"/>
  <c r="DH551" i="5"/>
  <c r="DG551" i="5"/>
  <c r="DF551" i="5"/>
  <c r="DE551" i="5"/>
  <c r="DD551" i="5"/>
  <c r="DC551" i="5"/>
  <c r="D551" i="5"/>
  <c r="KP550" i="5"/>
  <c r="KP640" i="5" s="1"/>
  <c r="KO550" i="5"/>
  <c r="KO640" i="5" s="1"/>
  <c r="KN550" i="5"/>
  <c r="KN640" i="5" s="1"/>
  <c r="KM550" i="5"/>
  <c r="KM640" i="5" s="1"/>
  <c r="IM550" i="5"/>
  <c r="T82" i="7" s="1"/>
  <c r="IJ550" i="5"/>
  <c r="IJ640" i="5" s="1"/>
  <c r="ID550" i="5"/>
  <c r="M82" i="7" s="1"/>
  <c r="D550" i="5"/>
  <c r="D640" i="5" s="1"/>
  <c r="JB549" i="5"/>
  <c r="IZ549" i="5" s="1"/>
  <c r="JA549" i="5" s="1"/>
  <c r="IY549" i="5"/>
  <c r="IW549" i="5" s="1"/>
  <c r="IX549" i="5" s="1"/>
  <c r="IV549" i="5"/>
  <c r="IT549" i="5" s="1"/>
  <c r="IS549" i="5"/>
  <c r="IQ549" i="5" s="1"/>
  <c r="IM549" i="5"/>
  <c r="T81" i="7" s="1"/>
  <c r="IJ549" i="5"/>
  <c r="S81" i="7" s="1"/>
  <c r="IF549" i="5"/>
  <c r="O81" i="7" s="1"/>
  <c r="IE549" i="5"/>
  <c r="ID549" i="5"/>
  <c r="M81" i="7" s="1"/>
  <c r="HZ549" i="5"/>
  <c r="I81" i="7" s="1"/>
  <c r="HY549" i="5"/>
  <c r="G81" i="7" s="1"/>
  <c r="HU549" i="5"/>
  <c r="HT549" i="5"/>
  <c r="C81" i="7" s="1"/>
  <c r="HS549" i="5"/>
  <c r="HR549" i="5"/>
  <c r="D549" i="5"/>
  <c r="JB548" i="5"/>
  <c r="IZ548" i="5" s="1"/>
  <c r="JA548" i="5" s="1"/>
  <c r="IY548" i="5"/>
  <c r="IW548" i="5" s="1"/>
  <c r="IX548" i="5" s="1"/>
  <c r="IV548" i="5"/>
  <c r="IT548" i="5" s="1"/>
  <c r="IS548" i="5"/>
  <c r="IQ548" i="5" s="1"/>
  <c r="IR548" i="5" s="1"/>
  <c r="IP548" i="5"/>
  <c r="IN548" i="5" s="1"/>
  <c r="IO548" i="5" s="1"/>
  <c r="IM548" i="5"/>
  <c r="T80" i="7" s="1"/>
  <c r="IJ548" i="5"/>
  <c r="S80" i="7" s="1"/>
  <c r="IF548" i="5"/>
  <c r="O80" i="7" s="1"/>
  <c r="IE548" i="5"/>
  <c r="ID548" i="5"/>
  <c r="M80" i="7" s="1"/>
  <c r="HZ548" i="5"/>
  <c r="I80" i="7" s="1"/>
  <c r="HY548" i="5"/>
  <c r="HU548" i="5"/>
  <c r="HT548" i="5"/>
  <c r="C80" i="7" s="1"/>
  <c r="HS548" i="5"/>
  <c r="HR548" i="5"/>
  <c r="CP548" i="5"/>
  <c r="CO548" i="5"/>
  <c r="CN548" i="5"/>
  <c r="CM548" i="5"/>
  <c r="CL548" i="5"/>
  <c r="CK548" i="5"/>
  <c r="CJ548" i="5"/>
  <c r="CI548" i="5"/>
  <c r="CH548" i="5"/>
  <c r="CG548" i="5"/>
  <c r="CF548" i="5"/>
  <c r="CE548" i="5"/>
  <c r="D548" i="5"/>
  <c r="JB547" i="5"/>
  <c r="IZ547" i="5" s="1"/>
  <c r="JA547" i="5" s="1"/>
  <c r="IY547" i="5"/>
  <c r="IW547" i="5" s="1"/>
  <c r="IX547" i="5" s="1"/>
  <c r="IV547" i="5"/>
  <c r="IT547" i="5" s="1"/>
  <c r="IU547" i="5" s="1"/>
  <c r="IS547" i="5"/>
  <c r="IQ547" i="5" s="1"/>
  <c r="IP547" i="5"/>
  <c r="IN547" i="5" s="1"/>
  <c r="IO547" i="5" s="1"/>
  <c r="IM547" i="5"/>
  <c r="IK547" i="5" s="1"/>
  <c r="IL547" i="5" s="1"/>
  <c r="IJ547" i="5"/>
  <c r="S79" i="7" s="1"/>
  <c r="IF547" i="5"/>
  <c r="O79" i="7" s="1"/>
  <c r="IE547" i="5"/>
  <c r="N79" i="7" s="1"/>
  <c r="ID547" i="5"/>
  <c r="M79" i="7" s="1"/>
  <c r="HZ547" i="5"/>
  <c r="I79" i="7" s="1"/>
  <c r="HY547" i="5"/>
  <c r="G79" i="7" s="1"/>
  <c r="HU547" i="5"/>
  <c r="HT547" i="5"/>
  <c r="C79" i="7" s="1"/>
  <c r="HS547" i="5"/>
  <c r="HR547" i="5"/>
  <c r="D547" i="5"/>
  <c r="JB546" i="5"/>
  <c r="IY546" i="5"/>
  <c r="IW546" i="5" s="1"/>
  <c r="IX546" i="5" s="1"/>
  <c r="IV546" i="5"/>
  <c r="IT546" i="5" s="1"/>
  <c r="IS546" i="5"/>
  <c r="IQ546" i="5" s="1"/>
  <c r="IP546" i="5"/>
  <c r="IN546" i="5" s="1"/>
  <c r="IM546" i="5"/>
  <c r="T78" i="7" s="1"/>
  <c r="IJ546" i="5"/>
  <c r="S78" i="7" s="1"/>
  <c r="IF546" i="5"/>
  <c r="O78" i="7" s="1"/>
  <c r="IE546" i="5"/>
  <c r="N78" i="7" s="1"/>
  <c r="ID546" i="5"/>
  <c r="M78" i="7" s="1"/>
  <c r="HZ546" i="5"/>
  <c r="I78" i="7" s="1"/>
  <c r="HY546" i="5"/>
  <c r="G78" i="7" s="1"/>
  <c r="HU546" i="5"/>
  <c r="HT546" i="5"/>
  <c r="C78" i="7" s="1"/>
  <c r="HS546" i="5"/>
  <c r="HR546" i="5"/>
  <c r="D546" i="5"/>
  <c r="IZ545" i="5"/>
  <c r="JA545" i="5" s="1"/>
  <c r="IW545" i="5"/>
  <c r="IX545" i="5" s="1"/>
  <c r="IT545" i="5"/>
  <c r="IU545" i="5" s="1"/>
  <c r="IQ545" i="5"/>
  <c r="IR545" i="5" s="1"/>
  <c r="IN545" i="5"/>
  <c r="IO545" i="5" s="1"/>
  <c r="IK545" i="5"/>
  <c r="IL545" i="5" s="1"/>
  <c r="IF545" i="5"/>
  <c r="O77" i="7" s="1"/>
  <c r="IE545" i="5"/>
  <c r="N77" i="7" s="1"/>
  <c r="ID545" i="5"/>
  <c r="M77" i="7" s="1"/>
  <c r="HZ545" i="5"/>
  <c r="DC545" i="5"/>
  <c r="D545" i="5"/>
  <c r="IZ544" i="5"/>
  <c r="JA544" i="5" s="1"/>
  <c r="IW544" i="5"/>
  <c r="IX544" i="5" s="1"/>
  <c r="IT544" i="5"/>
  <c r="IU544" i="5" s="1"/>
  <c r="IQ544" i="5"/>
  <c r="IR544" i="5" s="1"/>
  <c r="IN544" i="5"/>
  <c r="IO544" i="5" s="1"/>
  <c r="IK544" i="5"/>
  <c r="IL544" i="5" s="1"/>
  <c r="IF544" i="5"/>
  <c r="IE544" i="5"/>
  <c r="N76" i="7" s="1"/>
  <c r="ID544" i="5"/>
  <c r="M76" i="7" s="1"/>
  <c r="HZ544" i="5"/>
  <c r="DC544" i="5"/>
  <c r="DC606" i="5" s="1"/>
  <c r="D544" i="5"/>
  <c r="IM543" i="5"/>
  <c r="T75" i="7" s="1"/>
  <c r="IJ543" i="5"/>
  <c r="S75" i="7" s="1"/>
  <c r="ID543" i="5"/>
  <c r="M75" i="7" s="1"/>
  <c r="D543" i="5"/>
  <c r="JB542" i="5"/>
  <c r="IZ542" i="5" s="1"/>
  <c r="IY542" i="5"/>
  <c r="IW542" i="5" s="1"/>
  <c r="IX542" i="5" s="1"/>
  <c r="IV542" i="5"/>
  <c r="IS542" i="5"/>
  <c r="IQ542" i="5" s="1"/>
  <c r="IR542" i="5" s="1"/>
  <c r="IP542" i="5"/>
  <c r="IN542" i="5" s="1"/>
  <c r="IM542" i="5"/>
  <c r="T74" i="7" s="1"/>
  <c r="IJ542" i="5"/>
  <c r="S74" i="7" s="1"/>
  <c r="ID542" i="5"/>
  <c r="M74" i="7" s="1"/>
  <c r="HR542" i="5"/>
  <c r="EX542" i="5"/>
  <c r="EW542" i="5"/>
  <c r="EV542" i="5"/>
  <c r="EU542" i="5"/>
  <c r="ET542" i="5"/>
  <c r="ES542" i="5"/>
  <c r="ER542" i="5"/>
  <c r="EQ542" i="5"/>
  <c r="EP542" i="5"/>
  <c r="EO542" i="5"/>
  <c r="EN542" i="5"/>
  <c r="EM542" i="5"/>
  <c r="EL542" i="5"/>
  <c r="EK542" i="5"/>
  <c r="EJ542" i="5"/>
  <c r="EI542" i="5"/>
  <c r="EH542" i="5"/>
  <c r="EG542" i="5"/>
  <c r="EF542" i="5"/>
  <c r="EE542" i="5"/>
  <c r="ED542" i="5"/>
  <c r="EC542" i="5"/>
  <c r="EB542" i="5"/>
  <c r="EA542" i="5"/>
  <c r="DZ542" i="5"/>
  <c r="DY542" i="5"/>
  <c r="DX542" i="5"/>
  <c r="DW542" i="5"/>
  <c r="DV542" i="5"/>
  <c r="DU542" i="5"/>
  <c r="DT542" i="5"/>
  <c r="DS542" i="5"/>
  <c r="DR542" i="5"/>
  <c r="DQ542" i="5"/>
  <c r="DP542" i="5"/>
  <c r="DO542" i="5"/>
  <c r="DN542" i="5"/>
  <c r="DM542" i="5"/>
  <c r="DL542" i="5"/>
  <c r="DK542" i="5"/>
  <c r="DJ542" i="5"/>
  <c r="DI542" i="5"/>
  <c r="DH542" i="5"/>
  <c r="DG542" i="5"/>
  <c r="DF542" i="5"/>
  <c r="DE542" i="5"/>
  <c r="DD542" i="5"/>
  <c r="DC542" i="5"/>
  <c r="DB542" i="5"/>
  <c r="DA542" i="5"/>
  <c r="CZ542" i="5"/>
  <c r="CY542" i="5"/>
  <c r="CX542" i="5"/>
  <c r="CW542" i="5"/>
  <c r="CV542" i="5"/>
  <c r="CU542" i="5"/>
  <c r="CT542" i="5"/>
  <c r="CS542" i="5"/>
  <c r="CR542" i="5"/>
  <c r="CQ542" i="5"/>
  <c r="D542" i="5"/>
  <c r="IM541" i="5"/>
  <c r="T73" i="7" s="1"/>
  <c r="IJ541" i="5"/>
  <c r="S73" i="7" s="1"/>
  <c r="ID541" i="5"/>
  <c r="M73" i="7" s="1"/>
  <c r="HU541" i="5"/>
  <c r="HT541" i="5"/>
  <c r="C73" i="7" s="1"/>
  <c r="HS541" i="5"/>
  <c r="EX541" i="5"/>
  <c r="EW541" i="5"/>
  <c r="EV541" i="5"/>
  <c r="EU541" i="5"/>
  <c r="ET541" i="5"/>
  <c r="ES541" i="5"/>
  <c r="ER541" i="5"/>
  <c r="EQ541" i="5"/>
  <c r="EP541" i="5"/>
  <c r="EO541" i="5"/>
  <c r="EN541" i="5"/>
  <c r="EM541" i="5"/>
  <c r="EL541" i="5"/>
  <c r="EK541" i="5"/>
  <c r="EJ541" i="5"/>
  <c r="EI541" i="5"/>
  <c r="EH541" i="5"/>
  <c r="EG541" i="5"/>
  <c r="EF541" i="5"/>
  <c r="EE541" i="5"/>
  <c r="ED541" i="5"/>
  <c r="EC541" i="5"/>
  <c r="EB541" i="5"/>
  <c r="EA541" i="5"/>
  <c r="DZ541" i="5"/>
  <c r="DY541" i="5"/>
  <c r="DX541" i="5"/>
  <c r="DW541" i="5"/>
  <c r="DV541" i="5"/>
  <c r="DU541" i="5"/>
  <c r="DT541" i="5"/>
  <c r="DS541" i="5"/>
  <c r="DR541" i="5"/>
  <c r="DQ541" i="5"/>
  <c r="DP541" i="5"/>
  <c r="DO541" i="5"/>
  <c r="DN541" i="5"/>
  <c r="DM541" i="5"/>
  <c r="DL541" i="5"/>
  <c r="DK541" i="5"/>
  <c r="DJ541" i="5"/>
  <c r="DI541" i="5"/>
  <c r="DH541" i="5"/>
  <c r="DG541" i="5"/>
  <c r="DF541" i="5"/>
  <c r="DE541" i="5"/>
  <c r="DD541" i="5"/>
  <c r="DC541" i="5"/>
  <c r="D541" i="5"/>
  <c r="JB540" i="5"/>
  <c r="IZ540" i="5" s="1"/>
  <c r="IY540" i="5"/>
  <c r="IW540" i="5" s="1"/>
  <c r="IX540" i="5" s="1"/>
  <c r="IV540" i="5"/>
  <c r="IT540" i="5" s="1"/>
  <c r="IS540" i="5"/>
  <c r="IP540" i="5"/>
  <c r="IM540" i="5"/>
  <c r="T72" i="7" s="1"/>
  <c r="IJ540" i="5"/>
  <c r="S72" i="7" s="1"/>
  <c r="ID540" i="5"/>
  <c r="IB540" i="5" s="1"/>
  <c r="J72" i="7" s="1"/>
  <c r="HR540" i="5"/>
  <c r="EX540" i="5"/>
  <c r="EW540" i="5"/>
  <c r="EV540" i="5"/>
  <c r="EU540" i="5"/>
  <c r="ET540" i="5"/>
  <c r="ES540" i="5"/>
  <c r="ER540" i="5"/>
  <c r="EQ540" i="5"/>
  <c r="EP540" i="5"/>
  <c r="EO540" i="5"/>
  <c r="EN540" i="5"/>
  <c r="EM540" i="5"/>
  <c r="EL540" i="5"/>
  <c r="EK540" i="5"/>
  <c r="EJ540" i="5"/>
  <c r="EI540" i="5"/>
  <c r="EH540" i="5"/>
  <c r="EG540" i="5"/>
  <c r="EF540" i="5"/>
  <c r="EE540" i="5"/>
  <c r="ED540" i="5"/>
  <c r="EC540" i="5"/>
  <c r="EB540" i="5"/>
  <c r="EA540" i="5"/>
  <c r="DZ540" i="5"/>
  <c r="DY540" i="5"/>
  <c r="DX540" i="5"/>
  <c r="DW540" i="5"/>
  <c r="DV540" i="5"/>
  <c r="DU540" i="5"/>
  <c r="DT540" i="5"/>
  <c r="DS540" i="5"/>
  <c r="DR540" i="5"/>
  <c r="DQ540" i="5"/>
  <c r="DP540" i="5"/>
  <c r="DO540" i="5"/>
  <c r="DN540" i="5"/>
  <c r="DM540" i="5"/>
  <c r="DL540" i="5"/>
  <c r="DK540" i="5"/>
  <c r="DJ540" i="5"/>
  <c r="DI540" i="5"/>
  <c r="DH540" i="5"/>
  <c r="DG540" i="5"/>
  <c r="DF540" i="5"/>
  <c r="DE540" i="5"/>
  <c r="DD540" i="5"/>
  <c r="DC540" i="5"/>
  <c r="DB540" i="5"/>
  <c r="DA540" i="5"/>
  <c r="CZ540" i="5"/>
  <c r="CY540" i="5"/>
  <c r="CX540" i="5"/>
  <c r="CW540" i="5"/>
  <c r="CV540" i="5"/>
  <c r="CU540" i="5"/>
  <c r="CT540" i="5"/>
  <c r="CS540" i="5"/>
  <c r="CR540" i="5"/>
  <c r="CQ540" i="5"/>
  <c r="CP540" i="5"/>
  <c r="CO540" i="5"/>
  <c r="CN540" i="5"/>
  <c r="CM540" i="5"/>
  <c r="CL540" i="5"/>
  <c r="CK540" i="5"/>
  <c r="CJ540" i="5"/>
  <c r="CI540" i="5"/>
  <c r="CH540" i="5"/>
  <c r="CG540" i="5"/>
  <c r="CF540" i="5"/>
  <c r="CE540" i="5"/>
  <c r="D540" i="5"/>
  <c r="JB539" i="5"/>
  <c r="IZ539" i="5" s="1"/>
  <c r="JA539" i="5" s="1"/>
  <c r="IY539" i="5"/>
  <c r="IW539" i="5" s="1"/>
  <c r="IV539" i="5"/>
  <c r="IT539" i="5" s="1"/>
  <c r="IU539" i="5" s="1"/>
  <c r="IS539" i="5"/>
  <c r="IQ539" i="5" s="1"/>
  <c r="IP539" i="5"/>
  <c r="IM539" i="5"/>
  <c r="IJ539" i="5"/>
  <c r="S71" i="7" s="1"/>
  <c r="IF539" i="5"/>
  <c r="O71" i="7" s="1"/>
  <c r="IE539" i="5"/>
  <c r="ID539" i="5"/>
  <c r="M71" i="7" s="1"/>
  <c r="HZ539" i="5"/>
  <c r="I71" i="7" s="1"/>
  <c r="HY539" i="5"/>
  <c r="G71" i="7" s="1"/>
  <c r="HU539" i="5"/>
  <c r="HT539" i="5"/>
  <c r="C71" i="7" s="1"/>
  <c r="HS539" i="5"/>
  <c r="HR539" i="5"/>
  <c r="D539" i="5"/>
  <c r="JB538" i="5"/>
  <c r="IZ538" i="5" s="1"/>
  <c r="JA538" i="5" s="1"/>
  <c r="IY538" i="5"/>
  <c r="IW538" i="5" s="1"/>
  <c r="IX538" i="5" s="1"/>
  <c r="IV538" i="5"/>
  <c r="IT538" i="5" s="1"/>
  <c r="IS538" i="5"/>
  <c r="IQ538" i="5" s="1"/>
  <c r="IR538" i="5" s="1"/>
  <c r="IP538" i="5"/>
  <c r="IM538" i="5"/>
  <c r="T70" i="7" s="1"/>
  <c r="IJ538" i="5"/>
  <c r="S70" i="7" s="1"/>
  <c r="IF538" i="5"/>
  <c r="IE538" i="5"/>
  <c r="N70" i="7" s="1"/>
  <c r="ID538" i="5"/>
  <c r="M70" i="7" s="1"/>
  <c r="HZ538" i="5"/>
  <c r="I70" i="7" s="1"/>
  <c r="HY538" i="5"/>
  <c r="G70" i="7" s="1"/>
  <c r="HU538" i="5"/>
  <c r="HT538" i="5"/>
  <c r="C70" i="7" s="1"/>
  <c r="HS538" i="5"/>
  <c r="HR538" i="5"/>
  <c r="D538" i="5"/>
  <c r="IP537" i="5"/>
  <c r="IN537" i="5" s="1"/>
  <c r="IO537" i="5" s="1"/>
  <c r="IM537" i="5"/>
  <c r="IK537" i="5" s="1"/>
  <c r="IJ537" i="5"/>
  <c r="S69" i="7" s="1"/>
  <c r="ID537" i="5"/>
  <c r="EX537" i="5"/>
  <c r="EX1150" i="5" s="1"/>
  <c r="EW537" i="5"/>
  <c r="EW1150" i="5" s="1"/>
  <c r="EV537" i="5"/>
  <c r="EU537" i="5"/>
  <c r="EU1150" i="5" s="1"/>
  <c r="ET537" i="5"/>
  <c r="ET1150" i="5" s="1"/>
  <c r="ES537" i="5"/>
  <c r="ES1150" i="5" s="1"/>
  <c r="ER537" i="5"/>
  <c r="ER1150" i="5" s="1"/>
  <c r="EQ537" i="5"/>
  <c r="EQ1150" i="5" s="1"/>
  <c r="EP537" i="5"/>
  <c r="EP1150" i="5" s="1"/>
  <c r="EO537" i="5"/>
  <c r="EO1150" i="5" s="1"/>
  <c r="EN537" i="5"/>
  <c r="EN1150" i="5" s="1"/>
  <c r="EM537" i="5"/>
  <c r="EM1150" i="5" s="1"/>
  <c r="EL537" i="5"/>
  <c r="EL1150" i="5" s="1"/>
  <c r="EK537" i="5"/>
  <c r="EK1150" i="5" s="1"/>
  <c r="EJ537" i="5"/>
  <c r="EJ1150" i="5" s="1"/>
  <c r="EI537" i="5"/>
  <c r="EI1150" i="5" s="1"/>
  <c r="EH537" i="5"/>
  <c r="EH1150" i="5" s="1"/>
  <c r="EG537" i="5"/>
  <c r="EG1150" i="5" s="1"/>
  <c r="EF537" i="5"/>
  <c r="EF1150" i="5" s="1"/>
  <c r="EE537" i="5"/>
  <c r="EE1150" i="5" s="1"/>
  <c r="ED537" i="5"/>
  <c r="EC537" i="5"/>
  <c r="EC1150" i="5" s="1"/>
  <c r="EB537" i="5"/>
  <c r="EB1150" i="5" s="1"/>
  <c r="EA537" i="5"/>
  <c r="EA1150" i="5" s="1"/>
  <c r="DZ537" i="5"/>
  <c r="DZ1150" i="5" s="1"/>
  <c r="DY537" i="5"/>
  <c r="DY1150" i="5" s="1"/>
  <c r="DX537" i="5"/>
  <c r="DX1150" i="5" s="1"/>
  <c r="DW537" i="5"/>
  <c r="DW1150" i="5" s="1"/>
  <c r="DV537" i="5"/>
  <c r="DV1150" i="5" s="1"/>
  <c r="DU537" i="5"/>
  <c r="DT537" i="5"/>
  <c r="DT1150" i="5" s="1"/>
  <c r="DS537" i="5"/>
  <c r="DS1150" i="5" s="1"/>
  <c r="DR537" i="5"/>
  <c r="DQ537" i="5"/>
  <c r="DQ1150" i="5" s="1"/>
  <c r="DP537" i="5"/>
  <c r="DP1150" i="5" s="1"/>
  <c r="DO537" i="5"/>
  <c r="DO1150" i="5" s="1"/>
  <c r="DN537" i="5"/>
  <c r="DN1150" i="5" s="1"/>
  <c r="DM537" i="5"/>
  <c r="DM1150" i="5" s="1"/>
  <c r="DL537" i="5"/>
  <c r="DL1150" i="5" s="1"/>
  <c r="DK537" i="5"/>
  <c r="DK1150" i="5" s="1"/>
  <c r="DJ537" i="5"/>
  <c r="DJ1150" i="5" s="1"/>
  <c r="DI537" i="5"/>
  <c r="DH537" i="5"/>
  <c r="DH1150" i="5" s="1"/>
  <c r="DG537" i="5"/>
  <c r="DG1150" i="5" s="1"/>
  <c r="DF537" i="5"/>
  <c r="DF1150" i="5" s="1"/>
  <c r="DE537" i="5"/>
  <c r="DE1150" i="5" s="1"/>
  <c r="DD537" i="5"/>
  <c r="DC537" i="5"/>
  <c r="DC1150" i="5" s="1"/>
  <c r="DB537" i="5"/>
  <c r="DB1150" i="5" s="1"/>
  <c r="DA537" i="5"/>
  <c r="DA1150" i="5" s="1"/>
  <c r="CZ537" i="5"/>
  <c r="CY537" i="5"/>
  <c r="CY1150" i="5" s="1"/>
  <c r="CX537" i="5"/>
  <c r="CX1150" i="5" s="1"/>
  <c r="CW537" i="5"/>
  <c r="CV537" i="5"/>
  <c r="CV1150" i="5" s="1"/>
  <c r="CU537" i="5"/>
  <c r="CU1150" i="5" s="1"/>
  <c r="CT537" i="5"/>
  <c r="CT1150" i="5" s="1"/>
  <c r="CS537" i="5"/>
  <c r="CS1150" i="5" s="1"/>
  <c r="CR537" i="5"/>
  <c r="CR1150" i="5" s="1"/>
  <c r="CQ537" i="5"/>
  <c r="CP537" i="5"/>
  <c r="CO537" i="5"/>
  <c r="CO1150" i="5" s="1"/>
  <c r="CN537" i="5"/>
  <c r="CN1150" i="5" s="1"/>
  <c r="CM537" i="5"/>
  <c r="CM1150" i="5" s="1"/>
  <c r="CL537" i="5"/>
  <c r="CL1150" i="5" s="1"/>
  <c r="CK537" i="5"/>
  <c r="CJ537" i="5"/>
  <c r="CJ1150" i="5" s="1"/>
  <c r="CI537" i="5"/>
  <c r="CI1150" i="5" s="1"/>
  <c r="CH537" i="5"/>
  <c r="CH1150" i="5" s="1"/>
  <c r="CG537" i="5"/>
  <c r="CG1150" i="5" s="1"/>
  <c r="CF537" i="5"/>
  <c r="CF1150" i="5" s="1"/>
  <c r="CE537" i="5"/>
  <c r="CE1150" i="5" s="1"/>
  <c r="D537" i="5"/>
  <c r="KP536" i="5"/>
  <c r="KP638" i="5" s="1"/>
  <c r="KO536" i="5"/>
  <c r="KO638" i="5" s="1"/>
  <c r="KN536" i="5"/>
  <c r="KN638" i="5" s="1"/>
  <c r="KM536" i="5"/>
  <c r="KM638" i="5" s="1"/>
  <c r="IM536" i="5"/>
  <c r="IM638" i="5" s="1"/>
  <c r="IJ536" i="5"/>
  <c r="ID536" i="5"/>
  <c r="CD536" i="5"/>
  <c r="CC536" i="5"/>
  <c r="CB536" i="5"/>
  <c r="CB638" i="5" s="1"/>
  <c r="CA536" i="5"/>
  <c r="BZ536" i="5"/>
  <c r="BY536" i="5"/>
  <c r="BY1149" i="5" s="1"/>
  <c r="BX536" i="5"/>
  <c r="BX1149" i="5" s="1"/>
  <c r="BW536" i="5"/>
  <c r="BW1149" i="5" s="1"/>
  <c r="BV536" i="5"/>
  <c r="BU536" i="5"/>
  <c r="BT536" i="5"/>
  <c r="BS536" i="5"/>
  <c r="BR536" i="5"/>
  <c r="BQ536" i="5"/>
  <c r="BP536" i="5"/>
  <c r="BO536" i="5"/>
  <c r="BN536" i="5"/>
  <c r="BM536" i="5"/>
  <c r="BL536" i="5"/>
  <c r="BK536" i="5"/>
  <c r="BJ536" i="5"/>
  <c r="BJ1149" i="5" s="1"/>
  <c r="BI536" i="5"/>
  <c r="BI1149" i="5" s="1"/>
  <c r="BH536" i="5"/>
  <c r="BG536" i="5"/>
  <c r="BF536" i="5"/>
  <c r="BF638" i="5" s="1"/>
  <c r="BE536" i="5"/>
  <c r="BD536" i="5"/>
  <c r="BC536" i="5"/>
  <c r="BC1149" i="5" s="1"/>
  <c r="BB536" i="5"/>
  <c r="BB1149" i="5" s="1"/>
  <c r="BA536" i="5"/>
  <c r="AZ536" i="5"/>
  <c r="AY536" i="5"/>
  <c r="AY1149" i="5" s="1"/>
  <c r="AX536" i="5"/>
  <c r="AW536" i="5"/>
  <c r="AV536" i="5"/>
  <c r="AU536" i="5"/>
  <c r="AT536" i="5"/>
  <c r="AS536" i="5"/>
  <c r="AR536" i="5"/>
  <c r="AQ536" i="5"/>
  <c r="AP536" i="5"/>
  <c r="AP638" i="5" s="1"/>
  <c r="AO536" i="5"/>
  <c r="AO638" i="5" s="1"/>
  <c r="AN536" i="5"/>
  <c r="AM536" i="5"/>
  <c r="AL536" i="5"/>
  <c r="AK536" i="5"/>
  <c r="AJ536" i="5"/>
  <c r="AJ638" i="5" s="1"/>
  <c r="AI536" i="5"/>
  <c r="AI638" i="5" s="1"/>
  <c r="AH536" i="5"/>
  <c r="AH1149" i="5" s="1"/>
  <c r="AG536" i="5"/>
  <c r="AF536" i="5"/>
  <c r="AF1149" i="5" s="1"/>
  <c r="AE536" i="5"/>
  <c r="AE1149" i="5" s="1"/>
  <c r="AD536" i="5"/>
  <c r="AC536" i="5"/>
  <c r="AC638" i="5" s="1"/>
  <c r="AB536" i="5"/>
  <c r="AA536" i="5"/>
  <c r="Z536" i="5"/>
  <c r="Y536" i="5"/>
  <c r="Y1149" i="5" s="1"/>
  <c r="X536" i="5"/>
  <c r="W536" i="5"/>
  <c r="V536" i="5"/>
  <c r="U536" i="5"/>
  <c r="T536" i="5"/>
  <c r="T638" i="5" s="1"/>
  <c r="S536" i="5"/>
  <c r="R536" i="5"/>
  <c r="Q536" i="5"/>
  <c r="P536" i="5"/>
  <c r="O536" i="5"/>
  <c r="O638" i="5" s="1"/>
  <c r="N536" i="5"/>
  <c r="N1149" i="5" s="1"/>
  <c r="M536" i="5"/>
  <c r="L536" i="5"/>
  <c r="K536" i="5"/>
  <c r="K1149" i="5" s="1"/>
  <c r="J536" i="5"/>
  <c r="I536" i="5"/>
  <c r="I1149" i="5" s="1"/>
  <c r="H536" i="5"/>
  <c r="H1149" i="5" s="1"/>
  <c r="G536" i="5"/>
  <c r="F536" i="5"/>
  <c r="E536" i="5"/>
  <c r="E1149" i="5" s="1"/>
  <c r="D536" i="5"/>
  <c r="D638" i="5" s="1"/>
  <c r="IZ535" i="5"/>
  <c r="JA535" i="5" s="1"/>
  <c r="IW535" i="5"/>
  <c r="IX535" i="5" s="1"/>
  <c r="IT535" i="5"/>
  <c r="IU535" i="5" s="1"/>
  <c r="IQ535" i="5"/>
  <c r="IR535" i="5" s="1"/>
  <c r="IN535" i="5"/>
  <c r="IO535" i="5" s="1"/>
  <c r="IK535" i="5"/>
  <c r="IL535" i="5" s="1"/>
  <c r="IF535" i="5"/>
  <c r="O67" i="7" s="1"/>
  <c r="IE535" i="5"/>
  <c r="ID535" i="5"/>
  <c r="M67" i="7" s="1"/>
  <c r="HZ535" i="5"/>
  <c r="I67" i="7" s="1"/>
  <c r="JB534" i="5"/>
  <c r="IY534" i="5"/>
  <c r="IW534" i="5" s="1"/>
  <c r="IX534" i="5" s="1"/>
  <c r="IV534" i="5"/>
  <c r="IT534" i="5" s="1"/>
  <c r="IS534" i="5"/>
  <c r="IP534" i="5"/>
  <c r="IN534" i="5" s="1"/>
  <c r="IM534" i="5"/>
  <c r="T66" i="7" s="1"/>
  <c r="IJ534" i="5"/>
  <c r="S66" i="7" s="1"/>
  <c r="IF534" i="5"/>
  <c r="O66" i="7" s="1"/>
  <c r="IE534" i="5"/>
  <c r="N66" i="7" s="1"/>
  <c r="ID534" i="5"/>
  <c r="IB534" i="5"/>
  <c r="J66" i="7" s="1"/>
  <c r="D534" i="5"/>
  <c r="IZ533" i="5"/>
  <c r="JA533" i="5" s="1"/>
  <c r="IW533" i="5"/>
  <c r="IX533" i="5" s="1"/>
  <c r="IT533" i="5"/>
  <c r="IU533" i="5" s="1"/>
  <c r="IQ533" i="5"/>
  <c r="IR533" i="5" s="1"/>
  <c r="IN533" i="5"/>
  <c r="IO533" i="5" s="1"/>
  <c r="IK533" i="5"/>
  <c r="IL533" i="5" s="1"/>
  <c r="ID533" i="5"/>
  <c r="M65" i="7" s="1"/>
  <c r="EX533" i="5"/>
  <c r="EW533" i="5"/>
  <c r="EV533" i="5"/>
  <c r="EU533" i="5"/>
  <c r="ET533" i="5"/>
  <c r="ES533" i="5"/>
  <c r="ER533" i="5"/>
  <c r="EQ533" i="5"/>
  <c r="EP533" i="5"/>
  <c r="EO533" i="5"/>
  <c r="EN533" i="5"/>
  <c r="EM533" i="5"/>
  <c r="EL533" i="5"/>
  <c r="EK533" i="5"/>
  <c r="EJ533" i="5"/>
  <c r="EI533" i="5"/>
  <c r="EH533" i="5"/>
  <c r="EG533" i="5"/>
  <c r="EF533" i="5"/>
  <c r="EE533" i="5"/>
  <c r="ED533" i="5"/>
  <c r="EC533" i="5"/>
  <c r="EB533" i="5"/>
  <c r="EA533" i="5"/>
  <c r="DZ533" i="5"/>
  <c r="DY533" i="5"/>
  <c r="DX533" i="5"/>
  <c r="DW533" i="5"/>
  <c r="DV533" i="5"/>
  <c r="DU533" i="5"/>
  <c r="DT533" i="5"/>
  <c r="DS533" i="5"/>
  <c r="DR533" i="5"/>
  <c r="DQ533" i="5"/>
  <c r="DP533" i="5"/>
  <c r="DO533" i="5"/>
  <c r="DN533" i="5"/>
  <c r="DM533" i="5"/>
  <c r="DL533" i="5"/>
  <c r="DK533" i="5"/>
  <c r="DJ533" i="5"/>
  <c r="DI533" i="5"/>
  <c r="DH533" i="5"/>
  <c r="DG533" i="5"/>
  <c r="DF533" i="5"/>
  <c r="DE533" i="5"/>
  <c r="DD533" i="5"/>
  <c r="DC533" i="5"/>
  <c r="IM532" i="5"/>
  <c r="T64" i="7" s="1"/>
  <c r="IJ532" i="5"/>
  <c r="S64" i="7" s="1"/>
  <c r="ID532" i="5"/>
  <c r="IC532" i="5" s="1"/>
  <c r="L64" i="7" s="1"/>
  <c r="EX532" i="5"/>
  <c r="EW532" i="5"/>
  <c r="EV532" i="5"/>
  <c r="EU532" i="5"/>
  <c r="ET532" i="5"/>
  <c r="ES532" i="5"/>
  <c r="ER532" i="5"/>
  <c r="EQ532" i="5"/>
  <c r="EP532" i="5"/>
  <c r="EO532" i="5"/>
  <c r="EN532" i="5"/>
  <c r="EM532" i="5"/>
  <c r="EL532" i="5"/>
  <c r="EK532" i="5"/>
  <c r="EJ532" i="5"/>
  <c r="EI532" i="5"/>
  <c r="EH532" i="5"/>
  <c r="EG532" i="5"/>
  <c r="EF532" i="5"/>
  <c r="EE532" i="5"/>
  <c r="ED532" i="5"/>
  <c r="EC532" i="5"/>
  <c r="EB532" i="5"/>
  <c r="EA532" i="5"/>
  <c r="DZ532" i="5"/>
  <c r="DY532" i="5"/>
  <c r="DX532" i="5"/>
  <c r="DW532" i="5"/>
  <c r="DV532" i="5"/>
  <c r="DU532" i="5"/>
  <c r="DT532" i="5"/>
  <c r="DS532" i="5"/>
  <c r="DR532" i="5"/>
  <c r="DQ532" i="5"/>
  <c r="DP532" i="5"/>
  <c r="DO532" i="5"/>
  <c r="DN532" i="5"/>
  <c r="DM532" i="5"/>
  <c r="DL532" i="5"/>
  <c r="DK532" i="5"/>
  <c r="DJ532" i="5"/>
  <c r="DI532" i="5"/>
  <c r="DH532" i="5"/>
  <c r="DG532" i="5"/>
  <c r="DF532" i="5"/>
  <c r="DE532" i="5"/>
  <c r="DD532" i="5"/>
  <c r="DC532" i="5"/>
  <c r="DB532" i="5"/>
  <c r="DA532" i="5"/>
  <c r="CZ532" i="5"/>
  <c r="CY532" i="5"/>
  <c r="CX532" i="5"/>
  <c r="CW532" i="5"/>
  <c r="CV532" i="5"/>
  <c r="CU532" i="5"/>
  <c r="CT532" i="5"/>
  <c r="CS532" i="5"/>
  <c r="CR532" i="5"/>
  <c r="CQ532" i="5"/>
  <c r="CP532" i="5"/>
  <c r="CO532" i="5"/>
  <c r="CN532" i="5"/>
  <c r="CM532" i="5"/>
  <c r="CL532" i="5"/>
  <c r="CK532" i="5"/>
  <c r="CJ532" i="5"/>
  <c r="CI532" i="5"/>
  <c r="CH532" i="5"/>
  <c r="CG532" i="5"/>
  <c r="CF532" i="5"/>
  <c r="CE532" i="5"/>
  <c r="D532" i="5"/>
  <c r="IM531" i="5"/>
  <c r="IK531" i="5" s="1"/>
  <c r="IL531" i="5" s="1"/>
  <c r="IJ531" i="5"/>
  <c r="ID531" i="5"/>
  <c r="M63" i="7" s="1"/>
  <c r="EX531" i="5"/>
  <c r="EW531" i="5"/>
  <c r="EV531" i="5"/>
  <c r="EU531" i="5"/>
  <c r="ET531" i="5"/>
  <c r="ES531" i="5"/>
  <c r="ER531" i="5"/>
  <c r="EQ531" i="5"/>
  <c r="EP531" i="5"/>
  <c r="EO531" i="5"/>
  <c r="EN531" i="5"/>
  <c r="EM531" i="5"/>
  <c r="EL531" i="5"/>
  <c r="EK531" i="5"/>
  <c r="EJ531" i="5"/>
  <c r="EI531" i="5"/>
  <c r="EH531" i="5"/>
  <c r="EG531" i="5"/>
  <c r="EF531" i="5"/>
  <c r="EE531" i="5"/>
  <c r="ED531" i="5"/>
  <c r="EC531" i="5"/>
  <c r="EB531" i="5"/>
  <c r="EA531" i="5"/>
  <c r="DZ531" i="5"/>
  <c r="DY531" i="5"/>
  <c r="DX531" i="5"/>
  <c r="DW531" i="5"/>
  <c r="DV531" i="5"/>
  <c r="DU531" i="5"/>
  <c r="DT531" i="5"/>
  <c r="DS531" i="5"/>
  <c r="DR531" i="5"/>
  <c r="DQ531" i="5"/>
  <c r="DP531" i="5"/>
  <c r="DO531" i="5"/>
  <c r="DN531" i="5"/>
  <c r="DM531" i="5"/>
  <c r="DL531" i="5"/>
  <c r="DK531" i="5"/>
  <c r="DJ531" i="5"/>
  <c r="DI531" i="5"/>
  <c r="DH531" i="5"/>
  <c r="DG531" i="5"/>
  <c r="DF531" i="5"/>
  <c r="DE531" i="5"/>
  <c r="DD531" i="5"/>
  <c r="DC531" i="5"/>
  <c r="DB531" i="5"/>
  <c r="DA531" i="5"/>
  <c r="CZ531" i="5"/>
  <c r="CY531" i="5"/>
  <c r="CX531" i="5"/>
  <c r="CW531" i="5"/>
  <c r="CV531" i="5"/>
  <c r="CU531" i="5"/>
  <c r="CT531" i="5"/>
  <c r="CS531" i="5"/>
  <c r="CR531" i="5"/>
  <c r="CQ531" i="5"/>
  <c r="CP531" i="5"/>
  <c r="CO531" i="5"/>
  <c r="CN531" i="5"/>
  <c r="CM531" i="5"/>
  <c r="CL531" i="5"/>
  <c r="CK531" i="5"/>
  <c r="CJ531" i="5"/>
  <c r="CI531" i="5"/>
  <c r="CH531" i="5"/>
  <c r="CG531" i="5"/>
  <c r="CF531" i="5"/>
  <c r="CE531" i="5"/>
  <c r="D531" i="5"/>
  <c r="IM530" i="5"/>
  <c r="T62" i="7" s="1"/>
  <c r="IJ530" i="5"/>
  <c r="II530" i="5" s="1"/>
  <c r="ID530" i="5"/>
  <c r="IC530" i="5" s="1"/>
  <c r="EX530" i="5"/>
  <c r="EW530" i="5"/>
  <c r="EV530" i="5"/>
  <c r="EU530" i="5"/>
  <c r="ET530" i="5"/>
  <c r="ES530" i="5"/>
  <c r="ER530" i="5"/>
  <c r="EQ530" i="5"/>
  <c r="EP530" i="5"/>
  <c r="EO530" i="5"/>
  <c r="EN530" i="5"/>
  <c r="EM530" i="5"/>
  <c r="EL530" i="5"/>
  <c r="EK530" i="5"/>
  <c r="EJ530" i="5"/>
  <c r="EI530" i="5"/>
  <c r="EH530" i="5"/>
  <c r="EG530" i="5"/>
  <c r="EF530" i="5"/>
  <c r="EE530" i="5"/>
  <c r="ED530" i="5"/>
  <c r="EC530" i="5"/>
  <c r="EB530" i="5"/>
  <c r="EA530" i="5"/>
  <c r="DZ530" i="5"/>
  <c r="DY530" i="5"/>
  <c r="DX530" i="5"/>
  <c r="DW530" i="5"/>
  <c r="DV530" i="5"/>
  <c r="DU530" i="5"/>
  <c r="DT530" i="5"/>
  <c r="DS530" i="5"/>
  <c r="DR530" i="5"/>
  <c r="DQ530" i="5"/>
  <c r="DP530" i="5"/>
  <c r="DO530" i="5"/>
  <c r="DN530" i="5"/>
  <c r="DM530" i="5"/>
  <c r="DL530" i="5"/>
  <c r="DK530" i="5"/>
  <c r="DJ530" i="5"/>
  <c r="DI530" i="5"/>
  <c r="DH530" i="5"/>
  <c r="DG530" i="5"/>
  <c r="DF530" i="5"/>
  <c r="DE530" i="5"/>
  <c r="DD530" i="5"/>
  <c r="DC530" i="5"/>
  <c r="DB530" i="5"/>
  <c r="DA530" i="5"/>
  <c r="CZ530" i="5"/>
  <c r="CY530" i="5"/>
  <c r="CX530" i="5"/>
  <c r="CW530" i="5"/>
  <c r="CV530" i="5"/>
  <c r="CU530" i="5"/>
  <c r="CT530" i="5"/>
  <c r="CS530" i="5"/>
  <c r="CR530" i="5"/>
  <c r="CQ530" i="5"/>
  <c r="CP530" i="5"/>
  <c r="CO530" i="5"/>
  <c r="CN530" i="5"/>
  <c r="CM530" i="5"/>
  <c r="CL530" i="5"/>
  <c r="CK530" i="5"/>
  <c r="CJ530" i="5"/>
  <c r="CI530" i="5"/>
  <c r="CH530" i="5"/>
  <c r="CG530" i="5"/>
  <c r="CF530" i="5"/>
  <c r="CE530" i="5"/>
  <c r="D530" i="5"/>
  <c r="KP529" i="5"/>
  <c r="KO529" i="5"/>
  <c r="KN529" i="5"/>
  <c r="KM529" i="5"/>
  <c r="IM529" i="5"/>
  <c r="T61" i="7" s="1"/>
  <c r="IJ529" i="5"/>
  <c r="S61" i="7" s="1"/>
  <c r="IH529" i="5"/>
  <c r="Q61" i="7" s="1"/>
  <c r="ID529" i="5"/>
  <c r="M61" i="7" s="1"/>
  <c r="IB529" i="5"/>
  <c r="J61" i="7" s="1"/>
  <c r="D529" i="5"/>
  <c r="JB526" i="5"/>
  <c r="IZ526" i="5" s="1"/>
  <c r="IY526" i="5"/>
  <c r="IW526" i="5" s="1"/>
  <c r="IX526" i="5" s="1"/>
  <c r="IV526" i="5"/>
  <c r="IT526" i="5" s="1"/>
  <c r="IS526" i="5"/>
  <c r="IQ526" i="5" s="1"/>
  <c r="IR526" i="5" s="1"/>
  <c r="IP526" i="5"/>
  <c r="IN526" i="5" s="1"/>
  <c r="IO526" i="5" s="1"/>
  <c r="IM526" i="5"/>
  <c r="IK526" i="5" s="1"/>
  <c r="IL526" i="5" s="1"/>
  <c r="IJ526" i="5"/>
  <c r="S60" i="7" s="1"/>
  <c r="IF526" i="5"/>
  <c r="O60" i="7" s="1"/>
  <c r="IE526" i="5"/>
  <c r="ID526" i="5"/>
  <c r="M60" i="7" s="1"/>
  <c r="HZ526" i="5"/>
  <c r="HY526" i="5"/>
  <c r="G60" i="7" s="1"/>
  <c r="HX526" i="5"/>
  <c r="HU526" i="5"/>
  <c r="HT526" i="5"/>
  <c r="C60" i="7" s="1"/>
  <c r="HS526" i="5"/>
  <c r="HR526" i="5"/>
  <c r="D526" i="5"/>
  <c r="IM525" i="5"/>
  <c r="T59" i="7" s="1"/>
  <c r="IJ525" i="5"/>
  <c r="IF525" i="5"/>
  <c r="O59" i="7" s="1"/>
  <c r="IE525" i="5"/>
  <c r="N59" i="7" s="1"/>
  <c r="ID525" i="5"/>
  <c r="M59" i="7" s="1"/>
  <c r="HY525" i="5"/>
  <c r="HX525" i="5"/>
  <c r="HV525" i="5" s="1"/>
  <c r="HW525" i="5"/>
  <c r="F59" i="7" s="1"/>
  <c r="HU525" i="5"/>
  <c r="HT525" i="5"/>
  <c r="C59" i="7" s="1"/>
  <c r="HS525" i="5"/>
  <c r="D525" i="5"/>
  <c r="IZ524" i="5"/>
  <c r="JA524" i="5" s="1"/>
  <c r="IW524" i="5"/>
  <c r="IX524" i="5" s="1"/>
  <c r="IT524" i="5"/>
  <c r="IU524" i="5" s="1"/>
  <c r="IQ524" i="5"/>
  <c r="IR524" i="5" s="1"/>
  <c r="IN524" i="5"/>
  <c r="IO524" i="5" s="1"/>
  <c r="IK524" i="5"/>
  <c r="IL524" i="5" s="1"/>
  <c r="EX524" i="5"/>
  <c r="EW524" i="5"/>
  <c r="EV524" i="5"/>
  <c r="EU524" i="5"/>
  <c r="ET524" i="5"/>
  <c r="ES524" i="5"/>
  <c r="ER524" i="5"/>
  <c r="EQ524" i="5"/>
  <c r="EP524" i="5"/>
  <c r="EO524" i="5"/>
  <c r="EN524" i="5"/>
  <c r="EM524" i="5"/>
  <c r="EL524" i="5"/>
  <c r="EK524" i="5"/>
  <c r="EJ524" i="5"/>
  <c r="EI524" i="5"/>
  <c r="EH524" i="5"/>
  <c r="EG524" i="5"/>
  <c r="EF524" i="5"/>
  <c r="EE524" i="5"/>
  <c r="ED524" i="5"/>
  <c r="EC524" i="5"/>
  <c r="EB524" i="5"/>
  <c r="EA524" i="5"/>
  <c r="DZ524" i="5"/>
  <c r="DY524" i="5"/>
  <c r="DX524" i="5"/>
  <c r="DW524" i="5"/>
  <c r="DV524" i="5"/>
  <c r="DU524" i="5"/>
  <c r="DT524" i="5"/>
  <c r="DS524" i="5"/>
  <c r="DR524" i="5"/>
  <c r="DQ524" i="5"/>
  <c r="DP524" i="5"/>
  <c r="DO524" i="5"/>
  <c r="DN524" i="5"/>
  <c r="DM524" i="5"/>
  <c r="DL524" i="5"/>
  <c r="DK524" i="5"/>
  <c r="DJ524" i="5"/>
  <c r="DI524" i="5"/>
  <c r="DH524" i="5"/>
  <c r="DG524" i="5"/>
  <c r="DF524" i="5"/>
  <c r="DE524" i="5"/>
  <c r="DD524" i="5"/>
  <c r="DC524" i="5"/>
  <c r="D524" i="5"/>
  <c r="IM523" i="5"/>
  <c r="T57" i="7" s="1"/>
  <c r="IJ523" i="5"/>
  <c r="S57" i="7" s="1"/>
  <c r="ID523" i="5"/>
  <c r="M57" i="7" s="1"/>
  <c r="D523" i="5"/>
  <c r="IM522" i="5"/>
  <c r="T56" i="7" s="1"/>
  <c r="IJ522" i="5"/>
  <c r="S56" i="7" s="1"/>
  <c r="IF522" i="5"/>
  <c r="O56" i="7" s="1"/>
  <c r="IE522" i="5"/>
  <c r="ID522" i="5"/>
  <c r="M56" i="7" s="1"/>
  <c r="HU522" i="5"/>
  <c r="HT522" i="5"/>
  <c r="C56" i="7" s="1"/>
  <c r="HS522" i="5"/>
  <c r="D522" i="5"/>
  <c r="IM521" i="5"/>
  <c r="IK521" i="5" s="1"/>
  <c r="IJ521" i="5"/>
  <c r="S55" i="7" s="1"/>
  <c r="ID521" i="5"/>
  <c r="DB521" i="5"/>
  <c r="DB1147" i="5" s="1"/>
  <c r="DA521" i="5"/>
  <c r="DA1147" i="5" s="1"/>
  <c r="CZ521" i="5"/>
  <c r="CZ1147" i="5" s="1"/>
  <c r="CY521" i="5"/>
  <c r="CX521" i="5"/>
  <c r="CW521" i="5"/>
  <c r="CW1147" i="5" s="1"/>
  <c r="CV521" i="5"/>
  <c r="CV1147" i="5" s="1"/>
  <c r="CU521" i="5"/>
  <c r="CU1147" i="5" s="1"/>
  <c r="CT521" i="5"/>
  <c r="CT1147" i="5" s="1"/>
  <c r="CS521" i="5"/>
  <c r="CS1147" i="5" s="1"/>
  <c r="CR521" i="5"/>
  <c r="CQ521" i="5"/>
  <c r="CQ1147" i="5" s="1"/>
  <c r="CP521" i="5"/>
  <c r="CP1147" i="5" s="1"/>
  <c r="CO521" i="5"/>
  <c r="CO1147" i="5" s="1"/>
  <c r="CN521" i="5"/>
  <c r="CN1147" i="5" s="1"/>
  <c r="CM521" i="5"/>
  <c r="CM1147" i="5" s="1"/>
  <c r="CL521" i="5"/>
  <c r="CL1147" i="5" s="1"/>
  <c r="CK521" i="5"/>
  <c r="CK1147" i="5" s="1"/>
  <c r="CJ521" i="5"/>
  <c r="CJ1147" i="5" s="1"/>
  <c r="CI521" i="5"/>
  <c r="CI1147" i="5" s="1"/>
  <c r="CH521" i="5"/>
  <c r="CH1147" i="5" s="1"/>
  <c r="CG521" i="5"/>
  <c r="CG1147" i="5" s="1"/>
  <c r="CF521" i="5"/>
  <c r="CF1147" i="5" s="1"/>
  <c r="CE521" i="5"/>
  <c r="CE1147" i="5" s="1"/>
  <c r="D521" i="5"/>
  <c r="IM520" i="5"/>
  <c r="T54" i="7" s="1"/>
  <c r="IJ520" i="5"/>
  <c r="IH520" i="5" s="1"/>
  <c r="Q54" i="7" s="1"/>
  <c r="ID520" i="5"/>
  <c r="EX520" i="5"/>
  <c r="EW520" i="5"/>
  <c r="EV520" i="5"/>
  <c r="EU520" i="5"/>
  <c r="ET520" i="5"/>
  <c r="ES520" i="5"/>
  <c r="ER520" i="5"/>
  <c r="EQ520" i="5"/>
  <c r="EP520" i="5"/>
  <c r="EO520" i="5"/>
  <c r="EN520" i="5"/>
  <c r="EM520" i="5"/>
  <c r="EL520" i="5"/>
  <c r="EK520" i="5"/>
  <c r="EJ520" i="5"/>
  <c r="EI520" i="5"/>
  <c r="EH520" i="5"/>
  <c r="EG520" i="5"/>
  <c r="EF520" i="5"/>
  <c r="EE520" i="5"/>
  <c r="ED520" i="5"/>
  <c r="EC520" i="5"/>
  <c r="EB520" i="5"/>
  <c r="EA520" i="5"/>
  <c r="DZ520" i="5"/>
  <c r="DY520" i="5"/>
  <c r="DX520" i="5"/>
  <c r="DW520" i="5"/>
  <c r="DV520" i="5"/>
  <c r="DU520" i="5"/>
  <c r="DT520" i="5"/>
  <c r="DS520" i="5"/>
  <c r="DR520" i="5"/>
  <c r="DQ520" i="5"/>
  <c r="DP520" i="5"/>
  <c r="DO520" i="5"/>
  <c r="DN520" i="5"/>
  <c r="DM520" i="5"/>
  <c r="DL520" i="5"/>
  <c r="DK520" i="5"/>
  <c r="DJ520" i="5"/>
  <c r="DI520" i="5"/>
  <c r="DH520" i="5"/>
  <c r="DG520" i="5"/>
  <c r="DF520" i="5"/>
  <c r="DE520" i="5"/>
  <c r="DD520" i="5"/>
  <c r="DC520" i="5"/>
  <c r="DB520" i="5"/>
  <c r="DA520" i="5"/>
  <c r="CZ520" i="5"/>
  <c r="CY520" i="5"/>
  <c r="CX520" i="5"/>
  <c r="CW520" i="5"/>
  <c r="CV520" i="5"/>
  <c r="CU520" i="5"/>
  <c r="CT520" i="5"/>
  <c r="CS520" i="5"/>
  <c r="CR520" i="5"/>
  <c r="CQ520" i="5"/>
  <c r="CP520" i="5"/>
  <c r="CO520" i="5"/>
  <c r="CN520" i="5"/>
  <c r="CM520" i="5"/>
  <c r="CL520" i="5"/>
  <c r="CK520" i="5"/>
  <c r="CJ520" i="5"/>
  <c r="CI520" i="5"/>
  <c r="CH520" i="5"/>
  <c r="CG520" i="5"/>
  <c r="CF520" i="5"/>
  <c r="CE520" i="5"/>
  <c r="D520" i="5"/>
  <c r="IN519" i="5"/>
  <c r="IM519" i="5"/>
  <c r="IK519" i="5"/>
  <c r="IJ519" i="5"/>
  <c r="IH519" i="5"/>
  <c r="IZ518" i="5"/>
  <c r="IW518" i="5"/>
  <c r="IT518" i="5"/>
  <c r="IQ518" i="5"/>
  <c r="IN518" i="5"/>
  <c r="IM518" i="5"/>
  <c r="IK518" i="5"/>
  <c r="IJ518" i="5"/>
  <c r="S53" i="7" s="1"/>
  <c r="IH518" i="5"/>
  <c r="Q53" i="7" s="1"/>
  <c r="ID518" i="5"/>
  <c r="M53" i="7" s="1"/>
  <c r="EX518" i="5"/>
  <c r="EW518" i="5"/>
  <c r="EW1146" i="5" s="1"/>
  <c r="EV518" i="5"/>
  <c r="EU518" i="5"/>
  <c r="EU1146" i="5" s="1"/>
  <c r="ET518" i="5"/>
  <c r="ET1146" i="5" s="1"/>
  <c r="ES518" i="5"/>
  <c r="ES1146" i="5" s="1"/>
  <c r="ER518" i="5"/>
  <c r="ER1146" i="5" s="1"/>
  <c r="EQ518" i="5"/>
  <c r="EQ1146" i="5" s="1"/>
  <c r="EP518" i="5"/>
  <c r="EO518" i="5"/>
  <c r="EN518" i="5"/>
  <c r="EN1146" i="5" s="1"/>
  <c r="EM518" i="5"/>
  <c r="EL518" i="5"/>
  <c r="EL1146" i="5" s="1"/>
  <c r="EK518" i="5"/>
  <c r="EJ518" i="5"/>
  <c r="EJ1146" i="5" s="1"/>
  <c r="EI518" i="5"/>
  <c r="EI1146" i="5" s="1"/>
  <c r="EH518" i="5"/>
  <c r="EH1146" i="5" s="1"/>
  <c r="EG518" i="5"/>
  <c r="EG1146" i="5" s="1"/>
  <c r="EF518" i="5"/>
  <c r="EE518" i="5"/>
  <c r="EE1146" i="5" s="1"/>
  <c r="ED518" i="5"/>
  <c r="EC518" i="5"/>
  <c r="EC1146" i="5" s="1"/>
  <c r="EB518" i="5"/>
  <c r="EB1146" i="5" s="1"/>
  <c r="EA518" i="5"/>
  <c r="DZ518" i="5"/>
  <c r="DZ1146" i="5" s="1"/>
  <c r="DY518" i="5"/>
  <c r="DY1146" i="5" s="1"/>
  <c r="DX518" i="5"/>
  <c r="DX1146" i="5" s="1"/>
  <c r="DW518" i="5"/>
  <c r="DW1146" i="5" s="1"/>
  <c r="DV518" i="5"/>
  <c r="DU518" i="5"/>
  <c r="DT518" i="5"/>
  <c r="DT1146" i="5" s="1"/>
  <c r="DS518" i="5"/>
  <c r="DR518" i="5"/>
  <c r="DR1146" i="5" s="1"/>
  <c r="DQ518" i="5"/>
  <c r="DQ1146" i="5" s="1"/>
  <c r="DP518" i="5"/>
  <c r="DP1146" i="5" s="1"/>
  <c r="DO518" i="5"/>
  <c r="DO1146" i="5" s="1"/>
  <c r="DN518" i="5"/>
  <c r="DN1146" i="5" s="1"/>
  <c r="DM518" i="5"/>
  <c r="DM1146" i="5" s="1"/>
  <c r="DL518" i="5"/>
  <c r="DK518" i="5"/>
  <c r="DJ518" i="5"/>
  <c r="DJ1146" i="5" s="1"/>
  <c r="DI518" i="5"/>
  <c r="DI1146" i="5" s="1"/>
  <c r="DH518" i="5"/>
  <c r="DH1146" i="5" s="1"/>
  <c r="DG518" i="5"/>
  <c r="DF518" i="5"/>
  <c r="DE518" i="5"/>
  <c r="DD518" i="5"/>
  <c r="DC518" i="5"/>
  <c r="DB518" i="5"/>
  <c r="DB1146" i="5" s="1"/>
  <c r="DA518" i="5"/>
  <c r="DA1146" i="5" s="1"/>
  <c r="CZ518" i="5"/>
  <c r="CZ1146" i="5" s="1"/>
  <c r="CY518" i="5"/>
  <c r="CX518" i="5"/>
  <c r="CX1146" i="5" s="1"/>
  <c r="CW518" i="5"/>
  <c r="CW1146" i="5" s="1"/>
  <c r="CV518" i="5"/>
  <c r="CU518" i="5"/>
  <c r="CU1146" i="5" s="1"/>
  <c r="CT518" i="5"/>
  <c r="CT1146" i="5" s="1"/>
  <c r="CS518" i="5"/>
  <c r="CS1146" i="5" s="1"/>
  <c r="CR518" i="5"/>
  <c r="CR1146" i="5" s="1"/>
  <c r="CQ518" i="5"/>
  <c r="CP518" i="5"/>
  <c r="CP1146" i="5" s="1"/>
  <c r="CO518" i="5"/>
  <c r="CO1146" i="5" s="1"/>
  <c r="CN518" i="5"/>
  <c r="CN1146" i="5" s="1"/>
  <c r="CM518" i="5"/>
  <c r="CM1146" i="5" s="1"/>
  <c r="CL518" i="5"/>
  <c r="CL1146" i="5" s="1"/>
  <c r="CK518" i="5"/>
  <c r="CK1146" i="5" s="1"/>
  <c r="CJ518" i="5"/>
  <c r="CJ1146" i="5" s="1"/>
  <c r="CI518" i="5"/>
  <c r="CI1146" i="5" s="1"/>
  <c r="CH518" i="5"/>
  <c r="CG518" i="5"/>
  <c r="CG1146" i="5" s="1"/>
  <c r="CF518" i="5"/>
  <c r="CF1146" i="5" s="1"/>
  <c r="CE518" i="5"/>
  <c r="D518" i="5"/>
  <c r="IN517" i="5"/>
  <c r="IM517" i="5"/>
  <c r="IK517" i="5"/>
  <c r="IJ517" i="5"/>
  <c r="IH517" i="5"/>
  <c r="JB516" i="5"/>
  <c r="IZ516" i="5" s="1"/>
  <c r="JA516" i="5" s="1"/>
  <c r="IY516" i="5"/>
  <c r="IW516" i="5" s="1"/>
  <c r="IX516" i="5" s="1"/>
  <c r="IV516" i="5"/>
  <c r="IT516" i="5" s="1"/>
  <c r="IS516" i="5"/>
  <c r="IQ516" i="5" s="1"/>
  <c r="IR516" i="5" s="1"/>
  <c r="IM516" i="5"/>
  <c r="IK516" i="5" s="1"/>
  <c r="IL516" i="5" s="1"/>
  <c r="IJ516" i="5"/>
  <c r="S52" i="7" s="1"/>
  <c r="ID516" i="5"/>
  <c r="M52" i="7" s="1"/>
  <c r="HR516" i="5"/>
  <c r="EX516" i="5"/>
  <c r="EW516" i="5"/>
  <c r="EV516" i="5"/>
  <c r="EU516" i="5"/>
  <c r="ET516" i="5"/>
  <c r="ES516" i="5"/>
  <c r="ER516" i="5"/>
  <c r="EQ516" i="5"/>
  <c r="EP516" i="5"/>
  <c r="EO516" i="5"/>
  <c r="EN516" i="5"/>
  <c r="EM516" i="5"/>
  <c r="EL516" i="5"/>
  <c r="EK516" i="5"/>
  <c r="EJ516" i="5"/>
  <c r="EI516" i="5"/>
  <c r="EH516" i="5"/>
  <c r="EG516" i="5"/>
  <c r="EF516" i="5"/>
  <c r="EE516" i="5"/>
  <c r="ED516" i="5"/>
  <c r="EC516" i="5"/>
  <c r="EB516" i="5"/>
  <c r="EA516" i="5"/>
  <c r="DZ516" i="5"/>
  <c r="DY516" i="5"/>
  <c r="DX516" i="5"/>
  <c r="DW516" i="5"/>
  <c r="DV516" i="5"/>
  <c r="DU516" i="5"/>
  <c r="DT516" i="5"/>
  <c r="DS516" i="5"/>
  <c r="DR516" i="5"/>
  <c r="DQ516" i="5"/>
  <c r="DP516" i="5"/>
  <c r="DO516" i="5"/>
  <c r="DN516" i="5"/>
  <c r="DM516" i="5"/>
  <c r="DL516" i="5"/>
  <c r="DK516" i="5"/>
  <c r="DJ516" i="5"/>
  <c r="DI516" i="5"/>
  <c r="DH516" i="5"/>
  <c r="DG516" i="5"/>
  <c r="DF516" i="5"/>
  <c r="DE516" i="5"/>
  <c r="DD516" i="5"/>
  <c r="DC516" i="5"/>
  <c r="DB516" i="5"/>
  <c r="DA516" i="5"/>
  <c r="CZ516" i="5"/>
  <c r="CY516" i="5"/>
  <c r="CX516" i="5"/>
  <c r="CW516" i="5"/>
  <c r="CV516" i="5"/>
  <c r="CU516" i="5"/>
  <c r="CT516" i="5"/>
  <c r="CS516" i="5"/>
  <c r="CR516" i="5"/>
  <c r="CQ516" i="5"/>
  <c r="CP516" i="5"/>
  <c r="CO516" i="5"/>
  <c r="CN516" i="5"/>
  <c r="CM516" i="5"/>
  <c r="CL516" i="5"/>
  <c r="CK516" i="5"/>
  <c r="CJ516" i="5"/>
  <c r="CI516" i="5"/>
  <c r="CH516" i="5"/>
  <c r="CG516" i="5"/>
  <c r="CF516" i="5"/>
  <c r="CE516" i="5"/>
  <c r="D516" i="5"/>
  <c r="IM515" i="5"/>
  <c r="IJ515" i="5"/>
  <c r="S51" i="7" s="1"/>
  <c r="ID515" i="5"/>
  <c r="M51" i="7" s="1"/>
  <c r="HR515" i="5"/>
  <c r="EX515" i="5"/>
  <c r="EW515" i="5"/>
  <c r="EV515" i="5"/>
  <c r="EV1145" i="5" s="1"/>
  <c r="EU515" i="5"/>
  <c r="ET515" i="5"/>
  <c r="ES515" i="5"/>
  <c r="ER515" i="5"/>
  <c r="EQ515" i="5"/>
  <c r="EQ1145" i="5" s="1"/>
  <c r="EP515" i="5"/>
  <c r="EP1145" i="5" s="1"/>
  <c r="EO515" i="5"/>
  <c r="EO1145" i="5" s="1"/>
  <c r="EN515" i="5"/>
  <c r="EM515" i="5"/>
  <c r="EL515" i="5"/>
  <c r="EL1145" i="5" s="1"/>
  <c r="EK515" i="5"/>
  <c r="EK1145" i="5" s="1"/>
  <c r="EJ515" i="5"/>
  <c r="EJ1145" i="5" s="1"/>
  <c r="EI515" i="5"/>
  <c r="EH515" i="5"/>
  <c r="EH1145" i="5" s="1"/>
  <c r="EG515" i="5"/>
  <c r="EF515" i="5"/>
  <c r="EF1145" i="5" s="1"/>
  <c r="EE515" i="5"/>
  <c r="ED515" i="5"/>
  <c r="ED1145" i="5" s="1"/>
  <c r="EC515" i="5"/>
  <c r="EC1145" i="5" s="1"/>
  <c r="EB515" i="5"/>
  <c r="EA515" i="5"/>
  <c r="EA1145" i="5" s="1"/>
  <c r="DZ515" i="5"/>
  <c r="DY515" i="5"/>
  <c r="DX515" i="5"/>
  <c r="DW515" i="5"/>
  <c r="DV515" i="5"/>
  <c r="DV1145" i="5" s="1"/>
  <c r="DU515" i="5"/>
  <c r="DU1145" i="5" s="1"/>
  <c r="DT515" i="5"/>
  <c r="DS515" i="5"/>
  <c r="DS1145" i="5" s="1"/>
  <c r="DR515" i="5"/>
  <c r="DQ515" i="5"/>
  <c r="DQ1145" i="5" s="1"/>
  <c r="DP515" i="5"/>
  <c r="DO515" i="5"/>
  <c r="DN515" i="5"/>
  <c r="DM515" i="5"/>
  <c r="DM1145" i="5" s="1"/>
  <c r="DL515" i="5"/>
  <c r="DL1145" i="5" s="1"/>
  <c r="DK515" i="5"/>
  <c r="DK1145" i="5" s="1"/>
  <c r="DJ515" i="5"/>
  <c r="DI515" i="5"/>
  <c r="DH515" i="5"/>
  <c r="DH1145" i="5" s="1"/>
  <c r="DG515" i="5"/>
  <c r="DG1145" i="5" s="1"/>
  <c r="DF515" i="5"/>
  <c r="DF1145" i="5" s="1"/>
  <c r="DE515" i="5"/>
  <c r="DE1145" i="5" s="1"/>
  <c r="DD515" i="5"/>
  <c r="DD1145" i="5" s="1"/>
  <c r="DC515" i="5"/>
  <c r="DC1145" i="5" s="1"/>
  <c r="DB515" i="5"/>
  <c r="DA515" i="5"/>
  <c r="CZ515" i="5"/>
  <c r="CY515" i="5"/>
  <c r="CX515" i="5"/>
  <c r="CX1145" i="5" s="1"/>
  <c r="CW515" i="5"/>
  <c r="CV515" i="5"/>
  <c r="CV1145" i="5" s="1"/>
  <c r="CU515" i="5"/>
  <c r="CU1145" i="5" s="1"/>
  <c r="CT515" i="5"/>
  <c r="CT1145" i="5" s="1"/>
  <c r="CS515" i="5"/>
  <c r="CR515" i="5"/>
  <c r="CQ515" i="5"/>
  <c r="CQ1145" i="5" s="1"/>
  <c r="CP515" i="5"/>
  <c r="CP1145" i="5" s="1"/>
  <c r="CO515" i="5"/>
  <c r="CN515" i="5"/>
  <c r="CM515" i="5"/>
  <c r="CM1145" i="5" s="1"/>
  <c r="CL515" i="5"/>
  <c r="CK515" i="5"/>
  <c r="CJ515" i="5"/>
  <c r="CI515" i="5"/>
  <c r="CH515" i="5"/>
  <c r="CH1145" i="5" s="1"/>
  <c r="CG515" i="5"/>
  <c r="CF515" i="5"/>
  <c r="CE515" i="5"/>
  <c r="CE1145" i="5" s="1"/>
  <c r="D515" i="5"/>
  <c r="KP514" i="5"/>
  <c r="KO514" i="5"/>
  <c r="KN514" i="5"/>
  <c r="KM514" i="5"/>
  <c r="IM514" i="5"/>
  <c r="T50" i="7" s="1"/>
  <c r="IJ514" i="5"/>
  <c r="S48" i="7" s="1"/>
  <c r="ID514" i="5"/>
  <c r="M50" i="7" s="1"/>
  <c r="IB514" i="5"/>
  <c r="J50" i="7" s="1"/>
  <c r="CD514" i="5"/>
  <c r="CD505" i="5" s="1"/>
  <c r="CC514" i="5"/>
  <c r="CC505" i="5" s="1"/>
  <c r="CB514" i="5"/>
  <c r="CB505" i="5" s="1"/>
  <c r="CA514" i="5"/>
  <c r="CA505" i="5" s="1"/>
  <c r="BZ514" i="5"/>
  <c r="BZ505" i="5" s="1"/>
  <c r="BY514" i="5"/>
  <c r="BY505" i="5" s="1"/>
  <c r="BX514" i="5"/>
  <c r="BX505" i="5" s="1"/>
  <c r="BX636" i="5" s="1"/>
  <c r="BW514" i="5"/>
  <c r="BW505" i="5" s="1"/>
  <c r="BV514" i="5"/>
  <c r="BV505" i="5" s="1"/>
  <c r="BU514" i="5"/>
  <c r="BU505" i="5" s="1"/>
  <c r="BT514" i="5"/>
  <c r="BT505" i="5" s="1"/>
  <c r="BT1142" i="5" s="1"/>
  <c r="BS514" i="5"/>
  <c r="BS505" i="5" s="1"/>
  <c r="BR514" i="5"/>
  <c r="BR505" i="5" s="1"/>
  <c r="BR1142" i="5" s="1"/>
  <c r="BQ514" i="5"/>
  <c r="BQ505" i="5" s="1"/>
  <c r="BP514" i="5"/>
  <c r="BP505" i="5" s="1"/>
  <c r="BO514" i="5"/>
  <c r="BO505" i="5" s="1"/>
  <c r="BN514" i="5"/>
  <c r="BN505" i="5" s="1"/>
  <c r="BM514" i="5"/>
  <c r="BM505" i="5" s="1"/>
  <c r="BM1142" i="5" s="1"/>
  <c r="BL514" i="5"/>
  <c r="BL505" i="5" s="1"/>
  <c r="BK514" i="5"/>
  <c r="BK505" i="5" s="1"/>
  <c r="BJ514" i="5"/>
  <c r="BJ505" i="5" s="1"/>
  <c r="BI514" i="5"/>
  <c r="BI505" i="5" s="1"/>
  <c r="BI636" i="5" s="1"/>
  <c r="BH514" i="5"/>
  <c r="BH505" i="5" s="1"/>
  <c r="BG514" i="5"/>
  <c r="BG505" i="5" s="1"/>
  <c r="BF514" i="5"/>
  <c r="BF505" i="5" s="1"/>
  <c r="BE514" i="5"/>
  <c r="BE505" i="5" s="1"/>
  <c r="BD514" i="5"/>
  <c r="BD505" i="5" s="1"/>
  <c r="BC514" i="5"/>
  <c r="BC505" i="5" s="1"/>
  <c r="BC1142" i="5" s="1"/>
  <c r="BB514" i="5"/>
  <c r="BB505" i="5" s="1"/>
  <c r="BA514" i="5"/>
  <c r="BA505" i="5" s="1"/>
  <c r="BA636" i="5" s="1"/>
  <c r="AZ514" i="5"/>
  <c r="AZ505" i="5" s="1"/>
  <c r="AZ636" i="5" s="1"/>
  <c r="AY514" i="5"/>
  <c r="AY505" i="5" s="1"/>
  <c r="AX514" i="5"/>
  <c r="AX505" i="5" s="1"/>
  <c r="AX636" i="5" s="1"/>
  <c r="AW514" i="5"/>
  <c r="AW505" i="5" s="1"/>
  <c r="AV514" i="5"/>
  <c r="AV505" i="5" s="1"/>
  <c r="AU514" i="5"/>
  <c r="AU505" i="5" s="1"/>
  <c r="AT514" i="5"/>
  <c r="AT505" i="5" s="1"/>
  <c r="AS514" i="5"/>
  <c r="AS505" i="5" s="1"/>
  <c r="AS1142" i="5" s="1"/>
  <c r="AR514" i="5"/>
  <c r="AR505" i="5" s="1"/>
  <c r="AQ514" i="5"/>
  <c r="AQ505" i="5" s="1"/>
  <c r="AQ1142" i="5" s="1"/>
  <c r="AP514" i="5"/>
  <c r="AP505" i="5" s="1"/>
  <c r="AO514" i="5"/>
  <c r="AO505" i="5" s="1"/>
  <c r="AN514" i="5"/>
  <c r="AN505" i="5" s="1"/>
  <c r="AM514" i="5"/>
  <c r="AM505" i="5" s="1"/>
  <c r="AL514" i="5"/>
  <c r="AL505" i="5" s="1"/>
  <c r="AK514" i="5"/>
  <c r="AK505" i="5" s="1"/>
  <c r="AJ514" i="5"/>
  <c r="AJ505" i="5" s="1"/>
  <c r="AI514" i="5"/>
  <c r="AI505" i="5" s="1"/>
  <c r="AI1142" i="5" s="1"/>
  <c r="AH514" i="5"/>
  <c r="AH505" i="5" s="1"/>
  <c r="AH636" i="5" s="1"/>
  <c r="AG514" i="5"/>
  <c r="AG505" i="5" s="1"/>
  <c r="AG1142" i="5" s="1"/>
  <c r="AF514" i="5"/>
  <c r="AF505" i="5" s="1"/>
  <c r="AF636" i="5" s="1"/>
  <c r="AE514" i="5"/>
  <c r="AE505" i="5" s="1"/>
  <c r="AD514" i="5"/>
  <c r="AD505" i="5" s="1"/>
  <c r="AC514" i="5"/>
  <c r="AC505" i="5" s="1"/>
  <c r="AC1142" i="5" s="1"/>
  <c r="AB514" i="5"/>
  <c r="AB505" i="5" s="1"/>
  <c r="AA514" i="5"/>
  <c r="AA505" i="5" s="1"/>
  <c r="AA636" i="5" s="1"/>
  <c r="Z514" i="5"/>
  <c r="Z505" i="5" s="1"/>
  <c r="Z1142" i="5" s="1"/>
  <c r="Y514" i="5"/>
  <c r="Y505" i="5" s="1"/>
  <c r="X514" i="5"/>
  <c r="X505" i="5" s="1"/>
  <c r="W514" i="5"/>
  <c r="W505" i="5" s="1"/>
  <c r="V514" i="5"/>
  <c r="V505" i="5" s="1"/>
  <c r="V1142" i="5" s="1"/>
  <c r="U514" i="5"/>
  <c r="U505" i="5" s="1"/>
  <c r="T514" i="5"/>
  <c r="T505" i="5" s="1"/>
  <c r="T1142" i="5" s="1"/>
  <c r="S514" i="5"/>
  <c r="S505" i="5" s="1"/>
  <c r="R514" i="5"/>
  <c r="R505" i="5" s="1"/>
  <c r="Q514" i="5"/>
  <c r="Q505" i="5" s="1"/>
  <c r="Q636" i="5" s="1"/>
  <c r="P514" i="5"/>
  <c r="P505" i="5" s="1"/>
  <c r="P636" i="5" s="1"/>
  <c r="O514" i="5"/>
  <c r="O505" i="5" s="1"/>
  <c r="N514" i="5"/>
  <c r="N505" i="5" s="1"/>
  <c r="N1142" i="5" s="1"/>
  <c r="M514" i="5"/>
  <c r="M505" i="5" s="1"/>
  <c r="M1142" i="5" s="1"/>
  <c r="L514" i="5"/>
  <c r="L505" i="5" s="1"/>
  <c r="L1142" i="5" s="1"/>
  <c r="K514" i="5"/>
  <c r="K505" i="5" s="1"/>
  <c r="K1142" i="5" s="1"/>
  <c r="J514" i="5"/>
  <c r="J505" i="5" s="1"/>
  <c r="J1142" i="5" s="1"/>
  <c r="I514" i="5"/>
  <c r="I505" i="5" s="1"/>
  <c r="H514" i="5"/>
  <c r="H505" i="5" s="1"/>
  <c r="G514" i="5"/>
  <c r="G505" i="5" s="1"/>
  <c r="G636" i="5" s="1"/>
  <c r="F514" i="5"/>
  <c r="F505" i="5" s="1"/>
  <c r="E514" i="5"/>
  <c r="E505" i="5" s="1"/>
  <c r="E636" i="5" s="1"/>
  <c r="D514" i="5"/>
  <c r="IZ513" i="5"/>
  <c r="JA513" i="5" s="1"/>
  <c r="IW513" i="5"/>
  <c r="IX513" i="5" s="1"/>
  <c r="IT513" i="5"/>
  <c r="IU513" i="5" s="1"/>
  <c r="IQ513" i="5"/>
  <c r="IR513" i="5" s="1"/>
  <c r="IN513" i="5"/>
  <c r="IO513" i="5" s="1"/>
  <c r="IK513" i="5"/>
  <c r="IL513" i="5" s="1"/>
  <c r="EX513" i="5"/>
  <c r="EW513" i="5"/>
  <c r="EV513" i="5"/>
  <c r="EU513" i="5"/>
  <c r="ET513" i="5"/>
  <c r="ES513" i="5"/>
  <c r="ER513" i="5"/>
  <c r="EQ513" i="5"/>
  <c r="EP513" i="5"/>
  <c r="EO513" i="5"/>
  <c r="EN513" i="5"/>
  <c r="EM513" i="5"/>
  <c r="EL513" i="5"/>
  <c r="EK513" i="5"/>
  <c r="EJ513" i="5"/>
  <c r="EI513" i="5"/>
  <c r="EH513" i="5"/>
  <c r="EG513" i="5"/>
  <c r="EF513" i="5"/>
  <c r="EE513" i="5"/>
  <c r="ED513" i="5"/>
  <c r="EC513" i="5"/>
  <c r="EB513" i="5"/>
  <c r="EA513" i="5"/>
  <c r="DZ513" i="5"/>
  <c r="DY513" i="5"/>
  <c r="DX513" i="5"/>
  <c r="DW513" i="5"/>
  <c r="DV513" i="5"/>
  <c r="DU513" i="5"/>
  <c r="DT513" i="5"/>
  <c r="DS513" i="5"/>
  <c r="DR513" i="5"/>
  <c r="DQ513" i="5"/>
  <c r="DP513" i="5"/>
  <c r="DO513" i="5"/>
  <c r="DN513" i="5"/>
  <c r="DM513" i="5"/>
  <c r="DL513" i="5"/>
  <c r="DK513" i="5"/>
  <c r="DJ513" i="5"/>
  <c r="DI513" i="5"/>
  <c r="DH513" i="5"/>
  <c r="DG513" i="5"/>
  <c r="DF513" i="5"/>
  <c r="DE513" i="5"/>
  <c r="DD513" i="5"/>
  <c r="DC513" i="5"/>
  <c r="DB513" i="5"/>
  <c r="DA513" i="5"/>
  <c r="CZ513" i="5"/>
  <c r="CY513" i="5"/>
  <c r="CX513" i="5"/>
  <c r="CW513" i="5"/>
  <c r="CV513" i="5"/>
  <c r="CU513" i="5"/>
  <c r="CT513" i="5"/>
  <c r="CS513" i="5"/>
  <c r="CR513" i="5"/>
  <c r="CQ513" i="5"/>
  <c r="CP513" i="5"/>
  <c r="CO513" i="5"/>
  <c r="CN513" i="5"/>
  <c r="CM513" i="5"/>
  <c r="CL513" i="5"/>
  <c r="CK513" i="5"/>
  <c r="CJ513" i="5"/>
  <c r="CI513" i="5"/>
  <c r="CH513" i="5"/>
  <c r="CG513" i="5"/>
  <c r="CF513" i="5"/>
  <c r="CE513" i="5"/>
  <c r="D513" i="5"/>
  <c r="IS512" i="5"/>
  <c r="IM512" i="5"/>
  <c r="IF512" i="5"/>
  <c r="O48" i="7" s="1"/>
  <c r="IE512" i="5"/>
  <c r="N48" i="7" s="1"/>
  <c r="ID512" i="5"/>
  <c r="HU512" i="5"/>
  <c r="HT512" i="5"/>
  <c r="C48" i="7" s="1"/>
  <c r="HS512" i="5"/>
  <c r="D512" i="5"/>
  <c r="IZ511" i="5"/>
  <c r="JA511" i="5" s="1"/>
  <c r="IW511" i="5"/>
  <c r="IX511" i="5" s="1"/>
  <c r="IT511" i="5"/>
  <c r="IU511" i="5" s="1"/>
  <c r="IQ511" i="5"/>
  <c r="IR511" i="5" s="1"/>
  <c r="IN511" i="5"/>
  <c r="IO511" i="5" s="1"/>
  <c r="IK511" i="5"/>
  <c r="IL511" i="5" s="1"/>
  <c r="EX511" i="5"/>
  <c r="EW511" i="5"/>
  <c r="EV511" i="5"/>
  <c r="EU511" i="5"/>
  <c r="ET511" i="5"/>
  <c r="ES511" i="5"/>
  <c r="ER511" i="5"/>
  <c r="EQ511" i="5"/>
  <c r="EP511" i="5"/>
  <c r="EO511" i="5"/>
  <c r="EN511" i="5"/>
  <c r="EM511" i="5"/>
  <c r="EL511" i="5"/>
  <c r="EK511" i="5"/>
  <c r="EJ511" i="5"/>
  <c r="EI511" i="5"/>
  <c r="EH511" i="5"/>
  <c r="EG511" i="5"/>
  <c r="EF511" i="5"/>
  <c r="EE511" i="5"/>
  <c r="ED511" i="5"/>
  <c r="EC511" i="5"/>
  <c r="EB511" i="5"/>
  <c r="EA511" i="5"/>
  <c r="DZ511" i="5"/>
  <c r="DY511" i="5"/>
  <c r="DX511" i="5"/>
  <c r="DW511" i="5"/>
  <c r="DV511" i="5"/>
  <c r="DU511" i="5"/>
  <c r="DT511" i="5"/>
  <c r="DS511" i="5"/>
  <c r="DR511" i="5"/>
  <c r="DQ511" i="5"/>
  <c r="DP511" i="5"/>
  <c r="DO511" i="5"/>
  <c r="DN511" i="5"/>
  <c r="DM511" i="5"/>
  <c r="DL511" i="5"/>
  <c r="DK511" i="5"/>
  <c r="DJ511" i="5"/>
  <c r="DI511" i="5"/>
  <c r="DH511" i="5"/>
  <c r="DG511" i="5"/>
  <c r="DF511" i="5"/>
  <c r="DE511" i="5"/>
  <c r="DD511" i="5"/>
  <c r="DC511" i="5"/>
  <c r="DB511" i="5"/>
  <c r="DA511" i="5"/>
  <c r="CZ511" i="5"/>
  <c r="CY511" i="5"/>
  <c r="CX511" i="5"/>
  <c r="CW511" i="5"/>
  <c r="CV511" i="5"/>
  <c r="CU511" i="5"/>
  <c r="CT511" i="5"/>
  <c r="CS511" i="5"/>
  <c r="CR511" i="5"/>
  <c r="CQ511" i="5"/>
  <c r="CP511" i="5"/>
  <c r="CO511" i="5"/>
  <c r="CN511" i="5"/>
  <c r="CM511" i="5"/>
  <c r="CL511" i="5"/>
  <c r="CK511" i="5"/>
  <c r="CJ511" i="5"/>
  <c r="CI511" i="5"/>
  <c r="CH511" i="5"/>
  <c r="CG511" i="5"/>
  <c r="CF511" i="5"/>
  <c r="CE511" i="5"/>
  <c r="D511" i="5"/>
  <c r="IM510" i="5"/>
  <c r="T46" i="7" s="1"/>
  <c r="IJ510" i="5"/>
  <c r="ID510" i="5"/>
  <c r="M46" i="7" s="1"/>
  <c r="IB510" i="5"/>
  <c r="J46" i="7" s="1"/>
  <c r="EX510" i="5"/>
  <c r="EX1144" i="5" s="1"/>
  <c r="EW510" i="5"/>
  <c r="EW1144" i="5" s="1"/>
  <c r="EV510" i="5"/>
  <c r="EV1144" i="5" s="1"/>
  <c r="EU510" i="5"/>
  <c r="EU1144" i="5" s="1"/>
  <c r="ET510" i="5"/>
  <c r="ET1144" i="5" s="1"/>
  <c r="ES510" i="5"/>
  <c r="ER510" i="5"/>
  <c r="ER1144" i="5" s="1"/>
  <c r="EQ510" i="5"/>
  <c r="EQ1144" i="5" s="1"/>
  <c r="EP510" i="5"/>
  <c r="EP1144" i="5" s="1"/>
  <c r="EO510" i="5"/>
  <c r="EN510" i="5"/>
  <c r="EN1144" i="5" s="1"/>
  <c r="EM510" i="5"/>
  <c r="EM1144" i="5" s="1"/>
  <c r="EL510" i="5"/>
  <c r="EL1144" i="5" s="1"/>
  <c r="EK510" i="5"/>
  <c r="EK1144" i="5" s="1"/>
  <c r="EJ510" i="5"/>
  <c r="EJ1144" i="5" s="1"/>
  <c r="EI510" i="5"/>
  <c r="EI1144" i="5" s="1"/>
  <c r="EH510" i="5"/>
  <c r="EH1144" i="5" s="1"/>
  <c r="EG510" i="5"/>
  <c r="EG1144" i="5" s="1"/>
  <c r="EF510" i="5"/>
  <c r="EE510" i="5"/>
  <c r="EE1144" i="5" s="1"/>
  <c r="ED510" i="5"/>
  <c r="ED1144" i="5" s="1"/>
  <c r="EC510" i="5"/>
  <c r="EC1144" i="5" s="1"/>
  <c r="EB510" i="5"/>
  <c r="EB1144" i="5" s="1"/>
  <c r="EA510" i="5"/>
  <c r="EA1144" i="5" s="1"/>
  <c r="DZ510" i="5"/>
  <c r="DZ1144" i="5" s="1"/>
  <c r="DY510" i="5"/>
  <c r="DY1144" i="5" s="1"/>
  <c r="DX510" i="5"/>
  <c r="DX1144" i="5" s="1"/>
  <c r="DW510" i="5"/>
  <c r="DW1144" i="5" s="1"/>
  <c r="DV510" i="5"/>
  <c r="DV1144" i="5" s="1"/>
  <c r="DU510" i="5"/>
  <c r="DU1144" i="5" s="1"/>
  <c r="DT510" i="5"/>
  <c r="DT1144" i="5" s="1"/>
  <c r="DS510" i="5"/>
  <c r="DS1144" i="5" s="1"/>
  <c r="DR510" i="5"/>
  <c r="DR1144" i="5" s="1"/>
  <c r="DQ510" i="5"/>
  <c r="DQ1144" i="5" s="1"/>
  <c r="DP510" i="5"/>
  <c r="DP1144" i="5" s="1"/>
  <c r="DO510" i="5"/>
  <c r="DO1144" i="5" s="1"/>
  <c r="DN510" i="5"/>
  <c r="DN1144" i="5" s="1"/>
  <c r="DM510" i="5"/>
  <c r="DM1144" i="5" s="1"/>
  <c r="DL510" i="5"/>
  <c r="DK510" i="5"/>
  <c r="DK1144" i="5" s="1"/>
  <c r="DJ510" i="5"/>
  <c r="DJ1144" i="5" s="1"/>
  <c r="DI510" i="5"/>
  <c r="DI1144" i="5" s="1"/>
  <c r="DH510" i="5"/>
  <c r="DH1144" i="5" s="1"/>
  <c r="DG510" i="5"/>
  <c r="DG1144" i="5" s="1"/>
  <c r="DF510" i="5"/>
  <c r="DE510" i="5"/>
  <c r="DE1144" i="5" s="1"/>
  <c r="DD510" i="5"/>
  <c r="DD1144" i="5" s="1"/>
  <c r="DC510" i="5"/>
  <c r="DB510" i="5"/>
  <c r="DA510" i="5"/>
  <c r="DA1144" i="5" s="1"/>
  <c r="CZ510" i="5"/>
  <c r="CZ1144" i="5" s="1"/>
  <c r="CY510" i="5"/>
  <c r="CY1144" i="5" s="1"/>
  <c r="CX510" i="5"/>
  <c r="CX1144" i="5" s="1"/>
  <c r="CW510" i="5"/>
  <c r="CW1144" i="5" s="1"/>
  <c r="CV510" i="5"/>
  <c r="CV1144" i="5" s="1"/>
  <c r="CU510" i="5"/>
  <c r="CU1144" i="5" s="1"/>
  <c r="CT510" i="5"/>
  <c r="CT1144" i="5" s="1"/>
  <c r="CS510" i="5"/>
  <c r="CS1144" i="5" s="1"/>
  <c r="CR510" i="5"/>
  <c r="CR1144" i="5" s="1"/>
  <c r="CQ510" i="5"/>
  <c r="CQ1144" i="5" s="1"/>
  <c r="CP510" i="5"/>
  <c r="CP1144" i="5" s="1"/>
  <c r="CO510" i="5"/>
  <c r="CO1144" i="5" s="1"/>
  <c r="CN510" i="5"/>
  <c r="CN1144" i="5" s="1"/>
  <c r="CM510" i="5"/>
  <c r="CM1144" i="5" s="1"/>
  <c r="CL510" i="5"/>
  <c r="CK510" i="5"/>
  <c r="CK1144" i="5" s="1"/>
  <c r="CJ510" i="5"/>
  <c r="CJ1144" i="5" s="1"/>
  <c r="CI510" i="5"/>
  <c r="CI1144" i="5" s="1"/>
  <c r="CH510" i="5"/>
  <c r="CH1144" i="5" s="1"/>
  <c r="CG510" i="5"/>
  <c r="CG1144" i="5" s="1"/>
  <c r="CF510" i="5"/>
  <c r="CF1144" i="5" s="1"/>
  <c r="CE510" i="5"/>
  <c r="CE1144" i="5" s="1"/>
  <c r="D510" i="5"/>
  <c r="JB509" i="5"/>
  <c r="IZ509" i="5" s="1"/>
  <c r="JA509" i="5" s="1"/>
  <c r="IY509" i="5"/>
  <c r="IW509" i="5" s="1"/>
  <c r="IX509" i="5" s="1"/>
  <c r="IV509" i="5"/>
  <c r="IS509" i="5"/>
  <c r="IQ509" i="5" s="1"/>
  <c r="IP509" i="5"/>
  <c r="IM509" i="5"/>
  <c r="T45" i="7" s="1"/>
  <c r="IJ509" i="5"/>
  <c r="S45" i="7" s="1"/>
  <c r="HR509" i="5"/>
  <c r="EX509" i="5"/>
  <c r="EW509" i="5"/>
  <c r="EV509" i="5"/>
  <c r="EU509" i="5"/>
  <c r="ET509" i="5"/>
  <c r="ES509" i="5"/>
  <c r="ER509" i="5"/>
  <c r="EQ509" i="5"/>
  <c r="EP509" i="5"/>
  <c r="EO509" i="5"/>
  <c r="EN509" i="5"/>
  <c r="EM509" i="5"/>
  <c r="EL509" i="5"/>
  <c r="EK509" i="5"/>
  <c r="EJ509" i="5"/>
  <c r="EI509" i="5"/>
  <c r="EH509" i="5"/>
  <c r="EG509" i="5"/>
  <c r="EF509" i="5"/>
  <c r="EE509" i="5"/>
  <c r="ED509" i="5"/>
  <c r="EC509" i="5"/>
  <c r="EB509" i="5"/>
  <c r="EA509" i="5"/>
  <c r="DZ509" i="5"/>
  <c r="DY509" i="5"/>
  <c r="DX509" i="5"/>
  <c r="DW509" i="5"/>
  <c r="DV509" i="5"/>
  <c r="DU509" i="5"/>
  <c r="DT509" i="5"/>
  <c r="DS509" i="5"/>
  <c r="DR509" i="5"/>
  <c r="DQ509" i="5"/>
  <c r="DP509" i="5"/>
  <c r="DO509" i="5"/>
  <c r="DN509" i="5"/>
  <c r="DM509" i="5"/>
  <c r="DL509" i="5"/>
  <c r="DK509" i="5"/>
  <c r="DJ509" i="5"/>
  <c r="DI509" i="5"/>
  <c r="DH509" i="5"/>
  <c r="DG509" i="5"/>
  <c r="DF509" i="5"/>
  <c r="DE509" i="5"/>
  <c r="DD509" i="5"/>
  <c r="DC509" i="5"/>
  <c r="DB509" i="5"/>
  <c r="DA509" i="5"/>
  <c r="CZ509" i="5"/>
  <c r="CY509" i="5"/>
  <c r="CX509" i="5"/>
  <c r="CW509" i="5"/>
  <c r="CV509" i="5"/>
  <c r="CU509" i="5"/>
  <c r="CT509" i="5"/>
  <c r="CS509" i="5"/>
  <c r="CR509" i="5"/>
  <c r="CQ509" i="5"/>
  <c r="CP509" i="5"/>
  <c r="CO509" i="5"/>
  <c r="CN509" i="5"/>
  <c r="CM509" i="5"/>
  <c r="CL509" i="5"/>
  <c r="CK509" i="5"/>
  <c r="CJ509" i="5"/>
  <c r="CI509" i="5"/>
  <c r="CH509" i="5"/>
  <c r="CG509" i="5"/>
  <c r="CF509" i="5"/>
  <c r="CE509" i="5"/>
  <c r="D509" i="5"/>
  <c r="JB508" i="5"/>
  <c r="IZ508" i="5" s="1"/>
  <c r="IY508" i="5"/>
  <c r="IW508" i="5" s="1"/>
  <c r="IX508" i="5" s="1"/>
  <c r="IV508" i="5"/>
  <c r="IT508" i="5" s="1"/>
  <c r="IS508" i="5"/>
  <c r="IQ508" i="5" s="1"/>
  <c r="IR508" i="5" s="1"/>
  <c r="IP508" i="5"/>
  <c r="IM508" i="5"/>
  <c r="T44" i="7" s="1"/>
  <c r="IJ508" i="5"/>
  <c r="S44" i="7" s="1"/>
  <c r="HZ508" i="5"/>
  <c r="I44" i="7" s="1"/>
  <c r="HY508" i="5"/>
  <c r="HU508" i="5"/>
  <c r="HT508" i="5"/>
  <c r="C44" i="7" s="1"/>
  <c r="HS508" i="5"/>
  <c r="HR508" i="5"/>
  <c r="D508" i="5"/>
  <c r="JB507" i="5"/>
  <c r="IZ507" i="5" s="1"/>
  <c r="IY507" i="5"/>
  <c r="IW507" i="5" s="1"/>
  <c r="IV507" i="5"/>
  <c r="IS507" i="5"/>
  <c r="IQ507" i="5" s="1"/>
  <c r="IP507" i="5"/>
  <c r="IM507" i="5"/>
  <c r="T43" i="7" s="1"/>
  <c r="IJ507" i="5"/>
  <c r="S43" i="7" s="1"/>
  <c r="HR507" i="5"/>
  <c r="EX507" i="5"/>
  <c r="EW507" i="5"/>
  <c r="EV507" i="5"/>
  <c r="EU507" i="5"/>
  <c r="ET507" i="5"/>
  <c r="ES507" i="5"/>
  <c r="ER507" i="5"/>
  <c r="EQ507" i="5"/>
  <c r="EP507" i="5"/>
  <c r="EO507" i="5"/>
  <c r="EN507" i="5"/>
  <c r="EM507" i="5"/>
  <c r="EL507" i="5"/>
  <c r="EK507" i="5"/>
  <c r="EJ507" i="5"/>
  <c r="EI507" i="5"/>
  <c r="EH507" i="5"/>
  <c r="EG507" i="5"/>
  <c r="EF507" i="5"/>
  <c r="EE507" i="5"/>
  <c r="ED507" i="5"/>
  <c r="EC507" i="5"/>
  <c r="EB507" i="5"/>
  <c r="EA507" i="5"/>
  <c r="DZ507" i="5"/>
  <c r="DY507" i="5"/>
  <c r="DX507" i="5"/>
  <c r="DW507" i="5"/>
  <c r="DV507" i="5"/>
  <c r="DU507" i="5"/>
  <c r="DT507" i="5"/>
  <c r="DS507" i="5"/>
  <c r="DR507" i="5"/>
  <c r="DQ507" i="5"/>
  <c r="DP507" i="5"/>
  <c r="DO507" i="5"/>
  <c r="DN507" i="5"/>
  <c r="DM507" i="5"/>
  <c r="DL507" i="5"/>
  <c r="DK507" i="5"/>
  <c r="DJ507" i="5"/>
  <c r="DI507" i="5"/>
  <c r="DH507" i="5"/>
  <c r="DG507" i="5"/>
  <c r="DF507" i="5"/>
  <c r="DE507" i="5"/>
  <c r="DD507" i="5"/>
  <c r="DC507" i="5"/>
  <c r="DB507" i="5"/>
  <c r="DA507" i="5"/>
  <c r="CZ507" i="5"/>
  <c r="CY507" i="5"/>
  <c r="CX507" i="5"/>
  <c r="CW507" i="5"/>
  <c r="CV507" i="5"/>
  <c r="CU507" i="5"/>
  <c r="CT507" i="5"/>
  <c r="CS507" i="5"/>
  <c r="CR507" i="5"/>
  <c r="CQ507" i="5"/>
  <c r="CP507" i="5"/>
  <c r="CO507" i="5"/>
  <c r="CN507" i="5"/>
  <c r="CM507" i="5"/>
  <c r="CL507" i="5"/>
  <c r="CK507" i="5"/>
  <c r="CJ507" i="5"/>
  <c r="CI507" i="5"/>
  <c r="CH507" i="5"/>
  <c r="CG507" i="5"/>
  <c r="CF507" i="5"/>
  <c r="CE507" i="5"/>
  <c r="D507" i="5"/>
  <c r="IM506" i="5"/>
  <c r="T42" i="7" s="1"/>
  <c r="IJ506" i="5"/>
  <c r="IH506" i="5" s="1"/>
  <c r="II506" i="5" s="1"/>
  <c r="R42" i="7" s="1"/>
  <c r="ID506" i="5"/>
  <c r="IB506" i="5"/>
  <c r="J42" i="7" s="1"/>
  <c r="EX506" i="5"/>
  <c r="EX1143" i="5" s="1"/>
  <c r="EW506" i="5"/>
  <c r="EW1143" i="5" s="1"/>
  <c r="EV506" i="5"/>
  <c r="EV1143" i="5" s="1"/>
  <c r="EU506" i="5"/>
  <c r="EU1143" i="5" s="1"/>
  <c r="ET506" i="5"/>
  <c r="ET1143" i="5" s="1"/>
  <c r="ES506" i="5"/>
  <c r="ER506" i="5"/>
  <c r="EQ506" i="5"/>
  <c r="EQ1143" i="5" s="1"/>
  <c r="EP506" i="5"/>
  <c r="EP1143" i="5" s="1"/>
  <c r="EO506" i="5"/>
  <c r="EO1143" i="5" s="1"/>
  <c r="EN506" i="5"/>
  <c r="EN1143" i="5" s="1"/>
  <c r="EM506" i="5"/>
  <c r="EM1143" i="5" s="1"/>
  <c r="EL506" i="5"/>
  <c r="EL1143" i="5" s="1"/>
  <c r="EK506" i="5"/>
  <c r="EK1143" i="5" s="1"/>
  <c r="EJ506" i="5"/>
  <c r="EJ1143" i="5" s="1"/>
  <c r="EI506" i="5"/>
  <c r="EI1143" i="5" s="1"/>
  <c r="EH506" i="5"/>
  <c r="EH1143" i="5" s="1"/>
  <c r="EG506" i="5"/>
  <c r="EG1143" i="5" s="1"/>
  <c r="EF506" i="5"/>
  <c r="EF1143" i="5" s="1"/>
  <c r="EE506" i="5"/>
  <c r="EE1143" i="5" s="1"/>
  <c r="ED506" i="5"/>
  <c r="ED1143" i="5" s="1"/>
  <c r="EC506" i="5"/>
  <c r="EB506" i="5"/>
  <c r="EB1143" i="5" s="1"/>
  <c r="EA506" i="5"/>
  <c r="EA1143" i="5" s="1"/>
  <c r="DZ506" i="5"/>
  <c r="DZ1143" i="5" s="1"/>
  <c r="DY506" i="5"/>
  <c r="DY1143" i="5" s="1"/>
  <c r="DX506" i="5"/>
  <c r="DW506" i="5"/>
  <c r="DW1143" i="5" s="1"/>
  <c r="DV506" i="5"/>
  <c r="DV1143" i="5" s="1"/>
  <c r="DU506" i="5"/>
  <c r="DU1143" i="5" s="1"/>
  <c r="DT506" i="5"/>
  <c r="DT1143" i="5" s="1"/>
  <c r="DS506" i="5"/>
  <c r="DS1143" i="5" s="1"/>
  <c r="DR506" i="5"/>
  <c r="DR1143" i="5" s="1"/>
  <c r="DQ506" i="5"/>
  <c r="DQ1143" i="5" s="1"/>
  <c r="DP506" i="5"/>
  <c r="DP1143" i="5" s="1"/>
  <c r="DO506" i="5"/>
  <c r="DO1143" i="5" s="1"/>
  <c r="DN506" i="5"/>
  <c r="DN1143" i="5" s="1"/>
  <c r="DM506" i="5"/>
  <c r="DL506" i="5"/>
  <c r="DL1143" i="5" s="1"/>
  <c r="DK506" i="5"/>
  <c r="DK1143" i="5" s="1"/>
  <c r="DJ506" i="5"/>
  <c r="DJ1143" i="5" s="1"/>
  <c r="DI506" i="5"/>
  <c r="DI1143" i="5" s="1"/>
  <c r="DH506" i="5"/>
  <c r="DH1143" i="5" s="1"/>
  <c r="DG506" i="5"/>
  <c r="DG1143" i="5" s="1"/>
  <c r="DF506" i="5"/>
  <c r="DF1143" i="5" s="1"/>
  <c r="DE506" i="5"/>
  <c r="DE1143" i="5" s="1"/>
  <c r="DD506" i="5"/>
  <c r="DD1143" i="5" s="1"/>
  <c r="DC506" i="5"/>
  <c r="DC1143" i="5" s="1"/>
  <c r="DB506" i="5"/>
  <c r="DA506" i="5"/>
  <c r="DA1143" i="5" s="1"/>
  <c r="CZ506" i="5"/>
  <c r="CY506" i="5"/>
  <c r="CY1143" i="5" s="1"/>
  <c r="CX506" i="5"/>
  <c r="CW506" i="5"/>
  <c r="CW1143" i="5" s="1"/>
  <c r="CV506" i="5"/>
  <c r="CV1143" i="5" s="1"/>
  <c r="CU506" i="5"/>
  <c r="CU1143" i="5" s="1"/>
  <c r="CT506" i="5"/>
  <c r="CT1143" i="5" s="1"/>
  <c r="CS506" i="5"/>
  <c r="CS1143" i="5" s="1"/>
  <c r="CR506" i="5"/>
  <c r="CR1143" i="5" s="1"/>
  <c r="CQ506" i="5"/>
  <c r="CQ1143" i="5" s="1"/>
  <c r="CP506" i="5"/>
  <c r="CP1143" i="5" s="1"/>
  <c r="CO506" i="5"/>
  <c r="CN506" i="5"/>
  <c r="CN1143" i="5" s="1"/>
  <c r="CM506" i="5"/>
  <c r="CM1143" i="5" s="1"/>
  <c r="CL506" i="5"/>
  <c r="CL1143" i="5" s="1"/>
  <c r="CK506" i="5"/>
  <c r="CK1143" i="5" s="1"/>
  <c r="CJ506" i="5"/>
  <c r="CI506" i="5"/>
  <c r="CI1143" i="5" s="1"/>
  <c r="CH506" i="5"/>
  <c r="CH1143" i="5" s="1"/>
  <c r="CG506" i="5"/>
  <c r="CG1143" i="5" s="1"/>
  <c r="CF506" i="5"/>
  <c r="CF1143" i="5" s="1"/>
  <c r="CE506" i="5"/>
  <c r="CE1143" i="5" s="1"/>
  <c r="D506" i="5"/>
  <c r="IM505" i="5"/>
  <c r="T41" i="7" s="1"/>
  <c r="IJ505" i="5"/>
  <c r="IJ636" i="5" s="1"/>
  <c r="ID505" i="5"/>
  <c r="ID636" i="5" s="1"/>
  <c r="D505" i="5"/>
  <c r="D636" i="5" s="1"/>
  <c r="IZ504" i="5"/>
  <c r="JA504" i="5" s="1"/>
  <c r="IW504" i="5"/>
  <c r="IX504" i="5" s="1"/>
  <c r="IT504" i="5"/>
  <c r="IU504" i="5" s="1"/>
  <c r="IQ504" i="5"/>
  <c r="IR504" i="5" s="1"/>
  <c r="IN504" i="5"/>
  <c r="IO504" i="5" s="1"/>
  <c r="IK504" i="5"/>
  <c r="IL504" i="5" s="1"/>
  <c r="ID504" i="5"/>
  <c r="M40" i="7" s="1"/>
  <c r="IM503" i="5"/>
  <c r="T39" i="7" s="1"/>
  <c r="IJ503" i="5"/>
  <c r="ID503" i="5"/>
  <c r="M39" i="7" s="1"/>
  <c r="D503" i="5"/>
  <c r="D635" i="5" s="1"/>
  <c r="IZ502" i="5"/>
  <c r="JA502" i="5" s="1"/>
  <c r="IW502" i="5"/>
  <c r="IX502" i="5" s="1"/>
  <c r="IT502" i="5"/>
  <c r="IU502" i="5" s="1"/>
  <c r="IQ502" i="5"/>
  <c r="IR502" i="5" s="1"/>
  <c r="IN502" i="5"/>
  <c r="IO502" i="5" s="1"/>
  <c r="IK502" i="5"/>
  <c r="IL502" i="5" s="1"/>
  <c r="JB501" i="5"/>
  <c r="IZ501" i="5" s="1"/>
  <c r="JA501" i="5" s="1"/>
  <c r="IY501" i="5"/>
  <c r="IV501" i="5"/>
  <c r="IS501" i="5"/>
  <c r="IQ501" i="5" s="1"/>
  <c r="IR501" i="5" s="1"/>
  <c r="IP501" i="5"/>
  <c r="IO501" i="5" s="1"/>
  <c r="IM501" i="5"/>
  <c r="IJ501" i="5"/>
  <c r="S37" i="7" s="1"/>
  <c r="IF501" i="5"/>
  <c r="IE501" i="5"/>
  <c r="N37" i="7" s="1"/>
  <c r="ID501" i="5"/>
  <c r="M37" i="7" s="1"/>
  <c r="HZ501" i="5"/>
  <c r="I37" i="7" s="1"/>
  <c r="HY501" i="5"/>
  <c r="HV501" i="5"/>
  <c r="HU501" i="5"/>
  <c r="HT501" i="5"/>
  <c r="C37" i="7" s="1"/>
  <c r="HS501" i="5"/>
  <c r="HR501" i="5"/>
  <c r="CP501" i="5"/>
  <c r="CO501" i="5"/>
  <c r="CO546" i="5" s="1"/>
  <c r="CN501" i="5"/>
  <c r="CM501" i="5"/>
  <c r="CL501" i="5"/>
  <c r="CL497" i="5" s="1"/>
  <c r="CK501" i="5"/>
  <c r="CJ501" i="5"/>
  <c r="CJ497" i="5" s="1"/>
  <c r="CI501" i="5"/>
  <c r="CH501" i="5"/>
  <c r="CG501" i="5"/>
  <c r="CG546" i="5" s="1"/>
  <c r="CF501" i="5"/>
  <c r="CE501" i="5"/>
  <c r="D501" i="5"/>
  <c r="IZ500" i="5"/>
  <c r="JA500" i="5" s="1"/>
  <c r="IW500" i="5"/>
  <c r="IX500" i="5" s="1"/>
  <c r="IT500" i="5"/>
  <c r="IU500" i="5" s="1"/>
  <c r="IQ500" i="5"/>
  <c r="IR500" i="5" s="1"/>
  <c r="IN500" i="5"/>
  <c r="IO500" i="5" s="1"/>
  <c r="IK500" i="5"/>
  <c r="IL500" i="5" s="1"/>
  <c r="HZ500" i="5"/>
  <c r="I36" i="7" s="1"/>
  <c r="HY500" i="5"/>
  <c r="IZ499" i="5"/>
  <c r="JA499" i="5" s="1"/>
  <c r="IW499" i="5"/>
  <c r="IX499" i="5" s="1"/>
  <c r="IT499" i="5"/>
  <c r="IU499" i="5" s="1"/>
  <c r="IQ499" i="5"/>
  <c r="IR499" i="5" s="1"/>
  <c r="IN499" i="5"/>
  <c r="IO499" i="5" s="1"/>
  <c r="IK499" i="5"/>
  <c r="IL499" i="5" s="1"/>
  <c r="HZ499" i="5"/>
  <c r="I35" i="7" s="1"/>
  <c r="HY499" i="5"/>
  <c r="G35" i="7" s="1"/>
  <c r="IZ498" i="5"/>
  <c r="IW498" i="5"/>
  <c r="IT498" i="5"/>
  <c r="IQ498" i="5"/>
  <c r="IN498" i="5"/>
  <c r="IN497" i="5" s="1"/>
  <c r="IM498" i="5"/>
  <c r="T34" i="7" s="1"/>
  <c r="IK498" i="5"/>
  <c r="IK497" i="5" s="1"/>
  <c r="IJ498" i="5"/>
  <c r="S34" i="7" s="1"/>
  <c r="IH498" i="5"/>
  <c r="ID498" i="5"/>
  <c r="M34" i="7" s="1"/>
  <c r="IB498" i="5"/>
  <c r="HU498" i="5"/>
  <c r="HT498" i="5"/>
  <c r="HS498" i="5"/>
  <c r="HR498" i="5"/>
  <c r="EX498" i="5"/>
  <c r="EX497" i="5" s="1"/>
  <c r="EX1140" i="5" s="1"/>
  <c r="EW498" i="5"/>
  <c r="EW497" i="5" s="1"/>
  <c r="EW1140" i="5" s="1"/>
  <c r="EV498" i="5"/>
  <c r="EU498" i="5"/>
  <c r="EU497" i="5" s="1"/>
  <c r="ET498" i="5"/>
  <c r="ET497" i="5" s="1"/>
  <c r="ES498" i="5"/>
  <c r="ES497" i="5" s="1"/>
  <c r="ER498" i="5"/>
  <c r="ER497" i="5" s="1"/>
  <c r="ER1140" i="5" s="1"/>
  <c r="EQ498" i="5"/>
  <c r="EQ497" i="5" s="1"/>
  <c r="EQ1140" i="5" s="1"/>
  <c r="EP498" i="5"/>
  <c r="EP497" i="5" s="1"/>
  <c r="EP1140" i="5" s="1"/>
  <c r="EO498" i="5"/>
  <c r="EO497" i="5" s="1"/>
  <c r="EN498" i="5"/>
  <c r="EN497" i="5" s="1"/>
  <c r="EM498" i="5"/>
  <c r="EL498" i="5"/>
  <c r="EL497" i="5" s="1"/>
  <c r="EL1140" i="5" s="1"/>
  <c r="EK498" i="5"/>
  <c r="EK497" i="5" s="1"/>
  <c r="EK1140" i="5" s="1"/>
  <c r="EJ498" i="5"/>
  <c r="EJ497" i="5" s="1"/>
  <c r="EJ1140" i="5" s="1"/>
  <c r="EI498" i="5"/>
  <c r="EI497" i="5" s="1"/>
  <c r="EI1140" i="5" s="1"/>
  <c r="EH498" i="5"/>
  <c r="EH497" i="5" s="1"/>
  <c r="EG498" i="5"/>
  <c r="EG497" i="5" s="1"/>
  <c r="EG1140" i="5" s="1"/>
  <c r="EF498" i="5"/>
  <c r="EF497" i="5" s="1"/>
  <c r="EF1140" i="5" s="1"/>
  <c r="EE498" i="5"/>
  <c r="EE497" i="5" s="1"/>
  <c r="ED498" i="5"/>
  <c r="ED497" i="5" s="1"/>
  <c r="ED1140" i="5" s="1"/>
  <c r="EC498" i="5"/>
  <c r="EC497" i="5" s="1"/>
  <c r="EC1140" i="5" s="1"/>
  <c r="EB498" i="5"/>
  <c r="EB497" i="5" s="1"/>
  <c r="EB1140" i="5" s="1"/>
  <c r="EA498" i="5"/>
  <c r="EA497" i="5" s="1"/>
  <c r="EA1140" i="5" s="1"/>
  <c r="DZ498" i="5"/>
  <c r="DY498" i="5"/>
  <c r="DY497" i="5" s="1"/>
  <c r="DX498" i="5"/>
  <c r="DX497" i="5" s="1"/>
  <c r="DW498" i="5"/>
  <c r="DW497" i="5" s="1"/>
  <c r="DW1140" i="5" s="1"/>
  <c r="DV498" i="5"/>
  <c r="DV497" i="5" s="1"/>
  <c r="DU498" i="5"/>
  <c r="DU497" i="5" s="1"/>
  <c r="DT498" i="5"/>
  <c r="DT497" i="5" s="1"/>
  <c r="DS498" i="5"/>
  <c r="DS497" i="5" s="1"/>
  <c r="DS633" i="5" s="1"/>
  <c r="DR498" i="5"/>
  <c r="DR497" i="5" s="1"/>
  <c r="DQ498" i="5"/>
  <c r="DQ497" i="5" s="1"/>
  <c r="DQ633" i="5" s="1"/>
  <c r="DP498" i="5"/>
  <c r="DO498" i="5"/>
  <c r="DO497" i="5" s="1"/>
  <c r="DN498" i="5"/>
  <c r="DN497" i="5" s="1"/>
  <c r="DM498" i="5"/>
  <c r="DM497" i="5" s="1"/>
  <c r="DL498" i="5"/>
  <c r="DL497" i="5" s="1"/>
  <c r="DK498" i="5"/>
  <c r="DK497" i="5" s="1"/>
  <c r="DJ498" i="5"/>
  <c r="DJ497" i="5" s="1"/>
  <c r="DI498" i="5"/>
  <c r="DI497" i="5" s="1"/>
  <c r="DI633" i="5" s="1"/>
  <c r="DH498" i="5"/>
  <c r="DH497" i="5" s="1"/>
  <c r="DH1140" i="5" s="1"/>
  <c r="DG498" i="5"/>
  <c r="DG497" i="5" s="1"/>
  <c r="DF498" i="5"/>
  <c r="DF497" i="5" s="1"/>
  <c r="DE498" i="5"/>
  <c r="DD498" i="5"/>
  <c r="DD497" i="5" s="1"/>
  <c r="DC498" i="5"/>
  <c r="DC497" i="5" s="1"/>
  <c r="D498" i="5"/>
  <c r="KP497" i="5"/>
  <c r="KO497" i="5"/>
  <c r="KO633" i="5" s="1"/>
  <c r="KN497" i="5"/>
  <c r="KN633" i="5" s="1"/>
  <c r="KM497" i="5"/>
  <c r="KM633" i="5" s="1"/>
  <c r="IM497" i="5"/>
  <c r="IJ497" i="5"/>
  <c r="S33" i="7" s="1"/>
  <c r="ID497" i="5"/>
  <c r="ID633" i="5" s="1"/>
  <c r="DB497" i="5"/>
  <c r="DB1140" i="5" s="1"/>
  <c r="DA497" i="5"/>
  <c r="CZ497" i="5"/>
  <c r="CZ1140" i="5" s="1"/>
  <c r="CY497" i="5"/>
  <c r="CY633" i="5" s="1"/>
  <c r="CX497" i="5"/>
  <c r="CW497" i="5"/>
  <c r="CV497" i="5"/>
  <c r="CU497" i="5"/>
  <c r="CT497" i="5"/>
  <c r="CT1140" i="5" s="1"/>
  <c r="CS497" i="5"/>
  <c r="CS1140" i="5" s="1"/>
  <c r="CR497" i="5"/>
  <c r="CQ497" i="5"/>
  <c r="D497" i="5"/>
  <c r="D633" i="5" s="1"/>
  <c r="IZ496" i="5"/>
  <c r="IW496" i="5"/>
  <c r="IT496" i="5"/>
  <c r="IQ496" i="5"/>
  <c r="IN496" i="5"/>
  <c r="IM496" i="5"/>
  <c r="T32" i="7" s="1"/>
  <c r="IK496" i="5"/>
  <c r="IJ496" i="5"/>
  <c r="IH496" i="5"/>
  <c r="Q32" i="7" s="1"/>
  <c r="IF496" i="5"/>
  <c r="O32" i="7" s="1"/>
  <c r="IE496" i="5"/>
  <c r="N32" i="7" s="1"/>
  <c r="ID496" i="5"/>
  <c r="M32" i="7" s="1"/>
  <c r="IA496" i="5"/>
  <c r="IZ495" i="5"/>
  <c r="JA495" i="5" s="1"/>
  <c r="IW495" i="5"/>
  <c r="IX495" i="5" s="1"/>
  <c r="IT495" i="5"/>
  <c r="IU495" i="5" s="1"/>
  <c r="IQ495" i="5"/>
  <c r="IR495" i="5" s="1"/>
  <c r="IN495" i="5"/>
  <c r="IO495" i="5" s="1"/>
  <c r="IK495" i="5"/>
  <c r="IL495" i="5" s="1"/>
  <c r="IF495" i="5"/>
  <c r="IE495" i="5"/>
  <c r="IZ494" i="5"/>
  <c r="IW494" i="5"/>
  <c r="IT494" i="5"/>
  <c r="IQ494" i="5"/>
  <c r="IN494" i="5"/>
  <c r="IM494" i="5"/>
  <c r="T31" i="7" s="1"/>
  <c r="IK494" i="5"/>
  <c r="IK493" i="5" s="1"/>
  <c r="IJ494" i="5"/>
  <c r="S31" i="7" s="1"/>
  <c r="IH494" i="5"/>
  <c r="Q31" i="7" s="1"/>
  <c r="ID494" i="5"/>
  <c r="M31" i="7" s="1"/>
  <c r="IB494" i="5"/>
  <c r="J31" i="7" s="1"/>
  <c r="HR494" i="5"/>
  <c r="EX494" i="5"/>
  <c r="EW494" i="5"/>
  <c r="EV494" i="5"/>
  <c r="EU494" i="5"/>
  <c r="ET494" i="5"/>
  <c r="ES494" i="5"/>
  <c r="ER494" i="5"/>
  <c r="EQ494" i="5"/>
  <c r="EP494" i="5"/>
  <c r="EO494" i="5"/>
  <c r="EN494" i="5"/>
  <c r="EM494" i="5"/>
  <c r="EL494" i="5"/>
  <c r="EK494" i="5"/>
  <c r="EJ494" i="5"/>
  <c r="EI494" i="5"/>
  <c r="EH494" i="5"/>
  <c r="EG494" i="5"/>
  <c r="EF494" i="5"/>
  <c r="EE494" i="5"/>
  <c r="ED494" i="5"/>
  <c r="EC494" i="5"/>
  <c r="EB494" i="5"/>
  <c r="EA494" i="5"/>
  <c r="DZ494" i="5"/>
  <c r="DY494" i="5"/>
  <c r="DX494" i="5"/>
  <c r="DW494" i="5"/>
  <c r="DV494" i="5"/>
  <c r="DU494" i="5"/>
  <c r="DT494" i="5"/>
  <c r="DS494" i="5"/>
  <c r="DR494" i="5"/>
  <c r="DQ494" i="5"/>
  <c r="DP494" i="5"/>
  <c r="DO494" i="5"/>
  <c r="DN494" i="5"/>
  <c r="DM494" i="5"/>
  <c r="DL494" i="5"/>
  <c r="DK494" i="5"/>
  <c r="DJ494" i="5"/>
  <c r="DI494" i="5"/>
  <c r="DH494" i="5"/>
  <c r="DG494" i="5"/>
  <c r="DF494" i="5"/>
  <c r="DE494" i="5"/>
  <c r="DD494" i="5"/>
  <c r="DC494" i="5"/>
  <c r="DB494" i="5"/>
  <c r="DA494" i="5"/>
  <c r="CZ494" i="5"/>
  <c r="CY494" i="5"/>
  <c r="CX494" i="5"/>
  <c r="CW494" i="5"/>
  <c r="CV494" i="5"/>
  <c r="CU494" i="5"/>
  <c r="CT494" i="5"/>
  <c r="CS494" i="5"/>
  <c r="CR494" i="5"/>
  <c r="CQ494" i="5"/>
  <c r="D494" i="5"/>
  <c r="IM493" i="5"/>
  <c r="T30" i="7" s="1"/>
  <c r="IJ493" i="5"/>
  <c r="S30" i="7" s="1"/>
  <c r="ID493" i="5"/>
  <c r="M30" i="7" s="1"/>
  <c r="IB493" i="5"/>
  <c r="EX493" i="5"/>
  <c r="EW493" i="5"/>
  <c r="EV493" i="5"/>
  <c r="EU493" i="5"/>
  <c r="ET493" i="5"/>
  <c r="ES493" i="5"/>
  <c r="ER493" i="5"/>
  <c r="EQ493" i="5"/>
  <c r="EP493" i="5"/>
  <c r="EO493" i="5"/>
  <c r="EN493" i="5"/>
  <c r="EM493" i="5"/>
  <c r="EL493" i="5"/>
  <c r="EK493" i="5"/>
  <c r="EJ493" i="5"/>
  <c r="EI493" i="5"/>
  <c r="EH493" i="5"/>
  <c r="EG493" i="5"/>
  <c r="EF493" i="5"/>
  <c r="EE493" i="5"/>
  <c r="ED493" i="5"/>
  <c r="EC493" i="5"/>
  <c r="EB493" i="5"/>
  <c r="EA493" i="5"/>
  <c r="DZ493" i="5"/>
  <c r="DY493" i="5"/>
  <c r="DX493" i="5"/>
  <c r="DW493" i="5"/>
  <c r="DV493" i="5"/>
  <c r="DU493" i="5"/>
  <c r="DT493" i="5"/>
  <c r="DS493" i="5"/>
  <c r="DR493" i="5"/>
  <c r="DQ493" i="5"/>
  <c r="DP493" i="5"/>
  <c r="DO493" i="5"/>
  <c r="DN493" i="5"/>
  <c r="DM493" i="5"/>
  <c r="DL493" i="5"/>
  <c r="DK493" i="5"/>
  <c r="DJ493" i="5"/>
  <c r="DI493" i="5"/>
  <c r="DH493" i="5"/>
  <c r="DG493" i="5"/>
  <c r="DF493" i="5"/>
  <c r="DE493" i="5"/>
  <c r="DD493" i="5"/>
  <c r="DC493" i="5"/>
  <c r="DB493" i="5"/>
  <c r="DA493" i="5"/>
  <c r="CZ493" i="5"/>
  <c r="CY493" i="5"/>
  <c r="CX493" i="5"/>
  <c r="CW493" i="5"/>
  <c r="CV493" i="5"/>
  <c r="CU493" i="5"/>
  <c r="CT493" i="5"/>
  <c r="CS493" i="5"/>
  <c r="CR493" i="5"/>
  <c r="CQ493" i="5"/>
  <c r="CP493" i="5"/>
  <c r="CP492" i="5" s="1"/>
  <c r="CO493" i="5"/>
  <c r="CO492" i="5" s="1"/>
  <c r="CN493" i="5"/>
  <c r="CN492" i="5" s="1"/>
  <c r="CN632" i="5" s="1"/>
  <c r="CM493" i="5"/>
  <c r="CM492" i="5" s="1"/>
  <c r="CM632" i="5" s="1"/>
  <c r="CL493" i="5"/>
  <c r="CL492" i="5" s="1"/>
  <c r="CL632" i="5" s="1"/>
  <c r="CK493" i="5"/>
  <c r="CK492" i="5" s="1"/>
  <c r="CK632" i="5" s="1"/>
  <c r="CJ493" i="5"/>
  <c r="CJ492" i="5" s="1"/>
  <c r="CI493" i="5"/>
  <c r="CI492" i="5" s="1"/>
  <c r="CH493" i="5"/>
  <c r="CH492" i="5" s="1"/>
  <c r="CG493" i="5"/>
  <c r="CG492" i="5" s="1"/>
  <c r="CF493" i="5"/>
  <c r="CF492" i="5" s="1"/>
  <c r="CE493" i="5"/>
  <c r="CE492" i="5" s="1"/>
  <c r="CE632" i="5" s="1"/>
  <c r="D493" i="5"/>
  <c r="KP492" i="5"/>
  <c r="KP632" i="5" s="1"/>
  <c r="KO492" i="5"/>
  <c r="KO632" i="5" s="1"/>
  <c r="KN492" i="5"/>
  <c r="KM492" i="5"/>
  <c r="IM492" i="5"/>
  <c r="T29" i="7" s="1"/>
  <c r="IJ492" i="5"/>
  <c r="IJ632" i="5" s="1"/>
  <c r="ID492" i="5"/>
  <c r="M29" i="7" s="1"/>
  <c r="D492" i="5"/>
  <c r="D632" i="5" s="1"/>
  <c r="IM491" i="5"/>
  <c r="IJ491" i="5"/>
  <c r="S28" i="7" s="1"/>
  <c r="CD491" i="5"/>
  <c r="CC491" i="5"/>
  <c r="CC631" i="5" s="1"/>
  <c r="CB491" i="5"/>
  <c r="CB1138" i="5" s="1"/>
  <c r="CA491" i="5"/>
  <c r="CA631" i="5" s="1"/>
  <c r="BZ491" i="5"/>
  <c r="BY491" i="5"/>
  <c r="BY1138" i="5" s="1"/>
  <c r="BX491" i="5"/>
  <c r="BW491" i="5"/>
  <c r="BW1138" i="5" s="1"/>
  <c r="BV491" i="5"/>
  <c r="BU491" i="5"/>
  <c r="BU1138" i="5" s="1"/>
  <c r="BT491" i="5"/>
  <c r="BS491" i="5"/>
  <c r="BS1138" i="5" s="1"/>
  <c r="BR491" i="5"/>
  <c r="BR1138" i="5" s="1"/>
  <c r="BQ491" i="5"/>
  <c r="BP491" i="5"/>
  <c r="BO491" i="5"/>
  <c r="BO1138" i="5" s="1"/>
  <c r="BN491" i="5"/>
  <c r="BM491" i="5"/>
  <c r="BL491" i="5"/>
  <c r="BL1138" i="5" s="1"/>
  <c r="BK491" i="5"/>
  <c r="BK631" i="5" s="1"/>
  <c r="BJ491" i="5"/>
  <c r="BJ1138" i="5" s="1"/>
  <c r="BI491" i="5"/>
  <c r="BH491" i="5"/>
  <c r="BH1138" i="5" s="1"/>
  <c r="BG491" i="5"/>
  <c r="BG1138" i="5" s="1"/>
  <c r="BF491" i="5"/>
  <c r="BE491" i="5"/>
  <c r="BD491" i="5"/>
  <c r="BD1138" i="5" s="1"/>
  <c r="BC491" i="5"/>
  <c r="BC1138" i="5" s="1"/>
  <c r="BB491" i="5"/>
  <c r="BA491" i="5"/>
  <c r="BA631" i="5" s="1"/>
  <c r="AZ491" i="5"/>
  <c r="AZ1138" i="5" s="1"/>
  <c r="AY491" i="5"/>
  <c r="AX491" i="5"/>
  <c r="AW491" i="5"/>
  <c r="AV491" i="5"/>
  <c r="AV631" i="5" s="1"/>
  <c r="AU491" i="5"/>
  <c r="AU631" i="5" s="1"/>
  <c r="AT491" i="5"/>
  <c r="AS491" i="5"/>
  <c r="AS1138" i="5" s="1"/>
  <c r="AR491" i="5"/>
  <c r="AR1138" i="5" s="1"/>
  <c r="AQ491" i="5"/>
  <c r="AQ1138" i="5" s="1"/>
  <c r="AP491" i="5"/>
  <c r="AO491" i="5"/>
  <c r="AN491" i="5"/>
  <c r="AN1138" i="5" s="1"/>
  <c r="AM491" i="5"/>
  <c r="AL491" i="5"/>
  <c r="AK491" i="5"/>
  <c r="AK1138" i="5" s="1"/>
  <c r="AJ491" i="5"/>
  <c r="AI491" i="5"/>
  <c r="AH491" i="5"/>
  <c r="AG491" i="5"/>
  <c r="AG1138" i="5" s="1"/>
  <c r="AF491" i="5"/>
  <c r="AE491" i="5"/>
  <c r="AE631" i="5" s="1"/>
  <c r="AD491" i="5"/>
  <c r="AC491" i="5"/>
  <c r="AB491" i="5"/>
  <c r="AA491" i="5"/>
  <c r="AA631" i="5" s="1"/>
  <c r="Z491" i="5"/>
  <c r="Y491" i="5"/>
  <c r="X491" i="5"/>
  <c r="W491" i="5"/>
  <c r="V491" i="5"/>
  <c r="V1138" i="5" s="1"/>
  <c r="U491" i="5"/>
  <c r="U631" i="5" s="1"/>
  <c r="T491" i="5"/>
  <c r="T1138" i="5" s="1"/>
  <c r="S491" i="5"/>
  <c r="S1138" i="5" s="1"/>
  <c r="R491" i="5"/>
  <c r="Q491" i="5"/>
  <c r="P491" i="5"/>
  <c r="O491" i="5"/>
  <c r="N491" i="5"/>
  <c r="M491" i="5"/>
  <c r="L491" i="5"/>
  <c r="L1138" i="5" s="1"/>
  <c r="K491" i="5"/>
  <c r="K631" i="5" s="1"/>
  <c r="J491" i="5"/>
  <c r="J1138" i="5" s="1"/>
  <c r="I491" i="5"/>
  <c r="H491" i="5"/>
  <c r="H631" i="5" s="1"/>
  <c r="G491" i="5"/>
  <c r="G1138" i="5" s="1"/>
  <c r="F491" i="5"/>
  <c r="F631" i="5" s="1"/>
  <c r="E491" i="5"/>
  <c r="D491" i="5"/>
  <c r="D631" i="5" s="1"/>
  <c r="EX490" i="5"/>
  <c r="EX528" i="5" s="1"/>
  <c r="EW490" i="5"/>
  <c r="EW528" i="5" s="1"/>
  <c r="EV490" i="5"/>
  <c r="EV528" i="5" s="1"/>
  <c r="EU490" i="5"/>
  <c r="EU528" i="5" s="1"/>
  <c r="ET490" i="5"/>
  <c r="ET528" i="5" s="1"/>
  <c r="ES490" i="5"/>
  <c r="ER490" i="5"/>
  <c r="ER528" i="5" s="1"/>
  <c r="EQ490" i="5"/>
  <c r="EQ528" i="5" s="1"/>
  <c r="EP490" i="5"/>
  <c r="EP528" i="5" s="1"/>
  <c r="EO490" i="5"/>
  <c r="EO528" i="5" s="1"/>
  <c r="EN490" i="5"/>
  <c r="EM490" i="5"/>
  <c r="EX489" i="5"/>
  <c r="EW489" i="5"/>
  <c r="EV489" i="5"/>
  <c r="EV527" i="5" s="1"/>
  <c r="EU489" i="5"/>
  <c r="ET489" i="5"/>
  <c r="ET527" i="5" s="1"/>
  <c r="ES489" i="5"/>
  <c r="ES527" i="5" s="1"/>
  <c r="ER489" i="5"/>
  <c r="ER527" i="5" s="1"/>
  <c r="EQ489" i="5"/>
  <c r="EQ527" i="5" s="1"/>
  <c r="EP489" i="5"/>
  <c r="EP527" i="5" s="1"/>
  <c r="EO489" i="5"/>
  <c r="EN489" i="5"/>
  <c r="EN527" i="5" s="1"/>
  <c r="EM489" i="5"/>
  <c r="EM527" i="5" s="1"/>
  <c r="IM488" i="5"/>
  <c r="T27" i="7" s="1"/>
  <c r="IJ488" i="5"/>
  <c r="S27" i="7" s="1"/>
  <c r="ID488" i="5"/>
  <c r="EX488" i="5"/>
  <c r="EW488" i="5"/>
  <c r="EV488" i="5"/>
  <c r="EU488" i="5"/>
  <c r="ET488" i="5"/>
  <c r="ES488" i="5"/>
  <c r="ER488" i="5"/>
  <c r="EQ488" i="5"/>
  <c r="EP488" i="5"/>
  <c r="EO488" i="5"/>
  <c r="EN488" i="5"/>
  <c r="EM488" i="5"/>
  <c r="EL488" i="5"/>
  <c r="EK488" i="5"/>
  <c r="EJ488" i="5"/>
  <c r="EI488" i="5"/>
  <c r="EH488" i="5"/>
  <c r="EG488" i="5"/>
  <c r="EF488" i="5"/>
  <c r="EE488" i="5"/>
  <c r="ED488" i="5"/>
  <c r="EC488" i="5"/>
  <c r="EB488" i="5"/>
  <c r="EA488" i="5"/>
  <c r="DZ488" i="5"/>
  <c r="DY488" i="5"/>
  <c r="DX488" i="5"/>
  <c r="DW488" i="5"/>
  <c r="DV488" i="5"/>
  <c r="DU488" i="5"/>
  <c r="DT488" i="5"/>
  <c r="DS488" i="5"/>
  <c r="DR488" i="5"/>
  <c r="DQ488" i="5"/>
  <c r="DP488" i="5"/>
  <c r="DO488" i="5"/>
  <c r="DN488" i="5"/>
  <c r="DM488" i="5"/>
  <c r="DL488" i="5"/>
  <c r="DK488" i="5"/>
  <c r="DJ488" i="5"/>
  <c r="DI488" i="5"/>
  <c r="DH488" i="5"/>
  <c r="DG488" i="5"/>
  <c r="DF488" i="5"/>
  <c r="DE488" i="5"/>
  <c r="DD488" i="5"/>
  <c r="DC488" i="5"/>
  <c r="DB488" i="5"/>
  <c r="DA488" i="5"/>
  <c r="CZ488" i="5"/>
  <c r="CY488" i="5"/>
  <c r="CX488" i="5"/>
  <c r="CW488" i="5"/>
  <c r="CV488" i="5"/>
  <c r="CU488" i="5"/>
  <c r="CT488" i="5"/>
  <c r="CS488" i="5"/>
  <c r="CR488" i="5"/>
  <c r="CQ488" i="5"/>
  <c r="CP488" i="5"/>
  <c r="CO488" i="5"/>
  <c r="CN488" i="5"/>
  <c r="CM488" i="5"/>
  <c r="CL488" i="5"/>
  <c r="CK488" i="5"/>
  <c r="CJ488" i="5"/>
  <c r="CI488" i="5"/>
  <c r="CH488" i="5"/>
  <c r="CG488" i="5"/>
  <c r="CF488" i="5"/>
  <c r="CE488" i="5"/>
  <c r="D488" i="5"/>
  <c r="IM487" i="5"/>
  <c r="IJ487" i="5"/>
  <c r="II487" i="5" s="1"/>
  <c r="R26" i="7" s="1"/>
  <c r="ID487" i="5"/>
  <c r="EX487" i="5"/>
  <c r="EW487" i="5"/>
  <c r="EV487" i="5"/>
  <c r="EU487" i="5"/>
  <c r="ET487" i="5"/>
  <c r="ES487" i="5"/>
  <c r="ER487" i="5"/>
  <c r="EQ487" i="5"/>
  <c r="EP487" i="5"/>
  <c r="EO487" i="5"/>
  <c r="EN487" i="5"/>
  <c r="EM487" i="5"/>
  <c r="EL487" i="5"/>
  <c r="EK487" i="5"/>
  <c r="EJ487" i="5"/>
  <c r="EI487" i="5"/>
  <c r="EH487" i="5"/>
  <c r="EG487" i="5"/>
  <c r="EF487" i="5"/>
  <c r="EE487" i="5"/>
  <c r="ED487" i="5"/>
  <c r="EC487" i="5"/>
  <c r="EB487" i="5"/>
  <c r="EA487" i="5"/>
  <c r="DZ487" i="5"/>
  <c r="DY487" i="5"/>
  <c r="DX487" i="5"/>
  <c r="DW487" i="5"/>
  <c r="DV487" i="5"/>
  <c r="DU487" i="5"/>
  <c r="DT487" i="5"/>
  <c r="DS487" i="5"/>
  <c r="DR487" i="5"/>
  <c r="DQ487" i="5"/>
  <c r="DP487" i="5"/>
  <c r="DO487" i="5"/>
  <c r="DN487" i="5"/>
  <c r="DM487" i="5"/>
  <c r="DL487" i="5"/>
  <c r="DK487" i="5"/>
  <c r="DJ487" i="5"/>
  <c r="DI487" i="5"/>
  <c r="DH487" i="5"/>
  <c r="DG487" i="5"/>
  <c r="DF487" i="5"/>
  <c r="DE487" i="5"/>
  <c r="DD487" i="5"/>
  <c r="DC487" i="5"/>
  <c r="DB487" i="5"/>
  <c r="DA487" i="5"/>
  <c r="CZ487" i="5"/>
  <c r="CY487" i="5"/>
  <c r="CX487" i="5"/>
  <c r="CW487" i="5"/>
  <c r="CV487" i="5"/>
  <c r="CU487" i="5"/>
  <c r="CT487" i="5"/>
  <c r="CS487" i="5"/>
  <c r="CR487" i="5"/>
  <c r="CQ487" i="5"/>
  <c r="CP487" i="5"/>
  <c r="CO487" i="5"/>
  <c r="CN487" i="5"/>
  <c r="CM487" i="5"/>
  <c r="CL487" i="5"/>
  <c r="CK487" i="5"/>
  <c r="CJ487" i="5"/>
  <c r="CI487" i="5"/>
  <c r="CH487" i="5"/>
  <c r="CG487" i="5"/>
  <c r="CF487" i="5"/>
  <c r="CE487" i="5"/>
  <c r="D487" i="5"/>
  <c r="IN486" i="5"/>
  <c r="IN532" i="5" s="1"/>
  <c r="IM486" i="5"/>
  <c r="IK486" i="5"/>
  <c r="IK485" i="5" s="1"/>
  <c r="IJ486" i="5"/>
  <c r="S25" i="7" s="1"/>
  <c r="IH486" i="5"/>
  <c r="Q25" i="7" s="1"/>
  <c r="ID486" i="5"/>
  <c r="EX486" i="5"/>
  <c r="EW486" i="5"/>
  <c r="EV486" i="5"/>
  <c r="EU486" i="5"/>
  <c r="ET486" i="5"/>
  <c r="ES486" i="5"/>
  <c r="ER486" i="5"/>
  <c r="EQ486" i="5"/>
  <c r="EP486" i="5"/>
  <c r="EO486" i="5"/>
  <c r="EN486" i="5"/>
  <c r="EM486" i="5"/>
  <c r="EL486" i="5"/>
  <c r="EK486" i="5"/>
  <c r="EJ486" i="5"/>
  <c r="EI486" i="5"/>
  <c r="EH486" i="5"/>
  <c r="EG486" i="5"/>
  <c r="EF486" i="5"/>
  <c r="EE486" i="5"/>
  <c r="ED486" i="5"/>
  <c r="EC486" i="5"/>
  <c r="EB486" i="5"/>
  <c r="EA486" i="5"/>
  <c r="DZ486" i="5"/>
  <c r="DY486" i="5"/>
  <c r="DX486" i="5"/>
  <c r="DW486" i="5"/>
  <c r="DV486" i="5"/>
  <c r="DU486" i="5"/>
  <c r="DT486" i="5"/>
  <c r="DS486" i="5"/>
  <c r="DR486" i="5"/>
  <c r="DQ486" i="5"/>
  <c r="DP486" i="5"/>
  <c r="DO486" i="5"/>
  <c r="DN486" i="5"/>
  <c r="DM486" i="5"/>
  <c r="DL486" i="5"/>
  <c r="DK486" i="5"/>
  <c r="DJ486" i="5"/>
  <c r="DI486" i="5"/>
  <c r="DH486" i="5"/>
  <c r="DG486" i="5"/>
  <c r="DF486" i="5"/>
  <c r="DE486" i="5"/>
  <c r="DD486" i="5"/>
  <c r="DC486" i="5"/>
  <c r="DB486" i="5"/>
  <c r="DA486" i="5"/>
  <c r="CZ486" i="5"/>
  <c r="CY486" i="5"/>
  <c r="CX486" i="5"/>
  <c r="CW486" i="5"/>
  <c r="CV486" i="5"/>
  <c r="CU486" i="5"/>
  <c r="CT486" i="5"/>
  <c r="CS486" i="5"/>
  <c r="CR486" i="5"/>
  <c r="CQ486" i="5"/>
  <c r="CP486" i="5"/>
  <c r="CO486" i="5"/>
  <c r="CN486" i="5"/>
  <c r="CM486" i="5"/>
  <c r="CL486" i="5"/>
  <c r="CK486" i="5"/>
  <c r="CJ486" i="5"/>
  <c r="CI486" i="5"/>
  <c r="CH486" i="5"/>
  <c r="CG486" i="5"/>
  <c r="CF486" i="5"/>
  <c r="CE486" i="5"/>
  <c r="D486" i="5"/>
  <c r="KP485" i="5"/>
  <c r="KP629" i="5" s="1"/>
  <c r="KO485" i="5"/>
  <c r="KO629" i="5" s="1"/>
  <c r="KN485" i="5"/>
  <c r="KN629" i="5" s="1"/>
  <c r="KM485" i="5"/>
  <c r="KM629" i="5" s="1"/>
  <c r="IM485" i="5"/>
  <c r="IM629" i="5" s="1"/>
  <c r="IJ485" i="5"/>
  <c r="ID485" i="5"/>
  <c r="IB485" i="5"/>
  <c r="J24" i="7" s="1"/>
  <c r="CD485" i="5"/>
  <c r="CD629" i="5" s="1"/>
  <c r="CC485" i="5"/>
  <c r="CB485" i="5"/>
  <c r="CA485" i="5"/>
  <c r="BZ485" i="5"/>
  <c r="BY485" i="5"/>
  <c r="BX485" i="5"/>
  <c r="BW485" i="5"/>
  <c r="BW629" i="5" s="1"/>
  <c r="BV485" i="5"/>
  <c r="D485" i="5"/>
  <c r="D629" i="5" s="1"/>
  <c r="IZ484" i="5"/>
  <c r="JA484" i="5" s="1"/>
  <c r="IW484" i="5"/>
  <c r="IX484" i="5" s="1"/>
  <c r="IT484" i="5"/>
  <c r="IU484" i="5" s="1"/>
  <c r="IQ484" i="5"/>
  <c r="IR484" i="5" s="1"/>
  <c r="IN484" i="5"/>
  <c r="IO484" i="5" s="1"/>
  <c r="IK484" i="5"/>
  <c r="IL484" i="5" s="1"/>
  <c r="IZ483" i="5"/>
  <c r="JA483" i="5" s="1"/>
  <c r="IW483" i="5"/>
  <c r="IX483" i="5" s="1"/>
  <c r="IT483" i="5"/>
  <c r="IU483" i="5" s="1"/>
  <c r="IQ483" i="5"/>
  <c r="IR483" i="5" s="1"/>
  <c r="IN483" i="5"/>
  <c r="IO483" i="5" s="1"/>
  <c r="IK483" i="5"/>
  <c r="IL483" i="5" s="1"/>
  <c r="IF483" i="5"/>
  <c r="O23" i="7" s="1"/>
  <c r="IE483" i="5"/>
  <c r="ID483" i="5"/>
  <c r="M23" i="7" s="1"/>
  <c r="IP482" i="5"/>
  <c r="IM482" i="5"/>
  <c r="IJ482" i="5"/>
  <c r="S22" i="7" s="1"/>
  <c r="ID482" i="5"/>
  <c r="HX482" i="5"/>
  <c r="AA688" i="2" s="1"/>
  <c r="HT482" i="5"/>
  <c r="C22" i="7" s="1"/>
  <c r="HS482" i="5"/>
  <c r="HR482" i="5"/>
  <c r="EX482" i="5"/>
  <c r="EW482" i="5"/>
  <c r="EV482" i="5"/>
  <c r="EU482" i="5"/>
  <c r="ET482" i="5"/>
  <c r="ES482" i="5"/>
  <c r="ER482" i="5"/>
  <c r="EQ482" i="5"/>
  <c r="EP482" i="5"/>
  <c r="EO482" i="5"/>
  <c r="EN482" i="5"/>
  <c r="EM482" i="5"/>
  <c r="EL482" i="5"/>
  <c r="EK482" i="5"/>
  <c r="EJ482" i="5"/>
  <c r="EI482" i="5"/>
  <c r="EH482" i="5"/>
  <c r="EG482" i="5"/>
  <c r="EF482" i="5"/>
  <c r="EE482" i="5"/>
  <c r="ED482" i="5"/>
  <c r="EC482" i="5"/>
  <c r="EB482" i="5"/>
  <c r="EA482" i="5"/>
  <c r="DZ482" i="5"/>
  <c r="DY482" i="5"/>
  <c r="DX482" i="5"/>
  <c r="DW482" i="5"/>
  <c r="DV482" i="5"/>
  <c r="DU482" i="5"/>
  <c r="DT482" i="5"/>
  <c r="DS482" i="5"/>
  <c r="DR482" i="5"/>
  <c r="DQ482" i="5"/>
  <c r="DP482" i="5"/>
  <c r="DO482" i="5"/>
  <c r="D482" i="5"/>
  <c r="JB481" i="5"/>
  <c r="IZ481" i="5" s="1"/>
  <c r="JA481" i="5" s="1"/>
  <c r="IY481" i="5"/>
  <c r="IV481" i="5"/>
  <c r="IS481" i="5"/>
  <c r="IQ481" i="5" s="1"/>
  <c r="IP481" i="5"/>
  <c r="IN481" i="5" s="1"/>
  <c r="IM481" i="5"/>
  <c r="T21" i="7" s="1"/>
  <c r="IJ481" i="5"/>
  <c r="S21" i="7" s="1"/>
  <c r="ID481" i="5"/>
  <c r="M21" i="7" s="1"/>
  <c r="EX481" i="5"/>
  <c r="EW481" i="5"/>
  <c r="EV481" i="5"/>
  <c r="EU481" i="5"/>
  <c r="ET481" i="5"/>
  <c r="ES481" i="5"/>
  <c r="ER481" i="5"/>
  <c r="EQ481" i="5"/>
  <c r="EP481" i="5"/>
  <c r="EO481" i="5"/>
  <c r="EN481" i="5"/>
  <c r="EM481" i="5"/>
  <c r="EL481" i="5"/>
  <c r="EK481" i="5"/>
  <c r="EJ481" i="5"/>
  <c r="EI481" i="5"/>
  <c r="EH481" i="5"/>
  <c r="EG481" i="5"/>
  <c r="EF481" i="5"/>
  <c r="EE481" i="5"/>
  <c r="ED481" i="5"/>
  <c r="EC481" i="5"/>
  <c r="EB481" i="5"/>
  <c r="EA481" i="5"/>
  <c r="DZ481" i="5"/>
  <c r="DY481" i="5"/>
  <c r="DX481" i="5"/>
  <c r="DW481" i="5"/>
  <c r="DV481" i="5"/>
  <c r="DU481" i="5"/>
  <c r="DT481" i="5"/>
  <c r="DS481" i="5"/>
  <c r="DR481" i="5"/>
  <c r="DQ481" i="5"/>
  <c r="DP481" i="5"/>
  <c r="DO481" i="5"/>
  <c r="DN481" i="5"/>
  <c r="DM481" i="5"/>
  <c r="DL481" i="5"/>
  <c r="DK481" i="5"/>
  <c r="DJ481" i="5"/>
  <c r="DI481" i="5"/>
  <c r="DH481" i="5"/>
  <c r="DG481" i="5"/>
  <c r="DF481" i="5"/>
  <c r="DE481" i="5"/>
  <c r="DD481" i="5"/>
  <c r="DC481" i="5"/>
  <c r="DB481" i="5"/>
  <c r="DA481" i="5"/>
  <c r="CZ481" i="5"/>
  <c r="CY481" i="5"/>
  <c r="CX481" i="5"/>
  <c r="CW481" i="5"/>
  <c r="CV481" i="5"/>
  <c r="CU481" i="5"/>
  <c r="CT481" i="5"/>
  <c r="CS481" i="5"/>
  <c r="CR481" i="5"/>
  <c r="CQ481" i="5"/>
  <c r="CP481" i="5"/>
  <c r="CO481" i="5"/>
  <c r="CN481" i="5"/>
  <c r="CM481" i="5"/>
  <c r="CL481" i="5"/>
  <c r="CK481" i="5"/>
  <c r="CJ481" i="5"/>
  <c r="CI481" i="5"/>
  <c r="CH481" i="5"/>
  <c r="CG481" i="5"/>
  <c r="CF481" i="5"/>
  <c r="CE481" i="5"/>
  <c r="D481" i="5"/>
  <c r="IM480" i="5"/>
  <c r="IJ480" i="5"/>
  <c r="ID480" i="5"/>
  <c r="M20" i="7" s="1"/>
  <c r="EX480" i="5"/>
  <c r="EX1136" i="5" s="1"/>
  <c r="EW480" i="5"/>
  <c r="EW1136" i="5" s="1"/>
  <c r="EV480" i="5"/>
  <c r="EV1136" i="5" s="1"/>
  <c r="EU480" i="5"/>
  <c r="ET480" i="5"/>
  <c r="ET1136" i="5" s="1"/>
  <c r="ES480" i="5"/>
  <c r="ES1136" i="5" s="1"/>
  <c r="ER480" i="5"/>
  <c r="EQ480" i="5"/>
  <c r="EQ1136" i="5" s="1"/>
  <c r="EP480" i="5"/>
  <c r="EP1136" i="5" s="1"/>
  <c r="EO480" i="5"/>
  <c r="EO1136" i="5" s="1"/>
  <c r="EN480" i="5"/>
  <c r="EN1136" i="5" s="1"/>
  <c r="EM480" i="5"/>
  <c r="EM1136" i="5" s="1"/>
  <c r="EL480" i="5"/>
  <c r="EL1136" i="5" s="1"/>
  <c r="EK480" i="5"/>
  <c r="EJ480" i="5"/>
  <c r="EI480" i="5"/>
  <c r="EI1136" i="5" s="1"/>
  <c r="EH480" i="5"/>
  <c r="EH1136" i="5" s="1"/>
  <c r="EG480" i="5"/>
  <c r="EF480" i="5"/>
  <c r="EE480" i="5"/>
  <c r="EE1136" i="5" s="1"/>
  <c r="ED480" i="5"/>
  <c r="ED1136" i="5" s="1"/>
  <c r="EC480" i="5"/>
  <c r="EC1136" i="5" s="1"/>
  <c r="EB480" i="5"/>
  <c r="EB1136" i="5" s="1"/>
  <c r="EA480" i="5"/>
  <c r="EA1136" i="5" s="1"/>
  <c r="DZ480" i="5"/>
  <c r="DY480" i="5"/>
  <c r="DY1136" i="5" s="1"/>
  <c r="DX480" i="5"/>
  <c r="DX1136" i="5" s="1"/>
  <c r="DW480" i="5"/>
  <c r="DW1136" i="5" s="1"/>
  <c r="DV480" i="5"/>
  <c r="DV1136" i="5" s="1"/>
  <c r="DU480" i="5"/>
  <c r="DU1136" i="5" s="1"/>
  <c r="DT480" i="5"/>
  <c r="DT1136" i="5" s="1"/>
  <c r="DS480" i="5"/>
  <c r="DS1136" i="5" s="1"/>
  <c r="DR480" i="5"/>
  <c r="DQ480" i="5"/>
  <c r="DQ1136" i="5" s="1"/>
  <c r="DP480" i="5"/>
  <c r="DP1136" i="5" s="1"/>
  <c r="DO480" i="5"/>
  <c r="DO1136" i="5" s="1"/>
  <c r="DN480" i="5"/>
  <c r="DN1136" i="5" s="1"/>
  <c r="DM480" i="5"/>
  <c r="DL480" i="5"/>
  <c r="DL1136" i="5" s="1"/>
  <c r="DK480" i="5"/>
  <c r="DK1136" i="5" s="1"/>
  <c r="DJ480" i="5"/>
  <c r="DJ1136" i="5" s="1"/>
  <c r="DI480" i="5"/>
  <c r="DI1136" i="5" s="1"/>
  <c r="DH480" i="5"/>
  <c r="DH1136" i="5" s="1"/>
  <c r="DG480" i="5"/>
  <c r="DG1136" i="5" s="1"/>
  <c r="DF480" i="5"/>
  <c r="DF1136" i="5" s="1"/>
  <c r="DE480" i="5"/>
  <c r="DD480" i="5"/>
  <c r="DD1136" i="5" s="1"/>
  <c r="DC480" i="5"/>
  <c r="DC1136" i="5" s="1"/>
  <c r="DB480" i="5"/>
  <c r="DB1136" i="5" s="1"/>
  <c r="DA480" i="5"/>
  <c r="CZ480" i="5"/>
  <c r="CZ1136" i="5" s="1"/>
  <c r="CY480" i="5"/>
  <c r="CY1136" i="5" s="1"/>
  <c r="CX480" i="5"/>
  <c r="CX1136" i="5" s="1"/>
  <c r="CW480" i="5"/>
  <c r="CW1136" i="5" s="1"/>
  <c r="CV480" i="5"/>
  <c r="CV1136" i="5" s="1"/>
  <c r="CU480" i="5"/>
  <c r="CU1136" i="5" s="1"/>
  <c r="CT480" i="5"/>
  <c r="CT1136" i="5" s="1"/>
  <c r="CS480" i="5"/>
  <c r="CS1136" i="5" s="1"/>
  <c r="CR480" i="5"/>
  <c r="CQ480" i="5"/>
  <c r="CQ1136" i="5" s="1"/>
  <c r="CP480" i="5"/>
  <c r="CP1136" i="5" s="1"/>
  <c r="CO480" i="5"/>
  <c r="CN480" i="5"/>
  <c r="CN1136" i="5" s="1"/>
  <c r="CM480" i="5"/>
  <c r="CM1136" i="5" s="1"/>
  <c r="CL480" i="5"/>
  <c r="CL1136" i="5" s="1"/>
  <c r="CK480" i="5"/>
  <c r="CK1136" i="5" s="1"/>
  <c r="CJ480" i="5"/>
  <c r="CJ1136" i="5" s="1"/>
  <c r="CI480" i="5"/>
  <c r="CI1136" i="5" s="1"/>
  <c r="CH480" i="5"/>
  <c r="CH1136" i="5" s="1"/>
  <c r="CG480" i="5"/>
  <c r="CG1136" i="5" s="1"/>
  <c r="CF480" i="5"/>
  <c r="CF1136" i="5" s="1"/>
  <c r="CE480" i="5"/>
  <c r="CE1136" i="5" s="1"/>
  <c r="D480" i="5"/>
  <c r="IZ479" i="5"/>
  <c r="JA479" i="5" s="1"/>
  <c r="IW479" i="5"/>
  <c r="IX479" i="5" s="1"/>
  <c r="IT479" i="5"/>
  <c r="IU479" i="5" s="1"/>
  <c r="IQ479" i="5"/>
  <c r="IR479" i="5" s="1"/>
  <c r="IN479" i="5"/>
  <c r="IO479" i="5" s="1"/>
  <c r="IK479" i="5"/>
  <c r="IL479" i="5" s="1"/>
  <c r="IF479" i="5"/>
  <c r="O19" i="7" s="1"/>
  <c r="IE479" i="5"/>
  <c r="N19" i="7" s="1"/>
  <c r="ID479" i="5"/>
  <c r="M19" i="7" s="1"/>
  <c r="IM478" i="5"/>
  <c r="T18" i="7" s="1"/>
  <c r="IJ478" i="5"/>
  <c r="ID478" i="5"/>
  <c r="IC478" i="5" s="1"/>
  <c r="L18" i="7" s="1"/>
  <c r="HR478" i="5"/>
  <c r="EX478" i="5"/>
  <c r="EW478" i="5"/>
  <c r="EV478" i="5"/>
  <c r="EU478" i="5"/>
  <c r="ET478" i="5"/>
  <c r="ES478" i="5"/>
  <c r="ER478" i="5"/>
  <c r="EQ478" i="5"/>
  <c r="EP478" i="5"/>
  <c r="EO478" i="5"/>
  <c r="EN478" i="5"/>
  <c r="EM478" i="5"/>
  <c r="EL478" i="5"/>
  <c r="EK478" i="5"/>
  <c r="EJ478" i="5"/>
  <c r="EI478" i="5"/>
  <c r="EH478" i="5"/>
  <c r="EG478" i="5"/>
  <c r="EF478" i="5"/>
  <c r="EE478" i="5"/>
  <c r="ED478" i="5"/>
  <c r="EC478" i="5"/>
  <c r="EB478" i="5"/>
  <c r="EA478" i="5"/>
  <c r="DZ478" i="5"/>
  <c r="DY478" i="5"/>
  <c r="DX478" i="5"/>
  <c r="DW478" i="5"/>
  <c r="DV478" i="5"/>
  <c r="DU478" i="5"/>
  <c r="DT478" i="5"/>
  <c r="DS478" i="5"/>
  <c r="DR478" i="5"/>
  <c r="DQ478" i="5"/>
  <c r="DP478" i="5"/>
  <c r="DO478" i="5"/>
  <c r="DN478" i="5"/>
  <c r="DM478" i="5"/>
  <c r="DL478" i="5"/>
  <c r="DK478" i="5"/>
  <c r="DJ478" i="5"/>
  <c r="DI478" i="5"/>
  <c r="DH478" i="5"/>
  <c r="DG478" i="5"/>
  <c r="DF478" i="5"/>
  <c r="DE478" i="5"/>
  <c r="DD478" i="5"/>
  <c r="DC478" i="5"/>
  <c r="DB478" i="5"/>
  <c r="DA478" i="5"/>
  <c r="CZ478" i="5"/>
  <c r="CY478" i="5"/>
  <c r="CX478" i="5"/>
  <c r="CW478" i="5"/>
  <c r="CV478" i="5"/>
  <c r="CU478" i="5"/>
  <c r="CT478" i="5"/>
  <c r="CS478" i="5"/>
  <c r="CR478" i="5"/>
  <c r="CQ478" i="5"/>
  <c r="CP478" i="5"/>
  <c r="CO478" i="5"/>
  <c r="CN478" i="5"/>
  <c r="CM478" i="5"/>
  <c r="CL478" i="5"/>
  <c r="CK478" i="5"/>
  <c r="CJ478" i="5"/>
  <c r="CI478" i="5"/>
  <c r="CH478" i="5"/>
  <c r="CG478" i="5"/>
  <c r="CF478" i="5"/>
  <c r="CE478" i="5"/>
  <c r="D478" i="5"/>
  <c r="IP477" i="5"/>
  <c r="IN477" i="5" s="1"/>
  <c r="IM477" i="5"/>
  <c r="T17" i="7" s="1"/>
  <c r="IJ477" i="5"/>
  <c r="S17" i="7" s="1"/>
  <c r="ID477" i="5"/>
  <c r="M17" i="7" s="1"/>
  <c r="HR477" i="5"/>
  <c r="EX477" i="5"/>
  <c r="EW477" i="5"/>
  <c r="EV477" i="5"/>
  <c r="EU477" i="5"/>
  <c r="ET477" i="5"/>
  <c r="ES477" i="5"/>
  <c r="ER477" i="5"/>
  <c r="EQ477" i="5"/>
  <c r="EP477" i="5"/>
  <c r="EO477" i="5"/>
  <c r="EN477" i="5"/>
  <c r="EM477" i="5"/>
  <c r="EL477" i="5"/>
  <c r="EK477" i="5"/>
  <c r="EJ477" i="5"/>
  <c r="EI477" i="5"/>
  <c r="EH477" i="5"/>
  <c r="EG477" i="5"/>
  <c r="EF477" i="5"/>
  <c r="EE477" i="5"/>
  <c r="ED477" i="5"/>
  <c r="EC477" i="5"/>
  <c r="EB477" i="5"/>
  <c r="EA477" i="5"/>
  <c r="DZ477" i="5"/>
  <c r="DY477" i="5"/>
  <c r="DX477" i="5"/>
  <c r="DW477" i="5"/>
  <c r="DV477" i="5"/>
  <c r="DU477" i="5"/>
  <c r="DT477" i="5"/>
  <c r="DS477" i="5"/>
  <c r="DR477" i="5"/>
  <c r="DQ477" i="5"/>
  <c r="DP477" i="5"/>
  <c r="DO477" i="5"/>
  <c r="DN477" i="5"/>
  <c r="DM477" i="5"/>
  <c r="DL477" i="5"/>
  <c r="DK477" i="5"/>
  <c r="DJ477" i="5"/>
  <c r="DI477" i="5"/>
  <c r="DH477" i="5"/>
  <c r="DG477" i="5"/>
  <c r="DF477" i="5"/>
  <c r="DE477" i="5"/>
  <c r="DD477" i="5"/>
  <c r="DC477" i="5"/>
  <c r="DB477" i="5"/>
  <c r="DA477" i="5"/>
  <c r="CZ477" i="5"/>
  <c r="CY477" i="5"/>
  <c r="CX477" i="5"/>
  <c r="CW477" i="5"/>
  <c r="CV477" i="5"/>
  <c r="CU477" i="5"/>
  <c r="CT477" i="5"/>
  <c r="CS477" i="5"/>
  <c r="CR477" i="5"/>
  <c r="CQ477" i="5"/>
  <c r="CP477" i="5"/>
  <c r="CO477" i="5"/>
  <c r="CN477" i="5"/>
  <c r="CM477" i="5"/>
  <c r="CL477" i="5"/>
  <c r="CK477" i="5"/>
  <c r="CJ477" i="5"/>
  <c r="CI477" i="5"/>
  <c r="CH477" i="5"/>
  <c r="CG477" i="5"/>
  <c r="CF477" i="5"/>
  <c r="CE477" i="5"/>
  <c r="D477" i="5"/>
  <c r="IM476" i="5"/>
  <c r="T16" i="7" s="1"/>
  <c r="IJ476" i="5"/>
  <c r="S16" i="7" s="1"/>
  <c r="ID476" i="5"/>
  <c r="M16" i="7" s="1"/>
  <c r="HR476" i="5"/>
  <c r="EX476" i="5"/>
  <c r="EW476" i="5"/>
  <c r="EV476" i="5"/>
  <c r="EU476" i="5"/>
  <c r="ET476" i="5"/>
  <c r="ES476" i="5"/>
  <c r="ER476" i="5"/>
  <c r="EQ476" i="5"/>
  <c r="EP476" i="5"/>
  <c r="EO476" i="5"/>
  <c r="EN476" i="5"/>
  <c r="EM476" i="5"/>
  <c r="EL476" i="5"/>
  <c r="EK476" i="5"/>
  <c r="EJ476" i="5"/>
  <c r="EI476" i="5"/>
  <c r="EH476" i="5"/>
  <c r="EG476" i="5"/>
  <c r="EF476" i="5"/>
  <c r="EE476" i="5"/>
  <c r="ED476" i="5"/>
  <c r="EC476" i="5"/>
  <c r="EB476" i="5"/>
  <c r="EA476" i="5"/>
  <c r="DZ476" i="5"/>
  <c r="DY476" i="5"/>
  <c r="DX476" i="5"/>
  <c r="DW476" i="5"/>
  <c r="DV476" i="5"/>
  <c r="DU476" i="5"/>
  <c r="DT476" i="5"/>
  <c r="DS476" i="5"/>
  <c r="DR476" i="5"/>
  <c r="DQ476" i="5"/>
  <c r="DP476" i="5"/>
  <c r="DO476" i="5"/>
  <c r="DN476" i="5"/>
  <c r="DM476" i="5"/>
  <c r="DL476" i="5"/>
  <c r="DK476" i="5"/>
  <c r="DJ476" i="5"/>
  <c r="DI476" i="5"/>
  <c r="DH476" i="5"/>
  <c r="DG476" i="5"/>
  <c r="DF476" i="5"/>
  <c r="DE476" i="5"/>
  <c r="DD476" i="5"/>
  <c r="DC476" i="5"/>
  <c r="DB476" i="5"/>
  <c r="DA476" i="5"/>
  <c r="CZ476" i="5"/>
  <c r="CY476" i="5"/>
  <c r="CX476" i="5"/>
  <c r="CW476" i="5"/>
  <c r="CV476" i="5"/>
  <c r="CU476" i="5"/>
  <c r="CT476" i="5"/>
  <c r="CS476" i="5"/>
  <c r="CR476" i="5"/>
  <c r="CQ476" i="5"/>
  <c r="CP476" i="5"/>
  <c r="CO476" i="5"/>
  <c r="CN476" i="5"/>
  <c r="CM476" i="5"/>
  <c r="CL476" i="5"/>
  <c r="CK476" i="5"/>
  <c r="CJ476" i="5"/>
  <c r="CI476" i="5"/>
  <c r="CH476" i="5"/>
  <c r="CG476" i="5"/>
  <c r="CF476" i="5"/>
  <c r="CE476" i="5"/>
  <c r="D476" i="5"/>
  <c r="IM475" i="5"/>
  <c r="T15" i="7" s="1"/>
  <c r="IJ475" i="5"/>
  <c r="S15" i="7" s="1"/>
  <c r="ID475" i="5"/>
  <c r="M15" i="7" s="1"/>
  <c r="D475" i="5"/>
  <c r="ID474" i="5"/>
  <c r="HR474" i="5"/>
  <c r="EX474" i="5"/>
  <c r="EW474" i="5"/>
  <c r="EV474" i="5"/>
  <c r="EU474" i="5"/>
  <c r="ET474" i="5"/>
  <c r="ES474" i="5"/>
  <c r="ER474" i="5"/>
  <c r="EQ474" i="5"/>
  <c r="EP474" i="5"/>
  <c r="EO474" i="5"/>
  <c r="EN474" i="5"/>
  <c r="EM474" i="5"/>
  <c r="EL474" i="5"/>
  <c r="EK474" i="5"/>
  <c r="EJ474" i="5"/>
  <c r="EI474" i="5"/>
  <c r="EH474" i="5"/>
  <c r="EG474" i="5"/>
  <c r="EF474" i="5"/>
  <c r="EE474" i="5"/>
  <c r="ED474" i="5"/>
  <c r="EC474" i="5"/>
  <c r="EB474" i="5"/>
  <c r="EA474" i="5"/>
  <c r="DZ474" i="5"/>
  <c r="DY474" i="5"/>
  <c r="DX474" i="5"/>
  <c r="DW474" i="5"/>
  <c r="DV474" i="5"/>
  <c r="DU474" i="5"/>
  <c r="DT474" i="5"/>
  <c r="DS474" i="5"/>
  <c r="DR474" i="5"/>
  <c r="DQ474" i="5"/>
  <c r="DP474" i="5"/>
  <c r="DO474" i="5"/>
  <c r="DN474" i="5"/>
  <c r="DM474" i="5"/>
  <c r="DL474" i="5"/>
  <c r="DK474" i="5"/>
  <c r="DJ474" i="5"/>
  <c r="DI474" i="5"/>
  <c r="DH474" i="5"/>
  <c r="DG474" i="5"/>
  <c r="DF474" i="5"/>
  <c r="DE474" i="5"/>
  <c r="DD474" i="5"/>
  <c r="DC474" i="5"/>
  <c r="DB474" i="5"/>
  <c r="DA474" i="5"/>
  <c r="CZ474" i="5"/>
  <c r="CY474" i="5"/>
  <c r="CX474" i="5"/>
  <c r="CW474" i="5"/>
  <c r="CV474" i="5"/>
  <c r="CU474" i="5"/>
  <c r="CT474" i="5"/>
  <c r="CS474" i="5"/>
  <c r="CR474" i="5"/>
  <c r="CQ474" i="5"/>
  <c r="CP474" i="5"/>
  <c r="CO474" i="5"/>
  <c r="CN474" i="5"/>
  <c r="CM474" i="5"/>
  <c r="CL474" i="5"/>
  <c r="CK474" i="5"/>
  <c r="CJ474" i="5"/>
  <c r="CI474" i="5"/>
  <c r="CH474" i="5"/>
  <c r="CG474" i="5"/>
  <c r="CF474" i="5"/>
  <c r="CE474" i="5"/>
  <c r="D474" i="5"/>
  <c r="ID473" i="5"/>
  <c r="M13" i="7" s="1"/>
  <c r="EX473" i="5"/>
  <c r="EW473" i="5"/>
  <c r="EV473" i="5"/>
  <c r="EU473" i="5"/>
  <c r="EU1135" i="5" s="1"/>
  <c r="ET473" i="5"/>
  <c r="ET1135" i="5" s="1"/>
  <c r="ES473" i="5"/>
  <c r="ER473" i="5"/>
  <c r="EQ473" i="5"/>
  <c r="EQ1135" i="5" s="1"/>
  <c r="EP473" i="5"/>
  <c r="EO473" i="5"/>
  <c r="EN473" i="5"/>
  <c r="EN1135" i="5" s="1"/>
  <c r="EM473" i="5"/>
  <c r="EL473" i="5"/>
  <c r="EL1135" i="5" s="1"/>
  <c r="EK473" i="5"/>
  <c r="EK1135" i="5" s="1"/>
  <c r="EJ473" i="5"/>
  <c r="EJ1135" i="5" s="1"/>
  <c r="EI473" i="5"/>
  <c r="EI1135" i="5" s="1"/>
  <c r="EH473" i="5"/>
  <c r="EG473" i="5"/>
  <c r="EF473" i="5"/>
  <c r="EF1135" i="5" s="1"/>
  <c r="EE473" i="5"/>
  <c r="EE1135" i="5" s="1"/>
  <c r="ED473" i="5"/>
  <c r="EC473" i="5"/>
  <c r="EC1135" i="5" s="1"/>
  <c r="EB473" i="5"/>
  <c r="EB1135" i="5" s="1"/>
  <c r="EA473" i="5"/>
  <c r="DZ473" i="5"/>
  <c r="DZ1135" i="5" s="1"/>
  <c r="DY473" i="5"/>
  <c r="DY1135" i="5" s="1"/>
  <c r="DX473" i="5"/>
  <c r="DW473" i="5"/>
  <c r="DV473" i="5"/>
  <c r="DU473" i="5"/>
  <c r="DT473" i="5"/>
  <c r="DS473" i="5"/>
  <c r="DR473" i="5"/>
  <c r="DR1135" i="5" s="1"/>
  <c r="DQ473" i="5"/>
  <c r="DP473" i="5"/>
  <c r="DO473" i="5"/>
  <c r="DO1135" i="5" s="1"/>
  <c r="DN473" i="5"/>
  <c r="DM473" i="5"/>
  <c r="DM1135" i="5" s="1"/>
  <c r="DL473" i="5"/>
  <c r="DK473" i="5"/>
  <c r="DK1135" i="5" s="1"/>
  <c r="DJ473" i="5"/>
  <c r="DJ1135" i="5" s="1"/>
  <c r="DI473" i="5"/>
  <c r="DH473" i="5"/>
  <c r="DH1135" i="5" s="1"/>
  <c r="DG473" i="5"/>
  <c r="DG1135" i="5" s="1"/>
  <c r="DF473" i="5"/>
  <c r="DE473" i="5"/>
  <c r="DE1135" i="5" s="1"/>
  <c r="DD473" i="5"/>
  <c r="DC473" i="5"/>
  <c r="DC1135" i="5" s="1"/>
  <c r="DB473" i="5"/>
  <c r="DA473" i="5"/>
  <c r="CZ473" i="5"/>
  <c r="CZ1135" i="5" s="1"/>
  <c r="CY473" i="5"/>
  <c r="CX473" i="5"/>
  <c r="CX1135" i="5" s="1"/>
  <c r="CW473" i="5"/>
  <c r="CW1135" i="5" s="1"/>
  <c r="CV473" i="5"/>
  <c r="CV1135" i="5" s="1"/>
  <c r="CU473" i="5"/>
  <c r="CT473" i="5"/>
  <c r="CT1135" i="5" s="1"/>
  <c r="CS473" i="5"/>
  <c r="CS1135" i="5" s="1"/>
  <c r="CR473" i="5"/>
  <c r="CQ473" i="5"/>
  <c r="CQ1135" i="5" s="1"/>
  <c r="CP473" i="5"/>
  <c r="CO473" i="5"/>
  <c r="CO1135" i="5" s="1"/>
  <c r="CN473" i="5"/>
  <c r="CM473" i="5"/>
  <c r="CL473" i="5"/>
  <c r="CK473" i="5"/>
  <c r="CJ473" i="5"/>
  <c r="CI473" i="5"/>
  <c r="CI1135" i="5" s="1"/>
  <c r="CH473" i="5"/>
  <c r="CH1135" i="5" s="1"/>
  <c r="CG473" i="5"/>
  <c r="CF473" i="5"/>
  <c r="CF1135" i="5" s="1"/>
  <c r="CE473" i="5"/>
  <c r="CE1135" i="5" s="1"/>
  <c r="D473" i="5"/>
  <c r="JB472" i="5"/>
  <c r="IZ472" i="5" s="1"/>
  <c r="JA472" i="5" s="1"/>
  <c r="IY472" i="5"/>
  <c r="IV472" i="5"/>
  <c r="IS472" i="5"/>
  <c r="IP472" i="5"/>
  <c r="IN472" i="5" s="1"/>
  <c r="IO472" i="5" s="1"/>
  <c r="IM472" i="5"/>
  <c r="IJ472" i="5"/>
  <c r="S12" i="7" s="1"/>
  <c r="ID472" i="5"/>
  <c r="M12" i="7" s="1"/>
  <c r="HR472" i="5"/>
  <c r="EX472" i="5"/>
  <c r="EW472" i="5"/>
  <c r="EV472" i="5"/>
  <c r="EU472" i="5"/>
  <c r="ET472" i="5"/>
  <c r="ES472" i="5"/>
  <c r="ER472" i="5"/>
  <c r="EQ472" i="5"/>
  <c r="EP472" i="5"/>
  <c r="EO472" i="5"/>
  <c r="EN472" i="5"/>
  <c r="EM472" i="5"/>
  <c r="EL472" i="5"/>
  <c r="EK472" i="5"/>
  <c r="EJ472" i="5"/>
  <c r="EI472" i="5"/>
  <c r="EH472" i="5"/>
  <c r="EG472" i="5"/>
  <c r="EF472" i="5"/>
  <c r="EE472" i="5"/>
  <c r="ED472" i="5"/>
  <c r="EC472" i="5"/>
  <c r="EB472" i="5"/>
  <c r="EA472" i="5"/>
  <c r="DZ472" i="5"/>
  <c r="DY472" i="5"/>
  <c r="DX472" i="5"/>
  <c r="DW472" i="5"/>
  <c r="DV472" i="5"/>
  <c r="DU472" i="5"/>
  <c r="DT472" i="5"/>
  <c r="DS472" i="5"/>
  <c r="DR472" i="5"/>
  <c r="DQ472" i="5"/>
  <c r="DP472" i="5"/>
  <c r="DO472" i="5"/>
  <c r="DN472" i="5"/>
  <c r="DM472" i="5"/>
  <c r="DL472" i="5"/>
  <c r="DK472" i="5"/>
  <c r="DJ472" i="5"/>
  <c r="DI472" i="5"/>
  <c r="DH472" i="5"/>
  <c r="DG472" i="5"/>
  <c r="DF472" i="5"/>
  <c r="DE472" i="5"/>
  <c r="DD472" i="5"/>
  <c r="DC472" i="5"/>
  <c r="DB472" i="5"/>
  <c r="DA472" i="5"/>
  <c r="CZ472" i="5"/>
  <c r="CY472" i="5"/>
  <c r="CX472" i="5"/>
  <c r="CW472" i="5"/>
  <c r="CV472" i="5"/>
  <c r="CU472" i="5"/>
  <c r="CT472" i="5"/>
  <c r="CS472" i="5"/>
  <c r="CR472" i="5"/>
  <c r="CQ472" i="5"/>
  <c r="CP472" i="5"/>
  <c r="CO472" i="5"/>
  <c r="CN472" i="5"/>
  <c r="CM472" i="5"/>
  <c r="CL472" i="5"/>
  <c r="CK472" i="5"/>
  <c r="CJ472" i="5"/>
  <c r="CI472" i="5"/>
  <c r="CH472" i="5"/>
  <c r="CG472" i="5"/>
  <c r="CF472" i="5"/>
  <c r="CE472" i="5"/>
  <c r="D472" i="5"/>
  <c r="ID471" i="5"/>
  <c r="HR471" i="5"/>
  <c r="EX471" i="5"/>
  <c r="EX470" i="5" s="1"/>
  <c r="EX1134" i="5" s="1"/>
  <c r="EW471" i="5"/>
  <c r="EW470" i="5" s="1"/>
  <c r="EV471" i="5"/>
  <c r="EU471" i="5"/>
  <c r="EU470" i="5" s="1"/>
  <c r="EU1134" i="5" s="1"/>
  <c r="ET471" i="5"/>
  <c r="ET470" i="5" s="1"/>
  <c r="ES471" i="5"/>
  <c r="ER471" i="5"/>
  <c r="ER470" i="5" s="1"/>
  <c r="ER1134" i="5" s="1"/>
  <c r="EQ471" i="5"/>
  <c r="EP471" i="5"/>
  <c r="EO471" i="5"/>
  <c r="EO470" i="5" s="1"/>
  <c r="EN471" i="5"/>
  <c r="EM471" i="5"/>
  <c r="EM470" i="5" s="1"/>
  <c r="EM1134" i="5" s="1"/>
  <c r="EL471" i="5"/>
  <c r="EK471" i="5"/>
  <c r="EK470" i="5" s="1"/>
  <c r="EK1134" i="5" s="1"/>
  <c r="EJ471" i="5"/>
  <c r="EJ470" i="5" s="1"/>
  <c r="EJ1134" i="5" s="1"/>
  <c r="EI471" i="5"/>
  <c r="EI470" i="5" s="1"/>
  <c r="EI1134" i="5" s="1"/>
  <c r="EH471" i="5"/>
  <c r="EG471" i="5"/>
  <c r="EG470" i="5" s="1"/>
  <c r="EG1134" i="5" s="1"/>
  <c r="EF471" i="5"/>
  <c r="EE471" i="5"/>
  <c r="EE470" i="5" s="1"/>
  <c r="EE1134" i="5" s="1"/>
  <c r="ED471" i="5"/>
  <c r="ED470" i="5" s="1"/>
  <c r="ED1134" i="5" s="1"/>
  <c r="EC471" i="5"/>
  <c r="EB471" i="5"/>
  <c r="EB470" i="5" s="1"/>
  <c r="EA471" i="5"/>
  <c r="DZ471" i="5"/>
  <c r="DY471" i="5"/>
  <c r="DY470" i="5" s="1"/>
  <c r="DX471" i="5"/>
  <c r="DX470" i="5" s="1"/>
  <c r="DX1134" i="5" s="1"/>
  <c r="DW471" i="5"/>
  <c r="DW470" i="5" s="1"/>
  <c r="DW1134" i="5" s="1"/>
  <c r="DV471" i="5"/>
  <c r="DV470" i="5" s="1"/>
  <c r="DU471" i="5"/>
  <c r="DU470" i="5" s="1"/>
  <c r="DT471" i="5"/>
  <c r="DT470" i="5" s="1"/>
  <c r="DT1134" i="5" s="1"/>
  <c r="DS471" i="5"/>
  <c r="DR471" i="5"/>
  <c r="DQ471" i="5"/>
  <c r="DQ470" i="5" s="1"/>
  <c r="DQ1134" i="5" s="1"/>
  <c r="DP471" i="5"/>
  <c r="DP470" i="5" s="1"/>
  <c r="DP1134" i="5" s="1"/>
  <c r="DO471" i="5"/>
  <c r="DO470" i="5" s="1"/>
  <c r="DO1134" i="5" s="1"/>
  <c r="DN471" i="5"/>
  <c r="DM471" i="5"/>
  <c r="DL471" i="5"/>
  <c r="DK471" i="5"/>
  <c r="DK470" i="5" s="1"/>
  <c r="DJ471" i="5"/>
  <c r="DJ470" i="5" s="1"/>
  <c r="DI471" i="5"/>
  <c r="DH471" i="5"/>
  <c r="DH470" i="5" s="1"/>
  <c r="DG471" i="5"/>
  <c r="DF471" i="5"/>
  <c r="DF470" i="5" s="1"/>
  <c r="DF1134" i="5" s="1"/>
  <c r="DE471" i="5"/>
  <c r="DE470" i="5" s="1"/>
  <c r="DE1134" i="5" s="1"/>
  <c r="DD471" i="5"/>
  <c r="DD470" i="5" s="1"/>
  <c r="DD1134" i="5" s="1"/>
  <c r="DC471" i="5"/>
  <c r="DB471" i="5"/>
  <c r="DA471" i="5"/>
  <c r="CZ471" i="5"/>
  <c r="CY471" i="5"/>
  <c r="CX471" i="5"/>
  <c r="CW471" i="5"/>
  <c r="CV471" i="5"/>
  <c r="CU471" i="5"/>
  <c r="CT471" i="5"/>
  <c r="CS471" i="5"/>
  <c r="CR471" i="5"/>
  <c r="CQ471" i="5"/>
  <c r="CP471" i="5"/>
  <c r="CO471" i="5"/>
  <c r="CN471" i="5"/>
  <c r="CM471" i="5"/>
  <c r="CL471" i="5"/>
  <c r="CK471" i="5"/>
  <c r="CJ471" i="5"/>
  <c r="CI471" i="5"/>
  <c r="CH471" i="5"/>
  <c r="CG471" i="5"/>
  <c r="CF471" i="5"/>
  <c r="CE471" i="5"/>
  <c r="D471" i="5"/>
  <c r="ID470" i="5"/>
  <c r="DB470" i="5"/>
  <c r="DB1134" i="5" s="1"/>
  <c r="DA470" i="5"/>
  <c r="DA1134" i="5" s="1"/>
  <c r="CZ470" i="5"/>
  <c r="CY470" i="5"/>
  <c r="CX470" i="5"/>
  <c r="CW470" i="5"/>
  <c r="CV470" i="5"/>
  <c r="CV1134" i="5" s="1"/>
  <c r="CU470" i="5"/>
  <c r="CT470" i="5"/>
  <c r="CS470" i="5"/>
  <c r="CS1134" i="5" s="1"/>
  <c r="CR470" i="5"/>
  <c r="CR1134" i="5" s="1"/>
  <c r="CQ470" i="5"/>
  <c r="CP470" i="5"/>
  <c r="CO470" i="5"/>
  <c r="CO1134" i="5" s="1"/>
  <c r="CN470" i="5"/>
  <c r="CN1134" i="5" s="1"/>
  <c r="CM470" i="5"/>
  <c r="CM1134" i="5" s="1"/>
  <c r="CL470" i="5"/>
  <c r="CL1134" i="5" s="1"/>
  <c r="CK470" i="5"/>
  <c r="CJ470" i="5"/>
  <c r="CI470" i="5"/>
  <c r="CI1134" i="5" s="1"/>
  <c r="CH470" i="5"/>
  <c r="CH1134" i="5" s="1"/>
  <c r="CG470" i="5"/>
  <c r="CG1134" i="5" s="1"/>
  <c r="CF470" i="5"/>
  <c r="CE470" i="5"/>
  <c r="D470" i="5"/>
  <c r="IZ469" i="5"/>
  <c r="JA469" i="5" s="1"/>
  <c r="IW469" i="5"/>
  <c r="IX469" i="5" s="1"/>
  <c r="IT469" i="5"/>
  <c r="IU469" i="5" s="1"/>
  <c r="IQ469" i="5"/>
  <c r="IR469" i="5" s="1"/>
  <c r="IN469" i="5"/>
  <c r="IO469" i="5" s="1"/>
  <c r="IL469" i="5"/>
  <c r="HT469" i="5"/>
  <c r="C9" i="7" s="1"/>
  <c r="HS469" i="5"/>
  <c r="D469" i="5"/>
  <c r="KP468" i="5"/>
  <c r="KP628" i="5" s="1"/>
  <c r="KO468" i="5"/>
  <c r="KN468" i="5"/>
  <c r="KM468" i="5"/>
  <c r="KM628" i="5" s="1"/>
  <c r="ID468" i="5"/>
  <c r="M8" i="7" s="1"/>
  <c r="CD468" i="5"/>
  <c r="CD628" i="5" s="1"/>
  <c r="CC468" i="5"/>
  <c r="CC1133" i="5" s="1"/>
  <c r="CB468" i="5"/>
  <c r="CA468" i="5"/>
  <c r="BZ468" i="5"/>
  <c r="BY468" i="5"/>
  <c r="BX468" i="5"/>
  <c r="BW468" i="5"/>
  <c r="BW625" i="5" s="1"/>
  <c r="BV468" i="5"/>
  <c r="BV628" i="5" s="1"/>
  <c r="BU468" i="5"/>
  <c r="BU625" i="5" s="1"/>
  <c r="BT468" i="5"/>
  <c r="BT628" i="5" s="1"/>
  <c r="BS468" i="5"/>
  <c r="BS628" i="5" s="1"/>
  <c r="BR468" i="5"/>
  <c r="BR1133" i="5" s="1"/>
  <c r="BQ468" i="5"/>
  <c r="BP468" i="5"/>
  <c r="BP467" i="5" s="1"/>
  <c r="BO468" i="5"/>
  <c r="BO467" i="5" s="1"/>
  <c r="BN468" i="5"/>
  <c r="BN625" i="5" s="1"/>
  <c r="BM468" i="5"/>
  <c r="BM628" i="5" s="1"/>
  <c r="BL468" i="5"/>
  <c r="BL625" i="5" s="1"/>
  <c r="BK468" i="5"/>
  <c r="BK625" i="5" s="1"/>
  <c r="BJ468" i="5"/>
  <c r="BI468" i="5"/>
  <c r="BI467" i="5" s="1"/>
  <c r="BH468" i="5"/>
  <c r="BH467" i="5" s="1"/>
  <c r="BG468" i="5"/>
  <c r="BF468" i="5"/>
  <c r="BE468" i="5"/>
  <c r="BE467" i="5" s="1"/>
  <c r="BE1132" i="5" s="1"/>
  <c r="BD468" i="5"/>
  <c r="BC468" i="5"/>
  <c r="BB468" i="5"/>
  <c r="BA468" i="5"/>
  <c r="AZ468" i="5"/>
  <c r="AZ467" i="5" s="1"/>
  <c r="AY468" i="5"/>
  <c r="AX468" i="5"/>
  <c r="AX1133" i="5" s="1"/>
  <c r="AW468" i="5"/>
  <c r="AW1133" i="5" s="1"/>
  <c r="AV468" i="5"/>
  <c r="AV1133" i="5" s="1"/>
  <c r="AU468" i="5"/>
  <c r="AT468" i="5"/>
  <c r="AT467" i="5" s="1"/>
  <c r="AS468" i="5"/>
  <c r="AS628" i="5" s="1"/>
  <c r="AR468" i="5"/>
  <c r="AQ468" i="5"/>
  <c r="AQ467" i="5" s="1"/>
  <c r="AP468" i="5"/>
  <c r="AP467" i="5" s="1"/>
  <c r="AP1132" i="5" s="1"/>
  <c r="AO468" i="5"/>
  <c r="AN468" i="5"/>
  <c r="AM468" i="5"/>
  <c r="AM628" i="5" s="1"/>
  <c r="AL468" i="5"/>
  <c r="AK468" i="5"/>
  <c r="AK625" i="5" s="1"/>
  <c r="AJ468" i="5"/>
  <c r="AJ467" i="5" s="1"/>
  <c r="AI468" i="5"/>
  <c r="AI625" i="5" s="1"/>
  <c r="AH468" i="5"/>
  <c r="AH628" i="5" s="1"/>
  <c r="AG468" i="5"/>
  <c r="AG467" i="5" s="1"/>
  <c r="AG627" i="5" s="1"/>
  <c r="AF468" i="5"/>
  <c r="AE468" i="5"/>
  <c r="AE628" i="5" s="1"/>
  <c r="AD468" i="5"/>
  <c r="AD628" i="5" s="1"/>
  <c r="AC468" i="5"/>
  <c r="AC625" i="5" s="1"/>
  <c r="AB468" i="5"/>
  <c r="AB467" i="5" s="1"/>
  <c r="AA468" i="5"/>
  <c r="Z468" i="5"/>
  <c r="Z467" i="5" s="1"/>
  <c r="Z627" i="5" s="1"/>
  <c r="Y468" i="5"/>
  <c r="Y467" i="5" s="1"/>
  <c r="Y627" i="5" s="1"/>
  <c r="X468" i="5"/>
  <c r="X625" i="5" s="1"/>
  <c r="W468" i="5"/>
  <c r="V468" i="5"/>
  <c r="U468" i="5"/>
  <c r="U1133" i="5" s="1"/>
  <c r="T468" i="5"/>
  <c r="S468" i="5"/>
  <c r="R468" i="5"/>
  <c r="Q468" i="5"/>
  <c r="P468" i="5"/>
  <c r="O468" i="5"/>
  <c r="O628" i="5" s="1"/>
  <c r="N468" i="5"/>
  <c r="M468" i="5"/>
  <c r="L468" i="5"/>
  <c r="L1133" i="5" s="1"/>
  <c r="K468" i="5"/>
  <c r="J468" i="5"/>
  <c r="I468" i="5"/>
  <c r="I1133" i="5" s="1"/>
  <c r="H468" i="5"/>
  <c r="H1133" i="5" s="1"/>
  <c r="G468" i="5"/>
  <c r="G625" i="5" s="1"/>
  <c r="F468" i="5"/>
  <c r="F1133" i="5" s="1"/>
  <c r="E468" i="5"/>
  <c r="E467" i="5" s="1"/>
  <c r="D468" i="5"/>
  <c r="D628" i="5" s="1"/>
  <c r="ID467" i="5"/>
  <c r="M7" i="7" s="1"/>
  <c r="D467" i="5"/>
  <c r="D627" i="5" s="1"/>
  <c r="IZ466" i="5"/>
  <c r="JA466" i="5" s="1"/>
  <c r="IW466" i="5"/>
  <c r="IX466" i="5" s="1"/>
  <c r="IT466" i="5"/>
  <c r="IU466" i="5" s="1"/>
  <c r="IQ466" i="5"/>
  <c r="IR466" i="5" s="1"/>
  <c r="IN466" i="5"/>
  <c r="IO466" i="5" s="1"/>
  <c r="IF466" i="5"/>
  <c r="O6" i="7" s="1"/>
  <c r="IE466" i="5"/>
  <c r="N6" i="7" s="1"/>
  <c r="D465" i="5"/>
  <c r="D626" i="5" s="1"/>
  <c r="KP464" i="5"/>
  <c r="KP623" i="5" s="1"/>
  <c r="KO464" i="5"/>
  <c r="KO623" i="5" s="1"/>
  <c r="IR464" i="5"/>
  <c r="IR623" i="5" s="1"/>
  <c r="IQ464" i="5"/>
  <c r="IQ623" i="5" s="1"/>
  <c r="FI464" i="5"/>
  <c r="FH464" i="5"/>
  <c r="FG464" i="5"/>
  <c r="FF464" i="5"/>
  <c r="FE464" i="5"/>
  <c r="FD464" i="5"/>
  <c r="FC464" i="5"/>
  <c r="FB464" i="5"/>
  <c r="FA464" i="5"/>
  <c r="EZ464" i="5"/>
  <c r="EY464" i="5"/>
  <c r="EX464" i="5"/>
  <c r="EW464" i="5"/>
  <c r="EV464" i="5"/>
  <c r="EU464" i="5"/>
  <c r="ET464" i="5"/>
  <c r="ES464" i="5"/>
  <c r="ER464" i="5"/>
  <c r="EQ464" i="5"/>
  <c r="EP464" i="5"/>
  <c r="EO464" i="5"/>
  <c r="EN464" i="5"/>
  <c r="EM464" i="5"/>
  <c r="EL464" i="5"/>
  <c r="EK464" i="5"/>
  <c r="EJ464" i="5"/>
  <c r="EI464" i="5"/>
  <c r="EH464" i="5"/>
  <c r="EG464" i="5"/>
  <c r="EF464" i="5"/>
  <c r="EE464" i="5"/>
  <c r="ED464" i="5"/>
  <c r="EC464" i="5"/>
  <c r="EB464" i="5"/>
  <c r="EA464" i="5"/>
  <c r="DZ464" i="5"/>
  <c r="DY464" i="5"/>
  <c r="DX464" i="5"/>
  <c r="DW464" i="5"/>
  <c r="DV464" i="5"/>
  <c r="DU464" i="5"/>
  <c r="DT464" i="5"/>
  <c r="DS464" i="5"/>
  <c r="DR464" i="5"/>
  <c r="DQ464" i="5"/>
  <c r="DP464" i="5"/>
  <c r="DO464" i="5"/>
  <c r="DN464" i="5"/>
  <c r="DM464" i="5"/>
  <c r="DL464" i="5"/>
  <c r="DK464" i="5"/>
  <c r="DJ464" i="5"/>
  <c r="DI464" i="5"/>
  <c r="DH464" i="5"/>
  <c r="DG464" i="5"/>
  <c r="DF464" i="5"/>
  <c r="DE464" i="5"/>
  <c r="DD464" i="5"/>
  <c r="DC464" i="5"/>
  <c r="DB464" i="5"/>
  <c r="DA464" i="5"/>
  <c r="CZ464" i="5"/>
  <c r="CY464" i="5"/>
  <c r="CX464" i="5"/>
  <c r="CW464" i="5"/>
  <c r="CV464" i="5"/>
  <c r="CU464" i="5"/>
  <c r="CT464" i="5"/>
  <c r="CS464" i="5"/>
  <c r="CR464" i="5"/>
  <c r="CQ464" i="5"/>
  <c r="CP464" i="5"/>
  <c r="CO464" i="5"/>
  <c r="CN464" i="5"/>
  <c r="CM464" i="5"/>
  <c r="CL464" i="5"/>
  <c r="CK464" i="5"/>
  <c r="CJ464" i="5"/>
  <c r="CI464" i="5"/>
  <c r="CH464" i="5"/>
  <c r="CG464" i="5"/>
  <c r="CF464" i="5"/>
  <c r="CE464" i="5"/>
  <c r="CD464" i="5"/>
  <c r="KP463" i="5"/>
  <c r="KO463" i="5"/>
  <c r="JH463" i="5"/>
  <c r="JG463" i="5"/>
  <c r="JF463" i="5"/>
  <c r="JE463" i="5"/>
  <c r="JD463" i="5"/>
  <c r="JC463" i="5"/>
  <c r="JB463" i="5"/>
  <c r="JA463" i="5"/>
  <c r="IZ463" i="5"/>
  <c r="IY463" i="5"/>
  <c r="IX463" i="5"/>
  <c r="IW463" i="5"/>
  <c r="IV463" i="5"/>
  <c r="IU463" i="5"/>
  <c r="IT463" i="5"/>
  <c r="IS463" i="5"/>
  <c r="IR463" i="5"/>
  <c r="IQ463" i="5"/>
  <c r="IP463" i="5"/>
  <c r="IO463" i="5"/>
  <c r="IN463" i="5"/>
  <c r="IM463" i="5"/>
  <c r="IL463" i="5"/>
  <c r="IK463" i="5"/>
  <c r="IJ463" i="5"/>
  <c r="IJ1065" i="5" s="1"/>
  <c r="II463" i="5"/>
  <c r="IH463" i="5"/>
  <c r="IG463" i="5"/>
  <c r="IG1065" i="5" s="1"/>
  <c r="IF463" i="5"/>
  <c r="IF1065" i="5" s="1"/>
  <c r="IE463" i="5"/>
  <c r="IE1065" i="5" s="1"/>
  <c r="ID463" i="5"/>
  <c r="ID1065" i="5" s="1"/>
  <c r="IC463" i="5"/>
  <c r="IC1065" i="5" s="1"/>
  <c r="IB463" i="5"/>
  <c r="IB1065" i="5" s="1"/>
  <c r="IA463" i="5"/>
  <c r="IA1065" i="5" s="1"/>
  <c r="HZ463" i="5"/>
  <c r="HZ1065" i="5" s="1"/>
  <c r="HY463" i="5"/>
  <c r="HY1065" i="5" s="1"/>
  <c r="HW463" i="5"/>
  <c r="HW1065" i="5" s="1"/>
  <c r="HV463" i="5"/>
  <c r="HV1065" i="5" s="1"/>
  <c r="HT463" i="5"/>
  <c r="HS463" i="5"/>
  <c r="KP462" i="5"/>
  <c r="KP622" i="5" s="1"/>
  <c r="KO462" i="5"/>
  <c r="KO622" i="5" s="1"/>
  <c r="JH462" i="5"/>
  <c r="JE462" i="5"/>
  <c r="JB462" i="5"/>
  <c r="IY462" i="5"/>
  <c r="IV462" i="5"/>
  <c r="IS462" i="5"/>
  <c r="IP462" i="5"/>
  <c r="IM462" i="5"/>
  <c r="IJ462" i="5"/>
  <c r="IG462" i="5"/>
  <c r="ID462" i="5"/>
  <c r="IA462" i="5"/>
  <c r="HX462" i="5"/>
  <c r="HU462" i="5"/>
  <c r="HR462" i="5"/>
  <c r="JH461" i="5"/>
  <c r="JG461" i="5"/>
  <c r="JF461" i="5"/>
  <c r="JE461" i="5"/>
  <c r="JD461" i="5"/>
  <c r="JC461" i="5"/>
  <c r="JB461" i="5"/>
  <c r="JA461" i="5"/>
  <c r="IZ461" i="5"/>
  <c r="IY461" i="5"/>
  <c r="IX461" i="5"/>
  <c r="IW461" i="5"/>
  <c r="IV461" i="5"/>
  <c r="IU461" i="5"/>
  <c r="IT461" i="5"/>
  <c r="IS461" i="5"/>
  <c r="IR461" i="5"/>
  <c r="IQ461" i="5"/>
  <c r="IP461" i="5"/>
  <c r="IO461" i="5"/>
  <c r="IN461" i="5"/>
  <c r="IM461" i="5"/>
  <c r="IL461" i="5"/>
  <c r="IK461" i="5"/>
  <c r="IJ461" i="5"/>
  <c r="II461" i="5"/>
  <c r="IH461" i="5"/>
  <c r="IG461" i="5"/>
  <c r="IF461" i="5"/>
  <c r="IE461" i="5"/>
  <c r="ID461" i="5"/>
  <c r="IC461" i="5"/>
  <c r="IB461" i="5"/>
  <c r="IA461" i="5"/>
  <c r="HZ461" i="5"/>
  <c r="KN622" i="5" s="1"/>
  <c r="HY461" i="5"/>
  <c r="KM622" i="5" s="1"/>
  <c r="HX461" i="5"/>
  <c r="HW461" i="5"/>
  <c r="HV461" i="5"/>
  <c r="HU461" i="5"/>
  <c r="HT461" i="5"/>
  <c r="HS461" i="5"/>
  <c r="HS622" i="5" s="1"/>
  <c r="HR461" i="5"/>
  <c r="FN412" i="5"/>
  <c r="FN411" i="5" s="1"/>
  <c r="FP411" i="5"/>
  <c r="FO411" i="5"/>
  <c r="FM411" i="5"/>
  <c r="FL411" i="5"/>
  <c r="FK411" i="5"/>
  <c r="FN391" i="5"/>
  <c r="FP389" i="5"/>
  <c r="FO389" i="5"/>
  <c r="FM389" i="5"/>
  <c r="FL389" i="5"/>
  <c r="FK389" i="5"/>
  <c r="HY294" i="5"/>
  <c r="HY291" i="5"/>
  <c r="HY290" i="5"/>
  <c r="HY289" i="5"/>
  <c r="HY288" i="5"/>
  <c r="HY287" i="5"/>
  <c r="HY286" i="5"/>
  <c r="HY285" i="5"/>
  <c r="HY284" i="5"/>
  <c r="HY275" i="5"/>
  <c r="HY274" i="5"/>
  <c r="HY273" i="5"/>
  <c r="HY268" i="5"/>
  <c r="HY267" i="5"/>
  <c r="HY266" i="5"/>
  <c r="HY265" i="5"/>
  <c r="HY264" i="5"/>
  <c r="HY259" i="5"/>
  <c r="HW259" i="5"/>
  <c r="HV259" i="5"/>
  <c r="HY258" i="5"/>
  <c r="HY257" i="5"/>
  <c r="HY256" i="5"/>
  <c r="HY255" i="5"/>
  <c r="HY254" i="5"/>
  <c r="HY253" i="5"/>
  <c r="HY252" i="5"/>
  <c r="HY249" i="5"/>
  <c r="HW249" i="5"/>
  <c r="HV249" i="5"/>
  <c r="HY248" i="5"/>
  <c r="HW248" i="5"/>
  <c r="HV248" i="5"/>
  <c r="HY247" i="5"/>
  <c r="HW247" i="5"/>
  <c r="HV247" i="5"/>
  <c r="HY246" i="5"/>
  <c r="HW246" i="5"/>
  <c r="HV246" i="5"/>
  <c r="HY245" i="5"/>
  <c r="HW245" i="5"/>
  <c r="HV245" i="5"/>
  <c r="HY244" i="5"/>
  <c r="HW244" i="5"/>
  <c r="HV244" i="5"/>
  <c r="HY243" i="5"/>
  <c r="HW243" i="5"/>
  <c r="HV243" i="5"/>
  <c r="HY242" i="5"/>
  <c r="HW242" i="5"/>
  <c r="HV242" i="5"/>
  <c r="HY241" i="5"/>
  <c r="HW241" i="5"/>
  <c r="HV241" i="5"/>
  <c r="HY240" i="5"/>
  <c r="HW240" i="5"/>
  <c r="HV240" i="5"/>
  <c r="HY239" i="5"/>
  <c r="HW239" i="5"/>
  <c r="HV239" i="5"/>
  <c r="HY238" i="5"/>
  <c r="HW238" i="5"/>
  <c r="HV238" i="5"/>
  <c r="DB237" i="5"/>
  <c r="DA237" i="5"/>
  <c r="CZ237" i="5"/>
  <c r="CY237" i="5"/>
  <c r="CX237" i="5"/>
  <c r="CW237" i="5"/>
  <c r="CV237" i="5"/>
  <c r="CU237" i="5"/>
  <c r="CT237" i="5"/>
  <c r="CS237" i="5"/>
  <c r="CR237" i="5"/>
  <c r="CQ237" i="5"/>
  <c r="CP237" i="5"/>
  <c r="CO237" i="5"/>
  <c r="CN237" i="5"/>
  <c r="CM237" i="5"/>
  <c r="CL237" i="5"/>
  <c r="CK237" i="5"/>
  <c r="CJ237" i="5"/>
  <c r="CI237" i="5"/>
  <c r="CH237" i="5"/>
  <c r="CG237" i="5"/>
  <c r="CF237" i="5"/>
  <c r="CE237" i="5"/>
  <c r="CD237" i="5"/>
  <c r="CC237" i="5"/>
  <c r="CB237" i="5"/>
  <c r="CA237" i="5"/>
  <c r="BZ237" i="5"/>
  <c r="BY237" i="5"/>
  <c r="BX237" i="5"/>
  <c r="BW237" i="5"/>
  <c r="BV237" i="5"/>
  <c r="BU237" i="5"/>
  <c r="BT237" i="5"/>
  <c r="BS237" i="5"/>
  <c r="BR237" i="5"/>
  <c r="BQ237" i="5"/>
  <c r="BP237" i="5"/>
  <c r="BO237" i="5"/>
  <c r="BN237" i="5"/>
  <c r="BM237" i="5"/>
  <c r="BL237" i="5"/>
  <c r="BK237" i="5"/>
  <c r="BJ237" i="5"/>
  <c r="BI237" i="5"/>
  <c r="BH237" i="5"/>
  <c r="BG237" i="5"/>
  <c r="BF237" i="5"/>
  <c r="BE237" i="5"/>
  <c r="BD237" i="5"/>
  <c r="BC237" i="5"/>
  <c r="BB237" i="5"/>
  <c r="BA237" i="5"/>
  <c r="AZ237" i="5"/>
  <c r="AY237" i="5"/>
  <c r="AX237" i="5"/>
  <c r="AW237" i="5"/>
  <c r="AV237" i="5"/>
  <c r="AU237" i="5"/>
  <c r="AT237" i="5"/>
  <c r="AS237" i="5"/>
  <c r="AR237" i="5"/>
  <c r="AQ237" i="5"/>
  <c r="AP237" i="5"/>
  <c r="AO237" i="5"/>
  <c r="AN237" i="5"/>
  <c r="AM237" i="5"/>
  <c r="AL237" i="5"/>
  <c r="AK237" i="5"/>
  <c r="AJ237" i="5"/>
  <c r="AI237" i="5"/>
  <c r="AH237" i="5"/>
  <c r="AG237" i="5"/>
  <c r="AF237" i="5"/>
  <c r="AE237" i="5"/>
  <c r="AD237" i="5"/>
  <c r="AC237" i="5"/>
  <c r="AB237" i="5"/>
  <c r="AA237" i="5"/>
  <c r="Z237" i="5"/>
  <c r="Y237" i="5"/>
  <c r="X237" i="5"/>
  <c r="W237" i="5"/>
  <c r="V237" i="5"/>
  <c r="U237" i="5"/>
  <c r="T237" i="5"/>
  <c r="S237" i="5"/>
  <c r="R237" i="5"/>
  <c r="Q237" i="5"/>
  <c r="P237" i="5"/>
  <c r="O237" i="5"/>
  <c r="N237" i="5"/>
  <c r="M237" i="5"/>
  <c r="L237" i="5"/>
  <c r="K237" i="5"/>
  <c r="J237" i="5"/>
  <c r="I237" i="5"/>
  <c r="H237" i="5"/>
  <c r="G237" i="5"/>
  <c r="F237" i="5"/>
  <c r="E237" i="5"/>
  <c r="HY233" i="5"/>
  <c r="HW233" i="5"/>
  <c r="HV233" i="5"/>
  <c r="HY232" i="5"/>
  <c r="HW232" i="5"/>
  <c r="HV232" i="5"/>
  <c r="HY231" i="5"/>
  <c r="HW231" i="5"/>
  <c r="HV231" i="5"/>
  <c r="HY230" i="5"/>
  <c r="HW230" i="5"/>
  <c r="HV230" i="5"/>
  <c r="HY228" i="5"/>
  <c r="HW228" i="5"/>
  <c r="HV228" i="5"/>
  <c r="HY227" i="5"/>
  <c r="HW227" i="5"/>
  <c r="HV227" i="5"/>
  <c r="HY226" i="5"/>
  <c r="HW226" i="5"/>
  <c r="HV226" i="5"/>
  <c r="HY225" i="5"/>
  <c r="HW225" i="5"/>
  <c r="HV225" i="5"/>
  <c r="HY224" i="5"/>
  <c r="HW224" i="5"/>
  <c r="HV224" i="5"/>
  <c r="HY223" i="5"/>
  <c r="HW223" i="5"/>
  <c r="HV223" i="5"/>
  <c r="HY222" i="5"/>
  <c r="HW222" i="5"/>
  <c r="HV222" i="5"/>
  <c r="HY221" i="5"/>
  <c r="HW221" i="5"/>
  <c r="HV221" i="5"/>
  <c r="HY220" i="5"/>
  <c r="HW220" i="5"/>
  <c r="HV220" i="5"/>
  <c r="HY219" i="5"/>
  <c r="HW219" i="5"/>
  <c r="HV219" i="5"/>
  <c r="CO218" i="5"/>
  <c r="CO217" i="5" s="1"/>
  <c r="CN218" i="5"/>
  <c r="CN217" i="5" s="1"/>
  <c r="CM218" i="5"/>
  <c r="CM217" i="5" s="1"/>
  <c r="CL218" i="5"/>
  <c r="CL217" i="5" s="1"/>
  <c r="CK218" i="5"/>
  <c r="CK217" i="5" s="1"/>
  <c r="HY215" i="5"/>
  <c r="HW215" i="5"/>
  <c r="HV215" i="5"/>
  <c r="HY213" i="5"/>
  <c r="HW213" i="5"/>
  <c r="HV213" i="5"/>
  <c r="HY212" i="5"/>
  <c r="HW212" i="5"/>
  <c r="HV212" i="5"/>
  <c r="HY211" i="5"/>
  <c r="HW211" i="5"/>
  <c r="HV211" i="5"/>
  <c r="HY210" i="5"/>
  <c r="HW210" i="5"/>
  <c r="HV210" i="5"/>
  <c r="HY209" i="5"/>
  <c r="HW209" i="5"/>
  <c r="HV209" i="5"/>
  <c r="DZ206" i="5"/>
  <c r="DY206" i="5"/>
  <c r="DX206" i="5"/>
  <c r="DW206" i="5"/>
  <c r="DV206" i="5"/>
  <c r="DU206" i="5"/>
  <c r="DT206" i="5"/>
  <c r="DS206" i="5"/>
  <c r="DR206" i="5"/>
  <c r="DQ206" i="5"/>
  <c r="DP206" i="5"/>
  <c r="DO206" i="5"/>
  <c r="DN206" i="5"/>
  <c r="DM206" i="5"/>
  <c r="DL206" i="5"/>
  <c r="DK206" i="5"/>
  <c r="DJ206" i="5"/>
  <c r="DI206" i="5"/>
  <c r="DH206" i="5"/>
  <c r="DG206" i="5"/>
  <c r="DF206" i="5"/>
  <c r="DE206" i="5"/>
  <c r="DD206" i="5"/>
  <c r="DC206" i="5"/>
  <c r="HY204" i="5"/>
  <c r="HW204" i="5"/>
  <c r="HV204" i="5"/>
  <c r="HW203" i="5"/>
  <c r="HV203" i="5"/>
  <c r="HY202" i="5"/>
  <c r="HW202" i="5"/>
  <c r="HV202" i="5"/>
  <c r="HY201" i="5"/>
  <c r="HW201" i="5"/>
  <c r="HV201" i="5"/>
  <c r="HY199" i="5"/>
  <c r="HY198" i="5"/>
  <c r="HW198" i="5"/>
  <c r="HV198" i="5"/>
  <c r="HY197" i="5"/>
  <c r="HW197" i="5"/>
  <c r="HV197" i="5"/>
  <c r="HY196" i="5"/>
  <c r="HW196" i="5"/>
  <c r="HV196" i="5"/>
  <c r="HY195" i="5"/>
  <c r="HW195" i="5"/>
  <c r="HV195" i="5"/>
  <c r="HY194" i="5"/>
  <c r="HW194" i="5"/>
  <c r="HV194" i="5"/>
  <c r="HY193" i="5"/>
  <c r="HW193" i="5"/>
  <c r="HV193" i="5"/>
  <c r="HZ192" i="5"/>
  <c r="HZ512" i="5" s="1"/>
  <c r="HY192" i="5"/>
  <c r="HY512" i="5" s="1"/>
  <c r="G48" i="7" s="1"/>
  <c r="HW192" i="5"/>
  <c r="HV192" i="5"/>
  <c r="HY191" i="5"/>
  <c r="HW191" i="5"/>
  <c r="HV191" i="5"/>
  <c r="HY190" i="5"/>
  <c r="HW190" i="5"/>
  <c r="HV190" i="5"/>
  <c r="HY189" i="5"/>
  <c r="HW189" i="5"/>
  <c r="HV189" i="5"/>
  <c r="HY188" i="5"/>
  <c r="HW188" i="5"/>
  <c r="HV188" i="5"/>
  <c r="HY186" i="5"/>
  <c r="HW186" i="5"/>
  <c r="HV186" i="5"/>
  <c r="HY185" i="5"/>
  <c r="HW185" i="5"/>
  <c r="HV185" i="5"/>
  <c r="HY184" i="5"/>
  <c r="HW184" i="5"/>
  <c r="HV184" i="5"/>
  <c r="HY183" i="5"/>
  <c r="HW183" i="5"/>
  <c r="HV183" i="5"/>
  <c r="HY182" i="5"/>
  <c r="HW182" i="5"/>
  <c r="HV182" i="5"/>
  <c r="HY181" i="5"/>
  <c r="HW181" i="5"/>
  <c r="HV181" i="5"/>
  <c r="HY180" i="5"/>
  <c r="HW180" i="5"/>
  <c r="HV180" i="5"/>
  <c r="HY179" i="5"/>
  <c r="HW179" i="5"/>
  <c r="HV179" i="5"/>
  <c r="HY178" i="5"/>
  <c r="HW178" i="5"/>
  <c r="HV178" i="5"/>
  <c r="HY177" i="5"/>
  <c r="HW177" i="5"/>
  <c r="HV177" i="5"/>
  <c r="HY176" i="5"/>
  <c r="HW176" i="5"/>
  <c r="HV176" i="5"/>
  <c r="HY175" i="5"/>
  <c r="HW175" i="5"/>
  <c r="HV175" i="5"/>
  <c r="HY173" i="5"/>
  <c r="HW173" i="5"/>
  <c r="HV173" i="5"/>
  <c r="HW172" i="5"/>
  <c r="HV172" i="5"/>
  <c r="HY171" i="5"/>
  <c r="HW171" i="5"/>
  <c r="HV171" i="5"/>
  <c r="HY170" i="5"/>
  <c r="HW170" i="5"/>
  <c r="HV170" i="5"/>
  <c r="HY169" i="5"/>
  <c r="HW169" i="5"/>
  <c r="HV169" i="5"/>
  <c r="HY168" i="5"/>
  <c r="HW168" i="5"/>
  <c r="HV168" i="5"/>
  <c r="HY167" i="5"/>
  <c r="HW167" i="5"/>
  <c r="HV167" i="5"/>
  <c r="HY166" i="5"/>
  <c r="HW166" i="5"/>
  <c r="HV166" i="5"/>
  <c r="HY165" i="5"/>
  <c r="HW165" i="5"/>
  <c r="HV165" i="5"/>
  <c r="HY164" i="5"/>
  <c r="HW164" i="5"/>
  <c r="HV164" i="5"/>
  <c r="HY163" i="5"/>
  <c r="HW163" i="5"/>
  <c r="HV163" i="5"/>
  <c r="HY162" i="5"/>
  <c r="HW162" i="5"/>
  <c r="HV162" i="5"/>
  <c r="HY161" i="5"/>
  <c r="HW161" i="5"/>
  <c r="HV161" i="5"/>
  <c r="HY155" i="5"/>
  <c r="HW155" i="5"/>
  <c r="HV155" i="5"/>
  <c r="HY154" i="5"/>
  <c r="HW154" i="5"/>
  <c r="HV154" i="5"/>
  <c r="HY153" i="5"/>
  <c r="HW153" i="5"/>
  <c r="HV153" i="5"/>
  <c r="HY152" i="5"/>
  <c r="HW152" i="5"/>
  <c r="HV152" i="5"/>
  <c r="HY150" i="5"/>
  <c r="HW150" i="5"/>
  <c r="HV150" i="5"/>
  <c r="HY149" i="5"/>
  <c r="HW149" i="5"/>
  <c r="HV149" i="5"/>
  <c r="HY148" i="5"/>
  <c r="HW148" i="5"/>
  <c r="HV148" i="5"/>
  <c r="HY147" i="5"/>
  <c r="HW147" i="5"/>
  <c r="HV147" i="5"/>
  <c r="HY146" i="5"/>
  <c r="HW146" i="5"/>
  <c r="HV146" i="5"/>
  <c r="HY145" i="5"/>
  <c r="HW145" i="5"/>
  <c r="HV145" i="5"/>
  <c r="HY144" i="5"/>
  <c r="HW144" i="5"/>
  <c r="HV144" i="5"/>
  <c r="HY143" i="5"/>
  <c r="HW143" i="5"/>
  <c r="HV143" i="5"/>
  <c r="HY142" i="5"/>
  <c r="HW142" i="5"/>
  <c r="HV142" i="5"/>
  <c r="HY134" i="5"/>
  <c r="HW134" i="5"/>
  <c r="HV134" i="5"/>
  <c r="HY133" i="5"/>
  <c r="HW133" i="5"/>
  <c r="HV133" i="5"/>
  <c r="HY132" i="5"/>
  <c r="HW132" i="5"/>
  <c r="HV132" i="5"/>
  <c r="HY127" i="5"/>
  <c r="HW127" i="5"/>
  <c r="HV127" i="5"/>
  <c r="HY126" i="5"/>
  <c r="HW126" i="5"/>
  <c r="HV126" i="5"/>
  <c r="HY125" i="5"/>
  <c r="HW125" i="5"/>
  <c r="HV125" i="5"/>
  <c r="HY124" i="5"/>
  <c r="HW124" i="5"/>
  <c r="HV124" i="5"/>
  <c r="HY123" i="5"/>
  <c r="HW123" i="5"/>
  <c r="HV123" i="5"/>
  <c r="HY122" i="5"/>
  <c r="HW122" i="5"/>
  <c r="HV122" i="5"/>
  <c r="HY118" i="5"/>
  <c r="HW118" i="5"/>
  <c r="HV118" i="5"/>
  <c r="HY115" i="5"/>
  <c r="HW115" i="5"/>
  <c r="HV115" i="5"/>
  <c r="HY113" i="5"/>
  <c r="HW113" i="5"/>
  <c r="HV113" i="5"/>
  <c r="HY112" i="5"/>
  <c r="HW112" i="5"/>
  <c r="HV112" i="5"/>
  <c r="HY111" i="5"/>
  <c r="HW111" i="5"/>
  <c r="HV111" i="5"/>
  <c r="HY110" i="5"/>
  <c r="HW110" i="5"/>
  <c r="HV110" i="5"/>
  <c r="HY109" i="5"/>
  <c r="HW109" i="5"/>
  <c r="HV109" i="5"/>
  <c r="HY108" i="5"/>
  <c r="HW108" i="5"/>
  <c r="HV108" i="5"/>
  <c r="HY107" i="5"/>
  <c r="HW107" i="5"/>
  <c r="HV107" i="5"/>
  <c r="HY106" i="5"/>
  <c r="HW106" i="5"/>
  <c r="HV106" i="5"/>
  <c r="HY105" i="5"/>
  <c r="HW105" i="5"/>
  <c r="HV105" i="5"/>
  <c r="HY104" i="5"/>
  <c r="HW104" i="5"/>
  <c r="HV104" i="5"/>
  <c r="HY103" i="5"/>
  <c r="HW103" i="5"/>
  <c r="HV103" i="5"/>
  <c r="HY102" i="5"/>
  <c r="HW102" i="5"/>
  <c r="HV102" i="5"/>
  <c r="HY101" i="5"/>
  <c r="HW101" i="5"/>
  <c r="HV101" i="5"/>
  <c r="HY100" i="5"/>
  <c r="HW100" i="5"/>
  <c r="HV100" i="5"/>
  <c r="HY99" i="5"/>
  <c r="HW99" i="5"/>
  <c r="HV99" i="5"/>
  <c r="HY98" i="5"/>
  <c r="HW98" i="5"/>
  <c r="HV98" i="5"/>
  <c r="HY97" i="5"/>
  <c r="HW97" i="5"/>
  <c r="HV97" i="5"/>
  <c r="HY96" i="5"/>
  <c r="HW96" i="5"/>
  <c r="HV96" i="5"/>
  <c r="HY95" i="5"/>
  <c r="HW95" i="5"/>
  <c r="HV95" i="5"/>
  <c r="HY94" i="5"/>
  <c r="HW94" i="5"/>
  <c r="HV94" i="5"/>
  <c r="HY93" i="5"/>
  <c r="HW93" i="5"/>
  <c r="HV93" i="5"/>
  <c r="HY92" i="5"/>
  <c r="HW92" i="5"/>
  <c r="HV92" i="5"/>
  <c r="HW91" i="5"/>
  <c r="HV91" i="5"/>
  <c r="HY90" i="5"/>
  <c r="HW90" i="5"/>
  <c r="HV90" i="5"/>
  <c r="HY89" i="5"/>
  <c r="HW89" i="5"/>
  <c r="HV89" i="5"/>
  <c r="HY88" i="5"/>
  <c r="HY87" i="5"/>
  <c r="HY86" i="5"/>
  <c r="HY85" i="5"/>
  <c r="HY84" i="5"/>
  <c r="HY83" i="5"/>
  <c r="HY82" i="5"/>
  <c r="HY81" i="5"/>
  <c r="HY80" i="5"/>
  <c r="HY79" i="5"/>
  <c r="HY78" i="5"/>
  <c r="HY77" i="5"/>
  <c r="HY72" i="5"/>
  <c r="HW72" i="5"/>
  <c r="HV72" i="5"/>
  <c r="HY71" i="5"/>
  <c r="HW71" i="5"/>
  <c r="HV71" i="5"/>
  <c r="HY70" i="5"/>
  <c r="HW70" i="5"/>
  <c r="HV70" i="5"/>
  <c r="HY69" i="5"/>
  <c r="HW69" i="5"/>
  <c r="HV69" i="5"/>
  <c r="HY68" i="5"/>
  <c r="HW68" i="5"/>
  <c r="HV68" i="5"/>
  <c r="HY67" i="5"/>
  <c r="HW67" i="5"/>
  <c r="HV67" i="5"/>
  <c r="D67" i="5"/>
  <c r="HY66" i="5"/>
  <c r="HW66" i="5"/>
  <c r="HV66" i="5"/>
  <c r="D66" i="5"/>
  <c r="HY65" i="5"/>
  <c r="HW65" i="5"/>
  <c r="HV65" i="5"/>
  <c r="D65" i="5"/>
  <c r="HY64" i="5"/>
  <c r="HW64" i="5"/>
  <c r="HV64" i="5"/>
  <c r="D64" i="5"/>
  <c r="HY63" i="5"/>
  <c r="HW63" i="5"/>
  <c r="HV63" i="5"/>
  <c r="D63" i="5"/>
  <c r="HY62" i="5"/>
  <c r="HW62" i="5"/>
  <c r="HV62" i="5"/>
  <c r="D62" i="5"/>
  <c r="HY61" i="5"/>
  <c r="HW61" i="5"/>
  <c r="HV61" i="5"/>
  <c r="D61" i="5"/>
  <c r="HY60" i="5"/>
  <c r="HW60" i="5"/>
  <c r="HV60" i="5"/>
  <c r="D60" i="5"/>
  <c r="HY59" i="5"/>
  <c r="HW59" i="5"/>
  <c r="HV59" i="5"/>
  <c r="D59" i="5"/>
  <c r="HY58" i="5"/>
  <c r="HW58" i="5"/>
  <c r="HV58" i="5"/>
  <c r="D58" i="5"/>
  <c r="HY57" i="5"/>
  <c r="HW57" i="5"/>
  <c r="HV57" i="5"/>
  <c r="D57" i="5"/>
  <c r="HY56" i="5"/>
  <c r="HW56" i="5"/>
  <c r="HV56" i="5"/>
  <c r="D56" i="5"/>
  <c r="HY55" i="5"/>
  <c r="HW55" i="5"/>
  <c r="HV55" i="5"/>
  <c r="D55" i="5"/>
  <c r="HY54" i="5"/>
  <c r="HW54" i="5"/>
  <c r="HV54" i="5"/>
  <c r="D54" i="5"/>
  <c r="HY53" i="5"/>
  <c r="HW53" i="5"/>
  <c r="HV53" i="5"/>
  <c r="D53" i="5"/>
  <c r="HY52" i="5"/>
  <c r="HW52" i="5"/>
  <c r="HV52" i="5"/>
  <c r="D52" i="5"/>
  <c r="HY51" i="5"/>
  <c r="HW51" i="5"/>
  <c r="HV51" i="5"/>
  <c r="HY50" i="5"/>
  <c r="HW50" i="5"/>
  <c r="HV50" i="5"/>
  <c r="HY49" i="5"/>
  <c r="HW49" i="5"/>
  <c r="HV49" i="5"/>
  <c r="HY48" i="5"/>
  <c r="HW48" i="5"/>
  <c r="HV48" i="5"/>
  <c r="HY47" i="5"/>
  <c r="HW47" i="5"/>
  <c r="HV47" i="5"/>
  <c r="HY46" i="5"/>
  <c r="HW46" i="5"/>
  <c r="HV46" i="5"/>
  <c r="HY45" i="5"/>
  <c r="HW45" i="5"/>
  <c r="HV45" i="5"/>
  <c r="HY44" i="5"/>
  <c r="HW44" i="5"/>
  <c r="HV44" i="5"/>
  <c r="HY43" i="5"/>
  <c r="HW43" i="5"/>
  <c r="HV43" i="5"/>
  <c r="HY42" i="5"/>
  <c r="HW42" i="5"/>
  <c r="HV42" i="5"/>
  <c r="HY41" i="5"/>
  <c r="HW41" i="5"/>
  <c r="HV41" i="5"/>
  <c r="HY40" i="5"/>
  <c r="HW40" i="5"/>
  <c r="HV40" i="5"/>
  <c r="HY39" i="5"/>
  <c r="HW39" i="5"/>
  <c r="HV39" i="5"/>
  <c r="HY38" i="5"/>
  <c r="HW38" i="5"/>
  <c r="HV38" i="5"/>
  <c r="HY37" i="5"/>
  <c r="HW37" i="5"/>
  <c r="HV37" i="5"/>
  <c r="HY36" i="5"/>
  <c r="HW36" i="5"/>
  <c r="HV36" i="5"/>
  <c r="HY35" i="5"/>
  <c r="HW35" i="5"/>
  <c r="HV35" i="5"/>
  <c r="HY34" i="5"/>
  <c r="HW34" i="5"/>
  <c r="HV34" i="5"/>
  <c r="HY29" i="5"/>
  <c r="HW29" i="5"/>
  <c r="HV29" i="5"/>
  <c r="CD29" i="5"/>
  <c r="CC29" i="5"/>
  <c r="CB29" i="5"/>
  <c r="CA29" i="5"/>
  <c r="BZ29" i="5"/>
  <c r="BY29" i="5"/>
  <c r="BX29" i="5"/>
  <c r="BW29" i="5"/>
  <c r="BV29" i="5"/>
  <c r="BU29" i="5"/>
  <c r="BT29" i="5"/>
  <c r="BS29" i="5"/>
  <c r="BR29" i="5"/>
  <c r="BQ29" i="5"/>
  <c r="BP29" i="5"/>
  <c r="BO29" i="5"/>
  <c r="BN29" i="5"/>
  <c r="BM29" i="5"/>
  <c r="BL29" i="5"/>
  <c r="BK29" i="5"/>
  <c r="BJ29" i="5"/>
  <c r="BI29" i="5"/>
  <c r="BH29" i="5"/>
  <c r="BG29" i="5"/>
  <c r="BF29" i="5"/>
  <c r="BE29" i="5"/>
  <c r="BD29" i="5"/>
  <c r="BC29" i="5"/>
  <c r="BB29" i="5"/>
  <c r="BA29" i="5"/>
  <c r="AZ29" i="5"/>
  <c r="AY29" i="5"/>
  <c r="AX29" i="5"/>
  <c r="AW29" i="5"/>
  <c r="AV29" i="5"/>
  <c r="AU29" i="5"/>
  <c r="AT29" i="5"/>
  <c r="AS29" i="5"/>
  <c r="AR29" i="5"/>
  <c r="AQ29" i="5"/>
  <c r="AP29" i="5"/>
  <c r="AO29" i="5"/>
  <c r="AN29" i="5"/>
  <c r="AM29" i="5"/>
  <c r="AL29" i="5"/>
  <c r="AK29" i="5"/>
  <c r="AJ29" i="5"/>
  <c r="AI29" i="5"/>
  <c r="AH29" i="5"/>
  <c r="AG29" i="5"/>
  <c r="AF29" i="5"/>
  <c r="AE29" i="5"/>
  <c r="AD29" i="5"/>
  <c r="AC29" i="5"/>
  <c r="AB29" i="5"/>
  <c r="AA29" i="5"/>
  <c r="Z29" i="5"/>
  <c r="Y29" i="5"/>
  <c r="X29" i="5"/>
  <c r="W29" i="5"/>
  <c r="V29" i="5"/>
  <c r="U29" i="5"/>
  <c r="T29" i="5"/>
  <c r="S29" i="5"/>
  <c r="R29" i="5"/>
  <c r="Q29" i="5"/>
  <c r="P29" i="5"/>
  <c r="O29" i="5"/>
  <c r="N29" i="5"/>
  <c r="M29" i="5"/>
  <c r="L29" i="5"/>
  <c r="K29" i="5"/>
  <c r="J29" i="5"/>
  <c r="I29" i="5"/>
  <c r="H29" i="5"/>
  <c r="G29" i="5"/>
  <c r="F29" i="5"/>
  <c r="E29" i="5"/>
  <c r="HY28" i="5"/>
  <c r="HW28" i="5"/>
  <c r="HV28" i="5"/>
  <c r="HY27" i="5"/>
  <c r="HW27" i="5"/>
  <c r="HV27" i="5"/>
  <c r="HY26" i="5"/>
  <c r="HW26" i="5"/>
  <c r="HV26" i="5"/>
  <c r="HY24" i="5"/>
  <c r="HW24" i="5"/>
  <c r="HV24" i="5"/>
  <c r="CD24" i="5"/>
  <c r="CC24" i="5"/>
  <c r="CB24" i="5"/>
  <c r="CA24" i="5"/>
  <c r="BZ24" i="5"/>
  <c r="BY24" i="5"/>
  <c r="BX24" i="5"/>
  <c r="BW24" i="5"/>
  <c r="BV24" i="5"/>
  <c r="BU24" i="5"/>
  <c r="BT24" i="5"/>
  <c r="BS24" i="5"/>
  <c r="BR24" i="5"/>
  <c r="BQ24" i="5"/>
  <c r="BP24" i="5"/>
  <c r="BO24" i="5"/>
  <c r="BN24" i="5"/>
  <c r="BM24" i="5"/>
  <c r="BL24" i="5"/>
  <c r="BK24" i="5"/>
  <c r="BJ24" i="5"/>
  <c r="BI24" i="5"/>
  <c r="BH24" i="5"/>
  <c r="BG24" i="5"/>
  <c r="BF24" i="5"/>
  <c r="BE24" i="5"/>
  <c r="BD24" i="5"/>
  <c r="BC24" i="5"/>
  <c r="BB24" i="5"/>
  <c r="BA24" i="5"/>
  <c r="AZ24" i="5"/>
  <c r="AY24" i="5"/>
  <c r="AX24" i="5"/>
  <c r="AW24" i="5"/>
  <c r="AV24" i="5"/>
  <c r="AU24" i="5"/>
  <c r="AT24" i="5"/>
  <c r="AS24" i="5"/>
  <c r="AR24" i="5"/>
  <c r="AQ24" i="5"/>
  <c r="AP24" i="5"/>
  <c r="AO24" i="5"/>
  <c r="AN24" i="5"/>
  <c r="AM24" i="5"/>
  <c r="AL24" i="5"/>
  <c r="AK24" i="5"/>
  <c r="AJ24" i="5"/>
  <c r="AI24" i="5"/>
  <c r="AH24" i="5"/>
  <c r="AG24" i="5"/>
  <c r="AF24" i="5"/>
  <c r="AE24" i="5"/>
  <c r="AD24" i="5"/>
  <c r="AC24" i="5"/>
  <c r="AB24" i="5"/>
  <c r="AA24" i="5"/>
  <c r="Z24" i="5"/>
  <c r="Y24" i="5"/>
  <c r="X24" i="5"/>
  <c r="W24" i="5"/>
  <c r="V24" i="5"/>
  <c r="U24" i="5"/>
  <c r="T24" i="5"/>
  <c r="S24" i="5"/>
  <c r="R24" i="5"/>
  <c r="Q24" i="5"/>
  <c r="P24" i="5"/>
  <c r="O24" i="5"/>
  <c r="N24" i="5"/>
  <c r="M24" i="5"/>
  <c r="L24" i="5"/>
  <c r="K24" i="5"/>
  <c r="J24" i="5"/>
  <c r="I24" i="5"/>
  <c r="H24" i="5"/>
  <c r="G24" i="5"/>
  <c r="F24" i="5"/>
  <c r="E24" i="5"/>
  <c r="HY20" i="5"/>
  <c r="HW20" i="5"/>
  <c r="HV20" i="5"/>
  <c r="HY19" i="5"/>
  <c r="HW19" i="5"/>
  <c r="HV19" i="5"/>
  <c r="HY18" i="5"/>
  <c r="HW18" i="5"/>
  <c r="HV18" i="5"/>
  <c r="HY17" i="5"/>
  <c r="HW17" i="5"/>
  <c r="HV17" i="5"/>
  <c r="HY16" i="5"/>
  <c r="HW16" i="5"/>
  <c r="HV16" i="5"/>
  <c r="HY15" i="5"/>
  <c r="HW15" i="5"/>
  <c r="HV15" i="5"/>
  <c r="HY14" i="5"/>
  <c r="HW14" i="5"/>
  <c r="HV14" i="5"/>
  <c r="HY13" i="5"/>
  <c r="HW13" i="5"/>
  <c r="HV13" i="5"/>
  <c r="HY11" i="5"/>
  <c r="HW11" i="5"/>
  <c r="HV11" i="5"/>
  <c r="HY10" i="5"/>
  <c r="HW10" i="5"/>
  <c r="HV10" i="5"/>
  <c r="HY9" i="5"/>
  <c r="HW9" i="5"/>
  <c r="HV9" i="5"/>
  <c r="HY8" i="5"/>
  <c r="HW8" i="5"/>
  <c r="HV8" i="5"/>
  <c r="HY7" i="5"/>
  <c r="HW7" i="5"/>
  <c r="HV7" i="5"/>
  <c r="HY6" i="5"/>
  <c r="HW6" i="5"/>
  <c r="HV6" i="5"/>
  <c r="AE1771" i="2"/>
  <c r="AK1769" i="2"/>
  <c r="AJ1769" i="2"/>
  <c r="AE1769" i="2"/>
  <c r="AF1752" i="2"/>
  <c r="AD1752" i="2"/>
  <c r="AB1752" i="2"/>
  <c r="AF1751" i="2"/>
  <c r="AD1751" i="2"/>
  <c r="AB1751" i="2"/>
  <c r="AF1748" i="2"/>
  <c r="AD1748" i="2"/>
  <c r="AB1748" i="2"/>
  <c r="AF1747" i="2"/>
  <c r="AD1747" i="2"/>
  <c r="AB1747" i="2"/>
  <c r="AF1746" i="2"/>
  <c r="AD1746" i="2"/>
  <c r="AB1746" i="2"/>
  <c r="D1743" i="2"/>
  <c r="D1742" i="2"/>
  <c r="AF1741" i="2"/>
  <c r="AD1741" i="2"/>
  <c r="AB1741" i="2"/>
  <c r="Z1741" i="2"/>
  <c r="D1741" i="2"/>
  <c r="D1740" i="2"/>
  <c r="D1739" i="2"/>
  <c r="D1738" i="2"/>
  <c r="AF1736" i="2"/>
  <c r="AD1736" i="2"/>
  <c r="AB1736" i="2"/>
  <c r="Z1736" i="2"/>
  <c r="D1736" i="2"/>
  <c r="D1735" i="2"/>
  <c r="D1734" i="2"/>
  <c r="D1733" i="2"/>
  <c r="D1732" i="2"/>
  <c r="D1731" i="2"/>
  <c r="D1730" i="2"/>
  <c r="AF1729" i="2"/>
  <c r="AD1729" i="2"/>
  <c r="AB1729" i="2"/>
  <c r="Z1729" i="2"/>
  <c r="D1729" i="2"/>
  <c r="D1728" i="2"/>
  <c r="D1727" i="2"/>
  <c r="AF1726" i="2"/>
  <c r="AD1726" i="2"/>
  <c r="AB1726" i="2"/>
  <c r="Z1726" i="2"/>
  <c r="D1726" i="2"/>
  <c r="D1725" i="2"/>
  <c r="D1724" i="2"/>
  <c r="AF1723" i="2"/>
  <c r="AD1723" i="2"/>
  <c r="AB1723" i="2"/>
  <c r="Z1723" i="2"/>
  <c r="D1723" i="2"/>
  <c r="D1722" i="2"/>
  <c r="AI1721" i="2"/>
  <c r="AH1721" i="2" s="1"/>
  <c r="AG1721" i="2"/>
  <c r="AF1721" i="2" s="1"/>
  <c r="AE1721" i="2"/>
  <c r="AD1721" i="2"/>
  <c r="AC1721" i="2"/>
  <c r="AB1721" i="2"/>
  <c r="AA1721" i="2"/>
  <c r="Z1721" i="2"/>
  <c r="Y1721" i="2"/>
  <c r="X1721" i="2"/>
  <c r="AI1719" i="2"/>
  <c r="AG1719" i="2"/>
  <c r="AB1719" i="2"/>
  <c r="D1712" i="2"/>
  <c r="AA1711" i="2"/>
  <c r="D1711" i="2"/>
  <c r="AA1706" i="2"/>
  <c r="AA1705" i="2"/>
  <c r="Z1704" i="2"/>
  <c r="D1700" i="2"/>
  <c r="D1699" i="2"/>
  <c r="D1698" i="2"/>
  <c r="D1697" i="2"/>
  <c r="D1696" i="2"/>
  <c r="AA1689" i="2"/>
  <c r="AA1712" i="2" s="1"/>
  <c r="Z1689" i="2"/>
  <c r="Y1689" i="2"/>
  <c r="DB1097" i="5" s="1"/>
  <c r="HU1097" i="5" s="1"/>
  <c r="X1689" i="2"/>
  <c r="D1687" i="2"/>
  <c r="D1683" i="2"/>
  <c r="D1710" i="2" s="1"/>
  <c r="D1679" i="2"/>
  <c r="D1675" i="2"/>
  <c r="D1709" i="2" s="1"/>
  <c r="D1670" i="2"/>
  <c r="D1669" i="2"/>
  <c r="D1668" i="2"/>
  <c r="D1667" i="2"/>
  <c r="D1676" i="2" s="1"/>
  <c r="AA1666" i="2"/>
  <c r="DI1074" i="5" s="1"/>
  <c r="Z1666" i="2"/>
  <c r="DH1074" i="5" s="1"/>
  <c r="Y1666" i="2"/>
  <c r="Y1665" i="2" s="1"/>
  <c r="X1666" i="2"/>
  <c r="X1665" i="2" s="1"/>
  <c r="D1666" i="2"/>
  <c r="D1665" i="2"/>
  <c r="D1708" i="2" s="1"/>
  <c r="AA1663" i="2"/>
  <c r="Z1663" i="2"/>
  <c r="Y1663" i="2"/>
  <c r="X1663" i="2"/>
  <c r="D1663" i="2"/>
  <c r="D1662" i="2"/>
  <c r="D1661" i="2"/>
  <c r="D1660" i="2"/>
  <c r="D1707" i="2" s="1"/>
  <c r="AE1658" i="2"/>
  <c r="AE1655" i="2" s="1"/>
  <c r="AD1658" i="2"/>
  <c r="AD1655" i="2" s="1"/>
  <c r="AC1658" i="2"/>
  <c r="AC1655" i="2" s="1"/>
  <c r="AB1658" i="2"/>
  <c r="AB1655" i="2" s="1"/>
  <c r="AA1658" i="2"/>
  <c r="AA1655" i="2" s="1"/>
  <c r="Z1658" i="2"/>
  <c r="Z1655" i="2" s="1"/>
  <c r="Y1658" i="2"/>
  <c r="Y1655" i="2" s="1"/>
  <c r="X1658" i="2"/>
  <c r="X1655" i="2" s="1"/>
  <c r="D1658" i="2"/>
  <c r="AM1651" i="2"/>
  <c r="AL1651" i="2"/>
  <c r="AK1651" i="2"/>
  <c r="AJ1651" i="2"/>
  <c r="AI1651" i="2"/>
  <c r="AH1651" i="2"/>
  <c r="AG1651" i="2"/>
  <c r="AF1651" i="2"/>
  <c r="AE1651" i="2"/>
  <c r="AD1651" i="2"/>
  <c r="AC1651" i="2"/>
  <c r="AA1651" i="2"/>
  <c r="AM1650" i="2"/>
  <c r="AL1650" i="2"/>
  <c r="AK1650" i="2"/>
  <c r="AJ1650" i="2"/>
  <c r="AI1650" i="2"/>
  <c r="AH1650" i="2"/>
  <c r="AG1650" i="2"/>
  <c r="AF1650" i="2"/>
  <c r="AD1650" i="2"/>
  <c r="AC1650" i="2"/>
  <c r="AB1650" i="2"/>
  <c r="AA1650" i="2"/>
  <c r="Z1650" i="2"/>
  <c r="AA1649" i="2"/>
  <c r="Z1649" i="2"/>
  <c r="Y1649" i="2"/>
  <c r="AF1648" i="2"/>
  <c r="AM1642" i="2"/>
  <c r="AL1642" i="2"/>
  <c r="AK1642" i="2"/>
  <c r="AJ1642" i="2"/>
  <c r="AI1642" i="2"/>
  <c r="AH1642" i="2"/>
  <c r="AG1642" i="2"/>
  <c r="AF1642" i="2"/>
  <c r="AE1642" i="2"/>
  <c r="AD1642" i="2"/>
  <c r="AC1642" i="2"/>
  <c r="AA1642" i="2"/>
  <c r="D1642" i="2"/>
  <c r="AM1641" i="2"/>
  <c r="AL1641" i="2"/>
  <c r="AK1641" i="2"/>
  <c r="AJ1641" i="2"/>
  <c r="AI1641" i="2"/>
  <c r="AH1641" i="2"/>
  <c r="AG1641" i="2"/>
  <c r="AF1641" i="2"/>
  <c r="AD1641" i="2"/>
  <c r="AC1641" i="2"/>
  <c r="AB1641" i="2"/>
  <c r="AA1641" i="2"/>
  <c r="Z1641" i="2"/>
  <c r="D1641" i="2"/>
  <c r="AA1640" i="2"/>
  <c r="Z1640" i="2"/>
  <c r="Y1640" i="2"/>
  <c r="AM1638" i="2"/>
  <c r="AL1638" i="2"/>
  <c r="AK1638" i="2"/>
  <c r="AE1638" i="2"/>
  <c r="AD1638" i="2"/>
  <c r="AC1638" i="2"/>
  <c r="AB1638" i="2"/>
  <c r="AA1638" i="2"/>
  <c r="Z1638" i="2"/>
  <c r="Y1638" i="2"/>
  <c r="X1638" i="2"/>
  <c r="W1638" i="2"/>
  <c r="V1638" i="2"/>
  <c r="U1638" i="2"/>
  <c r="T1638" i="2"/>
  <c r="S1638" i="2"/>
  <c r="R1638" i="2"/>
  <c r="Q1638" i="2"/>
  <c r="P1638" i="2"/>
  <c r="O1638" i="2"/>
  <c r="N1638" i="2"/>
  <c r="M1638" i="2"/>
  <c r="L1638" i="2"/>
  <c r="K1638" i="2"/>
  <c r="J1638" i="2"/>
  <c r="I1638" i="2"/>
  <c r="H1638" i="2"/>
  <c r="G1638" i="2"/>
  <c r="F1638" i="2"/>
  <c r="AE1636" i="2"/>
  <c r="AD1635" i="2"/>
  <c r="AC1635" i="2"/>
  <c r="AB1635" i="2"/>
  <c r="AA1635" i="2"/>
  <c r="Z1635" i="2"/>
  <c r="Y1635" i="2"/>
  <c r="X1635" i="2"/>
  <c r="W1635" i="2"/>
  <c r="V1635" i="2"/>
  <c r="U1635" i="2"/>
  <c r="T1635" i="2"/>
  <c r="S1635" i="2"/>
  <c r="R1635" i="2"/>
  <c r="Q1635" i="2"/>
  <c r="P1635" i="2"/>
  <c r="O1635" i="2"/>
  <c r="N1635" i="2"/>
  <c r="M1635" i="2"/>
  <c r="L1635" i="2"/>
  <c r="K1635" i="2"/>
  <c r="J1635" i="2"/>
  <c r="I1635" i="2"/>
  <c r="H1635" i="2"/>
  <c r="G1635" i="2"/>
  <c r="F1635" i="2"/>
  <c r="AE1634" i="2"/>
  <c r="AD1634" i="2"/>
  <c r="AC1634" i="2"/>
  <c r="AB1634" i="2"/>
  <c r="AA1634" i="2"/>
  <c r="Z1634" i="2"/>
  <c r="Y1634" i="2"/>
  <c r="X1634" i="2"/>
  <c r="W1634" i="2"/>
  <c r="V1634" i="2"/>
  <c r="U1634" i="2"/>
  <c r="T1634" i="2"/>
  <c r="S1634" i="2"/>
  <c r="R1634" i="2"/>
  <c r="Q1634" i="2"/>
  <c r="P1634" i="2"/>
  <c r="O1634" i="2"/>
  <c r="N1634" i="2"/>
  <c r="M1634" i="2"/>
  <c r="L1634" i="2"/>
  <c r="K1634" i="2"/>
  <c r="J1634" i="2"/>
  <c r="I1634" i="2"/>
  <c r="H1634" i="2"/>
  <c r="G1634" i="2"/>
  <c r="F1634" i="2"/>
  <c r="AE1632" i="2"/>
  <c r="AD1631" i="2"/>
  <c r="AC1631" i="2"/>
  <c r="AB1631" i="2"/>
  <c r="AA1631" i="2"/>
  <c r="Z1631" i="2"/>
  <c r="Y1631" i="2"/>
  <c r="X1631" i="2"/>
  <c r="W1631" i="2"/>
  <c r="V1631" i="2"/>
  <c r="U1631" i="2"/>
  <c r="T1631" i="2"/>
  <c r="S1631" i="2"/>
  <c r="R1631" i="2"/>
  <c r="Q1631" i="2"/>
  <c r="P1631" i="2"/>
  <c r="O1631" i="2"/>
  <c r="N1631" i="2"/>
  <c r="M1631" i="2"/>
  <c r="L1631" i="2"/>
  <c r="K1631" i="2"/>
  <c r="J1631" i="2"/>
  <c r="I1631" i="2"/>
  <c r="H1631" i="2"/>
  <c r="G1631" i="2"/>
  <c r="F1631" i="2"/>
  <c r="AB1630" i="2"/>
  <c r="AA1630" i="2"/>
  <c r="Z1630" i="2"/>
  <c r="Y1630" i="2"/>
  <c r="X1630" i="2"/>
  <c r="W1630" i="2"/>
  <c r="V1630" i="2"/>
  <c r="U1630" i="2"/>
  <c r="T1630" i="2"/>
  <c r="S1630" i="2"/>
  <c r="R1630" i="2"/>
  <c r="Q1630" i="2"/>
  <c r="P1630" i="2"/>
  <c r="O1630" i="2"/>
  <c r="N1630" i="2"/>
  <c r="M1630" i="2"/>
  <c r="L1630" i="2"/>
  <c r="K1630" i="2"/>
  <c r="J1630" i="2"/>
  <c r="I1630" i="2"/>
  <c r="H1630" i="2"/>
  <c r="G1630" i="2"/>
  <c r="F1630" i="2"/>
  <c r="AD1627" i="2"/>
  <c r="AC1627" i="2"/>
  <c r="AB1627" i="2"/>
  <c r="AA1627" i="2"/>
  <c r="Z1627" i="2"/>
  <c r="Y1627" i="2"/>
  <c r="X1627" i="2"/>
  <c r="W1627" i="2"/>
  <c r="V1627" i="2"/>
  <c r="U1627" i="2"/>
  <c r="T1627" i="2"/>
  <c r="S1627" i="2"/>
  <c r="R1627" i="2"/>
  <c r="Q1627" i="2"/>
  <c r="P1627" i="2"/>
  <c r="O1627" i="2"/>
  <c r="N1627" i="2"/>
  <c r="M1627" i="2"/>
  <c r="L1627" i="2"/>
  <c r="K1627" i="2"/>
  <c r="J1627" i="2"/>
  <c r="I1627" i="2"/>
  <c r="H1627" i="2"/>
  <c r="G1627" i="2"/>
  <c r="F1627" i="2"/>
  <c r="AM1626" i="2"/>
  <c r="AL1626" i="2"/>
  <c r="AK1626" i="2"/>
  <c r="AJ1626" i="2"/>
  <c r="AE1626" i="2"/>
  <c r="AD1626" i="2"/>
  <c r="AC1626" i="2"/>
  <c r="AB1626" i="2"/>
  <c r="AA1626" i="2"/>
  <c r="Z1626" i="2"/>
  <c r="Y1626" i="2"/>
  <c r="X1626" i="2"/>
  <c r="W1626" i="2"/>
  <c r="V1626" i="2"/>
  <c r="U1626" i="2"/>
  <c r="T1626" i="2"/>
  <c r="S1626" i="2"/>
  <c r="R1626" i="2"/>
  <c r="Q1626" i="2"/>
  <c r="P1626" i="2"/>
  <c r="O1626" i="2"/>
  <c r="N1626" i="2"/>
  <c r="M1626" i="2"/>
  <c r="L1626" i="2"/>
  <c r="K1626" i="2"/>
  <c r="J1626" i="2"/>
  <c r="I1626" i="2"/>
  <c r="H1626" i="2"/>
  <c r="G1626" i="2"/>
  <c r="F1626" i="2"/>
  <c r="AE1625" i="2"/>
  <c r="D1625" i="2"/>
  <c r="D1637" i="2" s="1"/>
  <c r="AE1624" i="2"/>
  <c r="D1624" i="2"/>
  <c r="D1636" i="2" s="1"/>
  <c r="AD1623" i="2"/>
  <c r="AC1623" i="2"/>
  <c r="AB1623" i="2"/>
  <c r="AA1623" i="2"/>
  <c r="Z1623" i="2"/>
  <c r="Y1623" i="2"/>
  <c r="X1623" i="2"/>
  <c r="W1623" i="2"/>
  <c r="V1623" i="2"/>
  <c r="U1623" i="2"/>
  <c r="T1623" i="2"/>
  <c r="S1623" i="2"/>
  <c r="R1623" i="2"/>
  <c r="Q1623" i="2"/>
  <c r="P1623" i="2"/>
  <c r="O1623" i="2"/>
  <c r="N1623" i="2"/>
  <c r="M1623" i="2"/>
  <c r="L1623" i="2"/>
  <c r="K1623" i="2"/>
  <c r="J1623" i="2"/>
  <c r="I1623" i="2"/>
  <c r="H1623" i="2"/>
  <c r="G1623" i="2"/>
  <c r="F1623" i="2"/>
  <c r="U1622" i="2"/>
  <c r="T1622" i="2"/>
  <c r="S1622" i="2"/>
  <c r="R1622" i="2"/>
  <c r="Q1622" i="2"/>
  <c r="P1622" i="2"/>
  <c r="O1622" i="2"/>
  <c r="N1622" i="2"/>
  <c r="M1622" i="2"/>
  <c r="L1622" i="2"/>
  <c r="K1622" i="2"/>
  <c r="J1622" i="2"/>
  <c r="I1622" i="2"/>
  <c r="H1622" i="2"/>
  <c r="G1622" i="2"/>
  <c r="F1622" i="2"/>
  <c r="D1621" i="2"/>
  <c r="D1633" i="2" s="1"/>
  <c r="D1620" i="2"/>
  <c r="D1632" i="2" s="1"/>
  <c r="AD1619" i="2"/>
  <c r="AC1619" i="2"/>
  <c r="AB1619" i="2"/>
  <c r="AA1619" i="2"/>
  <c r="Z1619" i="2"/>
  <c r="Y1619" i="2"/>
  <c r="X1619" i="2"/>
  <c r="W1619" i="2"/>
  <c r="V1619" i="2"/>
  <c r="U1619" i="2"/>
  <c r="T1619" i="2"/>
  <c r="S1619" i="2"/>
  <c r="R1619" i="2"/>
  <c r="Q1619" i="2"/>
  <c r="P1619" i="2"/>
  <c r="O1619" i="2"/>
  <c r="N1619" i="2"/>
  <c r="M1619" i="2"/>
  <c r="L1619" i="2"/>
  <c r="K1619" i="2"/>
  <c r="J1619" i="2"/>
  <c r="I1619" i="2"/>
  <c r="H1619" i="2"/>
  <c r="G1619" i="2"/>
  <c r="F1619" i="2"/>
  <c r="AD1615" i="2"/>
  <c r="AC1615" i="2"/>
  <c r="AB1615" i="2"/>
  <c r="AA1615" i="2"/>
  <c r="Z1615" i="2"/>
  <c r="Y1615" i="2"/>
  <c r="X1615" i="2"/>
  <c r="W1615" i="2"/>
  <c r="V1615" i="2"/>
  <c r="U1615" i="2"/>
  <c r="T1615" i="2"/>
  <c r="S1615" i="2"/>
  <c r="R1615" i="2"/>
  <c r="Q1615" i="2"/>
  <c r="P1615" i="2"/>
  <c r="O1615" i="2"/>
  <c r="N1615" i="2"/>
  <c r="M1615" i="2"/>
  <c r="L1615" i="2"/>
  <c r="K1615" i="2"/>
  <c r="J1615" i="2"/>
  <c r="I1615" i="2"/>
  <c r="H1615" i="2"/>
  <c r="G1615" i="2"/>
  <c r="F1615" i="2"/>
  <c r="U1614" i="2"/>
  <c r="T1614" i="2"/>
  <c r="S1614" i="2"/>
  <c r="R1614" i="2"/>
  <c r="Q1614" i="2"/>
  <c r="P1614" i="2"/>
  <c r="O1614" i="2"/>
  <c r="N1614" i="2"/>
  <c r="M1614" i="2"/>
  <c r="L1614" i="2"/>
  <c r="K1614" i="2"/>
  <c r="J1614" i="2"/>
  <c r="I1614" i="2"/>
  <c r="H1614" i="2"/>
  <c r="G1614" i="2"/>
  <c r="F1614" i="2"/>
  <c r="AD1611" i="2"/>
  <c r="AC1611" i="2"/>
  <c r="AB1611" i="2"/>
  <c r="AA1611" i="2"/>
  <c r="Z1611" i="2"/>
  <c r="Y1611" i="2"/>
  <c r="X1611" i="2"/>
  <c r="W1611" i="2"/>
  <c r="V1611" i="2"/>
  <c r="U1611" i="2"/>
  <c r="T1611" i="2"/>
  <c r="S1611" i="2"/>
  <c r="R1611" i="2"/>
  <c r="Q1611" i="2"/>
  <c r="P1611" i="2"/>
  <c r="O1611" i="2"/>
  <c r="N1611" i="2"/>
  <c r="M1611" i="2"/>
  <c r="L1611" i="2"/>
  <c r="K1611" i="2"/>
  <c r="J1611" i="2"/>
  <c r="I1611" i="2"/>
  <c r="H1611" i="2"/>
  <c r="G1611" i="2"/>
  <c r="F1611" i="2"/>
  <c r="AM1610" i="2"/>
  <c r="AL1610" i="2"/>
  <c r="AK1610" i="2"/>
  <c r="AE1610" i="2"/>
  <c r="AE1608" i="2"/>
  <c r="AD1607" i="2"/>
  <c r="AC1607" i="2"/>
  <c r="AB1607" i="2"/>
  <c r="AA1607" i="2"/>
  <c r="Z1607" i="2"/>
  <c r="Y1607" i="2"/>
  <c r="X1607" i="2"/>
  <c r="W1607" i="2"/>
  <c r="V1607" i="2"/>
  <c r="U1607" i="2"/>
  <c r="T1607" i="2"/>
  <c r="S1607" i="2"/>
  <c r="R1607" i="2"/>
  <c r="Q1607" i="2"/>
  <c r="P1607" i="2"/>
  <c r="O1607" i="2"/>
  <c r="N1607" i="2"/>
  <c r="M1607" i="2"/>
  <c r="L1607" i="2"/>
  <c r="K1607" i="2"/>
  <c r="J1607" i="2"/>
  <c r="I1607" i="2"/>
  <c r="H1607" i="2"/>
  <c r="G1607" i="2"/>
  <c r="F1607" i="2"/>
  <c r="AM1599" i="2"/>
  <c r="AL1599" i="2"/>
  <c r="AK1599" i="2"/>
  <c r="AJ1599" i="2"/>
  <c r="AI1599" i="2"/>
  <c r="AH1599" i="2"/>
  <c r="AG1599" i="2"/>
  <c r="AF1599" i="2"/>
  <c r="AE1599" i="2"/>
  <c r="AD1599" i="2"/>
  <c r="AC1599" i="2"/>
  <c r="AB1599" i="2"/>
  <c r="AA1599" i="2"/>
  <c r="Z1599" i="2"/>
  <c r="Y1599" i="2"/>
  <c r="AE1594" i="2"/>
  <c r="AC1594" i="2"/>
  <c r="Z1594" i="2"/>
  <c r="Y1594" i="2"/>
  <c r="X1594" i="2"/>
  <c r="W1594" i="2"/>
  <c r="AA1593" i="2"/>
  <c r="Z1593" i="2"/>
  <c r="Y1593" i="2"/>
  <c r="X1593" i="2"/>
  <c r="W1593" i="2"/>
  <c r="AB1592" i="2"/>
  <c r="AA1592" i="2"/>
  <c r="Z1592" i="2"/>
  <c r="Y1592" i="2"/>
  <c r="X1592" i="2"/>
  <c r="W1592" i="2"/>
  <c r="W1590" i="2"/>
  <c r="V1590" i="2"/>
  <c r="U1590" i="2"/>
  <c r="W1589" i="2"/>
  <c r="D1589" i="2"/>
  <c r="D1593" i="2" s="1"/>
  <c r="D1597" i="2" s="1"/>
  <c r="X1588" i="2"/>
  <c r="D1588" i="2"/>
  <c r="D1592" i="2" s="1"/>
  <c r="D1596" i="2" s="1"/>
  <c r="X1587" i="2"/>
  <c r="V1578" i="2"/>
  <c r="U1578" i="2"/>
  <c r="T1578" i="2"/>
  <c r="S1578" i="2"/>
  <c r="AF1574" i="2"/>
  <c r="AG1574" i="2" s="1"/>
  <c r="AH1574" i="2" s="1"/>
  <c r="AI1574" i="2" s="1"/>
  <c r="AJ1574" i="2" s="1"/>
  <c r="AK1574" i="2" s="1"/>
  <c r="AL1574" i="2" s="1"/>
  <c r="AM1574" i="2" s="1"/>
  <c r="U1569" i="2"/>
  <c r="T1569" i="2"/>
  <c r="S1569" i="2"/>
  <c r="R1569" i="2"/>
  <c r="Q1569" i="2"/>
  <c r="P1569" i="2"/>
  <c r="O1569" i="2"/>
  <c r="N1569" i="2"/>
  <c r="M1569" i="2"/>
  <c r="L1569" i="2"/>
  <c r="K1569" i="2"/>
  <c r="J1569" i="2"/>
  <c r="E1569" i="2"/>
  <c r="T1568" i="2"/>
  <c r="S1568" i="2"/>
  <c r="R1568" i="2"/>
  <c r="Q1568" i="2"/>
  <c r="P1568" i="2"/>
  <c r="O1568" i="2"/>
  <c r="N1568" i="2"/>
  <c r="M1568" i="2"/>
  <c r="L1568" i="2"/>
  <c r="K1568" i="2"/>
  <c r="J1568" i="2"/>
  <c r="T1566" i="2"/>
  <c r="S1566" i="2"/>
  <c r="R1566" i="2"/>
  <c r="Q1566" i="2"/>
  <c r="P1566" i="2"/>
  <c r="O1566" i="2"/>
  <c r="N1566" i="2"/>
  <c r="M1566" i="2"/>
  <c r="L1566" i="2"/>
  <c r="K1566" i="2"/>
  <c r="J1566" i="2"/>
  <c r="U1563" i="2"/>
  <c r="T1563" i="2"/>
  <c r="S1563" i="2"/>
  <c r="R1563" i="2"/>
  <c r="Q1563" i="2"/>
  <c r="P1563" i="2"/>
  <c r="O1563" i="2"/>
  <c r="N1563" i="2"/>
  <c r="M1563" i="2"/>
  <c r="L1563" i="2"/>
  <c r="K1563" i="2"/>
  <c r="J1563" i="2"/>
  <c r="W1562" i="2"/>
  <c r="V1562" i="2"/>
  <c r="U1562" i="2"/>
  <c r="T1562" i="2"/>
  <c r="S1562" i="2"/>
  <c r="R1562" i="2"/>
  <c r="Q1562" i="2"/>
  <c r="P1562" i="2"/>
  <c r="O1562" i="2"/>
  <c r="N1562" i="2"/>
  <c r="M1562" i="2"/>
  <c r="L1562" i="2"/>
  <c r="K1562" i="2"/>
  <c r="J1562" i="2"/>
  <c r="T1561" i="2"/>
  <c r="S1561" i="2"/>
  <c r="R1561" i="2"/>
  <c r="Q1561" i="2"/>
  <c r="P1561" i="2"/>
  <c r="O1561" i="2"/>
  <c r="N1561" i="2"/>
  <c r="M1561" i="2"/>
  <c r="L1561" i="2"/>
  <c r="K1561" i="2"/>
  <c r="J1561" i="2"/>
  <c r="U1559" i="2"/>
  <c r="T1559" i="2"/>
  <c r="S1559" i="2"/>
  <c r="R1559" i="2"/>
  <c r="Q1559" i="2"/>
  <c r="P1559" i="2"/>
  <c r="O1559" i="2"/>
  <c r="N1559" i="2"/>
  <c r="M1559" i="2"/>
  <c r="L1559" i="2"/>
  <c r="K1559" i="2"/>
  <c r="J1559" i="2"/>
  <c r="T1558" i="2"/>
  <c r="S1558" i="2"/>
  <c r="R1558" i="2"/>
  <c r="Q1558" i="2"/>
  <c r="P1558" i="2"/>
  <c r="O1558" i="2"/>
  <c r="N1558" i="2"/>
  <c r="M1558" i="2"/>
  <c r="L1558" i="2"/>
  <c r="K1558" i="2"/>
  <c r="J1558" i="2"/>
  <c r="T1557" i="2"/>
  <c r="S1557" i="2"/>
  <c r="R1557" i="2"/>
  <c r="Q1557" i="2"/>
  <c r="P1557" i="2"/>
  <c r="O1557" i="2"/>
  <c r="N1557" i="2"/>
  <c r="M1557" i="2"/>
  <c r="L1557" i="2"/>
  <c r="K1557" i="2"/>
  <c r="J1557" i="2"/>
  <c r="T1555" i="2"/>
  <c r="S1555" i="2"/>
  <c r="R1555" i="2"/>
  <c r="Q1555" i="2"/>
  <c r="P1555" i="2"/>
  <c r="O1555" i="2"/>
  <c r="N1555" i="2"/>
  <c r="M1555" i="2"/>
  <c r="L1555" i="2"/>
  <c r="K1555" i="2"/>
  <c r="J1555" i="2"/>
  <c r="T1554" i="2"/>
  <c r="S1554" i="2"/>
  <c r="R1554" i="2"/>
  <c r="Q1554" i="2"/>
  <c r="P1554" i="2"/>
  <c r="O1554" i="2"/>
  <c r="N1554" i="2"/>
  <c r="M1554" i="2"/>
  <c r="L1554" i="2"/>
  <c r="K1554" i="2"/>
  <c r="J1554" i="2"/>
  <c r="T1552" i="2"/>
  <c r="T1553" i="2" s="1"/>
  <c r="S1552" i="2"/>
  <c r="S1553" i="2" s="1"/>
  <c r="R1552" i="2"/>
  <c r="R1553" i="2" s="1"/>
  <c r="Q1552" i="2"/>
  <c r="Q1553" i="2" s="1"/>
  <c r="P1552" i="2"/>
  <c r="P1553" i="2" s="1"/>
  <c r="O1552" i="2"/>
  <c r="O1553" i="2" s="1"/>
  <c r="N1552" i="2"/>
  <c r="N1553" i="2" s="1"/>
  <c r="M1552" i="2"/>
  <c r="M1553" i="2" s="1"/>
  <c r="L1552" i="2"/>
  <c r="L1553" i="2" s="1"/>
  <c r="K1552" i="2"/>
  <c r="K1553" i="2" s="1"/>
  <c r="J1552" i="2"/>
  <c r="J1553" i="2" s="1"/>
  <c r="T1551" i="2"/>
  <c r="S1551" i="2"/>
  <c r="R1551" i="2"/>
  <c r="Q1551" i="2"/>
  <c r="P1551" i="2"/>
  <c r="O1551" i="2"/>
  <c r="N1551" i="2"/>
  <c r="M1551" i="2"/>
  <c r="L1551" i="2"/>
  <c r="K1551" i="2"/>
  <c r="J1551" i="2"/>
  <c r="T1550" i="2"/>
  <c r="S1550" i="2"/>
  <c r="R1550" i="2"/>
  <c r="Q1550" i="2"/>
  <c r="P1550" i="2"/>
  <c r="O1550" i="2"/>
  <c r="N1550" i="2"/>
  <c r="M1550" i="2"/>
  <c r="L1550" i="2"/>
  <c r="K1550" i="2"/>
  <c r="J1550" i="2"/>
  <c r="V1548" i="2"/>
  <c r="U1548" i="2"/>
  <c r="T1548" i="2"/>
  <c r="S1548" i="2"/>
  <c r="R1548" i="2"/>
  <c r="Q1548" i="2"/>
  <c r="P1548" i="2"/>
  <c r="O1548" i="2"/>
  <c r="N1548" i="2"/>
  <c r="M1548" i="2"/>
  <c r="L1548" i="2"/>
  <c r="K1548" i="2"/>
  <c r="J1548" i="2"/>
  <c r="U1547" i="2"/>
  <c r="T1547" i="2"/>
  <c r="S1547" i="2"/>
  <c r="R1547" i="2"/>
  <c r="Q1547" i="2"/>
  <c r="P1547" i="2"/>
  <c r="O1547" i="2"/>
  <c r="N1547" i="2"/>
  <c r="M1547" i="2"/>
  <c r="L1547" i="2"/>
  <c r="K1547" i="2"/>
  <c r="J1547" i="2"/>
  <c r="T1546" i="2"/>
  <c r="S1546" i="2"/>
  <c r="R1546" i="2"/>
  <c r="Q1546" i="2"/>
  <c r="P1546" i="2"/>
  <c r="O1546" i="2"/>
  <c r="N1546" i="2"/>
  <c r="M1546" i="2"/>
  <c r="L1546" i="2"/>
  <c r="K1546" i="2"/>
  <c r="J1546" i="2"/>
  <c r="T1545" i="2"/>
  <c r="S1545" i="2"/>
  <c r="R1545" i="2"/>
  <c r="Q1545" i="2"/>
  <c r="P1545" i="2"/>
  <c r="O1545" i="2"/>
  <c r="N1545" i="2"/>
  <c r="M1545" i="2"/>
  <c r="L1545" i="2"/>
  <c r="K1545" i="2"/>
  <c r="J1545" i="2"/>
  <c r="T1544" i="2"/>
  <c r="S1544" i="2"/>
  <c r="R1544" i="2"/>
  <c r="Q1544" i="2"/>
  <c r="P1544" i="2"/>
  <c r="O1544" i="2"/>
  <c r="N1544" i="2"/>
  <c r="M1544" i="2"/>
  <c r="L1544" i="2"/>
  <c r="K1544" i="2"/>
  <c r="J1544" i="2"/>
  <c r="AM1541" i="2"/>
  <c r="AL1541" i="2"/>
  <c r="AK1541" i="2"/>
  <c r="AJ1541" i="2"/>
  <c r="AI1541" i="2"/>
  <c r="AG1541" i="2"/>
  <c r="S1541" i="2"/>
  <c r="R1541" i="2"/>
  <c r="Q1541" i="2"/>
  <c r="P1541" i="2"/>
  <c r="O1541" i="2"/>
  <c r="N1541" i="2"/>
  <c r="M1541" i="2"/>
  <c r="L1541" i="2"/>
  <c r="K1541" i="2"/>
  <c r="J1541" i="2"/>
  <c r="T1538" i="2"/>
  <c r="S1538" i="2"/>
  <c r="R1538" i="2"/>
  <c r="Q1538" i="2"/>
  <c r="P1538" i="2"/>
  <c r="O1538" i="2"/>
  <c r="N1538" i="2"/>
  <c r="M1538" i="2"/>
  <c r="L1538" i="2"/>
  <c r="K1538" i="2"/>
  <c r="J1538" i="2"/>
  <c r="T1537" i="2"/>
  <c r="S1537" i="2"/>
  <c r="R1537" i="2"/>
  <c r="Q1537" i="2"/>
  <c r="P1537" i="2"/>
  <c r="O1537" i="2"/>
  <c r="N1537" i="2"/>
  <c r="M1537" i="2"/>
  <c r="L1537" i="2"/>
  <c r="K1537" i="2"/>
  <c r="J1537" i="2"/>
  <c r="I1537" i="2"/>
  <c r="H1537" i="2"/>
  <c r="G1537" i="2"/>
  <c r="F1537" i="2"/>
  <c r="T1536" i="2"/>
  <c r="S1536" i="2"/>
  <c r="R1536" i="2"/>
  <c r="Q1536" i="2"/>
  <c r="P1536" i="2"/>
  <c r="O1536" i="2"/>
  <c r="N1536" i="2"/>
  <c r="M1536" i="2"/>
  <c r="L1536" i="2"/>
  <c r="K1536" i="2"/>
  <c r="J1536" i="2"/>
  <c r="I1536" i="2"/>
  <c r="W1535" i="2"/>
  <c r="V1535" i="2"/>
  <c r="U1535" i="2"/>
  <c r="T1535" i="2"/>
  <c r="S1535" i="2"/>
  <c r="R1535" i="2"/>
  <c r="Q1535" i="2"/>
  <c r="P1535" i="2"/>
  <c r="O1535" i="2"/>
  <c r="N1535" i="2"/>
  <c r="M1535" i="2"/>
  <c r="L1535" i="2"/>
  <c r="K1535" i="2"/>
  <c r="J1535" i="2"/>
  <c r="T1534" i="2"/>
  <c r="S1534" i="2"/>
  <c r="R1534" i="2"/>
  <c r="Q1534" i="2"/>
  <c r="P1534" i="2"/>
  <c r="O1534" i="2"/>
  <c r="N1534" i="2"/>
  <c r="M1534" i="2"/>
  <c r="L1534" i="2"/>
  <c r="K1534" i="2"/>
  <c r="J1534" i="2"/>
  <c r="I1534" i="2"/>
  <c r="T1533" i="2"/>
  <c r="S1533" i="2"/>
  <c r="R1533" i="2"/>
  <c r="Q1533" i="2"/>
  <c r="P1533" i="2"/>
  <c r="O1533" i="2"/>
  <c r="N1533" i="2"/>
  <c r="M1533" i="2"/>
  <c r="L1533" i="2"/>
  <c r="K1533" i="2"/>
  <c r="J1533" i="2"/>
  <c r="W1531" i="2"/>
  <c r="V1531" i="2"/>
  <c r="U1531" i="2"/>
  <c r="T1531" i="2"/>
  <c r="S1531" i="2"/>
  <c r="R1531" i="2"/>
  <c r="Q1531" i="2"/>
  <c r="P1531" i="2"/>
  <c r="O1531" i="2"/>
  <c r="N1531" i="2"/>
  <c r="M1531" i="2"/>
  <c r="L1531" i="2"/>
  <c r="K1531" i="2"/>
  <c r="J1531" i="2"/>
  <c r="W1530" i="2"/>
  <c r="V1530" i="2"/>
  <c r="U1530" i="2"/>
  <c r="W1529" i="2"/>
  <c r="V1529" i="2"/>
  <c r="U1529" i="2"/>
  <c r="T1529" i="2"/>
  <c r="S1529" i="2"/>
  <c r="R1529" i="2"/>
  <c r="Q1529" i="2"/>
  <c r="P1529" i="2"/>
  <c r="O1529" i="2"/>
  <c r="N1529" i="2"/>
  <c r="M1529" i="2"/>
  <c r="L1529" i="2"/>
  <c r="K1529" i="2"/>
  <c r="J1529" i="2"/>
  <c r="T1528" i="2"/>
  <c r="S1528" i="2"/>
  <c r="R1528" i="2"/>
  <c r="Q1528" i="2"/>
  <c r="P1528" i="2"/>
  <c r="O1528" i="2"/>
  <c r="N1528" i="2"/>
  <c r="M1528" i="2"/>
  <c r="L1528" i="2"/>
  <c r="K1528" i="2"/>
  <c r="J1528" i="2"/>
  <c r="T1527" i="2"/>
  <c r="S1527" i="2"/>
  <c r="R1527" i="2"/>
  <c r="Q1527" i="2"/>
  <c r="P1527" i="2"/>
  <c r="O1527" i="2"/>
  <c r="N1527" i="2"/>
  <c r="M1527" i="2"/>
  <c r="L1527" i="2"/>
  <c r="K1527" i="2"/>
  <c r="J1527" i="2"/>
  <c r="AF1526" i="2"/>
  <c r="AG1526" i="2" s="1"/>
  <c r="AH1526" i="2" s="1"/>
  <c r="AI1526" i="2" s="1"/>
  <c r="AJ1526" i="2" s="1"/>
  <c r="AK1526" i="2" s="1"/>
  <c r="AL1526" i="2" s="1"/>
  <c r="AM1526" i="2" s="1"/>
  <c r="AN1526" i="2" s="1"/>
  <c r="AO1526" i="2" s="1"/>
  <c r="AP1526" i="2" s="1"/>
  <c r="AQ1526" i="2" s="1"/>
  <c r="AR1526" i="2" s="1"/>
  <c r="AS1526" i="2" s="1"/>
  <c r="AT1526" i="2" s="1"/>
  <c r="AF1525" i="2"/>
  <c r="AG1525" i="2" s="1"/>
  <c r="AH1525" i="2" s="1"/>
  <c r="AI1525" i="2" s="1"/>
  <c r="AJ1525" i="2" s="1"/>
  <c r="AK1525" i="2" s="1"/>
  <c r="AL1525" i="2" s="1"/>
  <c r="AM1525" i="2" s="1"/>
  <c r="AN1525" i="2" s="1"/>
  <c r="AO1525" i="2" s="1"/>
  <c r="AP1525" i="2" s="1"/>
  <c r="AQ1525" i="2" s="1"/>
  <c r="AR1525" i="2" s="1"/>
  <c r="AS1525" i="2" s="1"/>
  <c r="AT1525" i="2" s="1"/>
  <c r="AC1519" i="2"/>
  <c r="AB1519" i="2"/>
  <c r="AC1518" i="2"/>
  <c r="AB1518" i="2"/>
  <c r="AC1517" i="2"/>
  <c r="AB1517" i="2"/>
  <c r="AC1513" i="2"/>
  <c r="AB1513" i="2"/>
  <c r="AC1511" i="2"/>
  <c r="AB1511" i="2"/>
  <c r="AC1508" i="2"/>
  <c r="AB1508" i="2"/>
  <c r="AC1506" i="2"/>
  <c r="AC1505" i="2" s="1"/>
  <c r="AB1506" i="2"/>
  <c r="AB1505" i="2" s="1"/>
  <c r="Z1505" i="2"/>
  <c r="AC1504" i="2"/>
  <c r="AB1504" i="2"/>
  <c r="Y1504" i="2"/>
  <c r="AC1503" i="2"/>
  <c r="AB1503" i="2"/>
  <c r="AC1501" i="2"/>
  <c r="AB1501" i="2"/>
  <c r="AC1499" i="2"/>
  <c r="AB1499" i="2"/>
  <c r="Y1499" i="2"/>
  <c r="AC1496" i="2"/>
  <c r="AB1496" i="2"/>
  <c r="AC1495" i="2"/>
  <c r="AB1495" i="2"/>
  <c r="AC1488" i="2"/>
  <c r="AB1488" i="2"/>
  <c r="AA1488" i="2"/>
  <c r="Y1488" i="2"/>
  <c r="AC1486" i="2"/>
  <c r="AC1516" i="2" s="1"/>
  <c r="AB1486" i="2"/>
  <c r="AB1516" i="2" s="1"/>
  <c r="AC1485" i="2"/>
  <c r="AB1485" i="2"/>
  <c r="AC1484" i="2"/>
  <c r="AB1484" i="2"/>
  <c r="AC1482" i="2"/>
  <c r="AB1482" i="2"/>
  <c r="Y1482" i="2"/>
  <c r="AC1481" i="2"/>
  <c r="AB1481" i="2"/>
  <c r="Y1481" i="2"/>
  <c r="AC1480" i="2"/>
  <c r="AB1480" i="2"/>
  <c r="AD1477" i="2"/>
  <c r="AC1477" i="2"/>
  <c r="AB1477" i="2"/>
  <c r="AC1476" i="2"/>
  <c r="AB1476" i="2"/>
  <c r="AC1474" i="2"/>
  <c r="AC1473" i="2" s="1"/>
  <c r="AB1474" i="2"/>
  <c r="AB1473" i="2" s="1"/>
  <c r="Z1473" i="2"/>
  <c r="AC1472" i="2"/>
  <c r="AB1472" i="2"/>
  <c r="AC1471" i="2"/>
  <c r="AB1471" i="2"/>
  <c r="AC1470" i="2"/>
  <c r="AC1469" i="2" s="1"/>
  <c r="AB1470" i="2"/>
  <c r="AB1469" i="2" s="1"/>
  <c r="Y1470" i="2"/>
  <c r="Z1469" i="2"/>
  <c r="AD1462" i="2"/>
  <c r="AC1462" i="2"/>
  <c r="AB1462" i="2"/>
  <c r="AA1462" i="2"/>
  <c r="Y1462" i="2"/>
  <c r="D1457" i="2"/>
  <c r="D1456" i="2"/>
  <c r="D1455" i="2"/>
  <c r="D1435" i="2"/>
  <c r="D1434" i="2"/>
  <c r="D1394" i="2"/>
  <c r="AL1373" i="2"/>
  <c r="AK1373" i="2"/>
  <c r="AJ1373" i="2"/>
  <c r="AI1373" i="2"/>
  <c r="AH1373" i="2"/>
  <c r="AG1373" i="2"/>
  <c r="AF1373" i="2"/>
  <c r="AE1373" i="2"/>
  <c r="AD1373" i="2"/>
  <c r="AC1373" i="2"/>
  <c r="AB1373" i="2"/>
  <c r="AA1373" i="2"/>
  <c r="Z1373" i="2"/>
  <c r="Y1373" i="2"/>
  <c r="X1373" i="2"/>
  <c r="W1373" i="2"/>
  <c r="V1373" i="2"/>
  <c r="AM1370" i="2"/>
  <c r="AL1370" i="2"/>
  <c r="AK1370" i="2"/>
  <c r="AJ1370" i="2"/>
  <c r="AI1370" i="2"/>
  <c r="AH1370" i="2"/>
  <c r="AH1457" i="2" s="1"/>
  <c r="AG1370" i="2"/>
  <c r="AG1457" i="2" s="1"/>
  <c r="AF1370" i="2"/>
  <c r="AF1457" i="2" s="1"/>
  <c r="AE1370" i="2"/>
  <c r="AE1457" i="2" s="1"/>
  <c r="AD1370" i="2"/>
  <c r="AD1457" i="2" s="1"/>
  <c r="AC1370" i="2"/>
  <c r="AC1457" i="2" s="1"/>
  <c r="AB1370" i="2"/>
  <c r="AB1457" i="2" s="1"/>
  <c r="AA1370" i="2"/>
  <c r="AA1457" i="2" s="1"/>
  <c r="Z1370" i="2"/>
  <c r="Z1457" i="2" s="1"/>
  <c r="Y1370" i="2"/>
  <c r="Y1457" i="2" s="1"/>
  <c r="X1370" i="2"/>
  <c r="X1457" i="2" s="1"/>
  <c r="W1370" i="2"/>
  <c r="W1457" i="2" s="1"/>
  <c r="V1370" i="2"/>
  <c r="V1457" i="2" s="1"/>
  <c r="AE1364" i="2"/>
  <c r="AD1364" i="2"/>
  <c r="W1363" i="2"/>
  <c r="V1363" i="2"/>
  <c r="V1361" i="2"/>
  <c r="AM1359" i="2"/>
  <c r="AL1359" i="2"/>
  <c r="AK1359" i="2"/>
  <c r="AJ1359" i="2"/>
  <c r="X1359" i="2"/>
  <c r="W1359" i="2"/>
  <c r="V1359" i="2"/>
  <c r="AE1358" i="2"/>
  <c r="AD1358" i="2"/>
  <c r="V1357" i="2"/>
  <c r="D1348" i="2"/>
  <c r="D1347" i="2"/>
  <c r="AC1344" i="2"/>
  <c r="AB1344" i="2"/>
  <c r="AM1335" i="2"/>
  <c r="AL1335" i="2"/>
  <c r="AK1335" i="2"/>
  <c r="AJ1335" i="2"/>
  <c r="AE1335" i="2"/>
  <c r="D1335" i="2"/>
  <c r="D1422" i="2" s="1"/>
  <c r="AM1333" i="2"/>
  <c r="AL1333" i="2"/>
  <c r="AJ1333" i="2"/>
  <c r="AE1333" i="2"/>
  <c r="D1333" i="2"/>
  <c r="D1420" i="2" s="1"/>
  <c r="AM1332" i="2"/>
  <c r="AL1332" i="2"/>
  <c r="AK1332" i="2"/>
  <c r="AJ1332" i="2"/>
  <c r="AE1332" i="2"/>
  <c r="D1332" i="2"/>
  <c r="D1419" i="2" s="1"/>
  <c r="X1326" i="2"/>
  <c r="W1326" i="2"/>
  <c r="V1326" i="2"/>
  <c r="X1325" i="2"/>
  <c r="W1325" i="2"/>
  <c r="V1325" i="2"/>
  <c r="AJ1323" i="2"/>
  <c r="AE1323" i="2"/>
  <c r="D1323" i="2"/>
  <c r="D1410" i="2" s="1"/>
  <c r="X1320" i="2"/>
  <c r="W1320" i="2"/>
  <c r="V1320" i="2"/>
  <c r="AM1319" i="2"/>
  <c r="AL1319" i="2"/>
  <c r="AK1319" i="2"/>
  <c r="AJ1319" i="2"/>
  <c r="AE1319" i="2"/>
  <c r="D1319" i="2"/>
  <c r="D1406" i="2" s="1"/>
  <c r="AM1318" i="2"/>
  <c r="AL1318" i="2"/>
  <c r="AK1318" i="2"/>
  <c r="AJ1318" i="2"/>
  <c r="AE1318" i="2"/>
  <c r="D1318" i="2"/>
  <c r="D1405" i="2" s="1"/>
  <c r="AM1316" i="2"/>
  <c r="AL1316" i="2"/>
  <c r="AK1316" i="2"/>
  <c r="AJ1316" i="2"/>
  <c r="AE1316" i="2"/>
  <c r="D1316" i="2"/>
  <c r="D1403" i="2" s="1"/>
  <c r="X1313" i="2"/>
  <c r="W1313" i="2"/>
  <c r="V1313" i="2"/>
  <c r="X1312" i="2"/>
  <c r="W1312" i="2"/>
  <c r="V1312" i="2"/>
  <c r="X1311" i="2"/>
  <c r="W1311" i="2"/>
  <c r="V1311" i="2"/>
  <c r="X1310" i="2"/>
  <c r="W1310" i="2"/>
  <c r="V1310" i="2"/>
  <c r="X1309" i="2"/>
  <c r="W1309" i="2"/>
  <c r="V1309" i="2"/>
  <c r="AE1307" i="2"/>
  <c r="AD1307" i="2"/>
  <c r="AC1307" i="2"/>
  <c r="AB1307" i="2"/>
  <c r="X1306" i="2"/>
  <c r="W1306" i="2"/>
  <c r="V1306" i="2"/>
  <c r="X1305" i="2"/>
  <c r="W1305" i="2"/>
  <c r="V1305" i="2"/>
  <c r="X1300" i="2"/>
  <c r="W1300" i="2"/>
  <c r="V1300" i="2"/>
  <c r="X1299" i="2"/>
  <c r="W1299" i="2"/>
  <c r="V1299" i="2"/>
  <c r="AM1296" i="2"/>
  <c r="AL1296" i="2"/>
  <c r="AK1296" i="2"/>
  <c r="AJ1296" i="2"/>
  <c r="AI1296" i="2"/>
  <c r="AH1296" i="2"/>
  <c r="AG1296" i="2"/>
  <c r="AF1296" i="2"/>
  <c r="AE1296" i="2"/>
  <c r="AD1296" i="2"/>
  <c r="AC1296" i="2"/>
  <c r="AB1296" i="2"/>
  <c r="AA1296" i="2"/>
  <c r="Z1296" i="2"/>
  <c r="Y1296" i="2"/>
  <c r="X1296" i="2"/>
  <c r="W1296" i="2"/>
  <c r="V1296" i="2"/>
  <c r="X1295" i="2"/>
  <c r="W1295" i="2"/>
  <c r="V1295" i="2"/>
  <c r="AM1291" i="2"/>
  <c r="AL1291" i="2"/>
  <c r="AK1291" i="2"/>
  <c r="AJ1291" i="2"/>
  <c r="X1291" i="2"/>
  <c r="W1291" i="2"/>
  <c r="V1291" i="2"/>
  <c r="D1286" i="2"/>
  <c r="D47" i="1" s="1"/>
  <c r="D1261" i="2"/>
  <c r="AE1260" i="2"/>
  <c r="AD1260" i="2"/>
  <c r="AC1260" i="2"/>
  <c r="AB1260" i="2"/>
  <c r="O106" i="19"/>
  <c r="N106" i="19" s="1"/>
  <c r="X1258" i="2"/>
  <c r="X1366" i="2" s="1"/>
  <c r="W1258" i="2"/>
  <c r="W1366" i="2" s="1"/>
  <c r="V1258" i="2"/>
  <c r="D1258" i="2"/>
  <c r="JH936" i="5"/>
  <c r="JE936" i="5"/>
  <c r="JB936" i="5"/>
  <c r="AG1256" i="2"/>
  <c r="AF1256" i="2"/>
  <c r="AE1256" i="2"/>
  <c r="AD1256" i="2"/>
  <c r="AC1256" i="2"/>
  <c r="AB1256" i="2"/>
  <c r="AA1256" i="2"/>
  <c r="Z1256" i="2"/>
  <c r="W104" i="19"/>
  <c r="X1255" i="2"/>
  <c r="W1255" i="2"/>
  <c r="V1255" i="2"/>
  <c r="D1255" i="2"/>
  <c r="AL1254" i="2"/>
  <c r="AK1254" i="2"/>
  <c r="AJ1254" i="2"/>
  <c r="AM1253" i="2"/>
  <c r="AL1253" i="2"/>
  <c r="AM1250" i="2"/>
  <c r="AL1250" i="2"/>
  <c r="AK1250" i="2"/>
  <c r="AJ1250" i="2"/>
  <c r="AE1250" i="2"/>
  <c r="AD1250" i="2"/>
  <c r="AC1250" i="2"/>
  <c r="AB1250" i="2"/>
  <c r="AA1250" i="2"/>
  <c r="Z1250" i="2"/>
  <c r="X1249" i="2"/>
  <c r="D1249" i="2"/>
  <c r="W1248" i="2"/>
  <c r="V1248" i="2"/>
  <c r="D1248" i="2"/>
  <c r="D1247" i="2"/>
  <c r="AM1246" i="2"/>
  <c r="AL1246" i="2"/>
  <c r="AK1246" i="2"/>
  <c r="AJ1246" i="2"/>
  <c r="AE1245" i="2"/>
  <c r="AD1245" i="2"/>
  <c r="AC1245" i="2"/>
  <c r="AB1245" i="2"/>
  <c r="AA1245" i="2"/>
  <c r="Z1245" i="2"/>
  <c r="Y1245" i="2"/>
  <c r="X1245" i="2"/>
  <c r="AE1243" i="2"/>
  <c r="AE1242" i="2" s="1"/>
  <c r="AD1243" i="2"/>
  <c r="AC1243" i="2"/>
  <c r="AB1243" i="2"/>
  <c r="AA1243" i="2"/>
  <c r="AA1242" i="2" s="1"/>
  <c r="Z1243" i="2"/>
  <c r="Z1242" i="2" s="1"/>
  <c r="Y1243" i="2"/>
  <c r="Y1242" i="2" s="1"/>
  <c r="X1243" i="2"/>
  <c r="X1242" i="2" s="1"/>
  <c r="AM1242" i="2"/>
  <c r="JH923" i="5" s="1"/>
  <c r="AL1242" i="2"/>
  <c r="JE923" i="5" s="1"/>
  <c r="AK1242" i="2"/>
  <c r="JB923" i="5" s="1"/>
  <c r="AJ1242" i="2"/>
  <c r="IY923" i="5" s="1"/>
  <c r="IX923" i="5" s="1"/>
  <c r="D1239" i="2"/>
  <c r="AL1238" i="2"/>
  <c r="AK1238" i="2"/>
  <c r="X1238" i="2"/>
  <c r="W1238" i="2"/>
  <c r="V1238" i="2"/>
  <c r="D1238" i="2"/>
  <c r="AE1235" i="2"/>
  <c r="AD1235" i="2"/>
  <c r="AC1235" i="2"/>
  <c r="AB1235" i="2"/>
  <c r="AA1235" i="2"/>
  <c r="Z1235" i="2"/>
  <c r="Y1235" i="2"/>
  <c r="IY910" i="5"/>
  <c r="IX910" i="5" s="1"/>
  <c r="AM1231" i="2"/>
  <c r="AL1231" i="2"/>
  <c r="AL1230" i="2" s="1"/>
  <c r="AK1231" i="2"/>
  <c r="D1230" i="2"/>
  <c r="D1229" i="2"/>
  <c r="D1228" i="2"/>
  <c r="X1227" i="2"/>
  <c r="X1614" i="2" s="1"/>
  <c r="W1227" i="2"/>
  <c r="W1614" i="2" s="1"/>
  <c r="V1227" i="2"/>
  <c r="V1614" i="2" s="1"/>
  <c r="D1227" i="2"/>
  <c r="D1224" i="2"/>
  <c r="D1221" i="2"/>
  <c r="D1220" i="2"/>
  <c r="AD1218" i="2"/>
  <c r="AD1269" i="2" s="1"/>
  <c r="AC1218" i="2"/>
  <c r="AC1269" i="2" s="1"/>
  <c r="AB1218" i="2"/>
  <c r="AA1218" i="2"/>
  <c r="Z1218" i="2"/>
  <c r="AD1217" i="2"/>
  <c r="AD1268" i="2" s="1"/>
  <c r="AC1217" i="2"/>
  <c r="AC1268" i="2" s="1"/>
  <c r="AB1217" i="2"/>
  <c r="AA1217" i="2"/>
  <c r="Z1217" i="2"/>
  <c r="D1216" i="2"/>
  <c r="D1214" i="2"/>
  <c r="D1213" i="2"/>
  <c r="D1211" i="2"/>
  <c r="AJ1202" i="2"/>
  <c r="D1194" i="2"/>
  <c r="X1193" i="2"/>
  <c r="W1193" i="2"/>
  <c r="V1193" i="2"/>
  <c r="U1554" i="2" s="1"/>
  <c r="D1193" i="2"/>
  <c r="D1192" i="2"/>
  <c r="D1191" i="2"/>
  <c r="AM1188" i="2"/>
  <c r="AL1188" i="2"/>
  <c r="AK1188" i="2"/>
  <c r="AJ1188" i="2"/>
  <c r="D1187" i="2"/>
  <c r="AM1182" i="2"/>
  <c r="AL1182" i="2"/>
  <c r="AL1181" i="2" s="1"/>
  <c r="JE864" i="5" s="1"/>
  <c r="AK1182" i="2"/>
  <c r="AJ1182" i="2"/>
  <c r="D1181" i="2"/>
  <c r="AM1179" i="2"/>
  <c r="AM1178" i="2" s="1"/>
  <c r="JH861" i="5" s="1"/>
  <c r="JF861" i="5" s="1"/>
  <c r="AL1179" i="2"/>
  <c r="AK1179" i="2"/>
  <c r="AJ1179" i="2"/>
  <c r="X1178" i="2"/>
  <c r="W1178" i="2"/>
  <c r="V1178" i="2"/>
  <c r="D1178" i="2"/>
  <c r="V1176" i="2"/>
  <c r="V1622" i="2" s="1"/>
  <c r="D1176" i="2"/>
  <c r="D1174" i="2"/>
  <c r="D1173" i="2"/>
  <c r="D1172" i="2"/>
  <c r="D1151" i="2"/>
  <c r="D1150" i="2"/>
  <c r="D1149" i="2"/>
  <c r="D1148" i="2"/>
  <c r="D1147" i="2"/>
  <c r="D1146" i="2"/>
  <c r="X1145" i="2"/>
  <c r="W1145" i="2"/>
  <c r="W1138" i="2" s="1"/>
  <c r="V1145" i="2"/>
  <c r="V630" i="2" s="1"/>
  <c r="D1145" i="2"/>
  <c r="D1138" i="2"/>
  <c r="D1134" i="2"/>
  <c r="D1133" i="2"/>
  <c r="D1132" i="2"/>
  <c r="D1131" i="2"/>
  <c r="D1130" i="2"/>
  <c r="D1129" i="2"/>
  <c r="AE1765" i="2"/>
  <c r="D1127" i="2"/>
  <c r="AM1115" i="2"/>
  <c r="AL1115" i="2"/>
  <c r="AK1115" i="2"/>
  <c r="AJ1115" i="2"/>
  <c r="D1111" i="2"/>
  <c r="AE1108" i="2"/>
  <c r="AD1108" i="2"/>
  <c r="AA1108" i="2"/>
  <c r="Z1108" i="2"/>
  <c r="Y1108" i="2"/>
  <c r="X1108" i="2"/>
  <c r="W1108" i="2"/>
  <c r="V1108" i="2"/>
  <c r="X1104" i="2"/>
  <c r="X638" i="2" s="1"/>
  <c r="W1104" i="2"/>
  <c r="V1104" i="2"/>
  <c r="V1103" i="2" s="1"/>
  <c r="D1104" i="2"/>
  <c r="D1103" i="2"/>
  <c r="X1102" i="2"/>
  <c r="W1102" i="2"/>
  <c r="V1102" i="2"/>
  <c r="V1095" i="2" s="1"/>
  <c r="V1321" i="2" s="1"/>
  <c r="D1102" i="2"/>
  <c r="AJ1101" i="2"/>
  <c r="JH782" i="5"/>
  <c r="JE782" i="5"/>
  <c r="JB782" i="5"/>
  <c r="IZ782" i="5" s="1"/>
  <c r="IY782" i="5"/>
  <c r="IX782" i="5" s="1"/>
  <c r="AE1098" i="2"/>
  <c r="AD1098" i="2"/>
  <c r="AC1098" i="2"/>
  <c r="AB1098" i="2"/>
  <c r="AA1098" i="2"/>
  <c r="Z1098" i="2"/>
  <c r="Y1098" i="2"/>
  <c r="X1098" i="2"/>
  <c r="W1098" i="2"/>
  <c r="V1098" i="2"/>
  <c r="X1096" i="2"/>
  <c r="W1096" i="2"/>
  <c r="V1547" i="2" s="1"/>
  <c r="D1096" i="2"/>
  <c r="D1095" i="2"/>
  <c r="D1094" i="2"/>
  <c r="IY774" i="5"/>
  <c r="IX774" i="5" s="1"/>
  <c r="IY773" i="5"/>
  <c r="IX773" i="5" s="1"/>
  <c r="IY772" i="5"/>
  <c r="IX772" i="5" s="1"/>
  <c r="IY771" i="5"/>
  <c r="IX771" i="5" s="1"/>
  <c r="IY770" i="5"/>
  <c r="IX770" i="5" s="1"/>
  <c r="IY769" i="5"/>
  <c r="IX769" i="5" s="1"/>
  <c r="IY768" i="5"/>
  <c r="IX768" i="5" s="1"/>
  <c r="X1079" i="2"/>
  <c r="W1079" i="2"/>
  <c r="V1079" i="2"/>
  <c r="D1079" i="2"/>
  <c r="D1077" i="2"/>
  <c r="D1076" i="2"/>
  <c r="AE1074" i="2"/>
  <c r="AE1073" i="2" s="1"/>
  <c r="JE748" i="5"/>
  <c r="D1069" i="2"/>
  <c r="JH745" i="5"/>
  <c r="JF745" i="5" s="1"/>
  <c r="JG745" i="5" s="1"/>
  <c r="Y1066" i="2"/>
  <c r="D1059" i="2"/>
  <c r="D1053" i="2"/>
  <c r="X1052" i="2"/>
  <c r="W1052" i="2"/>
  <c r="V1052" i="2"/>
  <c r="D1052" i="2"/>
  <c r="AE17" i="19"/>
  <c r="AG17" i="19" s="1"/>
  <c r="W17" i="19"/>
  <c r="AJ1051" i="2"/>
  <c r="D1048" i="2"/>
  <c r="AM1047" i="2"/>
  <c r="AL1047" i="2"/>
  <c r="AK1047" i="2"/>
  <c r="AJ1047" i="2"/>
  <c r="AE1047" i="2"/>
  <c r="AD1047" i="2"/>
  <c r="AC1047" i="2"/>
  <c r="AB1047" i="2"/>
  <c r="AA1047" i="2"/>
  <c r="Z1047" i="2"/>
  <c r="AM1046" i="2"/>
  <c r="AL1046" i="2"/>
  <c r="AK1046" i="2"/>
  <c r="AJ1046" i="2"/>
  <c r="X1046" i="2"/>
  <c r="W1046" i="2"/>
  <c r="V1046" i="2"/>
  <c r="D1046" i="2"/>
  <c r="AM1045" i="2"/>
  <c r="AK1045" i="2"/>
  <c r="AJ1045" i="2"/>
  <c r="X1045" i="2"/>
  <c r="X1302" i="2" s="1"/>
  <c r="W1045" i="2"/>
  <c r="W1302" i="2" s="1"/>
  <c r="V1045" i="2"/>
  <c r="V1302" i="2" s="1"/>
  <c r="D1045" i="2"/>
  <c r="X1044" i="2"/>
  <c r="X1039" i="2" s="1"/>
  <c r="W1044" i="2"/>
  <c r="W1039" i="2" s="1"/>
  <c r="W1557" i="2" s="1"/>
  <c r="V1044" i="2"/>
  <c r="V1039" i="2" s="1"/>
  <c r="D1044" i="2"/>
  <c r="D1043" i="2"/>
  <c r="JE720" i="5"/>
  <c r="D1041" i="2"/>
  <c r="D1040" i="2"/>
  <c r="D1039" i="2"/>
  <c r="D1035" i="2"/>
  <c r="D1030" i="2"/>
  <c r="D1029" i="2"/>
  <c r="D1028" i="2"/>
  <c r="X1019" i="2"/>
  <c r="W1019" i="2"/>
  <c r="V1019" i="2"/>
  <c r="V1294" i="2" s="1"/>
  <c r="D1019" i="2"/>
  <c r="AE1017" i="2"/>
  <c r="AD1017" i="2"/>
  <c r="AC1017" i="2"/>
  <c r="AB1017" i="2"/>
  <c r="AA1017" i="2"/>
  <c r="Z1017" i="2"/>
  <c r="Y1017" i="2"/>
  <c r="X1003" i="2"/>
  <c r="W1003" i="2"/>
  <c r="V1003" i="2"/>
  <c r="D1003" i="2"/>
  <c r="JB676" i="5"/>
  <c r="X996" i="2"/>
  <c r="X1292" i="2" s="1"/>
  <c r="W996" i="2"/>
  <c r="V996" i="2"/>
  <c r="V1292" i="2" s="1"/>
  <c r="D996" i="2"/>
  <c r="D995" i="2"/>
  <c r="X990" i="2"/>
  <c r="W990" i="2"/>
  <c r="V990" i="2"/>
  <c r="V1290" i="2" s="1"/>
  <c r="D990" i="2"/>
  <c r="D989" i="2"/>
  <c r="AM987" i="2"/>
  <c r="AL987" i="2"/>
  <c r="AK987" i="2"/>
  <c r="AJ987" i="2"/>
  <c r="AI987" i="2"/>
  <c r="AH987" i="2"/>
  <c r="AG987" i="2"/>
  <c r="AF987" i="2"/>
  <c r="AM985" i="2"/>
  <c r="AL985" i="2"/>
  <c r="AK985" i="2"/>
  <c r="AJ985" i="2"/>
  <c r="AI985" i="2"/>
  <c r="AH985" i="2"/>
  <c r="AG985" i="2"/>
  <c r="AF985" i="2"/>
  <c r="AE985" i="2"/>
  <c r="AD985" i="2"/>
  <c r="AC985" i="2"/>
  <c r="AB985" i="2"/>
  <c r="AA985" i="2"/>
  <c r="Z985" i="2"/>
  <c r="Y985" i="2"/>
  <c r="X985" i="2"/>
  <c r="W985" i="2"/>
  <c r="V985" i="2"/>
  <c r="U985" i="2"/>
  <c r="T985" i="2"/>
  <c r="S985" i="2"/>
  <c r="R985" i="2"/>
  <c r="Q985" i="2"/>
  <c r="P985" i="2"/>
  <c r="O985" i="2"/>
  <c r="N985" i="2"/>
  <c r="M985" i="2"/>
  <c r="L985" i="2"/>
  <c r="K985" i="2"/>
  <c r="J985" i="2"/>
  <c r="I985" i="2"/>
  <c r="D985" i="2"/>
  <c r="D987" i="2" s="1"/>
  <c r="AC976" i="2"/>
  <c r="AC974" i="2"/>
  <c r="AB971" i="2"/>
  <c r="AE963" i="2"/>
  <c r="AD963" i="2"/>
  <c r="AC963" i="2"/>
  <c r="AB963" i="2"/>
  <c r="AA963" i="2"/>
  <c r="Z963" i="2"/>
  <c r="J962" i="2"/>
  <c r="D956" i="2"/>
  <c r="D942" i="2"/>
  <c r="D941" i="2"/>
  <c r="D940" i="2"/>
  <c r="D939" i="2"/>
  <c r="D930" i="2"/>
  <c r="V920" i="2"/>
  <c r="V871" i="2" s="1"/>
  <c r="U920" i="2"/>
  <c r="U871" i="2" s="1"/>
  <c r="T920" i="2"/>
  <c r="T871" i="2" s="1"/>
  <c r="S920" i="2"/>
  <c r="S871" i="2" s="1"/>
  <c r="R920" i="2"/>
  <c r="R871" i="2" s="1"/>
  <c r="Q920" i="2"/>
  <c r="Q871" i="2" s="1"/>
  <c r="P920" i="2"/>
  <c r="P871" i="2" s="1"/>
  <c r="O920" i="2"/>
  <c r="O871" i="2" s="1"/>
  <c r="N920" i="2"/>
  <c r="N871" i="2" s="1"/>
  <c r="M920" i="2"/>
  <c r="M871" i="2" s="1"/>
  <c r="L920" i="2"/>
  <c r="L871" i="2" s="1"/>
  <c r="K920" i="2"/>
  <c r="K871" i="2" s="1"/>
  <c r="J920" i="2"/>
  <c r="J871" i="2" s="1"/>
  <c r="Z918" i="2"/>
  <c r="Y918" i="2"/>
  <c r="X918" i="2"/>
  <c r="W918" i="2"/>
  <c r="V918" i="2"/>
  <c r="U918" i="2"/>
  <c r="T918" i="2"/>
  <c r="S918" i="2"/>
  <c r="R918" i="2"/>
  <c r="Q918" i="2"/>
  <c r="P918" i="2"/>
  <c r="O918" i="2"/>
  <c r="N918" i="2"/>
  <c r="M918" i="2"/>
  <c r="L918" i="2"/>
  <c r="K918" i="2"/>
  <c r="J918" i="2"/>
  <c r="I918" i="2"/>
  <c r="H918" i="2"/>
  <c r="G918" i="2"/>
  <c r="F918" i="2"/>
  <c r="E918" i="2"/>
  <c r="D918" i="2"/>
  <c r="AM917" i="2"/>
  <c r="AL917" i="2"/>
  <c r="AK917" i="2"/>
  <c r="AJ917" i="2"/>
  <c r="AJ961" i="2" s="1"/>
  <c r="AI917" i="2"/>
  <c r="AH917" i="2"/>
  <c r="AD917" i="2"/>
  <c r="AC917" i="2"/>
  <c r="AB917" i="2"/>
  <c r="AA917" i="2"/>
  <c r="Z917" i="2"/>
  <c r="Y917" i="2"/>
  <c r="X917" i="2"/>
  <c r="W917" i="2"/>
  <c r="V917" i="2"/>
  <c r="U917" i="2"/>
  <c r="T917" i="2"/>
  <c r="S917" i="2"/>
  <c r="R917" i="2"/>
  <c r="Q917" i="2"/>
  <c r="P917" i="2"/>
  <c r="O917" i="2"/>
  <c r="N917" i="2"/>
  <c r="M917" i="2"/>
  <c r="L917" i="2"/>
  <c r="K917" i="2"/>
  <c r="J917" i="2"/>
  <c r="I917" i="2"/>
  <c r="H917" i="2"/>
  <c r="G917" i="2"/>
  <c r="F917" i="2"/>
  <c r="E917" i="2"/>
  <c r="D917" i="2"/>
  <c r="D961" i="2" s="1"/>
  <c r="AC916" i="2"/>
  <c r="AB916" i="2"/>
  <c r="AA916" i="2"/>
  <c r="Z916" i="2"/>
  <c r="Y916" i="2"/>
  <c r="X916" i="2"/>
  <c r="W916" i="2"/>
  <c r="V916" i="2"/>
  <c r="U916" i="2"/>
  <c r="T916" i="2"/>
  <c r="S916" i="2"/>
  <c r="R916" i="2"/>
  <c r="Q916" i="2"/>
  <c r="P916" i="2"/>
  <c r="O916" i="2"/>
  <c r="N916" i="2"/>
  <c r="M916" i="2"/>
  <c r="L916" i="2"/>
  <c r="K916" i="2"/>
  <c r="J916" i="2"/>
  <c r="I916" i="2"/>
  <c r="H916" i="2"/>
  <c r="G916" i="2"/>
  <c r="F916" i="2"/>
  <c r="E916" i="2"/>
  <c r="D916" i="2"/>
  <c r="D960" i="2" s="1"/>
  <c r="AC915" i="2"/>
  <c r="AB915" i="2"/>
  <c r="AA915" i="2"/>
  <c r="Y915" i="2"/>
  <c r="X915" i="2"/>
  <c r="W915" i="2"/>
  <c r="V915" i="2"/>
  <c r="U915" i="2"/>
  <c r="T915" i="2"/>
  <c r="S915" i="2"/>
  <c r="R915" i="2"/>
  <c r="Q915" i="2"/>
  <c r="P915" i="2"/>
  <c r="O915" i="2"/>
  <c r="N915" i="2"/>
  <c r="M915" i="2"/>
  <c r="L915" i="2"/>
  <c r="K915" i="2"/>
  <c r="J915" i="2"/>
  <c r="I915" i="2"/>
  <c r="H915" i="2"/>
  <c r="G915" i="2"/>
  <c r="F915" i="2"/>
  <c r="E915" i="2"/>
  <c r="D915" i="2"/>
  <c r="AF913" i="2"/>
  <c r="AE913" i="2"/>
  <c r="AC913" i="2"/>
  <c r="AB913" i="2"/>
  <c r="AF912" i="2"/>
  <c r="AE912" i="2"/>
  <c r="AC912" i="2"/>
  <c r="AB912" i="2"/>
  <c r="AA912" i="2"/>
  <c r="Y912" i="2"/>
  <c r="X912" i="2"/>
  <c r="W912" i="2"/>
  <c r="V912" i="2"/>
  <c r="U912" i="2"/>
  <c r="T912" i="2"/>
  <c r="S912" i="2"/>
  <c r="R912" i="2"/>
  <c r="Q912" i="2"/>
  <c r="P912" i="2"/>
  <c r="O912" i="2"/>
  <c r="N912" i="2"/>
  <c r="M912" i="2"/>
  <c r="L912" i="2"/>
  <c r="K912" i="2"/>
  <c r="J912" i="2"/>
  <c r="AF911" i="2"/>
  <c r="AE911" i="2"/>
  <c r="AC911" i="2"/>
  <c r="AB911" i="2"/>
  <c r="W911" i="2"/>
  <c r="V911" i="2"/>
  <c r="U911" i="2"/>
  <c r="T911" i="2"/>
  <c r="S911" i="2"/>
  <c r="R911" i="2"/>
  <c r="Q911" i="2"/>
  <c r="P911" i="2"/>
  <c r="O911" i="2"/>
  <c r="N911" i="2"/>
  <c r="M911" i="2"/>
  <c r="L911" i="2"/>
  <c r="K911" i="2"/>
  <c r="J911" i="2"/>
  <c r="AM910" i="2"/>
  <c r="AL910" i="2"/>
  <c r="AK910" i="2"/>
  <c r="AJ910" i="2"/>
  <c r="AI910" i="2"/>
  <c r="AH910" i="2"/>
  <c r="AG910" i="2"/>
  <c r="AB910" i="2"/>
  <c r="Y910" i="2"/>
  <c r="X910" i="2"/>
  <c r="AF909" i="2"/>
  <c r="AE909" i="2"/>
  <c r="AC909" i="2"/>
  <c r="AB909" i="2"/>
  <c r="Y909" i="2"/>
  <c r="X909" i="2"/>
  <c r="W909" i="2"/>
  <c r="V909" i="2"/>
  <c r="U909" i="2"/>
  <c r="T909" i="2"/>
  <c r="S909" i="2"/>
  <c r="R909" i="2"/>
  <c r="Q909" i="2"/>
  <c r="P909" i="2"/>
  <c r="O909" i="2"/>
  <c r="N909" i="2"/>
  <c r="M909" i="2"/>
  <c r="L909" i="2"/>
  <c r="K909" i="2"/>
  <c r="J909" i="2"/>
  <c r="AF908" i="2"/>
  <c r="AE908" i="2"/>
  <c r="AI1743" i="2" s="1"/>
  <c r="AC908" i="2"/>
  <c r="AE1743" i="2" s="1"/>
  <c r="AB908" i="2"/>
  <c r="AC1743" i="2" s="1"/>
  <c r="T908" i="2"/>
  <c r="S908" i="2"/>
  <c r="R908" i="2"/>
  <c r="Q908" i="2"/>
  <c r="P908" i="2"/>
  <c r="O908" i="2"/>
  <c r="N908" i="2"/>
  <c r="M908" i="2"/>
  <c r="L908" i="2"/>
  <c r="K908" i="2"/>
  <c r="J908" i="2"/>
  <c r="AE907" i="2"/>
  <c r="AC907" i="2"/>
  <c r="AB907" i="2"/>
  <c r="Z907" i="2"/>
  <c r="Y907" i="2"/>
  <c r="AE906" i="2"/>
  <c r="AC906" i="2"/>
  <c r="AB906" i="2"/>
  <c r="Y906" i="2"/>
  <c r="X906" i="2"/>
  <c r="AE905" i="2"/>
  <c r="AC905" i="2"/>
  <c r="AB905" i="2"/>
  <c r="Y905" i="2"/>
  <c r="X905" i="2"/>
  <c r="AF904" i="2"/>
  <c r="AE904" i="2"/>
  <c r="AC904" i="2"/>
  <c r="AE1742" i="2" s="1"/>
  <c r="AB904" i="2"/>
  <c r="AC1742" i="2" s="1"/>
  <c r="U904" i="2"/>
  <c r="T904" i="2"/>
  <c r="S904" i="2"/>
  <c r="R904" i="2"/>
  <c r="Q904" i="2"/>
  <c r="P904" i="2"/>
  <c r="O904" i="2"/>
  <c r="N904" i="2"/>
  <c r="M904" i="2"/>
  <c r="L904" i="2"/>
  <c r="K904" i="2"/>
  <c r="J904" i="2"/>
  <c r="AF903" i="2"/>
  <c r="AE903" i="2"/>
  <c r="AI1741" i="2" s="1"/>
  <c r="AC903" i="2"/>
  <c r="AE1741" i="2" s="1"/>
  <c r="AB903" i="2"/>
  <c r="T903" i="2"/>
  <c r="S903" i="2"/>
  <c r="R903" i="2"/>
  <c r="Q903" i="2"/>
  <c r="P903" i="2"/>
  <c r="O903" i="2"/>
  <c r="N903" i="2"/>
  <c r="M903" i="2"/>
  <c r="L903" i="2"/>
  <c r="K903" i="2"/>
  <c r="J903" i="2"/>
  <c r="AF902" i="2"/>
  <c r="AE902" i="2"/>
  <c r="AI1740" i="2" s="1"/>
  <c r="AC902" i="2"/>
  <c r="AE1740" i="2" s="1"/>
  <c r="AB902" i="2"/>
  <c r="AC1740" i="2" s="1"/>
  <c r="AA902" i="2"/>
  <c r="AA1740" i="2" s="1"/>
  <c r="Y902" i="2"/>
  <c r="X1740" i="2" s="1"/>
  <c r="X902" i="2"/>
  <c r="W902" i="2"/>
  <c r="V902" i="2"/>
  <c r="U902" i="2"/>
  <c r="T902" i="2"/>
  <c r="S902" i="2"/>
  <c r="R902" i="2"/>
  <c r="Q902" i="2"/>
  <c r="P902" i="2"/>
  <c r="O902" i="2"/>
  <c r="N902" i="2"/>
  <c r="M902" i="2"/>
  <c r="L902" i="2"/>
  <c r="K902" i="2"/>
  <c r="J902" i="2"/>
  <c r="AF901" i="2"/>
  <c r="AE901" i="2"/>
  <c r="AI1739" i="2" s="1"/>
  <c r="AC901" i="2"/>
  <c r="AB901" i="2"/>
  <c r="AC1739" i="2" s="1"/>
  <c r="Y901" i="2"/>
  <c r="X1739" i="2" s="1"/>
  <c r="X901" i="2"/>
  <c r="W901" i="2"/>
  <c r="V901" i="2"/>
  <c r="U901" i="2"/>
  <c r="T901" i="2"/>
  <c r="S901" i="2"/>
  <c r="R901" i="2"/>
  <c r="Q901" i="2"/>
  <c r="P901" i="2"/>
  <c r="O901" i="2"/>
  <c r="N901" i="2"/>
  <c r="M901" i="2"/>
  <c r="L901" i="2"/>
  <c r="K901" i="2"/>
  <c r="J901" i="2"/>
  <c r="AG898" i="2"/>
  <c r="AF898" i="2"/>
  <c r="AE898" i="2"/>
  <c r="AI1737" i="2" s="1"/>
  <c r="AC898" i="2"/>
  <c r="AE1737" i="2" s="1"/>
  <c r="AB898" i="2"/>
  <c r="AC1737" i="2" s="1"/>
  <c r="Y898" i="2"/>
  <c r="X1737" i="2" s="1"/>
  <c r="X898" i="2"/>
  <c r="W898" i="2"/>
  <c r="V898" i="2"/>
  <c r="U898" i="2"/>
  <c r="T898" i="2"/>
  <c r="S898" i="2"/>
  <c r="R898" i="2"/>
  <c r="Q898" i="2"/>
  <c r="P898" i="2"/>
  <c r="O898" i="2"/>
  <c r="N898" i="2"/>
  <c r="M898" i="2"/>
  <c r="L898" i="2"/>
  <c r="K898" i="2"/>
  <c r="J898" i="2"/>
  <c r="D898" i="2"/>
  <c r="AF897" i="2"/>
  <c r="AE897" i="2"/>
  <c r="AI1736" i="2" s="1"/>
  <c r="AC897" i="2"/>
  <c r="AB897" i="2"/>
  <c r="AC1736" i="2" s="1"/>
  <c r="Y897" i="2"/>
  <c r="X1736" i="2" s="1"/>
  <c r="X897" i="2"/>
  <c r="W897" i="2"/>
  <c r="V897" i="2"/>
  <c r="U897" i="2"/>
  <c r="T897" i="2"/>
  <c r="S897" i="2"/>
  <c r="R897" i="2"/>
  <c r="Q897" i="2"/>
  <c r="P897" i="2"/>
  <c r="O897" i="2"/>
  <c r="N897" i="2"/>
  <c r="M897" i="2"/>
  <c r="L897" i="2"/>
  <c r="K897" i="2"/>
  <c r="J897" i="2"/>
  <c r="AF896" i="2"/>
  <c r="AE896" i="2"/>
  <c r="D896" i="2"/>
  <c r="AF895" i="2"/>
  <c r="AE895" i="2"/>
  <c r="D895" i="2"/>
  <c r="AF894" i="2"/>
  <c r="AE894" i="2"/>
  <c r="D894" i="2"/>
  <c r="AF893" i="2"/>
  <c r="AE893" i="2"/>
  <c r="D893" i="2"/>
  <c r="AF892" i="2"/>
  <c r="AE892" i="2"/>
  <c r="AI1735" i="2" s="1"/>
  <c r="AC892" i="2"/>
  <c r="AE1735" i="2" s="1"/>
  <c r="AB892" i="2"/>
  <c r="AC1735" i="2" s="1"/>
  <c r="Y892" i="2"/>
  <c r="X1735" i="2" s="1"/>
  <c r="X892" i="2"/>
  <c r="W892" i="2"/>
  <c r="V892" i="2"/>
  <c r="U892" i="2"/>
  <c r="T892" i="2"/>
  <c r="S892" i="2"/>
  <c r="R892" i="2"/>
  <c r="Q892" i="2"/>
  <c r="P892" i="2"/>
  <c r="O892" i="2"/>
  <c r="N892" i="2"/>
  <c r="M892" i="2"/>
  <c r="L892" i="2"/>
  <c r="K892" i="2"/>
  <c r="J892" i="2"/>
  <c r="AF891" i="2"/>
  <c r="AE891" i="2"/>
  <c r="AI1734" i="2" s="1"/>
  <c r="AC891" i="2"/>
  <c r="AE1734" i="2" s="1"/>
  <c r="AB891" i="2"/>
  <c r="AC1734" i="2" s="1"/>
  <c r="Y891" i="2"/>
  <c r="X1734" i="2" s="1"/>
  <c r="X891" i="2"/>
  <c r="W891" i="2"/>
  <c r="V891" i="2"/>
  <c r="U891" i="2"/>
  <c r="T891" i="2"/>
  <c r="S891" i="2"/>
  <c r="R891" i="2"/>
  <c r="Q891" i="2"/>
  <c r="P891" i="2"/>
  <c r="O891" i="2"/>
  <c r="N891" i="2"/>
  <c r="M891" i="2"/>
  <c r="L891" i="2"/>
  <c r="K891" i="2"/>
  <c r="J891" i="2"/>
  <c r="AF889" i="2"/>
  <c r="AE889" i="2"/>
  <c r="AI1732" i="2" s="1"/>
  <c r="AC889" i="2"/>
  <c r="AE1732" i="2" s="1"/>
  <c r="AB889" i="2"/>
  <c r="AC1732" i="2" s="1"/>
  <c r="Y889" i="2"/>
  <c r="X1732" i="2" s="1"/>
  <c r="X889" i="2"/>
  <c r="W889" i="2"/>
  <c r="V889" i="2"/>
  <c r="U889" i="2"/>
  <c r="T889" i="2"/>
  <c r="S889" i="2"/>
  <c r="R889" i="2"/>
  <c r="Q889" i="2"/>
  <c r="P889" i="2"/>
  <c r="O889" i="2"/>
  <c r="N889" i="2"/>
  <c r="M889" i="2"/>
  <c r="L889" i="2"/>
  <c r="K889" i="2"/>
  <c r="J889" i="2"/>
  <c r="AF888" i="2"/>
  <c r="AE888" i="2"/>
  <c r="D888" i="2"/>
  <c r="D934" i="2" s="1"/>
  <c r="AF886" i="2"/>
  <c r="AE886" i="2"/>
  <c r="AI1731" i="2" s="1"/>
  <c r="AC886" i="2"/>
  <c r="AE1731" i="2" s="1"/>
  <c r="AB886" i="2"/>
  <c r="AC1731" i="2" s="1"/>
  <c r="Y886" i="2"/>
  <c r="X1731" i="2" s="1"/>
  <c r="X886" i="2"/>
  <c r="W886" i="2"/>
  <c r="V886" i="2"/>
  <c r="U886" i="2"/>
  <c r="U1133" i="2" s="1"/>
  <c r="T886" i="2"/>
  <c r="S886" i="2"/>
  <c r="R886" i="2"/>
  <c r="R1133" i="2" s="1"/>
  <c r="Q886" i="2"/>
  <c r="Q1133" i="2" s="1"/>
  <c r="P886" i="2"/>
  <c r="P1133" i="2" s="1"/>
  <c r="O886" i="2"/>
  <c r="O1133" i="2" s="1"/>
  <c r="N886" i="2"/>
  <c r="N1133" i="2" s="1"/>
  <c r="M886" i="2"/>
  <c r="M1133" i="2" s="1"/>
  <c r="L886" i="2"/>
  <c r="L1133" i="2" s="1"/>
  <c r="K886" i="2"/>
  <c r="K1133" i="2" s="1"/>
  <c r="J886" i="2"/>
  <c r="J1133" i="2" s="1"/>
  <c r="AF885" i="2"/>
  <c r="AE885" i="2"/>
  <c r="D885" i="2"/>
  <c r="D932" i="2" s="1"/>
  <c r="AE884" i="2"/>
  <c r="D884" i="2"/>
  <c r="D931" i="2" s="1"/>
  <c r="AF883" i="2"/>
  <c r="AE883" i="2"/>
  <c r="AC883" i="2"/>
  <c r="AB883" i="2"/>
  <c r="Y883" i="2"/>
  <c r="X883" i="2"/>
  <c r="AF882" i="2"/>
  <c r="AE882" i="2"/>
  <c r="AI1730" i="2" s="1"/>
  <c r="AC882" i="2"/>
  <c r="AE1730" i="2" s="1"/>
  <c r="AB882" i="2"/>
  <c r="AC1730" i="2" s="1"/>
  <c r="Y882" i="2"/>
  <c r="X1730" i="2" s="1"/>
  <c r="X882" i="2"/>
  <c r="W882" i="2"/>
  <c r="V882" i="2"/>
  <c r="U882" i="2"/>
  <c r="T882" i="2"/>
  <c r="S882" i="2"/>
  <c r="R882" i="2"/>
  <c r="Q882" i="2"/>
  <c r="P882" i="2"/>
  <c r="O882" i="2"/>
  <c r="N882" i="2"/>
  <c r="M882" i="2"/>
  <c r="L882" i="2"/>
  <c r="K882" i="2"/>
  <c r="J882" i="2"/>
  <c r="AF881" i="2"/>
  <c r="AE881" i="2"/>
  <c r="AI1729" i="2" s="1"/>
  <c r="AC881" i="2"/>
  <c r="AE1729" i="2" s="1"/>
  <c r="AB881" i="2"/>
  <c r="AC1729" i="2" s="1"/>
  <c r="Y881" i="2"/>
  <c r="X1729" i="2" s="1"/>
  <c r="X881" i="2"/>
  <c r="W881" i="2"/>
  <c r="V881" i="2"/>
  <c r="U881" i="2"/>
  <c r="T881" i="2"/>
  <c r="S881" i="2"/>
  <c r="R881" i="2"/>
  <c r="Q881" i="2"/>
  <c r="P881" i="2"/>
  <c r="O881" i="2"/>
  <c r="N881" i="2"/>
  <c r="M881" i="2"/>
  <c r="L881" i="2"/>
  <c r="K881" i="2"/>
  <c r="J881" i="2"/>
  <c r="AF879" i="2"/>
  <c r="AE879" i="2"/>
  <c r="AI1728" i="2" s="1"/>
  <c r="AC879" i="2"/>
  <c r="AE1728" i="2" s="1"/>
  <c r="AB879" i="2"/>
  <c r="AC1728" i="2" s="1"/>
  <c r="Y879" i="2"/>
  <c r="X1728" i="2" s="1"/>
  <c r="X879" i="2"/>
  <c r="W879" i="2"/>
  <c r="V879" i="2"/>
  <c r="U879" i="2"/>
  <c r="T879" i="2"/>
  <c r="S879" i="2"/>
  <c r="R879" i="2"/>
  <c r="Q879" i="2"/>
  <c r="P879" i="2"/>
  <c r="O879" i="2"/>
  <c r="N879" i="2"/>
  <c r="M879" i="2"/>
  <c r="L879" i="2"/>
  <c r="K879" i="2"/>
  <c r="J879" i="2"/>
  <c r="AF878" i="2"/>
  <c r="AE878" i="2"/>
  <c r="AI1727" i="2" s="1"/>
  <c r="AC878" i="2"/>
  <c r="AE1727" i="2" s="1"/>
  <c r="AB878" i="2"/>
  <c r="AC1727" i="2" s="1"/>
  <c r="Y878" i="2"/>
  <c r="X1727" i="2" s="1"/>
  <c r="X878" i="2"/>
  <c r="W878" i="2"/>
  <c r="V878" i="2"/>
  <c r="U878" i="2"/>
  <c r="T878" i="2"/>
  <c r="S878" i="2"/>
  <c r="R878" i="2"/>
  <c r="Q878" i="2"/>
  <c r="P878" i="2"/>
  <c r="O878" i="2"/>
  <c r="N878" i="2"/>
  <c r="M878" i="2"/>
  <c r="L878" i="2"/>
  <c r="K878" i="2"/>
  <c r="J878" i="2"/>
  <c r="AF877" i="2"/>
  <c r="AE877" i="2"/>
  <c r="AI1726" i="2" s="1"/>
  <c r="Y877" i="2"/>
  <c r="X1726" i="2" s="1"/>
  <c r="X877" i="2"/>
  <c r="W877" i="2"/>
  <c r="V877" i="2"/>
  <c r="U877" i="2"/>
  <c r="T877" i="2"/>
  <c r="S877" i="2"/>
  <c r="R877" i="2"/>
  <c r="Q877" i="2"/>
  <c r="P877" i="2"/>
  <c r="O877" i="2"/>
  <c r="N877" i="2"/>
  <c r="M877" i="2"/>
  <c r="L877" i="2"/>
  <c r="K877" i="2"/>
  <c r="J877" i="2"/>
  <c r="AF876" i="2"/>
  <c r="AE876" i="2"/>
  <c r="AC876" i="2"/>
  <c r="AB876" i="2"/>
  <c r="Y876" i="2"/>
  <c r="X876" i="2"/>
  <c r="AF875" i="2"/>
  <c r="AE875" i="2"/>
  <c r="AC875" i="2"/>
  <c r="AB875" i="2"/>
  <c r="AC1725" i="2" s="1"/>
  <c r="Y875" i="2"/>
  <c r="X1725" i="2" s="1"/>
  <c r="X875" i="2"/>
  <c r="W875" i="2"/>
  <c r="V875" i="2"/>
  <c r="U875" i="2"/>
  <c r="T875" i="2"/>
  <c r="S875" i="2"/>
  <c r="R875" i="2"/>
  <c r="Q875" i="2"/>
  <c r="P875" i="2"/>
  <c r="O875" i="2"/>
  <c r="N875" i="2"/>
  <c r="M875" i="2"/>
  <c r="L875" i="2"/>
  <c r="K875" i="2"/>
  <c r="J875" i="2"/>
  <c r="AC874" i="2"/>
  <c r="AE1724" i="2" s="1"/>
  <c r="AB874" i="2"/>
  <c r="AC1724" i="2" s="1"/>
  <c r="Y874" i="2"/>
  <c r="X1724" i="2" s="1"/>
  <c r="X874" i="2"/>
  <c r="W874" i="2"/>
  <c r="V874" i="2"/>
  <c r="U874" i="2"/>
  <c r="T874" i="2"/>
  <c r="S874" i="2"/>
  <c r="R874" i="2"/>
  <c r="Q874" i="2"/>
  <c r="P874" i="2"/>
  <c r="O874" i="2"/>
  <c r="N874" i="2"/>
  <c r="M874" i="2"/>
  <c r="L874" i="2"/>
  <c r="K874" i="2"/>
  <c r="J874" i="2"/>
  <c r="AC873" i="2"/>
  <c r="AE1723" i="2" s="1"/>
  <c r="AB873" i="2"/>
  <c r="AC1723" i="2" s="1"/>
  <c r="Y873" i="2"/>
  <c r="X873" i="2"/>
  <c r="W873" i="2"/>
  <c r="V873" i="2"/>
  <c r="U873" i="2"/>
  <c r="T873" i="2"/>
  <c r="S873" i="2"/>
  <c r="R873" i="2"/>
  <c r="Q873" i="2"/>
  <c r="P873" i="2"/>
  <c r="O873" i="2"/>
  <c r="N873" i="2"/>
  <c r="M873" i="2"/>
  <c r="L873" i="2"/>
  <c r="K873" i="2"/>
  <c r="J873" i="2"/>
  <c r="T872" i="2"/>
  <c r="S872" i="2"/>
  <c r="R872" i="2"/>
  <c r="Q872" i="2"/>
  <c r="P872" i="2"/>
  <c r="O872" i="2"/>
  <c r="N872" i="2"/>
  <c r="M872" i="2"/>
  <c r="L872" i="2"/>
  <c r="K872" i="2"/>
  <c r="J872" i="2"/>
  <c r="Q869" i="2"/>
  <c r="P869" i="2"/>
  <c r="O869" i="2"/>
  <c r="N869" i="2"/>
  <c r="M869" i="2"/>
  <c r="L869" i="2"/>
  <c r="K869" i="2"/>
  <c r="J869" i="2"/>
  <c r="Z861" i="2"/>
  <c r="Y861" i="2"/>
  <c r="X861" i="2"/>
  <c r="W861" i="2"/>
  <c r="AF858" i="2"/>
  <c r="AF917" i="2" s="1"/>
  <c r="AE858" i="2"/>
  <c r="AE917" i="2" s="1"/>
  <c r="AF856" i="2"/>
  <c r="AF916" i="2" s="1"/>
  <c r="AE856" i="2"/>
  <c r="AE916" i="2" s="1"/>
  <c r="AM855" i="2"/>
  <c r="AM915" i="2" s="1"/>
  <c r="AL855" i="2"/>
  <c r="AL915" i="2" s="1"/>
  <c r="AK855" i="2"/>
  <c r="AK915" i="2" s="1"/>
  <c r="AJ855" i="2"/>
  <c r="AJ915" i="2" s="1"/>
  <c r="AI855" i="2"/>
  <c r="AI915" i="2" s="1"/>
  <c r="AH855" i="2"/>
  <c r="AH915" i="2" s="1"/>
  <c r="AG855" i="2"/>
  <c r="AG915" i="2" s="1"/>
  <c r="AF855" i="2"/>
  <c r="AF915" i="2" s="1"/>
  <c r="AE855" i="2"/>
  <c r="AE915" i="2" s="1"/>
  <c r="AD855" i="2"/>
  <c r="AD915" i="2" s="1"/>
  <c r="AC855" i="2"/>
  <c r="AB855" i="2"/>
  <c r="AA855" i="2"/>
  <c r="AF854" i="2"/>
  <c r="AE854" i="2"/>
  <c r="Y849" i="2"/>
  <c r="X849" i="2"/>
  <c r="T848" i="2"/>
  <c r="S848" i="2"/>
  <c r="R848" i="2"/>
  <c r="Q848" i="2"/>
  <c r="P848" i="2"/>
  <c r="O848" i="2"/>
  <c r="N848" i="2"/>
  <c r="M848" i="2"/>
  <c r="L848" i="2"/>
  <c r="K848" i="2"/>
  <c r="J848" i="2"/>
  <c r="AM847" i="2"/>
  <c r="AM846" i="2" s="1"/>
  <c r="AM845" i="2" s="1"/>
  <c r="AM844" i="2" s="1"/>
  <c r="AL847" i="2"/>
  <c r="AL846" i="2" s="1"/>
  <c r="AL845" i="2" s="1"/>
  <c r="AL844" i="2" s="1"/>
  <c r="AK847" i="2"/>
  <c r="JB614" i="5" s="1"/>
  <c r="IZ614" i="5" s="1"/>
  <c r="AJ847" i="2"/>
  <c r="IY614" i="5" s="1"/>
  <c r="IW614" i="5" s="1"/>
  <c r="AI847" i="2"/>
  <c r="AI846" i="2" s="1"/>
  <c r="AH847" i="2"/>
  <c r="AG847" i="2"/>
  <c r="IP614" i="5" s="1"/>
  <c r="IN614" i="5" s="1"/>
  <c r="Z847" i="2"/>
  <c r="Z846" i="2"/>
  <c r="HR613" i="5" s="1"/>
  <c r="Z845" i="2"/>
  <c r="HR612" i="5" s="1"/>
  <c r="Z844" i="2"/>
  <c r="Y843" i="2"/>
  <c r="Y828" i="2" s="1"/>
  <c r="X843" i="2"/>
  <c r="X911" i="2" s="1"/>
  <c r="AG842" i="2"/>
  <c r="IP609" i="5" s="1"/>
  <c r="IN609" i="5" s="1"/>
  <c r="AG841" i="2"/>
  <c r="AD841" i="2"/>
  <c r="Z832" i="2"/>
  <c r="AM830" i="2"/>
  <c r="AM831" i="2" s="1"/>
  <c r="AL830" i="2"/>
  <c r="AL831" i="2" s="1"/>
  <c r="AK830" i="2"/>
  <c r="AJ830" i="2"/>
  <c r="AI830" i="2"/>
  <c r="AI831" i="2" s="1"/>
  <c r="IV599" i="5" s="1"/>
  <c r="AH830" i="2"/>
  <c r="AG830" i="2"/>
  <c r="Z829" i="2"/>
  <c r="HR597" i="5" s="1"/>
  <c r="HR655" i="5" s="1"/>
  <c r="W828" i="2"/>
  <c r="W908" i="2" s="1"/>
  <c r="V828" i="2"/>
  <c r="V908" i="2" s="1"/>
  <c r="U828" i="2"/>
  <c r="U807" i="2" s="1"/>
  <c r="AG827" i="2"/>
  <c r="AG836" i="2" s="1"/>
  <c r="AM826" i="2"/>
  <c r="AM907" i="2" s="1"/>
  <c r="AL826" i="2"/>
  <c r="AL907" i="2" s="1"/>
  <c r="AK826" i="2"/>
  <c r="AK907" i="2" s="1"/>
  <c r="AJ826" i="2"/>
  <c r="AJ907" i="2" s="1"/>
  <c r="AI826" i="2"/>
  <c r="AI907" i="2" s="1"/>
  <c r="AH826" i="2"/>
  <c r="AG826" i="2"/>
  <c r="AG907" i="2" s="1"/>
  <c r="AF826" i="2"/>
  <c r="AA825" i="2"/>
  <c r="AA824" i="2"/>
  <c r="AA823" i="2"/>
  <c r="AM822" i="2"/>
  <c r="AM906" i="2" s="1"/>
  <c r="AL822" i="2"/>
  <c r="AL906" i="2" s="1"/>
  <c r="AK822" i="2"/>
  <c r="AJ822" i="2"/>
  <c r="AJ906" i="2" s="1"/>
  <c r="AJ956" i="2" s="1"/>
  <c r="AI822" i="2"/>
  <c r="IV591" i="5" s="1"/>
  <c r="AH822" i="2"/>
  <c r="IS591" i="5" s="1"/>
  <c r="AG822" i="2"/>
  <c r="IP591" i="5" s="1"/>
  <c r="AF822" i="2"/>
  <c r="Z822" i="2"/>
  <c r="AM819" i="2"/>
  <c r="AM811" i="2" s="1"/>
  <c r="AL819" i="2"/>
  <c r="AL811" i="2" s="1"/>
  <c r="AK819" i="2"/>
  <c r="AK811" i="2" s="1"/>
  <c r="JB586" i="5" s="1"/>
  <c r="AJ819" i="2"/>
  <c r="AJ811" i="2" s="1"/>
  <c r="AI819" i="2"/>
  <c r="AI811" i="2" s="1"/>
  <c r="AI905" i="2" s="1"/>
  <c r="AH819" i="2"/>
  <c r="AH811" i="2" s="1"/>
  <c r="AG819" i="2"/>
  <c r="IP590" i="5" s="1"/>
  <c r="AF819" i="2"/>
  <c r="AD819" i="2"/>
  <c r="AA814" i="2"/>
  <c r="AG813" i="2"/>
  <c r="IP588" i="5" s="1"/>
  <c r="AD813" i="2"/>
  <c r="AA813" i="2"/>
  <c r="Z811" i="2"/>
  <c r="Z905" i="2" s="1"/>
  <c r="Y809" i="2"/>
  <c r="Y904" i="2" s="1"/>
  <c r="X809" i="2"/>
  <c r="X904" i="2" s="1"/>
  <c r="W809" i="2"/>
  <c r="V809" i="2"/>
  <c r="V904" i="2" s="1"/>
  <c r="AH801" i="2"/>
  <c r="AI801" i="2" s="1"/>
  <c r="AI898" i="2" s="1"/>
  <c r="Z801" i="2"/>
  <c r="Z800" i="2" s="1"/>
  <c r="AG800" i="2"/>
  <c r="IP575" i="5" s="1"/>
  <c r="T799" i="2"/>
  <c r="T896" i="2" s="1"/>
  <c r="S799" i="2"/>
  <c r="S896" i="2" s="1"/>
  <c r="R799" i="2"/>
  <c r="R896" i="2" s="1"/>
  <c r="Q799" i="2"/>
  <c r="Q896" i="2" s="1"/>
  <c r="P799" i="2"/>
  <c r="P896" i="2" s="1"/>
  <c r="O799" i="2"/>
  <c r="O896" i="2" s="1"/>
  <c r="N799" i="2"/>
  <c r="N896" i="2" s="1"/>
  <c r="M799" i="2"/>
  <c r="M896" i="2" s="1"/>
  <c r="L799" i="2"/>
  <c r="L896" i="2" s="1"/>
  <c r="K799" i="2"/>
  <c r="K896" i="2" s="1"/>
  <c r="J799" i="2"/>
  <c r="J896" i="2" s="1"/>
  <c r="T798" i="2"/>
  <c r="T895" i="2" s="1"/>
  <c r="S798" i="2"/>
  <c r="S895" i="2" s="1"/>
  <c r="R798" i="2"/>
  <c r="R895" i="2" s="1"/>
  <c r="Q798" i="2"/>
  <c r="Q895" i="2" s="1"/>
  <c r="P798" i="2"/>
  <c r="P895" i="2" s="1"/>
  <c r="O798" i="2"/>
  <c r="O895" i="2" s="1"/>
  <c r="N798" i="2"/>
  <c r="N895" i="2" s="1"/>
  <c r="M798" i="2"/>
  <c r="M895" i="2" s="1"/>
  <c r="L798" i="2"/>
  <c r="L895" i="2" s="1"/>
  <c r="K798" i="2"/>
  <c r="K895" i="2" s="1"/>
  <c r="J798" i="2"/>
  <c r="J895" i="2" s="1"/>
  <c r="T797" i="2"/>
  <c r="T894" i="2" s="1"/>
  <c r="S797" i="2"/>
  <c r="S894" i="2" s="1"/>
  <c r="R797" i="2"/>
  <c r="R894" i="2" s="1"/>
  <c r="Q797" i="2"/>
  <c r="Q894" i="2" s="1"/>
  <c r="P797" i="2"/>
  <c r="P894" i="2" s="1"/>
  <c r="O797" i="2"/>
  <c r="O894" i="2" s="1"/>
  <c r="N797" i="2"/>
  <c r="N894" i="2" s="1"/>
  <c r="M797" i="2"/>
  <c r="M894" i="2" s="1"/>
  <c r="L797" i="2"/>
  <c r="L894" i="2" s="1"/>
  <c r="K797" i="2"/>
  <c r="K894" i="2" s="1"/>
  <c r="J797" i="2"/>
  <c r="J894" i="2" s="1"/>
  <c r="T796" i="2"/>
  <c r="T893" i="2" s="1"/>
  <c r="S796" i="2"/>
  <c r="S893" i="2" s="1"/>
  <c r="R796" i="2"/>
  <c r="R893" i="2" s="1"/>
  <c r="Q796" i="2"/>
  <c r="Q893" i="2" s="1"/>
  <c r="P796" i="2"/>
  <c r="P893" i="2" s="1"/>
  <c r="O796" i="2"/>
  <c r="O893" i="2" s="1"/>
  <c r="N796" i="2"/>
  <c r="N893" i="2" s="1"/>
  <c r="M796" i="2"/>
  <c r="M893" i="2" s="1"/>
  <c r="L796" i="2"/>
  <c r="L893" i="2" s="1"/>
  <c r="K796" i="2"/>
  <c r="K893" i="2" s="1"/>
  <c r="J796" i="2"/>
  <c r="J893" i="2" s="1"/>
  <c r="Y792" i="2"/>
  <c r="X792" i="2"/>
  <c r="W792" i="2"/>
  <c r="V792" i="2"/>
  <c r="U792" i="2"/>
  <c r="T792" i="2"/>
  <c r="S792" i="2"/>
  <c r="R792" i="2"/>
  <c r="Q792" i="2"/>
  <c r="P792" i="2"/>
  <c r="O792" i="2"/>
  <c r="N792" i="2"/>
  <c r="M792" i="2"/>
  <c r="L792" i="2"/>
  <c r="K792" i="2"/>
  <c r="J792" i="2"/>
  <c r="AA789" i="2"/>
  <c r="AA788" i="2"/>
  <c r="AH787" i="2"/>
  <c r="AG787" i="2"/>
  <c r="IP564" i="5" s="1"/>
  <c r="IN564" i="5" s="1"/>
  <c r="IO564" i="5" s="1"/>
  <c r="Z787" i="2"/>
  <c r="HR564" i="5" s="1"/>
  <c r="AH784" i="2"/>
  <c r="AG784" i="2"/>
  <c r="AG783" i="2"/>
  <c r="Z783" i="2"/>
  <c r="HR561" i="5" s="1"/>
  <c r="AG782" i="2"/>
  <c r="IP560" i="5" s="1"/>
  <c r="IN560" i="5" s="1"/>
  <c r="IO560" i="5" s="1"/>
  <c r="AA782" i="2"/>
  <c r="AM781" i="2"/>
  <c r="AL781" i="2"/>
  <c r="AK781" i="2"/>
  <c r="AJ781" i="2"/>
  <c r="AI781" i="2"/>
  <c r="AH781" i="2"/>
  <c r="AG781" i="2"/>
  <c r="Z780" i="2"/>
  <c r="AD779" i="2"/>
  <c r="AD778" i="2"/>
  <c r="Z776" i="2"/>
  <c r="HR557" i="5" s="1"/>
  <c r="AA775" i="2"/>
  <c r="Z774" i="2"/>
  <c r="HR554" i="5" s="1"/>
  <c r="AG773" i="2"/>
  <c r="IP553" i="5" s="1"/>
  <c r="Z773" i="2"/>
  <c r="HR553" i="5" s="1"/>
  <c r="AG772" i="2"/>
  <c r="IP552" i="5" s="1"/>
  <c r="Z772" i="2"/>
  <c r="HR552" i="5" s="1"/>
  <c r="E771" i="2"/>
  <c r="AD769" i="2"/>
  <c r="AG768" i="2"/>
  <c r="IP549" i="5" s="1"/>
  <c r="IN549" i="5" s="1"/>
  <c r="IO549" i="5" s="1"/>
  <c r="AD768" i="2"/>
  <c r="AA768" i="2"/>
  <c r="AA767" i="2"/>
  <c r="AA766" i="2"/>
  <c r="AA765" i="2"/>
  <c r="D764" i="2"/>
  <c r="D763" i="2"/>
  <c r="Z762" i="2"/>
  <c r="HR543" i="5" s="1"/>
  <c r="Z760" i="2"/>
  <c r="HR541" i="5" s="1"/>
  <c r="AA758" i="2"/>
  <c r="AA757" i="2"/>
  <c r="AG755" i="2"/>
  <c r="AD755" i="2"/>
  <c r="Z754" i="2"/>
  <c r="Z371" i="2" s="1"/>
  <c r="AH748" i="2"/>
  <c r="IS531" i="5" s="1"/>
  <c r="IQ531" i="5" s="1"/>
  <c r="AG748" i="2"/>
  <c r="IP531" i="5" s="1"/>
  <c r="IN531" i="5" s="1"/>
  <c r="Z748" i="2"/>
  <c r="HR531" i="5" s="1"/>
  <c r="AH747" i="2"/>
  <c r="IS530" i="5" s="1"/>
  <c r="IQ530" i="5" s="1"/>
  <c r="Z747" i="2"/>
  <c r="Z626" i="2" s="1"/>
  <c r="Y744" i="2"/>
  <c r="X744" i="2"/>
  <c r="X1111" i="2" s="1"/>
  <c r="W744" i="2"/>
  <c r="V744" i="2" s="1"/>
  <c r="AG742" i="2"/>
  <c r="AD741" i="2"/>
  <c r="AG740" i="2"/>
  <c r="AD740" i="2"/>
  <c r="Z738" i="2"/>
  <c r="Y1506" i="2" s="1"/>
  <c r="T737" i="2"/>
  <c r="S737" i="2"/>
  <c r="R737" i="2"/>
  <c r="Z736" i="2"/>
  <c r="AM735" i="2"/>
  <c r="AL735" i="2"/>
  <c r="AK735" i="2"/>
  <c r="JB520" i="5" s="1"/>
  <c r="IZ520" i="5" s="1"/>
  <c r="AJ735" i="2"/>
  <c r="IY520" i="5" s="1"/>
  <c r="IW520" i="5" s="1"/>
  <c r="IX520" i="5" s="1"/>
  <c r="AI735" i="2"/>
  <c r="IV520" i="5" s="1"/>
  <c r="AH735" i="2"/>
  <c r="IS520" i="5" s="1"/>
  <c r="Z735" i="2"/>
  <c r="HR520" i="5" s="1"/>
  <c r="AI734" i="2"/>
  <c r="AH734" i="2"/>
  <c r="AG734" i="2"/>
  <c r="AG732" i="2" s="1"/>
  <c r="IP517" i="5" s="1"/>
  <c r="AM733" i="2"/>
  <c r="AL733" i="2"/>
  <c r="AK733" i="2"/>
  <c r="JB518" i="5" s="1"/>
  <c r="AJ733" i="2"/>
  <c r="IY518" i="5" s="1"/>
  <c r="AI733" i="2"/>
  <c r="IV518" i="5" s="1"/>
  <c r="AH733" i="2"/>
  <c r="IS518" i="5" s="1"/>
  <c r="AG733" i="2"/>
  <c r="Z733" i="2"/>
  <c r="AG731" i="2"/>
  <c r="IP516" i="5" s="1"/>
  <c r="IN516" i="5" s="1"/>
  <c r="AA731" i="2"/>
  <c r="AM730" i="2"/>
  <c r="AL730" i="2"/>
  <c r="AK730" i="2"/>
  <c r="JB515" i="5" s="1"/>
  <c r="AJ730" i="2"/>
  <c r="IY515" i="5" s="1"/>
  <c r="AI730" i="2"/>
  <c r="AH730" i="2"/>
  <c r="IS515" i="5" s="1"/>
  <c r="AG730" i="2"/>
  <c r="IP515" i="5" s="1"/>
  <c r="AD728" i="2"/>
  <c r="AI725" i="2"/>
  <c r="IV512" i="5" s="1"/>
  <c r="AG724" i="2"/>
  <c r="IP512" i="5" s="1"/>
  <c r="AD722" i="2"/>
  <c r="Z721" i="2"/>
  <c r="Z359" i="2" s="1"/>
  <c r="AD720" i="2"/>
  <c r="AD719" i="2"/>
  <c r="AD718" i="2"/>
  <c r="Z717" i="2"/>
  <c r="Z744" i="2" s="1"/>
  <c r="Y715" i="2"/>
  <c r="X715" i="2"/>
  <c r="W715" i="2"/>
  <c r="V715" i="2"/>
  <c r="U715" i="2"/>
  <c r="AG710" i="2"/>
  <c r="AG709" i="2"/>
  <c r="AM708" i="2"/>
  <c r="AL708" i="2"/>
  <c r="AL707" i="2" s="1"/>
  <c r="AL879" i="2" s="1"/>
  <c r="AK708" i="2"/>
  <c r="AJ708" i="2"/>
  <c r="AJ707" i="2" s="1"/>
  <c r="AJ879" i="2" s="1"/>
  <c r="AJ927" i="2" s="1"/>
  <c r="AI708" i="2"/>
  <c r="AI707" i="2" s="1"/>
  <c r="IV497" i="5" s="1"/>
  <c r="AH708" i="2"/>
  <c r="IS498" i="5" s="1"/>
  <c r="AG708" i="2"/>
  <c r="IP498" i="5" s="1"/>
  <c r="Z707" i="2"/>
  <c r="AM706" i="2"/>
  <c r="AL706" i="2"/>
  <c r="AK706" i="2"/>
  <c r="AJ706" i="2"/>
  <c r="IY496" i="5" s="1"/>
  <c r="AI706" i="2"/>
  <c r="IV496" i="5" s="1"/>
  <c r="AH706" i="2"/>
  <c r="IS496" i="5" s="1"/>
  <c r="AD706" i="2"/>
  <c r="AA706" i="2"/>
  <c r="AG705" i="2"/>
  <c r="AG706" i="2" s="1"/>
  <c r="D705" i="2"/>
  <c r="AM703" i="2"/>
  <c r="AL703" i="2"/>
  <c r="AK703" i="2"/>
  <c r="AK702" i="2" s="1"/>
  <c r="AJ703" i="2"/>
  <c r="AJ702" i="2" s="1"/>
  <c r="AI703" i="2"/>
  <c r="AI702" i="2" s="1"/>
  <c r="AH703" i="2"/>
  <c r="IS494" i="5" s="1"/>
  <c r="AG703" i="2"/>
  <c r="AG702" i="2" s="1"/>
  <c r="IP493" i="5" s="1"/>
  <c r="Z702" i="2"/>
  <c r="AC700" i="2"/>
  <c r="AC877" i="2" s="1"/>
  <c r="AE1726" i="2" s="1"/>
  <c r="AB700" i="2"/>
  <c r="AB877" i="2" s="1"/>
  <c r="AC1726" i="2" s="1"/>
  <c r="AG699" i="2"/>
  <c r="AD699" i="2"/>
  <c r="AG698" i="2"/>
  <c r="AD698" i="2"/>
  <c r="AG697" i="2"/>
  <c r="AD697" i="2"/>
  <c r="Z693" i="2"/>
  <c r="Z692" i="2"/>
  <c r="HR486" i="5" s="1"/>
  <c r="AD690" i="2"/>
  <c r="Z687" i="2"/>
  <c r="HR481" i="5" s="1"/>
  <c r="Z686" i="2"/>
  <c r="HR480" i="5" s="1"/>
  <c r="Y681" i="2"/>
  <c r="X681" i="2"/>
  <c r="W681" i="2"/>
  <c r="V681" i="2"/>
  <c r="AF679" i="2"/>
  <c r="IM473" i="5" s="1"/>
  <c r="AE679" i="2"/>
  <c r="IJ473" i="5" s="1"/>
  <c r="IH473" i="5" s="1"/>
  <c r="Q13" i="7" s="1"/>
  <c r="Z679" i="2"/>
  <c r="Z681" i="2" s="1"/>
  <c r="HR475" i="5" s="1"/>
  <c r="Z676" i="2"/>
  <c r="Y671" i="2"/>
  <c r="X671" i="2"/>
  <c r="W671" i="2"/>
  <c r="W796" i="2" s="1"/>
  <c r="W893" i="2" s="1"/>
  <c r="V671" i="2"/>
  <c r="V798" i="2" s="1"/>
  <c r="V895" i="2" s="1"/>
  <c r="U671" i="2"/>
  <c r="U799" i="2" s="1"/>
  <c r="U896" i="2" s="1"/>
  <c r="AF656" i="2"/>
  <c r="AE656" i="2"/>
  <c r="AC656" i="2"/>
  <c r="AB656" i="2"/>
  <c r="Y656" i="2"/>
  <c r="X656" i="2"/>
  <c r="W656" i="2"/>
  <c r="AA655" i="2"/>
  <c r="Z655" i="2"/>
  <c r="Y655" i="2"/>
  <c r="X655" i="2"/>
  <c r="W655" i="2"/>
  <c r="AC654" i="2"/>
  <c r="AB654" i="2"/>
  <c r="Y654" i="2"/>
  <c r="X654" i="2"/>
  <c r="W654" i="2"/>
  <c r="AA653" i="2"/>
  <c r="Z653" i="2"/>
  <c r="Y653" i="2"/>
  <c r="X653" i="2"/>
  <c r="W653" i="2"/>
  <c r="AI648" i="2"/>
  <c r="AJ648" i="2" s="1"/>
  <c r="AG648" i="2"/>
  <c r="AC648" i="2"/>
  <c r="AC1108" i="2" s="1"/>
  <c r="AB648" i="2"/>
  <c r="AB1108" i="2" s="1"/>
  <c r="AC647" i="2"/>
  <c r="AB647" i="2"/>
  <c r="AE641" i="2"/>
  <c r="AD640" i="2"/>
  <c r="AB640" i="2"/>
  <c r="AM632" i="2"/>
  <c r="AL632" i="2"/>
  <c r="AK632" i="2"/>
  <c r="AI632" i="2"/>
  <c r="AH632" i="2"/>
  <c r="AG632" i="2"/>
  <c r="AF632" i="2"/>
  <c r="AE632" i="2"/>
  <c r="AD632" i="2"/>
  <c r="AC632" i="2"/>
  <c r="AB632" i="2"/>
  <c r="AA632" i="2"/>
  <c r="Z632" i="2"/>
  <c r="Y632" i="2"/>
  <c r="X632" i="2"/>
  <c r="W632" i="2"/>
  <c r="V632" i="2"/>
  <c r="AI627" i="2"/>
  <c r="AI626" i="2"/>
  <c r="AF626" i="2"/>
  <c r="AE626" i="2"/>
  <c r="AD626" i="2"/>
  <c r="AC626" i="2"/>
  <c r="AB626" i="2"/>
  <c r="Y626" i="2"/>
  <c r="X626" i="2"/>
  <c r="X622" i="2"/>
  <c r="W622" i="2"/>
  <c r="X617" i="2"/>
  <c r="AB610" i="2"/>
  <c r="E600" i="2"/>
  <c r="E599" i="2"/>
  <c r="V597" i="2"/>
  <c r="U1538" i="2" s="1"/>
  <c r="AM592" i="2"/>
  <c r="AL592" i="2"/>
  <c r="AK592" i="2"/>
  <c r="AF586" i="2"/>
  <c r="AD580" i="2"/>
  <c r="AM579" i="2"/>
  <c r="AL579" i="2"/>
  <c r="AK579" i="2"/>
  <c r="AJ579" i="2"/>
  <c r="AI579" i="2"/>
  <c r="AH579" i="2"/>
  <c r="AG579" i="2"/>
  <c r="AF579" i="2"/>
  <c r="AE579" i="2"/>
  <c r="AD579" i="2"/>
  <c r="AC579" i="2"/>
  <c r="AB579" i="2"/>
  <c r="AA579" i="2"/>
  <c r="Z579" i="2"/>
  <c r="Y579" i="2"/>
  <c r="X579" i="2"/>
  <c r="W579" i="2"/>
  <c r="Y578" i="2"/>
  <c r="X578" i="2"/>
  <c r="W578" i="2"/>
  <c r="V578" i="2"/>
  <c r="AK576" i="2"/>
  <c r="Y575" i="2"/>
  <c r="X575" i="2"/>
  <c r="W575" i="2"/>
  <c r="V575" i="2"/>
  <c r="D575" i="2"/>
  <c r="AD570" i="2"/>
  <c r="AC568" i="2"/>
  <c r="AA568" i="2"/>
  <c r="AB565" i="2"/>
  <c r="AA563" i="2"/>
  <c r="AB563" i="2" s="1"/>
  <c r="AC563" i="2" s="1"/>
  <c r="AD563" i="2" s="1"/>
  <c r="AE563" i="2" s="1"/>
  <c r="AF563" i="2" s="1"/>
  <c r="AG563" i="2" s="1"/>
  <c r="AH563" i="2" s="1"/>
  <c r="AI563" i="2" s="1"/>
  <c r="AJ563" i="2" s="1"/>
  <c r="AK563" i="2" s="1"/>
  <c r="AL563" i="2" s="1"/>
  <c r="AM563" i="2" s="1"/>
  <c r="AN563" i="2" s="1"/>
  <c r="AO563" i="2" s="1"/>
  <c r="AP563" i="2" s="1"/>
  <c r="AF562" i="2"/>
  <c r="AE562" i="2"/>
  <c r="AD562" i="2"/>
  <c r="AC562" i="2"/>
  <c r="AB562" i="2"/>
  <c r="AA562" i="2"/>
  <c r="Z562" i="2"/>
  <c r="Y562" i="2"/>
  <c r="X562" i="2"/>
  <c r="W562" i="2"/>
  <c r="V562" i="2"/>
  <c r="U562" i="2"/>
  <c r="T562" i="2"/>
  <c r="S562" i="2"/>
  <c r="R562" i="2"/>
  <c r="Q562" i="2"/>
  <c r="P562" i="2"/>
  <c r="AM561" i="2"/>
  <c r="AL561" i="2"/>
  <c r="AK561" i="2"/>
  <c r="AJ561" i="2"/>
  <c r="AI561" i="2"/>
  <c r="AH561" i="2"/>
  <c r="AG561" i="2"/>
  <c r="AF561" i="2"/>
  <c r="AE561" i="2"/>
  <c r="AD561" i="2"/>
  <c r="AC561" i="2"/>
  <c r="AB561" i="2"/>
  <c r="AA561" i="2"/>
  <c r="Z561" i="2"/>
  <c r="AM559" i="2"/>
  <c r="AL559" i="2"/>
  <c r="AK559" i="2"/>
  <c r="AJ559" i="2"/>
  <c r="AI559" i="2"/>
  <c r="AH559" i="2"/>
  <c r="AG559" i="2"/>
  <c r="AF559" i="2"/>
  <c r="AE559" i="2"/>
  <c r="AD559" i="2"/>
  <c r="AC559" i="2"/>
  <c r="AB559" i="2"/>
  <c r="AA559" i="2"/>
  <c r="Z559" i="2"/>
  <c r="Y559" i="2"/>
  <c r="X559" i="2"/>
  <c r="W559" i="2"/>
  <c r="AB558" i="2"/>
  <c r="AM557" i="2"/>
  <c r="AL557" i="2"/>
  <c r="AK557" i="2"/>
  <c r="AJ557" i="2"/>
  <c r="AI557" i="2"/>
  <c r="AH557" i="2"/>
  <c r="AG557" i="2"/>
  <c r="AF557" i="2"/>
  <c r="AE557" i="2"/>
  <c r="AD557" i="2"/>
  <c r="AC557" i="2"/>
  <c r="AB557" i="2"/>
  <c r="AA557" i="2"/>
  <c r="Z557" i="2"/>
  <c r="Y557" i="2"/>
  <c r="X557" i="2"/>
  <c r="W557" i="2"/>
  <c r="AM555" i="2"/>
  <c r="AL555" i="2"/>
  <c r="AK555" i="2"/>
  <c r="AJ555" i="2"/>
  <c r="AI555" i="2"/>
  <c r="AH555" i="2"/>
  <c r="AG555" i="2"/>
  <c r="AF555" i="2"/>
  <c r="AE555" i="2"/>
  <c r="AD555" i="2"/>
  <c r="AC555" i="2"/>
  <c r="AB555" i="2"/>
  <c r="AA555" i="2"/>
  <c r="Z555" i="2"/>
  <c r="Y555" i="2"/>
  <c r="X555" i="2"/>
  <c r="W555" i="2"/>
  <c r="Y549" i="2"/>
  <c r="Z549" i="2" s="1"/>
  <c r="X549" i="2"/>
  <c r="W549" i="2"/>
  <c r="V549" i="2"/>
  <c r="AI424" i="2"/>
  <c r="AK418" i="2"/>
  <c r="AI418" i="2"/>
  <c r="AH418" i="2"/>
  <c r="AG418" i="2"/>
  <c r="AF418" i="2"/>
  <c r="AE418" i="2"/>
  <c r="AD418" i="2"/>
  <c r="AC418" i="2"/>
  <c r="AB418" i="2"/>
  <c r="AA418" i="2"/>
  <c r="Z418" i="2"/>
  <c r="Y418" i="2"/>
  <c r="X418" i="2"/>
  <c r="W418" i="2"/>
  <c r="V418" i="2"/>
  <c r="D417" i="2"/>
  <c r="D416" i="2"/>
  <c r="AC414" i="2"/>
  <c r="AD414" i="2" s="1"/>
  <c r="AL413" i="2"/>
  <c r="AK413" i="2"/>
  <c r="AK1652" i="2" s="1"/>
  <c r="AJ413" i="2"/>
  <c r="AJ1652" i="2" s="1"/>
  <c r="AI413" i="2"/>
  <c r="AI1652" i="2" s="1"/>
  <c r="AH413" i="2"/>
  <c r="AH1652" i="2" s="1"/>
  <c r="AG413" i="2"/>
  <c r="AG1652" i="2" s="1"/>
  <c r="AF413" i="2"/>
  <c r="AF1652" i="2" s="1"/>
  <c r="AD413" i="2"/>
  <c r="AD1652" i="2" s="1"/>
  <c r="AB413" i="2"/>
  <c r="AB412" i="2"/>
  <c r="AB410" i="2" s="1"/>
  <c r="AB1649" i="2" s="1"/>
  <c r="Z412" i="2"/>
  <c r="AE411" i="2"/>
  <c r="AE413" i="2" s="1"/>
  <c r="Y411" i="2"/>
  <c r="Y412" i="2" s="1"/>
  <c r="Z413" i="2" s="1"/>
  <c r="AM410" i="2"/>
  <c r="AM1640" i="2" s="1"/>
  <c r="AL410" i="2"/>
  <c r="AL1640" i="2" s="1"/>
  <c r="AK410" i="2"/>
  <c r="AK1649" i="2" s="1"/>
  <c r="AJ410" i="2"/>
  <c r="AJ1649" i="2" s="1"/>
  <c r="AI410" i="2"/>
  <c r="AI1640" i="2" s="1"/>
  <c r="AH410" i="2"/>
  <c r="AH1640" i="2" s="1"/>
  <c r="AG410" i="2"/>
  <c r="AF410" i="2"/>
  <c r="AD410" i="2"/>
  <c r="AC410" i="2"/>
  <c r="AC1649" i="2" s="1"/>
  <c r="AM408" i="2"/>
  <c r="AL408" i="2"/>
  <c r="AK408" i="2"/>
  <c r="AJ408" i="2"/>
  <c r="AI408" i="2"/>
  <c r="AH408" i="2"/>
  <c r="AG408" i="2"/>
  <c r="AF408" i="2"/>
  <c r="AE408" i="2"/>
  <c r="AD408" i="2"/>
  <c r="AC408" i="2"/>
  <c r="AB408" i="2"/>
  <c r="AA408" i="2"/>
  <c r="Z408" i="2"/>
  <c r="Y408" i="2"/>
  <c r="X408" i="2"/>
  <c r="X508" i="2" s="1"/>
  <c r="W408" i="2"/>
  <c r="W508" i="2" s="1"/>
  <c r="V408" i="2"/>
  <c r="V508" i="2" s="1"/>
  <c r="V509" i="2" s="1"/>
  <c r="U408" i="2"/>
  <c r="T408" i="2"/>
  <c r="S408" i="2"/>
  <c r="R408" i="2"/>
  <c r="Q408" i="2"/>
  <c r="P408" i="2"/>
  <c r="O408" i="2"/>
  <c r="N408" i="2"/>
  <c r="M408" i="2"/>
  <c r="AL407" i="2"/>
  <c r="AK407" i="2"/>
  <c r="AI407" i="2"/>
  <c r="AH407" i="2"/>
  <c r="AG407" i="2"/>
  <c r="AF407" i="2"/>
  <c r="AE407" i="2"/>
  <c r="AD407" i="2"/>
  <c r="AC407" i="2"/>
  <c r="AB407" i="2"/>
  <c r="AA407" i="2"/>
  <c r="Z407" i="2"/>
  <c r="Y407" i="2"/>
  <c r="X407" i="2"/>
  <c r="W407" i="2"/>
  <c r="W492" i="2" s="1"/>
  <c r="V407" i="2"/>
  <c r="V492" i="2" s="1"/>
  <c r="V493" i="2" s="1"/>
  <c r="U407" i="2"/>
  <c r="T407" i="2"/>
  <c r="S407" i="2"/>
  <c r="R407" i="2"/>
  <c r="Q407" i="2"/>
  <c r="P407" i="2"/>
  <c r="O407" i="2"/>
  <c r="N407" i="2"/>
  <c r="AM406" i="2"/>
  <c r="AL406" i="2"/>
  <c r="AJ406" i="2"/>
  <c r="AH406" i="2"/>
  <c r="AG406" i="2"/>
  <c r="AF406" i="2"/>
  <c r="AD406" i="2"/>
  <c r="AC406" i="2"/>
  <c r="AB406" i="2"/>
  <c r="AA406" i="2"/>
  <c r="Z406" i="2"/>
  <c r="Y406" i="2"/>
  <c r="X406" i="2"/>
  <c r="X463" i="2" s="1"/>
  <c r="W406" i="2"/>
  <c r="W475" i="2" s="1"/>
  <c r="V406" i="2"/>
  <c r="U406" i="2"/>
  <c r="T406" i="2"/>
  <c r="S406" i="2"/>
  <c r="R406" i="2"/>
  <c r="Q406" i="2"/>
  <c r="P406" i="2"/>
  <c r="O406" i="2"/>
  <c r="N406" i="2"/>
  <c r="M406" i="2"/>
  <c r="L406" i="2"/>
  <c r="K406" i="2"/>
  <c r="J406" i="2"/>
  <c r="J405" i="2"/>
  <c r="I405" i="2"/>
  <c r="H405" i="2"/>
  <c r="AL404" i="2"/>
  <c r="AK404" i="2"/>
  <c r="AJ404" i="2"/>
  <c r="AI404" i="2"/>
  <c r="AH404" i="2"/>
  <c r="AG404" i="2"/>
  <c r="AF404" i="2"/>
  <c r="AE404" i="2"/>
  <c r="AD404" i="2"/>
  <c r="AC404" i="2"/>
  <c r="AB404" i="2"/>
  <c r="AA404" i="2"/>
  <c r="Z404" i="2"/>
  <c r="Y404" i="2"/>
  <c r="X404" i="2"/>
  <c r="W404" i="2"/>
  <c r="W516" i="2" s="1"/>
  <c r="V404" i="2"/>
  <c r="V435" i="2" s="1"/>
  <c r="U404" i="2"/>
  <c r="T404" i="2"/>
  <c r="S404" i="2"/>
  <c r="R404" i="2"/>
  <c r="Q404" i="2"/>
  <c r="P404" i="2"/>
  <c r="O404" i="2"/>
  <c r="N404" i="2"/>
  <c r="M404" i="2"/>
  <c r="L404" i="2"/>
  <c r="K404" i="2"/>
  <c r="AL402" i="2"/>
  <c r="AK402" i="2"/>
  <c r="AI402" i="2"/>
  <c r="AF402" i="2"/>
  <c r="AE402" i="2"/>
  <c r="AD402" i="2"/>
  <c r="AC402" i="2"/>
  <c r="AB402" i="2"/>
  <c r="AA402" i="2"/>
  <c r="Z402" i="2"/>
  <c r="Z1278" i="2" s="1"/>
  <c r="Y402" i="2"/>
  <c r="Y1278" i="2" s="1"/>
  <c r="X402" i="2"/>
  <c r="W402" i="2"/>
  <c r="W523" i="2" s="1"/>
  <c r="V402" i="2"/>
  <c r="U402" i="2"/>
  <c r="U405" i="2" s="1"/>
  <c r="T402" i="2"/>
  <c r="S402" i="2"/>
  <c r="R402" i="2"/>
  <c r="Q402" i="2"/>
  <c r="P402" i="2"/>
  <c r="O402" i="2"/>
  <c r="N402" i="2"/>
  <c r="N405" i="2" s="1"/>
  <c r="M402" i="2"/>
  <c r="M405" i="2" s="1"/>
  <c r="L402" i="2"/>
  <c r="L405" i="2" s="1"/>
  <c r="K402" i="2"/>
  <c r="K405" i="2" s="1"/>
  <c r="AF391" i="2"/>
  <c r="AE391" i="2"/>
  <c r="AC391" i="2"/>
  <c r="AB391" i="2"/>
  <c r="Y391" i="2"/>
  <c r="X391" i="2"/>
  <c r="W391" i="2"/>
  <c r="AA390" i="2"/>
  <c r="Z390" i="2"/>
  <c r="Y390" i="2"/>
  <c r="X390" i="2"/>
  <c r="X1176" i="2" s="1"/>
  <c r="W390" i="2"/>
  <c r="W1176" i="2" s="1"/>
  <c r="AC389" i="2"/>
  <c r="AB389" i="2"/>
  <c r="Y389" i="2"/>
  <c r="X389" i="2"/>
  <c r="W389" i="2"/>
  <c r="AA388" i="2"/>
  <c r="Z388" i="2"/>
  <c r="Y388" i="2"/>
  <c r="X388" i="2"/>
  <c r="W388" i="2"/>
  <c r="AI383" i="2"/>
  <c r="AK383" i="2"/>
  <c r="AL383" i="2" s="1"/>
  <c r="AM383" i="2" s="1"/>
  <c r="AN383" i="2" s="1"/>
  <c r="AO383" i="2" s="1"/>
  <c r="AC383" i="2"/>
  <c r="AB383" i="2"/>
  <c r="AC382" i="2"/>
  <c r="AB382" i="2"/>
  <c r="AE381" i="2"/>
  <c r="AD380" i="2"/>
  <c r="AB380" i="2"/>
  <c r="AI379" i="2"/>
  <c r="AG378" i="2"/>
  <c r="AG774" i="2" s="1"/>
  <c r="IP554" i="5" s="1"/>
  <c r="IN554" i="5" s="1"/>
  <c r="AF378" i="2"/>
  <c r="AE378" i="2"/>
  <c r="AD378" i="2"/>
  <c r="AC378" i="2"/>
  <c r="AB378" i="2"/>
  <c r="AK373" i="2"/>
  <c r="AI373" i="2"/>
  <c r="AH373" i="2"/>
  <c r="AG373" i="2"/>
  <c r="AF373" i="2"/>
  <c r="AE373" i="2"/>
  <c r="AD373" i="2"/>
  <c r="AC373" i="2"/>
  <c r="AB373" i="2"/>
  <c r="AA373" i="2"/>
  <c r="Z373" i="2"/>
  <c r="Y373" i="2"/>
  <c r="X373" i="2"/>
  <c r="W373" i="2"/>
  <c r="V373" i="2"/>
  <c r="AG371" i="2"/>
  <c r="AF371" i="2"/>
  <c r="AC371" i="2"/>
  <c r="Y371" i="2"/>
  <c r="X371" i="2"/>
  <c r="W371" i="2"/>
  <c r="V371" i="2"/>
  <c r="AI368" i="2"/>
  <c r="AJ627" i="2" s="1"/>
  <c r="AI367" i="2"/>
  <c r="AG367" i="2"/>
  <c r="AG747" i="2" s="1"/>
  <c r="IP530" i="5" s="1"/>
  <c r="IN530" i="5" s="1"/>
  <c r="AF367" i="2"/>
  <c r="AE367" i="2"/>
  <c r="AD367" i="2"/>
  <c r="AC367" i="2"/>
  <c r="AB367" i="2"/>
  <c r="Y367" i="2"/>
  <c r="X367" i="2"/>
  <c r="AB365" i="2"/>
  <c r="AC363" i="2"/>
  <c r="Y359" i="2"/>
  <c r="X359" i="2"/>
  <c r="W359" i="2"/>
  <c r="E356" i="2"/>
  <c r="E355" i="2"/>
  <c r="AI354" i="2"/>
  <c r="AK354" i="2"/>
  <c r="AI353" i="2"/>
  <c r="V353" i="2"/>
  <c r="AH348" i="2"/>
  <c r="AG348" i="2"/>
  <c r="AF348" i="2"/>
  <c r="AE348" i="2"/>
  <c r="AC348" i="2"/>
  <c r="AC347" i="2"/>
  <c r="AB347" i="2"/>
  <c r="AD336" i="2"/>
  <c r="AE580" i="2" s="1"/>
  <c r="AK335" i="2"/>
  <c r="AI335" i="2"/>
  <c r="AH335" i="2"/>
  <c r="AG335" i="2"/>
  <c r="AF335" i="2"/>
  <c r="AF575" i="2" s="1"/>
  <c r="AE335" i="2"/>
  <c r="AE575" i="2" s="1"/>
  <c r="AD335" i="2"/>
  <c r="AC335" i="2"/>
  <c r="AC575" i="2" s="1"/>
  <c r="AB335" i="2"/>
  <c r="AA335" i="2"/>
  <c r="Z335" i="2"/>
  <c r="Y335" i="2"/>
  <c r="X335" i="2"/>
  <c r="W335" i="2"/>
  <c r="V335" i="2"/>
  <c r="U335" i="2"/>
  <c r="T335" i="2"/>
  <c r="S335" i="2"/>
  <c r="R335" i="2"/>
  <c r="Q335" i="2"/>
  <c r="P335" i="2"/>
  <c r="O335" i="2"/>
  <c r="N335" i="2"/>
  <c r="M335" i="2"/>
  <c r="M407" i="2" s="1"/>
  <c r="L335" i="2"/>
  <c r="L407" i="2" s="1"/>
  <c r="K335" i="2"/>
  <c r="K407" i="2" s="1"/>
  <c r="J335" i="2"/>
  <c r="J407" i="2" s="1"/>
  <c r="Y334" i="2"/>
  <c r="X334" i="2"/>
  <c r="W334" i="2"/>
  <c r="V334" i="2"/>
  <c r="AK332" i="2"/>
  <c r="AL332" i="2" s="1"/>
  <c r="AM332" i="2" s="1"/>
  <c r="Y331" i="2"/>
  <c r="X331" i="2"/>
  <c r="W331" i="2"/>
  <c r="V331" i="2"/>
  <c r="D331" i="2"/>
  <c r="AD326" i="2"/>
  <c r="AC324" i="2"/>
  <c r="AA324" i="2"/>
  <c r="AB321" i="2"/>
  <c r="AC321" i="2" s="1"/>
  <c r="AK317" i="2"/>
  <c r="AI317" i="2"/>
  <c r="AH317" i="2"/>
  <c r="AG317" i="2"/>
  <c r="AF317" i="2"/>
  <c r="AE317" i="2"/>
  <c r="AD317" i="2"/>
  <c r="AC317" i="2"/>
  <c r="AB317" i="2"/>
  <c r="AA317" i="2"/>
  <c r="Z317" i="2"/>
  <c r="AK315" i="2"/>
  <c r="AI315" i="2"/>
  <c r="AH315" i="2"/>
  <c r="AG315" i="2"/>
  <c r="AF315" i="2"/>
  <c r="AE315" i="2"/>
  <c r="AD315" i="2"/>
  <c r="AC315" i="2"/>
  <c r="AB315" i="2"/>
  <c r="AA315" i="2"/>
  <c r="Z315" i="2"/>
  <c r="Y315" i="2"/>
  <c r="X315" i="2"/>
  <c r="W315" i="2"/>
  <c r="AB314" i="2"/>
  <c r="AC314" i="2" s="1"/>
  <c r="AK313" i="2"/>
  <c r="AI313" i="2"/>
  <c r="AH313" i="2"/>
  <c r="AG313" i="2"/>
  <c r="AF313" i="2"/>
  <c r="AE313" i="2"/>
  <c r="AD313" i="2"/>
  <c r="AC313" i="2"/>
  <c r="AB313" i="2"/>
  <c r="AA313" i="2"/>
  <c r="Z313" i="2"/>
  <c r="Y313" i="2"/>
  <c r="X313" i="2"/>
  <c r="W313" i="2"/>
  <c r="AK311" i="2"/>
  <c r="AI311" i="2"/>
  <c r="AH311" i="2"/>
  <c r="AG311" i="2"/>
  <c r="AF311" i="2"/>
  <c r="AE311" i="2"/>
  <c r="AD311" i="2"/>
  <c r="AC311" i="2"/>
  <c r="AB311" i="2"/>
  <c r="AA311" i="2"/>
  <c r="Z311" i="2"/>
  <c r="Y311" i="2"/>
  <c r="X311" i="2"/>
  <c r="W311" i="2"/>
  <c r="Y310" i="2"/>
  <c r="X310" i="2"/>
  <c r="W310" i="2"/>
  <c r="V310" i="2"/>
  <c r="D310" i="2"/>
  <c r="Y304" i="2"/>
  <c r="Z304" i="2" s="1"/>
  <c r="AA304" i="2" s="1"/>
  <c r="X304" i="2"/>
  <c r="W304" i="2"/>
  <c r="V304" i="2"/>
  <c r="AI302" i="2"/>
  <c r="AJ424" i="2" s="1"/>
  <c r="AK297" i="2"/>
  <c r="AI297" i="2"/>
  <c r="AH297" i="2"/>
  <c r="AG297" i="2"/>
  <c r="AF297" i="2"/>
  <c r="AE297" i="2"/>
  <c r="AD297" i="2"/>
  <c r="AC297" i="2"/>
  <c r="AB297" i="2"/>
  <c r="AA297" i="2"/>
  <c r="Z297" i="2"/>
  <c r="Y297" i="2"/>
  <c r="X297" i="2"/>
  <c r="W297" i="2"/>
  <c r="V297" i="2"/>
  <c r="D296" i="2"/>
  <c r="D295" i="2"/>
  <c r="AC293" i="2"/>
  <c r="AD293" i="2" s="1"/>
  <c r="AE293" i="2" s="1"/>
  <c r="AF293" i="2" s="1"/>
  <c r="AG293" i="2" s="1"/>
  <c r="AH293" i="2" s="1"/>
  <c r="AI293" i="2" s="1"/>
  <c r="AK293" i="2"/>
  <c r="AL293" i="2" s="1"/>
  <c r="AM293" i="2" s="1"/>
  <c r="AN293" i="2" s="1"/>
  <c r="AO293" i="2" s="1"/>
  <c r="AD292" i="2"/>
  <c r="AB292" i="2"/>
  <c r="AB294" i="2" s="1"/>
  <c r="AH291" i="2"/>
  <c r="AB291" i="2"/>
  <c r="AB1642" i="2" s="1"/>
  <c r="Z291" i="2"/>
  <c r="AA292" i="2" s="1"/>
  <c r="AA294" i="2" s="1"/>
  <c r="AG290" i="2"/>
  <c r="AG289" i="2" s="1"/>
  <c r="AF290" i="2"/>
  <c r="AE290" i="2"/>
  <c r="Y290" i="2"/>
  <c r="Y1641" i="2" s="1"/>
  <c r="AD289" i="2"/>
  <c r="AC289" i="2"/>
  <c r="AC1640" i="2" s="1"/>
  <c r="J287" i="2"/>
  <c r="AK286" i="2"/>
  <c r="AI286" i="2"/>
  <c r="AH286" i="2"/>
  <c r="AG286" i="2"/>
  <c r="AF286" i="2"/>
  <c r="AE286" i="2"/>
  <c r="AD286" i="2"/>
  <c r="AC286" i="2"/>
  <c r="AC299" i="2" s="1"/>
  <c r="AB286" i="2"/>
  <c r="AA286" i="2"/>
  <c r="Z286" i="2"/>
  <c r="Y286" i="2"/>
  <c r="Y299" i="2" s="1"/>
  <c r="X286" i="2"/>
  <c r="W286" i="2"/>
  <c r="V286" i="2"/>
  <c r="AK284" i="2"/>
  <c r="AK859" i="2" s="1"/>
  <c r="AK918" i="2" s="1"/>
  <c r="AI284" i="2"/>
  <c r="AH284" i="2"/>
  <c r="AG284" i="2"/>
  <c r="AF284" i="2"/>
  <c r="AF602" i="2" s="1"/>
  <c r="AE284" i="2"/>
  <c r="AI1753" i="2" s="1"/>
  <c r="AD284" i="2"/>
  <c r="AG1753" i="2" s="1"/>
  <c r="AC284" i="2"/>
  <c r="AB284" i="2"/>
  <c r="AB308" i="2" s="1"/>
  <c r="AA284" i="2"/>
  <c r="Z284" i="2"/>
  <c r="Z320" i="2" s="1"/>
  <c r="Y284" i="2"/>
  <c r="Y298" i="2" s="1"/>
  <c r="X284" i="2"/>
  <c r="W284" i="2"/>
  <c r="V284" i="2"/>
  <c r="V370" i="2" s="1"/>
  <c r="U284" i="2"/>
  <c r="T284" i="2"/>
  <c r="S284" i="2"/>
  <c r="R284" i="2"/>
  <c r="R287" i="2" s="1"/>
  <c r="Q284" i="2"/>
  <c r="Q287" i="2" s="1"/>
  <c r="P284" i="2"/>
  <c r="O284" i="2"/>
  <c r="O287" i="2" s="1"/>
  <c r="N284" i="2"/>
  <c r="M284" i="2"/>
  <c r="L284" i="2"/>
  <c r="K284" i="2"/>
  <c r="Z2" i="2"/>
  <c r="AA2" i="2" s="1"/>
  <c r="AB2" i="2" s="1"/>
  <c r="AC2" i="2" s="1"/>
  <c r="AD2" i="2" s="1"/>
  <c r="AE2" i="2" s="1"/>
  <c r="AF2" i="2" s="1"/>
  <c r="D116" i="1"/>
  <c r="D115" i="1"/>
  <c r="D114" i="1"/>
  <c r="D113" i="1"/>
  <c r="D112" i="1"/>
  <c r="A111" i="1"/>
  <c r="F110" i="1"/>
  <c r="D110" i="1"/>
  <c r="F109" i="1"/>
  <c r="D109" i="1"/>
  <c r="A109" i="1"/>
  <c r="F106" i="1"/>
  <c r="D106" i="1"/>
  <c r="A106" i="1"/>
  <c r="L104" i="1"/>
  <c r="F104" i="1"/>
  <c r="A104" i="1"/>
  <c r="F103" i="1"/>
  <c r="D103" i="1"/>
  <c r="A103" i="1"/>
  <c r="L101" i="1"/>
  <c r="F101" i="1"/>
  <c r="D101" i="1"/>
  <c r="A101" i="1"/>
  <c r="F100" i="1"/>
  <c r="D100" i="1"/>
  <c r="A100" i="1"/>
  <c r="D99" i="1"/>
  <c r="D98" i="1"/>
  <c r="F97" i="1"/>
  <c r="D97" i="1"/>
  <c r="A97" i="1"/>
  <c r="F94" i="1"/>
  <c r="D94" i="1"/>
  <c r="A94" i="1"/>
  <c r="D92" i="1"/>
  <c r="F91" i="1"/>
  <c r="D91" i="1"/>
  <c r="A91" i="1"/>
  <c r="D90" i="1"/>
  <c r="D88" i="1"/>
  <c r="D87" i="1"/>
  <c r="F86" i="1"/>
  <c r="D86" i="1"/>
  <c r="A86" i="1"/>
  <c r="F83" i="1"/>
  <c r="A83" i="1"/>
  <c r="D82" i="1"/>
  <c r="F81" i="1"/>
  <c r="D81" i="1"/>
  <c r="A81" i="1"/>
  <c r="D80" i="1"/>
  <c r="D79" i="1"/>
  <c r="F78" i="1"/>
  <c r="D78" i="1"/>
  <c r="A78" i="1"/>
  <c r="D77" i="1"/>
  <c r="F76" i="1"/>
  <c r="D76" i="1"/>
  <c r="A76" i="1"/>
  <c r="D75" i="1"/>
  <c r="F74" i="1"/>
  <c r="D74" i="1"/>
  <c r="A74" i="1"/>
  <c r="D57" i="1"/>
  <c r="D56" i="1"/>
  <c r="D55" i="1"/>
  <c r="D54" i="1"/>
  <c r="D53" i="1"/>
  <c r="D51" i="1"/>
  <c r="D49" i="1"/>
  <c r="H48" i="1"/>
  <c r="D48" i="1"/>
  <c r="H47" i="1"/>
  <c r="D46" i="1"/>
  <c r="H43" i="1"/>
  <c r="H42" i="1"/>
  <c r="D42" i="1"/>
  <c r="H40" i="1"/>
  <c r="H14" i="1"/>
  <c r="AI1608" i="2"/>
  <c r="JH676" i="5"/>
  <c r="JF676" i="5" s="1"/>
  <c r="AK379" i="2"/>
  <c r="AK353" i="2"/>
  <c r="AL353" i="2" s="1"/>
  <c r="IY912" i="5"/>
  <c r="IX912" i="5" s="1"/>
  <c r="AJ1638" i="2"/>
  <c r="AJ859" i="2"/>
  <c r="AJ918" i="2" s="1"/>
  <c r="AI1624" i="2"/>
  <c r="AK290" i="2"/>
  <c r="AJ774" i="2"/>
  <c r="IY554" i="5" s="1"/>
  <c r="IW554" i="5" s="1"/>
  <c r="IW486" i="5"/>
  <c r="IW532" i="5" s="1"/>
  <c r="AK424" i="2"/>
  <c r="AK302" i="2"/>
  <c r="AK301" i="2" s="1"/>
  <c r="AJ748" i="2"/>
  <c r="IY531" i="5" s="1"/>
  <c r="AK627" i="2"/>
  <c r="AK368" i="2"/>
  <c r="AL368" i="2" s="1"/>
  <c r="AM368" i="2" s="1"/>
  <c r="AJ747" i="2"/>
  <c r="AK626" i="2"/>
  <c r="AK367" i="2"/>
  <c r="AL626" i="2" s="1"/>
  <c r="IY740" i="5"/>
  <c r="IX740" i="5" s="1"/>
  <c r="AK319" i="2"/>
  <c r="AL319" i="2" s="1"/>
  <c r="AM319" i="2" s="1"/>
  <c r="AN319" i="2" s="1"/>
  <c r="AO319" i="2" s="1"/>
  <c r="AI296" i="2"/>
  <c r="AK291" i="2"/>
  <c r="AL291" i="2" s="1"/>
  <c r="AM291" i="2" s="1"/>
  <c r="JB740" i="5"/>
  <c r="IZ740" i="5" s="1"/>
  <c r="AJ692" i="2"/>
  <c r="AJ749" i="2"/>
  <c r="JE740" i="5"/>
  <c r="AJ681" i="2"/>
  <c r="AK305" i="2"/>
  <c r="AH1621" i="2"/>
  <c r="AH1589" i="2"/>
  <c r="JH740" i="5"/>
  <c r="JF740" i="5" s="1"/>
  <c r="AJ780" i="2"/>
  <c r="IY558" i="5" s="1"/>
  <c r="AK381" i="2"/>
  <c r="AK780" i="2" s="1"/>
  <c r="JB558" i="5" s="1"/>
  <c r="AK336" i="2"/>
  <c r="AK580" i="2"/>
  <c r="AK380" i="2"/>
  <c r="AL380" i="2" s="1"/>
  <c r="AM380" i="2" s="1"/>
  <c r="AK570" i="2"/>
  <c r="AK326" i="2"/>
  <c r="AL570" i="2" s="1"/>
  <c r="AK299" i="2"/>
  <c r="AL299" i="2" s="1"/>
  <c r="AM299" i="2" s="1"/>
  <c r="AN299" i="2" s="1"/>
  <c r="AO299" i="2" s="1"/>
  <c r="AK565" i="2"/>
  <c r="AJ572" i="2"/>
  <c r="AK321" i="2"/>
  <c r="AL565" i="2" s="1"/>
  <c r="AJ566" i="2"/>
  <c r="AK314" i="2"/>
  <c r="AJ562" i="2"/>
  <c r="AK568" i="2"/>
  <c r="AK324" i="2"/>
  <c r="AL568" i="2" s="1"/>
  <c r="AJ569" i="2"/>
  <c r="AJ677" i="2"/>
  <c r="IY471" i="5" s="1"/>
  <c r="IW471" i="5" s="1"/>
  <c r="IX471" i="5" s="1"/>
  <c r="AJ694" i="2"/>
  <c r="IY488" i="5" s="1"/>
  <c r="AJ684" i="2"/>
  <c r="IY478" i="5" s="1"/>
  <c r="IW478" i="5" s="1"/>
  <c r="IX478" i="5" s="1"/>
  <c r="AJ683" i="2"/>
  <c r="AJ573" i="2"/>
  <c r="AJ840" i="2"/>
  <c r="IY608" i="5" s="1"/>
  <c r="IW608" i="5" s="1"/>
  <c r="AJ567" i="2"/>
  <c r="AK582" i="2"/>
  <c r="AK338" i="2"/>
  <c r="AL582" i="2" s="1"/>
  <c r="AJ686" i="2"/>
  <c r="AJ682" i="2"/>
  <c r="IY476" i="5" s="1"/>
  <c r="AK578" i="2"/>
  <c r="AK334" i="2"/>
  <c r="AN962" i="2"/>
  <c r="AO962" i="2"/>
  <c r="AO946" i="2"/>
  <c r="AN946" i="2"/>
  <c r="AN733" i="2"/>
  <c r="AN311" i="2"/>
  <c r="AM417" i="2"/>
  <c r="AN413" i="2"/>
  <c r="AN1652" i="2" s="1"/>
  <c r="JI935" i="5"/>
  <c r="JI721" i="5"/>
  <c r="AN703" i="2"/>
  <c r="AN760" i="2" s="1"/>
  <c r="AN822" i="2"/>
  <c r="AN906" i="2" s="1"/>
  <c r="AN706" i="2"/>
  <c r="AN708" i="2"/>
  <c r="AN826" i="2"/>
  <c r="AN907" i="2" s="1"/>
  <c r="AN1370" i="2"/>
  <c r="AN1045" i="2"/>
  <c r="JI781" i="5"/>
  <c r="AN1041" i="2"/>
  <c r="JI723" i="5"/>
  <c r="AU17" i="19"/>
  <c r="AN1253" i="2"/>
  <c r="AN416" i="2"/>
  <c r="JJ744" i="5" s="1"/>
  <c r="AN1043" i="2"/>
  <c r="AN1047" i="2"/>
  <c r="JK938" i="5"/>
  <c r="AN1250" i="2"/>
  <c r="JK782" i="5"/>
  <c r="AO1045" i="2"/>
  <c r="AN819" i="2"/>
  <c r="AN811" i="2" s="1"/>
  <c r="AN735" i="2"/>
  <c r="JI729" i="5"/>
  <c r="JI933" i="5"/>
  <c r="JI724" i="5"/>
  <c r="JJ781" i="5"/>
  <c r="JK936" i="5"/>
  <c r="AO735" i="2"/>
  <c r="JL724" i="5"/>
  <c r="AO703" i="2"/>
  <c r="AO416" i="2"/>
  <c r="JM744" i="5" s="1"/>
  <c r="BC17" i="19"/>
  <c r="AO413" i="2"/>
  <c r="JL721" i="5"/>
  <c r="AO311" i="2"/>
  <c r="AO733" i="2"/>
  <c r="JN782" i="5"/>
  <c r="JL782" i="5" s="1"/>
  <c r="JM782" i="5" s="1"/>
  <c r="AO822" i="2"/>
  <c r="AO906" i="2" s="1"/>
  <c r="JL723" i="5"/>
  <c r="AO819" i="2"/>
  <c r="AO811" i="2" s="1"/>
  <c r="AO1043" i="2"/>
  <c r="JM781" i="5"/>
  <c r="AO1041" i="2"/>
  <c r="JN936" i="5"/>
  <c r="AO1046" i="2"/>
  <c r="AO1370" i="2"/>
  <c r="AO706" i="2"/>
  <c r="JL729" i="5"/>
  <c r="AO1047" i="2"/>
  <c r="AO1253" i="2"/>
  <c r="JL781" i="5"/>
  <c r="AO708" i="2"/>
  <c r="AN417" i="2"/>
  <c r="AO826" i="2"/>
  <c r="AO907" i="2" s="1"/>
  <c r="AI592" i="2"/>
  <c r="AH1625" i="2"/>
  <c r="ID874" i="5" l="1"/>
  <c r="AC1191" i="2" s="1"/>
  <c r="IP690" i="5"/>
  <c r="AG1012" i="2" s="1"/>
  <c r="EV898" i="5"/>
  <c r="BR993" i="5"/>
  <c r="GV1147" i="5"/>
  <c r="GV1142" i="5" s="1"/>
  <c r="BA1142" i="5"/>
  <c r="GU1147" i="5"/>
  <c r="GU1142" i="5" s="1"/>
  <c r="GU1140" i="5"/>
  <c r="GZ1139" i="5"/>
  <c r="GY1139" i="5"/>
  <c r="DU929" i="5"/>
  <c r="DU928" i="5" s="1"/>
  <c r="DU920" i="5" s="1"/>
  <c r="HF1140" i="5"/>
  <c r="IP885" i="5"/>
  <c r="AG1204" i="2" s="1"/>
  <c r="HE1140" i="5"/>
  <c r="HD1140" i="5"/>
  <c r="HC1140" i="5"/>
  <c r="HA1147" i="5"/>
  <c r="HA1142" i="5" s="1"/>
  <c r="HB1140" i="5"/>
  <c r="IP734" i="5"/>
  <c r="AG1056" i="2" s="1"/>
  <c r="IP876" i="5"/>
  <c r="AG1193" i="2" s="1"/>
  <c r="HR900" i="5"/>
  <c r="Y1221" i="2" s="1"/>
  <c r="DK1091" i="5"/>
  <c r="HA1140" i="5"/>
  <c r="JC687" i="5"/>
  <c r="JD687" i="5" s="1"/>
  <c r="JL709" i="5"/>
  <c r="JM709" i="5" s="1"/>
  <c r="IZ694" i="5"/>
  <c r="JA694" i="5" s="1"/>
  <c r="IZ715" i="5"/>
  <c r="JA715" i="5" s="1"/>
  <c r="JC715" i="5"/>
  <c r="JD715" i="5" s="1"/>
  <c r="JC694" i="5"/>
  <c r="JD694" i="5" s="1"/>
  <c r="JF716" i="5"/>
  <c r="JG716" i="5" s="1"/>
  <c r="JL707" i="5"/>
  <c r="JM707" i="5" s="1"/>
  <c r="JC688" i="5"/>
  <c r="JD688" i="5" s="1"/>
  <c r="JI701" i="5"/>
  <c r="JJ701" i="5" s="1"/>
  <c r="JC699" i="5"/>
  <c r="JD699" i="5" s="1"/>
  <c r="JF712" i="5"/>
  <c r="JG712" i="5" s="1"/>
  <c r="JI700" i="5"/>
  <c r="JJ700" i="5" s="1"/>
  <c r="IZ673" i="5"/>
  <c r="JA673" i="5" s="1"/>
  <c r="JC707" i="5"/>
  <c r="JD707" i="5" s="1"/>
  <c r="JI716" i="5"/>
  <c r="JJ716" i="5" s="1"/>
  <c r="JI670" i="5"/>
  <c r="JJ670" i="5" s="1"/>
  <c r="JC710" i="5"/>
  <c r="JD710" i="5" s="1"/>
  <c r="IZ687" i="5"/>
  <c r="JA687" i="5" s="1"/>
  <c r="JC711" i="5"/>
  <c r="JD711" i="5" s="1"/>
  <c r="IZ713" i="5"/>
  <c r="JA713" i="5" s="1"/>
  <c r="JF708" i="5"/>
  <c r="JG708" i="5" s="1"/>
  <c r="JC712" i="5"/>
  <c r="JD712" i="5" s="1"/>
  <c r="JF715" i="5"/>
  <c r="JG715" i="5" s="1"/>
  <c r="IZ688" i="5"/>
  <c r="JA688" i="5" s="1"/>
  <c r="JF714" i="5"/>
  <c r="JG714" i="5" s="1"/>
  <c r="IZ700" i="5"/>
  <c r="JA700" i="5" s="1"/>
  <c r="IZ708" i="5"/>
  <c r="JA708" i="5" s="1"/>
  <c r="JF694" i="5"/>
  <c r="JG694" i="5" s="1"/>
  <c r="IZ676" i="5"/>
  <c r="JA676" i="5" s="1"/>
  <c r="JC700" i="5"/>
  <c r="JD700" i="5" s="1"/>
  <c r="JC708" i="5"/>
  <c r="JD708" i="5" s="1"/>
  <c r="JL716" i="5"/>
  <c r="JM716" i="5" s="1"/>
  <c r="JC709" i="5"/>
  <c r="JD709" i="5" s="1"/>
  <c r="IZ710" i="5"/>
  <c r="JA710" i="5" s="1"/>
  <c r="JF699" i="5"/>
  <c r="JG699" i="5" s="1"/>
  <c r="IY787" i="5"/>
  <c r="IX787" i="5" s="1"/>
  <c r="AS17" i="19"/>
  <c r="AT17" i="19" s="1"/>
  <c r="AS13" i="19"/>
  <c r="AO1200" i="2"/>
  <c r="JN881" i="5" s="1"/>
  <c r="AS104" i="19"/>
  <c r="BA17" i="19"/>
  <c r="BB17" i="19" s="1"/>
  <c r="IY821" i="5"/>
  <c r="IX821" i="5" s="1"/>
  <c r="AL1245" i="2"/>
  <c r="AL1241" i="2" s="1"/>
  <c r="BA15" i="19"/>
  <c r="IY725" i="5"/>
  <c r="IX725" i="5" s="1"/>
  <c r="BA13" i="19"/>
  <c r="JB725" i="5"/>
  <c r="JE725" i="5"/>
  <c r="IZ930" i="5"/>
  <c r="IY927" i="5"/>
  <c r="IX927" i="5" s="1"/>
  <c r="AK1245" i="2"/>
  <c r="IY934" i="5"/>
  <c r="IX934" i="5" s="1"/>
  <c r="AS16" i="19"/>
  <c r="AM1245" i="2"/>
  <c r="JE821" i="5"/>
  <c r="JD821" i="5" s="1"/>
  <c r="JF930" i="5"/>
  <c r="JK725" i="5"/>
  <c r="BA33" i="19"/>
  <c r="BB33" i="19" s="1"/>
  <c r="JH725" i="5"/>
  <c r="IY931" i="5"/>
  <c r="IX931" i="5" s="1"/>
  <c r="BA16" i="19"/>
  <c r="AO1249" i="2"/>
  <c r="AS15" i="19"/>
  <c r="JC930" i="5"/>
  <c r="AS33" i="19"/>
  <c r="AT33" i="19" s="1"/>
  <c r="JB821" i="5"/>
  <c r="JA821" i="5" s="1"/>
  <c r="JN725" i="5"/>
  <c r="HX818" i="5"/>
  <c r="HX987" i="5" s="1"/>
  <c r="IA900" i="5"/>
  <c r="AB1221" i="2" s="1"/>
  <c r="ID907" i="5"/>
  <c r="AC1228" i="2" s="1"/>
  <c r="IG908" i="5"/>
  <c r="AD1229" i="2" s="1"/>
  <c r="HU864" i="5"/>
  <c r="Z1181" i="2" s="1"/>
  <c r="CW523" i="5"/>
  <c r="IJ903" i="5"/>
  <c r="AE1224" i="2" s="1"/>
  <c r="IP697" i="5"/>
  <c r="AG1019" i="2" s="1"/>
  <c r="AF552" i="2" s="1"/>
  <c r="HC1147" i="5"/>
  <c r="HC1142" i="5" s="1"/>
  <c r="GX1147" i="5"/>
  <c r="GX1142" i="5" s="1"/>
  <c r="IP714" i="5"/>
  <c r="AG1036" i="2" s="1"/>
  <c r="ID919" i="5"/>
  <c r="AC1238" i="2" s="1"/>
  <c r="HR909" i="5"/>
  <c r="Y1230" i="2" s="1"/>
  <c r="FL1140" i="5"/>
  <c r="ED979" i="5"/>
  <c r="JJ797" i="5"/>
  <c r="AS45" i="19"/>
  <c r="AT45" i="19" s="1"/>
  <c r="JI930" i="5"/>
  <c r="AS103" i="19"/>
  <c r="IP863" i="5"/>
  <c r="AG1180" i="2" s="1"/>
  <c r="AW94" i="19"/>
  <c r="AO74" i="19"/>
  <c r="V93" i="19"/>
  <c r="IA909" i="5"/>
  <c r="AB1230" i="2" s="1"/>
  <c r="GS1134" i="5"/>
  <c r="GN1134" i="5"/>
  <c r="H19" i="7"/>
  <c r="E77" i="7"/>
  <c r="E107" i="7"/>
  <c r="V856" i="5"/>
  <c r="V992" i="5" s="1"/>
  <c r="GZ1134" i="5"/>
  <c r="HF1153" i="5"/>
  <c r="HE1153" i="5"/>
  <c r="IP748" i="5"/>
  <c r="AG1070" i="2" s="1"/>
  <c r="IA876" i="5"/>
  <c r="AB1193" i="2" s="1"/>
  <c r="ID877" i="5"/>
  <c r="AC1194" i="2" s="1"/>
  <c r="IP887" i="5"/>
  <c r="GI1134" i="5"/>
  <c r="H32" i="7"/>
  <c r="EA722" i="5"/>
  <c r="CI822" i="5"/>
  <c r="CI988" i="5" s="1"/>
  <c r="GV1134" i="5"/>
  <c r="DP485" i="5"/>
  <c r="DP1137" i="5" s="1"/>
  <c r="HB1153" i="5"/>
  <c r="J988" i="5"/>
  <c r="IP866" i="5"/>
  <c r="AG1183" i="2" s="1"/>
  <c r="AM625" i="5"/>
  <c r="E40" i="7"/>
  <c r="HX68" i="5"/>
  <c r="EB722" i="5"/>
  <c r="GL1152" i="5"/>
  <c r="GO1147" i="5"/>
  <c r="GO1142" i="5" s="1"/>
  <c r="GP1139" i="5"/>
  <c r="GK1139" i="5"/>
  <c r="GW1134" i="5"/>
  <c r="GU1134" i="5"/>
  <c r="Y74" i="19"/>
  <c r="DC575" i="5"/>
  <c r="DC644" i="5" s="1"/>
  <c r="EE722" i="5"/>
  <c r="FS722" i="5"/>
  <c r="GK1152" i="5"/>
  <c r="IS714" i="5"/>
  <c r="AH1036" i="2" s="1"/>
  <c r="GW1139" i="5"/>
  <c r="IP685" i="5"/>
  <c r="AG1007" i="2" s="1"/>
  <c r="AG471" i="2" s="1"/>
  <c r="IM883" i="5"/>
  <c r="AF1202" i="2" s="1"/>
  <c r="IK661" i="5"/>
  <c r="HX605" i="5"/>
  <c r="AA837" i="2" s="1"/>
  <c r="HV747" i="5"/>
  <c r="IP723" i="5"/>
  <c r="AG1045" i="2" s="1"/>
  <c r="AG1302" i="2" s="1"/>
  <c r="AG1389" i="2" s="1"/>
  <c r="CY1091" i="5"/>
  <c r="E58" i="7"/>
  <c r="Y17" i="19"/>
  <c r="HR875" i="5"/>
  <c r="Y1192" i="2" s="1"/>
  <c r="IS933" i="5"/>
  <c r="AH1253" i="2" s="1"/>
  <c r="AH1364" i="2" s="1"/>
  <c r="AH1451" i="2" s="1"/>
  <c r="GX1153" i="5"/>
  <c r="GI1152" i="5"/>
  <c r="HE1147" i="5"/>
  <c r="HE1142" i="5" s="1"/>
  <c r="GZ1147" i="5"/>
  <c r="GZ1142" i="5" s="1"/>
  <c r="DU523" i="5"/>
  <c r="DU521" i="5" s="1"/>
  <c r="DU1147" i="5" s="1"/>
  <c r="DR645" i="5"/>
  <c r="DX980" i="5"/>
  <c r="FL980" i="5"/>
  <c r="IP728" i="5"/>
  <c r="AG1050" i="2" s="1"/>
  <c r="AG1306" i="2" s="1"/>
  <c r="AG1393" i="2" s="1"/>
  <c r="IP820" i="5"/>
  <c r="AG1136" i="2" s="1"/>
  <c r="AG1333" i="2" s="1"/>
  <c r="AG1420" i="2" s="1"/>
  <c r="GW1153" i="5"/>
  <c r="HD1147" i="5"/>
  <c r="HD1142" i="5" s="1"/>
  <c r="GY1147" i="5"/>
  <c r="GY1142" i="5" s="1"/>
  <c r="JC883" i="5"/>
  <c r="JF798" i="5"/>
  <c r="JJ884" i="5"/>
  <c r="JI883" i="5"/>
  <c r="JC798" i="5"/>
  <c r="JA884" i="5"/>
  <c r="IZ883" i="5"/>
  <c r="JF883" i="5"/>
  <c r="AJ1551" i="2"/>
  <c r="A60" i="19"/>
  <c r="W1554" i="2"/>
  <c r="AM1176" i="2"/>
  <c r="AP639" i="2"/>
  <c r="AL1176" i="2"/>
  <c r="AK1176" i="2"/>
  <c r="AM103" i="19"/>
  <c r="W16" i="19"/>
  <c r="AE16" i="19"/>
  <c r="AG16" i="19" s="1"/>
  <c r="W12" i="19"/>
  <c r="BC103" i="19"/>
  <c r="BB103" i="19" s="1"/>
  <c r="O15" i="19"/>
  <c r="AU16" i="19"/>
  <c r="W103" i="19"/>
  <c r="Y103" i="19" s="1"/>
  <c r="BC15" i="19"/>
  <c r="AU15" i="19"/>
  <c r="AC104" i="19"/>
  <c r="U15" i="19"/>
  <c r="U36" i="19"/>
  <c r="U72" i="19"/>
  <c r="V72" i="19" s="1"/>
  <c r="AK72" i="19"/>
  <c r="AL72" i="19" s="1"/>
  <c r="AC36" i="19"/>
  <c r="AD36" i="19" s="1"/>
  <c r="AC72" i="19"/>
  <c r="AD72" i="19" s="1"/>
  <c r="AC15" i="19"/>
  <c r="U16" i="19"/>
  <c r="U90" i="19"/>
  <c r="V90" i="19" s="1"/>
  <c r="AK16" i="19"/>
  <c r="U12" i="19"/>
  <c r="AC17" i="19"/>
  <c r="AD17" i="19" s="1"/>
  <c r="U104" i="19"/>
  <c r="V104" i="19" s="1"/>
  <c r="AC16" i="19"/>
  <c r="U46" i="19"/>
  <c r="V46" i="19" s="1"/>
  <c r="AE93" i="19"/>
  <c r="AC12" i="19"/>
  <c r="U44" i="19"/>
  <c r="V44" i="19" s="1"/>
  <c r="AK104" i="19"/>
  <c r="AK12" i="19"/>
  <c r="U17" i="19"/>
  <c r="V17" i="19" s="1"/>
  <c r="AK13" i="19"/>
  <c r="AK17" i="19"/>
  <c r="U13" i="19"/>
  <c r="AK36" i="19"/>
  <c r="AL36" i="19" s="1"/>
  <c r="AC13" i="19"/>
  <c r="U45" i="19"/>
  <c r="V45" i="19" s="1"/>
  <c r="AK15" i="19"/>
  <c r="AK33" i="19"/>
  <c r="AL33" i="19" s="1"/>
  <c r="U106" i="19"/>
  <c r="V106" i="19" s="1"/>
  <c r="AC106" i="19"/>
  <c r="AD106" i="19" s="1"/>
  <c r="AK106" i="19"/>
  <c r="AL106" i="19" s="1"/>
  <c r="U33" i="19"/>
  <c r="V33" i="19" s="1"/>
  <c r="AC33" i="19"/>
  <c r="AD33" i="19" s="1"/>
  <c r="W1528" i="2"/>
  <c r="AK639" i="2"/>
  <c r="AQ1551" i="2"/>
  <c r="AO1134" i="2"/>
  <c r="W1550" i="2"/>
  <c r="AK1284" i="2"/>
  <c r="AN403" i="2"/>
  <c r="W1546" i="2"/>
  <c r="AU104" i="19"/>
  <c r="AN1551" i="2"/>
  <c r="AE104" i="19"/>
  <c r="AG104" i="19" s="1"/>
  <c r="AL1551" i="2"/>
  <c r="AK1551" i="2"/>
  <c r="AM104" i="19"/>
  <c r="AM1551" i="2"/>
  <c r="X1317" i="2"/>
  <c r="X1404" i="2" s="1"/>
  <c r="W1334" i="2"/>
  <c r="W1421" i="2" s="1"/>
  <c r="BC13" i="19"/>
  <c r="W13" i="19"/>
  <c r="AF1542" i="2"/>
  <c r="AF1543" i="2"/>
  <c r="X1293" i="2"/>
  <c r="X1380" i="2" s="1"/>
  <c r="W1365" i="2"/>
  <c r="W1551" i="2"/>
  <c r="AE13" i="19"/>
  <c r="AG13" i="19" s="1"/>
  <c r="BC104" i="19"/>
  <c r="BB104" i="19" s="1"/>
  <c r="W1547" i="2"/>
  <c r="IZ744" i="5"/>
  <c r="AK1066" i="2"/>
  <c r="IP811" i="5"/>
  <c r="AG1127" i="2" s="1"/>
  <c r="AG617" i="2" s="1"/>
  <c r="AG618" i="2" s="1"/>
  <c r="IS756" i="5"/>
  <c r="AH1078" i="2" s="1"/>
  <c r="AH1316" i="2" s="1"/>
  <c r="AH1403" i="2" s="1"/>
  <c r="IS875" i="5"/>
  <c r="AH1192" i="2" s="1"/>
  <c r="GU1153" i="5"/>
  <c r="GS1147" i="5"/>
  <c r="GS1142" i="5" s="1"/>
  <c r="GT1139" i="5"/>
  <c r="GO1139" i="5"/>
  <c r="GJ1139" i="5"/>
  <c r="IV879" i="5"/>
  <c r="AI1198" i="2" s="1"/>
  <c r="HB1147" i="5"/>
  <c r="HB1142" i="5" s="1"/>
  <c r="GW1147" i="5"/>
  <c r="GW1142" i="5" s="1"/>
  <c r="GT1134" i="5"/>
  <c r="GO1134" i="5"/>
  <c r="GJ1134" i="5"/>
  <c r="HE1134" i="5"/>
  <c r="DQ1140" i="5"/>
  <c r="IP699" i="5"/>
  <c r="AG1021" i="2" s="1"/>
  <c r="HD856" i="5"/>
  <c r="HD1134" i="5"/>
  <c r="GY1134" i="5"/>
  <c r="GR1140" i="5"/>
  <c r="GM1140" i="5"/>
  <c r="ET929" i="5"/>
  <c r="ET928" i="5" s="1"/>
  <c r="ET920" i="5" s="1"/>
  <c r="ET997" i="5" s="1"/>
  <c r="FN929" i="5"/>
  <c r="FN928" i="5" s="1"/>
  <c r="FN920" i="5" s="1"/>
  <c r="FN1153" i="5" s="1"/>
  <c r="FY987" i="5"/>
  <c r="FY1151" i="5"/>
  <c r="FY1149" i="5" s="1"/>
  <c r="FY1141" i="5" s="1"/>
  <c r="FY1157" i="5" s="1"/>
  <c r="GR1139" i="5"/>
  <c r="GM1139" i="5"/>
  <c r="HF1134" i="5"/>
  <c r="GM857" i="5"/>
  <c r="GM856" i="5" s="1"/>
  <c r="GM1152" i="5"/>
  <c r="AH1633" i="2"/>
  <c r="AV625" i="5"/>
  <c r="HX213" i="5"/>
  <c r="IP725" i="5"/>
  <c r="AG1047" i="2" s="1"/>
  <c r="IN943" i="5"/>
  <c r="GR1147" i="5"/>
  <c r="GR1142" i="5" s="1"/>
  <c r="GP1140" i="5"/>
  <c r="GK1140" i="5"/>
  <c r="HC1134" i="5"/>
  <c r="GX1134" i="5"/>
  <c r="GM1134" i="5"/>
  <c r="CR523" i="5"/>
  <c r="IM700" i="5"/>
  <c r="AF1022" i="2" s="1"/>
  <c r="IP704" i="5"/>
  <c r="AG1026" i="2" s="1"/>
  <c r="AG520" i="2" s="1"/>
  <c r="IM919" i="5"/>
  <c r="AF1238" i="2" s="1"/>
  <c r="HC1139" i="5"/>
  <c r="GX1139" i="5"/>
  <c r="HD1139" i="5"/>
  <c r="GS1139" i="5"/>
  <c r="GN1139" i="5"/>
  <c r="GI1139" i="5"/>
  <c r="HC1153" i="5"/>
  <c r="HA1139" i="5"/>
  <c r="GV1139" i="5"/>
  <c r="GA987" i="5"/>
  <c r="GA1151" i="5"/>
  <c r="GA1149" i="5" s="1"/>
  <c r="GA1141" i="5" s="1"/>
  <c r="GA1157" i="5" s="1"/>
  <c r="GQ1134" i="5"/>
  <c r="FK980" i="5"/>
  <c r="HB1134" i="5"/>
  <c r="HB1139" i="5"/>
  <c r="DJ485" i="5"/>
  <c r="DJ1137" i="5" s="1"/>
  <c r="DC822" i="5"/>
  <c r="DC988" i="5" s="1"/>
  <c r="FW817" i="5"/>
  <c r="FW986" i="5" s="1"/>
  <c r="FW1151" i="5"/>
  <c r="FW1149" i="5" s="1"/>
  <c r="FW1141" i="5" s="1"/>
  <c r="FW1157" i="5" s="1"/>
  <c r="GR857" i="5"/>
  <c r="GR856" i="5" s="1"/>
  <c r="GR1152" i="5"/>
  <c r="GT1147" i="5"/>
  <c r="GT1142" i="5" s="1"/>
  <c r="GP1134" i="5"/>
  <c r="GK1134" i="5"/>
  <c r="GU1139" i="5"/>
  <c r="GC817" i="5"/>
  <c r="GC986" i="5" s="1"/>
  <c r="GC1151" i="5"/>
  <c r="GC1149" i="5" s="1"/>
  <c r="GC1141" i="5" s="1"/>
  <c r="GV1153" i="5"/>
  <c r="GL1134" i="5"/>
  <c r="HA1134" i="5"/>
  <c r="AJ856" i="5"/>
  <c r="AJ992" i="5" s="1"/>
  <c r="IA546" i="5"/>
  <c r="IG512" i="5"/>
  <c r="AD723" i="2" s="1"/>
  <c r="DP707" i="5"/>
  <c r="DP977" i="5" s="1"/>
  <c r="GH987" i="5"/>
  <c r="GH1151" i="5"/>
  <c r="GH1149" i="5" s="1"/>
  <c r="GH1141" i="5" s="1"/>
  <c r="GH1157" i="5" s="1"/>
  <c r="GJ1152" i="5"/>
  <c r="GQ1147" i="5"/>
  <c r="GQ1142" i="5" s="1"/>
  <c r="HA1153" i="5"/>
  <c r="GP857" i="5"/>
  <c r="GP856" i="5" s="1"/>
  <c r="GP1152" i="5"/>
  <c r="IG895" i="5"/>
  <c r="AD1216" i="2" s="1"/>
  <c r="FZ817" i="5"/>
  <c r="FZ986" i="5" s="1"/>
  <c r="FZ1151" i="5"/>
  <c r="FZ1149" i="5" s="1"/>
  <c r="FZ1141" i="5" s="1"/>
  <c r="FZ1157" i="5" s="1"/>
  <c r="GI1140" i="5"/>
  <c r="BS1133" i="5"/>
  <c r="IP865" i="5"/>
  <c r="AG1182" i="2" s="1"/>
  <c r="IP880" i="5"/>
  <c r="AG1199" i="2" s="1"/>
  <c r="IP904" i="5"/>
  <c r="AG1225" i="2" s="1"/>
  <c r="AG1626" i="2" s="1"/>
  <c r="IG909" i="5"/>
  <c r="AD1230" i="2" s="1"/>
  <c r="IP935" i="5"/>
  <c r="AG1255" i="2" s="1"/>
  <c r="IS782" i="5"/>
  <c r="AH1098" i="2" s="1"/>
  <c r="GG817" i="5"/>
  <c r="GG986" i="5" s="1"/>
  <c r="GG1151" i="5"/>
  <c r="GG1149" i="5" s="1"/>
  <c r="GG1141" i="5" s="1"/>
  <c r="GG1157" i="5" s="1"/>
  <c r="GZ1153" i="5"/>
  <c r="GQ857" i="5"/>
  <c r="GQ856" i="5" s="1"/>
  <c r="GQ1152" i="5"/>
  <c r="GQ1140" i="5"/>
  <c r="GL1140" i="5"/>
  <c r="GE817" i="5"/>
  <c r="GE986" i="5" s="1"/>
  <c r="GE1151" i="5"/>
  <c r="GE1149" i="5" s="1"/>
  <c r="GE1141" i="5" s="1"/>
  <c r="GE1157" i="5" s="1"/>
  <c r="IP891" i="5"/>
  <c r="AG1212" i="2" s="1"/>
  <c r="AG1359" i="2" s="1"/>
  <c r="AG1446" i="2" s="1"/>
  <c r="GD817" i="5"/>
  <c r="GD986" i="5" s="1"/>
  <c r="GD1151" i="5"/>
  <c r="GD1149" i="5" s="1"/>
  <c r="GD1141" i="5" s="1"/>
  <c r="GD1157" i="5" s="1"/>
  <c r="GO857" i="5"/>
  <c r="GO856" i="5" s="1"/>
  <c r="GO1152" i="5"/>
  <c r="GT1140" i="5"/>
  <c r="GO1140" i="5"/>
  <c r="GJ1140" i="5"/>
  <c r="GP1147" i="5"/>
  <c r="GP1142" i="5" s="1"/>
  <c r="IA592" i="5"/>
  <c r="GN1152" i="5"/>
  <c r="DH633" i="5"/>
  <c r="DC980" i="5"/>
  <c r="EJ979" i="5"/>
  <c r="GT857" i="5"/>
  <c r="GT856" i="5" s="1"/>
  <c r="GT1152" i="5"/>
  <c r="GR1134" i="5"/>
  <c r="GS857" i="5"/>
  <c r="GS856" i="5" s="1"/>
  <c r="GS1152" i="5"/>
  <c r="GS1140" i="5"/>
  <c r="GN1140" i="5"/>
  <c r="HD1153" i="5"/>
  <c r="IA565" i="5"/>
  <c r="EP822" i="5"/>
  <c r="EP988" i="5" s="1"/>
  <c r="IP848" i="5"/>
  <c r="IP869" i="5"/>
  <c r="AG1186" i="2" s="1"/>
  <c r="IP874" i="5"/>
  <c r="AG1191" i="2" s="1"/>
  <c r="HX876" i="5"/>
  <c r="AA1193" i="2" s="1"/>
  <c r="IP881" i="5"/>
  <c r="AG1200" i="2" s="1"/>
  <c r="AG1771" i="2" s="1"/>
  <c r="IM887" i="5"/>
  <c r="AF1208" i="2" s="1"/>
  <c r="ID895" i="5"/>
  <c r="AC1216" i="2" s="1"/>
  <c r="CY929" i="5"/>
  <c r="CY928" i="5" s="1"/>
  <c r="CY920" i="5" s="1"/>
  <c r="CY997" i="5" s="1"/>
  <c r="DS929" i="5"/>
  <c r="DS928" i="5" s="1"/>
  <c r="DS920" i="5" s="1"/>
  <c r="DS997" i="5" s="1"/>
  <c r="GF817" i="5"/>
  <c r="GF842" i="5" s="1"/>
  <c r="GF1151" i="5"/>
  <c r="GF1149" i="5" s="1"/>
  <c r="GF1141" i="5" s="1"/>
  <c r="GF1157" i="5" s="1"/>
  <c r="GY1153" i="5"/>
  <c r="GQ1139" i="5"/>
  <c r="GL1139" i="5"/>
  <c r="HF1147" i="5"/>
  <c r="HF1142" i="5" s="1"/>
  <c r="E90" i="7"/>
  <c r="H134" i="7"/>
  <c r="E23" i="7"/>
  <c r="K104" i="7"/>
  <c r="IY799" i="5"/>
  <c r="IX799" i="5" s="1"/>
  <c r="O48" i="19"/>
  <c r="JE799" i="5"/>
  <c r="JC799" i="5" s="1"/>
  <c r="AE48" i="19"/>
  <c r="AG48" i="19" s="1"/>
  <c r="JE937" i="5"/>
  <c r="JC937" i="5" s="1"/>
  <c r="AE105" i="19"/>
  <c r="JH937" i="5"/>
  <c r="JF937" i="5" s="1"/>
  <c r="JG937" i="5" s="1"/>
  <c r="AM105" i="19"/>
  <c r="JB937" i="5"/>
  <c r="IZ937" i="5" s="1"/>
  <c r="W105" i="19"/>
  <c r="Y105" i="19" s="1"/>
  <c r="JB799" i="5"/>
  <c r="IZ799" i="5" s="1"/>
  <c r="W48" i="19"/>
  <c r="BD93" i="19"/>
  <c r="BF93" i="19" s="1"/>
  <c r="BE93" i="19"/>
  <c r="AV92" i="19"/>
  <c r="AX92" i="19" s="1"/>
  <c r="AW92" i="19"/>
  <c r="AV93" i="19"/>
  <c r="AX93" i="19" s="1"/>
  <c r="AW93" i="19"/>
  <c r="JN799" i="5"/>
  <c r="JL799" i="5" s="1"/>
  <c r="BC48" i="19"/>
  <c r="JK799" i="5"/>
  <c r="JI799" i="5" s="1"/>
  <c r="AU48" i="19"/>
  <c r="JH799" i="5"/>
  <c r="JF799" i="5" s="1"/>
  <c r="AM48" i="19"/>
  <c r="AG36" i="19"/>
  <c r="AG33" i="19"/>
  <c r="Y33" i="19"/>
  <c r="Q92" i="19"/>
  <c r="Q93" i="19"/>
  <c r="IX875" i="5"/>
  <c r="IX720" i="5"/>
  <c r="AJ1284" i="2"/>
  <c r="DN611" i="5"/>
  <c r="DN610" i="5" s="1"/>
  <c r="DN1156" i="5" s="1"/>
  <c r="CB467" i="5"/>
  <c r="CB567" i="5" s="1"/>
  <c r="DS718" i="5"/>
  <c r="FG730" i="5"/>
  <c r="FG981" i="5" s="1"/>
  <c r="IK749" i="5"/>
  <c r="HR903" i="5"/>
  <c r="Y1224" i="2" s="1"/>
  <c r="DC1068" i="5"/>
  <c r="DM1075" i="5"/>
  <c r="IS873" i="5"/>
  <c r="AH1190" i="2" s="1"/>
  <c r="IA907" i="5"/>
  <c r="AB1228" i="2" s="1"/>
  <c r="I132" i="7"/>
  <c r="K132" i="7" s="1"/>
  <c r="I817" i="5"/>
  <c r="I986" i="5" s="1"/>
  <c r="DO523" i="5"/>
  <c r="DO521" i="5" s="1"/>
  <c r="DO1147" i="5" s="1"/>
  <c r="EI523" i="5"/>
  <c r="EI521" i="5" s="1"/>
  <c r="EI1147" i="5" s="1"/>
  <c r="BI465" i="5"/>
  <c r="BI626" i="5" s="1"/>
  <c r="CZ611" i="5"/>
  <c r="CZ610" i="5" s="1"/>
  <c r="CZ1156" i="5" s="1"/>
  <c r="IP726" i="5"/>
  <c r="AG1048" i="2" s="1"/>
  <c r="IP735" i="5"/>
  <c r="AG1057" i="2" s="1"/>
  <c r="DL893" i="5"/>
  <c r="DL996" i="5" s="1"/>
  <c r="CX929" i="5"/>
  <c r="CX928" i="5" s="1"/>
  <c r="CX920" i="5" s="1"/>
  <c r="DR929" i="5"/>
  <c r="DR928" i="5" s="1"/>
  <c r="DR920" i="5" s="1"/>
  <c r="DR997" i="5" s="1"/>
  <c r="EL929" i="5"/>
  <c r="EL928" i="5" s="1"/>
  <c r="EL920" i="5" s="1"/>
  <c r="FF929" i="5"/>
  <c r="FF928" i="5" s="1"/>
  <c r="FF920" i="5" s="1"/>
  <c r="IS824" i="5"/>
  <c r="AH1140" i="2" s="1"/>
  <c r="AH1335" i="2" s="1"/>
  <c r="AH1422" i="2" s="1"/>
  <c r="EC514" i="5"/>
  <c r="IM924" i="5"/>
  <c r="AF1243" i="2" s="1"/>
  <c r="DL1087" i="5"/>
  <c r="CJ980" i="5"/>
  <c r="DD980" i="5"/>
  <c r="ER980" i="5"/>
  <c r="CT898" i="5"/>
  <c r="CT893" i="5" s="1"/>
  <c r="CT996" i="5" s="1"/>
  <c r="ED856" i="5"/>
  <c r="ED992" i="5" s="1"/>
  <c r="K638" i="5"/>
  <c r="EV993" i="5"/>
  <c r="DI722" i="5"/>
  <c r="IE938" i="5"/>
  <c r="IP712" i="5"/>
  <c r="AG1034" i="2" s="1"/>
  <c r="T717" i="5"/>
  <c r="T978" i="5" s="1"/>
  <c r="CP979" i="5"/>
  <c r="DJ979" i="5"/>
  <c r="EX979" i="5"/>
  <c r="CS822" i="5"/>
  <c r="CS988" i="5" s="1"/>
  <c r="IP713" i="5"/>
  <c r="AG1035" i="2" s="1"/>
  <c r="EQ929" i="5"/>
  <c r="EQ928" i="5" s="1"/>
  <c r="EQ920" i="5" s="1"/>
  <c r="EQ997" i="5" s="1"/>
  <c r="FK929" i="5"/>
  <c r="FK928" i="5" s="1"/>
  <c r="FK920" i="5" s="1"/>
  <c r="IM888" i="5"/>
  <c r="AF1209" i="2" s="1"/>
  <c r="IA539" i="5"/>
  <c r="IE746" i="5"/>
  <c r="IA607" i="5"/>
  <c r="CZ633" i="5"/>
  <c r="DF856" i="5"/>
  <c r="DF992" i="5" s="1"/>
  <c r="BW631" i="5"/>
  <c r="H35" i="7"/>
  <c r="BH856" i="5"/>
  <c r="BH992" i="5" s="1"/>
  <c r="BG856" i="5"/>
  <c r="BG992" i="5" s="1"/>
  <c r="ET993" i="5"/>
  <c r="S856" i="5"/>
  <c r="S992" i="5" s="1"/>
  <c r="AE625" i="5"/>
  <c r="CA1138" i="5"/>
  <c r="AL993" i="5"/>
  <c r="BO631" i="5"/>
  <c r="IP799" i="5"/>
  <c r="AG1115" i="2" s="1"/>
  <c r="IP855" i="5"/>
  <c r="GD987" i="5"/>
  <c r="BG892" i="5"/>
  <c r="BG995" i="5" s="1"/>
  <c r="EW856" i="5"/>
  <c r="EW992" i="5" s="1"/>
  <c r="CZ856" i="5"/>
  <c r="CZ992" i="5" s="1"/>
  <c r="CU1091" i="5"/>
  <c r="CW707" i="5"/>
  <c r="CW977" i="5" s="1"/>
  <c r="II708" i="5"/>
  <c r="II726" i="5"/>
  <c r="DN893" i="5"/>
  <c r="DN996" i="5" s="1"/>
  <c r="W892" i="5"/>
  <c r="W995" i="5" s="1"/>
  <c r="BL628" i="5"/>
  <c r="HU859" i="5"/>
  <c r="Z1176" i="2" s="1"/>
  <c r="Z1622" i="2" s="1"/>
  <c r="IC682" i="5"/>
  <c r="IP683" i="5"/>
  <c r="AG1005" i="2" s="1"/>
  <c r="AG463" i="2" s="1"/>
  <c r="HT684" i="5"/>
  <c r="HP685" i="5"/>
  <c r="IE685" i="5"/>
  <c r="IL689" i="5"/>
  <c r="IH690" i="5"/>
  <c r="IC691" i="5"/>
  <c r="HY692" i="5"/>
  <c r="IP692" i="5"/>
  <c r="AG1014" i="2" s="1"/>
  <c r="AG491" i="2" s="1"/>
  <c r="HT693" i="5"/>
  <c r="II693" i="5"/>
  <c r="IM694" i="5"/>
  <c r="AF1016" i="2" s="1"/>
  <c r="IL696" i="5"/>
  <c r="IC713" i="5"/>
  <c r="BU717" i="5"/>
  <c r="BU978" i="5" s="1"/>
  <c r="CI718" i="5"/>
  <c r="DC718" i="5"/>
  <c r="DW718" i="5"/>
  <c r="IP720" i="5"/>
  <c r="AG1042" i="2" s="1"/>
  <c r="II721" i="5"/>
  <c r="CO979" i="5"/>
  <c r="EW979" i="5"/>
  <c r="IF724" i="5"/>
  <c r="IP742" i="5"/>
  <c r="AG1064" i="2" s="1"/>
  <c r="IP792" i="5"/>
  <c r="AG1108" i="2" s="1"/>
  <c r="IP798" i="5"/>
  <c r="AG1114" i="2" s="1"/>
  <c r="ID876" i="5"/>
  <c r="AC1193" i="2" s="1"/>
  <c r="HR881" i="5"/>
  <c r="Y1202" i="2" s="1"/>
  <c r="IP883" i="5"/>
  <c r="AG1202" i="2" s="1"/>
  <c r="IJ895" i="5"/>
  <c r="AE1216" i="2" s="1"/>
  <c r="IM918" i="5"/>
  <c r="AF1237" i="2" s="1"/>
  <c r="K9" i="7"/>
  <c r="IS804" i="5"/>
  <c r="AH1120" i="2" s="1"/>
  <c r="IS825" i="5"/>
  <c r="AH1141" i="2" s="1"/>
  <c r="IS839" i="5"/>
  <c r="IS853" i="5"/>
  <c r="CD1133" i="5"/>
  <c r="CE523" i="5"/>
  <c r="BJ631" i="5"/>
  <c r="S892" i="5"/>
  <c r="S995" i="5" s="1"/>
  <c r="BH892" i="5"/>
  <c r="BH995" i="5" s="1"/>
  <c r="BL631" i="5"/>
  <c r="EU856" i="5"/>
  <c r="EU992" i="5" s="1"/>
  <c r="FP898" i="5"/>
  <c r="FP893" i="5" s="1"/>
  <c r="FP996" i="5" s="1"/>
  <c r="HV703" i="5"/>
  <c r="CR722" i="5"/>
  <c r="EF722" i="5"/>
  <c r="HX790" i="5"/>
  <c r="AA1104" i="2" s="1"/>
  <c r="AA638" i="2" s="1"/>
  <c r="DO822" i="5"/>
  <c r="DO988" i="5" s="1"/>
  <c r="IP830" i="5"/>
  <c r="AG1146" i="2" s="1"/>
  <c r="IP893" i="5"/>
  <c r="IP996" i="5" s="1"/>
  <c r="IP898" i="5"/>
  <c r="AG1219" i="2" s="1"/>
  <c r="AG1586" i="2" s="1"/>
  <c r="V892" i="5"/>
  <c r="V995" i="5" s="1"/>
  <c r="CB631" i="5"/>
  <c r="CD856" i="5"/>
  <c r="CD992" i="5" s="1"/>
  <c r="AQ625" i="5"/>
  <c r="HX194" i="5"/>
  <c r="EY1134" i="5"/>
  <c r="FS1134" i="5"/>
  <c r="IP681" i="5"/>
  <c r="AG1003" i="2" s="1"/>
  <c r="HT682" i="5"/>
  <c r="II682" i="5"/>
  <c r="HZ684" i="5"/>
  <c r="HV685" i="5"/>
  <c r="HQ686" i="5"/>
  <c r="IE692" i="5"/>
  <c r="HZ693" i="5"/>
  <c r="CN1139" i="5"/>
  <c r="CY611" i="5"/>
  <c r="CY610" i="5" s="1"/>
  <c r="CY1156" i="5" s="1"/>
  <c r="IP696" i="5"/>
  <c r="AG1018" i="2" s="1"/>
  <c r="AG500" i="2" s="1"/>
  <c r="EC898" i="5"/>
  <c r="EC893" i="5" s="1"/>
  <c r="HY919" i="5"/>
  <c r="E113" i="7"/>
  <c r="IP741" i="5"/>
  <c r="AG1063" i="2" s="1"/>
  <c r="HZ757" i="5"/>
  <c r="HQ830" i="5"/>
  <c r="X1146" i="2" s="1"/>
  <c r="CG585" i="5"/>
  <c r="CG584" i="5" s="1"/>
  <c r="AR631" i="5"/>
  <c r="AF817" i="5"/>
  <c r="AF986" i="5" s="1"/>
  <c r="CT633" i="5"/>
  <c r="BI856" i="5"/>
  <c r="BI992" i="5" s="1"/>
  <c r="FR993" i="5"/>
  <c r="BJ993" i="5"/>
  <c r="BJ1153" i="5"/>
  <c r="AP627" i="5"/>
  <c r="AX1142" i="5"/>
  <c r="KO717" i="5"/>
  <c r="KO978" i="5" s="1"/>
  <c r="EK979" i="5"/>
  <c r="HV832" i="5"/>
  <c r="IP835" i="5"/>
  <c r="IP991" i="5" s="1"/>
  <c r="IA895" i="5"/>
  <c r="AB1216" i="2" s="1"/>
  <c r="DJ993" i="5"/>
  <c r="CX611" i="5"/>
  <c r="CX610" i="5" s="1"/>
  <c r="CX1156" i="5" s="1"/>
  <c r="O1149" i="5"/>
  <c r="BN856" i="5"/>
  <c r="BN992" i="5" s="1"/>
  <c r="BI625" i="5"/>
  <c r="AD651" i="5"/>
  <c r="U1138" i="5"/>
  <c r="E35" i="7"/>
  <c r="EA822" i="5"/>
  <c r="EA988" i="5" s="1"/>
  <c r="FQ898" i="5"/>
  <c r="FQ893" i="5" s="1"/>
  <c r="FQ996" i="5" s="1"/>
  <c r="IP765" i="5"/>
  <c r="AG1087" i="2" s="1"/>
  <c r="IF832" i="5"/>
  <c r="IL899" i="5"/>
  <c r="BK1138" i="5"/>
  <c r="EX856" i="5"/>
  <c r="EX992" i="5" s="1"/>
  <c r="AP856" i="5"/>
  <c r="AP992" i="5" s="1"/>
  <c r="EH514" i="5"/>
  <c r="KN623" i="5"/>
  <c r="FQ856" i="5"/>
  <c r="FQ992" i="5" s="1"/>
  <c r="IA908" i="5"/>
  <c r="AB1229" i="2" s="1"/>
  <c r="IP927" i="5"/>
  <c r="AG1246" i="2" s="1"/>
  <c r="CY1140" i="5"/>
  <c r="BO993" i="5"/>
  <c r="IP764" i="5"/>
  <c r="AG1086" i="2" s="1"/>
  <c r="DW822" i="5"/>
  <c r="DW988" i="5" s="1"/>
  <c r="EQ822" i="5"/>
  <c r="EQ988" i="5" s="1"/>
  <c r="IP846" i="5"/>
  <c r="IP864" i="5"/>
  <c r="AG1181" i="2" s="1"/>
  <c r="HU877" i="5"/>
  <c r="Z1194" i="2" s="1"/>
  <c r="IJ881" i="5"/>
  <c r="AE1202" i="2" s="1"/>
  <c r="HX895" i="5"/>
  <c r="AA1216" i="2" s="1"/>
  <c r="IM897" i="5"/>
  <c r="AF1218" i="2" s="1"/>
  <c r="FS898" i="5"/>
  <c r="FS893" i="5" s="1"/>
  <c r="FS996" i="5" s="1"/>
  <c r="EC822" i="5"/>
  <c r="EC988" i="5" s="1"/>
  <c r="HR890" i="5"/>
  <c r="HR994" i="5" s="1"/>
  <c r="IB906" i="5"/>
  <c r="AB1581" i="2" s="1"/>
  <c r="H628" i="5"/>
  <c r="DD523" i="5"/>
  <c r="DD521" i="5" s="1"/>
  <c r="DF722" i="5"/>
  <c r="EH822" i="5"/>
  <c r="EH988" i="5" s="1"/>
  <c r="N1153" i="5"/>
  <c r="AT1133" i="5"/>
  <c r="EZ993" i="5"/>
  <c r="CC856" i="5"/>
  <c r="CC992" i="5" s="1"/>
  <c r="IL677" i="5"/>
  <c r="IP716" i="5"/>
  <c r="AG1038" i="2" s="1"/>
  <c r="IP731" i="5"/>
  <c r="AG1053" i="2" s="1"/>
  <c r="AG1309" i="2" s="1"/>
  <c r="AG1396" i="2" s="1"/>
  <c r="CN898" i="5"/>
  <c r="CN893" i="5" s="1"/>
  <c r="CN892" i="5" s="1"/>
  <c r="CN995" i="5" s="1"/>
  <c r="IP933" i="5"/>
  <c r="AG1253" i="2" s="1"/>
  <c r="AG1364" i="2" s="1"/>
  <c r="AG1451" i="2" s="1"/>
  <c r="IV750" i="5"/>
  <c r="AI1072" i="2" s="1"/>
  <c r="IV790" i="5"/>
  <c r="AI1104" i="2" s="1"/>
  <c r="IV801" i="5"/>
  <c r="AI1117" i="2" s="1"/>
  <c r="AH651" i="5"/>
  <c r="CU645" i="5"/>
  <c r="HW565" i="5"/>
  <c r="F95" i="7" s="1"/>
  <c r="H95" i="7" s="1"/>
  <c r="AP628" i="5"/>
  <c r="IE691" i="5"/>
  <c r="EW718" i="5"/>
  <c r="IP729" i="5"/>
  <c r="AG1051" i="2" s="1"/>
  <c r="AG1307" i="2" s="1"/>
  <c r="AG1394" i="2" s="1"/>
  <c r="CP1075" i="5"/>
  <c r="CT822" i="5"/>
  <c r="CT988" i="5" s="1"/>
  <c r="BN628" i="5"/>
  <c r="DI1140" i="5"/>
  <c r="Y856" i="5"/>
  <c r="Y992" i="5" s="1"/>
  <c r="BB638" i="5"/>
  <c r="DL856" i="5"/>
  <c r="DL992" i="5" s="1"/>
  <c r="DB856" i="5"/>
  <c r="DB992" i="5" s="1"/>
  <c r="J856" i="5"/>
  <c r="J992" i="5" s="1"/>
  <c r="N638" i="5"/>
  <c r="AP1133" i="5"/>
  <c r="Y625" i="5"/>
  <c r="V636" i="5"/>
  <c r="DI856" i="5"/>
  <c r="DI992" i="5" s="1"/>
  <c r="FT980" i="5"/>
  <c r="IP746" i="5"/>
  <c r="AG1068" i="2" s="1"/>
  <c r="HV755" i="5"/>
  <c r="IP860" i="5"/>
  <c r="AG1177" i="2" s="1"/>
  <c r="IG890" i="5"/>
  <c r="IG994" i="5" s="1"/>
  <c r="IM896" i="5"/>
  <c r="AF1217" i="2" s="1"/>
  <c r="DV898" i="5"/>
  <c r="DV893" i="5" s="1"/>
  <c r="EP898" i="5"/>
  <c r="EP893" i="5" s="1"/>
  <c r="EP996" i="5" s="1"/>
  <c r="HR907" i="5"/>
  <c r="Y1228" i="2" s="1"/>
  <c r="HU908" i="5"/>
  <c r="Z1229" i="2" s="1"/>
  <c r="X503" i="5"/>
  <c r="X1141" i="5" s="1"/>
  <c r="BY717" i="5"/>
  <c r="BY978" i="5" s="1"/>
  <c r="CA651" i="5"/>
  <c r="BC638" i="5"/>
  <c r="EG993" i="5"/>
  <c r="IF486" i="5"/>
  <c r="O25" i="7" s="1"/>
  <c r="X856" i="5"/>
  <c r="X992" i="5" s="1"/>
  <c r="Z625" i="5"/>
  <c r="Y628" i="5"/>
  <c r="BX1142" i="5"/>
  <c r="DB492" i="5"/>
  <c r="DB1139" i="5" s="1"/>
  <c r="H503" i="5"/>
  <c r="H1141" i="5" s="1"/>
  <c r="IP668" i="5"/>
  <c r="AG990" i="2" s="1"/>
  <c r="IP739" i="5"/>
  <c r="AG1061" i="2" s="1"/>
  <c r="AG535" i="2" s="1"/>
  <c r="Y465" i="5"/>
  <c r="Y626" i="5" s="1"/>
  <c r="AU1138" i="5"/>
  <c r="EW822" i="5"/>
  <c r="EW988" i="5" s="1"/>
  <c r="HY709" i="5"/>
  <c r="IL715" i="5"/>
  <c r="IP721" i="5"/>
  <c r="AG1043" i="2" s="1"/>
  <c r="AA1138" i="5"/>
  <c r="CJ523" i="5"/>
  <c r="HW696" i="5"/>
  <c r="IA535" i="5"/>
  <c r="Z628" i="5"/>
  <c r="Y1133" i="5"/>
  <c r="BC636" i="5"/>
  <c r="L636" i="5"/>
  <c r="DK993" i="5"/>
  <c r="DM856" i="5"/>
  <c r="DM992" i="5" s="1"/>
  <c r="Y1132" i="5"/>
  <c r="FK1134" i="5"/>
  <c r="IB830" i="5"/>
  <c r="IP912" i="5"/>
  <c r="AG1233" i="2" s="1"/>
  <c r="AG1638" i="2" s="1"/>
  <c r="CQ822" i="5"/>
  <c r="CQ988" i="5" s="1"/>
  <c r="K66" i="7"/>
  <c r="DO585" i="5"/>
  <c r="DO584" i="5" s="1"/>
  <c r="DO651" i="5" s="1"/>
  <c r="CW585" i="5"/>
  <c r="CW584" i="5" s="1"/>
  <c r="CW1153" i="5" s="1"/>
  <c r="DQ585" i="5"/>
  <c r="DQ584" i="5" s="1"/>
  <c r="IK747" i="5"/>
  <c r="HX226" i="5"/>
  <c r="ID861" i="5"/>
  <c r="AC1178" i="2" s="1"/>
  <c r="IG907" i="5"/>
  <c r="AD1228" i="2" s="1"/>
  <c r="CV707" i="5"/>
  <c r="CV977" i="5" s="1"/>
  <c r="DX523" i="5"/>
  <c r="DX521" i="5" s="1"/>
  <c r="DX1147" i="5" s="1"/>
  <c r="H119" i="7"/>
  <c r="BM1133" i="5"/>
  <c r="DA1084" i="5"/>
  <c r="AI636" i="5"/>
  <c r="Z1133" i="5"/>
  <c r="I628" i="5"/>
  <c r="AH817" i="5"/>
  <c r="AH986" i="5" s="1"/>
  <c r="DQ575" i="5"/>
  <c r="DQ644" i="5" s="1"/>
  <c r="CT514" i="5"/>
  <c r="F628" i="5"/>
  <c r="N817" i="5"/>
  <c r="N986" i="5" s="1"/>
  <c r="EN722" i="5"/>
  <c r="DA730" i="5"/>
  <c r="DA981" i="5" s="1"/>
  <c r="DU730" i="5"/>
  <c r="DU981" i="5" s="1"/>
  <c r="IV793" i="5"/>
  <c r="AI1109" i="2" s="1"/>
  <c r="AI1323" i="2" s="1"/>
  <c r="AI1410" i="2" s="1"/>
  <c r="DI822" i="5"/>
  <c r="DI817" i="5" s="1"/>
  <c r="DI986" i="5" s="1"/>
  <c r="IF830" i="5"/>
  <c r="IP709" i="5"/>
  <c r="AG1031" i="2" s="1"/>
  <c r="FU993" i="5"/>
  <c r="E625" i="5"/>
  <c r="AS631" i="5"/>
  <c r="T817" i="5"/>
  <c r="T986" i="5" s="1"/>
  <c r="DZ492" i="5"/>
  <c r="DZ1139" i="5" s="1"/>
  <c r="CU718" i="5"/>
  <c r="DO718" i="5"/>
  <c r="EI718" i="5"/>
  <c r="FC718" i="5"/>
  <c r="K717" i="5"/>
  <c r="K978" i="5" s="1"/>
  <c r="AE717" i="5"/>
  <c r="AE978" i="5" s="1"/>
  <c r="AY717" i="5"/>
  <c r="AY978" i="5" s="1"/>
  <c r="DU979" i="5"/>
  <c r="FI979" i="5"/>
  <c r="E628" i="5"/>
  <c r="IG496" i="5"/>
  <c r="P32" i="7" s="1"/>
  <c r="E1133" i="5"/>
  <c r="CB1133" i="5"/>
  <c r="AG631" i="5"/>
  <c r="AS993" i="5"/>
  <c r="EM585" i="5"/>
  <c r="EM584" i="5" s="1"/>
  <c r="EM1153" i="5" s="1"/>
  <c r="FI1134" i="5"/>
  <c r="FG1134" i="5"/>
  <c r="DC722" i="5"/>
  <c r="EQ722" i="5"/>
  <c r="E19" i="7"/>
  <c r="IV714" i="5"/>
  <c r="AI1036" i="2" s="1"/>
  <c r="FT822" i="5"/>
  <c r="FT988" i="5" s="1"/>
  <c r="IB831" i="5"/>
  <c r="AW993" i="5"/>
  <c r="AW856" i="5"/>
  <c r="AW992" i="5" s="1"/>
  <c r="IE708" i="5"/>
  <c r="DS575" i="5"/>
  <c r="DS644" i="5" s="1"/>
  <c r="O1138" i="5"/>
  <c r="O631" i="5"/>
  <c r="AI631" i="5"/>
  <c r="AI1138" i="5"/>
  <c r="AA1149" i="5"/>
  <c r="AA638" i="5"/>
  <c r="AI1163" i="5"/>
  <c r="AJ1163" i="5" s="1"/>
  <c r="AK1163" i="5" s="1"/>
  <c r="AL1163" i="5" s="1"/>
  <c r="AM1163" i="5" s="1"/>
  <c r="FQ1134" i="5"/>
  <c r="IP682" i="5"/>
  <c r="AG1004" i="2" s="1"/>
  <c r="AG458" i="2" s="1"/>
  <c r="IP691" i="5"/>
  <c r="AG1013" i="2" s="1"/>
  <c r="AG487" i="2" s="1"/>
  <c r="IE693" i="5"/>
  <c r="IP694" i="5"/>
  <c r="AG1016" i="2" s="1"/>
  <c r="IP804" i="5"/>
  <c r="AG1120" i="2" s="1"/>
  <c r="IP813" i="5"/>
  <c r="AG1129" i="2" s="1"/>
  <c r="FB822" i="5"/>
  <c r="FV822" i="5"/>
  <c r="AD993" i="5"/>
  <c r="AD856" i="5"/>
  <c r="AD992" i="5" s="1"/>
  <c r="AX993" i="5"/>
  <c r="AX856" i="5"/>
  <c r="AX992" i="5" s="1"/>
  <c r="CL993" i="5"/>
  <c r="CL856" i="5"/>
  <c r="CL992" i="5" s="1"/>
  <c r="DR993" i="5"/>
  <c r="DR856" i="5"/>
  <c r="DR992" i="5" s="1"/>
  <c r="EL856" i="5"/>
  <c r="EL992" i="5" s="1"/>
  <c r="EL993" i="5"/>
  <c r="FF993" i="5"/>
  <c r="FF856" i="5"/>
  <c r="FF992" i="5" s="1"/>
  <c r="KN993" i="5"/>
  <c r="KN856" i="5"/>
  <c r="KN992" i="5" s="1"/>
  <c r="CQ856" i="5"/>
  <c r="CQ992" i="5" s="1"/>
  <c r="CQ993" i="5"/>
  <c r="IG900" i="5"/>
  <c r="AD1221" i="2" s="1"/>
  <c r="I77" i="7"/>
  <c r="K77" i="7" s="1"/>
  <c r="IA545" i="5"/>
  <c r="IP744" i="5"/>
  <c r="AG1066" i="2" s="1"/>
  <c r="EI822" i="5"/>
  <c r="EI988" i="5" s="1"/>
  <c r="P988" i="5"/>
  <c r="BN1149" i="5"/>
  <c r="BN638" i="5"/>
  <c r="AT567" i="5"/>
  <c r="AT1142" i="5"/>
  <c r="BE1138" i="5"/>
  <c r="BE631" i="5"/>
  <c r="CO497" i="5"/>
  <c r="CO633" i="5" s="1"/>
  <c r="R1138" i="5"/>
  <c r="R631" i="5"/>
  <c r="BZ1138" i="5"/>
  <c r="BZ631" i="5"/>
  <c r="BP1142" i="5"/>
  <c r="BP636" i="5"/>
  <c r="BP503" i="5"/>
  <c r="BP635" i="5" s="1"/>
  <c r="J1149" i="5"/>
  <c r="J638" i="5"/>
  <c r="AD1149" i="5"/>
  <c r="AD638" i="5"/>
  <c r="AX1149" i="5"/>
  <c r="AX638" i="5"/>
  <c r="BR1149" i="5"/>
  <c r="BR638" i="5"/>
  <c r="N80" i="7"/>
  <c r="IG548" i="5"/>
  <c r="P80" i="7" s="1"/>
  <c r="AT856" i="5"/>
  <c r="AT992" i="5" s="1"/>
  <c r="AT993" i="5"/>
  <c r="I133" i="7"/>
  <c r="K133" i="7" s="1"/>
  <c r="IA606" i="5"/>
  <c r="Z993" i="5"/>
  <c r="BD628" i="5"/>
  <c r="BD1133" i="5"/>
  <c r="BD625" i="5"/>
  <c r="BD467" i="5"/>
  <c r="BD569" i="5" s="1"/>
  <c r="DK1134" i="5"/>
  <c r="DK468" i="5"/>
  <c r="DK628" i="5" s="1"/>
  <c r="BP1149" i="5"/>
  <c r="BP638" i="5"/>
  <c r="FB856" i="5"/>
  <c r="FB992" i="5" s="1"/>
  <c r="AK631" i="5"/>
  <c r="HX38" i="5"/>
  <c r="HX105" i="5"/>
  <c r="HX142" i="5"/>
  <c r="HX168" i="5"/>
  <c r="HX176" i="5"/>
  <c r="S467" i="5"/>
  <c r="S1132" i="5" s="1"/>
  <c r="S625" i="5"/>
  <c r="BG1133" i="5"/>
  <c r="BG628" i="5"/>
  <c r="CA1133" i="5"/>
  <c r="CA628" i="5"/>
  <c r="CZ1134" i="5"/>
  <c r="CZ468" i="5"/>
  <c r="CC1137" i="5"/>
  <c r="CC629" i="5"/>
  <c r="AN1133" i="5"/>
  <c r="AN628" i="5"/>
  <c r="AN625" i="5"/>
  <c r="AN467" i="5"/>
  <c r="AN627" i="5" s="1"/>
  <c r="BH1133" i="5"/>
  <c r="BH625" i="5"/>
  <c r="CB717" i="5"/>
  <c r="CB978" i="5" s="1"/>
  <c r="DK1140" i="5"/>
  <c r="DK633" i="5"/>
  <c r="DN1135" i="5"/>
  <c r="DN475" i="5"/>
  <c r="DG1146" i="5"/>
  <c r="DG514" i="5"/>
  <c r="K80" i="7"/>
  <c r="CH1139" i="5"/>
  <c r="CH632" i="5"/>
  <c r="DN1140" i="5"/>
  <c r="DN633" i="5"/>
  <c r="AO467" i="5"/>
  <c r="AO627" i="5" s="1"/>
  <c r="AO1133" i="5"/>
  <c r="AO628" i="5"/>
  <c r="G996" i="5"/>
  <c r="G892" i="5"/>
  <c r="G995" i="5" s="1"/>
  <c r="Q628" i="5"/>
  <c r="Q1133" i="5"/>
  <c r="V467" i="5"/>
  <c r="V1132" i="5" s="1"/>
  <c r="V1133" i="5"/>
  <c r="FV993" i="5"/>
  <c r="FV856" i="5"/>
  <c r="FV992" i="5" s="1"/>
  <c r="DN993" i="5"/>
  <c r="DN856" i="5"/>
  <c r="DN992" i="5" s="1"/>
  <c r="FR822" i="5"/>
  <c r="FR1150" i="5" s="1"/>
  <c r="HX1077" i="5"/>
  <c r="AA1669" i="2" s="1"/>
  <c r="DN1075" i="5"/>
  <c r="HX1075" i="5" s="1"/>
  <c r="AA1667" i="2" s="1"/>
  <c r="HP857" i="5"/>
  <c r="X1577" i="2" s="1"/>
  <c r="CJ856" i="5"/>
  <c r="CJ992" i="5" s="1"/>
  <c r="BB1138" i="5"/>
  <c r="BB631" i="5"/>
  <c r="Z1149" i="5"/>
  <c r="Z638" i="5"/>
  <c r="AV638" i="5"/>
  <c r="AV1149" i="5"/>
  <c r="F856" i="5"/>
  <c r="F992" i="5" s="1"/>
  <c r="H638" i="5"/>
  <c r="AL988" i="5"/>
  <c r="CH856" i="5"/>
  <c r="CH992" i="5" s="1"/>
  <c r="EH856" i="5"/>
  <c r="EH992" i="5" s="1"/>
  <c r="V1153" i="5"/>
  <c r="R817" i="5"/>
  <c r="R986" i="5" s="1"/>
  <c r="AA856" i="5"/>
  <c r="AA992" i="5" s="1"/>
  <c r="DJ822" i="5"/>
  <c r="DJ817" i="5" s="1"/>
  <c r="DJ986" i="5" s="1"/>
  <c r="CI856" i="5"/>
  <c r="CI992" i="5" s="1"/>
  <c r="CI993" i="5"/>
  <c r="HU903" i="5"/>
  <c r="Z1224" i="2" s="1"/>
  <c r="AH1138" i="5"/>
  <c r="AH631" i="5"/>
  <c r="AK817" i="5"/>
  <c r="AK986" i="5" s="1"/>
  <c r="Q817" i="5"/>
  <c r="Q986" i="5" s="1"/>
  <c r="AP625" i="5"/>
  <c r="DC1084" i="5"/>
  <c r="GK722" i="5"/>
  <c r="AY503" i="5"/>
  <c r="AY635" i="5" s="1"/>
  <c r="II731" i="5"/>
  <c r="IL737" i="5"/>
  <c r="HZ743" i="5"/>
  <c r="IP861" i="5"/>
  <c r="AG1178" i="2" s="1"/>
  <c r="KO898" i="5"/>
  <c r="KO893" i="5" s="1"/>
  <c r="KO996" i="5" s="1"/>
  <c r="K111" i="7"/>
  <c r="DH979" i="5"/>
  <c r="DB718" i="5"/>
  <c r="DJ722" i="5"/>
  <c r="HZ542" i="5"/>
  <c r="I74" i="7" s="1"/>
  <c r="K74" i="7" s="1"/>
  <c r="IP688" i="5"/>
  <c r="AG1010" i="2" s="1"/>
  <c r="IC690" i="5"/>
  <c r="II692" i="5"/>
  <c r="IC697" i="5"/>
  <c r="V631" i="5"/>
  <c r="IA538" i="5"/>
  <c r="CS514" i="5"/>
  <c r="HQ708" i="5"/>
  <c r="DZ707" i="5"/>
  <c r="DZ977" i="5" s="1"/>
  <c r="CK707" i="5"/>
  <c r="CK977" i="5" s="1"/>
  <c r="IF709" i="5"/>
  <c r="IK710" i="5"/>
  <c r="HZ713" i="5"/>
  <c r="HP714" i="5"/>
  <c r="IE714" i="5"/>
  <c r="HP715" i="5"/>
  <c r="IE715" i="5"/>
  <c r="CC717" i="5"/>
  <c r="CC978" i="5" s="1"/>
  <c r="EE979" i="5"/>
  <c r="EY979" i="5"/>
  <c r="FS1139" i="5"/>
  <c r="IF721" i="5"/>
  <c r="FE1139" i="5"/>
  <c r="DM980" i="5"/>
  <c r="FA1140" i="5"/>
  <c r="FU980" i="5"/>
  <c r="HQ726" i="5"/>
  <c r="IF726" i="5"/>
  <c r="IB727" i="5"/>
  <c r="HW728" i="5"/>
  <c r="IL728" i="5"/>
  <c r="DI485" i="5"/>
  <c r="EV979" i="5"/>
  <c r="IB724" i="5"/>
  <c r="FC822" i="5"/>
  <c r="IP839" i="5"/>
  <c r="HS697" i="5"/>
  <c r="EQ718" i="5"/>
  <c r="IO991" i="5"/>
  <c r="X892" i="5"/>
  <c r="X995" i="5" s="1"/>
  <c r="BH631" i="5"/>
  <c r="BJ638" i="5"/>
  <c r="AH503" i="5"/>
  <c r="AH1141" i="5" s="1"/>
  <c r="M817" i="5"/>
  <c r="M986" i="5" s="1"/>
  <c r="AQ631" i="5"/>
  <c r="AH1142" i="5"/>
  <c r="T636" i="5"/>
  <c r="CZ543" i="5"/>
  <c r="CZ1151" i="5" s="1"/>
  <c r="EE611" i="5"/>
  <c r="EE610" i="5" s="1"/>
  <c r="EE1156" i="5" s="1"/>
  <c r="CW667" i="5"/>
  <c r="CW976" i="5" s="1"/>
  <c r="FE1134" i="5"/>
  <c r="II675" i="5"/>
  <c r="IP678" i="5"/>
  <c r="AG1000" i="2" s="1"/>
  <c r="AG442" i="2" s="1"/>
  <c r="CR979" i="5"/>
  <c r="DL979" i="5"/>
  <c r="CT980" i="5"/>
  <c r="DA822" i="5"/>
  <c r="DA988" i="5" s="1"/>
  <c r="EO822" i="5"/>
  <c r="EO988" i="5" s="1"/>
  <c r="IP854" i="5"/>
  <c r="ID875" i="5"/>
  <c r="AC1192" i="2" s="1"/>
  <c r="HT683" i="5"/>
  <c r="IH689" i="5"/>
  <c r="DI979" i="5"/>
  <c r="FQ979" i="5"/>
  <c r="DK722" i="5"/>
  <c r="IP856" i="5"/>
  <c r="IP992" i="5" s="1"/>
  <c r="AN631" i="5"/>
  <c r="AG628" i="5"/>
  <c r="K636" i="5"/>
  <c r="HX171" i="5"/>
  <c r="BP569" i="5"/>
  <c r="DT523" i="5"/>
  <c r="DT521" i="5" s="1"/>
  <c r="DT1147" i="5" s="1"/>
  <c r="Z465" i="5"/>
  <c r="Z626" i="5" s="1"/>
  <c r="AX717" i="5"/>
  <c r="AX978" i="5" s="1"/>
  <c r="FH979" i="5"/>
  <c r="CV980" i="5"/>
  <c r="EJ980" i="5"/>
  <c r="IO980" i="5"/>
  <c r="HZ747" i="5"/>
  <c r="IP806" i="5"/>
  <c r="AG1122" i="2" s="1"/>
  <c r="CH822" i="5"/>
  <c r="CH988" i="5" s="1"/>
  <c r="FJ822" i="5"/>
  <c r="FJ1150" i="5" s="1"/>
  <c r="K6" i="7"/>
  <c r="CN979" i="5"/>
  <c r="IL723" i="5"/>
  <c r="CU822" i="5"/>
  <c r="CU988" i="5" s="1"/>
  <c r="IK685" i="5"/>
  <c r="IP698" i="5"/>
  <c r="AG1020" i="2" s="1"/>
  <c r="AG503" i="2" s="1"/>
  <c r="AM717" i="5"/>
  <c r="AM978" i="5" s="1"/>
  <c r="IP805" i="5"/>
  <c r="AG1121" i="2" s="1"/>
  <c r="AG625" i="5"/>
  <c r="CU529" i="5"/>
  <c r="CU1148" i="5" s="1"/>
  <c r="EA980" i="5"/>
  <c r="T631" i="5"/>
  <c r="AG1133" i="5"/>
  <c r="AQ856" i="5"/>
  <c r="AQ992" i="5" s="1"/>
  <c r="HY509" i="5"/>
  <c r="G45" i="7" s="1"/>
  <c r="H45" i="7" s="1"/>
  <c r="HP668" i="5"/>
  <c r="CZ667" i="5"/>
  <c r="CZ976" i="5" s="1"/>
  <c r="EN667" i="5"/>
  <c r="EN976" i="5" s="1"/>
  <c r="FH667" i="5"/>
  <c r="FH1133" i="5" s="1"/>
  <c r="IE675" i="5"/>
  <c r="IP707" i="5"/>
  <c r="AG1029" i="2" s="1"/>
  <c r="DA722" i="5"/>
  <c r="EO722" i="5"/>
  <c r="CW980" i="5"/>
  <c r="DQ980" i="5"/>
  <c r="EK980" i="5"/>
  <c r="CH730" i="5"/>
  <c r="CH981" i="5" s="1"/>
  <c r="EP730" i="5"/>
  <c r="EP981" i="5" s="1"/>
  <c r="IP761" i="5"/>
  <c r="AG1083" i="2" s="1"/>
  <c r="AG1319" i="2" s="1"/>
  <c r="AG1406" i="2" s="1"/>
  <c r="EC929" i="5"/>
  <c r="EC928" i="5" s="1"/>
  <c r="EC920" i="5" s="1"/>
  <c r="EC997" i="5" s="1"/>
  <c r="EW929" i="5"/>
  <c r="EW928" i="5" s="1"/>
  <c r="EW920" i="5" s="1"/>
  <c r="II709" i="5"/>
  <c r="CQ722" i="5"/>
  <c r="AC636" i="5"/>
  <c r="CF856" i="5"/>
  <c r="CF992" i="5" s="1"/>
  <c r="W856" i="5"/>
  <c r="W992" i="5" s="1"/>
  <c r="DV523" i="5"/>
  <c r="DV521" i="5" s="1"/>
  <c r="DV1147" i="5" s="1"/>
  <c r="DU667" i="5"/>
  <c r="DU976" i="5" s="1"/>
  <c r="DS667" i="5"/>
  <c r="DS976" i="5" s="1"/>
  <c r="CV979" i="5"/>
  <c r="DP979" i="5"/>
  <c r="IO979" i="5"/>
  <c r="L717" i="5"/>
  <c r="L978" i="5" s="1"/>
  <c r="AF717" i="5"/>
  <c r="AF666" i="5" s="1"/>
  <c r="AZ717" i="5"/>
  <c r="AZ978" i="5" s="1"/>
  <c r="BT717" i="5"/>
  <c r="BT666" i="5" s="1"/>
  <c r="CH722" i="5"/>
  <c r="DV722" i="5"/>
  <c r="EP979" i="5"/>
  <c r="FJ979" i="5"/>
  <c r="EL980" i="5"/>
  <c r="FF1140" i="5"/>
  <c r="FU1139" i="5"/>
  <c r="IP826" i="5"/>
  <c r="IP832" i="5"/>
  <c r="AG1148" i="2" s="1"/>
  <c r="IC689" i="5"/>
  <c r="EC979" i="5"/>
  <c r="AY638" i="5"/>
  <c r="DS1140" i="5"/>
  <c r="AG817" i="5"/>
  <c r="AG986" i="5" s="1"/>
  <c r="FT856" i="5"/>
  <c r="FT992" i="5" s="1"/>
  <c r="CV611" i="5"/>
  <c r="CV610" i="5" s="1"/>
  <c r="CV1156" i="5" s="1"/>
  <c r="EJ611" i="5"/>
  <c r="EJ610" i="5" s="1"/>
  <c r="CW718" i="5"/>
  <c r="DQ718" i="5"/>
  <c r="EK718" i="5"/>
  <c r="FE718" i="5"/>
  <c r="EY980" i="5"/>
  <c r="FS980" i="5"/>
  <c r="BA717" i="5"/>
  <c r="BA978" i="5" s="1"/>
  <c r="FK979" i="5"/>
  <c r="EM980" i="5"/>
  <c r="CK822" i="5"/>
  <c r="CK988" i="5" s="1"/>
  <c r="DY822" i="5"/>
  <c r="DY988" i="5" s="1"/>
  <c r="FM822" i="5"/>
  <c r="FM1150" i="5" s="1"/>
  <c r="CF707" i="5"/>
  <c r="CF977" i="5" s="1"/>
  <c r="EB979" i="5"/>
  <c r="FP979" i="5"/>
  <c r="IH723" i="5"/>
  <c r="FR722" i="5"/>
  <c r="IP851" i="5"/>
  <c r="K1138" i="5"/>
  <c r="HX96" i="5"/>
  <c r="HX188" i="5"/>
  <c r="CZ485" i="5"/>
  <c r="CZ1137" i="5" s="1"/>
  <c r="CT492" i="5"/>
  <c r="CT632" i="5" s="1"/>
  <c r="DN492" i="5"/>
  <c r="DN1139" i="5" s="1"/>
  <c r="EH492" i="5"/>
  <c r="EH1139" i="5" s="1"/>
  <c r="HQ747" i="5"/>
  <c r="IP790" i="5"/>
  <c r="AG1104" i="2" s="1"/>
  <c r="AG638" i="2" s="1"/>
  <c r="AG639" i="2" s="1"/>
  <c r="IM874" i="5"/>
  <c r="AF1191" i="2" s="1"/>
  <c r="HR876" i="5"/>
  <c r="Y1193" i="2" s="1"/>
  <c r="K23" i="7"/>
  <c r="CS707" i="5"/>
  <c r="CS977" i="5" s="1"/>
  <c r="P717" i="5"/>
  <c r="P978" i="5" s="1"/>
  <c r="FN1139" i="5"/>
  <c r="EH707" i="5"/>
  <c r="EH977" i="5" s="1"/>
  <c r="EM718" i="5"/>
  <c r="FG718" i="5"/>
  <c r="O717" i="5"/>
  <c r="O978" i="5" s="1"/>
  <c r="CK722" i="5"/>
  <c r="DE722" i="5"/>
  <c r="ES979" i="5"/>
  <c r="IE753" i="5"/>
  <c r="AE638" i="5"/>
  <c r="AF638" i="5"/>
  <c r="HY493" i="5"/>
  <c r="G30" i="7" s="1"/>
  <c r="DH543" i="5"/>
  <c r="DH1151" i="5" s="1"/>
  <c r="DC611" i="5"/>
  <c r="DC610" i="5" s="1"/>
  <c r="DC1156" i="5" s="1"/>
  <c r="DZ979" i="5"/>
  <c r="II727" i="5"/>
  <c r="DQ543" i="5"/>
  <c r="DQ1151" i="5" s="1"/>
  <c r="DQ492" i="5"/>
  <c r="DQ1139" i="5" s="1"/>
  <c r="V503" i="5"/>
  <c r="HU532" i="5"/>
  <c r="EU585" i="5"/>
  <c r="EU584" i="5" s="1"/>
  <c r="EU1153" i="5" s="1"/>
  <c r="IE686" i="5"/>
  <c r="IP789" i="5"/>
  <c r="AG1103" i="2" s="1"/>
  <c r="IP791" i="5"/>
  <c r="AG1107" i="2" s="1"/>
  <c r="IP808" i="5"/>
  <c r="AG1124" i="2" s="1"/>
  <c r="IA877" i="5"/>
  <c r="AB1194" i="2" s="1"/>
  <c r="AY993" i="5"/>
  <c r="AY856" i="5"/>
  <c r="AY992" i="5" s="1"/>
  <c r="CM993" i="5"/>
  <c r="CM856" i="5"/>
  <c r="CM992" i="5" s="1"/>
  <c r="BP993" i="5"/>
  <c r="DG475" i="5"/>
  <c r="CM575" i="5"/>
  <c r="CM644" i="5" s="1"/>
  <c r="CM645" i="5"/>
  <c r="FC1136" i="5"/>
  <c r="IH697" i="5"/>
  <c r="IM861" i="5"/>
  <c r="AF1178" i="2" s="1"/>
  <c r="EM993" i="5"/>
  <c r="EM856" i="5"/>
  <c r="EM992" i="5" s="1"/>
  <c r="KO856" i="5"/>
  <c r="KO992" i="5" s="1"/>
  <c r="KO993" i="5"/>
  <c r="AF1620" i="2"/>
  <c r="AF1588" i="2"/>
  <c r="AB856" i="5"/>
  <c r="AB992" i="5" s="1"/>
  <c r="HT516" i="5"/>
  <c r="C52" i="7" s="1"/>
  <c r="E52" i="7" s="1"/>
  <c r="AG1149" i="5"/>
  <c r="AG638" i="5"/>
  <c r="BA1149" i="5"/>
  <c r="BA503" i="5"/>
  <c r="BA635" i="5" s="1"/>
  <c r="BU1149" i="5"/>
  <c r="BU638" i="5"/>
  <c r="HT757" i="5"/>
  <c r="IC780" i="5"/>
  <c r="IH780" i="5"/>
  <c r="HY781" i="5"/>
  <c r="HV788" i="5"/>
  <c r="HP789" i="5"/>
  <c r="HZ789" i="5"/>
  <c r="IC795" i="5"/>
  <c r="IC796" i="5" s="1"/>
  <c r="IC800" i="5" s="1"/>
  <c r="IH795" i="5"/>
  <c r="IH796" i="5" s="1"/>
  <c r="IH797" i="5" s="1"/>
  <c r="EJ822" i="5"/>
  <c r="EJ988" i="5" s="1"/>
  <c r="IH831" i="5"/>
  <c r="IP831" i="5"/>
  <c r="AG1147" i="2" s="1"/>
  <c r="CO856" i="5"/>
  <c r="CO992" i="5" s="1"/>
  <c r="CO993" i="5"/>
  <c r="DT898" i="5"/>
  <c r="DT893" i="5" s="1"/>
  <c r="DT996" i="5" s="1"/>
  <c r="IP922" i="5"/>
  <c r="AG1241" i="2" s="1"/>
  <c r="HY674" i="5"/>
  <c r="CM707" i="5"/>
  <c r="CM977" i="5" s="1"/>
  <c r="DG707" i="5"/>
  <c r="DG977" i="5" s="1"/>
  <c r="EU707" i="5"/>
  <c r="EU977" i="5" s="1"/>
  <c r="FO707" i="5"/>
  <c r="FO977" i="5" s="1"/>
  <c r="HQ710" i="5"/>
  <c r="IF710" i="5"/>
  <c r="HV712" i="5"/>
  <c r="IK712" i="5"/>
  <c r="HZ714" i="5"/>
  <c r="HP716" i="5"/>
  <c r="IE716" i="5"/>
  <c r="FT1139" i="5"/>
  <c r="CX722" i="5"/>
  <c r="DR722" i="5"/>
  <c r="EL722" i="5"/>
  <c r="FF722" i="5"/>
  <c r="IB726" i="5"/>
  <c r="HW727" i="5"/>
  <c r="IH728" i="5"/>
  <c r="CX730" i="5"/>
  <c r="CX981" i="5" s="1"/>
  <c r="DR730" i="5"/>
  <c r="DR981" i="5" s="1"/>
  <c r="EL730" i="5"/>
  <c r="EL981" i="5" s="1"/>
  <c r="HS737" i="5"/>
  <c r="GC975" i="5"/>
  <c r="HP751" i="5"/>
  <c r="IH753" i="5"/>
  <c r="BX996" i="5"/>
  <c r="BX892" i="5"/>
  <c r="BX995" i="5" s="1"/>
  <c r="BD631" i="5"/>
  <c r="AX1153" i="5"/>
  <c r="AX651" i="5"/>
  <c r="BR1153" i="5"/>
  <c r="BR651" i="5"/>
  <c r="BS993" i="5"/>
  <c r="CQ475" i="5"/>
  <c r="HS476" i="5"/>
  <c r="N67" i="7"/>
  <c r="IG535" i="5"/>
  <c r="P67" i="7" s="1"/>
  <c r="CX667" i="5"/>
  <c r="CX976" i="5" s="1"/>
  <c r="HY668" i="5"/>
  <c r="II668" i="5"/>
  <c r="HT669" i="5"/>
  <c r="IE669" i="5"/>
  <c r="IP670" i="5"/>
  <c r="AG992" i="2" s="1"/>
  <c r="II673" i="5"/>
  <c r="IH674" i="5"/>
  <c r="IP674" i="5"/>
  <c r="AG996" i="2" s="1"/>
  <c r="AG1292" i="2" s="1"/>
  <c r="AG1379" i="2" s="1"/>
  <c r="IP676" i="5"/>
  <c r="AG998" i="2" s="1"/>
  <c r="HY677" i="5"/>
  <c r="IP677" i="5"/>
  <c r="AG999" i="2" s="1"/>
  <c r="AG438" i="2" s="1"/>
  <c r="II678" i="5"/>
  <c r="HP679" i="5"/>
  <c r="HT679" i="5"/>
  <c r="IE679" i="5"/>
  <c r="HZ680" i="5"/>
  <c r="HZ681" i="5"/>
  <c r="HP682" i="5"/>
  <c r="HQ683" i="5"/>
  <c r="HZ683" i="5"/>
  <c r="IK683" i="5"/>
  <c r="HQ684" i="5"/>
  <c r="IF684" i="5"/>
  <c r="IF685" i="5"/>
  <c r="HW686" i="5"/>
  <c r="IB686" i="5"/>
  <c r="HT689" i="5"/>
  <c r="HP690" i="5"/>
  <c r="HT690" i="5"/>
  <c r="II690" i="5"/>
  <c r="HZ691" i="5"/>
  <c r="HZ692" i="5"/>
  <c r="IK692" i="5"/>
  <c r="IF693" i="5"/>
  <c r="HQ701" i="5"/>
  <c r="IF701" i="5"/>
  <c r="IB702" i="5"/>
  <c r="HW704" i="5"/>
  <c r="IL704" i="5"/>
  <c r="IH705" i="5"/>
  <c r="IH706" i="5"/>
  <c r="IP706" i="5"/>
  <c r="AG1028" i="2" s="1"/>
  <c r="AG1295" i="2" s="1"/>
  <c r="AG1382" i="2" s="1"/>
  <c r="CE730" i="5"/>
  <c r="CE981" i="5" s="1"/>
  <c r="EM730" i="5"/>
  <c r="EM981" i="5" s="1"/>
  <c r="IB735" i="5"/>
  <c r="HP747" i="5"/>
  <c r="HP757" i="5"/>
  <c r="IE757" i="5"/>
  <c r="HW779" i="5"/>
  <c r="IL779" i="5"/>
  <c r="IP780" i="5"/>
  <c r="AG1095" i="2" s="1"/>
  <c r="AG1321" i="2" s="1"/>
  <c r="AG1408" i="2" s="1"/>
  <c r="ID790" i="5"/>
  <c r="AC1104" i="2" s="1"/>
  <c r="AC638" i="2" s="1"/>
  <c r="IP796" i="5"/>
  <c r="AG1112" i="2" s="1"/>
  <c r="AZ631" i="5"/>
  <c r="DS856" i="5"/>
  <c r="DS992" i="5" s="1"/>
  <c r="BP627" i="5"/>
  <c r="BP1132" i="5"/>
  <c r="BW1142" i="5"/>
  <c r="BW636" i="5"/>
  <c r="CF585" i="5"/>
  <c r="CF584" i="5" s="1"/>
  <c r="HT586" i="5"/>
  <c r="C116" i="7" s="1"/>
  <c r="DT585" i="5"/>
  <c r="DT584" i="5" s="1"/>
  <c r="DT1153" i="5" s="1"/>
  <c r="HZ614" i="5"/>
  <c r="I141" i="7" s="1"/>
  <c r="IE614" i="5"/>
  <c r="N141" i="7" s="1"/>
  <c r="FE667" i="5"/>
  <c r="FE1133" i="5" s="1"/>
  <c r="EC707" i="5"/>
  <c r="EC977" i="5" s="1"/>
  <c r="HW726" i="5"/>
  <c r="IH727" i="5"/>
  <c r="HT746" i="5"/>
  <c r="II746" i="5"/>
  <c r="HT749" i="5"/>
  <c r="HS779" i="5"/>
  <c r="IH779" i="5"/>
  <c r="BZ628" i="5"/>
  <c r="BZ625" i="5"/>
  <c r="BZ1133" i="5"/>
  <c r="P1138" i="5"/>
  <c r="P631" i="5"/>
  <c r="CG1139" i="5"/>
  <c r="CG632" i="5"/>
  <c r="AJ1142" i="5"/>
  <c r="AJ636" i="5"/>
  <c r="BA1153" i="5"/>
  <c r="BA651" i="5"/>
  <c r="FE818" i="5"/>
  <c r="FE1151" i="5" s="1"/>
  <c r="FE980" i="5"/>
  <c r="CU611" i="5"/>
  <c r="CU610" i="5" s="1"/>
  <c r="CU1156" i="5" s="1"/>
  <c r="EI611" i="5"/>
  <c r="CE611" i="5"/>
  <c r="IE613" i="5"/>
  <c r="N140" i="7" s="1"/>
  <c r="HV614" i="5"/>
  <c r="HV1113" i="5" s="1"/>
  <c r="CI667" i="5"/>
  <c r="CI976" i="5" s="1"/>
  <c r="FD1139" i="5"/>
  <c r="FD979" i="5"/>
  <c r="ED980" i="5"/>
  <c r="FR980" i="5"/>
  <c r="CJ993" i="5"/>
  <c r="CK600" i="5"/>
  <c r="CK598" i="5" s="1"/>
  <c r="CK1155" i="5" s="1"/>
  <c r="CK550" i="5"/>
  <c r="CK640" i="5" s="1"/>
  <c r="ER598" i="5"/>
  <c r="ER1155" i="5" s="1"/>
  <c r="BU1153" i="5"/>
  <c r="EU1140" i="5"/>
  <c r="EU543" i="5"/>
  <c r="EU536" i="5" s="1"/>
  <c r="EU1149" i="5" s="1"/>
  <c r="AM1142" i="5"/>
  <c r="AM636" i="5"/>
  <c r="DW514" i="5"/>
  <c r="DW1145" i="5"/>
  <c r="EJ856" i="5"/>
  <c r="EJ992" i="5" s="1"/>
  <c r="EJ993" i="5"/>
  <c r="S988" i="5"/>
  <c r="S817" i="5"/>
  <c r="S986" i="5" s="1"/>
  <c r="FI1145" i="5"/>
  <c r="II788" i="5"/>
  <c r="AH1632" i="2"/>
  <c r="DP856" i="5"/>
  <c r="DP992" i="5" s="1"/>
  <c r="IL829" i="5"/>
  <c r="AV856" i="5"/>
  <c r="AV992" i="5" s="1"/>
  <c r="BV993" i="5"/>
  <c r="J625" i="5"/>
  <c r="J628" i="5"/>
  <c r="AK1142" i="5"/>
  <c r="AK636" i="5"/>
  <c r="HY554" i="5"/>
  <c r="G86" i="7" s="1"/>
  <c r="AY625" i="5"/>
  <c r="AY628" i="5"/>
  <c r="ET1140" i="5"/>
  <c r="ET543" i="5"/>
  <c r="BF503" i="5"/>
  <c r="BF1142" i="5"/>
  <c r="L631" i="5"/>
  <c r="AD625" i="5"/>
  <c r="M503" i="5"/>
  <c r="M1141" i="5" s="1"/>
  <c r="EI475" i="5"/>
  <c r="BF1149" i="5"/>
  <c r="M636" i="5"/>
  <c r="HX36" i="5"/>
  <c r="HX203" i="5"/>
  <c r="M628" i="5"/>
  <c r="M1133" i="5"/>
  <c r="AY631" i="5"/>
  <c r="AY1138" i="5"/>
  <c r="CU492" i="5"/>
  <c r="CU491" i="5" s="1"/>
  <c r="DO492" i="5"/>
  <c r="EI492" i="5"/>
  <c r="EI491" i="5" s="1"/>
  <c r="EI1138" i="5" s="1"/>
  <c r="CV1140" i="5"/>
  <c r="CV633" i="5"/>
  <c r="FA718" i="5"/>
  <c r="DY722" i="5"/>
  <c r="DY979" i="5"/>
  <c r="DM1140" i="5"/>
  <c r="DM633" i="5"/>
  <c r="H993" i="5"/>
  <c r="H856" i="5"/>
  <c r="H992" i="5" s="1"/>
  <c r="AF1138" i="5"/>
  <c r="AF631" i="5"/>
  <c r="BT1138" i="5"/>
  <c r="BT631" i="5"/>
  <c r="BZ651" i="5"/>
  <c r="BZ1153" i="5"/>
  <c r="AE651" i="5"/>
  <c r="P1142" i="5"/>
  <c r="KP467" i="5"/>
  <c r="KP627" i="5" s="1"/>
  <c r="AM988" i="5"/>
  <c r="HX6" i="5"/>
  <c r="HX60" i="5"/>
  <c r="HX110" i="5"/>
  <c r="HX181" i="5"/>
  <c r="HX222" i="5"/>
  <c r="BC1133" i="5"/>
  <c r="BC628" i="5"/>
  <c r="BJ1142" i="5"/>
  <c r="BJ636" i="5"/>
  <c r="X638" i="5"/>
  <c r="X1149" i="5"/>
  <c r="BA638" i="5"/>
  <c r="BA1138" i="5"/>
  <c r="CT475" i="5"/>
  <c r="DC667" i="5"/>
  <c r="DC976" i="5" s="1"/>
  <c r="IP737" i="5"/>
  <c r="AG1059" i="2" s="1"/>
  <c r="AG1310" i="2" s="1"/>
  <c r="AG1397" i="2" s="1"/>
  <c r="HZ746" i="5"/>
  <c r="HZ750" i="5"/>
  <c r="HV751" i="5"/>
  <c r="IK751" i="5"/>
  <c r="IP753" i="5"/>
  <c r="AG1075" i="2" s="1"/>
  <c r="AG1313" i="2" s="1"/>
  <c r="AG1400" i="2" s="1"/>
  <c r="CA625" i="5"/>
  <c r="G1142" i="5"/>
  <c r="HX7" i="5"/>
  <c r="HX26" i="5"/>
  <c r="HX44" i="5"/>
  <c r="HX72" i="5"/>
  <c r="HX111" i="5"/>
  <c r="HX148" i="5"/>
  <c r="HX182" i="5"/>
  <c r="HX223" i="5"/>
  <c r="CM585" i="5"/>
  <c r="CM584" i="5" s="1"/>
  <c r="CM1153" i="5" s="1"/>
  <c r="DG585" i="5"/>
  <c r="DG584" i="5" s="1"/>
  <c r="EA585" i="5"/>
  <c r="EA584" i="5" s="1"/>
  <c r="EA1153" i="5" s="1"/>
  <c r="CH611" i="5"/>
  <c r="CH610" i="5" s="1"/>
  <c r="CH1156" i="5" s="1"/>
  <c r="CS1075" i="5"/>
  <c r="DD1084" i="5"/>
  <c r="DR1087" i="5"/>
  <c r="DR1083" i="5" s="1"/>
  <c r="DX822" i="5"/>
  <c r="DX988" i="5" s="1"/>
  <c r="FL822" i="5"/>
  <c r="FL1150" i="5" s="1"/>
  <c r="HV830" i="5"/>
  <c r="HV831" i="5"/>
  <c r="HQ832" i="5"/>
  <c r="X1148" i="2" s="1"/>
  <c r="IK832" i="5"/>
  <c r="IB857" i="5"/>
  <c r="AB1577" i="2" s="1"/>
  <c r="DZ898" i="5"/>
  <c r="DZ893" i="5" s="1"/>
  <c r="ET898" i="5"/>
  <c r="ET893" i="5" s="1"/>
  <c r="ET996" i="5" s="1"/>
  <c r="IJ919" i="5"/>
  <c r="AE1238" i="2" s="1"/>
  <c r="DA1078" i="5"/>
  <c r="HX161" i="5"/>
  <c r="I638" i="5"/>
  <c r="DW543" i="5"/>
  <c r="DW1151" i="5" s="1"/>
  <c r="CU523" i="5"/>
  <c r="EK492" i="5"/>
  <c r="EK491" i="5" s="1"/>
  <c r="EK1138" i="5" s="1"/>
  <c r="ED543" i="5"/>
  <c r="ED1151" i="5" s="1"/>
  <c r="EX543" i="5"/>
  <c r="EX1151" i="5" s="1"/>
  <c r="CQ667" i="5"/>
  <c r="CQ976" i="5" s="1"/>
  <c r="DK667" i="5"/>
  <c r="DK976" i="5" s="1"/>
  <c r="EE667" i="5"/>
  <c r="EE976" i="5" s="1"/>
  <c r="IP787" i="5"/>
  <c r="AG1101" i="2" s="1"/>
  <c r="IM808" i="5"/>
  <c r="AF1124" i="2" s="1"/>
  <c r="IP847" i="5"/>
  <c r="HX861" i="5"/>
  <c r="AA1178" i="2" s="1"/>
  <c r="DC929" i="5"/>
  <c r="DC928" i="5" s="1"/>
  <c r="DC920" i="5" s="1"/>
  <c r="DC997" i="5" s="1"/>
  <c r="DW929" i="5"/>
  <c r="DW928" i="5" s="1"/>
  <c r="DW920" i="5" s="1"/>
  <c r="DW997" i="5" s="1"/>
  <c r="CS1068" i="5"/>
  <c r="DM1068" i="5"/>
  <c r="DP1075" i="5"/>
  <c r="DC1075" i="5"/>
  <c r="DS1091" i="5"/>
  <c r="K32" i="7"/>
  <c r="H70" i="7"/>
  <c r="E93" i="7"/>
  <c r="E108" i="7"/>
  <c r="E133" i="7"/>
  <c r="GJ389" i="5"/>
  <c r="GK920" i="5"/>
  <c r="GK1153" i="5" s="1"/>
  <c r="E44" i="7"/>
  <c r="DK543" i="5"/>
  <c r="DK536" i="5" s="1"/>
  <c r="DK638" i="5" s="1"/>
  <c r="DD1075" i="5"/>
  <c r="DO1084" i="5"/>
  <c r="DT1091" i="5"/>
  <c r="IG557" i="5"/>
  <c r="P88" i="7" s="1"/>
  <c r="DB730" i="5"/>
  <c r="DB981" i="5" s="1"/>
  <c r="FJ730" i="5"/>
  <c r="FJ981" i="5" s="1"/>
  <c r="HW743" i="5"/>
  <c r="IL743" i="5"/>
  <c r="HV746" i="5"/>
  <c r="IK746" i="5"/>
  <c r="IF747" i="5"/>
  <c r="HQ750" i="5"/>
  <c r="IF750" i="5"/>
  <c r="IB751" i="5"/>
  <c r="HP753" i="5"/>
  <c r="FO822" i="5"/>
  <c r="FO1150" i="5" s="1"/>
  <c r="EA898" i="5"/>
  <c r="EA893" i="5" s="1"/>
  <c r="EA996" i="5" s="1"/>
  <c r="DJ929" i="5"/>
  <c r="DJ928" i="5" s="1"/>
  <c r="DJ920" i="5" s="1"/>
  <c r="DJ997" i="5" s="1"/>
  <c r="ED929" i="5"/>
  <c r="ED928" i="5" s="1"/>
  <c r="ED920" i="5" s="1"/>
  <c r="ED997" i="5" s="1"/>
  <c r="EX929" i="5"/>
  <c r="EX928" i="5" s="1"/>
  <c r="EX920" i="5" s="1"/>
  <c r="EX997" i="5" s="1"/>
  <c r="FR929" i="5"/>
  <c r="FR928" i="5" s="1"/>
  <c r="FR920" i="5" s="1"/>
  <c r="FR997" i="5" s="1"/>
  <c r="GN722" i="5"/>
  <c r="HS531" i="5"/>
  <c r="IP711" i="5"/>
  <c r="AG1033" i="2" s="1"/>
  <c r="IP755" i="5"/>
  <c r="AG1077" i="2" s="1"/>
  <c r="CN822" i="5"/>
  <c r="CN988" i="5" s="1"/>
  <c r="DH822" i="5"/>
  <c r="EV822" i="5"/>
  <c r="EV988" i="5" s="1"/>
  <c r="AQ892" i="5"/>
  <c r="AQ995" i="5" s="1"/>
  <c r="DP1068" i="5"/>
  <c r="DF1075" i="5"/>
  <c r="GN818" i="5"/>
  <c r="HX231" i="5"/>
  <c r="BI1133" i="5"/>
  <c r="EQ979" i="5"/>
  <c r="AP1149" i="5"/>
  <c r="BG631" i="5"/>
  <c r="BE625" i="5"/>
  <c r="CC1138" i="5"/>
  <c r="EK543" i="5"/>
  <c r="EM523" i="5"/>
  <c r="CH468" i="5"/>
  <c r="CH1133" i="5" s="1"/>
  <c r="DK485" i="5"/>
  <c r="DK1137" i="5" s="1"/>
  <c r="EE485" i="5"/>
  <c r="EE898" i="5"/>
  <c r="EE893" i="5" s="1"/>
  <c r="EE996" i="5" s="1"/>
  <c r="CW1068" i="5"/>
  <c r="DQ1068" i="5"/>
  <c r="DG1075" i="5"/>
  <c r="CQ1087" i="5"/>
  <c r="K108" i="7"/>
  <c r="BP625" i="5"/>
  <c r="DD468" i="5"/>
  <c r="DD1133" i="5" s="1"/>
  <c r="EN492" i="5"/>
  <c r="EN1139" i="5" s="1"/>
  <c r="FK1139" i="5"/>
  <c r="AH638" i="5"/>
  <c r="BC631" i="5"/>
  <c r="BE628" i="5"/>
  <c r="BY631" i="5"/>
  <c r="DB633" i="5"/>
  <c r="CU514" i="5"/>
  <c r="EF898" i="5"/>
  <c r="EF893" i="5" s="1"/>
  <c r="EF996" i="5" s="1"/>
  <c r="CS929" i="5"/>
  <c r="CS928" i="5" s="1"/>
  <c r="CS920" i="5" s="1"/>
  <c r="CS997" i="5" s="1"/>
  <c r="EG929" i="5"/>
  <c r="EG928" i="5" s="1"/>
  <c r="EG920" i="5" s="1"/>
  <c r="EG997" i="5" s="1"/>
  <c r="FA929" i="5"/>
  <c r="FA928" i="5" s="1"/>
  <c r="FA920" i="5" s="1"/>
  <c r="FA997" i="5" s="1"/>
  <c r="HX241" i="5"/>
  <c r="IG599" i="5"/>
  <c r="P128" i="7" s="1"/>
  <c r="BI628" i="5"/>
  <c r="EU475" i="5"/>
  <c r="DY492" i="5"/>
  <c r="DY1139" i="5" s="1"/>
  <c r="IF540" i="5"/>
  <c r="O72" i="7" s="1"/>
  <c r="S628" i="5"/>
  <c r="AP1153" i="5"/>
  <c r="BE1133" i="5"/>
  <c r="AT636" i="5"/>
  <c r="CK1139" i="5"/>
  <c r="FO1139" i="5"/>
  <c r="IP732" i="5"/>
  <c r="AG1054" i="2" s="1"/>
  <c r="HU790" i="5"/>
  <c r="Z1104" i="2" s="1"/>
  <c r="Z638" i="2" s="1"/>
  <c r="IJ908" i="5"/>
  <c r="AE1229" i="2" s="1"/>
  <c r="GC987" i="5"/>
  <c r="H49" i="7"/>
  <c r="E101" i="7"/>
  <c r="DT1068" i="5"/>
  <c r="DJ1075" i="5"/>
  <c r="HW829" i="5"/>
  <c r="EG822" i="5"/>
  <c r="EG988" i="5" s="1"/>
  <c r="FA822" i="5"/>
  <c r="FA988" i="5" s="1"/>
  <c r="FU822" i="5"/>
  <c r="FU1150" i="5" s="1"/>
  <c r="HS830" i="5"/>
  <c r="HW830" i="5"/>
  <c r="HW831" i="5"/>
  <c r="IP838" i="5"/>
  <c r="IC857" i="5"/>
  <c r="AC1576" i="2" s="1"/>
  <c r="IJ859" i="5"/>
  <c r="AE1176" i="2" s="1"/>
  <c r="EQ523" i="5"/>
  <c r="EQ521" i="5" s="1"/>
  <c r="EQ1147" i="5" s="1"/>
  <c r="AG503" i="5"/>
  <c r="AG573" i="5" s="1"/>
  <c r="HY682" i="5"/>
  <c r="II683" i="5"/>
  <c r="HZ685" i="5"/>
  <c r="HV686" i="5"/>
  <c r="IP689" i="5"/>
  <c r="AG1011" i="2" s="1"/>
  <c r="AG479" i="2" s="1"/>
  <c r="HY690" i="5"/>
  <c r="HY691" i="5"/>
  <c r="HT692" i="5"/>
  <c r="IF704" i="5"/>
  <c r="AO625" i="5"/>
  <c r="CE1139" i="5"/>
  <c r="HX227" i="5"/>
  <c r="EK485" i="5"/>
  <c r="EK1137" i="5" s="1"/>
  <c r="DK492" i="5"/>
  <c r="DK491" i="5" s="1"/>
  <c r="DK1138" i="5" s="1"/>
  <c r="EE492" i="5"/>
  <c r="EE491" i="5" s="1"/>
  <c r="IP695" i="5"/>
  <c r="AG1017" i="2" s="1"/>
  <c r="AG446" i="2" s="1"/>
  <c r="IL795" i="5"/>
  <c r="HY811" i="5"/>
  <c r="HX890" i="5"/>
  <c r="CJ898" i="5"/>
  <c r="CJ893" i="5" s="1"/>
  <c r="CJ996" i="5" s="1"/>
  <c r="HX903" i="5"/>
  <c r="AA1224" i="2" s="1"/>
  <c r="IP905" i="5"/>
  <c r="AG1226" i="2" s="1"/>
  <c r="CV898" i="5"/>
  <c r="CV893" i="5" s="1"/>
  <c r="CV996" i="5" s="1"/>
  <c r="EH898" i="5"/>
  <c r="EH893" i="5" s="1"/>
  <c r="EH996" i="5" s="1"/>
  <c r="FB898" i="5"/>
  <c r="FB893" i="5" s="1"/>
  <c r="FB996" i="5" s="1"/>
  <c r="FV898" i="5"/>
  <c r="FV893" i="5" s="1"/>
  <c r="FV996" i="5" s="1"/>
  <c r="IM909" i="5"/>
  <c r="AF1230" i="2" s="1"/>
  <c r="HV919" i="5"/>
  <c r="IP925" i="5"/>
  <c r="AG1244" i="2" s="1"/>
  <c r="IP930" i="5"/>
  <c r="AG1249" i="2" s="1"/>
  <c r="K19" i="7"/>
  <c r="D96" i="7"/>
  <c r="E96" i="7" s="1"/>
  <c r="HW566" i="5"/>
  <c r="F96" i="7" s="1"/>
  <c r="DW979" i="5"/>
  <c r="DW722" i="5"/>
  <c r="FG722" i="5"/>
  <c r="FG1140" i="5"/>
  <c r="AH1624" i="2"/>
  <c r="AH1623" i="2" s="1"/>
  <c r="IG546" i="5"/>
  <c r="P78" i="7" s="1"/>
  <c r="DA993" i="5"/>
  <c r="ED1150" i="5"/>
  <c r="CW645" i="5"/>
  <c r="CW575" i="5"/>
  <c r="CW644" i="5" s="1"/>
  <c r="R651" i="5"/>
  <c r="R1153" i="5"/>
  <c r="AL651" i="5"/>
  <c r="AL1153" i="5"/>
  <c r="BE1153" i="5"/>
  <c r="BE651" i="5"/>
  <c r="K119" i="7"/>
  <c r="H121" i="7"/>
  <c r="FJ1135" i="5"/>
  <c r="II681" i="5"/>
  <c r="W988" i="5"/>
  <c r="W817" i="5"/>
  <c r="W986" i="5" s="1"/>
  <c r="C34" i="7"/>
  <c r="HT497" i="5"/>
  <c r="C33" i="7" s="1"/>
  <c r="AS638" i="5"/>
  <c r="AS1149" i="5"/>
  <c r="IO941" i="5"/>
  <c r="IO998" i="5" s="1"/>
  <c r="IO990" i="5"/>
  <c r="IP834" i="5"/>
  <c r="AG1150" i="2" s="1"/>
  <c r="CF667" i="5"/>
  <c r="CF976" i="5" s="1"/>
  <c r="DH514" i="5"/>
  <c r="BF1138" i="5"/>
  <c r="BF631" i="5"/>
  <c r="BL503" i="5"/>
  <c r="BL635" i="5" s="1"/>
  <c r="DI1145" i="5"/>
  <c r="DI514" i="5"/>
  <c r="F1149" i="5"/>
  <c r="F638" i="5"/>
  <c r="IA555" i="5"/>
  <c r="G87" i="7"/>
  <c r="H87" i="7" s="1"/>
  <c r="N91" i="7"/>
  <c r="IG560" i="5"/>
  <c r="P91" i="7" s="1"/>
  <c r="CF645" i="5"/>
  <c r="CF575" i="5"/>
  <c r="CF644" i="5" s="1"/>
  <c r="U651" i="5"/>
  <c r="U1153" i="5"/>
  <c r="CG611" i="5"/>
  <c r="CG610" i="5" s="1"/>
  <c r="CG1156" i="5" s="1"/>
  <c r="DA611" i="5"/>
  <c r="DA610" i="5" s="1"/>
  <c r="DA1156" i="5" s="1"/>
  <c r="DU611" i="5"/>
  <c r="DU610" i="5" s="1"/>
  <c r="DU1156" i="5" s="1"/>
  <c r="EO611" i="5"/>
  <c r="EO610" i="5" s="1"/>
  <c r="AO993" i="5"/>
  <c r="AO856" i="5"/>
  <c r="AO992" i="5" s="1"/>
  <c r="CU1078" i="5"/>
  <c r="DG1084" i="5"/>
  <c r="FH1134" i="5"/>
  <c r="CE645" i="5"/>
  <c r="CE575" i="5"/>
  <c r="CE644" i="5" s="1"/>
  <c r="IA549" i="5"/>
  <c r="HQ929" i="5"/>
  <c r="AI892" i="5"/>
  <c r="AI995" i="5" s="1"/>
  <c r="FJ1139" i="5"/>
  <c r="E95" i="7"/>
  <c r="BF651" i="5"/>
  <c r="AK1153" i="5"/>
  <c r="AN993" i="5"/>
  <c r="IG605" i="5"/>
  <c r="P132" i="7" s="1"/>
  <c r="IG534" i="5"/>
  <c r="P66" i="7" s="1"/>
  <c r="IO666" i="5"/>
  <c r="IP666" i="5" s="1"/>
  <c r="DE979" i="5"/>
  <c r="IA547" i="5"/>
  <c r="BB1153" i="5"/>
  <c r="KM856" i="5"/>
  <c r="KM992" i="5" s="1"/>
  <c r="Q1153" i="5"/>
  <c r="BM503" i="5"/>
  <c r="BM635" i="5" s="1"/>
  <c r="EO598" i="5"/>
  <c r="EO1155" i="5" s="1"/>
  <c r="FJ1134" i="5"/>
  <c r="IS931" i="5"/>
  <c r="AH1250" i="2" s="1"/>
  <c r="GC730" i="5"/>
  <c r="BS651" i="5"/>
  <c r="DA979" i="5"/>
  <c r="U892" i="5"/>
  <c r="U995" i="5" s="1"/>
  <c r="BI638" i="5"/>
  <c r="DB1068" i="5"/>
  <c r="HU1068" i="5" s="1"/>
  <c r="AB1149" i="5"/>
  <c r="AB638" i="5"/>
  <c r="G80" i="7"/>
  <c r="H80" i="7" s="1"/>
  <c r="IA548" i="5"/>
  <c r="N81" i="7"/>
  <c r="IG549" i="5"/>
  <c r="P81" i="7" s="1"/>
  <c r="W1153" i="5"/>
  <c r="W651" i="5"/>
  <c r="HX1088" i="5"/>
  <c r="AA1680" i="2" s="1"/>
  <c r="AA1679" i="2" s="1"/>
  <c r="DN1087" i="5"/>
  <c r="HX1087" i="5" s="1"/>
  <c r="IS852" i="5"/>
  <c r="BW1133" i="5"/>
  <c r="BW628" i="5"/>
  <c r="W1133" i="5"/>
  <c r="W625" i="5"/>
  <c r="AO1138" i="5"/>
  <c r="AO631" i="5"/>
  <c r="BI631" i="5"/>
  <c r="BI1138" i="5"/>
  <c r="AU1142" i="5"/>
  <c r="AU636" i="5"/>
  <c r="EE1145" i="5"/>
  <c r="EE514" i="5"/>
  <c r="AW1149" i="5"/>
  <c r="AW638" i="5"/>
  <c r="BQ1149" i="5"/>
  <c r="BQ638" i="5"/>
  <c r="N87" i="7"/>
  <c r="IG555" i="5"/>
  <c r="P87" i="7" s="1"/>
  <c r="CI645" i="5"/>
  <c r="CI575" i="5"/>
  <c r="CI644" i="5" s="1"/>
  <c r="AX1138" i="5"/>
  <c r="AX631" i="5"/>
  <c r="HX89" i="5"/>
  <c r="IG593" i="5"/>
  <c r="P122" i="7" s="1"/>
  <c r="N122" i="7"/>
  <c r="X1142" i="5"/>
  <c r="X636" i="5"/>
  <c r="S1153" i="5"/>
  <c r="S651" i="5"/>
  <c r="CL585" i="5"/>
  <c r="CL584" i="5" s="1"/>
  <c r="DZ585" i="5"/>
  <c r="DZ584" i="5" s="1"/>
  <c r="DZ1153" i="5" s="1"/>
  <c r="ET585" i="5"/>
  <c r="ET584" i="5" s="1"/>
  <c r="ET1153" i="5" s="1"/>
  <c r="DS611" i="5"/>
  <c r="DS610" i="5" s="1"/>
  <c r="DS1156" i="5" s="1"/>
  <c r="EM611" i="5"/>
  <c r="EM610" i="5" s="1"/>
  <c r="EM596" i="5" s="1"/>
  <c r="FM979" i="5"/>
  <c r="FM1139" i="5"/>
  <c r="CV468" i="5"/>
  <c r="CV628" i="5" s="1"/>
  <c r="T1153" i="5"/>
  <c r="T651" i="5"/>
  <c r="T993" i="5"/>
  <c r="T856" i="5"/>
  <c r="T992" i="5" s="1"/>
  <c r="CB993" i="5"/>
  <c r="CB856" i="5"/>
  <c r="CB992" i="5" s="1"/>
  <c r="FN1155" i="5"/>
  <c r="FN898" i="5"/>
  <c r="FN893" i="5" s="1"/>
  <c r="FN996" i="5" s="1"/>
  <c r="DE1068" i="5"/>
  <c r="CU1075" i="5"/>
  <c r="DO1075" i="5"/>
  <c r="X1133" i="5"/>
  <c r="X467" i="5"/>
  <c r="X569" i="5" s="1"/>
  <c r="AR467" i="5"/>
  <c r="AR569" i="5" s="1"/>
  <c r="AR625" i="5"/>
  <c r="AR1133" i="5"/>
  <c r="AR628" i="5"/>
  <c r="CD1138" i="5"/>
  <c r="CD631" i="5"/>
  <c r="AV1142" i="5"/>
  <c r="AV636" i="5"/>
  <c r="FM1140" i="5"/>
  <c r="FM980" i="5"/>
  <c r="FE979" i="5"/>
  <c r="N60" i="7"/>
  <c r="IG526" i="5"/>
  <c r="P60" i="7" s="1"/>
  <c r="CC1149" i="5"/>
  <c r="CC638" i="5"/>
  <c r="BC1153" i="5"/>
  <c r="BC651" i="5"/>
  <c r="DB722" i="5"/>
  <c r="DB979" i="5"/>
  <c r="IS917" i="5"/>
  <c r="AH1236" i="2" s="1"/>
  <c r="AZ651" i="5"/>
  <c r="BL638" i="5"/>
  <c r="BL1149" i="5"/>
  <c r="IO749" i="5"/>
  <c r="IP749" i="5" s="1"/>
  <c r="AG1071" i="2" s="1"/>
  <c r="AG1312" i="2" s="1"/>
  <c r="AG1399" i="2" s="1"/>
  <c r="AF651" i="5"/>
  <c r="FP856" i="5"/>
  <c r="FP992" i="5" s="1"/>
  <c r="FD1134" i="5"/>
  <c r="CY575" i="5"/>
  <c r="CY644" i="5" s="1"/>
  <c r="AE1588" i="2"/>
  <c r="AY1153" i="5"/>
  <c r="AY651" i="5"/>
  <c r="BT1153" i="5"/>
  <c r="BT651" i="5"/>
  <c r="HX259" i="5"/>
  <c r="FU1140" i="5"/>
  <c r="CH667" i="5"/>
  <c r="CH976" i="5" s="1"/>
  <c r="IS902" i="5"/>
  <c r="AH1223" i="2" s="1"/>
  <c r="E88" i="7"/>
  <c r="IL724" i="5"/>
  <c r="EA543" i="5"/>
  <c r="EA1151" i="5" s="1"/>
  <c r="DF585" i="5"/>
  <c r="DF584" i="5" s="1"/>
  <c r="IA593" i="5"/>
  <c r="DV979" i="5"/>
  <c r="AM651" i="5"/>
  <c r="FK722" i="5"/>
  <c r="CK979" i="5"/>
  <c r="P651" i="5"/>
  <c r="M651" i="5"/>
  <c r="AH1588" i="2"/>
  <c r="AH1587" i="2" s="1"/>
  <c r="IG547" i="5"/>
  <c r="P79" i="7" s="1"/>
  <c r="DH856" i="5"/>
  <c r="DH992" i="5" s="1"/>
  <c r="FF980" i="5"/>
  <c r="CH979" i="5"/>
  <c r="L651" i="5"/>
  <c r="DP718" i="5"/>
  <c r="BH1142" i="5"/>
  <c r="BH636" i="5"/>
  <c r="ER1145" i="5"/>
  <c r="ER514" i="5"/>
  <c r="CW722" i="5"/>
  <c r="HT723" i="5"/>
  <c r="AZ1133" i="5"/>
  <c r="AZ628" i="5"/>
  <c r="AZ625" i="5"/>
  <c r="HX49" i="5"/>
  <c r="HX122" i="5"/>
  <c r="HX154" i="5"/>
  <c r="HX228" i="5"/>
  <c r="HX239" i="5"/>
  <c r="S1142" i="5"/>
  <c r="S636" i="5"/>
  <c r="DT667" i="5"/>
  <c r="DT976" i="5" s="1"/>
  <c r="IK788" i="5"/>
  <c r="AI1153" i="5"/>
  <c r="AI651" i="5"/>
  <c r="HR1086" i="5"/>
  <c r="D1678" i="2"/>
  <c r="IS872" i="5"/>
  <c r="AH1189" i="2" s="1"/>
  <c r="FS979" i="5"/>
  <c r="IE719" i="5"/>
  <c r="FG980" i="5"/>
  <c r="BR631" i="5"/>
  <c r="E638" i="5"/>
  <c r="O467" i="5"/>
  <c r="O465" i="5" s="1"/>
  <c r="O626" i="5" s="1"/>
  <c r="AC993" i="5"/>
  <c r="AC856" i="5"/>
  <c r="AC992" i="5" s="1"/>
  <c r="BQ993" i="5"/>
  <c r="BQ856" i="5"/>
  <c r="BQ992" i="5" s="1"/>
  <c r="DQ993" i="5"/>
  <c r="DQ856" i="5"/>
  <c r="DQ992" i="5" s="1"/>
  <c r="BP568" i="5"/>
  <c r="AN651" i="5"/>
  <c r="X628" i="5"/>
  <c r="I856" i="5"/>
  <c r="I992" i="5" s="1"/>
  <c r="FV1146" i="5"/>
  <c r="IL781" i="5"/>
  <c r="HT811" i="5"/>
  <c r="IP814" i="5"/>
  <c r="AG1130" i="2" s="1"/>
  <c r="IO995" i="5"/>
  <c r="IP892" i="5"/>
  <c r="AT503" i="5"/>
  <c r="AT635" i="5" s="1"/>
  <c r="IF541" i="5"/>
  <c r="O73" i="7" s="1"/>
  <c r="HT542" i="5"/>
  <c r="C74" i="7" s="1"/>
  <c r="IF553" i="5"/>
  <c r="O85" i="7" s="1"/>
  <c r="HY595" i="5"/>
  <c r="G124" i="7" s="1"/>
  <c r="DK598" i="5"/>
  <c r="DK1155" i="5" s="1"/>
  <c r="IF597" i="5"/>
  <c r="O126" i="7" s="1"/>
  <c r="DV611" i="5"/>
  <c r="DV610" i="5" s="1"/>
  <c r="CK667" i="5"/>
  <c r="CK976" i="5" s="1"/>
  <c r="DE667" i="5"/>
  <c r="DE976" i="5" s="1"/>
  <c r="AM892" i="5"/>
  <c r="AM995" i="5" s="1"/>
  <c r="AM996" i="5"/>
  <c r="IF899" i="5"/>
  <c r="HU900" i="5"/>
  <c r="Z1221" i="2" s="1"/>
  <c r="HQ906" i="5"/>
  <c r="Y1580" i="2" s="1"/>
  <c r="HX908" i="5"/>
  <c r="AA1229" i="2" s="1"/>
  <c r="AG636" i="5"/>
  <c r="AG567" i="5"/>
  <c r="HT488" i="5"/>
  <c r="C27" i="7" s="1"/>
  <c r="W631" i="5"/>
  <c r="W1138" i="5"/>
  <c r="DV492" i="5"/>
  <c r="DV1139" i="5" s="1"/>
  <c r="EN543" i="5"/>
  <c r="EN536" i="5" s="1"/>
  <c r="EN1149" i="5" s="1"/>
  <c r="EN1140" i="5"/>
  <c r="HT788" i="5"/>
  <c r="IO994" i="5"/>
  <c r="IP890" i="5"/>
  <c r="IP994" i="5" s="1"/>
  <c r="IL930" i="5"/>
  <c r="DX929" i="5"/>
  <c r="DX928" i="5" s="1"/>
  <c r="DX920" i="5" s="1"/>
  <c r="DX997" i="5" s="1"/>
  <c r="HV938" i="5"/>
  <c r="IB938" i="5"/>
  <c r="IK938" i="5"/>
  <c r="DP1078" i="5"/>
  <c r="DA1087" i="5"/>
  <c r="DA1083" i="5" s="1"/>
  <c r="CS1091" i="5"/>
  <c r="IG479" i="5"/>
  <c r="P19" i="7" s="1"/>
  <c r="K134" i="7"/>
  <c r="G467" i="5"/>
  <c r="G568" i="5" s="1"/>
  <c r="F467" i="5"/>
  <c r="F465" i="5" s="1"/>
  <c r="F625" i="5"/>
  <c r="DM485" i="5"/>
  <c r="EG485" i="5"/>
  <c r="EG1137" i="5" s="1"/>
  <c r="CX523" i="5"/>
  <c r="X631" i="5"/>
  <c r="X1138" i="5"/>
  <c r="FD1147" i="5"/>
  <c r="IP836" i="5"/>
  <c r="AG1152" i="2" s="1"/>
  <c r="CE856" i="5"/>
  <c r="CE992" i="5" s="1"/>
  <c r="CE993" i="5"/>
  <c r="EY856" i="5"/>
  <c r="EY992" i="5" s="1"/>
  <c r="EY993" i="5"/>
  <c r="AB1588" i="2"/>
  <c r="AB1596" i="2" s="1"/>
  <c r="IA859" i="5"/>
  <c r="AB1176" i="2" s="1"/>
  <c r="IA861" i="5"/>
  <c r="AB1178" i="2" s="1"/>
  <c r="IP873" i="5"/>
  <c r="AG1190" i="2" s="1"/>
  <c r="IM875" i="5"/>
  <c r="AF1192" i="2" s="1"/>
  <c r="HX877" i="5"/>
  <c r="AA1194" i="2" s="1"/>
  <c r="IM881" i="5"/>
  <c r="AF1200" i="2" s="1"/>
  <c r="AF1771" i="2" s="1"/>
  <c r="IP897" i="5"/>
  <c r="AG1218" i="2" s="1"/>
  <c r="IP928" i="5"/>
  <c r="AG1247" i="2" s="1"/>
  <c r="DE929" i="5"/>
  <c r="DE928" i="5" s="1"/>
  <c r="DY929" i="5"/>
  <c r="DY928" i="5" s="1"/>
  <c r="DY920" i="5" s="1"/>
  <c r="DY997" i="5" s="1"/>
  <c r="FM929" i="5"/>
  <c r="FM928" i="5" s="1"/>
  <c r="FM920" i="5" s="1"/>
  <c r="FM997" i="5" s="1"/>
  <c r="CW1078" i="5"/>
  <c r="DQ1078" i="5"/>
  <c r="DV1134" i="5"/>
  <c r="DV468" i="5"/>
  <c r="DV1133" i="5" s="1"/>
  <c r="CY523" i="5"/>
  <c r="BT1149" i="5"/>
  <c r="BT638" i="5"/>
  <c r="HQ737" i="5"/>
  <c r="IF737" i="5"/>
  <c r="IB738" i="5"/>
  <c r="HW739" i="5"/>
  <c r="IL739" i="5"/>
  <c r="IL749" i="5"/>
  <c r="HS750" i="5"/>
  <c r="IH750" i="5"/>
  <c r="IC751" i="5"/>
  <c r="HQ753" i="5"/>
  <c r="IF753" i="5"/>
  <c r="O988" i="5"/>
  <c r="O817" i="5"/>
  <c r="O986" i="5" s="1"/>
  <c r="FQ822" i="5"/>
  <c r="E993" i="5"/>
  <c r="E856" i="5"/>
  <c r="E992" i="5" s="1"/>
  <c r="AR993" i="5"/>
  <c r="AR856" i="5"/>
  <c r="AR992" i="5" s="1"/>
  <c r="BL993" i="5"/>
  <c r="BL856" i="5"/>
  <c r="BL992" i="5" s="1"/>
  <c r="EF993" i="5"/>
  <c r="EF856" i="5"/>
  <c r="EF992" i="5" s="1"/>
  <c r="FR1155" i="5"/>
  <c r="FR898" i="5"/>
  <c r="FR893" i="5" s="1"/>
  <c r="FR996" i="5" s="1"/>
  <c r="ID909" i="5"/>
  <c r="AC1230" i="2" s="1"/>
  <c r="IM917" i="5"/>
  <c r="AF1236" i="2" s="1"/>
  <c r="DI1068" i="5"/>
  <c r="CX1078" i="5"/>
  <c r="H625" i="5"/>
  <c r="H467" i="5"/>
  <c r="H567" i="5" s="1"/>
  <c r="AV628" i="5"/>
  <c r="AV467" i="5"/>
  <c r="AV465" i="5" s="1"/>
  <c r="AV626" i="5" s="1"/>
  <c r="HS474" i="5"/>
  <c r="DM514" i="5"/>
  <c r="CS730" i="5"/>
  <c r="CS981" i="5" s="1"/>
  <c r="IC731" i="5"/>
  <c r="HT733" i="5"/>
  <c r="II733" i="5"/>
  <c r="HP734" i="5"/>
  <c r="IE734" i="5"/>
  <c r="HZ735" i="5"/>
  <c r="IK736" i="5"/>
  <c r="II743" i="5"/>
  <c r="HS746" i="5"/>
  <c r="IH746" i="5"/>
  <c r="FA993" i="5"/>
  <c r="FA856" i="5"/>
  <c r="FA992" i="5" s="1"/>
  <c r="CP1068" i="5"/>
  <c r="DJ1068" i="5"/>
  <c r="CZ1075" i="5"/>
  <c r="DT1075" i="5"/>
  <c r="DL1078" i="5"/>
  <c r="AC467" i="5"/>
  <c r="AC465" i="5" s="1"/>
  <c r="AC626" i="5" s="1"/>
  <c r="AC1133" i="5"/>
  <c r="AC628" i="5"/>
  <c r="CV485" i="5"/>
  <c r="CV1137" i="5" s="1"/>
  <c r="ET492" i="5"/>
  <c r="ET1139" i="5" s="1"/>
  <c r="IP825" i="5"/>
  <c r="AG1141" i="2" s="1"/>
  <c r="ED822" i="5"/>
  <c r="ED988" i="5" s="1"/>
  <c r="AC1589" i="2"/>
  <c r="AC1587" i="2" s="1"/>
  <c r="AC1696" i="2" s="1"/>
  <c r="IG859" i="5"/>
  <c r="AD1176" i="2" s="1"/>
  <c r="DH929" i="5"/>
  <c r="DH928" i="5" s="1"/>
  <c r="DH920" i="5" s="1"/>
  <c r="EB929" i="5"/>
  <c r="EB928" i="5" s="1"/>
  <c r="EB920" i="5" s="1"/>
  <c r="EB997" i="5" s="1"/>
  <c r="AW628" i="5"/>
  <c r="AW625" i="5"/>
  <c r="Y631" i="5"/>
  <c r="J467" i="5"/>
  <c r="J465" i="5" s="1"/>
  <c r="J626" i="5" s="1"/>
  <c r="J1133" i="5"/>
  <c r="AX467" i="5"/>
  <c r="AX567" i="5" s="1"/>
  <c r="AX628" i="5"/>
  <c r="AX625" i="5"/>
  <c r="BR467" i="5"/>
  <c r="BR568" i="5" s="1"/>
  <c r="BR628" i="5"/>
  <c r="BR625" i="5"/>
  <c r="CW485" i="5"/>
  <c r="CW629" i="5" s="1"/>
  <c r="DQ485" i="5"/>
  <c r="DQ1137" i="5" s="1"/>
  <c r="CF546" i="5"/>
  <c r="CF497" i="5"/>
  <c r="CF543" i="5" s="1"/>
  <c r="CF1151" i="5" s="1"/>
  <c r="HY731" i="5"/>
  <c r="HT732" i="5"/>
  <c r="II732" i="5"/>
  <c r="HP733" i="5"/>
  <c r="HV735" i="5"/>
  <c r="IK735" i="5"/>
  <c r="HQ736" i="5"/>
  <c r="IF736" i="5"/>
  <c r="HP743" i="5"/>
  <c r="IE743" i="5"/>
  <c r="IC746" i="5"/>
  <c r="HY747" i="5"/>
  <c r="IP747" i="5"/>
  <c r="AG1069" i="2" s="1"/>
  <c r="AG545" i="2" s="1"/>
  <c r="IF779" i="5"/>
  <c r="IC781" i="5"/>
  <c r="EZ822" i="5"/>
  <c r="AU993" i="5"/>
  <c r="AU856" i="5"/>
  <c r="AU992" i="5" s="1"/>
  <c r="DO993" i="5"/>
  <c r="DO856" i="5"/>
  <c r="DO992" i="5" s="1"/>
  <c r="I467" i="5"/>
  <c r="I567" i="5" s="1"/>
  <c r="I625" i="5"/>
  <c r="BQ1133" i="5"/>
  <c r="BQ628" i="5"/>
  <c r="BQ625" i="5"/>
  <c r="Y1138" i="5"/>
  <c r="HX42" i="5"/>
  <c r="HX70" i="5"/>
  <c r="HX109" i="5"/>
  <c r="HX146" i="5"/>
  <c r="HX172" i="5"/>
  <c r="HX180" i="5"/>
  <c r="HX221" i="5"/>
  <c r="DO475" i="5"/>
  <c r="IB685" i="5"/>
  <c r="HV692" i="5"/>
  <c r="FD730" i="5"/>
  <c r="FD981" i="5" s="1"/>
  <c r="HW737" i="5"/>
  <c r="HS738" i="5"/>
  <c r="IH738" i="5"/>
  <c r="IC739" i="5"/>
  <c r="IP745" i="5"/>
  <c r="AG1067" i="2" s="1"/>
  <c r="IC749" i="5"/>
  <c r="HY750" i="5"/>
  <c r="IP750" i="5"/>
  <c r="AG1072" i="2" s="1"/>
  <c r="II751" i="5"/>
  <c r="HW753" i="5"/>
  <c r="IL753" i="5"/>
  <c r="IP763" i="5"/>
  <c r="AG1085" i="2" s="1"/>
  <c r="IP850" i="5"/>
  <c r="HZ919" i="5"/>
  <c r="EH611" i="5"/>
  <c r="EH610" i="5" s="1"/>
  <c r="DR611" i="5"/>
  <c r="DR610" i="5" s="1"/>
  <c r="DR1156" i="5" s="1"/>
  <c r="EL611" i="5"/>
  <c r="EL610" i="5" s="1"/>
  <c r="IP705" i="5"/>
  <c r="AG1027" i="2" s="1"/>
  <c r="AG524" i="2" s="1"/>
  <c r="CS718" i="5"/>
  <c r="DM718" i="5"/>
  <c r="AW717" i="5"/>
  <c r="AW978" i="5" s="1"/>
  <c r="BQ717" i="5"/>
  <c r="BQ978" i="5" s="1"/>
  <c r="FG979" i="5"/>
  <c r="V817" i="5"/>
  <c r="V986" i="5" s="1"/>
  <c r="V988" i="5"/>
  <c r="IA864" i="5"/>
  <c r="AB1181" i="2" s="1"/>
  <c r="IG876" i="5"/>
  <c r="AD1193" i="2" s="1"/>
  <c r="IJ877" i="5"/>
  <c r="AE1194" i="2" s="1"/>
  <c r="HU881" i="5"/>
  <c r="Z1202" i="2" s="1"/>
  <c r="IM895" i="5"/>
  <c r="AF1216" i="2" s="1"/>
  <c r="CW898" i="5"/>
  <c r="CW893" i="5" s="1"/>
  <c r="CW996" i="5" s="1"/>
  <c r="BH628" i="5"/>
  <c r="AG568" i="5"/>
  <c r="DW523" i="5"/>
  <c r="DW521" i="5" s="1"/>
  <c r="DW1147" i="5" s="1"/>
  <c r="DI543" i="5"/>
  <c r="DI1151" i="5" s="1"/>
  <c r="IL684" i="5"/>
  <c r="HY686" i="5"/>
  <c r="IM687" i="5"/>
  <c r="AF1009" i="2" s="1"/>
  <c r="HQ689" i="5"/>
  <c r="DN822" i="5"/>
  <c r="HY899" i="5"/>
  <c r="HX899" i="5"/>
  <c r="AA1220" i="2" s="1"/>
  <c r="IJ900" i="5"/>
  <c r="AE1221" i="2" s="1"/>
  <c r="FA898" i="5"/>
  <c r="FA893" i="5" s="1"/>
  <c r="FA996" i="5" s="1"/>
  <c r="IJ909" i="5"/>
  <c r="AE1230" i="2" s="1"/>
  <c r="DF929" i="5"/>
  <c r="DF928" i="5" s="1"/>
  <c r="DF920" i="5" s="1"/>
  <c r="DF997" i="5" s="1"/>
  <c r="CX1091" i="5"/>
  <c r="H6" i="7"/>
  <c r="H76" i="7"/>
  <c r="K100" i="7"/>
  <c r="H104" i="7"/>
  <c r="GU899" i="5"/>
  <c r="EE468" i="5"/>
  <c r="EE1133" i="5" s="1"/>
  <c r="DU485" i="5"/>
  <c r="DU1137" i="5" s="1"/>
  <c r="HT509" i="5"/>
  <c r="C45" i="7" s="1"/>
  <c r="E45" i="7" s="1"/>
  <c r="DJ585" i="5"/>
  <c r="DJ584" i="5" s="1"/>
  <c r="DJ1153" i="5" s="1"/>
  <c r="EX585" i="5"/>
  <c r="EX584" i="5" s="1"/>
  <c r="EX1153" i="5" s="1"/>
  <c r="EF543" i="5"/>
  <c r="EF1151" i="5" s="1"/>
  <c r="CM598" i="5"/>
  <c r="CM1155" i="5" s="1"/>
  <c r="EQ611" i="5"/>
  <c r="EQ610" i="5" s="1"/>
  <c r="EQ1156" i="5" s="1"/>
  <c r="EU611" i="5"/>
  <c r="EU610" i="5" s="1"/>
  <c r="IP708" i="5"/>
  <c r="AG1030" i="2" s="1"/>
  <c r="IC711" i="5"/>
  <c r="HY780" i="5"/>
  <c r="HT781" i="5"/>
  <c r="IK789" i="5"/>
  <c r="HP795" i="5"/>
  <c r="HP796" i="5" s="1"/>
  <c r="HP800" i="5" s="1"/>
  <c r="HY795" i="5"/>
  <c r="HY796" i="5" s="1"/>
  <c r="HY797" i="5" s="1"/>
  <c r="HY798" i="5" s="1"/>
  <c r="IE795" i="5"/>
  <c r="IE796" i="5" s="1"/>
  <c r="IE797" i="5" s="1"/>
  <c r="FH1147" i="5"/>
  <c r="IP800" i="5"/>
  <c r="AG1116" i="2" s="1"/>
  <c r="HQ811" i="5"/>
  <c r="HV811" i="5"/>
  <c r="HZ811" i="5"/>
  <c r="IF811" i="5"/>
  <c r="IK811" i="5"/>
  <c r="HP813" i="5"/>
  <c r="HZ813" i="5"/>
  <c r="IP821" i="5"/>
  <c r="AG1137" i="2" s="1"/>
  <c r="E822" i="5"/>
  <c r="E817" i="5" s="1"/>
  <c r="E986" i="5" s="1"/>
  <c r="CX822" i="5"/>
  <c r="CX988" i="5" s="1"/>
  <c r="DR822" i="5"/>
  <c r="DR988" i="5" s="1"/>
  <c r="EL822" i="5"/>
  <c r="EL988" i="5" s="1"/>
  <c r="FF822" i="5"/>
  <c r="FF1150" i="5" s="1"/>
  <c r="ID864" i="5"/>
  <c r="AC1181" i="2" s="1"/>
  <c r="IP867" i="5"/>
  <c r="AG1184" i="2" s="1"/>
  <c r="HX874" i="5"/>
  <c r="AA1191" i="2" s="1"/>
  <c r="IM877" i="5"/>
  <c r="AF1194" i="2" s="1"/>
  <c r="HX881" i="5"/>
  <c r="AA1202" i="2" s="1"/>
  <c r="CQ1068" i="5"/>
  <c r="CX1068" i="5"/>
  <c r="DR1068" i="5"/>
  <c r="DA1075" i="5"/>
  <c r="CY1078" i="5"/>
  <c r="CV1084" i="5"/>
  <c r="DP1084" i="5"/>
  <c r="DI1087" i="5"/>
  <c r="DI1083" i="5" s="1"/>
  <c r="DA1091" i="5"/>
  <c r="H133" i="7"/>
  <c r="CI475" i="5"/>
  <c r="DL550" i="5"/>
  <c r="DL640" i="5" s="1"/>
  <c r="EF550" i="5"/>
  <c r="EF1152" i="5" s="1"/>
  <c r="HW553" i="5"/>
  <c r="F85" i="7" s="1"/>
  <c r="HS586" i="5"/>
  <c r="DM543" i="5"/>
  <c r="DM1151" i="5" s="1"/>
  <c r="DL598" i="5"/>
  <c r="DL1155" i="5" s="1"/>
  <c r="IG606" i="5"/>
  <c r="P133" i="7" s="1"/>
  <c r="IP710" i="5"/>
  <c r="AG1032" i="2" s="1"/>
  <c r="HZ780" i="5"/>
  <c r="IH788" i="5"/>
  <c r="IJ790" i="5"/>
  <c r="AE1104" i="2" s="1"/>
  <c r="AE638" i="2" s="1"/>
  <c r="AE639" i="2" s="1"/>
  <c r="FI1147" i="5"/>
  <c r="CY822" i="5"/>
  <c r="CY988" i="5" s="1"/>
  <c r="IP853" i="5"/>
  <c r="HX875" i="5"/>
  <c r="AA1192" i="2" s="1"/>
  <c r="EM898" i="5"/>
  <c r="EM893" i="5" s="1"/>
  <c r="EM996" i="5" s="1"/>
  <c r="II906" i="5"/>
  <c r="AE1580" i="2" s="1"/>
  <c r="IP907" i="5"/>
  <c r="AG1228" i="2" s="1"/>
  <c r="IM922" i="5"/>
  <c r="AF1241" i="2" s="1"/>
  <c r="HR930" i="5"/>
  <c r="Y1249" i="2" s="1"/>
  <c r="Y1363" i="2" s="1"/>
  <c r="IC938" i="5"/>
  <c r="CR1068" i="5"/>
  <c r="DL1068" i="5"/>
  <c r="DS1068" i="5"/>
  <c r="CW1084" i="5"/>
  <c r="DQ1084" i="5"/>
  <c r="CP1087" i="5"/>
  <c r="CP1083" i="5" s="1"/>
  <c r="DJ1087" i="5"/>
  <c r="DJ1083" i="5" s="1"/>
  <c r="H23" i="7"/>
  <c r="E66" i="7"/>
  <c r="H122" i="7"/>
  <c r="HV542" i="5"/>
  <c r="D74" i="7" s="1"/>
  <c r="CT585" i="5"/>
  <c r="CT584" i="5" s="1"/>
  <c r="CO598" i="5"/>
  <c r="CO1155" i="5" s="1"/>
  <c r="DI598" i="5"/>
  <c r="DI1155" i="5" s="1"/>
  <c r="FJ1147" i="5"/>
  <c r="HQ813" i="5"/>
  <c r="IG864" i="5"/>
  <c r="AD1181" i="2" s="1"/>
  <c r="IP871" i="5"/>
  <c r="AG1188" i="2" s="1"/>
  <c r="IA874" i="5"/>
  <c r="AB1191" i="2" s="1"/>
  <c r="IA881" i="5"/>
  <c r="AB1202" i="2" s="1"/>
  <c r="CF898" i="5"/>
  <c r="CF893" i="5" s="1"/>
  <c r="CF892" i="5" s="1"/>
  <c r="CF995" i="5" s="1"/>
  <c r="CZ898" i="5"/>
  <c r="CZ893" i="5" s="1"/>
  <c r="CZ996" i="5" s="1"/>
  <c r="HR919" i="5"/>
  <c r="Y1238" i="2" s="1"/>
  <c r="IM926" i="5"/>
  <c r="AF1245" i="2" s="1"/>
  <c r="H79" i="7"/>
  <c r="EI529" i="5"/>
  <c r="EI1148" i="5" s="1"/>
  <c r="CE598" i="5"/>
  <c r="CE1155" i="5" s="1"/>
  <c r="IP782" i="5"/>
  <c r="AG1098" i="2" s="1"/>
  <c r="HS789" i="5"/>
  <c r="IP807" i="5"/>
  <c r="AG1123" i="2" s="1"/>
  <c r="HW811" i="5"/>
  <c r="IL811" i="5"/>
  <c r="HZ830" i="5"/>
  <c r="IA875" i="5"/>
  <c r="AB1192" i="2" s="1"/>
  <c r="IG903" i="5"/>
  <c r="AD1224" i="2" s="1"/>
  <c r="HR908" i="5"/>
  <c r="Y1229" i="2" s="1"/>
  <c r="DH893" i="5"/>
  <c r="DH996" i="5" s="1"/>
  <c r="DA1068" i="5"/>
  <c r="CQ1075" i="5"/>
  <c r="DK1075" i="5"/>
  <c r="H66" i="7"/>
  <c r="GQ920" i="5"/>
  <c r="GQ1153" i="5" s="1"/>
  <c r="CJ543" i="5"/>
  <c r="CJ1151" i="5" s="1"/>
  <c r="CY598" i="5"/>
  <c r="CY1155" i="5" s="1"/>
  <c r="DK611" i="5"/>
  <c r="DK610" i="5" s="1"/>
  <c r="DK1156" i="5" s="1"/>
  <c r="HS743" i="5"/>
  <c r="IH743" i="5"/>
  <c r="HQ746" i="5"/>
  <c r="IB746" i="5"/>
  <c r="HZ749" i="5"/>
  <c r="HV750" i="5"/>
  <c r="IK750" i="5"/>
  <c r="HQ751" i="5"/>
  <c r="IF751" i="5"/>
  <c r="HT753" i="5"/>
  <c r="II753" i="5"/>
  <c r="EZ1147" i="5"/>
  <c r="FT1147" i="5"/>
  <c r="HZ829" i="5"/>
  <c r="HZ831" i="5"/>
  <c r="DI893" i="5"/>
  <c r="DI996" i="5" s="1"/>
  <c r="DT1084" i="5"/>
  <c r="CS1087" i="5"/>
  <c r="CS1083" i="5" s="1"/>
  <c r="DE1091" i="5"/>
  <c r="H71" i="7"/>
  <c r="HX52" i="5"/>
  <c r="HX169" i="5"/>
  <c r="HX177" i="5"/>
  <c r="CG529" i="5"/>
  <c r="CG1148" i="5" s="1"/>
  <c r="ES529" i="5"/>
  <c r="ES1148" i="5" s="1"/>
  <c r="DC730" i="5"/>
  <c r="DC981" i="5" s="1"/>
  <c r="HQ738" i="5"/>
  <c r="IB739" i="5"/>
  <c r="IC789" i="5"/>
  <c r="FA1147" i="5"/>
  <c r="HS811" i="5"/>
  <c r="IH811" i="5"/>
  <c r="IK830" i="5"/>
  <c r="CQ898" i="5"/>
  <c r="CQ893" i="5" s="1"/>
  <c r="CQ996" i="5" s="1"/>
  <c r="DJ893" i="5"/>
  <c r="HV474" i="5"/>
  <c r="D14" i="7" s="1"/>
  <c r="CX529" i="5"/>
  <c r="CX1148" i="5" s="1"/>
  <c r="IE709" i="5"/>
  <c r="IC712" i="5"/>
  <c r="DA980" i="5"/>
  <c r="EO980" i="5"/>
  <c r="FI1140" i="5"/>
  <c r="CS979" i="5"/>
  <c r="EW722" i="5"/>
  <c r="FQ1140" i="5"/>
  <c r="HP726" i="5"/>
  <c r="CQ730" i="5"/>
  <c r="CQ981" i="5" s="1"/>
  <c r="EY730" i="5"/>
  <c r="EY981" i="5" s="1"/>
  <c r="FS730" i="5"/>
  <c r="FS981" i="5" s="1"/>
  <c r="HY733" i="5"/>
  <c r="IP733" i="5"/>
  <c r="AG1055" i="2" s="1"/>
  <c r="HT734" i="5"/>
  <c r="II734" i="5"/>
  <c r="HP735" i="5"/>
  <c r="IE735" i="5"/>
  <c r="DX730" i="5"/>
  <c r="DX981" i="5" s="1"/>
  <c r="IP766" i="5"/>
  <c r="AG1088" i="2" s="1"/>
  <c r="IP788" i="5"/>
  <c r="AG1102" i="2" s="1"/>
  <c r="FK822" i="5"/>
  <c r="FK988" i="5" s="1"/>
  <c r="ER822" i="5"/>
  <c r="ER988" i="5" s="1"/>
  <c r="IP868" i="5"/>
  <c r="AG1185" i="2" s="1"/>
  <c r="IG874" i="5"/>
  <c r="AD1191" i="2" s="1"/>
  <c r="IG881" i="5"/>
  <c r="AD1202" i="2" s="1"/>
  <c r="IM889" i="5"/>
  <c r="AF1210" i="2" s="1"/>
  <c r="HU895" i="5"/>
  <c r="Z1216" i="2" s="1"/>
  <c r="CR898" i="5"/>
  <c r="CR893" i="5" s="1"/>
  <c r="CR996" i="5" s="1"/>
  <c r="HS919" i="5"/>
  <c r="IG919" i="5"/>
  <c r="AD1238" i="2" s="1"/>
  <c r="IM923" i="5"/>
  <c r="AF1242" i="2" s="1"/>
  <c r="CZ929" i="5"/>
  <c r="CZ928" i="5" s="1"/>
  <c r="CZ920" i="5" s="1"/>
  <c r="CZ997" i="5" s="1"/>
  <c r="DT929" i="5"/>
  <c r="DT928" i="5" s="1"/>
  <c r="DT920" i="5" s="1"/>
  <c r="DT997" i="5" s="1"/>
  <c r="CP485" i="5"/>
  <c r="HP680" i="5"/>
  <c r="IE680" i="5"/>
  <c r="CT730" i="5"/>
  <c r="CT981" i="5" s="1"/>
  <c r="DN730" i="5"/>
  <c r="DN981" i="5" s="1"/>
  <c r="FB730" i="5"/>
  <c r="FB981" i="5" s="1"/>
  <c r="FV730" i="5"/>
  <c r="FV981" i="5" s="1"/>
  <c r="IM763" i="5"/>
  <c r="AF1085" i="2" s="1"/>
  <c r="HT789" i="5"/>
  <c r="II789" i="5"/>
  <c r="HR790" i="5"/>
  <c r="Y1104" i="2" s="1"/>
  <c r="Y638" i="2" s="1"/>
  <c r="IJ875" i="5"/>
  <c r="AE1192" i="2" s="1"/>
  <c r="HX900" i="5"/>
  <c r="AA1221" i="2" s="1"/>
  <c r="AM12" i="19"/>
  <c r="AU12" i="19"/>
  <c r="IV824" i="5"/>
  <c r="AI1140" i="2" s="1"/>
  <c r="AI1335" i="2" s="1"/>
  <c r="AI1422" i="2" s="1"/>
  <c r="AQ563" i="2"/>
  <c r="AP466" i="2"/>
  <c r="AF639" i="2"/>
  <c r="IY915" i="5"/>
  <c r="JK694" i="5"/>
  <c r="AO1179" i="2"/>
  <c r="AO1178" i="2" s="1"/>
  <c r="AP1021" i="2"/>
  <c r="AO417" i="2"/>
  <c r="AP1252" i="2"/>
  <c r="AP1102" i="2"/>
  <c r="AP1046" i="2"/>
  <c r="AP1253" i="2"/>
  <c r="AP1258" i="2"/>
  <c r="AP1366" i="2" s="1"/>
  <c r="AP1453" i="2" s="1"/>
  <c r="AP1370" i="2"/>
  <c r="AP1457" i="2" s="1"/>
  <c r="AP1096" i="2"/>
  <c r="AP1251" i="2"/>
  <c r="AP1202" i="2" s="1"/>
  <c r="AP1256" i="2"/>
  <c r="AP1260" i="2"/>
  <c r="AP1104" i="2"/>
  <c r="AP1051" i="2"/>
  <c r="AP1307" i="2" s="1"/>
  <c r="AP1394" i="2" s="1"/>
  <c r="AP1255" i="2"/>
  <c r="AP1230" i="2"/>
  <c r="AP1228" i="2" s="1"/>
  <c r="AP1227" i="2" s="1"/>
  <c r="AP407" i="2"/>
  <c r="AP413" i="2"/>
  <c r="AP416" i="2"/>
  <c r="AP1097" i="2"/>
  <c r="AP1259" i="2"/>
  <c r="AR1177" i="2"/>
  <c r="AJ1610" i="2"/>
  <c r="AV94" i="19"/>
  <c r="AX94" i="19" s="1"/>
  <c r="AJ1230" i="2"/>
  <c r="BC92" i="19"/>
  <c r="BE94" i="19"/>
  <c r="BD94" i="19"/>
  <c r="BF94" i="19" s="1"/>
  <c r="AM1230" i="2"/>
  <c r="AM92" i="19"/>
  <c r="BC76" i="19"/>
  <c r="BC16" i="19"/>
  <c r="AM17" i="19"/>
  <c r="AM15" i="19"/>
  <c r="AU13" i="19"/>
  <c r="BC12" i="19"/>
  <c r="BB12" i="19" s="1"/>
  <c r="AU103" i="19"/>
  <c r="BD17" i="19"/>
  <c r="BF17" i="19" s="1"/>
  <c r="BE17" i="19"/>
  <c r="AW17" i="19"/>
  <c r="AV17" i="19"/>
  <c r="AX17" i="19" s="1"/>
  <c r="AM13" i="19"/>
  <c r="AM16" i="19"/>
  <c r="HE899" i="5"/>
  <c r="IS735" i="5"/>
  <c r="AH1057" i="2" s="1"/>
  <c r="AJ1057" i="2"/>
  <c r="IY735" i="5" s="1"/>
  <c r="IX735" i="5" s="1"/>
  <c r="AQ997" i="5"/>
  <c r="HT612" i="5"/>
  <c r="C139" i="7" s="1"/>
  <c r="DB611" i="5"/>
  <c r="DB610" i="5" s="1"/>
  <c r="DB1156" i="5" s="1"/>
  <c r="BL1153" i="5"/>
  <c r="BL651" i="5"/>
  <c r="X817" i="5"/>
  <c r="X986" i="5" s="1"/>
  <c r="X988" i="5"/>
  <c r="IP840" i="5"/>
  <c r="J892" i="5"/>
  <c r="J995" i="5" s="1"/>
  <c r="KP856" i="5"/>
  <c r="KP992" i="5" s="1"/>
  <c r="F1153" i="5"/>
  <c r="F651" i="5"/>
  <c r="EE585" i="5"/>
  <c r="EE584" i="5" s="1"/>
  <c r="EE1153" i="5" s="1"/>
  <c r="HT780" i="5"/>
  <c r="BB993" i="5"/>
  <c r="BB856" i="5"/>
  <c r="BB992" i="5" s="1"/>
  <c r="CP993" i="5"/>
  <c r="CP856" i="5"/>
  <c r="CP992" i="5" s="1"/>
  <c r="BC993" i="5"/>
  <c r="BC856" i="5"/>
  <c r="BC992" i="5" s="1"/>
  <c r="EL898" i="5"/>
  <c r="EL893" i="5" s="1"/>
  <c r="EL996" i="5" s="1"/>
  <c r="CR1147" i="5"/>
  <c r="HS521" i="5"/>
  <c r="HS755" i="5"/>
  <c r="HQ757" i="5"/>
  <c r="IF757" i="5"/>
  <c r="HT779" i="5"/>
  <c r="HY779" i="5"/>
  <c r="IC779" i="5"/>
  <c r="II779" i="5"/>
  <c r="P993" i="5"/>
  <c r="P856" i="5"/>
  <c r="P992" i="5" s="1"/>
  <c r="BX993" i="5"/>
  <c r="BX856" i="5"/>
  <c r="BX992" i="5" s="1"/>
  <c r="DD993" i="5"/>
  <c r="DD856" i="5"/>
  <c r="DD992" i="5" s="1"/>
  <c r="DX993" i="5"/>
  <c r="DX856" i="5"/>
  <c r="DX992" i="5" s="1"/>
  <c r="P892" i="5"/>
  <c r="P995" i="5" s="1"/>
  <c r="P996" i="5"/>
  <c r="BC996" i="5"/>
  <c r="BC892" i="5"/>
  <c r="BC995" i="5" s="1"/>
  <c r="BW996" i="5"/>
  <c r="BW892" i="5"/>
  <c r="BW995" i="5" s="1"/>
  <c r="IM910" i="5"/>
  <c r="AF1231" i="2" s="1"/>
  <c r="CQ929" i="5"/>
  <c r="CQ928" i="5" s="1"/>
  <c r="EE929" i="5"/>
  <c r="EE928" i="5" s="1"/>
  <c r="EE920" i="5" s="1"/>
  <c r="EE997" i="5" s="1"/>
  <c r="EY929" i="5"/>
  <c r="EY928" i="5" s="1"/>
  <c r="EY920" i="5" s="1"/>
  <c r="FS929" i="5"/>
  <c r="FS928" i="5" s="1"/>
  <c r="FS920" i="5" s="1"/>
  <c r="DK1084" i="5"/>
  <c r="IU731" i="5"/>
  <c r="IS859" i="5"/>
  <c r="AH1176" i="2" s="1"/>
  <c r="AG1621" i="2"/>
  <c r="AG1619" i="2" s="1"/>
  <c r="AG1589" i="2"/>
  <c r="AG1629" i="2"/>
  <c r="CU898" i="5"/>
  <c r="CU893" i="5" s="1"/>
  <c r="CU996" i="5" s="1"/>
  <c r="HS906" i="5"/>
  <c r="Y1581" i="2" s="1"/>
  <c r="CN993" i="5"/>
  <c r="CN856" i="5"/>
  <c r="CN992" i="5" s="1"/>
  <c r="HQ857" i="5"/>
  <c r="Y1576" i="2" s="1"/>
  <c r="DT993" i="5"/>
  <c r="DT856" i="5"/>
  <c r="DT992" i="5" s="1"/>
  <c r="AF1589" i="2"/>
  <c r="AF1621" i="2"/>
  <c r="CR857" i="5"/>
  <c r="HS876" i="5"/>
  <c r="IL938" i="5"/>
  <c r="AN1230" i="2"/>
  <c r="D135" i="7"/>
  <c r="E135" i="7" s="1"/>
  <c r="HX608" i="5"/>
  <c r="AA840" i="2" s="1"/>
  <c r="AC997" i="5"/>
  <c r="AC892" i="5"/>
  <c r="AC995" i="5" s="1"/>
  <c r="IL681" i="5"/>
  <c r="FJ993" i="5"/>
  <c r="FJ856" i="5"/>
  <c r="FJ992" i="5" s="1"/>
  <c r="BA996" i="5"/>
  <c r="BA892" i="5"/>
  <c r="BA995" i="5" s="1"/>
  <c r="FK993" i="5"/>
  <c r="FK856" i="5"/>
  <c r="FK992" i="5" s="1"/>
  <c r="IP894" i="5"/>
  <c r="AG1215" i="2" s="1"/>
  <c r="AG1633" i="2"/>
  <c r="AL1142" i="5"/>
  <c r="AL636" i="5"/>
  <c r="E79" i="7"/>
  <c r="IK781" i="5"/>
  <c r="BE993" i="5"/>
  <c r="BE856" i="5"/>
  <c r="BE992" i="5" s="1"/>
  <c r="IM901" i="5"/>
  <c r="AF1222" i="2" s="1"/>
  <c r="AF1624" i="2"/>
  <c r="EN898" i="5"/>
  <c r="EN893" i="5" s="1"/>
  <c r="EN996" i="5" s="1"/>
  <c r="AL638" i="5"/>
  <c r="AL1149" i="5"/>
  <c r="N993" i="5"/>
  <c r="HS506" i="5"/>
  <c r="IE537" i="5"/>
  <c r="N69" i="7" s="1"/>
  <c r="CU856" i="5"/>
  <c r="CU992" i="5" s="1"/>
  <c r="CJ632" i="5"/>
  <c r="CJ1139" i="5"/>
  <c r="KN628" i="5"/>
  <c r="KN467" i="5"/>
  <c r="KN627" i="5" s="1"/>
  <c r="O38" i="19"/>
  <c r="O71" i="19"/>
  <c r="N71" i="19" s="1"/>
  <c r="GO722" i="5"/>
  <c r="FO1134" i="5"/>
  <c r="FO667" i="5"/>
  <c r="FM667" i="5"/>
  <c r="FM1134" i="5"/>
  <c r="IP937" i="5"/>
  <c r="FE822" i="5"/>
  <c r="FE1150" i="5" s="1"/>
  <c r="IC832" i="5"/>
  <c r="DE645" i="5"/>
  <c r="DE575" i="5"/>
  <c r="DE644" i="5" s="1"/>
  <c r="DK585" i="5"/>
  <c r="DK584" i="5" s="1"/>
  <c r="HP781" i="5"/>
  <c r="AG1616" i="2"/>
  <c r="BU892" i="5"/>
  <c r="BU995" i="5" s="1"/>
  <c r="BU996" i="5"/>
  <c r="FG1155" i="5"/>
  <c r="FG898" i="5"/>
  <c r="FG893" i="5" s="1"/>
  <c r="FG996" i="5" s="1"/>
  <c r="EK898" i="5"/>
  <c r="EK893" i="5" s="1"/>
  <c r="EK996" i="5" s="1"/>
  <c r="AH1636" i="2"/>
  <c r="AH1628" i="2"/>
  <c r="AZ993" i="5"/>
  <c r="BF467" i="5"/>
  <c r="BF465" i="5" s="1"/>
  <c r="BF626" i="5" s="1"/>
  <c r="BF1133" i="5"/>
  <c r="IP816" i="5"/>
  <c r="AG1132" i="2" s="1"/>
  <c r="EQ993" i="5"/>
  <c r="EQ856" i="5"/>
  <c r="EQ992" i="5" s="1"/>
  <c r="FF898" i="5"/>
  <c r="FF893" i="5" s="1"/>
  <c r="FF996" i="5" s="1"/>
  <c r="GX899" i="5"/>
  <c r="FR1147" i="5"/>
  <c r="AB988" i="5"/>
  <c r="AB817" i="5"/>
  <c r="AB986" i="5" s="1"/>
  <c r="FI822" i="5"/>
  <c r="FI988" i="5" s="1"/>
  <c r="Q993" i="5"/>
  <c r="Q856" i="5"/>
  <c r="Q992" i="5" s="1"/>
  <c r="DY856" i="5"/>
  <c r="DY992" i="5" s="1"/>
  <c r="DY993" i="5"/>
  <c r="DG645" i="5"/>
  <c r="EN993" i="5"/>
  <c r="BZ1142" i="5"/>
  <c r="BZ636" i="5"/>
  <c r="R1149" i="5"/>
  <c r="R638" i="5"/>
  <c r="DE1075" i="5"/>
  <c r="CX514" i="5"/>
  <c r="DK655" i="5"/>
  <c r="AY892" i="5"/>
  <c r="AY995" i="5" s="1"/>
  <c r="IV869" i="5"/>
  <c r="AI1186" i="2" s="1"/>
  <c r="AX996" i="5"/>
  <c r="AX892" i="5"/>
  <c r="AX995" i="5" s="1"/>
  <c r="EU667" i="5"/>
  <c r="EU976" i="5" s="1"/>
  <c r="BT993" i="5"/>
  <c r="BT856" i="5"/>
  <c r="BT992" i="5" s="1"/>
  <c r="FE1155" i="5"/>
  <c r="II899" i="5"/>
  <c r="IC906" i="5"/>
  <c r="AC1580" i="2" s="1"/>
  <c r="HS930" i="5"/>
  <c r="IS915" i="5"/>
  <c r="AH1234" i="2" s="1"/>
  <c r="AH1610" i="2" s="1"/>
  <c r="L856" i="5"/>
  <c r="L992" i="5" s="1"/>
  <c r="IP827" i="5"/>
  <c r="IC831" i="5"/>
  <c r="IA903" i="5"/>
  <c r="AB1224" i="2" s="1"/>
  <c r="AL467" i="5"/>
  <c r="AL569" i="5" s="1"/>
  <c r="AL628" i="5"/>
  <c r="AL625" i="5"/>
  <c r="DM655" i="5"/>
  <c r="DM598" i="5"/>
  <c r="DM1155" i="5" s="1"/>
  <c r="DC993" i="5"/>
  <c r="HV857" i="5"/>
  <c r="Z1577" i="2" s="1"/>
  <c r="H60" i="7"/>
  <c r="Q1149" i="5"/>
  <c r="Q638" i="5"/>
  <c r="Q503" i="5"/>
  <c r="Q1141" i="5" s="1"/>
  <c r="CG822" i="5"/>
  <c r="CG988" i="5" s="1"/>
  <c r="BY993" i="5"/>
  <c r="BY856" i="5"/>
  <c r="BY992" i="5" s="1"/>
  <c r="FH898" i="5"/>
  <c r="FH893" i="5" s="1"/>
  <c r="FH996" i="5" s="1"/>
  <c r="H48" i="7"/>
  <c r="K70" i="7"/>
  <c r="DN1091" i="5"/>
  <c r="U636" i="5"/>
  <c r="U1142" i="5"/>
  <c r="DM1084" i="5"/>
  <c r="DR1091" i="5"/>
  <c r="BP892" i="5"/>
  <c r="BP995" i="5" s="1"/>
  <c r="AH856" i="5"/>
  <c r="AH992" i="5" s="1"/>
  <c r="CT856" i="5"/>
  <c r="CT992" i="5" s="1"/>
  <c r="CW856" i="5"/>
  <c r="CW992" i="5" s="1"/>
  <c r="BY638" i="5"/>
  <c r="IE899" i="5"/>
  <c r="HZ795" i="5"/>
  <c r="HZ796" i="5" s="1"/>
  <c r="HZ800" i="5" s="1"/>
  <c r="DR898" i="5"/>
  <c r="DR893" i="5" s="1"/>
  <c r="DR996" i="5" s="1"/>
  <c r="U503" i="5"/>
  <c r="U1141" i="5" s="1"/>
  <c r="EP856" i="5"/>
  <c r="EP992" i="5" s="1"/>
  <c r="BO651" i="5"/>
  <c r="CQ585" i="5"/>
  <c r="CQ584" i="5" s="1"/>
  <c r="CQ1153" i="5" s="1"/>
  <c r="E651" i="5"/>
  <c r="DM898" i="5"/>
  <c r="HW898" i="5" s="1"/>
  <c r="AA1584" i="2" s="1"/>
  <c r="HW906" i="5"/>
  <c r="AA1580" i="2" s="1"/>
  <c r="EW468" i="5"/>
  <c r="EW1133" i="5" s="1"/>
  <c r="EW1134" i="5"/>
  <c r="IM908" i="5"/>
  <c r="AF1229" i="2" s="1"/>
  <c r="Z1661" i="2"/>
  <c r="Z1660" i="2" s="1"/>
  <c r="DH1068" i="5"/>
  <c r="GV856" i="5"/>
  <c r="IV761" i="5"/>
  <c r="AI1083" i="2" s="1"/>
  <c r="AI1319" i="2" s="1"/>
  <c r="AI1406" i="2" s="1"/>
  <c r="HV613" i="5"/>
  <c r="D140" i="7" s="1"/>
  <c r="DG667" i="5"/>
  <c r="DG976" i="5" s="1"/>
  <c r="L996" i="5"/>
  <c r="L892" i="5"/>
  <c r="L995" i="5" s="1"/>
  <c r="IH930" i="5"/>
  <c r="CW822" i="5"/>
  <c r="CW988" i="5" s="1"/>
  <c r="II832" i="5"/>
  <c r="IP852" i="5"/>
  <c r="DU993" i="5"/>
  <c r="HZ857" i="5"/>
  <c r="AB1576" i="2" s="1"/>
  <c r="DU856" i="5"/>
  <c r="DU992" i="5" s="1"/>
  <c r="CS993" i="5"/>
  <c r="CS856" i="5"/>
  <c r="CS992" i="5" s="1"/>
  <c r="IP899" i="5"/>
  <c r="AG1220" i="2" s="1"/>
  <c r="IM907" i="5"/>
  <c r="AF1228" i="2" s="1"/>
  <c r="IP948" i="5"/>
  <c r="IP952" i="5" s="1"/>
  <c r="EB598" i="5"/>
  <c r="EB1155" i="5" s="1"/>
  <c r="II780" i="5"/>
  <c r="IE781" i="5"/>
  <c r="HW788" i="5"/>
  <c r="DV856" i="5"/>
  <c r="DV992" i="5" s="1"/>
  <c r="DV993" i="5"/>
  <c r="HA899" i="5"/>
  <c r="IG574" i="5"/>
  <c r="P104" i="7" s="1"/>
  <c r="IB811" i="5"/>
  <c r="AI856" i="5"/>
  <c r="AI992" i="5" s="1"/>
  <c r="AI993" i="5"/>
  <c r="BB996" i="5"/>
  <c r="BB892" i="5"/>
  <c r="BB995" i="5" s="1"/>
  <c r="ID903" i="5"/>
  <c r="AC1224" i="2" s="1"/>
  <c r="CZ1078" i="5"/>
  <c r="HU1093" i="5"/>
  <c r="DB1091" i="5"/>
  <c r="HU1091" i="5" s="1"/>
  <c r="CC892" i="5"/>
  <c r="CC995" i="5" s="1"/>
  <c r="O856" i="5"/>
  <c r="O992" i="5" s="1"/>
  <c r="BY1142" i="5"/>
  <c r="BY503" i="5"/>
  <c r="BY635" i="5" s="1"/>
  <c r="BY636" i="5"/>
  <c r="BE1149" i="5"/>
  <c r="BE638" i="5"/>
  <c r="DE856" i="5"/>
  <c r="DE992" i="5" s="1"/>
  <c r="DE993" i="5"/>
  <c r="CS1084" i="5"/>
  <c r="CV993" i="5"/>
  <c r="HY857" i="5"/>
  <c r="AA1577" i="2" s="1"/>
  <c r="AL1133" i="5"/>
  <c r="GV899" i="5"/>
  <c r="HW554" i="5"/>
  <c r="F86" i="7" s="1"/>
  <c r="IK738" i="5"/>
  <c r="ED754" i="5"/>
  <c r="ED982" i="5" s="1"/>
  <c r="IP762" i="5"/>
  <c r="AG1084" i="2" s="1"/>
  <c r="IE779" i="5"/>
  <c r="DB822" i="5"/>
  <c r="DB988" i="5" s="1"/>
  <c r="EO514" i="5"/>
  <c r="CT550" i="5"/>
  <c r="CT1152" i="5" s="1"/>
  <c r="IE600" i="5"/>
  <c r="N129" i="7" s="1"/>
  <c r="HW731" i="5"/>
  <c r="IB731" i="5"/>
  <c r="HS732" i="5"/>
  <c r="HW732" i="5"/>
  <c r="IH732" i="5"/>
  <c r="IL732" i="5"/>
  <c r="HS733" i="5"/>
  <c r="IC733" i="5"/>
  <c r="IH733" i="5"/>
  <c r="HY734" i="5"/>
  <c r="IC734" i="5"/>
  <c r="HT735" i="5"/>
  <c r="HY735" i="5"/>
  <c r="II735" i="5"/>
  <c r="CJ730" i="5"/>
  <c r="CJ981" i="5" s="1"/>
  <c r="CW754" i="5"/>
  <c r="CW982" i="5" s="1"/>
  <c r="IP824" i="5"/>
  <c r="AG1140" i="2" s="1"/>
  <c r="AG1335" i="2" s="1"/>
  <c r="AG1422" i="2" s="1"/>
  <c r="IP872" i="5"/>
  <c r="AG1189" i="2" s="1"/>
  <c r="IP879" i="5"/>
  <c r="AG1198" i="2" s="1"/>
  <c r="IJ890" i="5"/>
  <c r="IJ994" i="5" s="1"/>
  <c r="IP896" i="5"/>
  <c r="AG1217" i="2" s="1"/>
  <c r="R856" i="5"/>
  <c r="R992" i="5" s="1"/>
  <c r="DV514" i="5"/>
  <c r="E78" i="7"/>
  <c r="K79" i="7"/>
  <c r="IF686" i="5"/>
  <c r="HY743" i="5"/>
  <c r="IC743" i="5"/>
  <c r="HW746" i="5"/>
  <c r="IF746" i="5"/>
  <c r="IL746" i="5"/>
  <c r="IB747" i="5"/>
  <c r="IH747" i="5"/>
  <c r="IL747" i="5"/>
  <c r="HQ749" i="5"/>
  <c r="IB749" i="5"/>
  <c r="IF749" i="5"/>
  <c r="HW750" i="5"/>
  <c r="IL750" i="5"/>
  <c r="HS751" i="5"/>
  <c r="IH751" i="5"/>
  <c r="IL751" i="5"/>
  <c r="HV753" i="5"/>
  <c r="HZ753" i="5"/>
  <c r="IK753" i="5"/>
  <c r="BF856" i="5"/>
  <c r="BF992" i="5" s="1"/>
  <c r="FI980" i="5"/>
  <c r="AE109" i="19"/>
  <c r="AL639" i="2"/>
  <c r="DZ856" i="5"/>
  <c r="DZ992" i="5" s="1"/>
  <c r="ES1135" i="5"/>
  <c r="IF473" i="5"/>
  <c r="O13" i="7" s="1"/>
  <c r="AQ1149" i="5"/>
  <c r="AQ638" i="5"/>
  <c r="HY551" i="5"/>
  <c r="G83" i="7" s="1"/>
  <c r="IE736" i="5"/>
  <c r="HZ737" i="5"/>
  <c r="HZ738" i="5"/>
  <c r="HY755" i="5"/>
  <c r="HW757" i="5"/>
  <c r="BZ892" i="5"/>
  <c r="BZ995" i="5" s="1"/>
  <c r="FN993" i="5"/>
  <c r="T1149" i="5"/>
  <c r="HW919" i="5"/>
  <c r="DG993" i="5"/>
  <c r="DI1135" i="5"/>
  <c r="HW473" i="5"/>
  <c r="F13" i="7" s="1"/>
  <c r="HS481" i="5"/>
  <c r="IF493" i="5"/>
  <c r="O30" i="7" s="1"/>
  <c r="IG495" i="5"/>
  <c r="AD704" i="2" s="1"/>
  <c r="H1142" i="5"/>
  <c r="H636" i="5"/>
  <c r="EB1145" i="5"/>
  <c r="EB514" i="5"/>
  <c r="CS550" i="5"/>
  <c r="CS640" i="5" s="1"/>
  <c r="HT736" i="5"/>
  <c r="HP737" i="5"/>
  <c r="HQ739" i="5"/>
  <c r="AC988" i="5"/>
  <c r="AC817" i="5"/>
  <c r="AC986" i="5" s="1"/>
  <c r="DV822" i="5"/>
  <c r="DV988" i="5" s="1"/>
  <c r="CI898" i="5"/>
  <c r="CI893" i="5" s="1"/>
  <c r="CI996" i="5" s="1"/>
  <c r="K81" i="7"/>
  <c r="CH550" i="5"/>
  <c r="D37" i="7"/>
  <c r="E37" i="7" s="1"/>
  <c r="HW501" i="5"/>
  <c r="F37" i="7" s="1"/>
  <c r="HS509" i="5"/>
  <c r="AK892" i="5"/>
  <c r="AK995" i="5" s="1"/>
  <c r="DZ598" i="5"/>
  <c r="DZ1155" i="5" s="1"/>
  <c r="T503" i="5"/>
  <c r="T1141" i="5" s="1"/>
  <c r="CX856" i="5"/>
  <c r="CX992" i="5" s="1"/>
  <c r="DO468" i="5"/>
  <c r="DO628" i="5" s="1"/>
  <c r="CB1149" i="5"/>
  <c r="EA856" i="5"/>
  <c r="EA992" i="5" s="1"/>
  <c r="HX37" i="5"/>
  <c r="HX134" i="5"/>
  <c r="HX175" i="5"/>
  <c r="HX240" i="5"/>
  <c r="HX247" i="5"/>
  <c r="CX485" i="5"/>
  <c r="CX629" i="5" s="1"/>
  <c r="EL485" i="5"/>
  <c r="EL1137" i="5" s="1"/>
  <c r="IE488" i="5"/>
  <c r="N27" i="7" s="1"/>
  <c r="EA492" i="5"/>
  <c r="EA1139" i="5" s="1"/>
  <c r="EU492" i="5"/>
  <c r="EU491" i="5" s="1"/>
  <c r="EU1138" i="5" s="1"/>
  <c r="BX1133" i="5"/>
  <c r="BX628" i="5"/>
  <c r="O892" i="5"/>
  <c r="O995" i="5" s="1"/>
  <c r="HR1081" i="5"/>
  <c r="D1673" i="2"/>
  <c r="HY559" i="5"/>
  <c r="G90" i="7" s="1"/>
  <c r="H90" i="7" s="1"/>
  <c r="HY562" i="5"/>
  <c r="G93" i="7" s="1"/>
  <c r="H93" i="7" s="1"/>
  <c r="II736" i="5"/>
  <c r="IE737" i="5"/>
  <c r="HV738" i="5"/>
  <c r="IF739" i="5"/>
  <c r="HP779" i="5"/>
  <c r="DO1068" i="5"/>
  <c r="FO979" i="5"/>
  <c r="CA856" i="5"/>
  <c r="CA992" i="5" s="1"/>
  <c r="BZ993" i="5"/>
  <c r="CM1139" i="5"/>
  <c r="DT707" i="5"/>
  <c r="DT977" i="5" s="1"/>
  <c r="ED730" i="5"/>
  <c r="ED981" i="5" s="1"/>
  <c r="EX730" i="5"/>
  <c r="EX981" i="5" s="1"/>
  <c r="FR730" i="5"/>
  <c r="FR981" i="5" s="1"/>
  <c r="EF754" i="5"/>
  <c r="EF982" i="5" s="1"/>
  <c r="FO754" i="5"/>
  <c r="FO982" i="5" s="1"/>
  <c r="HT472" i="5"/>
  <c r="C12" i="7" s="1"/>
  <c r="CX475" i="5"/>
  <c r="DC475" i="5"/>
  <c r="EQ475" i="5"/>
  <c r="HW494" i="5"/>
  <c r="F31" i="7" s="1"/>
  <c r="DG730" i="5"/>
  <c r="DG981" i="5" s="1"/>
  <c r="IB737" i="5"/>
  <c r="IL738" i="5"/>
  <c r="IH739" i="5"/>
  <c r="HS749" i="5"/>
  <c r="IH749" i="5"/>
  <c r="IC750" i="5"/>
  <c r="HY751" i="5"/>
  <c r="IP751" i="5"/>
  <c r="AG1073" i="2" s="1"/>
  <c r="IB753" i="5"/>
  <c r="CE754" i="5"/>
  <c r="CE982" i="5" s="1"/>
  <c r="IP756" i="5"/>
  <c r="AG1078" i="2" s="1"/>
  <c r="AG1316" i="2" s="1"/>
  <c r="AG1403" i="2" s="1"/>
  <c r="CS754" i="5"/>
  <c r="CS982" i="5" s="1"/>
  <c r="IP803" i="5"/>
  <c r="AG1119" i="2" s="1"/>
  <c r="CL523" i="5"/>
  <c r="DF523" i="5"/>
  <c r="DF521" i="5" s="1"/>
  <c r="DF1147" i="5" s="1"/>
  <c r="ET523" i="5"/>
  <c r="ET521" i="5" s="1"/>
  <c r="ET1147" i="5" s="1"/>
  <c r="K122" i="7"/>
  <c r="HZ682" i="5"/>
  <c r="II696" i="5"/>
  <c r="IK708" i="5"/>
  <c r="HZ709" i="5"/>
  <c r="DX707" i="5"/>
  <c r="DX977" i="5" s="1"/>
  <c r="ER707" i="5"/>
  <c r="ER977" i="5" s="1"/>
  <c r="CI707" i="5"/>
  <c r="CI977" i="5" s="1"/>
  <c r="DC707" i="5"/>
  <c r="DC977" i="5" s="1"/>
  <c r="DW707" i="5"/>
  <c r="DW977" i="5" s="1"/>
  <c r="EQ707" i="5"/>
  <c r="EQ977" i="5" s="1"/>
  <c r="II712" i="5"/>
  <c r="HP713" i="5"/>
  <c r="IE713" i="5"/>
  <c r="II713" i="5"/>
  <c r="HY714" i="5"/>
  <c r="HT715" i="5"/>
  <c r="II715" i="5"/>
  <c r="HS724" i="5"/>
  <c r="HV726" i="5"/>
  <c r="HZ726" i="5"/>
  <c r="IK726" i="5"/>
  <c r="FP1139" i="5"/>
  <c r="IB728" i="5"/>
  <c r="EB730" i="5"/>
  <c r="EB981" i="5" s="1"/>
  <c r="FP730" i="5"/>
  <c r="FP981" i="5" s="1"/>
  <c r="ER754" i="5"/>
  <c r="ER982" i="5" s="1"/>
  <c r="FN1140" i="5"/>
  <c r="DN722" i="5"/>
  <c r="EH722" i="5"/>
  <c r="FQ1139" i="5"/>
  <c r="FS1140" i="5"/>
  <c r="FQ730" i="5"/>
  <c r="FQ981" i="5" s="1"/>
  <c r="BO568" i="5"/>
  <c r="HX112" i="5"/>
  <c r="HX125" i="5"/>
  <c r="HX224" i="5"/>
  <c r="HX232" i="5"/>
  <c r="HX242" i="5"/>
  <c r="FP707" i="5"/>
  <c r="FP977" i="5" s="1"/>
  <c r="IP717" i="5"/>
  <c r="IP978" i="5" s="1"/>
  <c r="IP718" i="5"/>
  <c r="AG1040" i="2" s="1"/>
  <c r="EG979" i="5"/>
  <c r="FA1139" i="5"/>
  <c r="FU979" i="5"/>
  <c r="CM718" i="5"/>
  <c r="DG718" i="5"/>
  <c r="EU718" i="5"/>
  <c r="CY722" i="5"/>
  <c r="DS722" i="5"/>
  <c r="CU722" i="5"/>
  <c r="DO722" i="5"/>
  <c r="EI722" i="5"/>
  <c r="IP724" i="5"/>
  <c r="AG1046" i="2" s="1"/>
  <c r="AG1303" i="2" s="1"/>
  <c r="AG1390" i="2" s="1"/>
  <c r="HT731" i="5"/>
  <c r="HP732" i="5"/>
  <c r="IE732" i="5"/>
  <c r="HZ733" i="5"/>
  <c r="HV734" i="5"/>
  <c r="IK734" i="5"/>
  <c r="HQ735" i="5"/>
  <c r="IF735" i="5"/>
  <c r="HT747" i="5"/>
  <c r="DY585" i="5"/>
  <c r="DY584" i="5" s="1"/>
  <c r="DY1153" i="5" s="1"/>
  <c r="ES585" i="5"/>
  <c r="ES584" i="5" s="1"/>
  <c r="ES1153" i="5" s="1"/>
  <c r="HV698" i="5"/>
  <c r="HZ698" i="5"/>
  <c r="IE698" i="5"/>
  <c r="IK698" i="5"/>
  <c r="HS701" i="5"/>
  <c r="HW701" i="5"/>
  <c r="IB701" i="5"/>
  <c r="IH701" i="5"/>
  <c r="IL701" i="5"/>
  <c r="IL702" i="5"/>
  <c r="HS703" i="5"/>
  <c r="HW703" i="5"/>
  <c r="IH703" i="5"/>
  <c r="IL703" i="5"/>
  <c r="HS704" i="5"/>
  <c r="IC704" i="5"/>
  <c r="HY705" i="5"/>
  <c r="CD667" i="5"/>
  <c r="CD976" i="5" s="1"/>
  <c r="HT706" i="5"/>
  <c r="HY706" i="5"/>
  <c r="IC706" i="5"/>
  <c r="II706" i="5"/>
  <c r="X717" i="5"/>
  <c r="X978" i="5" s="1"/>
  <c r="AR717" i="5"/>
  <c r="AR978" i="5" s="1"/>
  <c r="BL717" i="5"/>
  <c r="BL978" i="5" s="1"/>
  <c r="CT979" i="5"/>
  <c r="DN979" i="5"/>
  <c r="EH979" i="5"/>
  <c r="FB979" i="5"/>
  <c r="EB718" i="5"/>
  <c r="EV718" i="5"/>
  <c r="FD722" i="5"/>
  <c r="HZ601" i="5"/>
  <c r="I130" i="7" s="1"/>
  <c r="K130" i="7" s="1"/>
  <c r="HQ682" i="5"/>
  <c r="HV682" i="5"/>
  <c r="IK682" i="5"/>
  <c r="HW683" i="5"/>
  <c r="IB683" i="5"/>
  <c r="IF683" i="5"/>
  <c r="IL683" i="5"/>
  <c r="HS684" i="5"/>
  <c r="HW684" i="5"/>
  <c r="IB684" i="5"/>
  <c r="HS685" i="5"/>
  <c r="IC685" i="5"/>
  <c r="IH685" i="5"/>
  <c r="IL685" i="5"/>
  <c r="HS686" i="5"/>
  <c r="IH686" i="5"/>
  <c r="IP686" i="5"/>
  <c r="AG1008" i="2" s="1"/>
  <c r="HZ689" i="5"/>
  <c r="IE689" i="5"/>
  <c r="HQ690" i="5"/>
  <c r="IF690" i="5"/>
  <c r="IK690" i="5"/>
  <c r="HV691" i="5"/>
  <c r="IB691" i="5"/>
  <c r="IF691" i="5"/>
  <c r="IK691" i="5"/>
  <c r="HQ692" i="5"/>
  <c r="HW692" i="5"/>
  <c r="IF692" i="5"/>
  <c r="IL692" i="5"/>
  <c r="HS693" i="5"/>
  <c r="HW693" i="5"/>
  <c r="IB693" i="5"/>
  <c r="IH693" i="5"/>
  <c r="IL693" i="5"/>
  <c r="HV696" i="5"/>
  <c r="IE696" i="5"/>
  <c r="HP697" i="5"/>
  <c r="HV697" i="5"/>
  <c r="HZ697" i="5"/>
  <c r="IE697" i="5"/>
  <c r="E717" i="5"/>
  <c r="E978" i="5" s="1"/>
  <c r="Y717" i="5"/>
  <c r="Y978" i="5" s="1"/>
  <c r="BM717" i="5"/>
  <c r="BM978" i="5" s="1"/>
  <c r="FC979" i="5"/>
  <c r="IP719" i="5"/>
  <c r="AG1041" i="2" s="1"/>
  <c r="AG1299" i="2" s="1"/>
  <c r="AG1386" i="2" s="1"/>
  <c r="DI718" i="5"/>
  <c r="EC718" i="5"/>
  <c r="EW980" i="5"/>
  <c r="FQ718" i="5"/>
  <c r="EU485" i="5"/>
  <c r="EU1137" i="5" s="1"/>
  <c r="DK523" i="5"/>
  <c r="DK521" i="5" s="1"/>
  <c r="DK1147" i="5" s="1"/>
  <c r="EE523" i="5"/>
  <c r="EE521" i="5" s="1"/>
  <c r="EE1147" i="5" s="1"/>
  <c r="CJ667" i="5"/>
  <c r="CJ976" i="5" s="1"/>
  <c r="HZ668" i="5"/>
  <c r="ER667" i="5"/>
  <c r="ER976" i="5" s="1"/>
  <c r="FL1134" i="5"/>
  <c r="HV669" i="5"/>
  <c r="HZ669" i="5"/>
  <c r="HT671" i="5"/>
  <c r="HZ672" i="5"/>
  <c r="IE673" i="5"/>
  <c r="HP674" i="5"/>
  <c r="HT674" i="5"/>
  <c r="DV667" i="5"/>
  <c r="DV976" i="5" s="1"/>
  <c r="IE674" i="5"/>
  <c r="II674" i="5"/>
  <c r="HP675" i="5"/>
  <c r="HZ675" i="5"/>
  <c r="II677" i="5"/>
  <c r="HP678" i="5"/>
  <c r="IE678" i="5"/>
  <c r="HZ679" i="5"/>
  <c r="IK679" i="5"/>
  <c r="HQ680" i="5"/>
  <c r="IF680" i="5"/>
  <c r="IK680" i="5"/>
  <c r="HQ681" i="5"/>
  <c r="HV681" i="5"/>
  <c r="IF681" i="5"/>
  <c r="IP700" i="5"/>
  <c r="AG1022" i="2" s="1"/>
  <c r="IP703" i="5"/>
  <c r="AG1025" i="2" s="1"/>
  <c r="AG515" i="2" s="1"/>
  <c r="KN717" i="5"/>
  <c r="KN978" i="5" s="1"/>
  <c r="CP980" i="5"/>
  <c r="CN475" i="5"/>
  <c r="EB475" i="5"/>
  <c r="CQ980" i="5"/>
  <c r="DK980" i="5"/>
  <c r="EE980" i="5"/>
  <c r="CL822" i="5"/>
  <c r="CL988" i="5" s="1"/>
  <c r="ET822" i="5"/>
  <c r="ET988" i="5" s="1"/>
  <c r="FN822" i="5"/>
  <c r="IK899" i="5"/>
  <c r="DW898" i="5"/>
  <c r="DW893" i="5" s="1"/>
  <c r="EQ898" i="5"/>
  <c r="EQ893" i="5" s="1"/>
  <c r="EQ996" i="5" s="1"/>
  <c r="FK898" i="5"/>
  <c r="FK893" i="5" s="1"/>
  <c r="FK996" i="5" s="1"/>
  <c r="HU909" i="5"/>
  <c r="Z1230" i="2" s="1"/>
  <c r="IM911" i="5"/>
  <c r="AF1232" i="2" s="1"/>
  <c r="HX40" i="5"/>
  <c r="HX163" i="5"/>
  <c r="HX178" i="5"/>
  <c r="HX192" i="5"/>
  <c r="HX210" i="5"/>
  <c r="DQ468" i="5"/>
  <c r="DQ628" i="5" s="1"/>
  <c r="K78" i="7"/>
  <c r="DE598" i="5"/>
  <c r="DE1155" i="5" s="1"/>
  <c r="IA566" i="5"/>
  <c r="HS597" i="5"/>
  <c r="HS655" i="5" s="1"/>
  <c r="HW601" i="5"/>
  <c r="F130" i="7" s="1"/>
  <c r="H130" i="7" s="1"/>
  <c r="IF601" i="5"/>
  <c r="O130" i="7" s="1"/>
  <c r="HY608" i="5"/>
  <c r="G135" i="7" s="1"/>
  <c r="H135" i="7" s="1"/>
  <c r="HW669" i="5"/>
  <c r="IL669" i="5"/>
  <c r="HV671" i="5"/>
  <c r="IK671" i="5"/>
  <c r="HQ672" i="5"/>
  <c r="IF672" i="5"/>
  <c r="IF673" i="5"/>
  <c r="FN667" i="5"/>
  <c r="FN1133" i="5" s="1"/>
  <c r="HS682" i="5"/>
  <c r="HW682" i="5"/>
  <c r="IL682" i="5"/>
  <c r="HS683" i="5"/>
  <c r="IC683" i="5"/>
  <c r="IH683" i="5"/>
  <c r="HY684" i="5"/>
  <c r="HT685" i="5"/>
  <c r="HY685" i="5"/>
  <c r="II685" i="5"/>
  <c r="HP686" i="5"/>
  <c r="HT686" i="5"/>
  <c r="II686" i="5"/>
  <c r="IP687" i="5"/>
  <c r="AG1009" i="2" s="1"/>
  <c r="IB689" i="5"/>
  <c r="IF689" i="5"/>
  <c r="HW690" i="5"/>
  <c r="IB690" i="5"/>
  <c r="IL690" i="5"/>
  <c r="HS691" i="5"/>
  <c r="HW691" i="5"/>
  <c r="IH691" i="5"/>
  <c r="HS692" i="5"/>
  <c r="HU692" i="5" s="1"/>
  <c r="Z1014" i="2" s="1"/>
  <c r="Z492" i="2" s="1"/>
  <c r="IC692" i="5"/>
  <c r="IH692" i="5"/>
  <c r="IC693" i="5"/>
  <c r="IP693" i="5"/>
  <c r="AG1015" i="2" s="1"/>
  <c r="AG496" i="2" s="1"/>
  <c r="IF696" i="5"/>
  <c r="IB697" i="5"/>
  <c r="IF697" i="5"/>
  <c r="IP702" i="5"/>
  <c r="AG1024" i="2" s="1"/>
  <c r="AG512" i="2" s="1"/>
  <c r="CR707" i="5"/>
  <c r="CR977" i="5" s="1"/>
  <c r="EZ707" i="5"/>
  <c r="EZ977" i="5" s="1"/>
  <c r="IL712" i="5"/>
  <c r="H717" i="5"/>
  <c r="H666" i="5" s="1"/>
  <c r="H815" i="5" s="1"/>
  <c r="H984" i="5" s="1"/>
  <c r="EZ1140" i="5"/>
  <c r="ER979" i="5"/>
  <c r="HT724" i="5"/>
  <c r="IE724" i="5"/>
  <c r="FH1140" i="5"/>
  <c r="IE731" i="5"/>
  <c r="HZ732" i="5"/>
  <c r="HV733" i="5"/>
  <c r="HQ734" i="5"/>
  <c r="IF734" i="5"/>
  <c r="IH737" i="5"/>
  <c r="IC738" i="5"/>
  <c r="IP738" i="5"/>
  <c r="AG1060" i="2" s="1"/>
  <c r="HY739" i="5"/>
  <c r="IP903" i="5"/>
  <c r="AG1224" i="2" s="1"/>
  <c r="CL898" i="5"/>
  <c r="CL893" i="5" s="1"/>
  <c r="CL996" i="5" s="1"/>
  <c r="DE893" i="5"/>
  <c r="DE996" i="5" s="1"/>
  <c r="DX898" i="5"/>
  <c r="DX893" i="5" s="1"/>
  <c r="ER898" i="5"/>
  <c r="ER893" i="5" s="1"/>
  <c r="FL898" i="5"/>
  <c r="FL893" i="5" s="1"/>
  <c r="FL996" i="5" s="1"/>
  <c r="HX909" i="5"/>
  <c r="AA1230" i="2" s="1"/>
  <c r="IP911" i="5"/>
  <c r="AG1232" i="2" s="1"/>
  <c r="IS923" i="5"/>
  <c r="AH1242" i="2" s="1"/>
  <c r="K35" i="7"/>
  <c r="AW503" i="5"/>
  <c r="BQ503" i="5"/>
  <c r="BQ635" i="5" s="1"/>
  <c r="IG525" i="5"/>
  <c r="P59" i="7" s="1"/>
  <c r="HZ540" i="5"/>
  <c r="I72" i="7" s="1"/>
  <c r="K72" i="7" s="1"/>
  <c r="HZ541" i="5"/>
  <c r="I73" i="7" s="1"/>
  <c r="HS591" i="5"/>
  <c r="HQ831" i="5"/>
  <c r="X1147" i="2" s="1"/>
  <c r="KM467" i="5"/>
  <c r="KM627" i="5" s="1"/>
  <c r="IE472" i="5"/>
  <c r="N12" i="7" s="1"/>
  <c r="IE562" i="5"/>
  <c r="N93" i="7" s="1"/>
  <c r="HT564" i="5"/>
  <c r="C94" i="7" s="1"/>
  <c r="CM611" i="5"/>
  <c r="CM610" i="5" s="1"/>
  <c r="CM1156" i="5" s="1"/>
  <c r="EA611" i="5"/>
  <c r="EA610" i="5" s="1"/>
  <c r="EA1156" i="5" s="1"/>
  <c r="EY667" i="5"/>
  <c r="EY1133" i="5" s="1"/>
  <c r="CO667" i="5"/>
  <c r="CO976" i="5" s="1"/>
  <c r="DI667" i="5"/>
  <c r="DI976" i="5" s="1"/>
  <c r="EW667" i="5"/>
  <c r="EW976" i="5" s="1"/>
  <c r="FQ667" i="5"/>
  <c r="FQ976" i="5" s="1"/>
  <c r="BE717" i="5"/>
  <c r="BE978" i="5" s="1"/>
  <c r="DK822" i="5"/>
  <c r="EE822" i="5"/>
  <c r="EE988" i="5" s="1"/>
  <c r="IL831" i="5"/>
  <c r="IP837" i="5"/>
  <c r="IV902" i="5"/>
  <c r="AI1223" i="2" s="1"/>
  <c r="HX145" i="5"/>
  <c r="HX220" i="5"/>
  <c r="HT532" i="5"/>
  <c r="C64" i="7" s="1"/>
  <c r="EK529" i="5"/>
  <c r="EK1148" i="5" s="1"/>
  <c r="EP718" i="5"/>
  <c r="R717" i="5"/>
  <c r="R978" i="5" s="1"/>
  <c r="AW467" i="5"/>
  <c r="CN485" i="5"/>
  <c r="CN629" i="5" s="1"/>
  <c r="CO485" i="5"/>
  <c r="EC485" i="5"/>
  <c r="EC1137" i="5" s="1"/>
  <c r="E48" i="7"/>
  <c r="R503" i="5"/>
  <c r="R1141" i="5" s="1"/>
  <c r="CF598" i="5"/>
  <c r="CF1155" i="5" s="1"/>
  <c r="IP669" i="5"/>
  <c r="AG991" i="2" s="1"/>
  <c r="DQ667" i="5"/>
  <c r="DQ976" i="5" s="1"/>
  <c r="EK667" i="5"/>
  <c r="EK976" i="5" s="1"/>
  <c r="HP684" i="5"/>
  <c r="IK686" i="5"/>
  <c r="IM688" i="5"/>
  <c r="AF1010" i="2" s="1"/>
  <c r="HS689" i="5"/>
  <c r="HP693" i="5"/>
  <c r="CR1091" i="5"/>
  <c r="HB718" i="5"/>
  <c r="GW718" i="5"/>
  <c r="HS530" i="5"/>
  <c r="EE529" i="5"/>
  <c r="EE1148" i="5" s="1"/>
  <c r="E122" i="7"/>
  <c r="HP683" i="5"/>
  <c r="HT691" i="5"/>
  <c r="II691" i="5"/>
  <c r="HP692" i="5"/>
  <c r="IJ861" i="5"/>
  <c r="AE1178" i="2" s="1"/>
  <c r="HX864" i="5"/>
  <c r="AA1181" i="2" s="1"/>
  <c r="HR874" i="5"/>
  <c r="Y1191" i="2" s="1"/>
  <c r="DZ929" i="5"/>
  <c r="DZ928" i="5" s="1"/>
  <c r="DZ920" i="5" s="1"/>
  <c r="DZ997" i="5" s="1"/>
  <c r="JK919" i="5"/>
  <c r="JI919" i="5" s="1"/>
  <c r="DT529" i="5"/>
  <c r="DT1148" i="5" s="1"/>
  <c r="CH585" i="5"/>
  <c r="CH584" i="5" s="1"/>
  <c r="CH1153" i="5" s="1"/>
  <c r="HZ591" i="5"/>
  <c r="I120" i="7" s="1"/>
  <c r="K120" i="7" s="1"/>
  <c r="EP543" i="5"/>
  <c r="EP1151" i="5" s="1"/>
  <c r="DP611" i="5"/>
  <c r="DP610" i="5" s="1"/>
  <c r="HT935" i="5"/>
  <c r="HZ938" i="5"/>
  <c r="DD1068" i="5"/>
  <c r="CT1075" i="5"/>
  <c r="JN919" i="5"/>
  <c r="JL919" i="5" s="1"/>
  <c r="IV756" i="5"/>
  <c r="AI1078" i="2" s="1"/>
  <c r="AI1316" i="2" s="1"/>
  <c r="AI1403" i="2" s="1"/>
  <c r="HX20" i="5"/>
  <c r="HX166" i="5"/>
  <c r="HX173" i="5"/>
  <c r="HX246" i="5"/>
  <c r="CM475" i="5"/>
  <c r="CR485" i="5"/>
  <c r="CR1137" i="5" s="1"/>
  <c r="DL485" i="5"/>
  <c r="DL629" i="5" s="1"/>
  <c r="EF485" i="5"/>
  <c r="EF1137" i="5" s="1"/>
  <c r="HU488" i="5"/>
  <c r="DP523" i="5"/>
  <c r="DP521" i="5" s="1"/>
  <c r="DP1147" i="5" s="1"/>
  <c r="EJ523" i="5"/>
  <c r="EJ521" i="5" s="1"/>
  <c r="EJ1147" i="5" s="1"/>
  <c r="DC543" i="5"/>
  <c r="DC1151" i="5" s="1"/>
  <c r="EK611" i="5"/>
  <c r="EK610" i="5" s="1"/>
  <c r="IP672" i="5"/>
  <c r="AG994" i="2" s="1"/>
  <c r="IC677" i="5"/>
  <c r="IP829" i="5"/>
  <c r="AG1145" i="2" s="1"/>
  <c r="AG629" i="2" s="1"/>
  <c r="CV822" i="5"/>
  <c r="CV988" i="5" s="1"/>
  <c r="DP822" i="5"/>
  <c r="HS831" i="5"/>
  <c r="E32" i="7"/>
  <c r="K38" i="7"/>
  <c r="AM109" i="19"/>
  <c r="AN107" i="19" s="1"/>
  <c r="AP107" i="19" s="1"/>
  <c r="AM639" i="2"/>
  <c r="IV760" i="5"/>
  <c r="AI1082" i="2" s="1"/>
  <c r="AI1318" i="2" s="1"/>
  <c r="AI1405" i="2" s="1"/>
  <c r="AN1302" i="2"/>
  <c r="AO1365" i="2"/>
  <c r="JK719" i="5"/>
  <c r="JJ719" i="5" s="1"/>
  <c r="AN1307" i="2"/>
  <c r="AN1365" i="2"/>
  <c r="AO1302" i="2"/>
  <c r="AN1303" i="2"/>
  <c r="JN883" i="5"/>
  <c r="AO1307" i="2"/>
  <c r="AO1300" i="2"/>
  <c r="AO1230" i="2"/>
  <c r="W92" i="19"/>
  <c r="Y92" i="19" s="1"/>
  <c r="AK1230" i="2"/>
  <c r="JB788" i="5"/>
  <c r="JA788" i="5" s="1"/>
  <c r="W36" i="19"/>
  <c r="JF908" i="5"/>
  <c r="IY781" i="5"/>
  <c r="IX781" i="5" s="1"/>
  <c r="O33" i="19"/>
  <c r="N33" i="19" s="1"/>
  <c r="JF764" i="5"/>
  <c r="AK21" i="19"/>
  <c r="JC764" i="5"/>
  <c r="AC21" i="19"/>
  <c r="JC908" i="5"/>
  <c r="AE90" i="19"/>
  <c r="JG915" i="5"/>
  <c r="U103" i="19"/>
  <c r="JD930" i="5"/>
  <c r="AK103" i="19"/>
  <c r="JA930" i="5"/>
  <c r="AC103" i="19"/>
  <c r="JG930" i="5"/>
  <c r="BP1138" i="5"/>
  <c r="BP631" i="5"/>
  <c r="BP465" i="5"/>
  <c r="BP626" i="5" s="1"/>
  <c r="AB1138" i="5"/>
  <c r="AB631" i="5"/>
  <c r="FH980" i="5"/>
  <c r="FV1139" i="5"/>
  <c r="FV979" i="5"/>
  <c r="FP718" i="5"/>
  <c r="FP1140" i="5"/>
  <c r="FP980" i="5"/>
  <c r="DP722" i="5"/>
  <c r="DP980" i="5"/>
  <c r="CO730" i="5"/>
  <c r="CO981" i="5" s="1"/>
  <c r="EC730" i="5"/>
  <c r="EC981" i="5" s="1"/>
  <c r="CF754" i="5"/>
  <c r="CF982" i="5" s="1"/>
  <c r="CZ754" i="5"/>
  <c r="CZ982" i="5" s="1"/>
  <c r="DT754" i="5"/>
  <c r="DT982" i="5" s="1"/>
  <c r="EN754" i="5"/>
  <c r="EN982" i="5" s="1"/>
  <c r="FG1143" i="5"/>
  <c r="FG754" i="5"/>
  <c r="FG982" i="5" s="1"/>
  <c r="DD754" i="5"/>
  <c r="DD982" i="5" s="1"/>
  <c r="AJ996" i="5"/>
  <c r="AJ892" i="5"/>
  <c r="AJ995" i="5" s="1"/>
  <c r="DU898" i="5"/>
  <c r="DU893" i="5" s="1"/>
  <c r="HZ899" i="5"/>
  <c r="FI1155" i="5"/>
  <c r="FI898" i="5"/>
  <c r="FI893" i="5" s="1"/>
  <c r="BO997" i="5"/>
  <c r="BO892" i="5"/>
  <c r="BO995" i="5" s="1"/>
  <c r="DB1075" i="5"/>
  <c r="HU1076" i="5"/>
  <c r="HU1075" i="5" s="1"/>
  <c r="DN1078" i="5"/>
  <c r="HX1079" i="5"/>
  <c r="AA1671" i="2" s="1"/>
  <c r="AA1670" i="2" s="1"/>
  <c r="FL667" i="5"/>
  <c r="FL976" i="5" s="1"/>
  <c r="II781" i="5"/>
  <c r="Z636" i="5"/>
  <c r="IK715" i="5"/>
  <c r="CU754" i="5"/>
  <c r="CU982" i="5" s="1"/>
  <c r="Z568" i="5"/>
  <c r="EY1145" i="5"/>
  <c r="ES980" i="5"/>
  <c r="IE906" i="5"/>
  <c r="AC1581" i="2" s="1"/>
  <c r="EE718" i="5"/>
  <c r="EG718" i="5"/>
  <c r="FK730" i="5"/>
  <c r="FK981" i="5" s="1"/>
  <c r="IK737" i="5"/>
  <c r="FU754" i="5"/>
  <c r="FU982" i="5" s="1"/>
  <c r="FU1143" i="5"/>
  <c r="EB754" i="5"/>
  <c r="EB982" i="5" s="1"/>
  <c r="IB757" i="5"/>
  <c r="AA997" i="5"/>
  <c r="AA892" i="5"/>
  <c r="AA995" i="5" s="1"/>
  <c r="DD929" i="5"/>
  <c r="HV935" i="5"/>
  <c r="I1138" i="5"/>
  <c r="I631" i="5"/>
  <c r="DO611" i="5"/>
  <c r="DO610" i="5" s="1"/>
  <c r="HY612" i="5"/>
  <c r="G139" i="7" s="1"/>
  <c r="IC755" i="5"/>
  <c r="FB1143" i="5"/>
  <c r="FB754" i="5"/>
  <c r="FB982" i="5" s="1"/>
  <c r="IO984" i="5"/>
  <c r="IP815" i="5"/>
  <c r="IP984" i="5" s="1"/>
  <c r="H997" i="5"/>
  <c r="H892" i="5"/>
  <c r="H995" i="5" s="1"/>
  <c r="HW930" i="5"/>
  <c r="DI929" i="5"/>
  <c r="DI928" i="5" s="1"/>
  <c r="ER929" i="5"/>
  <c r="ER928" i="5" s="1"/>
  <c r="ER920" i="5" s="1"/>
  <c r="ER997" i="5" s="1"/>
  <c r="ER818" i="5"/>
  <c r="FL818" i="5"/>
  <c r="IK935" i="5"/>
  <c r="Y1668" i="2"/>
  <c r="Y1667" i="2" s="1"/>
  <c r="CV1075" i="5"/>
  <c r="Z1671" i="2"/>
  <c r="Z1670" i="2" s="1"/>
  <c r="DH1078" i="5"/>
  <c r="HX50" i="5"/>
  <c r="O1133" i="5"/>
  <c r="O625" i="5"/>
  <c r="CP1135" i="5"/>
  <c r="CP475" i="5"/>
  <c r="W636" i="5"/>
  <c r="W1142" i="5"/>
  <c r="AO1153" i="5"/>
  <c r="AO651" i="5"/>
  <c r="KN988" i="5"/>
  <c r="KN817" i="5"/>
  <c r="KN986" i="5" s="1"/>
  <c r="BA993" i="5"/>
  <c r="BA856" i="5"/>
  <c r="BA992" i="5" s="1"/>
  <c r="BK997" i="5"/>
  <c r="BK892" i="5"/>
  <c r="BK995" i="5" s="1"/>
  <c r="IF935" i="5"/>
  <c r="ES929" i="5"/>
  <c r="ES928" i="5" s="1"/>
  <c r="HX1070" i="5"/>
  <c r="AA1662" i="2" s="1"/>
  <c r="AA1660" i="2" s="1"/>
  <c r="AA1707" i="2" s="1"/>
  <c r="DN1068" i="5"/>
  <c r="HX1068" i="5" s="1"/>
  <c r="EY718" i="5"/>
  <c r="BQ631" i="5"/>
  <c r="BQ1138" i="5"/>
  <c r="IG592" i="5"/>
  <c r="P121" i="7" s="1"/>
  <c r="HY724" i="5"/>
  <c r="DH598" i="5"/>
  <c r="DH1155" i="5" s="1"/>
  <c r="BU1133" i="5"/>
  <c r="FN707" i="5"/>
  <c r="FN977" i="5" s="1"/>
  <c r="CG575" i="5"/>
  <c r="CG644" i="5" s="1"/>
  <c r="ER543" i="5"/>
  <c r="FE754" i="5"/>
  <c r="ET536" i="5"/>
  <c r="ET1149" i="5" s="1"/>
  <c r="ET1151" i="5"/>
  <c r="HY788" i="5"/>
  <c r="FR1140" i="5"/>
  <c r="EO1146" i="5"/>
  <c r="CC1153" i="5"/>
  <c r="KP817" i="5"/>
  <c r="KP986" i="5" s="1"/>
  <c r="DH754" i="5"/>
  <c r="DH982" i="5" s="1"/>
  <c r="HV757" i="5"/>
  <c r="FJ1148" i="5"/>
  <c r="II813" i="5"/>
  <c r="HX97" i="5"/>
  <c r="DG470" i="5"/>
  <c r="HV471" i="5"/>
  <c r="D11" i="7" s="1"/>
  <c r="FN757" i="5"/>
  <c r="FN389" i="5"/>
  <c r="DH468" i="5"/>
  <c r="DH1133" i="5" s="1"/>
  <c r="DA645" i="5"/>
  <c r="HU576" i="5"/>
  <c r="HU575" i="5" s="1"/>
  <c r="HU644" i="5" s="1"/>
  <c r="DA575" i="5"/>
  <c r="DA644" i="5" s="1"/>
  <c r="HT576" i="5"/>
  <c r="EN575" i="5"/>
  <c r="IE575" i="5" s="1"/>
  <c r="IE576" i="5"/>
  <c r="N106" i="7" s="1"/>
  <c r="EY1147" i="5"/>
  <c r="IH789" i="5"/>
  <c r="BN1138" i="5"/>
  <c r="BN631" i="5"/>
  <c r="HW493" i="5"/>
  <c r="F30" i="7" s="1"/>
  <c r="DI492" i="5"/>
  <c r="EO1140" i="5"/>
  <c r="EO543" i="5"/>
  <c r="EO1151" i="5" s="1"/>
  <c r="S1149" i="5"/>
  <c r="S638" i="5"/>
  <c r="CA1149" i="5"/>
  <c r="CA638" i="5"/>
  <c r="CH575" i="5"/>
  <c r="CH644" i="5" s="1"/>
  <c r="CH645" i="5"/>
  <c r="DF707" i="5"/>
  <c r="DF977" i="5" s="1"/>
  <c r="HV708" i="5"/>
  <c r="DE707" i="5"/>
  <c r="DE977" i="5" s="1"/>
  <c r="HV709" i="5"/>
  <c r="HQ721" i="5"/>
  <c r="CK980" i="5"/>
  <c r="DQ979" i="5"/>
  <c r="DQ722" i="5"/>
  <c r="HY723" i="5"/>
  <c r="IC724" i="5"/>
  <c r="EG722" i="5"/>
  <c r="EG980" i="5"/>
  <c r="IB750" i="5"/>
  <c r="FT1144" i="5"/>
  <c r="FT754" i="5"/>
  <c r="FT982" i="5" s="1"/>
  <c r="DJ543" i="5"/>
  <c r="DJ633" i="5"/>
  <c r="HV711" i="5"/>
  <c r="II714" i="5"/>
  <c r="FV722" i="5"/>
  <c r="FV1140" i="5"/>
  <c r="EE730" i="5"/>
  <c r="EE981" i="5" s="1"/>
  <c r="AD997" i="5"/>
  <c r="AD892" i="5"/>
  <c r="AD995" i="5" s="1"/>
  <c r="HR1079" i="5"/>
  <c r="DX1140" i="5"/>
  <c r="DX543" i="5"/>
  <c r="EM979" i="5"/>
  <c r="IE723" i="5"/>
  <c r="EM722" i="5"/>
  <c r="FC980" i="5"/>
  <c r="FC722" i="5"/>
  <c r="FC1140" i="5"/>
  <c r="IP797" i="5"/>
  <c r="AG1113" i="2" s="1"/>
  <c r="IB813" i="5"/>
  <c r="BV996" i="5"/>
  <c r="BV892" i="5"/>
  <c r="BV995" i="5" s="1"/>
  <c r="BN997" i="5"/>
  <c r="BN892" i="5"/>
  <c r="BN995" i="5" s="1"/>
  <c r="T1133" i="5"/>
  <c r="T628" i="5"/>
  <c r="T625" i="5"/>
  <c r="T467" i="5"/>
  <c r="T627" i="5" s="1"/>
  <c r="EF470" i="5"/>
  <c r="EF1134" i="5" s="1"/>
  <c r="EF523" i="5"/>
  <c r="EF521" i="5" s="1"/>
  <c r="EF1147" i="5" s="1"/>
  <c r="AC1138" i="5"/>
  <c r="AC631" i="5"/>
  <c r="EZ754" i="5"/>
  <c r="EZ982" i="5" s="1"/>
  <c r="CS898" i="5"/>
  <c r="CS893" i="5" s="1"/>
  <c r="HS899" i="5"/>
  <c r="FN980" i="5"/>
  <c r="FN1147" i="5"/>
  <c r="CS980" i="5"/>
  <c r="FS754" i="5"/>
  <c r="FS982" i="5" s="1"/>
  <c r="EA730" i="5"/>
  <c r="EA981" i="5" s="1"/>
  <c r="HV737" i="5"/>
  <c r="IL755" i="5"/>
  <c r="AR892" i="5"/>
  <c r="AR995" i="5" s="1"/>
  <c r="BI1142" i="5"/>
  <c r="BM1153" i="5"/>
  <c r="P467" i="5"/>
  <c r="P1132" i="5" s="1"/>
  <c r="P625" i="5"/>
  <c r="HS747" i="5"/>
  <c r="CR730" i="5"/>
  <c r="CR981" i="5" s="1"/>
  <c r="DL730" i="5"/>
  <c r="DL981" i="5" s="1"/>
  <c r="HW747" i="5"/>
  <c r="AB997" i="5"/>
  <c r="AB892" i="5"/>
  <c r="AB995" i="5" s="1"/>
  <c r="AV1138" i="5"/>
  <c r="G631" i="5"/>
  <c r="F503" i="5"/>
  <c r="F1141" i="5" s="1"/>
  <c r="F636" i="5"/>
  <c r="F1142" i="5"/>
  <c r="AO636" i="5"/>
  <c r="AO1142" i="5"/>
  <c r="CB1153" i="5"/>
  <c r="CB651" i="5"/>
  <c r="CB977" i="5"/>
  <c r="FM707" i="5"/>
  <c r="IK709" i="5"/>
  <c r="HW719" i="5"/>
  <c r="DK718" i="5"/>
  <c r="IL719" i="5"/>
  <c r="IM719" i="5" s="1"/>
  <c r="AF1041" i="2" s="1"/>
  <c r="AF1299" i="2" s="1"/>
  <c r="AF1386" i="2" s="1"/>
  <c r="FS718" i="5"/>
  <c r="DE980" i="5"/>
  <c r="DE718" i="5"/>
  <c r="HV721" i="5"/>
  <c r="FM718" i="5"/>
  <c r="IK721" i="5"/>
  <c r="FM818" i="5"/>
  <c r="FE722" i="5"/>
  <c r="II723" i="5"/>
  <c r="F817" i="5"/>
  <c r="F986" i="5" s="1"/>
  <c r="F988" i="5"/>
  <c r="AG1612" i="2"/>
  <c r="AG1580" i="2"/>
  <c r="O76" i="7"/>
  <c r="IG544" i="5"/>
  <c r="P76" i="7" s="1"/>
  <c r="Y977" i="5"/>
  <c r="IB708" i="5"/>
  <c r="EA707" i="5"/>
  <c r="EA977" i="5" s="1"/>
  <c r="EL754" i="5"/>
  <c r="EL982" i="5" s="1"/>
  <c r="DL754" i="5"/>
  <c r="DL982" i="5" s="1"/>
  <c r="HQ899" i="5"/>
  <c r="CM898" i="5"/>
  <c r="CM893" i="5" s="1"/>
  <c r="CM996" i="5" s="1"/>
  <c r="BM997" i="5"/>
  <c r="BM892" i="5"/>
  <c r="BM995" i="5" s="1"/>
  <c r="G37" i="7"/>
  <c r="IA501" i="5"/>
  <c r="IO944" i="5"/>
  <c r="IP802" i="5"/>
  <c r="AG1118" i="2" s="1"/>
  <c r="IE506" i="5"/>
  <c r="N42" i="7" s="1"/>
  <c r="Z503" i="5"/>
  <c r="Z635" i="5" s="1"/>
  <c r="FD980" i="5"/>
  <c r="IM900" i="5"/>
  <c r="AF1221" i="2" s="1"/>
  <c r="IK668" i="5"/>
  <c r="EZ1135" i="5"/>
  <c r="IH681" i="5"/>
  <c r="IB682" i="5"/>
  <c r="IH684" i="5"/>
  <c r="IK696" i="5"/>
  <c r="AE977" i="5"/>
  <c r="CX979" i="5"/>
  <c r="HP731" i="5"/>
  <c r="CG730" i="5"/>
  <c r="CG981" i="5" s="1"/>
  <c r="IH731" i="5"/>
  <c r="CD651" i="5"/>
  <c r="CA892" i="5"/>
  <c r="CA995" i="5" s="1"/>
  <c r="IA590" i="5"/>
  <c r="IL757" i="5"/>
  <c r="BD892" i="5"/>
  <c r="BD995" i="5" s="1"/>
  <c r="IP915" i="5"/>
  <c r="AG1234" i="2" s="1"/>
  <c r="AG1610" i="2" s="1"/>
  <c r="J631" i="5"/>
  <c r="Y988" i="5"/>
  <c r="Y817" i="5"/>
  <c r="Y986" i="5" s="1"/>
  <c r="ED1135" i="5"/>
  <c r="ED468" i="5"/>
  <c r="ED1133" i="5" s="1"/>
  <c r="AT1138" i="5"/>
  <c r="AT465" i="5"/>
  <c r="AT626" i="5" s="1"/>
  <c r="AT631" i="5"/>
  <c r="CO1139" i="5"/>
  <c r="CO632" i="5"/>
  <c r="Y568" i="5"/>
  <c r="Y636" i="5"/>
  <c r="DY1145" i="5"/>
  <c r="DY514" i="5"/>
  <c r="AM1149" i="5"/>
  <c r="AM638" i="5"/>
  <c r="IF708" i="5"/>
  <c r="ET707" i="5"/>
  <c r="ET977" i="5" s="1"/>
  <c r="IK711" i="5"/>
  <c r="FK707" i="5"/>
  <c r="FK977" i="5" s="1"/>
  <c r="CQ718" i="5"/>
  <c r="HS719" i="5"/>
  <c r="HZ721" i="5"/>
  <c r="DY818" i="5"/>
  <c r="DY980" i="5"/>
  <c r="DY718" i="5"/>
  <c r="IH724" i="5"/>
  <c r="FA722" i="5"/>
  <c r="EG730" i="5"/>
  <c r="EG981" i="5" s="1"/>
  <c r="IC747" i="5"/>
  <c r="FQ929" i="5"/>
  <c r="FQ928" i="5" s="1"/>
  <c r="FQ920" i="5" s="1"/>
  <c r="N119" i="7"/>
  <c r="IG590" i="5"/>
  <c r="P119" i="7" s="1"/>
  <c r="FB722" i="5"/>
  <c r="FB980" i="5"/>
  <c r="FB1140" i="5"/>
  <c r="IF727" i="5"/>
  <c r="CX754" i="5"/>
  <c r="CX982" i="5" s="1"/>
  <c r="AU997" i="5"/>
  <c r="AU892" i="5"/>
  <c r="AU995" i="5" s="1"/>
  <c r="CT754" i="5"/>
  <c r="CT982" i="5" s="1"/>
  <c r="HZ510" i="5"/>
  <c r="I46" i="7" s="1"/>
  <c r="K46" i="7" s="1"/>
  <c r="CR1140" i="5"/>
  <c r="CR633" i="5"/>
  <c r="CE722" i="5"/>
  <c r="CE979" i="5"/>
  <c r="FS1147" i="5"/>
  <c r="DM1078" i="5"/>
  <c r="BL892" i="5"/>
  <c r="BL995" i="5" s="1"/>
  <c r="EK722" i="5"/>
  <c r="AW631" i="5"/>
  <c r="KM632" i="5"/>
  <c r="KM491" i="5"/>
  <c r="DY1140" i="5"/>
  <c r="DY543" i="5"/>
  <c r="DY1151" i="5" s="1"/>
  <c r="CO585" i="5"/>
  <c r="CO584" i="5" s="1"/>
  <c r="EC585" i="5"/>
  <c r="EC584" i="5" s="1"/>
  <c r="EC1153" i="5" s="1"/>
  <c r="HZ589" i="5"/>
  <c r="I118" i="7" s="1"/>
  <c r="K118" i="7" s="1"/>
  <c r="FL754" i="5"/>
  <c r="FL982" i="5" s="1"/>
  <c r="EQ543" i="5"/>
  <c r="DN655" i="5"/>
  <c r="HW597" i="5"/>
  <c r="F126" i="7" s="1"/>
  <c r="HQ669" i="5"/>
  <c r="IP801" i="5"/>
  <c r="IO948" i="5" s="1"/>
  <c r="IL731" i="5"/>
  <c r="IG602" i="5"/>
  <c r="P131" i="7" s="1"/>
  <c r="HW724" i="5"/>
  <c r="CW979" i="5"/>
  <c r="E132" i="7"/>
  <c r="FL929" i="5"/>
  <c r="DG929" i="5"/>
  <c r="DG928" i="5" s="1"/>
  <c r="DG920" i="5" s="1"/>
  <c r="DG997" i="5" s="1"/>
  <c r="AW1138" i="5"/>
  <c r="DO980" i="5"/>
  <c r="IK697" i="5"/>
  <c r="CO980" i="5"/>
  <c r="CO718" i="5"/>
  <c r="BM636" i="5"/>
  <c r="FI722" i="5"/>
  <c r="EJ1136" i="5"/>
  <c r="EJ468" i="5"/>
  <c r="BV1137" i="5"/>
  <c r="BV629" i="5"/>
  <c r="HT486" i="5"/>
  <c r="C25" i="7" s="1"/>
  <c r="EO485" i="5"/>
  <c r="EO1137" i="5" s="1"/>
  <c r="EC492" i="5"/>
  <c r="EW492" i="5"/>
  <c r="EW491" i="5" s="1"/>
  <c r="EW1138" i="5" s="1"/>
  <c r="CU1140" i="5"/>
  <c r="CU633" i="5"/>
  <c r="CL667" i="5"/>
  <c r="CL976" i="5" s="1"/>
  <c r="IB669" i="5"/>
  <c r="HQ673" i="5"/>
  <c r="IC684" i="5"/>
  <c r="CQ707" i="5"/>
  <c r="CQ977" i="5" s="1"/>
  <c r="AS503" i="5"/>
  <c r="AS635" i="5" s="1"/>
  <c r="AS636" i="5"/>
  <c r="DJ1145" i="5"/>
  <c r="HW515" i="5"/>
  <c r="F51" i="7" s="1"/>
  <c r="CH529" i="5"/>
  <c r="CH1148" i="5" s="1"/>
  <c r="EP529" i="5"/>
  <c r="EP1148" i="5" s="1"/>
  <c r="DF645" i="5"/>
  <c r="DF575" i="5"/>
  <c r="DF644" i="5" s="1"/>
  <c r="BN1153" i="5"/>
  <c r="BN651" i="5"/>
  <c r="EP611" i="5"/>
  <c r="EP610" i="5" s="1"/>
  <c r="IE612" i="5"/>
  <c r="N139" i="7" s="1"/>
  <c r="CG722" i="5"/>
  <c r="CG979" i="5"/>
  <c r="IB736" i="5"/>
  <c r="CP730" i="5"/>
  <c r="CP981" i="5" s="1"/>
  <c r="DJ730" i="5"/>
  <c r="DJ981" i="5" s="1"/>
  <c r="CG754" i="5"/>
  <c r="CG982" i="5" s="1"/>
  <c r="DA754" i="5"/>
  <c r="DA982" i="5" s="1"/>
  <c r="FH1143" i="5"/>
  <c r="FH754" i="5"/>
  <c r="FH982" i="5" s="1"/>
  <c r="FC1144" i="5"/>
  <c r="FC754" i="5"/>
  <c r="FC982" i="5" s="1"/>
  <c r="CY857" i="5"/>
  <c r="HT876" i="5"/>
  <c r="FJ1155" i="5"/>
  <c r="FJ898" i="5"/>
  <c r="FJ893" i="5" s="1"/>
  <c r="FJ996" i="5" s="1"/>
  <c r="HW938" i="5"/>
  <c r="K651" i="5"/>
  <c r="EO979" i="5"/>
  <c r="FQ980" i="5"/>
  <c r="DJ514" i="5"/>
  <c r="HW857" i="5"/>
  <c r="AA1576" i="2" s="1"/>
  <c r="EG1145" i="5"/>
  <c r="EG514" i="5"/>
  <c r="AW892" i="5"/>
  <c r="AW995" i="5" s="1"/>
  <c r="DU722" i="5"/>
  <c r="N503" i="5"/>
  <c r="N1141" i="5" s="1"/>
  <c r="N636" i="5"/>
  <c r="BS997" i="5"/>
  <c r="BS892" i="5"/>
  <c r="BS995" i="5" s="1"/>
  <c r="CP514" i="5"/>
  <c r="HV930" i="5"/>
  <c r="IE561" i="5"/>
  <c r="N92" i="7" s="1"/>
  <c r="AE1138" i="5"/>
  <c r="V625" i="5"/>
  <c r="AZ568" i="5"/>
  <c r="AZ1132" i="5"/>
  <c r="CB892" i="5"/>
  <c r="CB995" i="5" s="1"/>
  <c r="V628" i="5"/>
  <c r="AF1142" i="5"/>
  <c r="AF503" i="5"/>
  <c r="AF1141" i="5" s="1"/>
  <c r="AF892" i="5"/>
  <c r="AF995" i="5" s="1"/>
  <c r="HS488" i="5"/>
  <c r="FK667" i="5"/>
  <c r="FK1133" i="5" s="1"/>
  <c r="BQ636" i="5"/>
  <c r="CY1135" i="5"/>
  <c r="CY468" i="5"/>
  <c r="DN1145" i="5"/>
  <c r="DN514" i="5"/>
  <c r="ED1146" i="5"/>
  <c r="ED514" i="5"/>
  <c r="CY550" i="5"/>
  <c r="CY640" i="5" s="1"/>
  <c r="BK993" i="5"/>
  <c r="BK856" i="5"/>
  <c r="BK992" i="5" s="1"/>
  <c r="FS993" i="5"/>
  <c r="FS856" i="5"/>
  <c r="FS992" i="5" s="1"/>
  <c r="IL857" i="5"/>
  <c r="AF1576" i="2" s="1"/>
  <c r="AF1575" i="2" s="1"/>
  <c r="IA560" i="5"/>
  <c r="BQ1142" i="5"/>
  <c r="EE856" i="5"/>
  <c r="EE992" i="5" s="1"/>
  <c r="AF1133" i="5"/>
  <c r="AF625" i="5"/>
  <c r="CM1135" i="5"/>
  <c r="CM468" i="5"/>
  <c r="CM625" i="5" s="1"/>
  <c r="EO527" i="5"/>
  <c r="IE527" i="5" s="1"/>
  <c r="IE489" i="5"/>
  <c r="EA929" i="5"/>
  <c r="EA928" i="5" s="1"/>
  <c r="EA920" i="5" s="1"/>
  <c r="IB930" i="5"/>
  <c r="EU929" i="5"/>
  <c r="EU928" i="5" s="1"/>
  <c r="EU920" i="5" s="1"/>
  <c r="EU997" i="5" s="1"/>
  <c r="IF930" i="5"/>
  <c r="IK930" i="5"/>
  <c r="FO929" i="5"/>
  <c r="FO928" i="5" s="1"/>
  <c r="FO920" i="5" s="1"/>
  <c r="HZ935" i="5"/>
  <c r="IE935" i="5"/>
  <c r="II935" i="5"/>
  <c r="FJ929" i="5"/>
  <c r="FJ928" i="5" s="1"/>
  <c r="FJ920" i="5" s="1"/>
  <c r="FJ997" i="5" s="1"/>
  <c r="IF938" i="5"/>
  <c r="HU1085" i="5"/>
  <c r="DB1084" i="5"/>
  <c r="HU1084" i="5" s="1"/>
  <c r="BS631" i="5"/>
  <c r="HW498" i="5"/>
  <c r="F34" i="7" s="1"/>
  <c r="EK1136" i="5"/>
  <c r="EK468" i="5"/>
  <c r="EK1133" i="5" s="1"/>
  <c r="BW1137" i="5"/>
  <c r="BW467" i="5"/>
  <c r="BW1132" i="5" s="1"/>
  <c r="M1138" i="5"/>
  <c r="M631" i="5"/>
  <c r="HT540" i="5"/>
  <c r="C72" i="7" s="1"/>
  <c r="HS542" i="5"/>
  <c r="CN575" i="5"/>
  <c r="CN644" i="5" s="1"/>
  <c r="CN645" i="5"/>
  <c r="AW1153" i="5"/>
  <c r="AW651" i="5"/>
  <c r="BF635" i="5"/>
  <c r="EL470" i="5"/>
  <c r="EL523" i="5"/>
  <c r="EL521" i="5" s="1"/>
  <c r="AA1133" i="5"/>
  <c r="AA467" i="5"/>
  <c r="AA568" i="5" s="1"/>
  <c r="DY475" i="5"/>
  <c r="ES475" i="5"/>
  <c r="DJ475" i="5"/>
  <c r="ED475" i="5"/>
  <c r="Q1138" i="5"/>
  <c r="Q631" i="5"/>
  <c r="AJ1138" i="5"/>
  <c r="AJ631" i="5"/>
  <c r="BX1138" i="5"/>
  <c r="BX631" i="5"/>
  <c r="IE540" i="5"/>
  <c r="HY542" i="5"/>
  <c r="G74" i="7" s="1"/>
  <c r="CV585" i="5"/>
  <c r="CV584" i="5" s="1"/>
  <c r="DP585" i="5"/>
  <c r="DP584" i="5" s="1"/>
  <c r="EJ585" i="5"/>
  <c r="EJ584" i="5" s="1"/>
  <c r="EJ1153" i="5" s="1"/>
  <c r="Q1142" i="5"/>
  <c r="KM623" i="5"/>
  <c r="HS477" i="5"/>
  <c r="AM1138" i="5"/>
  <c r="AM631" i="5"/>
  <c r="CN546" i="5"/>
  <c r="CN497" i="5"/>
  <c r="CN491" i="5" s="1"/>
  <c r="CN1138" i="5" s="1"/>
  <c r="BV1142" i="5"/>
  <c r="BV636" i="5"/>
  <c r="CG1145" i="5"/>
  <c r="CG514" i="5"/>
  <c r="CY1145" i="5"/>
  <c r="CY514" i="5"/>
  <c r="HW530" i="5"/>
  <c r="F62" i="7" s="1"/>
  <c r="AZ1149" i="5"/>
  <c r="AZ638" i="5"/>
  <c r="DQ514" i="5"/>
  <c r="BL467" i="5"/>
  <c r="BL568" i="5" s="1"/>
  <c r="BP567" i="5"/>
  <c r="BF1141" i="5"/>
  <c r="BL1133" i="5"/>
  <c r="IL691" i="5"/>
  <c r="HQ696" i="5"/>
  <c r="HQ697" i="5"/>
  <c r="ED818" i="5"/>
  <c r="ED987" i="5" s="1"/>
  <c r="FR718" i="5"/>
  <c r="FR818" i="5"/>
  <c r="FR987" i="5" s="1"/>
  <c r="IK733" i="5"/>
  <c r="HP755" i="5"/>
  <c r="EP754" i="5"/>
  <c r="EP982" i="5" s="1"/>
  <c r="HS757" i="5"/>
  <c r="HY757" i="5"/>
  <c r="FD754" i="5"/>
  <c r="FD982" i="5" s="1"/>
  <c r="CL754" i="5"/>
  <c r="CL982" i="5" s="1"/>
  <c r="HV779" i="5"/>
  <c r="ET754" i="5"/>
  <c r="ET982" i="5" s="1"/>
  <c r="Z1589" i="2"/>
  <c r="Z1587" i="2" s="1"/>
  <c r="Z1696" i="2" s="1"/>
  <c r="HX859" i="5"/>
  <c r="AA1176" i="2" s="1"/>
  <c r="DC893" i="5"/>
  <c r="G717" i="5"/>
  <c r="AA717" i="5"/>
  <c r="AA978" i="5" s="1"/>
  <c r="AU717" i="5"/>
  <c r="AU978" i="5" s="1"/>
  <c r="CI722" i="5"/>
  <c r="CI979" i="5"/>
  <c r="EF730" i="5"/>
  <c r="EF981" i="5" s="1"/>
  <c r="FT730" i="5"/>
  <c r="FT981" i="5" s="1"/>
  <c r="EC993" i="5"/>
  <c r="EC856" i="5"/>
  <c r="EC992" i="5" s="1"/>
  <c r="HX189" i="5"/>
  <c r="HS472" i="5"/>
  <c r="EJ543" i="5"/>
  <c r="HV554" i="5"/>
  <c r="D86" i="7" s="1"/>
  <c r="II684" i="5"/>
  <c r="HZ686" i="5"/>
  <c r="HS690" i="5"/>
  <c r="IN956" i="5"/>
  <c r="IN965" i="5" s="1"/>
  <c r="BS717" i="5"/>
  <c r="BS666" i="5" s="1"/>
  <c r="CU980" i="5"/>
  <c r="CV1146" i="5"/>
  <c r="CV514" i="5"/>
  <c r="M1149" i="5"/>
  <c r="M638" i="5"/>
  <c r="DN575" i="5"/>
  <c r="DN644" i="5" s="1"/>
  <c r="DN645" i="5"/>
  <c r="CL1139" i="5"/>
  <c r="AK503" i="5"/>
  <c r="HX15" i="5"/>
  <c r="HX56" i="5"/>
  <c r="HX61" i="5"/>
  <c r="HX66" i="5"/>
  <c r="CW1134" i="5"/>
  <c r="CW468" i="5"/>
  <c r="EL529" i="5"/>
  <c r="EL1148" i="5" s="1"/>
  <c r="AM467" i="5"/>
  <c r="AM465" i="5" s="1"/>
  <c r="AM1133" i="5"/>
  <c r="BE627" i="5"/>
  <c r="BE465" i="5"/>
  <c r="BE626" i="5" s="1"/>
  <c r="HY472" i="5"/>
  <c r="G12" i="7" s="1"/>
  <c r="IF516" i="5"/>
  <c r="O52" i="7" s="1"/>
  <c r="DS514" i="5"/>
  <c r="HT531" i="5"/>
  <c r="C63" i="7" s="1"/>
  <c r="HV532" i="5"/>
  <c r="AA976" i="2" s="1"/>
  <c r="IE532" i="5"/>
  <c r="N64" i="7" s="1"/>
  <c r="P1149" i="5"/>
  <c r="P638" i="5"/>
  <c r="BX503" i="5"/>
  <c r="BX638" i="5"/>
  <c r="G96" i="7"/>
  <c r="BG467" i="5"/>
  <c r="BG1132" i="5" s="1"/>
  <c r="BG625" i="5"/>
  <c r="K993" i="5"/>
  <c r="K856" i="5"/>
  <c r="K992" i="5" s="1"/>
  <c r="HX17" i="5"/>
  <c r="HX29" i="5"/>
  <c r="HX233" i="5"/>
  <c r="HX243" i="5"/>
  <c r="CL611" i="5"/>
  <c r="CL610" i="5" s="1"/>
  <c r="CL1156" i="5" s="1"/>
  <c r="DF611" i="5"/>
  <c r="DF610" i="5" s="1"/>
  <c r="DF1156" i="5" s="1"/>
  <c r="ET611" i="5"/>
  <c r="ET610" i="5" s="1"/>
  <c r="CP611" i="5"/>
  <c r="CP610" i="5" s="1"/>
  <c r="CP1156" i="5" s="1"/>
  <c r="DJ611" i="5"/>
  <c r="DJ610" i="5" s="1"/>
  <c r="DJ1156" i="5" s="1"/>
  <c r="HW697" i="5"/>
  <c r="I717" i="5"/>
  <c r="AC717" i="5"/>
  <c r="CY979" i="5"/>
  <c r="FA818" i="5"/>
  <c r="FA980" i="5"/>
  <c r="IP926" i="5"/>
  <c r="AG1245" i="2" s="1"/>
  <c r="DE523" i="5"/>
  <c r="DE521" i="5" s="1"/>
  <c r="DE1147" i="5" s="1"/>
  <c r="DH492" i="5"/>
  <c r="EB492" i="5"/>
  <c r="EV492" i="5"/>
  <c r="EV1139" i="5" s="1"/>
  <c r="CZ575" i="5"/>
  <c r="CZ644" i="5" s="1"/>
  <c r="CZ645" i="5"/>
  <c r="HU597" i="5"/>
  <c r="HU655" i="5" s="1"/>
  <c r="HS601" i="5"/>
  <c r="HZ608" i="5"/>
  <c r="I135" i="7" s="1"/>
  <c r="IE608" i="5"/>
  <c r="N135" i="7" s="1"/>
  <c r="EK598" i="5"/>
  <c r="EK1155" i="5" s="1"/>
  <c r="IE684" i="5"/>
  <c r="EA667" i="5"/>
  <c r="EA976" i="5" s="1"/>
  <c r="AJ988" i="5"/>
  <c r="AJ817" i="5"/>
  <c r="AJ986" i="5" s="1"/>
  <c r="CG993" i="5"/>
  <c r="CG856" i="5"/>
  <c r="HR864" i="5"/>
  <c r="Y1181" i="2" s="1"/>
  <c r="DB543" i="5"/>
  <c r="DB1151" i="5" s="1"/>
  <c r="CG598" i="5"/>
  <c r="CG1155" i="5" s="1"/>
  <c r="IH832" i="5"/>
  <c r="DB645" i="5"/>
  <c r="DB575" i="5"/>
  <c r="DB644" i="5" s="1"/>
  <c r="HS829" i="5"/>
  <c r="IH829" i="5"/>
  <c r="CH475" i="5"/>
  <c r="IE586" i="5"/>
  <c r="N116" i="7" s="1"/>
  <c r="HT588" i="5"/>
  <c r="C117" i="7" s="1"/>
  <c r="E117" i="7" s="1"/>
  <c r="IE588" i="5"/>
  <c r="N117" i="7" s="1"/>
  <c r="IE589" i="5"/>
  <c r="N118" i="7" s="1"/>
  <c r="CH523" i="5"/>
  <c r="DB523" i="5"/>
  <c r="DA1135" i="5"/>
  <c r="DA475" i="5"/>
  <c r="EW523" i="5"/>
  <c r="L503" i="5"/>
  <c r="HY520" i="5"/>
  <c r="G54" i="7" s="1"/>
  <c r="CR529" i="5"/>
  <c r="CR1148" i="5" s="1"/>
  <c r="CJ585" i="5"/>
  <c r="CJ584" i="5" s="1"/>
  <c r="DD585" i="5"/>
  <c r="DD584" i="5" s="1"/>
  <c r="DD1153" i="5" s="1"/>
  <c r="DX585" i="5"/>
  <c r="DX584" i="5" s="1"/>
  <c r="DX1153" i="5" s="1"/>
  <c r="ER585" i="5"/>
  <c r="ER584" i="5" s="1"/>
  <c r="ER1153" i="5" s="1"/>
  <c r="HZ588" i="5"/>
  <c r="I117" i="7" s="1"/>
  <c r="K117" i="7" s="1"/>
  <c r="CI523" i="5"/>
  <c r="ED523" i="5"/>
  <c r="ED521" i="5" s="1"/>
  <c r="ED1147" i="5" s="1"/>
  <c r="CY543" i="5"/>
  <c r="EW543" i="5"/>
  <c r="DB598" i="5"/>
  <c r="DB1155" i="5" s="1"/>
  <c r="HQ788" i="5"/>
  <c r="IB788" i="5"/>
  <c r="IF788" i="5"/>
  <c r="HX24" i="5"/>
  <c r="HX65" i="5"/>
  <c r="HX195" i="5"/>
  <c r="DI475" i="5"/>
  <c r="DK475" i="5"/>
  <c r="EE475" i="5"/>
  <c r="EA485" i="5"/>
  <c r="EA1137" i="5" s="1"/>
  <c r="DH485" i="5"/>
  <c r="DH629" i="5" s="1"/>
  <c r="HW518" i="5"/>
  <c r="F53" i="7" s="1"/>
  <c r="HY532" i="5"/>
  <c r="AB976" i="2" s="1"/>
  <c r="AB977" i="2" s="1"/>
  <c r="H91" i="7"/>
  <c r="CN585" i="5"/>
  <c r="CN584" i="5" s="1"/>
  <c r="EB585" i="5"/>
  <c r="EB584" i="5" s="1"/>
  <c r="EB1153" i="5" s="1"/>
  <c r="CJ707" i="5"/>
  <c r="CJ977" i="5" s="1"/>
  <c r="DD707" i="5"/>
  <c r="DD977" i="5" s="1"/>
  <c r="CI980" i="5"/>
  <c r="DW980" i="5"/>
  <c r="IP743" i="5"/>
  <c r="AG1065" i="2" s="1"/>
  <c r="FD822" i="5"/>
  <c r="FD988" i="5" s="1"/>
  <c r="IV700" i="5"/>
  <c r="AI1022" i="2" s="1"/>
  <c r="IV877" i="5"/>
  <c r="AI1194" i="2" s="1"/>
  <c r="IT719" i="5"/>
  <c r="DM822" i="5"/>
  <c r="DS898" i="5"/>
  <c r="DS893" i="5" s="1"/>
  <c r="DF1087" i="5"/>
  <c r="DF1083" i="5" s="1"/>
  <c r="IR682" i="5"/>
  <c r="IS741" i="5"/>
  <c r="AH1063" i="2" s="1"/>
  <c r="GZ722" i="5"/>
  <c r="GW667" i="5"/>
  <c r="GW1133" i="5" s="1"/>
  <c r="IV914" i="5"/>
  <c r="IR789" i="5"/>
  <c r="GV667" i="5"/>
  <c r="GV1133" i="5" s="1"/>
  <c r="IT674" i="5"/>
  <c r="GM389" i="5"/>
  <c r="IS803" i="5"/>
  <c r="AH1119" i="2" s="1"/>
  <c r="IS838" i="5"/>
  <c r="IS886" i="5"/>
  <c r="AH1207" i="2" s="1"/>
  <c r="IS744" i="5"/>
  <c r="AH1066" i="2" s="1"/>
  <c r="IV711" i="5"/>
  <c r="AI1033" i="2" s="1"/>
  <c r="HZ906" i="5"/>
  <c r="AB1580" i="2" s="1"/>
  <c r="IK906" i="5"/>
  <c r="HU907" i="5"/>
  <c r="Z1228" i="2" s="1"/>
  <c r="IM916" i="5"/>
  <c r="AF1235" i="2" s="1"/>
  <c r="E60" i="7"/>
  <c r="CQ492" i="5"/>
  <c r="CQ491" i="5" s="1"/>
  <c r="J717" i="5"/>
  <c r="AD717" i="5"/>
  <c r="AD978" i="5" s="1"/>
  <c r="BR717" i="5"/>
  <c r="BR978" i="5" s="1"/>
  <c r="CT718" i="5"/>
  <c r="FB718" i="5"/>
  <c r="DQ754" i="5"/>
  <c r="DQ982" i="5" s="1"/>
  <c r="EK754" i="5"/>
  <c r="EK982" i="5" s="1"/>
  <c r="HQ780" i="5"/>
  <c r="DJ754" i="5"/>
  <c r="DJ982" i="5" s="1"/>
  <c r="IF780" i="5"/>
  <c r="IL780" i="5"/>
  <c r="HW781" i="5"/>
  <c r="HY789" i="5"/>
  <c r="CN754" i="5"/>
  <c r="CN982" i="5" s="1"/>
  <c r="HV795" i="5"/>
  <c r="IB795" i="5"/>
  <c r="IB796" i="5" s="1"/>
  <c r="IB797" i="5" s="1"/>
  <c r="IB799" i="5" s="1"/>
  <c r="IG877" i="5"/>
  <c r="AD1194" i="2" s="1"/>
  <c r="IO958" i="5"/>
  <c r="IO967" i="5" s="1"/>
  <c r="CD898" i="5"/>
  <c r="CD893" i="5" s="1"/>
  <c r="CX898" i="5"/>
  <c r="CX893" i="5" s="1"/>
  <c r="CX996" i="5" s="1"/>
  <c r="CO898" i="5"/>
  <c r="CO893" i="5" s="1"/>
  <c r="CO996" i="5" s="1"/>
  <c r="GX856" i="5"/>
  <c r="GZ818" i="5"/>
  <c r="IP760" i="5"/>
  <c r="AG1082" i="2" s="1"/>
  <c r="AG1318" i="2" s="1"/>
  <c r="AG1405" i="2" s="1"/>
  <c r="IP767" i="5"/>
  <c r="AG1089" i="2" s="1"/>
  <c r="IB779" i="5"/>
  <c r="IP858" i="5"/>
  <c r="AG1175" i="2" s="1"/>
  <c r="CE898" i="5"/>
  <c r="CE893" i="5" s="1"/>
  <c r="CE892" i="5" s="1"/>
  <c r="AG1632" i="2"/>
  <c r="CP898" i="5"/>
  <c r="CP893" i="5" s="1"/>
  <c r="CP996" i="5" s="1"/>
  <c r="EU898" i="5"/>
  <c r="EU893" i="5" s="1"/>
  <c r="HX907" i="5"/>
  <c r="AA1228" i="2" s="1"/>
  <c r="IP916" i="5"/>
  <c r="AG1235" i="2" s="1"/>
  <c r="IP923" i="5"/>
  <c r="AG1242" i="2" s="1"/>
  <c r="IM927" i="5"/>
  <c r="AF1246" i="2" s="1"/>
  <c r="EM929" i="5"/>
  <c r="EM928" i="5" s="1"/>
  <c r="EM920" i="5" s="1"/>
  <c r="FG929" i="5"/>
  <c r="FG928" i="5" s="1"/>
  <c r="FG920" i="5" s="1"/>
  <c r="IP938" i="5"/>
  <c r="AG1258" i="2" s="1"/>
  <c r="AG1366" i="2" s="1"/>
  <c r="AG1453" i="2" s="1"/>
  <c r="IS826" i="5"/>
  <c r="AH1142" i="2" s="1"/>
  <c r="IS840" i="5"/>
  <c r="IS854" i="5"/>
  <c r="IS858" i="5"/>
  <c r="AH1175" i="2" s="1"/>
  <c r="GW856" i="5"/>
  <c r="IS753" i="5"/>
  <c r="AH1075" i="2" s="1"/>
  <c r="AH1313" i="2" s="1"/>
  <c r="AH1400" i="2" s="1"/>
  <c r="IS712" i="5"/>
  <c r="AH1034" i="2" s="1"/>
  <c r="IV774" i="5"/>
  <c r="FD718" i="5"/>
  <c r="DX818" i="5"/>
  <c r="ER730" i="5"/>
  <c r="ER981" i="5" s="1"/>
  <c r="FL730" i="5"/>
  <c r="FL981" i="5" s="1"/>
  <c r="DP730" i="5"/>
  <c r="DP981" i="5" s="1"/>
  <c r="DV730" i="5"/>
  <c r="DV981" i="5" s="1"/>
  <c r="II747" i="5"/>
  <c r="IE751" i="5"/>
  <c r="EI730" i="5"/>
  <c r="EI981" i="5" s="1"/>
  <c r="IP884" i="5"/>
  <c r="AG1203" i="2" s="1"/>
  <c r="IA890" i="5"/>
  <c r="ID900" i="5"/>
  <c r="AC1221" i="2" s="1"/>
  <c r="EB898" i="5"/>
  <c r="EB893" i="5" s="1"/>
  <c r="ID908" i="5"/>
  <c r="AC1229" i="2" s="1"/>
  <c r="JA910" i="5"/>
  <c r="DO929" i="5"/>
  <c r="DO928" i="5" s="1"/>
  <c r="DO920" i="5" s="1"/>
  <c r="EI929" i="5"/>
  <c r="EI928" i="5" s="1"/>
  <c r="EI920" i="5" s="1"/>
  <c r="EI997" i="5" s="1"/>
  <c r="HX184" i="5"/>
  <c r="HX198" i="5"/>
  <c r="HX225" i="5"/>
  <c r="HV515" i="5"/>
  <c r="CF529" i="5"/>
  <c r="CF1148" i="5" s="1"/>
  <c r="CR550" i="5"/>
  <c r="HW558" i="5"/>
  <c r="F89" i="7" s="1"/>
  <c r="IG566" i="5"/>
  <c r="P96" i="7" s="1"/>
  <c r="M717" i="5"/>
  <c r="M666" i="5" s="1"/>
  <c r="M816" i="5" s="1"/>
  <c r="M985" i="5" s="1"/>
  <c r="AG717" i="5"/>
  <c r="DC979" i="5"/>
  <c r="FK718" i="5"/>
  <c r="CW818" i="5"/>
  <c r="CW987" i="5" s="1"/>
  <c r="EK818" i="5"/>
  <c r="EK987" i="5" s="1"/>
  <c r="BG717" i="5"/>
  <c r="BG978" i="5" s="1"/>
  <c r="CA717" i="5"/>
  <c r="CA666" i="5" s="1"/>
  <c r="CK730" i="5"/>
  <c r="CK981" i="5" s="1"/>
  <c r="DE730" i="5"/>
  <c r="DE981" i="5" s="1"/>
  <c r="DY730" i="5"/>
  <c r="DY981" i="5" s="1"/>
  <c r="ES730" i="5"/>
  <c r="ES981" i="5" s="1"/>
  <c r="FM730" i="5"/>
  <c r="FM981" i="5" s="1"/>
  <c r="HZ832" i="5"/>
  <c r="HE856" i="5"/>
  <c r="HW551" i="5"/>
  <c r="F83" i="7" s="1"/>
  <c r="IF551" i="5"/>
  <c r="O83" i="7" s="1"/>
  <c r="IF554" i="5"/>
  <c r="O86" i="7" s="1"/>
  <c r="CR598" i="5"/>
  <c r="CR1155" i="5" s="1"/>
  <c r="EM707" i="5"/>
  <c r="EM977" i="5" s="1"/>
  <c r="FG707" i="5"/>
  <c r="DR707" i="5"/>
  <c r="DR977" i="5" s="1"/>
  <c r="HT710" i="5"/>
  <c r="HY710" i="5"/>
  <c r="EK707" i="5"/>
  <c r="EK977" i="5" s="1"/>
  <c r="HW713" i="5"/>
  <c r="CJ718" i="5"/>
  <c r="DD718" i="5"/>
  <c r="ER718" i="5"/>
  <c r="FL718" i="5"/>
  <c r="AN717" i="5"/>
  <c r="AN978" i="5" s="1"/>
  <c r="BH717" i="5"/>
  <c r="CM754" i="5"/>
  <c r="CM982" i="5" s="1"/>
  <c r="DG754" i="5"/>
  <c r="DU754" i="5"/>
  <c r="DU982" i="5" s="1"/>
  <c r="CJ822" i="5"/>
  <c r="CJ988" i="5" s="1"/>
  <c r="DD822" i="5"/>
  <c r="DI1075" i="5"/>
  <c r="DG1078" i="5"/>
  <c r="GT818" i="5"/>
  <c r="IU900" i="5"/>
  <c r="IV900" i="5" s="1"/>
  <c r="AI1221" i="2" s="1"/>
  <c r="GV718" i="5"/>
  <c r="DL585" i="5"/>
  <c r="DL584" i="5" s="1"/>
  <c r="IK684" i="5"/>
  <c r="HP698" i="5"/>
  <c r="IH704" i="5"/>
  <c r="IC705" i="5"/>
  <c r="AI717" i="5"/>
  <c r="BC717" i="5"/>
  <c r="BC978" i="5" s="1"/>
  <c r="BW717" i="5"/>
  <c r="BW978" i="5" s="1"/>
  <c r="CK718" i="5"/>
  <c r="DS980" i="5"/>
  <c r="U717" i="5"/>
  <c r="AO717" i="5"/>
  <c r="BI717" i="5"/>
  <c r="CQ979" i="5"/>
  <c r="DK979" i="5"/>
  <c r="DG722" i="5"/>
  <c r="EA818" i="5"/>
  <c r="CM730" i="5"/>
  <c r="CM981" i="5" s="1"/>
  <c r="EU730" i="5"/>
  <c r="EU981" i="5" s="1"/>
  <c r="DG1068" i="5"/>
  <c r="CW1075" i="5"/>
  <c r="DQ1075" i="5"/>
  <c r="GY899" i="5"/>
  <c r="EP492" i="5"/>
  <c r="EP491" i="5" s="1"/>
  <c r="EP1138" i="5" s="1"/>
  <c r="ET514" i="5"/>
  <c r="HZ613" i="5"/>
  <c r="I140" i="7" s="1"/>
  <c r="IF614" i="5"/>
  <c r="O141" i="7" s="1"/>
  <c r="EO667" i="5"/>
  <c r="EO976" i="5" s="1"/>
  <c r="FI667" i="5"/>
  <c r="ES667" i="5"/>
  <c r="ES976" i="5" s="1"/>
  <c r="IK681" i="5"/>
  <c r="CG707" i="5"/>
  <c r="CG977" i="5" s="1"/>
  <c r="DA707" i="5"/>
  <c r="DA977" i="5" s="1"/>
  <c r="EO707" i="5"/>
  <c r="EO977" i="5" s="1"/>
  <c r="FI707" i="5"/>
  <c r="FI977" i="5" s="1"/>
  <c r="HP710" i="5"/>
  <c r="IE710" i="5"/>
  <c r="HT712" i="5"/>
  <c r="IC716" i="5"/>
  <c r="DF718" i="5"/>
  <c r="DZ718" i="5"/>
  <c r="ET718" i="5"/>
  <c r="FN718" i="5"/>
  <c r="CF980" i="5"/>
  <c r="EN818" i="5"/>
  <c r="EN987" i="5" s="1"/>
  <c r="V717" i="5"/>
  <c r="AP717" i="5"/>
  <c r="AP978" i="5" s="1"/>
  <c r="BJ717" i="5"/>
  <c r="BJ978" i="5" s="1"/>
  <c r="CD717" i="5"/>
  <c r="CD978" i="5" s="1"/>
  <c r="HS723" i="5"/>
  <c r="DL722" i="5"/>
  <c r="EF979" i="5"/>
  <c r="DH980" i="5"/>
  <c r="HV727" i="5"/>
  <c r="IK727" i="5"/>
  <c r="HQ728" i="5"/>
  <c r="IF728" i="5"/>
  <c r="CN730" i="5"/>
  <c r="CN981" i="5" s="1"/>
  <c r="HV749" i="5"/>
  <c r="IM876" i="5"/>
  <c r="AF1193" i="2" s="1"/>
  <c r="IP877" i="5"/>
  <c r="AG1194" i="2" s="1"/>
  <c r="CX1075" i="5"/>
  <c r="DR1075" i="5"/>
  <c r="CJ1078" i="5"/>
  <c r="DF1084" i="5"/>
  <c r="H40" i="7"/>
  <c r="H58" i="7"/>
  <c r="H77" i="7"/>
  <c r="H107" i="7"/>
  <c r="IS925" i="5"/>
  <c r="AH1244" i="2" s="1"/>
  <c r="IS895" i="5"/>
  <c r="AH1216" i="2" s="1"/>
  <c r="IS867" i="5"/>
  <c r="AH1184" i="2" s="1"/>
  <c r="GS920" i="5"/>
  <c r="GS1153" i="5" s="1"/>
  <c r="IV938" i="5"/>
  <c r="AI1258" i="2" s="1"/>
  <c r="IV726" i="5"/>
  <c r="AI1048" i="2" s="1"/>
  <c r="AJ1048" i="2" s="1"/>
  <c r="AK1048" i="2" s="1"/>
  <c r="BP651" i="5"/>
  <c r="DC492" i="5"/>
  <c r="DC491" i="5" s="1"/>
  <c r="DW492" i="5"/>
  <c r="EQ492" i="5"/>
  <c r="EQ1139" i="5" s="1"/>
  <c r="CX492" i="5"/>
  <c r="CX1139" i="5" s="1"/>
  <c r="DR492" i="5"/>
  <c r="DR632" i="5" s="1"/>
  <c r="HS507" i="5"/>
  <c r="HW540" i="5"/>
  <c r="F72" i="7" s="1"/>
  <c r="HW541" i="5"/>
  <c r="F73" i="7" s="1"/>
  <c r="DN598" i="5"/>
  <c r="DN1155" i="5" s="1"/>
  <c r="CF611" i="5"/>
  <c r="CF610" i="5" s="1"/>
  <c r="CF1156" i="5" s="1"/>
  <c r="DT611" i="5"/>
  <c r="DT610" i="5" s="1"/>
  <c r="DT1156" i="5" s="1"/>
  <c r="EN611" i="5"/>
  <c r="EN610" i="5" s="1"/>
  <c r="FJ667" i="5"/>
  <c r="HP671" i="5"/>
  <c r="IE671" i="5"/>
  <c r="HP677" i="5"/>
  <c r="IE677" i="5"/>
  <c r="HV690" i="5"/>
  <c r="HQ691" i="5"/>
  <c r="IB692" i="5"/>
  <c r="HZ696" i="5"/>
  <c r="HW702" i="5"/>
  <c r="IP715" i="5"/>
  <c r="AG1037" i="2" s="1"/>
  <c r="Q717" i="5"/>
  <c r="AK717" i="5"/>
  <c r="CM979" i="5"/>
  <c r="DG979" i="5"/>
  <c r="EU979" i="5"/>
  <c r="EO718" i="5"/>
  <c r="FI718" i="5"/>
  <c r="IP722" i="5"/>
  <c r="AG1044" i="2" s="1"/>
  <c r="CS722" i="5"/>
  <c r="FU722" i="5"/>
  <c r="EO730" i="5"/>
  <c r="EO981" i="5" s="1"/>
  <c r="IP795" i="5"/>
  <c r="AG1111" i="2" s="1"/>
  <c r="AG606" i="2" s="1"/>
  <c r="ID881" i="5"/>
  <c r="AC1202" i="2" s="1"/>
  <c r="CP1078" i="5"/>
  <c r="IS750" i="5"/>
  <c r="AH1072" i="2" s="1"/>
  <c r="IS733" i="5"/>
  <c r="AH1055" i="2" s="1"/>
  <c r="HW486" i="5"/>
  <c r="F25" i="7" s="1"/>
  <c r="HY487" i="5"/>
  <c r="G26" i="7" s="1"/>
  <c r="CY492" i="5"/>
  <c r="CY632" i="5" s="1"/>
  <c r="BJ503" i="5"/>
  <c r="CN718" i="5"/>
  <c r="DH718" i="5"/>
  <c r="IP819" i="5"/>
  <c r="AG1135" i="2" s="1"/>
  <c r="EB822" i="5"/>
  <c r="EB988" i="5" s="1"/>
  <c r="FP822" i="5"/>
  <c r="EJ485" i="5"/>
  <c r="EJ1137" i="5" s="1"/>
  <c r="EO523" i="5"/>
  <c r="HU540" i="5"/>
  <c r="HY540" i="5"/>
  <c r="G72" i="7" s="1"/>
  <c r="HW542" i="5"/>
  <c r="EH598" i="5"/>
  <c r="EH1155" i="5" s="1"/>
  <c r="EK585" i="5"/>
  <c r="EK584" i="5" s="1"/>
  <c r="EK1153" i="5" s="1"/>
  <c r="CV722" i="5"/>
  <c r="EJ722" i="5"/>
  <c r="EG754" i="5"/>
  <c r="EG982" i="5" s="1"/>
  <c r="FO1147" i="5"/>
  <c r="FO1142" i="5" s="1"/>
  <c r="HU861" i="5"/>
  <c r="Z1178" i="2" s="1"/>
  <c r="IM864" i="5"/>
  <c r="AF1181" i="2" s="1"/>
  <c r="IG875" i="5"/>
  <c r="AD1192" i="2" s="1"/>
  <c r="HR877" i="5"/>
  <c r="Y1194" i="2" s="1"/>
  <c r="IM890" i="5"/>
  <c r="IP908" i="5"/>
  <c r="AG1229" i="2" s="1"/>
  <c r="EV929" i="5"/>
  <c r="EV928" i="5" s="1"/>
  <c r="EV920" i="5" s="1"/>
  <c r="EV997" i="5" s="1"/>
  <c r="FP929" i="5"/>
  <c r="FP928" i="5" s="1"/>
  <c r="FP920" i="5" s="1"/>
  <c r="FP997" i="5" s="1"/>
  <c r="DJ1084" i="5"/>
  <c r="DC1087" i="5"/>
  <c r="DC1083" i="5" s="1"/>
  <c r="IV745" i="5"/>
  <c r="AI1067" i="2" s="1"/>
  <c r="O76" i="19"/>
  <c r="N76" i="19" s="1"/>
  <c r="JB723" i="5"/>
  <c r="W15" i="19"/>
  <c r="JH719" i="5"/>
  <c r="JG719" i="5" s="1"/>
  <c r="AJ1303" i="2"/>
  <c r="AJ1390" i="2" s="1"/>
  <c r="O16" i="19"/>
  <c r="N16" i="19" s="1"/>
  <c r="AL1302" i="2"/>
  <c r="AL1389" i="2" s="1"/>
  <c r="AE15" i="19"/>
  <c r="AG15" i="19" s="1"/>
  <c r="JE719" i="5"/>
  <c r="AE12" i="19"/>
  <c r="AG12" i="19" s="1"/>
  <c r="IY719" i="5"/>
  <c r="IX719" i="5" s="1"/>
  <c r="O12" i="19"/>
  <c r="N12" i="19" s="1"/>
  <c r="P919" i="2"/>
  <c r="AI1637" i="2"/>
  <c r="AJ1636" i="2"/>
  <c r="AO1457" i="2"/>
  <c r="AO1371" i="2"/>
  <c r="AK1609" i="2"/>
  <c r="JD915" i="5"/>
  <c r="AM1457" i="2"/>
  <c r="AM1371" i="2"/>
  <c r="AN1457" i="2"/>
  <c r="AN1371" i="2"/>
  <c r="AL1457" i="2"/>
  <c r="AL1371" i="2"/>
  <c r="D109" i="19"/>
  <c r="E80" i="19" s="1"/>
  <c r="G80" i="19" s="1"/>
  <c r="AI1457" i="2"/>
  <c r="AI1371" i="2"/>
  <c r="JM911" i="5"/>
  <c r="JL910" i="5"/>
  <c r="AJ1457" i="2"/>
  <c r="AJ1371" i="2"/>
  <c r="AK1457" i="2"/>
  <c r="AK1371" i="2"/>
  <c r="JE933" i="5"/>
  <c r="AE103" i="19"/>
  <c r="AG103" i="19" s="1"/>
  <c r="O17" i="19"/>
  <c r="N17" i="19" s="1"/>
  <c r="I17" i="19"/>
  <c r="AM1364" i="2"/>
  <c r="AM1451" i="2" s="1"/>
  <c r="G123" i="7"/>
  <c r="H123" i="7" s="1"/>
  <c r="IA594" i="5"/>
  <c r="HV595" i="5"/>
  <c r="D124" i="7" s="1"/>
  <c r="IF595" i="5"/>
  <c r="O124" i="7" s="1"/>
  <c r="HY597" i="5"/>
  <c r="IV799" i="5"/>
  <c r="AI1115" i="2" s="1"/>
  <c r="IV916" i="5"/>
  <c r="AI1235" i="2" s="1"/>
  <c r="IV779" i="5"/>
  <c r="AI1094" i="2" s="1"/>
  <c r="AI1320" i="2" s="1"/>
  <c r="AI1407" i="2" s="1"/>
  <c r="AH1133" i="5"/>
  <c r="AH625" i="5"/>
  <c r="AH467" i="5"/>
  <c r="AH627" i="5" s="1"/>
  <c r="BT1133" i="5"/>
  <c r="BT467" i="5"/>
  <c r="DW1135" i="5"/>
  <c r="DW468" i="5"/>
  <c r="DW1133" i="5" s="1"/>
  <c r="DW475" i="5"/>
  <c r="EM1135" i="5"/>
  <c r="EM468" i="5"/>
  <c r="EM1133" i="5" s="1"/>
  <c r="HV586" i="5"/>
  <c r="D116" i="7" s="1"/>
  <c r="DC585" i="5"/>
  <c r="DC584" i="5" s="1"/>
  <c r="DW585" i="5"/>
  <c r="DW584" i="5" s="1"/>
  <c r="DW1153" i="5" s="1"/>
  <c r="HZ586" i="5"/>
  <c r="I116" i="7" s="1"/>
  <c r="HU589" i="5"/>
  <c r="HT589" i="5"/>
  <c r="C118" i="7" s="1"/>
  <c r="E118" i="7" s="1"/>
  <c r="HR1085" i="5"/>
  <c r="D1677" i="2"/>
  <c r="FP1134" i="5"/>
  <c r="BT625" i="5"/>
  <c r="HT829" i="5"/>
  <c r="AI1133" i="5"/>
  <c r="AI628" i="5"/>
  <c r="AI467" i="5"/>
  <c r="AI569" i="5" s="1"/>
  <c r="BA467" i="5"/>
  <c r="BA1133" i="5"/>
  <c r="BA628" i="5"/>
  <c r="BA625" i="5"/>
  <c r="BU467" i="5"/>
  <c r="BU1132" i="5" s="1"/>
  <c r="BU628" i="5"/>
  <c r="EJ754" i="5"/>
  <c r="EJ982" i="5" s="1"/>
  <c r="IC757" i="5"/>
  <c r="KO988" i="5"/>
  <c r="KO817" i="5"/>
  <c r="KO986" i="5" s="1"/>
  <c r="EK822" i="5"/>
  <c r="IC829" i="5"/>
  <c r="AS996" i="5"/>
  <c r="AS892" i="5"/>
  <c r="AS995" i="5" s="1"/>
  <c r="Q997" i="5"/>
  <c r="Q892" i="5"/>
  <c r="Q995" i="5" s="1"/>
  <c r="HU588" i="5"/>
  <c r="HX149" i="5"/>
  <c r="HX183" i="5"/>
  <c r="HX197" i="5"/>
  <c r="R467" i="5"/>
  <c r="R569" i="5" s="1"/>
  <c r="R1133" i="5"/>
  <c r="R628" i="5"/>
  <c r="R625" i="5"/>
  <c r="AK467" i="5"/>
  <c r="AK1133" i="5"/>
  <c r="BV1149" i="5"/>
  <c r="BV638" i="5"/>
  <c r="BV503" i="5"/>
  <c r="O101" i="7"/>
  <c r="IG571" i="5"/>
  <c r="P101" i="7" s="1"/>
  <c r="CS611" i="5"/>
  <c r="CS610" i="5" s="1"/>
  <c r="CS1156" i="5" s="1"/>
  <c r="HU612" i="5"/>
  <c r="HS612" i="5"/>
  <c r="HT613" i="5"/>
  <c r="C140" i="7" s="1"/>
  <c r="CW611" i="5"/>
  <c r="CW610" i="5" s="1"/>
  <c r="CW1156" i="5" s="1"/>
  <c r="DQ611" i="5"/>
  <c r="DQ610" i="5" s="1"/>
  <c r="HY613" i="5"/>
  <c r="FE1144" i="5"/>
  <c r="II757" i="5"/>
  <c r="EZ1146" i="5"/>
  <c r="IH781" i="5"/>
  <c r="EV754" i="5"/>
  <c r="EV982" i="5" s="1"/>
  <c r="IF795" i="5"/>
  <c r="IK795" i="5"/>
  <c r="FP1147" i="5"/>
  <c r="Z988" i="5"/>
  <c r="Z817" i="5"/>
  <c r="Z986" i="5" s="1"/>
  <c r="HT994" i="5"/>
  <c r="HU890" i="5"/>
  <c r="AT996" i="5"/>
  <c r="AT892" i="5"/>
  <c r="AT995" i="5" s="1"/>
  <c r="ES898" i="5"/>
  <c r="ES893" i="5" s="1"/>
  <c r="ES996" i="5" s="1"/>
  <c r="IF906" i="5"/>
  <c r="AD1580" i="2" s="1"/>
  <c r="II830" i="5"/>
  <c r="AJ569" i="5"/>
  <c r="AJ568" i="5"/>
  <c r="AJ627" i="5"/>
  <c r="AJ567" i="5"/>
  <c r="AJ465" i="5"/>
  <c r="AJ626" i="5" s="1"/>
  <c r="CZ1150" i="5"/>
  <c r="AH1609" i="2"/>
  <c r="IC830" i="5"/>
  <c r="BY651" i="5"/>
  <c r="DZ611" i="5"/>
  <c r="DZ610" i="5" s="1"/>
  <c r="HZ612" i="5"/>
  <c r="I139" i="7" s="1"/>
  <c r="EA470" i="5"/>
  <c r="EA523" i="5"/>
  <c r="EA521" i="5" s="1"/>
  <c r="EA1147" i="5" s="1"/>
  <c r="DF893" i="5"/>
  <c r="DF996" i="5" s="1"/>
  <c r="HV898" i="5"/>
  <c r="Z1585" i="2" s="1"/>
  <c r="DP754" i="5"/>
  <c r="DP982" i="5" s="1"/>
  <c r="BB467" i="5"/>
  <c r="BB628" i="5"/>
  <c r="BB625" i="5"/>
  <c r="BB1133" i="5"/>
  <c r="FI1143" i="5"/>
  <c r="FI754" i="5"/>
  <c r="FI982" i="5" s="1"/>
  <c r="IH757" i="5"/>
  <c r="FD1144" i="5"/>
  <c r="HY829" i="5"/>
  <c r="DQ822" i="5"/>
  <c r="M993" i="5"/>
  <c r="M856" i="5"/>
  <c r="M992" i="5" s="1"/>
  <c r="AG997" i="5"/>
  <c r="AG892" i="5"/>
  <c r="AG995" i="5" s="1"/>
  <c r="AK628" i="5"/>
  <c r="EX611" i="5"/>
  <c r="EX610" i="5" s="1"/>
  <c r="IF613" i="5"/>
  <c r="DS655" i="5"/>
  <c r="HA722" i="5"/>
  <c r="CV754" i="5"/>
  <c r="CV982" i="5" s="1"/>
  <c r="DO1140" i="5"/>
  <c r="DO633" i="5"/>
  <c r="DT655" i="5"/>
  <c r="X1661" i="2"/>
  <c r="X1660" i="2" s="1"/>
  <c r="CJ1068" i="5"/>
  <c r="BV625" i="5"/>
  <c r="BV1133" i="5"/>
  <c r="EI856" i="5"/>
  <c r="EI992" i="5" s="1"/>
  <c r="HX39" i="5"/>
  <c r="HX57" i="5"/>
  <c r="HX62" i="5"/>
  <c r="HX67" i="5"/>
  <c r="HX106" i="5"/>
  <c r="HX143" i="5"/>
  <c r="HX249" i="5"/>
  <c r="EH754" i="5"/>
  <c r="EH982" i="5" s="1"/>
  <c r="HQ795" i="5"/>
  <c r="DK754" i="5"/>
  <c r="DK982" i="5" s="1"/>
  <c r="EE754" i="5"/>
  <c r="EE982" i="5" s="1"/>
  <c r="AK1177" i="2"/>
  <c r="JB860" i="5" s="1"/>
  <c r="IZ860" i="5" s="1"/>
  <c r="IS860" i="5"/>
  <c r="GB817" i="5"/>
  <c r="GB986" i="5" s="1"/>
  <c r="GB987" i="5"/>
  <c r="EL514" i="5"/>
  <c r="HU481" i="5"/>
  <c r="CL546" i="5"/>
  <c r="AT1153" i="5"/>
  <c r="AT651" i="5"/>
  <c r="N56" i="7"/>
  <c r="IG522" i="5"/>
  <c r="P56" i="7" s="1"/>
  <c r="HY530" i="5"/>
  <c r="DO529" i="5"/>
  <c r="DO1148" i="5" s="1"/>
  <c r="AI1149" i="5"/>
  <c r="AI503" i="5"/>
  <c r="IE518" i="5"/>
  <c r="N53" i="7" s="1"/>
  <c r="BD1149" i="5"/>
  <c r="BD638" i="5"/>
  <c r="EQ514" i="5"/>
  <c r="HT494" i="5"/>
  <c r="C31" i="7" s="1"/>
  <c r="CW492" i="5"/>
  <c r="CJ491" i="5"/>
  <c r="CJ1138" i="5" s="1"/>
  <c r="BI567" i="5"/>
  <c r="BI503" i="5"/>
  <c r="AK1149" i="5"/>
  <c r="AK638" i="5"/>
  <c r="AP465" i="5"/>
  <c r="AP626" i="5" s="1"/>
  <c r="AP1138" i="5"/>
  <c r="AP631" i="5"/>
  <c r="CK546" i="5"/>
  <c r="CK497" i="5"/>
  <c r="AA1142" i="5"/>
  <c r="AA503" i="5"/>
  <c r="CO1145" i="5"/>
  <c r="CO514" i="5"/>
  <c r="ET1145" i="5"/>
  <c r="CH1146" i="5"/>
  <c r="CH514" i="5"/>
  <c r="EL475" i="5"/>
  <c r="EP514" i="5"/>
  <c r="EP1146" i="5"/>
  <c r="EB543" i="5"/>
  <c r="KO467" i="5"/>
  <c r="KO628" i="5"/>
  <c r="CG523" i="5"/>
  <c r="EG475" i="5"/>
  <c r="EG1135" i="5"/>
  <c r="CY475" i="5"/>
  <c r="DD475" i="5"/>
  <c r="DX475" i="5"/>
  <c r="EI485" i="5"/>
  <c r="EI1137" i="5" s="1"/>
  <c r="AE467" i="5"/>
  <c r="AE1133" i="5"/>
  <c r="CG1135" i="5"/>
  <c r="CG468" i="5"/>
  <c r="CG628" i="5" s="1"/>
  <c r="EK523" i="5"/>
  <c r="EK521" i="5" s="1"/>
  <c r="EK1147" i="5" s="1"/>
  <c r="AF628" i="5"/>
  <c r="AF467" i="5"/>
  <c r="BP628" i="5"/>
  <c r="BP1133" i="5"/>
  <c r="DC470" i="5"/>
  <c r="DC523" i="5"/>
  <c r="DC521" i="5" s="1"/>
  <c r="DC1147" i="5" s="1"/>
  <c r="V1149" i="5"/>
  <c r="V638" i="5"/>
  <c r="DE475" i="5"/>
  <c r="HV477" i="5"/>
  <c r="D17" i="7" s="1"/>
  <c r="CJ1135" i="5"/>
  <c r="CJ475" i="5"/>
  <c r="EP470" i="5"/>
  <c r="EP1134" i="5" s="1"/>
  <c r="EP523" i="5"/>
  <c r="EP521" i="5" s="1"/>
  <c r="EP1147" i="5" s="1"/>
  <c r="CP497" i="5"/>
  <c r="CP543" i="5" s="1"/>
  <c r="CP1151" i="5" s="1"/>
  <c r="CP546" i="5"/>
  <c r="DH645" i="5"/>
  <c r="DH575" i="5"/>
  <c r="DH644" i="5" s="1"/>
  <c r="AE993" i="5"/>
  <c r="AE856" i="5"/>
  <c r="AE992" i="5" s="1"/>
  <c r="U467" i="5"/>
  <c r="U568" i="5" s="1"/>
  <c r="U625" i="5"/>
  <c r="ES523" i="5"/>
  <c r="ES470" i="5"/>
  <c r="ES1134" i="5" s="1"/>
  <c r="DF468" i="5"/>
  <c r="DF628" i="5" s="1"/>
  <c r="DX1135" i="5"/>
  <c r="DX468" i="5"/>
  <c r="DX1133" i="5" s="1"/>
  <c r="HZ488" i="5"/>
  <c r="I27" i="7" s="1"/>
  <c r="K27" i="7" s="1"/>
  <c r="IF589" i="5"/>
  <c r="O118" i="7" s="1"/>
  <c r="G988" i="5"/>
  <c r="G817" i="5"/>
  <c r="G986" i="5" s="1"/>
  <c r="FH993" i="5"/>
  <c r="FH856" i="5"/>
  <c r="FH992" i="5" s="1"/>
  <c r="AX503" i="5"/>
  <c r="KO505" i="5"/>
  <c r="KO503" i="5" s="1"/>
  <c r="KO635" i="5" s="1"/>
  <c r="HY516" i="5"/>
  <c r="G52" i="7" s="1"/>
  <c r="H52" i="7" s="1"/>
  <c r="EJ707" i="5"/>
  <c r="EJ977" i="5" s="1"/>
  <c r="IL714" i="5"/>
  <c r="CV718" i="5"/>
  <c r="CV818" i="5"/>
  <c r="CV987" i="5" s="1"/>
  <c r="HT726" i="5"/>
  <c r="CY898" i="5"/>
  <c r="CY893" i="5" s="1"/>
  <c r="HT899" i="5"/>
  <c r="HY506" i="5"/>
  <c r="G42" i="7" s="1"/>
  <c r="HX170" i="5"/>
  <c r="KP505" i="5"/>
  <c r="EV1146" i="5"/>
  <c r="EV514" i="5"/>
  <c r="EC598" i="5"/>
  <c r="EC1155" i="5" s="1"/>
  <c r="IB703" i="5"/>
  <c r="HS706" i="5"/>
  <c r="ES818" i="5"/>
  <c r="ES987" i="5" s="1"/>
  <c r="ES722" i="5"/>
  <c r="HW736" i="5"/>
  <c r="IL736" i="5"/>
  <c r="HQ743" i="5"/>
  <c r="HV743" i="5"/>
  <c r="IB743" i="5"/>
  <c r="HP746" i="5"/>
  <c r="CI730" i="5"/>
  <c r="CI981" i="5" s="1"/>
  <c r="DW730" i="5"/>
  <c r="DW981" i="5" s="1"/>
  <c r="CZ730" i="5"/>
  <c r="CZ981" i="5" s="1"/>
  <c r="HP750" i="5"/>
  <c r="HT750" i="5"/>
  <c r="IE750" i="5"/>
  <c r="II750" i="5"/>
  <c r="HS753" i="5"/>
  <c r="HY753" i="5"/>
  <c r="IC753" i="5"/>
  <c r="CW1145" i="5"/>
  <c r="CW514" i="5"/>
  <c r="CQ1146" i="5"/>
  <c r="CQ514" i="5"/>
  <c r="DK1146" i="5"/>
  <c r="DK514" i="5"/>
  <c r="HT677" i="5"/>
  <c r="HT678" i="5"/>
  <c r="HT708" i="5"/>
  <c r="CY707" i="5"/>
  <c r="CY977" i="5" s="1"/>
  <c r="HY711" i="5"/>
  <c r="FD707" i="5"/>
  <c r="FD977" i="5" s="1"/>
  <c r="HY712" i="5"/>
  <c r="EI707" i="5"/>
  <c r="EI977" i="5" s="1"/>
  <c r="IH713" i="5"/>
  <c r="HS714" i="5"/>
  <c r="HW715" i="5"/>
  <c r="HS716" i="5"/>
  <c r="HW716" i="5"/>
  <c r="AG1588" i="2"/>
  <c r="IP859" i="5"/>
  <c r="AG1176" i="2" s="1"/>
  <c r="DO598" i="5"/>
  <c r="DO1155" i="5" s="1"/>
  <c r="HZ564" i="5"/>
  <c r="CE718" i="5"/>
  <c r="HP721" i="5"/>
  <c r="HV739" i="5"/>
  <c r="HZ482" i="5"/>
  <c r="I22" i="7" s="1"/>
  <c r="K22" i="7" s="1"/>
  <c r="IE668" i="5"/>
  <c r="HP669" i="5"/>
  <c r="IK669" i="5"/>
  <c r="II671" i="5"/>
  <c r="HP672" i="5"/>
  <c r="IE672" i="5"/>
  <c r="HP673" i="5"/>
  <c r="HZ673" i="5"/>
  <c r="FH707" i="5"/>
  <c r="FH977" i="5" s="1"/>
  <c r="II711" i="5"/>
  <c r="HY713" i="5"/>
  <c r="IC715" i="5"/>
  <c r="DP550" i="5"/>
  <c r="DP640" i="5" s="1"/>
  <c r="EB485" i="5"/>
  <c r="EB1137" i="5" s="1"/>
  <c r="EL492" i="5"/>
  <c r="EL1139" i="5" s="1"/>
  <c r="IF520" i="5"/>
  <c r="O54" i="7" s="1"/>
  <c r="DA550" i="5"/>
  <c r="DA1152" i="5" s="1"/>
  <c r="CX645" i="5"/>
  <c r="CX575" i="5"/>
  <c r="CX644" i="5" s="1"/>
  <c r="U628" i="5"/>
  <c r="EN1145" i="5"/>
  <c r="EN514" i="5"/>
  <c r="DR550" i="5"/>
  <c r="DR640" i="5" s="1"/>
  <c r="DA598" i="5"/>
  <c r="DA1155" i="5" s="1"/>
  <c r="EI598" i="5"/>
  <c r="EI1155" i="5" s="1"/>
  <c r="HV541" i="5"/>
  <c r="D73" i="7" s="1"/>
  <c r="E73" i="7" s="1"/>
  <c r="DN550" i="5"/>
  <c r="CY730" i="5"/>
  <c r="CY981" i="5" s="1"/>
  <c r="DS730" i="5"/>
  <c r="DS981" i="5" s="1"/>
  <c r="IK739" i="5"/>
  <c r="GR754" i="5"/>
  <c r="IV772" i="5"/>
  <c r="GW722" i="5"/>
  <c r="CR543" i="5"/>
  <c r="CR1151" i="5" s="1"/>
  <c r="IK829" i="5"/>
  <c r="ER993" i="5"/>
  <c r="ER856" i="5"/>
  <c r="ER992" i="5" s="1"/>
  <c r="Y1661" i="2"/>
  <c r="Y1660" i="2" s="1"/>
  <c r="CV1068" i="5"/>
  <c r="DR1078" i="5"/>
  <c r="DJ1078" i="5"/>
  <c r="DJ1073" i="5" s="1"/>
  <c r="DL492" i="5"/>
  <c r="EF492" i="5"/>
  <c r="DF514" i="5"/>
  <c r="CE529" i="5"/>
  <c r="CE1148" i="5" s="1"/>
  <c r="DS529" i="5"/>
  <c r="DS1148" i="5" s="1"/>
  <c r="CV523" i="5"/>
  <c r="CO523" i="5"/>
  <c r="CS492" i="5"/>
  <c r="DM492" i="5"/>
  <c r="DM1139" i="5" s="1"/>
  <c r="EG492" i="5"/>
  <c r="EG1139" i="5" s="1"/>
  <c r="HZ509" i="5"/>
  <c r="I45" i="7" s="1"/>
  <c r="K45" i="7" s="1"/>
  <c r="O503" i="5"/>
  <c r="O1141" i="5" s="1"/>
  <c r="EN529" i="5"/>
  <c r="EN1148" i="5" s="1"/>
  <c r="CS468" i="5"/>
  <c r="CS475" i="5"/>
  <c r="DZ485" i="5"/>
  <c r="DZ1137" i="5" s="1"/>
  <c r="DA529" i="5"/>
  <c r="DA1148" i="5" s="1"/>
  <c r="FO993" i="5"/>
  <c r="FO856" i="5"/>
  <c r="FO992" i="5" s="1"/>
  <c r="ET667" i="5"/>
  <c r="ET976" i="5" s="1"/>
  <c r="HQ709" i="5"/>
  <c r="CL707" i="5"/>
  <c r="CL977" i="5" s="1"/>
  <c r="EZ718" i="5"/>
  <c r="IH719" i="5"/>
  <c r="AI988" i="5"/>
  <c r="AI817" i="5"/>
  <c r="AI986" i="5" s="1"/>
  <c r="EB993" i="5"/>
  <c r="EB856" i="5"/>
  <c r="EB992" i="5" s="1"/>
  <c r="HR1093" i="5"/>
  <c r="D1685" i="2"/>
  <c r="GK389" i="5"/>
  <c r="GK780" i="5"/>
  <c r="GK754" i="5" s="1"/>
  <c r="DO730" i="5"/>
  <c r="DO981" i="5" s="1"/>
  <c r="FC730" i="5"/>
  <c r="FC981" i="5" s="1"/>
  <c r="IE733" i="5"/>
  <c r="HV736" i="5"/>
  <c r="FO730" i="5"/>
  <c r="HW738" i="5"/>
  <c r="IF738" i="5"/>
  <c r="HS739" i="5"/>
  <c r="HW749" i="5"/>
  <c r="EA754" i="5"/>
  <c r="EA982" i="5" s="1"/>
  <c r="EU754" i="5"/>
  <c r="EU982" i="5" s="1"/>
  <c r="IG790" i="5"/>
  <c r="AD1104" i="2" s="1"/>
  <c r="AD638" i="2" s="1"/>
  <c r="II795" i="5"/>
  <c r="DH730" i="5"/>
  <c r="DH981" i="5" s="1"/>
  <c r="CY1075" i="5"/>
  <c r="DS1075" i="5"/>
  <c r="IR723" i="5"/>
  <c r="HT614" i="5"/>
  <c r="C141" i="7" s="1"/>
  <c r="HW789" i="5"/>
  <c r="HS540" i="5"/>
  <c r="IF542" i="5"/>
  <c r="O74" i="7" s="1"/>
  <c r="CP645" i="5"/>
  <c r="DE585" i="5"/>
  <c r="DE584" i="5" s="1"/>
  <c r="CT611" i="5"/>
  <c r="CT610" i="5" s="1"/>
  <c r="CT1156" i="5" s="1"/>
  <c r="HQ714" i="5"/>
  <c r="EJ718" i="5"/>
  <c r="FF730" i="5"/>
  <c r="FF981" i="5" s="1"/>
  <c r="IP889" i="5"/>
  <c r="AG1210" i="2" s="1"/>
  <c r="CT598" i="5"/>
  <c r="CT1155" i="5" s="1"/>
  <c r="HZ562" i="5"/>
  <c r="I93" i="7" s="1"/>
  <c r="IH682" i="5"/>
  <c r="HY683" i="5"/>
  <c r="HW689" i="5"/>
  <c r="HY693" i="5"/>
  <c r="KM898" i="5"/>
  <c r="KM893" i="5" s="1"/>
  <c r="KM996" i="5" s="1"/>
  <c r="IE474" i="5"/>
  <c r="N14" i="7" s="1"/>
  <c r="IA499" i="5"/>
  <c r="CU598" i="5"/>
  <c r="CU1155" i="5" s="1"/>
  <c r="IF588" i="5"/>
  <c r="O117" i="7" s="1"/>
  <c r="ER722" i="5"/>
  <c r="AB1589" i="2"/>
  <c r="ID859" i="5"/>
  <c r="AC1176" i="2" s="1"/>
  <c r="IM670" i="5"/>
  <c r="AF992" i="2" s="1"/>
  <c r="IC673" i="5"/>
  <c r="EC667" i="5"/>
  <c r="EC976" i="5" s="1"/>
  <c r="HQ829" i="5"/>
  <c r="IF829" i="5"/>
  <c r="IF831" i="5"/>
  <c r="IB832" i="5"/>
  <c r="EO929" i="5"/>
  <c r="EO928" i="5" s="1"/>
  <c r="EO920" i="5" s="1"/>
  <c r="FI929" i="5"/>
  <c r="FI928" i="5" s="1"/>
  <c r="FI920" i="5" s="1"/>
  <c r="FI997" i="5" s="1"/>
  <c r="IS885" i="5"/>
  <c r="AH1204" i="2" s="1"/>
  <c r="IS713" i="5"/>
  <c r="AH1035" i="2" s="1"/>
  <c r="IS687" i="5"/>
  <c r="AH1009" i="2" s="1"/>
  <c r="GI718" i="5"/>
  <c r="IV752" i="5"/>
  <c r="AI1074" i="2" s="1"/>
  <c r="HY680" i="5"/>
  <c r="AG1625" i="2"/>
  <c r="IS901" i="5"/>
  <c r="AH1222" i="2" s="1"/>
  <c r="IT689" i="5"/>
  <c r="IU743" i="5"/>
  <c r="HX13" i="5"/>
  <c r="Z1138" i="5"/>
  <c r="Z631" i="5"/>
  <c r="CE550" i="5"/>
  <c r="DT598" i="5"/>
  <c r="DT1155" i="5" s="1"/>
  <c r="CH707" i="5"/>
  <c r="CH977" i="5" s="1"/>
  <c r="DB707" i="5"/>
  <c r="DB977" i="5" s="1"/>
  <c r="DV707" i="5"/>
  <c r="DV977" i="5" s="1"/>
  <c r="EP707" i="5"/>
  <c r="EP977" i="5" s="1"/>
  <c r="FJ707" i="5"/>
  <c r="HP711" i="5"/>
  <c r="IE711" i="5"/>
  <c r="HT713" i="5"/>
  <c r="HY715" i="5"/>
  <c r="FO718" i="5"/>
  <c r="W717" i="5"/>
  <c r="AQ717" i="5"/>
  <c r="AQ666" i="5" s="1"/>
  <c r="BK717" i="5"/>
  <c r="BK978" i="5" s="1"/>
  <c r="IC723" i="5"/>
  <c r="FA979" i="5"/>
  <c r="DI980" i="5"/>
  <c r="EW818" i="5"/>
  <c r="DI730" i="5"/>
  <c r="DI981" i="5" s="1"/>
  <c r="EW730" i="5"/>
  <c r="EW981" i="5" s="1"/>
  <c r="H988" i="5"/>
  <c r="H817" i="5"/>
  <c r="H986" i="5" s="1"/>
  <c r="AA988" i="5"/>
  <c r="AA817" i="5"/>
  <c r="AA986" i="5" s="1"/>
  <c r="AF993" i="5"/>
  <c r="AF856" i="5"/>
  <c r="AF992" i="5" s="1"/>
  <c r="FD993" i="5"/>
  <c r="FD856" i="5"/>
  <c r="FD992" i="5" s="1"/>
  <c r="AF1625" i="2"/>
  <c r="CS523" i="5"/>
  <c r="DR485" i="5"/>
  <c r="CJ529" i="5"/>
  <c r="CJ1148" i="5" s="1"/>
  <c r="DD529" i="5"/>
  <c r="DD1148" i="5" s="1"/>
  <c r="HZ533" i="5"/>
  <c r="I65" i="7" s="1"/>
  <c r="K65" i="7" s="1"/>
  <c r="HV553" i="5"/>
  <c r="CF550" i="5"/>
  <c r="DT550" i="5"/>
  <c r="D87" i="7"/>
  <c r="E87" i="7" s="1"/>
  <c r="IF559" i="5"/>
  <c r="O90" i="7" s="1"/>
  <c r="DY898" i="5"/>
  <c r="DY893" i="5" s="1"/>
  <c r="AG1624" i="2"/>
  <c r="DF1068" i="5"/>
  <c r="HX43" i="5"/>
  <c r="HX55" i="5"/>
  <c r="HX71" i="5"/>
  <c r="HX147" i="5"/>
  <c r="CT523" i="5"/>
  <c r="DT485" i="5"/>
  <c r="CK529" i="5"/>
  <c r="CK1148" i="5" s="1"/>
  <c r="DE529" i="5"/>
  <c r="DE1148" i="5" s="1"/>
  <c r="K71" i="7"/>
  <c r="HZ554" i="5"/>
  <c r="I86" i="7" s="1"/>
  <c r="K86" i="7" s="1"/>
  <c r="K88" i="7"/>
  <c r="HY564" i="5"/>
  <c r="G94" i="7" s="1"/>
  <c r="DU822" i="5"/>
  <c r="DU988" i="5" s="1"/>
  <c r="DK929" i="5"/>
  <c r="DK928" i="5" s="1"/>
  <c r="DK920" i="5" s="1"/>
  <c r="DK997" i="5" s="1"/>
  <c r="DQ1087" i="5"/>
  <c r="DQ1083" i="5" s="1"/>
  <c r="IQ906" i="5"/>
  <c r="IF530" i="5"/>
  <c r="O62" i="7" s="1"/>
  <c r="DN529" i="5"/>
  <c r="DN1148" i="5" s="1"/>
  <c r="FG993" i="5"/>
  <c r="FG856" i="5"/>
  <c r="FG992" i="5" s="1"/>
  <c r="HS788" i="5"/>
  <c r="IC788" i="5"/>
  <c r="GU856" i="5"/>
  <c r="GL818" i="5"/>
  <c r="DP575" i="5"/>
  <c r="DP644" i="5" s="1"/>
  <c r="DP645" i="5"/>
  <c r="CR585" i="5"/>
  <c r="CR584" i="5" s="1"/>
  <c r="EF585" i="5"/>
  <c r="EF584" i="5" s="1"/>
  <c r="ET598" i="5"/>
  <c r="ET1155" i="5" s="1"/>
  <c r="IS711" i="5"/>
  <c r="AH1033" i="2" s="1"/>
  <c r="DR980" i="5"/>
  <c r="FF818" i="5"/>
  <c r="FF1151" i="5" s="1"/>
  <c r="CP722" i="5"/>
  <c r="HW723" i="5"/>
  <c r="EX722" i="5"/>
  <c r="DF980" i="5"/>
  <c r="HY726" i="5"/>
  <c r="IE726" i="5"/>
  <c r="HP727" i="5"/>
  <c r="HZ727" i="5"/>
  <c r="IE727" i="5"/>
  <c r="FI1139" i="5"/>
  <c r="HP728" i="5"/>
  <c r="HV728" i="5"/>
  <c r="HZ728" i="5"/>
  <c r="IE728" i="5"/>
  <c r="DD730" i="5"/>
  <c r="DD981" i="5" s="1"/>
  <c r="FI730" i="5"/>
  <c r="FI981" i="5" s="1"/>
  <c r="IB781" i="5"/>
  <c r="Y1588" i="2"/>
  <c r="Y1587" i="2" s="1"/>
  <c r="HR859" i="5"/>
  <c r="Y1176" i="2" s="1"/>
  <c r="ED898" i="5"/>
  <c r="ED893" i="5" s="1"/>
  <c r="DH1091" i="5"/>
  <c r="H38" i="7"/>
  <c r="E65" i="7"/>
  <c r="IS772" i="5"/>
  <c r="IS761" i="5"/>
  <c r="AH1083" i="2" s="1"/>
  <c r="AH1319" i="2" s="1"/>
  <c r="AH1406" i="2" s="1"/>
  <c r="IS807" i="5"/>
  <c r="AH1123" i="2" s="1"/>
  <c r="IS937" i="5"/>
  <c r="AH1257" i="2" s="1"/>
  <c r="IS879" i="5"/>
  <c r="AH1198" i="2" s="1"/>
  <c r="GW899" i="5"/>
  <c r="CX585" i="5"/>
  <c r="CX584" i="5" s="1"/>
  <c r="DR585" i="5"/>
  <c r="DR584" i="5" s="1"/>
  <c r="E123" i="7"/>
  <c r="HZ678" i="5"/>
  <c r="HV679" i="5"/>
  <c r="HV689" i="5"/>
  <c r="IK689" i="5"/>
  <c r="HZ710" i="5"/>
  <c r="HP712" i="5"/>
  <c r="IE712" i="5"/>
  <c r="HT714" i="5"/>
  <c r="HY716" i="5"/>
  <c r="BF717" i="5"/>
  <c r="BF978" i="5" s="1"/>
  <c r="BZ717" i="5"/>
  <c r="CT722" i="5"/>
  <c r="CP818" i="5"/>
  <c r="CP987" i="5" s="1"/>
  <c r="DJ980" i="5"/>
  <c r="HQ727" i="5"/>
  <c r="AE1637" i="2"/>
  <c r="AE1635" i="2" s="1"/>
  <c r="IM912" i="5"/>
  <c r="AF1233" i="2" s="1"/>
  <c r="AF1638" i="2" s="1"/>
  <c r="IS819" i="5"/>
  <c r="AH1135" i="2" s="1"/>
  <c r="AH1332" i="2" s="1"/>
  <c r="AH1419" i="2" s="1"/>
  <c r="IS832" i="5"/>
  <c r="AH1148" i="2" s="1"/>
  <c r="IS849" i="5"/>
  <c r="IS889" i="5"/>
  <c r="AH1210" i="2" s="1"/>
  <c r="IV806" i="5"/>
  <c r="AI1122" i="2" s="1"/>
  <c r="W467" i="5"/>
  <c r="W465" i="5" s="1"/>
  <c r="W628" i="5"/>
  <c r="DT468" i="5"/>
  <c r="EI468" i="5"/>
  <c r="IF478" i="5"/>
  <c r="O18" i="7" s="1"/>
  <c r="EJ514" i="5"/>
  <c r="DP529" i="5"/>
  <c r="DP1148" i="5" s="1"/>
  <c r="IF533" i="5"/>
  <c r="O65" i="7" s="1"/>
  <c r="HT597" i="5"/>
  <c r="CI611" i="5"/>
  <c r="CI610" i="5" s="1"/>
  <c r="CI1156" i="5" s="1"/>
  <c r="DW611" i="5"/>
  <c r="DW610" i="5" s="1"/>
  <c r="S717" i="5"/>
  <c r="S978" i="5" s="1"/>
  <c r="AS717" i="5"/>
  <c r="KM717" i="5"/>
  <c r="KM978" i="5" s="1"/>
  <c r="CU979" i="5"/>
  <c r="DO979" i="5"/>
  <c r="EI979" i="5"/>
  <c r="CQ818" i="5"/>
  <c r="EE818" i="5"/>
  <c r="EY1140" i="5"/>
  <c r="FS818" i="5"/>
  <c r="AE1617" i="2"/>
  <c r="AE1593" i="2"/>
  <c r="DK893" i="5"/>
  <c r="DK996" i="5" s="1"/>
  <c r="GF987" i="5"/>
  <c r="IV777" i="5"/>
  <c r="AI1092" i="2" s="1"/>
  <c r="DI529" i="5"/>
  <c r="DI1148" i="5" s="1"/>
  <c r="CW529" i="5"/>
  <c r="CW1148" i="5" s="1"/>
  <c r="DQ529" i="5"/>
  <c r="DQ1148" i="5" s="1"/>
  <c r="CJ611" i="5"/>
  <c r="CJ610" i="5" s="1"/>
  <c r="CJ1156" i="5" s="1"/>
  <c r="DD611" i="5"/>
  <c r="DD610" i="5" s="1"/>
  <c r="DD1156" i="5" s="1"/>
  <c r="DX611" i="5"/>
  <c r="DX610" i="5" s="1"/>
  <c r="ER611" i="5"/>
  <c r="ER610" i="5" s="1"/>
  <c r="DY707" i="5"/>
  <c r="DY977" i="5" s="1"/>
  <c r="ES707" i="5"/>
  <c r="ES977" i="5" s="1"/>
  <c r="HV710" i="5"/>
  <c r="HZ712" i="5"/>
  <c r="EZ730" i="5"/>
  <c r="EZ981" i="5" s="1"/>
  <c r="HT938" i="5"/>
  <c r="II938" i="5"/>
  <c r="HX11" i="5"/>
  <c r="HX19" i="5"/>
  <c r="HX35" i="5"/>
  <c r="HX54" i="5"/>
  <c r="HX59" i="5"/>
  <c r="HX64" i="5"/>
  <c r="HX102" i="5"/>
  <c r="HX132" i="5"/>
  <c r="HX165" i="5"/>
  <c r="HX202" i="5"/>
  <c r="HX238" i="5"/>
  <c r="CP523" i="5"/>
  <c r="K37" i="7"/>
  <c r="HT507" i="5"/>
  <c r="C43" i="7" s="1"/>
  <c r="E43" i="7" s="1"/>
  <c r="HY507" i="5"/>
  <c r="G43" i="7" s="1"/>
  <c r="H43" i="7" s="1"/>
  <c r="K503" i="5"/>
  <c r="IF552" i="5"/>
  <c r="O84" i="7" s="1"/>
  <c r="CK611" i="5"/>
  <c r="CK610" i="5" s="1"/>
  <c r="CK1156" i="5" s="1"/>
  <c r="DE611" i="5"/>
  <c r="DE610" i="5" s="1"/>
  <c r="DE1156" i="5" s="1"/>
  <c r="DY611" i="5"/>
  <c r="DY610" i="5" s="1"/>
  <c r="ES611" i="5"/>
  <c r="ES610" i="5" s="1"/>
  <c r="EW611" i="5"/>
  <c r="EW610" i="5" s="1"/>
  <c r="EW1156" i="5" s="1"/>
  <c r="HW614" i="5"/>
  <c r="HW1113" i="5" s="1"/>
  <c r="AP1120" i="5"/>
  <c r="FG1147" i="5"/>
  <c r="HQ928" i="5"/>
  <c r="IP931" i="5"/>
  <c r="AG1250" i="2" s="1"/>
  <c r="HR935" i="5"/>
  <c r="Y1255" i="2" s="1"/>
  <c r="X1551" i="2" s="1"/>
  <c r="CZ1084" i="5"/>
  <c r="H108" i="7"/>
  <c r="IU704" i="5"/>
  <c r="IV746" i="5"/>
  <c r="AI1068" i="2" s="1"/>
  <c r="AJ1068" i="2" s="1"/>
  <c r="IY746" i="5" s="1"/>
  <c r="IX746" i="5" s="1"/>
  <c r="GX667" i="5"/>
  <c r="GX1133" i="5" s="1"/>
  <c r="HT716" i="5"/>
  <c r="II716" i="5"/>
  <c r="CP718" i="5"/>
  <c r="DJ718" i="5"/>
  <c r="ED718" i="5"/>
  <c r="EX718" i="5"/>
  <c r="F717" i="5"/>
  <c r="Z717" i="5"/>
  <c r="Z978" i="5" s="1"/>
  <c r="AT717" i="5"/>
  <c r="AT978" i="5" s="1"/>
  <c r="BN717" i="5"/>
  <c r="BN978" i="5" s="1"/>
  <c r="IP875" i="5"/>
  <c r="AG1192" i="2" s="1"/>
  <c r="FU898" i="5"/>
  <c r="FU893" i="5" s="1"/>
  <c r="FU996" i="5" s="1"/>
  <c r="CT1087" i="5"/>
  <c r="CT1083" i="5" s="1"/>
  <c r="DM1087" i="5"/>
  <c r="DM1083" i="5" s="1"/>
  <c r="DC1091" i="5"/>
  <c r="E67" i="7"/>
  <c r="H101" i="7"/>
  <c r="H113" i="7"/>
  <c r="IS726" i="5"/>
  <c r="AH1048" i="2" s="1"/>
  <c r="IV865" i="5"/>
  <c r="AI1182" i="2" s="1"/>
  <c r="CS485" i="5"/>
  <c r="DN485" i="5"/>
  <c r="HY488" i="5"/>
  <c r="G27" i="7" s="1"/>
  <c r="HV530" i="5"/>
  <c r="D62" i="7" s="1"/>
  <c r="HZ530" i="5"/>
  <c r="I62" i="7" s="1"/>
  <c r="K62" i="7" s="1"/>
  <c r="DK529" i="5"/>
  <c r="DK1148" i="5" s="1"/>
  <c r="E71" i="7"/>
  <c r="HX557" i="5"/>
  <c r="AA776" i="2" s="1"/>
  <c r="CJ550" i="5"/>
  <c r="DD550" i="5"/>
  <c r="DH550" i="5"/>
  <c r="EB550" i="5"/>
  <c r="EB1152" i="5" s="1"/>
  <c r="EV550" i="5"/>
  <c r="EV1152" i="5" s="1"/>
  <c r="HZ597" i="5"/>
  <c r="EL598" i="5"/>
  <c r="EL1155" i="5" s="1"/>
  <c r="IF608" i="5"/>
  <c r="O135" i="7" s="1"/>
  <c r="EM598" i="5"/>
  <c r="EM1155" i="5" s="1"/>
  <c r="CN611" i="5"/>
  <c r="CN610" i="5" s="1"/>
  <c r="CN1156" i="5" s="1"/>
  <c r="DH611" i="5"/>
  <c r="DH610" i="5" s="1"/>
  <c r="DH1156" i="5" s="1"/>
  <c r="EB611" i="5"/>
  <c r="EB610" i="5" s="1"/>
  <c r="EV611" i="5"/>
  <c r="EV610" i="5" s="1"/>
  <c r="EV596" i="5" s="1"/>
  <c r="EV1154" i="5" s="1"/>
  <c r="EF611" i="5"/>
  <c r="EF610" i="5" s="1"/>
  <c r="EF596" i="5" s="1"/>
  <c r="EF1154" i="5" s="1"/>
  <c r="IG861" i="5"/>
  <c r="AD1178" i="2" s="1"/>
  <c r="IP917" i="5"/>
  <c r="AG1236" i="2" s="1"/>
  <c r="HT919" i="5"/>
  <c r="CU1087" i="5"/>
  <c r="CU1083" i="5" s="1"/>
  <c r="CZ1087" i="5"/>
  <c r="CZ1083" i="5" s="1"/>
  <c r="DT1087" i="5"/>
  <c r="DT1083" i="5" s="1"/>
  <c r="DD1091" i="5"/>
  <c r="K101" i="7"/>
  <c r="K113" i="7"/>
  <c r="K123" i="7"/>
  <c r="H131" i="7"/>
  <c r="E134" i="7"/>
  <c r="IS837" i="5"/>
  <c r="IS934" i="5"/>
  <c r="AH1254" i="2" s="1"/>
  <c r="IS919" i="5"/>
  <c r="AH1238" i="2" s="1"/>
  <c r="IS905" i="5"/>
  <c r="AH1226" i="2" s="1"/>
  <c r="IS874" i="5"/>
  <c r="AH1191" i="2" s="1"/>
  <c r="IS862" i="5"/>
  <c r="AH1179" i="2" s="1"/>
  <c r="IS749" i="5"/>
  <c r="AH1071" i="2" s="1"/>
  <c r="AH1312" i="2" s="1"/>
  <c r="AH1399" i="2" s="1"/>
  <c r="IS725" i="5"/>
  <c r="AH1047" i="2" s="1"/>
  <c r="GT718" i="5"/>
  <c r="IV765" i="5"/>
  <c r="AI1087" i="2" s="1"/>
  <c r="IV830" i="5"/>
  <c r="AI1146" i="2" s="1"/>
  <c r="IV886" i="5"/>
  <c r="AI1207" i="2" s="1"/>
  <c r="IT906" i="5"/>
  <c r="IT697" i="5"/>
  <c r="IP900" i="5"/>
  <c r="AG1221" i="2" s="1"/>
  <c r="DP898" i="5"/>
  <c r="DP893" i="5" s="1"/>
  <c r="DP996" i="5" s="1"/>
  <c r="EJ898" i="5"/>
  <c r="EJ893" i="5" s="1"/>
  <c r="EJ996" i="5" s="1"/>
  <c r="CW929" i="5"/>
  <c r="CW928" i="5" s="1"/>
  <c r="DQ929" i="5"/>
  <c r="DQ928" i="5" s="1"/>
  <c r="DQ920" i="5" s="1"/>
  <c r="FE929" i="5"/>
  <c r="FE928" i="5" s="1"/>
  <c r="CR929" i="5"/>
  <c r="CR928" i="5" s="1"/>
  <c r="CR920" i="5" s="1"/>
  <c r="CR997" i="5" s="1"/>
  <c r="FT929" i="5"/>
  <c r="FT928" i="5" s="1"/>
  <c r="FT920" i="5" s="1"/>
  <c r="FT997" i="5" s="1"/>
  <c r="DS1078" i="5"/>
  <c r="CQ1083" i="5"/>
  <c r="CW1087" i="5"/>
  <c r="CW1083" i="5" s="1"/>
  <c r="DO1087" i="5"/>
  <c r="DO1083" i="5" s="1"/>
  <c r="DF1091" i="5"/>
  <c r="H9" i="7"/>
  <c r="K58" i="7"/>
  <c r="E119" i="7"/>
  <c r="IS748" i="5"/>
  <c r="AH1070" i="2" s="1"/>
  <c r="IS708" i="5"/>
  <c r="AH1030" i="2" s="1"/>
  <c r="IV688" i="5"/>
  <c r="AI1010" i="2" s="1"/>
  <c r="IV794" i="5"/>
  <c r="AI1110" i="2" s="1"/>
  <c r="IV871" i="5"/>
  <c r="AI1188" i="2" s="1"/>
  <c r="HS564" i="5"/>
  <c r="DK550" i="5"/>
  <c r="CP585" i="5"/>
  <c r="CP584" i="5" s="1"/>
  <c r="ED585" i="5"/>
  <c r="ED584" i="5" s="1"/>
  <c r="ED1153" i="5" s="1"/>
  <c r="CE610" i="5"/>
  <c r="CE1156" i="5" s="1"/>
  <c r="IP680" i="5"/>
  <c r="AG1002" i="2" s="1"/>
  <c r="AG454" i="2" s="1"/>
  <c r="HS696" i="5"/>
  <c r="IB696" i="5"/>
  <c r="IH696" i="5"/>
  <c r="DY667" i="5"/>
  <c r="DY976" i="5" s="1"/>
  <c r="IP754" i="5"/>
  <c r="DF754" i="5"/>
  <c r="DF982" i="5" s="1"/>
  <c r="DZ754" i="5"/>
  <c r="DZ982" i="5" s="1"/>
  <c r="DM754" i="5"/>
  <c r="DM982" i="5" s="1"/>
  <c r="FE898" i="5"/>
  <c r="DM929" i="5"/>
  <c r="DM928" i="5" s="1"/>
  <c r="DM920" i="5" s="1"/>
  <c r="DM997" i="5" s="1"/>
  <c r="FU929" i="5"/>
  <c r="FU928" i="5" s="1"/>
  <c r="DO1078" i="5"/>
  <c r="DT1078" i="5"/>
  <c r="DE1084" i="5"/>
  <c r="DL1084" i="5"/>
  <c r="CX1087" i="5"/>
  <c r="CX1083" i="5" s="1"/>
  <c r="DP1087" i="5"/>
  <c r="DP1083" i="5" s="1"/>
  <c r="DG1091" i="5"/>
  <c r="DM1091" i="5"/>
  <c r="E111" i="7"/>
  <c r="GL857" i="5"/>
  <c r="GL856" i="5" s="1"/>
  <c r="IV767" i="5"/>
  <c r="AI1089" i="2" s="1"/>
  <c r="IV862" i="5"/>
  <c r="AI1179" i="2" s="1"/>
  <c r="IV867" i="5"/>
  <c r="AI1184" i="2" s="1"/>
  <c r="IV872" i="5"/>
  <c r="AI1189" i="2" s="1"/>
  <c r="GW818" i="5"/>
  <c r="FK1147" i="5"/>
  <c r="FK1142" i="5" s="1"/>
  <c r="IP793" i="5"/>
  <c r="AG1109" i="2" s="1"/>
  <c r="AG1323" i="2" s="1"/>
  <c r="AG1410" i="2" s="1"/>
  <c r="FB1147" i="5"/>
  <c r="CK898" i="5"/>
  <c r="CY1068" i="5"/>
  <c r="CT1078" i="5"/>
  <c r="CW1091" i="5"/>
  <c r="GZ856" i="5"/>
  <c r="IT692" i="5"/>
  <c r="IV727" i="5"/>
  <c r="AI1049" i="2" s="1"/>
  <c r="AJ1049" i="2" s="1"/>
  <c r="HY696" i="5"/>
  <c r="HY697" i="5"/>
  <c r="HV702" i="5"/>
  <c r="IK702" i="5"/>
  <c r="HQ703" i="5"/>
  <c r="IF703" i="5"/>
  <c r="IB704" i="5"/>
  <c r="HW705" i="5"/>
  <c r="IL705" i="5"/>
  <c r="DS979" i="5"/>
  <c r="FG1139" i="5"/>
  <c r="FM722" i="5"/>
  <c r="IE789" i="5"/>
  <c r="FL1147" i="5"/>
  <c r="FL1142" i="5" s="1"/>
  <c r="IA790" i="5"/>
  <c r="AB1104" i="2" s="1"/>
  <c r="AB638" i="2" s="1"/>
  <c r="DO754" i="5"/>
  <c r="DO982" i="5" s="1"/>
  <c r="EI754" i="5"/>
  <c r="EI982" i="5" s="1"/>
  <c r="FC1147" i="5"/>
  <c r="HT813" i="5"/>
  <c r="E6" i="7"/>
  <c r="E76" i="7"/>
  <c r="H100" i="7"/>
  <c r="E104" i="7"/>
  <c r="H128" i="7"/>
  <c r="IS927" i="5"/>
  <c r="AH1246" i="2" s="1"/>
  <c r="IS897" i="5"/>
  <c r="AH1218" i="2" s="1"/>
  <c r="IS869" i="5"/>
  <c r="AH1186" i="2" s="1"/>
  <c r="GY856" i="5"/>
  <c r="IS694" i="5"/>
  <c r="AH1016" i="2" s="1"/>
  <c r="GK818" i="5"/>
  <c r="IV896" i="5"/>
  <c r="AI1217" i="2" s="1"/>
  <c r="HX58" i="5"/>
  <c r="HX127" i="5"/>
  <c r="HX152" i="5"/>
  <c r="HX164" i="5"/>
  <c r="HX201" i="5"/>
  <c r="HX244" i="5"/>
  <c r="CM523" i="5"/>
  <c r="DG523" i="5"/>
  <c r="DG521" i="5" s="1"/>
  <c r="EU523" i="5"/>
  <c r="AV503" i="5"/>
  <c r="HT595" i="5"/>
  <c r="C124" i="7" s="1"/>
  <c r="K131" i="7"/>
  <c r="DR667" i="5"/>
  <c r="DR976" i="5" s="1"/>
  <c r="EL667" i="5"/>
  <c r="EL976" i="5" s="1"/>
  <c r="IE682" i="5"/>
  <c r="HV684" i="5"/>
  <c r="HY689" i="5"/>
  <c r="II689" i="5"/>
  <c r="IE690" i="5"/>
  <c r="HP691" i="5"/>
  <c r="IK693" i="5"/>
  <c r="DB754" i="5"/>
  <c r="DB982" i="5" s="1"/>
  <c r="FJ754" i="5"/>
  <c r="FJ982" i="5" s="1"/>
  <c r="K128" i="7"/>
  <c r="GT920" i="5"/>
  <c r="GT1153" i="5" s="1"/>
  <c r="IQ813" i="5"/>
  <c r="CW475" i="5"/>
  <c r="HY476" i="5"/>
  <c r="G16" i="7" s="1"/>
  <c r="EK475" i="5"/>
  <c r="CF475" i="5"/>
  <c r="CZ475" i="5"/>
  <c r="HY477" i="5"/>
  <c r="G17" i="7" s="1"/>
  <c r="EN475" i="5"/>
  <c r="CN523" i="5"/>
  <c r="EX492" i="5"/>
  <c r="EX491" i="5" s="1"/>
  <c r="EX1138" i="5" s="1"/>
  <c r="DE492" i="5"/>
  <c r="DE1139" i="5" s="1"/>
  <c r="HZ494" i="5"/>
  <c r="I31" i="7" s="1"/>
  <c r="K31" i="7" s="1"/>
  <c r="ES492" i="5"/>
  <c r="ES1139" i="5" s="1"/>
  <c r="DS543" i="5"/>
  <c r="HW552" i="5"/>
  <c r="F84" i="7" s="1"/>
  <c r="EQ667" i="5"/>
  <c r="EQ976" i="5" s="1"/>
  <c r="HT698" i="5"/>
  <c r="II698" i="5"/>
  <c r="HQ702" i="5"/>
  <c r="IF702" i="5"/>
  <c r="HS705" i="5"/>
  <c r="HT755" i="5"/>
  <c r="DS754" i="5"/>
  <c r="DS982" i="5" s="1"/>
  <c r="AE1616" i="2"/>
  <c r="IP888" i="5"/>
  <c r="AG1209" i="2" s="1"/>
  <c r="ID890" i="5"/>
  <c r="ID994" i="5" s="1"/>
  <c r="EW898" i="5"/>
  <c r="EW893" i="5" s="1"/>
  <c r="EW996" i="5" s="1"/>
  <c r="CR1075" i="5"/>
  <c r="CY1084" i="5"/>
  <c r="IS829" i="5"/>
  <c r="AH1145" i="2" s="1"/>
  <c r="IS846" i="5"/>
  <c r="IV919" i="5"/>
  <c r="AI1238" i="2" s="1"/>
  <c r="IV917" i="5"/>
  <c r="AI1236" i="2" s="1"/>
  <c r="DK645" i="5"/>
  <c r="DK575" i="5"/>
  <c r="DK644" i="5" s="1"/>
  <c r="I1153" i="5"/>
  <c r="I651" i="5"/>
  <c r="AB1153" i="5"/>
  <c r="AB651" i="5"/>
  <c r="BK1153" i="5"/>
  <c r="BK651" i="5"/>
  <c r="D136" i="7"/>
  <c r="E136" i="7" s="1"/>
  <c r="HX609" i="5"/>
  <c r="AA842" i="2" s="1"/>
  <c r="AL976" i="5"/>
  <c r="IV935" i="5"/>
  <c r="AI1255" i="2" s="1"/>
  <c r="AN1149" i="5"/>
  <c r="AN638" i="5"/>
  <c r="AC1153" i="5"/>
  <c r="AC651" i="5"/>
  <c r="AI1620" i="2"/>
  <c r="AI1588" i="2"/>
  <c r="IF531" i="5"/>
  <c r="O63" i="7" s="1"/>
  <c r="HW532" i="5"/>
  <c r="F64" i="7" s="1"/>
  <c r="AO1149" i="5"/>
  <c r="AO503" i="5"/>
  <c r="BH1149" i="5"/>
  <c r="BH638" i="5"/>
  <c r="BH503" i="5"/>
  <c r="BH573" i="5" s="1"/>
  <c r="CK1150" i="5"/>
  <c r="CZ600" i="5"/>
  <c r="HT561" i="5"/>
  <c r="C92" i="7" s="1"/>
  <c r="CS645" i="5"/>
  <c r="CS575" i="5"/>
  <c r="CS644" i="5" s="1"/>
  <c r="U976" i="5"/>
  <c r="AT977" i="5"/>
  <c r="BK977" i="5"/>
  <c r="EO993" i="5"/>
  <c r="EO856" i="5"/>
  <c r="EO992" i="5" s="1"/>
  <c r="IE857" i="5"/>
  <c r="AC1577" i="2" s="1"/>
  <c r="FI993" i="5"/>
  <c r="FI856" i="5"/>
  <c r="FI992" i="5" s="1"/>
  <c r="AD1589" i="2"/>
  <c r="AD1587" i="2" s="1"/>
  <c r="AD1696" i="2" s="1"/>
  <c r="IH857" i="5"/>
  <c r="IT822" i="5"/>
  <c r="U1149" i="5"/>
  <c r="U638" i="5"/>
  <c r="CR645" i="5"/>
  <c r="CR575" i="5"/>
  <c r="CR644" i="5" s="1"/>
  <c r="BE1142" i="5"/>
  <c r="BE503" i="5"/>
  <c r="BE568" i="5"/>
  <c r="BE567" i="5"/>
  <c r="BE636" i="5"/>
  <c r="BE569" i="5"/>
  <c r="G59" i="7"/>
  <c r="H59" i="7" s="1"/>
  <c r="HZ525" i="5"/>
  <c r="I59" i="7" s="1"/>
  <c r="HS532" i="5"/>
  <c r="Z976" i="2" s="1"/>
  <c r="CQ529" i="5"/>
  <c r="CQ1148" i="5" s="1"/>
  <c r="W1149" i="5"/>
  <c r="W638" i="5"/>
  <c r="DQ600" i="5"/>
  <c r="DQ598" i="5" s="1"/>
  <c r="DQ1155" i="5" s="1"/>
  <c r="DQ550" i="5"/>
  <c r="N123" i="7"/>
  <c r="IG594" i="5"/>
  <c r="P123" i="7" s="1"/>
  <c r="DC655" i="5"/>
  <c r="DC598" i="5"/>
  <c r="DC1155" i="5" s="1"/>
  <c r="CX598" i="5"/>
  <c r="CX1155" i="5" s="1"/>
  <c r="HU601" i="5"/>
  <c r="HT601" i="5"/>
  <c r="C130" i="7" s="1"/>
  <c r="N134" i="7"/>
  <c r="IG607" i="5"/>
  <c r="P134" i="7" s="1"/>
  <c r="CR611" i="5"/>
  <c r="CR610" i="5" s="1"/>
  <c r="CR1156" i="5" s="1"/>
  <c r="HU613" i="5"/>
  <c r="AV651" i="5"/>
  <c r="BF636" i="5"/>
  <c r="BG1149" i="5"/>
  <c r="BG638" i="5"/>
  <c r="HS576" i="5"/>
  <c r="HS575" i="5" s="1"/>
  <c r="HS644" i="5" s="1"/>
  <c r="AP1142" i="5"/>
  <c r="AP636" i="5"/>
  <c r="AP503" i="5"/>
  <c r="AP567" i="5"/>
  <c r="AP568" i="5"/>
  <c r="AP569" i="5"/>
  <c r="AR503" i="5"/>
  <c r="AR1149" i="5"/>
  <c r="AR638" i="5"/>
  <c r="BK1149" i="5"/>
  <c r="BK638" i="5"/>
  <c r="CD503" i="5"/>
  <c r="CD1141" i="5" s="1"/>
  <c r="CD1149" i="5"/>
  <c r="CD638" i="5"/>
  <c r="CZ550" i="5"/>
  <c r="G88" i="7"/>
  <c r="H88" i="7" s="1"/>
  <c r="IA557" i="5"/>
  <c r="CL550" i="5"/>
  <c r="DZ550" i="5"/>
  <c r="DZ1152" i="5" s="1"/>
  <c r="ET550" i="5"/>
  <c r="ET1152" i="5" s="1"/>
  <c r="FP1148" i="5"/>
  <c r="IK813" i="5"/>
  <c r="FP754" i="5"/>
  <c r="FP982" i="5" s="1"/>
  <c r="CI920" i="5"/>
  <c r="HP928" i="5"/>
  <c r="BZ503" i="5"/>
  <c r="BZ1141" i="5" s="1"/>
  <c r="BZ1149" i="5"/>
  <c r="BZ638" i="5"/>
  <c r="IF562" i="5"/>
  <c r="O93" i="7" s="1"/>
  <c r="EW550" i="5"/>
  <c r="EW1152" i="5" s="1"/>
  <c r="DL645" i="5"/>
  <c r="DL575" i="5"/>
  <c r="DL644" i="5" s="1"/>
  <c r="J651" i="5"/>
  <c r="J1153" i="5"/>
  <c r="T997" i="5"/>
  <c r="T892" i="5"/>
  <c r="T995" i="5" s="1"/>
  <c r="GV722" i="5"/>
  <c r="CP529" i="5"/>
  <c r="CP1148" i="5" s="1"/>
  <c r="EX529" i="5"/>
  <c r="EX1148" i="5" s="1"/>
  <c r="ER550" i="5"/>
  <c r="ER1152" i="5" s="1"/>
  <c r="O37" i="7"/>
  <c r="IG501" i="5"/>
  <c r="P37" i="7" s="1"/>
  <c r="CL633" i="5"/>
  <c r="CL491" i="5"/>
  <c r="CL1138" i="5" s="1"/>
  <c r="DR633" i="5"/>
  <c r="DR543" i="5"/>
  <c r="DR1151" i="5" s="1"/>
  <c r="DR1140" i="5"/>
  <c r="EE1137" i="5"/>
  <c r="EV497" i="5"/>
  <c r="IF498" i="5"/>
  <c r="O34" i="7" s="1"/>
  <c r="CL529" i="5"/>
  <c r="CL1148" i="5" s="1"/>
  <c r="DF529" i="5"/>
  <c r="DF1148" i="5" s="1"/>
  <c r="DZ529" i="5"/>
  <c r="DZ1148" i="5" s="1"/>
  <c r="HW531" i="5"/>
  <c r="F63" i="7" s="1"/>
  <c r="DJ529" i="5"/>
  <c r="DJ1148" i="5" s="1"/>
  <c r="ED529" i="5"/>
  <c r="ED1148" i="5" s="1"/>
  <c r="G503" i="5"/>
  <c r="G1149" i="5"/>
  <c r="G638" i="5"/>
  <c r="Y638" i="5"/>
  <c r="Y503" i="5"/>
  <c r="DX550" i="5"/>
  <c r="DX1152" i="5" s="1"/>
  <c r="DC550" i="5"/>
  <c r="DC1152" i="5" s="1"/>
  <c r="HV552" i="5"/>
  <c r="D84" i="7" s="1"/>
  <c r="E84" i="7" s="1"/>
  <c r="CM550" i="5"/>
  <c r="DG550" i="5"/>
  <c r="EA550" i="5"/>
  <c r="EA1152" i="5" s="1"/>
  <c r="EU550" i="5"/>
  <c r="EU1152" i="5" s="1"/>
  <c r="EE550" i="5"/>
  <c r="EE1152" i="5" s="1"/>
  <c r="DW993" i="5"/>
  <c r="DW856" i="5"/>
  <c r="DW992" i="5" s="1"/>
  <c r="IV728" i="5"/>
  <c r="AI1050" i="2" s="1"/>
  <c r="AJ1050" i="2" s="1"/>
  <c r="IY728" i="5" s="1"/>
  <c r="IX728" i="5" s="1"/>
  <c r="CJ546" i="5"/>
  <c r="CH546" i="5"/>
  <c r="CH497" i="5"/>
  <c r="CH543" i="5" s="1"/>
  <c r="AR1142" i="5"/>
  <c r="AR636" i="5"/>
  <c r="CE1146" i="5"/>
  <c r="CE514" i="5"/>
  <c r="CY1146" i="5"/>
  <c r="HT518" i="5"/>
  <c r="C53" i="7" s="1"/>
  <c r="EK514" i="5"/>
  <c r="EK1146" i="5"/>
  <c r="U993" i="5"/>
  <c r="U856" i="5"/>
  <c r="U992" i="5" s="1"/>
  <c r="DO898" i="5"/>
  <c r="HY906" i="5"/>
  <c r="IH906" i="5"/>
  <c r="FC898" i="5"/>
  <c r="FC893" i="5" s="1"/>
  <c r="FC996" i="5" s="1"/>
  <c r="IO736" i="5"/>
  <c r="IP736" i="5" s="1"/>
  <c r="AG1058" i="2" s="1"/>
  <c r="EK929" i="5"/>
  <c r="EK928" i="5" s="1"/>
  <c r="EK920" i="5" s="1"/>
  <c r="IC930" i="5"/>
  <c r="EF929" i="5"/>
  <c r="EF928" i="5" s="1"/>
  <c r="EF920" i="5" s="1"/>
  <c r="EF997" i="5" s="1"/>
  <c r="IB935" i="5"/>
  <c r="CJ633" i="5"/>
  <c r="EI543" i="5"/>
  <c r="EI1151" i="5" s="1"/>
  <c r="I48" i="7"/>
  <c r="IA512" i="5"/>
  <c r="IE481" i="5"/>
  <c r="N21" i="7" s="1"/>
  <c r="BX1137" i="5"/>
  <c r="BX629" i="5"/>
  <c r="CH485" i="5"/>
  <c r="CH1137" i="5" s="1"/>
  <c r="DB485" i="5"/>
  <c r="EP485" i="5"/>
  <c r="EP1137" i="5" s="1"/>
  <c r="EM485" i="5"/>
  <c r="EM1137" i="5" s="1"/>
  <c r="EM528" i="5"/>
  <c r="DZ1145" i="5"/>
  <c r="DZ514" i="5"/>
  <c r="HZ515" i="5"/>
  <c r="I51" i="7" s="1"/>
  <c r="K51" i="7" s="1"/>
  <c r="FF1147" i="5"/>
  <c r="AN1120" i="5"/>
  <c r="AH1130" i="5"/>
  <c r="EX527" i="5"/>
  <c r="EX485" i="5"/>
  <c r="EX1137" i="5" s="1"/>
  <c r="ES1145" i="5"/>
  <c r="IF515" i="5"/>
  <c r="O51" i="7" s="1"/>
  <c r="ES514" i="5"/>
  <c r="DU1146" i="5"/>
  <c r="DU514" i="5"/>
  <c r="FA1148" i="5"/>
  <c r="FA754" i="5"/>
  <c r="FA982" i="5" s="1"/>
  <c r="CJ1140" i="5"/>
  <c r="BY1137" i="5"/>
  <c r="BY629" i="5"/>
  <c r="CP1139" i="5"/>
  <c r="CP632" i="5"/>
  <c r="CQ543" i="5"/>
  <c r="CQ1140" i="5"/>
  <c r="CQ633" i="5"/>
  <c r="KP633" i="5"/>
  <c r="KP491" i="5"/>
  <c r="KP631" i="5" s="1"/>
  <c r="AE1142" i="5"/>
  <c r="AE636" i="5"/>
  <c r="AE503" i="5"/>
  <c r="AE635" i="5" s="1"/>
  <c r="HV789" i="5"/>
  <c r="HS795" i="5"/>
  <c r="HS796" i="5" s="1"/>
  <c r="DN754" i="5"/>
  <c r="DN982" i="5" s="1"/>
  <c r="HW795" i="5"/>
  <c r="HW796" i="5" s="1"/>
  <c r="FV754" i="5"/>
  <c r="FV982" i="5" s="1"/>
  <c r="FV1147" i="5"/>
  <c r="HP811" i="5"/>
  <c r="IE811" i="5"/>
  <c r="HY813" i="5"/>
  <c r="IH830" i="5"/>
  <c r="EY822" i="5"/>
  <c r="EY988" i="5" s="1"/>
  <c r="IL830" i="5"/>
  <c r="FS822" i="5"/>
  <c r="G993" i="5"/>
  <c r="G856" i="5"/>
  <c r="CL920" i="5"/>
  <c r="Y1672" i="2"/>
  <c r="Y1670" i="2" s="1"/>
  <c r="CV1078" i="5"/>
  <c r="HU1089" i="5"/>
  <c r="DB1087" i="5"/>
  <c r="H1138" i="5"/>
  <c r="CG497" i="5"/>
  <c r="E568" i="5"/>
  <c r="E1132" i="5"/>
  <c r="E627" i="5"/>
  <c r="E567" i="5"/>
  <c r="HR1092" i="5"/>
  <c r="D1684" i="2"/>
  <c r="HV472" i="5"/>
  <c r="IF472" i="5"/>
  <c r="O12" i="7" s="1"/>
  <c r="CK1135" i="5"/>
  <c r="CK475" i="5"/>
  <c r="DB1135" i="5"/>
  <c r="DB475" i="5"/>
  <c r="HT473" i="5"/>
  <c r="C13" i="7" s="1"/>
  <c r="DB468" i="5"/>
  <c r="DS1135" i="5"/>
  <c r="DS475" i="5"/>
  <c r="EH1135" i="5"/>
  <c r="EH475" i="5"/>
  <c r="IE476" i="5"/>
  <c r="N16" i="7" s="1"/>
  <c r="EM475" i="5"/>
  <c r="DT1140" i="5"/>
  <c r="DT633" i="5"/>
  <c r="DT543" i="5"/>
  <c r="CL1135" i="5"/>
  <c r="CL468" i="5"/>
  <c r="DT1135" i="5"/>
  <c r="DT475" i="5"/>
  <c r="KN632" i="5"/>
  <c r="KN491" i="5"/>
  <c r="KN631" i="5" s="1"/>
  <c r="DD1140" i="5"/>
  <c r="DD633" i="5"/>
  <c r="DD543" i="5"/>
  <c r="IE755" i="5"/>
  <c r="EM754" i="5"/>
  <c r="EM982" i="5" s="1"/>
  <c r="E569" i="5"/>
  <c r="CX1134" i="5"/>
  <c r="CX468" i="5"/>
  <c r="DI470" i="5"/>
  <c r="DI1134" i="5" s="1"/>
  <c r="HW471" i="5"/>
  <c r="F11" i="7" s="1"/>
  <c r="E754" i="5"/>
  <c r="DR754" i="5"/>
  <c r="DR982" i="5" s="1"/>
  <c r="DI1084" i="5"/>
  <c r="IL813" i="5"/>
  <c r="DA485" i="5"/>
  <c r="HS471" i="5"/>
  <c r="CQ523" i="5"/>
  <c r="DJ1134" i="5"/>
  <c r="DJ468" i="5"/>
  <c r="BV1153" i="5"/>
  <c r="BV651" i="5"/>
  <c r="EL585" i="5"/>
  <c r="EL584" i="5" s="1"/>
  <c r="EL543" i="5"/>
  <c r="EL1151" i="5" s="1"/>
  <c r="AZ465" i="5"/>
  <c r="AZ626" i="5" s="1"/>
  <c r="ET1134" i="5"/>
  <c r="ET468" i="5"/>
  <c r="AQ1153" i="5"/>
  <c r="AQ651" i="5"/>
  <c r="BW1153" i="5"/>
  <c r="BW651" i="5"/>
  <c r="DB667" i="5"/>
  <c r="HT668" i="5"/>
  <c r="HT709" i="5"/>
  <c r="CX707" i="5"/>
  <c r="CX977" i="5" s="1"/>
  <c r="FV707" i="5"/>
  <c r="IL713" i="5"/>
  <c r="HZ719" i="5"/>
  <c r="DX718" i="5"/>
  <c r="CX818" i="5"/>
  <c r="HT721" i="5"/>
  <c r="CX980" i="5"/>
  <c r="EL818" i="5"/>
  <c r="EL718" i="5"/>
  <c r="ED722" i="5"/>
  <c r="IB723" i="5"/>
  <c r="FR979" i="5"/>
  <c r="FR1139" i="5"/>
  <c r="CL818" i="5"/>
  <c r="CL980" i="5"/>
  <c r="HQ724" i="5"/>
  <c r="DZ818" i="5"/>
  <c r="DZ987" i="5" s="1"/>
  <c r="DZ722" i="5"/>
  <c r="DZ980" i="5"/>
  <c r="ET818" i="5"/>
  <c r="ET980" i="5"/>
  <c r="FN818" i="5"/>
  <c r="IK724" i="5"/>
  <c r="FK1140" i="5"/>
  <c r="IK728" i="5"/>
  <c r="AZ567" i="5"/>
  <c r="CJ1084" i="5"/>
  <c r="EU600" i="5"/>
  <c r="IF600" i="5" s="1"/>
  <c r="O129" i="7" s="1"/>
  <c r="IF561" i="5"/>
  <c r="IE564" i="5"/>
  <c r="N94" i="7" s="1"/>
  <c r="N95" i="7"/>
  <c r="IG565" i="5"/>
  <c r="P95" i="7" s="1"/>
  <c r="O96" i="7"/>
  <c r="Y1153" i="5"/>
  <c r="Y651" i="5"/>
  <c r="AR1153" i="5"/>
  <c r="AR651" i="5"/>
  <c r="BH1153" i="5"/>
  <c r="BH651" i="5"/>
  <c r="EQ730" i="5"/>
  <c r="EQ981" i="5" s="1"/>
  <c r="IE747" i="5"/>
  <c r="HP749" i="5"/>
  <c r="CF730" i="5"/>
  <c r="DT730" i="5"/>
  <c r="DT981" i="5" s="1"/>
  <c r="HY749" i="5"/>
  <c r="EN730" i="5"/>
  <c r="EN981" i="5" s="1"/>
  <c r="IE749" i="5"/>
  <c r="FH730" i="5"/>
  <c r="II749" i="5"/>
  <c r="AZ627" i="5"/>
  <c r="HP929" i="5"/>
  <c r="BB1142" i="5"/>
  <c r="BB636" i="5"/>
  <c r="BB503" i="5"/>
  <c r="ED600" i="5"/>
  <c r="ED598" i="5" s="1"/>
  <c r="ED1155" i="5" s="1"/>
  <c r="ED550" i="5"/>
  <c r="ED1152" i="5" s="1"/>
  <c r="DI645" i="5"/>
  <c r="DI575" i="5"/>
  <c r="DI644" i="5" s="1"/>
  <c r="H1153" i="5"/>
  <c r="H651" i="5"/>
  <c r="Z1153" i="5"/>
  <c r="Z651" i="5"/>
  <c r="AS1153" i="5"/>
  <c r="AS651" i="5"/>
  <c r="BI1153" i="5"/>
  <c r="BI651" i="5"/>
  <c r="BX1153" i="5"/>
  <c r="BX651" i="5"/>
  <c r="HZ708" i="5"/>
  <c r="DU707" i="5"/>
  <c r="HQ719" i="5"/>
  <c r="CL718" i="5"/>
  <c r="CL979" i="5"/>
  <c r="EZ1139" i="5"/>
  <c r="EZ722" i="5"/>
  <c r="EZ979" i="5"/>
  <c r="FT722" i="5"/>
  <c r="FT979" i="5"/>
  <c r="CN980" i="5"/>
  <c r="CN818" i="5"/>
  <c r="CN987" i="5" s="1"/>
  <c r="EB818" i="5"/>
  <c r="EB987" i="5" s="1"/>
  <c r="EB980" i="5"/>
  <c r="EV980" i="5"/>
  <c r="EV818" i="5"/>
  <c r="EV987" i="5" s="1"/>
  <c r="EV722" i="5"/>
  <c r="FP722" i="5"/>
  <c r="FP818" i="5"/>
  <c r="IH813" i="5"/>
  <c r="CY754" i="5"/>
  <c r="CY982" i="5" s="1"/>
  <c r="DJ645" i="5"/>
  <c r="DJ575" i="5"/>
  <c r="DJ644" i="5" s="1"/>
  <c r="AA1153" i="5"/>
  <c r="AA651" i="5"/>
  <c r="EA979" i="5"/>
  <c r="EA718" i="5"/>
  <c r="IB719" i="5"/>
  <c r="CG818" i="5"/>
  <c r="CG987" i="5" s="1"/>
  <c r="CG718" i="5"/>
  <c r="DA818" i="5"/>
  <c r="DA718" i="5"/>
  <c r="DU980" i="5"/>
  <c r="DU818" i="5"/>
  <c r="DU718" i="5"/>
  <c r="DM722" i="5"/>
  <c r="DM979" i="5"/>
  <c r="CO818" i="5"/>
  <c r="CO987" i="5" s="1"/>
  <c r="CO722" i="5"/>
  <c r="EC722" i="5"/>
  <c r="EC818" i="5"/>
  <c r="EC987" i="5" s="1"/>
  <c r="EC980" i="5"/>
  <c r="FQ722" i="5"/>
  <c r="FQ818" i="5"/>
  <c r="DH1134" i="5"/>
  <c r="EQ470" i="5"/>
  <c r="IE471" i="5"/>
  <c r="N11" i="7" s="1"/>
  <c r="HT474" i="5"/>
  <c r="C14" i="7" s="1"/>
  <c r="DR475" i="5"/>
  <c r="CG475" i="5"/>
  <c r="HZ477" i="5"/>
  <c r="I17" i="7" s="1"/>
  <c r="K17" i="7" s="1"/>
  <c r="HV478" i="5"/>
  <c r="IE554" i="5"/>
  <c r="IF558" i="5"/>
  <c r="O89" i="7" s="1"/>
  <c r="HP708" i="5"/>
  <c r="CZ707" i="5"/>
  <c r="CZ977" i="5" s="1"/>
  <c r="EN707" i="5"/>
  <c r="CE707" i="5"/>
  <c r="HP709" i="5"/>
  <c r="DS707" i="5"/>
  <c r="DS977" i="5" s="1"/>
  <c r="FF707" i="5"/>
  <c r="HT711" i="5"/>
  <c r="DQ707" i="5"/>
  <c r="DQ977" i="5" s="1"/>
  <c r="HS715" i="5"/>
  <c r="IH715" i="5"/>
  <c r="IH716" i="5"/>
  <c r="IL716" i="5"/>
  <c r="HV719" i="5"/>
  <c r="CE980" i="5"/>
  <c r="CE818" i="5"/>
  <c r="CE987" i="5" s="1"/>
  <c r="IE721" i="5"/>
  <c r="CM980" i="5"/>
  <c r="CM818" i="5"/>
  <c r="CM987" i="5" s="1"/>
  <c r="CM722" i="5"/>
  <c r="CV1087" i="5"/>
  <c r="CV1083" i="5" s="1"/>
  <c r="Y1680" i="2"/>
  <c r="Y1679" i="2" s="1"/>
  <c r="K40" i="7"/>
  <c r="H67" i="7"/>
  <c r="IR870" i="5"/>
  <c r="EC470" i="5"/>
  <c r="EC1134" i="5" s="1"/>
  <c r="EC523" i="5"/>
  <c r="EC521" i="5" s="1"/>
  <c r="EC1147" i="5" s="1"/>
  <c r="ER475" i="5"/>
  <c r="DC1146" i="5"/>
  <c r="DC514" i="5"/>
  <c r="CN529" i="5"/>
  <c r="CN1148" i="5" s="1"/>
  <c r="DH529" i="5"/>
  <c r="DH1148" i="5" s="1"/>
  <c r="EB529" i="5"/>
  <c r="EB1148" i="5" s="1"/>
  <c r="DL529" i="5"/>
  <c r="DL1148" i="5" s="1"/>
  <c r="EF529" i="5"/>
  <c r="EF1148" i="5" s="1"/>
  <c r="DE550" i="5"/>
  <c r="DY550" i="5"/>
  <c r="DY1152" i="5" s="1"/>
  <c r="ES550" i="5"/>
  <c r="ES1152" i="5" s="1"/>
  <c r="CH980" i="5"/>
  <c r="CH718" i="5"/>
  <c r="DV718" i="5"/>
  <c r="DV818" i="5"/>
  <c r="EX818" i="5"/>
  <c r="EX980" i="5"/>
  <c r="CY1087" i="5"/>
  <c r="CY1083" i="5" s="1"/>
  <c r="IV687" i="5"/>
  <c r="AI1009" i="2" s="1"/>
  <c r="AD467" i="5"/>
  <c r="AD465" i="5" s="1"/>
  <c r="AD1133" i="5"/>
  <c r="DL470" i="5"/>
  <c r="DL1134" i="5" s="1"/>
  <c r="DL523" i="5"/>
  <c r="DL521" i="5" s="1"/>
  <c r="DL1147" i="5" s="1"/>
  <c r="DV1135" i="5"/>
  <c r="DV475" i="5"/>
  <c r="DD1146" i="5"/>
  <c r="DD514" i="5"/>
  <c r="EM1146" i="5"/>
  <c r="CO529" i="5"/>
  <c r="CO1148" i="5" s="1"/>
  <c r="EC529" i="5"/>
  <c r="EC1148" i="5" s="1"/>
  <c r="CS529" i="5"/>
  <c r="CS1148" i="5" s="1"/>
  <c r="HW586" i="5"/>
  <c r="F116" i="7" s="1"/>
  <c r="DI585" i="5"/>
  <c r="DI584" i="5" s="1"/>
  <c r="DI1153" i="5" s="1"/>
  <c r="DH585" i="5"/>
  <c r="DH584" i="5" s="1"/>
  <c r="HV591" i="5"/>
  <c r="D120" i="7" s="1"/>
  <c r="FL707" i="5"/>
  <c r="HZ711" i="5"/>
  <c r="HW780" i="5"/>
  <c r="HS781" i="5"/>
  <c r="K892" i="5"/>
  <c r="K995" i="5" s="1"/>
  <c r="K996" i="5"/>
  <c r="CJ1091" i="5"/>
  <c r="BM467" i="5"/>
  <c r="BM625" i="5"/>
  <c r="DM470" i="5"/>
  <c r="DM523" i="5"/>
  <c r="DM521" i="5" s="1"/>
  <c r="HW472" i="5"/>
  <c r="F12" i="7" s="1"/>
  <c r="X1669" i="2"/>
  <c r="X1667" i="2" s="1"/>
  <c r="CJ1075" i="5"/>
  <c r="Z1677" i="2"/>
  <c r="Z1676" i="2" s="1"/>
  <c r="DH1084" i="5"/>
  <c r="DS1087" i="5"/>
  <c r="DS1083" i="5" s="1"/>
  <c r="IR705" i="5"/>
  <c r="M467" i="5"/>
  <c r="M625" i="5"/>
  <c r="BN467" i="5"/>
  <c r="BN569" i="5" s="1"/>
  <c r="BN1133" i="5"/>
  <c r="BR636" i="5"/>
  <c r="BR503" i="5"/>
  <c r="HS780" i="5"/>
  <c r="CR754" i="5"/>
  <c r="CR982" i="5" s="1"/>
  <c r="BY997" i="5"/>
  <c r="BY892" i="5"/>
  <c r="BY995" i="5" s="1"/>
  <c r="HX248" i="5"/>
  <c r="CK1134" i="5"/>
  <c r="CK468" i="5"/>
  <c r="E1142" i="5"/>
  <c r="E503" i="5"/>
  <c r="BS1142" i="5"/>
  <c r="BS636" i="5"/>
  <c r="II669" i="5"/>
  <c r="HS671" i="5"/>
  <c r="IH671" i="5"/>
  <c r="IC672" i="5"/>
  <c r="HY673" i="5"/>
  <c r="HX8" i="5"/>
  <c r="HX16" i="5"/>
  <c r="HX27" i="5"/>
  <c r="HX45" i="5"/>
  <c r="HX92" i="5"/>
  <c r="HX99" i="5"/>
  <c r="HX162" i="5"/>
  <c r="HX191" i="5"/>
  <c r="BQ467" i="5"/>
  <c r="DM1143" i="5"/>
  <c r="HW506" i="5"/>
  <c r="F42" i="7" s="1"/>
  <c r="HU507" i="5"/>
  <c r="W503" i="5"/>
  <c r="HX602" i="5"/>
  <c r="AA834" i="2" s="1"/>
  <c r="D131" i="7"/>
  <c r="E131" i="7" s="1"/>
  <c r="FD667" i="5"/>
  <c r="IC671" i="5"/>
  <c r="HY672" i="5"/>
  <c r="CT667" i="5"/>
  <c r="CT976" i="5" s="1"/>
  <c r="DN667" i="5"/>
  <c r="DN976" i="5" s="1"/>
  <c r="EH667" i="5"/>
  <c r="EH976" i="5" s="1"/>
  <c r="FV667" i="5"/>
  <c r="FV976" i="5" s="1"/>
  <c r="EK856" i="5"/>
  <c r="EK992" i="5" s="1"/>
  <c r="EK993" i="5"/>
  <c r="FC993" i="5"/>
  <c r="FC856" i="5"/>
  <c r="FC992" i="5" s="1"/>
  <c r="IP857" i="5"/>
  <c r="IJ874" i="5"/>
  <c r="AE1191" i="2" s="1"/>
  <c r="HX209" i="5"/>
  <c r="BU1142" i="5"/>
  <c r="BU503" i="5"/>
  <c r="CW1150" i="5"/>
  <c r="HT537" i="5"/>
  <c r="C69" i="7" s="1"/>
  <c r="EV1150" i="5"/>
  <c r="IF537" i="5"/>
  <c r="O69" i="7" s="1"/>
  <c r="L988" i="5"/>
  <c r="L817" i="5"/>
  <c r="L986" i="5" s="1"/>
  <c r="FE993" i="5"/>
  <c r="FE856" i="5"/>
  <c r="FE992" i="5" s="1"/>
  <c r="II857" i="5"/>
  <c r="AE1576" i="2" s="1"/>
  <c r="R997" i="5"/>
  <c r="R892" i="5"/>
  <c r="R995" i="5" s="1"/>
  <c r="HW206" i="5"/>
  <c r="CE546" i="5"/>
  <c r="CE497" i="5"/>
  <c r="CE1140" i="5" s="1"/>
  <c r="CF1145" i="5"/>
  <c r="CF514" i="5"/>
  <c r="II672" i="5"/>
  <c r="AK993" i="5"/>
  <c r="AK856" i="5"/>
  <c r="AK992" i="5" s="1"/>
  <c r="DU1134" i="5"/>
  <c r="DU468" i="5"/>
  <c r="DU1133" i="5" s="1"/>
  <c r="IC811" i="5"/>
  <c r="II811" i="5"/>
  <c r="HS813" i="5"/>
  <c r="IC813" i="5"/>
  <c r="IR678" i="5"/>
  <c r="GM730" i="5"/>
  <c r="GM1137" i="5" s="1"/>
  <c r="GJ718" i="5"/>
  <c r="IV885" i="5"/>
  <c r="AI1204" i="2" s="1"/>
  <c r="IU789" i="5"/>
  <c r="IU706" i="5"/>
  <c r="HX144" i="5"/>
  <c r="HX219" i="5"/>
  <c r="S1133" i="5"/>
  <c r="CO550" i="5"/>
  <c r="EC550" i="5"/>
  <c r="EC1152" i="5" s="1"/>
  <c r="HU614" i="5"/>
  <c r="HY678" i="5"/>
  <c r="II679" i="5"/>
  <c r="CG667" i="5"/>
  <c r="CG976" i="5" s="1"/>
  <c r="DA667" i="5"/>
  <c r="DA976" i="5" s="1"/>
  <c r="IB780" i="5"/>
  <c r="IP812" i="5"/>
  <c r="IS746" i="5"/>
  <c r="AH1068" i="2" s="1"/>
  <c r="IS720" i="5"/>
  <c r="AH1042" i="2" s="1"/>
  <c r="IS707" i="5"/>
  <c r="AH1029" i="2" s="1"/>
  <c r="IR977" i="5"/>
  <c r="IQ696" i="5"/>
  <c r="GR818" i="5"/>
  <c r="HX10" i="5"/>
  <c r="BS625" i="5"/>
  <c r="BS467" i="5"/>
  <c r="IF494" i="5"/>
  <c r="O31" i="7" s="1"/>
  <c r="IG545" i="5"/>
  <c r="P77" i="7" s="1"/>
  <c r="EG550" i="5"/>
  <c r="EG1152" i="5" s="1"/>
  <c r="HY671" i="5"/>
  <c r="IP671" i="5"/>
  <c r="AG993" i="2" s="1"/>
  <c r="HT672" i="5"/>
  <c r="HT673" i="5"/>
  <c r="HT675" i="5"/>
  <c r="HT795" i="5"/>
  <c r="CQ1084" i="5"/>
  <c r="CJ1087" i="5"/>
  <c r="CJ1083" i="5" s="1"/>
  <c r="X1681" i="2"/>
  <c r="X1679" i="2" s="1"/>
  <c r="E9" i="7"/>
  <c r="BV1138" i="5"/>
  <c r="BV631" i="5"/>
  <c r="KO491" i="5"/>
  <c r="CU543" i="5"/>
  <c r="AQ1120" i="5"/>
  <c r="HV680" i="5"/>
  <c r="IE683" i="5"/>
  <c r="HZ701" i="5"/>
  <c r="IK703" i="5"/>
  <c r="HQ704" i="5"/>
  <c r="IB705" i="5"/>
  <c r="HW706" i="5"/>
  <c r="IL706" i="5"/>
  <c r="DJ492" i="5"/>
  <c r="ED492" i="5"/>
  <c r="ED1139" i="5" s="1"/>
  <c r="DV598" i="5"/>
  <c r="DV1155" i="5" s="1"/>
  <c r="IF612" i="5"/>
  <c r="HS614" i="5"/>
  <c r="HY698" i="5"/>
  <c r="HQ789" i="5"/>
  <c r="IB789" i="5"/>
  <c r="IF789" i="5"/>
  <c r="FQ754" i="5"/>
  <c r="FQ982" i="5" s="1"/>
  <c r="FQ1147" i="5"/>
  <c r="FQ1142" i="5" s="1"/>
  <c r="U988" i="5"/>
  <c r="U817" i="5"/>
  <c r="U986" i="5" s="1"/>
  <c r="AN988" i="5"/>
  <c r="AN817" i="5"/>
  <c r="AN986" i="5" s="1"/>
  <c r="CT485" i="5"/>
  <c r="EH485" i="5"/>
  <c r="EH1137" i="5" s="1"/>
  <c r="P503" i="5"/>
  <c r="HY609" i="5"/>
  <c r="CO611" i="5"/>
  <c r="CO610" i="5" s="1"/>
  <c r="CO1156" i="5" s="1"/>
  <c r="EC611" i="5"/>
  <c r="EC610" i="5" s="1"/>
  <c r="DM611" i="5"/>
  <c r="DM610" i="5" s="1"/>
  <c r="DM1156" i="5" s="1"/>
  <c r="EG611" i="5"/>
  <c r="EG610" i="5" s="1"/>
  <c r="KN898" i="5"/>
  <c r="KN893" i="5" s="1"/>
  <c r="IS774" i="5"/>
  <c r="IS763" i="5"/>
  <c r="AH1085" i="2" s="1"/>
  <c r="IS787" i="5"/>
  <c r="AH1101" i="2" s="1"/>
  <c r="IS926" i="5"/>
  <c r="AH1245" i="2" s="1"/>
  <c r="IS912" i="5"/>
  <c r="AH1233" i="2" s="1"/>
  <c r="AH1638" i="2" s="1"/>
  <c r="IS896" i="5"/>
  <c r="AH1217" i="2" s="1"/>
  <c r="HU487" i="5"/>
  <c r="CF523" i="5"/>
  <c r="CZ523" i="5"/>
  <c r="IE541" i="5"/>
  <c r="N73" i="7" s="1"/>
  <c r="DX598" i="5"/>
  <c r="DX1155" i="5" s="1"/>
  <c r="IE597" i="5"/>
  <c r="N126" i="7" s="1"/>
  <c r="ED611" i="5"/>
  <c r="ED610" i="5" s="1"/>
  <c r="ED1156" i="5" s="1"/>
  <c r="DD667" i="5"/>
  <c r="DD976" i="5" s="1"/>
  <c r="EJ730" i="5"/>
  <c r="EJ981" i="5" s="1"/>
  <c r="IC732" i="5"/>
  <c r="HZ734" i="5"/>
  <c r="HZ736" i="5"/>
  <c r="IP779" i="5"/>
  <c r="AG1094" i="2" s="1"/>
  <c r="AG1320" i="2" s="1"/>
  <c r="AG1407" i="2" s="1"/>
  <c r="IS808" i="5"/>
  <c r="AH1124" i="2" s="1"/>
  <c r="HW474" i="5"/>
  <c r="F14" i="7" s="1"/>
  <c r="HY478" i="5"/>
  <c r="G18" i="7" s="1"/>
  <c r="HS510" i="5"/>
  <c r="HW595" i="5"/>
  <c r="F124" i="7" s="1"/>
  <c r="CL598" i="5"/>
  <c r="CL1155" i="5" s="1"/>
  <c r="EP598" i="5"/>
  <c r="EP1155" i="5" s="1"/>
  <c r="I996" i="5"/>
  <c r="I892" i="5"/>
  <c r="I995" i="5" s="1"/>
  <c r="IS847" i="5"/>
  <c r="HT481" i="5"/>
  <c r="C21" i="7" s="1"/>
  <c r="HY481" i="5"/>
  <c r="G21" i="7" s="1"/>
  <c r="CI529" i="5"/>
  <c r="CI1148" i="5" s="1"/>
  <c r="HV531" i="5"/>
  <c r="HZ531" i="5"/>
  <c r="I63" i="7" s="1"/>
  <c r="K63" i="7" s="1"/>
  <c r="CM529" i="5"/>
  <c r="CM1148" i="5" s="1"/>
  <c r="DG529" i="5"/>
  <c r="DG1148" i="5" s="1"/>
  <c r="EA529" i="5"/>
  <c r="EA1148" i="5" s="1"/>
  <c r="IF532" i="5"/>
  <c r="O64" i="7" s="1"/>
  <c r="HY533" i="5"/>
  <c r="HR861" i="5"/>
  <c r="Y1178" i="2" s="1"/>
  <c r="IJ864" i="5"/>
  <c r="AE1181" i="2" s="1"/>
  <c r="IJ876" i="5"/>
  <c r="AE1193" i="2" s="1"/>
  <c r="EV529" i="5"/>
  <c r="EV1148" i="5" s="1"/>
  <c r="CE485" i="5"/>
  <c r="CY485" i="5"/>
  <c r="DS485" i="5"/>
  <c r="HT487" i="5"/>
  <c r="C26" i="7" s="1"/>
  <c r="ER523" i="5"/>
  <c r="ER521" i="5" s="1"/>
  <c r="ER1147" i="5" s="1"/>
  <c r="HT520" i="5"/>
  <c r="C54" i="7" s="1"/>
  <c r="IE520" i="5"/>
  <c r="N54" i="7" s="1"/>
  <c r="EW529" i="5"/>
  <c r="EW1148" i="5" s="1"/>
  <c r="HY586" i="5"/>
  <c r="EI585" i="5"/>
  <c r="EI584" i="5" s="1"/>
  <c r="EI1153" i="5" s="1"/>
  <c r="HS588" i="5"/>
  <c r="CT543" i="5"/>
  <c r="EH585" i="5"/>
  <c r="EH584" i="5" s="1"/>
  <c r="EH1153" i="5" s="1"/>
  <c r="IP895" i="5"/>
  <c r="AG1216" i="2" s="1"/>
  <c r="HQ685" i="5"/>
  <c r="HZ690" i="5"/>
  <c r="HQ693" i="5"/>
  <c r="HV693" i="5"/>
  <c r="HP696" i="5"/>
  <c r="CZ1068" i="5"/>
  <c r="CQ1091" i="5"/>
  <c r="DJ1091" i="5"/>
  <c r="IQ789" i="5"/>
  <c r="GU722" i="5"/>
  <c r="HX41" i="5"/>
  <c r="HX69" i="5"/>
  <c r="HX108" i="5"/>
  <c r="HX179" i="5"/>
  <c r="DQ523" i="5"/>
  <c r="DQ521" i="5" s="1"/>
  <c r="DY523" i="5"/>
  <c r="DY521" i="5" s="1"/>
  <c r="DY1147" i="5" s="1"/>
  <c r="DU598" i="5"/>
  <c r="DU1155" i="5" s="1"/>
  <c r="EX598" i="5"/>
  <c r="EX1155" i="5" s="1"/>
  <c r="IF682" i="5"/>
  <c r="IC686" i="5"/>
  <c r="CP822" i="5"/>
  <c r="CP988" i="5" s="1"/>
  <c r="EX822" i="5"/>
  <c r="EX988" i="5" s="1"/>
  <c r="KP898" i="5"/>
  <c r="KP893" i="5" s="1"/>
  <c r="IP921" i="5"/>
  <c r="AG1240" i="2" s="1"/>
  <c r="DH1087" i="5"/>
  <c r="DH1083" i="5" s="1"/>
  <c r="Z1681" i="2"/>
  <c r="Z1679" i="2" s="1"/>
  <c r="GM920" i="5"/>
  <c r="GM1153" i="5" s="1"/>
  <c r="DG598" i="5"/>
  <c r="DG1155" i="5" s="1"/>
  <c r="EF598" i="5"/>
  <c r="EF1155" i="5" s="1"/>
  <c r="IB829" i="5"/>
  <c r="HS832" i="5"/>
  <c r="HW832" i="5"/>
  <c r="IL832" i="5"/>
  <c r="IP849" i="5"/>
  <c r="DE1087" i="5"/>
  <c r="DE1083" i="5" s="1"/>
  <c r="IV769" i="5"/>
  <c r="IV798" i="5"/>
  <c r="AI1114" i="2" s="1"/>
  <c r="HX245" i="5"/>
  <c r="BV467" i="5"/>
  <c r="BV465" i="5" s="1"/>
  <c r="CI485" i="5"/>
  <c r="DW485" i="5"/>
  <c r="DW1137" i="5" s="1"/>
  <c r="EQ485" i="5"/>
  <c r="EQ1137" i="5" s="1"/>
  <c r="HV487" i="5"/>
  <c r="D26" i="7" s="1"/>
  <c r="HZ487" i="5"/>
  <c r="HT591" i="5"/>
  <c r="C120" i="7" s="1"/>
  <c r="EW598" i="5"/>
  <c r="EW1155" i="5" s="1"/>
  <c r="DD893" i="5"/>
  <c r="DE1078" i="5"/>
  <c r="HD899" i="5"/>
  <c r="GJ899" i="5"/>
  <c r="IV876" i="5"/>
  <c r="AI1193" i="2" s="1"/>
  <c r="CQ468" i="5"/>
  <c r="HV481" i="5"/>
  <c r="D21" i="7" s="1"/>
  <c r="HZ481" i="5"/>
  <c r="HY482" i="5"/>
  <c r="IF487" i="5"/>
  <c r="O26" i="7" s="1"/>
  <c r="HV506" i="5"/>
  <c r="CM514" i="5"/>
  <c r="EK550" i="5"/>
  <c r="EK1152" i="5" s="1"/>
  <c r="CW550" i="5"/>
  <c r="CS598" i="5"/>
  <c r="CS1155" i="5" s="1"/>
  <c r="DB585" i="5"/>
  <c r="DB584" i="5" s="1"/>
  <c r="DV585" i="5"/>
  <c r="DV584" i="5" s="1"/>
  <c r="DV1153" i="5" s="1"/>
  <c r="EP585" i="5"/>
  <c r="EP584" i="5" s="1"/>
  <c r="EP1153" i="5" s="1"/>
  <c r="HY589" i="5"/>
  <c r="HZ595" i="5"/>
  <c r="IE595" i="5"/>
  <c r="N124" i="7" s="1"/>
  <c r="EV730" i="5"/>
  <c r="EV981" i="5" s="1"/>
  <c r="HZ755" i="5"/>
  <c r="KM988" i="5"/>
  <c r="IP910" i="5"/>
  <c r="AG1231" i="2" s="1"/>
  <c r="IP918" i="5"/>
  <c r="AG1237" i="2" s="1"/>
  <c r="GA817" i="5"/>
  <c r="GA986" i="5" s="1"/>
  <c r="GM899" i="5"/>
  <c r="IV770" i="5"/>
  <c r="ET485" i="5"/>
  <c r="ET1137" i="5" s="1"/>
  <c r="DJ523" i="5"/>
  <c r="DJ521" i="5" s="1"/>
  <c r="DJ1147" i="5" s="1"/>
  <c r="EX523" i="5"/>
  <c r="HY510" i="5"/>
  <c r="FP667" i="5"/>
  <c r="IF669" i="5"/>
  <c r="HZ671" i="5"/>
  <c r="HV672" i="5"/>
  <c r="IK672" i="5"/>
  <c r="HV673" i="5"/>
  <c r="IK673" i="5"/>
  <c r="HZ674" i="5"/>
  <c r="HQ675" i="5"/>
  <c r="HV675" i="5"/>
  <c r="IF675" i="5"/>
  <c r="IK675" i="5"/>
  <c r="HZ677" i="5"/>
  <c r="HV678" i="5"/>
  <c r="IK678" i="5"/>
  <c r="HQ679" i="5"/>
  <c r="IF679" i="5"/>
  <c r="IB680" i="5"/>
  <c r="HW681" i="5"/>
  <c r="D1672" i="2"/>
  <c r="HR1080" i="5"/>
  <c r="DK1078" i="5"/>
  <c r="HX103" i="5"/>
  <c r="HZ474" i="5"/>
  <c r="I14" i="7" s="1"/>
  <c r="IF474" i="5"/>
  <c r="CL475" i="5"/>
  <c r="HV476" i="5"/>
  <c r="D16" i="7" s="1"/>
  <c r="DZ475" i="5"/>
  <c r="ET475" i="5"/>
  <c r="CO475" i="5"/>
  <c r="HW477" i="5"/>
  <c r="F17" i="7" s="1"/>
  <c r="EC475" i="5"/>
  <c r="IF477" i="5"/>
  <c r="O17" i="7" s="1"/>
  <c r="HS478" i="5"/>
  <c r="HW478" i="5"/>
  <c r="F18" i="7" s="1"/>
  <c r="CZ492" i="5"/>
  <c r="DT492" i="5"/>
  <c r="HT513" i="5"/>
  <c r="C49" i="7" s="1"/>
  <c r="E49" i="7" s="1"/>
  <c r="HZ513" i="5"/>
  <c r="IA513" i="5" s="1"/>
  <c r="IE516" i="5"/>
  <c r="DM529" i="5"/>
  <c r="DM1148" i="5" s="1"/>
  <c r="EG529" i="5"/>
  <c r="EG1148" i="5" s="1"/>
  <c r="CI585" i="5"/>
  <c r="CI584" i="5" s="1"/>
  <c r="EQ585" i="5"/>
  <c r="EQ584" i="5" s="1"/>
  <c r="CM667" i="5"/>
  <c r="CM976" i="5" s="1"/>
  <c r="CG980" i="5"/>
  <c r="EO818" i="5"/>
  <c r="EO987" i="5" s="1"/>
  <c r="FI818" i="5"/>
  <c r="DL929" i="5"/>
  <c r="DL928" i="5" s="1"/>
  <c r="DL920" i="5" s="1"/>
  <c r="DL997" i="5" s="1"/>
  <c r="EZ929" i="5"/>
  <c r="EZ928" i="5" s="1"/>
  <c r="EZ920" i="5" s="1"/>
  <c r="EZ997" i="5" s="1"/>
  <c r="IQ675" i="5"/>
  <c r="IV734" i="5"/>
  <c r="AI1056" i="2" s="1"/>
  <c r="AJ1056" i="2" s="1"/>
  <c r="IY734" i="5" s="1"/>
  <c r="IX734" i="5" s="1"/>
  <c r="HX230" i="5"/>
  <c r="EV485" i="5"/>
  <c r="EV1137" i="5" s="1"/>
  <c r="DO543" i="5"/>
  <c r="EC543" i="5"/>
  <c r="HS511" i="5"/>
  <c r="CT529" i="5"/>
  <c r="CT1148" i="5" s="1"/>
  <c r="EH529" i="5"/>
  <c r="EH1148" i="5" s="1"/>
  <c r="DB529" i="5"/>
  <c r="DB1148" i="5" s="1"/>
  <c r="K67" i="7"/>
  <c r="HY553" i="5"/>
  <c r="DO550" i="5"/>
  <c r="CU707" i="5"/>
  <c r="CU977" i="5" s="1"/>
  <c r="FC707" i="5"/>
  <c r="IC709" i="5"/>
  <c r="IC710" i="5"/>
  <c r="IH711" i="5"/>
  <c r="HS712" i="5"/>
  <c r="IH712" i="5"/>
  <c r="HW714" i="5"/>
  <c r="IB716" i="5"/>
  <c r="AJ717" i="5"/>
  <c r="AJ978" i="5" s="1"/>
  <c r="BD717" i="5"/>
  <c r="BX717" i="5"/>
  <c r="DF979" i="5"/>
  <c r="CH818" i="5"/>
  <c r="DG893" i="5"/>
  <c r="DG996" i="5" s="1"/>
  <c r="DC1078" i="5"/>
  <c r="IU690" i="5"/>
  <c r="IV712" i="5"/>
  <c r="AI1034" i="2" s="1"/>
  <c r="HW487" i="5"/>
  <c r="F26" i="7" s="1"/>
  <c r="EG523" i="5"/>
  <c r="EG521" i="5" s="1"/>
  <c r="EG1147" i="5" s="1"/>
  <c r="K44" i="7"/>
  <c r="AL503" i="5"/>
  <c r="IE542" i="5"/>
  <c r="N74" i="7" s="1"/>
  <c r="CG550" i="5"/>
  <c r="DR598" i="5"/>
  <c r="DR1155" i="5" s="1"/>
  <c r="H132" i="7"/>
  <c r="CI818" i="5"/>
  <c r="DW818" i="5"/>
  <c r="DW987" i="5" s="1"/>
  <c r="FK818" i="5"/>
  <c r="AO1120" i="5"/>
  <c r="IS766" i="5"/>
  <c r="AH1088" i="2" s="1"/>
  <c r="IS791" i="5"/>
  <c r="AH1107" i="2" s="1"/>
  <c r="IS930" i="5"/>
  <c r="AH1249" i="2" s="1"/>
  <c r="IS916" i="5"/>
  <c r="AH1235" i="2" s="1"/>
  <c r="IS871" i="5"/>
  <c r="AH1188" i="2" s="1"/>
  <c r="IS710" i="5"/>
  <c r="AH1032" i="2" s="1"/>
  <c r="IQ679" i="5"/>
  <c r="GQ667" i="5"/>
  <c r="GQ1133" i="5" s="1"/>
  <c r="GJ730" i="5"/>
  <c r="GJ1137" i="5" s="1"/>
  <c r="IF482" i="5"/>
  <c r="O22" i="7" s="1"/>
  <c r="HU509" i="5"/>
  <c r="CV529" i="5"/>
  <c r="EJ529" i="5"/>
  <c r="EJ1148" i="5" s="1"/>
  <c r="CZ529" i="5"/>
  <c r="CZ1148" i="5" s="1"/>
  <c r="DX529" i="5"/>
  <c r="DX1148" i="5" s="1"/>
  <c r="ER529" i="5"/>
  <c r="ER1148" i="5" s="1"/>
  <c r="HV540" i="5"/>
  <c r="D72" i="7" s="1"/>
  <c r="DB550" i="5"/>
  <c r="CH598" i="5"/>
  <c r="CH1155" i="5" s="1"/>
  <c r="HW675" i="5"/>
  <c r="IL675" i="5"/>
  <c r="FJ718" i="5"/>
  <c r="AL717" i="5"/>
  <c r="AL978" i="5" s="1"/>
  <c r="CN722" i="5"/>
  <c r="DH722" i="5"/>
  <c r="CJ818" i="5"/>
  <c r="HW813" i="5"/>
  <c r="IS700" i="5"/>
  <c r="AH1022" i="2" s="1"/>
  <c r="IR691" i="5"/>
  <c r="IV713" i="5"/>
  <c r="AI1035" i="2" s="1"/>
  <c r="HX190" i="5"/>
  <c r="AM503" i="5"/>
  <c r="HS515" i="5"/>
  <c r="E80" i="7"/>
  <c r="HV551" i="5"/>
  <c r="HZ551" i="5"/>
  <c r="EQ550" i="5"/>
  <c r="EQ1152" i="5" s="1"/>
  <c r="HZ552" i="5"/>
  <c r="I84" i="7" s="1"/>
  <c r="HZ553" i="5"/>
  <c r="I85" i="7" s="1"/>
  <c r="K85" i="7" s="1"/>
  <c r="EL550" i="5"/>
  <c r="EL1152" i="5" s="1"/>
  <c r="CI550" i="5"/>
  <c r="HV558" i="5"/>
  <c r="HZ558" i="5"/>
  <c r="I89" i="7" s="1"/>
  <c r="K89" i="7" s="1"/>
  <c r="HZ559" i="5"/>
  <c r="CI598" i="5"/>
  <c r="CI1155" i="5" s="1"/>
  <c r="HT727" i="5"/>
  <c r="HP736" i="5"/>
  <c r="FU1147" i="5"/>
  <c r="IQ781" i="5"/>
  <c r="IS827" i="5"/>
  <c r="IS841" i="5"/>
  <c r="IS855" i="5"/>
  <c r="IS742" i="5"/>
  <c r="AH1064" i="2" s="1"/>
  <c r="IS709" i="5"/>
  <c r="AH1031" i="2" s="1"/>
  <c r="IS830" i="5"/>
  <c r="AH1146" i="2" s="1"/>
  <c r="GS899" i="5"/>
  <c r="GN780" i="5"/>
  <c r="GN754" i="5" s="1"/>
  <c r="IS716" i="5"/>
  <c r="AH1038" i="2" s="1"/>
  <c r="IQ672" i="5"/>
  <c r="IT764" i="5"/>
  <c r="IV863" i="5"/>
  <c r="AI1180" i="2" s="1"/>
  <c r="IV887" i="5"/>
  <c r="AI1208" i="2" s="1"/>
  <c r="IQ909" i="5"/>
  <c r="IQ903" i="5"/>
  <c r="IV883" i="5"/>
  <c r="AI1202" i="2" s="1"/>
  <c r="DS822" i="5"/>
  <c r="DS817" i="5" s="1"/>
  <c r="DS986" i="5" s="1"/>
  <c r="CZ822" i="5"/>
  <c r="CZ988" i="5" s="1"/>
  <c r="FH822" i="5"/>
  <c r="FH1150" i="5" s="1"/>
  <c r="HP831" i="5"/>
  <c r="HT831" i="5"/>
  <c r="HY831" i="5"/>
  <c r="IE831" i="5"/>
  <c r="II831" i="5"/>
  <c r="HP832" i="5"/>
  <c r="HT832" i="5"/>
  <c r="HY832" i="5"/>
  <c r="IE832" i="5"/>
  <c r="IP833" i="5"/>
  <c r="AG1149" i="2" s="1"/>
  <c r="IP841" i="5"/>
  <c r="CG898" i="5"/>
  <c r="CG893" i="5" s="1"/>
  <c r="DA898" i="5"/>
  <c r="DA893" i="5" s="1"/>
  <c r="DA996" i="5" s="1"/>
  <c r="HS938" i="5"/>
  <c r="HY938" i="5"/>
  <c r="IH938" i="5"/>
  <c r="HR938" i="5"/>
  <c r="Y1258" i="2" s="1"/>
  <c r="Y1366" i="2" s="1"/>
  <c r="CR1078" i="5"/>
  <c r="CT1084" i="5"/>
  <c r="DD1087" i="5"/>
  <c r="DD1083" i="5" s="1"/>
  <c r="CP1091" i="5"/>
  <c r="DI1091" i="5"/>
  <c r="DO1091" i="5"/>
  <c r="E36" i="7"/>
  <c r="H81" i="7"/>
  <c r="E100" i="7"/>
  <c r="H111" i="7"/>
  <c r="E121" i="7"/>
  <c r="E128" i="7"/>
  <c r="IS924" i="5"/>
  <c r="AH1243" i="2" s="1"/>
  <c r="IS910" i="5"/>
  <c r="AH1231" i="2" s="1"/>
  <c r="IS894" i="5"/>
  <c r="AH1215" i="2" s="1"/>
  <c r="IS866" i="5"/>
  <c r="AH1183" i="2" s="1"/>
  <c r="GR928" i="5"/>
  <c r="GR920" i="5" s="1"/>
  <c r="GR1153" i="5" s="1"/>
  <c r="IS715" i="5"/>
  <c r="AH1037" i="2" s="1"/>
  <c r="IS695" i="5"/>
  <c r="AH1017" i="2" s="1"/>
  <c r="AH446" i="2" s="1"/>
  <c r="IQ686" i="5"/>
  <c r="GR718" i="5"/>
  <c r="GM818" i="5"/>
  <c r="IT693" i="5"/>
  <c r="IV699" i="5"/>
  <c r="AI1021" i="2" s="1"/>
  <c r="IT721" i="5"/>
  <c r="IS806" i="5"/>
  <c r="AH1122" i="2" s="1"/>
  <c r="IS936" i="5"/>
  <c r="AH1256" i="2" s="1"/>
  <c r="IS865" i="5"/>
  <c r="AH1182" i="2" s="1"/>
  <c r="GH817" i="5"/>
  <c r="GH842" i="5" s="1"/>
  <c r="IQ689" i="5"/>
  <c r="IV773" i="5"/>
  <c r="IV874" i="5"/>
  <c r="AI1191" i="2" s="1"/>
  <c r="IV937" i="5"/>
  <c r="AI1257" i="2" s="1"/>
  <c r="IT899" i="5"/>
  <c r="IV875" i="5"/>
  <c r="AI1192" i="2" s="1"/>
  <c r="IU811" i="5"/>
  <c r="EP667" i="5"/>
  <c r="EP976" i="5" s="1"/>
  <c r="CK818" i="5"/>
  <c r="CK987" i="5" s="1"/>
  <c r="IP757" i="5"/>
  <c r="AG1079" i="2" s="1"/>
  <c r="CJ754" i="5"/>
  <c r="CJ982" i="5" s="1"/>
  <c r="Y892" i="5"/>
  <c r="Y995" i="5" s="1"/>
  <c r="CV929" i="5"/>
  <c r="CV928" i="5" s="1"/>
  <c r="CV920" i="5" s="1"/>
  <c r="DP929" i="5"/>
  <c r="EJ929" i="5"/>
  <c r="DK1068" i="5"/>
  <c r="DL1075" i="5"/>
  <c r="DD1078" i="5"/>
  <c r="DQ1091" i="5"/>
  <c r="H78" i="7"/>
  <c r="GJ667" i="5"/>
  <c r="GJ1133" i="5" s="1"/>
  <c r="IV859" i="5"/>
  <c r="AI1176" i="2" s="1"/>
  <c r="GV818" i="5"/>
  <c r="DE754" i="5"/>
  <c r="DE982" i="5" s="1"/>
  <c r="DY754" i="5"/>
  <c r="DY982" i="5" s="1"/>
  <c r="ES754" i="5"/>
  <c r="ES982" i="5" s="1"/>
  <c r="DB929" i="5"/>
  <c r="DB928" i="5" s="1"/>
  <c r="DB920" i="5" s="1"/>
  <c r="DB997" i="5" s="1"/>
  <c r="DV929" i="5"/>
  <c r="DV928" i="5" s="1"/>
  <c r="DV920" i="5" s="1"/>
  <c r="DV997" i="5" s="1"/>
  <c r="EP929" i="5"/>
  <c r="EP928" i="5" s="1"/>
  <c r="EP920" i="5" s="1"/>
  <c r="EP997" i="5" s="1"/>
  <c r="DG1087" i="5"/>
  <c r="DG1083" i="5" s="1"/>
  <c r="DL1091" i="5"/>
  <c r="IR903" i="5"/>
  <c r="CP754" i="5"/>
  <c r="CP982" i="5" s="1"/>
  <c r="EX754" i="5"/>
  <c r="EX982" i="5" s="1"/>
  <c r="DQ898" i="5"/>
  <c r="DQ893" i="5" s="1"/>
  <c r="DQ996" i="5" s="1"/>
  <c r="IM933" i="5"/>
  <c r="AF1253" i="2" s="1"/>
  <c r="AF811" i="2" s="1"/>
  <c r="CT1068" i="5"/>
  <c r="CR1087" i="5"/>
  <c r="CR1083" i="5" s="1"/>
  <c r="DK1087" i="5"/>
  <c r="DK1083" i="5" s="1"/>
  <c r="CZ1091" i="5"/>
  <c r="IS833" i="5"/>
  <c r="AH1149" i="2" s="1"/>
  <c r="IS850" i="5"/>
  <c r="IS888" i="5"/>
  <c r="AH1209" i="2" s="1"/>
  <c r="IQ737" i="5"/>
  <c r="IV716" i="5"/>
  <c r="AI1038" i="2" s="1"/>
  <c r="IV744" i="5"/>
  <c r="AI1066" i="2" s="1"/>
  <c r="IV897" i="5"/>
  <c r="AI1218" i="2" s="1"/>
  <c r="AJ1218" i="2" s="1"/>
  <c r="AK1218" i="2" s="1"/>
  <c r="JB897" i="5" s="1"/>
  <c r="IZ897" i="5" s="1"/>
  <c r="JA897" i="5" s="1"/>
  <c r="IV729" i="5"/>
  <c r="AI1051" i="2" s="1"/>
  <c r="AI1307" i="2" s="1"/>
  <c r="AI1394" i="2" s="1"/>
  <c r="CQ754" i="5"/>
  <c r="CU1068" i="5"/>
  <c r="IS728" i="5"/>
  <c r="AH1050" i="2" s="1"/>
  <c r="AH1306" i="2" s="1"/>
  <c r="GN730" i="5"/>
  <c r="GN1137" i="5" s="1"/>
  <c r="IT684" i="5"/>
  <c r="IU929" i="5"/>
  <c r="IU928" i="5" s="1"/>
  <c r="IU920" i="5" s="1"/>
  <c r="DW754" i="5"/>
  <c r="DW982" i="5" s="1"/>
  <c r="HQ781" i="5"/>
  <c r="HV781" i="5"/>
  <c r="HZ781" i="5"/>
  <c r="IF781" i="5"/>
  <c r="IP781" i="5"/>
  <c r="AG1096" i="2" s="1"/>
  <c r="HP788" i="5"/>
  <c r="HZ788" i="5"/>
  <c r="IE788" i="5"/>
  <c r="HU874" i="5"/>
  <c r="Z1191" i="2" s="1"/>
  <c r="HU875" i="5"/>
  <c r="Z1192" i="2" s="1"/>
  <c r="GS722" i="5"/>
  <c r="GM667" i="5"/>
  <c r="GM1133" i="5" s="1"/>
  <c r="IV676" i="5"/>
  <c r="AI998" i="2" s="1"/>
  <c r="IV708" i="5"/>
  <c r="AI1030" i="2" s="1"/>
  <c r="IV720" i="5"/>
  <c r="AI1042" i="2" s="1"/>
  <c r="IV802" i="5"/>
  <c r="AI1118" i="2" s="1"/>
  <c r="AJ1118" i="2" s="1"/>
  <c r="AK1118" i="2" s="1"/>
  <c r="IU861" i="5"/>
  <c r="IU822" i="5"/>
  <c r="HD722" i="5"/>
  <c r="FM1147" i="5"/>
  <c r="HV813" i="5"/>
  <c r="CM822" i="5"/>
  <c r="CM988" i="5" s="1"/>
  <c r="DG822" i="5"/>
  <c r="EU822" i="5"/>
  <c r="EU988" i="5" s="1"/>
  <c r="IK831" i="5"/>
  <c r="DP1091" i="5"/>
  <c r="IR876" i="5"/>
  <c r="IR674" i="5"/>
  <c r="IV918" i="5"/>
  <c r="AI1237" i="2" s="1"/>
  <c r="FB1139" i="5"/>
  <c r="IL727" i="5"/>
  <c r="HS728" i="5"/>
  <c r="FD1140" i="5"/>
  <c r="HT751" i="5"/>
  <c r="HZ751" i="5"/>
  <c r="IM752" i="5"/>
  <c r="AF1074" i="2" s="1"/>
  <c r="DM730" i="5"/>
  <c r="DM981" i="5" s="1"/>
  <c r="FA730" i="5"/>
  <c r="FA981" i="5" s="1"/>
  <c r="FU730" i="5"/>
  <c r="FU981" i="5" s="1"/>
  <c r="IF813" i="5"/>
  <c r="IN941" i="5"/>
  <c r="IL906" i="5"/>
  <c r="GS718" i="5"/>
  <c r="IP673" i="5"/>
  <c r="AG995" i="2" s="1"/>
  <c r="AH1788" i="2" s="1"/>
  <c r="HS674" i="5"/>
  <c r="IC674" i="5"/>
  <c r="HY675" i="5"/>
  <c r="IC675" i="5"/>
  <c r="IP675" i="5"/>
  <c r="AG997" i="2" s="1"/>
  <c r="AG435" i="2" s="1"/>
  <c r="HS677" i="5"/>
  <c r="IH677" i="5"/>
  <c r="IC678" i="5"/>
  <c r="HY679" i="5"/>
  <c r="HT680" i="5"/>
  <c r="II680" i="5"/>
  <c r="HS708" i="5"/>
  <c r="HS709" i="5"/>
  <c r="IH709" i="5"/>
  <c r="HS710" i="5"/>
  <c r="IB712" i="5"/>
  <c r="FQ707" i="5"/>
  <c r="FQ977" i="5" s="1"/>
  <c r="IK713" i="5"/>
  <c r="HV714" i="5"/>
  <c r="IB714" i="5"/>
  <c r="IF714" i="5"/>
  <c r="IK714" i="5"/>
  <c r="HQ715" i="5"/>
  <c r="HV715" i="5"/>
  <c r="HZ715" i="5"/>
  <c r="IF715" i="5"/>
  <c r="HQ716" i="5"/>
  <c r="HV716" i="5"/>
  <c r="HZ716" i="5"/>
  <c r="IF716" i="5"/>
  <c r="IK716" i="5"/>
  <c r="AB717" i="5"/>
  <c r="AB978" i="5" s="1"/>
  <c r="AV717" i="5"/>
  <c r="AV666" i="5" s="1"/>
  <c r="BP717" i="5"/>
  <c r="BP666" i="5" s="1"/>
  <c r="KP717" i="5"/>
  <c r="KP666" i="5" s="1"/>
  <c r="N717" i="5"/>
  <c r="N978" i="5" s="1"/>
  <c r="BV717" i="5"/>
  <c r="BV978" i="5" s="1"/>
  <c r="EN980" i="5"/>
  <c r="IC726" i="5"/>
  <c r="IH726" i="5"/>
  <c r="IL726" i="5"/>
  <c r="HY727" i="5"/>
  <c r="FC1139" i="5"/>
  <c r="IP727" i="5"/>
  <c r="AG1049" i="2" s="1"/>
  <c r="AG1305" i="2" s="1"/>
  <c r="AG1392" i="2" s="1"/>
  <c r="HT728" i="5"/>
  <c r="HY728" i="5"/>
  <c r="IF743" i="5"/>
  <c r="IK743" i="5"/>
  <c r="HY746" i="5"/>
  <c r="IP752" i="5"/>
  <c r="AG1074" i="2" s="1"/>
  <c r="EH730" i="5"/>
  <c r="EH981" i="5" s="1"/>
  <c r="FE1147" i="5"/>
  <c r="FT898" i="5"/>
  <c r="IP919" i="5"/>
  <c r="AG1238" i="2" s="1"/>
  <c r="IQ704" i="5"/>
  <c r="IU701" i="5"/>
  <c r="IV742" i="5"/>
  <c r="AI1064" i="2" s="1"/>
  <c r="IV881" i="5"/>
  <c r="AI1200" i="2" s="1"/>
  <c r="AI1771" i="2" s="1"/>
  <c r="DO1153" i="5"/>
  <c r="IT757" i="5"/>
  <c r="GY754" i="5"/>
  <c r="EM497" i="5"/>
  <c r="IE498" i="5"/>
  <c r="G36" i="7"/>
  <c r="H36" i="7" s="1"/>
  <c r="IA500" i="5"/>
  <c r="CJ1145" i="5"/>
  <c r="CJ514" i="5"/>
  <c r="DA514" i="5"/>
  <c r="DA1145" i="5"/>
  <c r="HU515" i="5"/>
  <c r="HT515" i="5"/>
  <c r="DR1145" i="5"/>
  <c r="DR514" i="5"/>
  <c r="HU516" i="5"/>
  <c r="HS516" i="5"/>
  <c r="DU1150" i="5"/>
  <c r="HZ537" i="5"/>
  <c r="I69" i="7" s="1"/>
  <c r="K69" i="7" s="1"/>
  <c r="CP600" i="5"/>
  <c r="CP598" i="5" s="1"/>
  <c r="CP1155" i="5" s="1"/>
  <c r="CP550" i="5"/>
  <c r="DF550" i="5"/>
  <c r="HV561" i="5"/>
  <c r="DO575" i="5"/>
  <c r="DO644" i="5" s="1"/>
  <c r="HY576" i="5"/>
  <c r="DO645" i="5"/>
  <c r="AZ977" i="5"/>
  <c r="BN977" i="5"/>
  <c r="AQ568" i="5"/>
  <c r="AQ567" i="5"/>
  <c r="AQ569" i="5"/>
  <c r="EV893" i="5"/>
  <c r="DA523" i="5"/>
  <c r="HU471" i="5"/>
  <c r="HT471" i="5"/>
  <c r="C11" i="7" s="1"/>
  <c r="DS470" i="5"/>
  <c r="DS523" i="5"/>
  <c r="DS521" i="5" s="1"/>
  <c r="DZ497" i="5"/>
  <c r="HZ498" i="5"/>
  <c r="CK1145" i="5"/>
  <c r="CK514" i="5"/>
  <c r="DB1145" i="5"/>
  <c r="DB514" i="5"/>
  <c r="EI514" i="5"/>
  <c r="EI1145" i="5"/>
  <c r="EA1146" i="5"/>
  <c r="EA514" i="5"/>
  <c r="DD1150" i="5"/>
  <c r="HV537" i="5"/>
  <c r="CQ600" i="5"/>
  <c r="HU561" i="5"/>
  <c r="HS561" i="5"/>
  <c r="I982" i="5"/>
  <c r="DJ1140" i="5"/>
  <c r="HW497" i="5"/>
  <c r="V635" i="5"/>
  <c r="BO569" i="5"/>
  <c r="BO465" i="5"/>
  <c r="BO627" i="5"/>
  <c r="BO1132" i="5"/>
  <c r="BO567" i="5"/>
  <c r="CP1134" i="5"/>
  <c r="CP468" i="5"/>
  <c r="BZ1137" i="5"/>
  <c r="BZ467" i="5"/>
  <c r="BZ629" i="5"/>
  <c r="HV486" i="5"/>
  <c r="DC485" i="5"/>
  <c r="ER485" i="5"/>
  <c r="IE487" i="5"/>
  <c r="DH523" i="5"/>
  <c r="DH521" i="5" s="1"/>
  <c r="DH1147" i="5" s="1"/>
  <c r="HV488" i="5"/>
  <c r="EV523" i="5"/>
  <c r="IF488" i="5"/>
  <c r="O27" i="7" s="1"/>
  <c r="EN528" i="5"/>
  <c r="IE490" i="5"/>
  <c r="DL543" i="5"/>
  <c r="DL1140" i="5"/>
  <c r="DL633" i="5"/>
  <c r="ES1144" i="5"/>
  <c r="IF510" i="5"/>
  <c r="O46" i="7" s="1"/>
  <c r="BK503" i="5"/>
  <c r="BK1142" i="5"/>
  <c r="BK636" i="5"/>
  <c r="CL1145" i="5"/>
  <c r="CL514" i="5"/>
  <c r="DT1145" i="5"/>
  <c r="DT514" i="5"/>
  <c r="AD988" i="5"/>
  <c r="AD817" i="5"/>
  <c r="AD986" i="5" s="1"/>
  <c r="HP829" i="5"/>
  <c r="CE822" i="5"/>
  <c r="IE829" i="5"/>
  <c r="EM822" i="5"/>
  <c r="II829" i="5"/>
  <c r="FG822" i="5"/>
  <c r="CF822" i="5"/>
  <c r="CF988" i="5" s="1"/>
  <c r="HP830" i="5"/>
  <c r="HY830" i="5"/>
  <c r="DT822" i="5"/>
  <c r="EN822" i="5"/>
  <c r="EN988" i="5" s="1"/>
  <c r="IE830" i="5"/>
  <c r="BT996" i="5"/>
  <c r="BT892" i="5"/>
  <c r="BT995" i="5" s="1"/>
  <c r="EG898" i="5"/>
  <c r="IC899" i="5"/>
  <c r="AZ997" i="5"/>
  <c r="AZ892" i="5"/>
  <c r="CT818" i="5"/>
  <c r="CT929" i="5"/>
  <c r="DN929" i="5"/>
  <c r="HW935" i="5"/>
  <c r="EH929" i="5"/>
  <c r="EH928" i="5" s="1"/>
  <c r="EH920" i="5" s="1"/>
  <c r="EH997" i="5" s="1"/>
  <c r="IC935" i="5"/>
  <c r="IH935" i="5"/>
  <c r="FB929" i="5"/>
  <c r="FB818" i="5"/>
  <c r="IL935" i="5"/>
  <c r="FV929" i="5"/>
  <c r="FV928" i="5" s="1"/>
  <c r="FV920" i="5" s="1"/>
  <c r="HU1079" i="5"/>
  <c r="DB1078" i="5"/>
  <c r="Y1685" i="2"/>
  <c r="Y1683" i="2" s="1"/>
  <c r="CV1091" i="5"/>
  <c r="IU813" i="5"/>
  <c r="IT737" i="5"/>
  <c r="EN485" i="5"/>
  <c r="EN1137" i="5" s="1"/>
  <c r="HS935" i="5"/>
  <c r="CA467" i="5"/>
  <c r="CA568" i="5" s="1"/>
  <c r="CA1137" i="5"/>
  <c r="CA629" i="5"/>
  <c r="CJ485" i="5"/>
  <c r="DD485" i="5"/>
  <c r="DX485" i="5"/>
  <c r="DX1137" i="5" s="1"/>
  <c r="HW488" i="5"/>
  <c r="F27" i="7" s="1"/>
  <c r="DI523" i="5"/>
  <c r="DI521" i="5" s="1"/>
  <c r="DI1147" i="5" s="1"/>
  <c r="DB1144" i="5"/>
  <c r="HT510" i="5"/>
  <c r="C46" i="7" s="1"/>
  <c r="HU510" i="5"/>
  <c r="BL1142" i="5"/>
  <c r="BL636" i="5"/>
  <c r="CB1142" i="5"/>
  <c r="CB636" i="5"/>
  <c r="CB503" i="5"/>
  <c r="O1153" i="5"/>
  <c r="O651" i="5"/>
  <c r="FS1145" i="5"/>
  <c r="IL788" i="5"/>
  <c r="ES856" i="5"/>
  <c r="ES993" i="5"/>
  <c r="IF857" i="5"/>
  <c r="FM993" i="5"/>
  <c r="FM856" i="5"/>
  <c r="FM992" i="5" s="1"/>
  <c r="AE1589" i="2"/>
  <c r="IM859" i="5"/>
  <c r="AF1176" i="2" s="1"/>
  <c r="AE1621" i="2"/>
  <c r="EN929" i="5"/>
  <c r="IE930" i="5"/>
  <c r="FH929" i="5"/>
  <c r="FH928" i="5" s="1"/>
  <c r="FH920" i="5" s="1"/>
  <c r="II930" i="5"/>
  <c r="CU929" i="5"/>
  <c r="CU928" i="5" s="1"/>
  <c r="CU920" i="5" s="1"/>
  <c r="CU818" i="5"/>
  <c r="FC818" i="5"/>
  <c r="FC929" i="5"/>
  <c r="FC928" i="5" s="1"/>
  <c r="FC920" i="5" s="1"/>
  <c r="CU1084" i="5"/>
  <c r="DN1084" i="5"/>
  <c r="HX1084" i="5" s="1"/>
  <c r="AA1676" i="2" s="1"/>
  <c r="DS1084" i="5"/>
  <c r="IV905" i="5"/>
  <c r="AI1226" i="2" s="1"/>
  <c r="IU903" i="5"/>
  <c r="IV903" i="5" s="1"/>
  <c r="AI1224" i="2" s="1"/>
  <c r="IU673" i="5"/>
  <c r="IV673" i="5" s="1"/>
  <c r="AI995" i="2" s="1"/>
  <c r="AI1291" i="2" s="1"/>
  <c r="AI1378" i="2" s="1"/>
  <c r="HY935" i="5"/>
  <c r="K988" i="5"/>
  <c r="ER1136" i="5"/>
  <c r="IE480" i="5"/>
  <c r="N20" i="7" s="1"/>
  <c r="HT830" i="5"/>
  <c r="AN465" i="5"/>
  <c r="AN626" i="5" s="1"/>
  <c r="EA1135" i="5"/>
  <c r="EA475" i="5"/>
  <c r="EO1135" i="5"/>
  <c r="IE473" i="5"/>
  <c r="GX818" i="5"/>
  <c r="GX718" i="5"/>
  <c r="IV753" i="5"/>
  <c r="AI1075" i="2" s="1"/>
  <c r="N467" i="5"/>
  <c r="N625" i="5"/>
  <c r="N1133" i="5"/>
  <c r="N628" i="5"/>
  <c r="CY1134" i="5"/>
  <c r="HT470" i="5"/>
  <c r="C10" i="7" s="1"/>
  <c r="CO1136" i="5"/>
  <c r="CO468" i="5"/>
  <c r="CO625" i="5" s="1"/>
  <c r="CX1143" i="5"/>
  <c r="HT506" i="5"/>
  <c r="C42" i="7" s="1"/>
  <c r="HU506" i="5"/>
  <c r="EX1146" i="5"/>
  <c r="IF518" i="5"/>
  <c r="O53" i="7" s="1"/>
  <c r="CY529" i="5"/>
  <c r="HT530" i="5"/>
  <c r="IE530" i="5"/>
  <c r="EM529" i="5"/>
  <c r="EQ529" i="5"/>
  <c r="IE531" i="5"/>
  <c r="I76" i="7"/>
  <c r="K76" i="7" s="1"/>
  <c r="IA544" i="5"/>
  <c r="BD1153" i="5"/>
  <c r="BD651" i="5"/>
  <c r="KO976" i="5"/>
  <c r="FC1134" i="5"/>
  <c r="FC667" i="5"/>
  <c r="HP681" i="5"/>
  <c r="CE667" i="5"/>
  <c r="CY667" i="5"/>
  <c r="HT681" i="5"/>
  <c r="EM667" i="5"/>
  <c r="IE681" i="5"/>
  <c r="KM977" i="5"/>
  <c r="HW708" i="5"/>
  <c r="DM707" i="5"/>
  <c r="DM977" i="5" s="1"/>
  <c r="EG707" i="5"/>
  <c r="IC708" i="5"/>
  <c r="FA707" i="5"/>
  <c r="IH708" i="5"/>
  <c r="FU707" i="5"/>
  <c r="IL708" i="5"/>
  <c r="DL707" i="5"/>
  <c r="DL977" i="5" s="1"/>
  <c r="HW709" i="5"/>
  <c r="EF707" i="5"/>
  <c r="EF977" i="5" s="1"/>
  <c r="IB709" i="5"/>
  <c r="IL709" i="5"/>
  <c r="FT707" i="5"/>
  <c r="HW710" i="5"/>
  <c r="DK707" i="5"/>
  <c r="IB710" i="5"/>
  <c r="EE707" i="5"/>
  <c r="EY707" i="5"/>
  <c r="IH710" i="5"/>
  <c r="IL710" i="5"/>
  <c r="FS707" i="5"/>
  <c r="CP707" i="5"/>
  <c r="CP977" i="5" s="1"/>
  <c r="HQ711" i="5"/>
  <c r="DJ707" i="5"/>
  <c r="DJ977" i="5" s="1"/>
  <c r="HW711" i="5"/>
  <c r="ED707" i="5"/>
  <c r="ED977" i="5" s="1"/>
  <c r="IB711" i="5"/>
  <c r="EX707" i="5"/>
  <c r="EX977" i="5" s="1"/>
  <c r="IF711" i="5"/>
  <c r="FR707" i="5"/>
  <c r="IL711" i="5"/>
  <c r="CO707" i="5"/>
  <c r="CO977" i="5" s="1"/>
  <c r="HQ712" i="5"/>
  <c r="DI707" i="5"/>
  <c r="HW712" i="5"/>
  <c r="EW707" i="5"/>
  <c r="IF712" i="5"/>
  <c r="HQ713" i="5"/>
  <c r="CN707" i="5"/>
  <c r="DH707" i="5"/>
  <c r="DH977" i="5" s="1"/>
  <c r="HV713" i="5"/>
  <c r="EB707" i="5"/>
  <c r="IB713" i="5"/>
  <c r="EV707" i="5"/>
  <c r="EV977" i="5" s="1"/>
  <c r="IF713" i="5"/>
  <c r="HT719" i="5"/>
  <c r="CX718" i="5"/>
  <c r="DR979" i="5"/>
  <c r="DR718" i="5"/>
  <c r="HY719" i="5"/>
  <c r="IC719" i="5"/>
  <c r="EL979" i="5"/>
  <c r="FF718" i="5"/>
  <c r="FF1139" i="5"/>
  <c r="II719" i="5"/>
  <c r="FF979" i="5"/>
  <c r="CR718" i="5"/>
  <c r="HS721" i="5"/>
  <c r="CR818" i="5"/>
  <c r="CR980" i="5"/>
  <c r="DL718" i="5"/>
  <c r="DL980" i="5"/>
  <c r="HW721" i="5"/>
  <c r="EF718" i="5"/>
  <c r="EF818" i="5"/>
  <c r="EF980" i="5"/>
  <c r="IB721" i="5"/>
  <c r="EZ818" i="5"/>
  <c r="EZ980" i="5"/>
  <c r="IH721" i="5"/>
  <c r="FT718" i="5"/>
  <c r="FT818" i="5"/>
  <c r="IL721" i="5"/>
  <c r="FT1140" i="5"/>
  <c r="CJ979" i="5"/>
  <c r="CJ722" i="5"/>
  <c r="HP723" i="5"/>
  <c r="DD722" i="5"/>
  <c r="DD979" i="5"/>
  <c r="HV723" i="5"/>
  <c r="IT788" i="5"/>
  <c r="HY930" i="5"/>
  <c r="HU521" i="5"/>
  <c r="CY1147" i="5"/>
  <c r="IL789" i="5"/>
  <c r="GW730" i="5"/>
  <c r="GW1137" i="5" s="1"/>
  <c r="HF718" i="5"/>
  <c r="AA981" i="5"/>
  <c r="IK857" i="5"/>
  <c r="BO1133" i="5"/>
  <c r="BO625" i="5"/>
  <c r="BO628" i="5"/>
  <c r="AT568" i="5"/>
  <c r="AT569" i="5"/>
  <c r="AT627" i="5"/>
  <c r="AT1132" i="5"/>
  <c r="GU818" i="5"/>
  <c r="GU718" i="5"/>
  <c r="BF892" i="5"/>
  <c r="BF995" i="5" s="1"/>
  <c r="AE817" i="5"/>
  <c r="L628" i="5"/>
  <c r="L625" i="5"/>
  <c r="L467" i="5"/>
  <c r="IU681" i="5"/>
  <c r="EH470" i="5"/>
  <c r="EH523" i="5"/>
  <c r="EH521" i="5" s="1"/>
  <c r="DF475" i="5"/>
  <c r="DF1135" i="5"/>
  <c r="DM645" i="5"/>
  <c r="DM575" i="5"/>
  <c r="DM644" i="5" s="1"/>
  <c r="HW576" i="5"/>
  <c r="HW645" i="5" s="1"/>
  <c r="EP1135" i="5"/>
  <c r="EP475" i="5"/>
  <c r="CB1137" i="5"/>
  <c r="CB629" i="5"/>
  <c r="CK485" i="5"/>
  <c r="DE485" i="5"/>
  <c r="DY485" i="5"/>
  <c r="DY1137" i="5" s="1"/>
  <c r="ES485" i="5"/>
  <c r="DC1144" i="5"/>
  <c r="HV510" i="5"/>
  <c r="CC503" i="5"/>
  <c r="CC1142" i="5"/>
  <c r="CC636" i="5"/>
  <c r="CN1145" i="5"/>
  <c r="CN514" i="5"/>
  <c r="HU518" i="5"/>
  <c r="HS518" i="5"/>
  <c r="CN667" i="5"/>
  <c r="CN976" i="5" s="1"/>
  <c r="HQ668" i="5"/>
  <c r="HV668" i="5"/>
  <c r="DH667" i="5"/>
  <c r="EB667" i="5"/>
  <c r="IB668" i="5"/>
  <c r="IF668" i="5"/>
  <c r="EV667" i="5"/>
  <c r="EV976" i="5" s="1"/>
  <c r="DF667" i="5"/>
  <c r="HV674" i="5"/>
  <c r="FN1134" i="5"/>
  <c r="IK674" i="5"/>
  <c r="FM1143" i="5"/>
  <c r="FM754" i="5"/>
  <c r="FM982" i="5" s="1"/>
  <c r="IK755" i="5"/>
  <c r="DX754" i="5"/>
  <c r="DX982" i="5" s="1"/>
  <c r="HZ779" i="5"/>
  <c r="IK779" i="5"/>
  <c r="AN997" i="5"/>
  <c r="AN892" i="5"/>
  <c r="AN995" i="5" s="1"/>
  <c r="IP929" i="5"/>
  <c r="AG1248" i="2" s="1"/>
  <c r="DA929" i="5"/>
  <c r="DA928" i="5" s="1"/>
  <c r="DA920" i="5" s="1"/>
  <c r="HT930" i="5"/>
  <c r="HZ930" i="5"/>
  <c r="FD929" i="5"/>
  <c r="FD928" i="5" s="1"/>
  <c r="FD920" i="5" s="1"/>
  <c r="FD818" i="5"/>
  <c r="GZ899" i="5"/>
  <c r="CU1134" i="5"/>
  <c r="CU468" i="5"/>
  <c r="CU628" i="5" s="1"/>
  <c r="CU1135" i="5"/>
  <c r="HU473" i="5"/>
  <c r="HS473" i="5"/>
  <c r="CU475" i="5"/>
  <c r="DL1135" i="5"/>
  <c r="DL475" i="5"/>
  <c r="CL1144" i="5"/>
  <c r="I636" i="5"/>
  <c r="I503" i="5"/>
  <c r="AY1142" i="5"/>
  <c r="AY636" i="5"/>
  <c r="BN503" i="5"/>
  <c r="BN1142" i="5"/>
  <c r="BN636" i="5"/>
  <c r="CD1142" i="5"/>
  <c r="CD636" i="5"/>
  <c r="AC503" i="5"/>
  <c r="AC1149" i="5"/>
  <c r="BO1149" i="5"/>
  <c r="BO638" i="5"/>
  <c r="HQ755" i="5"/>
  <c r="CO754" i="5"/>
  <c r="CO982" i="5" s="1"/>
  <c r="HW755" i="5"/>
  <c r="DI754" i="5"/>
  <c r="EC754" i="5"/>
  <c r="EC982" i="5" s="1"/>
  <c r="IB755" i="5"/>
  <c r="EW754" i="5"/>
  <c r="EW982" i="5" s="1"/>
  <c r="IF755" i="5"/>
  <c r="CK754" i="5"/>
  <c r="CK982" i="5" s="1"/>
  <c r="HQ779" i="5"/>
  <c r="FD1155" i="5"/>
  <c r="IH899" i="5"/>
  <c r="FD898" i="5"/>
  <c r="FD893" i="5" s="1"/>
  <c r="Z997" i="5"/>
  <c r="Z892" i="5"/>
  <c r="Z995" i="5" s="1"/>
  <c r="AO997" i="5"/>
  <c r="AO892" i="5"/>
  <c r="AO995" i="5" s="1"/>
  <c r="BQ997" i="5"/>
  <c r="BQ892" i="5"/>
  <c r="BQ995" i="5" s="1"/>
  <c r="IQ705" i="5"/>
  <c r="AB465" i="5"/>
  <c r="AB626" i="5" s="1"/>
  <c r="AB1132" i="5"/>
  <c r="AB627" i="5"/>
  <c r="AU467" i="5"/>
  <c r="AU628" i="5"/>
  <c r="AU625" i="5"/>
  <c r="AU1133" i="5"/>
  <c r="DE1136" i="5"/>
  <c r="HV480" i="5"/>
  <c r="DE468" i="5"/>
  <c r="EG1136" i="5"/>
  <c r="EG468" i="5"/>
  <c r="ER1143" i="5"/>
  <c r="DF1144" i="5"/>
  <c r="I60" i="7"/>
  <c r="K60" i="7" s="1"/>
  <c r="IA526" i="5"/>
  <c r="CJ575" i="5"/>
  <c r="CJ644" i="5" s="1"/>
  <c r="CJ645" i="5"/>
  <c r="DU575" i="5"/>
  <c r="HZ575" i="5" s="1"/>
  <c r="HZ576" i="5"/>
  <c r="I106" i="7" s="1"/>
  <c r="K106" i="7" s="1"/>
  <c r="IP667" i="5"/>
  <c r="IO976" i="5"/>
  <c r="HQ671" i="5"/>
  <c r="HW671" i="5"/>
  <c r="IB671" i="5"/>
  <c r="IF671" i="5"/>
  <c r="IL671" i="5"/>
  <c r="HS672" i="5"/>
  <c r="HW672" i="5"/>
  <c r="IB672" i="5"/>
  <c r="IH672" i="5"/>
  <c r="IL672" i="5"/>
  <c r="HS675" i="5"/>
  <c r="IB675" i="5"/>
  <c r="IH675" i="5"/>
  <c r="HW677" i="5"/>
  <c r="HS678" i="5"/>
  <c r="IH678" i="5"/>
  <c r="IC679" i="5"/>
  <c r="BF981" i="5"/>
  <c r="AC982" i="5"/>
  <c r="HP780" i="5"/>
  <c r="CI754" i="5"/>
  <c r="CI982" i="5" s="1"/>
  <c r="HV780" i="5"/>
  <c r="DC754" i="5"/>
  <c r="DC982" i="5" s="1"/>
  <c r="IE780" i="5"/>
  <c r="EQ754" i="5"/>
  <c r="EQ982" i="5" s="1"/>
  <c r="IK780" i="5"/>
  <c r="FK754" i="5"/>
  <c r="AF1593" i="2"/>
  <c r="IP870" i="5"/>
  <c r="AG1187" i="2" s="1"/>
  <c r="AF1617" i="2"/>
  <c r="AH996" i="5"/>
  <c r="AH892" i="5"/>
  <c r="AH995" i="5" s="1"/>
  <c r="BJ892" i="5"/>
  <c r="BJ995" i="5" s="1"/>
  <c r="BJ996" i="5"/>
  <c r="M997" i="5"/>
  <c r="M892" i="5"/>
  <c r="M995" i="5" s="1"/>
  <c r="K1133" i="5"/>
  <c r="K467" i="5"/>
  <c r="K625" i="5"/>
  <c r="K628" i="5"/>
  <c r="AB628" i="5"/>
  <c r="AB625" i="5"/>
  <c r="AB1133" i="5"/>
  <c r="AS467" i="5"/>
  <c r="AS625" i="5"/>
  <c r="AS1133" i="5"/>
  <c r="BJ467" i="5"/>
  <c r="BJ1132" i="5" s="1"/>
  <c r="BJ628" i="5"/>
  <c r="CB628" i="5"/>
  <c r="CB625" i="5"/>
  <c r="CE1134" i="5"/>
  <c r="CE468" i="5"/>
  <c r="G44" i="7"/>
  <c r="H44" i="7" s="1"/>
  <c r="IA508" i="5"/>
  <c r="BO1142" i="5"/>
  <c r="BO636" i="5"/>
  <c r="BO503" i="5"/>
  <c r="BO573" i="5" s="1"/>
  <c r="EM514" i="5"/>
  <c r="EM1145" i="5"/>
  <c r="IE515" i="5"/>
  <c r="N51" i="7" s="1"/>
  <c r="CR492" i="5"/>
  <c r="HS493" i="5"/>
  <c r="DG492" i="5"/>
  <c r="DG491" i="5" s="1"/>
  <c r="HV494" i="5"/>
  <c r="CS633" i="5"/>
  <c r="CS543" i="5"/>
  <c r="O70" i="7"/>
  <c r="IG538" i="5"/>
  <c r="P70" i="7" s="1"/>
  <c r="BQ976" i="5"/>
  <c r="CV667" i="5"/>
  <c r="CV976" i="5" s="1"/>
  <c r="DP667" i="5"/>
  <c r="EJ667" i="5"/>
  <c r="EJ976" i="5" s="1"/>
  <c r="FB667" i="5"/>
  <c r="FB1134" i="5"/>
  <c r="AR977" i="5"/>
  <c r="FL722" i="5"/>
  <c r="FL1139" i="5"/>
  <c r="FL979" i="5"/>
  <c r="IK723" i="5"/>
  <c r="CZ818" i="5"/>
  <c r="CZ722" i="5"/>
  <c r="FH722" i="5"/>
  <c r="II724" i="5"/>
  <c r="FH818" i="5"/>
  <c r="II728" i="5"/>
  <c r="FE1140" i="5"/>
  <c r="CZ980" i="5"/>
  <c r="CR1136" i="5"/>
  <c r="HS480" i="5"/>
  <c r="AL1138" i="5"/>
  <c r="AL631" i="5"/>
  <c r="DC1140" i="5"/>
  <c r="DC633" i="5"/>
  <c r="CJ1143" i="5"/>
  <c r="CZ1143" i="5"/>
  <c r="DX722" i="5"/>
  <c r="DX979" i="5"/>
  <c r="HZ723" i="5"/>
  <c r="CF818" i="5"/>
  <c r="HP724" i="5"/>
  <c r="CF722" i="5"/>
  <c r="DT722" i="5"/>
  <c r="DT980" i="5"/>
  <c r="IU870" i="5"/>
  <c r="HC718" i="5"/>
  <c r="IU719" i="5"/>
  <c r="BU631" i="5"/>
  <c r="CL1140" i="5"/>
  <c r="CL543" i="5"/>
  <c r="BJ625" i="5"/>
  <c r="BJ1133" i="5"/>
  <c r="DV1140" i="5"/>
  <c r="DV543" i="5"/>
  <c r="EC1143" i="5"/>
  <c r="BS503" i="5"/>
  <c r="BS1149" i="5"/>
  <c r="BS638" i="5"/>
  <c r="IG539" i="5"/>
  <c r="P71" i="7" s="1"/>
  <c r="N71" i="7"/>
  <c r="HT554" i="5"/>
  <c r="CX550" i="5"/>
  <c r="CK645" i="5"/>
  <c r="CK575" i="5"/>
  <c r="CK644" i="5" s="1"/>
  <c r="DD645" i="5"/>
  <c r="DD575" i="5"/>
  <c r="DD644" i="5" s="1"/>
  <c r="HV576" i="5"/>
  <c r="BK467" i="5"/>
  <c r="BK628" i="5"/>
  <c r="BK1133" i="5"/>
  <c r="CC467" i="5"/>
  <c r="CC628" i="5"/>
  <c r="CC625" i="5"/>
  <c r="CF1134" i="5"/>
  <c r="CF468" i="5"/>
  <c r="ER1135" i="5"/>
  <c r="ER468" i="5"/>
  <c r="DR1136" i="5"/>
  <c r="HY480" i="5"/>
  <c r="HW481" i="5"/>
  <c r="F21" i="7" s="1"/>
  <c r="Y567" i="5"/>
  <c r="Y569" i="5"/>
  <c r="Y1142" i="5"/>
  <c r="AZ503" i="5"/>
  <c r="AZ1142" i="5"/>
  <c r="DV529" i="5"/>
  <c r="DV1148" i="5" s="1"/>
  <c r="HZ532" i="5"/>
  <c r="I64" i="7" s="1"/>
  <c r="K64" i="7" s="1"/>
  <c r="EN550" i="5"/>
  <c r="EN1152" i="5" s="1"/>
  <c r="IE551" i="5"/>
  <c r="EM550" i="5"/>
  <c r="IE553" i="5"/>
  <c r="CU550" i="5"/>
  <c r="HS554" i="5"/>
  <c r="HU554" i="5"/>
  <c r="HU558" i="5"/>
  <c r="HT558" i="5"/>
  <c r="C89" i="7" s="1"/>
  <c r="IE558" i="5"/>
  <c r="IE559" i="5"/>
  <c r="CV600" i="5"/>
  <c r="CV598" i="5" s="1"/>
  <c r="CV1155" i="5" s="1"/>
  <c r="CV550" i="5"/>
  <c r="HC730" i="5"/>
  <c r="HC1137" i="5" s="1"/>
  <c r="DV1146" i="5"/>
  <c r="HZ518" i="5"/>
  <c r="I53" i="7" s="1"/>
  <c r="K53" i="7" s="1"/>
  <c r="AJ1149" i="5"/>
  <c r="AJ503" i="5"/>
  <c r="BW503" i="5"/>
  <c r="BW638" i="5"/>
  <c r="X1153" i="5"/>
  <c r="X651" i="5"/>
  <c r="HY708" i="5"/>
  <c r="DO707" i="5"/>
  <c r="CF979" i="5"/>
  <c r="CF718" i="5"/>
  <c r="CZ718" i="5"/>
  <c r="CZ979" i="5"/>
  <c r="DT718" i="5"/>
  <c r="DT979" i="5"/>
  <c r="EN718" i="5"/>
  <c r="EN979" i="5"/>
  <c r="FH718" i="5"/>
  <c r="FH1139" i="5"/>
  <c r="DN980" i="5"/>
  <c r="DN718" i="5"/>
  <c r="EH818" i="5"/>
  <c r="EH987" i="5" s="1"/>
  <c r="EH718" i="5"/>
  <c r="EH980" i="5"/>
  <c r="FV818" i="5"/>
  <c r="FV980" i="5"/>
  <c r="FV718" i="5"/>
  <c r="CL722" i="5"/>
  <c r="HQ723" i="5"/>
  <c r="ET722" i="5"/>
  <c r="IF723" i="5"/>
  <c r="ET979" i="5"/>
  <c r="FN722" i="5"/>
  <c r="FN979" i="5"/>
  <c r="DB980" i="5"/>
  <c r="DB818" i="5"/>
  <c r="DV980" i="5"/>
  <c r="HZ724" i="5"/>
  <c r="EP722" i="5"/>
  <c r="EP980" i="5"/>
  <c r="EP818" i="5"/>
  <c r="FJ722" i="5"/>
  <c r="FJ818" i="5"/>
  <c r="FJ1140" i="5"/>
  <c r="FJ980" i="5"/>
  <c r="E997" i="5"/>
  <c r="E892" i="5"/>
  <c r="E995" i="5" s="1"/>
  <c r="AE997" i="5"/>
  <c r="AE892" i="5"/>
  <c r="AE995" i="5" s="1"/>
  <c r="Z1669" i="2"/>
  <c r="Z1667" i="2" s="1"/>
  <c r="DH1075" i="5"/>
  <c r="CS1078" i="5"/>
  <c r="HX18" i="5"/>
  <c r="HX34" i="5"/>
  <c r="HX101" i="5"/>
  <c r="DU475" i="5"/>
  <c r="HZ473" i="5"/>
  <c r="I13" i="7" s="1"/>
  <c r="K13" i="7" s="1"/>
  <c r="DU1135" i="5"/>
  <c r="DB1143" i="5"/>
  <c r="R636" i="5"/>
  <c r="R1142" i="5"/>
  <c r="EU1145" i="5"/>
  <c r="EU514" i="5"/>
  <c r="G1153" i="5"/>
  <c r="G651" i="5"/>
  <c r="HU595" i="5"/>
  <c r="HV597" i="5"/>
  <c r="DF598" i="5"/>
  <c r="DF1155" i="5" s="1"/>
  <c r="DG611" i="5"/>
  <c r="DG610" i="5" s="1"/>
  <c r="DG1156" i="5" s="1"/>
  <c r="HV612" i="5"/>
  <c r="CQ611" i="5"/>
  <c r="CQ610" i="5" s="1"/>
  <c r="CQ1156" i="5" s="1"/>
  <c r="HS613" i="5"/>
  <c r="HY614" i="5"/>
  <c r="S976" i="5"/>
  <c r="FF1134" i="5"/>
  <c r="FF667" i="5"/>
  <c r="CH898" i="5"/>
  <c r="CH893" i="5" s="1"/>
  <c r="HP906" i="5"/>
  <c r="DB898" i="5"/>
  <c r="HT906" i="5"/>
  <c r="AF1613" i="2"/>
  <c r="IP906" i="5"/>
  <c r="AG1227" i="2" s="1"/>
  <c r="AG1614" i="2" s="1"/>
  <c r="AF1581" i="2"/>
  <c r="EV470" i="5"/>
  <c r="EV1134" i="5" s="1"/>
  <c r="IF471" i="5"/>
  <c r="CN1135" i="5"/>
  <c r="CN468" i="5"/>
  <c r="DE1146" i="5"/>
  <c r="DE514" i="5"/>
  <c r="DC529" i="5"/>
  <c r="N100" i="7"/>
  <c r="IG570" i="5"/>
  <c r="P100" i="7" s="1"/>
  <c r="ET575" i="5"/>
  <c r="IF575" i="5" s="1"/>
  <c r="O105" i="7" s="1"/>
  <c r="IF576" i="5"/>
  <c r="O106" i="7" s="1"/>
  <c r="DO514" i="5"/>
  <c r="DO1145" i="5"/>
  <c r="HY515" i="5"/>
  <c r="EW1145" i="5"/>
  <c r="EW514" i="5"/>
  <c r="HX47" i="5"/>
  <c r="HX53" i="5"/>
  <c r="HX63" i="5"/>
  <c r="HX94" i="5"/>
  <c r="HX115" i="5"/>
  <c r="HX185" i="5"/>
  <c r="ES1143" i="5"/>
  <c r="IF506" i="5"/>
  <c r="O42" i="7" s="1"/>
  <c r="CX1147" i="5"/>
  <c r="HT521" i="5"/>
  <c r="C55" i="7" s="1"/>
  <c r="AP997" i="5"/>
  <c r="AP892" i="5"/>
  <c r="HX48" i="5"/>
  <c r="HX95" i="5"/>
  <c r="HX118" i="5"/>
  <c r="HX153" i="5"/>
  <c r="HX186" i="5"/>
  <c r="HX193" i="5"/>
  <c r="HX211" i="5"/>
  <c r="AJ1133" i="5"/>
  <c r="AJ628" i="5"/>
  <c r="AJ625" i="5"/>
  <c r="EX1135" i="5"/>
  <c r="EX475" i="5"/>
  <c r="HT476" i="5"/>
  <c r="C16" i="7" s="1"/>
  <c r="IE478" i="5"/>
  <c r="HW480" i="5"/>
  <c r="F20" i="7" s="1"/>
  <c r="CU485" i="5"/>
  <c r="HU486" i="5"/>
  <c r="HS486" i="5"/>
  <c r="DO485" i="5"/>
  <c r="HY486" i="5"/>
  <c r="BT636" i="5"/>
  <c r="BT503" i="5"/>
  <c r="DV550" i="5"/>
  <c r="DV1152" i="5" s="1"/>
  <c r="EP550" i="5"/>
  <c r="EP1152" i="5" s="1"/>
  <c r="HS726" i="5"/>
  <c r="HS727" i="5"/>
  <c r="IC727" i="5"/>
  <c r="IC728" i="5"/>
  <c r="AZ569" i="5"/>
  <c r="DP1145" i="5"/>
  <c r="DP514" i="5"/>
  <c r="DR1150" i="5"/>
  <c r="HY537" i="5"/>
  <c r="CQ575" i="5"/>
  <c r="CQ644" i="5" s="1"/>
  <c r="CQ645" i="5"/>
  <c r="BG1153" i="5"/>
  <c r="BG651" i="5"/>
  <c r="CU585" i="5"/>
  <c r="CU584" i="5" s="1"/>
  <c r="HU586" i="5"/>
  <c r="DN585" i="5"/>
  <c r="DN584" i="5" s="1"/>
  <c r="DN543" i="5"/>
  <c r="DI611" i="5"/>
  <c r="HW612" i="5"/>
  <c r="F139" i="7" s="1"/>
  <c r="AD977" i="5"/>
  <c r="HV600" i="5"/>
  <c r="CZ1145" i="5"/>
  <c r="CZ514" i="5"/>
  <c r="DS600" i="5"/>
  <c r="DS598" i="5" s="1"/>
  <c r="DS1155" i="5" s="1"/>
  <c r="HY561" i="5"/>
  <c r="G92" i="7" s="1"/>
  <c r="DQ1135" i="5"/>
  <c r="HY473" i="5"/>
  <c r="DQ475" i="5"/>
  <c r="HU474" i="5"/>
  <c r="EX1145" i="5"/>
  <c r="EX514" i="5"/>
  <c r="EU529" i="5"/>
  <c r="EU1148" i="5" s="1"/>
  <c r="EW585" i="5"/>
  <c r="EW584" i="5" s="1"/>
  <c r="IF586" i="5"/>
  <c r="O116" i="7" s="1"/>
  <c r="IF591" i="5"/>
  <c r="O120" i="7" s="1"/>
  <c r="K121" i="7"/>
  <c r="IH755" i="5"/>
  <c r="EY754" i="5"/>
  <c r="BI996" i="5"/>
  <c r="BI892" i="5"/>
  <c r="CI468" i="5"/>
  <c r="DW529" i="5"/>
  <c r="HX104" i="5"/>
  <c r="HX167" i="5"/>
  <c r="CQ1134" i="5"/>
  <c r="EX468" i="5"/>
  <c r="IE486" i="5"/>
  <c r="E1138" i="5"/>
  <c r="E465" i="5"/>
  <c r="E631" i="5"/>
  <c r="O1142" i="5"/>
  <c r="O636" i="5"/>
  <c r="BC503" i="5"/>
  <c r="KM505" i="5"/>
  <c r="CS1145" i="5"/>
  <c r="HZ516" i="5"/>
  <c r="F997" i="5"/>
  <c r="F892" i="5"/>
  <c r="F995" i="5" s="1"/>
  <c r="BQ651" i="5"/>
  <c r="Z567" i="5"/>
  <c r="Z1132" i="5"/>
  <c r="Z569" i="5"/>
  <c r="AQ1133" i="5"/>
  <c r="AQ628" i="5"/>
  <c r="BF628" i="5"/>
  <c r="BF625" i="5"/>
  <c r="BX625" i="5"/>
  <c r="BX467" i="5"/>
  <c r="DZ1136" i="5"/>
  <c r="HZ480" i="5"/>
  <c r="I20" i="7" s="1"/>
  <c r="EW527" i="5"/>
  <c r="EW485" i="5"/>
  <c r="KN505" i="5"/>
  <c r="AT1149" i="5"/>
  <c r="AT638" i="5"/>
  <c r="BM1149" i="5"/>
  <c r="BM638" i="5"/>
  <c r="HY552" i="5"/>
  <c r="EI550" i="5"/>
  <c r="EI1152" i="5" s="1"/>
  <c r="IF719" i="5"/>
  <c r="ES718" i="5"/>
  <c r="CY980" i="5"/>
  <c r="CY818" i="5"/>
  <c r="EY722" i="5"/>
  <c r="EY1139" i="5"/>
  <c r="DG980" i="5"/>
  <c r="HV724" i="5"/>
  <c r="EU980" i="5"/>
  <c r="EU818" i="5"/>
  <c r="EU722" i="5"/>
  <c r="FO818" i="5"/>
  <c r="FO722" i="5"/>
  <c r="FO980" i="5"/>
  <c r="FO1140" i="5"/>
  <c r="FM1155" i="5"/>
  <c r="FM898" i="5"/>
  <c r="AA625" i="5"/>
  <c r="AA628" i="5"/>
  <c r="BY467" i="5"/>
  <c r="BY569" i="5" s="1"/>
  <c r="BY1133" i="5"/>
  <c r="BY628" i="5"/>
  <c r="BY625" i="5"/>
  <c r="CO1143" i="5"/>
  <c r="DL1144" i="5"/>
  <c r="HW510" i="5"/>
  <c r="F46" i="7" s="1"/>
  <c r="AD1142" i="5"/>
  <c r="AD636" i="5"/>
  <c r="AD503" i="5"/>
  <c r="AQ503" i="5"/>
  <c r="AQ636" i="5"/>
  <c r="BD1142" i="5"/>
  <c r="BD636" i="5"/>
  <c r="BD503" i="5"/>
  <c r="BU636" i="5"/>
  <c r="HU530" i="5"/>
  <c r="HU531" i="5"/>
  <c r="HY531" i="5"/>
  <c r="L1149" i="5"/>
  <c r="L638" i="5"/>
  <c r="AU1149" i="5"/>
  <c r="AU638" i="5"/>
  <c r="CP1150" i="5"/>
  <c r="EA598" i="5"/>
  <c r="EA1155" i="5" s="1"/>
  <c r="HV701" i="5"/>
  <c r="IK701" i="5"/>
  <c r="FF1143" i="5"/>
  <c r="FF754" i="5"/>
  <c r="FF982" i="5" s="1"/>
  <c r="II755" i="5"/>
  <c r="IM903" i="5"/>
  <c r="AF1224" i="2" s="1"/>
  <c r="IL905" i="5"/>
  <c r="AF1632" i="2" s="1"/>
  <c r="AF1608" i="2"/>
  <c r="AF1607" i="2" s="1"/>
  <c r="IM915" i="5"/>
  <c r="AF1234" i="2" s="1"/>
  <c r="AF1610" i="2" s="1"/>
  <c r="HY206" i="5"/>
  <c r="E22" i="7"/>
  <c r="CW1140" i="5"/>
  <c r="CW633" i="5"/>
  <c r="CW543" i="5"/>
  <c r="CI497" i="5"/>
  <c r="CI546" i="5"/>
  <c r="EN598" i="5"/>
  <c r="EN1155" i="5" s="1"/>
  <c r="CT707" i="5"/>
  <c r="CT977" i="5" s="1"/>
  <c r="DN707" i="5"/>
  <c r="DN977" i="5" s="1"/>
  <c r="FB707" i="5"/>
  <c r="HS711" i="5"/>
  <c r="IB715" i="5"/>
  <c r="HP719" i="5"/>
  <c r="CY718" i="5"/>
  <c r="EG818" i="5"/>
  <c r="IC721" i="5"/>
  <c r="FU818" i="5"/>
  <c r="FU718" i="5"/>
  <c r="DF822" i="5"/>
  <c r="HV829" i="5"/>
  <c r="CK993" i="5"/>
  <c r="CK856" i="5"/>
  <c r="IR706" i="5"/>
  <c r="IR692" i="5"/>
  <c r="DY1134" i="5"/>
  <c r="DY468" i="5"/>
  <c r="CL485" i="5"/>
  <c r="DU529" i="5"/>
  <c r="EO529" i="5"/>
  <c r="EO1148" i="5" s="1"/>
  <c r="EO550" i="5"/>
  <c r="EO1152" i="5" s="1"/>
  <c r="IE552" i="5"/>
  <c r="E91" i="7"/>
  <c r="HV683" i="5"/>
  <c r="HW685" i="5"/>
  <c r="IL686" i="5"/>
  <c r="IB899" i="5"/>
  <c r="FO1155" i="5"/>
  <c r="FO898" i="5"/>
  <c r="FO893" i="5" s="1"/>
  <c r="P1133" i="5"/>
  <c r="P628" i="5"/>
  <c r="IF481" i="5"/>
  <c r="IE482" i="5"/>
  <c r="CD467" i="5"/>
  <c r="DR529" i="5"/>
  <c r="DR1148" i="5" s="1"/>
  <c r="DT645" i="5"/>
  <c r="DT575" i="5"/>
  <c r="DT644" i="5" s="1"/>
  <c r="BR996" i="5"/>
  <c r="BR892" i="5"/>
  <c r="BR995" i="5" s="1"/>
  <c r="Y1678" i="2"/>
  <c r="Y1676" i="2" s="1"/>
  <c r="HX14" i="5"/>
  <c r="HX90" i="5"/>
  <c r="HX123" i="5"/>
  <c r="HX155" i="5"/>
  <c r="HV520" i="5"/>
  <c r="HZ520" i="5"/>
  <c r="CQ1150" i="5"/>
  <c r="HS537" i="5"/>
  <c r="HU537" i="5"/>
  <c r="HY558" i="5"/>
  <c r="DW550" i="5"/>
  <c r="DW1152" i="5" s="1"/>
  <c r="CV645" i="5"/>
  <c r="CV575" i="5"/>
  <c r="CV644" i="5" s="1"/>
  <c r="IC698" i="5"/>
  <c r="HP701" i="5"/>
  <c r="IE701" i="5"/>
  <c r="HP702" i="5"/>
  <c r="IE702" i="5"/>
  <c r="HZ703" i="5"/>
  <c r="HV704" i="5"/>
  <c r="IK704" i="5"/>
  <c r="HQ705" i="5"/>
  <c r="IF705" i="5"/>
  <c r="HQ706" i="5"/>
  <c r="DZ667" i="5"/>
  <c r="DZ976" i="5" s="1"/>
  <c r="IF706" i="5"/>
  <c r="IS851" i="5"/>
  <c r="IS887" i="5"/>
  <c r="AH1208" i="2" s="1"/>
  <c r="HB899" i="5"/>
  <c r="GN928" i="5"/>
  <c r="GN920" i="5" s="1"/>
  <c r="GN1153" i="5" s="1"/>
  <c r="IQ929" i="5"/>
  <c r="IQ703" i="5"/>
  <c r="IR701" i="5"/>
  <c r="HX100" i="5"/>
  <c r="HX126" i="5"/>
  <c r="DM1136" i="5"/>
  <c r="F1138" i="5"/>
  <c r="HW520" i="5"/>
  <c r="F54" i="7" s="1"/>
  <c r="HY541" i="5"/>
  <c r="CL645" i="5"/>
  <c r="CL575" i="5"/>
  <c r="CL644" i="5" s="1"/>
  <c r="HP899" i="5"/>
  <c r="EY1155" i="5"/>
  <c r="EY898" i="5"/>
  <c r="CR1084" i="5"/>
  <c r="DL1083" i="5"/>
  <c r="IS776" i="5"/>
  <c r="AH1091" i="2" s="1"/>
  <c r="HX107" i="5"/>
  <c r="AT628" i="5"/>
  <c r="AT625" i="5"/>
  <c r="CM497" i="5"/>
  <c r="CM546" i="5"/>
  <c r="CV730" i="5"/>
  <c r="CV981" i="5" s="1"/>
  <c r="HS731" i="5"/>
  <c r="EZ898" i="5"/>
  <c r="EZ893" i="5" s="1"/>
  <c r="EZ1155" i="5"/>
  <c r="IP902" i="5"/>
  <c r="AG1223" i="2" s="1"/>
  <c r="AF1629" i="2"/>
  <c r="AF1633" i="2"/>
  <c r="DI550" i="5"/>
  <c r="HZ609" i="5"/>
  <c r="I136" i="7" s="1"/>
  <c r="FR1143" i="5"/>
  <c r="FR754" i="5"/>
  <c r="FR982" i="5" s="1"/>
  <c r="AF1616" i="2"/>
  <c r="IM870" i="5"/>
  <c r="AF1187" i="2" s="1"/>
  <c r="IS727" i="5"/>
  <c r="AH1049" i="2" s="1"/>
  <c r="AH1305" i="2" s="1"/>
  <c r="AH1392" i="2" s="1"/>
  <c r="IU755" i="5"/>
  <c r="IU697" i="5"/>
  <c r="AY1133" i="5"/>
  <c r="AY467" i="5"/>
  <c r="DF485" i="5"/>
  <c r="CM485" i="5"/>
  <c r="DG485" i="5"/>
  <c r="K36" i="7"/>
  <c r="CR1145" i="5"/>
  <c r="CR514" i="5"/>
  <c r="DL1146" i="5"/>
  <c r="DL514" i="5"/>
  <c r="IE591" i="5"/>
  <c r="EN585" i="5"/>
  <c r="EL707" i="5"/>
  <c r="II710" i="5"/>
  <c r="IC714" i="5"/>
  <c r="AH717" i="5"/>
  <c r="BB717" i="5"/>
  <c r="CS818" i="5"/>
  <c r="CS987" i="5" s="1"/>
  <c r="HR1089" i="5"/>
  <c r="D1681" i="2"/>
  <c r="IV930" i="5"/>
  <c r="AI1249" i="2" s="1"/>
  <c r="IT929" i="5"/>
  <c r="IT928" i="5" s="1"/>
  <c r="IT920" i="5" s="1"/>
  <c r="CH754" i="5"/>
  <c r="AM993" i="5"/>
  <c r="AM856" i="5"/>
  <c r="AM992" i="5" s="1"/>
  <c r="BW993" i="5"/>
  <c r="BW856" i="5"/>
  <c r="N892" i="5"/>
  <c r="N995" i="5" s="1"/>
  <c r="BD856" i="5"/>
  <c r="BD992" i="5" s="1"/>
  <c r="DV754" i="5"/>
  <c r="DP497" i="5"/>
  <c r="HY498" i="5"/>
  <c r="HZ507" i="5"/>
  <c r="HU542" i="5"/>
  <c r="HV564" i="5"/>
  <c r="D94" i="7" s="1"/>
  <c r="CR822" i="5"/>
  <c r="DL822" i="5"/>
  <c r="EF822" i="5"/>
  <c r="IO993" i="5"/>
  <c r="AG1576" i="2"/>
  <c r="DF1078" i="5"/>
  <c r="DI1078" i="5"/>
  <c r="CX1084" i="5"/>
  <c r="HR1088" i="5"/>
  <c r="D1680" i="2"/>
  <c r="CT1091" i="5"/>
  <c r="IP822" i="5"/>
  <c r="EI610" i="5"/>
  <c r="EE1140" i="5"/>
  <c r="EE543" i="5"/>
  <c r="AG1636" i="2"/>
  <c r="AG1635" i="2" s="1"/>
  <c r="AG1628" i="2"/>
  <c r="CQ1078" i="5"/>
  <c r="IQ671" i="5"/>
  <c r="IV831" i="5"/>
  <c r="AI1147" i="2" s="1"/>
  <c r="AJ1147" i="2" s="1"/>
  <c r="IY831" i="5" s="1"/>
  <c r="IX831" i="5" s="1"/>
  <c r="HX9" i="5"/>
  <c r="HX28" i="5"/>
  <c r="HX46" i="5"/>
  <c r="HX93" i="5"/>
  <c r="HX113" i="5"/>
  <c r="HX150" i="5"/>
  <c r="HY474" i="5"/>
  <c r="CV475" i="5"/>
  <c r="DP475" i="5"/>
  <c r="EJ475" i="5"/>
  <c r="CE475" i="5"/>
  <c r="HT477" i="5"/>
  <c r="C17" i="7" s="1"/>
  <c r="IE477" i="5"/>
  <c r="HZ478" i="5"/>
  <c r="EO475" i="5"/>
  <c r="HU497" i="5"/>
  <c r="HU633" i="5" s="1"/>
  <c r="EV585" i="5"/>
  <c r="HQ677" i="5"/>
  <c r="HV677" i="5"/>
  <c r="IB677" i="5"/>
  <c r="IF677" i="5"/>
  <c r="IK677" i="5"/>
  <c r="HQ678" i="5"/>
  <c r="HW678" i="5"/>
  <c r="IB678" i="5"/>
  <c r="IF678" i="5"/>
  <c r="IL678" i="5"/>
  <c r="HS679" i="5"/>
  <c r="HW679" i="5"/>
  <c r="IB679" i="5"/>
  <c r="IH679" i="5"/>
  <c r="IL679" i="5"/>
  <c r="HS680" i="5"/>
  <c r="HW680" i="5"/>
  <c r="IC680" i="5"/>
  <c r="IH680" i="5"/>
  <c r="IL680" i="5"/>
  <c r="HS681" i="5"/>
  <c r="IJ907" i="5"/>
  <c r="AE1228" i="2" s="1"/>
  <c r="IP920" i="5"/>
  <c r="IP924" i="5"/>
  <c r="AG1243" i="2" s="1"/>
  <c r="GT754" i="5"/>
  <c r="FL993" i="5"/>
  <c r="FL856" i="5"/>
  <c r="AE1620" i="2"/>
  <c r="AE1628" i="2"/>
  <c r="HV906" i="5"/>
  <c r="IP909" i="5"/>
  <c r="AG1230" i="2" s="1"/>
  <c r="GX730" i="5"/>
  <c r="GX1137" i="5" s="1"/>
  <c r="GY718" i="5"/>
  <c r="GY818" i="5"/>
  <c r="HS487" i="5"/>
  <c r="DF492" i="5"/>
  <c r="HW537" i="5"/>
  <c r="DI1150" i="5"/>
  <c r="HT696" i="5"/>
  <c r="IC696" i="5"/>
  <c r="HT697" i="5"/>
  <c r="IB706" i="5"/>
  <c r="HS713" i="5"/>
  <c r="HY721" i="5"/>
  <c r="EI818" i="5"/>
  <c r="EI980" i="5"/>
  <c r="EQ980" i="5"/>
  <c r="EQ818" i="5"/>
  <c r="GL722" i="5"/>
  <c r="IT704" i="5"/>
  <c r="IV710" i="5"/>
  <c r="AI1032" i="2" s="1"/>
  <c r="IV804" i="5"/>
  <c r="AI1120" i="2" s="1"/>
  <c r="HZ476" i="5"/>
  <c r="IF476" i="5"/>
  <c r="ET529" i="5"/>
  <c r="IE533" i="5"/>
  <c r="IB681" i="5"/>
  <c r="HP689" i="5"/>
  <c r="HZ702" i="5"/>
  <c r="FE707" i="5"/>
  <c r="IH714" i="5"/>
  <c r="EJ818" i="5"/>
  <c r="IR788" i="5"/>
  <c r="IR736" i="5"/>
  <c r="IR732" i="5"/>
  <c r="GS667" i="5"/>
  <c r="GS1133" i="5" s="1"/>
  <c r="GQ718" i="5"/>
  <c r="GO730" i="5"/>
  <c r="GO1137" i="5" s="1"/>
  <c r="IV796" i="5"/>
  <c r="AI1112" i="2" s="1"/>
  <c r="CF485" i="5"/>
  <c r="CG485" i="5"/>
  <c r="CK523" i="5"/>
  <c r="CT645" i="5"/>
  <c r="CT575" i="5"/>
  <c r="CT644" i="5" s="1"/>
  <c r="K107" i="7"/>
  <c r="IS770" i="5"/>
  <c r="IS935" i="5"/>
  <c r="AH1255" i="2" s="1"/>
  <c r="IS921" i="5"/>
  <c r="AH1240" i="2" s="1"/>
  <c r="IS907" i="5"/>
  <c r="AH1228" i="2" s="1"/>
  <c r="IS863" i="5"/>
  <c r="AH1180" i="2" s="1"/>
  <c r="IS676" i="5"/>
  <c r="AH998" i="2" s="1"/>
  <c r="IV787" i="5"/>
  <c r="AI1101" i="2" s="1"/>
  <c r="HZ511" i="5"/>
  <c r="I47" i="7" s="1"/>
  <c r="K47" i="7" s="1"/>
  <c r="S503" i="5"/>
  <c r="E81" i="7"/>
  <c r="DS550" i="5"/>
  <c r="CP1084" i="5"/>
  <c r="E38" i="7"/>
  <c r="HW613" i="5"/>
  <c r="HS669" i="5"/>
  <c r="HY669" i="5"/>
  <c r="IC669" i="5"/>
  <c r="IH669" i="5"/>
  <c r="EI898" i="5"/>
  <c r="EI893" i="5" s="1"/>
  <c r="IR703" i="5"/>
  <c r="IR680" i="5"/>
  <c r="IQ677" i="5"/>
  <c r="IR672" i="5"/>
  <c r="GN667" i="5"/>
  <c r="GN1133" i="5" s="1"/>
  <c r="IV797" i="5"/>
  <c r="AI1113" i="2" s="1"/>
  <c r="HF818" i="5"/>
  <c r="HE718" i="5"/>
  <c r="GV730" i="5"/>
  <c r="GV1137" i="5" s="1"/>
  <c r="HX133" i="5"/>
  <c r="HX212" i="5"/>
  <c r="HS497" i="5"/>
  <c r="HS633" i="5" s="1"/>
  <c r="DY529" i="5"/>
  <c r="FV1134" i="5"/>
  <c r="IP679" i="5"/>
  <c r="AG1001" i="2" s="1"/>
  <c r="AG450" i="2" s="1"/>
  <c r="IE813" i="5"/>
  <c r="IP886" i="5"/>
  <c r="AG1207" i="2" s="1"/>
  <c r="GK899" i="5"/>
  <c r="IS670" i="5"/>
  <c r="AH992" i="2" s="1"/>
  <c r="GJ722" i="5"/>
  <c r="IU685" i="5"/>
  <c r="HX204" i="5"/>
  <c r="CN600" i="5"/>
  <c r="CN598" i="5" s="1"/>
  <c r="CN1155" i="5" s="1"/>
  <c r="CN550" i="5"/>
  <c r="EE598" i="5"/>
  <c r="EE1155" i="5" s="1"/>
  <c r="IR864" i="5"/>
  <c r="IQ684" i="5"/>
  <c r="DH475" i="5"/>
  <c r="DY598" i="5"/>
  <c r="DY1155" i="5" s="1"/>
  <c r="DL611" i="5"/>
  <c r="DL610" i="5" s="1"/>
  <c r="DL1156" i="5" s="1"/>
  <c r="HY732" i="5"/>
  <c r="CO822" i="5"/>
  <c r="BU993" i="5"/>
  <c r="BU856" i="5"/>
  <c r="GI857" i="5"/>
  <c r="GI856" i="5" s="1"/>
  <c r="IR757" i="5"/>
  <c r="IQ811" i="5"/>
  <c r="IS738" i="5"/>
  <c r="AH1060" i="2" s="1"/>
  <c r="IR690" i="5"/>
  <c r="BC467" i="5"/>
  <c r="BC625" i="5"/>
  <c r="EF475" i="5"/>
  <c r="DM550" i="5"/>
  <c r="CO645" i="5"/>
  <c r="CO575" i="5"/>
  <c r="CO644" i="5" s="1"/>
  <c r="CK585" i="5"/>
  <c r="CK584" i="5" s="1"/>
  <c r="EG598" i="5"/>
  <c r="EG1155" i="5" s="1"/>
  <c r="EO754" i="5"/>
  <c r="EO982" i="5" s="1"/>
  <c r="HF899" i="5"/>
  <c r="GO754" i="5"/>
  <c r="IU692" i="5"/>
  <c r="IU702" i="5"/>
  <c r="AS1120" i="5"/>
  <c r="HQ732" i="5"/>
  <c r="HV732" i="5"/>
  <c r="IB732" i="5"/>
  <c r="IF732" i="5"/>
  <c r="IK732" i="5"/>
  <c r="HQ733" i="5"/>
  <c r="HW733" i="5"/>
  <c r="IB733" i="5"/>
  <c r="IF733" i="5"/>
  <c r="IL733" i="5"/>
  <c r="HS734" i="5"/>
  <c r="HW734" i="5"/>
  <c r="IB734" i="5"/>
  <c r="IH734" i="5"/>
  <c r="IL734" i="5"/>
  <c r="HS735" i="5"/>
  <c r="HW735" i="5"/>
  <c r="IC735" i="5"/>
  <c r="IH735" i="5"/>
  <c r="IL735" i="5"/>
  <c r="HS736" i="5"/>
  <c r="HY736" i="5"/>
  <c r="IC736" i="5"/>
  <c r="IH736" i="5"/>
  <c r="HP738" i="5"/>
  <c r="HT738" i="5"/>
  <c r="HY738" i="5"/>
  <c r="IE738" i="5"/>
  <c r="II738" i="5"/>
  <c r="HP739" i="5"/>
  <c r="HT739" i="5"/>
  <c r="HZ739" i="5"/>
  <c r="IE739" i="5"/>
  <c r="II739" i="5"/>
  <c r="IS779" i="5"/>
  <c r="AH1094" i="2" s="1"/>
  <c r="AH1320" i="2" s="1"/>
  <c r="AH1407" i="2" s="1"/>
  <c r="GG987" i="5"/>
  <c r="IO818" i="5"/>
  <c r="IO987" i="5" s="1"/>
  <c r="HF856" i="5"/>
  <c r="GL920" i="5"/>
  <c r="GL1153" i="5" s="1"/>
  <c r="IR795" i="5"/>
  <c r="IS745" i="5"/>
  <c r="AH1067" i="2" s="1"/>
  <c r="IT861" i="5"/>
  <c r="HU472" i="5"/>
  <c r="DR1084" i="5"/>
  <c r="GO920" i="5"/>
  <c r="GO1153" i="5" s="1"/>
  <c r="GK718" i="5"/>
  <c r="IV694" i="5"/>
  <c r="AI1016" i="2" s="1"/>
  <c r="IV807" i="5"/>
  <c r="AI1123" i="2" s="1"/>
  <c r="HX51" i="5"/>
  <c r="HX91" i="5"/>
  <c r="HX98" i="5"/>
  <c r="HX124" i="5"/>
  <c r="AU503" i="5"/>
  <c r="EV598" i="5"/>
  <c r="EV1155" i="5" s="1"/>
  <c r="GL899" i="5"/>
  <c r="GL730" i="5"/>
  <c r="GL1137" i="5" s="1"/>
  <c r="IT669" i="5"/>
  <c r="IT682" i="5"/>
  <c r="IT732" i="5"/>
  <c r="IV832" i="5"/>
  <c r="AI1148" i="2" s="1"/>
  <c r="ED485" i="5"/>
  <c r="CQ485" i="5"/>
  <c r="E70" i="7"/>
  <c r="IR813" i="5"/>
  <c r="GQ818" i="5"/>
  <c r="IT743" i="5"/>
  <c r="IR737" i="5"/>
  <c r="GQ722" i="5"/>
  <c r="GN718" i="5"/>
  <c r="EJ492" i="5"/>
  <c r="HS558" i="5"/>
  <c r="HS595" i="5"/>
  <c r="IV913" i="5"/>
  <c r="GR899" i="5"/>
  <c r="GT730" i="5"/>
  <c r="GT1137" i="5" s="1"/>
  <c r="IQ673" i="5"/>
  <c r="IU733" i="5"/>
  <c r="IS812" i="5"/>
  <c r="AH1128" i="2" s="1"/>
  <c r="IS881" i="5"/>
  <c r="AH1200" i="2" s="1"/>
  <c r="AH1358" i="2" s="1"/>
  <c r="AH1445" i="2" s="1"/>
  <c r="IS868" i="5"/>
  <c r="AH1185" i="2" s="1"/>
  <c r="GQ754" i="5"/>
  <c r="IS740" i="5"/>
  <c r="AH1062" i="2" s="1"/>
  <c r="GJ818" i="5"/>
  <c r="IT695" i="5"/>
  <c r="IV740" i="5"/>
  <c r="AI1062" i="2" s="1"/>
  <c r="IV808" i="5"/>
  <c r="AI1124" i="2" s="1"/>
  <c r="HE818" i="5"/>
  <c r="HD718" i="5"/>
  <c r="IQ890" i="5"/>
  <c r="IQ994" i="5" s="1"/>
  <c r="IR724" i="5"/>
  <c r="IR673" i="5"/>
  <c r="GM718" i="5"/>
  <c r="IU703" i="5"/>
  <c r="IV791" i="5"/>
  <c r="AI1107" i="2" s="1"/>
  <c r="HB730" i="5"/>
  <c r="HB1137" i="5" s="1"/>
  <c r="IV749" i="5"/>
  <c r="AI1071" i="2" s="1"/>
  <c r="AI1312" i="2" s="1"/>
  <c r="AI1399" i="2" s="1"/>
  <c r="FZ987" i="5"/>
  <c r="IQ764" i="5"/>
  <c r="IS773" i="5"/>
  <c r="IS762" i="5"/>
  <c r="AH1084" i="2" s="1"/>
  <c r="IS911" i="5"/>
  <c r="AH1232" i="2" s="1"/>
  <c r="IS880" i="5"/>
  <c r="AH1199" i="2" s="1"/>
  <c r="IQ732" i="5"/>
  <c r="IR683" i="5"/>
  <c r="IQ682" i="5"/>
  <c r="IR668" i="5"/>
  <c r="IU795" i="5"/>
  <c r="IT811" i="5"/>
  <c r="GZ730" i="5"/>
  <c r="GZ1137" i="5" s="1"/>
  <c r="CW598" i="5"/>
  <c r="HS589" i="5"/>
  <c r="IV933" i="5"/>
  <c r="AI1253" i="2" s="1"/>
  <c r="AI1364" i="2" s="1"/>
  <c r="AI1451" i="2" s="1"/>
  <c r="IS938" i="5"/>
  <c r="AH1258" i="2" s="1"/>
  <c r="AH1366" i="2" s="1"/>
  <c r="AH1453" i="2" s="1"/>
  <c r="GJ857" i="5"/>
  <c r="GJ856" i="5" s="1"/>
  <c r="IS752" i="5"/>
  <c r="AH1074" i="2" s="1"/>
  <c r="IS699" i="5"/>
  <c r="AH1021" i="2" s="1"/>
  <c r="IQ690" i="5"/>
  <c r="GP718" i="5"/>
  <c r="IU669" i="5"/>
  <c r="IT701" i="5"/>
  <c r="IT736" i="5"/>
  <c r="IV775" i="5"/>
  <c r="IV873" i="5"/>
  <c r="AI1190" i="2" s="1"/>
  <c r="IV889" i="5"/>
  <c r="AI1210" i="2" s="1"/>
  <c r="HX196" i="5"/>
  <c r="HV206" i="5"/>
  <c r="HX215" i="5"/>
  <c r="IP701" i="5"/>
  <c r="AG1023" i="2" s="1"/>
  <c r="AG507" i="2" s="1"/>
  <c r="IS831" i="5"/>
  <c r="AH1147" i="2" s="1"/>
  <c r="IS848" i="5"/>
  <c r="GP899" i="5"/>
  <c r="IR780" i="5"/>
  <c r="GR667" i="5"/>
  <c r="GR1133" i="5" s="1"/>
  <c r="IU682" i="5"/>
  <c r="IV762" i="5"/>
  <c r="AI1084" i="2" s="1"/>
  <c r="IV894" i="5"/>
  <c r="AI1215" i="2" s="1"/>
  <c r="HQ698" i="5"/>
  <c r="IF698" i="5"/>
  <c r="HS702" i="5"/>
  <c r="IH702" i="5"/>
  <c r="IC703" i="5"/>
  <c r="HY704" i="5"/>
  <c r="HT705" i="5"/>
  <c r="II705" i="5"/>
  <c r="IQ900" i="5"/>
  <c r="IR689" i="5"/>
  <c r="IT685" i="5"/>
  <c r="DD492" i="5"/>
  <c r="DX492" i="5"/>
  <c r="ER492" i="5"/>
  <c r="DS492" i="5"/>
  <c r="HS698" i="5"/>
  <c r="IH698" i="5"/>
  <c r="HT702" i="5"/>
  <c r="II702" i="5"/>
  <c r="HP703" i="5"/>
  <c r="IE703" i="5"/>
  <c r="HZ704" i="5"/>
  <c r="HV705" i="5"/>
  <c r="IK705" i="5"/>
  <c r="DX667" i="5"/>
  <c r="DX976" i="5" s="1"/>
  <c r="IP740" i="5"/>
  <c r="AG1062" i="2" s="1"/>
  <c r="IR861" i="5"/>
  <c r="IS771" i="5"/>
  <c r="IS760" i="5"/>
  <c r="AH1082" i="2" s="1"/>
  <c r="AH1318" i="2" s="1"/>
  <c r="AH1405" i="2" s="1"/>
  <c r="IS798" i="5"/>
  <c r="AH1114" i="2" s="1"/>
  <c r="IS908" i="5"/>
  <c r="AH1229" i="2" s="1"/>
  <c r="IQ693" i="5"/>
  <c r="IR686" i="5"/>
  <c r="GS818" i="5"/>
  <c r="IR681" i="5"/>
  <c r="IQ747" i="5"/>
  <c r="IT675" i="5"/>
  <c r="IU684" i="5"/>
  <c r="IV748" i="5"/>
  <c r="AI1070" i="2" s="1"/>
  <c r="IU864" i="5"/>
  <c r="IV895" i="5"/>
  <c r="AI1216" i="2" s="1"/>
  <c r="AJ1216" i="2" s="1"/>
  <c r="AK1216" i="2" s="1"/>
  <c r="GY667" i="5"/>
  <c r="GY1133" i="5" s="1"/>
  <c r="CV543" i="5"/>
  <c r="HY591" i="5"/>
  <c r="IP684" i="5"/>
  <c r="AG1006" i="2" s="1"/>
  <c r="HW751" i="5"/>
  <c r="IS768" i="5"/>
  <c r="IS793" i="5"/>
  <c r="AH1109" i="2" s="1"/>
  <c r="AH1323" i="2" s="1"/>
  <c r="AH1410" i="2" s="1"/>
  <c r="GI899" i="5"/>
  <c r="GI1155" i="5" s="1"/>
  <c r="IR822" i="5"/>
  <c r="IR739" i="5"/>
  <c r="IQ678" i="5"/>
  <c r="GR730" i="5"/>
  <c r="GR1137" i="5" s="1"/>
  <c r="IV670" i="5"/>
  <c r="AI992" i="2" s="1"/>
  <c r="IV810" i="5"/>
  <c r="AI1126" i="2" s="1"/>
  <c r="HE754" i="5"/>
  <c r="IV707" i="5"/>
  <c r="AI1029" i="2" s="1"/>
  <c r="IV934" i="5"/>
  <c r="AI1254" i="2" s="1"/>
  <c r="IS767" i="5"/>
  <c r="AH1089" i="2" s="1"/>
  <c r="IS792" i="5"/>
  <c r="AH1108" i="2" s="1"/>
  <c r="IS751" i="5"/>
  <c r="AH1073" i="2" s="1"/>
  <c r="IR702" i="5"/>
  <c r="IQ701" i="5"/>
  <c r="IR685" i="5"/>
  <c r="IQ680" i="5"/>
  <c r="GR722" i="5"/>
  <c r="GO718" i="5"/>
  <c r="IT705" i="5"/>
  <c r="IV763" i="5"/>
  <c r="AI1085" i="2" s="1"/>
  <c r="IV776" i="5"/>
  <c r="AI1091" i="2" s="1"/>
  <c r="IV866" i="5"/>
  <c r="AI1183" i="2" s="1"/>
  <c r="IV880" i="5"/>
  <c r="AI1199" i="2" s="1"/>
  <c r="IU912" i="5"/>
  <c r="GY722" i="5"/>
  <c r="CZ585" i="5"/>
  <c r="CZ584" i="5" s="1"/>
  <c r="DK730" i="5"/>
  <c r="IQ788" i="5"/>
  <c r="GT899" i="5"/>
  <c r="IR743" i="5"/>
  <c r="IQ736" i="5"/>
  <c r="IS729" i="5"/>
  <c r="AH1051" i="2" s="1"/>
  <c r="AH1307" i="2" s="1"/>
  <c r="AH1394" i="2" s="1"/>
  <c r="IS688" i="5"/>
  <c r="AH1010" i="2" s="1"/>
  <c r="IV715" i="5"/>
  <c r="AI1037" i="2" s="1"/>
  <c r="HC754" i="5"/>
  <c r="HE722" i="5"/>
  <c r="GX722" i="5"/>
  <c r="DA585" i="5"/>
  <c r="DA584" i="5" s="1"/>
  <c r="DU585" i="5"/>
  <c r="DU584" i="5" s="1"/>
  <c r="EO585" i="5"/>
  <c r="EO584" i="5" s="1"/>
  <c r="HY588" i="5"/>
  <c r="CE585" i="5"/>
  <c r="CE584" i="5" s="1"/>
  <c r="CY585" i="5"/>
  <c r="CY584" i="5" s="1"/>
  <c r="DS585" i="5"/>
  <c r="DS584" i="5" s="1"/>
  <c r="CJ598" i="5"/>
  <c r="CJ1155" i="5" s="1"/>
  <c r="IE601" i="5"/>
  <c r="CU730" i="5"/>
  <c r="CU981" i="5" s="1"/>
  <c r="IQ739" i="5"/>
  <c r="IR747" i="5"/>
  <c r="GM722" i="5"/>
  <c r="IQ681" i="5"/>
  <c r="IV735" i="5"/>
  <c r="AI1057" i="2" s="1"/>
  <c r="IU829" i="5"/>
  <c r="IV860" i="5"/>
  <c r="IQ861" i="5"/>
  <c r="GX754" i="5"/>
  <c r="HC856" i="5"/>
  <c r="IQ685" i="5"/>
  <c r="IU691" i="5"/>
  <c r="IT668" i="5"/>
  <c r="BO717" i="5"/>
  <c r="EY818" i="5"/>
  <c r="EM818" i="5"/>
  <c r="FG818" i="5"/>
  <c r="DE822" i="5"/>
  <c r="ES822" i="5"/>
  <c r="IQ864" i="5"/>
  <c r="IS775" i="5"/>
  <c r="IS765" i="5"/>
  <c r="AH1087" i="2" s="1"/>
  <c r="IS790" i="5"/>
  <c r="AH1104" i="2" s="1"/>
  <c r="AH638" i="2" s="1"/>
  <c r="AH639" i="2" s="1"/>
  <c r="IS884" i="5"/>
  <c r="AH1203" i="2" s="1"/>
  <c r="HA856" i="5"/>
  <c r="GQ899" i="5"/>
  <c r="GN899" i="5"/>
  <c r="IR890" i="5"/>
  <c r="IR994" i="5" s="1"/>
  <c r="IS734" i="5"/>
  <c r="AH1056" i="2" s="1"/>
  <c r="IR696" i="5"/>
  <c r="IR679" i="5"/>
  <c r="IQ669" i="5"/>
  <c r="GS730" i="5"/>
  <c r="GS1137" i="5" s="1"/>
  <c r="IU695" i="5"/>
  <c r="IV709" i="5"/>
  <c r="AI1031" i="2" s="1"/>
  <c r="IV751" i="5"/>
  <c r="AI1073" i="2" s="1"/>
  <c r="IV803" i="5"/>
  <c r="AI1119" i="2" s="1"/>
  <c r="IV884" i="5"/>
  <c r="AI1203" i="2" s="1"/>
  <c r="IU674" i="5"/>
  <c r="IT681" i="5"/>
  <c r="HU513" i="5"/>
  <c r="HS513" i="5"/>
  <c r="EH543" i="5"/>
  <c r="EH1140" i="5"/>
  <c r="AN981" i="5"/>
  <c r="AV997" i="5"/>
  <c r="AV892" i="5"/>
  <c r="DE497" i="5"/>
  <c r="HV498" i="5"/>
  <c r="DG543" i="5"/>
  <c r="DG1140" i="5"/>
  <c r="DG633" i="5"/>
  <c r="EQ598" i="5"/>
  <c r="IE609" i="5"/>
  <c r="DF1140" i="5"/>
  <c r="DF543" i="5"/>
  <c r="DF633" i="5"/>
  <c r="AN1142" i="5"/>
  <c r="AN636" i="5"/>
  <c r="AN503" i="5"/>
  <c r="IT723" i="5"/>
  <c r="CF1139" i="5"/>
  <c r="CF632" i="5"/>
  <c r="AM977" i="5"/>
  <c r="AB1142" i="5"/>
  <c r="AB636" i="5"/>
  <c r="AB503" i="5"/>
  <c r="AB569" i="5"/>
  <c r="AB567" i="5"/>
  <c r="AB568" i="5"/>
  <c r="CX1140" i="5"/>
  <c r="CX543" i="5"/>
  <c r="CX633" i="5"/>
  <c r="FS667" i="5"/>
  <c r="IL697" i="5"/>
  <c r="EB1134" i="5"/>
  <c r="EB468" i="5"/>
  <c r="EO1144" i="5"/>
  <c r="IE510" i="5"/>
  <c r="AY981" i="5"/>
  <c r="CL730" i="5"/>
  <c r="HQ731" i="5"/>
  <c r="HV731" i="5"/>
  <c r="DF730" i="5"/>
  <c r="DZ730" i="5"/>
  <c r="HZ731" i="5"/>
  <c r="IF731" i="5"/>
  <c r="ET730" i="5"/>
  <c r="FN730" i="5"/>
  <c r="IK731" i="5"/>
  <c r="CW730" i="5"/>
  <c r="HT737" i="5"/>
  <c r="DQ730" i="5"/>
  <c r="HY737" i="5"/>
  <c r="EK730" i="5"/>
  <c r="IC737" i="5"/>
  <c r="II737" i="5"/>
  <c r="FE730" i="5"/>
  <c r="ES1140" i="5"/>
  <c r="ES543" i="5"/>
  <c r="CA1142" i="5"/>
  <c r="CA503" i="5"/>
  <c r="CA636" i="5"/>
  <c r="CI1145" i="5"/>
  <c r="CI514" i="5"/>
  <c r="HS520" i="5"/>
  <c r="HU520" i="5"/>
  <c r="HW698" i="5"/>
  <c r="IB698" i="5"/>
  <c r="IL698" i="5"/>
  <c r="HT701" i="5"/>
  <c r="HY701" i="5"/>
  <c r="IC701" i="5"/>
  <c r="II701" i="5"/>
  <c r="HY702" i="5"/>
  <c r="IC702" i="5"/>
  <c r="HT703" i="5"/>
  <c r="HY703" i="5"/>
  <c r="II703" i="5"/>
  <c r="HP704" i="5"/>
  <c r="HT704" i="5"/>
  <c r="IE704" i="5"/>
  <c r="II704" i="5"/>
  <c r="HP705" i="5"/>
  <c r="HZ705" i="5"/>
  <c r="IE705" i="5"/>
  <c r="HP706" i="5"/>
  <c r="HV706" i="5"/>
  <c r="HZ706" i="5"/>
  <c r="DW667" i="5"/>
  <c r="IE706" i="5"/>
  <c r="IK706" i="5"/>
  <c r="BQ986" i="5"/>
  <c r="IT706" i="5"/>
  <c r="CT468" i="5"/>
  <c r="HU470" i="5"/>
  <c r="CT1134" i="5"/>
  <c r="HS470" i="5"/>
  <c r="DR470" i="5"/>
  <c r="DR523" i="5"/>
  <c r="HY471" i="5"/>
  <c r="AD1138" i="5"/>
  <c r="AD631" i="5"/>
  <c r="CI632" i="5"/>
  <c r="CI1139" i="5"/>
  <c r="DA633" i="5"/>
  <c r="DA543" i="5"/>
  <c r="DA1140" i="5"/>
  <c r="DU1140" i="5"/>
  <c r="DU543" i="5"/>
  <c r="EF1144" i="5"/>
  <c r="HS673" i="5"/>
  <c r="CR667" i="5"/>
  <c r="DL667" i="5"/>
  <c r="HW673" i="5"/>
  <c r="EF667" i="5"/>
  <c r="IB673" i="5"/>
  <c r="EZ667" i="5"/>
  <c r="EZ1134" i="5"/>
  <c r="IH673" i="5"/>
  <c r="FT667" i="5"/>
  <c r="IL673" i="5"/>
  <c r="FT1134" i="5"/>
  <c r="HQ674" i="5"/>
  <c r="CP667" i="5"/>
  <c r="HW674" i="5"/>
  <c r="DJ667" i="5"/>
  <c r="ED667" i="5"/>
  <c r="IB674" i="5"/>
  <c r="EX667" i="5"/>
  <c r="IF674" i="5"/>
  <c r="HY681" i="5"/>
  <c r="DO667" i="5"/>
  <c r="IC681" i="5"/>
  <c r="EI667" i="5"/>
  <c r="FX817" i="5"/>
  <c r="FX987" i="5"/>
  <c r="IN818" i="5"/>
  <c r="IL674" i="5"/>
  <c r="FR1134" i="5"/>
  <c r="FR667" i="5"/>
  <c r="IU721" i="5"/>
  <c r="HA818" i="5"/>
  <c r="BM1138" i="5"/>
  <c r="BM631" i="5"/>
  <c r="AG1153" i="5"/>
  <c r="AG651" i="5"/>
  <c r="CS667" i="5"/>
  <c r="HS668" i="5"/>
  <c r="DA1136" i="5"/>
  <c r="DA468" i="5"/>
  <c r="HU480" i="5"/>
  <c r="HT480" i="5"/>
  <c r="N1138" i="5"/>
  <c r="N631" i="5"/>
  <c r="HT493" i="5"/>
  <c r="HU493" i="5"/>
  <c r="DA492" i="5"/>
  <c r="HZ493" i="5"/>
  <c r="DU492" i="5"/>
  <c r="EO492" i="5"/>
  <c r="IE493" i="5"/>
  <c r="CV492" i="5"/>
  <c r="HS494" i="5"/>
  <c r="HU494" i="5"/>
  <c r="DP492" i="5"/>
  <c r="HY494" i="5"/>
  <c r="AU1153" i="5"/>
  <c r="AU651" i="5"/>
  <c r="ES598" i="5"/>
  <c r="IF609" i="5"/>
  <c r="O136" i="7" s="1"/>
  <c r="KN976" i="5"/>
  <c r="HW668" i="5"/>
  <c r="DM667" i="5"/>
  <c r="EG667" i="5"/>
  <c r="IC668" i="5"/>
  <c r="FA667" i="5"/>
  <c r="IH668" i="5"/>
  <c r="FA1134" i="5"/>
  <c r="FU667" i="5"/>
  <c r="IL668" i="5"/>
  <c r="FU1134" i="5"/>
  <c r="IT813" i="5"/>
  <c r="CB569" i="5"/>
  <c r="CB568" i="5"/>
  <c r="BH1132" i="5"/>
  <c r="BH569" i="5"/>
  <c r="BH568" i="5"/>
  <c r="BH627" i="5"/>
  <c r="BH567" i="5"/>
  <c r="BH465" i="5"/>
  <c r="FG1136" i="5"/>
  <c r="FG667" i="5"/>
  <c r="II697" i="5"/>
  <c r="AQ627" i="5"/>
  <c r="AQ465" i="5"/>
  <c r="AQ1132" i="5"/>
  <c r="CJ1134" i="5"/>
  <c r="CJ468" i="5"/>
  <c r="BG503" i="5"/>
  <c r="BG1142" i="5"/>
  <c r="BG636" i="5"/>
  <c r="CU667" i="5"/>
  <c r="HW564" i="5"/>
  <c r="IF564" i="5"/>
  <c r="EX550" i="5"/>
  <c r="EX1152" i="5" s="1"/>
  <c r="CS585" i="5"/>
  <c r="CS584" i="5" s="1"/>
  <c r="HU591" i="5"/>
  <c r="HW591" i="5"/>
  <c r="DM585" i="5"/>
  <c r="DM584" i="5" s="1"/>
  <c r="EG585" i="5"/>
  <c r="EG584" i="5" s="1"/>
  <c r="EG543" i="5"/>
  <c r="HZ561" i="5"/>
  <c r="DU550" i="5"/>
  <c r="DU1152" i="5" s="1"/>
  <c r="EJ600" i="5"/>
  <c r="EJ598" i="5" s="1"/>
  <c r="EJ1155" i="5" s="1"/>
  <c r="EJ550" i="5"/>
  <c r="EJ1152" i="5" s="1"/>
  <c r="HU564" i="5"/>
  <c r="CQ550" i="5"/>
  <c r="EV475" i="5"/>
  <c r="EV1135" i="5"/>
  <c r="N23" i="7"/>
  <c r="IG483" i="5"/>
  <c r="P23" i="7" s="1"/>
  <c r="EU527" i="5"/>
  <c r="IF489" i="5"/>
  <c r="S631" i="5"/>
  <c r="DJ600" i="5"/>
  <c r="DJ550" i="5"/>
  <c r="HW561" i="5"/>
  <c r="DZ470" i="5"/>
  <c r="HZ471" i="5"/>
  <c r="I11" i="7" s="1"/>
  <c r="K11" i="7" s="1"/>
  <c r="DZ523" i="5"/>
  <c r="EW1135" i="5"/>
  <c r="EW475" i="5"/>
  <c r="HT478" i="5"/>
  <c r="C18" i="7" s="1"/>
  <c r="HU478" i="5"/>
  <c r="EF1136" i="5"/>
  <c r="I1142" i="5"/>
  <c r="J636" i="5"/>
  <c r="J503" i="5"/>
  <c r="DF1146" i="5"/>
  <c r="HV518" i="5"/>
  <c r="EU1136" i="5"/>
  <c r="IF480" i="5"/>
  <c r="EU468" i="5"/>
  <c r="DN470" i="5"/>
  <c r="DN523" i="5"/>
  <c r="EN470" i="5"/>
  <c r="EN523" i="5"/>
  <c r="HZ472" i="5"/>
  <c r="EO1134" i="5"/>
  <c r="EO468" i="5"/>
  <c r="Q467" i="5"/>
  <c r="Q625" i="5"/>
  <c r="AG1132" i="5"/>
  <c r="AG569" i="5"/>
  <c r="AG465" i="5"/>
  <c r="AW1142" i="5"/>
  <c r="AW636" i="5"/>
  <c r="BI569" i="5"/>
  <c r="BI1132" i="5"/>
  <c r="BI568" i="5"/>
  <c r="BI627" i="5"/>
  <c r="CR1135" i="5"/>
  <c r="CR468" i="5"/>
  <c r="CR475" i="5"/>
  <c r="EB523" i="5"/>
  <c r="EB521" i="5" s="1"/>
  <c r="DX1145" i="5"/>
  <c r="DX514" i="5"/>
  <c r="DW600" i="5"/>
  <c r="DW598" i="5" s="1"/>
  <c r="DW1155" i="5" s="1"/>
  <c r="HU511" i="5"/>
  <c r="HT511" i="5"/>
  <c r="C47" i="7" s="1"/>
  <c r="E47" i="7" s="1"/>
  <c r="HY511" i="5"/>
  <c r="AJ1153" i="5"/>
  <c r="AJ651" i="5"/>
  <c r="G1133" i="5"/>
  <c r="G628" i="5"/>
  <c r="ES528" i="5"/>
  <c r="IF490" i="5"/>
  <c r="DX1143" i="5"/>
  <c r="HZ506" i="5"/>
  <c r="BE997" i="5"/>
  <c r="BE892" i="5"/>
  <c r="EM492" i="5"/>
  <c r="IE494" i="5"/>
  <c r="AG993" i="5"/>
  <c r="AG856" i="5"/>
  <c r="DD1135" i="5"/>
  <c r="HV473" i="5"/>
  <c r="HU476" i="5"/>
  <c r="DM475" i="5"/>
  <c r="HW476" i="5"/>
  <c r="HU477" i="5"/>
  <c r="DV485" i="5"/>
  <c r="HZ486" i="5"/>
  <c r="IR704" i="5"/>
  <c r="EH550" i="5"/>
  <c r="IR781" i="5"/>
  <c r="CD1137" i="5"/>
  <c r="IQ706" i="5"/>
  <c r="IV738" i="5"/>
  <c r="AI1060" i="2" s="1"/>
  <c r="AJ1060" i="2" s="1"/>
  <c r="AK1060" i="2" s="1"/>
  <c r="JB738" i="5" s="1"/>
  <c r="DD598" i="5"/>
  <c r="DD1155" i="5" s="1"/>
  <c r="DP598" i="5"/>
  <c r="DP1155" i="5" s="1"/>
  <c r="AL1130" i="5"/>
  <c r="AR1120" i="5"/>
  <c r="DP1135" i="5"/>
  <c r="DP468" i="5"/>
  <c r="HT743" i="5"/>
  <c r="EF1146" i="5"/>
  <c r="EF514" i="5"/>
  <c r="DS1146" i="5"/>
  <c r="HY518" i="5"/>
  <c r="DZ822" i="5"/>
  <c r="BM993" i="5"/>
  <c r="BM856" i="5"/>
  <c r="IN958" i="5"/>
  <c r="IR697" i="5"/>
  <c r="GO667" i="5"/>
  <c r="GO1133" i="5" s="1"/>
  <c r="GJ754" i="5"/>
  <c r="IQ755" i="5"/>
  <c r="GP730" i="5"/>
  <c r="GP1137" i="5" s="1"/>
  <c r="IR731" i="5"/>
  <c r="IS769" i="5"/>
  <c r="IS802" i="5"/>
  <c r="AH1118" i="2" s="1"/>
  <c r="IS821" i="5"/>
  <c r="AH1137" i="2" s="1"/>
  <c r="GW754" i="5"/>
  <c r="IQ883" i="5"/>
  <c r="GK857" i="5"/>
  <c r="GK856" i="5" s="1"/>
  <c r="GL780" i="5"/>
  <c r="GL754" i="5" s="1"/>
  <c r="GL389" i="5"/>
  <c r="GI796" i="5"/>
  <c r="IQ795" i="5"/>
  <c r="GI800" i="5"/>
  <c r="IU693" i="5"/>
  <c r="GI780" i="5"/>
  <c r="GI389" i="5"/>
  <c r="GK667" i="5"/>
  <c r="GK1133" i="5" s="1"/>
  <c r="IQ731" i="5"/>
  <c r="GI730" i="5"/>
  <c r="GI1137" i="5" s="1"/>
  <c r="IU678" i="5"/>
  <c r="GO818" i="5"/>
  <c r="GO1151" i="5" s="1"/>
  <c r="GO1149" i="5" s="1"/>
  <c r="IR721" i="5"/>
  <c r="GI818" i="5"/>
  <c r="GI1151" i="5" s="1"/>
  <c r="IQ724" i="5"/>
  <c r="GL718" i="5"/>
  <c r="IQ719" i="5"/>
  <c r="GI722" i="5"/>
  <c r="IQ723" i="5"/>
  <c r="IQ922" i="5"/>
  <c r="GI920" i="5"/>
  <c r="GI1153" i="5" s="1"/>
  <c r="IR675" i="5"/>
  <c r="IT678" i="5"/>
  <c r="IR811" i="5"/>
  <c r="IQ757" i="5"/>
  <c r="IQ683" i="5"/>
  <c r="GP722" i="5"/>
  <c r="IS805" i="5"/>
  <c r="AH1121" i="2" s="1"/>
  <c r="GN857" i="5"/>
  <c r="GN856" i="5" s="1"/>
  <c r="IQ876" i="5"/>
  <c r="IR677" i="5"/>
  <c r="IU781" i="5"/>
  <c r="IR929" i="5"/>
  <c r="IQ822" i="5"/>
  <c r="IR684" i="5"/>
  <c r="GP818" i="5"/>
  <c r="GL667" i="5"/>
  <c r="GL1133" i="5" s="1"/>
  <c r="IU668" i="5"/>
  <c r="GS754" i="5"/>
  <c r="IR755" i="5"/>
  <c r="IU705" i="5"/>
  <c r="IV792" i="5"/>
  <c r="AI1108" i="2" s="1"/>
  <c r="IU757" i="5"/>
  <c r="HC722" i="5"/>
  <c r="HC818" i="5"/>
  <c r="IR909" i="5"/>
  <c r="IQ692" i="5"/>
  <c r="IU747" i="5"/>
  <c r="HB818" i="5"/>
  <c r="IU724" i="5"/>
  <c r="HB722" i="5"/>
  <c r="HA718" i="5"/>
  <c r="IQ870" i="5"/>
  <c r="GQ730" i="5"/>
  <c r="GQ1137" i="5" s="1"/>
  <c r="IT703" i="5"/>
  <c r="GW910" i="5"/>
  <c r="GW909" i="5" s="1"/>
  <c r="IT912" i="5"/>
  <c r="IU857" i="5"/>
  <c r="IR891" i="5"/>
  <c r="IS891" i="5" s="1"/>
  <c r="AH1212" i="2" s="1"/>
  <c r="IQ702" i="5"/>
  <c r="IR693" i="5"/>
  <c r="GT722" i="5"/>
  <c r="IU764" i="5"/>
  <c r="IT864" i="5"/>
  <c r="IV911" i="5"/>
  <c r="AI1232" i="2" s="1"/>
  <c r="HA754" i="5"/>
  <c r="HC899" i="5"/>
  <c r="IT683" i="5"/>
  <c r="IT686" i="5"/>
  <c r="IR764" i="5"/>
  <c r="IS820" i="5"/>
  <c r="AH1136" i="2" s="1"/>
  <c r="AH1333" i="2" s="1"/>
  <c r="AH1420" i="2" s="1"/>
  <c r="IS877" i="5"/>
  <c r="AH1194" i="2" s="1"/>
  <c r="IR900" i="5"/>
  <c r="GO899" i="5"/>
  <c r="GO1155" i="5" s="1"/>
  <c r="GJ920" i="5"/>
  <c r="GJ1153" i="5" s="1"/>
  <c r="IR719" i="5"/>
  <c r="IV741" i="5"/>
  <c r="AI1063" i="2" s="1"/>
  <c r="IV805" i="5"/>
  <c r="AI1121" i="2" s="1"/>
  <c r="IV907" i="5"/>
  <c r="AI1228" i="2" s="1"/>
  <c r="IU906" i="5"/>
  <c r="GV754" i="5"/>
  <c r="IS918" i="5"/>
  <c r="AH1237" i="2" s="1"/>
  <c r="IS904" i="5"/>
  <c r="AH1225" i="2" s="1"/>
  <c r="IR922" i="5"/>
  <c r="GP920" i="5"/>
  <c r="GP1153" i="5" s="1"/>
  <c r="IQ743" i="5"/>
  <c r="IV771" i="5"/>
  <c r="IV800" i="5"/>
  <c r="AI1116" i="2" s="1"/>
  <c r="IV821" i="5"/>
  <c r="AI1137" i="2" s="1"/>
  <c r="IT755" i="5"/>
  <c r="IR669" i="5"/>
  <c r="IT691" i="5"/>
  <c r="IT702" i="5"/>
  <c r="IV778" i="5"/>
  <c r="AI1093" i="2" s="1"/>
  <c r="IV888" i="5"/>
  <c r="AI1209" i="2" s="1"/>
  <c r="HD754" i="5"/>
  <c r="HF722" i="5"/>
  <c r="IT731" i="5"/>
  <c r="GP754" i="5"/>
  <c r="IR698" i="5"/>
  <c r="IQ674" i="5"/>
  <c r="IT672" i="5"/>
  <c r="IU680" i="5"/>
  <c r="IU739" i="5"/>
  <c r="IV782" i="5"/>
  <c r="AI1098" i="2" s="1"/>
  <c r="IV825" i="5"/>
  <c r="AI1141" i="2" s="1"/>
  <c r="IT870" i="5"/>
  <c r="IU723" i="5"/>
  <c r="GU754" i="5"/>
  <c r="GM754" i="5"/>
  <c r="GP667" i="5"/>
  <c r="GP1133" i="5" s="1"/>
  <c r="IT829" i="5"/>
  <c r="IT747" i="5"/>
  <c r="AI1102" i="5"/>
  <c r="AJ1102" i="5" s="1"/>
  <c r="AK1102" i="5" s="1"/>
  <c r="AL1102" i="5" s="1"/>
  <c r="AM1102" i="5" s="1"/>
  <c r="IR906" i="5"/>
  <c r="IR671" i="5"/>
  <c r="GT667" i="5"/>
  <c r="GT1133" i="5" s="1"/>
  <c r="GK730" i="5"/>
  <c r="GK1137" i="5" s="1"/>
  <c r="IQ668" i="5"/>
  <c r="GI667" i="5"/>
  <c r="GI1133" i="5" s="1"/>
  <c r="IU671" i="5"/>
  <c r="IV868" i="5"/>
  <c r="AI1185" i="2" s="1"/>
  <c r="IT857" i="5"/>
  <c r="HF754" i="5"/>
  <c r="GZ718" i="5"/>
  <c r="IU689" i="5"/>
  <c r="IT690" i="5"/>
  <c r="IV766" i="5"/>
  <c r="AI1088" i="2" s="1"/>
  <c r="IT781" i="5"/>
  <c r="IQ697" i="5"/>
  <c r="IT795" i="5"/>
  <c r="IQ698" i="5"/>
  <c r="IT680" i="5"/>
  <c r="IU736" i="5"/>
  <c r="IU788" i="5"/>
  <c r="HD818" i="5"/>
  <c r="IT789" i="5"/>
  <c r="GZ754" i="5"/>
  <c r="HB754" i="5"/>
  <c r="IQ691" i="5"/>
  <c r="IT724" i="5"/>
  <c r="HB856" i="5"/>
  <c r="IU890" i="5"/>
  <c r="IV890" i="5" s="1"/>
  <c r="AI1211" i="2" s="1"/>
  <c r="AI1359" i="2" s="1"/>
  <c r="AI1446" i="2" s="1"/>
  <c r="JJ904" i="5"/>
  <c r="IT679" i="5"/>
  <c r="IV908" i="5"/>
  <c r="AI1229" i="2" s="1"/>
  <c r="HD730" i="5"/>
  <c r="HD1137" i="5" s="1"/>
  <c r="IT696" i="5"/>
  <c r="HC667" i="5"/>
  <c r="HC1133" i="5" s="1"/>
  <c r="IU698" i="5"/>
  <c r="IU737" i="5"/>
  <c r="IT671" i="5"/>
  <c r="IU677" i="5"/>
  <c r="IQ721" i="5"/>
  <c r="IU675" i="5"/>
  <c r="IU696" i="5"/>
  <c r="IT698" i="5"/>
  <c r="IT677" i="5"/>
  <c r="IU679" i="5"/>
  <c r="IT739" i="5"/>
  <c r="IU672" i="5"/>
  <c r="IU683" i="5"/>
  <c r="IU686" i="5"/>
  <c r="IU732" i="5"/>
  <c r="GY730" i="5"/>
  <c r="GY1137" i="5" s="1"/>
  <c r="GZ667" i="5"/>
  <c r="GZ1133" i="5" s="1"/>
  <c r="O1567" i="2"/>
  <c r="IY794" i="5"/>
  <c r="IX794" i="5" s="1"/>
  <c r="IC531" i="5"/>
  <c r="L63" i="7" s="1"/>
  <c r="Q1567" i="2"/>
  <c r="V1551" i="2"/>
  <c r="T60" i="7"/>
  <c r="V1304" i="2"/>
  <c r="V1391" i="2" s="1"/>
  <c r="D1628" i="2"/>
  <c r="Z334" i="2"/>
  <c r="X1304" i="2"/>
  <c r="X1391" i="2" s="1"/>
  <c r="IB560" i="5"/>
  <c r="IC560" i="5" s="1"/>
  <c r="L91" i="7" s="1"/>
  <c r="S42" i="7"/>
  <c r="M41" i="7"/>
  <c r="S41" i="7"/>
  <c r="L1567" i="2"/>
  <c r="S29" i="7"/>
  <c r="D1629" i="2"/>
  <c r="AC1510" i="2"/>
  <c r="JH748" i="5"/>
  <c r="JF748" i="5" s="1"/>
  <c r="JG748" i="5" s="1"/>
  <c r="IH614" i="5"/>
  <c r="Q141" i="7" s="1"/>
  <c r="AM285" i="2"/>
  <c r="AM371" i="2" s="1"/>
  <c r="AG897" i="2"/>
  <c r="AG948" i="2" s="1"/>
  <c r="JG687" i="5"/>
  <c r="IK523" i="5"/>
  <c r="IL523" i="5" s="1"/>
  <c r="W1566" i="2"/>
  <c r="W1567" i="2" s="1"/>
  <c r="IH523" i="5"/>
  <c r="II523" i="5" s="1"/>
  <c r="R57" i="7" s="1"/>
  <c r="Y911" i="2"/>
  <c r="K1549" i="2"/>
  <c r="IO517" i="5"/>
  <c r="IH521" i="5"/>
  <c r="Q55" i="7" s="1"/>
  <c r="T24" i="7"/>
  <c r="IK530" i="5"/>
  <c r="IL530" i="5" s="1"/>
  <c r="IH493" i="5"/>
  <c r="Q30" i="7" s="1"/>
  <c r="JJ741" i="5"/>
  <c r="K1567" i="2"/>
  <c r="IL519" i="5"/>
  <c r="T79" i="7"/>
  <c r="T131" i="7"/>
  <c r="Y1484" i="2"/>
  <c r="HR586" i="5"/>
  <c r="AH1619" i="2"/>
  <c r="IR530" i="5"/>
  <c r="AK1640" i="2"/>
  <c r="AA1683" i="2"/>
  <c r="AA1710" i="2" s="1"/>
  <c r="AC919" i="2"/>
  <c r="IR565" i="5"/>
  <c r="AH961" i="2"/>
  <c r="AM576" i="2"/>
  <c r="AI961" i="2"/>
  <c r="S919" i="2"/>
  <c r="AC977" i="2"/>
  <c r="J1567" i="2"/>
  <c r="JF904" i="5"/>
  <c r="AE447" i="2"/>
  <c r="AF447" i="2" s="1"/>
  <c r="AG447" i="2" s="1"/>
  <c r="AH447" i="2" s="1"/>
  <c r="AI447" i="2" s="1"/>
  <c r="AJ447" i="2" s="1"/>
  <c r="AK447" i="2" s="1"/>
  <c r="AI748" i="2"/>
  <c r="IV531" i="5" s="1"/>
  <c r="IT531" i="5" s="1"/>
  <c r="IU531" i="5" s="1"/>
  <c r="IY919" i="5"/>
  <c r="IX919" i="5" s="1"/>
  <c r="IK614" i="5"/>
  <c r="IL614" i="5" s="1"/>
  <c r="V1528" i="2"/>
  <c r="AG106" i="19"/>
  <c r="Y106" i="19"/>
  <c r="V451" i="2"/>
  <c r="V452" i="2" s="1"/>
  <c r="W109" i="19"/>
  <c r="JA761" i="5"/>
  <c r="AK575" i="2"/>
  <c r="JB735" i="5"/>
  <c r="IZ735" i="5" s="1"/>
  <c r="JA735" i="5" s="1"/>
  <c r="AI1649" i="2"/>
  <c r="AJ1365" i="2"/>
  <c r="AJ1452" i="2" s="1"/>
  <c r="Q106" i="19"/>
  <c r="O109" i="19"/>
  <c r="P107" i="19" s="1"/>
  <c r="R107" i="19" s="1"/>
  <c r="IK549" i="5"/>
  <c r="IL549" i="5" s="1"/>
  <c r="AL576" i="2"/>
  <c r="JA526" i="5"/>
  <c r="AK331" i="2"/>
  <c r="AL331" i="2" s="1"/>
  <c r="AM575" i="2" s="1"/>
  <c r="JE735" i="5"/>
  <c r="JC735" i="5" s="1"/>
  <c r="JD735" i="5" s="1"/>
  <c r="DC1097" i="5"/>
  <c r="DD1097" i="5" s="1"/>
  <c r="DE1097" i="5" s="1"/>
  <c r="DF1097" i="5" s="1"/>
  <c r="DG1097" i="5" s="1"/>
  <c r="ID632" i="5"/>
  <c r="T52" i="7"/>
  <c r="Y104" i="19"/>
  <c r="X1298" i="2"/>
  <c r="X1385" i="2" s="1"/>
  <c r="JB919" i="5"/>
  <c r="IZ919" i="5" s="1"/>
  <c r="W94" i="19"/>
  <c r="JE919" i="5"/>
  <c r="JC919" i="5" s="1"/>
  <c r="AE94" i="19"/>
  <c r="JH919" i="5"/>
  <c r="JF919" i="5" s="1"/>
  <c r="JB877" i="5"/>
  <c r="AO1358" i="2"/>
  <c r="AO1193" i="2"/>
  <c r="AO106" i="19"/>
  <c r="T68" i="7"/>
  <c r="AI949" i="2"/>
  <c r="U908" i="2"/>
  <c r="U957" i="2" s="1"/>
  <c r="JH877" i="5"/>
  <c r="V589" i="2"/>
  <c r="V1111" i="2"/>
  <c r="V1324" i="2" s="1"/>
  <c r="V1411" i="2" s="1"/>
  <c r="U744" i="2"/>
  <c r="U737" i="2" s="1"/>
  <c r="IK574" i="5"/>
  <c r="IL574" i="5" s="1"/>
  <c r="IK520" i="5"/>
  <c r="IL520" i="5" s="1"/>
  <c r="S949" i="2"/>
  <c r="S954" i="2"/>
  <c r="W1304" i="2"/>
  <c r="W1391" i="2" s="1"/>
  <c r="AC1475" i="2"/>
  <c r="T1567" i="2"/>
  <c r="AE1607" i="2"/>
  <c r="Q1618" i="2"/>
  <c r="II517" i="5"/>
  <c r="JG740" i="5"/>
  <c r="Y1513" i="2"/>
  <c r="JD904" i="5"/>
  <c r="JK688" i="5"/>
  <c r="JI688" i="5" s="1"/>
  <c r="M110" i="7"/>
  <c r="IO577" i="5"/>
  <c r="AH800" i="2"/>
  <c r="AH897" i="2" s="1"/>
  <c r="AH948" i="2" s="1"/>
  <c r="W797" i="2"/>
  <c r="W894" i="2" s="1"/>
  <c r="W940" i="2" s="1"/>
  <c r="S957" i="2"/>
  <c r="P935" i="2"/>
  <c r="P937" i="2"/>
  <c r="O958" i="2"/>
  <c r="Z446" i="2"/>
  <c r="IL517" i="5"/>
  <c r="M126" i="7"/>
  <c r="P958" i="2"/>
  <c r="M94" i="7"/>
  <c r="IH599" i="5"/>
  <c r="II599" i="5" s="1"/>
  <c r="R128" i="7" s="1"/>
  <c r="IK592" i="5"/>
  <c r="IL592" i="5" s="1"/>
  <c r="AM1649" i="2"/>
  <c r="Z299" i="2"/>
  <c r="Z300" i="2" s="1"/>
  <c r="E357" i="2"/>
  <c r="W354" i="2" s="1"/>
  <c r="N928" i="2"/>
  <c r="AB1510" i="2"/>
  <c r="M18" i="7"/>
  <c r="II532" i="5"/>
  <c r="R64" i="7" s="1"/>
  <c r="N954" i="2"/>
  <c r="AK289" i="2"/>
  <c r="AH378" i="2"/>
  <c r="AH774" i="2" s="1"/>
  <c r="IS554" i="5" s="1"/>
  <c r="IQ554" i="5" s="1"/>
  <c r="IR554" i="5" s="1"/>
  <c r="IC557" i="5"/>
  <c r="L88" i="7" s="1"/>
  <c r="IB552" i="5"/>
  <c r="IC552" i="5" s="1"/>
  <c r="L84" i="7" s="1"/>
  <c r="AL1649" i="2"/>
  <c r="IM640" i="5"/>
  <c r="U796" i="2"/>
  <c r="U893" i="2" s="1"/>
  <c r="U939" i="2" s="1"/>
  <c r="Z1430" i="2"/>
  <c r="X1103" i="2"/>
  <c r="W650" i="2"/>
  <c r="O1549" i="2"/>
  <c r="Z1383" i="2"/>
  <c r="Y867" i="2"/>
  <c r="Z1414" i="2"/>
  <c r="X958" i="2"/>
  <c r="JA879" i="5"/>
  <c r="M919" i="2"/>
  <c r="T110" i="7"/>
  <c r="AC1498" i="2"/>
  <c r="M1570" i="2"/>
  <c r="U797" i="2"/>
  <c r="U894" i="2" s="1"/>
  <c r="U940" i="2" s="1"/>
  <c r="JD901" i="5"/>
  <c r="JJ916" i="5"/>
  <c r="HE730" i="5"/>
  <c r="HE1137" i="5" s="1"/>
  <c r="HA730" i="5"/>
  <c r="HA1137" i="5" s="1"/>
  <c r="HF730" i="5"/>
  <c r="HF1137" i="5" s="1"/>
  <c r="IT733" i="5"/>
  <c r="GU730" i="5"/>
  <c r="GU1137" i="5" s="1"/>
  <c r="HA667" i="5"/>
  <c r="HA1133" i="5" s="1"/>
  <c r="HF667" i="5"/>
  <c r="HF1133" i="5" s="1"/>
  <c r="HD667" i="5"/>
  <c r="HD1133" i="5" s="1"/>
  <c r="HB667" i="5"/>
  <c r="HB1133" i="5" s="1"/>
  <c r="HE667" i="5"/>
  <c r="HE1133" i="5" s="1"/>
  <c r="GU667" i="5"/>
  <c r="GU1133" i="5" s="1"/>
  <c r="AE940" i="2"/>
  <c r="AE930" i="2"/>
  <c r="AE346" i="2"/>
  <c r="AI859" i="2"/>
  <c r="AI918" i="2" s="1"/>
  <c r="Q952" i="2"/>
  <c r="S952" i="2"/>
  <c r="Q953" i="2"/>
  <c r="AC1383" i="2"/>
  <c r="Q935" i="2"/>
  <c r="Q937" i="2"/>
  <c r="W546" i="2"/>
  <c r="Q938" i="2"/>
  <c r="W536" i="2"/>
  <c r="Q948" i="2"/>
  <c r="AE859" i="2"/>
  <c r="AE918" i="2" s="1"/>
  <c r="AA1591" i="2"/>
  <c r="AA1697" i="2" s="1"/>
  <c r="IN485" i="5"/>
  <c r="Z909" i="2"/>
  <c r="Z958" i="2" s="1"/>
  <c r="W512" i="2"/>
  <c r="T935" i="2"/>
  <c r="T937" i="2"/>
  <c r="S938" i="2"/>
  <c r="W500" i="2"/>
  <c r="AB333" i="2"/>
  <c r="T948" i="2"/>
  <c r="T952" i="2"/>
  <c r="S953" i="2"/>
  <c r="AE937" i="2"/>
  <c r="S924" i="2"/>
  <c r="S935" i="2"/>
  <c r="S937" i="2"/>
  <c r="T953" i="2"/>
  <c r="AC446" i="2"/>
  <c r="T922" i="2"/>
  <c r="S939" i="2"/>
  <c r="X475" i="2"/>
  <c r="W476" i="2"/>
  <c r="AD852" i="2"/>
  <c r="AD913" i="2" s="1"/>
  <c r="U1551" i="2"/>
  <c r="V366" i="2"/>
  <c r="AJ617" i="2"/>
  <c r="AJ1127" i="2" s="1"/>
  <c r="V301" i="2"/>
  <c r="AI285" i="2"/>
  <c r="AI359" i="2" s="1"/>
  <c r="AH859" i="2"/>
  <c r="AH918" i="2" s="1"/>
  <c r="AC308" i="2"/>
  <c r="AC602" i="2"/>
  <c r="P927" i="2"/>
  <c r="W933" i="2"/>
  <c r="AK961" i="2"/>
  <c r="Z1432" i="2"/>
  <c r="S922" i="2"/>
  <c r="W924" i="2"/>
  <c r="S926" i="2"/>
  <c r="W935" i="2"/>
  <c r="V938" i="2"/>
  <c r="AE938" i="2"/>
  <c r="AE602" i="2"/>
  <c r="W385" i="2"/>
  <c r="AK378" i="2"/>
  <c r="AK774" i="2" s="1"/>
  <c r="JB554" i="5" s="1"/>
  <c r="IZ554" i="5" s="1"/>
  <c r="AD1451" i="2"/>
  <c r="Q949" i="2"/>
  <c r="Q954" i="2"/>
  <c r="Y305" i="2"/>
  <c r="AE939" i="2"/>
  <c r="S948" i="2"/>
  <c r="AL1249" i="2"/>
  <c r="AM1249" i="2"/>
  <c r="IV595" i="5"/>
  <c r="IU595" i="5" s="1"/>
  <c r="ID654" i="5"/>
  <c r="ID1106" i="5"/>
  <c r="M125" i="7"/>
  <c r="IH552" i="5"/>
  <c r="Q84" i="7" s="1"/>
  <c r="II604" i="5"/>
  <c r="AI1626" i="2"/>
  <c r="II498" i="5"/>
  <c r="R34" i="7" s="1"/>
  <c r="X1683" i="2"/>
  <c r="IR549" i="5"/>
  <c r="AG1607" i="2"/>
  <c r="IL604" i="5"/>
  <c r="IK538" i="5"/>
  <c r="IL538" i="5" s="1"/>
  <c r="Z1683" i="2"/>
  <c r="II564" i="5"/>
  <c r="R94" i="7" s="1"/>
  <c r="IY877" i="5"/>
  <c r="IX877" i="5" s="1"/>
  <c r="ID635" i="5"/>
  <c r="IN543" i="5"/>
  <c r="IN536" i="5" s="1"/>
  <c r="IJ1107" i="5"/>
  <c r="IK551" i="5"/>
  <c r="IL551" i="5" s="1"/>
  <c r="IH541" i="5"/>
  <c r="Q73" i="7" s="1"/>
  <c r="IB613" i="5"/>
  <c r="IC613" i="5" s="1"/>
  <c r="L140" i="7" s="1"/>
  <c r="IK585" i="5"/>
  <c r="IL585" i="5" s="1"/>
  <c r="IM635" i="5"/>
  <c r="M33" i="7"/>
  <c r="IR509" i="5"/>
  <c r="IR547" i="5"/>
  <c r="IC518" i="5"/>
  <c r="L53" i="7" s="1"/>
  <c r="D43" i="1"/>
  <c r="IN585" i="5"/>
  <c r="IN584" i="5" s="1"/>
  <c r="IM648" i="5"/>
  <c r="IB523" i="5"/>
  <c r="IC523" i="5" s="1"/>
  <c r="IB585" i="5"/>
  <c r="J115" i="7" s="1"/>
  <c r="JA699" i="5"/>
  <c r="IB565" i="5"/>
  <c r="IC565" i="5" s="1"/>
  <c r="L95" i="7" s="1"/>
  <c r="IK525" i="5"/>
  <c r="IL525" i="5" s="1"/>
  <c r="IB480" i="5"/>
  <c r="IC480" i="5" s="1"/>
  <c r="L20" i="7" s="1"/>
  <c r="IO591" i="5"/>
  <c r="JM762" i="5"/>
  <c r="AK762" i="2"/>
  <c r="AK634" i="2" s="1"/>
  <c r="IY591" i="5"/>
  <c r="IX591" i="5" s="1"/>
  <c r="AC370" i="2"/>
  <c r="JC720" i="5"/>
  <c r="ID1112" i="5"/>
  <c r="ID1114" i="5" s="1"/>
  <c r="IV498" i="5"/>
  <c r="IU498" i="5" s="1"/>
  <c r="AE941" i="2"/>
  <c r="Q958" i="2"/>
  <c r="AC975" i="2"/>
  <c r="AE320" i="2"/>
  <c r="JA707" i="5"/>
  <c r="IO565" i="5"/>
  <c r="IO481" i="5"/>
  <c r="AE336" i="2"/>
  <c r="AF580" i="2" s="1"/>
  <c r="X1676" i="2"/>
  <c r="AC301" i="2"/>
  <c r="AD301" i="2" s="1"/>
  <c r="AE301" i="2" s="1"/>
  <c r="II518" i="5"/>
  <c r="R53" i="7" s="1"/>
  <c r="ID628" i="5"/>
  <c r="IC598" i="5"/>
  <c r="L127" i="7" s="1"/>
  <c r="IH515" i="5"/>
  <c r="Q51" i="7" s="1"/>
  <c r="Z1427" i="2"/>
  <c r="Z753" i="2"/>
  <c r="Z886" i="2" s="1"/>
  <c r="Q942" i="2"/>
  <c r="AI955" i="2"/>
  <c r="Q922" i="2"/>
  <c r="Q926" i="2"/>
  <c r="Q927" i="2"/>
  <c r="Q928" i="2"/>
  <c r="Q929" i="2"/>
  <c r="AF1765" i="2"/>
  <c r="JC722" i="5"/>
  <c r="X1670" i="2"/>
  <c r="JK724" i="5"/>
  <c r="JJ724" i="5" s="1"/>
  <c r="IJ651" i="5"/>
  <c r="IK481" i="5"/>
  <c r="IL481" i="5" s="1"/>
  <c r="AJ846" i="2"/>
  <c r="IY613" i="5" s="1"/>
  <c r="IW613" i="5" s="1"/>
  <c r="IX613" i="5" s="1"/>
  <c r="IB481" i="5"/>
  <c r="J21" i="7" s="1"/>
  <c r="Q933" i="2"/>
  <c r="Z423" i="2"/>
  <c r="AD285" i="2"/>
  <c r="AD363" i="2" s="1"/>
  <c r="AD737" i="2" s="1"/>
  <c r="X476" i="2"/>
  <c r="O957" i="2"/>
  <c r="T958" i="2"/>
  <c r="P1618" i="2"/>
  <c r="AA1587" i="2"/>
  <c r="JJ763" i="5"/>
  <c r="IK553" i="5"/>
  <c r="IL553" i="5" s="1"/>
  <c r="JH862" i="5"/>
  <c r="JF862" i="5" s="1"/>
  <c r="JG862" i="5" s="1"/>
  <c r="IB566" i="5"/>
  <c r="J96" i="7" s="1"/>
  <c r="K96" i="7" s="1"/>
  <c r="AJ725" i="2"/>
  <c r="AK725" i="2" s="1"/>
  <c r="M114" i="7"/>
  <c r="IB562" i="5"/>
  <c r="IC562" i="5" s="1"/>
  <c r="L93" i="7" s="1"/>
  <c r="V347" i="2"/>
  <c r="IJ642" i="5"/>
  <c r="JA540" i="5"/>
  <c r="S1618" i="2"/>
  <c r="JM701" i="5"/>
  <c r="W348" i="2"/>
  <c r="AK760" i="2"/>
  <c r="JB541" i="5" s="1"/>
  <c r="T105" i="7"/>
  <c r="V1566" i="2"/>
  <c r="V1567" i="2" s="1"/>
  <c r="Z1369" i="2"/>
  <c r="Z1456" i="2" s="1"/>
  <c r="T285" i="2"/>
  <c r="X1618" i="2"/>
  <c r="I1618" i="2"/>
  <c r="G1618" i="2"/>
  <c r="AA1618" i="2"/>
  <c r="IT585" i="5"/>
  <c r="IT584" i="5" s="1"/>
  <c r="V737" i="2"/>
  <c r="V362" i="2" s="1"/>
  <c r="JB494" i="5"/>
  <c r="JA494" i="5" s="1"/>
  <c r="IK558" i="5"/>
  <c r="IL558" i="5" s="1"/>
  <c r="IM636" i="5"/>
  <c r="IO593" i="5"/>
  <c r="IK542" i="5"/>
  <c r="IL542" i="5" s="1"/>
  <c r="U1533" i="2"/>
  <c r="W1533" i="2"/>
  <c r="Z1394" i="2"/>
  <c r="AE370" i="2"/>
  <c r="Q939" i="2"/>
  <c r="AF960" i="2"/>
  <c r="IW585" i="5"/>
  <c r="IW584" i="5" s="1"/>
  <c r="IK593" i="5"/>
  <c r="IL593" i="5" s="1"/>
  <c r="JD884" i="5"/>
  <c r="Q925" i="2"/>
  <c r="AK677" i="2"/>
  <c r="AK676" i="2" s="1"/>
  <c r="AC385" i="2"/>
  <c r="U1566" i="2"/>
  <c r="U1567" i="2" s="1"/>
  <c r="W1294" i="2"/>
  <c r="W1381" i="2" s="1"/>
  <c r="Z1428" i="2"/>
  <c r="AE333" i="2"/>
  <c r="V872" i="2"/>
  <c r="V921" i="2" s="1"/>
  <c r="Z575" i="2"/>
  <c r="X868" i="2"/>
  <c r="N1560" i="2"/>
  <c r="X1591" i="2"/>
  <c r="M87" i="7"/>
  <c r="IK475" i="5"/>
  <c r="IL475" i="5" s="1"/>
  <c r="AC338" i="2"/>
  <c r="ID627" i="5"/>
  <c r="IB541" i="5"/>
  <c r="J73" i="7" s="1"/>
  <c r="IC558" i="5"/>
  <c r="L89" i="7" s="1"/>
  <c r="V1533" i="2"/>
  <c r="Z1429" i="2"/>
  <c r="V796" i="2"/>
  <c r="V893" i="2" s="1"/>
  <c r="V939" i="2" s="1"/>
  <c r="JA518" i="5"/>
  <c r="Y1591" i="2"/>
  <c r="JG911" i="5"/>
  <c r="AB959" i="2"/>
  <c r="IM632" i="5"/>
  <c r="AJ1640" i="2"/>
  <c r="IK581" i="5"/>
  <c r="IL581" i="5" s="1"/>
  <c r="R1618" i="2"/>
  <c r="AC362" i="2"/>
  <c r="JK729" i="5"/>
  <c r="JJ729" i="5" s="1"/>
  <c r="AK285" i="2"/>
  <c r="AK358" i="2" s="1"/>
  <c r="IK561" i="5"/>
  <c r="IL561" i="5" s="1"/>
  <c r="W1290" i="2"/>
  <c r="W1377" i="2" s="1"/>
  <c r="Y291" i="2"/>
  <c r="AB379" i="2"/>
  <c r="IU591" i="5"/>
  <c r="P1560" i="2"/>
  <c r="IX554" i="5"/>
  <c r="IK605" i="5"/>
  <c r="IL605" i="5" s="1"/>
  <c r="JD879" i="5"/>
  <c r="IN529" i="5"/>
  <c r="H1618" i="2"/>
  <c r="AE634" i="2"/>
  <c r="IB559" i="5"/>
  <c r="IC599" i="5"/>
  <c r="L128" i="7" s="1"/>
  <c r="Y1511" i="2"/>
  <c r="Y582" i="2"/>
  <c r="AC558" i="2"/>
  <c r="AH707" i="2"/>
  <c r="IS497" i="5" s="1"/>
  <c r="IQ633" i="5" s="1"/>
  <c r="V1298" i="2"/>
  <c r="V1385" i="2" s="1"/>
  <c r="Q1560" i="2"/>
  <c r="AJ1765" i="2"/>
  <c r="T63" i="7"/>
  <c r="JM863" i="5"/>
  <c r="ID644" i="5"/>
  <c r="V344" i="2"/>
  <c r="II555" i="5"/>
  <c r="R87" i="7" s="1"/>
  <c r="IC473" i="5"/>
  <c r="L13" i="7" s="1"/>
  <c r="W1618" i="2"/>
  <c r="AE926" i="2"/>
  <c r="IK552" i="5"/>
  <c r="IL552" i="5" s="1"/>
  <c r="HR537" i="5"/>
  <c r="AD294" i="2"/>
  <c r="AD295" i="2" s="1"/>
  <c r="W1298" i="2"/>
  <c r="W1385" i="2" s="1"/>
  <c r="M1567" i="2"/>
  <c r="AH688" i="2"/>
  <c r="IS482" i="5" s="1"/>
  <c r="IQ482" i="5" s="1"/>
  <c r="Q405" i="2"/>
  <c r="Q403" i="2"/>
  <c r="Q919" i="2"/>
  <c r="ID645" i="5"/>
  <c r="M106" i="7"/>
  <c r="IZ904" i="5"/>
  <c r="JA904" i="5"/>
  <c r="AK1624" i="2" s="1"/>
  <c r="AC287" i="2"/>
  <c r="AC577" i="2"/>
  <c r="AC926" i="2"/>
  <c r="AE1753" i="2"/>
  <c r="AE1752" i="2" s="1"/>
  <c r="AC927" i="2"/>
  <c r="R919" i="2"/>
  <c r="W1293" i="2"/>
  <c r="W1380" i="2" s="1"/>
  <c r="W1561" i="2"/>
  <c r="W1532" i="2"/>
  <c r="L1570" i="2"/>
  <c r="J1618" i="2"/>
  <c r="IN538" i="5"/>
  <c r="IO538" i="5" s="1"/>
  <c r="AE1278" i="2"/>
  <c r="IW581" i="5"/>
  <c r="IX581" i="5" s="1"/>
  <c r="IZ605" i="5"/>
  <c r="JA605" i="5" s="1"/>
  <c r="IM633" i="5"/>
  <c r="T33" i="7"/>
  <c r="S46" i="7"/>
  <c r="IH510" i="5"/>
  <c r="Q46" i="7" s="1"/>
  <c r="U1550" i="2"/>
  <c r="V1303" i="2"/>
  <c r="V1301" i="2" s="1"/>
  <c r="IJ643" i="5"/>
  <c r="S103" i="7"/>
  <c r="T112" i="7"/>
  <c r="IM650" i="5"/>
  <c r="IJ650" i="5"/>
  <c r="IO554" i="5"/>
  <c r="AK1303" i="2"/>
  <c r="AK1390" i="2" s="1"/>
  <c r="JB724" i="5"/>
  <c r="IC540" i="5"/>
  <c r="L72" i="7" s="1"/>
  <c r="II531" i="5"/>
  <c r="R63" i="7" s="1"/>
  <c r="S63" i="7"/>
  <c r="M68" i="7"/>
  <c r="ID638" i="5"/>
  <c r="ID640" i="5"/>
  <c r="AG820" i="2"/>
  <c r="AG811" i="2"/>
  <c r="IP586" i="5" s="1"/>
  <c r="IO586" i="5" s="1"/>
  <c r="S68" i="7"/>
  <c r="IJ638" i="5"/>
  <c r="AK1055" i="2"/>
  <c r="JB733" i="5" s="1"/>
  <c r="IY733" i="5"/>
  <c r="IX733" i="5" s="1"/>
  <c r="IH613" i="5"/>
  <c r="Q140" i="7" s="1"/>
  <c r="AB446" i="2"/>
  <c r="D59" i="7"/>
  <c r="E59" i="7" s="1"/>
  <c r="M62" i="7"/>
  <c r="IN540" i="5"/>
  <c r="IO540" i="5" s="1"/>
  <c r="AB320" i="2"/>
  <c r="IS564" i="5"/>
  <c r="AI787" i="2"/>
  <c r="IV564" i="5" s="1"/>
  <c r="AE307" i="2"/>
  <c r="JC796" i="5"/>
  <c r="T51" i="7"/>
  <c r="IK515" i="5"/>
  <c r="IK514" i="5" s="1"/>
  <c r="IY753" i="5"/>
  <c r="AJ1313" i="2"/>
  <c r="AJ1400" i="2" s="1"/>
  <c r="AE287" i="2"/>
  <c r="IU546" i="5"/>
  <c r="S39" i="7"/>
  <c r="IJ635" i="5"/>
  <c r="HR493" i="5"/>
  <c r="Z701" i="2"/>
  <c r="Z700" i="2" s="1"/>
  <c r="IT601" i="5"/>
  <c r="IU601" i="5" s="1"/>
  <c r="AD1640" i="2"/>
  <c r="AD1649" i="2"/>
  <c r="IK546" i="5"/>
  <c r="IL546" i="5" s="1"/>
  <c r="Z344" i="2"/>
  <c r="HR525" i="5"/>
  <c r="W630" i="2"/>
  <c r="HR506" i="5"/>
  <c r="Y1495" i="2"/>
  <c r="Z589" i="2"/>
  <c r="HR558" i="5"/>
  <c r="Y1486" i="2"/>
  <c r="IC498" i="5"/>
  <c r="IB497" i="5"/>
  <c r="IB543" i="5" s="1"/>
  <c r="IT509" i="5"/>
  <c r="IU509" i="5" s="1"/>
  <c r="M54" i="7"/>
  <c r="IB520" i="5"/>
  <c r="J54" i="7" s="1"/>
  <c r="IZ722" i="5"/>
  <c r="S141" i="7"/>
  <c r="M112" i="7"/>
  <c r="ID650" i="5"/>
  <c r="IY862" i="5"/>
  <c r="IX862" i="5" s="1"/>
  <c r="AJ1178" i="2"/>
  <c r="IY861" i="5" s="1"/>
  <c r="IX861" i="5" s="1"/>
  <c r="AN1057" i="2"/>
  <c r="JK735" i="5" s="1"/>
  <c r="IJ633" i="5"/>
  <c r="S109" i="7"/>
  <c r="IJ648" i="5"/>
  <c r="AB1278" i="2"/>
  <c r="W799" i="2"/>
  <c r="W896" i="2" s="1"/>
  <c r="W942" i="2" s="1"/>
  <c r="W872" i="2"/>
  <c r="W921" i="2" s="1"/>
  <c r="IZ534" i="5"/>
  <c r="JA534" i="5" s="1"/>
  <c r="JA722" i="5"/>
  <c r="JB598" i="5"/>
  <c r="JA598" i="5" s="1"/>
  <c r="AK831" i="2"/>
  <c r="JB599" i="5" s="1"/>
  <c r="IZ599" i="5" s="1"/>
  <c r="AC564" i="2"/>
  <c r="AC1369" i="2"/>
  <c r="AC1456" i="2" s="1"/>
  <c r="W520" i="2"/>
  <c r="W439" i="2"/>
  <c r="Q34" i="7"/>
  <c r="IH497" i="5"/>
  <c r="T127" i="7"/>
  <c r="IL598" i="5"/>
  <c r="IQ600" i="5"/>
  <c r="IR600" i="5" s="1"/>
  <c r="JF796" i="5"/>
  <c r="M25" i="7"/>
  <c r="IC486" i="5"/>
  <c r="L25" i="7" s="1"/>
  <c r="IK506" i="5"/>
  <c r="IL506" i="5" s="1"/>
  <c r="AB671" i="2"/>
  <c r="IW594" i="5"/>
  <c r="IX594" i="5" s="1"/>
  <c r="AB299" i="2"/>
  <c r="AC300" i="2" s="1"/>
  <c r="AB305" i="2"/>
  <c r="AC305" i="2" s="1"/>
  <c r="AD305" i="2" s="1"/>
  <c r="AE305" i="2" s="1"/>
  <c r="AF305" i="2" s="1"/>
  <c r="AG305" i="2" s="1"/>
  <c r="IL498" i="5"/>
  <c r="JD742" i="5"/>
  <c r="IN482" i="5"/>
  <c r="IO482" i="5" s="1"/>
  <c r="AI1420" i="2"/>
  <c r="L106" i="7"/>
  <c r="IC575" i="5"/>
  <c r="L105" i="7" s="1"/>
  <c r="JC867" i="5"/>
  <c r="JD867" i="5" s="1"/>
  <c r="JL742" i="5"/>
  <c r="JM742" i="5" s="1"/>
  <c r="T71" i="7"/>
  <c r="IK539" i="5"/>
  <c r="IL539" i="5" s="1"/>
  <c r="IN539" i="5"/>
  <c r="IO539" i="5" s="1"/>
  <c r="IR546" i="5"/>
  <c r="JB812" i="5"/>
  <c r="IZ812" i="5" s="1"/>
  <c r="JA812" i="5" s="1"/>
  <c r="Y1597" i="2"/>
  <c r="AD1394" i="2"/>
  <c r="Z1591" i="2"/>
  <c r="Z1697" i="2" s="1"/>
  <c r="IH488" i="5"/>
  <c r="Q27" i="7" s="1"/>
  <c r="IZ541" i="5"/>
  <c r="IZ493" i="5"/>
  <c r="IZ492" i="5" s="1"/>
  <c r="S59" i="7"/>
  <c r="IH525" i="5"/>
  <c r="T130" i="7"/>
  <c r="IK601" i="5"/>
  <c r="IL601" i="5" s="1"/>
  <c r="S137" i="7"/>
  <c r="IJ1112" i="5"/>
  <c r="IJ1114" i="5" s="1"/>
  <c r="JK871" i="5"/>
  <c r="JI871" i="5" s="1"/>
  <c r="JJ871" i="5" s="1"/>
  <c r="AE582" i="2"/>
  <c r="JI722" i="5"/>
  <c r="IO551" i="5"/>
  <c r="AE564" i="2"/>
  <c r="IK476" i="5"/>
  <c r="IL476" i="5" s="1"/>
  <c r="U1546" i="2"/>
  <c r="AH1649" i="2"/>
  <c r="IY494" i="5"/>
  <c r="IX494" i="5" s="1"/>
  <c r="S1560" i="2"/>
  <c r="P1567" i="2"/>
  <c r="O1570" i="2"/>
  <c r="L1618" i="2"/>
  <c r="AE577" i="2"/>
  <c r="T939" i="2"/>
  <c r="AI1744" i="2"/>
  <c r="T1560" i="2"/>
  <c r="IU551" i="5"/>
  <c r="JA868" i="5"/>
  <c r="AI378" i="2"/>
  <c r="S941" i="2"/>
  <c r="AE961" i="2"/>
  <c r="AE949" i="2"/>
  <c r="AK747" i="2"/>
  <c r="JB530" i="5" s="1"/>
  <c r="IZ530" i="5" s="1"/>
  <c r="AE925" i="2"/>
  <c r="IC554" i="5"/>
  <c r="L86" i="7" s="1"/>
  <c r="IO477" i="5"/>
  <c r="IC553" i="5"/>
  <c r="L85" i="7" s="1"/>
  <c r="X403" i="2"/>
  <c r="V1356" i="2"/>
  <c r="V1443" i="2" s="1"/>
  <c r="II494" i="5"/>
  <c r="R31" i="7" s="1"/>
  <c r="AF1635" i="2"/>
  <c r="X509" i="2"/>
  <c r="JG918" i="5"/>
  <c r="AE933" i="2"/>
  <c r="Z876" i="2"/>
  <c r="IV614" i="5"/>
  <c r="IT614" i="5" s="1"/>
  <c r="AE942" i="2"/>
  <c r="AJ577" i="2"/>
  <c r="AE345" i="2"/>
  <c r="ID648" i="5"/>
  <c r="IC561" i="5"/>
  <c r="L92" i="7" s="1"/>
  <c r="IC591" i="5"/>
  <c r="L120" i="7" s="1"/>
  <c r="S921" i="2"/>
  <c r="V1247" i="2"/>
  <c r="V1239" i="2" s="1"/>
  <c r="V1362" i="2" s="1"/>
  <c r="V1449" i="2" s="1"/>
  <c r="IK510" i="5"/>
  <c r="IL510" i="5" s="1"/>
  <c r="N1570" i="2"/>
  <c r="AF1722" i="2"/>
  <c r="AF1734" i="2" s="1"/>
  <c r="AF1739" i="2" s="1"/>
  <c r="AF1744" i="2" s="1"/>
  <c r="W951" i="2"/>
  <c r="L919" i="2"/>
  <c r="AB1498" i="2"/>
  <c r="AO760" i="2"/>
  <c r="AO702" i="2"/>
  <c r="AO701" i="2" s="1"/>
  <c r="AO878" i="2" s="1"/>
  <c r="AE1736" i="2"/>
  <c r="AC948" i="2"/>
  <c r="AC1741" i="2"/>
  <c r="AC1744" i="2" s="1"/>
  <c r="AB919" i="2"/>
  <c r="AI1748" i="2"/>
  <c r="AI1750" i="2"/>
  <c r="AL379" i="2"/>
  <c r="AM379" i="2" s="1"/>
  <c r="AM378" i="2" s="1"/>
  <c r="AM774" i="2" s="1"/>
  <c r="W807" i="2"/>
  <c r="W904" i="2"/>
  <c r="W954" i="2" s="1"/>
  <c r="Y1485" i="2"/>
  <c r="HR591" i="5"/>
  <c r="Z810" i="2"/>
  <c r="V923" i="2"/>
  <c r="U903" i="2"/>
  <c r="U919" i="2" s="1"/>
  <c r="U848" i="2"/>
  <c r="AL578" i="2"/>
  <c r="AL334" i="2"/>
  <c r="AM578" i="2" s="1"/>
  <c r="Y348" i="2"/>
  <c r="Z348" i="2"/>
  <c r="Z353" i="2" s="1"/>
  <c r="W958" i="2"/>
  <c r="AO1366" i="2"/>
  <c r="JN938" i="5"/>
  <c r="Y807" i="2"/>
  <c r="IW476" i="5"/>
  <c r="IX476" i="5" s="1"/>
  <c r="IW558" i="5"/>
  <c r="IX558" i="5" s="1"/>
  <c r="IY530" i="5"/>
  <c r="IW530" i="5" s="1"/>
  <c r="AJ746" i="2"/>
  <c r="AJ625" i="2" s="1"/>
  <c r="AF292" i="2"/>
  <c r="AF294" i="2" s="1"/>
  <c r="AF289" i="2"/>
  <c r="AM760" i="2"/>
  <c r="AM702" i="2"/>
  <c r="AM701" i="2" s="1"/>
  <c r="AM878" i="2" s="1"/>
  <c r="AM926" i="2" s="1"/>
  <c r="W927" i="2"/>
  <c r="W929" i="2"/>
  <c r="IZ805" i="5"/>
  <c r="JA805" i="5" s="1"/>
  <c r="U938" i="2"/>
  <c r="U933" i="2"/>
  <c r="X299" i="2"/>
  <c r="X305" i="2"/>
  <c r="JD676" i="5"/>
  <c r="AL627" i="2"/>
  <c r="AK748" i="2"/>
  <c r="JB531" i="5" s="1"/>
  <c r="IZ531" i="5" s="1"/>
  <c r="V602" i="2"/>
  <c r="V338" i="2"/>
  <c r="V307" i="2"/>
  <c r="V950" i="2"/>
  <c r="V582" i="2"/>
  <c r="V952" i="2"/>
  <c r="V951" i="2"/>
  <c r="V287" i="2"/>
  <c r="V937" i="2"/>
  <c r="V577" i="2"/>
  <c r="V564" i="2"/>
  <c r="V298" i="2"/>
  <c r="V928" i="2"/>
  <c r="V959" i="2"/>
  <c r="V358" i="2"/>
  <c r="V634" i="2"/>
  <c r="V958" i="2"/>
  <c r="V308" i="2"/>
  <c r="V375" i="2"/>
  <c r="V625" i="2"/>
  <c r="V333" i="2"/>
  <c r="V361" i="2"/>
  <c r="V345" i="2"/>
  <c r="V320" i="2"/>
  <c r="V385" i="2"/>
  <c r="ID1108" i="5"/>
  <c r="ID1110" i="5" s="1"/>
  <c r="M129" i="7"/>
  <c r="AN997" i="2"/>
  <c r="JK675" i="5" s="1"/>
  <c r="JK676" i="5"/>
  <c r="JI676" i="5" s="1"/>
  <c r="W307" i="2"/>
  <c r="W333" i="2"/>
  <c r="W298" i="2"/>
  <c r="W308" i="2"/>
  <c r="W358" i="2"/>
  <c r="W285" i="2"/>
  <c r="W604" i="2" s="1"/>
  <c r="W950" i="2"/>
  <c r="W577" i="2"/>
  <c r="W564" i="2"/>
  <c r="W375" i="2"/>
  <c r="W361" i="2"/>
  <c r="W582" i="2"/>
  <c r="W320" i="2"/>
  <c r="W366" i="2"/>
  <c r="W937" i="2"/>
  <c r="W938" i="2"/>
  <c r="W345" i="2"/>
  <c r="W625" i="2"/>
  <c r="W287" i="2"/>
  <c r="W634" i="2"/>
  <c r="W370" i="2"/>
  <c r="W301" i="2"/>
  <c r="W949" i="2"/>
  <c r="W338" i="2"/>
  <c r="W602" i="2"/>
  <c r="IJ1108" i="5"/>
  <c r="S129" i="7"/>
  <c r="IL518" i="5"/>
  <c r="T53" i="7"/>
  <c r="M66" i="7"/>
  <c r="IC534" i="5"/>
  <c r="L66" i="7" s="1"/>
  <c r="T102" i="7"/>
  <c r="IM642" i="5"/>
  <c r="IQ581" i="5"/>
  <c r="IR581" i="5" s="1"/>
  <c r="T114" i="7"/>
  <c r="IM651" i="5"/>
  <c r="J87" i="7"/>
  <c r="K87" i="7" s="1"/>
  <c r="IC555" i="5"/>
  <c r="L87" i="7" s="1"/>
  <c r="JL889" i="5"/>
  <c r="JM889" i="5" s="1"/>
  <c r="S20" i="7"/>
  <c r="IH480" i="5"/>
  <c r="IT481" i="5"/>
  <c r="IU481" i="5" s="1"/>
  <c r="IN541" i="5"/>
  <c r="IN493" i="5"/>
  <c r="IN492" i="5" s="1"/>
  <c r="IN491" i="5" s="1"/>
  <c r="S32" i="7"/>
  <c r="II496" i="5"/>
  <c r="R32" i="7" s="1"/>
  <c r="T48" i="7"/>
  <c r="IK512" i="5"/>
  <c r="IL512" i="5" s="1"/>
  <c r="JL752" i="5"/>
  <c r="JM752" i="5" s="1"/>
  <c r="AK562" i="2"/>
  <c r="AL314" i="2"/>
  <c r="AM314" i="2" s="1"/>
  <c r="T20" i="7"/>
  <c r="IK480" i="5"/>
  <c r="IL480" i="5" s="1"/>
  <c r="IQ512" i="5"/>
  <c r="IR512" i="5" s="1"/>
  <c r="S24" i="7"/>
  <c r="IJ629" i="5"/>
  <c r="AF1658" i="2"/>
  <c r="AF1655" i="2" s="1"/>
  <c r="AG1648" i="2"/>
  <c r="AH1648" i="2" s="1"/>
  <c r="AI1648" i="2" s="1"/>
  <c r="AJ1648" i="2" s="1"/>
  <c r="AK1648" i="2" s="1"/>
  <c r="AL1648" i="2" s="1"/>
  <c r="AM1648" i="2" s="1"/>
  <c r="AN1648" i="2" s="1"/>
  <c r="AO1648" i="2" s="1"/>
  <c r="W423" i="2"/>
  <c r="W454" i="2"/>
  <c r="W426" i="2"/>
  <c r="W507" i="2"/>
  <c r="W535" i="2"/>
  <c r="W527" i="2"/>
  <c r="V463" i="2"/>
  <c r="V464" i="2" s="1"/>
  <c r="V475" i="2"/>
  <c r="X737" i="2"/>
  <c r="X362" i="2" s="1"/>
  <c r="X347" i="2"/>
  <c r="X589" i="2"/>
  <c r="X344" i="2"/>
  <c r="T923" i="2"/>
  <c r="V924" i="2"/>
  <c r="V933" i="2"/>
  <c r="AC1778" i="2"/>
  <c r="W524" i="2"/>
  <c r="W528" i="2"/>
  <c r="X1742" i="2"/>
  <c r="Y954" i="2"/>
  <c r="JD805" i="5"/>
  <c r="AH852" i="2"/>
  <c r="IS618" i="5" s="1"/>
  <c r="T928" i="2"/>
  <c r="T954" i="2"/>
  <c r="W451" i="2"/>
  <c r="W496" i="2"/>
  <c r="AH906" i="2"/>
  <c r="AH956" i="2" s="1"/>
  <c r="IR507" i="5"/>
  <c r="X1077" i="2"/>
  <c r="T938" i="2"/>
  <c r="W480" i="2"/>
  <c r="W459" i="2"/>
  <c r="IB525" i="5"/>
  <c r="J59" i="7" s="1"/>
  <c r="L403" i="2"/>
  <c r="U942" i="2"/>
  <c r="IR531" i="5"/>
  <c r="O921" i="2"/>
  <c r="V925" i="2"/>
  <c r="W926" i="2"/>
  <c r="V927" i="2"/>
  <c r="V929" i="2"/>
  <c r="S62" i="7"/>
  <c r="IR594" i="5"/>
  <c r="JJ713" i="5"/>
  <c r="JN670" i="5"/>
  <c r="W957" i="2"/>
  <c r="W493" i="2"/>
  <c r="AF1769" i="2"/>
  <c r="AF1332" i="2"/>
  <c r="AF1368" i="2" s="1"/>
  <c r="AF1455" i="2" s="1"/>
  <c r="JC916" i="5"/>
  <c r="JD916" i="5" s="1"/>
  <c r="IZ486" i="5"/>
  <c r="IZ532" i="5" s="1"/>
  <c r="M141" i="7"/>
  <c r="IK548" i="5"/>
  <c r="IL548" i="5" s="1"/>
  <c r="W430" i="2"/>
  <c r="L924" i="2"/>
  <c r="T28" i="7"/>
  <c r="IM631" i="5"/>
  <c r="IQ497" i="5"/>
  <c r="IQ543" i="5" s="1"/>
  <c r="M135" i="7"/>
  <c r="IB608" i="5"/>
  <c r="JL918" i="5"/>
  <c r="JM918" i="5" s="1"/>
  <c r="AD299" i="2"/>
  <c r="AE299" i="2" s="1"/>
  <c r="AF299" i="2" s="1"/>
  <c r="AG299" i="2" s="1"/>
  <c r="W925" i="2"/>
  <c r="M10" i="7"/>
  <c r="IC470" i="5"/>
  <c r="IH478" i="5"/>
  <c r="Q18" i="7" s="1"/>
  <c r="S18" i="7"/>
  <c r="W1446" i="2"/>
  <c r="W532" i="2"/>
  <c r="W431" i="2"/>
  <c r="W420" i="2"/>
  <c r="S82" i="7"/>
  <c r="IK560" i="5"/>
  <c r="IL560" i="5" s="1"/>
  <c r="IR539" i="5"/>
  <c r="T951" i="2"/>
  <c r="M403" i="2"/>
  <c r="N403" i="2"/>
  <c r="K1560" i="2"/>
  <c r="IW601" i="5"/>
  <c r="IX601" i="5" s="1"/>
  <c r="IU516" i="5"/>
  <c r="IJ631" i="5"/>
  <c r="IH560" i="5"/>
  <c r="Q91" i="7" s="1"/>
  <c r="AG846" i="2"/>
  <c r="AG845" i="2" s="1"/>
  <c r="AG844" i="2" s="1"/>
  <c r="AG912" i="2" s="1"/>
  <c r="AG959" i="2" s="1"/>
  <c r="T949" i="2"/>
  <c r="IH609" i="5"/>
  <c r="IU518" i="5"/>
  <c r="IH576" i="5"/>
  <c r="IJ645" i="5"/>
  <c r="W542" i="2"/>
  <c r="W472" i="2"/>
  <c r="W488" i="2"/>
  <c r="W484" i="2"/>
  <c r="W435" i="2"/>
  <c r="W436" i="2" s="1"/>
  <c r="W468" i="2"/>
  <c r="W455" i="2"/>
  <c r="W928" i="2"/>
  <c r="JL722" i="5"/>
  <c r="W427" i="2"/>
  <c r="IK600" i="5"/>
  <c r="IL600" i="5" s="1"/>
  <c r="T940" i="2"/>
  <c r="V650" i="2"/>
  <c r="X1241" i="2"/>
  <c r="JH910" i="5"/>
  <c r="S13" i="7"/>
  <c r="II473" i="5"/>
  <c r="R13" i="7" s="1"/>
  <c r="V1365" i="2"/>
  <c r="V1134" i="2"/>
  <c r="V1331" i="2" s="1"/>
  <c r="V1366" i="2"/>
  <c r="M1560" i="2"/>
  <c r="S1570" i="2"/>
  <c r="S1567" i="2"/>
  <c r="J1570" i="2"/>
  <c r="R1570" i="2"/>
  <c r="O1618" i="2"/>
  <c r="IM645" i="5"/>
  <c r="IK576" i="5"/>
  <c r="IK583" i="5"/>
  <c r="IL583" i="5" s="1"/>
  <c r="JL904" i="5"/>
  <c r="JI889" i="5"/>
  <c r="JJ889" i="5" s="1"/>
  <c r="JL916" i="5"/>
  <c r="JM916" i="5" s="1"/>
  <c r="II598" i="5"/>
  <c r="R127" i="7" s="1"/>
  <c r="IH534" i="5"/>
  <c r="AC413" i="2"/>
  <c r="JH933" i="5"/>
  <c r="Z694" i="2"/>
  <c r="HR523" i="5"/>
  <c r="K1570" i="2"/>
  <c r="IN576" i="5"/>
  <c r="IN575" i="5" s="1"/>
  <c r="IO575" i="5" s="1"/>
  <c r="IO644" i="5" s="1"/>
  <c r="JM832" i="5"/>
  <c r="JL867" i="5"/>
  <c r="JM867" i="5" s="1"/>
  <c r="JA565" i="5"/>
  <c r="IC510" i="5"/>
  <c r="L46" i="7" s="1"/>
  <c r="W545" i="2"/>
  <c r="T924" i="2"/>
  <c r="W483" i="2"/>
  <c r="AG1649" i="2"/>
  <c r="AG1640" i="2"/>
  <c r="W959" i="2"/>
  <c r="JM710" i="5"/>
  <c r="AL1364" i="2"/>
  <c r="AL1451" i="2" s="1"/>
  <c r="JD716" i="5"/>
  <c r="IX507" i="5"/>
  <c r="IH485" i="5"/>
  <c r="Q24" i="7" s="1"/>
  <c r="IO566" i="5"/>
  <c r="V941" i="2"/>
  <c r="W621" i="2"/>
  <c r="W471" i="2"/>
  <c r="N953" i="2"/>
  <c r="N919" i="2"/>
  <c r="M48" i="7"/>
  <c r="IB512" i="5"/>
  <c r="T93" i="7"/>
  <c r="IK562" i="5"/>
  <c r="IL562" i="5" s="1"/>
  <c r="S120" i="7"/>
  <c r="II591" i="5"/>
  <c r="R120" i="7" s="1"/>
  <c r="IM655" i="5"/>
  <c r="T125" i="7"/>
  <c r="JG889" i="5"/>
  <c r="JM761" i="5"/>
  <c r="IY480" i="5"/>
  <c r="IW480" i="5" s="1"/>
  <c r="IX480" i="5" s="1"/>
  <c r="IB614" i="5"/>
  <c r="J141" i="7" s="1"/>
  <c r="W1398" i="2"/>
  <c r="W550" i="2"/>
  <c r="T927" i="2"/>
  <c r="W443" i="2"/>
  <c r="U948" i="2"/>
  <c r="U1534" i="2"/>
  <c r="AL338" i="2"/>
  <c r="AM338" i="2" s="1"/>
  <c r="AI906" i="2"/>
  <c r="AI956" i="2" s="1"/>
  <c r="JA508" i="5"/>
  <c r="IR481" i="5"/>
  <c r="IK477" i="5"/>
  <c r="IL477" i="5" s="1"/>
  <c r="JA542" i="5"/>
  <c r="IC515" i="5"/>
  <c r="L51" i="7" s="1"/>
  <c r="V948" i="2"/>
  <c r="AC1479" i="2"/>
  <c r="JJ707" i="5"/>
  <c r="JM796" i="5"/>
  <c r="II595" i="5"/>
  <c r="R124" i="7" s="1"/>
  <c r="T929" i="2"/>
  <c r="W447" i="2"/>
  <c r="W479" i="2"/>
  <c r="S959" i="2"/>
  <c r="S950" i="2"/>
  <c r="V305" i="2"/>
  <c r="V306" i="2" s="1"/>
  <c r="V299" i="2"/>
  <c r="V1387" i="2"/>
  <c r="V1377" i="2"/>
  <c r="V476" i="2"/>
  <c r="V477" i="2" s="1"/>
  <c r="W1111" i="2"/>
  <c r="X608" i="2" s="1"/>
  <c r="W347" i="2"/>
  <c r="W346" i="2"/>
  <c r="X828" i="2"/>
  <c r="X385" i="2" s="1"/>
  <c r="O927" i="2"/>
  <c r="W948" i="2"/>
  <c r="X1382" i="2"/>
  <c r="X1397" i="2"/>
  <c r="T139" i="7"/>
  <c r="IL612" i="5"/>
  <c r="JN871" i="5"/>
  <c r="JL871" i="5" s="1"/>
  <c r="P1549" i="2"/>
  <c r="V1308" i="2"/>
  <c r="V1395" i="2" s="1"/>
  <c r="O1560" i="2"/>
  <c r="T1570" i="2"/>
  <c r="JJ901" i="5"/>
  <c r="JM793" i="5"/>
  <c r="W1382" i="2"/>
  <c r="AE1368" i="2"/>
  <c r="AE1455" i="2" s="1"/>
  <c r="AB1479" i="2"/>
  <c r="JG887" i="5"/>
  <c r="AM1625" i="2"/>
  <c r="IY595" i="5"/>
  <c r="IX595" i="5" s="1"/>
  <c r="AB1467" i="2"/>
  <c r="AB1466" i="2" s="1"/>
  <c r="Z1722" i="2"/>
  <c r="Z1734" i="2" s="1"/>
  <c r="Z1735" i="2" s="1"/>
  <c r="Z1740" i="2" s="1"/>
  <c r="AJ1066" i="2"/>
  <c r="Q959" i="2"/>
  <c r="AB1722" i="2"/>
  <c r="AB1734" i="2" s="1"/>
  <c r="AB1735" i="2" s="1"/>
  <c r="JJ917" i="5"/>
  <c r="V954" i="2"/>
  <c r="W1389" i="2"/>
  <c r="AO1016" i="2"/>
  <c r="AP1016" i="2" s="1"/>
  <c r="W939" i="2"/>
  <c r="Z737" i="2"/>
  <c r="HR522" i="5" s="1"/>
  <c r="V807" i="2"/>
  <c r="O919" i="2"/>
  <c r="K919" i="2"/>
  <c r="X1389" i="2"/>
  <c r="AE1623" i="2"/>
  <c r="Z1642" i="2"/>
  <c r="AI762" i="2"/>
  <c r="AI634" i="2" s="1"/>
  <c r="IP519" i="5"/>
  <c r="IO519" i="5" s="1"/>
  <c r="AE960" i="2"/>
  <c r="W923" i="2"/>
  <c r="S925" i="2"/>
  <c r="T926" i="2"/>
  <c r="AE931" i="2"/>
  <c r="V949" i="2"/>
  <c r="AB1618" i="2"/>
  <c r="JG760" i="5"/>
  <c r="Z770" i="2"/>
  <c r="Z889" i="2" s="1"/>
  <c r="Y1732" i="2" s="1"/>
  <c r="V922" i="2"/>
  <c r="T925" i="2"/>
  <c r="S927" i="2"/>
  <c r="S928" i="2"/>
  <c r="S929" i="2"/>
  <c r="V935" i="2"/>
  <c r="W1134" i="2"/>
  <c r="W1331" i="2" s="1"/>
  <c r="AB1475" i="2"/>
  <c r="IZ780" i="5"/>
  <c r="AA1597" i="2"/>
  <c r="JL901" i="5"/>
  <c r="AI348" i="2"/>
  <c r="W922" i="2"/>
  <c r="V926" i="2"/>
  <c r="AE932" i="2"/>
  <c r="JM788" i="5"/>
  <c r="JG675" i="5"/>
  <c r="AL324" i="2"/>
  <c r="AL569" i="2" s="1"/>
  <c r="Y400" i="2"/>
  <c r="IS595" i="5"/>
  <c r="IR595" i="5" s="1"/>
  <c r="AH907" i="2"/>
  <c r="AJ1366" i="2"/>
  <c r="AJ1453" i="2" s="1"/>
  <c r="IY938" i="5"/>
  <c r="IX938" i="5" s="1"/>
  <c r="W1308" i="2"/>
  <c r="W1395" i="2" s="1"/>
  <c r="W1397" i="2"/>
  <c r="M14" i="7"/>
  <c r="IB474" i="5"/>
  <c r="J14" i="7" s="1"/>
  <c r="IY871" i="5"/>
  <c r="IX871" i="5" s="1"/>
  <c r="AJ1187" i="2"/>
  <c r="IY870" i="5" s="1"/>
  <c r="IX870" i="5" s="1"/>
  <c r="JB910" i="5"/>
  <c r="JA744" i="5"/>
  <c r="S933" i="2"/>
  <c r="S1133" i="2"/>
  <c r="R1549" i="2" s="1"/>
  <c r="AK1187" i="2"/>
  <c r="JB870" i="5" s="1"/>
  <c r="JB871" i="5"/>
  <c r="JG713" i="5"/>
  <c r="JL718" i="5"/>
  <c r="W1386" i="2"/>
  <c r="U922" i="2"/>
  <c r="W305" i="2"/>
  <c r="W299" i="2"/>
  <c r="T13" i="7"/>
  <c r="IK473" i="5"/>
  <c r="IL473" i="5" s="1"/>
  <c r="AC671" i="2"/>
  <c r="AC796" i="2" s="1"/>
  <c r="ID491" i="5"/>
  <c r="G29" i="8"/>
  <c r="H29" i="8" s="1"/>
  <c r="HR497" i="5"/>
  <c r="HR633" i="5" s="1"/>
  <c r="Z879" i="2"/>
  <c r="Y1728" i="2" s="1"/>
  <c r="U924" i="2"/>
  <c r="T1133" i="2"/>
  <c r="T933" i="2"/>
  <c r="JE871" i="5"/>
  <c r="AL1187" i="2"/>
  <c r="JE870" i="5" s="1"/>
  <c r="JC870" i="5" s="1"/>
  <c r="Y1505" i="2"/>
  <c r="JG861" i="5"/>
  <c r="U923" i="2"/>
  <c r="Y423" i="2"/>
  <c r="Y1414" i="2"/>
  <c r="Y403" i="2"/>
  <c r="Y1432" i="2"/>
  <c r="Y1430" i="2"/>
  <c r="Y1429" i="2"/>
  <c r="Y1383" i="2"/>
  <c r="Y1369" i="2"/>
  <c r="Y1456" i="2" s="1"/>
  <c r="Y1428" i="2"/>
  <c r="Y1427" i="2"/>
  <c r="Z400" i="2"/>
  <c r="IT501" i="5"/>
  <c r="IT497" i="5" s="1"/>
  <c r="IT543" i="5" s="1"/>
  <c r="IZ762" i="5"/>
  <c r="JA762" i="5" s="1"/>
  <c r="IW501" i="5"/>
  <c r="IW497" i="5" s="1"/>
  <c r="IW543" i="5" s="1"/>
  <c r="JD762" i="5"/>
  <c r="JF869" i="5"/>
  <c r="JG869" i="5" s="1"/>
  <c r="JN740" i="5"/>
  <c r="JL740" i="5" s="1"/>
  <c r="JK740" i="5"/>
  <c r="AK1455" i="2"/>
  <c r="AK1778" i="2"/>
  <c r="AK1378" i="2"/>
  <c r="AK1446" i="2"/>
  <c r="AK507" i="2"/>
  <c r="T22" i="7"/>
  <c r="IK482" i="5"/>
  <c r="IL482" i="5" s="1"/>
  <c r="AL434" i="2"/>
  <c r="JC797" i="5"/>
  <c r="IN512" i="5"/>
  <c r="IO512" i="5" s="1"/>
  <c r="HR521" i="5"/>
  <c r="IW560" i="5"/>
  <c r="IX560" i="5" s="1"/>
  <c r="IQ593" i="5"/>
  <c r="IR593" i="5" s="1"/>
  <c r="T123" i="7"/>
  <c r="IK594" i="5"/>
  <c r="IL594" i="5" s="1"/>
  <c r="JD701" i="5"/>
  <c r="JF867" i="5"/>
  <c r="JG867" i="5" s="1"/>
  <c r="JM708" i="5"/>
  <c r="Z729" i="2"/>
  <c r="HR514" i="5" s="1"/>
  <c r="HR518" i="5"/>
  <c r="Y1501" i="2"/>
  <c r="Y1498" i="2" s="1"/>
  <c r="IY477" i="5"/>
  <c r="IW477" i="5" s="1"/>
  <c r="AJ564" i="2"/>
  <c r="AK434" i="2"/>
  <c r="JB675" i="5"/>
  <c r="X1278" i="2"/>
  <c r="X495" i="2"/>
  <c r="X621" i="2"/>
  <c r="X515" i="2"/>
  <c r="X471" i="2"/>
  <c r="X545" i="2"/>
  <c r="X483" i="2"/>
  <c r="X620" i="2"/>
  <c r="X1387" i="2"/>
  <c r="X491" i="2"/>
  <c r="X1432" i="2"/>
  <c r="X423" i="2"/>
  <c r="X499" i="2"/>
  <c r="X1427" i="2"/>
  <c r="X434" i="2"/>
  <c r="X523" i="2"/>
  <c r="X1400" i="2"/>
  <c r="X535" i="2"/>
  <c r="X1429" i="2"/>
  <c r="X1414" i="2"/>
  <c r="X1383" i="2"/>
  <c r="X1392" i="2"/>
  <c r="X426" i="2"/>
  <c r="X1399" i="2"/>
  <c r="X1378" i="2"/>
  <c r="X400" i="2"/>
  <c r="X458" i="2"/>
  <c r="X454" i="2"/>
  <c r="X1428" i="2"/>
  <c r="X462" i="2"/>
  <c r="X442" i="2"/>
  <c r="X511" i="2"/>
  <c r="X450" i="2"/>
  <c r="X430" i="2"/>
  <c r="X507" i="2"/>
  <c r="X479" i="2"/>
  <c r="X438" i="2"/>
  <c r="X527" i="2"/>
  <c r="X419" i="2"/>
  <c r="X1386" i="2"/>
  <c r="X519" i="2"/>
  <c r="X531" i="2"/>
  <c r="X1430" i="2"/>
  <c r="X446" i="2"/>
  <c r="X1393" i="2"/>
  <c r="X1407" i="2"/>
  <c r="X1398" i="2"/>
  <c r="X1369" i="2"/>
  <c r="X1456" i="2" s="1"/>
  <c r="X503" i="2"/>
  <c r="JL805" i="5"/>
  <c r="JM805" i="5" s="1"/>
  <c r="AM748" i="2"/>
  <c r="AN627" i="2"/>
  <c r="T12" i="7"/>
  <c r="IK472" i="5"/>
  <c r="IL472" i="5" s="1"/>
  <c r="IT593" i="5"/>
  <c r="IU593" i="5" s="1"/>
  <c r="IN594" i="5"/>
  <c r="IO594" i="5" s="1"/>
  <c r="IB612" i="5"/>
  <c r="AG1278" i="2"/>
  <c r="AG1369" i="2"/>
  <c r="AG1456" i="2" s="1"/>
  <c r="AG1778" i="2"/>
  <c r="JL760" i="5"/>
  <c r="JM760" i="5" s="1"/>
  <c r="AH1369" i="2"/>
  <c r="AH1456" i="2" s="1"/>
  <c r="AH1278" i="2"/>
  <c r="AH403" i="2"/>
  <c r="JC748" i="5"/>
  <c r="JD748" i="5" s="1"/>
  <c r="V285" i="2"/>
  <c r="U950" i="2"/>
  <c r="U952" i="2"/>
  <c r="U951" i="2"/>
  <c r="U954" i="2"/>
  <c r="U959" i="2"/>
  <c r="U925" i="2"/>
  <c r="U929" i="2"/>
  <c r="W1292" i="2"/>
  <c r="W1379" i="2" s="1"/>
  <c r="W989" i="2"/>
  <c r="JJ708" i="5"/>
  <c r="JN729" i="5"/>
  <c r="JM729" i="5" s="1"/>
  <c r="AJ676" i="2"/>
  <c r="IY470" i="5" s="1"/>
  <c r="IW470" i="5" s="1"/>
  <c r="IX470" i="5" s="1"/>
  <c r="X541" i="2"/>
  <c r="X487" i="2"/>
  <c r="IQ553" i="5"/>
  <c r="IR553" i="5" s="1"/>
  <c r="T86" i="7"/>
  <c r="IK554" i="5"/>
  <c r="IL554" i="5" s="1"/>
  <c r="IQ555" i="5"/>
  <c r="IR555" i="5" s="1"/>
  <c r="S88" i="7"/>
  <c r="IH557" i="5"/>
  <c r="Q88" i="7" s="1"/>
  <c r="IZ592" i="5"/>
  <c r="JA592" i="5" s="1"/>
  <c r="M124" i="7"/>
  <c r="IC595" i="5"/>
  <c r="L124" i="7" s="1"/>
  <c r="AM1181" i="2"/>
  <c r="JH865" i="5"/>
  <c r="AI1749" i="2"/>
  <c r="AI1752" i="2"/>
  <c r="Q951" i="2"/>
  <c r="Z403" i="2"/>
  <c r="U285" i="2"/>
  <c r="M11" i="7"/>
  <c r="IC471" i="5"/>
  <c r="L11" i="7" s="1"/>
  <c r="IQ472" i="5"/>
  <c r="IR472" i="5" s="1"/>
  <c r="T88" i="7"/>
  <c r="IL557" i="5"/>
  <c r="M24" i="7"/>
  <c r="ID629" i="5"/>
  <c r="M22" i="7"/>
  <c r="IC482" i="5"/>
  <c r="L22" i="7" s="1"/>
  <c r="R405" i="2"/>
  <c r="R403" i="2"/>
  <c r="JJ869" i="5"/>
  <c r="JM917" i="5"/>
  <c r="IY532" i="5"/>
  <c r="IX532" i="5" s="1"/>
  <c r="AJ883" i="2"/>
  <c r="AJ930" i="2" s="1"/>
  <c r="JJ832" i="5"/>
  <c r="AL1066" i="2"/>
  <c r="JD744" i="5"/>
  <c r="IW531" i="5"/>
  <c r="AN1066" i="2"/>
  <c r="JI744" i="5"/>
  <c r="AG1383" i="2"/>
  <c r="X1324" i="2"/>
  <c r="X1411" i="2" s="1"/>
  <c r="X606" i="2"/>
  <c r="X607" i="2"/>
  <c r="X467" i="2"/>
  <c r="IW553" i="5"/>
  <c r="IX553" i="5" s="1"/>
  <c r="JC863" i="5"/>
  <c r="JD863" i="5" s="1"/>
  <c r="AN1182" i="2"/>
  <c r="AL302" i="2"/>
  <c r="AL424" i="2"/>
  <c r="AK648" i="2"/>
  <c r="AJ1108" i="2"/>
  <c r="O42" i="19" s="1"/>
  <c r="N42" i="19" s="1"/>
  <c r="IH554" i="5"/>
  <c r="S86" i="7"/>
  <c r="IN555" i="5"/>
  <c r="IO555" i="5" s="1"/>
  <c r="T128" i="7"/>
  <c r="IK599" i="5"/>
  <c r="IL599" i="5" s="1"/>
  <c r="JA701" i="5"/>
  <c r="JJ709" i="5"/>
  <c r="IN583" i="5"/>
  <c r="IO583" i="5" s="1"/>
  <c r="JD670" i="5"/>
  <c r="AO1245" i="2"/>
  <c r="JN926" i="5" s="1"/>
  <c r="JN927" i="5"/>
  <c r="IN520" i="5"/>
  <c r="IO520" i="5" s="1"/>
  <c r="IZ901" i="5"/>
  <c r="Z331" i="2"/>
  <c r="U935" i="2"/>
  <c r="U937" i="2"/>
  <c r="M55" i="7"/>
  <c r="IB521" i="5"/>
  <c r="T69" i="7"/>
  <c r="IL537" i="5"/>
  <c r="AM1307" i="2"/>
  <c r="AM1394" i="2" s="1"/>
  <c r="JH729" i="5"/>
  <c r="JG729" i="5" s="1"/>
  <c r="X1379" i="2"/>
  <c r="IC537" i="5"/>
  <c r="L69" i="7" s="1"/>
  <c r="M69" i="7"/>
  <c r="N921" i="2"/>
  <c r="U926" i="2"/>
  <c r="U1561" i="2"/>
  <c r="U1532" i="2"/>
  <c r="V1293" i="2"/>
  <c r="V1289" i="2" s="1"/>
  <c r="V1561" i="2"/>
  <c r="V1532" i="2"/>
  <c r="M42" i="7"/>
  <c r="IC506" i="5"/>
  <c r="L42" i="7" s="1"/>
  <c r="AL381" i="2"/>
  <c r="AM381" i="2" s="1"/>
  <c r="AL748" i="2"/>
  <c r="AM627" i="2"/>
  <c r="M958" i="2"/>
  <c r="M287" i="2"/>
  <c r="M927" i="2"/>
  <c r="M953" i="2"/>
  <c r="AC650" i="2"/>
  <c r="AC955" i="2"/>
  <c r="AC582" i="2"/>
  <c r="AC937" i="2"/>
  <c r="AD314" i="2"/>
  <c r="AD558" i="2"/>
  <c r="AB1652" i="2"/>
  <c r="AB415" i="2"/>
  <c r="AB416" i="2" s="1"/>
  <c r="AH846" i="2"/>
  <c r="IS613" i="5" s="1"/>
  <c r="IS614" i="5"/>
  <c r="IQ614" i="5" s="1"/>
  <c r="IR614" i="5" s="1"/>
  <c r="IL501" i="5"/>
  <c r="T37" i="7"/>
  <c r="T55" i="7"/>
  <c r="IL521" i="5"/>
  <c r="T95" i="7"/>
  <c r="IL565" i="5"/>
  <c r="S110" i="7"/>
  <c r="IJ649" i="5"/>
  <c r="JG673" i="5"/>
  <c r="V346" i="2"/>
  <c r="V1077" i="2"/>
  <c r="N958" i="2"/>
  <c r="N925" i="2"/>
  <c r="N948" i="2"/>
  <c r="N950" i="2"/>
  <c r="N933" i="2"/>
  <c r="N951" i="2"/>
  <c r="N287" i="2"/>
  <c r="U927" i="2"/>
  <c r="AI1742" i="2"/>
  <c r="AI1751" i="2" s="1"/>
  <c r="AE954" i="2"/>
  <c r="T94" i="7"/>
  <c r="JG888" i="5"/>
  <c r="IB609" i="5"/>
  <c r="M136" i="7"/>
  <c r="AO762" i="2"/>
  <c r="AN702" i="2"/>
  <c r="AN701" i="2" s="1"/>
  <c r="AG483" i="2"/>
  <c r="AJ831" i="2"/>
  <c r="IY599" i="5" s="1"/>
  <c r="IW599" i="5" s="1"/>
  <c r="IY598" i="5"/>
  <c r="IX598" i="5" s="1"/>
  <c r="IH512" i="5"/>
  <c r="Q48" i="7" s="1"/>
  <c r="S105" i="7"/>
  <c r="IJ644" i="5"/>
  <c r="IU526" i="5"/>
  <c r="AJ738" i="2"/>
  <c r="IY523" i="5" s="1"/>
  <c r="IW523" i="5" s="1"/>
  <c r="IX523" i="5" s="1"/>
  <c r="AM961" i="2"/>
  <c r="AM859" i="2"/>
  <c r="AM918" i="2" s="1"/>
  <c r="JG808" i="5"/>
  <c r="W462" i="2"/>
  <c r="W629" i="2"/>
  <c r="W458" i="2"/>
  <c r="W511" i="2"/>
  <c r="W467" i="2"/>
  <c r="W446" i="2"/>
  <c r="W487" i="2"/>
  <c r="W419" i="2"/>
  <c r="W519" i="2"/>
  <c r="W450" i="2"/>
  <c r="W1392" i="2"/>
  <c r="W1278" i="2"/>
  <c r="W1283" i="2" s="1"/>
  <c r="W491" i="2"/>
  <c r="W1399" i="2"/>
  <c r="W1400" i="2"/>
  <c r="W499" i="2"/>
  <c r="W1369" i="2"/>
  <c r="W1456" i="2" s="1"/>
  <c r="W531" i="2"/>
  <c r="W1414" i="2"/>
  <c r="W503" i="2"/>
  <c r="W1383" i="2"/>
  <c r="W442" i="2"/>
  <c r="W620" i="2"/>
  <c r="W438" i="2"/>
  <c r="JA520" i="5"/>
  <c r="U949" i="2"/>
  <c r="T107" i="7"/>
  <c r="IK577" i="5"/>
  <c r="IL577" i="5" s="1"/>
  <c r="JF718" i="5"/>
  <c r="O929" i="2"/>
  <c r="O285" i="2"/>
  <c r="O926" i="2"/>
  <c r="O933" i="2"/>
  <c r="O923" i="2"/>
  <c r="O924" i="2"/>
  <c r="O922" i="2"/>
  <c r="O948" i="2"/>
  <c r="IO498" i="5"/>
  <c r="HR510" i="5"/>
  <c r="Y1496" i="2"/>
  <c r="N957" i="2"/>
  <c r="AE959" i="2"/>
  <c r="IU540" i="5"/>
  <c r="IZ546" i="5"/>
  <c r="JA546" i="5" s="1"/>
  <c r="M102" i="7"/>
  <c r="ID642" i="5"/>
  <c r="P924" i="2"/>
  <c r="P285" i="2"/>
  <c r="P922" i="2"/>
  <c r="P950" i="2"/>
  <c r="P957" i="2"/>
  <c r="AE375" i="2"/>
  <c r="AE927" i="2"/>
  <c r="AE625" i="2"/>
  <c r="AE928" i="2"/>
  <c r="AE952" i="2"/>
  <c r="AE956" i="2"/>
  <c r="AF931" i="2"/>
  <c r="AE951" i="2"/>
  <c r="AE953" i="2"/>
  <c r="AE948" i="2"/>
  <c r="AG760" i="2"/>
  <c r="IP541" i="5" s="1"/>
  <c r="IP494" i="5"/>
  <c r="IO494" i="5" s="1"/>
  <c r="T96" i="7"/>
  <c r="IK566" i="5"/>
  <c r="IL566" i="5" s="1"/>
  <c r="IZ577" i="5"/>
  <c r="JA577" i="5" s="1"/>
  <c r="IW600" i="5"/>
  <c r="IX600" i="5" s="1"/>
  <c r="JI888" i="5"/>
  <c r="JJ888" i="5" s="1"/>
  <c r="AE955" i="2"/>
  <c r="W515" i="2"/>
  <c r="IR498" i="5"/>
  <c r="T921" i="2"/>
  <c r="AC951" i="2"/>
  <c r="IQ601" i="5"/>
  <c r="IR601" i="5" s="1"/>
  <c r="JC873" i="5"/>
  <c r="JD873" i="5" s="1"/>
  <c r="AL367" i="2"/>
  <c r="AE935" i="2"/>
  <c r="AD639" i="2"/>
  <c r="W541" i="2"/>
  <c r="W495" i="2"/>
  <c r="Q923" i="2"/>
  <c r="Q950" i="2"/>
  <c r="Q924" i="2"/>
  <c r="Z906" i="2"/>
  <c r="Z956" i="2" s="1"/>
  <c r="JB595" i="5"/>
  <c r="JA595" i="5" s="1"/>
  <c r="Z391" i="2"/>
  <c r="Z910" i="2"/>
  <c r="HR600" i="5"/>
  <c r="Z656" i="2"/>
  <c r="AD961" i="2"/>
  <c r="JK745" i="5"/>
  <c r="JD713" i="5"/>
  <c r="JC868" i="5"/>
  <c r="JD868" i="5" s="1"/>
  <c r="JF873" i="5"/>
  <c r="JG873" i="5" s="1"/>
  <c r="AE957" i="2"/>
  <c r="AE366" i="2"/>
  <c r="IO516" i="5"/>
  <c r="W1412" i="2"/>
  <c r="P954" i="2"/>
  <c r="Z578" i="2"/>
  <c r="Y1472" i="2"/>
  <c r="T941" i="2"/>
  <c r="W1396" i="2"/>
  <c r="P1570" i="2"/>
  <c r="M103" i="7"/>
  <c r="ID643" i="5"/>
  <c r="JD714" i="5"/>
  <c r="AE958" i="2"/>
  <c r="AE361" i="2"/>
  <c r="W434" i="2"/>
  <c r="S287" i="2"/>
  <c r="S951" i="2"/>
  <c r="S923" i="2"/>
  <c r="W504" i="2"/>
  <c r="AB1651" i="2"/>
  <c r="R1567" i="2"/>
  <c r="IU560" i="5"/>
  <c r="IX566" i="5"/>
  <c r="JA880" i="5"/>
  <c r="AE308" i="2"/>
  <c r="W1387" i="2"/>
  <c r="T959" i="2"/>
  <c r="T942" i="2"/>
  <c r="T950" i="2"/>
  <c r="T287" i="2"/>
  <c r="T957" i="2"/>
  <c r="AE292" i="2"/>
  <c r="AE294" i="2" s="1"/>
  <c r="AE295" i="2" s="1"/>
  <c r="AE289" i="2"/>
  <c r="T87" i="7"/>
  <c r="IK555" i="5"/>
  <c r="IL555" i="5" s="1"/>
  <c r="JA797" i="5"/>
  <c r="JA586" i="5"/>
  <c r="Q921" i="2"/>
  <c r="U928" i="2"/>
  <c r="W1103" i="2"/>
  <c r="W638" i="2"/>
  <c r="AM1187" i="2"/>
  <c r="JH870" i="5" s="1"/>
  <c r="JF870" i="5" s="1"/>
  <c r="JG870" i="5" s="1"/>
  <c r="JH871" i="5"/>
  <c r="JE910" i="5"/>
  <c r="AE1739" i="2"/>
  <c r="AE1744" i="2" s="1"/>
  <c r="K1618" i="2"/>
  <c r="JF763" i="5"/>
  <c r="JG763" i="5" s="1"/>
  <c r="JJ798" i="5"/>
  <c r="X618" i="2"/>
  <c r="Q940" i="2"/>
  <c r="JA711" i="5"/>
  <c r="JG711" i="5"/>
  <c r="JM888" i="5"/>
  <c r="S958" i="2"/>
  <c r="AC961" i="2"/>
  <c r="Y446" i="2"/>
  <c r="S92" i="7"/>
  <c r="IH561" i="5"/>
  <c r="JI796" i="5"/>
  <c r="AE640" i="2"/>
  <c r="AE380" i="2"/>
  <c r="J919" i="2"/>
  <c r="Q957" i="2"/>
  <c r="JJ714" i="5"/>
  <c r="U798" i="2"/>
  <c r="U895" i="2" s="1"/>
  <c r="U941" i="2" s="1"/>
  <c r="U872" i="2"/>
  <c r="U921" i="2" s="1"/>
  <c r="Y344" i="2"/>
  <c r="Y589" i="2"/>
  <c r="Y347" i="2"/>
  <c r="Y737" i="2"/>
  <c r="S940" i="2"/>
  <c r="U958" i="2"/>
  <c r="W1247" i="2"/>
  <c r="W1239" i="2" s="1"/>
  <c r="W1378" i="2"/>
  <c r="V799" i="2"/>
  <c r="V896" i="2" s="1"/>
  <c r="V942" i="2" s="1"/>
  <c r="V797" i="2"/>
  <c r="V894" i="2" s="1"/>
  <c r="V940" i="2" s="1"/>
  <c r="HR530" i="5"/>
  <c r="Z367" i="2"/>
  <c r="O939" i="2"/>
  <c r="W1407" i="2"/>
  <c r="AC1467" i="2"/>
  <c r="AC1466" i="2" s="1"/>
  <c r="AB1483" i="2"/>
  <c r="JA917" i="5"/>
  <c r="IQ486" i="5"/>
  <c r="IQ532" i="5" s="1"/>
  <c r="IQ529" i="5" s="1"/>
  <c r="AI291" i="2"/>
  <c r="IT486" i="5" s="1"/>
  <c r="IT532" i="5" s="1"/>
  <c r="P948" i="2"/>
  <c r="JJ879" i="5"/>
  <c r="IO609" i="5"/>
  <c r="AG744" i="2"/>
  <c r="AG717" i="2"/>
  <c r="M928" i="2"/>
  <c r="N937" i="2"/>
  <c r="O949" i="2"/>
  <c r="IY865" i="5"/>
  <c r="IX865" i="5" s="1"/>
  <c r="AJ1181" i="2"/>
  <c r="IY864" i="5" s="1"/>
  <c r="IX864" i="5" s="1"/>
  <c r="JJ711" i="5"/>
  <c r="W798" i="2"/>
  <c r="W895" i="2" s="1"/>
  <c r="W941" i="2" s="1"/>
  <c r="AL961" i="2"/>
  <c r="IY724" i="5"/>
  <c r="IX724" i="5" s="1"/>
  <c r="L1560" i="2"/>
  <c r="M64" i="7"/>
  <c r="AK1835" i="2"/>
  <c r="JJ752" i="5"/>
  <c r="JM873" i="5"/>
  <c r="V957" i="2"/>
  <c r="K922" i="2"/>
  <c r="X1446" i="2"/>
  <c r="AD1722" i="2"/>
  <c r="AD1734" i="2" s="1"/>
  <c r="AD1735" i="2" s="1"/>
  <c r="M72" i="7"/>
  <c r="JA908" i="5"/>
  <c r="JG709" i="5"/>
  <c r="JJ908" i="5"/>
  <c r="V1554" i="2"/>
  <c r="AE1241" i="2"/>
  <c r="M1618" i="2"/>
  <c r="JD830" i="5"/>
  <c r="AK1625" i="2"/>
  <c r="AO1624" i="2"/>
  <c r="AO1623" i="2" s="1"/>
  <c r="N1618" i="2"/>
  <c r="II486" i="5"/>
  <c r="R25" i="7" s="1"/>
  <c r="JM872" i="5"/>
  <c r="S942" i="2"/>
  <c r="X1363" i="2"/>
  <c r="X1412" i="2"/>
  <c r="Z1596" i="2"/>
  <c r="T1618" i="2"/>
  <c r="IL485" i="5"/>
  <c r="JA602" i="5"/>
  <c r="JD741" i="5"/>
  <c r="JG756" i="5"/>
  <c r="JM673" i="5"/>
  <c r="AM729" i="2"/>
  <c r="N1549" i="2"/>
  <c r="AE934" i="2"/>
  <c r="AA1594" i="2"/>
  <c r="U1618" i="2"/>
  <c r="Y1618" i="2"/>
  <c r="IX551" i="5"/>
  <c r="JG752" i="5"/>
  <c r="JG700" i="5"/>
  <c r="AM1066" i="2"/>
  <c r="AN1095" i="2"/>
  <c r="Y1650" i="2"/>
  <c r="Y1241" i="2"/>
  <c r="W1413" i="2"/>
  <c r="AB1594" i="2"/>
  <c r="V1618" i="2"/>
  <c r="JA562" i="5"/>
  <c r="L938" i="2"/>
  <c r="IP595" i="5"/>
  <c r="IO595" i="5" s="1"/>
  <c r="IV598" i="5"/>
  <c r="IU598" i="5" s="1"/>
  <c r="W952" i="2"/>
  <c r="T919" i="2"/>
  <c r="X1413" i="2"/>
  <c r="W1591" i="2"/>
  <c r="JN910" i="5"/>
  <c r="Q941" i="2"/>
  <c r="AI852" i="2"/>
  <c r="AI853" i="2" s="1"/>
  <c r="IV619" i="5" s="1"/>
  <c r="W552" i="2"/>
  <c r="Z1241" i="2"/>
  <c r="W1393" i="2"/>
  <c r="R1560" i="2"/>
  <c r="N1567" i="2"/>
  <c r="JG884" i="5"/>
  <c r="JJ877" i="5"/>
  <c r="JC740" i="5"/>
  <c r="JD740" i="5" s="1"/>
  <c r="JM830" i="5"/>
  <c r="IW488" i="5"/>
  <c r="IX488" i="5" s="1"/>
  <c r="JM688" i="5"/>
  <c r="AM1366" i="2"/>
  <c r="AM1453" i="2" s="1"/>
  <c r="JH938" i="5"/>
  <c r="JM879" i="5"/>
  <c r="AM1836" i="2"/>
  <c r="JH781" i="5"/>
  <c r="AM1095" i="2"/>
  <c r="AE1652" i="2"/>
  <c r="AK1249" i="2"/>
  <c r="JB933" i="5"/>
  <c r="AK1364" i="2"/>
  <c r="AK1451" i="2" s="1"/>
  <c r="Y447" i="2"/>
  <c r="AF641" i="2"/>
  <c r="AF381" i="2"/>
  <c r="AN1249" i="2"/>
  <c r="JK933" i="5"/>
  <c r="AN1364" i="2"/>
  <c r="AI1332" i="2"/>
  <c r="AI1419" i="2" s="1"/>
  <c r="JI751" i="5"/>
  <c r="JJ751" i="5" s="1"/>
  <c r="W1622" i="2"/>
  <c r="W1220" i="2"/>
  <c r="W1219" i="2" s="1"/>
  <c r="W1174" i="2"/>
  <c r="AF1278" i="2"/>
  <c r="AF1405" i="2"/>
  <c r="AF1422" i="2"/>
  <c r="AF1420" i="2"/>
  <c r="AF1410" i="2"/>
  <c r="AF1394" i="2"/>
  <c r="AF1369" i="2"/>
  <c r="AF1456" i="2" s="1"/>
  <c r="AF1383" i="2"/>
  <c r="AG403" i="2"/>
  <c r="AF1403" i="2"/>
  <c r="AF446" i="2"/>
  <c r="AF1778" i="2"/>
  <c r="X447" i="2"/>
  <c r="X484" i="2"/>
  <c r="X451" i="2"/>
  <c r="X435" i="2"/>
  <c r="X546" i="2"/>
  <c r="X427" i="2"/>
  <c r="X516" i="2"/>
  <c r="X517" i="2" s="1"/>
  <c r="X512" i="2"/>
  <c r="X520" i="2"/>
  <c r="X468" i="2"/>
  <c r="X455" i="2"/>
  <c r="X496" i="2"/>
  <c r="X528" i="2"/>
  <c r="X536" i="2"/>
  <c r="X542" i="2"/>
  <c r="X439" i="2"/>
  <c r="X420" i="2"/>
  <c r="X550" i="2"/>
  <c r="X500" i="2"/>
  <c r="X431" i="2"/>
  <c r="X480" i="2"/>
  <c r="X532" i="2"/>
  <c r="X472" i="2"/>
  <c r="X459" i="2"/>
  <c r="X443" i="2"/>
  <c r="AJ282" i="2"/>
  <c r="AJ1778" i="2"/>
  <c r="AG695" i="2" s="1"/>
  <c r="AJ1278" i="2"/>
  <c r="AJ1455" i="2"/>
  <c r="AJ1420" i="2"/>
  <c r="AJ1419" i="2"/>
  <c r="AJ1383" i="2"/>
  <c r="AJ507" i="2"/>
  <c r="AJ1410" i="2"/>
  <c r="AJ1406" i="2"/>
  <c r="AJ1422" i="2"/>
  <c r="AJ1405" i="2"/>
  <c r="AJ1378" i="2"/>
  <c r="AJ1369" i="2"/>
  <c r="AJ1456" i="2" s="1"/>
  <c r="AJ434" i="2"/>
  <c r="AJ423" i="2"/>
  <c r="AJ1403" i="2"/>
  <c r="AO1652" i="2"/>
  <c r="AN368" i="2"/>
  <c r="X524" i="2"/>
  <c r="V1317" i="2"/>
  <c r="V1404" i="2" s="1"/>
  <c r="JI887" i="5"/>
  <c r="JJ887" i="5" s="1"/>
  <c r="JM714" i="5"/>
  <c r="W603" i="2"/>
  <c r="X603" i="2"/>
  <c r="W1317" i="2"/>
  <c r="W1404" i="2" s="1"/>
  <c r="AO1640" i="2"/>
  <c r="AO1649" i="2"/>
  <c r="JJ712" i="5"/>
  <c r="JA740" i="5"/>
  <c r="JE729" i="5"/>
  <c r="AL1307" i="2"/>
  <c r="AL1394" i="2" s="1"/>
  <c r="JH788" i="5"/>
  <c r="JG788" i="5" s="1"/>
  <c r="AM1835" i="2"/>
  <c r="AN1649" i="2"/>
  <c r="AN1640" i="2"/>
  <c r="JM700" i="5"/>
  <c r="JN699" i="5"/>
  <c r="JL699" i="5" s="1"/>
  <c r="JL887" i="5"/>
  <c r="JM887" i="5" s="1"/>
  <c r="JD675" i="5"/>
  <c r="IX608" i="5"/>
  <c r="IZ558" i="5"/>
  <c r="JA558" i="5" s="1"/>
  <c r="IY475" i="5"/>
  <c r="AJ679" i="2"/>
  <c r="IY473" i="5" s="1"/>
  <c r="AJ849" i="2"/>
  <c r="IY616" i="5" s="1"/>
  <c r="IY486" i="5"/>
  <c r="IX486" i="5" s="1"/>
  <c r="AJ876" i="2"/>
  <c r="U1557" i="2"/>
  <c r="V1557" i="2"/>
  <c r="AL1835" i="2"/>
  <c r="JE788" i="5"/>
  <c r="JD788" i="5" s="1"/>
  <c r="T405" i="2"/>
  <c r="U409" i="2" s="1"/>
  <c r="T403" i="2"/>
  <c r="JE938" i="5"/>
  <c r="AL1366" i="2"/>
  <c r="AL1453" i="2" s="1"/>
  <c r="JF780" i="5"/>
  <c r="AL1862" i="2"/>
  <c r="JE781" i="5"/>
  <c r="AL1836" i="2"/>
  <c r="JL886" i="5"/>
  <c r="JM886" i="5" s="1"/>
  <c r="JI761" i="5"/>
  <c r="JJ761" i="5" s="1"/>
  <c r="JJ911" i="5"/>
  <c r="JJ910" i="5" s="1"/>
  <c r="JJ909" i="5" s="1"/>
  <c r="JI910" i="5"/>
  <c r="AS92" i="19" s="1"/>
  <c r="AT92" i="19" s="1"/>
  <c r="JM715" i="5"/>
  <c r="Q85" i="7"/>
  <c r="JL869" i="5"/>
  <c r="JM869" i="5" s="1"/>
  <c r="AO1299" i="2"/>
  <c r="JN719" i="5"/>
  <c r="JM719" i="5" s="1"/>
  <c r="AO1040" i="2"/>
  <c r="AM353" i="2"/>
  <c r="IP496" i="5"/>
  <c r="IO496" i="5" s="1"/>
  <c r="AG852" i="2"/>
  <c r="IP618" i="5" s="1"/>
  <c r="IN552" i="5"/>
  <c r="IO552" i="5" s="1"/>
  <c r="AB641" i="2"/>
  <c r="AB381" i="2"/>
  <c r="AB447" i="2"/>
  <c r="JI742" i="5"/>
  <c r="JJ742" i="5" s="1"/>
  <c r="IZ720" i="5"/>
  <c r="IO530" i="5"/>
  <c r="JB938" i="5"/>
  <c r="AK1366" i="2"/>
  <c r="AK1453" i="2" s="1"/>
  <c r="JL870" i="5"/>
  <c r="JM870" i="5" s="1"/>
  <c r="Z897" i="2"/>
  <c r="Y1517" i="2"/>
  <c r="HR575" i="5"/>
  <c r="HR644" i="5" s="1"/>
  <c r="R62" i="7"/>
  <c r="X488" i="2"/>
  <c r="V1322" i="2"/>
  <c r="V1409" i="2" s="1"/>
  <c r="U1545" i="2"/>
  <c r="V1273" i="2"/>
  <c r="AL326" i="2"/>
  <c r="JN748" i="5"/>
  <c r="JK748" i="5"/>
  <c r="AL1652" i="2"/>
  <c r="X797" i="2"/>
  <c r="X894" i="2" s="1"/>
  <c r="X940" i="2" s="1"/>
  <c r="X796" i="2"/>
  <c r="X893" i="2" s="1"/>
  <c r="X939" i="2" s="1"/>
  <c r="X799" i="2"/>
  <c r="X896" i="2" s="1"/>
  <c r="X942" i="2" s="1"/>
  <c r="X798" i="2"/>
  <c r="X895" i="2" s="1"/>
  <c r="X941" i="2" s="1"/>
  <c r="X872" i="2"/>
  <c r="X921" i="2" s="1"/>
  <c r="AL305" i="2"/>
  <c r="AK681" i="2"/>
  <c r="Y872" i="2"/>
  <c r="Y797" i="2"/>
  <c r="Y894" i="2" s="1"/>
  <c r="Y940" i="2" s="1"/>
  <c r="Y796" i="2"/>
  <c r="Y893" i="2" s="1"/>
  <c r="Y939" i="2" s="1"/>
  <c r="Y798" i="2"/>
  <c r="Y895" i="2" s="1"/>
  <c r="Y941" i="2" s="1"/>
  <c r="Y799" i="2"/>
  <c r="Y896" i="2" s="1"/>
  <c r="Y942" i="2" s="1"/>
  <c r="Z843" i="2"/>
  <c r="Z828" i="2" s="1"/>
  <c r="HR611" i="5"/>
  <c r="Z912" i="2"/>
  <c r="Z959" i="2" s="1"/>
  <c r="AN1179" i="2"/>
  <c r="JK699" i="5"/>
  <c r="JI699" i="5" s="1"/>
  <c r="AK1181" i="2"/>
  <c r="JB864" i="5" s="1"/>
  <c r="JB865" i="5"/>
  <c r="IV576" i="5"/>
  <c r="AJ801" i="2"/>
  <c r="AI800" i="2"/>
  <c r="AK569" i="2"/>
  <c r="AK325" i="2"/>
  <c r="JI760" i="5"/>
  <c r="JJ760" i="5" s="1"/>
  <c r="JL908" i="5"/>
  <c r="AL321" i="2"/>
  <c r="AK328" i="2"/>
  <c r="AK566" i="2"/>
  <c r="AK572" i="2"/>
  <c r="AK322" i="2"/>
  <c r="JL744" i="5"/>
  <c r="AO1066" i="2"/>
  <c r="AK318" i="2"/>
  <c r="AN380" i="2"/>
  <c r="AI729" i="2"/>
  <c r="IV514" i="5" s="1"/>
  <c r="IV515" i="5"/>
  <c r="IT515" i="5" s="1"/>
  <c r="IT514" i="5" s="1"/>
  <c r="X1303" i="2"/>
  <c r="X1134" i="2"/>
  <c r="AN1366" i="2"/>
  <c r="X1622" i="2"/>
  <c r="X1590" i="2"/>
  <c r="X1220" i="2"/>
  <c r="X1219" i="2" s="1"/>
  <c r="X1174" i="2"/>
  <c r="AI1383" i="2"/>
  <c r="Z447" i="2"/>
  <c r="V504" i="2"/>
  <c r="V505" i="2" s="1"/>
  <c r="Z1652" i="2"/>
  <c r="Z415" i="2"/>
  <c r="HR470" i="5"/>
  <c r="Y1469" i="2"/>
  <c r="Z674" i="2"/>
  <c r="Z654" i="2"/>
  <c r="Z389" i="2"/>
  <c r="Z830" i="2"/>
  <c r="HR598" i="5" s="1"/>
  <c r="L1549" i="2"/>
  <c r="M1549" i="2"/>
  <c r="AK1278" i="2"/>
  <c r="AK1406" i="2"/>
  <c r="AK1422" i="2"/>
  <c r="AK1405" i="2"/>
  <c r="AK1403" i="2"/>
  <c r="AK617" i="2"/>
  <c r="AK1127" i="2" s="1"/>
  <c r="AK1369" i="2"/>
  <c r="AK1419" i="2"/>
  <c r="AK1383" i="2"/>
  <c r="AK403" i="2"/>
  <c r="AA447" i="2"/>
  <c r="AE414" i="2"/>
  <c r="AF414" i="2" s="1"/>
  <c r="AD415" i="2"/>
  <c r="AG831" i="2"/>
  <c r="IP599" i="5" s="1"/>
  <c r="IP598" i="5"/>
  <c r="IO598" i="5" s="1"/>
  <c r="X379" i="2"/>
  <c r="X366" i="2"/>
  <c r="X375" i="2"/>
  <c r="X308" i="2"/>
  <c r="X320" i="2"/>
  <c r="X950" i="2"/>
  <c r="X949" i="2"/>
  <c r="X956" i="2"/>
  <c r="X634" i="2"/>
  <c r="X938" i="2"/>
  <c r="X951" i="2"/>
  <c r="X922" i="2"/>
  <c r="X927" i="2"/>
  <c r="X358" i="2"/>
  <c r="X929" i="2"/>
  <c r="X564" i="2"/>
  <c r="X333" i="2"/>
  <c r="X285" i="2"/>
  <c r="X360" i="2" s="1"/>
  <c r="X935" i="2"/>
  <c r="X955" i="2"/>
  <c r="X948" i="2"/>
  <c r="X923" i="2"/>
  <c r="X926" i="2"/>
  <c r="X625" i="2"/>
  <c r="X928" i="2"/>
  <c r="X639" i="2"/>
  <c r="AG292" i="2"/>
  <c r="AG294" i="2" s="1"/>
  <c r="AH290" i="2"/>
  <c r="AB325" i="2"/>
  <c r="AB566" i="2"/>
  <c r="AB318" i="2"/>
  <c r="AB310" i="2" s="1"/>
  <c r="AB569" i="2"/>
  <c r="AB322" i="2"/>
  <c r="AC328" i="2"/>
  <c r="AD565" i="2"/>
  <c r="AC572" i="2"/>
  <c r="AD321" i="2"/>
  <c r="AL354" i="2"/>
  <c r="AM354" i="2" s="1"/>
  <c r="AN354" i="2" s="1"/>
  <c r="AO354" i="2" s="1"/>
  <c r="AK348" i="2"/>
  <c r="AJ626" i="2"/>
  <c r="AI747" i="2"/>
  <c r="AL1278" i="2"/>
  <c r="JE954" i="5"/>
  <c r="AL617" i="2"/>
  <c r="AL1127" i="2" s="1"/>
  <c r="AL1446" i="2"/>
  <c r="AL1369" i="2"/>
  <c r="AL1456" i="2" s="1"/>
  <c r="AL403" i="2"/>
  <c r="AL1455" i="2"/>
  <c r="AL1378" i="2"/>
  <c r="AL507" i="2"/>
  <c r="AL1406" i="2"/>
  <c r="AL1419" i="2"/>
  <c r="AL1405" i="2"/>
  <c r="AL1403" i="2"/>
  <c r="AL1422" i="2"/>
  <c r="AE1641" i="2"/>
  <c r="AE1650" i="2"/>
  <c r="AE410" i="2"/>
  <c r="AB328" i="2"/>
  <c r="AC565" i="2"/>
  <c r="AB572" i="2"/>
  <c r="V403" i="2"/>
  <c r="V539" i="2" s="1"/>
  <c r="V1063" i="2" s="1"/>
  <c r="U403" i="2"/>
  <c r="X492" i="2"/>
  <c r="X493" i="2" s="1"/>
  <c r="X504" i="2"/>
  <c r="AA413" i="2"/>
  <c r="Z1651" i="2"/>
  <c r="AL580" i="2"/>
  <c r="AL336" i="2"/>
  <c r="Y285" i="2"/>
  <c r="Y564" i="2"/>
  <c r="Y577" i="2"/>
  <c r="Y958" i="2"/>
  <c r="Y338" i="2"/>
  <c r="Y345" i="2"/>
  <c r="Y650" i="2"/>
  <c r="Y370" i="2"/>
  <c r="Y346" i="2"/>
  <c r="Y928" i="2"/>
  <c r="Y925" i="2"/>
  <c r="Y358" i="2"/>
  <c r="Y301" i="2"/>
  <c r="Y951" i="2"/>
  <c r="AA295" i="2"/>
  <c r="Z296" i="2" s="1"/>
  <c r="Z325" i="2"/>
  <c r="Z318" i="2"/>
  <c r="Z569" i="2"/>
  <c r="V495" i="2"/>
  <c r="V471" i="2"/>
  <c r="V462" i="2"/>
  <c r="V458" i="2"/>
  <c r="V620" i="2"/>
  <c r="V442" i="2"/>
  <c r="V1383" i="2"/>
  <c r="V438" i="2"/>
  <c r="V454" i="2"/>
  <c r="W400" i="2"/>
  <c r="V545" i="2"/>
  <c r="V515" i="2"/>
  <c r="V1446" i="2"/>
  <c r="V423" i="2"/>
  <c r="V519" i="2"/>
  <c r="V535" i="2"/>
  <c r="V1414" i="2"/>
  <c r="V1278" i="2"/>
  <c r="V1369" i="2"/>
  <c r="V1456" i="2" s="1"/>
  <c r="V1423" i="2"/>
  <c r="W403" i="2"/>
  <c r="W623" i="2" s="1"/>
  <c r="V1392" i="2"/>
  <c r="V621" i="2"/>
  <c r="V541" i="2"/>
  <c r="V523" i="2"/>
  <c r="V552" i="2"/>
  <c r="V1399" i="2"/>
  <c r="V491" i="2"/>
  <c r="V1393" i="2"/>
  <c r="V503" i="2"/>
  <c r="V446" i="2"/>
  <c r="V487" i="2"/>
  <c r="V434" i="2"/>
  <c r="V479" i="2"/>
  <c r="V483" i="2"/>
  <c r="V511" i="2"/>
  <c r="V1400" i="2"/>
  <c r="V527" i="2"/>
  <c r="V499" i="2"/>
  <c r="V1448" i="2"/>
  <c r="V430" i="2"/>
  <c r="V1408" i="2"/>
  <c r="V450" i="2"/>
  <c r="V1389" i="2"/>
  <c r="V507" i="2"/>
  <c r="V1386" i="2"/>
  <c r="V1378" i="2"/>
  <c r="V426" i="2"/>
  <c r="V1444" i="2"/>
  <c r="V531" i="2"/>
  <c r="V467" i="2"/>
  <c r="V419" i="2"/>
  <c r="V1398" i="2"/>
  <c r="AN332" i="2"/>
  <c r="AN576" i="2"/>
  <c r="L62" i="7"/>
  <c r="Z564" i="2"/>
  <c r="Z639" i="2"/>
  <c r="Z602" i="2"/>
  <c r="AA318" i="2"/>
  <c r="AA310" i="2" s="1"/>
  <c r="AA571" i="2"/>
  <c r="AA322" i="2"/>
  <c r="AA325" i="2"/>
  <c r="AA572" i="2"/>
  <c r="AA569" i="2"/>
  <c r="AA566" i="2"/>
  <c r="AA328" i="2"/>
  <c r="AA327" i="2"/>
  <c r="AD568" i="2"/>
  <c r="AD324" i="2"/>
  <c r="JF735" i="5"/>
  <c r="JG735" i="5" s="1"/>
  <c r="IL487" i="5"/>
  <c r="T26" i="7"/>
  <c r="JN781" i="5"/>
  <c r="JI780" i="5"/>
  <c r="Q42" i="7"/>
  <c r="V1413" i="2"/>
  <c r="T25" i="7"/>
  <c r="IL486" i="5"/>
  <c r="JE862" i="5"/>
  <c r="AL1178" i="2"/>
  <c r="S85" i="7"/>
  <c r="II553" i="5"/>
  <c r="R85" i="7" s="1"/>
  <c r="JN723" i="5"/>
  <c r="JM723" i="5" s="1"/>
  <c r="AI1725" i="2"/>
  <c r="AE924" i="2"/>
  <c r="W1095" i="2"/>
  <c r="V1546" i="2"/>
  <c r="AN291" i="2"/>
  <c r="IY729" i="5"/>
  <c r="IX729" i="5" s="1"/>
  <c r="AJ1307" i="2"/>
  <c r="AJ1394" i="2" s="1"/>
  <c r="X1095" i="2"/>
  <c r="AN762" i="2"/>
  <c r="AK1313" i="2"/>
  <c r="AK1400" i="2" s="1"/>
  <c r="AL1075" i="2"/>
  <c r="Z691" i="2"/>
  <c r="Z582" i="2" s="1"/>
  <c r="HR487" i="5"/>
  <c r="V1550" i="2"/>
  <c r="W1303" i="2"/>
  <c r="JB729" i="5"/>
  <c r="AK1307" i="2"/>
  <c r="AK1394" i="2" s="1"/>
  <c r="IQ540" i="5"/>
  <c r="IR540" i="5" s="1"/>
  <c r="T140" i="7"/>
  <c r="IK613" i="5"/>
  <c r="IK611" i="5" s="1"/>
  <c r="AK292" i="2"/>
  <c r="AK294" i="2" s="1"/>
  <c r="AL290" i="2"/>
  <c r="AL292" i="2" s="1"/>
  <c r="AL294" i="2" s="1"/>
  <c r="J1549" i="2"/>
  <c r="AC1483" i="2"/>
  <c r="AC1502" i="2"/>
  <c r="V1412" i="2"/>
  <c r="AL1420" i="2"/>
  <c r="AB1705" i="2"/>
  <c r="AA1704" i="2"/>
  <c r="JB927" i="5"/>
  <c r="AC924" i="2"/>
  <c r="AE1725" i="2"/>
  <c r="X629" i="2"/>
  <c r="X630" i="2"/>
  <c r="AJ1446" i="2"/>
  <c r="JG676" i="5"/>
  <c r="K287" i="2"/>
  <c r="K941" i="2"/>
  <c r="K937" i="2"/>
  <c r="K959" i="2"/>
  <c r="K940" i="2"/>
  <c r="K928" i="2"/>
  <c r="K951" i="2"/>
  <c r="K929" i="2"/>
  <c r="AC292" i="2"/>
  <c r="AC294" i="2" s="1"/>
  <c r="AB289" i="2"/>
  <c r="AB1640" i="2" s="1"/>
  <c r="AE570" i="2"/>
  <c r="AE326" i="2"/>
  <c r="AC322" i="2"/>
  <c r="AC318" i="2"/>
  <c r="AC569" i="2"/>
  <c r="AC566" i="2"/>
  <c r="AC325" i="2"/>
  <c r="AC379" i="2"/>
  <c r="AC639" i="2"/>
  <c r="E601" i="2"/>
  <c r="T598" i="2" s="1"/>
  <c r="M27" i="7"/>
  <c r="IC488" i="5"/>
  <c r="L27" i="7" s="1"/>
  <c r="IK609" i="5"/>
  <c r="IL609" i="5" s="1"/>
  <c r="IH612" i="5"/>
  <c r="II612" i="5" s="1"/>
  <c r="L925" i="2"/>
  <c r="AB577" i="2"/>
  <c r="AB948" i="2"/>
  <c r="AB928" i="2"/>
  <c r="AB639" i="2"/>
  <c r="AB957" i="2"/>
  <c r="AB346" i="2"/>
  <c r="AB287" i="2"/>
  <c r="AB307" i="2"/>
  <c r="AB949" i="2"/>
  <c r="AB929" i="2"/>
  <c r="AB564" i="2"/>
  <c r="AL1383" i="2"/>
  <c r="X1308" i="2"/>
  <c r="X1395" i="2" s="1"/>
  <c r="X1396" i="2"/>
  <c r="IO534" i="5"/>
  <c r="Q1549" i="2"/>
  <c r="V1382" i="2"/>
  <c r="V1397" i="2"/>
  <c r="M26" i="7"/>
  <c r="IC487" i="5"/>
  <c r="IQ534" i="5"/>
  <c r="IR534" i="5" s="1"/>
  <c r="AB295" i="2"/>
  <c r="AA296" i="2" s="1"/>
  <c r="IK532" i="5"/>
  <c r="S26" i="7"/>
  <c r="IQ541" i="5"/>
  <c r="IQ493" i="5"/>
  <c r="IQ492" i="5" s="1"/>
  <c r="IU508" i="5"/>
  <c r="AF1406" i="2"/>
  <c r="IK478" i="5"/>
  <c r="IL478" i="5" s="1"/>
  <c r="IK488" i="5"/>
  <c r="IL488" i="5" s="1"/>
  <c r="IU534" i="5"/>
  <c r="JB862" i="5"/>
  <c r="AK1178" i="2"/>
  <c r="AB1502" i="2"/>
  <c r="J30" i="7"/>
  <c r="IC493" i="5"/>
  <c r="L30" i="7" s="1"/>
  <c r="IB492" i="5"/>
  <c r="IW493" i="5"/>
  <c r="IW492" i="5" s="1"/>
  <c r="IW541" i="5"/>
  <c r="IT507" i="5"/>
  <c r="IU507" i="5" s="1"/>
  <c r="S54" i="7"/>
  <c r="II520" i="5"/>
  <c r="R54" i="7" s="1"/>
  <c r="IT542" i="5"/>
  <c r="IU542" i="5" s="1"/>
  <c r="IS598" i="5"/>
  <c r="IR598" i="5" s="1"/>
  <c r="AH831" i="2"/>
  <c r="IS599" i="5" s="1"/>
  <c r="AC447" i="2"/>
  <c r="JC864" i="5"/>
  <c r="JD864" i="5" s="1"/>
  <c r="IX592" i="5"/>
  <c r="JA670" i="5"/>
  <c r="JD673" i="5"/>
  <c r="JC812" i="5"/>
  <c r="JD812" i="5" s="1"/>
  <c r="IV586" i="5"/>
  <c r="IU586" i="5" s="1"/>
  <c r="AI810" i="2"/>
  <c r="AI809" i="2" s="1"/>
  <c r="AI1747" i="2"/>
  <c r="U1528" i="2"/>
  <c r="V989" i="2"/>
  <c r="AD447" i="2"/>
  <c r="T108" i="7"/>
  <c r="IK578" i="5"/>
  <c r="IL578" i="5" s="1"/>
  <c r="JA714" i="5"/>
  <c r="IO531" i="5"/>
  <c r="HR576" i="5"/>
  <c r="HR645" i="5" s="1"/>
  <c r="Z898" i="2"/>
  <c r="IT599" i="5"/>
  <c r="IU599" i="5" s="1"/>
  <c r="HR614" i="5"/>
  <c r="Y1503" i="2"/>
  <c r="Y1502" i="2" s="1"/>
  <c r="IT472" i="5"/>
  <c r="IU472" i="5" s="1"/>
  <c r="Q116" i="7"/>
  <c r="IH585" i="5"/>
  <c r="II586" i="5"/>
  <c r="R116" i="7" s="1"/>
  <c r="IT512" i="5"/>
  <c r="IU512" i="5" s="1"/>
  <c r="IS576" i="5"/>
  <c r="AH898" i="2"/>
  <c r="AH949" i="2" s="1"/>
  <c r="IW472" i="5"/>
  <c r="IX472" i="5" s="1"/>
  <c r="IQ551" i="5"/>
  <c r="IR551" i="5" s="1"/>
  <c r="T103" i="7"/>
  <c r="IM643" i="5"/>
  <c r="AA1596" i="2"/>
  <c r="IZ869" i="5"/>
  <c r="JA869" i="5" s="1"/>
  <c r="S135" i="7"/>
  <c r="IH608" i="5"/>
  <c r="II608" i="5" s="1"/>
  <c r="R135" i="7" s="1"/>
  <c r="IZ872" i="5"/>
  <c r="JA872" i="5" s="1"/>
  <c r="JC880" i="5"/>
  <c r="JD880" i="5" s="1"/>
  <c r="AL702" i="2"/>
  <c r="AL701" i="2" s="1"/>
  <c r="AL760" i="2"/>
  <c r="IX539" i="5"/>
  <c r="T135" i="7"/>
  <c r="IK608" i="5"/>
  <c r="IL608" i="5" s="1"/>
  <c r="AE929" i="2"/>
  <c r="AB331" i="2"/>
  <c r="AB575" i="2"/>
  <c r="IK540" i="5"/>
  <c r="IL540" i="5" s="1"/>
  <c r="JA709" i="5"/>
  <c r="Y959" i="2"/>
  <c r="JE865" i="5"/>
  <c r="M130" i="7"/>
  <c r="IC601" i="5"/>
  <c r="L130" i="7" s="1"/>
  <c r="JA716" i="5"/>
  <c r="JA867" i="5"/>
  <c r="JK910" i="5"/>
  <c r="IQ520" i="5"/>
  <c r="IR520" i="5" s="1"/>
  <c r="IP561" i="5"/>
  <c r="IN561" i="5" s="1"/>
  <c r="AH783" i="2"/>
  <c r="IS561" i="5" s="1"/>
  <c r="K949" i="2"/>
  <c r="AB951" i="2"/>
  <c r="X1290" i="2"/>
  <c r="X989" i="2"/>
  <c r="JE724" i="5"/>
  <c r="AL1303" i="2"/>
  <c r="AL1390" i="2" s="1"/>
  <c r="JA507" i="5"/>
  <c r="IH537" i="5"/>
  <c r="Q69" i="7" s="1"/>
  <c r="IT565" i="5"/>
  <c r="IU565" i="5" s="1"/>
  <c r="HR473" i="5"/>
  <c r="Y1471" i="2"/>
  <c r="Z305" i="2"/>
  <c r="IN553" i="5"/>
  <c r="IO553" i="5" s="1"/>
  <c r="V1381" i="2"/>
  <c r="AM1303" i="2"/>
  <c r="AM1390" i="2" s="1"/>
  <c r="JH724" i="5"/>
  <c r="JG724" i="5" s="1"/>
  <c r="V1534" i="2"/>
  <c r="IH482" i="5"/>
  <c r="Q22" i="7" s="1"/>
  <c r="JC910" i="5"/>
  <c r="JG741" i="5"/>
  <c r="JG901" i="5"/>
  <c r="AM1624" i="2" s="1"/>
  <c r="JF901" i="5"/>
  <c r="JK885" i="5"/>
  <c r="JJ885" i="5" s="1"/>
  <c r="AN1202" i="2"/>
  <c r="IT520" i="5"/>
  <c r="IU520" i="5" s="1"/>
  <c r="W589" i="2"/>
  <c r="W344" i="2"/>
  <c r="W737" i="2"/>
  <c r="X348" i="2"/>
  <c r="W1077" i="2"/>
  <c r="X1723" i="2"/>
  <c r="Y868" i="2"/>
  <c r="Y923" i="2"/>
  <c r="Y924" i="2"/>
  <c r="W1534" i="2"/>
  <c r="JG688" i="5"/>
  <c r="AK906" i="2"/>
  <c r="AK956" i="2" s="1"/>
  <c r="JB591" i="5"/>
  <c r="JA591" i="5" s="1"/>
  <c r="V1379" i="2"/>
  <c r="X1294" i="2"/>
  <c r="X1381" i="2" s="1"/>
  <c r="IU577" i="5"/>
  <c r="T113" i="7"/>
  <c r="AC1278" i="2"/>
  <c r="AC403" i="2"/>
  <c r="IR557" i="5"/>
  <c r="IW577" i="5"/>
  <c r="IX577" i="5" s="1"/>
  <c r="IJ1106" i="5"/>
  <c r="S125" i="7"/>
  <c r="IJ655" i="5"/>
  <c r="Y385" i="2"/>
  <c r="Y908" i="2"/>
  <c r="N285" i="2"/>
  <c r="N949" i="2"/>
  <c r="K954" i="2"/>
  <c r="IT581" i="5"/>
  <c r="IU581" i="5" s="1"/>
  <c r="JC751" i="5"/>
  <c r="JD751" i="5" s="1"/>
  <c r="IR494" i="5"/>
  <c r="L954" i="2"/>
  <c r="J1560" i="2"/>
  <c r="JD889" i="5"/>
  <c r="JF791" i="5"/>
  <c r="AS41" i="19" s="1"/>
  <c r="AT41" i="19" s="1"/>
  <c r="JG707" i="5"/>
  <c r="P938" i="2"/>
  <c r="Q285" i="2"/>
  <c r="K925" i="2"/>
  <c r="IZ748" i="5"/>
  <c r="JA748" i="5" s="1"/>
  <c r="JG701" i="5"/>
  <c r="Y956" i="2"/>
  <c r="P959" i="2"/>
  <c r="Q1570" i="2"/>
  <c r="F1618" i="2"/>
  <c r="Z1618" i="2"/>
  <c r="IU602" i="5"/>
  <c r="JI812" i="5"/>
  <c r="JJ812" i="5" s="1"/>
  <c r="O935" i="2"/>
  <c r="AF1640" i="2"/>
  <c r="AF1649" i="2"/>
  <c r="N926" i="2"/>
  <c r="V1138" i="2"/>
  <c r="V1334" i="2" s="1"/>
  <c r="V1421" i="2" s="1"/>
  <c r="V629" i="2"/>
  <c r="V1396" i="2"/>
  <c r="V1407" i="2"/>
  <c r="IW481" i="5"/>
  <c r="IX481" i="5" s="1"/>
  <c r="AD379" i="2"/>
  <c r="AE379" i="2" s="1"/>
  <c r="AF379" i="2" s="1"/>
  <c r="AG379" i="2" s="1"/>
  <c r="Z749" i="2"/>
  <c r="Z849" i="2" s="1"/>
  <c r="HR616" i="5" s="1"/>
  <c r="P926" i="2"/>
  <c r="X937" i="2"/>
  <c r="JE927" i="5"/>
  <c r="JJ710" i="5"/>
  <c r="JI873" i="5"/>
  <c r="JJ873" i="5" s="1"/>
  <c r="JL798" i="5"/>
  <c r="JM763" i="5"/>
  <c r="JM713" i="5"/>
  <c r="JM868" i="5"/>
  <c r="IO614" i="5"/>
  <c r="IO546" i="5"/>
  <c r="IU548" i="5"/>
  <c r="AK1299" i="2"/>
  <c r="AK1386" i="2" s="1"/>
  <c r="JB719" i="5"/>
  <c r="JI880" i="5"/>
  <c r="JJ880" i="5" s="1"/>
  <c r="JL797" i="5"/>
  <c r="JM712" i="5"/>
  <c r="AG484" i="2"/>
  <c r="IX496" i="5"/>
  <c r="JG832" i="5"/>
  <c r="JF872" i="5"/>
  <c r="JG872" i="5" s="1"/>
  <c r="JF722" i="5"/>
  <c r="JM711" i="5"/>
  <c r="IU549" i="5"/>
  <c r="IR577" i="5"/>
  <c r="JF830" i="5"/>
  <c r="JG830" i="5" s="1"/>
  <c r="AM1044" i="2"/>
  <c r="AA1241" i="2"/>
  <c r="JC752" i="5"/>
  <c r="JD752" i="5" s="1"/>
  <c r="IO542" i="5"/>
  <c r="JJ687" i="5"/>
  <c r="IX614" i="5"/>
  <c r="IZ916" i="5"/>
  <c r="JA916" i="5" s="1"/>
  <c r="JI830" i="5"/>
  <c r="JJ830" i="5" s="1"/>
  <c r="JI868" i="5"/>
  <c r="JJ868" i="5" s="1"/>
  <c r="W509" i="2"/>
  <c r="AB1241" i="2"/>
  <c r="JF868" i="5"/>
  <c r="JG868" i="5" s="1"/>
  <c r="AO1095" i="2"/>
  <c r="JJ715" i="5"/>
  <c r="JL791" i="5"/>
  <c r="JM884" i="5"/>
  <c r="JL866" i="5"/>
  <c r="JM866" i="5" s="1"/>
  <c r="JJ866" i="5"/>
  <c r="IO605" i="5"/>
  <c r="JA712" i="5"/>
  <c r="JA798" i="5"/>
  <c r="JI762" i="5"/>
  <c r="JJ762" i="5" s="1"/>
  <c r="AL729" i="2"/>
  <c r="JA796" i="5"/>
  <c r="JI870" i="5"/>
  <c r="JJ870" i="5" s="1"/>
  <c r="JJ673" i="5"/>
  <c r="JI805" i="5"/>
  <c r="JJ805" i="5" s="1"/>
  <c r="JJ863" i="5"/>
  <c r="II519" i="5"/>
  <c r="IZ873" i="5"/>
  <c r="JA873" i="5" s="1"/>
  <c r="JF797" i="5"/>
  <c r="IZ497" i="5"/>
  <c r="IZ543" i="5" s="1"/>
  <c r="IZ718" i="5"/>
  <c r="IU605" i="5"/>
  <c r="JG751" i="5"/>
  <c r="JG710" i="5"/>
  <c r="JM812" i="5"/>
  <c r="IU538" i="5"/>
  <c r="JG670" i="5"/>
  <c r="JJ788" i="5"/>
  <c r="IU592" i="5"/>
  <c r="JD718" i="5"/>
  <c r="IL496" i="5"/>
  <c r="IC494" i="5"/>
  <c r="L31" i="7" s="1"/>
  <c r="AL1202" i="2"/>
  <c r="AM1202" i="2"/>
  <c r="JB883" i="5"/>
  <c r="AL1200" i="2"/>
  <c r="JN885" i="5"/>
  <c r="JL885" i="5" s="1"/>
  <c r="AM1200" i="2"/>
  <c r="AK1200" i="2"/>
  <c r="JG885" i="5"/>
  <c r="JN937" i="5"/>
  <c r="JL937" i="5" s="1"/>
  <c r="IY884" i="5"/>
  <c r="IX884" i="5" s="1"/>
  <c r="AJ1200" i="2"/>
  <c r="JL877" i="5"/>
  <c r="JK937" i="5"/>
  <c r="AN1200" i="2"/>
  <c r="JE877" i="5"/>
  <c r="JM912" i="5"/>
  <c r="AJ1637" i="2"/>
  <c r="IZ910" i="5"/>
  <c r="AN1636" i="2"/>
  <c r="AN1635" i="2" s="1"/>
  <c r="AL1637" i="2"/>
  <c r="JF910" i="5"/>
  <c r="JG912" i="5"/>
  <c r="AM1637" i="2"/>
  <c r="AJ1609" i="2"/>
  <c r="AN1608" i="2"/>
  <c r="AK1608" i="2"/>
  <c r="AO1608" i="2"/>
  <c r="AO1607" i="2" s="1"/>
  <c r="AI845" i="2"/>
  <c r="IV613" i="5"/>
  <c r="IN515" i="5"/>
  <c r="IN514" i="5" s="1"/>
  <c r="IQ515" i="5"/>
  <c r="IQ514" i="5" s="1"/>
  <c r="AL912" i="2"/>
  <c r="AL959" i="2" s="1"/>
  <c r="AL854" i="2"/>
  <c r="AL843" i="2"/>
  <c r="IW515" i="5"/>
  <c r="IW514" i="5" s="1"/>
  <c r="AO854" i="2"/>
  <c r="AO912" i="2"/>
  <c r="AO843" i="2"/>
  <c r="AM912" i="2"/>
  <c r="AM959" i="2" s="1"/>
  <c r="AM843" i="2"/>
  <c r="AM854" i="2"/>
  <c r="AN912" i="2"/>
  <c r="AN854" i="2"/>
  <c r="AN843" i="2"/>
  <c r="AO729" i="2"/>
  <c r="IY788" i="5"/>
  <c r="IX788" i="5" s="1"/>
  <c r="AN729" i="2"/>
  <c r="AH729" i="2"/>
  <c r="IS514" i="5" s="1"/>
  <c r="IZ515" i="5"/>
  <c r="IZ514" i="5" s="1"/>
  <c r="AK846" i="2"/>
  <c r="JB613" i="5" s="1"/>
  <c r="JA614" i="5"/>
  <c r="AJ729" i="2"/>
  <c r="IY514" i="5" s="1"/>
  <c r="JL780" i="5"/>
  <c r="JI782" i="5"/>
  <c r="JJ782" i="5" s="1"/>
  <c r="AK1241" i="2"/>
  <c r="JB926" i="5"/>
  <c r="JA782" i="5"/>
  <c r="JC780" i="5"/>
  <c r="AJ1245" i="2"/>
  <c r="JK927" i="5"/>
  <c r="AK729" i="2"/>
  <c r="JB514" i="5" s="1"/>
  <c r="JH927" i="5"/>
  <c r="AJ1862" i="2"/>
  <c r="AG821" i="2" s="1"/>
  <c r="IY586" i="5"/>
  <c r="IX586" i="5" s="1"/>
  <c r="AJ905" i="2"/>
  <c r="AJ955" i="2" s="1"/>
  <c r="AJ810" i="2"/>
  <c r="IY585" i="5" s="1"/>
  <c r="AN810" i="2"/>
  <c r="AN809" i="2" s="1"/>
  <c r="AN904" i="2" s="1"/>
  <c r="AN905" i="2"/>
  <c r="JN721" i="5"/>
  <c r="JM721" i="5" s="1"/>
  <c r="AG707" i="2"/>
  <c r="IP497" i="5" s="1"/>
  <c r="IO497" i="5" s="1"/>
  <c r="IO633" i="5" s="1"/>
  <c r="AG762" i="2"/>
  <c r="IP543" i="5" s="1"/>
  <c r="AJ762" i="2"/>
  <c r="AM1299" i="2"/>
  <c r="AM1386" i="2" s="1"/>
  <c r="AO707" i="2"/>
  <c r="AO879" i="2" s="1"/>
  <c r="AJ760" i="2"/>
  <c r="IY541" i="5" s="1"/>
  <c r="AK707" i="2"/>
  <c r="AK879" i="2" s="1"/>
  <c r="AK927" i="2" s="1"/>
  <c r="AH762" i="2"/>
  <c r="IS543" i="5" s="1"/>
  <c r="AJ1299" i="2"/>
  <c r="AJ1386" i="2" s="1"/>
  <c r="IY498" i="5"/>
  <c r="IX498" i="5" s="1"/>
  <c r="JB498" i="5"/>
  <c r="JA498" i="5" s="1"/>
  <c r="IY935" i="5"/>
  <c r="IX935" i="5" s="1"/>
  <c r="JA718" i="5"/>
  <c r="JD722" i="5"/>
  <c r="JC718" i="5"/>
  <c r="AK852" i="2"/>
  <c r="JB618" i="5" s="1"/>
  <c r="AJ852" i="2"/>
  <c r="AG906" i="2"/>
  <c r="AG956" i="2" s="1"/>
  <c r="AL852" i="2"/>
  <c r="AL853" i="2" s="1"/>
  <c r="AM852" i="2"/>
  <c r="AM853" i="2" s="1"/>
  <c r="IZ585" i="5"/>
  <c r="IZ584" i="5" s="1"/>
  <c r="IY497" i="5"/>
  <c r="AF285" i="2"/>
  <c r="AF961" i="2"/>
  <c r="AF953" i="2"/>
  <c r="V436" i="2"/>
  <c r="AF937" i="2"/>
  <c r="AF320" i="2"/>
  <c r="AF930" i="2"/>
  <c r="AF932" i="2"/>
  <c r="AF929" i="2"/>
  <c r="AF859" i="2"/>
  <c r="AF918" i="2" s="1"/>
  <c r="AF582" i="2"/>
  <c r="AF345" i="2"/>
  <c r="AF927" i="2"/>
  <c r="AF346" i="2"/>
  <c r="AF361" i="2"/>
  <c r="AF333" i="2"/>
  <c r="AF959" i="2"/>
  <c r="AF925" i="2"/>
  <c r="AF954" i="2"/>
  <c r="AF958" i="2"/>
  <c r="AF941" i="2"/>
  <c r="AF957" i="2"/>
  <c r="AF939" i="2"/>
  <c r="AF940" i="2"/>
  <c r="AF952" i="2"/>
  <c r="AF942" i="2"/>
  <c r="AF935" i="2"/>
  <c r="AF928" i="2"/>
  <c r="AF564" i="2"/>
  <c r="AF951" i="2"/>
  <c r="AF307" i="2"/>
  <c r="AF948" i="2"/>
  <c r="AF308" i="2"/>
  <c r="AF926" i="2"/>
  <c r="AF934" i="2"/>
  <c r="AF625" i="2"/>
  <c r="AF577" i="2"/>
  <c r="AF949" i="2"/>
  <c r="AF375" i="2"/>
  <c r="AF924" i="2"/>
  <c r="AF938" i="2"/>
  <c r="AF933" i="2"/>
  <c r="AF634" i="2"/>
  <c r="AF370" i="2"/>
  <c r="AF287" i="2"/>
  <c r="AF366" i="2"/>
  <c r="AG859" i="2"/>
  <c r="AG918" i="2" s="1"/>
  <c r="AG949" i="2"/>
  <c r="AH285" i="2"/>
  <c r="AG285" i="2"/>
  <c r="AG370" i="2"/>
  <c r="AG564" i="2"/>
  <c r="AM1420" i="2"/>
  <c r="AM1378" i="2"/>
  <c r="AM1278" i="2"/>
  <c r="AM1406" i="2"/>
  <c r="AM1455" i="2"/>
  <c r="AM403" i="2"/>
  <c r="AM614" i="2" s="1"/>
  <c r="AM1403" i="2"/>
  <c r="AM1383" i="2"/>
  <c r="AM507" i="2"/>
  <c r="AM617" i="2"/>
  <c r="AM1127" i="2" s="1"/>
  <c r="AM1369" i="2"/>
  <c r="AM1456" i="2" s="1"/>
  <c r="AM1446" i="2"/>
  <c r="AM1422" i="2"/>
  <c r="AM1405" i="2"/>
  <c r="AM1419" i="2"/>
  <c r="AM434" i="2"/>
  <c r="AA1278" i="2"/>
  <c r="AA1414" i="2"/>
  <c r="AA1369" i="2"/>
  <c r="AA1456" i="2" s="1"/>
  <c r="AA446" i="2"/>
  <c r="AA400" i="2"/>
  <c r="AA403" i="2"/>
  <c r="AB403" i="2"/>
  <c r="AA1432" i="2"/>
  <c r="AA1430" i="2"/>
  <c r="AA1429" i="2"/>
  <c r="AA1427" i="2"/>
  <c r="AA1383" i="2"/>
  <c r="AA1394" i="2"/>
  <c r="AA1428" i="2"/>
  <c r="AB400" i="2"/>
  <c r="R933" i="2"/>
  <c r="R937" i="2"/>
  <c r="R938" i="2"/>
  <c r="R925" i="2"/>
  <c r="R941" i="2"/>
  <c r="R951" i="2"/>
  <c r="R942" i="2"/>
  <c r="R935" i="2"/>
  <c r="R923" i="2"/>
  <c r="R939" i="2"/>
  <c r="R285" i="2"/>
  <c r="R952" i="2"/>
  <c r="R921" i="2"/>
  <c r="R953" i="2"/>
  <c r="R927" i="2"/>
  <c r="R950" i="2"/>
  <c r="R922" i="2"/>
  <c r="R940" i="2"/>
  <c r="R924" i="2"/>
  <c r="R958" i="2"/>
  <c r="R928" i="2"/>
  <c r="R959" i="2"/>
  <c r="R926" i="2"/>
  <c r="R957" i="2"/>
  <c r="R929" i="2"/>
  <c r="R948" i="2"/>
  <c r="R954" i="2"/>
  <c r="S285" i="2"/>
  <c r="R949" i="2"/>
  <c r="V459" i="2"/>
  <c r="V532" i="2"/>
  <c r="V533" i="2" s="1"/>
  <c r="V468" i="2"/>
  <c r="V469" i="2" s="1"/>
  <c r="V500" i="2"/>
  <c r="V524" i="2"/>
  <c r="V525" i="2" s="1"/>
  <c r="V488" i="2"/>
  <c r="V489" i="2" s="1"/>
  <c r="V431" i="2"/>
  <c r="V550" i="2"/>
  <c r="V542" i="2"/>
  <c r="V528" i="2"/>
  <c r="V536" i="2"/>
  <c r="V472" i="2"/>
  <c r="V439" i="2"/>
  <c r="V484" i="2"/>
  <c r="V485" i="2" s="1"/>
  <c r="V546" i="2"/>
  <c r="V516" i="2"/>
  <c r="V480" i="2"/>
  <c r="V481" i="2" s="1"/>
  <c r="V512" i="2"/>
  <c r="V513" i="2" s="1"/>
  <c r="V447" i="2"/>
  <c r="V455" i="2"/>
  <c r="V427" i="2"/>
  <c r="V428" i="2" s="1"/>
  <c r="V496" i="2"/>
  <c r="V420" i="2"/>
  <c r="V443" i="2"/>
  <c r="V520" i="2"/>
  <c r="AD446" i="2"/>
  <c r="AD403" i="2"/>
  <c r="AD1369" i="2"/>
  <c r="AD1456" i="2" s="1"/>
  <c r="AD1383" i="2"/>
  <c r="AD1278" i="2"/>
  <c r="AD1445" i="2"/>
  <c r="AD1778" i="2"/>
  <c r="AE403" i="2"/>
  <c r="AE1451" i="2"/>
  <c r="AE1419" i="2"/>
  <c r="AE1405" i="2"/>
  <c r="AE1403" i="2"/>
  <c r="AE1394" i="2"/>
  <c r="AE1445" i="2"/>
  <c r="AE1410" i="2"/>
  <c r="AE1420" i="2"/>
  <c r="AE1422" i="2"/>
  <c r="AE446" i="2"/>
  <c r="AF403" i="2"/>
  <c r="AE1778" i="2"/>
  <c r="AE1369" i="2"/>
  <c r="AE1456" i="2" s="1"/>
  <c r="AE1383" i="2"/>
  <c r="AE1406" i="2"/>
  <c r="L951" i="2"/>
  <c r="L939" i="2"/>
  <c r="L959" i="2"/>
  <c r="L929" i="2"/>
  <c r="L942" i="2"/>
  <c r="L923" i="2"/>
  <c r="L287" i="2"/>
  <c r="L940" i="2"/>
  <c r="L285" i="2"/>
  <c r="L949" i="2"/>
  <c r="L941" i="2"/>
  <c r="L921" i="2"/>
  <c r="L953" i="2"/>
  <c r="L950" i="2"/>
  <c r="L927" i="2"/>
  <c r="L928" i="2"/>
  <c r="L926" i="2"/>
  <c r="L922" i="2"/>
  <c r="L937" i="2"/>
  <c r="L935" i="2"/>
  <c r="L933" i="2"/>
  <c r="L957" i="2"/>
  <c r="L952" i="2"/>
  <c r="L958" i="2"/>
  <c r="L948" i="2"/>
  <c r="AA1753" i="2"/>
  <c r="AA960" i="2"/>
  <c r="AA952" i="2"/>
  <c r="AA959" i="2"/>
  <c r="AA379" i="2"/>
  <c r="AA639" i="2"/>
  <c r="AA961" i="2"/>
  <c r="AA285" i="2"/>
  <c r="AA859" i="2"/>
  <c r="AA918" i="2" s="1"/>
  <c r="K935" i="2"/>
  <c r="Z345" i="2"/>
  <c r="AB634" i="2"/>
  <c r="M949" i="2"/>
  <c r="Z298" i="2"/>
  <c r="S405" i="2"/>
  <c r="S403" i="2"/>
  <c r="AN284" i="2"/>
  <c r="AH1778" i="2"/>
  <c r="AH400" i="2"/>
  <c r="AH1383" i="2"/>
  <c r="AB602" i="2"/>
  <c r="M940" i="2"/>
  <c r="K927" i="2"/>
  <c r="Y379" i="2"/>
  <c r="Y307" i="2"/>
  <c r="Y937" i="2"/>
  <c r="Y366" i="2"/>
  <c r="Y361" i="2"/>
  <c r="Y933" i="2"/>
  <c r="Y639" i="2"/>
  <c r="Y333" i="2"/>
  <c r="Y602" i="2"/>
  <c r="Y320" i="2"/>
  <c r="Y927" i="2"/>
  <c r="Y949" i="2"/>
  <c r="Y375" i="2"/>
  <c r="Y935" i="2"/>
  <c r="Y625" i="2"/>
  <c r="Y948" i="2"/>
  <c r="Y926" i="2"/>
  <c r="Y922" i="2"/>
  <c r="Y634" i="2"/>
  <c r="Y938" i="2"/>
  <c r="Y952" i="2"/>
  <c r="Y287" i="2"/>
  <c r="Y929" i="2"/>
  <c r="Y955" i="2"/>
  <c r="Y308" i="2"/>
  <c r="AL285" i="2"/>
  <c r="AL859" i="2"/>
  <c r="AL918" i="2" s="1"/>
  <c r="K924" i="2"/>
  <c r="K950" i="2"/>
  <c r="K958" i="2"/>
  <c r="K938" i="2"/>
  <c r="K942" i="2"/>
  <c r="K939" i="2"/>
  <c r="K933" i="2"/>
  <c r="K923" i="2"/>
  <c r="K953" i="2"/>
  <c r="K957" i="2"/>
  <c r="K926" i="2"/>
  <c r="Z375" i="2"/>
  <c r="Z361" i="2"/>
  <c r="Z301" i="2"/>
  <c r="Z370" i="2"/>
  <c r="Z358" i="2"/>
  <c r="Z955" i="2"/>
  <c r="Z379" i="2"/>
  <c r="Z577" i="2"/>
  <c r="Z307" i="2"/>
  <c r="Z634" i="2"/>
  <c r="Z285" i="2"/>
  <c r="Z333" i="2"/>
  <c r="AI1778" i="2"/>
  <c r="AI403" i="2"/>
  <c r="AI1455" i="2"/>
  <c r="AJ400" i="2"/>
  <c r="AI1278" i="2"/>
  <c r="AI1369" i="2"/>
  <c r="AI1456" i="2" s="1"/>
  <c r="AI400" i="2"/>
  <c r="M929" i="2"/>
  <c r="M950" i="2"/>
  <c r="M938" i="2"/>
  <c r="M926" i="2"/>
  <c r="M925" i="2"/>
  <c r="M285" i="2"/>
  <c r="M933" i="2"/>
  <c r="M921" i="2"/>
  <c r="M923" i="2"/>
  <c r="M952" i="2"/>
  <c r="M922" i="2"/>
  <c r="M941" i="2"/>
  <c r="M951" i="2"/>
  <c r="M924" i="2"/>
  <c r="M937" i="2"/>
  <c r="AB935" i="2"/>
  <c r="AB953" i="2"/>
  <c r="AB933" i="2"/>
  <c r="AB952" i="2"/>
  <c r="AB922" i="2"/>
  <c r="AB625" i="2"/>
  <c r="AB285" i="2"/>
  <c r="AB955" i="2"/>
  <c r="AB361" i="2"/>
  <c r="AB954" i="2"/>
  <c r="AB961" i="2"/>
  <c r="AB362" i="2"/>
  <c r="AB956" i="2"/>
  <c r="AB937" i="2"/>
  <c r="AB358" i="2"/>
  <c r="AB338" i="2"/>
  <c r="AB366" i="2"/>
  <c r="AB859" i="2"/>
  <c r="AB918" i="2" s="1"/>
  <c r="AB938" i="2"/>
  <c r="AB385" i="2"/>
  <c r="AB375" i="2"/>
  <c r="AB650" i="2"/>
  <c r="AB958" i="2"/>
  <c r="AB582" i="2"/>
  <c r="AC1753" i="2"/>
  <c r="AB927" i="2"/>
  <c r="AB298" i="2"/>
  <c r="AB925" i="2"/>
  <c r="AB923" i="2"/>
  <c r="Z308" i="2"/>
  <c r="AJ403" i="2"/>
  <c r="M954" i="2"/>
  <c r="M959" i="2"/>
  <c r="M939" i="2"/>
  <c r="M942" i="2"/>
  <c r="K948" i="2"/>
  <c r="N927" i="2"/>
  <c r="N959" i="2"/>
  <c r="N935" i="2"/>
  <c r="N938" i="2"/>
  <c r="N940" i="2"/>
  <c r="N924" i="2"/>
  <c r="N939" i="2"/>
  <c r="N941" i="2"/>
  <c r="N952" i="2"/>
  <c r="N929" i="2"/>
  <c r="N923" i="2"/>
  <c r="N942" i="2"/>
  <c r="N922" i="2"/>
  <c r="Z287" i="2"/>
  <c r="Z346" i="2"/>
  <c r="AB924" i="2"/>
  <c r="AB345" i="2"/>
  <c r="AB370" i="2"/>
  <c r="M948" i="2"/>
  <c r="M935" i="2"/>
  <c r="K952" i="2"/>
  <c r="M957" i="2"/>
  <c r="K921" i="2"/>
  <c r="O925" i="2"/>
  <c r="O941" i="2"/>
  <c r="O942" i="2"/>
  <c r="O928" i="2"/>
  <c r="O951" i="2"/>
  <c r="O953" i="2"/>
  <c r="O938" i="2"/>
  <c r="O937" i="2"/>
  <c r="O950" i="2"/>
  <c r="O954" i="2"/>
  <c r="O952" i="2"/>
  <c r="O959" i="2"/>
  <c r="O940" i="2"/>
  <c r="AC935" i="2"/>
  <c r="AC956" i="2"/>
  <c r="AC285" i="2"/>
  <c r="AC345" i="2"/>
  <c r="AC933" i="2"/>
  <c r="AC954" i="2"/>
  <c r="AC346" i="2"/>
  <c r="AC922" i="2"/>
  <c r="AC952" i="2"/>
  <c r="AC320" i="2"/>
  <c r="AC958" i="2"/>
  <c r="AC625" i="2"/>
  <c r="AC333" i="2"/>
  <c r="AC953" i="2"/>
  <c r="AC938" i="2"/>
  <c r="AC307" i="2"/>
  <c r="AC925" i="2"/>
  <c r="AC859" i="2"/>
  <c r="AC918" i="2" s="1"/>
  <c r="AC366" i="2"/>
  <c r="AC957" i="2"/>
  <c r="AC361" i="2"/>
  <c r="AC375" i="2"/>
  <c r="AC923" i="2"/>
  <c r="AC634" i="2"/>
  <c r="AC959" i="2"/>
  <c r="AC949" i="2"/>
  <c r="AC298" i="2"/>
  <c r="AC928" i="2"/>
  <c r="AC929" i="2"/>
  <c r="AB926" i="2"/>
  <c r="AB301" i="2"/>
  <c r="AI617" i="2"/>
  <c r="X301" i="2"/>
  <c r="X345" i="2"/>
  <c r="X924" i="2"/>
  <c r="X602" i="2"/>
  <c r="X925" i="2"/>
  <c r="X577" i="2"/>
  <c r="X287" i="2"/>
  <c r="X346" i="2"/>
  <c r="X307" i="2"/>
  <c r="X582" i="2"/>
  <c r="X370" i="2"/>
  <c r="X959" i="2"/>
  <c r="X933" i="2"/>
  <c r="P925" i="2"/>
  <c r="P287" i="2"/>
  <c r="P953" i="2"/>
  <c r="P929" i="2"/>
  <c r="P949" i="2"/>
  <c r="P940" i="2"/>
  <c r="P941" i="2"/>
  <c r="P942" i="2"/>
  <c r="P951" i="2"/>
  <c r="P921" i="2"/>
  <c r="P933" i="2"/>
  <c r="P928" i="2"/>
  <c r="P923" i="2"/>
  <c r="X954" i="2"/>
  <c r="P939" i="2"/>
  <c r="W463" i="2"/>
  <c r="X361" i="2"/>
  <c r="O405" i="2"/>
  <c r="O409" i="2" s="1"/>
  <c r="O403" i="2"/>
  <c r="AB1394" i="2"/>
  <c r="AB1369" i="2"/>
  <c r="AB1456" i="2" s="1"/>
  <c r="AB1383" i="2"/>
  <c r="AB423" i="2"/>
  <c r="X952" i="2"/>
  <c r="X298" i="2"/>
  <c r="P403" i="2"/>
  <c r="P405" i="2"/>
  <c r="P952" i="2"/>
  <c r="X338" i="2"/>
  <c r="AC423" i="2"/>
  <c r="AC400" i="2"/>
  <c r="AC1394" i="2"/>
  <c r="AD859" i="2"/>
  <c r="AD918" i="2" s="1"/>
  <c r="AE285" i="2"/>
  <c r="AL927" i="2"/>
  <c r="AL956" i="2"/>
  <c r="AM956" i="2"/>
  <c r="JC782" i="5"/>
  <c r="JD782" i="5" s="1"/>
  <c r="JF782" i="5"/>
  <c r="JG782" i="5" s="1"/>
  <c r="IR518" i="5"/>
  <c r="IP604" i="5"/>
  <c r="IO604" i="5" s="1"/>
  <c r="AK1862" i="2"/>
  <c r="JB781" i="5"/>
  <c r="AK1836" i="2"/>
  <c r="W32" i="19"/>
  <c r="AN1241" i="2"/>
  <c r="JK922" i="5" s="1"/>
  <c r="JK926" i="5"/>
  <c r="IX518" i="5"/>
  <c r="JK781" i="5"/>
  <c r="O32" i="19"/>
  <c r="N32" i="19" s="1"/>
  <c r="AM1862" i="2"/>
  <c r="AJ1836" i="2"/>
  <c r="AJ1834" i="2" s="1"/>
  <c r="AO810" i="2"/>
  <c r="AO809" i="2" s="1"/>
  <c r="AO905" i="2"/>
  <c r="AL905" i="2"/>
  <c r="AL955" i="2" s="1"/>
  <c r="AL810" i="2"/>
  <c r="AL809" i="2" s="1"/>
  <c r="AK1365" i="2"/>
  <c r="AK1452" i="2" s="1"/>
  <c r="JB935" i="5"/>
  <c r="AL1365" i="2"/>
  <c r="AL1452" i="2" s="1"/>
  <c r="IK492" i="5"/>
  <c r="IL493" i="5"/>
  <c r="JH935" i="5"/>
  <c r="AM1365" i="2"/>
  <c r="AM1452" i="2" s="1"/>
  <c r="IK541" i="5"/>
  <c r="IL541" i="5" s="1"/>
  <c r="IL494" i="5"/>
  <c r="IL497" i="5"/>
  <c r="IK543" i="5"/>
  <c r="AK1300" i="2"/>
  <c r="AK1040" i="2"/>
  <c r="JB721" i="5"/>
  <c r="JE935" i="5"/>
  <c r="JE721" i="5"/>
  <c r="AL1300" i="2"/>
  <c r="AL1387" i="2" s="1"/>
  <c r="AN707" i="2"/>
  <c r="AN879" i="2" s="1"/>
  <c r="AN1300" i="2"/>
  <c r="JK721" i="5"/>
  <c r="JJ721" i="5" s="1"/>
  <c r="AN852" i="2"/>
  <c r="AN853" i="2" s="1"/>
  <c r="AN1040" i="2"/>
  <c r="AM1300" i="2"/>
  <c r="JH721" i="5"/>
  <c r="JG721" i="5" s="1"/>
  <c r="AM1040" i="2"/>
  <c r="AO852" i="2"/>
  <c r="AO853" i="2" s="1"/>
  <c r="AO1303" i="2"/>
  <c r="JN724" i="5"/>
  <c r="JM724" i="5" s="1"/>
  <c r="AJ1364" i="2"/>
  <c r="AJ1451" i="2" s="1"/>
  <c r="O101" i="19"/>
  <c r="N101" i="19" s="1"/>
  <c r="IY933" i="5"/>
  <c r="IX933" i="5" s="1"/>
  <c r="IQ585" i="5"/>
  <c r="IQ584" i="5" s="1"/>
  <c r="IR591" i="5"/>
  <c r="JK935" i="5"/>
  <c r="AI701" i="2"/>
  <c r="IV493" i="5"/>
  <c r="AN1299" i="2"/>
  <c r="JB496" i="5"/>
  <c r="JA496" i="5" s="1"/>
  <c r="AB1242" i="2"/>
  <c r="IT541" i="5"/>
  <c r="IT493" i="5"/>
  <c r="IT492" i="5" s="1"/>
  <c r="AJ1044" i="2"/>
  <c r="AJ1302" i="2"/>
  <c r="IY723" i="5"/>
  <c r="IX723" i="5" s="1"/>
  <c r="IR496" i="5"/>
  <c r="AH702" i="2"/>
  <c r="AH760" i="2"/>
  <c r="IS541" i="5" s="1"/>
  <c r="AO1364" i="2"/>
  <c r="JN933" i="5"/>
  <c r="AI760" i="2"/>
  <c r="IV541" i="5" s="1"/>
  <c r="IV494" i="5"/>
  <c r="IU494" i="5" s="1"/>
  <c r="JN935" i="5"/>
  <c r="JK723" i="5"/>
  <c r="JJ723" i="5" s="1"/>
  <c r="AN1044" i="2"/>
  <c r="AH810" i="2"/>
  <c r="AH905" i="2"/>
  <c r="AH955" i="2" s="1"/>
  <c r="IS586" i="5"/>
  <c r="IR586" i="5" s="1"/>
  <c r="IY493" i="5"/>
  <c r="AJ701" i="2"/>
  <c r="AK1302" i="2"/>
  <c r="AK1044" i="2"/>
  <c r="AC1242" i="2"/>
  <c r="AC1241" i="2"/>
  <c r="JB493" i="5"/>
  <c r="AK701" i="2"/>
  <c r="AJ1040" i="2"/>
  <c r="AJ1300" i="2"/>
  <c r="AJ1387" i="2" s="1"/>
  <c r="IY721" i="5"/>
  <c r="IX721" i="5" s="1"/>
  <c r="AD1241" i="2"/>
  <c r="AD1242" i="2"/>
  <c r="AK905" i="2"/>
  <c r="AK955" i="2" s="1"/>
  <c r="AK810" i="2"/>
  <c r="AO1044" i="2"/>
  <c r="JH723" i="5"/>
  <c r="JG723" i="5" s="1"/>
  <c r="AM810" i="2"/>
  <c r="AM809" i="2" s="1"/>
  <c r="AM905" i="2"/>
  <c r="AM955" i="2" s="1"/>
  <c r="JI718" i="5"/>
  <c r="AM1302" i="2"/>
  <c r="JE723" i="5"/>
  <c r="AL1044" i="2"/>
  <c r="AL762" i="2"/>
  <c r="AI879" i="2"/>
  <c r="AI927" i="2" s="1"/>
  <c r="AM707" i="2"/>
  <c r="AM879" i="2" s="1"/>
  <c r="AM927" i="2" s="1"/>
  <c r="AM762" i="2"/>
  <c r="T119" i="7"/>
  <c r="IO590" i="5"/>
  <c r="AL1040" i="2"/>
  <c r="AL1299" i="2"/>
  <c r="IU496" i="5"/>
  <c r="X1365" i="2"/>
  <c r="X1248" i="2"/>
  <c r="X1247" i="2" s="1"/>
  <c r="X1239" i="2" s="1"/>
  <c r="J34" i="7"/>
  <c r="IC586" i="5"/>
  <c r="J116" i="7"/>
  <c r="IJ727" i="5" l="1"/>
  <c r="AE1049" i="2" s="1"/>
  <c r="AE1305" i="2" s="1"/>
  <c r="AE1392" i="2" s="1"/>
  <c r="EN717" i="5"/>
  <c r="EN978" i="5" s="1"/>
  <c r="IA713" i="5"/>
  <c r="AB1035" i="2" s="1"/>
  <c r="HR716" i="5"/>
  <c r="Y1038" i="2" s="1"/>
  <c r="ID706" i="5"/>
  <c r="AC1028" i="2" s="1"/>
  <c r="AC528" i="2" s="1"/>
  <c r="IJ739" i="5"/>
  <c r="AE1061" i="2" s="1"/>
  <c r="AE536" i="2" s="1"/>
  <c r="HR714" i="5"/>
  <c r="Y1036" i="2" s="1"/>
  <c r="FA717" i="5"/>
  <c r="FA666" i="5" s="1"/>
  <c r="AA1134" i="2"/>
  <c r="AA1331" i="2" s="1"/>
  <c r="AA1418" i="2" s="1"/>
  <c r="HX712" i="5"/>
  <c r="AA1034" i="2" s="1"/>
  <c r="IG899" i="5"/>
  <c r="AD1220" i="2" s="1"/>
  <c r="HX779" i="5"/>
  <c r="AA1094" i="2" s="1"/>
  <c r="AA1320" i="2" s="1"/>
  <c r="AA1407" i="2" s="1"/>
  <c r="IM743" i="5"/>
  <c r="AF1065" i="2" s="1"/>
  <c r="AF542" i="2" s="1"/>
  <c r="IG704" i="5"/>
  <c r="AD1026" i="2" s="1"/>
  <c r="AD520" i="2" s="1"/>
  <c r="IA714" i="5"/>
  <c r="AB1036" i="2" s="1"/>
  <c r="HX919" i="5"/>
  <c r="AA1238" i="2" s="1"/>
  <c r="HR906" i="5"/>
  <c r="Y1227" i="2" s="1"/>
  <c r="Y1614" i="2" s="1"/>
  <c r="IA743" i="5"/>
  <c r="AB1065" i="2" s="1"/>
  <c r="AB542" i="2" s="1"/>
  <c r="IG714" i="5"/>
  <c r="AD1036" i="2" s="1"/>
  <c r="HR789" i="5"/>
  <c r="Y1103" i="2" s="1"/>
  <c r="Y612" i="2" s="1"/>
  <c r="IJ674" i="5"/>
  <c r="AE996" i="2" s="1"/>
  <c r="AE1789" i="2" s="1"/>
  <c r="AE666" i="5"/>
  <c r="AE816" i="5" s="1"/>
  <c r="AE985" i="5" s="1"/>
  <c r="AX666" i="5"/>
  <c r="AX815" i="5" s="1"/>
  <c r="AX984" i="5" s="1"/>
  <c r="IM712" i="5"/>
  <c r="AF1034" i="2" s="1"/>
  <c r="FA1153" i="5"/>
  <c r="IM698" i="5"/>
  <c r="AF1020" i="2" s="1"/>
  <c r="AF504" i="2" s="1"/>
  <c r="IG708" i="5"/>
  <c r="AD1030" i="2" s="1"/>
  <c r="HU690" i="5"/>
  <c r="Z1012" i="2" s="1"/>
  <c r="Z484" i="2" s="1"/>
  <c r="DH628" i="5"/>
  <c r="HU746" i="5"/>
  <c r="Z1068" i="2" s="1"/>
  <c r="BA666" i="5"/>
  <c r="BA975" i="5" s="1"/>
  <c r="IJ753" i="5"/>
  <c r="AE1075" i="2" s="1"/>
  <c r="AE1313" i="2" s="1"/>
  <c r="AE1400" i="2" s="1"/>
  <c r="HX938" i="5"/>
  <c r="AA1258" i="2" s="1"/>
  <c r="AA1366" i="2" s="1"/>
  <c r="AG1770" i="2"/>
  <c r="AD680" i="2" s="1"/>
  <c r="HU693" i="5"/>
  <c r="Z1015" i="2" s="1"/>
  <c r="Z495" i="2" s="1"/>
  <c r="HU689" i="5"/>
  <c r="Z1011" i="2" s="1"/>
  <c r="Z479" i="2" s="1"/>
  <c r="IM811" i="5"/>
  <c r="AF1127" i="2" s="1"/>
  <c r="AF1325" i="2" s="1"/>
  <c r="AF1412" i="2" s="1"/>
  <c r="V569" i="5"/>
  <c r="V627" i="5"/>
  <c r="HR690" i="5"/>
  <c r="Y1012" i="2" s="1"/>
  <c r="Y483" i="2" s="1"/>
  <c r="KO892" i="5"/>
  <c r="KO995" i="5" s="1"/>
  <c r="IG689" i="5"/>
  <c r="AD1011" i="2" s="1"/>
  <c r="AD480" i="2" s="1"/>
  <c r="GM1132" i="5"/>
  <c r="IM832" i="5"/>
  <c r="AF1148" i="2" s="1"/>
  <c r="GO717" i="5"/>
  <c r="GO1138" i="5" s="1"/>
  <c r="BB13" i="19"/>
  <c r="AG1294" i="2"/>
  <c r="AG1381" i="2" s="1"/>
  <c r="AG1791" i="2"/>
  <c r="JI675" i="5"/>
  <c r="JJ675" i="5" s="1"/>
  <c r="IZ675" i="5"/>
  <c r="JA675" i="5" s="1"/>
  <c r="JL670" i="5"/>
  <c r="JM670" i="5" s="1"/>
  <c r="JI694" i="5"/>
  <c r="JJ694" i="5" s="1"/>
  <c r="JE922" i="5"/>
  <c r="BC91" i="19"/>
  <c r="BD91" i="19" s="1"/>
  <c r="BF91" i="19" s="1"/>
  <c r="AS101" i="19"/>
  <c r="W21" i="19"/>
  <c r="X21" i="19" s="1"/>
  <c r="Z21" i="19" s="1"/>
  <c r="AS11" i="19"/>
  <c r="BA77" i="19"/>
  <c r="BB77" i="19" s="1"/>
  <c r="AS14" i="19"/>
  <c r="JF661" i="5"/>
  <c r="V103" i="19"/>
  <c r="AT13" i="19"/>
  <c r="IZ661" i="5"/>
  <c r="JB922" i="5"/>
  <c r="AM21" i="19"/>
  <c r="AM28" i="19" s="1"/>
  <c r="AJ1065" i="2"/>
  <c r="AM91" i="19"/>
  <c r="AN91" i="19" s="1"/>
  <c r="JC661" i="5"/>
  <c r="AS32" i="19"/>
  <c r="BB16" i="19"/>
  <c r="BA11" i="19"/>
  <c r="AE21" i="19"/>
  <c r="AG21" i="19" s="1"/>
  <c r="AN1228" i="2"/>
  <c r="AN1227" i="2" s="1"/>
  <c r="AU21" i="19"/>
  <c r="AU28" i="19" s="1"/>
  <c r="JH926" i="5"/>
  <c r="JE926" i="5"/>
  <c r="BB15" i="19"/>
  <c r="BA14" i="19"/>
  <c r="AL1039" i="2"/>
  <c r="AM1241" i="2"/>
  <c r="AO1248" i="2"/>
  <c r="BC100" i="19" s="1"/>
  <c r="BB100" i="19" s="1"/>
  <c r="BA32" i="19"/>
  <c r="AN1134" i="2"/>
  <c r="AU61" i="19" s="1"/>
  <c r="AJ1863" i="2"/>
  <c r="AJ1861" i="2" s="1"/>
  <c r="AG815" i="2" s="1"/>
  <c r="AL1118" i="2"/>
  <c r="W71" i="19"/>
  <c r="AE71" i="19"/>
  <c r="AF71" i="19" s="1"/>
  <c r="AH71" i="19" s="1"/>
  <c r="AM71" i="19"/>
  <c r="AO71" i="19" s="1"/>
  <c r="AD16" i="19"/>
  <c r="EB717" i="5"/>
  <c r="EB978" i="5" s="1"/>
  <c r="HX788" i="5"/>
  <c r="AA1102" i="2" s="1"/>
  <c r="DQ632" i="5"/>
  <c r="AG550" i="2"/>
  <c r="AH550" i="2" s="1"/>
  <c r="AI550" i="2" s="1"/>
  <c r="AJ550" i="2" s="1"/>
  <c r="AK550" i="2" s="1"/>
  <c r="AL550" i="2" s="1"/>
  <c r="AM550" i="2" s="1"/>
  <c r="AN550" i="2" s="1"/>
  <c r="AO550" i="2" s="1"/>
  <c r="AP550" i="2" s="1"/>
  <c r="AQ550" i="2" s="1"/>
  <c r="AR550" i="2" s="1"/>
  <c r="AS550" i="2" s="1"/>
  <c r="AT550" i="2" s="1"/>
  <c r="DQ491" i="5"/>
  <c r="HU749" i="5"/>
  <c r="Z1071" i="2" s="1"/>
  <c r="Z1312" i="2" s="1"/>
  <c r="Z1399" i="2" s="1"/>
  <c r="IJ709" i="5"/>
  <c r="AE1031" i="2" s="1"/>
  <c r="CB666" i="5"/>
  <c r="CB835" i="5" s="1"/>
  <c r="CB991" i="5" s="1"/>
  <c r="DQ536" i="5"/>
  <c r="CQ717" i="5"/>
  <c r="CQ978" i="5" s="1"/>
  <c r="JI929" i="5"/>
  <c r="IA757" i="5"/>
  <c r="AB1079" i="2" s="1"/>
  <c r="AB1317" i="2" s="1"/>
  <c r="AB1404" i="2" s="1"/>
  <c r="IA706" i="5"/>
  <c r="AB1028" i="2" s="1"/>
  <c r="AB527" i="2" s="1"/>
  <c r="HX698" i="5"/>
  <c r="AA1020" i="2" s="1"/>
  <c r="AA503" i="2" s="1"/>
  <c r="AT103" i="19"/>
  <c r="JM797" i="5"/>
  <c r="BA45" i="19"/>
  <c r="BB45" i="19" s="1"/>
  <c r="JJ919" i="5"/>
  <c r="AS94" i="19"/>
  <c r="AT94" i="19" s="1"/>
  <c r="FS717" i="5"/>
  <c r="FS978" i="5" s="1"/>
  <c r="JJ799" i="5"/>
  <c r="AS48" i="19"/>
  <c r="AT48" i="19" s="1"/>
  <c r="IP985" i="5"/>
  <c r="CP1073" i="5"/>
  <c r="CP1095" i="5" s="1"/>
  <c r="JM799" i="5"/>
  <c r="BA48" i="19"/>
  <c r="BB48" i="19" s="1"/>
  <c r="JI661" i="5"/>
  <c r="AS76" i="19"/>
  <c r="JG797" i="5"/>
  <c r="AK45" i="19"/>
  <c r="AL45" i="19" s="1"/>
  <c r="JL909" i="5"/>
  <c r="BA91" i="19" s="1"/>
  <c r="BA92" i="19"/>
  <c r="BB92" i="19" s="1"/>
  <c r="JG799" i="5"/>
  <c r="AK48" i="19"/>
  <c r="AL48" i="19" s="1"/>
  <c r="DM1073" i="5"/>
  <c r="JG798" i="5"/>
  <c r="AK46" i="19"/>
  <c r="AL46" i="19" s="1"/>
  <c r="JJ796" i="5"/>
  <c r="AS44" i="19"/>
  <c r="AT44" i="19" s="1"/>
  <c r="JL764" i="5"/>
  <c r="BA21" i="19"/>
  <c r="AL15" i="19"/>
  <c r="BM573" i="5"/>
  <c r="BM580" i="5" s="1"/>
  <c r="BM649" i="5" s="1"/>
  <c r="JM877" i="5"/>
  <c r="BA74" i="19"/>
  <c r="BB74" i="19" s="1"/>
  <c r="JG796" i="5"/>
  <c r="AK44" i="19"/>
  <c r="AL44" i="19" s="1"/>
  <c r="AG472" i="2"/>
  <c r="AH472" i="2" s="1"/>
  <c r="AI472" i="2" s="1"/>
  <c r="AJ472" i="2" s="1"/>
  <c r="JI764" i="5"/>
  <c r="AS21" i="19"/>
  <c r="JM791" i="5"/>
  <c r="BA41" i="19"/>
  <c r="BB41" i="19" s="1"/>
  <c r="JD937" i="5"/>
  <c r="AC105" i="19"/>
  <c r="AD105" i="19" s="1"/>
  <c r="JM908" i="5"/>
  <c r="BA90" i="19"/>
  <c r="BB90" i="19" s="1"/>
  <c r="JM798" i="5"/>
  <c r="BA46" i="19"/>
  <c r="BB46" i="19" s="1"/>
  <c r="JM919" i="5"/>
  <c r="BA94" i="19"/>
  <c r="BB94" i="19" s="1"/>
  <c r="AW15" i="19"/>
  <c r="AT15" i="19"/>
  <c r="BE15" i="19"/>
  <c r="AV16" i="19"/>
  <c r="AX16" i="19" s="1"/>
  <c r="AT16" i="19"/>
  <c r="AW104" i="19"/>
  <c r="AT104" i="19"/>
  <c r="BE13" i="19"/>
  <c r="BD103" i="19"/>
  <c r="BF103" i="19" s="1"/>
  <c r="BD104" i="19"/>
  <c r="BF104" i="19" s="1"/>
  <c r="AV12" i="19"/>
  <c r="AX12" i="19" s="1"/>
  <c r="AT12" i="19"/>
  <c r="AD13" i="19"/>
  <c r="AO12" i="19"/>
  <c r="AL12" i="19"/>
  <c r="AD104" i="19"/>
  <c r="AD12" i="19"/>
  <c r="AO17" i="19"/>
  <c r="AL17" i="19"/>
  <c r="O39" i="19"/>
  <c r="P39" i="19" s="1"/>
  <c r="R39" i="19" s="1"/>
  <c r="N38" i="19"/>
  <c r="Q15" i="19"/>
  <c r="N15" i="19"/>
  <c r="AO16" i="19"/>
  <c r="AL16" i="19"/>
  <c r="AL13" i="19"/>
  <c r="AL103" i="19"/>
  <c r="AO48" i="19"/>
  <c r="Q48" i="19"/>
  <c r="N48" i="19"/>
  <c r="AD103" i="19"/>
  <c r="AO104" i="19"/>
  <c r="AL104" i="19"/>
  <c r="AG105" i="19"/>
  <c r="AO105" i="19"/>
  <c r="AL105" i="19"/>
  <c r="AD15" i="19"/>
  <c r="DP629" i="5"/>
  <c r="ID689" i="5"/>
  <c r="AC1011" i="2" s="1"/>
  <c r="AC480" i="2" s="1"/>
  <c r="JD798" i="5"/>
  <c r="AC46" i="19"/>
  <c r="AD46" i="19" s="1"/>
  <c r="IJ708" i="5"/>
  <c r="AE1030" i="2" s="1"/>
  <c r="JL883" i="5"/>
  <c r="JD797" i="5"/>
  <c r="AC45" i="19"/>
  <c r="AD45" i="19" s="1"/>
  <c r="JD796" i="5"/>
  <c r="AC44" i="19"/>
  <c r="AD44" i="19" s="1"/>
  <c r="IM715" i="5"/>
  <c r="AF1037" i="2" s="1"/>
  <c r="JC877" i="5"/>
  <c r="AC74" i="19" s="1"/>
  <c r="AE74" i="19"/>
  <c r="AF74" i="19" s="1"/>
  <c r="AH74" i="19" s="1"/>
  <c r="IM696" i="5"/>
  <c r="AF1018" i="2" s="1"/>
  <c r="AF499" i="2" s="1"/>
  <c r="JD799" i="5"/>
  <c r="AC48" i="19"/>
  <c r="AD48" i="19" s="1"/>
  <c r="IG746" i="5"/>
  <c r="AD1068" i="2" s="1"/>
  <c r="P666" i="5"/>
  <c r="P975" i="5" s="1"/>
  <c r="IJ726" i="5"/>
  <c r="AE1048" i="2" s="1"/>
  <c r="EA717" i="5"/>
  <c r="EA978" i="5" s="1"/>
  <c r="ID713" i="5"/>
  <c r="AC1035" i="2" s="1"/>
  <c r="DF1073" i="5"/>
  <c r="DF1095" i="5" s="1"/>
  <c r="CF633" i="5"/>
  <c r="CF1140" i="5"/>
  <c r="ID709" i="5"/>
  <c r="AC1031" i="2" s="1"/>
  <c r="GI1147" i="5"/>
  <c r="CF536" i="5"/>
  <c r="CF1149" i="5" s="1"/>
  <c r="HR747" i="5"/>
  <c r="Y1069" i="2" s="1"/>
  <c r="Y546" i="2" s="1"/>
  <c r="Y547" i="2" s="1"/>
  <c r="HX747" i="5"/>
  <c r="AA1069" i="2" s="1"/>
  <c r="AA546" i="2" s="1"/>
  <c r="IJ689" i="5"/>
  <c r="AE1011" i="2" s="1"/>
  <c r="AE479" i="2" s="1"/>
  <c r="DC817" i="5"/>
  <c r="DC986" i="5" s="1"/>
  <c r="P48" i="7"/>
  <c r="EP468" i="5"/>
  <c r="EP467" i="5" s="1"/>
  <c r="GC842" i="5"/>
  <c r="GD842" i="5"/>
  <c r="GO1141" i="5"/>
  <c r="HR831" i="5"/>
  <c r="Y1147" i="2" s="1"/>
  <c r="GS1132" i="5"/>
  <c r="GJ1132" i="5"/>
  <c r="GE842" i="5"/>
  <c r="GK1132" i="5"/>
  <c r="DQ1133" i="5"/>
  <c r="AC28" i="19"/>
  <c r="O1132" i="5"/>
  <c r="GF986" i="5"/>
  <c r="O627" i="5"/>
  <c r="IR857" i="5"/>
  <c r="IR993" i="5" s="1"/>
  <c r="EE717" i="5"/>
  <c r="EE978" i="5" s="1"/>
  <c r="IA705" i="5"/>
  <c r="AB1027" i="2" s="1"/>
  <c r="AB523" i="2" s="1"/>
  <c r="Y13" i="19"/>
  <c r="V13" i="19"/>
  <c r="CB573" i="5"/>
  <c r="CB643" i="5" s="1"/>
  <c r="HR674" i="5"/>
  <c r="Y996" i="2" s="1"/>
  <c r="Y1292" i="2" s="1"/>
  <c r="Y1379" i="2" s="1"/>
  <c r="BU666" i="5"/>
  <c r="BU815" i="5" s="1"/>
  <c r="BU984" i="5" s="1"/>
  <c r="V36" i="19"/>
  <c r="Y16" i="19"/>
  <c r="V16" i="19"/>
  <c r="CB1132" i="5"/>
  <c r="CB627" i="5"/>
  <c r="EP536" i="5"/>
  <c r="EP1149" i="5" s="1"/>
  <c r="GP1132" i="5"/>
  <c r="HU734" i="5"/>
  <c r="Z1056" i="2" s="1"/>
  <c r="HR689" i="5"/>
  <c r="Y1011" i="2" s="1"/>
  <c r="Y479" i="2" s="1"/>
  <c r="AG1039" i="2"/>
  <c r="AG1762" i="2" s="1"/>
  <c r="CG717" i="5"/>
  <c r="CG978" i="5" s="1"/>
  <c r="AG93" i="19"/>
  <c r="AD93" i="19"/>
  <c r="GI1132" i="5"/>
  <c r="IS883" i="5"/>
  <c r="AH1202" i="2" s="1"/>
  <c r="IQ661" i="5"/>
  <c r="HA1132" i="5"/>
  <c r="HR685" i="5"/>
  <c r="Y1007" i="2" s="1"/>
  <c r="Y471" i="2" s="1"/>
  <c r="GY1132" i="5"/>
  <c r="AJ1072" i="2"/>
  <c r="AJ1071" i="2" s="1"/>
  <c r="Y15" i="19"/>
  <c r="V15" i="19"/>
  <c r="GQ1132" i="5"/>
  <c r="Y48" i="19"/>
  <c r="GZ1132" i="5"/>
  <c r="GK717" i="5"/>
  <c r="GK1138" i="5" s="1"/>
  <c r="Y12" i="19"/>
  <c r="V12" i="19"/>
  <c r="AM1039" i="2"/>
  <c r="JF877" i="5"/>
  <c r="AO1039" i="2"/>
  <c r="AN1039" i="2"/>
  <c r="AJ1193" i="2"/>
  <c r="AK1134" i="2"/>
  <c r="AM1134" i="2"/>
  <c r="AL1134" i="2"/>
  <c r="AF107" i="19"/>
  <c r="AH107" i="19" s="1"/>
  <c r="AF35" i="19"/>
  <c r="AH35" i="19" s="1"/>
  <c r="X107" i="19"/>
  <c r="Z107" i="19" s="1"/>
  <c r="X35" i="19"/>
  <c r="Z35" i="19" s="1"/>
  <c r="X34" i="19"/>
  <c r="Z34" i="19" s="1"/>
  <c r="AI1366" i="2"/>
  <c r="AI1453" i="2" s="1"/>
  <c r="D23" i="19"/>
  <c r="F23" i="19" s="1"/>
  <c r="D42" i="19"/>
  <c r="F42" i="19" s="1"/>
  <c r="D71" i="19"/>
  <c r="F71" i="19" s="1"/>
  <c r="D94" i="19"/>
  <c r="F94" i="19" s="1"/>
  <c r="D38" i="19"/>
  <c r="F38" i="19" s="1"/>
  <c r="AG1257" i="2"/>
  <c r="AG1551" i="2" s="1"/>
  <c r="AW16" i="19"/>
  <c r="BD15" i="19"/>
  <c r="BF15" i="19" s="1"/>
  <c r="AK1456" i="2"/>
  <c r="O55" i="19"/>
  <c r="AM55" i="19"/>
  <c r="W55" i="19"/>
  <c r="AE55" i="19"/>
  <c r="AG55" i="19" s="1"/>
  <c r="BC11" i="19"/>
  <c r="AV15" i="19"/>
  <c r="AX15" i="19" s="1"/>
  <c r="AM101" i="19"/>
  <c r="O11" i="19"/>
  <c r="BE103" i="19"/>
  <c r="AU101" i="19"/>
  <c r="AU14" i="19"/>
  <c r="AL1284" i="2"/>
  <c r="AM11" i="19"/>
  <c r="AU11" i="19"/>
  <c r="AM14" i="19"/>
  <c r="AE14" i="19"/>
  <c r="AG14" i="19" s="1"/>
  <c r="U101" i="19"/>
  <c r="AC14" i="19"/>
  <c r="U11" i="19"/>
  <c r="U14" i="19"/>
  <c r="AK28" i="19"/>
  <c r="AK11" i="19"/>
  <c r="AK14" i="19"/>
  <c r="AK101" i="19"/>
  <c r="AC11" i="19"/>
  <c r="U92" i="19"/>
  <c r="V92" i="19" s="1"/>
  <c r="U48" i="19"/>
  <c r="V48" i="19" s="1"/>
  <c r="IZ764" i="5"/>
  <c r="AE92" i="19"/>
  <c r="AC101" i="19"/>
  <c r="BC32" i="19"/>
  <c r="AU32" i="19"/>
  <c r="AM32" i="19"/>
  <c r="AK32" i="19"/>
  <c r="U32" i="19"/>
  <c r="V32" i="19" s="1"/>
  <c r="AC32" i="19"/>
  <c r="X1554" i="2"/>
  <c r="AN39" i="19"/>
  <c r="AP39" i="19" s="1"/>
  <c r="AN40" i="19"/>
  <c r="AP40" i="19" s="1"/>
  <c r="AK622" i="2"/>
  <c r="AK603" i="2"/>
  <c r="AN34" i="19"/>
  <c r="AP34" i="19" s="1"/>
  <c r="AN102" i="19"/>
  <c r="AP102" i="19" s="1"/>
  <c r="AF34" i="19"/>
  <c r="AH34" i="19" s="1"/>
  <c r="AF102" i="19"/>
  <c r="AH102" i="19" s="1"/>
  <c r="X102" i="19"/>
  <c r="Z102" i="19" s="1"/>
  <c r="P34" i="19"/>
  <c r="R34" i="19" s="1"/>
  <c r="P102" i="19"/>
  <c r="R102" i="19" s="1"/>
  <c r="AJ1134" i="2"/>
  <c r="AQ1134" i="2"/>
  <c r="AQ1331" i="2" s="1"/>
  <c r="AQ1418" i="2" s="1"/>
  <c r="AQ1193" i="2"/>
  <c r="AQ1358" i="2"/>
  <c r="AQ1445" i="2" s="1"/>
  <c r="JA937" i="5"/>
  <c r="U105" i="19"/>
  <c r="V105" i="19" s="1"/>
  <c r="IZ881" i="5"/>
  <c r="AP1134" i="2"/>
  <c r="AP1331" i="2" s="1"/>
  <c r="AP1418" i="2" s="1"/>
  <c r="JA885" i="5"/>
  <c r="U77" i="19"/>
  <c r="AV104" i="19"/>
  <c r="AX104" i="19" s="1"/>
  <c r="AG1831" i="2"/>
  <c r="AG1325" i="2"/>
  <c r="AG1412" i="2" s="1"/>
  <c r="U21" i="19"/>
  <c r="U28" i="19" s="1"/>
  <c r="AG1563" i="2"/>
  <c r="BD13" i="19"/>
  <c r="BF13" i="19" s="1"/>
  <c r="BE104" i="19"/>
  <c r="AG1315" i="2"/>
  <c r="AG1402" i="2" s="1"/>
  <c r="AI1563" i="2"/>
  <c r="AG1787" i="2"/>
  <c r="AE1563" i="2"/>
  <c r="AF1563" i="2"/>
  <c r="AG430" i="2"/>
  <c r="AG1836" i="2"/>
  <c r="AP1365" i="2"/>
  <c r="AP1452" i="2" s="1"/>
  <c r="AP1551" i="2"/>
  <c r="W988" i="2"/>
  <c r="W1527" i="2"/>
  <c r="AG519" i="2"/>
  <c r="AE1554" i="2"/>
  <c r="W1362" i="2"/>
  <c r="W1449" i="2" s="1"/>
  <c r="W1558" i="2"/>
  <c r="AG1365" i="2"/>
  <c r="AG1452" i="2" s="1"/>
  <c r="AF1590" i="2"/>
  <c r="AG1293" i="2"/>
  <c r="AG1380" i="2" s="1"/>
  <c r="AP1546" i="2"/>
  <c r="AO1546" i="2"/>
  <c r="AC1554" i="2"/>
  <c r="X1322" i="2"/>
  <c r="X1409" i="2" s="1"/>
  <c r="AH1365" i="2"/>
  <c r="AH1452" i="2" s="1"/>
  <c r="AH1551" i="2"/>
  <c r="Y1365" i="2"/>
  <c r="AH1590" i="2"/>
  <c r="AE1630" i="2"/>
  <c r="Z1590" i="2"/>
  <c r="Z1598" i="2" s="1"/>
  <c r="AO1547" i="2"/>
  <c r="AP1547" i="2"/>
  <c r="AA1590" i="2"/>
  <c r="AA1598" i="2" s="1"/>
  <c r="AD1554" i="2"/>
  <c r="AG1317" i="2"/>
  <c r="AG1404" i="2" s="1"/>
  <c r="AB1590" i="2"/>
  <c r="AB1598" i="2" s="1"/>
  <c r="AO1551" i="2"/>
  <c r="AG1300" i="2"/>
  <c r="AG1387" i="2" s="1"/>
  <c r="AG427" i="2"/>
  <c r="AF1770" i="2"/>
  <c r="AF1554" i="2"/>
  <c r="AB1554" i="2"/>
  <c r="W614" i="2"/>
  <c r="W1545" i="2"/>
  <c r="AI1551" i="2"/>
  <c r="AG475" i="2"/>
  <c r="AA1554" i="2"/>
  <c r="AH1563" i="2"/>
  <c r="AD1267" i="2"/>
  <c r="AD1266" i="2" s="1"/>
  <c r="AG1835" i="2"/>
  <c r="AG620" i="2"/>
  <c r="BC73" i="19"/>
  <c r="Y1622" i="2"/>
  <c r="AG419" i="2"/>
  <c r="AG612" i="2"/>
  <c r="HC1132" i="5"/>
  <c r="GN898" i="5"/>
  <c r="GN893" i="5" s="1"/>
  <c r="GN892" i="5" s="1"/>
  <c r="GN1154" i="5" s="1"/>
  <c r="GN1155" i="5"/>
  <c r="GX817" i="5"/>
  <c r="GX1151" i="5"/>
  <c r="GX1149" i="5" s="1"/>
  <c r="GX1141" i="5" s="1"/>
  <c r="HA898" i="5"/>
  <c r="HA893" i="5" s="1"/>
  <c r="HA892" i="5" s="1"/>
  <c r="HA1154" i="5" s="1"/>
  <c r="HA1155" i="5"/>
  <c r="IA482" i="5"/>
  <c r="HB898" i="5"/>
  <c r="HB893" i="5" s="1"/>
  <c r="HB892" i="5" s="1"/>
  <c r="HB1154" i="5" s="1"/>
  <c r="HB1155" i="5"/>
  <c r="DK1151" i="5"/>
  <c r="EI717" i="5"/>
  <c r="EI978" i="5" s="1"/>
  <c r="GV1132" i="5"/>
  <c r="DE717" i="5"/>
  <c r="DE666" i="5" s="1"/>
  <c r="GK898" i="5"/>
  <c r="GK893" i="5" s="1"/>
  <c r="GK892" i="5" s="1"/>
  <c r="GK1154" i="5" s="1"/>
  <c r="GK1155" i="5"/>
  <c r="HX686" i="5"/>
  <c r="AA1008" i="2" s="1"/>
  <c r="AG988" i="2"/>
  <c r="IO975" i="5"/>
  <c r="GU898" i="5"/>
  <c r="GU893" i="5" s="1"/>
  <c r="GU892" i="5" s="1"/>
  <c r="GU1154" i="5" s="1"/>
  <c r="GU1155" i="5"/>
  <c r="HC898" i="5"/>
  <c r="HC893" i="5" s="1"/>
  <c r="HC892" i="5" s="1"/>
  <c r="HC1154" i="5" s="1"/>
  <c r="HC1155" i="5"/>
  <c r="HB817" i="5"/>
  <c r="HB1151" i="5"/>
  <c r="HB1149" i="5" s="1"/>
  <c r="HB1141" i="5" s="1"/>
  <c r="HA817" i="5"/>
  <c r="HA1151" i="5"/>
  <c r="HA1149" i="5" s="1"/>
  <c r="HA1141" i="5" s="1"/>
  <c r="GU817" i="5"/>
  <c r="GU1151" i="5"/>
  <c r="GU1149" i="5" s="1"/>
  <c r="GU1141" i="5" s="1"/>
  <c r="GM898" i="5"/>
  <c r="GM893" i="5" s="1"/>
  <c r="GM892" i="5" s="1"/>
  <c r="GM1154" i="5" s="1"/>
  <c r="GM1155" i="5"/>
  <c r="DO717" i="5"/>
  <c r="DO978" i="5" s="1"/>
  <c r="IM751" i="5"/>
  <c r="AF1073" i="2" s="1"/>
  <c r="M815" i="5"/>
  <c r="M984" i="5" s="1"/>
  <c r="CT491" i="5"/>
  <c r="CT1138" i="5" s="1"/>
  <c r="IA696" i="5"/>
  <c r="AB1018" i="2" s="1"/>
  <c r="AB500" i="2" s="1"/>
  <c r="IM899" i="5"/>
  <c r="AF1220" i="2" s="1"/>
  <c r="CU717" i="5"/>
  <c r="CU978" i="5" s="1"/>
  <c r="HR753" i="5"/>
  <c r="Y1075" i="2" s="1"/>
  <c r="Y1313" i="2" s="1"/>
  <c r="Y1400" i="2" s="1"/>
  <c r="M975" i="5"/>
  <c r="GT898" i="5"/>
  <c r="GT893" i="5" s="1"/>
  <c r="GT892" i="5" s="1"/>
  <c r="GT1154" i="5" s="1"/>
  <c r="GT1155" i="5"/>
  <c r="HX735" i="5"/>
  <c r="AA1057" i="2" s="1"/>
  <c r="ID716" i="5"/>
  <c r="AC1038" i="2" s="1"/>
  <c r="EQ491" i="5"/>
  <c r="EQ1138" i="5" s="1"/>
  <c r="DS717" i="5"/>
  <c r="DS978" i="5" s="1"/>
  <c r="ID751" i="5"/>
  <c r="AC1073" i="2" s="1"/>
  <c r="HC817" i="5"/>
  <c r="HC1151" i="5"/>
  <c r="HC1149" i="5" s="1"/>
  <c r="HC1141" i="5" s="1"/>
  <c r="GR1132" i="5"/>
  <c r="HF898" i="5"/>
  <c r="HF893" i="5" s="1"/>
  <c r="HF892" i="5" s="1"/>
  <c r="HF1154" i="5" s="1"/>
  <c r="HF1155" i="5"/>
  <c r="HR715" i="5"/>
  <c r="Y1037" i="2" s="1"/>
  <c r="GV817" i="5"/>
  <c r="GV1151" i="5"/>
  <c r="GV1149" i="5" s="1"/>
  <c r="GV1141" i="5" s="1"/>
  <c r="IG832" i="5"/>
  <c r="AD1148" i="2" s="1"/>
  <c r="IG675" i="5"/>
  <c r="AD997" i="2" s="1"/>
  <c r="AD435" i="2" s="1"/>
  <c r="GJ898" i="5"/>
  <c r="GJ893" i="5" s="1"/>
  <c r="GJ892" i="5" s="1"/>
  <c r="GJ1154" i="5" s="1"/>
  <c r="GJ1155" i="5"/>
  <c r="IG683" i="5"/>
  <c r="AD1005" i="2" s="1"/>
  <c r="AD462" i="2" s="1"/>
  <c r="GW1132" i="5"/>
  <c r="IM749" i="5"/>
  <c r="AF1071" i="2" s="1"/>
  <c r="AF1312" i="2" s="1"/>
  <c r="AF1399" i="2" s="1"/>
  <c r="FT1150" i="5"/>
  <c r="GY817" i="5"/>
  <c r="GY1151" i="5"/>
  <c r="GY1149" i="5" s="1"/>
  <c r="GY1141" i="5" s="1"/>
  <c r="GO1132" i="5"/>
  <c r="HX755" i="5"/>
  <c r="AA1077" i="2" s="1"/>
  <c r="AA590" i="2" s="1"/>
  <c r="X465" i="5"/>
  <c r="X626" i="5" s="1"/>
  <c r="X568" i="5"/>
  <c r="AG1358" i="2"/>
  <c r="AG1445" i="2" s="1"/>
  <c r="HE1132" i="5"/>
  <c r="GT1132" i="5"/>
  <c r="GG842" i="5"/>
  <c r="X1132" i="5"/>
  <c r="KO666" i="5"/>
  <c r="KO834" i="5" s="1"/>
  <c r="AT573" i="5"/>
  <c r="AT643" i="5" s="1"/>
  <c r="IA693" i="5"/>
  <c r="AB1015" i="2" s="1"/>
  <c r="AB496" i="2" s="1"/>
  <c r="BI572" i="5"/>
  <c r="BI642" i="5" s="1"/>
  <c r="IM691" i="5"/>
  <c r="AF1013" i="2" s="1"/>
  <c r="AF487" i="2" s="1"/>
  <c r="IG938" i="5"/>
  <c r="AD1258" i="2" s="1"/>
  <c r="AD1366" i="2" s="1"/>
  <c r="AD1453" i="2" s="1"/>
  <c r="HZ1113" i="5"/>
  <c r="CV1133" i="5"/>
  <c r="GX1132" i="5"/>
  <c r="GT817" i="5"/>
  <c r="GT1151" i="5"/>
  <c r="GT1149" i="5" s="1"/>
  <c r="GT1141" i="5" s="1"/>
  <c r="HU669" i="5"/>
  <c r="Z991" i="2" s="1"/>
  <c r="Z420" i="2" s="1"/>
  <c r="AM666" i="5"/>
  <c r="AM815" i="5" s="1"/>
  <c r="AM984" i="5" s="1"/>
  <c r="GR898" i="5"/>
  <c r="GR893" i="5" s="1"/>
  <c r="GR892" i="5" s="1"/>
  <c r="GR1154" i="5" s="1"/>
  <c r="GR1155" i="5"/>
  <c r="GL898" i="5"/>
  <c r="GL893" i="5" s="1"/>
  <c r="GL892" i="5" s="1"/>
  <c r="GL1154" i="5" s="1"/>
  <c r="GL1155" i="5"/>
  <c r="HX685" i="5"/>
  <c r="AA1007" i="2" s="1"/>
  <c r="AA472" i="2" s="1"/>
  <c r="AX568" i="5"/>
  <c r="AY1141" i="5"/>
  <c r="GS898" i="5"/>
  <c r="GS893" i="5" s="1"/>
  <c r="GS892" i="5" s="1"/>
  <c r="GS1154" i="5" s="1"/>
  <c r="GS1155" i="5"/>
  <c r="HD898" i="5"/>
  <c r="HD893" i="5" s="1"/>
  <c r="HD892" i="5" s="1"/>
  <c r="HD1154" i="5" s="1"/>
  <c r="HD1155" i="5"/>
  <c r="DJ629" i="5"/>
  <c r="AH1631" i="2"/>
  <c r="HF817" i="5"/>
  <c r="HF1151" i="5"/>
  <c r="HF1149" i="5" s="1"/>
  <c r="HF1141" i="5" s="1"/>
  <c r="GR817" i="5"/>
  <c r="GR1151" i="5"/>
  <c r="GR1149" i="5" s="1"/>
  <c r="GR1141" i="5" s="1"/>
  <c r="IA692" i="5"/>
  <c r="AB1014" i="2" s="1"/>
  <c r="AB491" i="2" s="1"/>
  <c r="GU1132" i="5"/>
  <c r="FI717" i="5"/>
  <c r="FI666" i="5" s="1"/>
  <c r="FI816" i="5" s="1"/>
  <c r="CI717" i="5"/>
  <c r="CI978" i="5" s="1"/>
  <c r="IH800" i="5"/>
  <c r="IH801" i="5" s="1"/>
  <c r="IH802" i="5" s="1"/>
  <c r="HB1132" i="5"/>
  <c r="HD817" i="5"/>
  <c r="HD1151" i="5"/>
  <c r="HD1149" i="5" s="1"/>
  <c r="HD1141" i="5" s="1"/>
  <c r="HU737" i="5"/>
  <c r="Z1059" i="2" s="1"/>
  <c r="Z1310" i="2" s="1"/>
  <c r="Z1397" i="2" s="1"/>
  <c r="IJ678" i="5"/>
  <c r="AE1000" i="2" s="1"/>
  <c r="AE442" i="2" s="1"/>
  <c r="GL817" i="5"/>
  <c r="GL1151" i="5"/>
  <c r="IJ795" i="5"/>
  <c r="AE1111" i="2" s="1"/>
  <c r="AE607" i="2" s="1"/>
  <c r="Y666" i="5"/>
  <c r="Y815" i="5" s="1"/>
  <c r="Y984" i="5" s="1"/>
  <c r="GQ817" i="5"/>
  <c r="GQ1151" i="5"/>
  <c r="GQ1149" i="5" s="1"/>
  <c r="GQ1141" i="5" s="1"/>
  <c r="GM817" i="5"/>
  <c r="GM1151" i="5"/>
  <c r="GW898" i="5"/>
  <c r="GW893" i="5" s="1"/>
  <c r="GW892" i="5" s="1"/>
  <c r="GW1154" i="5" s="1"/>
  <c r="GW1155" i="5"/>
  <c r="GJ817" i="5"/>
  <c r="GJ1151" i="5"/>
  <c r="GX898" i="5"/>
  <c r="GX893" i="5" s="1"/>
  <c r="GX892" i="5" s="1"/>
  <c r="GX1154" i="5" s="1"/>
  <c r="GX1155" i="5"/>
  <c r="FQ997" i="5"/>
  <c r="GN817" i="5"/>
  <c r="GN1151" i="5"/>
  <c r="GS817" i="5"/>
  <c r="GS1151" i="5"/>
  <c r="GS1149" i="5" s="1"/>
  <c r="GS1141" i="5" s="1"/>
  <c r="DK1133" i="5"/>
  <c r="GC981" i="5"/>
  <c r="GC1137" i="5"/>
  <c r="GC1132" i="5" s="1"/>
  <c r="GC1157" i="5" s="1"/>
  <c r="KP569" i="5"/>
  <c r="GN1132" i="5"/>
  <c r="GL1132" i="5"/>
  <c r="CB465" i="5"/>
  <c r="CB626" i="5" s="1"/>
  <c r="IG674" i="5"/>
  <c r="AD996" i="2" s="1"/>
  <c r="AD1292" i="2" s="1"/>
  <c r="AD1379" i="2" s="1"/>
  <c r="HE817" i="5"/>
  <c r="HE1151" i="5"/>
  <c r="HE1149" i="5" s="1"/>
  <c r="HE1141" i="5" s="1"/>
  <c r="DV491" i="5"/>
  <c r="DV1138" i="5" s="1"/>
  <c r="DN491" i="5"/>
  <c r="DN631" i="5" s="1"/>
  <c r="GY898" i="5"/>
  <c r="GY893" i="5" s="1"/>
  <c r="GY892" i="5" s="1"/>
  <c r="GY1154" i="5" s="1"/>
  <c r="GY1155" i="5"/>
  <c r="IG684" i="5"/>
  <c r="AD1006" i="2" s="1"/>
  <c r="AD468" i="2" s="1"/>
  <c r="HE898" i="5"/>
  <c r="HE893" i="5" s="1"/>
  <c r="HE892" i="5" s="1"/>
  <c r="HE1154" i="5" s="1"/>
  <c r="HE1155" i="5"/>
  <c r="GZ898" i="5"/>
  <c r="GZ893" i="5" s="1"/>
  <c r="GZ892" i="5" s="1"/>
  <c r="GZ1154" i="5" s="1"/>
  <c r="GZ1155" i="5"/>
  <c r="GQ898" i="5"/>
  <c r="GQ893" i="5" s="1"/>
  <c r="GQ892" i="5" s="1"/>
  <c r="GQ1154" i="5" s="1"/>
  <c r="GQ1155" i="5"/>
  <c r="GZ817" i="5"/>
  <c r="GZ1151" i="5"/>
  <c r="GZ1149" i="5" s="1"/>
  <c r="GZ1141" i="5" s="1"/>
  <c r="HR686" i="5"/>
  <c r="Y1008" i="2" s="1"/>
  <c r="GP898" i="5"/>
  <c r="GP893" i="5" s="1"/>
  <c r="GP892" i="5" s="1"/>
  <c r="GP1154" i="5" s="1"/>
  <c r="GP1155" i="5"/>
  <c r="IM689" i="5"/>
  <c r="AF1011" i="2" s="1"/>
  <c r="AF480" i="2" s="1"/>
  <c r="KO568" i="5"/>
  <c r="HD1132" i="5"/>
  <c r="HF1132" i="5"/>
  <c r="GP817" i="5"/>
  <c r="GP1151" i="5"/>
  <c r="GP1149" i="5" s="1"/>
  <c r="GP1141" i="5" s="1"/>
  <c r="EU1151" i="5"/>
  <c r="IM708" i="5"/>
  <c r="AF1030" i="2" s="1"/>
  <c r="IA690" i="5"/>
  <c r="AB1012" i="2" s="1"/>
  <c r="AB483" i="2" s="1"/>
  <c r="FV1142" i="5"/>
  <c r="GK817" i="5"/>
  <c r="GK1151" i="5"/>
  <c r="GW817" i="5"/>
  <c r="GW1151" i="5"/>
  <c r="GW1149" i="5" s="1"/>
  <c r="GW1141" i="5" s="1"/>
  <c r="IJ682" i="5"/>
  <c r="AE1004" i="2" s="1"/>
  <c r="AE458" i="2" s="1"/>
  <c r="FK717" i="5"/>
  <c r="FK1138" i="5" s="1"/>
  <c r="AH635" i="5"/>
  <c r="GV898" i="5"/>
  <c r="GV893" i="5" s="1"/>
  <c r="GV892" i="5" s="1"/>
  <c r="GV1154" i="5" s="1"/>
  <c r="GV1155" i="5"/>
  <c r="E72" i="7"/>
  <c r="E74" i="7"/>
  <c r="K141" i="7"/>
  <c r="AP1066" i="2"/>
  <c r="AP1086" i="2" s="1"/>
  <c r="AG488" i="2"/>
  <c r="AH488" i="2" s="1"/>
  <c r="AI488" i="2" s="1"/>
  <c r="AJ488" i="2" s="1"/>
  <c r="AB1579" i="2"/>
  <c r="AB1699" i="2" s="1"/>
  <c r="AG528" i="2"/>
  <c r="AH528" i="2" s="1"/>
  <c r="AI528" i="2" s="1"/>
  <c r="AJ528" i="2" s="1"/>
  <c r="O75" i="19"/>
  <c r="JE881" i="5"/>
  <c r="JC881" i="5" s="1"/>
  <c r="JD881" i="5" s="1"/>
  <c r="AE75" i="19"/>
  <c r="O51" i="19"/>
  <c r="AK1358" i="2"/>
  <c r="AK1445" i="2" s="1"/>
  <c r="W75" i="19"/>
  <c r="Y75" i="19" s="1"/>
  <c r="JH881" i="5"/>
  <c r="JF881" i="5" s="1"/>
  <c r="JG881" i="5" s="1"/>
  <c r="AM75" i="19"/>
  <c r="JA799" i="5"/>
  <c r="AG1793" i="2"/>
  <c r="X78" i="19"/>
  <c r="X79" i="19"/>
  <c r="Z79" i="19" s="1"/>
  <c r="AF78" i="19"/>
  <c r="AH78" i="19" s="1"/>
  <c r="AF79" i="19"/>
  <c r="AH79" i="19" s="1"/>
  <c r="P79" i="19"/>
  <c r="R79" i="19" s="1"/>
  <c r="P78" i="19"/>
  <c r="R78" i="19" s="1"/>
  <c r="AN94" i="19"/>
  <c r="AP94" i="19" s="1"/>
  <c r="AN78" i="19"/>
  <c r="AP78" i="19" s="1"/>
  <c r="AN77" i="19"/>
  <c r="AP77" i="19" s="1"/>
  <c r="AN79" i="19"/>
  <c r="AP79" i="19" s="1"/>
  <c r="AF105" i="19"/>
  <c r="AH105" i="19" s="1"/>
  <c r="AF77" i="19"/>
  <c r="AH77" i="19" s="1"/>
  <c r="BD76" i="19"/>
  <c r="BF76" i="19" s="1"/>
  <c r="BE76" i="19"/>
  <c r="AN92" i="19"/>
  <c r="AP92" i="19" s="1"/>
  <c r="AO92" i="19"/>
  <c r="AN26" i="19"/>
  <c r="AP26" i="19" s="1"/>
  <c r="AN74" i="19"/>
  <c r="AP74" i="19" s="1"/>
  <c r="AN105" i="19"/>
  <c r="AP105" i="19" s="1"/>
  <c r="AN90" i="19"/>
  <c r="AP90" i="19" s="1"/>
  <c r="AN93" i="19"/>
  <c r="AP93" i="19" s="1"/>
  <c r="BD92" i="19"/>
  <c r="BF92" i="19" s="1"/>
  <c r="BE92" i="19"/>
  <c r="BE48" i="19"/>
  <c r="BD48" i="19"/>
  <c r="BF48" i="19" s="1"/>
  <c r="AW48" i="19"/>
  <c r="AV48" i="19"/>
  <c r="AX48" i="19" s="1"/>
  <c r="X39" i="19"/>
  <c r="Z39" i="19" s="1"/>
  <c r="X26" i="19"/>
  <c r="Z26" i="19" s="1"/>
  <c r="X77" i="19"/>
  <c r="Z77" i="19" s="1"/>
  <c r="X105" i="19"/>
  <c r="Z105" i="19" s="1"/>
  <c r="X30" i="19"/>
  <c r="Z30" i="19" s="1"/>
  <c r="X29" i="19"/>
  <c r="Z29" i="19" s="1"/>
  <c r="X80" i="19"/>
  <c r="Z80" i="19" s="1"/>
  <c r="X76" i="19"/>
  <c r="Z76" i="19" s="1"/>
  <c r="AF39" i="19"/>
  <c r="AH39" i="19" s="1"/>
  <c r="AF26" i="19"/>
  <c r="AH26" i="19" s="1"/>
  <c r="AF30" i="19"/>
  <c r="AH30" i="19" s="1"/>
  <c r="AF29" i="19"/>
  <c r="AH29" i="19" s="1"/>
  <c r="X32" i="19"/>
  <c r="Z32" i="19" s="1"/>
  <c r="AN63" i="19"/>
  <c r="AP63" i="19" s="1"/>
  <c r="AN54" i="19"/>
  <c r="AP54" i="19" s="1"/>
  <c r="AN45" i="19"/>
  <c r="AP45" i="19" s="1"/>
  <c r="AN46" i="19"/>
  <c r="AP46" i="19" s="1"/>
  <c r="AN48" i="19"/>
  <c r="AP48" i="19" s="1"/>
  <c r="AN47" i="19"/>
  <c r="AP47" i="19" s="1"/>
  <c r="AN44" i="19"/>
  <c r="AP44" i="19" s="1"/>
  <c r="AN52" i="19"/>
  <c r="AP52" i="19" s="1"/>
  <c r="Q76" i="19"/>
  <c r="P26" i="19"/>
  <c r="R26" i="19" s="1"/>
  <c r="P77" i="19"/>
  <c r="R77" i="19" s="1"/>
  <c r="P105" i="19"/>
  <c r="R105" i="19" s="1"/>
  <c r="X33" i="19"/>
  <c r="Z33" i="19" s="1"/>
  <c r="AF33" i="19"/>
  <c r="AH33" i="19" s="1"/>
  <c r="Y36" i="19"/>
  <c r="X36" i="19"/>
  <c r="Z36" i="19" s="1"/>
  <c r="AF36" i="19"/>
  <c r="AH36" i="19" s="1"/>
  <c r="Q33" i="19"/>
  <c r="AF44" i="19"/>
  <c r="AH44" i="19" s="1"/>
  <c r="AF54" i="19"/>
  <c r="AH54" i="19" s="1"/>
  <c r="AF45" i="19"/>
  <c r="AH45" i="19" s="1"/>
  <c r="AF46" i="19"/>
  <c r="AH46" i="19" s="1"/>
  <c r="AF52" i="19"/>
  <c r="AH52" i="19" s="1"/>
  <c r="AF47" i="19"/>
  <c r="AH47" i="19" s="1"/>
  <c r="AF48" i="19"/>
  <c r="AH48" i="19" s="1"/>
  <c r="P47" i="19"/>
  <c r="R47" i="19" s="1"/>
  <c r="P52" i="19"/>
  <c r="R52" i="19" s="1"/>
  <c r="P54" i="19"/>
  <c r="R54" i="19" s="1"/>
  <c r="P45" i="19"/>
  <c r="R45" i="19" s="1"/>
  <c r="P46" i="19"/>
  <c r="R46" i="19" s="1"/>
  <c r="P48" i="19"/>
  <c r="R48" i="19" s="1"/>
  <c r="P44" i="19"/>
  <c r="R44" i="19" s="1"/>
  <c r="X45" i="19"/>
  <c r="Z45" i="19" s="1"/>
  <c r="X48" i="19"/>
  <c r="Z48" i="19" s="1"/>
  <c r="X52" i="19"/>
  <c r="Z52" i="19" s="1"/>
  <c r="X47" i="19"/>
  <c r="Z47" i="19" s="1"/>
  <c r="X44" i="19"/>
  <c r="Z44" i="19" s="1"/>
  <c r="X46" i="19"/>
  <c r="Z46" i="19" s="1"/>
  <c r="X54" i="19"/>
  <c r="Z54" i="19" s="1"/>
  <c r="AW12" i="19"/>
  <c r="AG1290" i="2"/>
  <c r="AG1377" i="2" s="1"/>
  <c r="AG1594" i="2"/>
  <c r="AG1592" i="2" s="1"/>
  <c r="AG1596" i="2" s="1"/>
  <c r="AG590" i="2"/>
  <c r="JN862" i="5"/>
  <c r="JL862" i="5" s="1"/>
  <c r="JM862" i="5" s="1"/>
  <c r="IX915" i="5"/>
  <c r="AJ1608" i="2" s="1"/>
  <c r="AJ1607" i="2" s="1"/>
  <c r="AG1789" i="2"/>
  <c r="AE1770" i="2"/>
  <c r="AI638" i="2"/>
  <c r="AI639" i="2" s="1"/>
  <c r="AM1863" i="2"/>
  <c r="AM1861" i="2" s="1"/>
  <c r="AF72" i="19"/>
  <c r="AH72" i="19" s="1"/>
  <c r="IX753" i="5"/>
  <c r="AG480" i="2"/>
  <c r="AH480" i="2" s="1"/>
  <c r="AI480" i="2" s="1"/>
  <c r="AJ480" i="2" s="1"/>
  <c r="IV920" i="5"/>
  <c r="AI1239" i="2" s="1"/>
  <c r="M835" i="5"/>
  <c r="M991" i="5" s="1"/>
  <c r="HU682" i="5"/>
  <c r="Z1004" i="2" s="1"/>
  <c r="Z459" i="2" s="1"/>
  <c r="DA717" i="5"/>
  <c r="DA978" i="5" s="1"/>
  <c r="IA732" i="5"/>
  <c r="AB1054" i="2" s="1"/>
  <c r="IM734" i="5"/>
  <c r="AF1056" i="2" s="1"/>
  <c r="H42" i="7"/>
  <c r="AT1141" i="5"/>
  <c r="HX746" i="5"/>
  <c r="AA1068" i="2" s="1"/>
  <c r="E666" i="5"/>
  <c r="E816" i="5" s="1"/>
  <c r="E985" i="5" s="1"/>
  <c r="IS704" i="5"/>
  <c r="AH1026" i="2" s="1"/>
  <c r="AH519" i="2" s="1"/>
  <c r="IJ737" i="5"/>
  <c r="AE1059" i="2" s="1"/>
  <c r="AE1310" i="2" s="1"/>
  <c r="AE1397" i="2" s="1"/>
  <c r="IM677" i="5"/>
  <c r="AF999" i="2" s="1"/>
  <c r="AF438" i="2" s="1"/>
  <c r="ID724" i="5"/>
  <c r="AC1046" i="2" s="1"/>
  <c r="AC1303" i="2" s="1"/>
  <c r="CX1137" i="5"/>
  <c r="IJ691" i="5"/>
  <c r="AE1013" i="2" s="1"/>
  <c r="AE488" i="2" s="1"/>
  <c r="IJ693" i="5"/>
  <c r="AE1015" i="2" s="1"/>
  <c r="AE496" i="2" s="1"/>
  <c r="V573" i="5"/>
  <c r="V643" i="5" s="1"/>
  <c r="BY666" i="5"/>
  <c r="BY975" i="5" s="1"/>
  <c r="ID734" i="5"/>
  <c r="AC1056" i="2" s="1"/>
  <c r="AH1363" i="2"/>
  <c r="AH1450" i="2" s="1"/>
  <c r="FK1150" i="5"/>
  <c r="ID693" i="5"/>
  <c r="AC1015" i="2" s="1"/>
  <c r="AC495" i="2" s="1"/>
  <c r="IJ733" i="5"/>
  <c r="AE1055" i="2" s="1"/>
  <c r="AB1622" i="2"/>
  <c r="HR830" i="5"/>
  <c r="Y1146" i="2" s="1"/>
  <c r="IG681" i="5"/>
  <c r="AD1003" i="2" s="1"/>
  <c r="X635" i="5"/>
  <c r="IG757" i="5"/>
  <c r="AD1079" i="2" s="1"/>
  <c r="AG1790" i="2"/>
  <c r="V567" i="5"/>
  <c r="DY717" i="5"/>
  <c r="DY666" i="5" s="1"/>
  <c r="HX692" i="5"/>
  <c r="AA1014" i="2" s="1"/>
  <c r="AA491" i="2" s="1"/>
  <c r="HU684" i="5"/>
  <c r="Z1006" i="2" s="1"/>
  <c r="Z468" i="2" s="1"/>
  <c r="HR757" i="5"/>
  <c r="Y1079" i="2" s="1"/>
  <c r="AG462" i="2"/>
  <c r="T666" i="5"/>
  <c r="T834" i="5" s="1"/>
  <c r="T990" i="5" s="1"/>
  <c r="V465" i="5"/>
  <c r="V626" i="5" s="1"/>
  <c r="ID682" i="5"/>
  <c r="AC1004" i="2" s="1"/>
  <c r="AC458" i="2" s="1"/>
  <c r="DI717" i="5"/>
  <c r="DI666" i="5" s="1"/>
  <c r="IA709" i="5"/>
  <c r="AB1031" i="2" s="1"/>
  <c r="IA919" i="5"/>
  <c r="AB1238" i="2" s="1"/>
  <c r="CU505" i="5"/>
  <c r="CU1142" i="5" s="1"/>
  <c r="AG405" i="2"/>
  <c r="AG1322" i="2"/>
  <c r="AG1409" i="2" s="1"/>
  <c r="T635" i="5"/>
  <c r="HU674" i="5"/>
  <c r="Z996" i="2" s="1"/>
  <c r="Z1292" i="2" s="1"/>
  <c r="Z1379" i="2" s="1"/>
  <c r="V568" i="5"/>
  <c r="HX811" i="5"/>
  <c r="AA1127" i="2" s="1"/>
  <c r="AA617" i="2" s="1"/>
  <c r="AA618" i="2" s="1"/>
  <c r="IJ690" i="5"/>
  <c r="AE1012" i="2" s="1"/>
  <c r="AE484" i="2" s="1"/>
  <c r="E116" i="7"/>
  <c r="EQ717" i="5"/>
  <c r="EQ666" i="5" s="1"/>
  <c r="EQ975" i="5" s="1"/>
  <c r="IG685" i="5"/>
  <c r="AD1007" i="2" s="1"/>
  <c r="AD472" i="2" s="1"/>
  <c r="EE1139" i="5"/>
  <c r="IG731" i="5"/>
  <c r="AD1053" i="2" s="1"/>
  <c r="AD532" i="2" s="1"/>
  <c r="IM711" i="5"/>
  <c r="AF1033" i="2" s="1"/>
  <c r="HX691" i="5"/>
  <c r="AA1013" i="2" s="1"/>
  <c r="AA487" i="2" s="1"/>
  <c r="DC717" i="5"/>
  <c r="DC666" i="5" s="1"/>
  <c r="DC975" i="5" s="1"/>
  <c r="ID938" i="5"/>
  <c r="AC1258" i="2" s="1"/>
  <c r="AC1366" i="2" s="1"/>
  <c r="DB632" i="5"/>
  <c r="ID755" i="5"/>
  <c r="AC1077" i="2" s="1"/>
  <c r="H635" i="5"/>
  <c r="ID711" i="5"/>
  <c r="AC1033" i="2" s="1"/>
  <c r="IM831" i="5"/>
  <c r="AF1147" i="2" s="1"/>
  <c r="HR832" i="5"/>
  <c r="Y1148" i="2" s="1"/>
  <c r="HU781" i="5"/>
  <c r="Z1096" i="2" s="1"/>
  <c r="IG710" i="5"/>
  <c r="AD1032" i="2" s="1"/>
  <c r="AR568" i="5"/>
  <c r="X1138" i="2"/>
  <c r="IG691" i="5"/>
  <c r="AD1013" i="2" s="1"/>
  <c r="AD487" i="2" s="1"/>
  <c r="IM706" i="5"/>
  <c r="AF1028" i="2" s="1"/>
  <c r="AF1295" i="2" s="1"/>
  <c r="AF1382" i="2" s="1"/>
  <c r="IA675" i="5"/>
  <c r="AB997" i="2" s="1"/>
  <c r="AB434" i="2" s="1"/>
  <c r="IP990" i="5"/>
  <c r="GN717" i="5"/>
  <c r="HU780" i="5"/>
  <c r="Z1095" i="2" s="1"/>
  <c r="Z1321" i="2" s="1"/>
  <c r="Z1408" i="2" s="1"/>
  <c r="HX684" i="5"/>
  <c r="AA1006" i="2" s="1"/>
  <c r="AA467" i="2" s="1"/>
  <c r="IA684" i="5"/>
  <c r="AB1006" i="2" s="1"/>
  <c r="AB467" i="2" s="1"/>
  <c r="AG492" i="2"/>
  <c r="AH492" i="2" s="1"/>
  <c r="AI492" i="2" s="1"/>
  <c r="AJ492" i="2" s="1"/>
  <c r="AK492" i="2" s="1"/>
  <c r="AL492" i="2" s="1"/>
  <c r="Y1211" i="2"/>
  <c r="Y1359" i="2" s="1"/>
  <c r="Y1446" i="2" s="1"/>
  <c r="AH1634" i="2"/>
  <c r="ID692" i="5"/>
  <c r="AC1014" i="2" s="1"/>
  <c r="AC492" i="2" s="1"/>
  <c r="HR710" i="5"/>
  <c r="Y1032" i="2" s="1"/>
  <c r="AR567" i="5"/>
  <c r="ID691" i="5"/>
  <c r="AC1013" i="2" s="1"/>
  <c r="AC487" i="2" s="1"/>
  <c r="DW717" i="5"/>
  <c r="DW978" i="5" s="1"/>
  <c r="HX831" i="5"/>
  <c r="AA1147" i="2" s="1"/>
  <c r="AG499" i="2"/>
  <c r="FE987" i="5"/>
  <c r="EI1139" i="5"/>
  <c r="AA627" i="5"/>
  <c r="IG692" i="5"/>
  <c r="AD1014" i="2" s="1"/>
  <c r="AD491" i="2" s="1"/>
  <c r="AA465" i="5"/>
  <c r="AA572" i="5" s="1"/>
  <c r="IG788" i="5"/>
  <c r="AD1102" i="2" s="1"/>
  <c r="IM737" i="5"/>
  <c r="AF1059" i="2" s="1"/>
  <c r="AF1310" i="2" s="1"/>
  <c r="AF1397" i="2" s="1"/>
  <c r="HR673" i="5"/>
  <c r="Y995" i="2" s="1"/>
  <c r="Y1291" i="2" s="1"/>
  <c r="Y1378" i="2" s="1"/>
  <c r="EA536" i="5"/>
  <c r="EA1149" i="5" s="1"/>
  <c r="HX731" i="5"/>
  <c r="AA1053" i="2" s="1"/>
  <c r="AA1309" i="2" s="1"/>
  <c r="AA1396" i="2" s="1"/>
  <c r="DO1133" i="5"/>
  <c r="DD1073" i="5"/>
  <c r="DD1095" i="5" s="1"/>
  <c r="EX536" i="5"/>
  <c r="EX1149" i="5" s="1"/>
  <c r="IM682" i="5"/>
  <c r="AF1004" i="2" s="1"/>
  <c r="AF458" i="2" s="1"/>
  <c r="ID831" i="5"/>
  <c r="AC1147" i="2" s="1"/>
  <c r="ID685" i="5"/>
  <c r="AC1007" i="2" s="1"/>
  <c r="AC472" i="2" s="1"/>
  <c r="HX830" i="5"/>
  <c r="AA1146" i="2" s="1"/>
  <c r="DB491" i="5"/>
  <c r="DB1138" i="5" s="1"/>
  <c r="AG1151" i="2"/>
  <c r="HR669" i="5"/>
  <c r="Y991" i="2" s="1"/>
  <c r="AG1810" i="2"/>
  <c r="K666" i="5"/>
  <c r="K816" i="5" s="1"/>
  <c r="K985" i="5" s="1"/>
  <c r="IM938" i="5"/>
  <c r="AF1258" i="2" s="1"/>
  <c r="IM595" i="5" s="1"/>
  <c r="T124" i="7" s="1"/>
  <c r="IM684" i="5"/>
  <c r="AF1006" i="2" s="1"/>
  <c r="AF468" i="2" s="1"/>
  <c r="DQ1073" i="5"/>
  <c r="DQ1095" i="5" s="1"/>
  <c r="AA567" i="5"/>
  <c r="HU750" i="5"/>
  <c r="Z1072" i="2" s="1"/>
  <c r="IJ780" i="5"/>
  <c r="AE1095" i="2" s="1"/>
  <c r="AE1321" i="2" s="1"/>
  <c r="AE1408" i="2" s="1"/>
  <c r="FE976" i="5"/>
  <c r="AS1141" i="5"/>
  <c r="FE717" i="5"/>
  <c r="FE666" i="5" s="1"/>
  <c r="AY666" i="5"/>
  <c r="AY834" i="5" s="1"/>
  <c r="DK629" i="5"/>
  <c r="DV717" i="5"/>
  <c r="DV978" i="5" s="1"/>
  <c r="IP979" i="5"/>
  <c r="AC1770" i="2"/>
  <c r="HU757" i="5"/>
  <c r="Z1079" i="2" s="1"/>
  <c r="KM465" i="5"/>
  <c r="KM626" i="5" s="1"/>
  <c r="IG751" i="5"/>
  <c r="AD1073" i="2" s="1"/>
  <c r="CH628" i="5"/>
  <c r="DP1073" i="5"/>
  <c r="DP1095" i="5" s="1"/>
  <c r="AG1214" i="2"/>
  <c r="AG1361" i="2" s="1"/>
  <c r="AG1448" i="2" s="1"/>
  <c r="HX832" i="5"/>
  <c r="AA1148" i="2" s="1"/>
  <c r="IA750" i="5"/>
  <c r="AB1072" i="2" s="1"/>
  <c r="AG527" i="2"/>
  <c r="E17" i="7"/>
  <c r="X627" i="5"/>
  <c r="HR693" i="5"/>
  <c r="Y1015" i="2" s="1"/>
  <c r="Y496" i="2" s="1"/>
  <c r="Y497" i="2" s="1"/>
  <c r="DC536" i="5"/>
  <c r="DC638" i="5" s="1"/>
  <c r="CH717" i="5"/>
  <c r="CH978" i="5" s="1"/>
  <c r="IM681" i="5"/>
  <c r="AF1003" i="2" s="1"/>
  <c r="FC717" i="5"/>
  <c r="FC1138" i="5" s="1"/>
  <c r="HX697" i="5"/>
  <c r="AA1019" i="2" s="1"/>
  <c r="HR751" i="5"/>
  <c r="Y1073" i="2" s="1"/>
  <c r="IA691" i="5"/>
  <c r="AB1013" i="2" s="1"/>
  <c r="AB488" i="2" s="1"/>
  <c r="Y572" i="5"/>
  <c r="Y642" i="5" s="1"/>
  <c r="DN632" i="5"/>
  <c r="HX728" i="5"/>
  <c r="AA1050" i="2" s="1"/>
  <c r="AA1306" i="2" s="1"/>
  <c r="AA1393" i="2" s="1"/>
  <c r="AD1211" i="2"/>
  <c r="AD1359" i="2" s="1"/>
  <c r="AD1446" i="2" s="1"/>
  <c r="IG709" i="5"/>
  <c r="AD1031" i="2" s="1"/>
  <c r="DF717" i="5"/>
  <c r="DF978" i="5" s="1"/>
  <c r="IA685" i="5"/>
  <c r="AB1007" i="2" s="1"/>
  <c r="AB472" i="2" s="1"/>
  <c r="AR666" i="5"/>
  <c r="AR816" i="5" s="1"/>
  <c r="AR985" i="5" s="1"/>
  <c r="DK467" i="5"/>
  <c r="DK1132" i="5" s="1"/>
  <c r="HB717" i="5"/>
  <c r="DR1073" i="5"/>
  <c r="DR1095" i="5" s="1"/>
  <c r="AN567" i="5"/>
  <c r="ET717" i="5"/>
  <c r="ET978" i="5" s="1"/>
  <c r="X567" i="5"/>
  <c r="IM710" i="5"/>
  <c r="AF1032" i="2" s="1"/>
  <c r="IG669" i="5"/>
  <c r="AD991" i="2" s="1"/>
  <c r="AB1587" i="2"/>
  <c r="AB1696" i="2" s="1"/>
  <c r="AG536" i="2"/>
  <c r="AH536" i="2" s="1"/>
  <c r="AI536" i="2" s="1"/>
  <c r="AJ536" i="2" s="1"/>
  <c r="IJ731" i="5"/>
  <c r="AE1053" i="2" s="1"/>
  <c r="AE1309" i="2" s="1"/>
  <c r="AE1396" i="2" s="1"/>
  <c r="H30" i="7"/>
  <c r="IG724" i="5"/>
  <c r="AD1046" i="2" s="1"/>
  <c r="AD1303" i="2" s="1"/>
  <c r="AD1390" i="2" s="1"/>
  <c r="IM690" i="5"/>
  <c r="AF1012" i="2" s="1"/>
  <c r="AF483" i="2" s="1"/>
  <c r="IG673" i="5"/>
  <c r="AD995" i="2" s="1"/>
  <c r="AE1788" i="2" s="1"/>
  <c r="HX703" i="5"/>
  <c r="AA1025" i="2" s="1"/>
  <c r="AA516" i="2" s="1"/>
  <c r="FM988" i="5"/>
  <c r="FL988" i="5"/>
  <c r="CU1073" i="5"/>
  <c r="CU1095" i="5" s="1"/>
  <c r="AN568" i="5"/>
  <c r="EH491" i="5"/>
  <c r="EH1138" i="5" s="1"/>
  <c r="HR698" i="5"/>
  <c r="Y1020" i="2" s="1"/>
  <c r="Y504" i="2" s="1"/>
  <c r="Y505" i="2" s="1"/>
  <c r="CH491" i="5"/>
  <c r="CH1138" i="5" s="1"/>
  <c r="ID686" i="5"/>
  <c r="AC1008" i="2" s="1"/>
  <c r="IM728" i="5"/>
  <c r="AF1050" i="2" s="1"/>
  <c r="AF1306" i="2" s="1"/>
  <c r="AF1393" i="2" s="1"/>
  <c r="EM521" i="5"/>
  <c r="EM1147" i="5" s="1"/>
  <c r="DM893" i="5"/>
  <c r="DM996" i="5" s="1"/>
  <c r="HR795" i="5"/>
  <c r="Y1111" i="2" s="1"/>
  <c r="Y608" i="2" s="1"/>
  <c r="ID830" i="5"/>
  <c r="AC1146" i="2" s="1"/>
  <c r="X573" i="5"/>
  <c r="X643" i="5" s="1"/>
  <c r="EK717" i="5"/>
  <c r="EK978" i="5" s="1"/>
  <c r="ID906" i="5"/>
  <c r="AC1227" i="2" s="1"/>
  <c r="AC1614" i="2" s="1"/>
  <c r="FD1150" i="5"/>
  <c r="AN569" i="5"/>
  <c r="IV704" i="5"/>
  <c r="AI1026" i="2" s="1"/>
  <c r="AI519" i="2" s="1"/>
  <c r="IJ675" i="5"/>
  <c r="AE997" i="2" s="1"/>
  <c r="AE435" i="2" s="1"/>
  <c r="CH633" i="5"/>
  <c r="ID780" i="5"/>
  <c r="AC1095" i="2" s="1"/>
  <c r="AC1321" i="2" s="1"/>
  <c r="AC1408" i="2" s="1"/>
  <c r="CS717" i="5"/>
  <c r="CS978" i="5" s="1"/>
  <c r="IG680" i="5"/>
  <c r="AD1002" i="2" s="1"/>
  <c r="AD455" i="2" s="1"/>
  <c r="HX696" i="5"/>
  <c r="AA1018" i="2" s="1"/>
  <c r="AA499" i="2" s="1"/>
  <c r="IM702" i="5"/>
  <c r="AF1024" i="2" s="1"/>
  <c r="AF511" i="2" s="1"/>
  <c r="DO817" i="5"/>
  <c r="DO986" i="5" s="1"/>
  <c r="ID735" i="5"/>
  <c r="AC1057" i="2" s="1"/>
  <c r="IJ673" i="5"/>
  <c r="AE995" i="2" s="1"/>
  <c r="AF1788" i="2" s="1"/>
  <c r="ID712" i="5"/>
  <c r="AC1034" i="2" s="1"/>
  <c r="AG621" i="2"/>
  <c r="KN666" i="5"/>
  <c r="KN816" i="5" s="1"/>
  <c r="KN985" i="5" s="1"/>
  <c r="IM735" i="5"/>
  <c r="AF1057" i="2" s="1"/>
  <c r="HU679" i="5"/>
  <c r="Z1001" i="2" s="1"/>
  <c r="Z451" i="2" s="1"/>
  <c r="ID727" i="5"/>
  <c r="AC1049" i="2" s="1"/>
  <c r="AC1305" i="2" s="1"/>
  <c r="AC1392" i="2" s="1"/>
  <c r="CH1140" i="5"/>
  <c r="CR717" i="5"/>
  <c r="CR978" i="5" s="1"/>
  <c r="AN1132" i="5"/>
  <c r="IG721" i="5"/>
  <c r="AD1043" i="2" s="1"/>
  <c r="IM724" i="5"/>
  <c r="AF1046" i="2" s="1"/>
  <c r="AF1303" i="2" s="1"/>
  <c r="AF1390" i="2" s="1"/>
  <c r="DH536" i="5"/>
  <c r="DH1149" i="5" s="1"/>
  <c r="IA710" i="5"/>
  <c r="AB1032" i="2" s="1"/>
  <c r="HU706" i="5"/>
  <c r="Z1028" i="2" s="1"/>
  <c r="Z1295" i="2" s="1"/>
  <c r="Z1382" i="2" s="1"/>
  <c r="AA573" i="5"/>
  <c r="AA580" i="5" s="1"/>
  <c r="AA649" i="5" s="1"/>
  <c r="AG1173" i="2"/>
  <c r="HU733" i="5"/>
  <c r="Z1055" i="2" s="1"/>
  <c r="EW717" i="5"/>
  <c r="EW978" i="5" s="1"/>
  <c r="CT1139" i="5"/>
  <c r="IH799" i="5"/>
  <c r="IH798" i="5"/>
  <c r="HU645" i="5"/>
  <c r="EY976" i="5"/>
  <c r="AA1665" i="2"/>
  <c r="AA1708" i="2" s="1"/>
  <c r="IA747" i="5"/>
  <c r="AB1069" i="2" s="1"/>
  <c r="AB546" i="2" s="1"/>
  <c r="EU717" i="5"/>
  <c r="EU978" i="5" s="1"/>
  <c r="DN1083" i="5"/>
  <c r="HX1083" i="5" s="1"/>
  <c r="DT505" i="5"/>
  <c r="DT636" i="5" s="1"/>
  <c r="V1141" i="5"/>
  <c r="FJ1153" i="5"/>
  <c r="FR988" i="5"/>
  <c r="S569" i="5"/>
  <c r="IJ723" i="5"/>
  <c r="AE1045" i="2" s="1"/>
  <c r="AE1302" i="2" s="1"/>
  <c r="AE1389" i="2" s="1"/>
  <c r="Q635" i="5"/>
  <c r="H96" i="7"/>
  <c r="AG613" i="2"/>
  <c r="EI505" i="5"/>
  <c r="EI1142" i="5" s="1"/>
  <c r="AG532" i="2"/>
  <c r="AG1824" i="2"/>
  <c r="S465" i="5"/>
  <c r="S572" i="5" s="1"/>
  <c r="IV731" i="5"/>
  <c r="AI1053" i="2" s="1"/>
  <c r="HU739" i="5"/>
  <c r="Z1061" i="2" s="1"/>
  <c r="Z535" i="2" s="1"/>
  <c r="IJ714" i="5"/>
  <c r="AE1036" i="2" s="1"/>
  <c r="ID677" i="5"/>
  <c r="AC999" i="2" s="1"/>
  <c r="AC438" i="2" s="1"/>
  <c r="E94" i="7"/>
  <c r="HS645" i="5"/>
  <c r="IJ899" i="5"/>
  <c r="AE1220" i="2" s="1"/>
  <c r="ID708" i="5"/>
  <c r="AC1030" i="2" s="1"/>
  <c r="FQ717" i="5"/>
  <c r="FQ1138" i="5" s="1"/>
  <c r="DK505" i="5"/>
  <c r="DK1142" i="5" s="1"/>
  <c r="S627" i="5"/>
  <c r="HR737" i="5"/>
  <c r="Y1059" i="2" s="1"/>
  <c r="Y1310" i="2" s="1"/>
  <c r="Y1397" i="2" s="1"/>
  <c r="IJ788" i="5"/>
  <c r="AE1102" i="2" s="1"/>
  <c r="DJ988" i="5"/>
  <c r="CZ1073" i="5"/>
  <c r="CZ1095" i="5" s="1"/>
  <c r="AG439" i="2"/>
  <c r="O568" i="5"/>
  <c r="IA739" i="5"/>
  <c r="AB1061" i="2" s="1"/>
  <c r="AB536" i="2" s="1"/>
  <c r="AG1794" i="2"/>
  <c r="FJ988" i="5"/>
  <c r="FV717" i="5"/>
  <c r="FV666" i="5" s="1"/>
  <c r="FV975" i="5" s="1"/>
  <c r="EU1139" i="5"/>
  <c r="ID789" i="5"/>
  <c r="AC1103" i="2" s="1"/>
  <c r="Z572" i="5"/>
  <c r="Z642" i="5" s="1"/>
  <c r="BG666" i="5"/>
  <c r="BG816" i="5" s="1"/>
  <c r="BG985" i="5" s="1"/>
  <c r="CX632" i="5"/>
  <c r="O666" i="5"/>
  <c r="O835" i="5" s="1"/>
  <c r="O991" i="5" s="1"/>
  <c r="FM817" i="5"/>
  <c r="FM986" i="5" s="1"/>
  <c r="FT1142" i="5"/>
  <c r="EV468" i="5"/>
  <c r="EV1133" i="5" s="1"/>
  <c r="EW1139" i="5"/>
  <c r="IG668" i="5"/>
  <c r="AD990" i="2" s="1"/>
  <c r="DZ491" i="5"/>
  <c r="DZ1138" i="5" s="1"/>
  <c r="X666" i="5"/>
  <c r="X835" i="5" s="1"/>
  <c r="X991" i="5" s="1"/>
  <c r="CW1073" i="5"/>
  <c r="CW1095" i="5" s="1"/>
  <c r="AV1132" i="5"/>
  <c r="KP568" i="5"/>
  <c r="IA698" i="5"/>
  <c r="AB1020" i="2" s="1"/>
  <c r="AB503" i="2" s="1"/>
  <c r="CI892" i="5"/>
  <c r="CI995" i="5" s="1"/>
  <c r="HU611" i="5"/>
  <c r="HU658" i="5" s="1"/>
  <c r="AG1363" i="2"/>
  <c r="AG1450" i="2" s="1"/>
  <c r="HU683" i="5"/>
  <c r="Z1005" i="2" s="1"/>
  <c r="Z463" i="2" s="1"/>
  <c r="IG737" i="5"/>
  <c r="AD1059" i="2" s="1"/>
  <c r="AD1794" i="2" s="1"/>
  <c r="S567" i="5"/>
  <c r="IM830" i="5"/>
  <c r="AF1146" i="2" s="1"/>
  <c r="IG750" i="5"/>
  <c r="AD1072" i="2" s="1"/>
  <c r="AE1072" i="2" s="1"/>
  <c r="AE1071" i="2" s="1"/>
  <c r="AE1312" i="2" s="1"/>
  <c r="AE1399" i="2" s="1"/>
  <c r="KN569" i="5"/>
  <c r="DA1073" i="5"/>
  <c r="DA1095" i="5" s="1"/>
  <c r="IG713" i="5"/>
  <c r="AD1035" i="2" s="1"/>
  <c r="CW817" i="5"/>
  <c r="CW986" i="5" s="1"/>
  <c r="JB750" i="5"/>
  <c r="ID733" i="5"/>
  <c r="AC1055" i="2" s="1"/>
  <c r="HU696" i="5"/>
  <c r="Z1018" i="2" s="1"/>
  <c r="Z499" i="2" s="1"/>
  <c r="H1132" i="5"/>
  <c r="DY536" i="5"/>
  <c r="DY1149" i="5" s="1"/>
  <c r="FI1153" i="5"/>
  <c r="AG1795" i="2"/>
  <c r="GR717" i="5"/>
  <c r="GR1138" i="5" s="1"/>
  <c r="HX751" i="5"/>
  <c r="AA1073" i="2" s="1"/>
  <c r="HX701" i="5"/>
  <c r="AA1023" i="2" s="1"/>
  <c r="AA508" i="2" s="1"/>
  <c r="IJ724" i="5"/>
  <c r="AE1046" i="2" s="1"/>
  <c r="AE1303" i="2" s="1"/>
  <c r="AE1390" i="2" s="1"/>
  <c r="EA491" i="5"/>
  <c r="EA1138" i="5" s="1"/>
  <c r="DR1152" i="5"/>
  <c r="DC1073" i="5"/>
  <c r="DC1095" i="5" s="1"/>
  <c r="CO717" i="5"/>
  <c r="CO978" i="5" s="1"/>
  <c r="DO1073" i="5"/>
  <c r="DO1095" i="5" s="1"/>
  <c r="GW717" i="5"/>
  <c r="D141" i="7"/>
  <c r="E141" i="7" s="1"/>
  <c r="HX757" i="5"/>
  <c r="AA1079" i="2" s="1"/>
  <c r="I465" i="5"/>
  <c r="I626" i="5" s="1"/>
  <c r="IA682" i="5"/>
  <c r="AB1004" i="2" s="1"/>
  <c r="AB458" i="2" s="1"/>
  <c r="IM747" i="5"/>
  <c r="AF1069" i="2" s="1"/>
  <c r="AF1311" i="2" s="1"/>
  <c r="AF1398" i="2" s="1"/>
  <c r="IJ734" i="5"/>
  <c r="AE1056" i="2" s="1"/>
  <c r="DN1073" i="5"/>
  <c r="HX1073" i="5" s="1"/>
  <c r="HX708" i="5"/>
  <c r="AA1030" i="2" s="1"/>
  <c r="AG531" i="2"/>
  <c r="AG1311" i="2"/>
  <c r="AG1398" i="2" s="1"/>
  <c r="FJ817" i="5"/>
  <c r="FJ986" i="5" s="1"/>
  <c r="CW651" i="5"/>
  <c r="HR713" i="5"/>
  <c r="Y1035" i="2" s="1"/>
  <c r="IG830" i="5"/>
  <c r="AD1146" i="2" s="1"/>
  <c r="DQ467" i="5"/>
  <c r="DQ465" i="5" s="1"/>
  <c r="IG716" i="5"/>
  <c r="AD1038" i="2" s="1"/>
  <c r="IA751" i="5"/>
  <c r="AB1073" i="2" s="1"/>
  <c r="IJ811" i="5"/>
  <c r="AE1127" i="2" s="1"/>
  <c r="AE1831" i="2" s="1"/>
  <c r="O567" i="5"/>
  <c r="HW856" i="5"/>
  <c r="HR684" i="5"/>
  <c r="Y1006" i="2" s="1"/>
  <c r="IG779" i="5"/>
  <c r="AD1094" i="2" s="1"/>
  <c r="AD1320" i="2" s="1"/>
  <c r="AD1407" i="2" s="1"/>
  <c r="KP567" i="5"/>
  <c r="IA727" i="5"/>
  <c r="AB1049" i="2" s="1"/>
  <c r="AB1305" i="2" s="1"/>
  <c r="AB1392" i="2" s="1"/>
  <c r="AV573" i="5"/>
  <c r="AV580" i="5" s="1"/>
  <c r="AV649" i="5" s="1"/>
  <c r="H54" i="7"/>
  <c r="HT722" i="5"/>
  <c r="DI988" i="5"/>
  <c r="CO491" i="5"/>
  <c r="CO631" i="5" s="1"/>
  <c r="HU751" i="5"/>
  <c r="Z1073" i="2" s="1"/>
  <c r="IA938" i="5"/>
  <c r="AB1258" i="2" s="1"/>
  <c r="AB1366" i="2" s="1"/>
  <c r="DV817" i="5"/>
  <c r="DV986" i="5" s="1"/>
  <c r="IJ749" i="5"/>
  <c r="BL666" i="5"/>
  <c r="BL835" i="5" s="1"/>
  <c r="BL991" i="5" s="1"/>
  <c r="DG1073" i="5"/>
  <c r="DG1095" i="5" s="1"/>
  <c r="CC666" i="5"/>
  <c r="HX726" i="5"/>
  <c r="AA1048" i="2" s="1"/>
  <c r="CN996" i="5"/>
  <c r="DB717" i="5"/>
  <c r="DB978" i="5" s="1"/>
  <c r="IJ706" i="5"/>
  <c r="AE1028" i="2" s="1"/>
  <c r="AE528" i="2" s="1"/>
  <c r="HR726" i="5"/>
  <c r="Y1048" i="2" s="1"/>
  <c r="DF467" i="5"/>
  <c r="DF627" i="5" s="1"/>
  <c r="FG717" i="5"/>
  <c r="FG1138" i="5" s="1"/>
  <c r="EZ1142" i="5"/>
  <c r="HR668" i="5"/>
  <c r="Y990" i="2" s="1"/>
  <c r="ID710" i="5"/>
  <c r="AC1032" i="2" s="1"/>
  <c r="CO1140" i="5"/>
  <c r="U635" i="5"/>
  <c r="IA753" i="5"/>
  <c r="AB1075" i="2" s="1"/>
  <c r="AB1313" i="2" s="1"/>
  <c r="AB1400" i="2" s="1"/>
  <c r="EE892" i="5"/>
  <c r="EE995" i="5" s="1"/>
  <c r="IG698" i="5"/>
  <c r="AD1020" i="2" s="1"/>
  <c r="AD503" i="2" s="1"/>
  <c r="ID736" i="5"/>
  <c r="AC1058" i="2" s="1"/>
  <c r="CR505" i="5"/>
  <c r="CR1142" i="5" s="1"/>
  <c r="E16" i="7"/>
  <c r="IM723" i="5"/>
  <c r="IM979" i="5" s="1"/>
  <c r="CO543" i="5"/>
  <c r="CO536" i="5" s="1"/>
  <c r="IJ677" i="5"/>
  <c r="AE999" i="2" s="1"/>
  <c r="AE439" i="2" s="1"/>
  <c r="HR679" i="5"/>
  <c r="Y1001" i="2" s="1"/>
  <c r="Y450" i="2" s="1"/>
  <c r="IA734" i="5"/>
  <c r="AB1056" i="2" s="1"/>
  <c r="ID684" i="5"/>
  <c r="AC1006" i="2" s="1"/>
  <c r="AC468" i="2" s="1"/>
  <c r="HX732" i="5"/>
  <c r="AA1054" i="2" s="1"/>
  <c r="HR701" i="5"/>
  <c r="Y1023" i="2" s="1"/>
  <c r="Y508" i="2" s="1"/>
  <c r="Y509" i="2" s="1"/>
  <c r="EP717" i="5"/>
  <c r="IG715" i="5"/>
  <c r="AD1037" i="2" s="1"/>
  <c r="HU677" i="5"/>
  <c r="Z999" i="2" s="1"/>
  <c r="Z439" i="2" s="1"/>
  <c r="IM727" i="5"/>
  <c r="AF1049" i="2" s="1"/>
  <c r="AF1305" i="2" s="1"/>
  <c r="AF1392" i="2" s="1"/>
  <c r="IA857" i="5"/>
  <c r="IA993" i="5" s="1"/>
  <c r="CM717" i="5"/>
  <c r="CM666" i="5" s="1"/>
  <c r="O569" i="5"/>
  <c r="DJ717" i="5"/>
  <c r="DJ978" i="5" s="1"/>
  <c r="FR817" i="5"/>
  <c r="FR986" i="5" s="1"/>
  <c r="KM631" i="5"/>
  <c r="BM666" i="5"/>
  <c r="BM835" i="5" s="1"/>
  <c r="BM991" i="5" s="1"/>
  <c r="ID690" i="5"/>
  <c r="AC1012" i="2" s="1"/>
  <c r="AC484" i="2" s="1"/>
  <c r="HR734" i="5"/>
  <c r="Y1056" i="2" s="1"/>
  <c r="CZ467" i="5"/>
  <c r="CZ627" i="5" s="1"/>
  <c r="BT815" i="5"/>
  <c r="BT984" i="5" s="1"/>
  <c r="BT835" i="5"/>
  <c r="BT991" i="5" s="1"/>
  <c r="BU567" i="5"/>
  <c r="AF978" i="5"/>
  <c r="BD465" i="5"/>
  <c r="BD626" i="5" s="1"/>
  <c r="HU724" i="5"/>
  <c r="Z1046" i="2" s="1"/>
  <c r="Z1303" i="2" s="1"/>
  <c r="Z1390" i="2" s="1"/>
  <c r="DJ651" i="5"/>
  <c r="AV569" i="5"/>
  <c r="IA811" i="5"/>
  <c r="AB1127" i="2" s="1"/>
  <c r="AB1325" i="2" s="1"/>
  <c r="AB1412" i="2" s="1"/>
  <c r="BD627" i="5"/>
  <c r="AO567" i="5"/>
  <c r="HR680" i="5"/>
  <c r="Y1002" i="2" s="1"/>
  <c r="Y454" i="2" s="1"/>
  <c r="IA668" i="5"/>
  <c r="AB990" i="2" s="1"/>
  <c r="AV568" i="5"/>
  <c r="FI1142" i="5"/>
  <c r="HQ958" i="5"/>
  <c r="HQ967" i="5" s="1"/>
  <c r="HR750" i="5"/>
  <c r="Y1072" i="2" s="1"/>
  <c r="HX733" i="5"/>
  <c r="AA1055" i="2" s="1"/>
  <c r="EF536" i="5"/>
  <c r="EF1149" i="5" s="1"/>
  <c r="HU830" i="5"/>
  <c r="Z1146" i="2" s="1"/>
  <c r="IG781" i="5"/>
  <c r="AD1096" i="2" s="1"/>
  <c r="IA813" i="5"/>
  <c r="AB1129" i="2" s="1"/>
  <c r="BD567" i="5"/>
  <c r="CY1139" i="5"/>
  <c r="HX737" i="5"/>
  <c r="AA1059" i="2" s="1"/>
  <c r="AA1310" i="2" s="1"/>
  <c r="AA1397" i="2" s="1"/>
  <c r="HR683" i="5"/>
  <c r="Y1005" i="2" s="1"/>
  <c r="Y463" i="2" s="1"/>
  <c r="Y464" i="2" s="1"/>
  <c r="IJ685" i="5"/>
  <c r="AE1007" i="2" s="1"/>
  <c r="AE471" i="2" s="1"/>
  <c r="AV567" i="5"/>
  <c r="AD1770" i="2"/>
  <c r="ID746" i="5"/>
  <c r="AC1068" i="2" s="1"/>
  <c r="HX753" i="5"/>
  <c r="AA1075" i="2" s="1"/>
  <c r="AA1313" i="2" s="1"/>
  <c r="AA1400" i="2" s="1"/>
  <c r="AG1326" i="2"/>
  <c r="AG1413" i="2" s="1"/>
  <c r="AG504" i="2"/>
  <c r="CV817" i="5"/>
  <c r="CV986" i="5" s="1"/>
  <c r="CQ1073" i="5"/>
  <c r="CQ1095" i="5" s="1"/>
  <c r="IG671" i="5"/>
  <c r="AD993" i="2" s="1"/>
  <c r="IG753" i="5"/>
  <c r="AD1075" i="2" s="1"/>
  <c r="AD1313" i="2" s="1"/>
  <c r="AD1400" i="2" s="1"/>
  <c r="AE1267" i="2"/>
  <c r="AE1266" i="2" s="1"/>
  <c r="U569" i="5"/>
  <c r="CF491" i="5"/>
  <c r="CF631" i="5" s="1"/>
  <c r="IM686" i="5"/>
  <c r="AF1008" i="2" s="1"/>
  <c r="DU467" i="5"/>
  <c r="DU1132" i="5" s="1"/>
  <c r="HX709" i="5"/>
  <c r="AA1031" i="2" s="1"/>
  <c r="IM713" i="5"/>
  <c r="AF1035" i="2" s="1"/>
  <c r="BD1132" i="5"/>
  <c r="FI1150" i="5"/>
  <c r="IG686" i="5"/>
  <c r="AD1008" i="2" s="1"/>
  <c r="HZ958" i="5"/>
  <c r="HZ967" i="5" s="1"/>
  <c r="IJ751" i="5"/>
  <c r="AE1612" i="2"/>
  <c r="DL1137" i="5"/>
  <c r="HU704" i="5"/>
  <c r="Z1026" i="2" s="1"/>
  <c r="Z520" i="2" s="1"/>
  <c r="IA788" i="5"/>
  <c r="AB1102" i="2" s="1"/>
  <c r="BD568" i="5"/>
  <c r="BA1141" i="5"/>
  <c r="DZ717" i="5"/>
  <c r="DZ978" i="5" s="1"/>
  <c r="EE467" i="5"/>
  <c r="EE1132" i="5" s="1"/>
  <c r="IP977" i="5"/>
  <c r="IM685" i="5"/>
  <c r="AF1007" i="2" s="1"/>
  <c r="AF472" i="2" s="1"/>
  <c r="AV627" i="5"/>
  <c r="EK467" i="5"/>
  <c r="EK1132" i="5" s="1"/>
  <c r="IG693" i="5"/>
  <c r="AD1015" i="2" s="1"/>
  <c r="AD496" i="2" s="1"/>
  <c r="U567" i="5"/>
  <c r="AE1590" i="2"/>
  <c r="AE1598" i="2" s="1"/>
  <c r="M834" i="5"/>
  <c r="M941" i="5" s="1"/>
  <c r="M998" i="5" s="1"/>
  <c r="HR738" i="5"/>
  <c r="Y1060" i="2" s="1"/>
  <c r="FR1142" i="5"/>
  <c r="BQ1141" i="5"/>
  <c r="IA831" i="5"/>
  <c r="AB1147" i="2" s="1"/>
  <c r="GV717" i="5"/>
  <c r="GV1138" i="5" s="1"/>
  <c r="FM717" i="5"/>
  <c r="FM978" i="5" s="1"/>
  <c r="T568" i="5"/>
  <c r="P569" i="5"/>
  <c r="AO465" i="5"/>
  <c r="AO626" i="5" s="1"/>
  <c r="FM1153" i="5"/>
  <c r="HU685" i="5"/>
  <c r="Z1007" i="2" s="1"/>
  <c r="Z471" i="2" s="1"/>
  <c r="HX683" i="5"/>
  <c r="AA1005" i="2" s="1"/>
  <c r="AA463" i="2" s="1"/>
  <c r="FO817" i="5"/>
  <c r="FO986" i="5" s="1"/>
  <c r="DR596" i="5"/>
  <c r="DR654" i="5" s="1"/>
  <c r="IA830" i="5"/>
  <c r="AB1146" i="2" s="1"/>
  <c r="HR781" i="5"/>
  <c r="Y1096" i="2" s="1"/>
  <c r="X1547" i="2" s="1"/>
  <c r="HR691" i="5"/>
  <c r="Y1013" i="2" s="1"/>
  <c r="Y487" i="2" s="1"/>
  <c r="HU919" i="5"/>
  <c r="Z1238" i="2" s="1"/>
  <c r="AO568" i="5"/>
  <c r="CZ629" i="5"/>
  <c r="E140" i="7"/>
  <c r="AO1132" i="5"/>
  <c r="EQ596" i="5"/>
  <c r="EQ1154" i="5" s="1"/>
  <c r="HS529" i="5"/>
  <c r="IJ746" i="5"/>
  <c r="AE1068" i="2" s="1"/>
  <c r="AG523" i="2"/>
  <c r="HS492" i="5"/>
  <c r="HS491" i="5" s="1"/>
  <c r="HS631" i="5" s="1"/>
  <c r="HU680" i="5"/>
  <c r="Z1002" i="2" s="1"/>
  <c r="Z454" i="2" s="1"/>
  <c r="AO569" i="5"/>
  <c r="DT651" i="5"/>
  <c r="FA1142" i="5"/>
  <c r="BF568" i="5"/>
  <c r="IG690" i="5"/>
  <c r="AD1012" i="2" s="1"/>
  <c r="AD483" i="2" s="1"/>
  <c r="CY1073" i="5"/>
  <c r="CY1095" i="5" s="1"/>
  <c r="CK1152" i="5"/>
  <c r="CW1137" i="5"/>
  <c r="ID697" i="5"/>
  <c r="AC1019" i="2" s="1"/>
  <c r="H627" i="5"/>
  <c r="IM704" i="5"/>
  <c r="AF1026" i="2" s="1"/>
  <c r="AF519" i="2" s="1"/>
  <c r="DM717" i="5"/>
  <c r="DM978" i="5" s="1"/>
  <c r="BU627" i="5"/>
  <c r="H86" i="7"/>
  <c r="EO717" i="5"/>
  <c r="EO978" i="5" s="1"/>
  <c r="CW717" i="5"/>
  <c r="CW978" i="5" s="1"/>
  <c r="FC988" i="5"/>
  <c r="FC1150" i="5"/>
  <c r="AZ666" i="5"/>
  <c r="AZ834" i="5" s="1"/>
  <c r="AZ990" i="5" s="1"/>
  <c r="CZ1133" i="5"/>
  <c r="CZ628" i="5"/>
  <c r="IS929" i="5"/>
  <c r="AH1248" i="2" s="1"/>
  <c r="IJ705" i="5"/>
  <c r="AE1027" i="2" s="1"/>
  <c r="AE523" i="2" s="1"/>
  <c r="IM726" i="5"/>
  <c r="AF1048" i="2" s="1"/>
  <c r="DT1073" i="5"/>
  <c r="DT1095" i="5" s="1"/>
  <c r="BA573" i="5"/>
  <c r="BA643" i="5" s="1"/>
  <c r="IL856" i="5"/>
  <c r="AG546" i="2"/>
  <c r="HR703" i="5"/>
  <c r="Y1025" i="2" s="1"/>
  <c r="Y515" i="2" s="1"/>
  <c r="HU711" i="5"/>
  <c r="Z1033" i="2" s="1"/>
  <c r="IJ728" i="5"/>
  <c r="AE1050" i="2" s="1"/>
  <c r="AE1306" i="2" s="1"/>
  <c r="AE1393" i="2" s="1"/>
  <c r="FH976" i="5"/>
  <c r="E988" i="5"/>
  <c r="DF1133" i="5"/>
  <c r="IM703" i="5"/>
  <c r="AF1025" i="2" s="1"/>
  <c r="AF515" i="2" s="1"/>
  <c r="HR708" i="5"/>
  <c r="Y1030" i="2" s="1"/>
  <c r="BU568" i="5"/>
  <c r="HU753" i="5"/>
  <c r="Z1075" i="2" s="1"/>
  <c r="Z1313" i="2" s="1"/>
  <c r="Z1400" i="2" s="1"/>
  <c r="AG1117" i="2"/>
  <c r="AG1814" i="2" s="1"/>
  <c r="AD742" i="2" s="1"/>
  <c r="BT978" i="5"/>
  <c r="HS585" i="5"/>
  <c r="HS584" i="5" s="1"/>
  <c r="HS651" i="5" s="1"/>
  <c r="ID739" i="5"/>
  <c r="AC1061" i="2" s="1"/>
  <c r="AC535" i="2" s="1"/>
  <c r="CZ536" i="5"/>
  <c r="CZ1149" i="5" s="1"/>
  <c r="I49" i="7"/>
  <c r="K49" i="7" s="1"/>
  <c r="FP1137" i="5"/>
  <c r="BU569" i="5"/>
  <c r="K73" i="7"/>
  <c r="AG1634" i="2"/>
  <c r="CJ892" i="5"/>
  <c r="CJ995" i="5" s="1"/>
  <c r="FQ1133" i="5"/>
  <c r="HR711" i="5"/>
  <c r="Y1033" i="2" s="1"/>
  <c r="IE528" i="5"/>
  <c r="BQ573" i="5"/>
  <c r="BQ580" i="5" s="1"/>
  <c r="BQ649" i="5" s="1"/>
  <c r="BU465" i="5"/>
  <c r="BU572" i="5" s="1"/>
  <c r="IJ683" i="5"/>
  <c r="AE1005" i="2" s="1"/>
  <c r="AG1837" i="2"/>
  <c r="U1132" i="5"/>
  <c r="ID781" i="5"/>
  <c r="AC1096" i="2" s="1"/>
  <c r="AG459" i="2"/>
  <c r="AH459" i="2" s="1"/>
  <c r="AI459" i="2" s="1"/>
  <c r="AJ459" i="2" s="1"/>
  <c r="AK459" i="2" s="1"/>
  <c r="AL459" i="2" s="1"/>
  <c r="AM459" i="2" s="1"/>
  <c r="AN459" i="2" s="1"/>
  <c r="AO459" i="2" s="1"/>
  <c r="AP459" i="2" s="1"/>
  <c r="AQ459" i="2" s="1"/>
  <c r="AR459" i="2" s="1"/>
  <c r="AS459" i="2" s="1"/>
  <c r="AT459" i="2" s="1"/>
  <c r="CX491" i="5"/>
  <c r="CX1138" i="5" s="1"/>
  <c r="IJ735" i="5"/>
  <c r="AE1057" i="2" s="1"/>
  <c r="CS1073" i="5"/>
  <c r="CS1095" i="5" s="1"/>
  <c r="FN976" i="5"/>
  <c r="IM755" i="5"/>
  <c r="AF1077" i="2" s="1"/>
  <c r="AF1537" i="2" s="1"/>
  <c r="HX789" i="5"/>
  <c r="AA1103" i="2" s="1"/>
  <c r="IA829" i="5"/>
  <c r="AB1145" i="2" s="1"/>
  <c r="AB629" i="2" s="1"/>
  <c r="FG892" i="5"/>
  <c r="FG995" i="5" s="1"/>
  <c r="BP573" i="5"/>
  <c r="IM930" i="5"/>
  <c r="AF1249" i="2" s="1"/>
  <c r="IM586" i="5" s="1"/>
  <c r="IL586" i="5" s="1"/>
  <c r="EM717" i="5"/>
  <c r="EM978" i="5" s="1"/>
  <c r="IJ692" i="5"/>
  <c r="AE1014" i="2" s="1"/>
  <c r="AE491" i="2" s="1"/>
  <c r="IM750" i="5"/>
  <c r="AF1072" i="2" s="1"/>
  <c r="ID731" i="5"/>
  <c r="AC1053" i="2" s="1"/>
  <c r="AC531" i="2" s="1"/>
  <c r="S568" i="5"/>
  <c r="DI629" i="5"/>
  <c r="DI1137" i="5"/>
  <c r="ED536" i="5"/>
  <c r="ED1149" i="5" s="1"/>
  <c r="FV1150" i="5"/>
  <c r="FV988" i="5"/>
  <c r="HU755" i="5"/>
  <c r="Z1077" i="2" s="1"/>
  <c r="HR682" i="5"/>
  <c r="Y1004" i="2" s="1"/>
  <c r="Y459" i="2" s="1"/>
  <c r="Y460" i="2" s="1"/>
  <c r="AC568" i="5"/>
  <c r="DO467" i="5"/>
  <c r="DO627" i="5" s="1"/>
  <c r="CV629" i="5"/>
  <c r="AD782" i="2"/>
  <c r="BP1141" i="5"/>
  <c r="FR717" i="5"/>
  <c r="FR978" i="5" s="1"/>
  <c r="AE1622" i="2"/>
  <c r="IG489" i="5"/>
  <c r="AD695" i="2" s="1"/>
  <c r="FO988" i="5"/>
  <c r="AC1132" i="5"/>
  <c r="IG701" i="5"/>
  <c r="AD1023" i="2" s="1"/>
  <c r="AD507" i="2" s="1"/>
  <c r="IA723" i="5"/>
  <c r="AB1045" i="2" s="1"/>
  <c r="AB1302" i="2" s="1"/>
  <c r="AB1389" i="2" s="1"/>
  <c r="BL1132" i="5"/>
  <c r="IA746" i="5"/>
  <c r="AB1068" i="2" s="1"/>
  <c r="IK667" i="5"/>
  <c r="IG726" i="5"/>
  <c r="AD1048" i="2" s="1"/>
  <c r="CH651" i="5"/>
  <c r="DK717" i="5"/>
  <c r="DK978" i="5" s="1"/>
  <c r="DQ717" i="5"/>
  <c r="DQ978" i="5" s="1"/>
  <c r="HU735" i="5"/>
  <c r="Z1057" i="2" s="1"/>
  <c r="H573" i="5"/>
  <c r="H580" i="5" s="1"/>
  <c r="H649" i="5" s="1"/>
  <c r="AF1597" i="2"/>
  <c r="CV467" i="5"/>
  <c r="CV1132" i="5" s="1"/>
  <c r="FS1142" i="5"/>
  <c r="IG516" i="5"/>
  <c r="P52" i="7" s="1"/>
  <c r="L666" i="5"/>
  <c r="L815" i="5" s="1"/>
  <c r="L984" i="5" s="1"/>
  <c r="CV1073" i="5"/>
  <c r="CV1095" i="5" s="1"/>
  <c r="IG672" i="5"/>
  <c r="AD994" i="2" s="1"/>
  <c r="IA899" i="5"/>
  <c r="AB1220" i="2" s="1"/>
  <c r="HX682" i="5"/>
  <c r="AA1004" i="2" s="1"/>
  <c r="AA458" i="2" s="1"/>
  <c r="IG736" i="5"/>
  <c r="AD1058" i="2" s="1"/>
  <c r="ID749" i="5"/>
  <c r="AC1071" i="2" s="1"/>
  <c r="AC1312" i="2" s="1"/>
  <c r="AC1399" i="2" s="1"/>
  <c r="FB988" i="5"/>
  <c r="FB1150" i="5"/>
  <c r="EH596" i="5"/>
  <c r="EH582" i="5" s="1"/>
  <c r="EH1156" i="5"/>
  <c r="CQ631" i="5"/>
  <c r="CQ1138" i="5"/>
  <c r="EN491" i="5"/>
  <c r="EN1138" i="5" s="1"/>
  <c r="ID857" i="5"/>
  <c r="ID993" i="5" s="1"/>
  <c r="DE632" i="5"/>
  <c r="IG679" i="5"/>
  <c r="AD1001" i="2" s="1"/>
  <c r="AD451" i="2" s="1"/>
  <c r="H124" i="7"/>
  <c r="ID704" i="5"/>
  <c r="AC1026" i="2" s="1"/>
  <c r="AC519" i="2" s="1"/>
  <c r="EW892" i="5"/>
  <c r="EW995" i="5" s="1"/>
  <c r="IA683" i="5"/>
  <c r="AB1005" i="2" s="1"/>
  <c r="AB462" i="2" s="1"/>
  <c r="DI536" i="5"/>
  <c r="DI638" i="5" s="1"/>
  <c r="EN1151" i="5"/>
  <c r="HU789" i="5"/>
  <c r="Z1103" i="2" s="1"/>
  <c r="K59" i="7"/>
  <c r="IQ928" i="5"/>
  <c r="ID702" i="5"/>
  <c r="AC1024" i="2" s="1"/>
  <c r="AC512" i="2" s="1"/>
  <c r="IS682" i="5"/>
  <c r="AH1004" i="2" s="1"/>
  <c r="AH458" i="2" s="1"/>
  <c r="HR739" i="5"/>
  <c r="Y1061" i="2" s="1"/>
  <c r="Y536" i="2" s="1"/>
  <c r="CG505" i="5"/>
  <c r="CG636" i="5" s="1"/>
  <c r="IJ681" i="5"/>
  <c r="AE1003" i="2" s="1"/>
  <c r="AX627" i="5"/>
  <c r="BF1132" i="5"/>
  <c r="IE893" i="5"/>
  <c r="BF627" i="5"/>
  <c r="IA689" i="5"/>
  <c r="AB1011" i="2" s="1"/>
  <c r="AB480" i="2" s="1"/>
  <c r="FP892" i="5"/>
  <c r="FP995" i="5" s="1"/>
  <c r="ID737" i="5"/>
  <c r="AC1059" i="2" s="1"/>
  <c r="AC1310" i="2" s="1"/>
  <c r="AC1397" i="2" s="1"/>
  <c r="HR755" i="5"/>
  <c r="Y1077" i="2" s="1"/>
  <c r="HU930" i="5"/>
  <c r="Z1249" i="2" s="1"/>
  <c r="Z1363" i="2" s="1"/>
  <c r="CM892" i="5"/>
  <c r="CM995" i="5" s="1"/>
  <c r="BF572" i="5"/>
  <c r="CX1073" i="5"/>
  <c r="CX1095" i="5" s="1"/>
  <c r="IG697" i="5"/>
  <c r="AD1019" i="2" s="1"/>
  <c r="IS909" i="5"/>
  <c r="AH1230" i="2" s="1"/>
  <c r="ID728" i="5"/>
  <c r="AC1050" i="2" s="1"/>
  <c r="AC1306" i="2" s="1"/>
  <c r="AC1393" i="2" s="1"/>
  <c r="AA1132" i="5"/>
  <c r="BE666" i="5"/>
  <c r="BE834" i="5" s="1"/>
  <c r="BE990" i="5" s="1"/>
  <c r="CJ717" i="5"/>
  <c r="CJ978" i="5" s="1"/>
  <c r="IA677" i="5"/>
  <c r="AB999" i="2" s="1"/>
  <c r="AB438" i="2" s="1"/>
  <c r="EL717" i="5"/>
  <c r="EL978" i="5" s="1"/>
  <c r="IG811" i="5"/>
  <c r="AD1127" i="2" s="1"/>
  <c r="AD1831" i="2" s="1"/>
  <c r="HX702" i="5"/>
  <c r="AA1024" i="2" s="1"/>
  <c r="AA511" i="2" s="1"/>
  <c r="IJ750" i="5"/>
  <c r="AG635" i="5"/>
  <c r="FH1142" i="5"/>
  <c r="IM692" i="5"/>
  <c r="AF1014" i="2" s="1"/>
  <c r="AF492" i="2" s="1"/>
  <c r="IM746" i="5"/>
  <c r="AF1068" i="2" s="1"/>
  <c r="BF569" i="5"/>
  <c r="HX721" i="5"/>
  <c r="AA1043" i="2" s="1"/>
  <c r="HV718" i="5"/>
  <c r="AX573" i="5"/>
  <c r="AX643" i="5" s="1"/>
  <c r="FN997" i="5"/>
  <c r="ID696" i="5"/>
  <c r="AC1018" i="2" s="1"/>
  <c r="AC500" i="2" s="1"/>
  <c r="AX569" i="5"/>
  <c r="DM632" i="5"/>
  <c r="ID726" i="5"/>
  <c r="AC1048" i="2" s="1"/>
  <c r="IJ831" i="5"/>
  <c r="AE1147" i="2" s="1"/>
  <c r="HR811" i="5"/>
  <c r="Y1127" i="2" s="1"/>
  <c r="Y1325" i="2" s="1"/>
  <c r="Y1412" i="2" s="1"/>
  <c r="AG1141" i="5"/>
  <c r="H465" i="5"/>
  <c r="IJ779" i="5"/>
  <c r="AE1094" i="2" s="1"/>
  <c r="AE1320" i="2" s="1"/>
  <c r="AE1407" i="2" s="1"/>
  <c r="DJ892" i="5"/>
  <c r="DJ995" i="5" s="1"/>
  <c r="HU811" i="5"/>
  <c r="Z1127" i="2" s="1"/>
  <c r="Z1325" i="2" s="1"/>
  <c r="Z1412" i="2" s="1"/>
  <c r="IM680" i="5"/>
  <c r="AF1002" i="2" s="1"/>
  <c r="AF454" i="2" s="1"/>
  <c r="AG1627" i="2"/>
  <c r="DM491" i="5"/>
  <c r="DM1138" i="5" s="1"/>
  <c r="IG831" i="5"/>
  <c r="AD1147" i="2" s="1"/>
  <c r="AM573" i="5"/>
  <c r="AM580" i="5" s="1"/>
  <c r="AM649" i="5" s="1"/>
  <c r="IA749" i="5"/>
  <c r="AB1071" i="2" s="1"/>
  <c r="AB1312" i="2" s="1"/>
  <c r="AB1399" i="2" s="1"/>
  <c r="IM795" i="5"/>
  <c r="AF1111" i="2" s="1"/>
  <c r="AG608" i="2" s="1"/>
  <c r="HU876" i="5"/>
  <c r="Z1193" i="2" s="1"/>
  <c r="Z1554" i="2" s="1"/>
  <c r="HY856" i="5"/>
  <c r="M635" i="5"/>
  <c r="HT958" i="5"/>
  <c r="HT967" i="5" s="1"/>
  <c r="HX829" i="5"/>
  <c r="AA1145" i="2" s="1"/>
  <c r="AA629" i="2" s="1"/>
  <c r="KO636" i="5"/>
  <c r="IM779" i="5"/>
  <c r="AF1094" i="2" s="1"/>
  <c r="AF1320" i="2" s="1"/>
  <c r="AF1407" i="2" s="1"/>
  <c r="HR681" i="5"/>
  <c r="Y1003" i="2" s="1"/>
  <c r="DL1073" i="5"/>
  <c r="DL1095" i="5" s="1"/>
  <c r="IA755" i="5"/>
  <c r="AB1077" i="2" s="1"/>
  <c r="EK505" i="5"/>
  <c r="HT633" i="5"/>
  <c r="IG795" i="5"/>
  <c r="AD1111" i="2" s="1"/>
  <c r="AD607" i="2" s="1"/>
  <c r="IJ747" i="5"/>
  <c r="AE1069" i="2" s="1"/>
  <c r="AE545" i="2" s="1"/>
  <c r="IA789" i="5"/>
  <c r="AB1103" i="2" s="1"/>
  <c r="AB1322" i="2" s="1"/>
  <c r="AB1409" i="2" s="1"/>
  <c r="HX857" i="5"/>
  <c r="HX993" i="5" s="1"/>
  <c r="HR692" i="5"/>
  <c r="Y1014" i="2" s="1"/>
  <c r="IM683" i="5"/>
  <c r="AF1005" i="2" s="1"/>
  <c r="AF462" i="2" s="1"/>
  <c r="DG717" i="5"/>
  <c r="DG666" i="5" s="1"/>
  <c r="DG975" i="5" s="1"/>
  <c r="DY491" i="5"/>
  <c r="DY1138" i="5" s="1"/>
  <c r="ET892" i="5"/>
  <c r="ET995" i="5" s="1"/>
  <c r="HR857" i="5"/>
  <c r="Y1174" i="2" s="1"/>
  <c r="HU701" i="5"/>
  <c r="Z1023" i="2" s="1"/>
  <c r="Z507" i="2" s="1"/>
  <c r="AN666" i="5"/>
  <c r="AN816" i="5" s="1"/>
  <c r="AN985" i="5" s="1"/>
  <c r="IM732" i="5"/>
  <c r="AF1054" i="2" s="1"/>
  <c r="GT717" i="5"/>
  <c r="GT1138" i="5" s="1"/>
  <c r="HW575" i="5"/>
  <c r="F105" i="7" s="1"/>
  <c r="IG703" i="5"/>
  <c r="AD1025" i="2" s="1"/>
  <c r="AD516" i="2" s="1"/>
  <c r="GJ717" i="5"/>
  <c r="GJ1138" i="5" s="1"/>
  <c r="J627" i="5"/>
  <c r="DW536" i="5"/>
  <c r="DW1149" i="5" s="1"/>
  <c r="DE1073" i="5"/>
  <c r="DE1095" i="5" s="1"/>
  <c r="IA673" i="5"/>
  <c r="AB995" i="2" s="1"/>
  <c r="AB1291" i="2" s="1"/>
  <c r="AB1378" i="2" s="1"/>
  <c r="HR672" i="5"/>
  <c r="Y994" i="2" s="1"/>
  <c r="X1531" i="2" s="1"/>
  <c r="FL1133" i="5"/>
  <c r="BM1141" i="5"/>
  <c r="AG1211" i="2"/>
  <c r="AF1619" i="2"/>
  <c r="HU779" i="5"/>
  <c r="Z1094" i="2" s="1"/>
  <c r="Z1320" i="2" s="1"/>
  <c r="Z1407" i="2" s="1"/>
  <c r="DK1149" i="5"/>
  <c r="GQ717" i="5"/>
  <c r="EX892" i="5"/>
  <c r="EX995" i="5" s="1"/>
  <c r="FD1142" i="5"/>
  <c r="HU788" i="5"/>
  <c r="Z1102" i="2" s="1"/>
  <c r="AI1616" i="2"/>
  <c r="HR899" i="5"/>
  <c r="Y1220" i="2" s="1"/>
  <c r="FU717" i="5"/>
  <c r="FU978" i="5" s="1"/>
  <c r="HS893" i="5"/>
  <c r="HS996" i="5" s="1"/>
  <c r="CM628" i="5"/>
  <c r="BS978" i="5"/>
  <c r="CR629" i="5"/>
  <c r="HU710" i="5"/>
  <c r="Z1032" i="2" s="1"/>
  <c r="IA674" i="5"/>
  <c r="AB996" i="2" s="1"/>
  <c r="AB1292" i="2" s="1"/>
  <c r="AB1379" i="2" s="1"/>
  <c r="IA672" i="5"/>
  <c r="AB994" i="2" s="1"/>
  <c r="IM716" i="5"/>
  <c r="AF1038" i="2" s="1"/>
  <c r="HW655" i="5"/>
  <c r="HX669" i="5"/>
  <c r="AA991" i="2" s="1"/>
  <c r="IG614" i="5"/>
  <c r="AD847" i="2" s="1"/>
  <c r="AD1503" i="2" s="1"/>
  <c r="IM753" i="5"/>
  <c r="AF1075" i="2" s="1"/>
  <c r="AF1313" i="2" s="1"/>
  <c r="AF1400" i="2" s="1"/>
  <c r="FU988" i="5"/>
  <c r="AF1587" i="2"/>
  <c r="R573" i="5"/>
  <c r="R643" i="5" s="1"/>
  <c r="IJ703" i="5"/>
  <c r="AE1025" i="2" s="1"/>
  <c r="AE516" i="2" s="1"/>
  <c r="IA728" i="5"/>
  <c r="AB1050" i="2" s="1"/>
  <c r="AB1306" i="2" s="1"/>
  <c r="EE596" i="5"/>
  <c r="EE582" i="5" s="1"/>
  <c r="ED717" i="5"/>
  <c r="ED978" i="5" s="1"/>
  <c r="IA780" i="5"/>
  <c r="AB1095" i="2" s="1"/>
  <c r="AB1321" i="2" s="1"/>
  <c r="AB1408" i="2" s="1"/>
  <c r="FR892" i="5"/>
  <c r="FR995" i="5" s="1"/>
  <c r="DH817" i="5"/>
  <c r="DH986" i="5" s="1"/>
  <c r="DH988" i="5"/>
  <c r="HU736" i="5"/>
  <c r="Z1058" i="2" s="1"/>
  <c r="HR732" i="5"/>
  <c r="Y1054" i="2" s="1"/>
  <c r="IO730" i="5"/>
  <c r="IO956" i="5" s="1"/>
  <c r="IO965" i="5" s="1"/>
  <c r="CM1133" i="5"/>
  <c r="CY467" i="5"/>
  <c r="CY1132" i="5" s="1"/>
  <c r="IG747" i="5"/>
  <c r="AD1069" i="2" s="1"/>
  <c r="AD1311" i="2" s="1"/>
  <c r="AD1398" i="2" s="1"/>
  <c r="CE505" i="5"/>
  <c r="CE636" i="5" s="1"/>
  <c r="EG491" i="5"/>
  <c r="EG1138" i="5" s="1"/>
  <c r="FG1142" i="5"/>
  <c r="IM669" i="5"/>
  <c r="AF991" i="2" s="1"/>
  <c r="HX690" i="5"/>
  <c r="AA1012" i="2" s="1"/>
  <c r="AA483" i="2" s="1"/>
  <c r="HX727" i="5"/>
  <c r="AA1049" i="2" s="1"/>
  <c r="AA1305" i="2" s="1"/>
  <c r="AA1392" i="2" s="1"/>
  <c r="EK1139" i="5"/>
  <c r="FA1150" i="5"/>
  <c r="ID832" i="5"/>
  <c r="AC1148" i="2" s="1"/>
  <c r="IA733" i="5"/>
  <c r="AB1055" i="2" s="1"/>
  <c r="DP717" i="5"/>
  <c r="DP978" i="5" s="1"/>
  <c r="EK536" i="5"/>
  <c r="EK1149" i="5" s="1"/>
  <c r="EK1151" i="5"/>
  <c r="DO1139" i="5"/>
  <c r="DO632" i="5"/>
  <c r="DO491" i="5"/>
  <c r="FR1153" i="5"/>
  <c r="BC666" i="5"/>
  <c r="BC835" i="5" s="1"/>
  <c r="BC991" i="5" s="1"/>
  <c r="IJ789" i="5"/>
  <c r="AE1103" i="2" s="1"/>
  <c r="IM736" i="5"/>
  <c r="AF1058" i="2" s="1"/>
  <c r="IM673" i="5"/>
  <c r="AF995" i="2" s="1"/>
  <c r="AG1788" i="2" s="1"/>
  <c r="DD651" i="5"/>
  <c r="BG465" i="5"/>
  <c r="BG626" i="5" s="1"/>
  <c r="IF718" i="5"/>
  <c r="DK632" i="5"/>
  <c r="HV601" i="5"/>
  <c r="D130" i="7" s="1"/>
  <c r="E130" i="7" s="1"/>
  <c r="IG711" i="5"/>
  <c r="AD1033" i="2" s="1"/>
  <c r="DP1152" i="5"/>
  <c r="HR736" i="5"/>
  <c r="Y1058" i="2" s="1"/>
  <c r="HU671" i="5"/>
  <c r="Z993" i="2" s="1"/>
  <c r="DK631" i="5"/>
  <c r="IA795" i="5"/>
  <c r="AB1111" i="2" s="1"/>
  <c r="AB1324" i="2" s="1"/>
  <c r="AB1411" i="2" s="1"/>
  <c r="HR746" i="5"/>
  <c r="Y1068" i="2" s="1"/>
  <c r="FR1151" i="5"/>
  <c r="FR1149" i="5" s="1"/>
  <c r="EQ892" i="5"/>
  <c r="EQ995" i="5" s="1"/>
  <c r="H37" i="7"/>
  <c r="AW666" i="5"/>
  <c r="AW815" i="5" s="1"/>
  <c r="AW984" i="5" s="1"/>
  <c r="HU747" i="5"/>
  <c r="Z1069" i="2" s="1"/>
  <c r="Z545" i="2" s="1"/>
  <c r="CU1139" i="5"/>
  <c r="CU632" i="5"/>
  <c r="IG739" i="5"/>
  <c r="AD1061" i="2" s="1"/>
  <c r="AD535" i="2" s="1"/>
  <c r="BF567" i="5"/>
  <c r="HX994" i="5"/>
  <c r="AA1211" i="2"/>
  <c r="AA1359" i="2" s="1"/>
  <c r="AA1446" i="2" s="1"/>
  <c r="HR929" i="5"/>
  <c r="Y1248" i="2" s="1"/>
  <c r="BW666" i="5"/>
  <c r="BW835" i="5" s="1"/>
  <c r="BW991" i="5" s="1"/>
  <c r="HX750" i="5"/>
  <c r="AA1072" i="2" s="1"/>
  <c r="BG627" i="5"/>
  <c r="DK1139" i="5"/>
  <c r="FH892" i="5"/>
  <c r="FH995" i="5" s="1"/>
  <c r="CR536" i="5"/>
  <c r="CR1149" i="5" s="1"/>
  <c r="DT467" i="5"/>
  <c r="DT627" i="5" s="1"/>
  <c r="CX505" i="5"/>
  <c r="CX636" i="5" s="1"/>
  <c r="HW514" i="5"/>
  <c r="F50" i="7" s="1"/>
  <c r="HX704" i="5"/>
  <c r="AA1026" i="2" s="1"/>
  <c r="AA519" i="2" s="1"/>
  <c r="BG567" i="5"/>
  <c r="CO892" i="5"/>
  <c r="CO995" i="5" s="1"/>
  <c r="G64" i="7"/>
  <c r="H64" i="7" s="1"/>
  <c r="HQ898" i="5"/>
  <c r="Y1584" i="2" s="1"/>
  <c r="HX743" i="5"/>
  <c r="AA1065" i="2" s="1"/>
  <c r="FD717" i="5"/>
  <c r="FD666" i="5" s="1"/>
  <c r="FD975" i="5" s="1"/>
  <c r="AI1769" i="2"/>
  <c r="IS706" i="5"/>
  <c r="AH1028" i="2" s="1"/>
  <c r="AH1295" i="2" s="1"/>
  <c r="AH1382" i="2" s="1"/>
  <c r="IV674" i="5"/>
  <c r="AI996" i="2" s="1"/>
  <c r="CR892" i="5"/>
  <c r="CR995" i="5" s="1"/>
  <c r="IE800" i="5"/>
  <c r="IE801" i="5" s="1"/>
  <c r="IE804" i="5" s="1"/>
  <c r="DR892" i="5"/>
  <c r="DR995" i="5" s="1"/>
  <c r="DH717" i="5"/>
  <c r="DH978" i="5" s="1"/>
  <c r="HX693" i="5"/>
  <c r="AA1015" i="2" s="1"/>
  <c r="AA495" i="2" s="1"/>
  <c r="AH573" i="5"/>
  <c r="AH643" i="5" s="1"/>
  <c r="AC1575" i="2"/>
  <c r="IA680" i="5"/>
  <c r="AB1002" i="2" s="1"/>
  <c r="AB455" i="2" s="1"/>
  <c r="HW958" i="5"/>
  <c r="HW967" i="5" s="1"/>
  <c r="IM829" i="5"/>
  <c r="AF1145" i="2" s="1"/>
  <c r="AG630" i="2" s="1"/>
  <c r="HR743" i="5"/>
  <c r="Y1065" i="2" s="1"/>
  <c r="FN892" i="5"/>
  <c r="FN995" i="5" s="1"/>
  <c r="DD628" i="5"/>
  <c r="DH997" i="5"/>
  <c r="DH892" i="5"/>
  <c r="DH995" i="5" s="1"/>
  <c r="DP1156" i="5"/>
  <c r="DP596" i="5"/>
  <c r="DP654" i="5" s="1"/>
  <c r="FS1153" i="5"/>
  <c r="FS997" i="5"/>
  <c r="FS892" i="5"/>
  <c r="FS995" i="5" s="1"/>
  <c r="EK596" i="5"/>
  <c r="EK1154" i="5" s="1"/>
  <c r="EK1156" i="5"/>
  <c r="DX892" i="5"/>
  <c r="DX995" i="5" s="1"/>
  <c r="DX996" i="5"/>
  <c r="HX739" i="5"/>
  <c r="AA1061" i="2" s="1"/>
  <c r="AA536" i="2" s="1"/>
  <c r="T1132" i="5"/>
  <c r="HU723" i="5"/>
  <c r="Z1045" i="2" s="1"/>
  <c r="Z1302" i="2" s="1"/>
  <c r="Z1389" i="2" s="1"/>
  <c r="FK892" i="5"/>
  <c r="FK995" i="5" s="1"/>
  <c r="ID779" i="5"/>
  <c r="AC1094" i="2" s="1"/>
  <c r="AC1320" i="2" s="1"/>
  <c r="AC1407" i="2" s="1"/>
  <c r="F569" i="5"/>
  <c r="DN817" i="5"/>
  <c r="DN986" i="5" s="1"/>
  <c r="DN988" i="5"/>
  <c r="AR1132" i="5"/>
  <c r="AR627" i="5"/>
  <c r="AR465" i="5"/>
  <c r="AR626" i="5" s="1"/>
  <c r="I569" i="5"/>
  <c r="HU703" i="5"/>
  <c r="Z1025" i="2" s="1"/>
  <c r="Z516" i="2" s="1"/>
  <c r="HX679" i="5"/>
  <c r="AA1001" i="2" s="1"/>
  <c r="AA450" i="2" s="1"/>
  <c r="EW997" i="5"/>
  <c r="ID672" i="5"/>
  <c r="AC994" i="2" s="1"/>
  <c r="EM1156" i="5"/>
  <c r="IJ712" i="5"/>
  <c r="AE1034" i="2" s="1"/>
  <c r="IG749" i="5"/>
  <c r="AD1071" i="2" s="1"/>
  <c r="AD1312" i="2" s="1"/>
  <c r="AD1399" i="2" s="1"/>
  <c r="FM987" i="5"/>
  <c r="CJ631" i="5"/>
  <c r="FE988" i="5"/>
  <c r="HR728" i="5"/>
  <c r="Y1050" i="2" s="1"/>
  <c r="Y1306" i="2" s="1"/>
  <c r="Y1393" i="2" s="1"/>
  <c r="FF988" i="5"/>
  <c r="F567" i="5"/>
  <c r="CP1137" i="5"/>
  <c r="CP629" i="5"/>
  <c r="HR731" i="5"/>
  <c r="Y1053" i="2" s="1"/>
  <c r="Y1309" i="2" s="1"/>
  <c r="Y1396" i="2" s="1"/>
  <c r="G1132" i="5"/>
  <c r="BZ635" i="5"/>
  <c r="ED817" i="5"/>
  <c r="ED986" i="5" s="1"/>
  <c r="IB856" i="5"/>
  <c r="CF505" i="5"/>
  <c r="CF1142" i="5" s="1"/>
  <c r="AD1630" i="2"/>
  <c r="AD1618" i="2" s="1"/>
  <c r="AD1590" i="2"/>
  <c r="HU673" i="5"/>
  <c r="Z995" i="2" s="1"/>
  <c r="Z1291" i="2" s="1"/>
  <c r="Z1378" i="2" s="1"/>
  <c r="AG1863" i="2"/>
  <c r="BL573" i="5"/>
  <c r="BL643" i="5" s="1"/>
  <c r="GU717" i="5"/>
  <c r="IP975" i="5"/>
  <c r="CJ505" i="5"/>
  <c r="CJ636" i="5" s="1"/>
  <c r="FE817" i="5"/>
  <c r="FE986" i="5" s="1"/>
  <c r="CT640" i="5"/>
  <c r="F568" i="5"/>
  <c r="IM739" i="5"/>
  <c r="AF1061" i="2" s="1"/>
  <c r="AF536" i="2" s="1"/>
  <c r="G465" i="5"/>
  <c r="G626" i="5" s="1"/>
  <c r="ID738" i="5"/>
  <c r="AC1060" i="2" s="1"/>
  <c r="HR813" i="5"/>
  <c r="Y1129" i="2" s="1"/>
  <c r="EZ988" i="5"/>
  <c r="EZ1150" i="5"/>
  <c r="AD1622" i="2"/>
  <c r="DJ996" i="5"/>
  <c r="IJ701" i="5"/>
  <c r="AE1023" i="2" s="1"/>
  <c r="AE508" i="2" s="1"/>
  <c r="IA540" i="5"/>
  <c r="AI465" i="5"/>
  <c r="AI626" i="5" s="1"/>
  <c r="BL465" i="5"/>
  <c r="BL572" i="5" s="1"/>
  <c r="BL567" i="5"/>
  <c r="IJ930" i="5"/>
  <c r="AE1249" i="2" s="1"/>
  <c r="AE1363" i="2" s="1"/>
  <c r="AE1450" i="2" s="1"/>
  <c r="BL569" i="5"/>
  <c r="HR675" i="5"/>
  <c r="Y997" i="2" s="1"/>
  <c r="Y434" i="2" s="1"/>
  <c r="W567" i="5"/>
  <c r="ID930" i="5"/>
  <c r="AC1249" i="2" s="1"/>
  <c r="AC1363" i="2" s="1"/>
  <c r="IJ832" i="5"/>
  <c r="AE1148" i="2" s="1"/>
  <c r="CF996" i="5"/>
  <c r="IA735" i="5"/>
  <c r="AB1057" i="2" s="1"/>
  <c r="IP995" i="5"/>
  <c r="AG1213" i="2"/>
  <c r="IA612" i="5"/>
  <c r="IA608" i="5"/>
  <c r="HS958" i="5"/>
  <c r="HS967" i="5" s="1"/>
  <c r="IA737" i="5"/>
  <c r="AB1059" i="2" s="1"/>
  <c r="AB1310" i="2" s="1"/>
  <c r="AB1397" i="2" s="1"/>
  <c r="HX734" i="5"/>
  <c r="AA1056" i="2" s="1"/>
  <c r="CY717" i="5"/>
  <c r="CY978" i="5" s="1"/>
  <c r="IG719" i="5"/>
  <c r="AD1041" i="2" s="1"/>
  <c r="AD1299" i="2" s="1"/>
  <c r="AD1386" i="2" s="1"/>
  <c r="S666" i="5"/>
  <c r="S816" i="5" s="1"/>
  <c r="S985" i="5" s="1"/>
  <c r="CS1152" i="5"/>
  <c r="IB730" i="5"/>
  <c r="CD666" i="5"/>
  <c r="CD816" i="5" s="1"/>
  <c r="CD985" i="5" s="1"/>
  <c r="BL627" i="5"/>
  <c r="KM666" i="5"/>
  <c r="KM816" i="5" s="1"/>
  <c r="KM985" i="5" s="1"/>
  <c r="IF958" i="5"/>
  <c r="IF967" i="5" s="1"/>
  <c r="DS596" i="5"/>
  <c r="DS1154" i="5" s="1"/>
  <c r="IJ696" i="5"/>
  <c r="AE1018" i="2" s="1"/>
  <c r="AE500" i="2" s="1"/>
  <c r="IG734" i="5"/>
  <c r="AD1056" i="2" s="1"/>
  <c r="Y1579" i="2"/>
  <c r="BR1132" i="5"/>
  <c r="BR569" i="5"/>
  <c r="BR627" i="5"/>
  <c r="BR567" i="5"/>
  <c r="BR465" i="5"/>
  <c r="BR626" i="5" s="1"/>
  <c r="AC627" i="5"/>
  <c r="AC569" i="5"/>
  <c r="AC567" i="5"/>
  <c r="ER996" i="5"/>
  <c r="CN1137" i="5"/>
  <c r="IA779" i="5"/>
  <c r="AB1094" i="2" s="1"/>
  <c r="AB1320" i="2" s="1"/>
  <c r="AB1407" i="2" s="1"/>
  <c r="DD717" i="5"/>
  <c r="DD666" i="5" s="1"/>
  <c r="IG930" i="5"/>
  <c r="AD1249" i="2" s="1"/>
  <c r="AD1363" i="2" s="1"/>
  <c r="AD1450" i="2" s="1"/>
  <c r="BL1141" i="5"/>
  <c r="ID753" i="5"/>
  <c r="AC1075" i="2" s="1"/>
  <c r="AC1313" i="2" s="1"/>
  <c r="AC1400" i="2" s="1"/>
  <c r="FQ1150" i="5"/>
  <c r="FQ988" i="5"/>
  <c r="DF892" i="5"/>
  <c r="DF995" i="5" s="1"/>
  <c r="HU705" i="5"/>
  <c r="Z1027" i="2" s="1"/>
  <c r="Z523" i="2" s="1"/>
  <c r="IM733" i="5"/>
  <c r="AF1055" i="2" s="1"/>
  <c r="HU731" i="5"/>
  <c r="Z1053" i="2" s="1"/>
  <c r="Z531" i="2" s="1"/>
  <c r="IG608" i="5"/>
  <c r="AD840" i="2" s="1"/>
  <c r="E982" i="5"/>
  <c r="CL631" i="5"/>
  <c r="IG712" i="5"/>
  <c r="AD1034" i="2" s="1"/>
  <c r="BY1141" i="5"/>
  <c r="EE505" i="5"/>
  <c r="EE1142" i="5" s="1"/>
  <c r="IJ716" i="5"/>
  <c r="AE1038" i="2" s="1"/>
  <c r="HT980" i="5"/>
  <c r="IA726" i="5"/>
  <c r="AB1048" i="2" s="1"/>
  <c r="IA686" i="5"/>
  <c r="AB1008" i="2" s="1"/>
  <c r="DL1152" i="5"/>
  <c r="ET491" i="5"/>
  <c r="ET1138" i="5" s="1"/>
  <c r="ID683" i="5"/>
  <c r="AC1005" i="2" s="1"/>
  <c r="AC463" i="2" s="1"/>
  <c r="G627" i="5"/>
  <c r="HY958" i="5"/>
  <c r="CJ536" i="5"/>
  <c r="CJ1149" i="5" s="1"/>
  <c r="IA721" i="5"/>
  <c r="AB1043" i="2" s="1"/>
  <c r="IM701" i="5"/>
  <c r="AF1023" i="2" s="1"/>
  <c r="AF508" i="2" s="1"/>
  <c r="DH1073" i="5"/>
  <c r="DH1095" i="5" s="1"/>
  <c r="DH1101" i="5" s="1"/>
  <c r="HR697" i="5"/>
  <c r="Y1019" i="2" s="1"/>
  <c r="HV529" i="5"/>
  <c r="D61" i="7" s="1"/>
  <c r="IJ715" i="5"/>
  <c r="AE1037" i="2" s="1"/>
  <c r="IA697" i="5"/>
  <c r="AB1019" i="2" s="1"/>
  <c r="IJ684" i="5"/>
  <c r="AE1006" i="2" s="1"/>
  <c r="AE467" i="2" s="1"/>
  <c r="G569" i="5"/>
  <c r="DQ629" i="5"/>
  <c r="AX465" i="5"/>
  <c r="AX1132" i="5"/>
  <c r="HY611" i="5"/>
  <c r="HY610" i="5" s="1"/>
  <c r="I627" i="5"/>
  <c r="I1132" i="5"/>
  <c r="G567" i="5"/>
  <c r="T573" i="5"/>
  <c r="T643" i="5" s="1"/>
  <c r="IE898" i="5"/>
  <c r="AC1585" i="2" s="1"/>
  <c r="HR779" i="5"/>
  <c r="Y1094" i="2" s="1"/>
  <c r="Y1320" i="2" s="1"/>
  <c r="Y1407" i="2" s="1"/>
  <c r="IA935" i="5"/>
  <c r="AB1255" i="2" s="1"/>
  <c r="EX1139" i="5"/>
  <c r="IJ938" i="5"/>
  <c r="AE1258" i="2" s="1"/>
  <c r="AE1366" i="2" s="1"/>
  <c r="AE1453" i="2" s="1"/>
  <c r="HU715" i="5"/>
  <c r="Z1037" i="2" s="1"/>
  <c r="IJ906" i="5"/>
  <c r="AE1227" i="2" s="1"/>
  <c r="AE1614" i="2" s="1"/>
  <c r="DT1133" i="5"/>
  <c r="DR817" i="5"/>
  <c r="DR986" i="5" s="1"/>
  <c r="FF1149" i="5"/>
  <c r="F627" i="5"/>
  <c r="F1132" i="5"/>
  <c r="FF892" i="5"/>
  <c r="FF995" i="5" s="1"/>
  <c r="HU831" i="5"/>
  <c r="Z1147" i="2" s="1"/>
  <c r="IJ738" i="5"/>
  <c r="AE1060" i="2" s="1"/>
  <c r="HX706" i="5"/>
  <c r="AA1028" i="2" s="1"/>
  <c r="AA1295" i="2" s="1"/>
  <c r="AA1382" i="2" s="1"/>
  <c r="IM705" i="5"/>
  <c r="AF1027" i="2" s="1"/>
  <c r="AF524" i="2" s="1"/>
  <c r="AG525" i="2" s="1"/>
  <c r="IJ702" i="5"/>
  <c r="AE1024" i="2" s="1"/>
  <c r="AE512" i="2" s="1"/>
  <c r="IS813" i="5"/>
  <c r="AH1129" i="2" s="1"/>
  <c r="IA738" i="5"/>
  <c r="AB1060" i="2" s="1"/>
  <c r="HR724" i="5"/>
  <c r="Y1046" i="2" s="1"/>
  <c r="Y1303" i="2" s="1"/>
  <c r="Y1390" i="2" s="1"/>
  <c r="I568" i="5"/>
  <c r="IG472" i="5"/>
  <c r="P12" i="7" s="1"/>
  <c r="HX710" i="5"/>
  <c r="AA1032" i="2" s="1"/>
  <c r="R635" i="5"/>
  <c r="IA679" i="5"/>
  <c r="AB1001" i="2" s="1"/>
  <c r="AB450" i="2" s="1"/>
  <c r="HX1078" i="5"/>
  <c r="HV856" i="5"/>
  <c r="AA569" i="5"/>
  <c r="HY799" i="5"/>
  <c r="E124" i="7"/>
  <c r="IP980" i="5"/>
  <c r="IG735" i="5"/>
  <c r="AD1057" i="2" s="1"/>
  <c r="H568" i="5"/>
  <c r="J1132" i="5"/>
  <c r="J567" i="5"/>
  <c r="J568" i="5"/>
  <c r="J569" i="5"/>
  <c r="IM679" i="5"/>
  <c r="AF1001" i="2" s="1"/>
  <c r="AF450" i="2" s="1"/>
  <c r="HU726" i="5"/>
  <c r="Z1048" i="2" s="1"/>
  <c r="AQ978" i="5"/>
  <c r="IM780" i="5"/>
  <c r="AF1095" i="2" s="1"/>
  <c r="AF1321" i="2" s="1"/>
  <c r="AF1408" i="2" s="1"/>
  <c r="BI573" i="5"/>
  <c r="BI580" i="5" s="1"/>
  <c r="BI649" i="5" s="1"/>
  <c r="U465" i="5"/>
  <c r="U626" i="5" s="1"/>
  <c r="HX705" i="5"/>
  <c r="AA1027" i="2" s="1"/>
  <c r="AA524" i="2" s="1"/>
  <c r="HU702" i="5"/>
  <c r="Z1024" i="2" s="1"/>
  <c r="Z511" i="2" s="1"/>
  <c r="IV701" i="5"/>
  <c r="AI1023" i="2" s="1"/>
  <c r="AI507" i="2" s="1"/>
  <c r="HU738" i="5"/>
  <c r="Z1060" i="2" s="1"/>
  <c r="HR733" i="5"/>
  <c r="Y1055" i="2" s="1"/>
  <c r="BQ666" i="5"/>
  <c r="BQ835" i="5" s="1"/>
  <c r="BQ991" i="5" s="1"/>
  <c r="D64" i="7"/>
  <c r="E64" i="7" s="1"/>
  <c r="F635" i="5"/>
  <c r="HU938" i="5"/>
  <c r="Z1258" i="2" s="1"/>
  <c r="Z1366" i="2" s="1"/>
  <c r="DK1073" i="5"/>
  <c r="DK1095" i="5" s="1"/>
  <c r="KM892" i="5"/>
  <c r="KM995" i="5" s="1"/>
  <c r="HX738" i="5"/>
  <c r="AA1060" i="2" s="1"/>
  <c r="DT596" i="5"/>
  <c r="ID747" i="5"/>
  <c r="AC1069" i="2" s="1"/>
  <c r="AC1311" i="2" s="1"/>
  <c r="AC1398" i="2" s="1"/>
  <c r="HS898" i="5"/>
  <c r="Y1585" i="2" s="1"/>
  <c r="HR735" i="5"/>
  <c r="Y1057" i="2" s="1"/>
  <c r="DU596" i="5"/>
  <c r="DU1154" i="5" s="1"/>
  <c r="H569" i="5"/>
  <c r="IM781" i="5"/>
  <c r="AF1096" i="2" s="1"/>
  <c r="AF1547" i="2" s="1"/>
  <c r="H978" i="5"/>
  <c r="IJ732" i="5"/>
  <c r="AE1054" i="2" s="1"/>
  <c r="DM536" i="5"/>
  <c r="IJ743" i="5"/>
  <c r="AE1065" i="2" s="1"/>
  <c r="AE1535" i="2" s="1"/>
  <c r="DM1137" i="5"/>
  <c r="DM629" i="5"/>
  <c r="EV717" i="5"/>
  <c r="EV978" i="5" s="1"/>
  <c r="H139" i="7"/>
  <c r="IV675" i="5"/>
  <c r="AI997" i="2" s="1"/>
  <c r="AI434" i="2" s="1"/>
  <c r="BI1141" i="5"/>
  <c r="U573" i="5"/>
  <c r="U580" i="5" s="1"/>
  <c r="U649" i="5" s="1"/>
  <c r="F573" i="5"/>
  <c r="F580" i="5" s="1"/>
  <c r="F649" i="5" s="1"/>
  <c r="HR696" i="5"/>
  <c r="Y1018" i="2" s="1"/>
  <c r="Y499" i="2" s="1"/>
  <c r="IP941" i="5"/>
  <c r="IP998" i="5" s="1"/>
  <c r="AF1358" i="2"/>
  <c r="AF1445" i="2" s="1"/>
  <c r="AL567" i="5"/>
  <c r="BI635" i="5"/>
  <c r="U627" i="5"/>
  <c r="IA731" i="5"/>
  <c r="AB1053" i="2" s="1"/>
  <c r="AB1309" i="2" s="1"/>
  <c r="AB1396" i="2" s="1"/>
  <c r="IJ736" i="5"/>
  <c r="AE1058" i="2" s="1"/>
  <c r="IG732" i="5"/>
  <c r="AD1054" i="2" s="1"/>
  <c r="FO717" i="5"/>
  <c r="FO666" i="5" s="1"/>
  <c r="FA892" i="5"/>
  <c r="FA995" i="5" s="1"/>
  <c r="HP893" i="5"/>
  <c r="ID811" i="5"/>
  <c r="AC1127" i="2" s="1"/>
  <c r="AC1325" i="2" s="1"/>
  <c r="IA554" i="5"/>
  <c r="ID732" i="5"/>
  <c r="AC1054" i="2" s="1"/>
  <c r="IJ680" i="5"/>
  <c r="AE1002" i="2" s="1"/>
  <c r="AE454" i="2" s="1"/>
  <c r="HT523" i="5"/>
  <c r="C57" i="7" s="1"/>
  <c r="IA715" i="5"/>
  <c r="AB1037" i="2" s="1"/>
  <c r="IT898" i="5"/>
  <c r="AH1585" i="2" s="1"/>
  <c r="HX681" i="5"/>
  <c r="AA1003" i="2" s="1"/>
  <c r="IJ813" i="5"/>
  <c r="AE1129" i="2" s="1"/>
  <c r="EO536" i="5"/>
  <c r="EO1149" i="5" s="1"/>
  <c r="CT1073" i="5"/>
  <c r="CT1095" i="5" s="1"/>
  <c r="ER717" i="5"/>
  <c r="ER978" i="5" s="1"/>
  <c r="IJ671" i="5"/>
  <c r="AE993" i="2" s="1"/>
  <c r="CY491" i="5"/>
  <c r="CY631" i="5" s="1"/>
  <c r="T569" i="5"/>
  <c r="FJ1142" i="5"/>
  <c r="HU732" i="5"/>
  <c r="Z1054" i="2" s="1"/>
  <c r="AN96" i="19"/>
  <c r="AF63" i="19"/>
  <c r="AH63" i="19" s="1"/>
  <c r="AG420" i="2"/>
  <c r="AG516" i="2"/>
  <c r="AH516" i="2" s="1"/>
  <c r="AI516" i="2" s="1"/>
  <c r="AJ516" i="2" s="1"/>
  <c r="AO1228" i="2"/>
  <c r="AP1095" i="2"/>
  <c r="AP1321" i="2" s="1"/>
  <c r="AP1408" i="2" s="1"/>
  <c r="W11" i="19"/>
  <c r="AK1039" i="2"/>
  <c r="AP1249" i="2"/>
  <c r="AP1364" i="2"/>
  <c r="AP1451" i="2" s="1"/>
  <c r="AP1044" i="2"/>
  <c r="AP1039" i="2" s="1"/>
  <c r="AP1557" i="2" s="1"/>
  <c r="AP1303" i="2"/>
  <c r="AP1193" i="2"/>
  <c r="AP1358" i="2"/>
  <c r="AP1445" i="2" s="1"/>
  <c r="AI983" i="2"/>
  <c r="AJ983" i="2"/>
  <c r="AG1268" i="2"/>
  <c r="JH909" i="5"/>
  <c r="AE1618" i="2"/>
  <c r="AF1623" i="2"/>
  <c r="AQ1021" i="2"/>
  <c r="AP1179" i="2"/>
  <c r="AP1178" i="2" s="1"/>
  <c r="AH1622" i="2"/>
  <c r="AA1575" i="2"/>
  <c r="AA1518" i="2"/>
  <c r="AO1182" i="2"/>
  <c r="JN865" i="5" s="1"/>
  <c r="JL865" i="5" s="1"/>
  <c r="JM865" i="5" s="1"/>
  <c r="AP1009" i="2"/>
  <c r="AQ1009" i="2" s="1"/>
  <c r="JN694" i="5"/>
  <c r="AQ1016" i="2"/>
  <c r="AF1268" i="2"/>
  <c r="AQ466" i="2"/>
  <c r="AR563" i="2"/>
  <c r="AF80" i="19"/>
  <c r="AH80" i="19" s="1"/>
  <c r="AF97" i="19"/>
  <c r="AH97" i="19" s="1"/>
  <c r="AF16" i="19"/>
  <c r="AH16" i="19" s="1"/>
  <c r="AF23" i="19"/>
  <c r="AH23" i="19" s="1"/>
  <c r="AF41" i="19"/>
  <c r="AH41" i="19" s="1"/>
  <c r="AF13" i="19"/>
  <c r="AH13" i="19" s="1"/>
  <c r="JA860" i="5"/>
  <c r="AT1177" i="2" s="1"/>
  <c r="AS1177" i="2"/>
  <c r="AQ1177" i="2"/>
  <c r="AP1177" i="2"/>
  <c r="AN13" i="19"/>
  <c r="AP13" i="19" s="1"/>
  <c r="AN15" i="19"/>
  <c r="AP15" i="19" s="1"/>
  <c r="AO109" i="19"/>
  <c r="AN104" i="19"/>
  <c r="AP104" i="19" s="1"/>
  <c r="AN80" i="19"/>
  <c r="AP80" i="19" s="1"/>
  <c r="AF1626" i="2"/>
  <c r="AN72" i="19"/>
  <c r="AN106" i="19"/>
  <c r="AP106" i="19" s="1"/>
  <c r="AF17" i="19"/>
  <c r="AH17" i="19" s="1"/>
  <c r="AG1587" i="2"/>
  <c r="AG511" i="2"/>
  <c r="AN36" i="19"/>
  <c r="AP36" i="19" s="1"/>
  <c r="AN33" i="19"/>
  <c r="AP33" i="19" s="1"/>
  <c r="AN81" i="19"/>
  <c r="AG476" i="2"/>
  <c r="AN98" i="19"/>
  <c r="AN29" i="19"/>
  <c r="AN97" i="19"/>
  <c r="AF94" i="19"/>
  <c r="AH94" i="19" s="1"/>
  <c r="AM1228" i="2"/>
  <c r="AG495" i="2"/>
  <c r="AF96" i="19"/>
  <c r="AH96" i="19" s="1"/>
  <c r="AN16" i="19"/>
  <c r="AP16" i="19" s="1"/>
  <c r="AN41" i="19"/>
  <c r="AP41" i="19" s="1"/>
  <c r="AH630" i="2"/>
  <c r="AB1575" i="2"/>
  <c r="AF81" i="19"/>
  <c r="AH81" i="19" s="1"/>
  <c r="AH1543" i="2"/>
  <c r="AH1607" i="2"/>
  <c r="AG1769" i="2"/>
  <c r="BC21" i="19"/>
  <c r="D76" i="19"/>
  <c r="F76" i="19" s="1"/>
  <c r="AI1284" i="2"/>
  <c r="AJ1228" i="2"/>
  <c r="AN17" i="19"/>
  <c r="AP17" i="19" s="1"/>
  <c r="AH1267" i="2"/>
  <c r="AF98" i="19"/>
  <c r="AH98" i="19" s="1"/>
  <c r="AF106" i="19"/>
  <c r="AH106" i="19" s="1"/>
  <c r="IY909" i="5"/>
  <c r="IX909" i="5" s="1"/>
  <c r="O91" i="19"/>
  <c r="N91" i="19" s="1"/>
  <c r="AN1301" i="2"/>
  <c r="AN1388" i="2" s="1"/>
  <c r="AU91" i="19"/>
  <c r="AW21" i="19"/>
  <c r="AF104" i="19"/>
  <c r="AH104" i="19" s="1"/>
  <c r="AG109" i="19"/>
  <c r="AU76" i="19"/>
  <c r="AN1284" i="2"/>
  <c r="AM76" i="19"/>
  <c r="AM1284" i="2"/>
  <c r="AO1363" i="2"/>
  <c r="AO15" i="19"/>
  <c r="AO13" i="19"/>
  <c r="JN930" i="5"/>
  <c r="AW13" i="19"/>
  <c r="AV13" i="19"/>
  <c r="AX13" i="19" s="1"/>
  <c r="BE12" i="19"/>
  <c r="BD12" i="19"/>
  <c r="BF12" i="19" s="1"/>
  <c r="AO1298" i="2"/>
  <c r="BC14" i="19"/>
  <c r="AW103" i="19"/>
  <c r="AV103" i="19"/>
  <c r="AX103" i="19" s="1"/>
  <c r="BC101" i="19"/>
  <c r="BB101" i="19" s="1"/>
  <c r="BD16" i="19"/>
  <c r="BF16" i="19" s="1"/>
  <c r="BE16" i="19"/>
  <c r="BC61" i="19"/>
  <c r="EP1156" i="5"/>
  <c r="EP596" i="5"/>
  <c r="EP582" i="5" s="1"/>
  <c r="IG588" i="5"/>
  <c r="P117" i="7" s="1"/>
  <c r="BN666" i="5"/>
  <c r="BN835" i="5" s="1"/>
  <c r="BN991" i="5" s="1"/>
  <c r="DA505" i="5"/>
  <c r="DA1142" i="5" s="1"/>
  <c r="FN988" i="5"/>
  <c r="FN1150" i="5"/>
  <c r="HU686" i="5"/>
  <c r="Z1008" i="2" s="1"/>
  <c r="CF1153" i="5"/>
  <c r="CF651" i="5"/>
  <c r="DT628" i="5"/>
  <c r="DB536" i="5"/>
  <c r="DB638" i="5" s="1"/>
  <c r="DP988" i="5"/>
  <c r="DP817" i="5"/>
  <c r="DP986" i="5" s="1"/>
  <c r="AW1132" i="5"/>
  <c r="AW568" i="5"/>
  <c r="AW627" i="5"/>
  <c r="AW569" i="5"/>
  <c r="CA569" i="5"/>
  <c r="BK666" i="5"/>
  <c r="BK835" i="5" s="1"/>
  <c r="BK991" i="5" s="1"/>
  <c r="ID723" i="5"/>
  <c r="AC1045" i="2" s="1"/>
  <c r="AC1302" i="2" s="1"/>
  <c r="AC1389" i="2" s="1"/>
  <c r="AL568" i="5"/>
  <c r="AL627" i="5"/>
  <c r="AL465" i="5"/>
  <c r="AL626" i="5" s="1"/>
  <c r="IA724" i="5"/>
  <c r="AB1046" i="2" s="1"/>
  <c r="AB1303" i="2" s="1"/>
  <c r="AB1390" i="2" s="1"/>
  <c r="HR712" i="5"/>
  <c r="Y1034" i="2" s="1"/>
  <c r="BW568" i="5"/>
  <c r="IJ829" i="5"/>
  <c r="AE1145" i="2" s="1"/>
  <c r="AE629" i="2" s="1"/>
  <c r="AE1141" i="5"/>
  <c r="HX715" i="5"/>
  <c r="AA1037" i="2" s="1"/>
  <c r="HR749" i="5"/>
  <c r="Y1071" i="2" s="1"/>
  <c r="Y1312" i="2" s="1"/>
  <c r="Y1399" i="2" s="1"/>
  <c r="BW569" i="5"/>
  <c r="IM709" i="5"/>
  <c r="AF1031" i="2" s="1"/>
  <c r="BW567" i="5"/>
  <c r="AE573" i="5"/>
  <c r="AE580" i="5" s="1"/>
  <c r="AE649" i="5" s="1"/>
  <c r="FD1137" i="5"/>
  <c r="GN816" i="5"/>
  <c r="IA488" i="5"/>
  <c r="O635" i="5"/>
  <c r="BW627" i="5"/>
  <c r="HZ585" i="5"/>
  <c r="I115" i="7" s="1"/>
  <c r="K115" i="7" s="1"/>
  <c r="IM693" i="5"/>
  <c r="AF1015" i="2" s="1"/>
  <c r="AF495" i="2" s="1"/>
  <c r="IJ713" i="5"/>
  <c r="AE1035" i="2" s="1"/>
  <c r="AG1153" i="2"/>
  <c r="AG1340" i="2" s="1"/>
  <c r="AG1427" i="2" s="1"/>
  <c r="ID750" i="5"/>
  <c r="AC1072" i="2" s="1"/>
  <c r="AJ614" i="2"/>
  <c r="AJ608" i="2"/>
  <c r="CZ505" i="5"/>
  <c r="CZ1142" i="5" s="1"/>
  <c r="HX541" i="5"/>
  <c r="AA760" i="2" s="1"/>
  <c r="BW465" i="5"/>
  <c r="BW626" i="5" s="1"/>
  <c r="EF892" i="5"/>
  <c r="EF995" i="5" s="1"/>
  <c r="ID705" i="5"/>
  <c r="AC1027" i="2" s="1"/>
  <c r="AC524" i="2" s="1"/>
  <c r="HW1107" i="5"/>
  <c r="IG728" i="5"/>
  <c r="AD1050" i="2" s="1"/>
  <c r="AD1306" i="2" s="1"/>
  <c r="AD1393" i="2" s="1"/>
  <c r="FQ1153" i="5"/>
  <c r="R666" i="5"/>
  <c r="CR856" i="5"/>
  <c r="HS857" i="5"/>
  <c r="CR993" i="5"/>
  <c r="JN876" i="5"/>
  <c r="HX780" i="5"/>
  <c r="AA1095" i="2" s="1"/>
  <c r="AA1321" i="2" s="1"/>
  <c r="AA1408" i="2" s="1"/>
  <c r="FQ892" i="5"/>
  <c r="FQ995" i="5" s="1"/>
  <c r="HX530" i="5"/>
  <c r="AA747" i="2" s="1"/>
  <c r="AA626" i="2" s="1"/>
  <c r="P568" i="5"/>
  <c r="IC722" i="5"/>
  <c r="AF93" i="19"/>
  <c r="AH93" i="19" s="1"/>
  <c r="HY800" i="5"/>
  <c r="IA800" i="5" s="1"/>
  <c r="DQ1153" i="5"/>
  <c r="DQ651" i="5"/>
  <c r="AG1131" i="2"/>
  <c r="HU829" i="5"/>
  <c r="Z1145" i="2" s="1"/>
  <c r="Z629" i="2" s="1"/>
  <c r="HX471" i="5"/>
  <c r="AA677" i="2" s="1"/>
  <c r="AA423" i="2" s="1"/>
  <c r="M978" i="5"/>
  <c r="IG682" i="5"/>
  <c r="AD1004" i="2" s="1"/>
  <c r="AD459" i="2" s="1"/>
  <c r="BF573" i="5"/>
  <c r="IM738" i="5"/>
  <c r="AF1060" i="2" s="1"/>
  <c r="GZ717" i="5"/>
  <c r="ID674" i="5"/>
  <c r="AC996" i="2" s="1"/>
  <c r="AC1292" i="2" s="1"/>
  <c r="AC1379" i="2" s="1"/>
  <c r="ID701" i="5"/>
  <c r="AC1023" i="2" s="1"/>
  <c r="AC507" i="2" s="1"/>
  <c r="HU485" i="5"/>
  <c r="HU629" i="5" s="1"/>
  <c r="DH1137" i="5"/>
  <c r="IT718" i="5"/>
  <c r="HU712" i="5"/>
  <c r="Z1034" i="2" s="1"/>
  <c r="JN909" i="5"/>
  <c r="CH1152" i="5"/>
  <c r="CH640" i="5"/>
  <c r="AN1176" i="2"/>
  <c r="AN639" i="2"/>
  <c r="JK744" i="5"/>
  <c r="CO467" i="5"/>
  <c r="CO627" i="5" s="1"/>
  <c r="HT754" i="5"/>
  <c r="HT982" i="5" s="1"/>
  <c r="IA701" i="5"/>
  <c r="AB1023" i="2" s="1"/>
  <c r="AB507" i="2" s="1"/>
  <c r="BR666" i="5"/>
  <c r="BR816" i="5" s="1"/>
  <c r="BR985" i="5" s="1"/>
  <c r="CH505" i="5"/>
  <c r="CH1142" i="5" s="1"/>
  <c r="ID795" i="5"/>
  <c r="AC1111" i="2" s="1"/>
  <c r="AC607" i="2" s="1"/>
  <c r="N635" i="5"/>
  <c r="H83" i="7"/>
  <c r="DK988" i="5"/>
  <c r="DK817" i="5"/>
  <c r="DK986" i="5" s="1"/>
  <c r="AW1141" i="5"/>
  <c r="AW635" i="5"/>
  <c r="HU691" i="5"/>
  <c r="Z1013" i="2" s="1"/>
  <c r="FM1133" i="5"/>
  <c r="FM976" i="5"/>
  <c r="IG678" i="5"/>
  <c r="AD1000" i="2" s="1"/>
  <c r="AD443" i="2" s="1"/>
  <c r="AD666" i="5"/>
  <c r="AD835" i="5" s="1"/>
  <c r="AD991" i="5" s="1"/>
  <c r="IB929" i="5"/>
  <c r="IG532" i="5"/>
  <c r="AD749" i="2" s="1"/>
  <c r="AD883" i="2" s="1"/>
  <c r="HX898" i="5"/>
  <c r="AA1219" i="2" s="1"/>
  <c r="AA1586" i="2" s="1"/>
  <c r="FO976" i="5"/>
  <c r="FO1133" i="5"/>
  <c r="GX816" i="5"/>
  <c r="DI468" i="5"/>
  <c r="DI1133" i="5" s="1"/>
  <c r="IG743" i="5"/>
  <c r="AD1065" i="2" s="1"/>
  <c r="AF635" i="5"/>
  <c r="CE717" i="5"/>
  <c r="CE978" i="5" s="1"/>
  <c r="EO521" i="5"/>
  <c r="EO1147" i="5" s="1"/>
  <c r="AE1211" i="2"/>
  <c r="AE1359" i="2" s="1"/>
  <c r="AE1446" i="2" s="1"/>
  <c r="AW465" i="5"/>
  <c r="AW572" i="5" s="1"/>
  <c r="AW579" i="5" s="1"/>
  <c r="FK1137" i="5"/>
  <c r="FK1132" i="5" s="1"/>
  <c r="IU899" i="5"/>
  <c r="IV899" i="5" s="1"/>
  <c r="AI1220" i="2" s="1"/>
  <c r="DI1073" i="5"/>
  <c r="DI1095" i="5" s="1"/>
  <c r="IA708" i="5"/>
  <c r="AB1030" i="2" s="1"/>
  <c r="HX614" i="5"/>
  <c r="AA847" i="2" s="1"/>
  <c r="EL491" i="5"/>
  <c r="EL1138" i="5" s="1"/>
  <c r="AU666" i="5"/>
  <c r="AU834" i="5" s="1"/>
  <c r="AI1634" i="2"/>
  <c r="ID796" i="5"/>
  <c r="AT572" i="5"/>
  <c r="AT642" i="5" s="1"/>
  <c r="AH567" i="5"/>
  <c r="H12" i="7"/>
  <c r="HX749" i="5"/>
  <c r="AA1071" i="2" s="1"/>
  <c r="AA1312" i="2" s="1"/>
  <c r="AA1399" i="2" s="1"/>
  <c r="ES717" i="5"/>
  <c r="ES978" i="5" s="1"/>
  <c r="AF573" i="5"/>
  <c r="AF643" i="5" s="1"/>
  <c r="BP572" i="5"/>
  <c r="AG1631" i="2"/>
  <c r="AW567" i="5"/>
  <c r="CQ651" i="5"/>
  <c r="IS685" i="5"/>
  <c r="AH1007" i="2" s="1"/>
  <c r="AH471" i="2" s="1"/>
  <c r="IA704" i="5"/>
  <c r="AB1026" i="2" s="1"/>
  <c r="AB520" i="2" s="1"/>
  <c r="IG733" i="5"/>
  <c r="AD1055" i="2" s="1"/>
  <c r="IR928" i="5"/>
  <c r="HR678" i="5"/>
  <c r="Y1000" i="2" s="1"/>
  <c r="Y442" i="2" s="1"/>
  <c r="IV719" i="5"/>
  <c r="AI1041" i="2" s="1"/>
  <c r="AI1299" i="2" s="1"/>
  <c r="AI1386" i="2" s="1"/>
  <c r="FP976" i="5"/>
  <c r="H26" i="7"/>
  <c r="DR491" i="5"/>
  <c r="DR631" i="5" s="1"/>
  <c r="EV1156" i="5"/>
  <c r="DM1095" i="5"/>
  <c r="EX717" i="5"/>
  <c r="EX978" i="5" s="1"/>
  <c r="EJ717" i="5"/>
  <c r="EJ978" i="5" s="1"/>
  <c r="AW573" i="5"/>
  <c r="AW580" i="5" s="1"/>
  <c r="AW649" i="5" s="1"/>
  <c r="ID703" i="5"/>
  <c r="AC1025" i="2" s="1"/>
  <c r="AC515" i="2" s="1"/>
  <c r="ER892" i="5"/>
  <c r="ER995" i="5" s="1"/>
  <c r="BM569" i="5"/>
  <c r="FJ892" i="5"/>
  <c r="IC958" i="5"/>
  <c r="IC967" i="5" s="1"/>
  <c r="EH892" i="5"/>
  <c r="EH995" i="5" s="1"/>
  <c r="IB800" i="5"/>
  <c r="ID800" i="5" s="1"/>
  <c r="HR709" i="5"/>
  <c r="Y1031" i="2" s="1"/>
  <c r="CY1152" i="5"/>
  <c r="IG696" i="5"/>
  <c r="AD1018" i="2" s="1"/>
  <c r="HU713" i="5"/>
  <c r="Z1035" i="2" s="1"/>
  <c r="BM568" i="5"/>
  <c r="IS705" i="5"/>
  <c r="AH1027" i="2" s="1"/>
  <c r="AH523" i="2" s="1"/>
  <c r="AA666" i="5"/>
  <c r="AA815" i="5" s="1"/>
  <c r="AA984" i="5" s="1"/>
  <c r="IB898" i="5"/>
  <c r="AB1585" i="2" s="1"/>
  <c r="HX672" i="5"/>
  <c r="AA994" i="2" s="1"/>
  <c r="HU795" i="5"/>
  <c r="Z1111" i="2" s="1"/>
  <c r="Z607" i="2" s="1"/>
  <c r="HQ796" i="5"/>
  <c r="HQ800" i="5" s="1"/>
  <c r="HQ801" i="5" s="1"/>
  <c r="HQ802" i="5" s="1"/>
  <c r="FC1142" i="5"/>
  <c r="CO1137" i="5"/>
  <c r="CO629" i="5"/>
  <c r="IJ686" i="5"/>
  <c r="AE1008" i="2" s="1"/>
  <c r="JK780" i="5"/>
  <c r="JJ780" i="5" s="1"/>
  <c r="JN780" i="5"/>
  <c r="JM780" i="5" s="1"/>
  <c r="JN718" i="5"/>
  <c r="JM718" i="5" s="1"/>
  <c r="JK718" i="5"/>
  <c r="JJ718" i="5" s="1"/>
  <c r="JK722" i="5"/>
  <c r="JK883" i="5"/>
  <c r="JJ883" i="5" s="1"/>
  <c r="JJ661" i="5" s="1"/>
  <c r="AN1363" i="2"/>
  <c r="AN1450" i="2" s="1"/>
  <c r="X92" i="19"/>
  <c r="Z92" i="19" s="1"/>
  <c r="AG1542" i="2"/>
  <c r="AG1543" i="2"/>
  <c r="AG426" i="2"/>
  <c r="Z1597" i="2"/>
  <c r="JC929" i="5"/>
  <c r="AA1622" i="2"/>
  <c r="AI774" i="2"/>
  <c r="IV554" i="5" s="1"/>
  <c r="IT554" i="5" s="1"/>
  <c r="IU554" i="5" s="1"/>
  <c r="AF1618" i="2"/>
  <c r="IZ929" i="5"/>
  <c r="AL1060" i="2"/>
  <c r="AM1060" i="2" s="1"/>
  <c r="AF1594" i="2"/>
  <c r="AF1592" i="2" s="1"/>
  <c r="AF1596" i="2" s="1"/>
  <c r="AJ1306" i="2"/>
  <c r="AJ1393" i="2" s="1"/>
  <c r="IY726" i="5"/>
  <c r="IX726" i="5" s="1"/>
  <c r="D106" i="19"/>
  <c r="F106" i="19" s="1"/>
  <c r="Z491" i="2"/>
  <c r="IY897" i="5"/>
  <c r="IX897" i="5" s="1"/>
  <c r="AG1332" i="2"/>
  <c r="AG1419" i="2" s="1"/>
  <c r="AF1622" i="2"/>
  <c r="AM1608" i="2"/>
  <c r="AF1267" i="2"/>
  <c r="AF90" i="19"/>
  <c r="AH90" i="19" s="1"/>
  <c r="AG90" i="19"/>
  <c r="JD908" i="5"/>
  <c r="AC90" i="19"/>
  <c r="AD90" i="19" s="1"/>
  <c r="JA720" i="5"/>
  <c r="JF929" i="5"/>
  <c r="P88" i="19"/>
  <c r="R88" i="19" s="1"/>
  <c r="P90" i="19"/>
  <c r="R90" i="19" s="1"/>
  <c r="P92" i="19"/>
  <c r="R92" i="19" s="1"/>
  <c r="P93" i="19"/>
  <c r="R93" i="19" s="1"/>
  <c r="JG919" i="5"/>
  <c r="AK94" i="19"/>
  <c r="AL94" i="19" s="1"/>
  <c r="JG908" i="5"/>
  <c r="AK90" i="19"/>
  <c r="AL90" i="19" s="1"/>
  <c r="Y21" i="19"/>
  <c r="W28" i="19"/>
  <c r="JC909" i="5"/>
  <c r="AC92" i="19"/>
  <c r="AL1608" i="2"/>
  <c r="AG1301" i="2"/>
  <c r="AG1388" i="2" s="1"/>
  <c r="AK1607" i="2"/>
  <c r="JG791" i="5"/>
  <c r="AK41" i="19"/>
  <c r="AL41" i="19" s="1"/>
  <c r="JD919" i="5"/>
  <c r="AC94" i="19"/>
  <c r="AD94" i="19" s="1"/>
  <c r="JD720" i="5"/>
  <c r="X90" i="19"/>
  <c r="Z90" i="19" s="1"/>
  <c r="X93" i="19"/>
  <c r="Z93" i="19" s="1"/>
  <c r="AN12" i="19"/>
  <c r="AP12" i="19" s="1"/>
  <c r="X103" i="19"/>
  <c r="Z103" i="19" s="1"/>
  <c r="AF15" i="19"/>
  <c r="AH15" i="19" s="1"/>
  <c r="E108" i="19"/>
  <c r="G108" i="19" s="1"/>
  <c r="E28" i="19"/>
  <c r="G28" i="19" s="1"/>
  <c r="P30" i="19"/>
  <c r="R30" i="19" s="1"/>
  <c r="AG467" i="2"/>
  <c r="AG468" i="2"/>
  <c r="CE1152" i="5"/>
  <c r="CE640" i="5"/>
  <c r="I94" i="7"/>
  <c r="K94" i="7" s="1"/>
  <c r="IA564" i="5"/>
  <c r="O140" i="7"/>
  <c r="IG613" i="5"/>
  <c r="P140" i="7" s="1"/>
  <c r="DJ1151" i="5"/>
  <c r="DJ536" i="5"/>
  <c r="DJ638" i="5" s="1"/>
  <c r="ER536" i="5"/>
  <c r="ER1149" i="5" s="1"/>
  <c r="ER1151" i="5"/>
  <c r="E26" i="7"/>
  <c r="DD1151" i="5"/>
  <c r="DD536" i="5"/>
  <c r="DD1149" i="5" s="1"/>
  <c r="EF491" i="5"/>
  <c r="EF1138" i="5" s="1"/>
  <c r="EF1139" i="5"/>
  <c r="FM977" i="5"/>
  <c r="FM1137" i="5"/>
  <c r="AG1581" i="2"/>
  <c r="AG1579" i="2" s="1"/>
  <c r="AG1613" i="2"/>
  <c r="AG1611" i="2" s="1"/>
  <c r="EW987" i="5"/>
  <c r="EW817" i="5"/>
  <c r="EW986" i="5" s="1"/>
  <c r="DL491" i="5"/>
  <c r="DL631" i="5" s="1"/>
  <c r="DL632" i="5"/>
  <c r="DL1139" i="5"/>
  <c r="AG1590" i="2"/>
  <c r="AG1267" i="2"/>
  <c r="AG1622" i="2"/>
  <c r="DH1152" i="5"/>
  <c r="DH640" i="5"/>
  <c r="ED996" i="5"/>
  <c r="ED892" i="5"/>
  <c r="ED995" i="5" s="1"/>
  <c r="DT1152" i="5"/>
  <c r="DT640" i="5"/>
  <c r="AC1630" i="2"/>
  <c r="AC1618" i="2" s="1"/>
  <c r="AC1267" i="2"/>
  <c r="AC1266" i="2" s="1"/>
  <c r="AC1590" i="2"/>
  <c r="AC1598" i="2" s="1"/>
  <c r="HT857" i="5"/>
  <c r="CY993" i="5"/>
  <c r="CY856" i="5"/>
  <c r="CY992" i="5" s="1"/>
  <c r="EJ1133" i="5"/>
  <c r="EJ467" i="5"/>
  <c r="EJ1132" i="5" s="1"/>
  <c r="CY1133" i="5"/>
  <c r="CY628" i="5"/>
  <c r="AG580" i="5"/>
  <c r="AG649" i="5" s="1"/>
  <c r="AG643" i="5"/>
  <c r="HX795" i="5"/>
  <c r="AA1111" i="2" s="1"/>
  <c r="EL1147" i="5"/>
  <c r="EL505" i="5"/>
  <c r="FN1144" i="5"/>
  <c r="FN1142" i="5" s="1"/>
  <c r="IK757" i="5"/>
  <c r="IM757" i="5" s="1"/>
  <c r="AF1079" i="2" s="1"/>
  <c r="FN754" i="5"/>
  <c r="FN982" i="5" s="1"/>
  <c r="IG562" i="5"/>
  <c r="P93" i="7" s="1"/>
  <c r="FA1151" i="5"/>
  <c r="FA987" i="5"/>
  <c r="FA817" i="5"/>
  <c r="FA986" i="5" s="1"/>
  <c r="EL1134" i="5"/>
  <c r="EL468" i="5"/>
  <c r="FL928" i="5"/>
  <c r="IK929" i="5"/>
  <c r="IS732" i="5"/>
  <c r="AH1054" i="2" s="1"/>
  <c r="DD928" i="5"/>
  <c r="DD920" i="5" s="1"/>
  <c r="DD997" i="5" s="1"/>
  <c r="HV929" i="5"/>
  <c r="FE982" i="5"/>
  <c r="II754" i="5"/>
  <c r="AJ1788" i="2"/>
  <c r="AG704" i="2" s="1"/>
  <c r="AG701" i="2" s="1"/>
  <c r="AG878" i="2" s="1"/>
  <c r="AG926" i="2" s="1"/>
  <c r="IS692" i="5"/>
  <c r="AH1014" i="2" s="1"/>
  <c r="AH491" i="2" s="1"/>
  <c r="HX542" i="5"/>
  <c r="AA761" i="2" s="1"/>
  <c r="F74" i="7"/>
  <c r="H74" i="7" s="1"/>
  <c r="HV796" i="5"/>
  <c r="HV797" i="5" s="1"/>
  <c r="HV798" i="5" s="1"/>
  <c r="AE1613" i="2"/>
  <c r="IM906" i="5"/>
  <c r="AF1227" i="2" s="1"/>
  <c r="AF1614" i="2" s="1"/>
  <c r="AE1581" i="2"/>
  <c r="AE1579" i="2" s="1"/>
  <c r="AE1699" i="2" s="1"/>
  <c r="L1141" i="5"/>
  <c r="L635" i="5"/>
  <c r="CG992" i="5"/>
  <c r="HP856" i="5"/>
  <c r="CW1133" i="5"/>
  <c r="CW628" i="5"/>
  <c r="CW467" i="5"/>
  <c r="CW1132" i="5" s="1"/>
  <c r="DZ1156" i="5"/>
  <c r="DZ596" i="5"/>
  <c r="DZ1154" i="5" s="1"/>
  <c r="CH467" i="5"/>
  <c r="CH1132" i="5" s="1"/>
  <c r="BI978" i="5"/>
  <c r="BI666" i="5"/>
  <c r="CR640" i="5"/>
  <c r="CR1152" i="5"/>
  <c r="AC978" i="5"/>
  <c r="AC666" i="5"/>
  <c r="BS568" i="5"/>
  <c r="BS1132" i="5"/>
  <c r="BS627" i="5"/>
  <c r="BS567" i="5"/>
  <c r="EV1140" i="5"/>
  <c r="EV543" i="5"/>
  <c r="IF543" i="5" s="1"/>
  <c r="EV491" i="5"/>
  <c r="EV1138" i="5" s="1"/>
  <c r="IF497" i="5"/>
  <c r="O33" i="7" s="1"/>
  <c r="CD635" i="5"/>
  <c r="CV717" i="5"/>
  <c r="CV978" i="5" s="1"/>
  <c r="HS718" i="5"/>
  <c r="CH629" i="5"/>
  <c r="IA487" i="5"/>
  <c r="I26" i="7"/>
  <c r="K26" i="7" s="1"/>
  <c r="ER987" i="5"/>
  <c r="ER817" i="5"/>
  <c r="ER986" i="5" s="1"/>
  <c r="IS674" i="5"/>
  <c r="AH996" i="2" s="1"/>
  <c r="AH1789" i="2" s="1"/>
  <c r="AG1324" i="2"/>
  <c r="AG1411" i="2" s="1"/>
  <c r="AG607" i="2"/>
  <c r="AG1827" i="2"/>
  <c r="AO978" i="5"/>
  <c r="AO666" i="5"/>
  <c r="AO975" i="5" s="1"/>
  <c r="DG982" i="5"/>
  <c r="I978" i="5"/>
  <c r="I666" i="5"/>
  <c r="IS861" i="5"/>
  <c r="AH1178" i="2" s="1"/>
  <c r="C126" i="7"/>
  <c r="HT655" i="5"/>
  <c r="EP505" i="5"/>
  <c r="AI627" i="5"/>
  <c r="AI568" i="5"/>
  <c r="AI567" i="5"/>
  <c r="HW722" i="5"/>
  <c r="U978" i="5"/>
  <c r="U666" i="5"/>
  <c r="D51" i="7"/>
  <c r="HX515" i="5"/>
  <c r="HX1127" i="5" s="1"/>
  <c r="AG542" i="2"/>
  <c r="AG541" i="2"/>
  <c r="CV651" i="5"/>
  <c r="CV1153" i="5"/>
  <c r="EA1134" i="5"/>
  <c r="EA468" i="5"/>
  <c r="EA467" i="5" s="1"/>
  <c r="DM1134" i="5"/>
  <c r="DM468" i="5"/>
  <c r="DM628" i="5" s="1"/>
  <c r="FI996" i="5"/>
  <c r="FI892" i="5"/>
  <c r="FI995" i="5" s="1"/>
  <c r="FL817" i="5"/>
  <c r="FL986" i="5" s="1"/>
  <c r="FL1151" i="5"/>
  <c r="FL1149" i="5" s="1"/>
  <c r="FL1141" i="5" s="1"/>
  <c r="FL987" i="5"/>
  <c r="HV475" i="5"/>
  <c r="D15" i="7" s="1"/>
  <c r="EN977" i="5"/>
  <c r="IE707" i="5"/>
  <c r="DQ988" i="5"/>
  <c r="DQ817" i="5"/>
  <c r="DQ986" i="5" s="1"/>
  <c r="EN1156" i="5"/>
  <c r="EN596" i="5"/>
  <c r="EN1154" i="5" s="1"/>
  <c r="HQ718" i="5"/>
  <c r="EC817" i="5"/>
  <c r="EC986" i="5" s="1"/>
  <c r="FP717" i="5"/>
  <c r="FP666" i="5" s="1"/>
  <c r="FP816" i="5" s="1"/>
  <c r="HX736" i="5"/>
  <c r="AA1058" i="2" s="1"/>
  <c r="FJ1133" i="5"/>
  <c r="FJ976" i="5"/>
  <c r="BH978" i="5"/>
  <c r="BH666" i="5"/>
  <c r="EU996" i="5"/>
  <c r="EU892" i="5"/>
  <c r="EU995" i="5" s="1"/>
  <c r="Z573" i="5"/>
  <c r="Z1141" i="5"/>
  <c r="O573" i="5"/>
  <c r="O643" i="5" s="1"/>
  <c r="IG789" i="5"/>
  <c r="AD1103" i="2" s="1"/>
  <c r="FB1142" i="5"/>
  <c r="DI1139" i="5"/>
  <c r="DI632" i="5"/>
  <c r="DI491" i="5"/>
  <c r="HY722" i="5"/>
  <c r="FP1133" i="5"/>
  <c r="HX552" i="5"/>
  <c r="AA772" i="2" s="1"/>
  <c r="FE1149" i="5"/>
  <c r="V978" i="5"/>
  <c r="V666" i="5"/>
  <c r="AI978" i="5"/>
  <c r="AI666" i="5"/>
  <c r="EW1151" i="5"/>
  <c r="EW536" i="5"/>
  <c r="EW1149" i="5" s="1"/>
  <c r="N72" i="7"/>
  <c r="IG540" i="5"/>
  <c r="P72" i="7" s="1"/>
  <c r="P465" i="5"/>
  <c r="P626" i="5" s="1"/>
  <c r="P567" i="5"/>
  <c r="P627" i="5"/>
  <c r="IM714" i="5"/>
  <c r="AF1036" i="2" s="1"/>
  <c r="IV681" i="5"/>
  <c r="AI1003" i="2" s="1"/>
  <c r="GP717" i="5"/>
  <c r="IS672" i="5"/>
  <c r="AH994" i="2" s="1"/>
  <c r="HY529" i="5"/>
  <c r="G61" i="7" s="1"/>
  <c r="DO505" i="5"/>
  <c r="DO1142" i="5" s="1"/>
  <c r="HX540" i="5"/>
  <c r="AA759" i="2" s="1"/>
  <c r="CL505" i="5"/>
  <c r="CL636" i="5" s="1"/>
  <c r="GS717" i="5"/>
  <c r="DX987" i="5"/>
  <c r="DX817" i="5"/>
  <c r="DX986" i="5" s="1"/>
  <c r="ET596" i="5"/>
  <c r="ET1154" i="5" s="1"/>
  <c r="ET1156" i="5"/>
  <c r="DY987" i="5"/>
  <c r="DY817" i="5"/>
  <c r="DY986" i="5" s="1"/>
  <c r="DG468" i="5"/>
  <c r="DG467" i="5" s="1"/>
  <c r="DG1134" i="5"/>
  <c r="IR979" i="5"/>
  <c r="GW816" i="5"/>
  <c r="EF468" i="5"/>
  <c r="EF1133" i="5" s="1"/>
  <c r="CM651" i="5"/>
  <c r="EW521" i="5"/>
  <c r="EW1147" i="5" s="1"/>
  <c r="II958" i="5"/>
  <c r="II967" i="5" s="1"/>
  <c r="HS707" i="5"/>
  <c r="HS977" i="5" s="1"/>
  <c r="HR677" i="5"/>
  <c r="Y999" i="2" s="1"/>
  <c r="Y439" i="2" s="1"/>
  <c r="Y440" i="2" s="1"/>
  <c r="EG717" i="5"/>
  <c r="EG978" i="5" s="1"/>
  <c r="IH958" i="5"/>
  <c r="IH967" i="5" s="1"/>
  <c r="HR780" i="5"/>
  <c r="Y1095" i="2" s="1"/>
  <c r="Y1321" i="2" s="1"/>
  <c r="Y1408" i="2" s="1"/>
  <c r="CP817" i="5"/>
  <c r="CP986" i="5" s="1"/>
  <c r="HX723" i="5"/>
  <c r="AA1045" i="2" s="1"/>
  <c r="AA1302" i="2" s="1"/>
  <c r="EU598" i="5"/>
  <c r="EU1155" i="5" s="1"/>
  <c r="ID813" i="5"/>
  <c r="AC1129" i="2" s="1"/>
  <c r="DR1139" i="5"/>
  <c r="CT505" i="5"/>
  <c r="CT636" i="5" s="1"/>
  <c r="IM994" i="5"/>
  <c r="AF1211" i="2"/>
  <c r="AF1359" i="2" s="1"/>
  <c r="AF1446" i="2" s="1"/>
  <c r="FP988" i="5"/>
  <c r="FP1150" i="5"/>
  <c r="CN651" i="5"/>
  <c r="CN1153" i="5"/>
  <c r="CY1151" i="5"/>
  <c r="CY536" i="5"/>
  <c r="AK635" i="5"/>
  <c r="AK1141" i="5"/>
  <c r="DX1151" i="5"/>
  <c r="DX536" i="5"/>
  <c r="DX1149" i="5" s="1"/>
  <c r="IK822" i="5"/>
  <c r="N52" i="7"/>
  <c r="HX711" i="5"/>
  <c r="AA1033" i="2" s="1"/>
  <c r="HX719" i="5"/>
  <c r="AA1041" i="2" s="1"/>
  <c r="AA1299" i="2" s="1"/>
  <c r="AA1386" i="2" s="1"/>
  <c r="HR928" i="5"/>
  <c r="Y1247" i="2" s="1"/>
  <c r="IG935" i="5"/>
  <c r="AD1255" i="2" s="1"/>
  <c r="HX930" i="5"/>
  <c r="AA1249" i="2" s="1"/>
  <c r="AA1363" i="2" s="1"/>
  <c r="IA832" i="5"/>
  <c r="AB1148" i="2" s="1"/>
  <c r="CK893" i="5"/>
  <c r="HQ893" i="5" s="1"/>
  <c r="HS611" i="5"/>
  <c r="HS610" i="5" s="1"/>
  <c r="HS657" i="5" s="1"/>
  <c r="Z666" i="5"/>
  <c r="Z815" i="5" s="1"/>
  <c r="Z984" i="5" s="1"/>
  <c r="EP1139" i="5"/>
  <c r="IG595" i="5"/>
  <c r="AD826" i="2" s="1"/>
  <c r="DL717" i="5"/>
  <c r="DL978" i="5" s="1"/>
  <c r="HX713" i="5"/>
  <c r="AA1035" i="2" s="1"/>
  <c r="E21" i="7"/>
  <c r="CP717" i="5"/>
  <c r="CP978" i="5" s="1"/>
  <c r="AK978" i="5"/>
  <c r="AK666" i="5"/>
  <c r="CU1138" i="5"/>
  <c r="CU631" i="5"/>
  <c r="FO997" i="5"/>
  <c r="FO1153" i="5"/>
  <c r="DZ892" i="5"/>
  <c r="DZ995" i="5" s="1"/>
  <c r="DZ996" i="5"/>
  <c r="ID669" i="5"/>
  <c r="AC991" i="2" s="1"/>
  <c r="HR719" i="5"/>
  <c r="Y1041" i="2" s="1"/>
  <c r="Y1299" i="2" s="1"/>
  <c r="Y1386" i="2" s="1"/>
  <c r="CK717" i="5"/>
  <c r="IA542" i="5"/>
  <c r="HU709" i="5"/>
  <c r="Z1031" i="2" s="1"/>
  <c r="IV822" i="5"/>
  <c r="AI1138" i="2" s="1"/>
  <c r="IM813" i="5"/>
  <c r="AF1129" i="2" s="1"/>
  <c r="HX689" i="5"/>
  <c r="AA1011" i="2" s="1"/>
  <c r="AA480" i="2" s="1"/>
  <c r="ID757" i="5"/>
  <c r="AC1079" i="2" s="1"/>
  <c r="Q978" i="5"/>
  <c r="Q666" i="5"/>
  <c r="DL651" i="5"/>
  <c r="DL1153" i="5"/>
  <c r="EJ1151" i="5"/>
  <c r="EJ536" i="5"/>
  <c r="EJ1149" i="5" s="1"/>
  <c r="IV736" i="5"/>
  <c r="AI1058" i="2" s="1"/>
  <c r="IU667" i="5"/>
  <c r="O572" i="5"/>
  <c r="O642" i="5" s="1"/>
  <c r="IS764" i="5"/>
  <c r="AH1086" i="2" s="1"/>
  <c r="GQ816" i="5"/>
  <c r="IS684" i="5"/>
  <c r="AH1006" i="2" s="1"/>
  <c r="AH467" i="2" s="1"/>
  <c r="GM717" i="5"/>
  <c r="IV697" i="5"/>
  <c r="AI1019" i="2" s="1"/>
  <c r="ID715" i="5"/>
  <c r="AC1037" i="2" s="1"/>
  <c r="AC1211" i="2"/>
  <c r="AC1359" i="2" s="1"/>
  <c r="AC1446" i="2" s="1"/>
  <c r="EA596" i="5"/>
  <c r="EA582" i="5" s="1"/>
  <c r="FN717" i="5"/>
  <c r="FN978" i="5" s="1"/>
  <c r="FP1153" i="5"/>
  <c r="DV987" i="5"/>
  <c r="HT611" i="5"/>
  <c r="HT658" i="5" s="1"/>
  <c r="BN567" i="5"/>
  <c r="DK892" i="5"/>
  <c r="DK995" i="5" s="1"/>
  <c r="CN543" i="5"/>
  <c r="CN536" i="5" s="1"/>
  <c r="CN631" i="5"/>
  <c r="FE1142" i="5"/>
  <c r="FU1142" i="5"/>
  <c r="IJ711" i="5"/>
  <c r="AE1033" i="2" s="1"/>
  <c r="HX675" i="5"/>
  <c r="AA997" i="2" s="1"/>
  <c r="AA435" i="2" s="1"/>
  <c r="FM1151" i="5"/>
  <c r="FM1149" i="5" s="1"/>
  <c r="FP1142" i="5"/>
  <c r="EF1156" i="5"/>
  <c r="IG727" i="5"/>
  <c r="AD1049" i="2" s="1"/>
  <c r="AD1305" i="2" s="1"/>
  <c r="T567" i="5"/>
  <c r="AK573" i="5"/>
  <c r="AK643" i="5" s="1"/>
  <c r="BJ635" i="5"/>
  <c r="BJ1141" i="5"/>
  <c r="EB996" i="5"/>
  <c r="EB892" i="5"/>
  <c r="EB995" i="5" s="1"/>
  <c r="J978" i="5"/>
  <c r="J666" i="5"/>
  <c r="EB491" i="5"/>
  <c r="EB1138" i="5" s="1"/>
  <c r="EB1139" i="5"/>
  <c r="FB717" i="5"/>
  <c r="HT575" i="5"/>
  <c r="HT645" i="5"/>
  <c r="C106" i="7"/>
  <c r="IG677" i="5"/>
  <c r="AD999" i="2" s="1"/>
  <c r="AD439" i="2" s="1"/>
  <c r="IS747" i="5"/>
  <c r="AH1069" i="2" s="1"/>
  <c r="AH545" i="2" s="1"/>
  <c r="G63" i="7"/>
  <c r="H63" i="7" s="1"/>
  <c r="ID673" i="5"/>
  <c r="AC995" i="2" s="1"/>
  <c r="AD1788" i="2" s="1"/>
  <c r="CA978" i="5"/>
  <c r="EZ1137" i="5"/>
  <c r="BV666" i="5"/>
  <c r="BV834" i="5" s="1"/>
  <c r="CN1140" i="5"/>
  <c r="HX554" i="5"/>
  <c r="AA774" i="2" s="1"/>
  <c r="FK976" i="5"/>
  <c r="DW491" i="5"/>
  <c r="DW1138" i="5" s="1"/>
  <c r="DW1139" i="5"/>
  <c r="FG977" i="5"/>
  <c r="FG1137" i="5"/>
  <c r="DH632" i="5"/>
  <c r="DH491" i="5"/>
  <c r="DH1139" i="5"/>
  <c r="EC1139" i="5"/>
  <c r="EC491" i="5"/>
  <c r="EC1138" i="5" s="1"/>
  <c r="H975" i="5"/>
  <c r="H816" i="5"/>
  <c r="H985" i="5" s="1"/>
  <c r="HA717" i="5"/>
  <c r="DW817" i="5"/>
  <c r="DW986" i="5" s="1"/>
  <c r="BM465" i="5"/>
  <c r="BM572" i="5" s="1"/>
  <c r="CI505" i="5"/>
  <c r="CI636" i="5" s="1"/>
  <c r="IS679" i="5"/>
  <c r="AH1001" i="2" s="1"/>
  <c r="AH450" i="2" s="1"/>
  <c r="GY717" i="5"/>
  <c r="DP505" i="5"/>
  <c r="DP636" i="5" s="1"/>
  <c r="IG723" i="5"/>
  <c r="AD1045" i="2" s="1"/>
  <c r="AD1302" i="2" s="1"/>
  <c r="EI536" i="5"/>
  <c r="EI1149" i="5" s="1"/>
  <c r="HS979" i="5"/>
  <c r="FF997" i="5"/>
  <c r="HT707" i="5"/>
  <c r="HT977" i="5" s="1"/>
  <c r="IL958" i="5"/>
  <c r="IL967" i="5" s="1"/>
  <c r="FQ1137" i="5"/>
  <c r="CR1073" i="5"/>
  <c r="CR1095" i="5" s="1"/>
  <c r="IA678" i="5"/>
  <c r="AB1000" i="2" s="1"/>
  <c r="AB443" i="2" s="1"/>
  <c r="IJ830" i="5"/>
  <c r="AE1146" i="2" s="1"/>
  <c r="CN633" i="5"/>
  <c r="ID788" i="5"/>
  <c r="AC1102" i="2" s="1"/>
  <c r="HU899" i="5"/>
  <c r="Z1220" i="2" s="1"/>
  <c r="DC1139" i="5"/>
  <c r="DC632" i="5"/>
  <c r="IA994" i="5"/>
  <c r="AB1211" i="2"/>
  <c r="AB1359" i="2" s="1"/>
  <c r="AB1446" i="2" s="1"/>
  <c r="CD996" i="5"/>
  <c r="CD892" i="5"/>
  <c r="CD995" i="5" s="1"/>
  <c r="CQ1139" i="5"/>
  <c r="CQ632" i="5"/>
  <c r="G978" i="5"/>
  <c r="G666" i="5"/>
  <c r="EY1153" i="5"/>
  <c r="EY997" i="5"/>
  <c r="IG738" i="5"/>
  <c r="AD1060" i="2" s="1"/>
  <c r="HR788" i="5"/>
  <c r="Y1102" i="2" s="1"/>
  <c r="IA736" i="5"/>
  <c r="AB1058" i="2" s="1"/>
  <c r="IS723" i="5"/>
  <c r="AH1045" i="2" s="1"/>
  <c r="AH1302" i="2" s="1"/>
  <c r="AH1389" i="2" s="1"/>
  <c r="HV958" i="5"/>
  <c r="HV967" i="5" s="1"/>
  <c r="HX673" i="5"/>
  <c r="AA995" i="2" s="1"/>
  <c r="AA1291" i="2" s="1"/>
  <c r="AA1378" i="2" s="1"/>
  <c r="IJ704" i="5"/>
  <c r="AE1026" i="2" s="1"/>
  <c r="AE520" i="2" s="1"/>
  <c r="IS696" i="5"/>
  <c r="AH1018" i="2" s="1"/>
  <c r="AH499" i="2" s="1"/>
  <c r="IS689" i="5"/>
  <c r="AH1011" i="2" s="1"/>
  <c r="AH479" i="2" s="1"/>
  <c r="BS573" i="5"/>
  <c r="BS580" i="5" s="1"/>
  <c r="BS649" i="5" s="1"/>
  <c r="IG600" i="5"/>
  <c r="P129" i="7" s="1"/>
  <c r="F141" i="7"/>
  <c r="FI1137" i="5"/>
  <c r="FF1153" i="5"/>
  <c r="HS514" i="5"/>
  <c r="N666" i="5"/>
  <c r="N815" i="5" s="1"/>
  <c r="N984" i="5" s="1"/>
  <c r="CE996" i="5"/>
  <c r="DB505" i="5"/>
  <c r="DB1142" i="5" s="1"/>
  <c r="IA716" i="5"/>
  <c r="AB1038" i="2" s="1"/>
  <c r="CJ1073" i="5"/>
  <c r="CJ1095" i="5" s="1"/>
  <c r="X651" i="2" s="1"/>
  <c r="AP666" i="5"/>
  <c r="AP816" i="5" s="1"/>
  <c r="AP985" i="5" s="1"/>
  <c r="HS523" i="5"/>
  <c r="T465" i="5"/>
  <c r="T572" i="5" s="1"/>
  <c r="IJ781" i="5"/>
  <c r="AE1096" i="2" s="1"/>
  <c r="EA987" i="5"/>
  <c r="EA817" i="5"/>
  <c r="EA986" i="5" s="1"/>
  <c r="AG978" i="5"/>
  <c r="AG666" i="5"/>
  <c r="CJ651" i="5"/>
  <c r="CJ1153" i="5"/>
  <c r="BG568" i="5"/>
  <c r="BG569" i="5"/>
  <c r="AM568" i="5"/>
  <c r="AM627" i="5"/>
  <c r="AM567" i="5"/>
  <c r="AM569" i="5"/>
  <c r="DC996" i="5"/>
  <c r="DC892" i="5"/>
  <c r="DC995" i="5" s="1"/>
  <c r="H27" i="7"/>
  <c r="HX716" i="5"/>
  <c r="AA1038" i="2" s="1"/>
  <c r="CP892" i="5"/>
  <c r="CP995" i="5" s="1"/>
  <c r="HR721" i="5"/>
  <c r="Y1043" i="2" s="1"/>
  <c r="DM817" i="5"/>
  <c r="DM986" i="5" s="1"/>
  <c r="DM988" i="5"/>
  <c r="CT1153" i="5"/>
  <c r="CT651" i="5"/>
  <c r="EQ1151" i="5"/>
  <c r="EQ536" i="5"/>
  <c r="EQ1149" i="5" s="1"/>
  <c r="DH467" i="5"/>
  <c r="EY1142" i="5"/>
  <c r="FI976" i="5"/>
  <c r="FI1133" i="5"/>
  <c r="BX635" i="5"/>
  <c r="BX1141" i="5"/>
  <c r="FD817" i="5"/>
  <c r="FD986" i="5" s="1"/>
  <c r="IA531" i="5"/>
  <c r="HU698" i="5"/>
  <c r="Z1020" i="2" s="1"/>
  <c r="Z503" i="2" s="1"/>
  <c r="HW492" i="5"/>
  <c r="HW491" i="5" s="1"/>
  <c r="GI717" i="5"/>
  <c r="CA567" i="5"/>
  <c r="ID714" i="5"/>
  <c r="AC1036" i="2" s="1"/>
  <c r="DJ491" i="5"/>
  <c r="DJ631" i="5" s="1"/>
  <c r="EM467" i="5"/>
  <c r="EM1132" i="5" s="1"/>
  <c r="IM731" i="5"/>
  <c r="AF1053" i="2" s="1"/>
  <c r="AF531" i="2" s="1"/>
  <c r="HX206" i="5"/>
  <c r="DG892" i="5"/>
  <c r="DG995" i="5" s="1"/>
  <c r="CL717" i="5"/>
  <c r="CL978" i="5" s="1"/>
  <c r="HX781" i="5"/>
  <c r="AA1096" i="2" s="1"/>
  <c r="CN505" i="5"/>
  <c r="CN1142" i="5" s="1"/>
  <c r="IF929" i="5"/>
  <c r="CK505" i="5"/>
  <c r="CK636" i="5" s="1"/>
  <c r="CN717" i="5"/>
  <c r="CN978" i="5" s="1"/>
  <c r="IS789" i="5"/>
  <c r="AH1103" i="2" s="1"/>
  <c r="BJ666" i="5"/>
  <c r="BJ835" i="5" s="1"/>
  <c r="BJ991" i="5" s="1"/>
  <c r="CT717" i="5"/>
  <c r="CT978" i="5" s="1"/>
  <c r="EZ717" i="5"/>
  <c r="EZ666" i="5" s="1"/>
  <c r="DD988" i="5"/>
  <c r="DD817" i="5"/>
  <c r="DD986" i="5" s="1"/>
  <c r="AF103" i="19"/>
  <c r="AH103" i="19" s="1"/>
  <c r="AK1068" i="2"/>
  <c r="AL1068" i="2" s="1"/>
  <c r="JE746" i="5" s="1"/>
  <c r="AG1630" i="2"/>
  <c r="IY722" i="5"/>
  <c r="IX722" i="5" s="1"/>
  <c r="O14" i="19"/>
  <c r="N14" i="19" s="1"/>
  <c r="Y1590" i="2"/>
  <c r="Y1598" i="2" s="1"/>
  <c r="IY895" i="5"/>
  <c r="IX895" i="5" s="1"/>
  <c r="Y1596" i="2"/>
  <c r="Q16" i="19"/>
  <c r="AE1597" i="2"/>
  <c r="AL1590" i="2"/>
  <c r="JE718" i="5"/>
  <c r="AE11" i="19"/>
  <c r="Q12" i="19"/>
  <c r="JB722" i="5"/>
  <c r="W14" i="19"/>
  <c r="IP518" i="5"/>
  <c r="IO518" i="5" s="1"/>
  <c r="JM910" i="5"/>
  <c r="JM909" i="5" s="1"/>
  <c r="AL1622" i="2"/>
  <c r="AL1267" i="2"/>
  <c r="JH718" i="5"/>
  <c r="JG718" i="5" s="1"/>
  <c r="AI1267" i="2"/>
  <c r="O21" i="19"/>
  <c r="N21" i="19" s="1"/>
  <c r="AI1765" i="2"/>
  <c r="AI1622" i="2"/>
  <c r="AF12" i="19"/>
  <c r="AH12" i="19" s="1"/>
  <c r="JE859" i="5"/>
  <c r="JD859" i="5" s="1"/>
  <c r="JH722" i="5"/>
  <c r="AI1590" i="2"/>
  <c r="IY738" i="5"/>
  <c r="IX738" i="5" s="1"/>
  <c r="E17" i="19"/>
  <c r="G17" i="19" s="1"/>
  <c r="AC1579" i="2"/>
  <c r="AC1699" i="2" s="1"/>
  <c r="AG1154" i="2"/>
  <c r="AG1341" i="2" s="1"/>
  <c r="AG1428" i="2" s="1"/>
  <c r="AK1147" i="2"/>
  <c r="JB831" i="5" s="1"/>
  <c r="AF1615" i="2"/>
  <c r="E11" i="19"/>
  <c r="G11" i="19" s="1"/>
  <c r="E96" i="19"/>
  <c r="G96" i="19" s="1"/>
  <c r="E36" i="19"/>
  <c r="G36" i="19" s="1"/>
  <c r="E13" i="19"/>
  <c r="G13" i="19" s="1"/>
  <c r="E21" i="19"/>
  <c r="G21" i="19" s="1"/>
  <c r="E72" i="19"/>
  <c r="G72" i="19" s="1"/>
  <c r="E98" i="19"/>
  <c r="G98" i="19" s="1"/>
  <c r="E15" i="19"/>
  <c r="G15" i="19" s="1"/>
  <c r="E74" i="19"/>
  <c r="G74" i="19" s="1"/>
  <c r="E81" i="19"/>
  <c r="G81" i="19" s="1"/>
  <c r="AH1771" i="2"/>
  <c r="AF1631" i="2"/>
  <c r="IY802" i="5"/>
  <c r="IX802" i="5" s="1"/>
  <c r="AI1770" i="2"/>
  <c r="AF680" i="2" s="1"/>
  <c r="IM474" i="5" s="1"/>
  <c r="T14" i="7" s="1"/>
  <c r="D73" i="19"/>
  <c r="AH1769" i="2"/>
  <c r="E97" i="19"/>
  <c r="G97" i="19" s="1"/>
  <c r="E12" i="19"/>
  <c r="G12" i="19" s="1"/>
  <c r="AI1363" i="2"/>
  <c r="AI1450" i="2" s="1"/>
  <c r="D101" i="19"/>
  <c r="E29" i="19"/>
  <c r="G29" i="19" s="1"/>
  <c r="E68" i="19"/>
  <c r="G68" i="19" s="1"/>
  <c r="JA883" i="5"/>
  <c r="JA661" i="5" s="1"/>
  <c r="U76" i="19"/>
  <c r="V76" i="19" s="1"/>
  <c r="IZ877" i="5"/>
  <c r="E41" i="19"/>
  <c r="G41" i="19" s="1"/>
  <c r="AI1365" i="2"/>
  <c r="AI1452" i="2" s="1"/>
  <c r="D104" i="19"/>
  <c r="E16" i="19"/>
  <c r="G16" i="19" s="1"/>
  <c r="E63" i="19"/>
  <c r="G63" i="19" s="1"/>
  <c r="F109" i="19"/>
  <c r="E88" i="19"/>
  <c r="G88" i="19" s="1"/>
  <c r="JA919" i="5"/>
  <c r="U94" i="19"/>
  <c r="V94" i="19" s="1"/>
  <c r="E64" i="19"/>
  <c r="E85" i="19"/>
  <c r="G85" i="19" s="1"/>
  <c r="E33" i="19"/>
  <c r="G33" i="19" s="1"/>
  <c r="AC1622" i="2"/>
  <c r="E31" i="19"/>
  <c r="G31" i="19" s="1"/>
  <c r="AE1615" i="2"/>
  <c r="AI1268" i="2"/>
  <c r="E57" i="19"/>
  <c r="G57" i="19" s="1"/>
  <c r="E14" i="19"/>
  <c r="G14" i="19" s="1"/>
  <c r="Q17" i="19"/>
  <c r="P103" i="19"/>
  <c r="R103" i="19" s="1"/>
  <c r="AO103" i="19"/>
  <c r="AN103" i="19"/>
  <c r="AP103" i="19" s="1"/>
  <c r="AJ1771" i="2"/>
  <c r="Q32" i="19"/>
  <c r="Q42" i="19"/>
  <c r="X104" i="19"/>
  <c r="Z104" i="19" s="1"/>
  <c r="X63" i="19"/>
  <c r="Z63" i="19" s="1"/>
  <c r="AG1862" i="2"/>
  <c r="AD821" i="2" s="1"/>
  <c r="P63" i="19"/>
  <c r="R63" i="19" s="1"/>
  <c r="AG1291" i="2"/>
  <c r="AG1378" i="2" s="1"/>
  <c r="AJ1217" i="2"/>
  <c r="AJ1268" i="2" s="1"/>
  <c r="AE1587" i="2"/>
  <c r="AE1696" i="2" s="1"/>
  <c r="AI1358" i="2"/>
  <c r="AI1445" i="2" s="1"/>
  <c r="AK1050" i="2"/>
  <c r="AG1273" i="2"/>
  <c r="AG1281" i="2" s="1"/>
  <c r="AH1626" i="2"/>
  <c r="AG1156" i="2"/>
  <c r="AG1343" i="2" s="1"/>
  <c r="AG1430" i="2" s="1"/>
  <c r="IC529" i="5"/>
  <c r="L61" i="7" s="1"/>
  <c r="IM590" i="5"/>
  <c r="S119" i="7" s="1"/>
  <c r="AF1364" i="2"/>
  <c r="AF1451" i="2" s="1"/>
  <c r="AE1619" i="2"/>
  <c r="AG729" i="2"/>
  <c r="IP514" i="5" s="1"/>
  <c r="IO514" i="5" s="1"/>
  <c r="AG1623" i="2"/>
  <c r="AG1765" i="2"/>
  <c r="AG1155" i="2"/>
  <c r="AG1342" i="2" s="1"/>
  <c r="AG1429" i="2" s="1"/>
  <c r="DG1147" i="5"/>
  <c r="DG505" i="5"/>
  <c r="DG636" i="5" s="1"/>
  <c r="CP1153" i="5"/>
  <c r="CP651" i="5"/>
  <c r="AH1177" i="2"/>
  <c r="AL1177" i="2"/>
  <c r="JE860" i="5" s="1"/>
  <c r="JC860" i="5" s="1"/>
  <c r="JD860" i="5" s="1"/>
  <c r="BT568" i="5"/>
  <c r="BT1132" i="5"/>
  <c r="BT569" i="5"/>
  <c r="BT567" i="5"/>
  <c r="BT627" i="5"/>
  <c r="BT465" i="5"/>
  <c r="BT626" i="5" s="1"/>
  <c r="AG1304" i="2"/>
  <c r="AG1391" i="2" s="1"/>
  <c r="IV689" i="5"/>
  <c r="AI1011" i="2" s="1"/>
  <c r="AI479" i="2" s="1"/>
  <c r="EF505" i="5"/>
  <c r="EF1142" i="5" s="1"/>
  <c r="HP722" i="5"/>
  <c r="HV707" i="5"/>
  <c r="H835" i="5"/>
  <c r="H991" i="5" s="1"/>
  <c r="HZ818" i="5"/>
  <c r="IA818" i="5" s="1"/>
  <c r="AB1134" i="2" s="1"/>
  <c r="AB1331" i="2" s="1"/>
  <c r="AB1418" i="2" s="1"/>
  <c r="CQ505" i="5"/>
  <c r="CQ1142" i="5" s="1"/>
  <c r="AT666" i="5"/>
  <c r="AT834" i="5" s="1"/>
  <c r="DK1152" i="5"/>
  <c r="DK640" i="5"/>
  <c r="AE465" i="5"/>
  <c r="AE569" i="5"/>
  <c r="AE567" i="5"/>
  <c r="AE627" i="5"/>
  <c r="AE1132" i="5"/>
  <c r="AE568" i="5"/>
  <c r="BT816" i="5"/>
  <c r="BT985" i="5" s="1"/>
  <c r="BT834" i="5"/>
  <c r="BT990" i="5" s="1"/>
  <c r="BT975" i="5"/>
  <c r="IM671" i="5"/>
  <c r="AF993" i="2" s="1"/>
  <c r="IS701" i="5"/>
  <c r="AH1023" i="2" s="1"/>
  <c r="AH507" i="2" s="1"/>
  <c r="CK817" i="5"/>
  <c r="CK986" i="5" s="1"/>
  <c r="FJ717" i="5"/>
  <c r="FJ666" i="5" s="1"/>
  <c r="BF666" i="5"/>
  <c r="BF834" i="5" s="1"/>
  <c r="IO817" i="5"/>
  <c r="IO957" i="5" s="1"/>
  <c r="IO955" i="5" s="1"/>
  <c r="IO963" i="5" s="1"/>
  <c r="KN465" i="5"/>
  <c r="KN626" i="5" s="1"/>
  <c r="CS505" i="5"/>
  <c r="FF987" i="5"/>
  <c r="FF817" i="5"/>
  <c r="FF986" i="5" s="1"/>
  <c r="AK569" i="5"/>
  <c r="AK627" i="5"/>
  <c r="AK567" i="5"/>
  <c r="AK465" i="5"/>
  <c r="AK568" i="5"/>
  <c r="AH568" i="5"/>
  <c r="AH465" i="5"/>
  <c r="AH569" i="5"/>
  <c r="IJ679" i="5"/>
  <c r="AE1001" i="2" s="1"/>
  <c r="H834" i="5"/>
  <c r="H941" i="5" s="1"/>
  <c r="H998" i="5" s="1"/>
  <c r="DY996" i="5"/>
  <c r="DY892" i="5"/>
  <c r="DY995" i="5" s="1"/>
  <c r="K116" i="7"/>
  <c r="AH1269" i="2"/>
  <c r="IS737" i="5"/>
  <c r="AH1059" i="2" s="1"/>
  <c r="AH1794" i="2" s="1"/>
  <c r="FF1142" i="5"/>
  <c r="HU727" i="5"/>
  <c r="Z1049" i="2" s="1"/>
  <c r="Z1305" i="2" s="1"/>
  <c r="Z1392" i="2" s="1"/>
  <c r="ED491" i="5"/>
  <c r="ED1138" i="5" s="1"/>
  <c r="DC640" i="5"/>
  <c r="IA711" i="5"/>
  <c r="AB1033" i="2" s="1"/>
  <c r="HZ920" i="5"/>
  <c r="IG589" i="5"/>
  <c r="P118" i="7" s="1"/>
  <c r="DD640" i="5"/>
  <c r="DD1152" i="5"/>
  <c r="DE1153" i="5"/>
  <c r="DE651" i="5"/>
  <c r="IF796" i="5"/>
  <c r="IF800" i="5" s="1"/>
  <c r="BV1141" i="5"/>
  <c r="BV635" i="5"/>
  <c r="I126" i="7"/>
  <c r="HZ1107" i="5"/>
  <c r="EK817" i="5"/>
  <c r="EK986" i="5" s="1"/>
  <c r="EK988" i="5"/>
  <c r="IV870" i="5"/>
  <c r="AI1187" i="2" s="1"/>
  <c r="IM672" i="5"/>
  <c r="AF994" i="2" s="1"/>
  <c r="AF1531" i="2" s="1"/>
  <c r="CG467" i="5"/>
  <c r="CG627" i="5" s="1"/>
  <c r="IC822" i="5"/>
  <c r="AH1630" i="2"/>
  <c r="IV683" i="5"/>
  <c r="AI1005" i="2" s="1"/>
  <c r="AI462" i="2" s="1"/>
  <c r="ES468" i="5"/>
  <c r="ES1133" i="5" s="1"/>
  <c r="F106" i="7"/>
  <c r="HX671" i="5"/>
  <c r="AA993" i="2" s="1"/>
  <c r="HT475" i="5"/>
  <c r="C15" i="7" s="1"/>
  <c r="DS536" i="5"/>
  <c r="DS1151" i="5"/>
  <c r="CJ640" i="5"/>
  <c r="CJ1152" i="5"/>
  <c r="EI1133" i="5"/>
  <c r="EI467" i="5"/>
  <c r="EI1132" i="5" s="1"/>
  <c r="CF1152" i="5"/>
  <c r="CF640" i="5"/>
  <c r="FO981" i="5"/>
  <c r="FO1137" i="5"/>
  <c r="AI1141" i="5"/>
  <c r="AI635" i="5"/>
  <c r="E120" i="7"/>
  <c r="AH1613" i="2"/>
  <c r="AH1581" i="2"/>
  <c r="D85" i="7"/>
  <c r="E85" i="7" s="1"/>
  <c r="HX553" i="5"/>
  <c r="AA773" i="2" s="1"/>
  <c r="DF651" i="5"/>
  <c r="DF1153" i="5"/>
  <c r="DC468" i="5"/>
  <c r="DC467" i="5" s="1"/>
  <c r="DC1134" i="5"/>
  <c r="CL1153" i="5"/>
  <c r="CL651" i="5"/>
  <c r="DL468" i="5"/>
  <c r="DL628" i="5" s="1"/>
  <c r="HV523" i="5"/>
  <c r="D57" i="7" s="1"/>
  <c r="IF470" i="5"/>
  <c r="O10" i="7" s="1"/>
  <c r="HR671" i="5"/>
  <c r="Y993" i="2" s="1"/>
  <c r="X1530" i="2" s="1"/>
  <c r="IK856" i="5"/>
  <c r="IA609" i="5"/>
  <c r="FH717" i="5"/>
  <c r="FH1138" i="5" s="1"/>
  <c r="HU678" i="5"/>
  <c r="Z1000" i="2" s="1"/>
  <c r="Z442" i="2" s="1"/>
  <c r="IF611" i="5"/>
  <c r="IF620" i="5" s="1"/>
  <c r="EN817" i="5"/>
  <c r="EN986" i="5" s="1"/>
  <c r="IF898" i="5"/>
  <c r="HV470" i="5"/>
  <c r="D10" i="7" s="1"/>
  <c r="E10" i="7" s="1"/>
  <c r="AI573" i="5"/>
  <c r="AI643" i="5" s="1"/>
  <c r="ES1156" i="5"/>
  <c r="ES596" i="5"/>
  <c r="DN640" i="5"/>
  <c r="DN1152" i="5"/>
  <c r="CW505" i="5"/>
  <c r="R568" i="5"/>
  <c r="R465" i="5"/>
  <c r="R1132" i="5"/>
  <c r="R627" i="5"/>
  <c r="R567" i="5"/>
  <c r="BB627" i="5"/>
  <c r="BB568" i="5"/>
  <c r="BB465" i="5"/>
  <c r="BB1132" i="5"/>
  <c r="BB567" i="5"/>
  <c r="AG434" i="2"/>
  <c r="AN1624" i="2"/>
  <c r="AF617" i="2"/>
  <c r="AF618" i="2" s="1"/>
  <c r="IV698" i="5"/>
  <c r="AI1020" i="2" s="1"/>
  <c r="GZ816" i="5"/>
  <c r="DV505" i="5"/>
  <c r="DV1142" i="5" s="1"/>
  <c r="IE730" i="5"/>
  <c r="IG520" i="5"/>
  <c r="AD735" i="2" s="1"/>
  <c r="IE611" i="5"/>
  <c r="F978" i="5"/>
  <c r="F666" i="5"/>
  <c r="DY596" i="5"/>
  <c r="DY1156" i="5"/>
  <c r="FS1151" i="5"/>
  <c r="FS987" i="5"/>
  <c r="W1132" i="5"/>
  <c r="W568" i="5"/>
  <c r="W627" i="5"/>
  <c r="W569" i="5"/>
  <c r="CP1140" i="5"/>
  <c r="CP633" i="5"/>
  <c r="CP491" i="5"/>
  <c r="G62" i="7"/>
  <c r="H62" i="7" s="1"/>
  <c r="IA530" i="5"/>
  <c r="IJ757" i="5"/>
  <c r="AE1079" i="2" s="1"/>
  <c r="AJ1094" i="2"/>
  <c r="O31" i="19" s="1"/>
  <c r="N31" i="19" s="1"/>
  <c r="IV747" i="5"/>
  <c r="AI1069" i="2" s="1"/>
  <c r="CS817" i="5"/>
  <c r="CS986" i="5" s="1"/>
  <c r="ID935" i="5"/>
  <c r="AC1255" i="2" s="1"/>
  <c r="HZ475" i="5"/>
  <c r="I15" i="7" s="1"/>
  <c r="K15" i="7" s="1"/>
  <c r="H18" i="7"/>
  <c r="IC754" i="5"/>
  <c r="IE610" i="5"/>
  <c r="N137" i="7" s="1"/>
  <c r="FE893" i="5"/>
  <c r="II898" i="5"/>
  <c r="AE1584" i="2" s="1"/>
  <c r="W978" i="5"/>
  <c r="W666" i="5"/>
  <c r="HU716" i="5"/>
  <c r="Z1038" i="2" s="1"/>
  <c r="AX635" i="5"/>
  <c r="AX1141" i="5"/>
  <c r="AF568" i="5"/>
  <c r="AF567" i="5"/>
  <c r="AF627" i="5"/>
  <c r="AF1132" i="5"/>
  <c r="AF465" i="5"/>
  <c r="AF569" i="5"/>
  <c r="HY655" i="5"/>
  <c r="G126" i="7"/>
  <c r="H126" i="7" s="1"/>
  <c r="HY1107" i="5"/>
  <c r="IA597" i="5"/>
  <c r="IA1107" i="5" s="1"/>
  <c r="HT585" i="5"/>
  <c r="C115" i="7" s="1"/>
  <c r="ID675" i="5"/>
  <c r="AC997" i="2" s="1"/>
  <c r="GH986" i="5"/>
  <c r="FG1153" i="5"/>
  <c r="FG997" i="5"/>
  <c r="EE987" i="5"/>
  <c r="EE817" i="5"/>
  <c r="EE986" i="5" s="1"/>
  <c r="DR629" i="5"/>
  <c r="DR1137" i="5"/>
  <c r="CS1133" i="5"/>
  <c r="CS628" i="5"/>
  <c r="CS467" i="5"/>
  <c r="DG1153" i="5"/>
  <c r="DG651" i="5"/>
  <c r="EX1156" i="5"/>
  <c r="EX596" i="5"/>
  <c r="G140" i="7"/>
  <c r="IA613" i="5"/>
  <c r="K14" i="7"/>
  <c r="HF717" i="5"/>
  <c r="CO505" i="5"/>
  <c r="IE514" i="5"/>
  <c r="N50" i="7" s="1"/>
  <c r="HU675" i="5"/>
  <c r="Z997" i="2" s="1"/>
  <c r="IC929" i="5"/>
  <c r="IA481" i="5"/>
  <c r="EB817" i="5"/>
  <c r="EB986" i="5" s="1"/>
  <c r="IL722" i="5"/>
  <c r="CQ987" i="5"/>
  <c r="CQ817" i="5"/>
  <c r="CQ986" i="5" s="1"/>
  <c r="HU714" i="5"/>
  <c r="Z1036" i="2" s="1"/>
  <c r="DQ596" i="5"/>
  <c r="DQ1156" i="5"/>
  <c r="BA1132" i="5"/>
  <c r="BA569" i="5"/>
  <c r="BA627" i="5"/>
  <c r="BA567" i="5"/>
  <c r="BA568" i="5"/>
  <c r="BA465" i="5"/>
  <c r="GV816" i="5"/>
  <c r="IA671" i="5"/>
  <c r="AB993" i="2" s="1"/>
  <c r="HR704" i="5"/>
  <c r="Y1026" i="2" s="1"/>
  <c r="IJ698" i="5"/>
  <c r="AE1020" i="2" s="1"/>
  <c r="HV822" i="5"/>
  <c r="H21" i="7"/>
  <c r="CG1133" i="5"/>
  <c r="HY929" i="5"/>
  <c r="IV693" i="5"/>
  <c r="AI1015" i="2" s="1"/>
  <c r="AI495" i="2" s="1"/>
  <c r="IS675" i="5"/>
  <c r="AH997" i="2" s="1"/>
  <c r="AH434" i="2" s="1"/>
  <c r="IM675" i="5"/>
  <c r="AF997" i="2" s="1"/>
  <c r="AF434" i="2" s="1"/>
  <c r="IH718" i="5"/>
  <c r="DN629" i="5"/>
  <c r="DN1137" i="5"/>
  <c r="HW485" i="5"/>
  <c r="K1141" i="5"/>
  <c r="K635" i="5"/>
  <c r="DC1153" i="5"/>
  <c r="DC651" i="5"/>
  <c r="HX477" i="5"/>
  <c r="AA683" i="2" s="1"/>
  <c r="IG829" i="5"/>
  <c r="AD1145" i="2" s="1"/>
  <c r="HU708" i="5"/>
  <c r="Z1030" i="2" s="1"/>
  <c r="HZ898" i="5"/>
  <c r="AB1584" i="2" s="1"/>
  <c r="IJ857" i="5"/>
  <c r="IJ993" i="5" s="1"/>
  <c r="AL666" i="5"/>
  <c r="AL834" i="5" s="1"/>
  <c r="AG1076" i="2"/>
  <c r="IP982" i="5"/>
  <c r="CS1137" i="5"/>
  <c r="CS629" i="5"/>
  <c r="DT1137" i="5"/>
  <c r="DT629" i="5"/>
  <c r="DS1073" i="5"/>
  <c r="DS1095" i="5" s="1"/>
  <c r="KP636" i="5"/>
  <c r="KP503" i="5"/>
  <c r="KO573" i="5"/>
  <c r="KO569" i="5"/>
  <c r="KO627" i="5"/>
  <c r="KO567" i="5"/>
  <c r="BZ978" i="5"/>
  <c r="BZ666" i="5"/>
  <c r="ID743" i="5"/>
  <c r="AC1065" i="2" s="1"/>
  <c r="AF1831" i="2"/>
  <c r="IV764" i="5"/>
  <c r="AI1086" i="2" s="1"/>
  <c r="AH1304" i="2"/>
  <c r="AH1391" i="2" s="1"/>
  <c r="DJ1095" i="5"/>
  <c r="DA640" i="5"/>
  <c r="EO817" i="5"/>
  <c r="EO986" i="5" s="1"/>
  <c r="EB596" i="5"/>
  <c r="EB1156" i="5"/>
  <c r="IA712" i="5"/>
  <c r="AB1034" i="2" s="1"/>
  <c r="EO1156" i="5"/>
  <c r="EO596" i="5"/>
  <c r="EO1154" i="5" s="1"/>
  <c r="CW491" i="5"/>
  <c r="CW1139" i="5"/>
  <c r="CW632" i="5"/>
  <c r="IG906" i="5"/>
  <c r="AD1227" i="2" s="1"/>
  <c r="IV811" i="5"/>
  <c r="AI1127" i="2" s="1"/>
  <c r="AG508" i="2"/>
  <c r="AH508" i="2" s="1"/>
  <c r="AI508" i="2" s="1"/>
  <c r="AJ508" i="2" s="1"/>
  <c r="AK508" i="2" s="1"/>
  <c r="AL508" i="2" s="1"/>
  <c r="AM508" i="2" s="1"/>
  <c r="AN508" i="2" s="1"/>
  <c r="AO508" i="2" s="1"/>
  <c r="AP508" i="2" s="1"/>
  <c r="AQ508" i="2" s="1"/>
  <c r="AR508" i="2" s="1"/>
  <c r="AS508" i="2" s="1"/>
  <c r="AT508" i="2" s="1"/>
  <c r="HY754" i="5"/>
  <c r="IG702" i="5"/>
  <c r="AD1024" i="2" s="1"/>
  <c r="AD511" i="2" s="1"/>
  <c r="HQ818" i="5"/>
  <c r="IJ719" i="5"/>
  <c r="AE1041" i="2" s="1"/>
  <c r="AE1299" i="2" s="1"/>
  <c r="HR829" i="5"/>
  <c r="Y1145" i="2" s="1"/>
  <c r="Y631" i="2" s="1"/>
  <c r="HS722" i="5"/>
  <c r="HU813" i="5"/>
  <c r="Z1129" i="2" s="1"/>
  <c r="HZ929" i="5"/>
  <c r="EW596" i="5"/>
  <c r="EW1154" i="5" s="1"/>
  <c r="FJ977" i="5"/>
  <c r="FJ1137" i="5"/>
  <c r="HR702" i="5"/>
  <c r="Y1024" i="2" s="1"/>
  <c r="HU672" i="5"/>
  <c r="Z994" i="2" s="1"/>
  <c r="IF492" i="5"/>
  <c r="O29" i="7" s="1"/>
  <c r="ID829" i="5"/>
  <c r="AC1145" i="2" s="1"/>
  <c r="HS543" i="5"/>
  <c r="HS536" i="5" s="1"/>
  <c r="HS638" i="5" s="1"/>
  <c r="HT485" i="5"/>
  <c r="C24" i="7" s="1"/>
  <c r="FT1153" i="5"/>
  <c r="DP1153" i="5"/>
  <c r="DP651" i="5"/>
  <c r="ER1156" i="5"/>
  <c r="ER596" i="5"/>
  <c r="AS978" i="5"/>
  <c r="AS666" i="5"/>
  <c r="HR727" i="5"/>
  <c r="Y1049" i="2" s="1"/>
  <c r="Y1305" i="2" s="1"/>
  <c r="EO892" i="5"/>
  <c r="EO995" i="5" s="1"/>
  <c r="EO997" i="5"/>
  <c r="IV690" i="5"/>
  <c r="AI1012" i="2" s="1"/>
  <c r="AI1305" i="2"/>
  <c r="AI1392" i="2" s="1"/>
  <c r="IG518" i="5"/>
  <c r="P53" i="7" s="1"/>
  <c r="ID680" i="5"/>
  <c r="AC1002" i="2" s="1"/>
  <c r="AC454" i="2" s="1"/>
  <c r="HV754" i="5"/>
  <c r="BB569" i="5"/>
  <c r="DX1156" i="5"/>
  <c r="DX596" i="5"/>
  <c r="II796" i="5"/>
  <c r="CS1139" i="5"/>
  <c r="CS632" i="5"/>
  <c r="CS491" i="5"/>
  <c r="EB536" i="5"/>
  <c r="EB1149" i="5" s="1"/>
  <c r="EB1151" i="5"/>
  <c r="AA1141" i="5"/>
  <c r="AA635" i="5"/>
  <c r="HS550" i="5"/>
  <c r="HS640" i="5" s="1"/>
  <c r="CK633" i="5"/>
  <c r="CK491" i="5"/>
  <c r="CK1140" i="5"/>
  <c r="CK543" i="5"/>
  <c r="DW467" i="5"/>
  <c r="DW1132" i="5" s="1"/>
  <c r="HU585" i="5"/>
  <c r="ES491" i="5"/>
  <c r="ES1138" i="5" s="1"/>
  <c r="IV685" i="5"/>
  <c r="AI1007" i="2" s="1"/>
  <c r="AI471" i="2" s="1"/>
  <c r="IV669" i="5"/>
  <c r="AI991" i="2" s="1"/>
  <c r="IV692" i="5"/>
  <c r="AI1014" i="2" s="1"/>
  <c r="AI491" i="2" s="1"/>
  <c r="HX680" i="5"/>
  <c r="AA1002" i="2" s="1"/>
  <c r="DE505" i="5"/>
  <c r="DE636" i="5" s="1"/>
  <c r="CE543" i="5"/>
  <c r="CE1151" i="5" s="1"/>
  <c r="DU505" i="5"/>
  <c r="DU1142" i="5" s="1"/>
  <c r="HZ611" i="5"/>
  <c r="HZ707" i="5"/>
  <c r="IA509" i="5"/>
  <c r="IA562" i="5"/>
  <c r="AV1141" i="5"/>
  <c r="AV635" i="5"/>
  <c r="AV572" i="5"/>
  <c r="DW1156" i="5"/>
  <c r="DW596" i="5"/>
  <c r="Z1211" i="2"/>
  <c r="Z1359" i="2" s="1"/>
  <c r="Z1446" i="2" s="1"/>
  <c r="HU994" i="5"/>
  <c r="KP815" i="5"/>
  <c r="KP984" i="5" s="1"/>
  <c r="KP975" i="5"/>
  <c r="KP834" i="5"/>
  <c r="KP990" i="5" s="1"/>
  <c r="KP465" i="5"/>
  <c r="DT892" i="5"/>
  <c r="DT995" i="5" s="1"/>
  <c r="CK1133" i="5"/>
  <c r="CK625" i="5"/>
  <c r="CK628" i="5"/>
  <c r="DW996" i="5"/>
  <c r="DW892" i="5"/>
  <c r="DW995" i="5" s="1"/>
  <c r="KO631" i="5"/>
  <c r="KO465" i="5"/>
  <c r="E573" i="5"/>
  <c r="E1141" i="5"/>
  <c r="E635" i="5"/>
  <c r="G573" i="5"/>
  <c r="G580" i="5" s="1"/>
  <c r="G649" i="5" s="1"/>
  <c r="AO573" i="5"/>
  <c r="AO1141" i="5"/>
  <c r="AO635" i="5"/>
  <c r="AM635" i="5"/>
  <c r="CJ987" i="5"/>
  <c r="CJ817" i="5"/>
  <c r="CJ986" i="5" s="1"/>
  <c r="IA586" i="5"/>
  <c r="G116" i="7"/>
  <c r="H116" i="7" s="1"/>
  <c r="EC596" i="5"/>
  <c r="EC1154" i="5" s="1"/>
  <c r="EC1156" i="5"/>
  <c r="FD1133" i="5"/>
  <c r="FD976" i="5"/>
  <c r="CO1153" i="5"/>
  <c r="CO651" i="5"/>
  <c r="AH1393" i="2"/>
  <c r="IV928" i="5"/>
  <c r="AI1247" i="2" s="1"/>
  <c r="IV678" i="5"/>
  <c r="AI1000" i="2" s="1"/>
  <c r="AI442" i="2" s="1"/>
  <c r="HV722" i="5"/>
  <c r="FV1133" i="5"/>
  <c r="EJ928" i="5"/>
  <c r="EJ920" i="5" s="1"/>
  <c r="IC920" i="5" s="1"/>
  <c r="DJ505" i="5"/>
  <c r="AV978" i="5"/>
  <c r="I21" i="7"/>
  <c r="K21" i="7" s="1"/>
  <c r="KN567" i="5"/>
  <c r="G992" i="5"/>
  <c r="IS903" i="5"/>
  <c r="AH1224" i="2" s="1"/>
  <c r="I90" i="7"/>
  <c r="IA559" i="5"/>
  <c r="FC977" i="5"/>
  <c r="FC1137" i="5"/>
  <c r="G65" i="7"/>
  <c r="H65" i="7" s="1"/>
  <c r="IA533" i="5"/>
  <c r="DJ632" i="5"/>
  <c r="DJ1139" i="5"/>
  <c r="BN568" i="5"/>
  <c r="BN627" i="5"/>
  <c r="BN465" i="5"/>
  <c r="BN1132" i="5"/>
  <c r="FN987" i="5"/>
  <c r="FN817" i="5"/>
  <c r="FN986" i="5" s="1"/>
  <c r="FN1151" i="5"/>
  <c r="CV1148" i="5"/>
  <c r="CV505" i="5"/>
  <c r="HU529" i="5"/>
  <c r="AM1141" i="5"/>
  <c r="EQ1134" i="5"/>
  <c r="EQ468" i="5"/>
  <c r="IA906" i="5"/>
  <c r="AB1227" i="2" s="1"/>
  <c r="AA1581" i="2"/>
  <c r="AA1579" i="2" s="1"/>
  <c r="AA1699" i="2" s="1"/>
  <c r="DQ640" i="5"/>
  <c r="DQ1152" i="5"/>
  <c r="BM643" i="5"/>
  <c r="IG541" i="5"/>
  <c r="P73" i="7" s="1"/>
  <c r="IG706" i="5"/>
  <c r="AD1028" i="2" s="1"/>
  <c r="AD528" i="2" s="1"/>
  <c r="BJ569" i="5"/>
  <c r="HY475" i="5"/>
  <c r="DF505" i="5"/>
  <c r="DP928" i="5"/>
  <c r="KN568" i="5"/>
  <c r="IH730" i="5"/>
  <c r="EL1156" i="5"/>
  <c r="EL596" i="5"/>
  <c r="EL1154" i="5" s="1"/>
  <c r="G136" i="7"/>
  <c r="H136" i="7" s="1"/>
  <c r="HY598" i="5"/>
  <c r="G127" i="7" s="1"/>
  <c r="FF977" i="5"/>
  <c r="FF1137" i="5"/>
  <c r="FQ817" i="5"/>
  <c r="FQ986" i="5" s="1"/>
  <c r="FQ987" i="5"/>
  <c r="FQ1151" i="5"/>
  <c r="FV977" i="5"/>
  <c r="FV1137" i="5"/>
  <c r="CL640" i="5"/>
  <c r="CL1152" i="5"/>
  <c r="EG505" i="5"/>
  <c r="EG1142" i="5" s="1"/>
  <c r="AP573" i="5"/>
  <c r="AP1141" i="5"/>
  <c r="AP635" i="5"/>
  <c r="AP572" i="5"/>
  <c r="DU977" i="5"/>
  <c r="BU573" i="5"/>
  <c r="BU1141" i="5"/>
  <c r="BU635" i="5"/>
  <c r="IV702" i="5"/>
  <c r="AI1024" i="2" s="1"/>
  <c r="AI511" i="2" s="1"/>
  <c r="BJ568" i="5"/>
  <c r="ED596" i="5"/>
  <c r="ED1154" i="5" s="1"/>
  <c r="FH988" i="5"/>
  <c r="HU728" i="5"/>
  <c r="Z1050" i="2" s="1"/>
  <c r="Z1306" i="2" s="1"/>
  <c r="Z1393" i="2" s="1"/>
  <c r="D89" i="7"/>
  <c r="E89" i="7" s="1"/>
  <c r="HX558" i="5"/>
  <c r="AA780" i="2" s="1"/>
  <c r="AA1486" i="2" s="1"/>
  <c r="DO640" i="5"/>
  <c r="DO1152" i="5"/>
  <c r="O14" i="7"/>
  <c r="IG474" i="5"/>
  <c r="P14" i="7" s="1"/>
  <c r="I124" i="7"/>
  <c r="K124" i="7" s="1"/>
  <c r="IA595" i="5"/>
  <c r="DD996" i="5"/>
  <c r="HV893" i="5"/>
  <c r="P573" i="5"/>
  <c r="P1141" i="5"/>
  <c r="P635" i="5"/>
  <c r="HT796" i="5"/>
  <c r="HT800" i="5" s="1"/>
  <c r="W573" i="5"/>
  <c r="W635" i="5"/>
  <c r="W1141" i="5"/>
  <c r="M569" i="5"/>
  <c r="M1132" i="5"/>
  <c r="M568" i="5"/>
  <c r="M627" i="5"/>
  <c r="M567" i="5"/>
  <c r="M465" i="5"/>
  <c r="M573" i="5"/>
  <c r="BM567" i="5"/>
  <c r="BM627" i="5"/>
  <c r="BM1132" i="5"/>
  <c r="IG561" i="5"/>
  <c r="O92" i="7"/>
  <c r="ET987" i="5"/>
  <c r="ET817" i="5"/>
  <c r="ET986" i="5" s="1"/>
  <c r="EL1153" i="5"/>
  <c r="KP978" i="5"/>
  <c r="KN996" i="5"/>
  <c r="KN892" i="5"/>
  <c r="KN995" i="5" s="1"/>
  <c r="AF816" i="5"/>
  <c r="AF985" i="5" s="1"/>
  <c r="AF815" i="5"/>
  <c r="AF984" i="5" s="1"/>
  <c r="AF834" i="5"/>
  <c r="AF835" i="5"/>
  <c r="AF991" i="5" s="1"/>
  <c r="AF975" i="5"/>
  <c r="AH1368" i="2"/>
  <c r="AH1455" i="2" s="1"/>
  <c r="IM674" i="5"/>
  <c r="AF996" i="2" s="1"/>
  <c r="HX674" i="5"/>
  <c r="AA996" i="2" s="1"/>
  <c r="AA1292" i="2" s="1"/>
  <c r="AA1379" i="2" s="1"/>
  <c r="BJ567" i="5"/>
  <c r="IM678" i="5"/>
  <c r="AF1000" i="2" s="1"/>
  <c r="AF442" i="2" s="1"/>
  <c r="IJ755" i="5"/>
  <c r="AE1077" i="2" s="1"/>
  <c r="DT717" i="5"/>
  <c r="DT978" i="5" s="1"/>
  <c r="CG817" i="5"/>
  <c r="CG986" i="5" s="1"/>
  <c r="ER505" i="5"/>
  <c r="ER1142" i="5" s="1"/>
  <c r="II929" i="5"/>
  <c r="IG490" i="5"/>
  <c r="AD696" i="2" s="1"/>
  <c r="CI1152" i="5"/>
  <c r="CI640" i="5"/>
  <c r="G85" i="7"/>
  <c r="H85" i="7" s="1"/>
  <c r="IA553" i="5"/>
  <c r="EQ1153" i="5"/>
  <c r="G118" i="7"/>
  <c r="H118" i="7" s="1"/>
  <c r="IA589" i="5"/>
  <c r="FH981" i="5"/>
  <c r="FH1137" i="5"/>
  <c r="FH1132" i="5" s="1"/>
  <c r="DB628" i="5"/>
  <c r="DB1133" i="5"/>
  <c r="DB467" i="5"/>
  <c r="DG640" i="5"/>
  <c r="DG1152" i="5"/>
  <c r="CP505" i="5"/>
  <c r="FL1137" i="5"/>
  <c r="FL977" i="5"/>
  <c r="CL997" i="5"/>
  <c r="HQ920" i="5"/>
  <c r="IV706" i="5"/>
  <c r="AI1028" i="2" s="1"/>
  <c r="AI1295" i="2" s="1"/>
  <c r="AI1382" i="2" s="1"/>
  <c r="EG596" i="5"/>
  <c r="EG1154" i="5" s="1"/>
  <c r="EG1156" i="5"/>
  <c r="BP978" i="5"/>
  <c r="DO893" i="5"/>
  <c r="HY898" i="5"/>
  <c r="AD1581" i="2"/>
  <c r="AD1579" i="2" s="1"/>
  <c r="AD1699" i="2" s="1"/>
  <c r="AG1618" i="2"/>
  <c r="GM816" i="5"/>
  <c r="HW475" i="5"/>
  <c r="HZ600" i="5"/>
  <c r="I129" i="7" s="1"/>
  <c r="K129" i="7" s="1"/>
  <c r="IG597" i="5"/>
  <c r="IG1107" i="5" s="1"/>
  <c r="BJ573" i="5"/>
  <c r="BJ643" i="5" s="1"/>
  <c r="IV684" i="5"/>
  <c r="AI1006" i="2" s="1"/>
  <c r="AI467" i="2" s="1"/>
  <c r="EY1150" i="5"/>
  <c r="IC856" i="5"/>
  <c r="HY822" i="5"/>
  <c r="DS988" i="5"/>
  <c r="HZ797" i="5"/>
  <c r="HZ799" i="5" s="1"/>
  <c r="DR536" i="5"/>
  <c r="DR638" i="5" s="1"/>
  <c r="CI1153" i="5"/>
  <c r="CI651" i="5"/>
  <c r="CT1137" i="5"/>
  <c r="CT629" i="5"/>
  <c r="HP707" i="5"/>
  <c r="CE977" i="5"/>
  <c r="CM1152" i="5"/>
  <c r="CM640" i="5"/>
  <c r="IC797" i="5"/>
  <c r="IC798" i="5" s="1"/>
  <c r="CZ1152" i="5"/>
  <c r="CZ640" i="5"/>
  <c r="IL822" i="5"/>
  <c r="FS1150" i="5"/>
  <c r="FS988" i="5"/>
  <c r="FS817" i="5"/>
  <c r="FS986" i="5" s="1"/>
  <c r="IH822" i="5"/>
  <c r="EP892" i="5"/>
  <c r="EP995" i="5" s="1"/>
  <c r="HE717" i="5"/>
  <c r="ID678" i="5"/>
  <c r="AC1000" i="2" s="1"/>
  <c r="IE856" i="5"/>
  <c r="CZ717" i="5"/>
  <c r="CZ666" i="5" s="1"/>
  <c r="CE633" i="5"/>
  <c r="IG542" i="5"/>
  <c r="P74" i="7" s="1"/>
  <c r="DU997" i="5"/>
  <c r="HV585" i="5"/>
  <c r="HV584" i="5" s="1"/>
  <c r="IA796" i="5"/>
  <c r="DS629" i="5"/>
  <c r="DS1137" i="5"/>
  <c r="EC717" i="5"/>
  <c r="IB722" i="5"/>
  <c r="DJ1133" i="5"/>
  <c r="DJ628" i="5"/>
  <c r="DJ467" i="5"/>
  <c r="IS811" i="5"/>
  <c r="AH1127" i="2" s="1"/>
  <c r="AH1325" i="2" s="1"/>
  <c r="AH1412" i="2" s="1"/>
  <c r="DH1153" i="5"/>
  <c r="DH651" i="5"/>
  <c r="IJ669" i="5"/>
  <c r="AE991" i="2" s="1"/>
  <c r="HD717" i="5"/>
  <c r="CQ536" i="5"/>
  <c r="CQ1151" i="5"/>
  <c r="IF754" i="5"/>
  <c r="AK1056" i="2"/>
  <c r="JB734" i="5" s="1"/>
  <c r="IZ734" i="5" s="1"/>
  <c r="JA734" i="5" s="1"/>
  <c r="ID698" i="5"/>
  <c r="AC1020" i="2" s="1"/>
  <c r="HZ856" i="5"/>
  <c r="AH1765" i="2"/>
  <c r="HX678" i="5"/>
  <c r="AA1000" i="2" s="1"/>
  <c r="AA443" i="2" s="1"/>
  <c r="EC468" i="5"/>
  <c r="EC467" i="5" s="1"/>
  <c r="CE491" i="5"/>
  <c r="CE1138" i="5" s="1"/>
  <c r="CN817" i="5"/>
  <c r="CN986" i="5" s="1"/>
  <c r="HX532" i="5"/>
  <c r="AA749" i="2" s="1"/>
  <c r="AA883" i="2" s="1"/>
  <c r="AA977" i="2" s="1"/>
  <c r="H72" i="7"/>
  <c r="DB651" i="5"/>
  <c r="DB1153" i="5"/>
  <c r="CY629" i="5"/>
  <c r="CY1137" i="5"/>
  <c r="HX531" i="5"/>
  <c r="AA748" i="2" s="1"/>
  <c r="D63" i="7"/>
  <c r="E63" i="7" s="1"/>
  <c r="DB976" i="5"/>
  <c r="CG1140" i="5"/>
  <c r="CG491" i="5"/>
  <c r="CG543" i="5"/>
  <c r="CG633" i="5"/>
  <c r="CG1152" i="5"/>
  <c r="CG640" i="5"/>
  <c r="CL892" i="5"/>
  <c r="CL995" i="5" s="1"/>
  <c r="DA987" i="5"/>
  <c r="DA817" i="5"/>
  <c r="DA986" i="5" s="1"/>
  <c r="IG506" i="5"/>
  <c r="P42" i="7" s="1"/>
  <c r="FI817" i="5"/>
  <c r="FI986" i="5" s="1"/>
  <c r="FI1151" i="5"/>
  <c r="FI987" i="5"/>
  <c r="DM1147" i="5"/>
  <c r="DM505" i="5"/>
  <c r="EX987" i="5"/>
  <c r="EX817" i="5"/>
  <c r="EX986" i="5" s="1"/>
  <c r="HX586" i="5"/>
  <c r="AA811" i="2" s="1"/>
  <c r="IL730" i="5"/>
  <c r="IS702" i="5"/>
  <c r="AH1024" i="2" s="1"/>
  <c r="AH511" i="2" s="1"/>
  <c r="II856" i="5"/>
  <c r="EZ1153" i="5"/>
  <c r="AB666" i="5"/>
  <c r="AB815" i="5" s="1"/>
  <c r="AB984" i="5" s="1"/>
  <c r="HX595" i="5"/>
  <c r="AA826" i="2" s="1"/>
  <c r="IH856" i="5"/>
  <c r="DB1152" i="5"/>
  <c r="DB640" i="5"/>
  <c r="CY996" i="5"/>
  <c r="CY892" i="5"/>
  <c r="CY995" i="5" s="1"/>
  <c r="KP996" i="5"/>
  <c r="KP892" i="5"/>
  <c r="KP995" i="5" s="1"/>
  <c r="CE1137" i="5"/>
  <c r="CE629" i="5"/>
  <c r="BQ465" i="5"/>
  <c r="BQ627" i="5"/>
  <c r="BQ569" i="5"/>
  <c r="BQ567" i="5"/>
  <c r="BQ1132" i="5"/>
  <c r="BQ568" i="5"/>
  <c r="DE1152" i="5"/>
  <c r="DE640" i="5"/>
  <c r="DU817" i="5"/>
  <c r="DU986" i="5" s="1"/>
  <c r="DU987" i="5"/>
  <c r="FK1153" i="5"/>
  <c r="FK997" i="5"/>
  <c r="BH1141" i="5"/>
  <c r="BH635" i="5"/>
  <c r="IA703" i="5"/>
  <c r="AB1025" i="2" s="1"/>
  <c r="AB515" i="2" s="1"/>
  <c r="CI997" i="5"/>
  <c r="HP920" i="5"/>
  <c r="DH505" i="5"/>
  <c r="DH1142" i="5" s="1"/>
  <c r="CT1151" i="5"/>
  <c r="CT536" i="5"/>
  <c r="CZ892" i="5"/>
  <c r="CZ995" i="5" s="1"/>
  <c r="CU1133" i="5"/>
  <c r="IS678" i="5"/>
  <c r="AH1000" i="2" s="1"/>
  <c r="AH442" i="2" s="1"/>
  <c r="EJ505" i="5"/>
  <c r="EJ1142" i="5" s="1"/>
  <c r="AJ666" i="5"/>
  <c r="AD1577" i="2"/>
  <c r="HX714" i="5"/>
  <c r="AA1036" i="2" s="1"/>
  <c r="I83" i="7"/>
  <c r="K83" i="7" s="1"/>
  <c r="IA551" i="5"/>
  <c r="FK1151" i="5"/>
  <c r="FK987" i="5"/>
  <c r="FK817" i="5"/>
  <c r="CH987" i="5"/>
  <c r="CH817" i="5"/>
  <c r="CH986" i="5" s="1"/>
  <c r="G46" i="7"/>
  <c r="H46" i="7" s="1"/>
  <c r="IA510" i="5"/>
  <c r="CW1152" i="5"/>
  <c r="CW640" i="5"/>
  <c r="CO640" i="5"/>
  <c r="CO1152" i="5"/>
  <c r="IP993" i="5"/>
  <c r="AG1174" i="2"/>
  <c r="BB573" i="5"/>
  <c r="BB1141" i="5"/>
  <c r="BB635" i="5"/>
  <c r="CF981" i="5"/>
  <c r="HP730" i="5"/>
  <c r="CL987" i="5"/>
  <c r="CL817" i="5"/>
  <c r="CL986" i="5" s="1"/>
  <c r="Y573" i="5"/>
  <c r="Y1141" i="5"/>
  <c r="Y635" i="5"/>
  <c r="CU1151" i="5"/>
  <c r="CU536" i="5"/>
  <c r="EL987" i="5"/>
  <c r="EL817" i="5"/>
  <c r="EL986" i="5" s="1"/>
  <c r="DQ1147" i="5"/>
  <c r="DQ505" i="5"/>
  <c r="IS890" i="5"/>
  <c r="AH1211" i="2" s="1"/>
  <c r="AH1359" i="2" s="1"/>
  <c r="AH1446" i="2" s="1"/>
  <c r="G22" i="7"/>
  <c r="H22" i="7" s="1"/>
  <c r="AI1306" i="2"/>
  <c r="AI1393" i="2" s="1"/>
  <c r="IS900" i="5"/>
  <c r="AH1221" i="2" s="1"/>
  <c r="IV705" i="5"/>
  <c r="AI1027" i="2" s="1"/>
  <c r="AI523" i="2" s="1"/>
  <c r="IS795" i="5"/>
  <c r="AH1111" i="2" s="1"/>
  <c r="AH607" i="2" s="1"/>
  <c r="IG515" i="5"/>
  <c r="P51" i="7" s="1"/>
  <c r="IS686" i="5"/>
  <c r="AH1008" i="2" s="1"/>
  <c r="CP536" i="5"/>
  <c r="CP1149" i="5" s="1"/>
  <c r="ID671" i="5"/>
  <c r="AC993" i="2" s="1"/>
  <c r="IB754" i="5"/>
  <c r="ID719" i="5"/>
  <c r="AC1041" i="2" s="1"/>
  <c r="AC1299" i="2" s="1"/>
  <c r="IJ710" i="5"/>
  <c r="AE1032" i="2" s="1"/>
  <c r="IA477" i="5"/>
  <c r="HT822" i="5"/>
  <c r="HT988" i="5" s="1"/>
  <c r="DG817" i="5"/>
  <c r="DG988" i="5"/>
  <c r="IA781" i="5"/>
  <c r="AB1096" i="2" s="1"/>
  <c r="HU832" i="5"/>
  <c r="Z1148" i="2" s="1"/>
  <c r="HX551" i="5"/>
  <c r="AA771" i="2" s="1"/>
  <c r="D83" i="7"/>
  <c r="E83" i="7" s="1"/>
  <c r="EC1151" i="5"/>
  <c r="EC536" i="5"/>
  <c r="EC1149" i="5" s="1"/>
  <c r="EX521" i="5"/>
  <c r="EX1147" i="5" s="1"/>
  <c r="CI1137" i="5"/>
  <c r="CI629" i="5"/>
  <c r="DR1153" i="5"/>
  <c r="DR651" i="5"/>
  <c r="CM817" i="5"/>
  <c r="CM986" i="5" s="1"/>
  <c r="N86" i="7"/>
  <c r="IG554" i="5"/>
  <c r="DL892" i="5"/>
  <c r="DL995" i="5" s="1"/>
  <c r="CX628" i="5"/>
  <c r="CX1133" i="5"/>
  <c r="CX467" i="5"/>
  <c r="DB629" i="5"/>
  <c r="DB1137" i="5"/>
  <c r="HZ928" i="5"/>
  <c r="HZ718" i="5"/>
  <c r="DU717" i="5"/>
  <c r="DU978" i="5" s="1"/>
  <c r="BR1141" i="5"/>
  <c r="BR635" i="5"/>
  <c r="BR573" i="5"/>
  <c r="IG537" i="5"/>
  <c r="P69" i="7" s="1"/>
  <c r="O139" i="7"/>
  <c r="IG612" i="5"/>
  <c r="CX987" i="5"/>
  <c r="CX817" i="5"/>
  <c r="CX986" i="5" s="1"/>
  <c r="EC505" i="5"/>
  <c r="EC1142" i="5" s="1"/>
  <c r="ED505" i="5"/>
  <c r="IS691" i="5"/>
  <c r="AH1013" i="2" s="1"/>
  <c r="AH487" i="2" s="1"/>
  <c r="HU550" i="5"/>
  <c r="HU640" i="5" s="1"/>
  <c r="IB958" i="5"/>
  <c r="IB967" i="5" s="1"/>
  <c r="IV861" i="5"/>
  <c r="AI1178" i="2" s="1"/>
  <c r="IS677" i="5"/>
  <c r="AH999" i="2" s="1"/>
  <c r="DI651" i="5"/>
  <c r="IK707" i="5"/>
  <c r="IA719" i="5"/>
  <c r="IL754" i="5"/>
  <c r="HP898" i="5"/>
  <c r="X1585" i="2" s="1"/>
  <c r="HX474" i="5"/>
  <c r="AA680" i="2" s="1"/>
  <c r="AF1580" i="2"/>
  <c r="AF1579" i="2" s="1"/>
  <c r="AF1612" i="2"/>
  <c r="AF1611" i="2" s="1"/>
  <c r="CI987" i="5"/>
  <c r="CI817" i="5"/>
  <c r="CI986" i="5" s="1"/>
  <c r="BX978" i="5"/>
  <c r="BX666" i="5"/>
  <c r="DO1151" i="5"/>
  <c r="DO536" i="5"/>
  <c r="DT1139" i="5"/>
  <c r="DT491" i="5"/>
  <c r="DT632" i="5"/>
  <c r="CM505" i="5"/>
  <c r="BV569" i="5"/>
  <c r="BV1132" i="5"/>
  <c r="BV627" i="5"/>
  <c r="BV567" i="5"/>
  <c r="BV568" i="5"/>
  <c r="BV573" i="5"/>
  <c r="CL628" i="5"/>
  <c r="CL1133" i="5"/>
  <c r="CL625" i="5"/>
  <c r="D12" i="7"/>
  <c r="E12" i="7" s="1"/>
  <c r="HX472" i="5"/>
  <c r="AA678" i="2" s="1"/>
  <c r="DB1083" i="5"/>
  <c r="HU1083" i="5" s="1"/>
  <c r="HU1087" i="5"/>
  <c r="BE1141" i="5"/>
  <c r="BE635" i="5"/>
  <c r="BE573" i="5"/>
  <c r="BE572" i="5"/>
  <c r="HT600" i="5"/>
  <c r="C129" i="7" s="1"/>
  <c r="CZ598" i="5"/>
  <c r="CZ1155" i="5" s="1"/>
  <c r="G635" i="5"/>
  <c r="G1141" i="5"/>
  <c r="AR1141" i="5"/>
  <c r="AR635" i="5"/>
  <c r="AR573" i="5"/>
  <c r="IS724" i="5"/>
  <c r="AH1046" i="2" s="1"/>
  <c r="AH1303" i="2" s="1"/>
  <c r="AH1390" i="2" s="1"/>
  <c r="FT893" i="5"/>
  <c r="IL898" i="5"/>
  <c r="AF1584" i="2" s="1"/>
  <c r="AF1583" i="2" s="1"/>
  <c r="DT1151" i="5"/>
  <c r="DT536" i="5"/>
  <c r="FM1142" i="5"/>
  <c r="EV817" i="5"/>
  <c r="EV986" i="5" s="1"/>
  <c r="AL573" i="5"/>
  <c r="AL1141" i="5"/>
  <c r="AL635" i="5"/>
  <c r="CQ628" i="5"/>
  <c r="CQ1133" i="5"/>
  <c r="CQ982" i="5"/>
  <c r="HS754" i="5"/>
  <c r="HS982" i="5" s="1"/>
  <c r="IV671" i="5"/>
  <c r="AI993" i="2" s="1"/>
  <c r="IV680" i="5"/>
  <c r="AI1002" i="2" s="1"/>
  <c r="AI454" i="2" s="1"/>
  <c r="IR718" i="5"/>
  <c r="HW529" i="5"/>
  <c r="HQ754" i="5"/>
  <c r="IP818" i="5"/>
  <c r="AG1134" i="2" s="1"/>
  <c r="AG1331" i="2" s="1"/>
  <c r="IV732" i="5"/>
  <c r="AI1054" i="2" s="1"/>
  <c r="IS690" i="5"/>
  <c r="AH1012" i="2" s="1"/>
  <c r="IS680" i="5"/>
  <c r="AH1002" i="2" s="1"/>
  <c r="AH454" i="2" s="1"/>
  <c r="HX677" i="5"/>
  <c r="AA999" i="2" s="1"/>
  <c r="DL505" i="5"/>
  <c r="DL636" i="5" s="1"/>
  <c r="HP958" i="5"/>
  <c r="HX487" i="5"/>
  <c r="AA693" i="2" s="1"/>
  <c r="E14" i="7"/>
  <c r="EA505" i="5"/>
  <c r="EA1142" i="5" s="1"/>
  <c r="HX813" i="5"/>
  <c r="AA1129" i="2" s="1"/>
  <c r="BD978" i="5"/>
  <c r="BD666" i="5"/>
  <c r="CZ1139" i="5"/>
  <c r="CZ491" i="5"/>
  <c r="CZ632" i="5"/>
  <c r="D42" i="7"/>
  <c r="E42" i="7" s="1"/>
  <c r="HX506" i="5"/>
  <c r="AA717" i="2" s="1"/>
  <c r="BS465" i="5"/>
  <c r="BS569" i="5"/>
  <c r="AD1132" i="5"/>
  <c r="AD569" i="5"/>
  <c r="AD627" i="5"/>
  <c r="AD567" i="5"/>
  <c r="AD568" i="5"/>
  <c r="D18" i="7"/>
  <c r="E18" i="7" s="1"/>
  <c r="HX478" i="5"/>
  <c r="AA684" i="2" s="1"/>
  <c r="FP1151" i="5"/>
  <c r="FP817" i="5"/>
  <c r="FP986" i="5" s="1"/>
  <c r="FP987" i="5"/>
  <c r="ET1133" i="5"/>
  <c r="ET467" i="5"/>
  <c r="DA1137" i="5"/>
  <c r="DA629" i="5"/>
  <c r="EL536" i="5"/>
  <c r="EL1149" i="5" s="1"/>
  <c r="D46" i="7"/>
  <c r="E46" i="7" s="1"/>
  <c r="HX510" i="5"/>
  <c r="AA721" i="2" s="1"/>
  <c r="FF717" i="5"/>
  <c r="FF666" i="5" s="1"/>
  <c r="II718" i="5"/>
  <c r="HT928" i="5"/>
  <c r="CW920" i="5"/>
  <c r="AJ635" i="5"/>
  <c r="AJ572" i="5"/>
  <c r="AJ1141" i="5"/>
  <c r="AJ573" i="5"/>
  <c r="IU910" i="5"/>
  <c r="IU909" i="5" s="1"/>
  <c r="AI1636" i="2"/>
  <c r="AI1635" i="2" s="1"/>
  <c r="AI1628" i="2"/>
  <c r="GR816" i="5"/>
  <c r="BC465" i="5"/>
  <c r="BC567" i="5"/>
  <c r="BC569" i="5"/>
  <c r="BC1132" i="5"/>
  <c r="BC627" i="5"/>
  <c r="BC573" i="5"/>
  <c r="BC568" i="5"/>
  <c r="HX724" i="5"/>
  <c r="E11" i="7"/>
  <c r="FT977" i="5"/>
  <c r="FT1137" i="5"/>
  <c r="FC892" i="5"/>
  <c r="FC997" i="5"/>
  <c r="FC1153" i="5"/>
  <c r="DD1137" i="5"/>
  <c r="DD629" i="5"/>
  <c r="DD467" i="5"/>
  <c r="IK958" i="5"/>
  <c r="IK967" i="5" s="1"/>
  <c r="EH817" i="5"/>
  <c r="EH986" i="5" s="1"/>
  <c r="IT667" i="5"/>
  <c r="IV668" i="5"/>
  <c r="AI990" i="2" s="1"/>
  <c r="CE1153" i="5"/>
  <c r="CE651" i="5"/>
  <c r="ER1139" i="5"/>
  <c r="ER491" i="5"/>
  <c r="ER1138" i="5" s="1"/>
  <c r="CG651" i="5"/>
  <c r="CG1153" i="5"/>
  <c r="AM572" i="5"/>
  <c r="AM626" i="5"/>
  <c r="EJ987" i="5"/>
  <c r="EJ817" i="5"/>
  <c r="EJ986" i="5" s="1"/>
  <c r="N105" i="7"/>
  <c r="IG575" i="5"/>
  <c r="DI1152" i="5"/>
  <c r="DI640" i="5"/>
  <c r="D54" i="7"/>
  <c r="E54" i="7" s="1"/>
  <c r="HX520" i="5"/>
  <c r="AA735" i="2" s="1"/>
  <c r="CI543" i="5"/>
  <c r="CI1140" i="5"/>
  <c r="CI633" i="5"/>
  <c r="CI491" i="5"/>
  <c r="CI631" i="5" s="1"/>
  <c r="AD573" i="5"/>
  <c r="AD635" i="5"/>
  <c r="AD1141" i="5"/>
  <c r="DN1151" i="5"/>
  <c r="DN536" i="5"/>
  <c r="DD1147" i="5"/>
  <c r="DD505" i="5"/>
  <c r="HV521" i="5"/>
  <c r="O11" i="7"/>
  <c r="IG471" i="5"/>
  <c r="DB893" i="5"/>
  <c r="HT898" i="5"/>
  <c r="Z1584" i="2" s="1"/>
  <c r="Z1583" i="2" s="1"/>
  <c r="Z1700" i="2" s="1"/>
  <c r="AZ1141" i="5"/>
  <c r="AZ573" i="5"/>
  <c r="AZ635" i="5"/>
  <c r="CA834" i="5"/>
  <c r="CA816" i="5"/>
  <c r="CA985" i="5" s="1"/>
  <c r="CA835" i="5"/>
  <c r="CA991" i="5" s="1"/>
  <c r="CA975" i="5"/>
  <c r="CA815" i="5"/>
  <c r="CA984" i="5" s="1"/>
  <c r="DH976" i="5"/>
  <c r="FC1151" i="5"/>
  <c r="FC817" i="5"/>
  <c r="FC986" i="5" s="1"/>
  <c r="FC987" i="5"/>
  <c r="CJ1137" i="5"/>
  <c r="CJ629" i="5"/>
  <c r="HU1078" i="5"/>
  <c r="DB1073" i="5"/>
  <c r="EH717" i="5"/>
  <c r="IC718" i="5"/>
  <c r="EK997" i="5"/>
  <c r="EK892" i="5"/>
  <c r="EK995" i="5" s="1"/>
  <c r="N62" i="7"/>
  <c r="IG530" i="5"/>
  <c r="EU987" i="5"/>
  <c r="EU817" i="5"/>
  <c r="EU986" i="5" s="1"/>
  <c r="IF818" i="5"/>
  <c r="DS1153" i="5"/>
  <c r="DS651" i="5"/>
  <c r="CK629" i="5"/>
  <c r="CK467" i="5"/>
  <c r="CK1137" i="5"/>
  <c r="DS632" i="5"/>
  <c r="DS1139" i="5"/>
  <c r="DS491" i="5"/>
  <c r="AG1269" i="2"/>
  <c r="IC818" i="5"/>
  <c r="G117" i="7"/>
  <c r="H117" i="7" s="1"/>
  <c r="IA588" i="5"/>
  <c r="IR988" i="5"/>
  <c r="IS693" i="5"/>
  <c r="AH1015" i="2" s="1"/>
  <c r="AH495" i="2" s="1"/>
  <c r="DX491" i="5"/>
  <c r="DX1138" i="5" s="1"/>
  <c r="DX1139" i="5"/>
  <c r="IS673" i="5"/>
  <c r="AH995" i="2" s="1"/>
  <c r="DQ631" i="5"/>
  <c r="DQ1138" i="5"/>
  <c r="CN1152" i="5"/>
  <c r="CN640" i="5"/>
  <c r="AC1295" i="2"/>
  <c r="AC1382" i="2" s="1"/>
  <c r="AC527" i="2"/>
  <c r="CW1151" i="5"/>
  <c r="CW536" i="5"/>
  <c r="I52" i="7"/>
  <c r="K52" i="7" s="1"/>
  <c r="IA516" i="5"/>
  <c r="DN1153" i="5"/>
  <c r="DN651" i="5"/>
  <c r="CU1137" i="5"/>
  <c r="CU629" i="5"/>
  <c r="CU467" i="5"/>
  <c r="IK722" i="5"/>
  <c r="FL717" i="5"/>
  <c r="HX494" i="5"/>
  <c r="AA703" i="2" s="1"/>
  <c r="AA1482" i="2" s="1"/>
  <c r="D31" i="7"/>
  <c r="E31" i="7" s="1"/>
  <c r="IF928" i="5"/>
  <c r="ES920" i="5"/>
  <c r="BP834" i="5"/>
  <c r="BP816" i="5"/>
  <c r="BP985" i="5" s="1"/>
  <c r="BP975" i="5"/>
  <c r="BP815" i="5"/>
  <c r="BP984" i="5" s="1"/>
  <c r="BP835" i="5"/>
  <c r="BP991" i="5" s="1"/>
  <c r="CC567" i="5"/>
  <c r="CC569" i="5"/>
  <c r="CC465" i="5"/>
  <c r="CC1132" i="5"/>
  <c r="CC568" i="5"/>
  <c r="CC573" i="5"/>
  <c r="CC627" i="5"/>
  <c r="IE798" i="5"/>
  <c r="IE799" i="5"/>
  <c r="DR717" i="5"/>
  <c r="HY718" i="5"/>
  <c r="EA997" i="5"/>
  <c r="EA892" i="5"/>
  <c r="EA995" i="5" s="1"/>
  <c r="IB920" i="5"/>
  <c r="CS1151" i="5"/>
  <c r="CS536" i="5"/>
  <c r="EN584" i="5"/>
  <c r="IE585" i="5"/>
  <c r="DC631" i="5"/>
  <c r="DC1138" i="5"/>
  <c r="EO1153" i="5"/>
  <c r="GI898" i="5"/>
  <c r="IQ899" i="5"/>
  <c r="DD1139" i="5"/>
  <c r="DD632" i="5"/>
  <c r="DD491" i="5"/>
  <c r="HV492" i="5"/>
  <c r="FE977" i="5"/>
  <c r="II707" i="5"/>
  <c r="HU697" i="5"/>
  <c r="Z1019" i="2" s="1"/>
  <c r="IP997" i="5"/>
  <c r="AG1239" i="2"/>
  <c r="BW992" i="5"/>
  <c r="G73" i="7"/>
  <c r="H73" i="7" s="1"/>
  <c r="IA541" i="5"/>
  <c r="CK992" i="5"/>
  <c r="HQ856" i="5"/>
  <c r="IH722" i="5"/>
  <c r="EY717" i="5"/>
  <c r="EY666" i="5" s="1"/>
  <c r="DG632" i="5"/>
  <c r="DG1139" i="5"/>
  <c r="AU465" i="5"/>
  <c r="AU567" i="5"/>
  <c r="AU573" i="5"/>
  <c r="AU569" i="5"/>
  <c r="AU568" i="5"/>
  <c r="AU1132" i="5"/>
  <c r="AU627" i="5"/>
  <c r="IE722" i="5"/>
  <c r="DO997" i="5"/>
  <c r="D69" i="7"/>
  <c r="E69" i="7" s="1"/>
  <c r="HX537" i="5"/>
  <c r="AA754" i="2" s="1"/>
  <c r="AB372" i="2" s="1"/>
  <c r="BW1141" i="5"/>
  <c r="BW635" i="5"/>
  <c r="BW573" i="5"/>
  <c r="ES1137" i="5"/>
  <c r="IF485" i="5"/>
  <c r="O24" i="7" s="1"/>
  <c r="EW977" i="5"/>
  <c r="DB987" i="5"/>
  <c r="DB817" i="5"/>
  <c r="DB986" i="5" s="1"/>
  <c r="EE1138" i="5"/>
  <c r="HW754" i="5"/>
  <c r="DI982" i="5"/>
  <c r="BO978" i="5"/>
  <c r="BO666" i="5"/>
  <c r="N120" i="7"/>
  <c r="IG591" i="5"/>
  <c r="EN666" i="5"/>
  <c r="EN975" i="5" s="1"/>
  <c r="DU1153" i="5"/>
  <c r="CY987" i="5"/>
  <c r="CY817" i="5"/>
  <c r="CY986" i="5" s="1"/>
  <c r="HT818" i="5"/>
  <c r="HT987" i="5" s="1"/>
  <c r="KM503" i="5"/>
  <c r="KM636" i="5"/>
  <c r="KM568" i="5"/>
  <c r="KM567" i="5"/>
  <c r="KM569" i="5"/>
  <c r="DW1148" i="5"/>
  <c r="DW505" i="5"/>
  <c r="G13" i="7"/>
  <c r="H13" i="7" s="1"/>
  <c r="IA473" i="5"/>
  <c r="FF976" i="5"/>
  <c r="FF1133" i="5"/>
  <c r="IF707" i="5"/>
  <c r="IP976" i="5"/>
  <c r="AG989" i="2"/>
  <c r="IM857" i="5"/>
  <c r="IM993" i="5" s="1"/>
  <c r="AE1577" i="2"/>
  <c r="AE1575" i="2" s="1"/>
  <c r="IM721" i="5"/>
  <c r="EM988" i="5"/>
  <c r="IE822" i="5"/>
  <c r="FT1151" i="5"/>
  <c r="IL818" i="5"/>
  <c r="FT817" i="5"/>
  <c r="FT987" i="5"/>
  <c r="N85" i="7"/>
  <c r="IG553" i="5"/>
  <c r="CP640" i="5"/>
  <c r="CP1152" i="5"/>
  <c r="BT1141" i="5"/>
  <c r="BT635" i="5"/>
  <c r="BT573" i="5"/>
  <c r="CE988" i="5"/>
  <c r="HP822" i="5"/>
  <c r="CE817" i="5"/>
  <c r="AG1582" i="2"/>
  <c r="IV737" i="5"/>
  <c r="AI1059" i="2" s="1"/>
  <c r="IS698" i="5"/>
  <c r="AH1020" i="2" s="1"/>
  <c r="AH504" i="2" s="1"/>
  <c r="ID668" i="5"/>
  <c r="AC990" i="2" s="1"/>
  <c r="DA1153" i="5"/>
  <c r="DA651" i="5"/>
  <c r="CW1155" i="5"/>
  <c r="IV682" i="5"/>
  <c r="AI1004" i="2" s="1"/>
  <c r="AI458" i="2" s="1"/>
  <c r="HU681" i="5"/>
  <c r="Z1003" i="2" s="1"/>
  <c r="IS671" i="5"/>
  <c r="AH993" i="2" s="1"/>
  <c r="AG1530" i="2" s="1"/>
  <c r="F626" i="5"/>
  <c r="F572" i="5"/>
  <c r="FO996" i="5"/>
  <c r="FO892" i="5"/>
  <c r="BC635" i="5"/>
  <c r="BC1141" i="5"/>
  <c r="CI628" i="5"/>
  <c r="CI467" i="5"/>
  <c r="CI1133" i="5"/>
  <c r="AZ572" i="5"/>
  <c r="IF722" i="5"/>
  <c r="DN928" i="5"/>
  <c r="DN920" i="5" s="1"/>
  <c r="HW929" i="5"/>
  <c r="HX612" i="5"/>
  <c r="AA845" i="2" s="1"/>
  <c r="D139" i="7"/>
  <c r="E139" i="7" s="1"/>
  <c r="HV611" i="5"/>
  <c r="IB798" i="5"/>
  <c r="HX597" i="5"/>
  <c r="HV655" i="5"/>
  <c r="D126" i="7"/>
  <c r="HV1107" i="5"/>
  <c r="HT529" i="5"/>
  <c r="C61" i="7" s="1"/>
  <c r="C62" i="7"/>
  <c r="E62" i="7" s="1"/>
  <c r="DE1137" i="5"/>
  <c r="DE629" i="5"/>
  <c r="EY817" i="5"/>
  <c r="EY986" i="5" s="1"/>
  <c r="IH818" i="5"/>
  <c r="EY987" i="5"/>
  <c r="EY1151" i="5"/>
  <c r="CN467" i="5"/>
  <c r="CN628" i="5"/>
  <c r="CN1133" i="5"/>
  <c r="CN625" i="5"/>
  <c r="EF1153" i="5"/>
  <c r="EF582" i="5"/>
  <c r="HW611" i="5"/>
  <c r="DI610" i="5"/>
  <c r="Z974" i="2"/>
  <c r="Z975" i="2" s="1"/>
  <c r="HS485" i="5"/>
  <c r="HS629" i="5" s="1"/>
  <c r="EB976" i="5"/>
  <c r="CE976" i="5"/>
  <c r="HP667" i="5"/>
  <c r="ER1137" i="5"/>
  <c r="IE485" i="5"/>
  <c r="BO626" i="5"/>
  <c r="BO572" i="5"/>
  <c r="FX986" i="5"/>
  <c r="IN817" i="5"/>
  <c r="EI996" i="5"/>
  <c r="EI892" i="5"/>
  <c r="EI995" i="5" s="1"/>
  <c r="EV584" i="5"/>
  <c r="IF585" i="5"/>
  <c r="O115" i="7" s="1"/>
  <c r="EZ996" i="5"/>
  <c r="EZ892" i="5"/>
  <c r="EZ995" i="5" s="1"/>
  <c r="DF988" i="5"/>
  <c r="DF817" i="5"/>
  <c r="DF986" i="5" s="1"/>
  <c r="HV645" i="5"/>
  <c r="HV575" i="5"/>
  <c r="D106" i="7"/>
  <c r="HX576" i="5"/>
  <c r="AS569" i="5"/>
  <c r="AS627" i="5"/>
  <c r="AS567" i="5"/>
  <c r="AS465" i="5"/>
  <c r="AS573" i="5"/>
  <c r="AS1132" i="5"/>
  <c r="AS568" i="5"/>
  <c r="AC635" i="5"/>
  <c r="AC1141" i="5"/>
  <c r="AC573" i="5"/>
  <c r="AC572" i="5"/>
  <c r="CE995" i="5"/>
  <c r="FU920" i="5"/>
  <c r="IL920" i="5" s="1"/>
  <c r="IL928" i="5"/>
  <c r="FS977" i="5"/>
  <c r="FS1137" i="5"/>
  <c r="IL707" i="5"/>
  <c r="EP987" i="5"/>
  <c r="EP817" i="5"/>
  <c r="EP986" i="5" s="1"/>
  <c r="IJ672" i="5"/>
  <c r="AE994" i="2" s="1"/>
  <c r="CZ987" i="5"/>
  <c r="CZ817" i="5"/>
  <c r="CZ986" i="5" s="1"/>
  <c r="IG488" i="5"/>
  <c r="CQ1137" i="5"/>
  <c r="CQ467" i="5"/>
  <c r="CQ629" i="5"/>
  <c r="DO629" i="5"/>
  <c r="DO1137" i="5"/>
  <c r="I635" i="5"/>
  <c r="I573" i="5"/>
  <c r="I1141" i="5"/>
  <c r="IE754" i="5"/>
  <c r="BJ465" i="5"/>
  <c r="BJ572" i="5" s="1"/>
  <c r="FB976" i="5"/>
  <c r="FB1133" i="5"/>
  <c r="IE718" i="5"/>
  <c r="JB753" i="5"/>
  <c r="AI1313" i="2"/>
  <c r="AI1400" i="2" s="1"/>
  <c r="D92" i="7"/>
  <c r="E92" i="7" s="1"/>
  <c r="HV550" i="5"/>
  <c r="DF1152" i="5"/>
  <c r="DF640" i="5"/>
  <c r="FT717" i="5"/>
  <c r="IL718" i="5"/>
  <c r="IM718" i="5" s="1"/>
  <c r="AF1040" i="2" s="1"/>
  <c r="EM1148" i="5"/>
  <c r="IE529" i="5"/>
  <c r="AZ995" i="5"/>
  <c r="CR651" i="5"/>
  <c r="CR1153" i="5"/>
  <c r="AQ1141" i="5"/>
  <c r="AQ635" i="5"/>
  <c r="AQ573" i="5"/>
  <c r="BJ627" i="5"/>
  <c r="BI995" i="5"/>
  <c r="CR632" i="5"/>
  <c r="CR491" i="5"/>
  <c r="CR1139" i="5"/>
  <c r="CN977" i="5"/>
  <c r="HQ707" i="5"/>
  <c r="DL1151" i="5"/>
  <c r="DL536" i="5"/>
  <c r="HW543" i="5"/>
  <c r="F75" i="7" s="1"/>
  <c r="CT928" i="5"/>
  <c r="CT920" i="5" s="1"/>
  <c r="HS929" i="5"/>
  <c r="EQ1148" i="5"/>
  <c r="EQ505" i="5"/>
  <c r="EM1152" i="5"/>
  <c r="IE550" i="5"/>
  <c r="N82" i="7" s="1"/>
  <c r="N568" i="5"/>
  <c r="N569" i="5"/>
  <c r="N567" i="5"/>
  <c r="N627" i="5"/>
  <c r="N1132" i="5"/>
  <c r="N573" i="5"/>
  <c r="N465" i="5"/>
  <c r="N626" i="5" s="1"/>
  <c r="DZ1140" i="5"/>
  <c r="DZ543" i="5"/>
  <c r="DC1148" i="5"/>
  <c r="DC505" i="5"/>
  <c r="N83" i="7"/>
  <c r="IG551" i="5"/>
  <c r="EV521" i="5"/>
  <c r="IF523" i="5"/>
  <c r="O57" i="7" s="1"/>
  <c r="BK568" i="5"/>
  <c r="BK465" i="5"/>
  <c r="BK573" i="5"/>
  <c r="BK569" i="5"/>
  <c r="BK1132" i="5"/>
  <c r="BK567" i="5"/>
  <c r="BK627" i="5"/>
  <c r="IE667" i="5"/>
  <c r="EM976" i="5"/>
  <c r="HX488" i="5"/>
  <c r="AA694" i="2" s="1"/>
  <c r="AA1474" i="2" s="1"/>
  <c r="D27" i="7"/>
  <c r="E27" i="7" s="1"/>
  <c r="BO580" i="5"/>
  <c r="BO649" i="5" s="1"/>
  <c r="BO643" i="5"/>
  <c r="DS1134" i="5"/>
  <c r="DS468" i="5"/>
  <c r="CE467" i="5"/>
  <c r="CE1133" i="5"/>
  <c r="CE628" i="5"/>
  <c r="ID721" i="5"/>
  <c r="AC1043" i="2" s="1"/>
  <c r="HT718" i="5"/>
  <c r="CX717" i="5"/>
  <c r="HU935" i="5"/>
  <c r="Z1255" i="2" s="1"/>
  <c r="Y1551" i="2" s="1"/>
  <c r="EG893" i="5"/>
  <c r="IC898" i="5"/>
  <c r="EI987" i="5"/>
  <c r="EI817" i="5"/>
  <c r="EI986" i="5" s="1"/>
  <c r="HT979" i="5"/>
  <c r="HU719" i="5"/>
  <c r="I54" i="7"/>
  <c r="K54" i="7" s="1"/>
  <c r="IA520" i="5"/>
  <c r="Z1580" i="2"/>
  <c r="HU906" i="5"/>
  <c r="Z1227" i="2" s="1"/>
  <c r="IM668" i="5"/>
  <c r="AF990" i="2" s="1"/>
  <c r="AI1177" i="2"/>
  <c r="AO1177" i="2"/>
  <c r="JN860" i="5" s="1"/>
  <c r="G120" i="7"/>
  <c r="IA591" i="5"/>
  <c r="HY585" i="5"/>
  <c r="EJ1139" i="5"/>
  <c r="EJ491" i="5"/>
  <c r="IR754" i="5"/>
  <c r="IR982" i="5" s="1"/>
  <c r="BU992" i="5"/>
  <c r="IA669" i="5"/>
  <c r="AB991" i="2" s="1"/>
  <c r="O16" i="7"/>
  <c r="IG476" i="5"/>
  <c r="I18" i="7"/>
  <c r="K18" i="7" s="1"/>
  <c r="IA478" i="5"/>
  <c r="HS822" i="5"/>
  <c r="CR988" i="5"/>
  <c r="DF1137" i="5"/>
  <c r="DF629" i="5"/>
  <c r="FU1151" i="5"/>
  <c r="FU1149" i="5" s="1"/>
  <c r="FU987" i="5"/>
  <c r="FU817" i="5"/>
  <c r="FU986" i="5" s="1"/>
  <c r="IB928" i="5"/>
  <c r="E626" i="5"/>
  <c r="E572" i="5"/>
  <c r="DQ1149" i="5"/>
  <c r="DQ638" i="5"/>
  <c r="II928" i="5"/>
  <c r="FE920" i="5"/>
  <c r="EC996" i="5"/>
  <c r="EC892" i="5"/>
  <c r="EC995" i="5" s="1"/>
  <c r="IB893" i="5"/>
  <c r="HZ497" i="5"/>
  <c r="I34" i="7"/>
  <c r="K34" i="7" s="1"/>
  <c r="EY1137" i="5"/>
  <c r="EY1132" i="5" s="1"/>
  <c r="IH707" i="5"/>
  <c r="EY977" i="5"/>
  <c r="EE977" i="5"/>
  <c r="G25" i="7"/>
  <c r="H25" i="7" s="1"/>
  <c r="HY485" i="5"/>
  <c r="AB974" i="2"/>
  <c r="AB975" i="2" s="1"/>
  <c r="BX569" i="5"/>
  <c r="BX568" i="5"/>
  <c r="BX1132" i="5"/>
  <c r="BX573" i="5"/>
  <c r="BX627" i="5"/>
  <c r="BX465" i="5"/>
  <c r="BX567" i="5"/>
  <c r="DA997" i="5"/>
  <c r="DA892" i="5"/>
  <c r="DA995" i="5" s="1"/>
  <c r="CV1151" i="5"/>
  <c r="CV536" i="5"/>
  <c r="IG813" i="5"/>
  <c r="AD1129" i="2" s="1"/>
  <c r="I16" i="7"/>
  <c r="K16" i="7" s="1"/>
  <c r="IA476" i="5"/>
  <c r="IG477" i="5"/>
  <c r="N17" i="7"/>
  <c r="EE536" i="5"/>
  <c r="EE1151" i="5"/>
  <c r="AY567" i="5"/>
  <c r="AY568" i="5"/>
  <c r="AY1132" i="5"/>
  <c r="AY627" i="5"/>
  <c r="AY465" i="5"/>
  <c r="AY569" i="5"/>
  <c r="AY573" i="5"/>
  <c r="CM543" i="5"/>
  <c r="CM633" i="5"/>
  <c r="CM491" i="5"/>
  <c r="CM1140" i="5"/>
  <c r="CF1133" i="5"/>
  <c r="CF628" i="5"/>
  <c r="CF467" i="5"/>
  <c r="FG988" i="5"/>
  <c r="FG1150" i="5"/>
  <c r="II822" i="5"/>
  <c r="CP467" i="5"/>
  <c r="CP628" i="5"/>
  <c r="CP1133" i="5"/>
  <c r="HY575" i="5"/>
  <c r="IA575" i="5" s="1"/>
  <c r="IA644" i="5" s="1"/>
  <c r="IA576" i="5"/>
  <c r="IA645" i="5" s="1"/>
  <c r="G106" i="7"/>
  <c r="HY645" i="5"/>
  <c r="AB972" i="2"/>
  <c r="AB973" i="2" s="1"/>
  <c r="AC972" i="2" s="1"/>
  <c r="AC973" i="2" s="1"/>
  <c r="IG498" i="5"/>
  <c r="N34" i="7"/>
  <c r="C86" i="7"/>
  <c r="E86" i="7" s="1"/>
  <c r="HT550" i="5"/>
  <c r="CU640" i="5"/>
  <c r="CU1152" i="5"/>
  <c r="IC801" i="5"/>
  <c r="IC802" i="5" s="1"/>
  <c r="DN717" i="5"/>
  <c r="HW718" i="5"/>
  <c r="CL536" i="5"/>
  <c r="CL1151" i="5"/>
  <c r="EZ1151" i="5"/>
  <c r="EZ987" i="5"/>
  <c r="EZ817" i="5"/>
  <c r="EZ986" i="5" s="1"/>
  <c r="ES992" i="5"/>
  <c r="IF856" i="5"/>
  <c r="DI505" i="5"/>
  <c r="DI636" i="5" s="1"/>
  <c r="CY1153" i="5"/>
  <c r="CY651" i="5"/>
  <c r="ED1137" i="5"/>
  <c r="ED467" i="5"/>
  <c r="IS788" i="5"/>
  <c r="AH1102" i="2" s="1"/>
  <c r="AG1546" i="2" s="1"/>
  <c r="CX1152" i="5"/>
  <c r="CX640" i="5"/>
  <c r="HU523" i="5"/>
  <c r="EG977" i="5"/>
  <c r="IC707" i="5"/>
  <c r="HX935" i="5"/>
  <c r="AA1255" i="2" s="1"/>
  <c r="HT929" i="5"/>
  <c r="EM1154" i="5"/>
  <c r="EM582" i="5"/>
  <c r="IJ721" i="5"/>
  <c r="IG531" i="5"/>
  <c r="N63" i="7"/>
  <c r="CV997" i="5"/>
  <c r="CV892" i="5"/>
  <c r="CV995" i="5" s="1"/>
  <c r="CT987" i="5"/>
  <c r="CT817" i="5"/>
  <c r="CT986" i="5" s="1"/>
  <c r="DS1147" i="5"/>
  <c r="DS505" i="5"/>
  <c r="EM1140" i="5"/>
  <c r="IE497" i="5"/>
  <c r="N33" i="7" s="1"/>
  <c r="EM543" i="5"/>
  <c r="HC816" i="5"/>
  <c r="IV795" i="5"/>
  <c r="AI1111" i="2" s="1"/>
  <c r="IR920" i="5"/>
  <c r="HC717" i="5"/>
  <c r="IQ856" i="5"/>
  <c r="IQ992" i="5" s="1"/>
  <c r="IA702" i="5"/>
  <c r="AB1024" i="2" s="1"/>
  <c r="AB512" i="2" s="1"/>
  <c r="N65" i="7"/>
  <c r="IG533" i="5"/>
  <c r="P65" i="7" s="1"/>
  <c r="F69" i="7"/>
  <c r="EF988" i="5"/>
  <c r="IB822" i="5"/>
  <c r="CH982" i="5"/>
  <c r="HP754" i="5"/>
  <c r="DG629" i="5"/>
  <c r="DG1137" i="5"/>
  <c r="ID899" i="5"/>
  <c r="AC1220" i="2" s="1"/>
  <c r="CU1153" i="5"/>
  <c r="CU651" i="5"/>
  <c r="IF514" i="5"/>
  <c r="O50" i="7" s="1"/>
  <c r="DQ997" i="5"/>
  <c r="DQ892" i="5"/>
  <c r="DQ995" i="5" s="1"/>
  <c r="HS730" i="5"/>
  <c r="HS981" i="5" s="1"/>
  <c r="AQ834" i="5"/>
  <c r="AQ975" i="5"/>
  <c r="AQ816" i="5"/>
  <c r="AQ985" i="5" s="1"/>
  <c r="AQ815" i="5"/>
  <c r="AQ984" i="5" s="1"/>
  <c r="AQ835" i="5"/>
  <c r="AQ991" i="5" s="1"/>
  <c r="EU1156" i="5"/>
  <c r="EU596" i="5"/>
  <c r="IF610" i="5"/>
  <c r="IA532" i="5"/>
  <c r="EF987" i="5"/>
  <c r="EF817" i="5"/>
  <c r="IB818" i="5"/>
  <c r="DK977" i="5"/>
  <c r="CY1148" i="5"/>
  <c r="CY505" i="5"/>
  <c r="CU987" i="5"/>
  <c r="CU817" i="5"/>
  <c r="CU986" i="5" s="1"/>
  <c r="IM788" i="5"/>
  <c r="AF1102" i="2" s="1"/>
  <c r="AF1546" i="2" s="1"/>
  <c r="CA1132" i="5"/>
  <c r="CA627" i="5"/>
  <c r="CA465" i="5"/>
  <c r="CA626" i="5" s="1"/>
  <c r="IU780" i="5"/>
  <c r="IU958" i="5" s="1"/>
  <c r="IU967" i="5" s="1"/>
  <c r="IF475" i="5"/>
  <c r="O15" i="7" s="1"/>
  <c r="IU818" i="5"/>
  <c r="IU817" i="5" s="1"/>
  <c r="IU957" i="5" s="1"/>
  <c r="IU966" i="5" s="1"/>
  <c r="AH1616" i="2"/>
  <c r="ET1148" i="5"/>
  <c r="IF529" i="5"/>
  <c r="O61" i="7" s="1"/>
  <c r="ET505" i="5"/>
  <c r="DF632" i="5"/>
  <c r="DF1139" i="5"/>
  <c r="IE475" i="5"/>
  <c r="N15" i="7" s="1"/>
  <c r="DL988" i="5"/>
  <c r="DL817" i="5"/>
  <c r="CM1137" i="5"/>
  <c r="CM629" i="5"/>
  <c r="CM467" i="5"/>
  <c r="N18" i="7"/>
  <c r="IG478" i="5"/>
  <c r="CH996" i="5"/>
  <c r="CH892" i="5"/>
  <c r="CH995" i="5" s="1"/>
  <c r="IG586" i="5"/>
  <c r="DI920" i="5"/>
  <c r="FK982" i="5"/>
  <c r="FD996" i="5"/>
  <c r="FD892" i="5"/>
  <c r="BS816" i="5"/>
  <c r="BS985" i="5" s="1"/>
  <c r="BS835" i="5"/>
  <c r="BS991" i="5" s="1"/>
  <c r="BS815" i="5"/>
  <c r="BS984" i="5" s="1"/>
  <c r="BS975" i="5"/>
  <c r="BS834" i="5"/>
  <c r="EF717" i="5"/>
  <c r="IB718" i="5"/>
  <c r="KP816" i="5"/>
  <c r="KP985" i="5" s="1"/>
  <c r="KP835" i="5"/>
  <c r="KP991" i="5" s="1"/>
  <c r="DI977" i="5"/>
  <c r="HW707" i="5"/>
  <c r="HT667" i="5"/>
  <c r="HT976" i="5" s="1"/>
  <c r="CY976" i="5"/>
  <c r="CU892" i="5"/>
  <c r="CU995" i="5" s="1"/>
  <c r="CU997" i="5"/>
  <c r="IG487" i="5"/>
  <c r="P26" i="7" s="1"/>
  <c r="N26" i="7"/>
  <c r="IL929" i="5"/>
  <c r="CQ598" i="5"/>
  <c r="HS600" i="5"/>
  <c r="HU600" i="5"/>
  <c r="FH997" i="5"/>
  <c r="FH1153" i="5"/>
  <c r="CG996" i="5"/>
  <c r="CG892" i="5"/>
  <c r="CG995" i="5" s="1"/>
  <c r="EV996" i="5"/>
  <c r="EV892" i="5"/>
  <c r="EV995" i="5" s="1"/>
  <c r="IF893" i="5"/>
  <c r="IV703" i="5"/>
  <c r="AI1025" i="2" s="1"/>
  <c r="AI515" i="2" s="1"/>
  <c r="AU1141" i="5"/>
  <c r="AU635" i="5"/>
  <c r="CO988" i="5"/>
  <c r="CO817" i="5"/>
  <c r="CO986" i="5" s="1"/>
  <c r="F140" i="7"/>
  <c r="HX613" i="5"/>
  <c r="AA846" i="2" s="1"/>
  <c r="EG987" i="5"/>
  <c r="EG817" i="5"/>
  <c r="EG986" i="5" s="1"/>
  <c r="G84" i="7"/>
  <c r="H84" i="7" s="1"/>
  <c r="IA552" i="5"/>
  <c r="IH754" i="5"/>
  <c r="EY982" i="5"/>
  <c r="AP995" i="5"/>
  <c r="CF717" i="5"/>
  <c r="HP718" i="5"/>
  <c r="BS1141" i="5"/>
  <c r="BS635" i="5"/>
  <c r="HS797" i="5"/>
  <c r="HS799" i="5" s="1"/>
  <c r="HS800" i="5"/>
  <c r="CF987" i="5"/>
  <c r="CF817" i="5"/>
  <c r="CF986" i="5" s="1"/>
  <c r="HP818" i="5"/>
  <c r="IG780" i="5"/>
  <c r="AD1095" i="2" s="1"/>
  <c r="IE958" i="5"/>
  <c r="HW822" i="5"/>
  <c r="HR723" i="5"/>
  <c r="AV975" i="5"/>
  <c r="AV816" i="5"/>
  <c r="AV985" i="5" s="1"/>
  <c r="AV834" i="5"/>
  <c r="AV990" i="5" s="1"/>
  <c r="AV815" i="5"/>
  <c r="AV984" i="5" s="1"/>
  <c r="AV835" i="5"/>
  <c r="AV991" i="5" s="1"/>
  <c r="FC1133" i="5"/>
  <c r="FC976" i="5"/>
  <c r="CB1141" i="5"/>
  <c r="CB635" i="5"/>
  <c r="GY816" i="5"/>
  <c r="IS681" i="5"/>
  <c r="AH1003" i="2" s="1"/>
  <c r="AG1561" i="2" s="1"/>
  <c r="IS736" i="5"/>
  <c r="AH1058" i="2" s="1"/>
  <c r="EJ1156" i="5"/>
  <c r="EJ596" i="5"/>
  <c r="CG629" i="5"/>
  <c r="CG1137" i="5"/>
  <c r="I43" i="7"/>
  <c r="K43" i="7" s="1"/>
  <c r="IA507" i="5"/>
  <c r="N84" i="7"/>
  <c r="IG552" i="5"/>
  <c r="P84" i="7" s="1"/>
  <c r="BY568" i="5"/>
  <c r="BY627" i="5"/>
  <c r="BY1132" i="5"/>
  <c r="BY573" i="5"/>
  <c r="BY465" i="5"/>
  <c r="BY567" i="5"/>
  <c r="FM893" i="5"/>
  <c r="IK898" i="5"/>
  <c r="G69" i="7"/>
  <c r="IA537" i="5"/>
  <c r="EL997" i="5"/>
  <c r="EL892" i="5"/>
  <c r="EL995" i="5" s="1"/>
  <c r="HY550" i="5"/>
  <c r="EG1133" i="5"/>
  <c r="EG467" i="5"/>
  <c r="FR1137" i="5"/>
  <c r="FR977" i="5"/>
  <c r="EN928" i="5"/>
  <c r="IE929" i="5"/>
  <c r="FV997" i="5"/>
  <c r="FV892" i="5"/>
  <c r="FV1153" i="5"/>
  <c r="IV829" i="5"/>
  <c r="AI1145" i="2" s="1"/>
  <c r="GS816" i="5"/>
  <c r="HR706" i="5"/>
  <c r="Y1028" i="2" s="1"/>
  <c r="DF491" i="5"/>
  <c r="DF1138" i="5" s="1"/>
  <c r="IV695" i="5"/>
  <c r="AI1017" i="2" s="1"/>
  <c r="AI446" i="2" s="1"/>
  <c r="W626" i="5"/>
  <c r="W572" i="5"/>
  <c r="DY1148" i="5"/>
  <c r="DY505" i="5"/>
  <c r="CF1137" i="5"/>
  <c r="CF629" i="5"/>
  <c r="DV996" i="5"/>
  <c r="DV892" i="5"/>
  <c r="DV995" i="5" s="1"/>
  <c r="ID679" i="5"/>
  <c r="AC1001" i="2" s="1"/>
  <c r="CX1153" i="5"/>
  <c r="CX651" i="5"/>
  <c r="HY497" i="5"/>
  <c r="G34" i="7"/>
  <c r="H34" i="7" s="1"/>
  <c r="IA498" i="5"/>
  <c r="DO596" i="5"/>
  <c r="DO1156" i="5"/>
  <c r="EH1147" i="5"/>
  <c r="EH505" i="5"/>
  <c r="EH1142" i="5" s="1"/>
  <c r="L1132" i="5"/>
  <c r="L569" i="5"/>
  <c r="L627" i="5"/>
  <c r="L567" i="5"/>
  <c r="L465" i="5"/>
  <c r="L573" i="5"/>
  <c r="L568" i="5"/>
  <c r="AE986" i="5"/>
  <c r="AE834" i="5"/>
  <c r="CR987" i="5"/>
  <c r="HS818" i="5"/>
  <c r="HS987" i="5" s="1"/>
  <c r="CR817" i="5"/>
  <c r="CR986" i="5" s="1"/>
  <c r="GX717" i="5"/>
  <c r="HX481" i="5"/>
  <c r="AA687" i="2" s="1"/>
  <c r="IM935" i="5"/>
  <c r="AF1255" i="2" s="1"/>
  <c r="HT514" i="5"/>
  <c r="C51" i="7"/>
  <c r="AA1675" i="2"/>
  <c r="AA1709" i="2" s="1"/>
  <c r="IT730" i="5"/>
  <c r="IG705" i="5"/>
  <c r="AD1027" i="2" s="1"/>
  <c r="IS864" i="5"/>
  <c r="AH1181" i="2" s="1"/>
  <c r="CK1153" i="5"/>
  <c r="CK651" i="5"/>
  <c r="EI1156" i="5"/>
  <c r="EI596" i="5"/>
  <c r="DP633" i="5"/>
  <c r="DP1140" i="5"/>
  <c r="DP543" i="5"/>
  <c r="BB978" i="5"/>
  <c r="BB666" i="5"/>
  <c r="IS703" i="5"/>
  <c r="AH1025" i="2" s="1"/>
  <c r="AH515" i="2" s="1"/>
  <c r="CD569" i="5"/>
  <c r="CD627" i="5"/>
  <c r="CD568" i="5"/>
  <c r="CD465" i="5"/>
  <c r="CD567" i="5"/>
  <c r="CD573" i="5"/>
  <c r="CD1132" i="5"/>
  <c r="IM905" i="5"/>
  <c r="AF1226" i="2" s="1"/>
  <c r="AF1628" i="2"/>
  <c r="AF1627" i="2" s="1"/>
  <c r="CX997" i="5"/>
  <c r="CX892" i="5"/>
  <c r="CX995" i="5" s="1"/>
  <c r="N25" i="7"/>
  <c r="IG486" i="5"/>
  <c r="G51" i="7"/>
  <c r="H51" i="7" s="1"/>
  <c r="IA515" i="5"/>
  <c r="IA614" i="5"/>
  <c r="IA1113" i="5" s="1"/>
  <c r="G141" i="7"/>
  <c r="HY1113" i="5"/>
  <c r="CV1152" i="5"/>
  <c r="CV640" i="5"/>
  <c r="DX717" i="5"/>
  <c r="HZ722" i="5"/>
  <c r="DP976" i="5"/>
  <c r="DE1133" i="5"/>
  <c r="DE467" i="5"/>
  <c r="DE628" i="5"/>
  <c r="EH1134" i="5"/>
  <c r="EH468" i="5"/>
  <c r="HU721" i="5"/>
  <c r="HS980" i="5"/>
  <c r="FB1151" i="5"/>
  <c r="FB817" i="5"/>
  <c r="FB986" i="5" s="1"/>
  <c r="FB987" i="5"/>
  <c r="DC1137" i="5"/>
  <c r="DC629" i="5"/>
  <c r="HU514" i="5"/>
  <c r="IV691" i="5"/>
  <c r="AI1013" i="2" s="1"/>
  <c r="AI487" i="2" s="1"/>
  <c r="IR722" i="5"/>
  <c r="IQ722" i="5"/>
  <c r="IF822" i="5"/>
  <c r="ES988" i="5"/>
  <c r="ES817" i="5"/>
  <c r="IS739" i="5"/>
  <c r="AH1061" i="2" s="1"/>
  <c r="AH535" i="2" s="1"/>
  <c r="IV743" i="5"/>
  <c r="AI1065" i="2" s="1"/>
  <c r="DS996" i="5"/>
  <c r="DS892" i="5"/>
  <c r="DS995" i="5" s="1"/>
  <c r="Z1581" i="2"/>
  <c r="HX906" i="5"/>
  <c r="AA1227" i="2" s="1"/>
  <c r="DU996" i="5"/>
  <c r="HZ893" i="5"/>
  <c r="DU892" i="5"/>
  <c r="AH978" i="5"/>
  <c r="AH666" i="5"/>
  <c r="N22" i="7"/>
  <c r="IG482" i="5"/>
  <c r="DU1148" i="5"/>
  <c r="HZ529" i="5"/>
  <c r="I61" i="7" s="1"/>
  <c r="K61" i="7" s="1"/>
  <c r="EX1133" i="5"/>
  <c r="EX467" i="5"/>
  <c r="D129" i="7"/>
  <c r="IA480" i="5"/>
  <c r="G20" i="7"/>
  <c r="H20" i="7" s="1"/>
  <c r="CS996" i="5"/>
  <c r="CS892" i="5"/>
  <c r="CS995" i="5" s="1"/>
  <c r="FH1151" i="5"/>
  <c r="FH1149" i="5" s="1"/>
  <c r="FH817" i="5"/>
  <c r="FH986" i="5" s="1"/>
  <c r="FH987" i="5"/>
  <c r="K569" i="5"/>
  <c r="K567" i="5"/>
  <c r="K627" i="5"/>
  <c r="K1132" i="5"/>
  <c r="K573" i="5"/>
  <c r="K568" i="5"/>
  <c r="K465" i="5"/>
  <c r="AE835" i="5"/>
  <c r="AE991" i="5" s="1"/>
  <c r="D20" i="7"/>
  <c r="HX480" i="5"/>
  <c r="AA686" i="2" s="1"/>
  <c r="AA1472" i="2" s="1"/>
  <c r="IG755" i="5"/>
  <c r="AD1077" i="2" s="1"/>
  <c r="BN573" i="5"/>
  <c r="BN1141" i="5"/>
  <c r="BN635" i="5"/>
  <c r="FD987" i="5"/>
  <c r="FD1151" i="5"/>
  <c r="HQ722" i="5"/>
  <c r="CQ920" i="5"/>
  <c r="H17" i="7"/>
  <c r="DV1156" i="5"/>
  <c r="DV596" i="5"/>
  <c r="FB928" i="5"/>
  <c r="IH929" i="5"/>
  <c r="DT988" i="5"/>
  <c r="DT817" i="5"/>
  <c r="DT986" i="5" s="1"/>
  <c r="AA974" i="2"/>
  <c r="D25" i="7"/>
  <c r="E25" i="7" s="1"/>
  <c r="HV485" i="5"/>
  <c r="HX486" i="5"/>
  <c r="AA692" i="2" s="1"/>
  <c r="HZ801" i="5"/>
  <c r="IV739" i="5"/>
  <c r="AI1061" i="2" s="1"/>
  <c r="AI535" i="2" s="1"/>
  <c r="IV724" i="5"/>
  <c r="AI1046" i="2" s="1"/>
  <c r="AI1303" i="2" s="1"/>
  <c r="AI1390" i="2" s="1"/>
  <c r="IS683" i="5"/>
  <c r="AH1005" i="2" s="1"/>
  <c r="AH463" i="2" s="1"/>
  <c r="AI463" i="2" s="1"/>
  <c r="IR730" i="5"/>
  <c r="IR981" i="5" s="1"/>
  <c r="HR705" i="5"/>
  <c r="Y1027" i="2" s="1"/>
  <c r="DE817" i="5"/>
  <c r="DE986" i="5" s="1"/>
  <c r="DE988" i="5"/>
  <c r="DK981" i="5"/>
  <c r="HW730" i="5"/>
  <c r="DS1152" i="5"/>
  <c r="DS640" i="5"/>
  <c r="EQ987" i="5"/>
  <c r="EQ817" i="5"/>
  <c r="EQ986" i="5" s="1"/>
  <c r="G14" i="7"/>
  <c r="H14" i="7" s="1"/>
  <c r="IA474" i="5"/>
  <c r="IP988" i="5"/>
  <c r="AG1138" i="2"/>
  <c r="G89" i="7"/>
  <c r="H89" i="7" s="1"/>
  <c r="IA558" i="5"/>
  <c r="IG481" i="5"/>
  <c r="P21" i="7" s="1"/>
  <c r="O21" i="7"/>
  <c r="CL629" i="5"/>
  <c r="CL1137" i="5"/>
  <c r="CL467" i="5"/>
  <c r="FB1137" i="5"/>
  <c r="FB977" i="5"/>
  <c r="BD573" i="5"/>
  <c r="BD635" i="5"/>
  <c r="BD1141" i="5"/>
  <c r="KN503" i="5"/>
  <c r="KN636" i="5"/>
  <c r="HY707" i="5"/>
  <c r="DO977" i="5"/>
  <c r="N90" i="7"/>
  <c r="IG559" i="5"/>
  <c r="EM997" i="5"/>
  <c r="EM892" i="5"/>
  <c r="EM995" i="5" s="1"/>
  <c r="BO1141" i="5"/>
  <c r="BO635" i="5"/>
  <c r="CH536" i="5"/>
  <c r="CH1151" i="5"/>
  <c r="FD1153" i="5"/>
  <c r="FD997" i="5"/>
  <c r="CC1141" i="5"/>
  <c r="CC635" i="5"/>
  <c r="HQ822" i="5"/>
  <c r="FU977" i="5"/>
  <c r="FU1137" i="5"/>
  <c r="IJ935" i="5"/>
  <c r="AE1255" i="2" s="1"/>
  <c r="BK1141" i="5"/>
  <c r="BK635" i="5"/>
  <c r="F33" i="7"/>
  <c r="HW633" i="5"/>
  <c r="IV733" i="5"/>
  <c r="AI1055" i="2" s="1"/>
  <c r="HS468" i="5"/>
  <c r="HS628" i="5" s="1"/>
  <c r="FG1151" i="5"/>
  <c r="FG817" i="5"/>
  <c r="FG987" i="5"/>
  <c r="II818" i="5"/>
  <c r="N130" i="7"/>
  <c r="IG601" i="5"/>
  <c r="P130" i="7" s="1"/>
  <c r="CZ1153" i="5"/>
  <c r="CZ651" i="5"/>
  <c r="DM1152" i="5"/>
  <c r="DM640" i="5"/>
  <c r="BV626" i="5"/>
  <c r="BV572" i="5"/>
  <c r="DY467" i="5"/>
  <c r="DY1133" i="5"/>
  <c r="FO987" i="5"/>
  <c r="FO1151" i="5"/>
  <c r="FO1149" i="5" s="1"/>
  <c r="FO1141" i="5" s="1"/>
  <c r="IK818" i="5"/>
  <c r="EW1137" i="5"/>
  <c r="EW467" i="5"/>
  <c r="EW1153" i="5"/>
  <c r="FJ1151" i="5"/>
  <c r="FJ1149" i="5" s="1"/>
  <c r="FJ987" i="5"/>
  <c r="FV1151" i="5"/>
  <c r="FV817" i="5"/>
  <c r="FV986" i="5" s="1"/>
  <c r="FV987" i="5"/>
  <c r="N89" i="7"/>
  <c r="IG558" i="5"/>
  <c r="ER1133" i="5"/>
  <c r="ER467" i="5"/>
  <c r="II722" i="5"/>
  <c r="HV667" i="5"/>
  <c r="DF976" i="5"/>
  <c r="IA930" i="5"/>
  <c r="AB1249" i="2" s="1"/>
  <c r="AB1363" i="2" s="1"/>
  <c r="IG576" i="5"/>
  <c r="EB977" i="5"/>
  <c r="IB707" i="5"/>
  <c r="N13" i="7"/>
  <c r="IG473" i="5"/>
  <c r="BZ465" i="5"/>
  <c r="BZ1132" i="5"/>
  <c r="BZ568" i="5"/>
  <c r="BZ569" i="5"/>
  <c r="BZ627" i="5"/>
  <c r="BZ567" i="5"/>
  <c r="BZ573" i="5"/>
  <c r="IV677" i="5"/>
  <c r="AI999" i="2" s="1"/>
  <c r="AI438" i="2" s="1"/>
  <c r="IU722" i="5"/>
  <c r="IV929" i="5"/>
  <c r="AI1248" i="2" s="1"/>
  <c r="EM987" i="5"/>
  <c r="IE818" i="5"/>
  <c r="EM817" i="5"/>
  <c r="S1141" i="5"/>
  <c r="S573" i="5"/>
  <c r="S635" i="5"/>
  <c r="FL992" i="5"/>
  <c r="DV982" i="5"/>
  <c r="HZ754" i="5"/>
  <c r="EL977" i="5"/>
  <c r="EY893" i="5"/>
  <c r="IH898" i="5"/>
  <c r="IM789" i="5"/>
  <c r="AF1103" i="2" s="1"/>
  <c r="DV1151" i="5"/>
  <c r="DV536" i="5"/>
  <c r="DV1149" i="5" s="1"/>
  <c r="DX467" i="5"/>
  <c r="FA977" i="5"/>
  <c r="FA1137" i="5"/>
  <c r="CO1133" i="5"/>
  <c r="CO628" i="5"/>
  <c r="AD1576" i="2"/>
  <c r="IG857" i="5"/>
  <c r="DE920" i="5"/>
  <c r="HP801" i="5"/>
  <c r="HP804" i="5" s="1"/>
  <c r="IS757" i="5"/>
  <c r="AH1079" i="2" s="1"/>
  <c r="DP1133" i="5"/>
  <c r="DP467" i="5"/>
  <c r="DP628" i="5"/>
  <c r="F16" i="7"/>
  <c r="H16" i="7" s="1"/>
  <c r="HX476" i="5"/>
  <c r="AA682" i="2" s="1"/>
  <c r="CS1153" i="5"/>
  <c r="HU584" i="5"/>
  <c r="HU651" i="5" s="1"/>
  <c r="CS651" i="5"/>
  <c r="C20" i="7"/>
  <c r="HT468" i="5"/>
  <c r="DO976" i="5"/>
  <c r="HY667" i="5"/>
  <c r="EF976" i="5"/>
  <c r="AV995" i="5"/>
  <c r="IQ780" i="5"/>
  <c r="GI754" i="5"/>
  <c r="IQ754" i="5" s="1"/>
  <c r="EU1133" i="5"/>
  <c r="EU467" i="5"/>
  <c r="IS822" i="5"/>
  <c r="AH1138" i="2" s="1"/>
  <c r="IQ988" i="5"/>
  <c r="GL717" i="5"/>
  <c r="GL1138" i="5" s="1"/>
  <c r="IQ718" i="5"/>
  <c r="IV789" i="5"/>
  <c r="AI1103" i="2" s="1"/>
  <c r="AI1543" i="2"/>
  <c r="IV912" i="5"/>
  <c r="AI1233" i="2" s="1"/>
  <c r="AH1637" i="2"/>
  <c r="AH1635" i="2" s="1"/>
  <c r="AH1629" i="2"/>
  <c r="AH1627" i="2" s="1"/>
  <c r="EK981" i="5"/>
  <c r="IC730" i="5"/>
  <c r="AI1542" i="2"/>
  <c r="IS721" i="5"/>
  <c r="AH1043" i="2" s="1"/>
  <c r="IQ980" i="5"/>
  <c r="IQ667" i="5"/>
  <c r="IV755" i="5"/>
  <c r="AI1077" i="2" s="1"/>
  <c r="IR958" i="5"/>
  <c r="IR967" i="5" s="1"/>
  <c r="AG992" i="5"/>
  <c r="CU976" i="5"/>
  <c r="IF550" i="5"/>
  <c r="G31" i="7"/>
  <c r="H31" i="7" s="1"/>
  <c r="IA494" i="5"/>
  <c r="HY492" i="5"/>
  <c r="IV723" i="5"/>
  <c r="AI1045" i="2" s="1"/>
  <c r="AI1302" i="2" s="1"/>
  <c r="IT722" i="5"/>
  <c r="HU743" i="5"/>
  <c r="Z1065" i="2" s="1"/>
  <c r="O20" i="7"/>
  <c r="IG480" i="5"/>
  <c r="ID681" i="5"/>
  <c r="AC1003" i="2" s="1"/>
  <c r="DA1133" i="5"/>
  <c r="DA628" i="5"/>
  <c r="DA467" i="5"/>
  <c r="DL976" i="5"/>
  <c r="DA1151" i="5"/>
  <c r="DA536" i="5"/>
  <c r="HW797" i="5"/>
  <c r="IU856" i="5"/>
  <c r="AI1576" i="2"/>
  <c r="D13" i="7"/>
  <c r="E13" i="7" s="1"/>
  <c r="HX473" i="5"/>
  <c r="AA679" i="2" s="1"/>
  <c r="F94" i="7"/>
  <c r="H94" i="7" s="1"/>
  <c r="HX564" i="5"/>
  <c r="AA787" i="2" s="1"/>
  <c r="BH626" i="5"/>
  <c r="BH572" i="5"/>
  <c r="CR976" i="5"/>
  <c r="HS667" i="5"/>
  <c r="EB1133" i="5"/>
  <c r="EB467" i="5"/>
  <c r="AI1612" i="2"/>
  <c r="AI1580" i="2"/>
  <c r="J573" i="5"/>
  <c r="J572" i="5"/>
  <c r="J1141" i="5"/>
  <c r="J635" i="5"/>
  <c r="AD689" i="2"/>
  <c r="HF816" i="5"/>
  <c r="IS668" i="5"/>
  <c r="AH990" i="2" s="1"/>
  <c r="IV906" i="5"/>
  <c r="AI1227" i="2" s="1"/>
  <c r="IV757" i="5"/>
  <c r="AI1079" i="2" s="1"/>
  <c r="AJ1079" i="2" s="1"/>
  <c r="AK1079" i="2" s="1"/>
  <c r="IP958" i="5"/>
  <c r="IP967" i="5" s="1"/>
  <c r="IN967" i="5"/>
  <c r="HZ514" i="5"/>
  <c r="I50" i="7" s="1"/>
  <c r="K50" i="7" s="1"/>
  <c r="DX505" i="5"/>
  <c r="AG626" i="5"/>
  <c r="AG572" i="5"/>
  <c r="DG1138" i="5"/>
  <c r="DG631" i="5"/>
  <c r="DP1139" i="5"/>
  <c r="DP632" i="5"/>
  <c r="DP491" i="5"/>
  <c r="EX976" i="5"/>
  <c r="IF667" i="5"/>
  <c r="DQ981" i="5"/>
  <c r="HY730" i="5"/>
  <c r="IG609" i="5"/>
  <c r="N136" i="7"/>
  <c r="EH1151" i="5"/>
  <c r="EH536" i="5"/>
  <c r="DJ640" i="5"/>
  <c r="HW550" i="5"/>
  <c r="DJ1152" i="5"/>
  <c r="EZ976" i="5"/>
  <c r="EZ1133" i="5"/>
  <c r="IH667" i="5"/>
  <c r="EU521" i="5"/>
  <c r="IF527" i="5"/>
  <c r="IG527" i="5" s="1"/>
  <c r="HW800" i="5"/>
  <c r="IR856" i="5"/>
  <c r="IR992" i="5" s="1"/>
  <c r="AH1268" i="2"/>
  <c r="HA816" i="5"/>
  <c r="IU730" i="5"/>
  <c r="IS781" i="5"/>
  <c r="AH1096" i="2" s="1"/>
  <c r="AG1547" i="2" s="1"/>
  <c r="N31" i="7"/>
  <c r="IG494" i="5"/>
  <c r="CA573" i="5"/>
  <c r="CA1141" i="5"/>
  <c r="CA635" i="5"/>
  <c r="EQ1155" i="5"/>
  <c r="IE598" i="5"/>
  <c r="I105" i="7"/>
  <c r="K105" i="7" s="1"/>
  <c r="CJ1133" i="5"/>
  <c r="CJ628" i="5"/>
  <c r="CJ467" i="5"/>
  <c r="EI976" i="5"/>
  <c r="GP816" i="5"/>
  <c r="IV813" i="5"/>
  <c r="AI1129" i="2" s="1"/>
  <c r="EM491" i="5"/>
  <c r="EM1139" i="5"/>
  <c r="IE492" i="5"/>
  <c r="BH580" i="5"/>
  <c r="BH649" i="5" s="1"/>
  <c r="BH643" i="5"/>
  <c r="ED976" i="5"/>
  <c r="IB667" i="5"/>
  <c r="AD572" i="5"/>
  <c r="AD626" i="5"/>
  <c r="GI817" i="5"/>
  <c r="IQ818" i="5"/>
  <c r="BE995" i="5"/>
  <c r="CQ640" i="5"/>
  <c r="CQ1152" i="5"/>
  <c r="CV1139" i="5"/>
  <c r="CV632" i="5"/>
  <c r="CV491" i="5"/>
  <c r="IV721" i="5"/>
  <c r="AI1043" i="2" s="1"/>
  <c r="DJ976" i="5"/>
  <c r="HW667" i="5"/>
  <c r="AB1141" i="5"/>
  <c r="AB635" i="5"/>
  <c r="AB573" i="5"/>
  <c r="AB572" i="5"/>
  <c r="AN573" i="5"/>
  <c r="AN1141" i="5"/>
  <c r="AN635" i="5"/>
  <c r="AN572" i="5"/>
  <c r="IR980" i="5"/>
  <c r="GI799" i="5"/>
  <c r="GI1150" i="5" s="1"/>
  <c r="GI1149" i="5" s="1"/>
  <c r="GJ796" i="5"/>
  <c r="Q567" i="5"/>
  <c r="Q1132" i="5"/>
  <c r="Q568" i="5"/>
  <c r="Q465" i="5"/>
  <c r="Q627" i="5"/>
  <c r="Q569" i="5"/>
  <c r="Q573" i="5"/>
  <c r="N30" i="7"/>
  <c r="IG493" i="5"/>
  <c r="IL667" i="5"/>
  <c r="FR1133" i="5"/>
  <c r="FR976" i="5"/>
  <c r="G11" i="7"/>
  <c r="H11" i="7" s="1"/>
  <c r="IA471" i="5"/>
  <c r="FN981" i="5"/>
  <c r="FN1137" i="5"/>
  <c r="FN1132" i="5" s="1"/>
  <c r="IK730" i="5"/>
  <c r="IM697" i="5"/>
  <c r="AF1019" i="2" s="1"/>
  <c r="F120" i="7"/>
  <c r="HW585" i="5"/>
  <c r="HX591" i="5"/>
  <c r="HX668" i="5"/>
  <c r="AA990" i="2" s="1"/>
  <c r="IV696" i="5"/>
  <c r="AI1018" i="2" s="1"/>
  <c r="AI499" i="2" s="1"/>
  <c r="IS697" i="5"/>
  <c r="AH1019" i="2" s="1"/>
  <c r="AH1580" i="2"/>
  <c r="AH1612" i="2"/>
  <c r="GO898" i="5"/>
  <c r="IR899" i="5"/>
  <c r="IT910" i="5"/>
  <c r="IS870" i="5"/>
  <c r="AH1187" i="2" s="1"/>
  <c r="AG1617" i="2"/>
  <c r="AG1615" i="2" s="1"/>
  <c r="AG1593" i="2"/>
  <c r="AG1597" i="2" s="1"/>
  <c r="GO817" i="5"/>
  <c r="IR818" i="5"/>
  <c r="IR987" i="5" s="1"/>
  <c r="BM992" i="5"/>
  <c r="I42" i="7"/>
  <c r="K42" i="7" s="1"/>
  <c r="IA506" i="5"/>
  <c r="EO1133" i="5"/>
  <c r="EO467" i="5"/>
  <c r="HP797" i="5"/>
  <c r="HP799" i="5" s="1"/>
  <c r="FU976" i="5"/>
  <c r="FU1133" i="5"/>
  <c r="EO1139" i="5"/>
  <c r="EO491" i="5"/>
  <c r="EO1138" i="5" s="1"/>
  <c r="IU718" i="5"/>
  <c r="CP976" i="5"/>
  <c r="HQ667" i="5"/>
  <c r="DR521" i="5"/>
  <c r="HY523" i="5"/>
  <c r="DW976" i="5"/>
  <c r="HZ667" i="5"/>
  <c r="ES536" i="5"/>
  <c r="ES1151" i="5"/>
  <c r="ET981" i="5"/>
  <c r="IF730" i="5"/>
  <c r="FS1133" i="5"/>
  <c r="FS976" i="5"/>
  <c r="IS719" i="5"/>
  <c r="AH1041" i="2" s="1"/>
  <c r="AH1299" i="2" s="1"/>
  <c r="IQ979" i="5"/>
  <c r="IQ920" i="5"/>
  <c r="EH1152" i="5"/>
  <c r="EB1147" i="5"/>
  <c r="EB505" i="5"/>
  <c r="FG976" i="5"/>
  <c r="II667" i="5"/>
  <c r="FG1133" i="5"/>
  <c r="DU1139" i="5"/>
  <c r="HZ492" i="5"/>
  <c r="DU491" i="5"/>
  <c r="DR1134" i="5"/>
  <c r="DR468" i="5"/>
  <c r="HY470" i="5"/>
  <c r="DG1151" i="5"/>
  <c r="DG536" i="5"/>
  <c r="O94" i="7"/>
  <c r="IG564" i="5"/>
  <c r="HB816" i="5"/>
  <c r="IS876" i="5"/>
  <c r="AH1193" i="2" s="1"/>
  <c r="IS922" i="5"/>
  <c r="AH1241" i="2" s="1"/>
  <c r="IQ730" i="5"/>
  <c r="IS669" i="5"/>
  <c r="AH991" i="2" s="1"/>
  <c r="DZ988" i="5"/>
  <c r="DZ817" i="5"/>
  <c r="DZ986" i="5" s="1"/>
  <c r="HZ822" i="5"/>
  <c r="HS475" i="5"/>
  <c r="HU475" i="5"/>
  <c r="I12" i="7"/>
  <c r="K12" i="7" s="1"/>
  <c r="IA472" i="5"/>
  <c r="IJ668" i="5"/>
  <c r="AE990" i="2" s="1"/>
  <c r="I30" i="7"/>
  <c r="K30" i="7" s="1"/>
  <c r="IA493" i="5"/>
  <c r="CL981" i="5"/>
  <c r="HQ730" i="5"/>
  <c r="DJ598" i="5"/>
  <c r="DJ1155" i="5" s="1"/>
  <c r="HW600" i="5"/>
  <c r="N46" i="7"/>
  <c r="IG510" i="5"/>
  <c r="AH1542" i="2"/>
  <c r="IV679" i="5"/>
  <c r="AI1001" i="2" s="1"/>
  <c r="AI450" i="2" s="1"/>
  <c r="IV781" i="5"/>
  <c r="AI1096" i="2" s="1"/>
  <c r="IT780" i="5"/>
  <c r="IT754" i="5" s="1"/>
  <c r="IQ857" i="5"/>
  <c r="IS743" i="5"/>
  <c r="AH1065" i="2" s="1"/>
  <c r="AG1535" i="2" s="1"/>
  <c r="IV864" i="5"/>
  <c r="AI1181" i="2" s="1"/>
  <c r="AH1617" i="2"/>
  <c r="AH1593" i="2"/>
  <c r="AH1597" i="2" s="1"/>
  <c r="IV788" i="5"/>
  <c r="AI1102" i="2" s="1"/>
  <c r="AI1546" i="2" s="1"/>
  <c r="IS731" i="5"/>
  <c r="AH1053" i="2" s="1"/>
  <c r="IS755" i="5"/>
  <c r="AH1077" i="2" s="1"/>
  <c r="AG1537" i="2" s="1"/>
  <c r="G53" i="7"/>
  <c r="H53" i="7" s="1"/>
  <c r="HY514" i="5"/>
  <c r="IA518" i="5"/>
  <c r="IF528" i="5"/>
  <c r="ES521" i="5"/>
  <c r="CR1133" i="5"/>
  <c r="CR628" i="5"/>
  <c r="CR467" i="5"/>
  <c r="EN521" i="5"/>
  <c r="IE523" i="5"/>
  <c r="DZ521" i="5"/>
  <c r="HZ523" i="5"/>
  <c r="I57" i="7" s="1"/>
  <c r="I92" i="7"/>
  <c r="K92" i="7" s="1"/>
  <c r="IA561" i="5"/>
  <c r="HZ550" i="5"/>
  <c r="AQ572" i="5"/>
  <c r="AQ626" i="5"/>
  <c r="FA976" i="5"/>
  <c r="FA1133" i="5"/>
  <c r="DA1139" i="5"/>
  <c r="DA632" i="5"/>
  <c r="DA491" i="5"/>
  <c r="HU668" i="5"/>
  <c r="Z990" i="2" s="1"/>
  <c r="DZ981" i="5"/>
  <c r="HZ730" i="5"/>
  <c r="DF1151" i="5"/>
  <c r="DF536" i="5"/>
  <c r="HV497" i="5"/>
  <c r="D34" i="7"/>
  <c r="E34" i="7" s="1"/>
  <c r="HX498" i="5"/>
  <c r="AA708" i="2" s="1"/>
  <c r="G47" i="7"/>
  <c r="H47" i="7" s="1"/>
  <c r="IA511" i="5"/>
  <c r="IT856" i="5"/>
  <c r="IV857" i="5"/>
  <c r="AI1174" i="2" s="1"/>
  <c r="AH1577" i="2"/>
  <c r="HV514" i="5"/>
  <c r="D53" i="7"/>
  <c r="E53" i="7" s="1"/>
  <c r="HX518" i="5"/>
  <c r="AA733" i="2" s="1"/>
  <c r="ES1155" i="5"/>
  <c r="CW981" i="5"/>
  <c r="HT730" i="5"/>
  <c r="IV672" i="5"/>
  <c r="AI994" i="2" s="1"/>
  <c r="GK816" i="5"/>
  <c r="GJ816" i="5"/>
  <c r="I25" i="7"/>
  <c r="K25" i="7" s="1"/>
  <c r="IA486" i="5"/>
  <c r="EN468" i="5"/>
  <c r="EN1134" i="5"/>
  <c r="IE470" i="5"/>
  <c r="EG1151" i="5"/>
  <c r="EG536" i="5"/>
  <c r="BG635" i="5"/>
  <c r="BG1141" i="5"/>
  <c r="BG573" i="5"/>
  <c r="HU492" i="5"/>
  <c r="CS976" i="5"/>
  <c r="FT1133" i="5"/>
  <c r="FT976" i="5"/>
  <c r="HU468" i="5"/>
  <c r="DF981" i="5"/>
  <c r="HV730" i="5"/>
  <c r="HT543" i="5"/>
  <c r="CX536" i="5"/>
  <c r="HU543" i="5"/>
  <c r="HU536" i="5" s="1"/>
  <c r="CX1151" i="5"/>
  <c r="DE1140" i="5"/>
  <c r="DE633" i="5"/>
  <c r="DE543" i="5"/>
  <c r="DE491" i="5"/>
  <c r="DU1151" i="5"/>
  <c r="DU536" i="5"/>
  <c r="IA681" i="5"/>
  <c r="AB1003" i="2" s="1"/>
  <c r="FE981" i="5"/>
  <c r="FE1137" i="5"/>
  <c r="FE1132" i="5" s="1"/>
  <c r="II730" i="5"/>
  <c r="GJ800" i="5"/>
  <c r="GI801" i="5"/>
  <c r="IJ697" i="5"/>
  <c r="AE1019" i="2" s="1"/>
  <c r="IV686" i="5"/>
  <c r="AI1008" i="2" s="1"/>
  <c r="GL816" i="5"/>
  <c r="IS906" i="5"/>
  <c r="AH1227" i="2" s="1"/>
  <c r="DV1137" i="5"/>
  <c r="DV467" i="5"/>
  <c r="HZ485" i="5"/>
  <c r="DK651" i="5"/>
  <c r="DK1153" i="5"/>
  <c r="DN521" i="5"/>
  <c r="HW523" i="5"/>
  <c r="DZ1134" i="5"/>
  <c r="HZ470" i="5"/>
  <c r="DZ468" i="5"/>
  <c r="EG1153" i="5"/>
  <c r="EG976" i="5"/>
  <c r="IC667" i="5"/>
  <c r="HT492" i="5"/>
  <c r="C30" i="7"/>
  <c r="CT467" i="5"/>
  <c r="CT628" i="5"/>
  <c r="CT1133" i="5"/>
  <c r="GT816" i="5"/>
  <c r="IT818" i="5"/>
  <c r="IR667" i="5"/>
  <c r="GO816" i="5"/>
  <c r="DN1134" i="5"/>
  <c r="DN468" i="5"/>
  <c r="HW470" i="5"/>
  <c r="F92" i="7"/>
  <c r="H92" i="7" s="1"/>
  <c r="HX561" i="5"/>
  <c r="AA783" i="2" s="1"/>
  <c r="DM651" i="5"/>
  <c r="DM1153" i="5"/>
  <c r="DM976" i="5"/>
  <c r="Z1675" i="2"/>
  <c r="U1558" i="2"/>
  <c r="AM359" i="2"/>
  <c r="J91" i="7"/>
  <c r="K91" i="7" s="1"/>
  <c r="IY883" i="5"/>
  <c r="AM363" i="2"/>
  <c r="JE790" i="5"/>
  <c r="II614" i="5"/>
  <c r="R141" i="7" s="1"/>
  <c r="V1360" i="2"/>
  <c r="V1447" i="2" s="1"/>
  <c r="X537" i="2"/>
  <c r="AD1519" i="2"/>
  <c r="II493" i="5"/>
  <c r="R30" i="7" s="1"/>
  <c r="V1076" i="2"/>
  <c r="V606" i="2"/>
  <c r="V607" i="2"/>
  <c r="Z1665" i="2"/>
  <c r="IB468" i="5"/>
  <c r="J8" i="7" s="1"/>
  <c r="Y1483" i="2"/>
  <c r="AJ1017" i="2"/>
  <c r="W1570" i="2"/>
  <c r="Y1510" i="2"/>
  <c r="J84" i="7"/>
  <c r="K84" i="7" s="1"/>
  <c r="Q57" i="7"/>
  <c r="IH522" i="5"/>
  <c r="Q56" i="7" s="1"/>
  <c r="AK375" i="2"/>
  <c r="Y1480" i="2"/>
  <c r="Y1479" i="2" s="1"/>
  <c r="II521" i="5"/>
  <c r="R55" i="7" s="1"/>
  <c r="Y363" i="2"/>
  <c r="AJ1625" i="2"/>
  <c r="IC566" i="5"/>
  <c r="L96" i="7" s="1"/>
  <c r="AK1193" i="2"/>
  <c r="AL1624" i="2"/>
  <c r="Q962" i="2"/>
  <c r="IH492" i="5"/>
  <c r="II492" i="5" s="1"/>
  <c r="J93" i="7"/>
  <c r="K93" i="7" s="1"/>
  <c r="AL1193" i="2"/>
  <c r="W607" i="2"/>
  <c r="AK682" i="2"/>
  <c r="JB476" i="5" s="1"/>
  <c r="IZ476" i="5" s="1"/>
  <c r="JA476" i="5" s="1"/>
  <c r="J57" i="7"/>
  <c r="AL575" i="2"/>
  <c r="AK686" i="2"/>
  <c r="JB480" i="5" s="1"/>
  <c r="IZ480" i="5" s="1"/>
  <c r="JA480" i="5" s="1"/>
  <c r="X609" i="2"/>
  <c r="Q128" i="7"/>
  <c r="W452" i="2"/>
  <c r="U1570" i="2"/>
  <c r="AL1625" i="2"/>
  <c r="U287" i="2"/>
  <c r="P32" i="19"/>
  <c r="R32" i="19" s="1"/>
  <c r="P16" i="19"/>
  <c r="R16" i="19" s="1"/>
  <c r="P33" i="19"/>
  <c r="R33" i="19" s="1"/>
  <c r="P74" i="19"/>
  <c r="R74" i="19" s="1"/>
  <c r="P97" i="19"/>
  <c r="R97" i="19" s="1"/>
  <c r="Q109" i="19"/>
  <c r="P12" i="19"/>
  <c r="R12" i="19" s="1"/>
  <c r="P15" i="19"/>
  <c r="R15" i="19" s="1"/>
  <c r="P13" i="19"/>
  <c r="R13" i="19" s="1"/>
  <c r="P36" i="19"/>
  <c r="R36" i="19" s="1"/>
  <c r="P98" i="19"/>
  <c r="R98" i="19" s="1"/>
  <c r="P81" i="19"/>
  <c r="R81" i="19" s="1"/>
  <c r="P96" i="19"/>
  <c r="R96" i="19" s="1"/>
  <c r="P17" i="19"/>
  <c r="R17" i="19" s="1"/>
  <c r="P72" i="19"/>
  <c r="R72" i="19" s="1"/>
  <c r="P29" i="19"/>
  <c r="R29" i="19" s="1"/>
  <c r="P80" i="19"/>
  <c r="R80" i="19" s="1"/>
  <c r="Y94" i="19"/>
  <c r="X94" i="19"/>
  <c r="Z94" i="19" s="1"/>
  <c r="Q71" i="19"/>
  <c r="P71" i="19"/>
  <c r="R71" i="19" s="1"/>
  <c r="Y71" i="19"/>
  <c r="X71" i="19"/>
  <c r="Z71" i="19" s="1"/>
  <c r="X612" i="2"/>
  <c r="AM1363" i="2"/>
  <c r="AM1450" i="2" s="1"/>
  <c r="P106" i="19"/>
  <c r="R106" i="19" s="1"/>
  <c r="P94" i="19"/>
  <c r="R94" i="19" s="1"/>
  <c r="Q94" i="19"/>
  <c r="AD1488" i="2"/>
  <c r="X477" i="2"/>
  <c r="V348" i="2"/>
  <c r="V354" i="2" s="1"/>
  <c r="W608" i="2"/>
  <c r="Y354" i="2"/>
  <c r="Y353" i="2" s="1"/>
  <c r="X98" i="19"/>
  <c r="Z98" i="19" s="1"/>
  <c r="X13" i="19"/>
  <c r="Z13" i="19" s="1"/>
  <c r="X96" i="19"/>
  <c r="Z96" i="19" s="1"/>
  <c r="X15" i="19"/>
  <c r="Z15" i="19" s="1"/>
  <c r="X74" i="19"/>
  <c r="Z74" i="19" s="1"/>
  <c r="Y109" i="19"/>
  <c r="X12" i="19"/>
  <c r="Z12" i="19" s="1"/>
  <c r="X16" i="19"/>
  <c r="Z16" i="19" s="1"/>
  <c r="X97" i="19"/>
  <c r="Z97" i="19" s="1"/>
  <c r="X17" i="19"/>
  <c r="Z17" i="19" s="1"/>
  <c r="X72" i="19"/>
  <c r="Z72" i="19" s="1"/>
  <c r="X23" i="19"/>
  <c r="Z23" i="19" s="1"/>
  <c r="X81" i="19"/>
  <c r="Z81" i="19" s="1"/>
  <c r="AK1248" i="2"/>
  <c r="W101" i="19"/>
  <c r="Q104" i="19"/>
  <c r="P104" i="19"/>
  <c r="R104" i="19" s="1"/>
  <c r="Y32" i="19"/>
  <c r="AL1321" i="2"/>
  <c r="AL1408" i="2" s="1"/>
  <c r="AE32" i="19"/>
  <c r="AF32" i="19" s="1"/>
  <c r="AO94" i="19"/>
  <c r="AL1363" i="2"/>
  <c r="AL1450" i="2" s="1"/>
  <c r="AE101" i="19"/>
  <c r="AF1419" i="2"/>
  <c r="Z878" i="2"/>
  <c r="Y1727" i="2" s="1"/>
  <c r="JB909" i="5"/>
  <c r="W91" i="19"/>
  <c r="AM1193" i="2"/>
  <c r="IY792" i="5"/>
  <c r="JH883" i="5"/>
  <c r="JJ688" i="5"/>
  <c r="AN1193" i="2"/>
  <c r="JE883" i="5"/>
  <c r="AE76" i="19"/>
  <c r="JE909" i="5"/>
  <c r="AE91" i="19"/>
  <c r="Z448" i="2"/>
  <c r="AF336" i="2"/>
  <c r="AG580" i="2" s="1"/>
  <c r="X106" i="19"/>
  <c r="Z106" i="19" s="1"/>
  <c r="AG94" i="19"/>
  <c r="Q101" i="19"/>
  <c r="P101" i="19"/>
  <c r="R101" i="19" s="1"/>
  <c r="IL613" i="5"/>
  <c r="V1297" i="2"/>
  <c r="V1384" i="2" s="1"/>
  <c r="Y1595" i="2"/>
  <c r="AK1863" i="2"/>
  <c r="AK1861" i="2" s="1"/>
  <c r="V1388" i="2"/>
  <c r="II552" i="5"/>
  <c r="R84" i="7" s="1"/>
  <c r="X613" i="2"/>
  <c r="IS575" i="5"/>
  <c r="IQ644" i="5" s="1"/>
  <c r="IK522" i="5"/>
  <c r="IL522" i="5" s="1"/>
  <c r="AC1494" i="2"/>
  <c r="AC1521" i="2" s="1"/>
  <c r="AM1618" i="2"/>
  <c r="X650" i="2"/>
  <c r="X1675" i="2"/>
  <c r="X1687" i="2" s="1"/>
  <c r="X1693" i="2" s="1"/>
  <c r="W609" i="2"/>
  <c r="AN1625" i="2"/>
  <c r="X354" i="2"/>
  <c r="X353" i="2" s="1"/>
  <c r="AI363" i="2"/>
  <c r="AI371" i="2"/>
  <c r="V1390" i="2"/>
  <c r="AC424" i="2"/>
  <c r="II557" i="5"/>
  <c r="R88" i="7" s="1"/>
  <c r="W38" i="19"/>
  <c r="AM331" i="2"/>
  <c r="AN331" i="2" s="1"/>
  <c r="J95" i="7"/>
  <c r="K95" i="7" s="1"/>
  <c r="AM1623" i="2"/>
  <c r="HE816" i="5"/>
  <c r="HD816" i="5"/>
  <c r="GU816" i="5"/>
  <c r="JH930" i="5"/>
  <c r="AM1248" i="2"/>
  <c r="AA1595" i="2"/>
  <c r="AA1698" i="2" s="1"/>
  <c r="W525" i="2"/>
  <c r="X547" i="2"/>
  <c r="X513" i="2"/>
  <c r="U945" i="2"/>
  <c r="X481" i="2"/>
  <c r="AF288" i="2"/>
  <c r="Z306" i="2"/>
  <c r="V944" i="2"/>
  <c r="IG618" i="5"/>
  <c r="AL1248" i="2"/>
  <c r="JE930" i="5"/>
  <c r="AD853" i="2"/>
  <c r="IG619" i="5" s="1"/>
  <c r="T962" i="2"/>
  <c r="M962" i="2"/>
  <c r="W631" i="2"/>
  <c r="AE1749" i="2"/>
  <c r="X306" i="2"/>
  <c r="AE1750" i="2"/>
  <c r="X428" i="2"/>
  <c r="S962" i="2"/>
  <c r="IO541" i="5"/>
  <c r="JB543" i="5"/>
  <c r="JA543" i="5" s="1"/>
  <c r="AK340" i="2"/>
  <c r="AK694" i="2" s="1"/>
  <c r="AK738" i="2" s="1"/>
  <c r="JB523" i="5" s="1"/>
  <c r="IP612" i="5"/>
  <c r="IN612" i="5" s="1"/>
  <c r="AG843" i="2"/>
  <c r="AG911" i="2" s="1"/>
  <c r="JC717" i="5"/>
  <c r="W636" i="2"/>
  <c r="AD362" i="2"/>
  <c r="AE362" i="2" s="1"/>
  <c r="AF362" i="2" s="1"/>
  <c r="AG362" i="2" s="1"/>
  <c r="AH362" i="2" s="1"/>
  <c r="AI362" i="2" s="1"/>
  <c r="AD359" i="2"/>
  <c r="AK602" i="2"/>
  <c r="AE1747" i="2"/>
  <c r="AE1746" i="2"/>
  <c r="AK362" i="2"/>
  <c r="AL362" i="2" s="1"/>
  <c r="AM362" i="2" s="1"/>
  <c r="AN362" i="2" s="1"/>
  <c r="AO362" i="2" s="1"/>
  <c r="AK371" i="2"/>
  <c r="AE1751" i="2"/>
  <c r="AE1748" i="2"/>
  <c r="AK363" i="2"/>
  <c r="W369" i="2"/>
  <c r="V376" i="2"/>
  <c r="AK584" i="2"/>
  <c r="V945" i="2"/>
  <c r="W585" i="2"/>
  <c r="AL1834" i="2"/>
  <c r="IW491" i="5"/>
  <c r="IX585" i="5"/>
  <c r="AC296" i="2"/>
  <c r="II497" i="5"/>
  <c r="R33" i="7" s="1"/>
  <c r="AH853" i="2"/>
  <c r="IS619" i="5" s="1"/>
  <c r="V1133" i="2"/>
  <c r="IX497" i="5"/>
  <c r="AH879" i="2"/>
  <c r="AH927" i="2" s="1"/>
  <c r="J140" i="7"/>
  <c r="K140" i="7" s="1"/>
  <c r="AA1696" i="2"/>
  <c r="IQ491" i="5"/>
  <c r="IL515" i="5"/>
  <c r="II488" i="5"/>
  <c r="R27" i="7" s="1"/>
  <c r="IK584" i="5"/>
  <c r="IL584" i="5" s="1"/>
  <c r="II541" i="5"/>
  <c r="R73" i="7" s="1"/>
  <c r="IR497" i="5"/>
  <c r="IR633" i="5" s="1"/>
  <c r="IJ1110" i="5"/>
  <c r="IJ1116" i="5" s="1"/>
  <c r="IJ1119" i="5" s="1"/>
  <c r="IZ529" i="5"/>
  <c r="IC481" i="5"/>
  <c r="L21" i="7" s="1"/>
  <c r="IO543" i="5"/>
  <c r="II510" i="5"/>
  <c r="R46" i="7" s="1"/>
  <c r="IB584" i="5"/>
  <c r="J114" i="7" s="1"/>
  <c r="JA530" i="5"/>
  <c r="IC541" i="5"/>
  <c r="L73" i="7" s="1"/>
  <c r="J20" i="7"/>
  <c r="K20" i="7" s="1"/>
  <c r="IU515" i="5"/>
  <c r="IP611" i="5"/>
  <c r="AJ845" i="2"/>
  <c r="IY612" i="5" s="1"/>
  <c r="IW612" i="5" s="1"/>
  <c r="IW611" i="5" s="1"/>
  <c r="JA541" i="5"/>
  <c r="AG905" i="2"/>
  <c r="AG955" i="2" s="1"/>
  <c r="AG810" i="2"/>
  <c r="IP585" i="5" s="1"/>
  <c r="IO585" i="5" s="1"/>
  <c r="IV618" i="5"/>
  <c r="JB512" i="5"/>
  <c r="IZ512" i="5" s="1"/>
  <c r="JA512" i="5" s="1"/>
  <c r="AL725" i="2"/>
  <c r="AM725" i="2" s="1"/>
  <c r="AN725" i="2" s="1"/>
  <c r="AO725" i="2" s="1"/>
  <c r="JB470" i="5"/>
  <c r="IZ470" i="5" s="1"/>
  <c r="AK298" i="2"/>
  <c r="Y1731" i="2"/>
  <c r="Z933" i="2"/>
  <c r="Z376" i="2" s="1"/>
  <c r="W421" i="2"/>
  <c r="IC559" i="5"/>
  <c r="L90" i="7" s="1"/>
  <c r="J90" i="7"/>
  <c r="K962" i="2"/>
  <c r="X421" i="2"/>
  <c r="R409" i="2"/>
  <c r="AK423" i="2"/>
  <c r="X543" i="2"/>
  <c r="AD1739" i="2"/>
  <c r="AD1744" i="2" s="1"/>
  <c r="X489" i="2"/>
  <c r="AK853" i="2"/>
  <c r="JB619" i="5" s="1"/>
  <c r="AK1228" i="2"/>
  <c r="S1549" i="2"/>
  <c r="AE376" i="2"/>
  <c r="J33" i="7"/>
  <c r="W615" i="2"/>
  <c r="IU614" i="5"/>
  <c r="AK370" i="2"/>
  <c r="AL370" i="2" s="1"/>
  <c r="AM370" i="2" s="1"/>
  <c r="AN370" i="2" s="1"/>
  <c r="AM582" i="2"/>
  <c r="AH631" i="2"/>
  <c r="AH629" i="2" s="1"/>
  <c r="AI629" i="2" s="1"/>
  <c r="AJ629" i="2" s="1"/>
  <c r="AK629" i="2" s="1"/>
  <c r="AL629" i="2" s="1"/>
  <c r="AM629" i="2" s="1"/>
  <c r="II525" i="5"/>
  <c r="R59" i="7" s="1"/>
  <c r="W353" i="2"/>
  <c r="Q59" i="7"/>
  <c r="IW529" i="5"/>
  <c r="JB471" i="5"/>
  <c r="IZ471" i="5" s="1"/>
  <c r="HR536" i="5"/>
  <c r="HR638" i="5" s="1"/>
  <c r="II485" i="5"/>
  <c r="R24" i="7" s="1"/>
  <c r="II515" i="5"/>
  <c r="IH514" i="5"/>
  <c r="AH842" i="2"/>
  <c r="IS609" i="5" s="1"/>
  <c r="IQ609" i="5" s="1"/>
  <c r="AI688" i="2"/>
  <c r="AJ688" i="2" s="1"/>
  <c r="Z362" i="2"/>
  <c r="X505" i="2"/>
  <c r="AK359" i="2"/>
  <c r="JJ722" i="5"/>
  <c r="AC339" i="2"/>
  <c r="AL1863" i="2"/>
  <c r="AL1861" i="2" s="1"/>
  <c r="IR482" i="5"/>
  <c r="X444" i="2"/>
  <c r="IC520" i="5"/>
  <c r="L54" i="7" s="1"/>
  <c r="JL717" i="5"/>
  <c r="V1570" i="2"/>
  <c r="IY529" i="5"/>
  <c r="IZ717" i="5"/>
  <c r="U944" i="2"/>
  <c r="X631" i="2"/>
  <c r="Z927" i="2"/>
  <c r="W945" i="2"/>
  <c r="AJ1624" i="2"/>
  <c r="W306" i="2"/>
  <c r="IY512" i="5"/>
  <c r="IW512" i="5" s="1"/>
  <c r="IX512" i="5" s="1"/>
  <c r="Y1642" i="2"/>
  <c r="Z292" i="2"/>
  <c r="Z294" i="2" s="1"/>
  <c r="AL1228" i="2"/>
  <c r="JA599" i="5"/>
  <c r="X473" i="2"/>
  <c r="X525" i="2"/>
  <c r="HR492" i="5"/>
  <c r="HR632" i="5" s="1"/>
  <c r="V369" i="2"/>
  <c r="IB550" i="5"/>
  <c r="J82" i="7" s="1"/>
  <c r="JI717" i="5"/>
  <c r="JA493" i="5"/>
  <c r="U953" i="2"/>
  <c r="U962" i="2" s="1"/>
  <c r="AC799" i="2"/>
  <c r="AC896" i="2" s="1"/>
  <c r="AC942" i="2" s="1"/>
  <c r="X533" i="2"/>
  <c r="AC798" i="2"/>
  <c r="AC895" i="2" s="1"/>
  <c r="AC941" i="2" s="1"/>
  <c r="X448" i="2"/>
  <c r="AL562" i="2"/>
  <c r="U943" i="2"/>
  <c r="AJ787" i="2"/>
  <c r="AK787" i="2" s="1"/>
  <c r="IP613" i="5"/>
  <c r="IN613" i="5" s="1"/>
  <c r="IO613" i="5" s="1"/>
  <c r="AC797" i="2"/>
  <c r="AC894" i="2" s="1"/>
  <c r="AC940" i="2" s="1"/>
  <c r="X432" i="2"/>
  <c r="AI1625" i="2"/>
  <c r="AI1623" i="2" s="1"/>
  <c r="W539" i="2"/>
  <c r="X539" i="2" s="1"/>
  <c r="AH375" i="2"/>
  <c r="AD1749" i="2"/>
  <c r="AC872" i="2"/>
  <c r="AE1722" i="2" s="1"/>
  <c r="ID465" i="5"/>
  <c r="M5" i="7" s="1"/>
  <c r="X551" i="2"/>
  <c r="JF717" i="5"/>
  <c r="V1545" i="2"/>
  <c r="AB872" i="2"/>
  <c r="AB796" i="2"/>
  <c r="AB893" i="2" s="1"/>
  <c r="AB939" i="2" s="1"/>
  <c r="AB797" i="2"/>
  <c r="AB894" i="2" s="1"/>
  <c r="AB940" i="2" s="1"/>
  <c r="AB799" i="2"/>
  <c r="AB896" i="2" s="1"/>
  <c r="AB942" i="2" s="1"/>
  <c r="AB798" i="2"/>
  <c r="AB895" i="2" s="1"/>
  <c r="AB941" i="2" s="1"/>
  <c r="V628" i="2"/>
  <c r="AF1749" i="2"/>
  <c r="X440" i="2"/>
  <c r="Y306" i="2"/>
  <c r="V1558" i="2"/>
  <c r="AF1735" i="2"/>
  <c r="AF1750" i="2" s="1"/>
  <c r="X908" i="2"/>
  <c r="X957" i="2" s="1"/>
  <c r="U946" i="2"/>
  <c r="X807" i="2"/>
  <c r="X848" i="2" s="1"/>
  <c r="X1230" i="2" s="1"/>
  <c r="X1214" i="2" s="1"/>
  <c r="X1361" i="2" s="1"/>
  <c r="X1448" i="2" s="1"/>
  <c r="W551" i="2"/>
  <c r="G6" i="8"/>
  <c r="H6" i="8" s="1"/>
  <c r="JE780" i="5"/>
  <c r="JD780" i="5" s="1"/>
  <c r="AB1494" i="2"/>
  <c r="AB1521" i="2" s="1"/>
  <c r="X529" i="2"/>
  <c r="W1324" i="2"/>
  <c r="W1411" i="2" s="1"/>
  <c r="W606" i="2"/>
  <c r="N962" i="2"/>
  <c r="J75" i="7"/>
  <c r="IB536" i="5"/>
  <c r="J68" i="7" s="1"/>
  <c r="II613" i="5"/>
  <c r="R140" i="7" s="1"/>
  <c r="AO1241" i="2"/>
  <c r="JN922" i="5" s="1"/>
  <c r="IX477" i="5"/>
  <c r="W376" i="2"/>
  <c r="X623" i="2"/>
  <c r="II529" i="5"/>
  <c r="R61" i="7" s="1"/>
  <c r="AL1055" i="2"/>
  <c r="AM1055" i="2" s="1"/>
  <c r="IC497" i="5"/>
  <c r="L34" i="7"/>
  <c r="AC288" i="2"/>
  <c r="V585" i="2"/>
  <c r="II478" i="5"/>
  <c r="R18" i="7" s="1"/>
  <c r="AL318" i="2"/>
  <c r="AL310" i="2" s="1"/>
  <c r="AG853" i="2"/>
  <c r="IP619" i="5" s="1"/>
  <c r="AA448" i="2"/>
  <c r="AL1218" i="2"/>
  <c r="AM1218" i="2" s="1"/>
  <c r="X521" i="2"/>
  <c r="AO1057" i="2"/>
  <c r="JM871" i="5"/>
  <c r="II560" i="5"/>
  <c r="R91" i="7" s="1"/>
  <c r="IH543" i="5"/>
  <c r="Q75" i="7" s="1"/>
  <c r="Q33" i="7"/>
  <c r="Z1739" i="2"/>
  <c r="Z1744" i="2" s="1"/>
  <c r="W489" i="2"/>
  <c r="IQ564" i="5"/>
  <c r="IR564" i="5" s="1"/>
  <c r="W372" i="2"/>
  <c r="AN1321" i="2"/>
  <c r="AN1408" i="2" s="1"/>
  <c r="Z338" i="2"/>
  <c r="AG854" i="2"/>
  <c r="JD912" i="5"/>
  <c r="JD910" i="5" s="1"/>
  <c r="IO493" i="5"/>
  <c r="X436" i="2"/>
  <c r="AC1490" i="2"/>
  <c r="V636" i="2"/>
  <c r="W341" i="2"/>
  <c r="W1133" i="2"/>
  <c r="IC514" i="5"/>
  <c r="L50" i="7" s="1"/>
  <c r="Y903" i="2"/>
  <c r="Y848" i="2"/>
  <c r="W628" i="2"/>
  <c r="R946" i="2"/>
  <c r="W513" i="2"/>
  <c r="X485" i="2"/>
  <c r="IY744" i="5"/>
  <c r="IX744" i="5" s="1"/>
  <c r="AJ1086" i="2"/>
  <c r="IC525" i="5"/>
  <c r="L59" i="7" s="1"/>
  <c r="AL682" i="2"/>
  <c r="AN379" i="2"/>
  <c r="AO379" i="2" s="1"/>
  <c r="J48" i="7"/>
  <c r="K48" i="7" s="1"/>
  <c r="IC512" i="5"/>
  <c r="L48" i="7" s="1"/>
  <c r="W1289" i="2"/>
  <c r="W1376" i="2" s="1"/>
  <c r="II576" i="5"/>
  <c r="IH575" i="5"/>
  <c r="Q105" i="7" s="1"/>
  <c r="Q106" i="7"/>
  <c r="II480" i="5"/>
  <c r="R20" i="7" s="1"/>
  <c r="Q20" i="7"/>
  <c r="JN676" i="5"/>
  <c r="JL676" i="5" s="1"/>
  <c r="AO997" i="2"/>
  <c r="JN675" i="5" s="1"/>
  <c r="AF295" i="2"/>
  <c r="AE296" i="2" s="1"/>
  <c r="V1380" i="2"/>
  <c r="AK608" i="2"/>
  <c r="AK845" i="2"/>
  <c r="JB612" i="5" s="1"/>
  <c r="II482" i="5"/>
  <c r="R22" i="7" s="1"/>
  <c r="II537" i="5"/>
  <c r="R69" i="7" s="1"/>
  <c r="Y362" i="2"/>
  <c r="AD296" i="2"/>
  <c r="V848" i="2"/>
  <c r="V1230" i="2" s="1"/>
  <c r="V903" i="2"/>
  <c r="X1315" i="2"/>
  <c r="X1402" i="2" s="1"/>
  <c r="X590" i="2"/>
  <c r="W360" i="2"/>
  <c r="IK575" i="5"/>
  <c r="IL575" i="5" s="1"/>
  <c r="IL576" i="5"/>
  <c r="IC608" i="5"/>
  <c r="L135" i="7" s="1"/>
  <c r="J135" i="7"/>
  <c r="K135" i="7" s="1"/>
  <c r="V341" i="2"/>
  <c r="IV585" i="5"/>
  <c r="IU585" i="5" s="1"/>
  <c r="AK630" i="2"/>
  <c r="IR515" i="5"/>
  <c r="AM334" i="2"/>
  <c r="AN334" i="2" s="1"/>
  <c r="AI375" i="2"/>
  <c r="IX599" i="5"/>
  <c r="Z935" i="2"/>
  <c r="V1376" i="2"/>
  <c r="AM1834" i="2"/>
  <c r="IC614" i="5"/>
  <c r="IC1113" i="5" s="1"/>
  <c r="II609" i="5"/>
  <c r="R136" i="7" s="1"/>
  <c r="Q136" i="7"/>
  <c r="W848" i="2"/>
  <c r="W1230" i="2" s="1"/>
  <c r="W1214" i="2" s="1"/>
  <c r="W903" i="2"/>
  <c r="L944" i="2"/>
  <c r="AL686" i="2"/>
  <c r="AF962" i="2"/>
  <c r="IV543" i="5"/>
  <c r="IU543" i="5" s="1"/>
  <c r="AM1594" i="2"/>
  <c r="AB1749" i="2"/>
  <c r="JA531" i="5"/>
  <c r="AN1065" i="2"/>
  <c r="IX501" i="5"/>
  <c r="IB1113" i="5"/>
  <c r="IO576" i="5"/>
  <c r="IO645" i="5" s="1"/>
  <c r="JH864" i="5"/>
  <c r="JF864" i="5" s="1"/>
  <c r="AL1617" i="2" s="1"/>
  <c r="AB1739" i="2"/>
  <c r="AB1744" i="2" s="1"/>
  <c r="W477" i="2"/>
  <c r="Z1595" i="2"/>
  <c r="Z1698" i="2" s="1"/>
  <c r="L10" i="7"/>
  <c r="IC468" i="5"/>
  <c r="L8" i="7" s="1"/>
  <c r="AH845" i="2"/>
  <c r="IS612" i="5" s="1"/>
  <c r="X497" i="2"/>
  <c r="AC962" i="2"/>
  <c r="HR488" i="5"/>
  <c r="Y1474" i="2"/>
  <c r="Y1473" i="2" s="1"/>
  <c r="IR543" i="5"/>
  <c r="X456" i="2"/>
  <c r="AJ1618" i="2"/>
  <c r="HR585" i="5"/>
  <c r="Z809" i="2"/>
  <c r="Z807" i="2" s="1"/>
  <c r="JK930" i="5"/>
  <c r="AL378" i="2"/>
  <c r="AL774" i="2" s="1"/>
  <c r="AN1248" i="2"/>
  <c r="Y1516" i="2"/>
  <c r="HR550" i="5"/>
  <c r="HR640" i="5" s="1"/>
  <c r="JJ676" i="5"/>
  <c r="JM740" i="5"/>
  <c r="IX530" i="5"/>
  <c r="X469" i="2"/>
  <c r="AC1652" i="2"/>
  <c r="AC415" i="2"/>
  <c r="IX541" i="5"/>
  <c r="U598" i="2"/>
  <c r="T1541" i="2" s="1"/>
  <c r="IC474" i="5"/>
  <c r="L14" i="7" s="1"/>
  <c r="Q66" i="7"/>
  <c r="II534" i="5"/>
  <c r="R66" i="7" s="1"/>
  <c r="AK614" i="2"/>
  <c r="AJ809" i="2"/>
  <c r="IY584" i="5" s="1"/>
  <c r="IX584" i="5" s="1"/>
  <c r="AE314" i="2"/>
  <c r="AE558" i="2"/>
  <c r="AB962" i="2"/>
  <c r="AB448" i="2"/>
  <c r="JH744" i="5"/>
  <c r="AM1086" i="2"/>
  <c r="AM1065" i="2"/>
  <c r="AL780" i="2"/>
  <c r="AN1181" i="2"/>
  <c r="JK864" i="5" s="1"/>
  <c r="JK865" i="5"/>
  <c r="JF865" i="5"/>
  <c r="JG865" i="5" s="1"/>
  <c r="Z877" i="2"/>
  <c r="HR491" i="5"/>
  <c r="HR631" i="5" s="1"/>
  <c r="AB1490" i="2"/>
  <c r="ID1116" i="5"/>
  <c r="ID1119" i="5" s="1"/>
  <c r="IC521" i="5"/>
  <c r="L55" i="7" s="1"/>
  <c r="J55" i="7"/>
  <c r="IB505" i="5"/>
  <c r="IU501" i="5"/>
  <c r="IP506" i="5"/>
  <c r="IN506" i="5" s="1"/>
  <c r="IO506" i="5" s="1"/>
  <c r="AH717" i="2"/>
  <c r="Q944" i="2"/>
  <c r="IO515" i="5"/>
  <c r="IP525" i="5"/>
  <c r="AH744" i="2"/>
  <c r="II554" i="5"/>
  <c r="R86" i="7" s="1"/>
  <c r="Q86" i="7"/>
  <c r="IX531" i="5"/>
  <c r="AN1086" i="2"/>
  <c r="II512" i="5"/>
  <c r="R48" i="7" s="1"/>
  <c r="JC871" i="5"/>
  <c r="JD871" i="5" s="1"/>
  <c r="J139" i="7"/>
  <c r="K139" i="7" s="1"/>
  <c r="IB611" i="5"/>
  <c r="AK1086" i="2"/>
  <c r="JB744" i="5"/>
  <c r="AK1065" i="2"/>
  <c r="Q92" i="7"/>
  <c r="II561" i="5"/>
  <c r="R92" i="7" s="1"/>
  <c r="Z392" i="2"/>
  <c r="Z657" i="2"/>
  <c r="AL1065" i="2"/>
  <c r="JE744" i="5"/>
  <c r="AL1086" i="2"/>
  <c r="AM568" i="2"/>
  <c r="AL325" i="2"/>
  <c r="AM324" i="2"/>
  <c r="AB573" i="2"/>
  <c r="AJ1635" i="2"/>
  <c r="JM722" i="5"/>
  <c r="AN1452" i="2"/>
  <c r="AG345" i="2"/>
  <c r="JD870" i="5"/>
  <c r="IH550" i="5"/>
  <c r="II550" i="5" s="1"/>
  <c r="R82" i="7" s="1"/>
  <c r="AM367" i="2"/>
  <c r="AL747" i="2"/>
  <c r="AM626" i="2"/>
  <c r="IC612" i="5"/>
  <c r="AN1394" i="2"/>
  <c r="JN687" i="5"/>
  <c r="AB329" i="2"/>
  <c r="R962" i="2"/>
  <c r="AG346" i="2"/>
  <c r="AE415" i="2"/>
  <c r="AE416" i="2" s="1"/>
  <c r="AF640" i="2"/>
  <c r="AF380" i="2"/>
  <c r="JF871" i="5"/>
  <c r="JG871" i="5" s="1"/>
  <c r="IK550" i="5"/>
  <c r="IL550" i="5" s="1"/>
  <c r="AJ1594" i="2"/>
  <c r="V1315" i="2"/>
  <c r="V1402" i="2" s="1"/>
  <c r="V592" i="2"/>
  <c r="V590" i="2"/>
  <c r="AD318" i="2"/>
  <c r="AD310" i="2" s="1"/>
  <c r="AK1108" i="2"/>
  <c r="AL648" i="2"/>
  <c r="AM302" i="2"/>
  <c r="AM424" i="2"/>
  <c r="T1549" i="2"/>
  <c r="IZ871" i="5"/>
  <c r="JA871" i="5" s="1"/>
  <c r="IT491" i="5"/>
  <c r="W481" i="2"/>
  <c r="P946" i="2"/>
  <c r="Y1467" i="2"/>
  <c r="AK1834" i="2"/>
  <c r="AM1358" i="2"/>
  <c r="AM1445" i="2" s="1"/>
  <c r="IZ491" i="5"/>
  <c r="W1271" i="2"/>
  <c r="W1279" i="2" s="1"/>
  <c r="V946" i="2"/>
  <c r="Y1675" i="2"/>
  <c r="Y1687" i="2" s="1"/>
  <c r="Y1693" i="2" s="1"/>
  <c r="IT564" i="5"/>
  <c r="IU564" i="5" s="1"/>
  <c r="J136" i="7"/>
  <c r="K136" i="7" s="1"/>
  <c r="IC609" i="5"/>
  <c r="L136" i="7" s="1"/>
  <c r="IB597" i="5"/>
  <c r="AB1593" i="2"/>
  <c r="IB1108" i="5"/>
  <c r="IC1108" i="5" s="1"/>
  <c r="AK1623" i="2"/>
  <c r="IZ870" i="5"/>
  <c r="JA870" i="5" s="1"/>
  <c r="JA514" i="5"/>
  <c r="AN1387" i="2"/>
  <c r="AD448" i="2"/>
  <c r="AL1301" i="2"/>
  <c r="AL1388" i="2" s="1"/>
  <c r="AO1636" i="2"/>
  <c r="AO1635" i="2" s="1"/>
  <c r="W612" i="2"/>
  <c r="W613" i="2"/>
  <c r="X614" i="2"/>
  <c r="W1322" i="2"/>
  <c r="W1409" i="2" s="1"/>
  <c r="X615" i="2"/>
  <c r="IU497" i="5"/>
  <c r="AL301" i="2"/>
  <c r="M28" i="7"/>
  <c r="ID631" i="5"/>
  <c r="Z363" i="2"/>
  <c r="AE962" i="2"/>
  <c r="JI740" i="5"/>
  <c r="JJ740" i="5" s="1"/>
  <c r="IO561" i="5"/>
  <c r="AA417" i="2"/>
  <c r="AB1066" i="2" s="1"/>
  <c r="IB522" i="5"/>
  <c r="J56" i="7" s="1"/>
  <c r="AD1740" i="2"/>
  <c r="AD1750" i="2"/>
  <c r="R139" i="7"/>
  <c r="P409" i="2"/>
  <c r="Q409" i="2"/>
  <c r="IL611" i="5"/>
  <c r="IK610" i="5"/>
  <c r="IL610" i="5" s="1"/>
  <c r="IU514" i="5"/>
  <c r="AL295" i="2"/>
  <c r="AK296" i="2" s="1"/>
  <c r="AL749" i="2"/>
  <c r="AL692" i="2"/>
  <c r="X1390" i="2"/>
  <c r="X1301" i="2"/>
  <c r="JN744" i="5"/>
  <c r="AO1086" i="2"/>
  <c r="IW475" i="5"/>
  <c r="IX475" i="5" s="1"/>
  <c r="M944" i="2"/>
  <c r="L26" i="7"/>
  <c r="IC485" i="5"/>
  <c r="AO291" i="2"/>
  <c r="AM336" i="2"/>
  <c r="AM580" i="2"/>
  <c r="HR596" i="5"/>
  <c r="HR654" i="5" s="1"/>
  <c r="Z385" i="2"/>
  <c r="Z908" i="2"/>
  <c r="Z650" i="2"/>
  <c r="AN1178" i="2"/>
  <c r="JK862" i="5"/>
  <c r="AN338" i="2"/>
  <c r="AN582" i="2"/>
  <c r="IL514" i="5"/>
  <c r="IW473" i="5"/>
  <c r="IW468" i="5" s="1"/>
  <c r="AC295" i="2"/>
  <c r="AB296" i="2" s="1"/>
  <c r="AB1750" i="2"/>
  <c r="AB1740" i="2"/>
  <c r="X1586" i="2"/>
  <c r="X452" i="2"/>
  <c r="AE565" i="2"/>
  <c r="AE321" i="2"/>
  <c r="AD328" i="2"/>
  <c r="AD572" i="2"/>
  <c r="IH584" i="5"/>
  <c r="Q114" i="7" s="1"/>
  <c r="Q115" i="7"/>
  <c r="Y598" i="2"/>
  <c r="Y1541" i="2" s="1"/>
  <c r="V598" i="2"/>
  <c r="W598" i="2"/>
  <c r="X598" i="2"/>
  <c r="X1331" i="2"/>
  <c r="JI745" i="5"/>
  <c r="JJ745" i="5" s="1"/>
  <c r="X1722" i="2"/>
  <c r="Y921" i="2"/>
  <c r="X460" i="2"/>
  <c r="AJ674" i="2"/>
  <c r="X592" i="2"/>
  <c r="W1076" i="2"/>
  <c r="W592" i="2"/>
  <c r="W1315" i="2"/>
  <c r="W591" i="2"/>
  <c r="W590" i="2"/>
  <c r="AE1649" i="2"/>
  <c r="AE1640" i="2"/>
  <c r="JI748" i="5"/>
  <c r="JJ748" i="5" s="1"/>
  <c r="Z855" i="2"/>
  <c r="Z915" i="2" s="1"/>
  <c r="L57" i="7"/>
  <c r="AK1049" i="2"/>
  <c r="IY727" i="5"/>
  <c r="IX727" i="5" s="1"/>
  <c r="AJ1305" i="2"/>
  <c r="JC865" i="5"/>
  <c r="JD865" i="5" s="1"/>
  <c r="IZ738" i="5"/>
  <c r="JA738" i="5" s="1"/>
  <c r="AO576" i="2"/>
  <c r="AO332" i="2"/>
  <c r="AP576" i="2" s="1"/>
  <c r="Z416" i="2"/>
  <c r="Y417" i="2" s="1"/>
  <c r="Z1066" i="2" s="1"/>
  <c r="JL748" i="5"/>
  <c r="JM748" i="5" s="1"/>
  <c r="X501" i="2"/>
  <c r="AM318" i="2"/>
  <c r="AM562" i="2"/>
  <c r="AM466" i="2" s="1"/>
  <c r="AN314" i="2"/>
  <c r="Z746" i="2"/>
  <c r="Z883" i="2"/>
  <c r="Z977" i="2" s="1"/>
  <c r="HR532" i="5"/>
  <c r="X1743" i="2"/>
  <c r="Y957" i="2"/>
  <c r="X363" i="2"/>
  <c r="W362" i="2"/>
  <c r="X364" i="2"/>
  <c r="W363" i="2"/>
  <c r="W364" i="2"/>
  <c r="AL328" i="2"/>
  <c r="AM321" i="2"/>
  <c r="AL322" i="2"/>
  <c r="AL566" i="2"/>
  <c r="AL572" i="2"/>
  <c r="AM565" i="2"/>
  <c r="Y1736" i="2"/>
  <c r="Z948" i="2"/>
  <c r="AE568" i="2"/>
  <c r="AE324" i="2"/>
  <c r="AA415" i="2"/>
  <c r="AA1652" i="2"/>
  <c r="IZ865" i="5"/>
  <c r="JA865" i="5" s="1"/>
  <c r="AL348" i="2"/>
  <c r="AM570" i="2"/>
  <c r="AM326" i="2"/>
  <c r="AD416" i="2"/>
  <c r="AC417" i="2" s="1"/>
  <c r="AD1066" i="2" s="1"/>
  <c r="JM699" i="5"/>
  <c r="Q135" i="7"/>
  <c r="IH597" i="5"/>
  <c r="AD1593" i="2"/>
  <c r="JJ699" i="5"/>
  <c r="JB859" i="5"/>
  <c r="AK1590" i="2"/>
  <c r="AL622" i="2"/>
  <c r="AL630" i="2"/>
  <c r="AL608" i="2"/>
  <c r="AL614" i="2"/>
  <c r="W1330" i="2"/>
  <c r="W1417" i="2" s="1"/>
  <c r="W1418" i="2"/>
  <c r="AF415" i="2"/>
  <c r="AG414" i="2"/>
  <c r="AN381" i="2"/>
  <c r="AM780" i="2"/>
  <c r="X1357" i="2"/>
  <c r="X1173" i="2"/>
  <c r="X1578" i="2"/>
  <c r="Z874" i="2"/>
  <c r="Z673" i="2"/>
  <c r="Z347" i="2"/>
  <c r="HR468" i="5"/>
  <c r="HR628" i="5" s="1"/>
  <c r="W485" i="2"/>
  <c r="AC310" i="2"/>
  <c r="AC329" i="2"/>
  <c r="AC573" i="2"/>
  <c r="AH289" i="2"/>
  <c r="AH292" i="2"/>
  <c r="AH294" i="2" s="1"/>
  <c r="AI290" i="2"/>
  <c r="AG692" i="2"/>
  <c r="AG295" i="2"/>
  <c r="AF296" i="2" s="1"/>
  <c r="AG749" i="2"/>
  <c r="AK1831" i="2"/>
  <c r="JB811" i="5"/>
  <c r="AK1325" i="2"/>
  <c r="AK1412" i="2" s="1"/>
  <c r="JN861" i="5"/>
  <c r="AG753" i="2"/>
  <c r="AG886" i="2" s="1"/>
  <c r="AG933" i="2" s="1"/>
  <c r="X372" i="2"/>
  <c r="AC302" i="2"/>
  <c r="X1377" i="2"/>
  <c r="X1289" i="2"/>
  <c r="Y1737" i="2"/>
  <c r="Z949" i="2"/>
  <c r="IC492" i="5"/>
  <c r="J29" i="7"/>
  <c r="IB491" i="5"/>
  <c r="IK597" i="5"/>
  <c r="IL597" i="5" s="1"/>
  <c r="AD325" i="2"/>
  <c r="AL1831" i="2"/>
  <c r="AL1325" i="2"/>
  <c r="AL1412" i="2" s="1"/>
  <c r="JE811" i="5"/>
  <c r="JC811" i="5" s="1"/>
  <c r="JI735" i="5"/>
  <c r="JJ735" i="5" s="1"/>
  <c r="AO368" i="2"/>
  <c r="AO627" i="2"/>
  <c r="AN748" i="2"/>
  <c r="L962" i="2"/>
  <c r="Z319" i="2"/>
  <c r="AA319" i="2" s="1"/>
  <c r="AB319" i="2" s="1"/>
  <c r="AC319" i="2" s="1"/>
  <c r="AD319" i="2" s="1"/>
  <c r="AE319" i="2" s="1"/>
  <c r="AF319" i="2" s="1"/>
  <c r="AG319" i="2" s="1"/>
  <c r="AH319" i="2" s="1"/>
  <c r="AI319" i="2" s="1"/>
  <c r="Z310" i="2"/>
  <c r="IT576" i="5"/>
  <c r="IT575" i="5" s="1"/>
  <c r="AG381" i="2"/>
  <c r="AG641" i="2"/>
  <c r="AC1705" i="2"/>
  <c r="AB1704" i="2"/>
  <c r="AL1216" i="2"/>
  <c r="JB895" i="5"/>
  <c r="V988" i="2"/>
  <c r="V1271" i="2"/>
  <c r="V1279" i="2" s="1"/>
  <c r="U1527" i="2"/>
  <c r="V1527" i="2"/>
  <c r="V591" i="2"/>
  <c r="N946" i="2"/>
  <c r="AK1637" i="2"/>
  <c r="IZ864" i="5"/>
  <c r="JA864" i="5" s="1"/>
  <c r="AN353" i="2"/>
  <c r="AM348" i="2"/>
  <c r="X1271" i="2"/>
  <c r="X1279" i="2" s="1"/>
  <c r="X591" i="2"/>
  <c r="X988" i="2"/>
  <c r="X986" i="2"/>
  <c r="X1321" i="2"/>
  <c r="X1076" i="2"/>
  <c r="X1273" i="2"/>
  <c r="X1281" i="2" s="1"/>
  <c r="W1578" i="2"/>
  <c r="W1173" i="2"/>
  <c r="W1357" i="2"/>
  <c r="AG858" i="2"/>
  <c r="AG917" i="2" s="1"/>
  <c r="AG961" i="2" s="1"/>
  <c r="Z288" i="2"/>
  <c r="V943" i="2"/>
  <c r="AK1363" i="2"/>
  <c r="AK1450" i="2" s="1"/>
  <c r="X604" i="2"/>
  <c r="AE448" i="2"/>
  <c r="R944" i="2"/>
  <c r="AA329" i="2"/>
  <c r="AH370" i="2"/>
  <c r="AI370" i="2" s="1"/>
  <c r="AF376" i="2"/>
  <c r="AC331" i="2"/>
  <c r="W1390" i="2"/>
  <c r="W1301" i="2"/>
  <c r="V1281" i="2"/>
  <c r="V1283" i="2"/>
  <c r="AD566" i="2"/>
  <c r="AK683" i="2"/>
  <c r="AK310" i="2"/>
  <c r="AK573" i="2"/>
  <c r="AK329" i="2"/>
  <c r="HR610" i="5"/>
  <c r="Z911" i="2"/>
  <c r="JB475" i="5"/>
  <c r="AJ1831" i="2"/>
  <c r="AJ1325" i="2"/>
  <c r="AJ1412" i="2" s="1"/>
  <c r="IY811" i="5"/>
  <c r="IX811" i="5" s="1"/>
  <c r="JH780" i="5"/>
  <c r="JG780" i="5" s="1"/>
  <c r="AM1321" i="2"/>
  <c r="AM1408" i="2" s="1"/>
  <c r="AF570" i="2"/>
  <c r="AF326" i="2"/>
  <c r="ID574" i="5"/>
  <c r="M104" i="7" s="1"/>
  <c r="G105" i="8"/>
  <c r="H105" i="8" s="1"/>
  <c r="AC893" i="2"/>
  <c r="AC939" i="2" s="1"/>
  <c r="JE753" i="5"/>
  <c r="AL1313" i="2"/>
  <c r="AL1400" i="2" s="1"/>
  <c r="AM1075" i="2"/>
  <c r="AK323" i="2"/>
  <c r="AK840" i="2" s="1"/>
  <c r="AK567" i="2"/>
  <c r="AA573" i="2"/>
  <c r="Y636" i="2"/>
  <c r="W944" i="2"/>
  <c r="W943" i="2"/>
  <c r="AG634" i="2"/>
  <c r="IZ733" i="5"/>
  <c r="JA733" i="5" s="1"/>
  <c r="JB497" i="5"/>
  <c r="JA497" i="5" s="1"/>
  <c r="AK1622" i="2"/>
  <c r="AI783" i="2"/>
  <c r="Q139" i="7"/>
  <c r="IH611" i="5"/>
  <c r="JE861" i="5"/>
  <c r="AL1594" i="2"/>
  <c r="AL1618" i="2"/>
  <c r="AD322" i="2"/>
  <c r="AK684" i="2"/>
  <c r="JB478" i="5" s="1"/>
  <c r="AL681" i="2"/>
  <c r="AM305" i="2"/>
  <c r="IY859" i="5"/>
  <c r="IX859" i="5" s="1"/>
  <c r="AJ1622" i="2"/>
  <c r="AJ1267" i="2"/>
  <c r="AJ1590" i="2"/>
  <c r="IU541" i="5"/>
  <c r="AG375" i="2"/>
  <c r="AO380" i="2"/>
  <c r="AO640" i="2"/>
  <c r="IX493" i="5"/>
  <c r="II585" i="5"/>
  <c r="R115" i="7" s="1"/>
  <c r="O946" i="2"/>
  <c r="AK1267" i="2"/>
  <c r="JK909" i="5"/>
  <c r="IQ645" i="5"/>
  <c r="IQ576" i="5"/>
  <c r="IQ575" i="5" s="1"/>
  <c r="JB861" i="5"/>
  <c r="AK1618" i="2"/>
  <c r="AK1594" i="2"/>
  <c r="AM290" i="2"/>
  <c r="AL289" i="2"/>
  <c r="JC862" i="5"/>
  <c r="JD862" i="5" s="1"/>
  <c r="AD569" i="2"/>
  <c r="Y360" i="2"/>
  <c r="Y372" i="2"/>
  <c r="Y364" i="2"/>
  <c r="IV575" i="5"/>
  <c r="AI897" i="2"/>
  <c r="AI948" i="2" s="1"/>
  <c r="Y448" i="2"/>
  <c r="IQ599" i="5"/>
  <c r="IR599" i="5" s="1"/>
  <c r="IL532" i="5"/>
  <c r="IK534" i="5"/>
  <c r="IL534" i="5" s="1"/>
  <c r="IK529" i="5"/>
  <c r="IL529" i="5" s="1"/>
  <c r="W1273" i="2"/>
  <c r="W1281" i="2" s="1"/>
  <c r="W1321" i="2"/>
  <c r="W1408" i="2" s="1"/>
  <c r="IN599" i="5"/>
  <c r="IO599" i="5" s="1"/>
  <c r="JB930" i="5"/>
  <c r="IR541" i="5"/>
  <c r="O945" i="2"/>
  <c r="Y628" i="2"/>
  <c r="AO1321" i="2"/>
  <c r="IX515" i="5"/>
  <c r="AC448" i="2"/>
  <c r="IZ862" i="5"/>
  <c r="JA862" i="5" s="1"/>
  <c r="AK692" i="2"/>
  <c r="AK749" i="2"/>
  <c r="AK295" i="2"/>
  <c r="HR485" i="5"/>
  <c r="HR629" i="5" s="1"/>
  <c r="Z875" i="2"/>
  <c r="IV530" i="5"/>
  <c r="AK801" i="2"/>
  <c r="AJ800" i="2"/>
  <c r="IY576" i="5"/>
  <c r="AJ898" i="2"/>
  <c r="AJ949" i="2" s="1"/>
  <c r="JB726" i="5"/>
  <c r="JA726" i="5" s="1"/>
  <c r="AL1048" i="2"/>
  <c r="W505" i="2"/>
  <c r="AL1358" i="2"/>
  <c r="AL1445" i="2" s="1"/>
  <c r="IY881" i="5"/>
  <c r="IX881" i="5" s="1"/>
  <c r="AJ1358" i="2"/>
  <c r="AJ1445" i="2" s="1"/>
  <c r="JM885" i="5"/>
  <c r="AK1771" i="2"/>
  <c r="JB881" i="5"/>
  <c r="JM937" i="5"/>
  <c r="JL881" i="5"/>
  <c r="JL818" i="5" s="1"/>
  <c r="AN1358" i="2"/>
  <c r="AN1445" i="2" s="1"/>
  <c r="JK881" i="5"/>
  <c r="JI937" i="5"/>
  <c r="JJ937" i="5" s="1"/>
  <c r="AI1609" i="2"/>
  <c r="AI1607" i="2" s="1"/>
  <c r="JG910" i="5"/>
  <c r="JG909" i="5" s="1"/>
  <c r="AM1636" i="2"/>
  <c r="AM1635" i="2" s="1"/>
  <c r="JA909" i="5"/>
  <c r="AK1636" i="2"/>
  <c r="IZ909" i="5"/>
  <c r="AN1609" i="2"/>
  <c r="AN1607" i="2" s="1"/>
  <c r="JI909" i="5"/>
  <c r="AS91" i="19" s="1"/>
  <c r="AM1609" i="2"/>
  <c r="AL1609" i="2"/>
  <c r="JF909" i="5"/>
  <c r="AN911" i="2"/>
  <c r="IT613" i="5"/>
  <c r="IU613" i="5" s="1"/>
  <c r="AL911" i="2"/>
  <c r="AM911" i="2"/>
  <c r="IZ613" i="5"/>
  <c r="JA613" i="5" s="1"/>
  <c r="JA515" i="5"/>
  <c r="IV612" i="5"/>
  <c r="AI844" i="2"/>
  <c r="AO911" i="2"/>
  <c r="IX514" i="5"/>
  <c r="IQ613" i="5"/>
  <c r="IR613" i="5" s="1"/>
  <c r="IQ561" i="5"/>
  <c r="IR561" i="5" s="1"/>
  <c r="AJ1241" i="2"/>
  <c r="IY926" i="5"/>
  <c r="IX926" i="5" s="1"/>
  <c r="AJ1298" i="2"/>
  <c r="AJ1385" i="2" s="1"/>
  <c r="AH634" i="2"/>
  <c r="IY618" i="5"/>
  <c r="AJ853" i="2"/>
  <c r="IY619" i="5" s="1"/>
  <c r="IY543" i="5"/>
  <c r="IX543" i="5" s="1"/>
  <c r="AJ634" i="2"/>
  <c r="JG722" i="5"/>
  <c r="AO700" i="2"/>
  <c r="AO877" i="2" s="1"/>
  <c r="AG879" i="2"/>
  <c r="AG927" i="2" s="1"/>
  <c r="AC585" i="2"/>
  <c r="AC341" i="2"/>
  <c r="S945" i="2"/>
  <c r="T945" i="2"/>
  <c r="R945" i="2"/>
  <c r="W464" i="2"/>
  <c r="X464" i="2"/>
  <c r="L945" i="2"/>
  <c r="M945" i="2"/>
  <c r="V456" i="2"/>
  <c r="W456" i="2"/>
  <c r="AJ630" i="2"/>
  <c r="AJ603" i="2"/>
  <c r="AJ622" i="2"/>
  <c r="AC583" i="2"/>
  <c r="V448" i="2"/>
  <c r="W448" i="2"/>
  <c r="T943" i="2"/>
  <c r="S943" i="2"/>
  <c r="AC364" i="2"/>
  <c r="AC359" i="2"/>
  <c r="AC372" i="2"/>
  <c r="Z364" i="2"/>
  <c r="Z360" i="2"/>
  <c r="Z372" i="2"/>
  <c r="N945" i="2"/>
  <c r="K945" i="2"/>
  <c r="AH524" i="2"/>
  <c r="AI524" i="2" s="1"/>
  <c r="AJ524" i="2" s="1"/>
  <c r="X636" i="2"/>
  <c r="X376" i="2"/>
  <c r="Y369" i="2"/>
  <c r="AM603" i="2"/>
  <c r="AM630" i="2"/>
  <c r="AM622" i="2"/>
  <c r="AM608" i="2"/>
  <c r="Y288" i="2"/>
  <c r="W469" i="2"/>
  <c r="W517" i="2"/>
  <c r="V517" i="2"/>
  <c r="AG359" i="2"/>
  <c r="AG721" i="2" s="1"/>
  <c r="AG602" i="2" s="1"/>
  <c r="AG363" i="2"/>
  <c r="AG737" i="2" s="1"/>
  <c r="Q943" i="2"/>
  <c r="Y341" i="2"/>
  <c r="Y585" i="2"/>
  <c r="W533" i="2"/>
  <c r="V547" i="2"/>
  <c r="W547" i="2"/>
  <c r="AE677" i="2"/>
  <c r="AF301" i="2"/>
  <c r="P944" i="2"/>
  <c r="M946" i="2"/>
  <c r="AG681" i="2"/>
  <c r="IP475" i="5" s="1"/>
  <c r="AH305" i="2"/>
  <c r="V440" i="2"/>
  <c r="W440" i="2"/>
  <c r="JH859" i="5"/>
  <c r="AM1267" i="2"/>
  <c r="AM1590" i="2"/>
  <c r="AM1622" i="2"/>
  <c r="AH359" i="2"/>
  <c r="AH363" i="2"/>
  <c r="AH371" i="2"/>
  <c r="AH754" i="2" s="1"/>
  <c r="W473" i="2"/>
  <c r="V473" i="2"/>
  <c r="AH299" i="2"/>
  <c r="AL602" i="2"/>
  <c r="W537" i="2"/>
  <c r="V537" i="2"/>
  <c r="AF359" i="2"/>
  <c r="AF372" i="2"/>
  <c r="AF363" i="2"/>
  <c r="V529" i="2"/>
  <c r="W529" i="2"/>
  <c r="AO284" i="2"/>
  <c r="AN859" i="2"/>
  <c r="AN918" i="2" s="1"/>
  <c r="AE584" i="2"/>
  <c r="AE359" i="2"/>
  <c r="AE340" i="2"/>
  <c r="AE363" i="2"/>
  <c r="AC358" i="2"/>
  <c r="K944" i="2"/>
  <c r="AK1017" i="2"/>
  <c r="AL447" i="2"/>
  <c r="V543" i="2"/>
  <c r="W543" i="2"/>
  <c r="AH520" i="2"/>
  <c r="AI520" i="2" s="1"/>
  <c r="AJ520" i="2" s="1"/>
  <c r="AL363" i="2"/>
  <c r="AL371" i="2"/>
  <c r="AL359" i="2"/>
  <c r="W444" i="2"/>
  <c r="V444" i="2"/>
  <c r="AH500" i="2"/>
  <c r="AI500" i="2" s="1"/>
  <c r="AJ500" i="2" s="1"/>
  <c r="AH512" i="2"/>
  <c r="AI512" i="2" s="1"/>
  <c r="AJ512" i="2" s="1"/>
  <c r="AB341" i="2"/>
  <c r="AB585" i="2"/>
  <c r="P943" i="2"/>
  <c r="AI539" i="2"/>
  <c r="AJ539" i="2" s="1"/>
  <c r="AK539" i="2" s="1"/>
  <c r="AL539" i="2" s="1"/>
  <c r="AM539" i="2" s="1"/>
  <c r="AI630" i="2"/>
  <c r="AI622" i="2"/>
  <c r="W946" i="2"/>
  <c r="JA554" i="5"/>
  <c r="T946" i="2"/>
  <c r="S946" i="2"/>
  <c r="AM1325" i="2"/>
  <c r="AM1412" i="2" s="1"/>
  <c r="AM1831" i="2"/>
  <c r="JH811" i="5"/>
  <c r="JF811" i="5" s="1"/>
  <c r="AL358" i="2"/>
  <c r="P962" i="2"/>
  <c r="V501" i="2"/>
  <c r="W501" i="2"/>
  <c r="S409" i="2"/>
  <c r="T409" i="2"/>
  <c r="V460" i="2"/>
  <c r="W460" i="2"/>
  <c r="O944" i="2"/>
  <c r="O943" i="2"/>
  <c r="AC1752" i="2"/>
  <c r="AC1749" i="2"/>
  <c r="AC1751" i="2"/>
  <c r="AC1750" i="2"/>
  <c r="AC1748" i="2"/>
  <c r="AC1747" i="2"/>
  <c r="AC1746" i="2"/>
  <c r="R943" i="2"/>
  <c r="W497" i="2"/>
  <c r="V497" i="2"/>
  <c r="Q945" i="2"/>
  <c r="W428" i="2"/>
  <c r="N944" i="2"/>
  <c r="O962" i="2"/>
  <c r="M943" i="2"/>
  <c r="N943" i="2"/>
  <c r="V432" i="2"/>
  <c r="W432" i="2"/>
  <c r="AH496" i="2"/>
  <c r="AI496" i="2" s="1"/>
  <c r="P945" i="2"/>
  <c r="Y376" i="2"/>
  <c r="T944" i="2"/>
  <c r="S944" i="2"/>
  <c r="AN1383" i="2"/>
  <c r="AO1284" i="2"/>
  <c r="AN1405" i="2"/>
  <c r="AN507" i="2"/>
  <c r="AN1422" i="2"/>
  <c r="AN617" i="2"/>
  <c r="AN1127" i="2" s="1"/>
  <c r="AN1420" i="2"/>
  <c r="AN1419" i="2"/>
  <c r="AN1278" i="2"/>
  <c r="AN1446" i="2"/>
  <c r="AN1406" i="2"/>
  <c r="AN1369" i="2"/>
  <c r="AN1456" i="2" s="1"/>
  <c r="AN1455" i="2"/>
  <c r="AN1403" i="2"/>
  <c r="AN1378" i="2"/>
  <c r="AN614" i="2"/>
  <c r="AN1390" i="2"/>
  <c r="AN1453" i="2"/>
  <c r="AN434" i="2"/>
  <c r="AN1451" i="2"/>
  <c r="AN1389" i="2"/>
  <c r="X585" i="2"/>
  <c r="X341" i="2"/>
  <c r="X628" i="2"/>
  <c r="X369" i="2"/>
  <c r="Q946" i="2"/>
  <c r="W521" i="2"/>
  <c r="V521" i="2"/>
  <c r="JB780" i="5"/>
  <c r="JA780" i="5" s="1"/>
  <c r="AK1321" i="2"/>
  <c r="IY780" i="5"/>
  <c r="AJ1321" i="2"/>
  <c r="IR514" i="5"/>
  <c r="V1418" i="2"/>
  <c r="V1330" i="2"/>
  <c r="X1362" i="2"/>
  <c r="AJ1039" i="2"/>
  <c r="IY718" i="5"/>
  <c r="IX718" i="5" s="1"/>
  <c r="AO904" i="2"/>
  <c r="IU493" i="5"/>
  <c r="AM904" i="2"/>
  <c r="AM954" i="2" s="1"/>
  <c r="AJ1389" i="2"/>
  <c r="AJ1301" i="2"/>
  <c r="AJ1388" i="2" s="1"/>
  <c r="JB492" i="5"/>
  <c r="JA492" i="5" s="1"/>
  <c r="AK700" i="2"/>
  <c r="AK878" i="2"/>
  <c r="AK926" i="2" s="1"/>
  <c r="AL904" i="2"/>
  <c r="AL954" i="2" s="1"/>
  <c r="JN722" i="5"/>
  <c r="AN700" i="2"/>
  <c r="AN878" i="2"/>
  <c r="AM700" i="2"/>
  <c r="AM1387" i="2"/>
  <c r="AM1298" i="2"/>
  <c r="AK1301" i="2"/>
  <c r="AK1388" i="2" s="1"/>
  <c r="AK1389" i="2"/>
  <c r="AI700" i="2"/>
  <c r="AI878" i="2"/>
  <c r="AI926" i="2" s="1"/>
  <c r="IV492" i="5"/>
  <c r="IU492" i="5" s="1"/>
  <c r="IY930" i="5"/>
  <c r="IX930" i="5" s="1"/>
  <c r="AJ1363" i="2"/>
  <c r="AJ1450" i="2" s="1"/>
  <c r="AJ1248" i="2"/>
  <c r="JB718" i="5"/>
  <c r="IL492" i="5"/>
  <c r="IK491" i="5"/>
  <c r="JB585" i="5"/>
  <c r="JA585" i="5" s="1"/>
  <c r="AK809" i="2"/>
  <c r="AJ700" i="2"/>
  <c r="IY492" i="5"/>
  <c r="IX492" i="5" s="1"/>
  <c r="AJ878" i="2"/>
  <c r="AJ926" i="2" s="1"/>
  <c r="IV584" i="5"/>
  <c r="IU584" i="5" s="1"/>
  <c r="AI904" i="2"/>
  <c r="AI954" i="2" s="1"/>
  <c r="AK1387" i="2"/>
  <c r="AK1298" i="2"/>
  <c r="AL878" i="2"/>
  <c r="AL926" i="2" s="1"/>
  <c r="AL700" i="2"/>
  <c r="AH701" i="2"/>
  <c r="IS493" i="5"/>
  <c r="IR493" i="5" s="1"/>
  <c r="AO1301" i="2"/>
  <c r="L116" i="7"/>
  <c r="IC585" i="5"/>
  <c r="AL634" i="2"/>
  <c r="AL375" i="2"/>
  <c r="AL1298" i="2"/>
  <c r="AL1386" i="2"/>
  <c r="JE722" i="5"/>
  <c r="AO1331" i="2"/>
  <c r="JN818" i="5"/>
  <c r="AH809" i="2"/>
  <c r="IS585" i="5"/>
  <c r="IR585" i="5" s="1"/>
  <c r="AM1301" i="2"/>
  <c r="AM1388" i="2" s="1"/>
  <c r="AM1389" i="2"/>
  <c r="AM634" i="2"/>
  <c r="AM375" i="2"/>
  <c r="AN1298" i="2"/>
  <c r="AN1386" i="2"/>
  <c r="IL543" i="5"/>
  <c r="IK536" i="5"/>
  <c r="AE1292" i="2" l="1"/>
  <c r="AE1379" i="2" s="1"/>
  <c r="AF1535" i="2"/>
  <c r="FA1138" i="5"/>
  <c r="FA978" i="5"/>
  <c r="AD529" i="2"/>
  <c r="AE480" i="2"/>
  <c r="AE481" i="2" s="1"/>
  <c r="AF503" i="2"/>
  <c r="AF541" i="2"/>
  <c r="AX816" i="5"/>
  <c r="AX985" i="5" s="1"/>
  <c r="AX834" i="5"/>
  <c r="AE521" i="2"/>
  <c r="AX835" i="5"/>
  <c r="AX991" i="5" s="1"/>
  <c r="AX975" i="5"/>
  <c r="AF537" i="2"/>
  <c r="Z480" i="2"/>
  <c r="AA481" i="2" s="1"/>
  <c r="AE535" i="2"/>
  <c r="BA816" i="5"/>
  <c r="BA985" i="5" s="1"/>
  <c r="Y615" i="2"/>
  <c r="BA834" i="5"/>
  <c r="BA990" i="5" s="1"/>
  <c r="AB541" i="2"/>
  <c r="Y614" i="2"/>
  <c r="Z496" i="2"/>
  <c r="Z497" i="2" s="1"/>
  <c r="Y1582" i="2"/>
  <c r="Z483" i="2"/>
  <c r="Z1546" i="2"/>
  <c r="AD519" i="2"/>
  <c r="Y613" i="2"/>
  <c r="FD1149" i="5"/>
  <c r="FD1141" i="5" s="1"/>
  <c r="FS1138" i="5"/>
  <c r="AD481" i="2"/>
  <c r="AE815" i="5"/>
  <c r="AE984" i="5" s="1"/>
  <c r="CB816" i="5"/>
  <c r="CB985" i="5" s="1"/>
  <c r="BA815" i="5"/>
  <c r="BA984" i="5" s="1"/>
  <c r="Y484" i="2"/>
  <c r="Y485" i="2" s="1"/>
  <c r="CB975" i="5"/>
  <c r="AG505" i="2"/>
  <c r="BA835" i="5"/>
  <c r="BA991" i="5" s="1"/>
  <c r="Y1322" i="2"/>
  <c r="Y1409" i="2" s="1"/>
  <c r="AE975" i="5"/>
  <c r="AG1799" i="2"/>
  <c r="AT21" i="19"/>
  <c r="EB666" i="5"/>
  <c r="EB975" i="5" s="1"/>
  <c r="BB32" i="19"/>
  <c r="GO666" i="5"/>
  <c r="GO815" i="5" s="1"/>
  <c r="AD479" i="2"/>
  <c r="JK907" i="5"/>
  <c r="JI907" i="5" s="1"/>
  <c r="JI906" i="5" s="1"/>
  <c r="AV21" i="19"/>
  <c r="AX21" i="19" s="1"/>
  <c r="AO21" i="19"/>
  <c r="AA504" i="2"/>
  <c r="JL687" i="5"/>
  <c r="JM687" i="5" s="1"/>
  <c r="AN21" i="19"/>
  <c r="AP21" i="19" s="1"/>
  <c r="JL694" i="5"/>
  <c r="JM694" i="5" s="1"/>
  <c r="AB528" i="2"/>
  <c r="AC529" i="2" s="1"/>
  <c r="AB1295" i="2"/>
  <c r="AB1382" i="2" s="1"/>
  <c r="AL21" i="19"/>
  <c r="JL675" i="5"/>
  <c r="JM675" i="5" s="1"/>
  <c r="BB14" i="19"/>
  <c r="AU88" i="19"/>
  <c r="AV88" i="19" s="1"/>
  <c r="AX88" i="19" s="1"/>
  <c r="JH764" i="5"/>
  <c r="JG764" i="5" s="1"/>
  <c r="AD21" i="19"/>
  <c r="O89" i="19"/>
  <c r="N89" i="19" s="1"/>
  <c r="BA28" i="19"/>
  <c r="JE764" i="5"/>
  <c r="JD764" i="5" s="1"/>
  <c r="AS10" i="19"/>
  <c r="BA10" i="19"/>
  <c r="AU89" i="19"/>
  <c r="AF21" i="19"/>
  <c r="AH21" i="19" s="1"/>
  <c r="AE28" i="19"/>
  <c r="AF28" i="19" s="1"/>
  <c r="AH28" i="19" s="1"/>
  <c r="AO1227" i="2"/>
  <c r="JN906" i="5" s="1"/>
  <c r="BB11" i="19"/>
  <c r="BB91" i="19"/>
  <c r="JI928" i="5"/>
  <c r="AS99" i="19" s="1"/>
  <c r="JH922" i="5"/>
  <c r="JB764" i="5"/>
  <c r="AL1227" i="2"/>
  <c r="AL1614" i="2" s="1"/>
  <c r="AM61" i="19"/>
  <c r="AM1227" i="2"/>
  <c r="AM1614" i="2" s="1"/>
  <c r="BE91" i="19"/>
  <c r="AS28" i="19"/>
  <c r="AT28" i="19" s="1"/>
  <c r="AO1247" i="2"/>
  <c r="IY764" i="5"/>
  <c r="IX764" i="5" s="1"/>
  <c r="BA61" i="19"/>
  <c r="BB61" i="19" s="1"/>
  <c r="AO91" i="19"/>
  <c r="IY922" i="5"/>
  <c r="IX922" i="5" s="1"/>
  <c r="AN71" i="19"/>
  <c r="AP71" i="19" s="1"/>
  <c r="AG71" i="19"/>
  <c r="AD32" i="19"/>
  <c r="AJ446" i="2"/>
  <c r="AM1118" i="2"/>
  <c r="BB21" i="19"/>
  <c r="AS100" i="19"/>
  <c r="Y1311" i="2"/>
  <c r="Y1308" i="2" s="1"/>
  <c r="Y1395" i="2" s="1"/>
  <c r="Y545" i="2"/>
  <c r="CF638" i="5"/>
  <c r="CQ666" i="5"/>
  <c r="CQ816" i="5" s="1"/>
  <c r="CQ835" i="5" s="1"/>
  <c r="AB524" i="2"/>
  <c r="AB525" i="2" s="1"/>
  <c r="AA1311" i="2"/>
  <c r="AA1398" i="2" s="1"/>
  <c r="AA545" i="2"/>
  <c r="EE666" i="5"/>
  <c r="EE815" i="5" s="1"/>
  <c r="DT503" i="5"/>
  <c r="AF500" i="2"/>
  <c r="AG501" i="2" s="1"/>
  <c r="CB815" i="5"/>
  <c r="CB984" i="5" s="1"/>
  <c r="CB834" i="5"/>
  <c r="CB990" i="5" s="1"/>
  <c r="GR666" i="5"/>
  <c r="GR815" i="5" s="1"/>
  <c r="GR834" i="5" s="1"/>
  <c r="GR941" i="5" s="1"/>
  <c r="HU610" i="5"/>
  <c r="HU657" i="5" s="1"/>
  <c r="ET666" i="5"/>
  <c r="ET975" i="5" s="1"/>
  <c r="GS835" i="5"/>
  <c r="CF636" i="5"/>
  <c r="AC479" i="2"/>
  <c r="GV835" i="5"/>
  <c r="AT76" i="19"/>
  <c r="JG877" i="5"/>
  <c r="JG876" i="5" s="1"/>
  <c r="AK74" i="19"/>
  <c r="AL74" i="19" s="1"/>
  <c r="AC481" i="2"/>
  <c r="EI666" i="5"/>
  <c r="EI815" i="5" s="1"/>
  <c r="GL1156" i="5"/>
  <c r="EU666" i="5"/>
  <c r="EU816" i="5" s="1"/>
  <c r="GJ666" i="5"/>
  <c r="GJ815" i="5" s="1"/>
  <c r="GJ834" i="5" s="1"/>
  <c r="GJ941" i="5" s="1"/>
  <c r="FK978" i="5"/>
  <c r="CM978" i="5"/>
  <c r="AG473" i="2"/>
  <c r="FS666" i="5"/>
  <c r="FS842" i="5" s="1"/>
  <c r="JL661" i="5"/>
  <c r="BA76" i="19"/>
  <c r="BB76" i="19" s="1"/>
  <c r="BE11" i="19"/>
  <c r="BE73" i="19"/>
  <c r="AD14" i="19"/>
  <c r="V28" i="19"/>
  <c r="V101" i="19"/>
  <c r="AL11" i="19"/>
  <c r="AW32" i="19"/>
  <c r="AT32" i="19"/>
  <c r="AL14" i="19"/>
  <c r="AW91" i="19"/>
  <c r="AT91" i="19"/>
  <c r="BE32" i="19"/>
  <c r="AV14" i="19"/>
  <c r="AX14" i="19" s="1"/>
  <c r="AT14" i="19"/>
  <c r="AW101" i="19"/>
  <c r="AT101" i="19"/>
  <c r="AV11" i="19"/>
  <c r="AX11" i="19" s="1"/>
  <c r="AT11" i="19"/>
  <c r="AO32" i="19"/>
  <c r="AL32" i="19"/>
  <c r="Q39" i="19"/>
  <c r="N39" i="19"/>
  <c r="AL28" i="19"/>
  <c r="Q55" i="19"/>
  <c r="N55" i="19"/>
  <c r="AD101" i="19"/>
  <c r="Q75" i="19"/>
  <c r="N75" i="19"/>
  <c r="AL101" i="19"/>
  <c r="AD11" i="19"/>
  <c r="AO75" i="19"/>
  <c r="AL75" i="19"/>
  <c r="AN55" i="19"/>
  <c r="AP55" i="19" s="1"/>
  <c r="P835" i="5"/>
  <c r="P991" i="5" s="1"/>
  <c r="EA666" i="5"/>
  <c r="EA975" i="5" s="1"/>
  <c r="P815" i="5"/>
  <c r="P984" i="5" s="1"/>
  <c r="P816" i="5"/>
  <c r="P985" i="5" s="1"/>
  <c r="P834" i="5"/>
  <c r="P941" i="5" s="1"/>
  <c r="P998" i="5" s="1"/>
  <c r="AG75" i="19"/>
  <c r="AD75" i="19"/>
  <c r="GU1156" i="5"/>
  <c r="AD74" i="19"/>
  <c r="AG74" i="19"/>
  <c r="JM883" i="5"/>
  <c r="JM661" i="5" s="1"/>
  <c r="IH804" i="5"/>
  <c r="EP1133" i="5"/>
  <c r="GJ1156" i="5"/>
  <c r="HE835" i="5"/>
  <c r="GK666" i="5"/>
  <c r="GK815" i="5" s="1"/>
  <c r="GK834" i="5" s="1"/>
  <c r="GK941" i="5" s="1"/>
  <c r="Y579" i="5"/>
  <c r="Y648" i="5" s="1"/>
  <c r="GK1156" i="5"/>
  <c r="DT1142" i="5"/>
  <c r="BI579" i="5"/>
  <c r="BI648" i="5" s="1"/>
  <c r="DT465" i="5"/>
  <c r="DT626" i="5" s="1"/>
  <c r="GW1156" i="5"/>
  <c r="Y480" i="2"/>
  <c r="Y481" i="2" s="1"/>
  <c r="AH1576" i="2"/>
  <c r="AH1575" i="2" s="1"/>
  <c r="FU666" i="5"/>
  <c r="FU815" i="5" s="1"/>
  <c r="GT1156" i="5"/>
  <c r="X815" i="5"/>
  <c r="X984" i="5" s="1"/>
  <c r="AM975" i="5"/>
  <c r="DP666" i="5"/>
  <c r="DP975" i="5" s="1"/>
  <c r="AM835" i="5"/>
  <c r="AM991" i="5" s="1"/>
  <c r="AM816" i="5"/>
  <c r="AM985" i="5" s="1"/>
  <c r="AM834" i="5"/>
  <c r="AM941" i="5" s="1"/>
  <c r="AM998" i="5" s="1"/>
  <c r="DA636" i="5"/>
  <c r="DF1132" i="5"/>
  <c r="GV666" i="5"/>
  <c r="GV842" i="5" s="1"/>
  <c r="EP503" i="5"/>
  <c r="EP1141" i="5" s="1"/>
  <c r="E815" i="5"/>
  <c r="E984" i="5" s="1"/>
  <c r="X572" i="5"/>
  <c r="X579" i="5" s="1"/>
  <c r="X648" i="5" s="1"/>
  <c r="GT835" i="5"/>
  <c r="BU626" i="5"/>
  <c r="HC835" i="5"/>
  <c r="K975" i="5"/>
  <c r="E835" i="5"/>
  <c r="E991" i="5" s="1"/>
  <c r="M990" i="5"/>
  <c r="CR638" i="5"/>
  <c r="FI978" i="5"/>
  <c r="K815" i="5"/>
  <c r="K984" i="5" s="1"/>
  <c r="V21" i="19"/>
  <c r="GY1156" i="5"/>
  <c r="CG666" i="5"/>
  <c r="CG815" i="5" s="1"/>
  <c r="CG834" i="5" s="1"/>
  <c r="DE978" i="5"/>
  <c r="HE1156" i="5"/>
  <c r="FP1132" i="5"/>
  <c r="CX1142" i="5"/>
  <c r="E834" i="5"/>
  <c r="E941" i="5" s="1"/>
  <c r="E998" i="5" s="1"/>
  <c r="KO835" i="5"/>
  <c r="KO991" i="5" s="1"/>
  <c r="HD835" i="5"/>
  <c r="CT1142" i="5"/>
  <c r="AV643" i="5"/>
  <c r="GN835" i="5"/>
  <c r="FJ842" i="5"/>
  <c r="GQ1156" i="5"/>
  <c r="GZ1156" i="5"/>
  <c r="S626" i="5"/>
  <c r="DT1132" i="5"/>
  <c r="GP1156" i="5"/>
  <c r="CT631" i="5"/>
  <c r="GS1156" i="5"/>
  <c r="KO815" i="5"/>
  <c r="KO984" i="5" s="1"/>
  <c r="KO975" i="5"/>
  <c r="EW666" i="5"/>
  <c r="EW816" i="5" s="1"/>
  <c r="AB1174" i="2"/>
  <c r="AB1578" i="2" s="1"/>
  <c r="AJ1312" i="2"/>
  <c r="AJ1399" i="2" s="1"/>
  <c r="O23" i="19"/>
  <c r="U79" i="19"/>
  <c r="V79" i="19" s="1"/>
  <c r="V77" i="19"/>
  <c r="KN834" i="5"/>
  <c r="KN941" i="5" s="1"/>
  <c r="KN998" i="5" s="1"/>
  <c r="HA1156" i="5"/>
  <c r="HC1156" i="5"/>
  <c r="DI978" i="5"/>
  <c r="HF835" i="5"/>
  <c r="FV978" i="5"/>
  <c r="GY835" i="5"/>
  <c r="FK1149" i="5"/>
  <c r="FK1141" i="5" s="1"/>
  <c r="H643" i="5"/>
  <c r="FK666" i="5"/>
  <c r="FK816" i="5" s="1"/>
  <c r="FK985" i="5" s="1"/>
  <c r="BU975" i="5"/>
  <c r="Q51" i="19"/>
  <c r="N51" i="19"/>
  <c r="GW835" i="5"/>
  <c r="AG92" i="19"/>
  <c r="AD92" i="19"/>
  <c r="GQ835" i="5"/>
  <c r="IO843" i="5"/>
  <c r="IO960" i="5" s="1"/>
  <c r="IO969" i="5" s="1"/>
  <c r="CB572" i="5"/>
  <c r="CB642" i="5" s="1"/>
  <c r="HA835" i="5"/>
  <c r="X55" i="19"/>
  <c r="Z55" i="19" s="1"/>
  <c r="DO465" i="5"/>
  <c r="DO626" i="5" s="1"/>
  <c r="IG893" i="5"/>
  <c r="AD1214" i="2" s="1"/>
  <c r="AD1361" i="2" s="1"/>
  <c r="GU835" i="5"/>
  <c r="CU636" i="5"/>
  <c r="FC666" i="5"/>
  <c r="FC816" i="5" s="1"/>
  <c r="HW893" i="5"/>
  <c r="HX893" i="5" s="1"/>
  <c r="HX996" i="5" s="1"/>
  <c r="Y472" i="2"/>
  <c r="Y473" i="2" s="1"/>
  <c r="BU835" i="5"/>
  <c r="BU991" i="5" s="1"/>
  <c r="Y834" i="5"/>
  <c r="Y990" i="5" s="1"/>
  <c r="AY975" i="5"/>
  <c r="CB580" i="5"/>
  <c r="CB649" i="5" s="1"/>
  <c r="DQ627" i="5"/>
  <c r="P135" i="7"/>
  <c r="AH580" i="5"/>
  <c r="AH649" i="5" s="1"/>
  <c r="CV569" i="5"/>
  <c r="BU834" i="5"/>
  <c r="BU990" i="5" s="1"/>
  <c r="FE1138" i="5"/>
  <c r="HF1156" i="5"/>
  <c r="IY750" i="5"/>
  <c r="IX750" i="5" s="1"/>
  <c r="AY816" i="5"/>
  <c r="AY985" i="5" s="1"/>
  <c r="EK666" i="5"/>
  <c r="EK975" i="5" s="1"/>
  <c r="DO1132" i="5"/>
  <c r="DA666" i="5"/>
  <c r="DA975" i="5" s="1"/>
  <c r="FE978" i="5"/>
  <c r="DC1149" i="5"/>
  <c r="GR1156" i="5"/>
  <c r="GM835" i="5"/>
  <c r="DQ1132" i="5"/>
  <c r="AY835" i="5"/>
  <c r="AY991" i="5" s="1"/>
  <c r="Q11" i="19"/>
  <c r="N11" i="19"/>
  <c r="KN815" i="5"/>
  <c r="KN984" i="5" s="1"/>
  <c r="W40" i="19"/>
  <c r="X40" i="19" s="1"/>
  <c r="Z40" i="19" s="1"/>
  <c r="AY815" i="5"/>
  <c r="AY984" i="5" s="1"/>
  <c r="EM505" i="5"/>
  <c r="EM1142" i="5" s="1"/>
  <c r="DQ567" i="5"/>
  <c r="Y14" i="19"/>
  <c r="V14" i="19"/>
  <c r="Y11" i="19"/>
  <c r="V11" i="19"/>
  <c r="GM1156" i="5"/>
  <c r="FH1141" i="5"/>
  <c r="HB1156" i="5"/>
  <c r="GR835" i="5"/>
  <c r="GJ1147" i="5"/>
  <c r="BA580" i="5"/>
  <c r="BA649" i="5" s="1"/>
  <c r="BW834" i="5"/>
  <c r="BW990" i="5" s="1"/>
  <c r="BU816" i="5"/>
  <c r="BU985" i="5" s="1"/>
  <c r="E71" i="19"/>
  <c r="G71" i="19" s="1"/>
  <c r="AD1548" i="2"/>
  <c r="AF1529" i="2"/>
  <c r="AG543" i="2"/>
  <c r="AB499" i="2"/>
  <c r="AG1834" i="2"/>
  <c r="AF92" i="19"/>
  <c r="AH92" i="19" s="1"/>
  <c r="E42" i="19"/>
  <c r="G42" i="19" s="1"/>
  <c r="AG1532" i="2"/>
  <c r="BD11" i="19"/>
  <c r="BF11" i="19" s="1"/>
  <c r="AF1528" i="2"/>
  <c r="JN929" i="5"/>
  <c r="JM928" i="5" s="1"/>
  <c r="JM920" i="5" s="1"/>
  <c r="BC99" i="19"/>
  <c r="BB99" i="19" s="1"/>
  <c r="E23" i="19"/>
  <c r="G23" i="19" s="1"/>
  <c r="E38" i="19"/>
  <c r="G38" i="19" s="1"/>
  <c r="AG1528" i="2"/>
  <c r="AI1309" i="2"/>
  <c r="AI1396" i="2" s="1"/>
  <c r="AG1565" i="2"/>
  <c r="AG1568" i="2" s="1"/>
  <c r="D100" i="19"/>
  <c r="F100" i="19" s="1"/>
  <c r="AI1311" i="2"/>
  <c r="AI1398" i="2" s="1"/>
  <c r="AD1789" i="2"/>
  <c r="D70" i="19"/>
  <c r="F70" i="19" s="1"/>
  <c r="AA1530" i="2"/>
  <c r="E94" i="19"/>
  <c r="G94" i="19" s="1"/>
  <c r="D8" i="19"/>
  <c r="F8" i="19" s="1"/>
  <c r="AI1292" i="2"/>
  <c r="AI1379" i="2" s="1"/>
  <c r="D99" i="19"/>
  <c r="F99" i="19" s="1"/>
  <c r="AF1551" i="2"/>
  <c r="P11" i="19"/>
  <c r="R11" i="19" s="1"/>
  <c r="BD32" i="19"/>
  <c r="BF32" i="19" s="1"/>
  <c r="P55" i="19"/>
  <c r="R55" i="19" s="1"/>
  <c r="AV101" i="19"/>
  <c r="AX101" i="19" s="1"/>
  <c r="AV32" i="19"/>
  <c r="AX32" i="19" s="1"/>
  <c r="AF14" i="19"/>
  <c r="AH14" i="19" s="1"/>
  <c r="AW11" i="19"/>
  <c r="JA764" i="5"/>
  <c r="AW14" i="19"/>
  <c r="AO55" i="19"/>
  <c r="AF55" i="19"/>
  <c r="AH55" i="19" s="1"/>
  <c r="Y55" i="19"/>
  <c r="O61" i="19"/>
  <c r="N61" i="19" s="1"/>
  <c r="AN1557" i="2"/>
  <c r="AU100" i="19"/>
  <c r="U100" i="19"/>
  <c r="AK100" i="19"/>
  <c r="JC928" i="5"/>
  <c r="U10" i="19"/>
  <c r="U91" i="19"/>
  <c r="V91" i="19" s="1"/>
  <c r="AK10" i="19"/>
  <c r="AC91" i="19"/>
  <c r="AD91" i="19" s="1"/>
  <c r="AK76" i="19"/>
  <c r="AL76" i="19" s="1"/>
  <c r="U75" i="19"/>
  <c r="V75" i="19" s="1"/>
  <c r="AC10" i="19"/>
  <c r="AN32" i="19"/>
  <c r="AP32" i="19" s="1"/>
  <c r="AC471" i="2"/>
  <c r="X1541" i="2"/>
  <c r="AA1315" i="2"/>
  <c r="AA1402" i="2" s="1"/>
  <c r="AG1545" i="2"/>
  <c r="Y1531" i="2"/>
  <c r="AA1547" i="2"/>
  <c r="AB1547" i="2"/>
  <c r="AJ496" i="2"/>
  <c r="Z1535" i="2"/>
  <c r="AM1535" i="2"/>
  <c r="AA1548" i="2"/>
  <c r="AD1547" i="2"/>
  <c r="AF75" i="19"/>
  <c r="AH75" i="19" s="1"/>
  <c r="JA877" i="5"/>
  <c r="U74" i="19"/>
  <c r="V74" i="19" s="1"/>
  <c r="Z78" i="19"/>
  <c r="AQ1554" i="2"/>
  <c r="AQ1174" i="2"/>
  <c r="BC89" i="19"/>
  <c r="AH483" i="2"/>
  <c r="AH484" i="2"/>
  <c r="AE1530" i="2"/>
  <c r="BD73" i="19"/>
  <c r="BF73" i="19" s="1"/>
  <c r="AD1528" i="2"/>
  <c r="AC501" i="2"/>
  <c r="AB473" i="2"/>
  <c r="AI483" i="2"/>
  <c r="AI484" i="2"/>
  <c r="AJ1145" i="2"/>
  <c r="AC1535" i="2"/>
  <c r="AE1565" i="2"/>
  <c r="AM1557" i="2"/>
  <c r="AD434" i="2"/>
  <c r="Y1547" i="2"/>
  <c r="AB495" i="2"/>
  <c r="X1550" i="2"/>
  <c r="AB1546" i="2"/>
  <c r="AA1529" i="2"/>
  <c r="Z1547" i="2"/>
  <c r="AA471" i="2"/>
  <c r="AG1298" i="2"/>
  <c r="AG1385" i="2" s="1"/>
  <c r="AF1544" i="2"/>
  <c r="X1545" i="2"/>
  <c r="W1541" i="2"/>
  <c r="Y475" i="2"/>
  <c r="X1565" i="2"/>
  <c r="Y1565" i="2"/>
  <c r="AD426" i="2"/>
  <c r="AC1530" i="2"/>
  <c r="AA1365" i="2"/>
  <c r="AA1551" i="2"/>
  <c r="AP1174" i="2"/>
  <c r="AP1173" i="2" s="1"/>
  <c r="AP1554" i="2"/>
  <c r="AC1365" i="2"/>
  <c r="AC1551" i="2"/>
  <c r="AD542" i="2"/>
  <c r="AD1535" i="2"/>
  <c r="AC430" i="2"/>
  <c r="AB1531" i="2"/>
  <c r="AD430" i="2"/>
  <c r="AC1531" i="2"/>
  <c r="AD1565" i="2"/>
  <c r="Y420" i="2"/>
  <c r="Y421" i="2" s="1"/>
  <c r="X1529" i="2"/>
  <c r="AD1317" i="2"/>
  <c r="AD1404" i="2" s="1"/>
  <c r="IY876" i="5"/>
  <c r="IX876" i="5" s="1"/>
  <c r="AJ1554" i="2"/>
  <c r="AG615" i="2"/>
  <c r="AF1545" i="2"/>
  <c r="AI475" i="2"/>
  <c r="AJ463" i="2"/>
  <c r="AE1566" i="2"/>
  <c r="AE1533" i="2"/>
  <c r="AL1535" i="2"/>
  <c r="Z427" i="2"/>
  <c r="Y1530" i="2"/>
  <c r="AH612" i="2"/>
  <c r="AH1545" i="2"/>
  <c r="AC1317" i="2"/>
  <c r="AC1404" i="2" s="1"/>
  <c r="Y476" i="2"/>
  <c r="Y477" i="2" s="1"/>
  <c r="AO1554" i="2"/>
  <c r="Z1322" i="2"/>
  <c r="Z1409" i="2" s="1"/>
  <c r="Z1545" i="2"/>
  <c r="AH1566" i="2"/>
  <c r="AH1533" i="2"/>
  <c r="AG1533" i="2"/>
  <c r="AG1566" i="2"/>
  <c r="AJ1535" i="2"/>
  <c r="AB484" i="2"/>
  <c r="AC485" i="2" s="1"/>
  <c r="W10" i="19"/>
  <c r="AK1557" i="2"/>
  <c r="AA1300" i="2"/>
  <c r="AA1387" i="2" s="1"/>
  <c r="AD1300" i="2"/>
  <c r="AD1387" i="2" s="1"/>
  <c r="AC1550" i="2"/>
  <c r="AD1790" i="2"/>
  <c r="AD1561" i="2"/>
  <c r="AD1532" i="2"/>
  <c r="AA475" i="2"/>
  <c r="AA1565" i="2"/>
  <c r="D56" i="19"/>
  <c r="F56" i="19" s="1"/>
  <c r="AF1317" i="2"/>
  <c r="AF1404" i="2" s="1"/>
  <c r="AE1544" i="2"/>
  <c r="AB552" i="2"/>
  <c r="AC1566" i="2"/>
  <c r="AC1533" i="2"/>
  <c r="AD469" i="2"/>
  <c r="Z1317" i="2"/>
  <c r="Z1404" i="2" s="1"/>
  <c r="AB1530" i="2"/>
  <c r="Z1548" i="2"/>
  <c r="AA419" i="2"/>
  <c r="Z1529" i="2"/>
  <c r="Y1315" i="2"/>
  <c r="Y1402" i="2" s="1"/>
  <c r="AB1535" i="2"/>
  <c r="AI419" i="2"/>
  <c r="AH1529" i="2"/>
  <c r="AB1290" i="2"/>
  <c r="AB1377" i="2" s="1"/>
  <c r="AA1528" i="2"/>
  <c r="AH1837" i="2"/>
  <c r="AH1548" i="2"/>
  <c r="AU73" i="19"/>
  <c r="AN1554" i="2"/>
  <c r="AH420" i="2"/>
  <c r="AI420" i="2" s="1"/>
  <c r="AG1529" i="2"/>
  <c r="AH1532" i="2"/>
  <c r="AH1561" i="2"/>
  <c r="JB728" i="5"/>
  <c r="JA728" i="5" s="1"/>
  <c r="AJ1550" i="2"/>
  <c r="AH430" i="2"/>
  <c r="AG1531" i="2"/>
  <c r="AG1548" i="2"/>
  <c r="AF621" i="2"/>
  <c r="AF1548" i="2"/>
  <c r="AB476" i="2"/>
  <c r="AB1565" i="2"/>
  <c r="AE1863" i="2"/>
  <c r="AE1546" i="2"/>
  <c r="AI1550" i="2"/>
  <c r="O10" i="19"/>
  <c r="AJ1557" i="2"/>
  <c r="AI1334" i="2"/>
  <c r="AI1421" i="2" s="1"/>
  <c r="AL1557" i="2"/>
  <c r="D9" i="19"/>
  <c r="F9" i="19" s="1"/>
  <c r="AF419" i="2"/>
  <c r="AF420" i="2"/>
  <c r="AG421" i="2" s="1"/>
  <c r="AE1529" i="2"/>
  <c r="AB603" i="2"/>
  <c r="Y1554" i="2"/>
  <c r="AE73" i="19"/>
  <c r="AL1554" i="2"/>
  <c r="AA1290" i="2"/>
  <c r="AA1377" i="2" s="1"/>
  <c r="Z1528" i="2"/>
  <c r="AI1300" i="2"/>
  <c r="AI1387" i="2" s="1"/>
  <c r="AH1550" i="2"/>
  <c r="AF430" i="2"/>
  <c r="AE1531" i="2"/>
  <c r="AC419" i="2"/>
  <c r="AB1529" i="2"/>
  <c r="AA431" i="2"/>
  <c r="Z1531" i="2"/>
  <c r="AA542" i="2"/>
  <c r="AB543" i="2" s="1"/>
  <c r="AA1535" i="2"/>
  <c r="AB621" i="2"/>
  <c r="AB1548" i="2"/>
  <c r="AI1554" i="2"/>
  <c r="AD1365" i="2"/>
  <c r="AD1452" i="2" s="1"/>
  <c r="AD1551" i="2"/>
  <c r="Y1546" i="2"/>
  <c r="X1546" i="2"/>
  <c r="AE1293" i="2"/>
  <c r="AE1380" i="2" s="1"/>
  <c r="AE1532" i="2"/>
  <c r="AE1561" i="2"/>
  <c r="AB1365" i="2"/>
  <c r="AB1551" i="2"/>
  <c r="Y1561" i="2"/>
  <c r="Y1532" i="2"/>
  <c r="X1561" i="2"/>
  <c r="X1532" i="2"/>
  <c r="AE427" i="2"/>
  <c r="AD1530" i="2"/>
  <c r="AD1835" i="2"/>
  <c r="AD1546" i="2"/>
  <c r="AI541" i="2"/>
  <c r="AI1535" i="2"/>
  <c r="AB1293" i="2"/>
  <c r="AB1561" i="2"/>
  <c r="AB1532" i="2"/>
  <c r="AF1530" i="2"/>
  <c r="AL1563" i="2"/>
  <c r="AH1300" i="2"/>
  <c r="AH1387" i="2" s="1"/>
  <c r="AG1550" i="2"/>
  <c r="AM73" i="19"/>
  <c r="AM1554" i="2"/>
  <c r="AC1293" i="2"/>
  <c r="AC1380" i="2" s="1"/>
  <c r="AC1561" i="2"/>
  <c r="AC1532" i="2"/>
  <c r="AH1565" i="2"/>
  <c r="AG1764" i="2"/>
  <c r="AB1294" i="2"/>
  <c r="AB1381" i="2" s="1"/>
  <c r="AB1533" i="2"/>
  <c r="AB1566" i="2"/>
  <c r="AE1824" i="2"/>
  <c r="AE1545" i="2"/>
  <c r="AB1545" i="2"/>
  <c r="AF476" i="2"/>
  <c r="AG477" i="2" s="1"/>
  <c r="AF1565" i="2"/>
  <c r="AD1836" i="2"/>
  <c r="AC1547" i="2"/>
  <c r="AO1557" i="2"/>
  <c r="Y550" i="2"/>
  <c r="Y551" i="2" s="1"/>
  <c r="Y1533" i="2"/>
  <c r="Y1566" i="2"/>
  <c r="X1566" i="2"/>
  <c r="X1533" i="2"/>
  <c r="AF1836" i="2"/>
  <c r="AE1547" i="2"/>
  <c r="Z1293" i="2"/>
  <c r="Z1380" i="2" s="1"/>
  <c r="Z1532" i="2"/>
  <c r="Z1561" i="2"/>
  <c r="AI426" i="2"/>
  <c r="AH1530" i="2"/>
  <c r="AI1787" i="2"/>
  <c r="AH1528" i="2"/>
  <c r="AH1547" i="2"/>
  <c r="AI1547" i="2"/>
  <c r="AC1290" i="2"/>
  <c r="AC1377" i="2" s="1"/>
  <c r="AB1528" i="2"/>
  <c r="AE620" i="2"/>
  <c r="AE1548" i="2"/>
  <c r="JK743" i="5"/>
  <c r="JI743" i="5" s="1"/>
  <c r="AG1334" i="2"/>
  <c r="AG1421" i="2" s="1"/>
  <c r="AA1293" i="2"/>
  <c r="AA1380" i="2" s="1"/>
  <c r="AA1532" i="2"/>
  <c r="AA1561" i="2"/>
  <c r="AD550" i="2"/>
  <c r="AD1566" i="2"/>
  <c r="AD1533" i="2"/>
  <c r="AH1770" i="2"/>
  <c r="AE680" i="2" s="1"/>
  <c r="IJ474" i="5" s="1"/>
  <c r="IH474" i="5" s="1"/>
  <c r="Q14" i="7" s="1"/>
  <c r="AH1554" i="2"/>
  <c r="AG1554" i="2"/>
  <c r="AH1334" i="2"/>
  <c r="AH1421" i="2" s="1"/>
  <c r="AJ1077" i="2"/>
  <c r="AI1537" i="2" s="1"/>
  <c r="AH1537" i="2"/>
  <c r="AD612" i="2"/>
  <c r="AD1545" i="2"/>
  <c r="AK1535" i="2"/>
  <c r="AE1365" i="2"/>
  <c r="AE1452" i="2" s="1"/>
  <c r="AE1551" i="2"/>
  <c r="AF1290" i="2"/>
  <c r="AF1377" i="2" s="1"/>
  <c r="AE1528" i="2"/>
  <c r="AC1546" i="2"/>
  <c r="Z536" i="2"/>
  <c r="Z537" i="2" s="1"/>
  <c r="Z1565" i="2"/>
  <c r="AB430" i="2"/>
  <c r="AA1531" i="2"/>
  <c r="AA1322" i="2"/>
  <c r="AA1409" i="2" s="1"/>
  <c r="AA1545" i="2"/>
  <c r="Z552" i="2"/>
  <c r="AA1533" i="2"/>
  <c r="AA1566" i="2"/>
  <c r="AC1315" i="2"/>
  <c r="AC1402" i="2" s="1"/>
  <c r="Z419" i="2"/>
  <c r="Y1529" i="2"/>
  <c r="AP1563" i="2"/>
  <c r="Y1535" i="2"/>
  <c r="X1535" i="2"/>
  <c r="AD420" i="2"/>
  <c r="AC1529" i="2"/>
  <c r="AF1790" i="2"/>
  <c r="AF1532" i="2"/>
  <c r="AF1561" i="2"/>
  <c r="AE431" i="2"/>
  <c r="AF431" i="2" s="1"/>
  <c r="AG431" i="2" s="1"/>
  <c r="AH431" i="2" s="1"/>
  <c r="AI431" i="2" s="1"/>
  <c r="AJ431" i="2" s="1"/>
  <c r="AJ994" i="2" s="1"/>
  <c r="AD1531" i="2"/>
  <c r="AC620" i="2"/>
  <c r="AC1548" i="2"/>
  <c r="AF1533" i="2"/>
  <c r="AF1566" i="2"/>
  <c r="AB1315" i="2"/>
  <c r="AB1402" i="2" s="1"/>
  <c r="AB1300" i="2"/>
  <c r="AB1387" i="2" s="1"/>
  <c r="Z590" i="2"/>
  <c r="AD1529" i="2"/>
  <c r="AC476" i="2"/>
  <c r="AC1565" i="2"/>
  <c r="AI430" i="2"/>
  <c r="AH1531" i="2"/>
  <c r="Y603" i="2"/>
  <c r="AH541" i="2"/>
  <c r="AH1535" i="2"/>
  <c r="Z1365" i="2"/>
  <c r="Z1551" i="2"/>
  <c r="Z1533" i="2"/>
  <c r="Z1566" i="2"/>
  <c r="Z1530" i="2"/>
  <c r="Y1290" i="2"/>
  <c r="Y1377" i="2" s="1"/>
  <c r="X1528" i="2"/>
  <c r="AH1835" i="2"/>
  <c r="AH1546" i="2"/>
  <c r="AD1290" i="2"/>
  <c r="AD1377" i="2" s="1"/>
  <c r="AC1528" i="2"/>
  <c r="X1334" i="2"/>
  <c r="X1421" i="2" s="1"/>
  <c r="Z1290" i="2"/>
  <c r="Z1377" i="2" s="1"/>
  <c r="Y1528" i="2"/>
  <c r="AH604" i="2"/>
  <c r="AE459" i="2"/>
  <c r="AE460" i="2" s="1"/>
  <c r="AC1300" i="2"/>
  <c r="AC1387" i="2" s="1"/>
  <c r="AB1550" i="2"/>
  <c r="AE436" i="2"/>
  <c r="AK1554" i="2"/>
  <c r="AF523" i="2"/>
  <c r="AJ1103" i="2"/>
  <c r="Y1548" i="2"/>
  <c r="X1548" i="2"/>
  <c r="AG592" i="2"/>
  <c r="AG597" i="2" s="1"/>
  <c r="AE1537" i="2"/>
  <c r="AC1322" i="2"/>
  <c r="AC1409" i="2" s="1"/>
  <c r="AC1545" i="2"/>
  <c r="D95" i="19"/>
  <c r="F95" i="19" s="1"/>
  <c r="AA1546" i="2"/>
  <c r="Y1545" i="2"/>
  <c r="JC876" i="5"/>
  <c r="JC818" i="5"/>
  <c r="AN75" i="19"/>
  <c r="AP75" i="19" s="1"/>
  <c r="X75" i="19"/>
  <c r="Z75" i="19" s="1"/>
  <c r="JF876" i="5"/>
  <c r="P75" i="19"/>
  <c r="R75" i="19" s="1"/>
  <c r="HC666" i="5"/>
  <c r="HC842" i="5" s="1"/>
  <c r="HC1138" i="5"/>
  <c r="HC1157" i="5" s="1"/>
  <c r="BY835" i="5"/>
  <c r="BY991" i="5" s="1"/>
  <c r="CP503" i="5"/>
  <c r="CP635" i="5" s="1"/>
  <c r="CZ638" i="5"/>
  <c r="AE1324" i="2"/>
  <c r="AE1411" i="2" s="1"/>
  <c r="DJ666" i="5"/>
  <c r="DJ975" i="5" s="1"/>
  <c r="U572" i="5"/>
  <c r="U642" i="5" s="1"/>
  <c r="KO816" i="5"/>
  <c r="KO985" i="5" s="1"/>
  <c r="CV627" i="5"/>
  <c r="DH666" i="5"/>
  <c r="DH975" i="5" s="1"/>
  <c r="HX529" i="5"/>
  <c r="HU722" i="5"/>
  <c r="Z1044" i="2" s="1"/>
  <c r="FC978" i="5"/>
  <c r="IA958" i="5"/>
  <c r="IA967" i="5" s="1"/>
  <c r="GT666" i="5"/>
  <c r="GT842" i="5" s="1"/>
  <c r="CI666" i="5"/>
  <c r="CI975" i="5" s="1"/>
  <c r="AZ835" i="5"/>
  <c r="AZ991" i="5" s="1"/>
  <c r="FU1138" i="5"/>
  <c r="HF666" i="5"/>
  <c r="HF842" i="5" s="1"/>
  <c r="HF1138" i="5"/>
  <c r="HF1157" i="5" s="1"/>
  <c r="HB666" i="5"/>
  <c r="HB842" i="5" s="1"/>
  <c r="HB1138" i="5"/>
  <c r="HB1157" i="5" s="1"/>
  <c r="HD1156" i="5"/>
  <c r="FI1138" i="5"/>
  <c r="DV666" i="5"/>
  <c r="DV975" i="5" s="1"/>
  <c r="AE1827" i="2"/>
  <c r="FR1138" i="5"/>
  <c r="GX1156" i="5"/>
  <c r="GL835" i="5"/>
  <c r="DW666" i="5"/>
  <c r="DW815" i="5" s="1"/>
  <c r="DO666" i="5"/>
  <c r="DO815" i="5" s="1"/>
  <c r="BG834" i="5"/>
  <c r="BG941" i="5" s="1"/>
  <c r="BG998" i="5" s="1"/>
  <c r="DN1138" i="5"/>
  <c r="GZ835" i="5"/>
  <c r="GT1157" i="5"/>
  <c r="GX666" i="5"/>
  <c r="GX842" i="5" s="1"/>
  <c r="GX1138" i="5"/>
  <c r="GX1157" i="5" s="1"/>
  <c r="Y816" i="5"/>
  <c r="Y985" i="5" s="1"/>
  <c r="FH1154" i="5"/>
  <c r="FH1156" i="5" s="1"/>
  <c r="V580" i="5"/>
  <c r="V649" i="5" s="1"/>
  <c r="GQ666" i="5"/>
  <c r="GQ842" i="5" s="1"/>
  <c r="GQ1138" i="5"/>
  <c r="GQ1157" i="5" s="1"/>
  <c r="GP835" i="5"/>
  <c r="FV1138" i="5"/>
  <c r="DS666" i="5"/>
  <c r="DS816" i="5" s="1"/>
  <c r="DS835" i="5" s="1"/>
  <c r="DS991" i="5" s="1"/>
  <c r="AE606" i="2"/>
  <c r="IR817" i="5"/>
  <c r="IR957" i="5" s="1"/>
  <c r="IR966" i="5" s="1"/>
  <c r="GY666" i="5"/>
  <c r="GY815" i="5" s="1"/>
  <c r="GY834" i="5" s="1"/>
  <c r="GY941" i="5" s="1"/>
  <c r="GY1138" i="5"/>
  <c r="GY1157" i="5" s="1"/>
  <c r="CU666" i="5"/>
  <c r="CU975" i="5" s="1"/>
  <c r="HX575" i="5"/>
  <c r="HX644" i="5" s="1"/>
  <c r="AE443" i="2"/>
  <c r="AF443" i="2" s="1"/>
  <c r="AG443" i="2" s="1"/>
  <c r="AH443" i="2" s="1"/>
  <c r="AI443" i="2" s="1"/>
  <c r="AJ443" i="2" s="1"/>
  <c r="AK443" i="2" s="1"/>
  <c r="AL443" i="2" s="1"/>
  <c r="AL1000" i="2" s="1"/>
  <c r="HB835" i="5"/>
  <c r="BY816" i="5"/>
  <c r="BY985" i="5" s="1"/>
  <c r="EL666" i="5"/>
  <c r="EL815" i="5" s="1"/>
  <c r="GN666" i="5"/>
  <c r="GN815" i="5" s="1"/>
  <c r="GN834" i="5" s="1"/>
  <c r="GN941" i="5" s="1"/>
  <c r="GN1138" i="5"/>
  <c r="IN843" i="5"/>
  <c r="IN960" i="5" s="1"/>
  <c r="IN842" i="5"/>
  <c r="GS666" i="5"/>
  <c r="GS815" i="5" s="1"/>
  <c r="GS834" i="5" s="1"/>
  <c r="GS941" i="5" s="1"/>
  <c r="GS1138" i="5"/>
  <c r="GS1157" i="5" s="1"/>
  <c r="BW975" i="5"/>
  <c r="GV1157" i="5"/>
  <c r="CO1132" i="5"/>
  <c r="GJ835" i="5"/>
  <c r="DY978" i="5"/>
  <c r="KN835" i="5"/>
  <c r="KN991" i="5" s="1"/>
  <c r="CO1138" i="5"/>
  <c r="FI1149" i="5"/>
  <c r="FI1141" i="5" s="1"/>
  <c r="AD463" i="2"/>
  <c r="AD464" i="2" s="1"/>
  <c r="CH666" i="5"/>
  <c r="CH816" i="5" s="1"/>
  <c r="CH985" i="5" s="1"/>
  <c r="HA666" i="5"/>
  <c r="HA815" i="5" s="1"/>
  <c r="HA834" i="5" s="1"/>
  <c r="HA941" i="5" s="1"/>
  <c r="HA1138" i="5"/>
  <c r="HA1157" i="5" s="1"/>
  <c r="GM666" i="5"/>
  <c r="GM815" i="5" s="1"/>
  <c r="GM834" i="5" s="1"/>
  <c r="GM941" i="5" s="1"/>
  <c r="GM1138" i="5"/>
  <c r="GP666" i="5"/>
  <c r="GP815" i="5" s="1"/>
  <c r="GP834" i="5" s="1"/>
  <c r="GP941" i="5" s="1"/>
  <c r="GP1138" i="5"/>
  <c r="GP1157" i="5" s="1"/>
  <c r="GZ666" i="5"/>
  <c r="GZ842" i="5" s="1"/>
  <c r="GZ1138" i="5"/>
  <c r="GZ1157" i="5" s="1"/>
  <c r="AA476" i="2"/>
  <c r="GU666" i="5"/>
  <c r="GU815" i="5" s="1"/>
  <c r="GU834" i="5" s="1"/>
  <c r="GU941" i="5" s="1"/>
  <c r="GU1138" i="5"/>
  <c r="GU1157" i="5" s="1"/>
  <c r="GR1157" i="5"/>
  <c r="AD467" i="2"/>
  <c r="AF488" i="2"/>
  <c r="AG489" i="2" s="1"/>
  <c r="GV1156" i="5"/>
  <c r="BI643" i="5"/>
  <c r="GN1156" i="5"/>
  <c r="HW644" i="5"/>
  <c r="CO465" i="5"/>
  <c r="CO626" i="5" s="1"/>
  <c r="GK835" i="5"/>
  <c r="CU568" i="5"/>
  <c r="IQ817" i="5"/>
  <c r="IQ959" i="5" s="1"/>
  <c r="KN975" i="5"/>
  <c r="CU503" i="5"/>
  <c r="CU635" i="5" s="1"/>
  <c r="HD666" i="5"/>
  <c r="HD842" i="5" s="1"/>
  <c r="HD1138" i="5"/>
  <c r="HD1157" i="5" s="1"/>
  <c r="HE666" i="5"/>
  <c r="HE842" i="5" s="1"/>
  <c r="HE1138" i="5"/>
  <c r="HE1157" i="5" s="1"/>
  <c r="FG1154" i="5"/>
  <c r="FG1156" i="5" s="1"/>
  <c r="DM892" i="5"/>
  <c r="DM995" i="5" s="1"/>
  <c r="AB492" i="2"/>
  <c r="AC493" i="2" s="1"/>
  <c r="GI666" i="5"/>
  <c r="GI842" i="5" s="1"/>
  <c r="GI1138" i="5"/>
  <c r="AI572" i="5"/>
  <c r="AI579" i="5" s="1"/>
  <c r="GW666" i="5"/>
  <c r="GW842" i="5" s="1"/>
  <c r="GW1138" i="5"/>
  <c r="GW1157" i="5" s="1"/>
  <c r="Y835" i="5"/>
  <c r="Y991" i="5" s="1"/>
  <c r="AF479" i="2"/>
  <c r="BW815" i="5"/>
  <c r="BW984" i="5" s="1"/>
  <c r="AT580" i="5"/>
  <c r="AT649" i="5" s="1"/>
  <c r="FR1141" i="5"/>
  <c r="FR666" i="5"/>
  <c r="FR842" i="5" s="1"/>
  <c r="FT1149" i="5"/>
  <c r="FT1141" i="5" s="1"/>
  <c r="CO569" i="5"/>
  <c r="BW816" i="5"/>
  <c r="BW985" i="5" s="1"/>
  <c r="GX835" i="5"/>
  <c r="Y975" i="5"/>
  <c r="IO842" i="5"/>
  <c r="AF484" i="2"/>
  <c r="AF485" i="2" s="1"/>
  <c r="AG1598" i="2"/>
  <c r="AB1311" i="2"/>
  <c r="AB1398" i="2" s="1"/>
  <c r="AB487" i="2"/>
  <c r="AH505" i="2"/>
  <c r="AA1325" i="2"/>
  <c r="AA1412" i="2" s="1"/>
  <c r="AC614" i="2"/>
  <c r="AD504" i="2"/>
  <c r="AD1291" i="2"/>
  <c r="AD1378" i="2" s="1"/>
  <c r="AC483" i="2"/>
  <c r="AC488" i="2"/>
  <c r="AC489" i="2" s="1"/>
  <c r="AD1310" i="2"/>
  <c r="AD1397" i="2" s="1"/>
  <c r="AC615" i="2"/>
  <c r="AH620" i="2"/>
  <c r="JF818" i="5"/>
  <c r="JN907" i="5"/>
  <c r="JL907" i="5" s="1"/>
  <c r="Y431" i="2"/>
  <c r="Y432" i="2" s="1"/>
  <c r="AA507" i="2"/>
  <c r="AC1582" i="2"/>
  <c r="AE1793" i="2"/>
  <c r="AE532" i="2"/>
  <c r="AE533" i="2" s="1"/>
  <c r="AE531" i="2"/>
  <c r="Z462" i="2"/>
  <c r="AC431" i="2"/>
  <c r="W51" i="19"/>
  <c r="AI1793" i="2"/>
  <c r="AG631" i="2"/>
  <c r="P51" i="19"/>
  <c r="R51" i="19" s="1"/>
  <c r="AU10" i="19"/>
  <c r="AM10" i="19"/>
  <c r="AE10" i="19"/>
  <c r="AF10" i="19" s="1"/>
  <c r="AH10" i="19" s="1"/>
  <c r="AG76" i="19"/>
  <c r="AF76" i="19"/>
  <c r="AH76" i="19" s="1"/>
  <c r="AN76" i="19"/>
  <c r="AP76" i="19" s="1"/>
  <c r="AO76" i="19"/>
  <c r="AW76" i="19"/>
  <c r="AV76" i="19"/>
  <c r="AX76" i="19" s="1"/>
  <c r="AU72" i="19"/>
  <c r="AP72" i="19"/>
  <c r="AU29" i="19"/>
  <c r="AP29" i="19"/>
  <c r="AU98" i="19"/>
  <c r="AP98" i="19"/>
  <c r="Y28" i="19"/>
  <c r="X28" i="19"/>
  <c r="Z28" i="19" s="1"/>
  <c r="AU96" i="19"/>
  <c r="AP96" i="19"/>
  <c r="AU81" i="19"/>
  <c r="AT81" i="19" s="1"/>
  <c r="AP81" i="19"/>
  <c r="AU97" i="19"/>
  <c r="AP97" i="19"/>
  <c r="Y38" i="19"/>
  <c r="X38" i="19"/>
  <c r="Z38" i="19" s="1"/>
  <c r="Q91" i="19"/>
  <c r="P14" i="19"/>
  <c r="R14" i="19" s="1"/>
  <c r="AD531" i="2"/>
  <c r="AF439" i="2"/>
  <c r="AE515" i="2"/>
  <c r="Z438" i="2"/>
  <c r="Y419" i="2"/>
  <c r="AD1325" i="2"/>
  <c r="AD1412" i="2" s="1"/>
  <c r="AE434" i="2"/>
  <c r="AD515" i="2"/>
  <c r="AB620" i="2"/>
  <c r="AD1309" i="2"/>
  <c r="AD1396" i="2" s="1"/>
  <c r="AC617" i="2"/>
  <c r="AC618" i="2" s="1"/>
  <c r="AE507" i="2"/>
  <c r="AD1793" i="2"/>
  <c r="Z528" i="2"/>
  <c r="AK1014" i="2"/>
  <c r="AC491" i="2"/>
  <c r="AG481" i="2"/>
  <c r="AB592" i="2"/>
  <c r="AB597" i="2" s="1"/>
  <c r="AG1308" i="2"/>
  <c r="AG1395" i="2" s="1"/>
  <c r="AD1293" i="2"/>
  <c r="AD1380" i="2" s="1"/>
  <c r="AA1294" i="2"/>
  <c r="AA1381" i="2" s="1"/>
  <c r="Z464" i="2"/>
  <c r="AC550" i="2"/>
  <c r="AJ1014" i="2"/>
  <c r="D19" i="19"/>
  <c r="F19" i="19" s="1"/>
  <c r="AB617" i="2"/>
  <c r="AB618" i="2" s="1"/>
  <c r="AE1582" i="2"/>
  <c r="Y507" i="2"/>
  <c r="AI531" i="2"/>
  <c r="AB1304" i="2"/>
  <c r="AB1391" i="2" s="1"/>
  <c r="Y592" i="2"/>
  <c r="Y597" i="2" s="1"/>
  <c r="AF590" i="2"/>
  <c r="AB1273" i="2"/>
  <c r="AB1281" i="2" s="1"/>
  <c r="Z458" i="2"/>
  <c r="AB545" i="2"/>
  <c r="AE497" i="2"/>
  <c r="IX883" i="5"/>
  <c r="IX661" i="5" s="1"/>
  <c r="Y462" i="2"/>
  <c r="AB590" i="2"/>
  <c r="Z617" i="2"/>
  <c r="Z618" i="2" s="1"/>
  <c r="AC630" i="2"/>
  <c r="AC590" i="2"/>
  <c r="AE483" i="2"/>
  <c r="AC475" i="2"/>
  <c r="AA613" i="2"/>
  <c r="AF459" i="2"/>
  <c r="Y488" i="2"/>
  <c r="Y489" i="2" s="1"/>
  <c r="AF1293" i="2"/>
  <c r="AF1380" i="2" s="1"/>
  <c r="AD484" i="2"/>
  <c r="AE485" i="2" s="1"/>
  <c r="Y609" i="2"/>
  <c r="AI1362" i="2"/>
  <c r="AI1798" i="2" s="1"/>
  <c r="AF1810" i="2"/>
  <c r="Y1324" i="2"/>
  <c r="Y1411" i="2" s="1"/>
  <c r="Y516" i="2"/>
  <c r="Y517" i="2" s="1"/>
  <c r="AG493" i="2"/>
  <c r="IX792" i="5"/>
  <c r="AI1775" i="2"/>
  <c r="AE1291" i="2"/>
  <c r="AE1378" i="2" s="1"/>
  <c r="Y607" i="2"/>
  <c r="AD450" i="2"/>
  <c r="AD476" i="2"/>
  <c r="AA550" i="2"/>
  <c r="AB607" i="2"/>
  <c r="AB535" i="2"/>
  <c r="AF1315" i="2"/>
  <c r="AF1402" i="2" s="1"/>
  <c r="X1133" i="2"/>
  <c r="X1159" i="2" s="1"/>
  <c r="AF528" i="2"/>
  <c r="AG529" i="2" s="1"/>
  <c r="AA520" i="2"/>
  <c r="AA521" i="2" s="1"/>
  <c r="AD495" i="2"/>
  <c r="AF905" i="2"/>
  <c r="AF955" i="2" s="1"/>
  <c r="Y606" i="2"/>
  <c r="AC1294" i="2"/>
  <c r="AC1381" i="2" s="1"/>
  <c r="IX780" i="5"/>
  <c r="AB504" i="2"/>
  <c r="AD419" i="2"/>
  <c r="AD617" i="2"/>
  <c r="AD618" i="2" s="1"/>
  <c r="AF629" i="2"/>
  <c r="AC459" i="2"/>
  <c r="AD475" i="2"/>
  <c r="AC496" i="2"/>
  <c r="AD497" i="2" s="1"/>
  <c r="AF527" i="2"/>
  <c r="AH621" i="2"/>
  <c r="AI621" i="2" s="1"/>
  <c r="AJ621" i="2" s="1"/>
  <c r="AK621" i="2" s="1"/>
  <c r="AL621" i="2" s="1"/>
  <c r="AM621" i="2" s="1"/>
  <c r="AN621" i="2" s="1"/>
  <c r="AE1794" i="2"/>
  <c r="Y495" i="2"/>
  <c r="AA730" i="2"/>
  <c r="AA1499" i="2" s="1"/>
  <c r="DC978" i="5"/>
  <c r="IP987" i="5"/>
  <c r="Z604" i="2"/>
  <c r="AC545" i="2"/>
  <c r="BY815" i="5"/>
  <c r="BY984" i="5" s="1"/>
  <c r="HR993" i="5"/>
  <c r="IG980" i="5"/>
  <c r="AA462" i="2"/>
  <c r="T816" i="5"/>
  <c r="T985" i="5" s="1"/>
  <c r="AD471" i="2"/>
  <c r="AA488" i="2"/>
  <c r="AB489" i="2" s="1"/>
  <c r="BY834" i="5"/>
  <c r="BY941" i="5" s="1"/>
  <c r="BY998" i="5" s="1"/>
  <c r="T835" i="5"/>
  <c r="T991" i="5" s="1"/>
  <c r="AE487" i="2"/>
  <c r="BJ816" i="5"/>
  <c r="BJ985" i="5" s="1"/>
  <c r="AE1304" i="2"/>
  <c r="AE1391" i="2" s="1"/>
  <c r="T975" i="5"/>
  <c r="Z603" i="2"/>
  <c r="DB631" i="5"/>
  <c r="DT567" i="5"/>
  <c r="T815" i="5"/>
  <c r="T984" i="5" s="1"/>
  <c r="Y604" i="2"/>
  <c r="CH631" i="5"/>
  <c r="H140" i="7"/>
  <c r="E975" i="5"/>
  <c r="V572" i="5"/>
  <c r="O816" i="5"/>
  <c r="O985" i="5" s="1"/>
  <c r="Y1317" i="2"/>
  <c r="Y1404" i="2" s="1"/>
  <c r="AO572" i="5"/>
  <c r="AO579" i="5" s="1"/>
  <c r="AO648" i="5" s="1"/>
  <c r="EQ978" i="5"/>
  <c r="AA626" i="5"/>
  <c r="AA492" i="2"/>
  <c r="AA493" i="2" s="1"/>
  <c r="CF503" i="5"/>
  <c r="CF573" i="5" s="1"/>
  <c r="AE604" i="2"/>
  <c r="CS666" i="5"/>
  <c r="CS816" i="5" s="1"/>
  <c r="Z450" i="2"/>
  <c r="X580" i="5"/>
  <c r="X649" i="5" s="1"/>
  <c r="IE717" i="5"/>
  <c r="AE495" i="2"/>
  <c r="DP582" i="5"/>
  <c r="DP650" i="5" s="1"/>
  <c r="Z467" i="2"/>
  <c r="AF467" i="2"/>
  <c r="AG469" i="2"/>
  <c r="EE465" i="5"/>
  <c r="FA1149" i="5"/>
  <c r="FA1141" i="5" s="1"/>
  <c r="FS1154" i="5"/>
  <c r="FS1156" i="5" s="1"/>
  <c r="AE517" i="2"/>
  <c r="D7" i="19"/>
  <c r="F7" i="19" s="1"/>
  <c r="DK569" i="5"/>
  <c r="T580" i="5"/>
  <c r="T649" i="5" s="1"/>
  <c r="DH503" i="5"/>
  <c r="DH573" i="5" s="1"/>
  <c r="O975" i="5"/>
  <c r="K835" i="5"/>
  <c r="K991" i="5" s="1"/>
  <c r="K834" i="5"/>
  <c r="AA528" i="2"/>
  <c r="AR835" i="5"/>
  <c r="AR991" i="5" s="1"/>
  <c r="HX475" i="5"/>
  <c r="AA681" i="2" s="1"/>
  <c r="AF1794" i="2"/>
  <c r="AE524" i="2"/>
  <c r="AF525" i="2" s="1"/>
  <c r="AL572" i="5"/>
  <c r="AA643" i="5"/>
  <c r="EV467" i="5"/>
  <c r="EV1132" i="5" s="1"/>
  <c r="HS632" i="5"/>
  <c r="DK567" i="5"/>
  <c r="AG537" i="2"/>
  <c r="IY749" i="5"/>
  <c r="IX749" i="5" s="1"/>
  <c r="DK503" i="5"/>
  <c r="DK635" i="5" s="1"/>
  <c r="DK666" i="5"/>
  <c r="DK975" i="5" s="1"/>
  <c r="Y430" i="2"/>
  <c r="AC473" i="2"/>
  <c r="AR834" i="5"/>
  <c r="AR990" i="5" s="1"/>
  <c r="EC1133" i="5"/>
  <c r="AF907" i="2"/>
  <c r="AB435" i="2"/>
  <c r="AB436" i="2" s="1"/>
  <c r="DF666" i="5"/>
  <c r="DF816" i="5" s="1"/>
  <c r="DF835" i="5" s="1"/>
  <c r="IL595" i="5"/>
  <c r="AH623" i="2"/>
  <c r="DK636" i="5"/>
  <c r="FB1149" i="5"/>
  <c r="FB1141" i="5" s="1"/>
  <c r="BR834" i="5"/>
  <c r="BR941" i="5" s="1"/>
  <c r="BR998" i="5" s="1"/>
  <c r="AR815" i="5"/>
  <c r="AR984" i="5" s="1"/>
  <c r="BG975" i="5"/>
  <c r="AA500" i="2"/>
  <c r="AA532" i="2"/>
  <c r="AA468" i="2"/>
  <c r="AA469" i="2" s="1"/>
  <c r="AA484" i="2"/>
  <c r="HU718" i="5"/>
  <c r="Z1040" i="2" s="1"/>
  <c r="DK568" i="5"/>
  <c r="AA604" i="2"/>
  <c r="CJ638" i="5"/>
  <c r="BR815" i="5"/>
  <c r="BR984" i="5" s="1"/>
  <c r="AC532" i="2"/>
  <c r="AD533" i="2" s="1"/>
  <c r="CR503" i="5"/>
  <c r="CR635" i="5" s="1"/>
  <c r="AR975" i="5"/>
  <c r="BL815" i="5"/>
  <c r="BL984" i="5" s="1"/>
  <c r="DB1149" i="5"/>
  <c r="Y541" i="2"/>
  <c r="AE1301" i="2"/>
  <c r="AE1388" i="2" s="1"/>
  <c r="AD454" i="2"/>
  <c r="FC1149" i="5"/>
  <c r="FC1141" i="5" s="1"/>
  <c r="AB604" i="2"/>
  <c r="BR835" i="5"/>
  <c r="BR991" i="5" s="1"/>
  <c r="AC1309" i="2"/>
  <c r="AC1396" i="2" s="1"/>
  <c r="CO1151" i="5"/>
  <c r="AG1261" i="2"/>
  <c r="BL975" i="5"/>
  <c r="AA527" i="2"/>
  <c r="AF516" i="2"/>
  <c r="AF517" i="2" s="1"/>
  <c r="HX856" i="5"/>
  <c r="AA1173" i="2" s="1"/>
  <c r="BR975" i="5"/>
  <c r="Z527" i="2"/>
  <c r="AF1304" i="2"/>
  <c r="AF1391" i="2" s="1"/>
  <c r="AE499" i="2"/>
  <c r="AA515" i="2"/>
  <c r="Y503" i="2"/>
  <c r="BM975" i="5"/>
  <c r="Z455" i="2"/>
  <c r="DH638" i="5"/>
  <c r="AC1273" i="2"/>
  <c r="AC1281" i="2" s="1"/>
  <c r="CR666" i="5"/>
  <c r="CR975" i="5" s="1"/>
  <c r="AF535" i="2"/>
  <c r="AD431" i="2"/>
  <c r="AF1366" i="2"/>
  <c r="AF1453" i="2" s="1"/>
  <c r="BM816" i="5"/>
  <c r="BM985" i="5" s="1"/>
  <c r="CZ1132" i="5"/>
  <c r="AD492" i="2"/>
  <c r="AD493" i="2" s="1"/>
  <c r="DG816" i="5"/>
  <c r="DG985" i="5" s="1"/>
  <c r="ED503" i="5"/>
  <c r="ED1141" i="5" s="1"/>
  <c r="BF975" i="5"/>
  <c r="X11" i="19"/>
  <c r="Z11" i="19" s="1"/>
  <c r="DB503" i="5"/>
  <c r="DB1141" i="5" s="1"/>
  <c r="F643" i="5"/>
  <c r="DB636" i="5"/>
  <c r="KM815" i="5"/>
  <c r="KM984" i="5" s="1"/>
  <c r="AB471" i="2"/>
  <c r="BM834" i="5"/>
  <c r="BM990" i="5" s="1"/>
  <c r="AA603" i="2"/>
  <c r="AB468" i="2"/>
  <c r="AC469" i="2" s="1"/>
  <c r="AD488" i="2"/>
  <c r="AE489" i="2" s="1"/>
  <c r="DK627" i="5"/>
  <c r="BW572" i="5"/>
  <c r="BW579" i="5" s="1"/>
  <c r="KM975" i="5"/>
  <c r="O580" i="5"/>
  <c r="O649" i="5" s="1"/>
  <c r="EJ666" i="5"/>
  <c r="EJ975" i="5" s="1"/>
  <c r="AA531" i="2"/>
  <c r="Y531" i="2"/>
  <c r="Z615" i="2"/>
  <c r="Z519" i="2"/>
  <c r="FV1149" i="5"/>
  <c r="FV1141" i="5" s="1"/>
  <c r="DK465" i="5"/>
  <c r="DK626" i="5" s="1"/>
  <c r="DZ666" i="5"/>
  <c r="DZ815" i="5" s="1"/>
  <c r="DZ984" i="5" s="1"/>
  <c r="ES666" i="5"/>
  <c r="ES975" i="5" s="1"/>
  <c r="DT569" i="5"/>
  <c r="AG1777" i="2"/>
  <c r="AE1295" i="2"/>
  <c r="AE1382" i="2" s="1"/>
  <c r="AE440" i="2"/>
  <c r="AF512" i="2"/>
  <c r="AG513" i="2" s="1"/>
  <c r="AA517" i="2"/>
  <c r="AA464" i="2"/>
  <c r="AH527" i="2"/>
  <c r="DP1154" i="5"/>
  <c r="X834" i="5"/>
  <c r="X941" i="5" s="1"/>
  <c r="X998" i="5" s="1"/>
  <c r="IG718" i="5"/>
  <c r="AD1040" i="2" s="1"/>
  <c r="DR1138" i="5"/>
  <c r="IA611" i="5"/>
  <c r="IA620" i="5" s="1"/>
  <c r="Z622" i="2"/>
  <c r="AA1317" i="2"/>
  <c r="AA1404" i="2" s="1"/>
  <c r="AI1789" i="2"/>
  <c r="Z460" i="2"/>
  <c r="AR572" i="5"/>
  <c r="IG800" i="5"/>
  <c r="BD572" i="5"/>
  <c r="DS654" i="5"/>
  <c r="AB439" i="2"/>
  <c r="Z1315" i="2"/>
  <c r="Z1402" i="2" s="1"/>
  <c r="Y468" i="2"/>
  <c r="Y467" i="2"/>
  <c r="AL1072" i="2"/>
  <c r="JE750" i="5" s="1"/>
  <c r="HY967" i="5"/>
  <c r="EI569" i="5"/>
  <c r="AN815" i="5"/>
  <c r="AN984" i="5" s="1"/>
  <c r="AF1045" i="2"/>
  <c r="AF1302" i="2" s="1"/>
  <c r="AF1389" i="2" s="1"/>
  <c r="KM834" i="5"/>
  <c r="KM990" i="5" s="1"/>
  <c r="CX631" i="5"/>
  <c r="EI567" i="5"/>
  <c r="AN975" i="5"/>
  <c r="O138" i="7"/>
  <c r="KM835" i="5"/>
  <c r="KM991" i="5" s="1"/>
  <c r="AB1326" i="2"/>
  <c r="AB1413" i="2" s="1"/>
  <c r="AZ815" i="5"/>
  <c r="AZ984" i="5" s="1"/>
  <c r="AZ975" i="5"/>
  <c r="AE1790" i="2"/>
  <c r="IS928" i="5"/>
  <c r="AH1247" i="2" s="1"/>
  <c r="X816" i="5"/>
  <c r="X985" i="5" s="1"/>
  <c r="EK465" i="5"/>
  <c r="DR1154" i="5"/>
  <c r="P64" i="7"/>
  <c r="Y451" i="2"/>
  <c r="Z452" i="2" s="1"/>
  <c r="AE455" i="2"/>
  <c r="AF455" i="2" s="1"/>
  <c r="AG455" i="2" s="1"/>
  <c r="AH455" i="2" s="1"/>
  <c r="AI455" i="2" s="1"/>
  <c r="AZ816" i="5"/>
  <c r="AZ985" i="5" s="1"/>
  <c r="R580" i="5"/>
  <c r="R649" i="5" s="1"/>
  <c r="EI465" i="5"/>
  <c r="AA834" i="5"/>
  <c r="AA990" i="5" s="1"/>
  <c r="DR582" i="5"/>
  <c r="DR650" i="5" s="1"/>
  <c r="Z500" i="2"/>
  <c r="DF569" i="5"/>
  <c r="Z515" i="2"/>
  <c r="AG553" i="2"/>
  <c r="AE1835" i="2"/>
  <c r="CC835" i="5"/>
  <c r="CC991" i="5" s="1"/>
  <c r="CC816" i="5"/>
  <c r="CC985" i="5" s="1"/>
  <c r="CC815" i="5"/>
  <c r="CC984" i="5" s="1"/>
  <c r="CC975" i="5"/>
  <c r="CC834" i="5"/>
  <c r="AA835" i="5"/>
  <c r="AA991" i="5" s="1"/>
  <c r="AF1795" i="2"/>
  <c r="Z508" i="2"/>
  <c r="AA509" i="2" s="1"/>
  <c r="FG666" i="5"/>
  <c r="FG975" i="5" s="1"/>
  <c r="AA975" i="5"/>
  <c r="I572" i="5"/>
  <c r="I642" i="5" s="1"/>
  <c r="AE511" i="2"/>
  <c r="DB666" i="5"/>
  <c r="DB816" i="5" s="1"/>
  <c r="DB985" i="5" s="1"/>
  <c r="AD508" i="2"/>
  <c r="AE509" i="2" s="1"/>
  <c r="AC536" i="2"/>
  <c r="AC537" i="2" s="1"/>
  <c r="CG1142" i="5"/>
  <c r="FQ1154" i="5"/>
  <c r="FQ1156" i="5" s="1"/>
  <c r="G572" i="5"/>
  <c r="G579" i="5" s="1"/>
  <c r="G582" i="5" s="1"/>
  <c r="G650" i="5" s="1"/>
  <c r="Y532" i="2"/>
  <c r="Y533" i="2" s="1"/>
  <c r="ET582" i="5"/>
  <c r="FG978" i="5"/>
  <c r="Z472" i="2"/>
  <c r="AA473" i="2" s="1"/>
  <c r="AC462" i="2"/>
  <c r="CF1138" i="5"/>
  <c r="X975" i="5"/>
  <c r="AK1071" i="2"/>
  <c r="JB749" i="5" s="1"/>
  <c r="AN834" i="5"/>
  <c r="AN990" i="5" s="1"/>
  <c r="EP666" i="5"/>
  <c r="EP975" i="5" s="1"/>
  <c r="AD1787" i="2"/>
  <c r="EP978" i="5"/>
  <c r="EH1154" i="5"/>
  <c r="AA816" i="5"/>
  <c r="AA985" i="5" s="1"/>
  <c r="AH622" i="2"/>
  <c r="FQ978" i="5"/>
  <c r="FC1132" i="5"/>
  <c r="AU815" i="5"/>
  <c r="AU984" i="5" s="1"/>
  <c r="BE816" i="5"/>
  <c r="BE985" i="5" s="1"/>
  <c r="HT584" i="5"/>
  <c r="HT651" i="5" s="1"/>
  <c r="CR636" i="5"/>
  <c r="AA592" i="2"/>
  <c r="AA597" i="2" s="1"/>
  <c r="AB623" i="2"/>
  <c r="AB431" i="2"/>
  <c r="AC613" i="2"/>
  <c r="BG815" i="5"/>
  <c r="BG984" i="5" s="1"/>
  <c r="FM666" i="5"/>
  <c r="FM816" i="5" s="1"/>
  <c r="FM985" i="5" s="1"/>
  <c r="AF545" i="2"/>
  <c r="BL834" i="5"/>
  <c r="BL990" i="5" s="1"/>
  <c r="AE617" i="2"/>
  <c r="AE618" i="2" s="1"/>
  <c r="EK568" i="5"/>
  <c r="AN835" i="5"/>
  <c r="AN991" i="5" s="1"/>
  <c r="FQ666" i="5"/>
  <c r="FQ842" i="5" s="1"/>
  <c r="HX718" i="5"/>
  <c r="AA1040" i="2" s="1"/>
  <c r="DS582" i="5"/>
  <c r="DS650" i="5" s="1"/>
  <c r="Z579" i="5"/>
  <c r="Z648" i="5" s="1"/>
  <c r="DT568" i="5"/>
  <c r="BG835" i="5"/>
  <c r="BG991" i="5" s="1"/>
  <c r="BM815" i="5"/>
  <c r="BM984" i="5" s="1"/>
  <c r="FM1138" i="5"/>
  <c r="Z592" i="2"/>
  <c r="Z597" i="2" s="1"/>
  <c r="BL816" i="5"/>
  <c r="BL985" i="5" s="1"/>
  <c r="AE1325" i="2"/>
  <c r="AE1412" i="2" s="1"/>
  <c r="AE527" i="2"/>
  <c r="AF471" i="2"/>
  <c r="AB1393" i="2"/>
  <c r="FN1149" i="5"/>
  <c r="FN1141" i="5" s="1"/>
  <c r="CO666" i="5"/>
  <c r="CO975" i="5" s="1"/>
  <c r="HX601" i="5"/>
  <c r="AA833" i="2" s="1"/>
  <c r="HV598" i="5"/>
  <c r="D127" i="7" s="1"/>
  <c r="DN1095" i="5"/>
  <c r="HX1095" i="5" s="1"/>
  <c r="HZ584" i="5"/>
  <c r="I114" i="7" s="1"/>
  <c r="K114" i="7" s="1"/>
  <c r="FQ1149" i="5"/>
  <c r="FQ1141" i="5" s="1"/>
  <c r="E57" i="7"/>
  <c r="AB475" i="2"/>
  <c r="AC499" i="2"/>
  <c r="HS505" i="5"/>
  <c r="HS636" i="5" s="1"/>
  <c r="AA1304" i="2"/>
  <c r="AA1391" i="2" s="1"/>
  <c r="AW816" i="5"/>
  <c r="AW985" i="5" s="1"/>
  <c r="AE438" i="2"/>
  <c r="Y617" i="2"/>
  <c r="Y618" i="2" s="1"/>
  <c r="O815" i="5"/>
  <c r="O984" i="5" s="1"/>
  <c r="IF598" i="5"/>
  <c r="O127" i="7" s="1"/>
  <c r="AC612" i="2"/>
  <c r="AC467" i="2"/>
  <c r="Y458" i="2"/>
  <c r="AA451" i="2"/>
  <c r="AA452" i="2" s="1"/>
  <c r="O834" i="5"/>
  <c r="O941" i="5" s="1"/>
  <c r="O998" i="5" s="1"/>
  <c r="AB630" i="2"/>
  <c r="EV666" i="5"/>
  <c r="EV816" i="5" s="1"/>
  <c r="EV985" i="5" s="1"/>
  <c r="HX1113" i="5"/>
  <c r="AT579" i="5"/>
  <c r="AT648" i="5" s="1"/>
  <c r="ID929" i="5"/>
  <c r="AC1248" i="2" s="1"/>
  <c r="AB459" i="2"/>
  <c r="AF546" i="2"/>
  <c r="AG547" i="2" s="1"/>
  <c r="DQ666" i="5"/>
  <c r="DQ815" i="5" s="1"/>
  <c r="IA722" i="5"/>
  <c r="AB1044" i="2" s="1"/>
  <c r="CJ666" i="5"/>
  <c r="CJ975" i="5" s="1"/>
  <c r="IJ754" i="5"/>
  <c r="AE1076" i="2" s="1"/>
  <c r="AB631" i="2"/>
  <c r="CP666" i="5"/>
  <c r="CP975" i="5" s="1"/>
  <c r="AH1326" i="2"/>
  <c r="AH1413" i="2" s="1"/>
  <c r="AF475" i="2"/>
  <c r="EO666" i="5"/>
  <c r="EO815" i="5" s="1"/>
  <c r="EO984" i="5" s="1"/>
  <c r="FO1132" i="5"/>
  <c r="AC439" i="2"/>
  <c r="AA615" i="2"/>
  <c r="HR754" i="5"/>
  <c r="HR982" i="5" s="1"/>
  <c r="HR980" i="5"/>
  <c r="IL717" i="5"/>
  <c r="P54" i="7"/>
  <c r="AF520" i="2"/>
  <c r="AG521" i="2" s="1"/>
  <c r="ER666" i="5"/>
  <c r="ER975" i="5" s="1"/>
  <c r="EK567" i="5"/>
  <c r="AE462" i="2"/>
  <c r="AE463" i="2"/>
  <c r="CI1142" i="5"/>
  <c r="HR718" i="5"/>
  <c r="Y1040" i="2" s="1"/>
  <c r="HX979" i="5"/>
  <c r="HR958" i="5"/>
  <c r="HR967" i="5" s="1"/>
  <c r="AB614" i="2"/>
  <c r="AM643" i="5"/>
  <c r="AA459" i="2"/>
  <c r="AA460" i="2" s="1"/>
  <c r="DI1149" i="5"/>
  <c r="AB615" i="2"/>
  <c r="BF835" i="5"/>
  <c r="BF991" i="5" s="1"/>
  <c r="CE631" i="5"/>
  <c r="L816" i="5"/>
  <c r="L985" i="5" s="1"/>
  <c r="L835" i="5"/>
  <c r="L991" i="5" s="1"/>
  <c r="L975" i="5"/>
  <c r="AB479" i="2"/>
  <c r="AF509" i="2"/>
  <c r="BP580" i="5"/>
  <c r="BP649" i="5" s="1"/>
  <c r="BP643" i="5"/>
  <c r="EZ1132" i="5"/>
  <c r="FN666" i="5"/>
  <c r="FN842" i="5" s="1"/>
  <c r="L834" i="5"/>
  <c r="L941" i="5" s="1"/>
  <c r="L998" i="5" s="1"/>
  <c r="EM666" i="5"/>
  <c r="EM815" i="5" s="1"/>
  <c r="EM834" i="5" s="1"/>
  <c r="AE468" i="2"/>
  <c r="AE469" i="2" s="1"/>
  <c r="BF816" i="5"/>
  <c r="BF985" i="5" s="1"/>
  <c r="AC1174" i="2"/>
  <c r="AC1578" i="2" s="1"/>
  <c r="AU975" i="5"/>
  <c r="EK503" i="5"/>
  <c r="EK1141" i="5" s="1"/>
  <c r="EK1157" i="5" s="1"/>
  <c r="Y455" i="2"/>
  <c r="Y456" i="2" s="1"/>
  <c r="T116" i="7"/>
  <c r="AE492" i="2"/>
  <c r="AF493" i="2" s="1"/>
  <c r="IF491" i="5"/>
  <c r="O28" i="7" s="1"/>
  <c r="AU835" i="5"/>
  <c r="AU991" i="5" s="1"/>
  <c r="CP638" i="5"/>
  <c r="EK1142" i="5"/>
  <c r="AC520" i="2"/>
  <c r="AD521" i="2" s="1"/>
  <c r="AD427" i="2"/>
  <c r="FQ1132" i="5"/>
  <c r="DM666" i="5"/>
  <c r="DM816" i="5" s="1"/>
  <c r="AD730" i="2"/>
  <c r="AD1499" i="2" s="1"/>
  <c r="BN834" i="5"/>
  <c r="BN990" i="5" s="1"/>
  <c r="EV536" i="5"/>
  <c r="EV1149" i="5" s="1"/>
  <c r="AX580" i="5"/>
  <c r="AX649" i="5" s="1"/>
  <c r="AU816" i="5"/>
  <c r="AU985" i="5" s="1"/>
  <c r="AE546" i="2"/>
  <c r="IB801" i="5"/>
  <c r="IB804" i="5" s="1"/>
  <c r="Y590" i="2"/>
  <c r="BN815" i="5"/>
  <c r="BN984" i="5" s="1"/>
  <c r="EK569" i="5"/>
  <c r="AD606" i="2"/>
  <c r="BN816" i="5"/>
  <c r="BN985" i="5" s="1"/>
  <c r="AD731" i="2"/>
  <c r="DL503" i="5"/>
  <c r="DL635" i="5" s="1"/>
  <c r="AE1795" i="2"/>
  <c r="IP956" i="5"/>
  <c r="IP965" i="5" s="1"/>
  <c r="EQ582" i="5"/>
  <c r="AE1311" i="2"/>
  <c r="AE1398" i="2" s="1"/>
  <c r="AD1324" i="2"/>
  <c r="AD1411" i="2" s="1"/>
  <c r="AB451" i="2"/>
  <c r="BQ643" i="5"/>
  <c r="EO582" i="5"/>
  <c r="IA1108" i="5"/>
  <c r="IA1110" i="5" s="1"/>
  <c r="AF1363" i="2"/>
  <c r="AF1450" i="2" s="1"/>
  <c r="AB454" i="2"/>
  <c r="CI568" i="5"/>
  <c r="BL580" i="5"/>
  <c r="BL649" i="5" s="1"/>
  <c r="IG979" i="5"/>
  <c r="ED666" i="5"/>
  <c r="ED975" i="5" s="1"/>
  <c r="AA612" i="2"/>
  <c r="IM856" i="5"/>
  <c r="IM992" i="5" s="1"/>
  <c r="AA512" i="2"/>
  <c r="AB513" i="2" s="1"/>
  <c r="AW975" i="5"/>
  <c r="BN975" i="5"/>
  <c r="EV1151" i="5"/>
  <c r="CW666" i="5"/>
  <c r="CW975" i="5" s="1"/>
  <c r="EF503" i="5"/>
  <c r="EF1141" i="5" s="1"/>
  <c r="CY666" i="5"/>
  <c r="CY975" i="5" s="1"/>
  <c r="EZ1149" i="5"/>
  <c r="EZ1141" i="5" s="1"/>
  <c r="Y1293" i="2"/>
  <c r="Y1380" i="2" s="1"/>
  <c r="AW835" i="5"/>
  <c r="AW991" i="5" s="1"/>
  <c r="AE1611" i="2"/>
  <c r="AE472" i="2"/>
  <c r="AE473" i="2" s="1"/>
  <c r="IG528" i="5"/>
  <c r="AD739" i="2" s="1"/>
  <c r="HT629" i="5"/>
  <c r="DM631" i="5"/>
  <c r="AC546" i="2"/>
  <c r="AC547" i="2" s="1"/>
  <c r="AF491" i="2"/>
  <c r="HU958" i="5"/>
  <c r="HU967" i="5" s="1"/>
  <c r="HR722" i="5"/>
  <c r="Y1044" i="2" s="1"/>
  <c r="EK582" i="5"/>
  <c r="IA979" i="5"/>
  <c r="EE1154" i="5"/>
  <c r="ID958" i="5"/>
  <c r="ID967" i="5" s="1"/>
  <c r="DH636" i="5"/>
  <c r="FP1138" i="5"/>
  <c r="AO835" i="5"/>
  <c r="AO991" i="5" s="1"/>
  <c r="FP975" i="5"/>
  <c r="AF609" i="2"/>
  <c r="AE612" i="2"/>
  <c r="Z546" i="2"/>
  <c r="Z547" i="2" s="1"/>
  <c r="HV800" i="5"/>
  <c r="HV801" i="5" s="1"/>
  <c r="HV802" i="5" s="1"/>
  <c r="Y491" i="2"/>
  <c r="Y492" i="2"/>
  <c r="AA631" i="2"/>
  <c r="Z975" i="5"/>
  <c r="AO834" i="5"/>
  <c r="AO941" i="5" s="1"/>
  <c r="AO998" i="5" s="1"/>
  <c r="FP815" i="5"/>
  <c r="FP834" i="5" s="1"/>
  <c r="BC815" i="5"/>
  <c r="BC984" i="5" s="1"/>
  <c r="CQ636" i="5"/>
  <c r="P141" i="7"/>
  <c r="AA552" i="2"/>
  <c r="EW505" i="5"/>
  <c r="EW569" i="5" s="1"/>
  <c r="HR796" i="5"/>
  <c r="CQ503" i="5"/>
  <c r="CQ1141" i="5" s="1"/>
  <c r="IJ979" i="5"/>
  <c r="HU505" i="5"/>
  <c r="HU636" i="5" s="1"/>
  <c r="AA614" i="2"/>
  <c r="Z816" i="5"/>
  <c r="Z985" i="5" s="1"/>
  <c r="DO568" i="5"/>
  <c r="BC816" i="5"/>
  <c r="BC985" i="5" s="1"/>
  <c r="AB532" i="2"/>
  <c r="AE608" i="2"/>
  <c r="IG1113" i="5"/>
  <c r="AA1174" i="2"/>
  <c r="AA1357" i="2" s="1"/>
  <c r="AA1356" i="2" s="1"/>
  <c r="AA1443" i="2" s="1"/>
  <c r="BF642" i="5"/>
  <c r="BF579" i="5"/>
  <c r="FP978" i="5"/>
  <c r="AE1322" i="2"/>
  <c r="AE1409" i="2" s="1"/>
  <c r="Y1294" i="2"/>
  <c r="Y1381" i="2" s="1"/>
  <c r="CH627" i="5"/>
  <c r="BC975" i="5"/>
  <c r="HX796" i="5"/>
  <c r="BF815" i="5"/>
  <c r="BF984" i="5" s="1"/>
  <c r="X552" i="2"/>
  <c r="CH569" i="5"/>
  <c r="IE956" i="5"/>
  <c r="IE965" i="5" s="1"/>
  <c r="BC834" i="5"/>
  <c r="BC941" i="5" s="1"/>
  <c r="BC998" i="5" s="1"/>
  <c r="AF606" i="2"/>
  <c r="AB612" i="2"/>
  <c r="FN1154" i="5"/>
  <c r="FN1156" i="5" s="1"/>
  <c r="DG815" i="5"/>
  <c r="DG984" i="5" s="1"/>
  <c r="CY1138" i="5"/>
  <c r="IQ717" i="5"/>
  <c r="CH465" i="5"/>
  <c r="CH626" i="5" s="1"/>
  <c r="IA856" i="5"/>
  <c r="IA992" i="5" s="1"/>
  <c r="AF1827" i="2"/>
  <c r="AD1791" i="2"/>
  <c r="AB613" i="2"/>
  <c r="AD546" i="2"/>
  <c r="IP730" i="5"/>
  <c r="IP981" i="5" s="1"/>
  <c r="CH567" i="5"/>
  <c r="CQ569" i="5"/>
  <c r="AP834" i="5"/>
  <c r="AP990" i="5" s="1"/>
  <c r="FL1132" i="5"/>
  <c r="AF608" i="2"/>
  <c r="Y535" i="2"/>
  <c r="HQ797" i="5"/>
  <c r="HQ798" i="5" s="1"/>
  <c r="AE1273" i="2"/>
  <c r="AE1281" i="2" s="1"/>
  <c r="FK1154" i="5"/>
  <c r="AP835" i="5"/>
  <c r="AP991" i="5" s="1"/>
  <c r="BK834" i="5"/>
  <c r="BK990" i="5" s="1"/>
  <c r="AF1324" i="2"/>
  <c r="AF1411" i="2" s="1"/>
  <c r="AB537" i="2"/>
  <c r="Z1311" i="2"/>
  <c r="Z1398" i="2" s="1"/>
  <c r="AD545" i="2"/>
  <c r="AO816" i="5"/>
  <c r="AO985" i="5" s="1"/>
  <c r="HX822" i="5"/>
  <c r="HX988" i="5" s="1"/>
  <c r="IM722" i="5"/>
  <c r="AF1044" i="2" s="1"/>
  <c r="Z612" i="2"/>
  <c r="HV928" i="5"/>
  <c r="AG609" i="2"/>
  <c r="FJ978" i="5"/>
  <c r="EJ892" i="5"/>
  <c r="EJ995" i="5" s="1"/>
  <c r="IG929" i="5"/>
  <c r="AD1248" i="2" s="1"/>
  <c r="CE1142" i="5"/>
  <c r="AP815" i="5"/>
  <c r="AP984" i="5" s="1"/>
  <c r="Z532" i="2"/>
  <c r="AD442" i="2"/>
  <c r="AE1837" i="2"/>
  <c r="AF607" i="2"/>
  <c r="Z1273" i="2"/>
  <c r="Z1281" i="2" s="1"/>
  <c r="AC1304" i="2"/>
  <c r="AC1391" i="2" s="1"/>
  <c r="FP1154" i="5"/>
  <c r="FP1156" i="5" s="1"/>
  <c r="DG978" i="5"/>
  <c r="H572" i="5"/>
  <c r="H626" i="5"/>
  <c r="IO981" i="5"/>
  <c r="AE609" i="2"/>
  <c r="FJ1138" i="5"/>
  <c r="BL626" i="5"/>
  <c r="DU582" i="5"/>
  <c r="AP975" i="5"/>
  <c r="Z614" i="2"/>
  <c r="CY627" i="5"/>
  <c r="AB606" i="2"/>
  <c r="AD1294" i="2"/>
  <c r="AD1381" i="2" s="1"/>
  <c r="AA496" i="2"/>
  <c r="AB497" i="2" s="1"/>
  <c r="BE975" i="5"/>
  <c r="AA420" i="2"/>
  <c r="AA421" i="2" s="1"/>
  <c r="AD536" i="2"/>
  <c r="AE537" i="2" s="1"/>
  <c r="Y542" i="2"/>
  <c r="Y543" i="2" s="1"/>
  <c r="F29" i="7"/>
  <c r="HR800" i="5"/>
  <c r="EN816" i="5"/>
  <c r="EN835" i="5" s="1"/>
  <c r="CK1142" i="5"/>
  <c r="CX569" i="5"/>
  <c r="ID722" i="5"/>
  <c r="AC1044" i="2" s="1"/>
  <c r="T941" i="5"/>
  <c r="T998" i="5" s="1"/>
  <c r="AA535" i="2"/>
  <c r="Z1309" i="2"/>
  <c r="Z1396" i="2" s="1"/>
  <c r="AF1291" i="2"/>
  <c r="AF1378" i="2" s="1"/>
  <c r="FR1154" i="5"/>
  <c r="FR1156" i="5" s="1"/>
  <c r="Z426" i="2"/>
  <c r="AF463" i="2"/>
  <c r="AG464" i="2" s="1"/>
  <c r="AC592" i="2"/>
  <c r="AC597" i="2" s="1"/>
  <c r="AD1795" i="2"/>
  <c r="AC552" i="2"/>
  <c r="DO1138" i="5"/>
  <c r="DO631" i="5"/>
  <c r="AB463" i="2"/>
  <c r="AB464" i="2" s="1"/>
  <c r="BE835" i="5"/>
  <c r="BE991" i="5" s="1"/>
  <c r="IM929" i="5"/>
  <c r="AF1248" i="2" s="1"/>
  <c r="AA541" i="2"/>
  <c r="Z835" i="5"/>
  <c r="Z991" i="5" s="1"/>
  <c r="AC511" i="2"/>
  <c r="HX958" i="5"/>
  <c r="HX967" i="5" s="1"/>
  <c r="Z613" i="2"/>
  <c r="CN666" i="5"/>
  <c r="CN815" i="5" s="1"/>
  <c r="CN834" i="5" s="1"/>
  <c r="IF717" i="5"/>
  <c r="EX666" i="5"/>
  <c r="EX815" i="5" s="1"/>
  <c r="BE815" i="5"/>
  <c r="BE984" i="5" s="1"/>
  <c r="AE613" i="2"/>
  <c r="AA367" i="2"/>
  <c r="Z1301" i="2"/>
  <c r="Z1388" i="2" s="1"/>
  <c r="Y435" i="2"/>
  <c r="Y436" i="2" s="1"/>
  <c r="AW834" i="5"/>
  <c r="AW990" i="5" s="1"/>
  <c r="FD978" i="5"/>
  <c r="FD1138" i="5"/>
  <c r="BG572" i="5"/>
  <c r="HZ620" i="5"/>
  <c r="AE643" i="5"/>
  <c r="S834" i="5"/>
  <c r="S941" i="5" s="1"/>
  <c r="S998" i="5" s="1"/>
  <c r="EP1154" i="5"/>
  <c r="ID797" i="5"/>
  <c r="BJ815" i="5"/>
  <c r="BJ984" i="5" s="1"/>
  <c r="DD978" i="5"/>
  <c r="IU898" i="5"/>
  <c r="AI1584" i="2" s="1"/>
  <c r="IU956" i="5"/>
  <c r="IU965" i="5" s="1"/>
  <c r="S975" i="5"/>
  <c r="CD834" i="5"/>
  <c r="CD941" i="5" s="1"/>
  <c r="CD998" i="5" s="1"/>
  <c r="BK816" i="5"/>
  <c r="BK985" i="5" s="1"/>
  <c r="AF580" i="5"/>
  <c r="AF649" i="5" s="1"/>
  <c r="HV717" i="5"/>
  <c r="S835" i="5"/>
  <c r="S991" i="5" s="1"/>
  <c r="FT666" i="5"/>
  <c r="FT815" i="5" s="1"/>
  <c r="AB531" i="2"/>
  <c r="IA707" i="5"/>
  <c r="AB1029" i="2" s="1"/>
  <c r="AS1296" i="2" s="1"/>
  <c r="AS1383" i="2" s="1"/>
  <c r="BV815" i="5"/>
  <c r="BV984" i="5" s="1"/>
  <c r="S815" i="5"/>
  <c r="S984" i="5" s="1"/>
  <c r="HW632" i="5"/>
  <c r="CD975" i="5"/>
  <c r="DL1142" i="5"/>
  <c r="AT835" i="5"/>
  <c r="AT991" i="5" s="1"/>
  <c r="BQ834" i="5"/>
  <c r="BQ941" i="5" s="1"/>
  <c r="BQ998" i="5" s="1"/>
  <c r="AF1862" i="2"/>
  <c r="EE569" i="5"/>
  <c r="AE541" i="2"/>
  <c r="AE542" i="2"/>
  <c r="AF543" i="2" s="1"/>
  <c r="FD1132" i="5"/>
  <c r="CD835" i="5"/>
  <c r="CD991" i="5" s="1"/>
  <c r="CJ503" i="5"/>
  <c r="CJ573" i="5" s="1"/>
  <c r="EI503" i="5"/>
  <c r="BQ815" i="5"/>
  <c r="BQ984" i="5" s="1"/>
  <c r="BV975" i="5"/>
  <c r="IO959" i="5"/>
  <c r="IO968" i="5" s="1"/>
  <c r="CD815" i="5"/>
  <c r="CD984" i="5" s="1"/>
  <c r="IP817" i="5"/>
  <c r="AT816" i="5"/>
  <c r="AT985" i="5" s="1"/>
  <c r="FF1141" i="5"/>
  <c r="AW626" i="5"/>
  <c r="BQ816" i="5"/>
  <c r="BQ985" i="5" s="1"/>
  <c r="BV816" i="5"/>
  <c r="BV985" i="5" s="1"/>
  <c r="H141" i="7"/>
  <c r="DZ582" i="5"/>
  <c r="EZ978" i="5"/>
  <c r="DD638" i="5"/>
  <c r="P572" i="5"/>
  <c r="P579" i="5" s="1"/>
  <c r="CT503" i="5"/>
  <c r="CT1141" i="5" s="1"/>
  <c r="IA799" i="5"/>
  <c r="AW642" i="5"/>
  <c r="EE567" i="5"/>
  <c r="DT582" i="5"/>
  <c r="DT650" i="5" s="1"/>
  <c r="DT1154" i="5"/>
  <c r="DT654" i="5"/>
  <c r="AK580" i="5"/>
  <c r="AK649" i="5" s="1"/>
  <c r="Y622" i="2"/>
  <c r="Y621" i="2"/>
  <c r="Y1326" i="2"/>
  <c r="Y1413" i="2" s="1"/>
  <c r="Y620" i="2"/>
  <c r="AX572" i="5"/>
  <c r="AX626" i="5"/>
  <c r="FJ1141" i="5"/>
  <c r="I138" i="7"/>
  <c r="CJ1142" i="5"/>
  <c r="BM626" i="5"/>
  <c r="U643" i="5"/>
  <c r="FO1138" i="5"/>
  <c r="CZ568" i="5"/>
  <c r="AD815" i="5"/>
  <c r="AD984" i="5" s="1"/>
  <c r="EQ816" i="5"/>
  <c r="EQ985" i="5" s="1"/>
  <c r="EA1133" i="5"/>
  <c r="IG707" i="5"/>
  <c r="IG977" i="5" s="1"/>
  <c r="FA1154" i="5"/>
  <c r="FA1156" i="5" s="1"/>
  <c r="BQ975" i="5"/>
  <c r="AE621" i="2"/>
  <c r="DM638" i="5"/>
  <c r="DM1149" i="5"/>
  <c r="HZ598" i="5"/>
  <c r="I127" i="7" s="1"/>
  <c r="K127" i="7" s="1"/>
  <c r="BK975" i="5"/>
  <c r="EZ1138" i="5"/>
  <c r="IM958" i="5"/>
  <c r="IM967" i="5" s="1"/>
  <c r="IO966" i="5"/>
  <c r="FO978" i="5"/>
  <c r="H990" i="5"/>
  <c r="FN1138" i="5"/>
  <c r="IA980" i="5"/>
  <c r="CZ569" i="5"/>
  <c r="AD834" i="5"/>
  <c r="AD941" i="5" s="1"/>
  <c r="AD998" i="5" s="1"/>
  <c r="FF1132" i="5"/>
  <c r="BK815" i="5"/>
  <c r="BK984" i="5" s="1"/>
  <c r="E15" i="7"/>
  <c r="AW643" i="5"/>
  <c r="AE1326" i="2"/>
  <c r="AE1413" i="2" s="1"/>
  <c r="E126" i="7"/>
  <c r="HZ610" i="5"/>
  <c r="IA610" i="5" s="1"/>
  <c r="IA1112" i="5" s="1"/>
  <c r="IA1114" i="5" s="1"/>
  <c r="AD816" i="5"/>
  <c r="AD985" i="5" s="1"/>
  <c r="IM707" i="5"/>
  <c r="AF1029" i="2" s="1"/>
  <c r="AL816" i="5"/>
  <c r="AL985" i="5" s="1"/>
  <c r="EG666" i="5"/>
  <c r="EG815" i="5" s="1"/>
  <c r="F61" i="7"/>
  <c r="H61" i="7" s="1"/>
  <c r="IS899" i="5"/>
  <c r="AH1220" i="2" s="1"/>
  <c r="HU796" i="5"/>
  <c r="HW928" i="5"/>
  <c r="DC816" i="5"/>
  <c r="DC835" i="5" s="1"/>
  <c r="DC991" i="5" s="1"/>
  <c r="CZ567" i="5"/>
  <c r="AD975" i="5"/>
  <c r="BS643" i="5"/>
  <c r="BR572" i="5"/>
  <c r="BR642" i="5" s="1"/>
  <c r="T626" i="5"/>
  <c r="Z512" i="2"/>
  <c r="Y500" i="2"/>
  <c r="Y501" i="2" s="1"/>
  <c r="FE1141" i="5"/>
  <c r="HR893" i="5"/>
  <c r="HR996" i="5" s="1"/>
  <c r="AF507" i="2"/>
  <c r="IA754" i="5"/>
  <c r="IA982" i="5" s="1"/>
  <c r="CZ636" i="5"/>
  <c r="CE666" i="5"/>
  <c r="CE975" i="5" s="1"/>
  <c r="DD503" i="5"/>
  <c r="DD635" i="5" s="1"/>
  <c r="Z524" i="2"/>
  <c r="AA525" i="2" s="1"/>
  <c r="ID856" i="5"/>
  <c r="AC1173" i="2" s="1"/>
  <c r="CH636" i="5"/>
  <c r="CY465" i="5"/>
  <c r="CY626" i="5" s="1"/>
  <c r="EE568" i="5"/>
  <c r="CZ503" i="5"/>
  <c r="CZ1141" i="5" s="1"/>
  <c r="AZ941" i="5"/>
  <c r="AZ998" i="5" s="1"/>
  <c r="AB975" i="5"/>
  <c r="AE426" i="2"/>
  <c r="AA523" i="2"/>
  <c r="FF1154" i="5"/>
  <c r="FF1156" i="5" s="1"/>
  <c r="CN503" i="5"/>
  <c r="CN573" i="5" s="1"/>
  <c r="FM1132" i="5"/>
  <c r="G138" i="7"/>
  <c r="HY620" i="5"/>
  <c r="Y623" i="2"/>
  <c r="EJ465" i="5"/>
  <c r="E61" i="7"/>
  <c r="EO505" i="5"/>
  <c r="EO1142" i="5" s="1"/>
  <c r="AB550" i="2"/>
  <c r="AC516" i="2"/>
  <c r="AD517" i="2" s="1"/>
  <c r="AA630" i="2"/>
  <c r="AQ1179" i="2"/>
  <c r="AQ1178" i="2" s="1"/>
  <c r="AO748" i="2"/>
  <c r="AP627" i="2"/>
  <c r="AR466" i="2"/>
  <c r="AS563" i="2"/>
  <c r="AP1182" i="2"/>
  <c r="AP1181" i="2" s="1"/>
  <c r="AR1009" i="2"/>
  <c r="AS1009" i="2" s="1"/>
  <c r="AS1182" i="2" s="1"/>
  <c r="AS1181" i="2" s="1"/>
  <c r="JN735" i="5"/>
  <c r="JL735" i="5" s="1"/>
  <c r="JM735" i="5" s="1"/>
  <c r="AP1057" i="2"/>
  <c r="AQ1057" i="2" s="1"/>
  <c r="AR1057" i="2" s="1"/>
  <c r="AS1057" i="2" s="1"/>
  <c r="AT1057" i="2" s="1"/>
  <c r="AO1181" i="2"/>
  <c r="JN864" i="5" s="1"/>
  <c r="JL864" i="5" s="1"/>
  <c r="JM864" i="5" s="1"/>
  <c r="AM89" i="19"/>
  <c r="AD458" i="2"/>
  <c r="JH907" i="5"/>
  <c r="JF907" i="5" s="1"/>
  <c r="AP1248" i="2"/>
  <c r="AP1247" i="2" s="1"/>
  <c r="AP1239" i="2" s="1"/>
  <c r="AP1363" i="2"/>
  <c r="AP1450" i="2" s="1"/>
  <c r="AQ1182" i="2"/>
  <c r="AQ1181" i="2" s="1"/>
  <c r="AP1301" i="2"/>
  <c r="AP1390" i="2"/>
  <c r="AB1301" i="2"/>
  <c r="AB1388" i="2" s="1"/>
  <c r="JN745" i="5"/>
  <c r="JL745" i="5" s="1"/>
  <c r="JM745" i="5" s="1"/>
  <c r="AP1067" i="2"/>
  <c r="AR1021" i="2"/>
  <c r="AR1016" i="2"/>
  <c r="AS1016" i="2" s="1"/>
  <c r="AD1304" i="2"/>
  <c r="AD1391" i="2" s="1"/>
  <c r="AD541" i="2"/>
  <c r="AB1583" i="2"/>
  <c r="AB1700" i="2" s="1"/>
  <c r="AB1695" i="2" s="1"/>
  <c r="Y438" i="2"/>
  <c r="AE631" i="2"/>
  <c r="AD609" i="2"/>
  <c r="Z608" i="2"/>
  <c r="AW28" i="19"/>
  <c r="AV28" i="19"/>
  <c r="AX28" i="19" s="1"/>
  <c r="AF496" i="2"/>
  <c r="AF497" i="2" s="1"/>
  <c r="AV91" i="19"/>
  <c r="AX91" i="19" s="1"/>
  <c r="BC28" i="19"/>
  <c r="BE21" i="19"/>
  <c r="BD21" i="19"/>
  <c r="BF21" i="19" s="1"/>
  <c r="AF631" i="2"/>
  <c r="AB519" i="2"/>
  <c r="E76" i="19"/>
  <c r="G76" i="19" s="1"/>
  <c r="AA301" i="2"/>
  <c r="AB424" i="2" s="1"/>
  <c r="Z609" i="2"/>
  <c r="AA608" i="2"/>
  <c r="AU71" i="19"/>
  <c r="Z606" i="2"/>
  <c r="AA1470" i="2"/>
  <c r="AC508" i="2"/>
  <c r="AU55" i="19"/>
  <c r="AC1324" i="2"/>
  <c r="AC1411" i="2" s="1"/>
  <c r="Z1324" i="2"/>
  <c r="Z1411" i="2" s="1"/>
  <c r="AA1273" i="2"/>
  <c r="AA1281" i="2" s="1"/>
  <c r="AC523" i="2"/>
  <c r="Y443" i="2"/>
  <c r="Y444" i="2" s="1"/>
  <c r="AC609" i="2"/>
  <c r="AD608" i="2"/>
  <c r="AA430" i="2"/>
  <c r="AJ1227" i="2"/>
  <c r="AC608" i="2"/>
  <c r="IY907" i="5"/>
  <c r="IX907" i="5" s="1"/>
  <c r="AI503" i="2"/>
  <c r="AI504" i="2"/>
  <c r="P91" i="19"/>
  <c r="R91" i="19" s="1"/>
  <c r="BE14" i="19"/>
  <c r="BD14" i="19"/>
  <c r="BF14" i="19" s="1"/>
  <c r="JH929" i="5"/>
  <c r="JG929" i="5" s="1"/>
  <c r="AM100" i="19"/>
  <c r="AV61" i="19"/>
  <c r="AX61" i="19" s="1"/>
  <c r="AW61" i="19"/>
  <c r="BD61" i="19"/>
  <c r="BF61" i="19" s="1"/>
  <c r="BE61" i="19"/>
  <c r="BE100" i="19"/>
  <c r="BD100" i="19"/>
  <c r="BF100" i="19" s="1"/>
  <c r="BC10" i="19"/>
  <c r="BD101" i="19"/>
  <c r="BF101" i="19" s="1"/>
  <c r="BE101" i="19"/>
  <c r="DG567" i="5"/>
  <c r="DG465" i="5"/>
  <c r="DG626" i="5" s="1"/>
  <c r="DG1132" i="5"/>
  <c r="AB834" i="5"/>
  <c r="AB941" i="5" s="1"/>
  <c r="AB998" i="5" s="1"/>
  <c r="BT941" i="5"/>
  <c r="BT998" i="5" s="1"/>
  <c r="IC817" i="5"/>
  <c r="IC959" i="5" s="1"/>
  <c r="ID754" i="5"/>
  <c r="ID982" i="5" s="1"/>
  <c r="F15" i="7"/>
  <c r="AD500" i="2"/>
  <c r="AD499" i="2"/>
  <c r="AJ1111" i="2"/>
  <c r="JK876" i="5"/>
  <c r="AJ1107" i="2"/>
  <c r="JK764" i="5"/>
  <c r="JJ764" i="5" s="1"/>
  <c r="AD829" i="2"/>
  <c r="AD909" i="2" s="1"/>
  <c r="AD958" i="2" s="1"/>
  <c r="Z475" i="2"/>
  <c r="Z476" i="2"/>
  <c r="JN764" i="5"/>
  <c r="JM764" i="5" s="1"/>
  <c r="P126" i="7"/>
  <c r="HX707" i="5"/>
  <c r="AA1029" i="2" s="1"/>
  <c r="AR1296" i="2" s="1"/>
  <c r="AR1383" i="2" s="1"/>
  <c r="AL835" i="5"/>
  <c r="AL991" i="5" s="1"/>
  <c r="AF630" i="2"/>
  <c r="AC606" i="2"/>
  <c r="AL975" i="5"/>
  <c r="BF643" i="5"/>
  <c r="BF580" i="5"/>
  <c r="BF649" i="5" s="1"/>
  <c r="AB1041" i="2"/>
  <c r="AB1299" i="2" s="1"/>
  <c r="AB1386" i="2" s="1"/>
  <c r="AL815" i="5"/>
  <c r="AL984" i="5" s="1"/>
  <c r="AE475" i="2"/>
  <c r="AE476" i="2"/>
  <c r="DI467" i="5"/>
  <c r="DI568" i="5" s="1"/>
  <c r="FJ995" i="5"/>
  <c r="FJ1154" i="5"/>
  <c r="FJ1156" i="5" s="1"/>
  <c r="Y1577" i="2"/>
  <c r="Y1575" i="2" s="1"/>
  <c r="HS993" i="5"/>
  <c r="IN957" i="5"/>
  <c r="IN966" i="5" s="1"/>
  <c r="DI628" i="5"/>
  <c r="CE536" i="5"/>
  <c r="CE638" i="5" s="1"/>
  <c r="KP572" i="5"/>
  <c r="KP642" i="5" s="1"/>
  <c r="CR992" i="5"/>
  <c r="HS856" i="5"/>
  <c r="HS992" i="5" s="1"/>
  <c r="W100" i="19"/>
  <c r="Y100" i="19" s="1"/>
  <c r="BV835" i="5"/>
  <c r="BV991" i="5" s="1"/>
  <c r="AB508" i="2"/>
  <c r="AB509" i="2" s="1"/>
  <c r="R834" i="5"/>
  <c r="R975" i="5"/>
  <c r="R835" i="5"/>
  <c r="R991" i="5" s="1"/>
  <c r="R816" i="5"/>
  <c r="R985" i="5" s="1"/>
  <c r="R815" i="5"/>
  <c r="R984" i="5" s="1"/>
  <c r="IN959" i="5"/>
  <c r="IN968" i="5" s="1"/>
  <c r="AI615" i="2"/>
  <c r="AI614" i="2"/>
  <c r="DU567" i="5"/>
  <c r="EA1154" i="5"/>
  <c r="Z487" i="2"/>
  <c r="Z488" i="2"/>
  <c r="DU569" i="5"/>
  <c r="AE1174" i="2"/>
  <c r="AE1357" i="2" s="1"/>
  <c r="DR1149" i="5"/>
  <c r="EG582" i="5"/>
  <c r="HP967" i="5"/>
  <c r="FH666" i="5"/>
  <c r="FH975" i="5" s="1"/>
  <c r="AD717" i="2"/>
  <c r="AD1495" i="2" s="1"/>
  <c r="AO815" i="5"/>
  <c r="AO984" i="5" s="1"/>
  <c r="BP579" i="5"/>
  <c r="BP642" i="5"/>
  <c r="AO1451" i="2"/>
  <c r="AO639" i="2"/>
  <c r="ID798" i="5"/>
  <c r="IC799" i="5"/>
  <c r="ID799" i="5" s="1"/>
  <c r="DW569" i="5"/>
  <c r="AB835" i="5"/>
  <c r="AB991" i="5" s="1"/>
  <c r="HY801" i="5"/>
  <c r="HY802" i="5" s="1"/>
  <c r="AN1614" i="2"/>
  <c r="JK929" i="5"/>
  <c r="JJ929" i="5" s="1"/>
  <c r="JJ928" i="5" s="1"/>
  <c r="JJ920" i="5" s="1"/>
  <c r="JK717" i="5"/>
  <c r="JJ717" i="5" s="1"/>
  <c r="JK818" i="5"/>
  <c r="O100" i="19"/>
  <c r="N100" i="19" s="1"/>
  <c r="IZ928" i="5"/>
  <c r="AH552" i="2"/>
  <c r="AC100" i="19"/>
  <c r="AG1368" i="2"/>
  <c r="AG1455" i="2" s="1"/>
  <c r="AH468" i="2"/>
  <c r="AI468" i="2" s="1"/>
  <c r="AJ468" i="2" s="1"/>
  <c r="AJ1006" i="2" s="1"/>
  <c r="AH1824" i="2"/>
  <c r="JE738" i="5"/>
  <c r="JC738" i="5" s="1"/>
  <c r="JD738" i="5" s="1"/>
  <c r="AF1793" i="2"/>
  <c r="AG623" i="2"/>
  <c r="AF1598" i="2"/>
  <c r="AM1607" i="2"/>
  <c r="JF928" i="5"/>
  <c r="AB444" i="2"/>
  <c r="AF1582" i="2"/>
  <c r="AD613" i="2"/>
  <c r="AF481" i="2"/>
  <c r="AI1293" i="2"/>
  <c r="AI1380" i="2" s="1"/>
  <c r="AI1790" i="2"/>
  <c r="E106" i="19"/>
  <c r="G106" i="19" s="1"/>
  <c r="AF1309" i="2"/>
  <c r="AF1396" i="2" s="1"/>
  <c r="AF532" i="2"/>
  <c r="AG533" i="2" s="1"/>
  <c r="AC420" i="2"/>
  <c r="AD1824" i="2"/>
  <c r="AD1322" i="2"/>
  <c r="AD1409" i="2" s="1"/>
  <c r="AH546" i="2"/>
  <c r="AI546" i="2" s="1"/>
  <c r="AA607" i="2"/>
  <c r="AE614" i="2"/>
  <c r="AD614" i="2"/>
  <c r="AG1314" i="2"/>
  <c r="AG1401" i="2" s="1"/>
  <c r="AD615" i="2"/>
  <c r="AC621" i="2"/>
  <c r="D37" i="19"/>
  <c r="F37" i="19" s="1"/>
  <c r="AJ1542" i="2"/>
  <c r="AB442" i="2"/>
  <c r="AE615" i="2"/>
  <c r="AB609" i="2"/>
  <c r="P21" i="19"/>
  <c r="R21" i="19" s="1"/>
  <c r="O28" i="19"/>
  <c r="N28" i="19" s="1"/>
  <c r="AE519" i="2"/>
  <c r="AC622" i="2"/>
  <c r="JB907" i="5"/>
  <c r="IZ907" i="5" s="1"/>
  <c r="W89" i="19"/>
  <c r="AC1326" i="2"/>
  <c r="AC1413" i="2" s="1"/>
  <c r="AP91" i="19"/>
  <c r="AH542" i="2"/>
  <c r="AI542" i="2" s="1"/>
  <c r="AJ542" i="2" s="1"/>
  <c r="AK542" i="2" s="1"/>
  <c r="AL542" i="2" s="1"/>
  <c r="AM542" i="2" s="1"/>
  <c r="AN542" i="2" s="1"/>
  <c r="AO542" i="2" s="1"/>
  <c r="AP542" i="2" s="1"/>
  <c r="AQ542" i="2" s="1"/>
  <c r="AR542" i="2" s="1"/>
  <c r="AS542" i="2" s="1"/>
  <c r="AT542" i="2" s="1"/>
  <c r="AA609" i="2"/>
  <c r="Y537" i="2"/>
  <c r="AH1311" i="2"/>
  <c r="AH1398" i="2" s="1"/>
  <c r="JD883" i="5"/>
  <c r="JD661" i="5" s="1"/>
  <c r="AC76" i="19"/>
  <c r="AD76" i="19" s="1"/>
  <c r="AC623" i="2"/>
  <c r="AG1266" i="2"/>
  <c r="AI1294" i="2"/>
  <c r="AI1381" i="2" s="1"/>
  <c r="AH1795" i="2"/>
  <c r="AD623" i="2"/>
  <c r="AB608" i="2"/>
  <c r="AA1324" i="2"/>
  <c r="AA1411" i="2" s="1"/>
  <c r="AD603" i="2"/>
  <c r="AB547" i="2"/>
  <c r="AA606" i="2"/>
  <c r="AF623" i="2"/>
  <c r="AC604" i="2"/>
  <c r="IP492" i="5"/>
  <c r="IO492" i="5" s="1"/>
  <c r="IO632" i="5" s="1"/>
  <c r="X91" i="19"/>
  <c r="Z91" i="19" s="1"/>
  <c r="Y91" i="19"/>
  <c r="AH1292" i="2"/>
  <c r="AH1379" i="2" s="1"/>
  <c r="AC1291" i="2"/>
  <c r="AC1378" i="2" s="1"/>
  <c r="AO28" i="19"/>
  <c r="AN28" i="19"/>
  <c r="AP28" i="19" s="1"/>
  <c r="AI1791" i="2"/>
  <c r="AG700" i="2"/>
  <c r="IP491" i="5" s="1"/>
  <c r="IO491" i="5" s="1"/>
  <c r="IO631" i="5" s="1"/>
  <c r="AK92" i="19"/>
  <c r="AL92" i="19" s="1"/>
  <c r="AK91" i="19"/>
  <c r="AL91" i="19" s="1"/>
  <c r="AL1607" i="2"/>
  <c r="Z440" i="2"/>
  <c r="AF91" i="19"/>
  <c r="AH91" i="19" s="1"/>
  <c r="AG91" i="19"/>
  <c r="AC603" i="2"/>
  <c r="AD1392" i="2"/>
  <c r="AH615" i="2"/>
  <c r="AG604" i="2"/>
  <c r="AH1322" i="2"/>
  <c r="AH1409" i="2" s="1"/>
  <c r="JD909" i="5"/>
  <c r="AH613" i="2"/>
  <c r="AD604" i="2"/>
  <c r="AH614" i="2"/>
  <c r="DG503" i="5"/>
  <c r="DG573" i="5" s="1"/>
  <c r="CN636" i="5"/>
  <c r="C138" i="7"/>
  <c r="DF1142" i="5"/>
  <c r="DM467" i="5"/>
  <c r="DM627" i="5" s="1"/>
  <c r="KP626" i="5"/>
  <c r="D115" i="7"/>
  <c r="E115" i="7" s="1"/>
  <c r="DC815" i="5"/>
  <c r="DC834" i="5" s="1"/>
  <c r="DO567" i="5"/>
  <c r="AG622" i="2"/>
  <c r="DL467" i="5"/>
  <c r="DL465" i="5" s="1"/>
  <c r="AD846" i="2"/>
  <c r="D62" i="19"/>
  <c r="F62" i="19" s="1"/>
  <c r="FI1132" i="5"/>
  <c r="J975" i="5"/>
  <c r="J816" i="5"/>
  <c r="J985" i="5" s="1"/>
  <c r="J835" i="5"/>
  <c r="J991" i="5" s="1"/>
  <c r="J815" i="5"/>
  <c r="J984" i="5" s="1"/>
  <c r="J834" i="5"/>
  <c r="CK666" i="5"/>
  <c r="CK978" i="5"/>
  <c r="CY1149" i="5"/>
  <c r="CY638" i="5"/>
  <c r="HT610" i="5"/>
  <c r="HT657" i="5" s="1"/>
  <c r="DF636" i="5"/>
  <c r="DM1133" i="5"/>
  <c r="AF620" i="2"/>
  <c r="EI568" i="5"/>
  <c r="CL666" i="5"/>
  <c r="CL815" i="5" s="1"/>
  <c r="DL666" i="5"/>
  <c r="DL975" i="5" s="1"/>
  <c r="AB481" i="2"/>
  <c r="FG1132" i="5"/>
  <c r="IU717" i="5"/>
  <c r="N816" i="5"/>
  <c r="N985" i="5" s="1"/>
  <c r="DP1142" i="5"/>
  <c r="CK892" i="5"/>
  <c r="CK995" i="5" s="1"/>
  <c r="IK754" i="5"/>
  <c r="IM754" i="5" s="1"/>
  <c r="IM982" i="5" s="1"/>
  <c r="HW717" i="5"/>
  <c r="AF1837" i="2"/>
  <c r="DL1133" i="5"/>
  <c r="EL1142" i="5"/>
  <c r="AF1326" i="2"/>
  <c r="AF1413" i="2" s="1"/>
  <c r="FJ1132" i="5"/>
  <c r="BH975" i="5"/>
  <c r="BH835" i="5"/>
  <c r="BH991" i="5" s="1"/>
  <c r="BH815" i="5"/>
  <c r="BH984" i="5" s="1"/>
  <c r="BH834" i="5"/>
  <c r="BH816" i="5"/>
  <c r="BH985" i="5" s="1"/>
  <c r="BI815" i="5"/>
  <c r="BI984" i="5" s="1"/>
  <c r="BI816" i="5"/>
  <c r="BI985" i="5" s="1"/>
  <c r="BI975" i="5"/>
  <c r="BI835" i="5"/>
  <c r="BI991" i="5" s="1"/>
  <c r="BI834" i="5"/>
  <c r="DH1138" i="5"/>
  <c r="DH631" i="5"/>
  <c r="DF631" i="5"/>
  <c r="IV722" i="5"/>
  <c r="AI1044" i="2" s="1"/>
  <c r="AI553" i="2"/>
  <c r="CK996" i="5"/>
  <c r="AF1814" i="2"/>
  <c r="AF622" i="2"/>
  <c r="DH1132" i="5"/>
  <c r="DH465" i="5"/>
  <c r="DH626" i="5" s="1"/>
  <c r="DH627" i="5"/>
  <c r="DI631" i="5"/>
  <c r="DI1138" i="5"/>
  <c r="FL920" i="5"/>
  <c r="IK928" i="5"/>
  <c r="IM928" i="5" s="1"/>
  <c r="AF1247" i="2" s="1"/>
  <c r="DG1142" i="5"/>
  <c r="DW465" i="5"/>
  <c r="HV799" i="5"/>
  <c r="CV567" i="5"/>
  <c r="CT666" i="5"/>
  <c r="CT816" i="5" s="1"/>
  <c r="DL1138" i="5"/>
  <c r="HR856" i="5"/>
  <c r="HR992" i="5" s="1"/>
  <c r="FI1154" i="5"/>
  <c r="FI1156" i="5" s="1"/>
  <c r="BJ975" i="5"/>
  <c r="BJ834" i="5"/>
  <c r="EL1133" i="5"/>
  <c r="EL467" i="5"/>
  <c r="EL568" i="5" s="1"/>
  <c r="CL1142" i="5"/>
  <c r="AG603" i="2"/>
  <c r="AA479" i="2"/>
  <c r="FS1132" i="5"/>
  <c r="O579" i="5"/>
  <c r="O648" i="5" s="1"/>
  <c r="EP1142" i="5"/>
  <c r="P124" i="7"/>
  <c r="AI815" i="5"/>
  <c r="AI984" i="5" s="1"/>
  <c r="AI834" i="5"/>
  <c r="AI816" i="5"/>
  <c r="AI985" i="5" s="1"/>
  <c r="AI975" i="5"/>
  <c r="Z504" i="2"/>
  <c r="HS717" i="5"/>
  <c r="HS978" i="5" s="1"/>
  <c r="IR717" i="5"/>
  <c r="IR978" i="5" s="1"/>
  <c r="DJ1149" i="5"/>
  <c r="G816" i="5"/>
  <c r="G985" i="5" s="1"/>
  <c r="G975" i="5"/>
  <c r="G815" i="5"/>
  <c r="G984" i="5" s="1"/>
  <c r="DO569" i="5"/>
  <c r="DG568" i="5"/>
  <c r="CN1151" i="5"/>
  <c r="FI975" i="5"/>
  <c r="CV568" i="5"/>
  <c r="IO986" i="5"/>
  <c r="CG1132" i="5"/>
  <c r="DF568" i="5"/>
  <c r="CH568" i="5"/>
  <c r="DD892" i="5"/>
  <c r="DD995" i="5" s="1"/>
  <c r="HR707" i="5"/>
  <c r="Y1029" i="2" s="1"/>
  <c r="AP1296" i="2" s="1"/>
  <c r="AP1383" i="2" s="1"/>
  <c r="IR997" i="5"/>
  <c r="DG627" i="5"/>
  <c r="EF467" i="5"/>
  <c r="EF465" i="5" s="1"/>
  <c r="FI815" i="5"/>
  <c r="FI984" i="5" s="1"/>
  <c r="DO636" i="5"/>
  <c r="G643" i="5"/>
  <c r="E106" i="7"/>
  <c r="DF465" i="5"/>
  <c r="DF626" i="5" s="1"/>
  <c r="CW627" i="5"/>
  <c r="HQ717" i="5"/>
  <c r="AE1862" i="2"/>
  <c r="AE1836" i="2"/>
  <c r="DG628" i="5"/>
  <c r="DG1133" i="5"/>
  <c r="EJ569" i="5"/>
  <c r="AA434" i="2"/>
  <c r="N835" i="5"/>
  <c r="N991" i="5" s="1"/>
  <c r="N975" i="5"/>
  <c r="Y1273" i="2"/>
  <c r="Y1281" i="2" s="1"/>
  <c r="AG815" i="5"/>
  <c r="AG984" i="5" s="1"/>
  <c r="AG834" i="5"/>
  <c r="AG975" i="5"/>
  <c r="AG816" i="5"/>
  <c r="AG985" i="5" s="1"/>
  <c r="AG835" i="5"/>
  <c r="AG991" i="5" s="1"/>
  <c r="DG569" i="5"/>
  <c r="IJ958" i="5"/>
  <c r="IJ967" i="5" s="1"/>
  <c r="DJ1138" i="5"/>
  <c r="HX929" i="5"/>
  <c r="AA1248" i="2" s="1"/>
  <c r="DJ503" i="5"/>
  <c r="DJ1141" i="5" s="1"/>
  <c r="AK815" i="5"/>
  <c r="AK984" i="5" s="1"/>
  <c r="AK816" i="5"/>
  <c r="AK985" i="5" s="1"/>
  <c r="AK834" i="5"/>
  <c r="AK975" i="5"/>
  <c r="AK835" i="5"/>
  <c r="AK991" i="5" s="1"/>
  <c r="U816" i="5"/>
  <c r="U985" i="5" s="1"/>
  <c r="U834" i="5"/>
  <c r="U975" i="5"/>
  <c r="U815" i="5"/>
  <c r="U984" i="5" s="1"/>
  <c r="U835" i="5"/>
  <c r="U991" i="5" s="1"/>
  <c r="V816" i="5"/>
  <c r="V985" i="5" s="1"/>
  <c r="V834" i="5"/>
  <c r="V835" i="5"/>
  <c r="V991" i="5" s="1"/>
  <c r="V975" i="5"/>
  <c r="V815" i="5"/>
  <c r="V984" i="5" s="1"/>
  <c r="C105" i="7"/>
  <c r="HT644" i="5"/>
  <c r="FB1138" i="5"/>
  <c r="FB978" i="5"/>
  <c r="AM1068" i="2"/>
  <c r="JH746" i="5" s="1"/>
  <c r="EJ1138" i="5"/>
  <c r="AD733" i="2"/>
  <c r="AD1501" i="2" s="1"/>
  <c r="ES467" i="5"/>
  <c r="FU1141" i="5"/>
  <c r="AD785" i="2"/>
  <c r="IV667" i="5"/>
  <c r="AI989" i="2" s="1"/>
  <c r="FP1149" i="5"/>
  <c r="FP1141" i="5" s="1"/>
  <c r="FM1141" i="5"/>
  <c r="G834" i="5"/>
  <c r="G835" i="5"/>
  <c r="G991" i="5" s="1"/>
  <c r="AF1174" i="2"/>
  <c r="AF1357" i="2" s="1"/>
  <c r="AF1356" i="2" s="1"/>
  <c r="AF1443" i="2" s="1"/>
  <c r="Q815" i="5"/>
  <c r="Q984" i="5" s="1"/>
  <c r="Q816" i="5"/>
  <c r="Q985" i="5" s="1"/>
  <c r="Q975" i="5"/>
  <c r="Q835" i="5"/>
  <c r="Q991" i="5" s="1"/>
  <c r="Q834" i="5"/>
  <c r="AC975" i="5"/>
  <c r="AC816" i="5"/>
  <c r="AC985" i="5" s="1"/>
  <c r="AC835" i="5"/>
  <c r="AC991" i="5" s="1"/>
  <c r="AC815" i="5"/>
  <c r="AC984" i="5" s="1"/>
  <c r="AC834" i="5"/>
  <c r="Z643" i="5"/>
  <c r="Z580" i="5"/>
  <c r="Z649" i="5" s="1"/>
  <c r="HT856" i="5"/>
  <c r="Z1576" i="2"/>
  <c r="Z1575" i="2" s="1"/>
  <c r="HU857" i="5"/>
  <c r="HT993" i="5"/>
  <c r="JB746" i="5"/>
  <c r="IZ746" i="5" s="1"/>
  <c r="JA746" i="5" s="1"/>
  <c r="I834" i="5"/>
  <c r="I975" i="5"/>
  <c r="I835" i="5"/>
  <c r="I991" i="5" s="1"/>
  <c r="I816" i="5"/>
  <c r="I985" i="5" s="1"/>
  <c r="I815" i="5"/>
  <c r="I984" i="5" s="1"/>
  <c r="CV666" i="5"/>
  <c r="CV816" i="5" s="1"/>
  <c r="CV835" i="5" s="1"/>
  <c r="CV991" i="5" s="1"/>
  <c r="N834" i="5"/>
  <c r="N941" i="5" s="1"/>
  <c r="N998" i="5" s="1"/>
  <c r="JC859" i="5"/>
  <c r="HU707" i="5"/>
  <c r="Z1029" i="2" s="1"/>
  <c r="AQ1296" i="2" s="1"/>
  <c r="AQ1383" i="2" s="1"/>
  <c r="HV468" i="5"/>
  <c r="D8" i="7" s="1"/>
  <c r="IF468" i="5"/>
  <c r="O8" i="7" s="1"/>
  <c r="HY817" i="5"/>
  <c r="HS658" i="5"/>
  <c r="Z834" i="5"/>
  <c r="Z941" i="5" s="1"/>
  <c r="Z998" i="5" s="1"/>
  <c r="FH978" i="5"/>
  <c r="ER503" i="5"/>
  <c r="ER573" i="5" s="1"/>
  <c r="ER580" i="5" s="1"/>
  <c r="DF567" i="5"/>
  <c r="AI835" i="5"/>
  <c r="AI991" i="5" s="1"/>
  <c r="E51" i="7"/>
  <c r="DU568" i="5"/>
  <c r="FB666" i="5"/>
  <c r="FB842" i="5" s="1"/>
  <c r="HX722" i="5"/>
  <c r="AA1044" i="2" s="1"/>
  <c r="BT572" i="5"/>
  <c r="AD438" i="2"/>
  <c r="AE430" i="2"/>
  <c r="AH608" i="2"/>
  <c r="X14" i="19"/>
  <c r="Z14" i="19" s="1"/>
  <c r="AD527" i="2"/>
  <c r="AH1301" i="2"/>
  <c r="AH1388" i="2" s="1"/>
  <c r="IY896" i="5"/>
  <c r="IX896" i="5" s="1"/>
  <c r="AK1217" i="2"/>
  <c r="AL1217" i="2" s="1"/>
  <c r="AG1861" i="2"/>
  <c r="AD815" i="2" s="1"/>
  <c r="AM1589" i="2"/>
  <c r="AO11" i="19"/>
  <c r="AN11" i="19"/>
  <c r="AP11" i="19" s="1"/>
  <c r="AG1289" i="2"/>
  <c r="AG1376" i="2" s="1"/>
  <c r="AO14" i="19"/>
  <c r="AN14" i="19"/>
  <c r="AP14" i="19" s="1"/>
  <c r="AL1147" i="2"/>
  <c r="AM1147" i="2" s="1"/>
  <c r="IL590" i="5"/>
  <c r="R119" i="7" s="1"/>
  <c r="AC631" i="2"/>
  <c r="AH1266" i="2"/>
  <c r="Q14" i="19"/>
  <c r="AG11" i="19"/>
  <c r="AF11" i="19"/>
  <c r="AH11" i="19" s="1"/>
  <c r="AL1598" i="2"/>
  <c r="AH609" i="2"/>
  <c r="AI608" i="2"/>
  <c r="IK474" i="5"/>
  <c r="IL474" i="5" s="1"/>
  <c r="AI527" i="2"/>
  <c r="Q21" i="19"/>
  <c r="AD631" i="2"/>
  <c r="AL1056" i="2"/>
  <c r="JE734" i="5" s="1"/>
  <c r="JC734" i="5" s="1"/>
  <c r="JD734" i="5" s="1"/>
  <c r="AF1591" i="2"/>
  <c r="AF1595" i="2" s="1"/>
  <c r="AK1094" i="2"/>
  <c r="W31" i="19" s="1"/>
  <c r="AJ1320" i="2"/>
  <c r="AJ1407" i="2" s="1"/>
  <c r="IY779" i="5"/>
  <c r="IX779" i="5" s="1"/>
  <c r="Z443" i="2"/>
  <c r="Z623" i="2"/>
  <c r="AI1827" i="2"/>
  <c r="D43" i="19"/>
  <c r="AI1310" i="2"/>
  <c r="AI1397" i="2" s="1"/>
  <c r="D20" i="19"/>
  <c r="F101" i="19"/>
  <c r="E101" i="19"/>
  <c r="G101" i="19" s="1"/>
  <c r="D27" i="19"/>
  <c r="AI405" i="2"/>
  <c r="D25" i="19"/>
  <c r="F73" i="19"/>
  <c r="E73" i="19"/>
  <c r="G73" i="19" s="1"/>
  <c r="AA442" i="2"/>
  <c r="AI545" i="2"/>
  <c r="D22" i="19"/>
  <c r="F104" i="19"/>
  <c r="E104" i="19"/>
  <c r="G104" i="19" s="1"/>
  <c r="AI1831" i="2"/>
  <c r="D55" i="19"/>
  <c r="AI1325" i="2"/>
  <c r="AI1412" i="2" s="1"/>
  <c r="Z1326" i="2"/>
  <c r="Z1413" i="2" s="1"/>
  <c r="AI1290" i="2"/>
  <c r="AI1377" i="2" s="1"/>
  <c r="D6" i="19"/>
  <c r="AJ1543" i="2"/>
  <c r="AG509" i="2"/>
  <c r="IZ876" i="5"/>
  <c r="IZ818" i="5"/>
  <c r="W73" i="19"/>
  <c r="JB876" i="5"/>
  <c r="AJ1061" i="2"/>
  <c r="IZ811" i="5"/>
  <c r="Q31" i="19"/>
  <c r="P31" i="19"/>
  <c r="R31" i="19" s="1"/>
  <c r="Q38" i="19"/>
  <c r="P76" i="19"/>
  <c r="R76" i="19" s="1"/>
  <c r="AH1611" i="2"/>
  <c r="AD473" i="2"/>
  <c r="AI604" i="2"/>
  <c r="AC1412" i="2"/>
  <c r="Z631" i="2"/>
  <c r="AH1310" i="2"/>
  <c r="AH1397" i="2" s="1"/>
  <c r="AF603" i="2"/>
  <c r="AL1050" i="2"/>
  <c r="AK1306" i="2"/>
  <c r="AK1393" i="2" s="1"/>
  <c r="AH464" i="2"/>
  <c r="Z1579" i="2"/>
  <c r="Z1699" i="2" s="1"/>
  <c r="Z1695" i="2" s="1"/>
  <c r="AD760" i="2"/>
  <c r="AH1831" i="2"/>
  <c r="Y426" i="2"/>
  <c r="AH1579" i="2"/>
  <c r="AA746" i="2"/>
  <c r="AA366" i="2" s="1"/>
  <c r="Z630" i="2"/>
  <c r="Z1687" i="2"/>
  <c r="Z1693" i="2" s="1"/>
  <c r="AG1591" i="2"/>
  <c r="AG1595" i="2" s="1"/>
  <c r="Z620" i="2"/>
  <c r="Z621" i="2"/>
  <c r="Y427" i="2"/>
  <c r="AD512" i="2"/>
  <c r="AD513" i="2" s="1"/>
  <c r="CO636" i="5"/>
  <c r="AB516" i="2"/>
  <c r="AB517" i="2" s="1"/>
  <c r="AF435" i="2"/>
  <c r="AF436" i="2" s="1"/>
  <c r="II797" i="5"/>
  <c r="II799" i="5" s="1"/>
  <c r="IJ799" i="5" s="1"/>
  <c r="IJ796" i="5"/>
  <c r="ER582" i="5"/>
  <c r="ER1154" i="5"/>
  <c r="F816" i="5"/>
  <c r="F985" i="5" s="1"/>
  <c r="F815" i="5"/>
  <c r="F984" i="5" s="1"/>
  <c r="F835" i="5"/>
  <c r="F991" i="5" s="1"/>
  <c r="F975" i="5"/>
  <c r="F834" i="5"/>
  <c r="DC628" i="5"/>
  <c r="DC1133" i="5"/>
  <c r="AA455" i="2"/>
  <c r="AA454" i="2"/>
  <c r="AI1304" i="2"/>
  <c r="AI1391" i="2" s="1"/>
  <c r="CO567" i="5"/>
  <c r="K57" i="7"/>
  <c r="CO1142" i="5"/>
  <c r="IE596" i="5"/>
  <c r="N125" i="7" s="1"/>
  <c r="CG568" i="5"/>
  <c r="IJ718" i="5"/>
  <c r="AE1040" i="2" s="1"/>
  <c r="AI580" i="5"/>
  <c r="AI649" i="5" s="1"/>
  <c r="II800" i="5"/>
  <c r="IG611" i="5"/>
  <c r="AD1614" i="2"/>
  <c r="AD1582" i="2"/>
  <c r="CO568" i="5"/>
  <c r="CI1138" i="5"/>
  <c r="AV941" i="5"/>
  <c r="AV998" i="5" s="1"/>
  <c r="CG567" i="5"/>
  <c r="HP956" i="5"/>
  <c r="HP965" i="5" s="1"/>
  <c r="IG722" i="5"/>
  <c r="AD1044" i="2" s="1"/>
  <c r="AH435" i="2"/>
  <c r="AH436" i="2" s="1"/>
  <c r="DX1154" i="5"/>
  <c r="DX582" i="5"/>
  <c r="IA929" i="5"/>
  <c r="AB1248" i="2" s="1"/>
  <c r="N138" i="7"/>
  <c r="IE620" i="5"/>
  <c r="BB626" i="5"/>
  <c r="BB572" i="5"/>
  <c r="AI1795" i="2"/>
  <c r="AS835" i="5"/>
  <c r="AS991" i="5" s="1"/>
  <c r="AS816" i="5"/>
  <c r="AS985" i="5" s="1"/>
  <c r="AS834" i="5"/>
  <c r="AS975" i="5"/>
  <c r="AS815" i="5"/>
  <c r="AS984" i="5" s="1"/>
  <c r="DY1154" i="5"/>
  <c r="DY582" i="5"/>
  <c r="CG569" i="5"/>
  <c r="IA718" i="5"/>
  <c r="AB1040" i="2" s="1"/>
  <c r="HR898" i="5"/>
  <c r="Y1219" i="2" s="1"/>
  <c r="Y1586" i="2" s="1"/>
  <c r="IA475" i="5"/>
  <c r="Y629" i="2"/>
  <c r="Y630" i="2"/>
  <c r="CW631" i="5"/>
  <c r="CW1138" i="5"/>
  <c r="CW465" i="5"/>
  <c r="CW626" i="5" s="1"/>
  <c r="AT815" i="5"/>
  <c r="AT984" i="5" s="1"/>
  <c r="AT975" i="5"/>
  <c r="Y1392" i="2"/>
  <c r="Y1304" i="2"/>
  <c r="Y1391" i="2" s="1"/>
  <c r="AE626" i="5"/>
  <c r="AE572" i="5"/>
  <c r="X386" i="2"/>
  <c r="X652" i="2" s="1"/>
  <c r="CS1142" i="5"/>
  <c r="CS636" i="5"/>
  <c r="HU754" i="5"/>
  <c r="HU982" i="5" s="1"/>
  <c r="FI842" i="5"/>
  <c r="EC503" i="5"/>
  <c r="EC1141" i="5" s="1"/>
  <c r="CG465" i="5"/>
  <c r="CG626" i="5" s="1"/>
  <c r="DE1142" i="5"/>
  <c r="AC541" i="2"/>
  <c r="AC542" i="2"/>
  <c r="DQ654" i="5"/>
  <c r="DQ1154" i="5"/>
  <c r="DQ582" i="5"/>
  <c r="DQ650" i="5" s="1"/>
  <c r="AE451" i="2"/>
  <c r="AE450" i="2"/>
  <c r="DW1154" i="5"/>
  <c r="DW582" i="5"/>
  <c r="BZ815" i="5"/>
  <c r="BZ984" i="5" s="1"/>
  <c r="BZ816" i="5"/>
  <c r="BZ985" i="5" s="1"/>
  <c r="BZ975" i="5"/>
  <c r="BZ834" i="5"/>
  <c r="BZ835" i="5"/>
  <c r="BZ991" i="5" s="1"/>
  <c r="W834" i="5"/>
  <c r="W815" i="5"/>
  <c r="W984" i="5" s="1"/>
  <c r="W816" i="5"/>
  <c r="W985" i="5" s="1"/>
  <c r="W975" i="5"/>
  <c r="W835" i="5"/>
  <c r="W991" i="5" s="1"/>
  <c r="H120" i="7"/>
  <c r="AD1295" i="2"/>
  <c r="AD1382" i="2" s="1"/>
  <c r="IA987" i="5"/>
  <c r="AD629" i="2"/>
  <c r="AE630" i="2"/>
  <c r="AE1814" i="2"/>
  <c r="AE603" i="2"/>
  <c r="AE1317" i="2"/>
  <c r="AE1404" i="2" s="1"/>
  <c r="AH626" i="5"/>
  <c r="AH572" i="5"/>
  <c r="ED1142" i="5"/>
  <c r="DT666" i="5"/>
  <c r="DT816" i="5" s="1"/>
  <c r="ID822" i="5"/>
  <c r="AC1138" i="2" s="1"/>
  <c r="AV642" i="5"/>
  <c r="AV579" i="5"/>
  <c r="AA320" i="2"/>
  <c r="AA564" i="2"/>
  <c r="AF426" i="2"/>
  <c r="AF427" i="2"/>
  <c r="CK1151" i="5"/>
  <c r="CK536" i="5"/>
  <c r="AD630" i="2"/>
  <c r="AC629" i="2"/>
  <c r="EB1154" i="5"/>
  <c r="EB582" i="5"/>
  <c r="FE996" i="5"/>
  <c r="II893" i="5"/>
  <c r="R626" i="5"/>
  <c r="R572" i="5"/>
  <c r="AC434" i="2"/>
  <c r="AC435" i="2"/>
  <c r="CP631" i="5"/>
  <c r="CP1138" i="5"/>
  <c r="DS1149" i="5"/>
  <c r="DS638" i="5"/>
  <c r="IF801" i="5"/>
  <c r="IF802" i="5" s="1"/>
  <c r="AK572" i="5"/>
  <c r="AK626" i="5"/>
  <c r="CA572" i="5"/>
  <c r="CA642" i="5" s="1"/>
  <c r="CK1138" i="5"/>
  <c r="CK631" i="5"/>
  <c r="Z430" i="2"/>
  <c r="Z431" i="2"/>
  <c r="AE503" i="2"/>
  <c r="AE504" i="2"/>
  <c r="CW636" i="5"/>
  <c r="CW567" i="5"/>
  <c r="CW569" i="5"/>
  <c r="CW1142" i="5"/>
  <c r="CW568" i="5"/>
  <c r="IF797" i="5"/>
  <c r="IF799" i="5" s="1"/>
  <c r="IG799" i="5" s="1"/>
  <c r="IG796" i="5"/>
  <c r="AD1584" i="2"/>
  <c r="IG898" i="5"/>
  <c r="AD1219" i="2" s="1"/>
  <c r="AD1586" i="2" s="1"/>
  <c r="ID920" i="5"/>
  <c r="ID997" i="5" s="1"/>
  <c r="Y519" i="2"/>
  <c r="Y520" i="2"/>
  <c r="EX1154" i="5"/>
  <c r="EX582" i="5"/>
  <c r="CS631" i="5"/>
  <c r="CS1138" i="5"/>
  <c r="BA626" i="5"/>
  <c r="BA572" i="5"/>
  <c r="AF626" i="5"/>
  <c r="AF572" i="5"/>
  <c r="AE529" i="2"/>
  <c r="AF615" i="2"/>
  <c r="DW567" i="5"/>
  <c r="AF1273" i="2"/>
  <c r="AF1281" i="2" s="1"/>
  <c r="AB816" i="5"/>
  <c r="AB985" i="5" s="1"/>
  <c r="DJ1142" i="5"/>
  <c r="FV1132" i="5"/>
  <c r="Y512" i="2"/>
  <c r="Y511" i="2"/>
  <c r="KO580" i="5"/>
  <c r="KO649" i="5" s="1"/>
  <c r="KO643" i="5"/>
  <c r="AF604" i="2"/>
  <c r="T642" i="5"/>
  <c r="T579" i="5"/>
  <c r="AA426" i="2"/>
  <c r="AA427" i="2"/>
  <c r="AN1623" i="2"/>
  <c r="FS1149" i="5"/>
  <c r="FS1141" i="5" s="1"/>
  <c r="KP635" i="5"/>
  <c r="KP573" i="5"/>
  <c r="AB426" i="2"/>
  <c r="AB427" i="2"/>
  <c r="ES1154" i="5"/>
  <c r="ES582" i="5"/>
  <c r="EW582" i="5"/>
  <c r="IT717" i="5"/>
  <c r="HW629" i="5"/>
  <c r="F24" i="7"/>
  <c r="Z435" i="2"/>
  <c r="Z434" i="2"/>
  <c r="CS1132" i="5"/>
  <c r="CS568" i="5"/>
  <c r="CS569" i="5"/>
  <c r="CS465" i="5"/>
  <c r="CS626" i="5" s="1"/>
  <c r="CS627" i="5"/>
  <c r="CS567" i="5"/>
  <c r="EL503" i="5"/>
  <c r="FA1132" i="5"/>
  <c r="HR818" i="5"/>
  <c r="HR987" i="5" s="1"/>
  <c r="H106" i="7"/>
  <c r="AC455" i="2"/>
  <c r="AD456" i="2" s="1"/>
  <c r="HT801" i="5"/>
  <c r="HT802" i="5" s="1"/>
  <c r="IC928" i="5"/>
  <c r="ID928" i="5" s="1"/>
  <c r="AC1247" i="2" s="1"/>
  <c r="AW648" i="5"/>
  <c r="AW582" i="5"/>
  <c r="BN572" i="5"/>
  <c r="BN626" i="5"/>
  <c r="AP580" i="5"/>
  <c r="AP649" i="5" s="1"/>
  <c r="AP643" i="5"/>
  <c r="FV816" i="5"/>
  <c r="FV985" i="5" s="1"/>
  <c r="DT638" i="5"/>
  <c r="DT1149" i="5"/>
  <c r="AA905" i="2"/>
  <c r="AA955" i="2" s="1"/>
  <c r="AA1484" i="2"/>
  <c r="AB1614" i="2"/>
  <c r="AB1582" i="2"/>
  <c r="AI609" i="2"/>
  <c r="EZ1154" i="5"/>
  <c r="EZ1156" i="5" s="1"/>
  <c r="EY1149" i="5"/>
  <c r="EY1141" i="5" s="1"/>
  <c r="G15" i="7"/>
  <c r="ID979" i="5"/>
  <c r="CU1149" i="5"/>
  <c r="CU638" i="5"/>
  <c r="AF990" i="5"/>
  <c r="AF941" i="5"/>
  <c r="AF998" i="5" s="1"/>
  <c r="W580" i="5"/>
  <c r="W649" i="5" s="1"/>
  <c r="W643" i="5"/>
  <c r="EX505" i="5"/>
  <c r="EX567" i="5" s="1"/>
  <c r="EQ467" i="5"/>
  <c r="EQ569" i="5" s="1"/>
  <c r="EQ1133" i="5"/>
  <c r="DQ1142" i="5"/>
  <c r="DQ636" i="5"/>
  <c r="AL580" i="5"/>
  <c r="AL649" i="5" s="1"/>
  <c r="AL643" i="5"/>
  <c r="AJ816" i="5"/>
  <c r="AJ985" i="5" s="1"/>
  <c r="AJ834" i="5"/>
  <c r="HY1108" i="5"/>
  <c r="IT956" i="5"/>
  <c r="IT965" i="5" s="1"/>
  <c r="ID818" i="5"/>
  <c r="AC1134" i="2" s="1"/>
  <c r="AC1331" i="2" s="1"/>
  <c r="DO638" i="5"/>
  <c r="DO1149" i="5"/>
  <c r="AC426" i="2"/>
  <c r="AC427" i="2"/>
  <c r="DB1132" i="5"/>
  <c r="DB465" i="5"/>
  <c r="DB626" i="5" s="1"/>
  <c r="DB627" i="5"/>
  <c r="AC513" i="2"/>
  <c r="DV503" i="5"/>
  <c r="DV1141" i="5" s="1"/>
  <c r="AB511" i="2"/>
  <c r="IL893" i="5"/>
  <c r="FT996" i="5"/>
  <c r="FT892" i="5"/>
  <c r="BX975" i="5"/>
  <c r="BX835" i="5"/>
  <c r="BX991" i="5" s="1"/>
  <c r="BX816" i="5"/>
  <c r="BX985" i="5" s="1"/>
  <c r="BX815" i="5"/>
  <c r="BX984" i="5" s="1"/>
  <c r="BX834" i="5"/>
  <c r="CZ978" i="5"/>
  <c r="DJ1132" i="5"/>
  <c r="DJ465" i="5"/>
  <c r="DJ626" i="5" s="1"/>
  <c r="DJ627" i="5"/>
  <c r="BE643" i="5"/>
  <c r="BE580" i="5"/>
  <c r="BE649" i="5" s="1"/>
  <c r="BQ572" i="5"/>
  <c r="BQ626" i="5"/>
  <c r="AC443" i="2"/>
  <c r="AC442" i="2"/>
  <c r="AA1713" i="2"/>
  <c r="DO996" i="5"/>
  <c r="DO892" i="5"/>
  <c r="DO995" i="5" s="1"/>
  <c r="HY893" i="5"/>
  <c r="IA893" i="5" s="1"/>
  <c r="IA996" i="5" s="1"/>
  <c r="EJ503" i="5"/>
  <c r="EJ1141" i="5" s="1"/>
  <c r="HS928" i="5"/>
  <c r="HU928" i="5" s="1"/>
  <c r="Z1247" i="2" s="1"/>
  <c r="HR822" i="5"/>
  <c r="HR988" i="5" s="1"/>
  <c r="BS626" i="5"/>
  <c r="BS572" i="5"/>
  <c r="AH475" i="2"/>
  <c r="AH476" i="2"/>
  <c r="DM503" i="5"/>
  <c r="DM636" i="5"/>
  <c r="DM1142" i="5"/>
  <c r="HT797" i="5"/>
  <c r="HT798" i="5" s="1"/>
  <c r="FP842" i="5"/>
  <c r="DG986" i="5"/>
  <c r="AP642" i="5"/>
  <c r="AP579" i="5"/>
  <c r="CM636" i="5"/>
  <c r="CM1142" i="5"/>
  <c r="BB643" i="5"/>
  <c r="BB580" i="5"/>
  <c r="BB649" i="5" s="1"/>
  <c r="DJ567" i="5"/>
  <c r="P86" i="7"/>
  <c r="AD774" i="2"/>
  <c r="BJ626" i="5"/>
  <c r="FD842" i="5"/>
  <c r="FV842" i="5"/>
  <c r="IU754" i="5"/>
  <c r="IU816" i="5" s="1"/>
  <c r="BJ580" i="5"/>
  <c r="BJ649" i="5" s="1"/>
  <c r="CI465" i="5"/>
  <c r="CI626" i="5" s="1"/>
  <c r="IJ929" i="5"/>
  <c r="AE1248" i="2" s="1"/>
  <c r="IG856" i="5"/>
  <c r="AD1173" i="2" s="1"/>
  <c r="EQ815" i="5"/>
  <c r="EQ834" i="5" s="1"/>
  <c r="EQ990" i="5" s="1"/>
  <c r="AR643" i="5"/>
  <c r="AR580" i="5"/>
  <c r="AR649" i="5" s="1"/>
  <c r="EC978" i="5"/>
  <c r="EC666" i="5"/>
  <c r="AB622" i="2"/>
  <c r="AE1315" i="2"/>
  <c r="AE590" i="2"/>
  <c r="AE1810" i="2"/>
  <c r="P92" i="7"/>
  <c r="AD783" i="2"/>
  <c r="DP920" i="5"/>
  <c r="HY928" i="5"/>
  <c r="IA928" i="5" s="1"/>
  <c r="AB1247" i="2" s="1"/>
  <c r="AO643" i="5"/>
  <c r="AO580" i="5"/>
  <c r="AO649" i="5" s="1"/>
  <c r="AH617" i="2"/>
  <c r="AH618" i="2" s="1"/>
  <c r="IC804" i="5"/>
  <c r="IK817" i="5"/>
  <c r="IK957" i="5" s="1"/>
  <c r="IK955" i="5" s="1"/>
  <c r="IK963" i="5" s="1"/>
  <c r="AG1357" i="2"/>
  <c r="AG1578" i="2"/>
  <c r="EL582" i="5"/>
  <c r="CU627" i="5"/>
  <c r="FD815" i="5"/>
  <c r="FD984" i="5" s="1"/>
  <c r="IS722" i="5"/>
  <c r="AH1044" i="2" s="1"/>
  <c r="AJ815" i="5"/>
  <c r="AJ984" i="5" s="1"/>
  <c r="DJ636" i="5"/>
  <c r="AH1324" i="2"/>
  <c r="AH1411" i="2" s="1"/>
  <c r="AH606" i="2"/>
  <c r="HQ804" i="5"/>
  <c r="HR804" i="5" s="1"/>
  <c r="HR920" i="5"/>
  <c r="CQ1149" i="5"/>
  <c r="CQ638" i="5"/>
  <c r="CU465" i="5"/>
  <c r="CU626" i="5" s="1"/>
  <c r="KP941" i="5"/>
  <c r="KP998" i="5" s="1"/>
  <c r="AD1575" i="2"/>
  <c r="EJ568" i="5"/>
  <c r="FD816" i="5"/>
  <c r="DB569" i="5"/>
  <c r="AJ835" i="5"/>
  <c r="AJ991" i="5" s="1"/>
  <c r="IJ707" i="5"/>
  <c r="AE1029" i="2" s="1"/>
  <c r="CV1142" i="5"/>
  <c r="CV636" i="5"/>
  <c r="EC582" i="5"/>
  <c r="BD975" i="5"/>
  <c r="BD816" i="5"/>
  <c r="BD985" i="5" s="1"/>
  <c r="BD815" i="5"/>
  <c r="BD984" i="5" s="1"/>
  <c r="BD835" i="5"/>
  <c r="BD991" i="5" s="1"/>
  <c r="BD834" i="5"/>
  <c r="AT941" i="5"/>
  <c r="AT998" i="5" s="1"/>
  <c r="AT990" i="5"/>
  <c r="BU579" i="5"/>
  <c r="BU642" i="5"/>
  <c r="AF1787" i="2"/>
  <c r="FV815" i="5"/>
  <c r="FV834" i="5" s="1"/>
  <c r="BR643" i="5"/>
  <c r="BR580" i="5"/>
  <c r="BR649" i="5" s="1"/>
  <c r="CX465" i="5"/>
  <c r="CX626" i="5" s="1"/>
  <c r="CU1132" i="5"/>
  <c r="DY975" i="5"/>
  <c r="DY815" i="5"/>
  <c r="DY816" i="5"/>
  <c r="P580" i="5"/>
  <c r="P649" i="5" s="1"/>
  <c r="P643" i="5"/>
  <c r="AI607" i="2"/>
  <c r="AJ607" i="2" s="1"/>
  <c r="AK607" i="2" s="1"/>
  <c r="AL607" i="2" s="1"/>
  <c r="AM607" i="2" s="1"/>
  <c r="AN607" i="2" s="1"/>
  <c r="CU569" i="5"/>
  <c r="EJ567" i="5"/>
  <c r="DB567" i="5"/>
  <c r="AD754" i="2"/>
  <c r="AD1511" i="2" s="1"/>
  <c r="AH1863" i="2"/>
  <c r="HT598" i="5"/>
  <c r="C127" i="7" s="1"/>
  <c r="FK986" i="5"/>
  <c r="DH569" i="5"/>
  <c r="DH568" i="5"/>
  <c r="DH567" i="5"/>
  <c r="CG1151" i="5"/>
  <c r="CG536" i="5"/>
  <c r="AF1789" i="2"/>
  <c r="AF1292" i="2"/>
  <c r="AF1379" i="2" s="1"/>
  <c r="M643" i="5"/>
  <c r="M580" i="5"/>
  <c r="M649" i="5" s="1"/>
  <c r="DJ569" i="5"/>
  <c r="IA898" i="5"/>
  <c r="AB1219" i="2" s="1"/>
  <c r="AB1586" i="2" s="1"/>
  <c r="AA1585" i="2"/>
  <c r="AA1583" i="2" s="1"/>
  <c r="AA1700" i="2" s="1"/>
  <c r="AA1695" i="2" s="1"/>
  <c r="E129" i="7"/>
  <c r="CU567" i="5"/>
  <c r="CX568" i="5"/>
  <c r="ED582" i="5"/>
  <c r="AA1495" i="2"/>
  <c r="AB348" i="2"/>
  <c r="AB353" i="2" s="1"/>
  <c r="AA344" i="2"/>
  <c r="AA589" i="2"/>
  <c r="AA345" i="2"/>
  <c r="AA346" i="2"/>
  <c r="AA348" i="2"/>
  <c r="AA353" i="2" s="1"/>
  <c r="Y643" i="5"/>
  <c r="Y580" i="5"/>
  <c r="Y649" i="5" s="1"/>
  <c r="CG631" i="5"/>
  <c r="CG1138" i="5"/>
  <c r="AE420" i="2"/>
  <c r="AE419" i="2"/>
  <c r="M572" i="5"/>
  <c r="M626" i="5"/>
  <c r="Z1304" i="2"/>
  <c r="Z1391" i="2" s="1"/>
  <c r="AA623" i="2"/>
  <c r="AH438" i="2"/>
  <c r="AH439" i="2"/>
  <c r="AI439" i="2" s="1"/>
  <c r="AJ439" i="2" s="1"/>
  <c r="IV856" i="5"/>
  <c r="AI1173" i="2" s="1"/>
  <c r="DO503" i="5"/>
  <c r="DO573" i="5" s="1"/>
  <c r="DO643" i="5" s="1"/>
  <c r="DQ569" i="5"/>
  <c r="ET465" i="5"/>
  <c r="ET1132" i="5"/>
  <c r="BV643" i="5"/>
  <c r="BV580" i="5"/>
  <c r="BV649" i="5" s="1"/>
  <c r="DU666" i="5"/>
  <c r="CX627" i="5"/>
  <c r="CX1132" i="5"/>
  <c r="CX567" i="5"/>
  <c r="AA1687" i="2"/>
  <c r="DT1138" i="5"/>
  <c r="DT631" i="5"/>
  <c r="ID980" i="5"/>
  <c r="AA907" i="2"/>
  <c r="AA1504" i="2"/>
  <c r="IS718" i="5"/>
  <c r="AH1040" i="2" s="1"/>
  <c r="DQ568" i="5"/>
  <c r="DQ503" i="5"/>
  <c r="DQ573" i="5" s="1"/>
  <c r="DQ643" i="5" s="1"/>
  <c r="HZ798" i="5"/>
  <c r="IA798" i="5" s="1"/>
  <c r="IA797" i="5"/>
  <c r="CP636" i="5"/>
  <c r="CP1142" i="5"/>
  <c r="AF592" i="2"/>
  <c r="AF597" i="2" s="1"/>
  <c r="E580" i="5"/>
  <c r="E649" i="5" s="1"/>
  <c r="E643" i="5"/>
  <c r="DB568" i="5"/>
  <c r="AC504" i="2"/>
  <c r="AC503" i="2"/>
  <c r="EJ997" i="5"/>
  <c r="BE579" i="5"/>
  <c r="BE642" i="5"/>
  <c r="AA1326" i="2"/>
  <c r="AA1413" i="2" s="1"/>
  <c r="AA620" i="2"/>
  <c r="AA621" i="2"/>
  <c r="AA622" i="2"/>
  <c r="EA503" i="5"/>
  <c r="EA573" i="5" s="1"/>
  <c r="EA580" i="5" s="1"/>
  <c r="AL990" i="5"/>
  <c r="AL941" i="5"/>
  <c r="AL998" i="5" s="1"/>
  <c r="AJ975" i="5"/>
  <c r="AA438" i="2"/>
  <c r="AA439" i="2"/>
  <c r="AA440" i="2" s="1"/>
  <c r="CT1149" i="5"/>
  <c r="CT638" i="5"/>
  <c r="K90" i="7"/>
  <c r="AH462" i="2"/>
  <c r="IG475" i="5"/>
  <c r="P15" i="7" s="1"/>
  <c r="FR1132" i="5"/>
  <c r="DJ568" i="5"/>
  <c r="CZ1138" i="5"/>
  <c r="CZ631" i="5"/>
  <c r="CZ465" i="5"/>
  <c r="CZ626" i="5" s="1"/>
  <c r="AD845" i="2"/>
  <c r="P139" i="7"/>
  <c r="IJ856" i="5"/>
  <c r="IM822" i="5"/>
  <c r="BU580" i="5"/>
  <c r="BU649" i="5" s="1"/>
  <c r="BU643" i="5"/>
  <c r="KO626" i="5"/>
  <c r="KO572" i="5"/>
  <c r="BZ643" i="5"/>
  <c r="BZ580" i="5"/>
  <c r="BZ649" i="5" s="1"/>
  <c r="HS798" i="5"/>
  <c r="D138" i="7"/>
  <c r="HX611" i="5"/>
  <c r="HV610" i="5"/>
  <c r="HV658" i="5"/>
  <c r="DQ626" i="5"/>
  <c r="BB815" i="5"/>
  <c r="BB984" i="5" s="1"/>
  <c r="BB816" i="5"/>
  <c r="BB985" i="5" s="1"/>
  <c r="BB975" i="5"/>
  <c r="BB835" i="5"/>
  <c r="BB991" i="5" s="1"/>
  <c r="BB834" i="5"/>
  <c r="BL579" i="5"/>
  <c r="BL642" i="5"/>
  <c r="BN643" i="5"/>
  <c r="BN580" i="5"/>
  <c r="BN649" i="5" s="1"/>
  <c r="DT1141" i="5"/>
  <c r="DT635" i="5"/>
  <c r="DT573" i="5"/>
  <c r="EF978" i="5"/>
  <c r="IB717" i="5"/>
  <c r="F28" i="7"/>
  <c r="HW631" i="5"/>
  <c r="E642" i="5"/>
  <c r="E579" i="5"/>
  <c r="DS631" i="5"/>
  <c r="DS1138" i="5"/>
  <c r="AD592" i="2"/>
  <c r="AD597" i="2" s="1"/>
  <c r="AD590" i="2"/>
  <c r="AE592" i="2"/>
  <c r="AE597" i="2" s="1"/>
  <c r="AD1315" i="2"/>
  <c r="DE1132" i="5"/>
  <c r="DE627" i="5"/>
  <c r="DE568" i="5"/>
  <c r="DE567" i="5"/>
  <c r="DE569" i="5"/>
  <c r="P18" i="7"/>
  <c r="AD684" i="2"/>
  <c r="FB1132" i="5"/>
  <c r="FO995" i="5"/>
  <c r="FO1154" i="5"/>
  <c r="FO1156" i="5" s="1"/>
  <c r="FF816" i="5"/>
  <c r="FF842" i="5"/>
  <c r="FF815" i="5"/>
  <c r="FF975" i="5"/>
  <c r="BZ626" i="5"/>
  <c r="BZ572" i="5"/>
  <c r="AX941" i="5"/>
  <c r="AX998" i="5" s="1"/>
  <c r="AX990" i="5"/>
  <c r="DW568" i="5"/>
  <c r="AA1389" i="2"/>
  <c r="DS1142" i="5"/>
  <c r="DS636" i="5"/>
  <c r="DS503" i="5"/>
  <c r="EE1149" i="5"/>
  <c r="EE503" i="5"/>
  <c r="IG822" i="5"/>
  <c r="AG1362" i="2"/>
  <c r="AG1775" i="2"/>
  <c r="P62" i="7"/>
  <c r="AD747" i="2"/>
  <c r="ID718" i="5"/>
  <c r="AC1040" i="2" s="1"/>
  <c r="CA990" i="5"/>
  <c r="CA941" i="5"/>
  <c r="CA998" i="5" s="1"/>
  <c r="Y1045" i="2"/>
  <c r="Y1302" i="2" s="1"/>
  <c r="HR979" i="5"/>
  <c r="P63" i="7"/>
  <c r="AD748" i="2"/>
  <c r="DZ536" i="5"/>
  <c r="DZ1149" i="5" s="1"/>
  <c r="DZ1151" i="5"/>
  <c r="AC580" i="5"/>
  <c r="AC649" i="5" s="1"/>
  <c r="AC643" i="5"/>
  <c r="KO990" i="5"/>
  <c r="KO941" i="5"/>
  <c r="KO998" i="5" s="1"/>
  <c r="BX626" i="5"/>
  <c r="BX572" i="5"/>
  <c r="AU626" i="5"/>
  <c r="AU572" i="5"/>
  <c r="CH503" i="5"/>
  <c r="CH1149" i="5"/>
  <c r="CH638" i="5"/>
  <c r="HS801" i="5"/>
  <c r="HU800" i="5"/>
  <c r="HU818" i="5"/>
  <c r="HU987" i="5" s="1"/>
  <c r="BY643" i="5"/>
  <c r="BY580" i="5"/>
  <c r="BY649" i="5" s="1"/>
  <c r="FT986" i="5"/>
  <c r="IL817" i="5"/>
  <c r="AA843" i="2"/>
  <c r="AA911" i="2" s="1"/>
  <c r="AA1503" i="2"/>
  <c r="AB420" i="2"/>
  <c r="AB419" i="2"/>
  <c r="FP985" i="5"/>
  <c r="FP835" i="5"/>
  <c r="FP991" i="5" s="1"/>
  <c r="IM818" i="5"/>
  <c r="DP536" i="5"/>
  <c r="DP1151" i="5"/>
  <c r="EG465" i="5"/>
  <c r="EG569" i="5"/>
  <c r="EG568" i="5"/>
  <c r="EG1132" i="5"/>
  <c r="EG567" i="5"/>
  <c r="HS467" i="5"/>
  <c r="Z968" i="2" s="1"/>
  <c r="IG497" i="5"/>
  <c r="IG633" i="5" s="1"/>
  <c r="CN1149" i="5"/>
  <c r="CN638" i="5"/>
  <c r="BF990" i="5"/>
  <c r="BF941" i="5"/>
  <c r="BF998" i="5" s="1"/>
  <c r="P13" i="7"/>
  <c r="AD679" i="2"/>
  <c r="AA876" i="2"/>
  <c r="AA975" i="2" s="1"/>
  <c r="AA849" i="2"/>
  <c r="HX616" i="5" s="1"/>
  <c r="AA691" i="2"/>
  <c r="L580" i="5"/>
  <c r="L649" i="5" s="1"/>
  <c r="L643" i="5"/>
  <c r="DY1142" i="5"/>
  <c r="DY503" i="5"/>
  <c r="DY1141" i="5" s="1"/>
  <c r="IG958" i="5"/>
  <c r="IG967" i="5" s="1"/>
  <c r="IE967" i="5"/>
  <c r="EF986" i="5"/>
  <c r="IB817" i="5"/>
  <c r="HW536" i="5"/>
  <c r="G105" i="7"/>
  <c r="H105" i="7" s="1"/>
  <c r="HY644" i="5"/>
  <c r="HU929" i="5"/>
  <c r="Z1248" i="2" s="1"/>
  <c r="CR1138" i="5"/>
  <c r="CR631" i="5"/>
  <c r="IJ822" i="5"/>
  <c r="F642" i="5"/>
  <c r="F579" i="5"/>
  <c r="BP941" i="5"/>
  <c r="BP998" i="5" s="1"/>
  <c r="BP990" i="5"/>
  <c r="IC717" i="5"/>
  <c r="EH666" i="5"/>
  <c r="EH978" i="5"/>
  <c r="AB359" i="2"/>
  <c r="AA602" i="2"/>
  <c r="AA359" i="2"/>
  <c r="AA358" i="2"/>
  <c r="AA1496" i="2"/>
  <c r="G137" i="7"/>
  <c r="HY596" i="5"/>
  <c r="HY1112" i="5"/>
  <c r="HY1114" i="5" s="1"/>
  <c r="EH1133" i="5"/>
  <c r="EH467" i="5"/>
  <c r="DX1132" i="5"/>
  <c r="DX465" i="5"/>
  <c r="AA371" i="2"/>
  <c r="AA370" i="2"/>
  <c r="AA1511" i="2"/>
  <c r="AB371" i="2"/>
  <c r="KN635" i="5"/>
  <c r="KN573" i="5"/>
  <c r="CM975" i="5"/>
  <c r="CM816" i="5"/>
  <c r="CM815" i="5"/>
  <c r="EW1132" i="5"/>
  <c r="EW465" i="5"/>
  <c r="FO975" i="5"/>
  <c r="FO816" i="5"/>
  <c r="FO815" i="5"/>
  <c r="FO842" i="5"/>
  <c r="AQ941" i="5"/>
  <c r="AQ998" i="5" s="1"/>
  <c r="AQ990" i="5"/>
  <c r="AE1043" i="2"/>
  <c r="IJ980" i="5"/>
  <c r="CX978" i="5"/>
  <c r="HT717" i="5"/>
  <c r="CX666" i="5"/>
  <c r="AA1614" i="2"/>
  <c r="AA1582" i="2"/>
  <c r="AE990" i="5"/>
  <c r="AE941" i="5"/>
  <c r="AE998" i="5" s="1"/>
  <c r="N643" i="5"/>
  <c r="N580" i="5"/>
  <c r="N649" i="5" s="1"/>
  <c r="HX754" i="5"/>
  <c r="AD643" i="5"/>
  <c r="AD580" i="5"/>
  <c r="AD649" i="5" s="1"/>
  <c r="DC465" i="5"/>
  <c r="DC1132" i="5"/>
  <c r="DC627" i="5"/>
  <c r="DC569" i="5"/>
  <c r="DC568" i="5"/>
  <c r="DC567" i="5"/>
  <c r="D82" i="7"/>
  <c r="HV640" i="5"/>
  <c r="IG754" i="5"/>
  <c r="IJ818" i="5"/>
  <c r="AB360" i="2"/>
  <c r="EF666" i="5"/>
  <c r="EF975" i="5" s="1"/>
  <c r="BD580" i="5"/>
  <c r="BD649" i="5" s="1"/>
  <c r="BD643" i="5"/>
  <c r="HX485" i="5"/>
  <c r="HX629" i="5" s="1"/>
  <c r="D24" i="7"/>
  <c r="E24" i="7" s="1"/>
  <c r="HV629" i="5"/>
  <c r="EI1154" i="5"/>
  <c r="EI582" i="5"/>
  <c r="AF1365" i="2"/>
  <c r="AF1452" i="2" s="1"/>
  <c r="IM591" i="5"/>
  <c r="AF906" i="2"/>
  <c r="AF956" i="2" s="1"/>
  <c r="L626" i="5"/>
  <c r="L572" i="5"/>
  <c r="AD1321" i="2"/>
  <c r="AD1408" i="2" s="1"/>
  <c r="AD1273" i="2"/>
  <c r="AD1281" i="2" s="1"/>
  <c r="CF978" i="5"/>
  <c r="CF666" i="5"/>
  <c r="HP717" i="5"/>
  <c r="P17" i="7"/>
  <c r="AD683" i="2"/>
  <c r="EY815" i="5"/>
  <c r="EY975" i="5"/>
  <c r="EY842" i="5"/>
  <c r="EY816" i="5"/>
  <c r="FE1153" i="5"/>
  <c r="FE997" i="5"/>
  <c r="II920" i="5"/>
  <c r="FE892" i="5"/>
  <c r="CT997" i="5"/>
  <c r="CT892" i="5"/>
  <c r="CT995" i="5" s="1"/>
  <c r="AS643" i="5"/>
  <c r="AS580" i="5"/>
  <c r="AS649" i="5" s="1"/>
  <c r="DN997" i="5"/>
  <c r="DN892" i="5"/>
  <c r="DN995" i="5" s="1"/>
  <c r="CO1149" i="5"/>
  <c r="CO503" i="5"/>
  <c r="CO638" i="5"/>
  <c r="Z1294" i="2"/>
  <c r="Z1381" i="2" s="1"/>
  <c r="Z550" i="2"/>
  <c r="Y552" i="2"/>
  <c r="AZ643" i="5"/>
  <c r="AZ580" i="5"/>
  <c r="AZ649" i="5" s="1"/>
  <c r="CI1151" i="5"/>
  <c r="CI536" i="5"/>
  <c r="AA1046" i="2"/>
  <c r="AA1303" i="2" s="1"/>
  <c r="AA1390" i="2" s="1"/>
  <c r="HX980" i="5"/>
  <c r="AJ643" i="5"/>
  <c r="AJ580" i="5"/>
  <c r="AJ649" i="5" s="1"/>
  <c r="P27" i="7"/>
  <c r="AD694" i="2"/>
  <c r="AD1474" i="2" s="1"/>
  <c r="AG591" i="2"/>
  <c r="AG1760" i="2"/>
  <c r="AG1786" i="2"/>
  <c r="AD1585" i="2"/>
  <c r="IJ898" i="5"/>
  <c r="AE1219" i="2" s="1"/>
  <c r="AE1586" i="2" s="1"/>
  <c r="Y1300" i="2"/>
  <c r="HV920" i="5"/>
  <c r="DE997" i="5"/>
  <c r="DE892" i="5"/>
  <c r="DI892" i="5"/>
  <c r="HW920" i="5"/>
  <c r="DI997" i="5"/>
  <c r="ED569" i="5"/>
  <c r="ED465" i="5"/>
  <c r="ED1132" i="5"/>
  <c r="ED567" i="5"/>
  <c r="ED568" i="5"/>
  <c r="CE986" i="5"/>
  <c r="HP817" i="5"/>
  <c r="HP959" i="5" s="1"/>
  <c r="S643" i="5"/>
  <c r="S580" i="5"/>
  <c r="S649" i="5" s="1"/>
  <c r="Z1043" i="2"/>
  <c r="HU980" i="5"/>
  <c r="BS941" i="5"/>
  <c r="BS998" i="5" s="1"/>
  <c r="BS990" i="5"/>
  <c r="O137" i="7"/>
  <c r="IG610" i="5"/>
  <c r="CF1132" i="5"/>
  <c r="CF567" i="5"/>
  <c r="CF568" i="5"/>
  <c r="CF569" i="5"/>
  <c r="CF627" i="5"/>
  <c r="CF465" i="5"/>
  <c r="BK643" i="5"/>
  <c r="BK580" i="5"/>
  <c r="BK649" i="5" s="1"/>
  <c r="N61" i="7"/>
  <c r="IG529" i="5"/>
  <c r="DW1142" i="5"/>
  <c r="DW503" i="5"/>
  <c r="AD1504" i="2"/>
  <c r="AD1502" i="2" s="1"/>
  <c r="AD907" i="2"/>
  <c r="HU1073" i="5"/>
  <c r="DB1095" i="5"/>
  <c r="DD1096" i="5" s="1"/>
  <c r="AJ579" i="5"/>
  <c r="AJ642" i="5"/>
  <c r="AI1794" i="2"/>
  <c r="AH1615" i="2"/>
  <c r="FU1132" i="5"/>
  <c r="EN815" i="5"/>
  <c r="EN984" i="5" s="1"/>
  <c r="FI985" i="5"/>
  <c r="FI835" i="5"/>
  <c r="FI991" i="5" s="1"/>
  <c r="ER569" i="5"/>
  <c r="ER567" i="5"/>
  <c r="ER568" i="5"/>
  <c r="ER1132" i="5"/>
  <c r="ER465" i="5"/>
  <c r="BV642" i="5"/>
  <c r="BV579" i="5"/>
  <c r="P90" i="7"/>
  <c r="AD781" i="2"/>
  <c r="CL568" i="5"/>
  <c r="CL465" i="5"/>
  <c r="CL1132" i="5"/>
  <c r="CL627" i="5"/>
  <c r="CL567" i="5"/>
  <c r="CL569" i="5"/>
  <c r="K572" i="5"/>
  <c r="K626" i="5"/>
  <c r="ES986" i="5"/>
  <c r="IF817" i="5"/>
  <c r="EU1154" i="5"/>
  <c r="EU582" i="5"/>
  <c r="IF596" i="5"/>
  <c r="O125" i="7" s="1"/>
  <c r="G115" i="7"/>
  <c r="HY584" i="5"/>
  <c r="IA585" i="5"/>
  <c r="CE627" i="5"/>
  <c r="CE569" i="5"/>
  <c r="CE568" i="5"/>
  <c r="CE1132" i="5"/>
  <c r="CE465" i="5"/>
  <c r="CE567" i="5"/>
  <c r="BK626" i="5"/>
  <c r="BK572" i="5"/>
  <c r="EV1153" i="5"/>
  <c r="IF584" i="5"/>
  <c r="O114" i="7" s="1"/>
  <c r="EV582" i="5"/>
  <c r="HW610" i="5"/>
  <c r="DI1156" i="5"/>
  <c r="AD1301" i="2"/>
  <c r="AD1389" i="2"/>
  <c r="IG585" i="5"/>
  <c r="P115" i="7" s="1"/>
  <c r="N115" i="7"/>
  <c r="ES997" i="5"/>
  <c r="IF920" i="5"/>
  <c r="ES892" i="5"/>
  <c r="AH1291" i="2"/>
  <c r="AH1378" i="2" s="1"/>
  <c r="AI1788" i="2"/>
  <c r="CK569" i="5"/>
  <c r="CK465" i="5"/>
  <c r="CK567" i="5"/>
  <c r="CK1132" i="5"/>
  <c r="CK627" i="5"/>
  <c r="CK568" i="5"/>
  <c r="DB996" i="5"/>
  <c r="HT893" i="5"/>
  <c r="DB892" i="5"/>
  <c r="DB995" i="5" s="1"/>
  <c r="HY633" i="5"/>
  <c r="HY543" i="5"/>
  <c r="IA497" i="5"/>
  <c r="IA633" i="5" s="1"/>
  <c r="G33" i="7"/>
  <c r="H33" i="7" s="1"/>
  <c r="EG996" i="5"/>
  <c r="EG892" i="5"/>
  <c r="IC893" i="5"/>
  <c r="ID893" i="5" s="1"/>
  <c r="AZ579" i="5"/>
  <c r="AZ642" i="5"/>
  <c r="CY636" i="5"/>
  <c r="CY1142" i="5"/>
  <c r="CY503" i="5"/>
  <c r="CY569" i="5"/>
  <c r="CY568" i="5"/>
  <c r="CY567" i="5"/>
  <c r="FL1138" i="5"/>
  <c r="FL666" i="5"/>
  <c r="IK717" i="5"/>
  <c r="FL978" i="5"/>
  <c r="ET1142" i="5"/>
  <c r="ET567" i="5"/>
  <c r="ET569" i="5"/>
  <c r="ET503" i="5"/>
  <c r="ET568" i="5"/>
  <c r="P16" i="7"/>
  <c r="AD682" i="2"/>
  <c r="DR978" i="5"/>
  <c r="DR666" i="5"/>
  <c r="HY717" i="5"/>
  <c r="HT817" i="5"/>
  <c r="HT986" i="5" s="1"/>
  <c r="EM536" i="5"/>
  <c r="IE543" i="5"/>
  <c r="N75" i="7" s="1"/>
  <c r="EM1151" i="5"/>
  <c r="FV995" i="5"/>
  <c r="FV1154" i="5"/>
  <c r="FV1156" i="5" s="1"/>
  <c r="Z1041" i="2"/>
  <c r="Z1299" i="2" s="1"/>
  <c r="HU979" i="5"/>
  <c r="AH426" i="2"/>
  <c r="AH427" i="2"/>
  <c r="AF1043" i="2"/>
  <c r="IM980" i="5"/>
  <c r="EM986" i="5"/>
  <c r="IE817" i="5"/>
  <c r="EN920" i="5"/>
  <c r="IE928" i="5"/>
  <c r="IG928" i="5" s="1"/>
  <c r="AD1247" i="2" s="1"/>
  <c r="AD1326" i="2"/>
  <c r="AD1413" i="2" s="1"/>
  <c r="AD621" i="2"/>
  <c r="AD1837" i="2"/>
  <c r="AD620" i="2"/>
  <c r="AE622" i="2"/>
  <c r="AD622" i="2"/>
  <c r="AQ643" i="5"/>
  <c r="AQ580" i="5"/>
  <c r="AQ649" i="5" s="1"/>
  <c r="EA569" i="5"/>
  <c r="EA465" i="5"/>
  <c r="EA568" i="5"/>
  <c r="EA1132" i="5"/>
  <c r="EA567" i="5"/>
  <c r="P11" i="7"/>
  <c r="AD677" i="2"/>
  <c r="N572" i="5"/>
  <c r="N642" i="5" s="1"/>
  <c r="GL666" i="5"/>
  <c r="IG818" i="5"/>
  <c r="AE1386" i="2"/>
  <c r="P89" i="7"/>
  <c r="AD780" i="2"/>
  <c r="AD1486" i="2" s="1"/>
  <c r="K643" i="5"/>
  <c r="K580" i="5"/>
  <c r="K649" i="5" s="1"/>
  <c r="EX1132" i="5"/>
  <c r="EX465" i="5"/>
  <c r="DE816" i="5"/>
  <c r="DE815" i="5"/>
  <c r="DE975" i="5"/>
  <c r="Y528" i="2"/>
  <c r="Y527" i="2"/>
  <c r="Y1295" i="2"/>
  <c r="CM465" i="5"/>
  <c r="CM568" i="5"/>
  <c r="CM567" i="5"/>
  <c r="CM627" i="5"/>
  <c r="CM1132" i="5"/>
  <c r="CM569" i="5"/>
  <c r="CV638" i="5"/>
  <c r="CV503" i="5"/>
  <c r="CV1149" i="5"/>
  <c r="I33" i="7"/>
  <c r="K33" i="7" s="1"/>
  <c r="HZ543" i="5"/>
  <c r="HV817" i="5"/>
  <c r="HV959" i="5" s="1"/>
  <c r="DL1149" i="5"/>
  <c r="DL638" i="5"/>
  <c r="HX492" i="5"/>
  <c r="HX632" i="5" s="1"/>
  <c r="D29" i="7"/>
  <c r="HV632" i="5"/>
  <c r="HV493" i="5"/>
  <c r="CS638" i="5"/>
  <c r="CS1149" i="5"/>
  <c r="CS503" i="5"/>
  <c r="CC643" i="5"/>
  <c r="CC580" i="5"/>
  <c r="CC649" i="5" s="1"/>
  <c r="IE802" i="5"/>
  <c r="P105" i="7"/>
  <c r="IG644" i="5"/>
  <c r="DD1132" i="5"/>
  <c r="DD569" i="5"/>
  <c r="DD465" i="5"/>
  <c r="DD567" i="5"/>
  <c r="DD627" i="5"/>
  <c r="DD568" i="5"/>
  <c r="AD693" i="2"/>
  <c r="IH817" i="5"/>
  <c r="EQ1142" i="5"/>
  <c r="EQ503" i="5"/>
  <c r="CI1132" i="5"/>
  <c r="CI627" i="5"/>
  <c r="EC568" i="5"/>
  <c r="EC1132" i="5"/>
  <c r="EC569" i="5"/>
  <c r="EC567" i="5"/>
  <c r="EC465" i="5"/>
  <c r="HZ802" i="5"/>
  <c r="HZ804" i="5"/>
  <c r="AC451" i="2"/>
  <c r="AC450" i="2"/>
  <c r="BX643" i="5"/>
  <c r="BX580" i="5"/>
  <c r="BX649" i="5" s="1"/>
  <c r="W642" i="5"/>
  <c r="W579" i="5"/>
  <c r="IA534" i="5"/>
  <c r="BE941" i="5"/>
  <c r="BE998" i="5" s="1"/>
  <c r="Y523" i="2"/>
  <c r="Y524" i="2"/>
  <c r="DX978" i="5"/>
  <c r="HZ717" i="5"/>
  <c r="DX666" i="5"/>
  <c r="AU990" i="5"/>
  <c r="AU941" i="5"/>
  <c r="AU998" i="5" s="1"/>
  <c r="CL1149" i="5"/>
  <c r="CL638" i="5"/>
  <c r="CP465" i="5"/>
  <c r="CP568" i="5"/>
  <c r="CP567" i="5"/>
  <c r="CP569" i="5"/>
  <c r="CP1132" i="5"/>
  <c r="CP627" i="5"/>
  <c r="F138" i="7"/>
  <c r="HW658" i="5"/>
  <c r="CL503" i="5"/>
  <c r="CL573" i="5" s="1"/>
  <c r="EN1153" i="5"/>
  <c r="EN582" i="5"/>
  <c r="IE584" i="5"/>
  <c r="BA941" i="5"/>
  <c r="BA998" i="5" s="1"/>
  <c r="FT1132" i="5"/>
  <c r="HS817" i="5"/>
  <c r="HS986" i="5" s="1"/>
  <c r="IB892" i="5"/>
  <c r="FJ816" i="5"/>
  <c r="FJ815" i="5"/>
  <c r="FJ975" i="5"/>
  <c r="P106" i="7"/>
  <c r="AD801" i="2"/>
  <c r="IG645" i="5"/>
  <c r="FB920" i="5"/>
  <c r="IH928" i="5"/>
  <c r="CQ997" i="5"/>
  <c r="CQ892" i="5"/>
  <c r="HS920" i="5"/>
  <c r="HU898" i="5"/>
  <c r="Z1219" i="2" s="1"/>
  <c r="Z1586" i="2" s="1"/>
  <c r="AD523" i="2"/>
  <c r="AD524" i="2"/>
  <c r="DO654" i="5"/>
  <c r="DO1154" i="5"/>
  <c r="DO582" i="5"/>
  <c r="DO650" i="5" s="1"/>
  <c r="G82" i="7"/>
  <c r="HY640" i="5"/>
  <c r="DD816" i="5"/>
  <c r="DD975" i="5"/>
  <c r="DD815" i="5"/>
  <c r="AD811" i="2"/>
  <c r="P116" i="7"/>
  <c r="DN978" i="5"/>
  <c r="DN666" i="5"/>
  <c r="FG1149" i="5"/>
  <c r="FG1141" i="5" s="1"/>
  <c r="EV1147" i="5"/>
  <c r="EV505" i="5"/>
  <c r="FU997" i="5"/>
  <c r="FU1153" i="5"/>
  <c r="FU892" i="5"/>
  <c r="BT580" i="5"/>
  <c r="BT649" i="5" s="1"/>
  <c r="BT643" i="5"/>
  <c r="AD822" i="2"/>
  <c r="P120" i="7"/>
  <c r="DD631" i="5"/>
  <c r="DD1138" i="5"/>
  <c r="EP1132" i="5"/>
  <c r="EP465" i="5"/>
  <c r="EP568" i="5"/>
  <c r="EP567" i="5"/>
  <c r="EP569" i="5"/>
  <c r="HQ817" i="5"/>
  <c r="D55" i="7"/>
  <c r="E55" i="7" s="1"/>
  <c r="HV522" i="5"/>
  <c r="D56" i="7" s="1"/>
  <c r="E56" i="7" s="1"/>
  <c r="AH835" i="5"/>
  <c r="AH991" i="5" s="1"/>
  <c r="AH815" i="5"/>
  <c r="AH984" i="5" s="1"/>
  <c r="AH975" i="5"/>
  <c r="AH834" i="5"/>
  <c r="AH816" i="5"/>
  <c r="AH985" i="5" s="1"/>
  <c r="AE1585" i="2"/>
  <c r="AE1583" i="2" s="1"/>
  <c r="AE1700" i="2" s="1"/>
  <c r="AE1695" i="2" s="1"/>
  <c r="IM898" i="5"/>
  <c r="AF1219" i="2" s="1"/>
  <c r="AF1586" i="2" s="1"/>
  <c r="AH1790" i="2"/>
  <c r="AH1293" i="2"/>
  <c r="AH1380" i="2" s="1"/>
  <c r="AH503" i="2"/>
  <c r="IA601" i="5"/>
  <c r="BY572" i="5"/>
  <c r="BY626" i="5"/>
  <c r="CN568" i="5"/>
  <c r="CN627" i="5"/>
  <c r="CN567" i="5"/>
  <c r="CN465" i="5"/>
  <c r="CN1132" i="5"/>
  <c r="CN569" i="5"/>
  <c r="DY465" i="5"/>
  <c r="DY568" i="5"/>
  <c r="DY569" i="5"/>
  <c r="DY567" i="5"/>
  <c r="DY1132" i="5"/>
  <c r="AA360" i="2"/>
  <c r="DI1142" i="5"/>
  <c r="BV990" i="5"/>
  <c r="BV941" i="5"/>
  <c r="BV998" i="5" s="1"/>
  <c r="EJ1154" i="5"/>
  <c r="EJ582" i="5"/>
  <c r="AI1324" i="2"/>
  <c r="AI1411" i="2" s="1"/>
  <c r="AI606" i="2"/>
  <c r="CM1138" i="5"/>
  <c r="CM631" i="5"/>
  <c r="P83" i="7"/>
  <c r="AD771" i="2"/>
  <c r="FT978" i="5"/>
  <c r="FT1138" i="5"/>
  <c r="CQ627" i="5"/>
  <c r="CQ1132" i="5"/>
  <c r="CQ567" i="5"/>
  <c r="CQ465" i="5"/>
  <c r="CQ626" i="5" s="1"/>
  <c r="CQ568" i="5"/>
  <c r="DD1142" i="5"/>
  <c r="DD636" i="5"/>
  <c r="CW997" i="5"/>
  <c r="HT920" i="5"/>
  <c r="CW892" i="5"/>
  <c r="C82" i="7"/>
  <c r="HT640" i="5"/>
  <c r="AD773" i="2"/>
  <c r="P85" i="7"/>
  <c r="AY572" i="5"/>
  <c r="AY626" i="5"/>
  <c r="FG986" i="5"/>
  <c r="II817" i="5"/>
  <c r="DU995" i="5"/>
  <c r="HZ892" i="5"/>
  <c r="EY996" i="5"/>
  <c r="IH893" i="5"/>
  <c r="EY892" i="5"/>
  <c r="AD692" i="2"/>
  <c r="P25" i="7"/>
  <c r="AD1174" i="2"/>
  <c r="IG993" i="5"/>
  <c r="AC1386" i="2"/>
  <c r="IV718" i="5"/>
  <c r="AI1040" i="2" s="1"/>
  <c r="DI503" i="5"/>
  <c r="E20" i="7"/>
  <c r="DV1154" i="5"/>
  <c r="DV582" i="5"/>
  <c r="CD580" i="5"/>
  <c r="CD649" i="5" s="1"/>
  <c r="CD643" i="5"/>
  <c r="DL986" i="5"/>
  <c r="HW817" i="5"/>
  <c r="AF1835" i="2"/>
  <c r="AF1863" i="2"/>
  <c r="ID707" i="5"/>
  <c r="DS1133" i="5"/>
  <c r="DS467" i="5"/>
  <c r="DS628" i="5"/>
  <c r="HP892" i="5"/>
  <c r="HX645" i="5"/>
  <c r="AA801" i="2"/>
  <c r="BO579" i="5"/>
  <c r="BO642" i="5"/>
  <c r="AA829" i="2"/>
  <c r="HX1107" i="5"/>
  <c r="HX655" i="5"/>
  <c r="KM635" i="5"/>
  <c r="KM572" i="5"/>
  <c r="KM573" i="5"/>
  <c r="CC572" i="5"/>
  <c r="CC626" i="5"/>
  <c r="FD995" i="5"/>
  <c r="FD1154" i="5"/>
  <c r="FD1156" i="5" s="1"/>
  <c r="CW1149" i="5"/>
  <c r="CW638" i="5"/>
  <c r="CW503" i="5"/>
  <c r="I580" i="5"/>
  <c r="I649" i="5" s="1"/>
  <c r="I643" i="5"/>
  <c r="CI567" i="5"/>
  <c r="AF614" i="2"/>
  <c r="AF1322" i="2"/>
  <c r="AF1409" i="2" s="1"/>
  <c r="AF613" i="2"/>
  <c r="AF1824" i="2"/>
  <c r="AF612" i="2"/>
  <c r="AG614" i="2"/>
  <c r="AD688" i="2"/>
  <c r="P22" i="7"/>
  <c r="CM1151" i="5"/>
  <c r="CM536" i="5"/>
  <c r="DC503" i="5"/>
  <c r="DC1142" i="5"/>
  <c r="DC636" i="5"/>
  <c r="IA529" i="5"/>
  <c r="IZ753" i="5"/>
  <c r="BW643" i="5"/>
  <c r="BW580" i="5"/>
  <c r="BW649" i="5" s="1"/>
  <c r="EY1138" i="5"/>
  <c r="EY978" i="5"/>
  <c r="IH717" i="5"/>
  <c r="BC626" i="5"/>
  <c r="BC572" i="5"/>
  <c r="HU598" i="5"/>
  <c r="CQ1155" i="5"/>
  <c r="HS598" i="5"/>
  <c r="FM996" i="5"/>
  <c r="FM892" i="5"/>
  <c r="IK893" i="5"/>
  <c r="AA579" i="5"/>
  <c r="AA642" i="5"/>
  <c r="BO815" i="5"/>
  <c r="BO984" i="5" s="1"/>
  <c r="BO816" i="5"/>
  <c r="BO985" i="5" s="1"/>
  <c r="BO834" i="5"/>
  <c r="BO835" i="5"/>
  <c r="BO991" i="5" s="1"/>
  <c r="BO975" i="5"/>
  <c r="P34" i="7"/>
  <c r="AD708" i="2"/>
  <c r="AD1481" i="2" s="1"/>
  <c r="Z1614" i="2"/>
  <c r="Z1582" i="2"/>
  <c r="CZ975" i="5"/>
  <c r="CZ815" i="5"/>
  <c r="CZ816" i="5"/>
  <c r="CI569" i="5"/>
  <c r="AS572" i="5"/>
  <c r="AS626" i="5"/>
  <c r="AA372" i="2"/>
  <c r="BC643" i="5"/>
  <c r="BC580" i="5"/>
  <c r="BC649" i="5" s="1"/>
  <c r="AE623" i="2"/>
  <c r="IG514" i="5"/>
  <c r="CD626" i="5"/>
  <c r="CD572" i="5"/>
  <c r="C50" i="7"/>
  <c r="HT505" i="5"/>
  <c r="H69" i="7"/>
  <c r="D114" i="7"/>
  <c r="HV651" i="5"/>
  <c r="AY643" i="5"/>
  <c r="AY580" i="5"/>
  <c r="AY649" i="5" s="1"/>
  <c r="G24" i="7"/>
  <c r="HY629" i="5"/>
  <c r="HS988" i="5"/>
  <c r="HU822" i="5"/>
  <c r="AC1584" i="2"/>
  <c r="AC1583" i="2" s="1"/>
  <c r="AC1700" i="2" s="1"/>
  <c r="AC1695" i="2" s="1"/>
  <c r="ID898" i="5"/>
  <c r="AC1219" i="2" s="1"/>
  <c r="AC1586" i="2" s="1"/>
  <c r="KN572" i="5"/>
  <c r="AC579" i="5"/>
  <c r="AC642" i="5"/>
  <c r="HV644" i="5"/>
  <c r="D105" i="7"/>
  <c r="IG485" i="5"/>
  <c r="N24" i="7"/>
  <c r="AU643" i="5"/>
  <c r="AU580" i="5"/>
  <c r="AU649" i="5" s="1"/>
  <c r="IJ722" i="5"/>
  <c r="AE1044" i="2" s="1"/>
  <c r="GI893" i="5"/>
  <c r="IQ898" i="5"/>
  <c r="AG1585" i="2" s="1"/>
  <c r="AG1583" i="2" s="1"/>
  <c r="DN638" i="5"/>
  <c r="DN1149" i="5"/>
  <c r="AM579" i="5"/>
  <c r="AM642" i="5"/>
  <c r="FC1154" i="5"/>
  <c r="FC1156" i="5" s="1"/>
  <c r="FC995" i="5"/>
  <c r="FF1138" i="5"/>
  <c r="FF978" i="5"/>
  <c r="II717" i="5"/>
  <c r="IT816" i="5"/>
  <c r="HU730" i="5"/>
  <c r="HT956" i="5"/>
  <c r="HT981" i="5"/>
  <c r="DP1132" i="5"/>
  <c r="DP627" i="5"/>
  <c r="DP567" i="5"/>
  <c r="DP568" i="5"/>
  <c r="DP465" i="5"/>
  <c r="DP569" i="5"/>
  <c r="II956" i="5"/>
  <c r="J579" i="5"/>
  <c r="J642" i="5"/>
  <c r="AH592" i="2"/>
  <c r="AH597" i="2" s="1"/>
  <c r="AH1538" i="2" s="1"/>
  <c r="AH1810" i="2"/>
  <c r="AH590" i="2"/>
  <c r="AH1315" i="2"/>
  <c r="AH1793" i="2"/>
  <c r="AH532" i="2"/>
  <c r="AH531" i="2"/>
  <c r="AH1309" i="2"/>
  <c r="IV730" i="5"/>
  <c r="AI1052" i="2" s="1"/>
  <c r="DU1138" i="5"/>
  <c r="DU465" i="5"/>
  <c r="AA308" i="2"/>
  <c r="AA307" i="2"/>
  <c r="AA1471" i="2"/>
  <c r="AA305" i="2"/>
  <c r="AA287" i="2"/>
  <c r="Y1578" i="2"/>
  <c r="Y1357" i="2"/>
  <c r="IS856" i="5"/>
  <c r="AH1173" i="2" s="1"/>
  <c r="EG1149" i="5"/>
  <c r="EG503" i="5"/>
  <c r="AA333" i="2"/>
  <c r="AA578" i="2"/>
  <c r="AA577" i="2"/>
  <c r="AA331" i="2"/>
  <c r="AA575" i="2"/>
  <c r="AA334" i="2"/>
  <c r="IR956" i="5"/>
  <c r="IR976" i="5"/>
  <c r="HU467" i="5"/>
  <c r="HU628" i="5"/>
  <c r="CA643" i="5"/>
  <c r="CA580" i="5"/>
  <c r="CA649" i="5" s="1"/>
  <c r="CT627" i="5"/>
  <c r="CT1132" i="5"/>
  <c r="CT567" i="5"/>
  <c r="CT569" i="5"/>
  <c r="CT568" i="5"/>
  <c r="CT465" i="5"/>
  <c r="AQ642" i="5"/>
  <c r="AQ579" i="5"/>
  <c r="J643" i="5"/>
  <c r="J580" i="5"/>
  <c r="J649" i="5" s="1"/>
  <c r="DZ1133" i="5"/>
  <c r="DZ467" i="5"/>
  <c r="AY990" i="5"/>
  <c r="AY941" i="5"/>
  <c r="AY998" i="5" s="1"/>
  <c r="AI1835" i="2"/>
  <c r="DG1149" i="5"/>
  <c r="DG638" i="5"/>
  <c r="HZ491" i="5"/>
  <c r="I28" i="7" s="1"/>
  <c r="I29" i="7"/>
  <c r="K29" i="7" s="1"/>
  <c r="IL956" i="5"/>
  <c r="IM667" i="5"/>
  <c r="EH1149" i="5"/>
  <c r="EH503" i="5"/>
  <c r="IH956" i="5"/>
  <c r="IJ667" i="5"/>
  <c r="AI1837" i="2"/>
  <c r="AI1326" i="2"/>
  <c r="AI1413" i="2" s="1"/>
  <c r="AI620" i="2"/>
  <c r="IR816" i="5"/>
  <c r="IR985" i="5" s="1"/>
  <c r="GO835" i="5"/>
  <c r="G50" i="7"/>
  <c r="H50" i="7" s="1"/>
  <c r="IA514" i="5"/>
  <c r="G29" i="7"/>
  <c r="HY632" i="5"/>
  <c r="HY491" i="5"/>
  <c r="IA492" i="5"/>
  <c r="IA632" i="5" s="1"/>
  <c r="F82" i="7"/>
  <c r="HW640" i="5"/>
  <c r="HX550" i="5"/>
  <c r="HX640" i="5" s="1"/>
  <c r="AI613" i="2"/>
  <c r="AJ613" i="2" s="1"/>
  <c r="AK613" i="2" s="1"/>
  <c r="AL613" i="2" s="1"/>
  <c r="AM613" i="2" s="1"/>
  <c r="AN613" i="2" s="1"/>
  <c r="AI1824" i="2"/>
  <c r="AI1322" i="2"/>
  <c r="AI1409" i="2" s="1"/>
  <c r="AI612" i="2"/>
  <c r="HZ468" i="5"/>
  <c r="I10" i="7"/>
  <c r="K10" i="7" s="1"/>
  <c r="IA550" i="5"/>
  <c r="IA640" i="5" s="1"/>
  <c r="I82" i="7"/>
  <c r="K82" i="7" s="1"/>
  <c r="Q643" i="5"/>
  <c r="Q580" i="5"/>
  <c r="Q649" i="5" s="1"/>
  <c r="AI1389" i="2"/>
  <c r="AI1301" i="2"/>
  <c r="AI1388" i="2" s="1"/>
  <c r="AI1638" i="2"/>
  <c r="AI1630" i="2"/>
  <c r="AI1269" i="2"/>
  <c r="AI1266" i="2" s="1"/>
  <c r="C8" i="7"/>
  <c r="HT628" i="5"/>
  <c r="HT467" i="5"/>
  <c r="HP802" i="5"/>
  <c r="HR802" i="5" s="1"/>
  <c r="HR801" i="5"/>
  <c r="GK800" i="5"/>
  <c r="GJ801" i="5"/>
  <c r="IS730" i="5"/>
  <c r="AH1052" i="2" s="1"/>
  <c r="IQ981" i="5"/>
  <c r="HW956" i="5"/>
  <c r="HX667" i="5"/>
  <c r="IG470" i="5"/>
  <c r="N10" i="7"/>
  <c r="IJ730" i="5"/>
  <c r="HW801" i="5"/>
  <c r="HW804" i="5" s="1"/>
  <c r="AF1791" i="2"/>
  <c r="AF550" i="2"/>
  <c r="AF1294" i="2"/>
  <c r="AE552" i="2"/>
  <c r="AF553" i="2"/>
  <c r="AF405" i="2"/>
  <c r="AH1618" i="2"/>
  <c r="AH1594" i="2"/>
  <c r="IT817" i="5"/>
  <c r="IV818" i="5"/>
  <c r="AI1134" i="2" s="1"/>
  <c r="F57" i="7"/>
  <c r="HX523" i="5"/>
  <c r="AA738" i="2" s="1"/>
  <c r="AE1791" i="2"/>
  <c r="AE405" i="2"/>
  <c r="AE1294" i="2"/>
  <c r="AE1381" i="2" s="1"/>
  <c r="AE550" i="2"/>
  <c r="AE553" i="2"/>
  <c r="AD552" i="2"/>
  <c r="DE1138" i="5"/>
  <c r="DE465" i="5"/>
  <c r="DE631" i="5"/>
  <c r="AG1418" i="2"/>
  <c r="AI1594" i="2"/>
  <c r="AI1618" i="2"/>
  <c r="BJ579" i="5"/>
  <c r="BJ642" i="5"/>
  <c r="IG730" i="5"/>
  <c r="IT909" i="5"/>
  <c r="IV910" i="5"/>
  <c r="AI1231" i="2" s="1"/>
  <c r="S579" i="5"/>
  <c r="S642" i="5"/>
  <c r="IK956" i="5"/>
  <c r="IM730" i="5"/>
  <c r="EB1132" i="5"/>
  <c r="EB569" i="5"/>
  <c r="EB567" i="5"/>
  <c r="EB465" i="5"/>
  <c r="EB568" i="5"/>
  <c r="HW798" i="5"/>
  <c r="HX797" i="5"/>
  <c r="AH603" i="2"/>
  <c r="AH1317" i="2"/>
  <c r="AH1404" i="2" s="1"/>
  <c r="FE975" i="5"/>
  <c r="FE815" i="5"/>
  <c r="FE842" i="5"/>
  <c r="FE816" i="5"/>
  <c r="DR505" i="5"/>
  <c r="DR1147" i="5"/>
  <c r="HY521" i="5"/>
  <c r="HY505" i="5" s="1"/>
  <c r="AJ1129" i="2"/>
  <c r="DN1147" i="5"/>
  <c r="DN505" i="5"/>
  <c r="HW521" i="5"/>
  <c r="DE1151" i="5"/>
  <c r="DE536" i="5"/>
  <c r="Q572" i="5"/>
  <c r="Q626" i="5"/>
  <c r="AC1390" i="2"/>
  <c r="AC1301" i="2"/>
  <c r="HW799" i="5"/>
  <c r="AI1315" i="2"/>
  <c r="AI1810" i="2"/>
  <c r="AI590" i="2"/>
  <c r="HX730" i="5"/>
  <c r="HV956" i="5"/>
  <c r="DK1141" i="5"/>
  <c r="IA667" i="5"/>
  <c r="HY956" i="5"/>
  <c r="DP631" i="5"/>
  <c r="DP1138" i="5"/>
  <c r="DZ1147" i="5"/>
  <c r="DZ505" i="5"/>
  <c r="HZ521" i="5"/>
  <c r="F129" i="7"/>
  <c r="H129" i="7" s="1"/>
  <c r="HW598" i="5"/>
  <c r="HX600" i="5"/>
  <c r="EB1142" i="5"/>
  <c r="EB503" i="5"/>
  <c r="EB1141" i="5" s="1"/>
  <c r="GO893" i="5"/>
  <c r="IR898" i="5"/>
  <c r="AD702" i="2"/>
  <c r="P30" i="7"/>
  <c r="AN580" i="5"/>
  <c r="AN649" i="5" s="1"/>
  <c r="AN643" i="5"/>
  <c r="IS818" i="5"/>
  <c r="AH1134" i="2" s="1"/>
  <c r="AH1331" i="2" s="1"/>
  <c r="IQ987" i="5"/>
  <c r="P31" i="7"/>
  <c r="AD703" i="2"/>
  <c r="AD1482" i="2" s="1"/>
  <c r="AD842" i="2"/>
  <c r="P136" i="7"/>
  <c r="IG1108" i="5"/>
  <c r="IG1110" i="5" s="1"/>
  <c r="AG579" i="5"/>
  <c r="AG642" i="5"/>
  <c r="HS956" i="5"/>
  <c r="HU667" i="5"/>
  <c r="HS976" i="5"/>
  <c r="HZ817" i="5"/>
  <c r="GI816" i="5"/>
  <c r="IF956" i="5"/>
  <c r="IG667" i="5"/>
  <c r="AH1290" i="2"/>
  <c r="AH1787" i="2"/>
  <c r="FA816" i="5"/>
  <c r="FA975" i="5"/>
  <c r="FA842" i="5"/>
  <c r="FA815" i="5"/>
  <c r="DI815" i="5"/>
  <c r="DI816" i="5"/>
  <c r="DI975" i="5"/>
  <c r="AN642" i="5"/>
  <c r="AN579" i="5"/>
  <c r="N57" i="7"/>
  <c r="IG523" i="5"/>
  <c r="IQ993" i="5"/>
  <c r="AG1577" i="2"/>
  <c r="AG1575" i="2" s="1"/>
  <c r="IS857" i="5"/>
  <c r="AH1174" i="2" s="1"/>
  <c r="AH1386" i="2"/>
  <c r="ES1149" i="5"/>
  <c r="AB642" i="5"/>
  <c r="AB579" i="5"/>
  <c r="CJ569" i="5"/>
  <c r="CJ465" i="5"/>
  <c r="CJ627" i="5"/>
  <c r="CJ567" i="5"/>
  <c r="CJ1132" i="5"/>
  <c r="CJ568" i="5"/>
  <c r="DA503" i="5"/>
  <c r="DA573" i="5" s="1"/>
  <c r="DA1149" i="5"/>
  <c r="DA638" i="5"/>
  <c r="HU491" i="5"/>
  <c r="HU631" i="5" s="1"/>
  <c r="HU632" i="5"/>
  <c r="DA1138" i="5"/>
  <c r="DA631" i="5"/>
  <c r="F115" i="7"/>
  <c r="HW584" i="5"/>
  <c r="IG550" i="5"/>
  <c r="O82" i="7"/>
  <c r="DF503" i="5"/>
  <c r="DF638" i="5"/>
  <c r="DF1149" i="5"/>
  <c r="G57" i="7"/>
  <c r="IA523" i="5"/>
  <c r="DA1132" i="5"/>
  <c r="DA465" i="5"/>
  <c r="DA568" i="5"/>
  <c r="DA569" i="5"/>
  <c r="DA567" i="5"/>
  <c r="DA627" i="5"/>
  <c r="HQ956" i="5"/>
  <c r="HR667" i="5"/>
  <c r="AD721" i="2"/>
  <c r="P46" i="7"/>
  <c r="Z541" i="2"/>
  <c r="Z542" i="2"/>
  <c r="C29" i="7"/>
  <c r="HT491" i="5"/>
  <c r="HT632" i="5"/>
  <c r="IA485" i="5"/>
  <c r="IA629" i="5" s="1"/>
  <c r="I24" i="7"/>
  <c r="K24" i="7" s="1"/>
  <c r="AA1501" i="2"/>
  <c r="EN1147" i="5"/>
  <c r="EN505" i="5"/>
  <c r="IE521" i="5"/>
  <c r="HR730" i="5"/>
  <c r="O75" i="7"/>
  <c r="AB643" i="5"/>
  <c r="AB580" i="5"/>
  <c r="AB649" i="5" s="1"/>
  <c r="CV1138" i="5"/>
  <c r="CV631" i="5"/>
  <c r="CV465" i="5"/>
  <c r="N29" i="7"/>
  <c r="IG492" i="5"/>
  <c r="AH1862" i="2"/>
  <c r="AH1836" i="2"/>
  <c r="IA730" i="5"/>
  <c r="DX503" i="5"/>
  <c r="DX568" i="5"/>
  <c r="DX1142" i="5"/>
  <c r="DX567" i="5"/>
  <c r="DX569" i="5"/>
  <c r="IS667" i="5"/>
  <c r="AH989" i="2" s="1"/>
  <c r="IQ976" i="5"/>
  <c r="IQ956" i="5"/>
  <c r="BM642" i="5"/>
  <c r="BM579" i="5"/>
  <c r="IY695" i="5"/>
  <c r="IX695" i="5" s="1"/>
  <c r="AA770" i="2"/>
  <c r="DV569" i="5"/>
  <c r="DV568" i="5"/>
  <c r="DV465" i="5"/>
  <c r="DV567" i="5"/>
  <c r="DV1132" i="5"/>
  <c r="CR569" i="5"/>
  <c r="CR1132" i="5"/>
  <c r="CR465" i="5"/>
  <c r="CR567" i="5"/>
  <c r="CR627" i="5"/>
  <c r="CR568" i="5"/>
  <c r="IA822" i="5"/>
  <c r="HZ956" i="5"/>
  <c r="EU1132" i="5"/>
  <c r="EU465" i="5"/>
  <c r="ID667" i="5"/>
  <c r="IB956" i="5"/>
  <c r="DU1149" i="5"/>
  <c r="DU503" i="5"/>
  <c r="EN1133" i="5"/>
  <c r="EN467" i="5"/>
  <c r="IE468" i="5"/>
  <c r="ID730" i="5"/>
  <c r="IC956" i="5"/>
  <c r="D50" i="7"/>
  <c r="HX514" i="5"/>
  <c r="HV505" i="5"/>
  <c r="AA707" i="2"/>
  <c r="AA1481" i="2"/>
  <c r="IV780" i="5"/>
  <c r="AI1095" i="2" s="1"/>
  <c r="IT958" i="5"/>
  <c r="P94" i="7"/>
  <c r="AD787" i="2"/>
  <c r="IS920" i="5"/>
  <c r="AH1239" i="2" s="1"/>
  <c r="AH1558" i="2" s="1"/>
  <c r="IQ997" i="5"/>
  <c r="HP798" i="5"/>
  <c r="EM1138" i="5"/>
  <c r="EM465" i="5"/>
  <c r="IE491" i="5"/>
  <c r="BH579" i="5"/>
  <c r="BH642" i="5"/>
  <c r="C75" i="7"/>
  <c r="HT536" i="5"/>
  <c r="DR1133" i="5"/>
  <c r="DR628" i="5"/>
  <c r="DR467" i="5"/>
  <c r="GK796" i="5"/>
  <c r="GJ799" i="5"/>
  <c r="AI1582" i="2"/>
  <c r="AI1614" i="2"/>
  <c r="AH1582" i="2"/>
  <c r="AH1614" i="2"/>
  <c r="HU638" i="5"/>
  <c r="BG580" i="5"/>
  <c r="BG649" i="5" s="1"/>
  <c r="BG643" i="5"/>
  <c r="AI1862" i="2"/>
  <c r="AI1836" i="2"/>
  <c r="P20" i="7"/>
  <c r="AD686" i="2"/>
  <c r="IS754" i="5"/>
  <c r="IQ982" i="5"/>
  <c r="HX470" i="5"/>
  <c r="HW468" i="5"/>
  <c r="F10" i="7"/>
  <c r="JH906" i="5"/>
  <c r="DN628" i="5"/>
  <c r="DN467" i="5"/>
  <c r="DN1133" i="5"/>
  <c r="CX638" i="5"/>
  <c r="CX503" i="5"/>
  <c r="CX1149" i="5"/>
  <c r="AI1578" i="2"/>
  <c r="AI1357" i="2"/>
  <c r="HV543" i="5"/>
  <c r="D33" i="7"/>
  <c r="E33" i="7" s="1"/>
  <c r="HV633" i="5"/>
  <c r="HV491" i="5"/>
  <c r="HX497" i="5"/>
  <c r="HX633" i="5" s="1"/>
  <c r="ES505" i="5"/>
  <c r="IF521" i="5"/>
  <c r="O55" i="7" s="1"/>
  <c r="ES1147" i="5"/>
  <c r="AE1787" i="2"/>
  <c r="AE1290" i="2"/>
  <c r="AH419" i="2"/>
  <c r="G10" i="7"/>
  <c r="IA470" i="5"/>
  <c r="IA468" i="5" s="1"/>
  <c r="HY468" i="5"/>
  <c r="EO1132" i="5"/>
  <c r="EO465" i="5"/>
  <c r="AH1791" i="2"/>
  <c r="AG552" i="2"/>
  <c r="AH1294" i="2"/>
  <c r="AH1381" i="2" s="1"/>
  <c r="AA822" i="2"/>
  <c r="HX585" i="5"/>
  <c r="HX584" i="5" s="1"/>
  <c r="HX651" i="5" s="1"/>
  <c r="GI797" i="5"/>
  <c r="GI1144" i="5" s="1"/>
  <c r="GI1142" i="5" s="1"/>
  <c r="GI1141" i="5" s="1"/>
  <c r="AD642" i="5"/>
  <c r="AD579" i="5"/>
  <c r="N127" i="7"/>
  <c r="AC1593" i="2"/>
  <c r="AC1597" i="2" s="1"/>
  <c r="EU505" i="5"/>
  <c r="EU567" i="5" s="1"/>
  <c r="EU1147" i="5"/>
  <c r="EZ975" i="5"/>
  <c r="EZ842" i="5"/>
  <c r="EZ815" i="5"/>
  <c r="EZ816" i="5"/>
  <c r="AI1317" i="2"/>
  <c r="AI1404" i="2" s="1"/>
  <c r="AI603" i="2"/>
  <c r="AI1814" i="2"/>
  <c r="IS780" i="5"/>
  <c r="AH1095" i="2" s="1"/>
  <c r="IQ958" i="5"/>
  <c r="IY790" i="5"/>
  <c r="IX790" i="5" s="1"/>
  <c r="O73" i="19"/>
  <c r="N73" i="19" s="1"/>
  <c r="JD877" i="5"/>
  <c r="JD876" i="5" s="1"/>
  <c r="P38" i="19"/>
  <c r="R38" i="19" s="1"/>
  <c r="AJ1623" i="2"/>
  <c r="AE38" i="19"/>
  <c r="IB467" i="5"/>
  <c r="J7" i="7" s="1"/>
  <c r="V1131" i="2"/>
  <c r="V1132" i="2" s="1"/>
  <c r="V1274" i="2"/>
  <c r="V1282" i="2" s="1"/>
  <c r="IH491" i="5"/>
  <c r="Q28" i="7" s="1"/>
  <c r="Q29" i="7"/>
  <c r="JE876" i="5"/>
  <c r="AF1740" i="2"/>
  <c r="JH876" i="5"/>
  <c r="V1288" i="2"/>
  <c r="V1375" i="2" s="1"/>
  <c r="AL1623" i="2"/>
  <c r="AK1174" i="2"/>
  <c r="AK1247" i="2"/>
  <c r="AK577" i="2"/>
  <c r="IX529" i="5"/>
  <c r="AN1331" i="2"/>
  <c r="AN1418" i="2" s="1"/>
  <c r="AK333" i="2"/>
  <c r="JB929" i="5"/>
  <c r="JA929" i="5" s="1"/>
  <c r="AC1520" i="2"/>
  <c r="JG883" i="5"/>
  <c r="JG661" i="5" s="1"/>
  <c r="JB792" i="5"/>
  <c r="W42" i="19"/>
  <c r="P42" i="19"/>
  <c r="R42" i="19" s="1"/>
  <c r="AK1227" i="2"/>
  <c r="JH790" i="5"/>
  <c r="Z926" i="2"/>
  <c r="JE929" i="5"/>
  <c r="JD929" i="5" s="1"/>
  <c r="AE100" i="19"/>
  <c r="AK1331" i="2"/>
  <c r="AK1418" i="2" s="1"/>
  <c r="W61" i="19"/>
  <c r="AL683" i="2"/>
  <c r="AL320" i="2" s="1"/>
  <c r="AJ1331" i="2"/>
  <c r="AJ1418" i="2" s="1"/>
  <c r="AG336" i="2"/>
  <c r="AH336" i="2" s="1"/>
  <c r="AM1331" i="2"/>
  <c r="AM1418" i="2" s="1"/>
  <c r="AN101" i="19"/>
  <c r="AP101" i="19" s="1"/>
  <c r="AO101" i="19"/>
  <c r="JE907" i="5"/>
  <c r="JB790" i="5"/>
  <c r="IZ790" i="5" s="1"/>
  <c r="AM1247" i="2"/>
  <c r="IR575" i="5"/>
  <c r="IR644" i="5" s="1"/>
  <c r="AO23" i="19"/>
  <c r="AN23" i="19"/>
  <c r="AP23" i="19" s="1"/>
  <c r="AM1799" i="2"/>
  <c r="AL1331" i="2"/>
  <c r="AL1418" i="2" s="1"/>
  <c r="AE61" i="19"/>
  <c r="AH32" i="19"/>
  <c r="AG32" i="19"/>
  <c r="X101" i="19"/>
  <c r="Z101" i="19" s="1"/>
  <c r="Y101" i="19"/>
  <c r="AG101" i="19"/>
  <c r="AF101" i="19"/>
  <c r="AH101" i="19" s="1"/>
  <c r="AJ844" i="2"/>
  <c r="IY611" i="5" s="1"/>
  <c r="IX611" i="5" s="1"/>
  <c r="AN575" i="2"/>
  <c r="AL329" i="2"/>
  <c r="AA1701" i="2"/>
  <c r="AG809" i="2"/>
  <c r="IP584" i="5" s="1"/>
  <c r="IO584" i="5" s="1"/>
  <c r="IO651" i="5" s="1"/>
  <c r="X597" i="2"/>
  <c r="JK790" i="5"/>
  <c r="JJ790" i="5" s="1"/>
  <c r="Z636" i="2"/>
  <c r="IP610" i="5"/>
  <c r="IN610" i="5" s="1"/>
  <c r="IO610" i="5" s="1"/>
  <c r="AL1247" i="2"/>
  <c r="JB488" i="5"/>
  <c r="IZ488" i="5" s="1"/>
  <c r="JA488" i="5" s="1"/>
  <c r="JA470" i="5"/>
  <c r="AL584" i="2"/>
  <c r="AL340" i="2"/>
  <c r="AM340" i="2" s="1"/>
  <c r="U1556" i="2"/>
  <c r="U1560" i="2" s="1"/>
  <c r="II543" i="5"/>
  <c r="R75" i="7" s="1"/>
  <c r="JH717" i="5"/>
  <c r="JG717" i="5" s="1"/>
  <c r="IR609" i="5"/>
  <c r="IU576" i="5"/>
  <c r="ID626" i="5"/>
  <c r="JE818" i="5"/>
  <c r="IY564" i="5"/>
  <c r="IW564" i="5" s="1"/>
  <c r="IX564" i="5" s="1"/>
  <c r="IC550" i="5"/>
  <c r="L82" i="7" s="1"/>
  <c r="Q50" i="7"/>
  <c r="IH505" i="5"/>
  <c r="AL1174" i="2"/>
  <c r="AM686" i="2"/>
  <c r="JE733" i="5"/>
  <c r="JC733" i="5" s="1"/>
  <c r="JD733" i="5" s="1"/>
  <c r="JE897" i="5"/>
  <c r="JC897" i="5" s="1"/>
  <c r="IX473" i="5"/>
  <c r="IV482" i="5"/>
  <c r="IT482" i="5" s="1"/>
  <c r="IU482" i="5" s="1"/>
  <c r="JA471" i="5"/>
  <c r="AI842" i="2"/>
  <c r="IV609" i="5" s="1"/>
  <c r="U1541" i="2"/>
  <c r="R51" i="7"/>
  <c r="II514" i="5"/>
  <c r="AL333" i="2"/>
  <c r="Z295" i="2"/>
  <c r="Y296" i="2" s="1"/>
  <c r="AC921" i="2"/>
  <c r="II522" i="5"/>
  <c r="R56" i="7" s="1"/>
  <c r="IH536" i="5"/>
  <c r="Q68" i="7" s="1"/>
  <c r="AD573" i="2"/>
  <c r="AL1636" i="2"/>
  <c r="AL1635" i="2" s="1"/>
  <c r="AL577" i="2"/>
  <c r="AN541" i="2"/>
  <c r="AM682" i="2"/>
  <c r="AN578" i="2"/>
  <c r="X903" i="2"/>
  <c r="X919" i="2" s="1"/>
  <c r="AK844" i="2"/>
  <c r="JB611" i="5" s="1"/>
  <c r="AC1722" i="2"/>
  <c r="AB921" i="2"/>
  <c r="AL573" i="2"/>
  <c r="L33" i="7"/>
  <c r="IC543" i="5"/>
  <c r="AB1520" i="2"/>
  <c r="AK679" i="2"/>
  <c r="AK674" i="2" s="1"/>
  <c r="IC522" i="5"/>
  <c r="L56" i="7" s="1"/>
  <c r="II611" i="5"/>
  <c r="R138" i="7" s="1"/>
  <c r="Z339" i="2"/>
  <c r="IN611" i="5"/>
  <c r="IO611" i="5" s="1"/>
  <c r="V1314" i="2"/>
  <c r="V1401" i="2" s="1"/>
  <c r="W1285" i="2"/>
  <c r="JG864" i="5"/>
  <c r="AM1616" i="2" s="1"/>
  <c r="AG376" i="2"/>
  <c r="Z583" i="2"/>
  <c r="AH844" i="2"/>
  <c r="AH854" i="2" s="1"/>
  <c r="W1063" i="2"/>
  <c r="AN629" i="2"/>
  <c r="V1559" i="2"/>
  <c r="W1213" i="2"/>
  <c r="W1361" i="2"/>
  <c r="W1448" i="2" s="1"/>
  <c r="Y919" i="2"/>
  <c r="X1744" i="2" s="1"/>
  <c r="Y953" i="2"/>
  <c r="Y962" i="2" s="1"/>
  <c r="X1741" i="2"/>
  <c r="W919" i="2"/>
  <c r="W953" i="2"/>
  <c r="W962" i="2" s="1"/>
  <c r="Q82" i="7"/>
  <c r="JK906" i="5"/>
  <c r="Z1701" i="2"/>
  <c r="Z1702" i="2"/>
  <c r="IY743" i="5"/>
  <c r="IX743" i="5" s="1"/>
  <c r="AJ541" i="2"/>
  <c r="AN1247" i="2"/>
  <c r="JM676" i="5"/>
  <c r="Z904" i="2"/>
  <c r="HR584" i="5"/>
  <c r="HR651" i="5" s="1"/>
  <c r="V953" i="2"/>
  <c r="V962" i="2" s="1"/>
  <c r="V919" i="2"/>
  <c r="AJ904" i="2"/>
  <c r="AJ954" i="2" s="1"/>
  <c r="Y1466" i="2"/>
  <c r="AC416" i="2"/>
  <c r="AB417" i="2" s="1"/>
  <c r="AC1066" i="2" s="1"/>
  <c r="AM1598" i="2"/>
  <c r="AJ1598" i="2"/>
  <c r="L141" i="7"/>
  <c r="R106" i="7"/>
  <c r="II575" i="5"/>
  <c r="R105" i="7" s="1"/>
  <c r="IK505" i="5"/>
  <c r="IL505" i="5" s="1"/>
  <c r="AN539" i="2"/>
  <c r="AO1065" i="2"/>
  <c r="V1150" i="2"/>
  <c r="V1151" i="2" s="1"/>
  <c r="AN378" i="2"/>
  <c r="AN774" i="2" s="1"/>
  <c r="IR576" i="5"/>
  <c r="IR645" i="5" s="1"/>
  <c r="IC505" i="5"/>
  <c r="L41" i="7" s="1"/>
  <c r="L139" i="7"/>
  <c r="IC611" i="5"/>
  <c r="Y1477" i="2"/>
  <c r="Y1476" i="2" s="1"/>
  <c r="Y1475" i="2" s="1"/>
  <c r="Y1518" i="2"/>
  <c r="AN324" i="2"/>
  <c r="AN568" i="2"/>
  <c r="AM569" i="2"/>
  <c r="AM325" i="2"/>
  <c r="AN424" i="2"/>
  <c r="AN302" i="2"/>
  <c r="IS525" i="5"/>
  <c r="AI744" i="2"/>
  <c r="AI1593" i="2"/>
  <c r="AI1617" i="2"/>
  <c r="AI1615" i="2" s="1"/>
  <c r="AD329" i="2"/>
  <c r="AK1598" i="2"/>
  <c r="J41" i="7"/>
  <c r="IB503" i="5"/>
  <c r="IY818" i="5"/>
  <c r="IX818" i="5" s="1"/>
  <c r="IN525" i="5"/>
  <c r="IO525" i="5" s="1"/>
  <c r="JI865" i="5"/>
  <c r="JJ865" i="5" s="1"/>
  <c r="JI864" i="5"/>
  <c r="JJ864" i="5" s="1"/>
  <c r="AL1108" i="2"/>
  <c r="AM648" i="2"/>
  <c r="AD417" i="2"/>
  <c r="AE1066" i="2" s="1"/>
  <c r="AF558" i="2"/>
  <c r="AF314" i="2"/>
  <c r="AE318" i="2"/>
  <c r="AE310" i="2" s="1"/>
  <c r="J126" i="7"/>
  <c r="K126" i="7" s="1"/>
  <c r="IB1107" i="5"/>
  <c r="IB1110" i="5" s="1"/>
  <c r="IC597" i="5"/>
  <c r="AM301" i="2"/>
  <c r="AL677" i="2"/>
  <c r="AL787" i="2"/>
  <c r="AM787" i="2" s="1"/>
  <c r="AN787" i="2" s="1"/>
  <c r="AO787" i="2" s="1"/>
  <c r="JB564" i="5"/>
  <c r="IZ564" i="5" s="1"/>
  <c r="JA564" i="5" s="1"/>
  <c r="JH818" i="5"/>
  <c r="IU575" i="5"/>
  <c r="IP536" i="5"/>
  <c r="IO536" i="5" s="1"/>
  <c r="IO638" i="5" s="1"/>
  <c r="JB743" i="5"/>
  <c r="AK541" i="2"/>
  <c r="IB620" i="5"/>
  <c r="J138" i="7"/>
  <c r="IB610" i="5"/>
  <c r="AG640" i="2"/>
  <c r="AG380" i="2"/>
  <c r="AB1597" i="2"/>
  <c r="AC1592" i="2"/>
  <c r="AB1591" i="2"/>
  <c r="JH743" i="5"/>
  <c r="JF743" i="5" s="1"/>
  <c r="JG743" i="5" s="1"/>
  <c r="AM541" i="2"/>
  <c r="AH345" i="2"/>
  <c r="IS506" i="5"/>
  <c r="IQ506" i="5" s="1"/>
  <c r="IR506" i="5" s="1"/>
  <c r="AH346" i="2"/>
  <c r="AI717" i="2"/>
  <c r="AN626" i="2"/>
  <c r="AN367" i="2"/>
  <c r="AM747" i="2"/>
  <c r="AJ1616" i="2"/>
  <c r="JE743" i="5"/>
  <c r="AL541" i="2"/>
  <c r="AM492" i="2"/>
  <c r="AL1014" i="2"/>
  <c r="Y1726" i="2"/>
  <c r="Z925" i="2"/>
  <c r="JI862" i="5"/>
  <c r="JJ862" i="5" s="1"/>
  <c r="AE572" i="2"/>
  <c r="AE328" i="2"/>
  <c r="AE322" i="2"/>
  <c r="AF565" i="2"/>
  <c r="AF321" i="2"/>
  <c r="AE566" i="2"/>
  <c r="JC746" i="5"/>
  <c r="JD746" i="5" s="1"/>
  <c r="W1444" i="2"/>
  <c r="W1356" i="2"/>
  <c r="W1443" i="2" s="1"/>
  <c r="AG883" i="2"/>
  <c r="AG930" i="2" s="1"/>
  <c r="IP532" i="5"/>
  <c r="IO532" i="5" s="1"/>
  <c r="AG746" i="2"/>
  <c r="W1274" i="2"/>
  <c r="W1150" i="2"/>
  <c r="AN348" i="2"/>
  <c r="AO353" i="2"/>
  <c r="AO348" i="2" s="1"/>
  <c r="AN336" i="2"/>
  <c r="AN580" i="2"/>
  <c r="AK688" i="2"/>
  <c r="AJ842" i="2"/>
  <c r="IY482" i="5"/>
  <c r="Q138" i="7"/>
  <c r="IH610" i="5"/>
  <c r="AN305" i="2"/>
  <c r="AM681" i="2"/>
  <c r="JB608" i="5"/>
  <c r="JB576" i="5"/>
  <c r="AK800" i="2"/>
  <c r="AL801" i="2"/>
  <c r="AK898" i="2"/>
  <c r="AK949" i="2" s="1"/>
  <c r="HR467" i="5"/>
  <c r="HR627" i="5" s="1"/>
  <c r="Z671" i="2"/>
  <c r="Z873" i="2"/>
  <c r="AD1597" i="2"/>
  <c r="AE1592" i="2"/>
  <c r="IT530" i="5"/>
  <c r="IT529" i="5" s="1"/>
  <c r="JB477" i="5"/>
  <c r="AK320" i="2"/>
  <c r="AK564" i="2"/>
  <c r="W1131" i="2"/>
  <c r="W1132" i="2" s="1"/>
  <c r="AH414" i="2"/>
  <c r="AG415" i="2"/>
  <c r="AM310" i="2"/>
  <c r="AM683" i="2"/>
  <c r="AL883" i="2"/>
  <c r="AL930" i="2" s="1"/>
  <c r="AL746" i="2"/>
  <c r="AC1704" i="2"/>
  <c r="AD1705" i="2"/>
  <c r="AO334" i="2"/>
  <c r="AP578" i="2" s="1"/>
  <c r="AO578" i="2"/>
  <c r="AL323" i="2"/>
  <c r="AL840" i="2" s="1"/>
  <c r="AL567" i="2"/>
  <c r="AL684" i="2"/>
  <c r="AN321" i="2"/>
  <c r="AM566" i="2"/>
  <c r="AN565" i="2"/>
  <c r="AM328" i="2"/>
  <c r="AM322" i="2"/>
  <c r="AM572" i="2"/>
  <c r="AF324" i="2"/>
  <c r="AF568" i="2"/>
  <c r="AE569" i="2"/>
  <c r="AE325" i="2"/>
  <c r="II584" i="5"/>
  <c r="R114" i="7" s="1"/>
  <c r="AF416" i="2"/>
  <c r="AE417" i="2" s="1"/>
  <c r="IZ750" i="5"/>
  <c r="JA750" i="5" s="1"/>
  <c r="Y1725" i="2"/>
  <c r="Z924" i="2"/>
  <c r="L29" i="7"/>
  <c r="IC496" i="5"/>
  <c r="L32" i="7" s="1"/>
  <c r="IC491" i="5"/>
  <c r="L28" i="7" s="1"/>
  <c r="AO381" i="2"/>
  <c r="AO780" i="2" s="1"/>
  <c r="AO641" i="2"/>
  <c r="AN780" i="2"/>
  <c r="JB727" i="5"/>
  <c r="JA727" i="5" s="1"/>
  <c r="AK1305" i="2"/>
  <c r="AL1049" i="2"/>
  <c r="AK883" i="2"/>
  <c r="AK930" i="2" s="1"/>
  <c r="JB532" i="5"/>
  <c r="JA532" i="5" s="1"/>
  <c r="AK746" i="2"/>
  <c r="L24" i="7"/>
  <c r="IC467" i="5"/>
  <c r="HR582" i="5"/>
  <c r="HR650" i="5" s="1"/>
  <c r="Z903" i="2"/>
  <c r="AA416" i="2"/>
  <c r="Z417" i="2" s="1"/>
  <c r="AA1066" i="2" s="1"/>
  <c r="AN1055" i="2"/>
  <c r="JH733" i="5"/>
  <c r="X1131" i="2"/>
  <c r="X1132" i="2" s="1"/>
  <c r="X1418" i="2"/>
  <c r="AN1060" i="2"/>
  <c r="JH738" i="5"/>
  <c r="AL849" i="2"/>
  <c r="AL876" i="2"/>
  <c r="AM289" i="2"/>
  <c r="AN290" i="2"/>
  <c r="AM292" i="2"/>
  <c r="AM294" i="2" s="1"/>
  <c r="X1444" i="2"/>
  <c r="X1356" i="2"/>
  <c r="X1443" i="2" s="1"/>
  <c r="IZ475" i="5"/>
  <c r="JA475" i="5" s="1"/>
  <c r="AK849" i="2"/>
  <c r="JB616" i="5" s="1"/>
  <c r="AK876" i="2"/>
  <c r="JB486" i="5"/>
  <c r="JA486" i="5" s="1"/>
  <c r="AH381" i="2"/>
  <c r="AG780" i="2"/>
  <c r="AH641" i="2"/>
  <c r="HR529" i="5"/>
  <c r="Z716" i="2"/>
  <c r="Z715" i="2" s="1"/>
  <c r="Y1508" i="2"/>
  <c r="Y1494" i="2" s="1"/>
  <c r="Z366" i="2"/>
  <c r="Z625" i="2"/>
  <c r="AO338" i="2"/>
  <c r="AP582" i="2" s="1"/>
  <c r="AO582" i="2"/>
  <c r="IW576" i="5"/>
  <c r="IW575" i="5" s="1"/>
  <c r="AL1620" i="2"/>
  <c r="AL1589" i="2"/>
  <c r="IZ478" i="5"/>
  <c r="JA478" i="5" s="1"/>
  <c r="JK861" i="5"/>
  <c r="AN1618" i="2"/>
  <c r="AI289" i="2"/>
  <c r="AI292" i="2"/>
  <c r="AI294" i="2" s="1"/>
  <c r="V1556" i="2"/>
  <c r="JC753" i="5"/>
  <c r="JD753" i="5" s="1"/>
  <c r="AH692" i="2"/>
  <c r="AH295" i="2"/>
  <c r="AG296" i="2" s="1"/>
  <c r="AH749" i="2"/>
  <c r="Y1743" i="2"/>
  <c r="Z957" i="2"/>
  <c r="AM1048" i="2"/>
  <c r="JE726" i="5"/>
  <c r="JD726" i="5" s="1"/>
  <c r="AC576" i="2"/>
  <c r="AD331" i="2"/>
  <c r="AM1216" i="2"/>
  <c r="JE895" i="5"/>
  <c r="JH897" i="5"/>
  <c r="AN1218" i="2"/>
  <c r="V1541" i="2"/>
  <c r="AG326" i="2"/>
  <c r="AG570" i="2"/>
  <c r="IP486" i="5"/>
  <c r="IO486" i="5" s="1"/>
  <c r="AG876" i="2"/>
  <c r="AG849" i="2"/>
  <c r="IP616" i="5" s="1"/>
  <c r="X1376" i="2"/>
  <c r="X1285" i="2"/>
  <c r="W1388" i="2"/>
  <c r="W1297" i="2"/>
  <c r="IY468" i="5"/>
  <c r="IX468" i="5" s="1"/>
  <c r="AJ874" i="2"/>
  <c r="AJ923" i="2" s="1"/>
  <c r="AJ897" i="2"/>
  <c r="AJ948" i="2" s="1"/>
  <c r="IY575" i="5"/>
  <c r="IV561" i="5"/>
  <c r="AJ783" i="2"/>
  <c r="X1388" i="2"/>
  <c r="X1297" i="2"/>
  <c r="X1384" i="2" s="1"/>
  <c r="JL861" i="5"/>
  <c r="Q126" i="7"/>
  <c r="II597" i="5"/>
  <c r="R126" i="7" s="1"/>
  <c r="AK1635" i="2"/>
  <c r="IZ831" i="5"/>
  <c r="JA831" i="5" s="1"/>
  <c r="J28" i="7"/>
  <c r="W1402" i="2"/>
  <c r="W1314" i="2"/>
  <c r="W1401" i="2" s="1"/>
  <c r="JC861" i="5"/>
  <c r="JD861" i="5" s="1"/>
  <c r="AM1593" i="2"/>
  <c r="IZ859" i="5"/>
  <c r="JA859" i="5"/>
  <c r="AL1588" i="2"/>
  <c r="X1314" i="2"/>
  <c r="X1401" i="2" s="1"/>
  <c r="X1408" i="2"/>
  <c r="AN326" i="2"/>
  <c r="AN570" i="2"/>
  <c r="AN1075" i="2"/>
  <c r="AM1313" i="2"/>
  <c r="AM1400" i="2" s="1"/>
  <c r="JH753" i="5"/>
  <c r="Y1724" i="2"/>
  <c r="Z923" i="2"/>
  <c r="AO314" i="2"/>
  <c r="AO562" i="2" s="1"/>
  <c r="AN562" i="2"/>
  <c r="AN466" i="2" s="1"/>
  <c r="AN318" i="2"/>
  <c r="AN686" i="2"/>
  <c r="AO331" i="2"/>
  <c r="AP575" i="2" s="1"/>
  <c r="AN682" i="2"/>
  <c r="AO575" i="2"/>
  <c r="X1213" i="2"/>
  <c r="AO1390" i="2"/>
  <c r="IZ861" i="5"/>
  <c r="AJ1392" i="2"/>
  <c r="AJ1304" i="2"/>
  <c r="W597" i="2"/>
  <c r="JA881" i="5"/>
  <c r="AM1174" i="2"/>
  <c r="AK1770" i="2"/>
  <c r="JM818" i="5"/>
  <c r="JB818" i="5"/>
  <c r="JM881" i="5"/>
  <c r="AJ1174" i="2"/>
  <c r="AJ1770" i="2"/>
  <c r="AG680" i="2" s="1"/>
  <c r="IP474" i="5" s="1"/>
  <c r="JL876" i="5"/>
  <c r="JI881" i="5"/>
  <c r="JJ881" i="5" s="1"/>
  <c r="IX612" i="5"/>
  <c r="IO612" i="5"/>
  <c r="IQ612" i="5"/>
  <c r="IQ611" i="5" s="1"/>
  <c r="IT612" i="5"/>
  <c r="IT611" i="5" s="1"/>
  <c r="AI912" i="2"/>
  <c r="AI959" i="2" s="1"/>
  <c r="IV611" i="5"/>
  <c r="AI843" i="2"/>
  <c r="AI854" i="2"/>
  <c r="IZ612" i="5"/>
  <c r="IZ611" i="5" s="1"/>
  <c r="AN1622" i="2"/>
  <c r="AN1267" i="2"/>
  <c r="JK859" i="5"/>
  <c r="AN1174" i="2"/>
  <c r="AJ1018" i="2"/>
  <c r="AK500" i="2"/>
  <c r="IP510" i="5"/>
  <c r="AH721" i="2"/>
  <c r="AH602" i="2" s="1"/>
  <c r="X1063" i="2"/>
  <c r="Y539" i="2"/>
  <c r="AM602" i="2"/>
  <c r="AM358" i="2"/>
  <c r="AN358" i="2" s="1"/>
  <c r="AO358" i="2" s="1"/>
  <c r="AL1017" i="2"/>
  <c r="AM447" i="2"/>
  <c r="AF584" i="2"/>
  <c r="AF340" i="2"/>
  <c r="AK446" i="2"/>
  <c r="JB695" i="5"/>
  <c r="IZ695" i="5" s="1"/>
  <c r="AI299" i="2"/>
  <c r="JG859" i="5"/>
  <c r="JF859" i="5"/>
  <c r="AK536" i="2"/>
  <c r="AN1325" i="2"/>
  <c r="AN1412" i="2" s="1"/>
  <c r="JK811" i="5"/>
  <c r="JI811" i="5" s="1"/>
  <c r="AS55" i="19" s="1"/>
  <c r="AK516" i="2"/>
  <c r="AJ1025" i="2"/>
  <c r="AH737" i="2"/>
  <c r="IP522" i="5"/>
  <c r="AJ1027" i="2"/>
  <c r="AK524" i="2"/>
  <c r="AJ1011" i="2"/>
  <c r="AK480" i="2"/>
  <c r="AD358" i="2"/>
  <c r="IS537" i="5"/>
  <c r="AI754" i="2"/>
  <c r="AH753" i="2"/>
  <c r="AO403" i="2"/>
  <c r="AO1410" i="2"/>
  <c r="AO1422" i="2"/>
  <c r="AO1446" i="2"/>
  <c r="AO507" i="2"/>
  <c r="AO1403" i="2"/>
  <c r="AO1419" i="2"/>
  <c r="AO617" i="2"/>
  <c r="AO1127" i="2" s="1"/>
  <c r="AO1278" i="2"/>
  <c r="AO1405" i="2"/>
  <c r="AO1383" i="2"/>
  <c r="AO1420" i="2"/>
  <c r="AO1455" i="2"/>
  <c r="AO1369" i="2"/>
  <c r="AO1456" i="2" s="1"/>
  <c r="AO1406" i="2"/>
  <c r="AO1378" i="2"/>
  <c r="AO1386" i="2"/>
  <c r="AO1176" i="2"/>
  <c r="AO1394" i="2"/>
  <c r="AO1387" i="2"/>
  <c r="AO434" i="2"/>
  <c r="AO1453" i="2"/>
  <c r="AO1445" i="2"/>
  <c r="AO1389" i="2"/>
  <c r="AO1450" i="2"/>
  <c r="AO1408" i="2"/>
  <c r="AO1385" i="2"/>
  <c r="AO1452" i="2"/>
  <c r="AF677" i="2"/>
  <c r="AG301" i="2"/>
  <c r="IJ471" i="5"/>
  <c r="AE423" i="2"/>
  <c r="AE676" i="2"/>
  <c r="AJ1026" i="2"/>
  <c r="AK520" i="2"/>
  <c r="AO859" i="2"/>
  <c r="AO918" i="2" s="1"/>
  <c r="AO378" i="2"/>
  <c r="AO774" i="2" s="1"/>
  <c r="IZ523" i="5"/>
  <c r="JA523" i="5" s="1"/>
  <c r="AN636" i="2"/>
  <c r="AN376" i="2"/>
  <c r="AO370" i="2"/>
  <c r="AJ1024" i="2"/>
  <c r="AK512" i="2"/>
  <c r="AK528" i="2"/>
  <c r="AJ1028" i="2"/>
  <c r="AN630" i="2"/>
  <c r="AN603" i="2"/>
  <c r="AN622" i="2"/>
  <c r="AN608" i="2"/>
  <c r="AI305" i="2"/>
  <c r="AI681" i="2" s="1"/>
  <c r="AH681" i="2"/>
  <c r="AJ1007" i="2"/>
  <c r="AK472" i="2"/>
  <c r="IN475" i="5"/>
  <c r="IO475" i="5" s="1"/>
  <c r="AJ1013" i="2"/>
  <c r="AK488" i="2"/>
  <c r="AK1408" i="2"/>
  <c r="AJ1408" i="2"/>
  <c r="AL1385" i="2"/>
  <c r="IY491" i="5"/>
  <c r="IX491" i="5" s="1"/>
  <c r="AJ877" i="2"/>
  <c r="AJ925" i="2" s="1"/>
  <c r="IC584" i="5"/>
  <c r="L114" i="7" s="1"/>
  <c r="L115" i="7"/>
  <c r="AK904" i="2"/>
  <c r="AK954" i="2" s="1"/>
  <c r="JB584" i="5"/>
  <c r="JA584" i="5" s="1"/>
  <c r="AG636" i="2"/>
  <c r="AL877" i="2"/>
  <c r="AL925" i="2" s="1"/>
  <c r="IL536" i="5"/>
  <c r="IL491" i="5"/>
  <c r="AM877" i="2"/>
  <c r="AM925" i="2" s="1"/>
  <c r="IS584" i="5"/>
  <c r="AH904" i="2"/>
  <c r="AH954" i="2" s="1"/>
  <c r="II491" i="5"/>
  <c r="R28" i="7" s="1"/>
  <c r="R29" i="7"/>
  <c r="JB717" i="5"/>
  <c r="JA717" i="5" s="1"/>
  <c r="AK1762" i="2"/>
  <c r="AK1799" i="2"/>
  <c r="V1417" i="2"/>
  <c r="JB491" i="5"/>
  <c r="JA491" i="5" s="1"/>
  <c r="AK877" i="2"/>
  <c r="AK925" i="2" s="1"/>
  <c r="IV491" i="5"/>
  <c r="IU491" i="5" s="1"/>
  <c r="AI877" i="2"/>
  <c r="AI925" i="2" s="1"/>
  <c r="X1360" i="2"/>
  <c r="X1449" i="2"/>
  <c r="AM1385" i="2"/>
  <c r="JE717" i="5"/>
  <c r="JD717" i="5" s="1"/>
  <c r="AL1799" i="2"/>
  <c r="AN1385" i="2"/>
  <c r="IY929" i="5"/>
  <c r="IX929" i="5" s="1"/>
  <c r="AJ1247" i="2"/>
  <c r="AO1418" i="2"/>
  <c r="AO1388" i="2"/>
  <c r="AH878" i="2"/>
  <c r="AH926" i="2" s="1"/>
  <c r="AH700" i="2"/>
  <c r="IS492" i="5"/>
  <c r="AN877" i="2"/>
  <c r="AK1385" i="2"/>
  <c r="JN717" i="5"/>
  <c r="JM717" i="5" s="1"/>
  <c r="AJ1799" i="2"/>
  <c r="IY717" i="5"/>
  <c r="IX717" i="5" s="1"/>
  <c r="AJ1762" i="2"/>
  <c r="CQ815" i="5" l="1"/>
  <c r="CQ984" i="5" s="1"/>
  <c r="Y1398" i="2"/>
  <c r="ET816" i="5"/>
  <c r="Z485" i="2"/>
  <c r="FS815" i="5"/>
  <c r="EB815" i="5"/>
  <c r="EB834" i="5" s="1"/>
  <c r="CQ985" i="5"/>
  <c r="CQ975" i="5"/>
  <c r="AC525" i="2"/>
  <c r="CB941" i="5"/>
  <c r="CB998" i="5" s="1"/>
  <c r="AA1308" i="2"/>
  <c r="AA1395" i="2" s="1"/>
  <c r="EE975" i="5"/>
  <c r="ET815" i="5"/>
  <c r="ET984" i="5" s="1"/>
  <c r="EB816" i="5"/>
  <c r="EB835" i="5" s="1"/>
  <c r="EB991" i="5" s="1"/>
  <c r="GO842" i="5"/>
  <c r="JJ907" i="5"/>
  <c r="FS816" i="5"/>
  <c r="FS985" i="5" s="1"/>
  <c r="AS89" i="19"/>
  <c r="AT89" i="19" s="1"/>
  <c r="AM88" i="19"/>
  <c r="AM1582" i="2"/>
  <c r="JE906" i="5"/>
  <c r="AF501" i="2"/>
  <c r="AB505" i="2"/>
  <c r="AW88" i="19"/>
  <c r="AA505" i="2"/>
  <c r="BB28" i="19"/>
  <c r="Q89" i="19"/>
  <c r="BB10" i="19"/>
  <c r="AN1535" i="2"/>
  <c r="AD28" i="19"/>
  <c r="AO1614" i="2"/>
  <c r="IY692" i="5"/>
  <c r="IX692" i="5" s="1"/>
  <c r="AV89" i="19"/>
  <c r="AX89" i="19" s="1"/>
  <c r="AW89" i="19"/>
  <c r="AK491" i="2"/>
  <c r="JI920" i="5"/>
  <c r="BC95" i="19"/>
  <c r="BB95" i="19" s="1"/>
  <c r="AL1582" i="2"/>
  <c r="AG28" i="19"/>
  <c r="IY906" i="5"/>
  <c r="IX906" i="5" s="1"/>
  <c r="BA73" i="19"/>
  <c r="BB73" i="19" s="1"/>
  <c r="P89" i="19"/>
  <c r="R89" i="19" s="1"/>
  <c r="AE88" i="19"/>
  <c r="BC88" i="19"/>
  <c r="BD88" i="19" s="1"/>
  <c r="BF88" i="19" s="1"/>
  <c r="AD10" i="19"/>
  <c r="JJ906" i="5"/>
  <c r="AN1612" i="2" s="1"/>
  <c r="AJ1059" i="2"/>
  <c r="AN1118" i="2"/>
  <c r="AD100" i="19"/>
  <c r="AL10" i="19"/>
  <c r="EE816" i="5"/>
  <c r="EE835" i="5" s="1"/>
  <c r="EE991" i="5" s="1"/>
  <c r="GR842" i="5"/>
  <c r="AR941" i="5"/>
  <c r="AR998" i="5" s="1"/>
  <c r="EU815" i="5"/>
  <c r="EU984" i="5" s="1"/>
  <c r="EP572" i="5"/>
  <c r="EP579" i="5" s="1"/>
  <c r="EP615" i="5" s="1"/>
  <c r="EU975" i="5"/>
  <c r="EI975" i="5"/>
  <c r="EI816" i="5"/>
  <c r="EI985" i="5" s="1"/>
  <c r="ED573" i="5"/>
  <c r="ED580" i="5" s="1"/>
  <c r="EP573" i="5"/>
  <c r="EP580" i="5" s="1"/>
  <c r="EA815" i="5"/>
  <c r="EA984" i="5" s="1"/>
  <c r="P990" i="5"/>
  <c r="EA816" i="5"/>
  <c r="EA985" i="5" s="1"/>
  <c r="GJ842" i="5"/>
  <c r="FU816" i="5"/>
  <c r="FU835" i="5" s="1"/>
  <c r="FU991" i="5" s="1"/>
  <c r="FU975" i="5"/>
  <c r="DA815" i="5"/>
  <c r="DA984" i="5" s="1"/>
  <c r="AM1613" i="2"/>
  <c r="AS88" i="19"/>
  <c r="AT88" i="19" s="1"/>
  <c r="FU842" i="5"/>
  <c r="U579" i="5"/>
  <c r="U582" i="5" s="1"/>
  <c r="X642" i="5"/>
  <c r="JL906" i="5"/>
  <c r="BA89" i="19"/>
  <c r="BB89" i="19" s="1"/>
  <c r="AT55" i="19"/>
  <c r="GV815" i="5"/>
  <c r="GV834" i="5" s="1"/>
  <c r="GV941" i="5" s="1"/>
  <c r="FS975" i="5"/>
  <c r="DT572" i="5"/>
  <c r="DT579" i="5" s="1"/>
  <c r="AW73" i="19"/>
  <c r="AW100" i="19"/>
  <c r="AT100" i="19"/>
  <c r="BD89" i="19"/>
  <c r="BF89" i="19" s="1"/>
  <c r="AW96" i="19"/>
  <c r="AT96" i="19"/>
  <c r="AW72" i="19"/>
  <c r="AT72" i="19"/>
  <c r="AW97" i="19"/>
  <c r="AT97" i="19"/>
  <c r="AW98" i="19"/>
  <c r="AT98" i="19"/>
  <c r="AW10" i="19"/>
  <c r="AT10" i="19"/>
  <c r="AW29" i="19"/>
  <c r="AT29" i="19"/>
  <c r="AO73" i="19"/>
  <c r="AL100" i="19"/>
  <c r="V100" i="19"/>
  <c r="KN990" i="5"/>
  <c r="EM503" i="5"/>
  <c r="EM1141" i="5" s="1"/>
  <c r="EM1157" i="5" s="1"/>
  <c r="HC815" i="5"/>
  <c r="HC834" i="5" s="1"/>
  <c r="HC941" i="5" s="1"/>
  <c r="CB579" i="5"/>
  <c r="CB648" i="5" s="1"/>
  <c r="BI582" i="5"/>
  <c r="BI650" i="5" s="1"/>
  <c r="GK842" i="5"/>
  <c r="Y582" i="5"/>
  <c r="Y596" i="5" s="1"/>
  <c r="EK816" i="5"/>
  <c r="EK985" i="5" s="1"/>
  <c r="EK815" i="5"/>
  <c r="EK984" i="5" s="1"/>
  <c r="BU941" i="5"/>
  <c r="BU998" i="5" s="1"/>
  <c r="ED572" i="5"/>
  <c r="ED579" i="5" s="1"/>
  <c r="ED615" i="5" s="1"/>
  <c r="HF815" i="5"/>
  <c r="HF834" i="5" s="1"/>
  <c r="HF941" i="5" s="1"/>
  <c r="HA842" i="5"/>
  <c r="C114" i="7"/>
  <c r="E114" i="7" s="1"/>
  <c r="AB1357" i="2"/>
  <c r="AB1444" i="2" s="1"/>
  <c r="HD815" i="5"/>
  <c r="HD834" i="5" s="1"/>
  <c r="HD941" i="5" s="1"/>
  <c r="DP816" i="5"/>
  <c r="DP985" i="5" s="1"/>
  <c r="FC975" i="5"/>
  <c r="DP815" i="5"/>
  <c r="DP984" i="5" s="1"/>
  <c r="FC842" i="5"/>
  <c r="FC815" i="5"/>
  <c r="FC984" i="5" s="1"/>
  <c r="Z481" i="2"/>
  <c r="EW975" i="5"/>
  <c r="EM569" i="5"/>
  <c r="GP842" i="5"/>
  <c r="GM842" i="5"/>
  <c r="AM990" i="5"/>
  <c r="DZ834" i="5"/>
  <c r="DZ990" i="5" s="1"/>
  <c r="CO572" i="5"/>
  <c r="CO642" i="5" s="1"/>
  <c r="EM567" i="5"/>
  <c r="GX815" i="5"/>
  <c r="GX834" i="5" s="1"/>
  <c r="GX941" i="5" s="1"/>
  <c r="DG635" i="5"/>
  <c r="EO834" i="5"/>
  <c r="EO941" i="5" s="1"/>
  <c r="EO998" i="5" s="1"/>
  <c r="EM568" i="5"/>
  <c r="CG984" i="5"/>
  <c r="DZ975" i="5"/>
  <c r="FR816" i="5"/>
  <c r="FR835" i="5" s="1"/>
  <c r="FR991" i="5" s="1"/>
  <c r="CH835" i="5"/>
  <c r="CH991" i="5" s="1"/>
  <c r="CG816" i="5"/>
  <c r="CG835" i="5" s="1"/>
  <c r="CG991" i="5" s="1"/>
  <c r="CG975" i="5"/>
  <c r="CH975" i="5"/>
  <c r="CR573" i="5"/>
  <c r="CR580" i="5" s="1"/>
  <c r="CR649" i="5" s="1"/>
  <c r="DA816" i="5"/>
  <c r="DA835" i="5" s="1"/>
  <c r="DA991" i="5" s="1"/>
  <c r="X582" i="5"/>
  <c r="X596" i="5" s="1"/>
  <c r="CQ635" i="5"/>
  <c r="EW815" i="5"/>
  <c r="EW984" i="5" s="1"/>
  <c r="E990" i="5"/>
  <c r="HE815" i="5"/>
  <c r="HE834" i="5" s="1"/>
  <c r="HE941" i="5" s="1"/>
  <c r="CQ573" i="5"/>
  <c r="CQ643" i="5" s="1"/>
  <c r="CP573" i="5"/>
  <c r="CP643" i="5" s="1"/>
  <c r="CP1141" i="5"/>
  <c r="DZ816" i="5"/>
  <c r="DZ985" i="5" s="1"/>
  <c r="AA1538" i="2"/>
  <c r="DM567" i="5"/>
  <c r="DV815" i="5"/>
  <c r="DV834" i="5" s="1"/>
  <c r="DV990" i="5" s="1"/>
  <c r="DJ816" i="5"/>
  <c r="DJ835" i="5" s="1"/>
  <c r="DJ991" i="5" s="1"/>
  <c r="DJ815" i="5"/>
  <c r="DJ834" i="5" s="1"/>
  <c r="EL975" i="5"/>
  <c r="Y1076" i="2"/>
  <c r="CS815" i="5"/>
  <c r="CS984" i="5" s="1"/>
  <c r="EL816" i="5"/>
  <c r="EL835" i="5" s="1"/>
  <c r="EL991" i="5" s="1"/>
  <c r="DH1141" i="5"/>
  <c r="IG996" i="5"/>
  <c r="CH815" i="5"/>
  <c r="CH834" i="5" s="1"/>
  <c r="CH941" i="5" s="1"/>
  <c r="CH998" i="5" s="1"/>
  <c r="Y40" i="19"/>
  <c r="AA941" i="5"/>
  <c r="AA998" i="5" s="1"/>
  <c r="GY842" i="5"/>
  <c r="DS815" i="5"/>
  <c r="DS984" i="5" s="1"/>
  <c r="FH1157" i="5"/>
  <c r="GW815" i="5"/>
  <c r="GW834" i="5" s="1"/>
  <c r="GW941" i="5" s="1"/>
  <c r="X990" i="5"/>
  <c r="FK1157" i="5"/>
  <c r="BR579" i="5"/>
  <c r="BR582" i="5" s="1"/>
  <c r="FK842" i="5"/>
  <c r="FK975" i="5"/>
  <c r="DS975" i="5"/>
  <c r="CO816" i="5"/>
  <c r="CO985" i="5" s="1"/>
  <c r="EP816" i="5"/>
  <c r="EP985" i="5" s="1"/>
  <c r="CO815" i="5"/>
  <c r="CO984" i="5" s="1"/>
  <c r="X10" i="19"/>
  <c r="Z10" i="19" s="1"/>
  <c r="V10" i="19"/>
  <c r="Y941" i="5"/>
  <c r="Y998" i="5" s="1"/>
  <c r="DW975" i="5"/>
  <c r="CF1141" i="5"/>
  <c r="HB815" i="5"/>
  <c r="HB834" i="5" s="1"/>
  <c r="HB941" i="5" s="1"/>
  <c r="AF73" i="19"/>
  <c r="AH73" i="19" s="1"/>
  <c r="BW941" i="5"/>
  <c r="BW998" i="5" s="1"/>
  <c r="DW816" i="5"/>
  <c r="DW985" i="5" s="1"/>
  <c r="BY990" i="5"/>
  <c r="IS817" i="5"/>
  <c r="AH1133" i="2" s="1"/>
  <c r="AH1768" i="2" s="1"/>
  <c r="FG815" i="5"/>
  <c r="FG834" i="5" s="1"/>
  <c r="FK835" i="5"/>
  <c r="FK991" i="5" s="1"/>
  <c r="IR959" i="5"/>
  <c r="IR968" i="5" s="1"/>
  <c r="HV666" i="5"/>
  <c r="HV842" i="5" s="1"/>
  <c r="HV851" i="5" s="1"/>
  <c r="FK1156" i="5"/>
  <c r="Y73" i="19"/>
  <c r="FQ1157" i="5"/>
  <c r="GN842" i="5"/>
  <c r="G642" i="5"/>
  <c r="P10" i="19"/>
  <c r="R10" i="19" s="1"/>
  <c r="N10" i="19"/>
  <c r="E127" i="7"/>
  <c r="CF635" i="5"/>
  <c r="GS842" i="5"/>
  <c r="EV815" i="5"/>
  <c r="EV984" i="5" s="1"/>
  <c r="IG717" i="5"/>
  <c r="AD1039" i="2" s="1"/>
  <c r="N23" i="19"/>
  <c r="Q23" i="19"/>
  <c r="P23" i="19"/>
  <c r="R23" i="19" s="1"/>
  <c r="X42" i="19"/>
  <c r="Z42" i="19" s="1"/>
  <c r="EP815" i="5"/>
  <c r="EP984" i="5" s="1"/>
  <c r="GK1147" i="5"/>
  <c r="ER572" i="5"/>
  <c r="ER579" i="5" s="1"/>
  <c r="ER615" i="5" s="1"/>
  <c r="FK815" i="5"/>
  <c r="FK984" i="5" s="1"/>
  <c r="AE1861" i="2"/>
  <c r="AG485" i="2"/>
  <c r="AD551" i="2"/>
  <c r="X1538" i="2"/>
  <c r="AG1569" i="2"/>
  <c r="AK1077" i="2"/>
  <c r="AL1077" i="2" s="1"/>
  <c r="AB477" i="2"/>
  <c r="AF1538" i="2"/>
  <c r="AO1239" i="2"/>
  <c r="AO1558" i="2" s="1"/>
  <c r="JN928" i="5"/>
  <c r="E99" i="19"/>
  <c r="G99" i="19" s="1"/>
  <c r="E100" i="19"/>
  <c r="G100" i="19" s="1"/>
  <c r="AK496" i="2"/>
  <c r="E8" i="19"/>
  <c r="G8" i="19" s="1"/>
  <c r="AV100" i="19"/>
  <c r="AX100" i="19" s="1"/>
  <c r="AB432" i="2"/>
  <c r="AG1558" i="2"/>
  <c r="E70" i="19"/>
  <c r="G70" i="19" s="1"/>
  <c r="D5" i="19"/>
  <c r="F5" i="19" s="1"/>
  <c r="D32" i="19"/>
  <c r="F32" i="19" s="1"/>
  <c r="AB1289" i="2"/>
  <c r="AB1376" i="2" s="1"/>
  <c r="D69" i="19"/>
  <c r="F69" i="19" s="1"/>
  <c r="AQ1563" i="2"/>
  <c r="AM70" i="19"/>
  <c r="AK1578" i="2"/>
  <c r="O70" i="19"/>
  <c r="N70" i="19" s="1"/>
  <c r="JF906" i="5"/>
  <c r="JG928" i="5"/>
  <c r="AC71" i="19"/>
  <c r="AD71" i="19" s="1"/>
  <c r="AK71" i="19"/>
  <c r="AL71" i="19" s="1"/>
  <c r="AK61" i="19"/>
  <c r="AL61" i="19" s="1"/>
  <c r="U71" i="19"/>
  <c r="V71" i="19" s="1"/>
  <c r="AC61" i="19"/>
  <c r="AD61" i="19" s="1"/>
  <c r="AC99" i="19"/>
  <c r="JC920" i="5"/>
  <c r="AC73" i="19"/>
  <c r="AD73" i="19" s="1"/>
  <c r="U61" i="19"/>
  <c r="V61" i="19" s="1"/>
  <c r="AK73" i="19"/>
  <c r="AL73" i="19" s="1"/>
  <c r="U73" i="19"/>
  <c r="V73" i="19" s="1"/>
  <c r="U55" i="19"/>
  <c r="V55" i="19" s="1"/>
  <c r="O99" i="19"/>
  <c r="W99" i="19"/>
  <c r="Y99" i="19" s="1"/>
  <c r="IZ920" i="5"/>
  <c r="AK99" i="19"/>
  <c r="AU99" i="19"/>
  <c r="AM99" i="19"/>
  <c r="AE99" i="19"/>
  <c r="AF99" i="19" s="1"/>
  <c r="AH99" i="19" s="1"/>
  <c r="AJ1015" i="2"/>
  <c r="AC477" i="2"/>
  <c r="AD421" i="2"/>
  <c r="AF38" i="19"/>
  <c r="AH38" i="19" s="1"/>
  <c r="AE40" i="19"/>
  <c r="BE89" i="19"/>
  <c r="O37" i="19"/>
  <c r="N37" i="19" s="1"/>
  <c r="AQ1173" i="2"/>
  <c r="AQ1357" i="2"/>
  <c r="AJ1138" i="2"/>
  <c r="AG73" i="19"/>
  <c r="JD818" i="5"/>
  <c r="Y10" i="19"/>
  <c r="AH1834" i="2"/>
  <c r="Z421" i="2"/>
  <c r="AG1297" i="2"/>
  <c r="AG1384" i="2" s="1"/>
  <c r="O25" i="19"/>
  <c r="N25" i="19" s="1"/>
  <c r="Z1550" i="2"/>
  <c r="AA537" i="2"/>
  <c r="AH1298" i="2"/>
  <c r="AH1385" i="2" s="1"/>
  <c r="AC1538" i="2"/>
  <c r="AI1545" i="2"/>
  <c r="E9" i="19"/>
  <c r="G9" i="19" s="1"/>
  <c r="AD477" i="2"/>
  <c r="AD1834" i="2"/>
  <c r="AI1298" i="2"/>
  <c r="AI1385" i="2" s="1"/>
  <c r="E95" i="19"/>
  <c r="G95" i="19" s="1"/>
  <c r="AJ546" i="2"/>
  <c r="AE428" i="2"/>
  <c r="AP1357" i="2"/>
  <c r="AP1444" i="2" s="1"/>
  <c r="AI1548" i="2"/>
  <c r="AK1061" i="2"/>
  <c r="AK463" i="2"/>
  <c r="JJ743" i="5"/>
  <c r="E56" i="19"/>
  <c r="G56" i="19" s="1"/>
  <c r="Q10" i="19"/>
  <c r="II474" i="5"/>
  <c r="R14" i="7" s="1"/>
  <c r="JG818" i="5"/>
  <c r="AN73" i="19"/>
  <c r="AP73" i="19" s="1"/>
  <c r="S14" i="7"/>
  <c r="AV73" i="19"/>
  <c r="AX73" i="19" s="1"/>
  <c r="AH591" i="2"/>
  <c r="AH1527" i="2"/>
  <c r="AJ430" i="2"/>
  <c r="AI1531" i="2"/>
  <c r="AE464" i="2"/>
  <c r="AB1380" i="2"/>
  <c r="AE1570" i="2"/>
  <c r="AE1567" i="2"/>
  <c r="AM1050" i="2"/>
  <c r="AL1550" i="2" s="1"/>
  <c r="AK1550" i="2"/>
  <c r="AG1367" i="2"/>
  <c r="AG1454" i="2" s="1"/>
  <c r="AC1570" i="2"/>
  <c r="AC1567" i="2"/>
  <c r="W1556" i="2"/>
  <c r="AE1764" i="2"/>
  <c r="AH1534" i="2"/>
  <c r="AB485" i="2"/>
  <c r="Y1567" i="2"/>
  <c r="Y1570" i="2"/>
  <c r="W1559" i="2"/>
  <c r="AK431" i="2"/>
  <c r="AL431" i="2" s="1"/>
  <c r="AL994" i="2" s="1"/>
  <c r="AJ455" i="2"/>
  <c r="AG1538" i="2"/>
  <c r="AE1538" i="2"/>
  <c r="AH1570" i="2"/>
  <c r="AH1567" i="2"/>
  <c r="Y1538" i="2"/>
  <c r="AA1550" i="2"/>
  <c r="AD1538" i="2"/>
  <c r="AM443" i="2"/>
  <c r="AN443" i="2" s="1"/>
  <c r="AF1568" i="2"/>
  <c r="AF1569" i="2"/>
  <c r="AG1570" i="2"/>
  <c r="AG1567" i="2"/>
  <c r="AF1834" i="2"/>
  <c r="AA1570" i="2"/>
  <c r="AA1567" i="2"/>
  <c r="AE1568" i="2"/>
  <c r="AE1569" i="2"/>
  <c r="AD1570" i="2"/>
  <c r="AD1567" i="2"/>
  <c r="AD1298" i="2"/>
  <c r="AD1385" i="2" s="1"/>
  <c r="AP1362" i="2"/>
  <c r="AP1449" i="2" s="1"/>
  <c r="AP1558" i="2"/>
  <c r="AC1334" i="2"/>
  <c r="AC1421" i="2" s="1"/>
  <c r="AF1300" i="2"/>
  <c r="AF1298" i="2" s="1"/>
  <c r="AE1550" i="2"/>
  <c r="AF1550" i="2"/>
  <c r="AE1300" i="2"/>
  <c r="AE1387" i="2" s="1"/>
  <c r="AD1550" i="2"/>
  <c r="AA428" i="2"/>
  <c r="AE444" i="2"/>
  <c r="AM1563" i="2"/>
  <c r="Z1300" i="2"/>
  <c r="Z1387" i="2" s="1"/>
  <c r="Y1550" i="2"/>
  <c r="JN743" i="5"/>
  <c r="JL743" i="5" s="1"/>
  <c r="AE551" i="2"/>
  <c r="AH1792" i="2"/>
  <c r="AB1538" i="2"/>
  <c r="AH1569" i="2"/>
  <c r="AH1568" i="2"/>
  <c r="X1567" i="2"/>
  <c r="X1570" i="2"/>
  <c r="AG1330" i="2"/>
  <c r="AG1417" i="2" s="1"/>
  <c r="AK1000" i="2"/>
  <c r="Z1570" i="2"/>
  <c r="Z1567" i="2"/>
  <c r="AF1570" i="2"/>
  <c r="AF1567" i="2"/>
  <c r="AB1570" i="2"/>
  <c r="AB1567" i="2"/>
  <c r="Z1538" i="2"/>
  <c r="AC1298" i="2"/>
  <c r="AC1385" i="2" s="1"/>
  <c r="IY672" i="5"/>
  <c r="IX672" i="5" s="1"/>
  <c r="X1330" i="2"/>
  <c r="X1417" i="2" s="1"/>
  <c r="AJ1000" i="2"/>
  <c r="AJ1005" i="2"/>
  <c r="AA1298" i="2"/>
  <c r="AA1385" i="2" s="1"/>
  <c r="X1274" i="2"/>
  <c r="X1282" i="2" s="1"/>
  <c r="AF460" i="2"/>
  <c r="CU1141" i="5"/>
  <c r="AI642" i="5"/>
  <c r="DS985" i="5"/>
  <c r="IG598" i="5"/>
  <c r="P127" i="7" s="1"/>
  <c r="IR986" i="5"/>
  <c r="FR975" i="5"/>
  <c r="BG990" i="5"/>
  <c r="EF572" i="5"/>
  <c r="EF579" i="5" s="1"/>
  <c r="EF615" i="5" s="1"/>
  <c r="IR666" i="5"/>
  <c r="IR975" i="5" s="1"/>
  <c r="FR815" i="5"/>
  <c r="FR984" i="5" s="1"/>
  <c r="AN941" i="5"/>
  <c r="AN998" i="5" s="1"/>
  <c r="AB1308" i="2"/>
  <c r="AB1395" i="2" s="1"/>
  <c r="IQ666" i="5"/>
  <c r="GZ815" i="5"/>
  <c r="GZ834" i="5" s="1"/>
  <c r="GZ941" i="5" s="1"/>
  <c r="GJ797" i="5"/>
  <c r="GJ1144" i="5" s="1"/>
  <c r="GJ1142" i="5" s="1"/>
  <c r="GJ1150" i="5"/>
  <c r="GJ1149" i="5" s="1"/>
  <c r="GI815" i="5"/>
  <c r="GI834" i="5" s="1"/>
  <c r="CU816" i="5"/>
  <c r="CU835" i="5" s="1"/>
  <c r="CU991" i="5" s="1"/>
  <c r="AG1052" i="2"/>
  <c r="AG1534" i="2" s="1"/>
  <c r="CI816" i="5"/>
  <c r="CI985" i="5" s="1"/>
  <c r="CU573" i="5"/>
  <c r="CU643" i="5" s="1"/>
  <c r="GT815" i="5"/>
  <c r="GT834" i="5" s="1"/>
  <c r="GT941" i="5" s="1"/>
  <c r="GU842" i="5"/>
  <c r="AT582" i="5"/>
  <c r="AT650" i="5" s="1"/>
  <c r="GQ815" i="5"/>
  <c r="GQ834" i="5" s="1"/>
  <c r="GQ941" i="5" s="1"/>
  <c r="CI815" i="5"/>
  <c r="CI984" i="5" s="1"/>
  <c r="CU815" i="5"/>
  <c r="CU984" i="5" s="1"/>
  <c r="L990" i="5"/>
  <c r="AF489" i="2"/>
  <c r="DH816" i="5"/>
  <c r="HV816" i="5" s="1"/>
  <c r="DH815" i="5"/>
  <c r="DH834" i="5" s="1"/>
  <c r="DV816" i="5"/>
  <c r="DV835" i="5" s="1"/>
  <c r="DV991" i="5" s="1"/>
  <c r="DO975" i="5"/>
  <c r="IQ986" i="5"/>
  <c r="EV465" i="5"/>
  <c r="AO642" i="5"/>
  <c r="IP986" i="5"/>
  <c r="IP843" i="5"/>
  <c r="IP842" i="5"/>
  <c r="AG1158" i="2" s="1"/>
  <c r="DO816" i="5"/>
  <c r="DO835" i="5" s="1"/>
  <c r="DM975" i="5"/>
  <c r="AO582" i="5"/>
  <c r="AO596" i="5" s="1"/>
  <c r="EM984" i="5"/>
  <c r="CR1141" i="5"/>
  <c r="DD573" i="5"/>
  <c r="DD643" i="5" s="1"/>
  <c r="FM835" i="5"/>
  <c r="FM991" i="5" s="1"/>
  <c r="DB975" i="5"/>
  <c r="AD1308" i="2"/>
  <c r="AD1395" i="2" s="1"/>
  <c r="AG10" i="19"/>
  <c r="AA1498" i="2"/>
  <c r="AG460" i="2"/>
  <c r="AJ491" i="2"/>
  <c r="AD432" i="2"/>
  <c r="AD1498" i="2"/>
  <c r="AV10" i="19"/>
  <c r="AX10" i="19" s="1"/>
  <c r="X1158" i="2"/>
  <c r="X1169" i="2" s="1"/>
  <c r="X1441" i="2" s="1"/>
  <c r="Y51" i="19"/>
  <c r="X51" i="19"/>
  <c r="Z51" i="19" s="1"/>
  <c r="X1150" i="2"/>
  <c r="X1151" i="2" s="1"/>
  <c r="AE51" i="19"/>
  <c r="O56" i="19"/>
  <c r="N56" i="19" s="1"/>
  <c r="AV72" i="19"/>
  <c r="AX72" i="19" s="1"/>
  <c r="AV29" i="19"/>
  <c r="AX29" i="19" s="1"/>
  <c r="AO89" i="19"/>
  <c r="AN89" i="19"/>
  <c r="AP89" i="19" s="1"/>
  <c r="AV98" i="19"/>
  <c r="AX98" i="19" s="1"/>
  <c r="E7" i="19"/>
  <c r="G7" i="19" s="1"/>
  <c r="AO88" i="19"/>
  <c r="AN88" i="19"/>
  <c r="AV81" i="19"/>
  <c r="AX81" i="19" s="1"/>
  <c r="AW81" i="19"/>
  <c r="AV97" i="19"/>
  <c r="AX97" i="19" s="1"/>
  <c r="AV96" i="19"/>
  <c r="AX96" i="19" s="1"/>
  <c r="Y31" i="19"/>
  <c r="X31" i="19"/>
  <c r="Z31" i="19" s="1"/>
  <c r="P100" i="19"/>
  <c r="R100" i="19" s="1"/>
  <c r="AA729" i="2"/>
  <c r="AF529" i="2"/>
  <c r="AI1449" i="2"/>
  <c r="AB521" i="2"/>
  <c r="Z489" i="2"/>
  <c r="AC460" i="2"/>
  <c r="JB692" i="5"/>
  <c r="AA533" i="2"/>
  <c r="AD485" i="2"/>
  <c r="AA501" i="2"/>
  <c r="AA485" i="2"/>
  <c r="AA1289" i="2"/>
  <c r="AA1376" i="2" s="1"/>
  <c r="E19" i="19"/>
  <c r="G19" i="19" s="1"/>
  <c r="AA529" i="2"/>
  <c r="AC497" i="2"/>
  <c r="AL1071" i="2"/>
  <c r="AL1312" i="2" s="1"/>
  <c r="AL1399" i="2" s="1"/>
  <c r="AC551" i="2"/>
  <c r="AF1301" i="2"/>
  <c r="AF1388" i="2" s="1"/>
  <c r="AE432" i="2"/>
  <c r="AG517" i="2"/>
  <c r="AB501" i="2"/>
  <c r="AO1618" i="2"/>
  <c r="Z517" i="2"/>
  <c r="AD460" i="2"/>
  <c r="CS975" i="5"/>
  <c r="DH635" i="5"/>
  <c r="KM941" i="5"/>
  <c r="KM998" i="5" s="1"/>
  <c r="DB573" i="5"/>
  <c r="DB643" i="5" s="1"/>
  <c r="AM1072" i="2"/>
  <c r="AM1071" i="2" s="1"/>
  <c r="AK1312" i="2"/>
  <c r="AK1399" i="2" s="1"/>
  <c r="I579" i="5"/>
  <c r="I648" i="5" s="1"/>
  <c r="DB635" i="5"/>
  <c r="AE456" i="2"/>
  <c r="AB460" i="2"/>
  <c r="CP816" i="5"/>
  <c r="CP835" i="5" s="1"/>
  <c r="CP991" i="5" s="1"/>
  <c r="EM975" i="5"/>
  <c r="EK572" i="5"/>
  <c r="EK579" i="5" s="1"/>
  <c r="EK615" i="5" s="1"/>
  <c r="CP815" i="5"/>
  <c r="CP984" i="5" s="1"/>
  <c r="EO975" i="5"/>
  <c r="DM568" i="5"/>
  <c r="Z509" i="2"/>
  <c r="EM816" i="5"/>
  <c r="EM985" i="5" s="1"/>
  <c r="AB493" i="2"/>
  <c r="EJ815" i="5"/>
  <c r="EJ984" i="5" s="1"/>
  <c r="V642" i="5"/>
  <c r="V579" i="5"/>
  <c r="BL941" i="5"/>
  <c r="BL998" i="5" s="1"/>
  <c r="FM842" i="5"/>
  <c r="FM815" i="5"/>
  <c r="FM984" i="5" s="1"/>
  <c r="CJ1141" i="5"/>
  <c r="DI573" i="5"/>
  <c r="DI643" i="5" s="1"/>
  <c r="FM975" i="5"/>
  <c r="CJ635" i="5"/>
  <c r="CT815" i="5"/>
  <c r="CT834" i="5" s="1"/>
  <c r="DG835" i="5"/>
  <c r="DG991" i="5" s="1"/>
  <c r="O990" i="5"/>
  <c r="HV1108" i="5"/>
  <c r="HV1110" i="5" s="1"/>
  <c r="FG816" i="5"/>
  <c r="DK816" i="5"/>
  <c r="DK985" i="5" s="1"/>
  <c r="Y452" i="2"/>
  <c r="HX928" i="5"/>
  <c r="AA1247" i="2" s="1"/>
  <c r="EO816" i="5"/>
  <c r="EO835" i="5" s="1"/>
  <c r="EO991" i="5" s="1"/>
  <c r="HX992" i="5"/>
  <c r="DK573" i="5"/>
  <c r="DK643" i="5" s="1"/>
  <c r="DK815" i="5"/>
  <c r="DK984" i="5" s="1"/>
  <c r="EX816" i="5"/>
  <c r="EX985" i="5" s="1"/>
  <c r="DK572" i="5"/>
  <c r="DK579" i="5" s="1"/>
  <c r="EX975" i="5"/>
  <c r="IA598" i="5"/>
  <c r="EJ816" i="5"/>
  <c r="EJ835" i="5" s="1"/>
  <c r="EJ991" i="5" s="1"/>
  <c r="BQ990" i="5"/>
  <c r="Y1314" i="2"/>
  <c r="Y1401" i="2" s="1"/>
  <c r="AB469" i="2"/>
  <c r="DM569" i="5"/>
  <c r="C137" i="7"/>
  <c r="AC1308" i="2"/>
  <c r="AC1395" i="2" s="1"/>
  <c r="BM941" i="5"/>
  <c r="BM998" i="5" s="1"/>
  <c r="BW642" i="5"/>
  <c r="AA1138" i="2"/>
  <c r="AF513" i="2"/>
  <c r="DV573" i="5"/>
  <c r="DV580" i="5" s="1"/>
  <c r="HQ799" i="5"/>
  <c r="HR799" i="5" s="1"/>
  <c r="HT666" i="5"/>
  <c r="HT842" i="5" s="1"/>
  <c r="IF467" i="5"/>
  <c r="O7" i="7" s="1"/>
  <c r="DF815" i="5"/>
  <c r="DF975" i="5"/>
  <c r="CW816" i="5"/>
  <c r="CW835" i="5" s="1"/>
  <c r="FQ816" i="5"/>
  <c r="AD509" i="2"/>
  <c r="DM1132" i="5"/>
  <c r="AB551" i="2"/>
  <c r="DI569" i="5"/>
  <c r="AD489" i="2"/>
  <c r="EV975" i="5"/>
  <c r="AC440" i="2"/>
  <c r="ED816" i="5"/>
  <c r="ED985" i="5" s="1"/>
  <c r="CW815" i="5"/>
  <c r="CW834" i="5" s="1"/>
  <c r="FN975" i="5"/>
  <c r="FQ975" i="5"/>
  <c r="BR990" i="5"/>
  <c r="K990" i="5"/>
  <c r="K941" i="5"/>
  <c r="K998" i="5" s="1"/>
  <c r="IK666" i="5"/>
  <c r="IK843" i="5" s="1"/>
  <c r="FN815" i="5"/>
  <c r="FN834" i="5" s="1"/>
  <c r="AB533" i="2"/>
  <c r="FN816" i="5"/>
  <c r="FN985" i="5" s="1"/>
  <c r="ES816" i="5"/>
  <c r="ES985" i="5" s="1"/>
  <c r="FQ815" i="5"/>
  <c r="FQ834" i="5" s="1"/>
  <c r="DI465" i="5"/>
  <c r="DI626" i="5" s="1"/>
  <c r="AL642" i="5"/>
  <c r="AL579" i="5"/>
  <c r="ES815" i="5"/>
  <c r="ES984" i="5" s="1"/>
  <c r="CR816" i="5"/>
  <c r="CR835" i="5" s="1"/>
  <c r="CR991" i="5" s="1"/>
  <c r="H29" i="7"/>
  <c r="EV835" i="5"/>
  <c r="EV991" i="5" s="1"/>
  <c r="DS1096" i="5"/>
  <c r="DI1132" i="5"/>
  <c r="HU797" i="5"/>
  <c r="AC432" i="2"/>
  <c r="HR797" i="5"/>
  <c r="CR815" i="5"/>
  <c r="CR834" i="5" s="1"/>
  <c r="DM815" i="5"/>
  <c r="DM984" i="5" s="1"/>
  <c r="EN985" i="5"/>
  <c r="FG842" i="5"/>
  <c r="EV569" i="5"/>
  <c r="DR1096" i="5"/>
  <c r="Z990" i="5"/>
  <c r="AB529" i="2"/>
  <c r="AE493" i="2"/>
  <c r="AA1578" i="2"/>
  <c r="EP1157" i="5"/>
  <c r="DI627" i="5"/>
  <c r="HS503" i="5"/>
  <c r="HS635" i="5" s="1"/>
  <c r="DO1096" i="5"/>
  <c r="HR798" i="5"/>
  <c r="ED1157" i="5"/>
  <c r="CN816" i="5"/>
  <c r="CN835" i="5" s="1"/>
  <c r="CN991" i="5" s="1"/>
  <c r="Y469" i="2"/>
  <c r="Z469" i="2"/>
  <c r="DQ975" i="5"/>
  <c r="II666" i="5"/>
  <c r="FH815" i="5"/>
  <c r="FH834" i="5" s="1"/>
  <c r="S990" i="5"/>
  <c r="AD440" i="2"/>
  <c r="EI572" i="5"/>
  <c r="EI579" i="5" s="1"/>
  <c r="EI615" i="5" s="1"/>
  <c r="FH842" i="5"/>
  <c r="DB815" i="5"/>
  <c r="DB984" i="5" s="1"/>
  <c r="Z473" i="2"/>
  <c r="EW568" i="5"/>
  <c r="AD1029" i="2"/>
  <c r="DC985" i="5"/>
  <c r="Z533" i="2"/>
  <c r="EW1142" i="5"/>
  <c r="DQ816" i="5"/>
  <c r="DQ835" i="5" s="1"/>
  <c r="DQ991" i="5" s="1"/>
  <c r="ES465" i="5"/>
  <c r="CJ815" i="5"/>
  <c r="CJ834" i="5" s="1"/>
  <c r="AB990" i="5"/>
  <c r="DI567" i="5"/>
  <c r="DF985" i="5"/>
  <c r="CJ816" i="5"/>
  <c r="CJ835" i="5" s="1"/>
  <c r="CJ991" i="5" s="1"/>
  <c r="FH816" i="5"/>
  <c r="FH985" i="5" s="1"/>
  <c r="G596" i="5"/>
  <c r="G1154" i="5" s="1"/>
  <c r="G1157" i="5" s="1"/>
  <c r="G648" i="5"/>
  <c r="AD547" i="2"/>
  <c r="EQ835" i="5"/>
  <c r="EQ991" i="5" s="1"/>
  <c r="EW567" i="5"/>
  <c r="EW503" i="5"/>
  <c r="EW572" i="5" s="1"/>
  <c r="EW579" i="5" s="1"/>
  <c r="EW615" i="5" s="1"/>
  <c r="EO503" i="5"/>
  <c r="FP1157" i="5"/>
  <c r="IM717" i="5"/>
  <c r="AF1039" i="2" s="1"/>
  <c r="AF1557" i="2" s="1"/>
  <c r="DQ1096" i="5"/>
  <c r="Z582" i="5"/>
  <c r="Z596" i="5" s="1"/>
  <c r="AR579" i="5"/>
  <c r="AR642" i="5"/>
  <c r="CN1141" i="5"/>
  <c r="AA513" i="2"/>
  <c r="AF547" i="2"/>
  <c r="AE1308" i="2"/>
  <c r="AE1395" i="2" s="1"/>
  <c r="AC521" i="2"/>
  <c r="IJ982" i="5"/>
  <c r="CN635" i="5"/>
  <c r="DP1096" i="5"/>
  <c r="DT1096" i="5"/>
  <c r="EO567" i="5"/>
  <c r="AF521" i="2"/>
  <c r="DN1096" i="5"/>
  <c r="HX1096" i="5" s="1"/>
  <c r="AB1314" i="2"/>
  <c r="AB1401" i="2" s="1"/>
  <c r="AF1173" i="2"/>
  <c r="IE666" i="5"/>
  <c r="IE842" i="5" s="1"/>
  <c r="IE849" i="5" s="1"/>
  <c r="AB452" i="2"/>
  <c r="BD642" i="5"/>
  <c r="BD579" i="5"/>
  <c r="EO568" i="5"/>
  <c r="AO990" i="5"/>
  <c r="AD990" i="5"/>
  <c r="EO569" i="5"/>
  <c r="ED815" i="5"/>
  <c r="ED834" i="5" s="1"/>
  <c r="DL1141" i="5"/>
  <c r="CT975" i="5"/>
  <c r="E138" i="7"/>
  <c r="DG834" i="5"/>
  <c r="DG990" i="5" s="1"/>
  <c r="IE661" i="5"/>
  <c r="ID992" i="5"/>
  <c r="AE1834" i="2"/>
  <c r="AA547" i="2"/>
  <c r="CC941" i="5"/>
  <c r="CC998" i="5" s="1"/>
  <c r="CC990" i="5"/>
  <c r="BC990" i="5"/>
  <c r="Z501" i="2"/>
  <c r="AF469" i="2"/>
  <c r="AF473" i="2"/>
  <c r="ID801" i="5"/>
  <c r="IP957" i="5"/>
  <c r="IP966" i="5" s="1"/>
  <c r="FR1157" i="5"/>
  <c r="HV628" i="5"/>
  <c r="FA1157" i="5"/>
  <c r="IB802" i="5"/>
  <c r="ID802" i="5" s="1"/>
  <c r="IN955" i="5"/>
  <c r="IN963" i="5" s="1"/>
  <c r="HV467" i="5"/>
  <c r="HV569" i="5" s="1"/>
  <c r="D99" i="7" s="1"/>
  <c r="EK573" i="5"/>
  <c r="EK580" i="5" s="1"/>
  <c r="AE547" i="2"/>
  <c r="CN984" i="5"/>
  <c r="AC533" i="2"/>
  <c r="DL815" i="5"/>
  <c r="DL834" i="5" s="1"/>
  <c r="CZ573" i="5"/>
  <c r="CZ643" i="5" s="1"/>
  <c r="IE582" i="5"/>
  <c r="N112" i="7" s="1"/>
  <c r="ER816" i="5"/>
  <c r="ER815" i="5"/>
  <c r="IV898" i="5"/>
  <c r="AI1219" i="2" s="1"/>
  <c r="IF666" i="5"/>
  <c r="IF536" i="5"/>
  <c r="O68" i="7" s="1"/>
  <c r="HU977" i="5"/>
  <c r="CY815" i="5"/>
  <c r="CY834" i="5" s="1"/>
  <c r="BN941" i="5"/>
  <c r="BN998" i="5" s="1"/>
  <c r="CZ635" i="5"/>
  <c r="Y1173" i="2"/>
  <c r="CN975" i="5"/>
  <c r="IU893" i="5"/>
  <c r="IU892" i="5" s="1"/>
  <c r="CY816" i="5"/>
  <c r="CY835" i="5" s="1"/>
  <c r="CY991" i="5" s="1"/>
  <c r="Z456" i="2"/>
  <c r="HX800" i="5"/>
  <c r="HU503" i="5"/>
  <c r="HU635" i="5" s="1"/>
  <c r="HX717" i="5"/>
  <c r="HX978" i="5" s="1"/>
  <c r="AF464" i="2"/>
  <c r="AC1076" i="2"/>
  <c r="AC1357" i="2"/>
  <c r="AC1356" i="2" s="1"/>
  <c r="AC1443" i="2" s="1"/>
  <c r="HV804" i="5"/>
  <c r="HX804" i="5" s="1"/>
  <c r="N579" i="5"/>
  <c r="N648" i="5" s="1"/>
  <c r="ID817" i="5"/>
  <c r="AC1133" i="2" s="1"/>
  <c r="IA1116" i="5"/>
  <c r="IA1119" i="5" s="1"/>
  <c r="BF648" i="5"/>
  <c r="BF582" i="5"/>
  <c r="AG1133" i="2"/>
  <c r="HY959" i="5"/>
  <c r="HY968" i="5" s="1"/>
  <c r="AA497" i="2"/>
  <c r="IQ978" i="5"/>
  <c r="AD681" i="2"/>
  <c r="FS1157" i="5"/>
  <c r="AW941" i="5"/>
  <c r="AW998" i="5" s="1"/>
  <c r="FJ1157" i="5"/>
  <c r="Y493" i="2"/>
  <c r="Z493" i="2"/>
  <c r="K138" i="7"/>
  <c r="AA1214" i="2"/>
  <c r="AA1361" i="2" s="1"/>
  <c r="AA1448" i="2" s="1"/>
  <c r="AD537" i="2"/>
  <c r="FP984" i="5"/>
  <c r="AP941" i="5"/>
  <c r="AP998" i="5" s="1"/>
  <c r="FN1157" i="5"/>
  <c r="DD1141" i="5"/>
  <c r="BK941" i="5"/>
  <c r="BK998" i="5" s="1"/>
  <c r="BG642" i="5"/>
  <c r="BG579" i="5"/>
  <c r="O582" i="5"/>
  <c r="O650" i="5" s="1"/>
  <c r="AB1173" i="2"/>
  <c r="H138" i="7"/>
  <c r="DJ573" i="5"/>
  <c r="DJ643" i="5" s="1"/>
  <c r="HS465" i="5"/>
  <c r="CD990" i="5"/>
  <c r="AF1076" i="2"/>
  <c r="AE1536" i="2" s="1"/>
  <c r="AA1444" i="2"/>
  <c r="DG1141" i="5"/>
  <c r="HR717" i="5"/>
  <c r="Y1039" i="2" s="1"/>
  <c r="DJ635" i="5"/>
  <c r="CE1149" i="5"/>
  <c r="H642" i="5"/>
  <c r="H579" i="5"/>
  <c r="HU817" i="5"/>
  <c r="HU986" i="5" s="1"/>
  <c r="AF1861" i="2"/>
  <c r="CE503" i="5"/>
  <c r="CE573" i="5" s="1"/>
  <c r="CE580" i="5" s="1"/>
  <c r="CE649" i="5" s="1"/>
  <c r="AC464" i="2"/>
  <c r="HQ892" i="5"/>
  <c r="HR892" i="5" s="1"/>
  <c r="HR995" i="5" s="1"/>
  <c r="DG572" i="5"/>
  <c r="DG642" i="5" s="1"/>
  <c r="IA802" i="5"/>
  <c r="Z1308" i="2"/>
  <c r="Z1395" i="2" s="1"/>
  <c r="IA801" i="5"/>
  <c r="HY804" i="5"/>
  <c r="HY957" i="5" s="1"/>
  <c r="EI573" i="5"/>
  <c r="EI580" i="5" s="1"/>
  <c r="Z1134" i="2"/>
  <c r="Z1331" i="2" s="1"/>
  <c r="Z1418" i="2" s="1"/>
  <c r="IM977" i="5"/>
  <c r="IC666" i="5"/>
  <c r="IC842" i="5" s="1"/>
  <c r="IO961" i="5"/>
  <c r="P642" i="5"/>
  <c r="CE815" i="5"/>
  <c r="CE834" i="5" s="1"/>
  <c r="IU959" i="5"/>
  <c r="IU968" i="5" s="1"/>
  <c r="HP666" i="5"/>
  <c r="HP843" i="5" s="1"/>
  <c r="HP960" i="5" s="1"/>
  <c r="HP969" i="5" s="1"/>
  <c r="IU666" i="5"/>
  <c r="IU843" i="5" s="1"/>
  <c r="IU960" i="5" s="1"/>
  <c r="EI1141" i="5"/>
  <c r="EI1157" i="5" s="1"/>
  <c r="EG816" i="5"/>
  <c r="EG835" i="5" s="1"/>
  <c r="CV985" i="5"/>
  <c r="CV975" i="5"/>
  <c r="AE543" i="2"/>
  <c r="CT573" i="5"/>
  <c r="CT580" i="5" s="1"/>
  <c r="CT649" i="5" s="1"/>
  <c r="IV754" i="5"/>
  <c r="EG975" i="5"/>
  <c r="E105" i="7"/>
  <c r="AX579" i="5"/>
  <c r="AX642" i="5"/>
  <c r="IP959" i="5"/>
  <c r="IP968" i="5" s="1"/>
  <c r="FF1157" i="5"/>
  <c r="N990" i="5"/>
  <c r="IF804" i="5"/>
  <c r="IG804" i="5" s="1"/>
  <c r="CE816" i="5"/>
  <c r="CE835" i="5" s="1"/>
  <c r="CV815" i="5"/>
  <c r="CV984" i="5" s="1"/>
  <c r="CU572" i="5"/>
  <c r="CU642" i="5" s="1"/>
  <c r="HS666" i="5"/>
  <c r="HS842" i="5" s="1"/>
  <c r="HS852" i="5" s="1"/>
  <c r="FT816" i="5"/>
  <c r="FT835" i="5" s="1"/>
  <c r="FT991" i="5" s="1"/>
  <c r="EQ568" i="5"/>
  <c r="I137" i="7"/>
  <c r="CT635" i="5"/>
  <c r="FT975" i="5"/>
  <c r="HZ596" i="5"/>
  <c r="HZ582" i="5" s="1"/>
  <c r="I112" i="7" s="1"/>
  <c r="Y1214" i="2"/>
  <c r="Y1361" i="2" s="1"/>
  <c r="Y1448" i="2" s="1"/>
  <c r="AB1076" i="2"/>
  <c r="FT842" i="5"/>
  <c r="HZ1112" i="5"/>
  <c r="HZ1114" i="5" s="1"/>
  <c r="IL666" i="5"/>
  <c r="IA977" i="5"/>
  <c r="IN961" i="5"/>
  <c r="AJ1116" i="2"/>
  <c r="AK1103" i="2"/>
  <c r="AK89" i="19"/>
  <c r="AL89" i="19" s="1"/>
  <c r="AN1617" i="2"/>
  <c r="AC509" i="2"/>
  <c r="AR1179" i="2"/>
  <c r="AR1178" i="2" s="1"/>
  <c r="JG907" i="5"/>
  <c r="AT1016" i="2"/>
  <c r="AR1182" i="2"/>
  <c r="AR1181" i="2" s="1"/>
  <c r="AT1009" i="2"/>
  <c r="AT1182" i="2" s="1"/>
  <c r="AT1181" i="2" s="1"/>
  <c r="AQ1067" i="2"/>
  <c r="AP1065" i="2"/>
  <c r="AO1535" i="2" s="1"/>
  <c r="AP1388" i="2"/>
  <c r="AS466" i="2"/>
  <c r="AR1563" i="2" s="1"/>
  <c r="AT563" i="2"/>
  <c r="AT466" i="2" s="1"/>
  <c r="AJ1614" i="2"/>
  <c r="AS1021" i="2"/>
  <c r="AS1179" i="2" s="1"/>
  <c r="AS1178" i="2" s="1"/>
  <c r="AG497" i="2"/>
  <c r="AE1578" i="2"/>
  <c r="Z444" i="2"/>
  <c r="AB302" i="2"/>
  <c r="BC55" i="19"/>
  <c r="BC71" i="19"/>
  <c r="AV71" i="19"/>
  <c r="AX71" i="19" s="1"/>
  <c r="AW71" i="19"/>
  <c r="AJ1582" i="2"/>
  <c r="BD28" i="19"/>
  <c r="BF28" i="19" s="1"/>
  <c r="BE28" i="19"/>
  <c r="AD345" i="2"/>
  <c r="AD348" i="2"/>
  <c r="AD744" i="2" s="1"/>
  <c r="AD346" i="2" s="1"/>
  <c r="AW55" i="19"/>
  <c r="AV55" i="19"/>
  <c r="AX55" i="19" s="1"/>
  <c r="AU70" i="19"/>
  <c r="BD99" i="19"/>
  <c r="BF99" i="19" s="1"/>
  <c r="BE99" i="19"/>
  <c r="BE10" i="19"/>
  <c r="BD10" i="19"/>
  <c r="BF10" i="19" s="1"/>
  <c r="IS717" i="5"/>
  <c r="AH1039" i="2" s="1"/>
  <c r="IG802" i="5"/>
  <c r="DV572" i="5"/>
  <c r="DV579" i="5" s="1"/>
  <c r="DV615" i="5" s="1"/>
  <c r="HS569" i="5"/>
  <c r="AB1298" i="2"/>
  <c r="AB1385" i="2" s="1"/>
  <c r="HU798" i="5"/>
  <c r="X100" i="19"/>
  <c r="Z100" i="19" s="1"/>
  <c r="DL573" i="5"/>
  <c r="DL643" i="5" s="1"/>
  <c r="AA489" i="2"/>
  <c r="Y1134" i="2"/>
  <c r="Y1331" i="2" s="1"/>
  <c r="Y1418" i="2" s="1"/>
  <c r="DL568" i="5"/>
  <c r="BP582" i="5"/>
  <c r="BP648" i="5"/>
  <c r="ES1132" i="5"/>
  <c r="DM465" i="5"/>
  <c r="DM626" i="5" s="1"/>
  <c r="KP579" i="5"/>
  <c r="KP582" i="5" s="1"/>
  <c r="DL567" i="5"/>
  <c r="HS567" i="5"/>
  <c r="EF567" i="5"/>
  <c r="ES569" i="5"/>
  <c r="DL627" i="5"/>
  <c r="Z477" i="2"/>
  <c r="AA477" i="2"/>
  <c r="CZ572" i="5"/>
  <c r="CZ579" i="5" s="1"/>
  <c r="DL569" i="5"/>
  <c r="HX977" i="5"/>
  <c r="AK1111" i="2"/>
  <c r="W41" i="19"/>
  <c r="DL1132" i="5"/>
  <c r="Q100" i="19"/>
  <c r="AD501" i="2"/>
  <c r="AE501" i="2"/>
  <c r="FI1157" i="5"/>
  <c r="R990" i="5"/>
  <c r="R941" i="5"/>
  <c r="R998" i="5" s="1"/>
  <c r="AE477" i="2"/>
  <c r="AF477" i="2"/>
  <c r="EZ1157" i="5"/>
  <c r="HS568" i="5"/>
  <c r="IG801" i="5"/>
  <c r="H15" i="7"/>
  <c r="JK928" i="5"/>
  <c r="O41" i="19"/>
  <c r="N41" i="19" s="1"/>
  <c r="IY791" i="5"/>
  <c r="IX791" i="5" s="1"/>
  <c r="U99" i="19"/>
  <c r="AK468" i="2"/>
  <c r="AK1006" i="2" s="1"/>
  <c r="JF920" i="5"/>
  <c r="AF1444" i="2"/>
  <c r="AF533" i="2"/>
  <c r="Z505" i="2"/>
  <c r="AF1308" i="2"/>
  <c r="AF1395" i="2" s="1"/>
  <c r="AC1289" i="2"/>
  <c r="AC1376" i="2" s="1"/>
  <c r="JB896" i="5"/>
  <c r="IZ896" i="5" s="1"/>
  <c r="IZ895" i="5" s="1"/>
  <c r="JA895" i="5" s="1"/>
  <c r="AC1314" i="2"/>
  <c r="AC1401" i="2" s="1"/>
  <c r="E37" i="19"/>
  <c r="G37" i="19" s="1"/>
  <c r="JC857" i="5"/>
  <c r="AM1588" i="2"/>
  <c r="AM1587" i="2" s="1"/>
  <c r="AK1589" i="2"/>
  <c r="AK1621" i="2"/>
  <c r="AH547" i="2"/>
  <c r="JD857" i="5"/>
  <c r="X89" i="19"/>
  <c r="Z89" i="19" s="1"/>
  <c r="Y89" i="19"/>
  <c r="AN1068" i="2"/>
  <c r="AO1068" i="2" s="1"/>
  <c r="JD790" i="5"/>
  <c r="AC38" i="19"/>
  <c r="AD38" i="19" s="1"/>
  <c r="Q28" i="19"/>
  <c r="P28" i="19"/>
  <c r="R28" i="19" s="1"/>
  <c r="JG811" i="5"/>
  <c r="AK55" i="19"/>
  <c r="AL55" i="19" s="1"/>
  <c r="JB906" i="5"/>
  <c r="W88" i="19"/>
  <c r="IZ906" i="5"/>
  <c r="U89" i="19"/>
  <c r="V89" i="19" s="1"/>
  <c r="JD811" i="5"/>
  <c r="AC55" i="19"/>
  <c r="AD55" i="19" s="1"/>
  <c r="JC907" i="5"/>
  <c r="AE89" i="19"/>
  <c r="JG790" i="5"/>
  <c r="AK38" i="19"/>
  <c r="AL38" i="19" s="1"/>
  <c r="AG877" i="2"/>
  <c r="AG925" i="2" s="1"/>
  <c r="JD928" i="5"/>
  <c r="DL816" i="5"/>
  <c r="DL835" i="5" s="1"/>
  <c r="DL991" i="5" s="1"/>
  <c r="AI591" i="2"/>
  <c r="CL975" i="5"/>
  <c r="Z1076" i="2"/>
  <c r="FI834" i="5"/>
  <c r="FI990" i="5" s="1"/>
  <c r="FB815" i="5"/>
  <c r="FB984" i="5" s="1"/>
  <c r="DT975" i="5"/>
  <c r="HQ666" i="5"/>
  <c r="HQ843" i="5" s="1"/>
  <c r="HQ960" i="5" s="1"/>
  <c r="HT992" i="5"/>
  <c r="HU856" i="5"/>
  <c r="AI941" i="5"/>
  <c r="AI998" i="5" s="1"/>
  <c r="AI990" i="5"/>
  <c r="CL816" i="5"/>
  <c r="CL985" i="5" s="1"/>
  <c r="FB816" i="5"/>
  <c r="FB985" i="5" s="1"/>
  <c r="AK941" i="5"/>
  <c r="AK998" i="5" s="1"/>
  <c r="AK990" i="5"/>
  <c r="AG990" i="5"/>
  <c r="AG941" i="5"/>
  <c r="AG998" i="5" s="1"/>
  <c r="HX817" i="5"/>
  <c r="AA1133" i="2" s="1"/>
  <c r="EC572" i="5"/>
  <c r="EC579" i="5" s="1"/>
  <c r="EC615" i="5" s="1"/>
  <c r="FB975" i="5"/>
  <c r="AI1271" i="2"/>
  <c r="AI1279" i="2" s="1"/>
  <c r="IJ893" i="5"/>
  <c r="IJ996" i="5" s="1"/>
  <c r="AC990" i="5"/>
  <c r="AC941" i="5"/>
  <c r="AC998" i="5" s="1"/>
  <c r="V941" i="5"/>
  <c r="V998" i="5" s="1"/>
  <c r="V990" i="5"/>
  <c r="ER1141" i="5"/>
  <c r="ER1157" i="5" s="1"/>
  <c r="AD844" i="2"/>
  <c r="AD843" i="2" s="1"/>
  <c r="AF1578" i="2"/>
  <c r="HW666" i="5"/>
  <c r="G990" i="5"/>
  <c r="G941" i="5"/>
  <c r="G998" i="5" s="1"/>
  <c r="BJ941" i="5"/>
  <c r="BJ998" i="5" s="1"/>
  <c r="BJ990" i="5"/>
  <c r="HU717" i="5"/>
  <c r="Z1039" i="2" s="1"/>
  <c r="DI1141" i="5"/>
  <c r="DI635" i="5"/>
  <c r="HS959" i="5"/>
  <c r="HS968" i="5" s="1"/>
  <c r="EC1157" i="5"/>
  <c r="FD1157" i="5"/>
  <c r="DQ580" i="5"/>
  <c r="DQ649" i="5" s="1"/>
  <c r="DC984" i="5"/>
  <c r="EF816" i="5"/>
  <c r="EF835" i="5" s="1"/>
  <c r="EF991" i="5" s="1"/>
  <c r="IH666" i="5"/>
  <c r="DT815" i="5"/>
  <c r="DT834" i="5" s="1"/>
  <c r="AI1760" i="2"/>
  <c r="AI1759" i="2" s="1"/>
  <c r="EF569" i="5"/>
  <c r="FG1157" i="5"/>
  <c r="DH572" i="5"/>
  <c r="CK816" i="5"/>
  <c r="CK975" i="5"/>
  <c r="CK815" i="5"/>
  <c r="IB666" i="5"/>
  <c r="EF815" i="5"/>
  <c r="EF984" i="5" s="1"/>
  <c r="E62" i="19"/>
  <c r="G62" i="19" s="1"/>
  <c r="AI1786" i="2"/>
  <c r="EF573" i="5"/>
  <c r="EF580" i="5" s="1"/>
  <c r="EC573" i="5"/>
  <c r="EC580" i="5" s="1"/>
  <c r="J941" i="5"/>
  <c r="J998" i="5" s="1"/>
  <c r="J990" i="5"/>
  <c r="I990" i="5"/>
  <c r="I941" i="5"/>
  <c r="I998" i="5" s="1"/>
  <c r="EL1132" i="5"/>
  <c r="EL567" i="5"/>
  <c r="EL465" i="5"/>
  <c r="EL572" i="5" s="1"/>
  <c r="EL579" i="5" s="1"/>
  <c r="EL615" i="5" s="1"/>
  <c r="EL569" i="5"/>
  <c r="CX572" i="5"/>
  <c r="CX579" i="5" s="1"/>
  <c r="EF568" i="5"/>
  <c r="Q941" i="5"/>
  <c r="Q998" i="5" s="1"/>
  <c r="Q990" i="5"/>
  <c r="BI990" i="5"/>
  <c r="BI941" i="5"/>
  <c r="BI998" i="5" s="1"/>
  <c r="FL1153" i="5"/>
  <c r="FL997" i="5"/>
  <c r="FL892" i="5"/>
  <c r="IK920" i="5"/>
  <c r="EX568" i="5"/>
  <c r="BH990" i="5"/>
  <c r="BH941" i="5"/>
  <c r="BH998" i="5" s="1"/>
  <c r="U990" i="5"/>
  <c r="U941" i="5"/>
  <c r="U998" i="5" s="1"/>
  <c r="HU993" i="5"/>
  <c r="Z1174" i="2"/>
  <c r="EF1132" i="5"/>
  <c r="EF1157" i="5" s="1"/>
  <c r="HR977" i="5"/>
  <c r="HY666" i="5"/>
  <c r="HY842" i="5" s="1"/>
  <c r="ID988" i="5"/>
  <c r="BT642" i="5"/>
  <c r="BT579" i="5"/>
  <c r="JB779" i="5"/>
  <c r="IZ779" i="5" s="1"/>
  <c r="AK1320" i="2"/>
  <c r="AK1407" i="2" s="1"/>
  <c r="AL1094" i="2"/>
  <c r="AE31" i="19" s="1"/>
  <c r="AD31" i="19" s="1"/>
  <c r="AK1145" i="2"/>
  <c r="AK1268" i="2"/>
  <c r="JE831" i="5"/>
  <c r="JC831" i="5" s="1"/>
  <c r="JD831" i="5" s="1"/>
  <c r="AM1597" i="2"/>
  <c r="AI1308" i="2"/>
  <c r="AI1395" i="2" s="1"/>
  <c r="AM1056" i="2"/>
  <c r="AN1056" i="2" s="1"/>
  <c r="JK734" i="5" s="1"/>
  <c r="Z1314" i="2"/>
  <c r="Z1401" i="2" s="1"/>
  <c r="AD1583" i="2"/>
  <c r="AD1700" i="2" s="1"/>
  <c r="AD1695" i="2" s="1"/>
  <c r="AI1289" i="2"/>
  <c r="AI1376" i="2" s="1"/>
  <c r="AA1508" i="2"/>
  <c r="AA444" i="2"/>
  <c r="F27" i="19"/>
  <c r="E27" i="19"/>
  <c r="G27" i="19" s="1"/>
  <c r="AA625" i="2"/>
  <c r="F25" i="19"/>
  <c r="E25" i="19"/>
  <c r="G25" i="19" s="1"/>
  <c r="AK1543" i="2"/>
  <c r="AK1542" i="2"/>
  <c r="JB802" i="5"/>
  <c r="IZ802" i="5" s="1"/>
  <c r="AA1502" i="2"/>
  <c r="F55" i="19"/>
  <c r="E55" i="19"/>
  <c r="G55" i="19" s="1"/>
  <c r="IZ792" i="5"/>
  <c r="F20" i="19"/>
  <c r="E20" i="19"/>
  <c r="G20" i="19" s="1"/>
  <c r="F43" i="19"/>
  <c r="E43" i="19"/>
  <c r="G43" i="19" s="1"/>
  <c r="AI1331" i="2"/>
  <c r="AI1330" i="2" s="1"/>
  <c r="AI1417" i="2" s="1"/>
  <c r="D61" i="19"/>
  <c r="F22" i="19"/>
  <c r="E22" i="19"/>
  <c r="G22" i="19" s="1"/>
  <c r="F6" i="19"/>
  <c r="E6" i="19"/>
  <c r="G6" i="19" s="1"/>
  <c r="AI1792" i="2"/>
  <c r="D18" i="19"/>
  <c r="JA753" i="5"/>
  <c r="U23" i="19"/>
  <c r="V23" i="19" s="1"/>
  <c r="X73" i="19"/>
  <c r="Z73" i="19" s="1"/>
  <c r="AI435" i="2"/>
  <c r="AJ435" i="2" s="1"/>
  <c r="AK435" i="2" s="1"/>
  <c r="AL435" i="2" s="1"/>
  <c r="AM435" i="2" s="1"/>
  <c r="AN435" i="2" s="1"/>
  <c r="AO435" i="2" s="1"/>
  <c r="AP435" i="2" s="1"/>
  <c r="AQ435" i="2" s="1"/>
  <c r="AR435" i="2" s="1"/>
  <c r="AS435" i="2" s="1"/>
  <c r="AT435" i="2" s="1"/>
  <c r="AE513" i="2"/>
  <c r="JA876" i="5"/>
  <c r="AG436" i="2"/>
  <c r="AC517" i="2"/>
  <c r="JA811" i="5"/>
  <c r="JB820" i="5"/>
  <c r="AK1333" i="2"/>
  <c r="AK1420" i="2" s="1"/>
  <c r="JA928" i="5"/>
  <c r="P73" i="19"/>
  <c r="R73" i="19" s="1"/>
  <c r="JE728" i="5"/>
  <c r="JD728" i="5" s="1"/>
  <c r="AL1306" i="2"/>
  <c r="AL1393" i="2" s="1"/>
  <c r="AC456" i="2"/>
  <c r="AD707" i="2"/>
  <c r="AD879" i="2" s="1"/>
  <c r="AD927" i="2" s="1"/>
  <c r="AD1289" i="2"/>
  <c r="AD1376" i="2" s="1"/>
  <c r="P33" i="7"/>
  <c r="Y428" i="2"/>
  <c r="Z428" i="2"/>
  <c r="EQ567" i="5"/>
  <c r="DQ635" i="5"/>
  <c r="CK638" i="5"/>
  <c r="CK1149" i="5"/>
  <c r="CK503" i="5"/>
  <c r="CK572" i="5" s="1"/>
  <c r="P138" i="7"/>
  <c r="IG620" i="5"/>
  <c r="AB456" i="2"/>
  <c r="AA456" i="2"/>
  <c r="AE579" i="5"/>
  <c r="AE642" i="5"/>
  <c r="AS990" i="5"/>
  <c r="AS941" i="5"/>
  <c r="AS998" i="5" s="1"/>
  <c r="Z521" i="2"/>
  <c r="Y521" i="2"/>
  <c r="EA1141" i="5"/>
  <c r="EA1157" i="5" s="1"/>
  <c r="X387" i="2"/>
  <c r="DQ1141" i="5"/>
  <c r="DQ1157" i="5" s="1"/>
  <c r="DO572" i="5"/>
  <c r="DO579" i="5" s="1"/>
  <c r="AK579" i="5"/>
  <c r="AK642" i="5"/>
  <c r="BB579" i="5"/>
  <c r="BB642" i="5"/>
  <c r="II801" i="5"/>
  <c r="IJ800" i="5"/>
  <c r="AB428" i="2"/>
  <c r="AF451" i="2"/>
  <c r="AG451" i="2" s="1"/>
  <c r="AH451" i="2" s="1"/>
  <c r="AI451" i="2" s="1"/>
  <c r="AJ451" i="2" s="1"/>
  <c r="AE452" i="2"/>
  <c r="Z513" i="2"/>
  <c r="Y513" i="2"/>
  <c r="H24" i="7"/>
  <c r="Y651" i="2"/>
  <c r="Y1138" i="2"/>
  <c r="AA1702" i="2"/>
  <c r="CQ834" i="5"/>
  <c r="CQ990" i="5" s="1"/>
  <c r="Y386" i="2"/>
  <c r="Z386" i="2" s="1"/>
  <c r="AF428" i="2"/>
  <c r="AG428" i="2"/>
  <c r="AA1301" i="2"/>
  <c r="AA1388" i="2" s="1"/>
  <c r="EL1141" i="5"/>
  <c r="EL573" i="5"/>
  <c r="EL580" i="5" s="1"/>
  <c r="KP580" i="5"/>
  <c r="KP649" i="5" s="1"/>
  <c r="KP643" i="5"/>
  <c r="BZ990" i="5"/>
  <c r="BZ941" i="5"/>
  <c r="BZ998" i="5" s="1"/>
  <c r="IT666" i="5"/>
  <c r="IT815" i="5" s="1"/>
  <c r="FV984" i="5"/>
  <c r="DQ572" i="5"/>
  <c r="DQ579" i="5" s="1"/>
  <c r="AH642" i="5"/>
  <c r="AH579" i="5"/>
  <c r="F941" i="5"/>
  <c r="F998" i="5" s="1"/>
  <c r="F990" i="5"/>
  <c r="HP957" i="5"/>
  <c r="HP966" i="5" s="1"/>
  <c r="E50" i="7"/>
  <c r="IF798" i="5"/>
  <c r="IG797" i="5"/>
  <c r="AD543" i="2"/>
  <c r="AC543" i="2"/>
  <c r="HZ666" i="5"/>
  <c r="EN834" i="5"/>
  <c r="EN990" i="5" s="1"/>
  <c r="IJ977" i="5"/>
  <c r="AV648" i="5"/>
  <c r="AV582" i="5"/>
  <c r="IJ797" i="5"/>
  <c r="II798" i="5"/>
  <c r="AJ1326" i="2"/>
  <c r="AJ1413" i="2" s="1"/>
  <c r="IH959" i="5"/>
  <c r="IH968" i="5" s="1"/>
  <c r="AE371" i="2"/>
  <c r="DO1141" i="5"/>
  <c r="DO1157" i="5" s="1"/>
  <c r="AD436" i="2"/>
  <c r="AC436" i="2"/>
  <c r="IY813" i="5"/>
  <c r="IX813" i="5" s="1"/>
  <c r="AC1239" i="2"/>
  <c r="AD370" i="2"/>
  <c r="DO635" i="5"/>
  <c r="DO580" i="5"/>
  <c r="DO649" i="5" s="1"/>
  <c r="AJ620" i="2"/>
  <c r="AD371" i="2"/>
  <c r="AF579" i="5"/>
  <c r="AF642" i="5"/>
  <c r="AJ1837" i="2"/>
  <c r="FD834" i="5"/>
  <c r="FD941" i="5" s="1"/>
  <c r="FD998" i="5" s="1"/>
  <c r="DB572" i="5"/>
  <c r="DB579" i="5" s="1"/>
  <c r="DB582" i="5" s="1"/>
  <c r="T582" i="5"/>
  <c r="T648" i="5"/>
  <c r="AK1129" i="2"/>
  <c r="CA579" i="5"/>
  <c r="CA582" i="5" s="1"/>
  <c r="HS627" i="5"/>
  <c r="IV717" i="5"/>
  <c r="AI1039" i="2" s="1"/>
  <c r="BA579" i="5"/>
  <c r="BA642" i="5"/>
  <c r="AE505" i="2"/>
  <c r="AF505" i="2"/>
  <c r="R579" i="5"/>
  <c r="R642" i="5"/>
  <c r="H115" i="7"/>
  <c r="HT804" i="5"/>
  <c r="W990" i="5"/>
  <c r="W941" i="5"/>
  <c r="W998" i="5" s="1"/>
  <c r="AA436" i="2"/>
  <c r="Z436" i="2"/>
  <c r="Z432" i="2"/>
  <c r="AA432" i="2"/>
  <c r="KO579" i="5"/>
  <c r="KO642" i="5"/>
  <c r="IM988" i="5"/>
  <c r="AF1138" i="2"/>
  <c r="BN579" i="5"/>
  <c r="BN642" i="5"/>
  <c r="DV1157" i="5"/>
  <c r="HW957" i="5"/>
  <c r="EQ984" i="5"/>
  <c r="DP997" i="5"/>
  <c r="DP892" i="5"/>
  <c r="DP995" i="5" s="1"/>
  <c r="HY920" i="5"/>
  <c r="IA920" i="5" s="1"/>
  <c r="AW596" i="5"/>
  <c r="AW650" i="5"/>
  <c r="IC957" i="5"/>
  <c r="IC955" i="5" s="1"/>
  <c r="AC1418" i="2"/>
  <c r="FV1157" i="5"/>
  <c r="O43" i="19"/>
  <c r="N43" i="19" s="1"/>
  <c r="EJ572" i="5"/>
  <c r="EJ579" i="5" s="1"/>
  <c r="EJ615" i="5" s="1"/>
  <c r="IJ992" i="5"/>
  <c r="AE1173" i="2"/>
  <c r="M579" i="5"/>
  <c r="M642" i="5"/>
  <c r="HY1110" i="5"/>
  <c r="HY1116" i="5" s="1"/>
  <c r="HZ1108" i="5"/>
  <c r="HZ1110" i="5" s="1"/>
  <c r="CG638" i="5"/>
  <c r="CG1149" i="5"/>
  <c r="CG503" i="5"/>
  <c r="AP648" i="5"/>
  <c r="AP582" i="5"/>
  <c r="FV835" i="5"/>
  <c r="FV991" i="5" s="1"/>
  <c r="DU975" i="5"/>
  <c r="DU816" i="5"/>
  <c r="DU815" i="5"/>
  <c r="DY834" i="5"/>
  <c r="DY984" i="5"/>
  <c r="K28" i="7"/>
  <c r="EA572" i="5"/>
  <c r="EA579" i="5" s="1"/>
  <c r="EA615" i="5" s="1"/>
  <c r="DB835" i="5"/>
  <c r="DB991" i="5" s="1"/>
  <c r="HT799" i="5"/>
  <c r="AD444" i="2"/>
  <c r="AC444" i="2"/>
  <c r="AJ990" i="5"/>
  <c r="AJ941" i="5"/>
  <c r="AJ998" i="5" s="1"/>
  <c r="IV956" i="5"/>
  <c r="IV965" i="5" s="1"/>
  <c r="DE1096" i="5"/>
  <c r="DT1157" i="5"/>
  <c r="IG992" i="5"/>
  <c r="ID804" i="5"/>
  <c r="BQ642" i="5"/>
  <c r="BQ579" i="5"/>
  <c r="IV816" i="5"/>
  <c r="FT995" i="5"/>
  <c r="FT1154" i="5"/>
  <c r="AF421" i="2"/>
  <c r="AE421" i="2"/>
  <c r="AH1861" i="2"/>
  <c r="ID987" i="5"/>
  <c r="IA717" i="5"/>
  <c r="IA978" i="5" s="1"/>
  <c r="BE582" i="5"/>
  <c r="BE648" i="5"/>
  <c r="AE1402" i="2"/>
  <c r="AE1314" i="2"/>
  <c r="AE1401" i="2" s="1"/>
  <c r="DM573" i="5"/>
  <c r="DM635" i="5"/>
  <c r="DM1141" i="5"/>
  <c r="EQ941" i="5"/>
  <c r="EQ998" i="5" s="1"/>
  <c r="AA1314" i="2"/>
  <c r="AA1401" i="2" s="1"/>
  <c r="AB1214" i="2"/>
  <c r="AB1361" i="2" s="1"/>
  <c r="AB1448" i="2" s="1"/>
  <c r="AE372" i="2"/>
  <c r="AD372" i="2"/>
  <c r="BU648" i="5"/>
  <c r="BU582" i="5"/>
  <c r="FD985" i="5"/>
  <c r="FD835" i="5"/>
  <c r="FD991" i="5" s="1"/>
  <c r="EC816" i="5"/>
  <c r="EC815" i="5"/>
  <c r="EC975" i="5"/>
  <c r="AB440" i="2"/>
  <c r="AK439" i="2"/>
  <c r="AJ999" i="2"/>
  <c r="EJ573" i="5"/>
  <c r="EJ580" i="5" s="1"/>
  <c r="AD505" i="2"/>
  <c r="AC505" i="2"/>
  <c r="IK959" i="5"/>
  <c r="IK968" i="5" s="1"/>
  <c r="BS642" i="5"/>
  <c r="BS579" i="5"/>
  <c r="DJ572" i="5"/>
  <c r="IK966" i="5"/>
  <c r="IH957" i="5"/>
  <c r="IH955" i="5" s="1"/>
  <c r="IG596" i="5"/>
  <c r="IG655" i="5" s="1"/>
  <c r="EQ465" i="5"/>
  <c r="EQ572" i="5" s="1"/>
  <c r="EQ579" i="5" s="1"/>
  <c r="EQ615" i="5" s="1"/>
  <c r="EQ1132" i="5"/>
  <c r="IH661" i="5"/>
  <c r="BD990" i="5"/>
  <c r="BD941" i="5"/>
  <c r="BD998" i="5" s="1"/>
  <c r="P582" i="5"/>
  <c r="P648" i="5"/>
  <c r="AD428" i="2"/>
  <c r="AC428" i="2"/>
  <c r="EX1142" i="5"/>
  <c r="EX569" i="5"/>
  <c r="EX503" i="5"/>
  <c r="Y1239" i="2"/>
  <c r="HR997" i="5"/>
  <c r="IF660" i="5"/>
  <c r="BX990" i="5"/>
  <c r="BX941" i="5"/>
  <c r="BX998" i="5" s="1"/>
  <c r="DY835" i="5"/>
  <c r="DY991" i="5" s="1"/>
  <c r="DY985" i="5"/>
  <c r="IF582" i="5"/>
  <c r="O112" i="7" s="1"/>
  <c r="AI476" i="2"/>
  <c r="AJ476" i="2" s="1"/>
  <c r="AH477" i="2"/>
  <c r="IJ817" i="5"/>
  <c r="AE1133" i="2" s="1"/>
  <c r="E29" i="7"/>
  <c r="AF1314" i="2"/>
  <c r="AF1401" i="2" s="1"/>
  <c r="AG1444" i="2"/>
  <c r="AG1356" i="2"/>
  <c r="AG1443" i="2" s="1"/>
  <c r="AG1797" i="2"/>
  <c r="AC1214" i="2"/>
  <c r="ID996" i="5"/>
  <c r="HP968" i="5"/>
  <c r="CL643" i="5"/>
  <c r="CL580" i="5"/>
  <c r="CL649" i="5" s="1"/>
  <c r="EQ1141" i="5"/>
  <c r="EQ573" i="5"/>
  <c r="EQ580" i="5" s="1"/>
  <c r="AD770" i="2"/>
  <c r="AD1516" i="2" s="1"/>
  <c r="AD691" i="2"/>
  <c r="AD1473" i="2" s="1"/>
  <c r="IG629" i="5"/>
  <c r="P24" i="7"/>
  <c r="HV968" i="5"/>
  <c r="AB421" i="2"/>
  <c r="AC421" i="2"/>
  <c r="BL648" i="5"/>
  <c r="BL582" i="5"/>
  <c r="AD525" i="2"/>
  <c r="AE525" i="2"/>
  <c r="EV568" i="5"/>
  <c r="AA654" i="2"/>
  <c r="AA389" i="2"/>
  <c r="AA909" i="2"/>
  <c r="AA958" i="2" s="1"/>
  <c r="AA828" i="2"/>
  <c r="EY995" i="5"/>
  <c r="EY1154" i="5"/>
  <c r="EY1156" i="5" s="1"/>
  <c r="CK626" i="5"/>
  <c r="IF959" i="5"/>
  <c r="IF968" i="5" s="1"/>
  <c r="DI995" i="5"/>
  <c r="HW892" i="5"/>
  <c r="AC582" i="5"/>
  <c r="AC648" i="5"/>
  <c r="AA582" i="5"/>
  <c r="AA648" i="5"/>
  <c r="CP626" i="5"/>
  <c r="CP572" i="5"/>
  <c r="CV635" i="5"/>
  <c r="CV1141" i="5"/>
  <c r="CV573" i="5"/>
  <c r="DR975" i="5"/>
  <c r="DR815" i="5"/>
  <c r="DR816" i="5"/>
  <c r="BX579" i="5"/>
  <c r="BX642" i="5"/>
  <c r="AG1449" i="2"/>
  <c r="AG1798" i="2"/>
  <c r="AG1360" i="2"/>
  <c r="AG1447" i="2" s="1"/>
  <c r="FF985" i="5"/>
  <c r="FF835" i="5"/>
  <c r="FF991" i="5" s="1"/>
  <c r="EE984" i="5"/>
  <c r="EE834" i="5"/>
  <c r="FJ835" i="5"/>
  <c r="FJ991" i="5" s="1"/>
  <c r="FJ985" i="5"/>
  <c r="IJ988" i="5"/>
  <c r="AE1138" i="2"/>
  <c r="HT997" i="5"/>
  <c r="FP990" i="5"/>
  <c r="FP941" i="5"/>
  <c r="FP998" i="5" s="1"/>
  <c r="CE626" i="5"/>
  <c r="DE985" i="5"/>
  <c r="DE835" i="5"/>
  <c r="DE991" i="5" s="1"/>
  <c r="AA875" i="2"/>
  <c r="AA338" i="2"/>
  <c r="AA582" i="2"/>
  <c r="AA1473" i="2"/>
  <c r="DT835" i="5"/>
  <c r="DT991" i="5" s="1"/>
  <c r="DT985" i="5"/>
  <c r="EV567" i="5"/>
  <c r="KN642" i="5"/>
  <c r="KN579" i="5"/>
  <c r="EU985" i="5"/>
  <c r="EU835" i="5"/>
  <c r="EU991" i="5" s="1"/>
  <c r="IK902" i="5"/>
  <c r="IM893" i="5"/>
  <c r="DC573" i="5"/>
  <c r="DC1141" i="5"/>
  <c r="DC635" i="5"/>
  <c r="BO582" i="5"/>
  <c r="BO648" i="5"/>
  <c r="DY572" i="5"/>
  <c r="DY579" i="5" s="1"/>
  <c r="DY615" i="5" s="1"/>
  <c r="DN975" i="5"/>
  <c r="DN816" i="5"/>
  <c r="DN815" i="5"/>
  <c r="HS997" i="5"/>
  <c r="HU920" i="5"/>
  <c r="AC452" i="2"/>
  <c r="AD452" i="2"/>
  <c r="CS1141" i="5"/>
  <c r="CS573" i="5"/>
  <c r="CS635" i="5"/>
  <c r="CS572" i="5"/>
  <c r="P61" i="7"/>
  <c r="AD746" i="2"/>
  <c r="AE1134" i="2"/>
  <c r="AE1331" i="2" s="1"/>
  <c r="IJ987" i="5"/>
  <c r="HW959" i="5"/>
  <c r="HW968" i="5" s="1"/>
  <c r="CM984" i="5"/>
  <c r="CM834" i="5"/>
  <c r="AI648" i="5"/>
  <c r="AI582" i="5"/>
  <c r="KM579" i="5"/>
  <c r="KM642" i="5"/>
  <c r="AA551" i="2"/>
  <c r="Z551" i="2"/>
  <c r="CT835" i="5"/>
  <c r="CT991" i="5" s="1"/>
  <c r="CT985" i="5"/>
  <c r="EE572" i="5"/>
  <c r="EE579" i="5" s="1"/>
  <c r="EE615" i="5" s="1"/>
  <c r="EE573" i="5"/>
  <c r="EE580" i="5" s="1"/>
  <c r="EE1141" i="5"/>
  <c r="EE1157" i="5" s="1"/>
  <c r="FJ984" i="5"/>
  <c r="FJ834" i="5"/>
  <c r="FO985" i="5"/>
  <c r="FO835" i="5"/>
  <c r="FO991" i="5" s="1"/>
  <c r="CH1141" i="5"/>
  <c r="CH635" i="5"/>
  <c r="CH572" i="5"/>
  <c r="CH573" i="5"/>
  <c r="Y529" i="2"/>
  <c r="Z529" i="2"/>
  <c r="CO635" i="5"/>
  <c r="CO1141" i="5"/>
  <c r="CO573" i="5"/>
  <c r="CZ984" i="5"/>
  <c r="CZ834" i="5"/>
  <c r="DY573" i="5"/>
  <c r="DY580" i="5" s="1"/>
  <c r="HX982" i="5"/>
  <c r="AA1076" i="2"/>
  <c r="BB990" i="5"/>
  <c r="BB941" i="5"/>
  <c r="BB998" i="5" s="1"/>
  <c r="IG543" i="5"/>
  <c r="AD762" i="2" s="1"/>
  <c r="GL815" i="5"/>
  <c r="GL834" i="5" s="1"/>
  <c r="GL941" i="5" s="1"/>
  <c r="HU988" i="5"/>
  <c r="Z1138" i="2"/>
  <c r="CM503" i="5"/>
  <c r="CM638" i="5"/>
  <c r="CM1149" i="5"/>
  <c r="II660" i="5"/>
  <c r="II959" i="5"/>
  <c r="II968" i="5" s="1"/>
  <c r="AD905" i="2"/>
  <c r="AD955" i="2" s="1"/>
  <c r="AD1484" i="2"/>
  <c r="AD810" i="2"/>
  <c r="AD809" i="2" s="1"/>
  <c r="AD904" i="2" s="1"/>
  <c r="IH920" i="5"/>
  <c r="IJ920" i="5" s="1"/>
  <c r="IJ928" i="5"/>
  <c r="AE1247" i="2" s="1"/>
  <c r="N114" i="7"/>
  <c r="IG584" i="5"/>
  <c r="D30" i="7"/>
  <c r="E30" i="7" s="1"/>
  <c r="HX493" i="5"/>
  <c r="AA702" i="2" s="1"/>
  <c r="AA701" i="2" s="1"/>
  <c r="EG995" i="5"/>
  <c r="IC892" i="5"/>
  <c r="ID892" i="5" s="1"/>
  <c r="DE995" i="5"/>
  <c r="HV892" i="5"/>
  <c r="HT978" i="5"/>
  <c r="KN580" i="5"/>
  <c r="KN649" i="5" s="1"/>
  <c r="KN643" i="5"/>
  <c r="HW638" i="5"/>
  <c r="F68" i="7"/>
  <c r="IL957" i="5"/>
  <c r="IL959" i="5"/>
  <c r="IL660" i="5"/>
  <c r="IM817" i="5"/>
  <c r="E582" i="5"/>
  <c r="E648" i="5"/>
  <c r="HY661" i="5"/>
  <c r="AS642" i="5"/>
  <c r="AS579" i="5"/>
  <c r="EV1142" i="5"/>
  <c r="EV503" i="5"/>
  <c r="GL842" i="5"/>
  <c r="Z1289" i="2"/>
  <c r="AD1485" i="2"/>
  <c r="AD906" i="2"/>
  <c r="AD956" i="2" s="1"/>
  <c r="IE959" i="5"/>
  <c r="EJ1157" i="5"/>
  <c r="FB892" i="5"/>
  <c r="IH892" i="5" s="1"/>
  <c r="FB997" i="5"/>
  <c r="FB1153" i="5"/>
  <c r="DX816" i="5"/>
  <c r="DX815" i="5"/>
  <c r="DX975" i="5"/>
  <c r="ET1141" i="5"/>
  <c r="ET1157" i="5" s="1"/>
  <c r="ET573" i="5"/>
  <c r="ET580" i="5" s="1"/>
  <c r="ET572" i="5"/>
  <c r="ET579" i="5" s="1"/>
  <c r="ET615" i="5" s="1"/>
  <c r="G114" i="7"/>
  <c r="HY651" i="5"/>
  <c r="IA584" i="5"/>
  <c r="IA651" i="5" s="1"/>
  <c r="HY582" i="5"/>
  <c r="E82" i="7"/>
  <c r="IB957" i="5"/>
  <c r="IB959" i="5"/>
  <c r="IB968" i="5" s="1"/>
  <c r="DL626" i="5"/>
  <c r="DL572" i="5"/>
  <c r="HS802" i="5"/>
  <c r="HU802" i="5" s="1"/>
  <c r="HU801" i="5"/>
  <c r="HQ959" i="5"/>
  <c r="HQ968" i="5" s="1"/>
  <c r="Y1382" i="2"/>
  <c r="Y1289" i="2"/>
  <c r="DS573" i="5"/>
  <c r="DS1141" i="5"/>
  <c r="DS635" i="5"/>
  <c r="AM648" i="5"/>
  <c r="AM582" i="5"/>
  <c r="AI427" i="2"/>
  <c r="AH428" i="2"/>
  <c r="IF892" i="5"/>
  <c r="ES995" i="5"/>
  <c r="CX816" i="5"/>
  <c r="CX975" i="5"/>
  <c r="CX815" i="5"/>
  <c r="H82" i="7"/>
  <c r="DS569" i="5"/>
  <c r="DS1132" i="5"/>
  <c r="DS627" i="5"/>
  <c r="DS568" i="5"/>
  <c r="DS465" i="5"/>
  <c r="DS567" i="5"/>
  <c r="CN643" i="5"/>
  <c r="CN580" i="5"/>
  <c r="CN649" i="5" s="1"/>
  <c r="DD834" i="5"/>
  <c r="DD984" i="5"/>
  <c r="Z1386" i="2"/>
  <c r="HX920" i="5"/>
  <c r="DC941" i="5"/>
  <c r="DC998" i="5" s="1"/>
  <c r="DC990" i="5"/>
  <c r="AD1357" i="2"/>
  <c r="AD1578" i="2"/>
  <c r="DD572" i="5"/>
  <c r="DD626" i="5"/>
  <c r="L579" i="5"/>
  <c r="L642" i="5"/>
  <c r="AD1470" i="2"/>
  <c r="AD423" i="2"/>
  <c r="EL984" i="5"/>
  <c r="EL834" i="5"/>
  <c r="AU642" i="5"/>
  <c r="AU579" i="5"/>
  <c r="AD1402" i="2"/>
  <c r="AD1314" i="2"/>
  <c r="AD1401" i="2" s="1"/>
  <c r="AA800" i="2"/>
  <c r="AA898" i="2"/>
  <c r="AZ582" i="5"/>
  <c r="AZ648" i="5"/>
  <c r="IE957" i="5"/>
  <c r="AY642" i="5"/>
  <c r="AY579" i="5"/>
  <c r="CN626" i="5"/>
  <c r="CN572" i="5"/>
  <c r="AH990" i="5"/>
  <c r="AH941" i="5"/>
  <c r="AH998" i="5" s="1"/>
  <c r="FU995" i="5"/>
  <c r="FU1154" i="5"/>
  <c r="FU1156" i="5" s="1"/>
  <c r="IL892" i="5"/>
  <c r="CL635" i="5"/>
  <c r="CL1141" i="5"/>
  <c r="EM941" i="5"/>
  <c r="EM998" i="5" s="1"/>
  <c r="EM990" i="5"/>
  <c r="CI1149" i="5"/>
  <c r="CI638" i="5"/>
  <c r="CI503" i="5"/>
  <c r="FE995" i="5"/>
  <c r="FE1154" i="5"/>
  <c r="II892" i="5"/>
  <c r="EH815" i="5"/>
  <c r="EH816" i="5"/>
  <c r="EH975" i="5"/>
  <c r="EH567" i="5"/>
  <c r="EH1132" i="5"/>
  <c r="EH568" i="5"/>
  <c r="EH465" i="5"/>
  <c r="EH572" i="5" s="1"/>
  <c r="EH579" i="5" s="1"/>
  <c r="EH615" i="5" s="1"/>
  <c r="EH569" i="5"/>
  <c r="IM987" i="5"/>
  <c r="AF1134" i="2"/>
  <c r="AF1331" i="2" s="1"/>
  <c r="HT996" i="5"/>
  <c r="HU893" i="5"/>
  <c r="CW1141" i="5"/>
  <c r="CW573" i="5"/>
  <c r="CW635" i="5"/>
  <c r="CW572" i="5"/>
  <c r="CZ835" i="5"/>
  <c r="CZ991" i="5" s="1"/>
  <c r="CZ985" i="5"/>
  <c r="DY1157" i="5"/>
  <c r="DE984" i="5"/>
  <c r="DE834" i="5"/>
  <c r="FM995" i="5"/>
  <c r="FM1154" i="5"/>
  <c r="CM835" i="5"/>
  <c r="CM991" i="5" s="1"/>
  <c r="CM985" i="5"/>
  <c r="IY795" i="5"/>
  <c r="IX795" i="5" s="1"/>
  <c r="BO990" i="5"/>
  <c r="BO941" i="5"/>
  <c r="BO998" i="5" s="1"/>
  <c r="DD835" i="5"/>
  <c r="DD991" i="5" s="1"/>
  <c r="DD985" i="5"/>
  <c r="Z525" i="2"/>
  <c r="Y525" i="2"/>
  <c r="CL572" i="5"/>
  <c r="CL626" i="5"/>
  <c r="CF815" i="5"/>
  <c r="CF816" i="5"/>
  <c r="CF975" i="5"/>
  <c r="ID717" i="5"/>
  <c r="BV648" i="5"/>
  <c r="BV582" i="5"/>
  <c r="AD729" i="2"/>
  <c r="P50" i="7"/>
  <c r="FC985" i="5"/>
  <c r="FC835" i="5"/>
  <c r="FC991" i="5" s="1"/>
  <c r="Y1387" i="2"/>
  <c r="Y1298" i="2"/>
  <c r="BY642" i="5"/>
  <c r="BY579" i="5"/>
  <c r="W648" i="5"/>
  <c r="W582" i="5"/>
  <c r="EN997" i="5"/>
  <c r="EN892" i="5"/>
  <c r="IE920" i="5"/>
  <c r="DW1141" i="5"/>
  <c r="DW1157" i="5" s="1"/>
  <c r="DW573" i="5"/>
  <c r="DW580" i="5" s="1"/>
  <c r="EY984" i="5"/>
  <c r="EY834" i="5"/>
  <c r="FO984" i="5"/>
  <c r="FO834" i="5"/>
  <c r="BK642" i="5"/>
  <c r="BK579" i="5"/>
  <c r="HY1106" i="5"/>
  <c r="HY654" i="5"/>
  <c r="AB966" i="2"/>
  <c r="AB967" i="2" s="1"/>
  <c r="G125" i="7"/>
  <c r="CY635" i="5"/>
  <c r="CY1141" i="5"/>
  <c r="CY573" i="5"/>
  <c r="CY572" i="5"/>
  <c r="IG1112" i="5"/>
  <c r="IG1114" i="5" s="1"/>
  <c r="IG1116" i="5" s="1"/>
  <c r="IG1119" i="5" s="1"/>
  <c r="P137" i="7"/>
  <c r="IG982" i="5"/>
  <c r="AD1076" i="2"/>
  <c r="CQ572" i="5"/>
  <c r="CQ642" i="5" s="1"/>
  <c r="AI986" i="2"/>
  <c r="IQ893" i="5"/>
  <c r="IQ996" i="5" s="1"/>
  <c r="GI892" i="5"/>
  <c r="HT636" i="5"/>
  <c r="C41" i="7"/>
  <c r="BC579" i="5"/>
  <c r="BC642" i="5"/>
  <c r="CC642" i="5"/>
  <c r="CC579" i="5"/>
  <c r="AE1444" i="2"/>
  <c r="AE1356" i="2"/>
  <c r="AE1443" i="2" s="1"/>
  <c r="AD800" i="2"/>
  <c r="AD898" i="2"/>
  <c r="CM626" i="5"/>
  <c r="AD1388" i="2"/>
  <c r="AJ648" i="5"/>
  <c r="AJ582" i="5"/>
  <c r="CF572" i="5"/>
  <c r="CF626" i="5"/>
  <c r="HR817" i="5"/>
  <c r="DP1149" i="5"/>
  <c r="DP638" i="5"/>
  <c r="DP503" i="5"/>
  <c r="DP572" i="5" s="1"/>
  <c r="FO1157" i="5"/>
  <c r="ID977" i="5"/>
  <c r="AC1029" i="2"/>
  <c r="AT1296" i="2" s="1"/>
  <c r="AT1383" i="2" s="1"/>
  <c r="HX658" i="5"/>
  <c r="HX620" i="5"/>
  <c r="CW995" i="5"/>
  <c r="HT892" i="5"/>
  <c r="IL591" i="5"/>
  <c r="T120" i="7"/>
  <c r="FV990" i="5"/>
  <c r="FV941" i="5"/>
  <c r="FV998" i="5" s="1"/>
  <c r="HZ536" i="5"/>
  <c r="I68" i="7" s="1"/>
  <c r="K68" i="7" s="1"/>
  <c r="I75" i="7"/>
  <c r="K75" i="7" s="1"/>
  <c r="DC626" i="5"/>
  <c r="DC572" i="5"/>
  <c r="K642" i="5"/>
  <c r="K579" i="5"/>
  <c r="AD1471" i="2"/>
  <c r="AD307" i="2"/>
  <c r="AD1138" i="2"/>
  <c r="IG988" i="5"/>
  <c r="HT959" i="5"/>
  <c r="HT968" i="5" s="1"/>
  <c r="AD1134" i="2"/>
  <c r="AD1331" i="2" s="1"/>
  <c r="IG987" i="5"/>
  <c r="IA543" i="5"/>
  <c r="G75" i="7"/>
  <c r="H75" i="7" s="1"/>
  <c r="HY536" i="5"/>
  <c r="HY503" i="5" s="1"/>
  <c r="HU1095" i="5"/>
  <c r="HU1101" i="5" s="1"/>
  <c r="DM1096" i="5"/>
  <c r="DB1101" i="5"/>
  <c r="DG1096" i="5"/>
  <c r="DK1096" i="5"/>
  <c r="DI1096" i="5"/>
  <c r="DJ1096" i="5"/>
  <c r="DH1096" i="5"/>
  <c r="DL1096" i="5"/>
  <c r="DF1096" i="5"/>
  <c r="DB1096" i="5"/>
  <c r="HU1127" i="5" s="1"/>
  <c r="DC1096" i="5"/>
  <c r="BZ579" i="5"/>
  <c r="BZ642" i="5"/>
  <c r="DT580" i="5"/>
  <c r="DT649" i="5" s="1"/>
  <c r="DT643" i="5"/>
  <c r="FC1157" i="5"/>
  <c r="AD1777" i="2"/>
  <c r="EM1149" i="5"/>
  <c r="IE536" i="5"/>
  <c r="N68" i="7" s="1"/>
  <c r="AD320" i="2"/>
  <c r="AD564" i="2"/>
  <c r="IG817" i="5"/>
  <c r="AD876" i="2"/>
  <c r="AD849" i="2"/>
  <c r="IG616" i="5" s="1"/>
  <c r="FF834" i="5"/>
  <c r="FF984" i="5"/>
  <c r="CQ995" i="5"/>
  <c r="HS892" i="5"/>
  <c r="E8" i="7"/>
  <c r="CD642" i="5"/>
  <c r="CD579" i="5"/>
  <c r="IJ717" i="5"/>
  <c r="KM643" i="5"/>
  <c r="KM580" i="5"/>
  <c r="KM649" i="5" s="1"/>
  <c r="HS804" i="5"/>
  <c r="HS957" i="5" s="1"/>
  <c r="EW985" i="5"/>
  <c r="EW835" i="5"/>
  <c r="EW991" i="5" s="1"/>
  <c r="FL816" i="5"/>
  <c r="FL815" i="5"/>
  <c r="FL975" i="5"/>
  <c r="FL842" i="5"/>
  <c r="HW596" i="5"/>
  <c r="HW582" i="5" s="1"/>
  <c r="HW1112" i="5"/>
  <c r="HW1114" i="5" s="1"/>
  <c r="HW657" i="5"/>
  <c r="F137" i="7"/>
  <c r="H137" i="7" s="1"/>
  <c r="BW582" i="5"/>
  <c r="BW648" i="5"/>
  <c r="DH643" i="5"/>
  <c r="DH580" i="5"/>
  <c r="DH649" i="5" s="1"/>
  <c r="EY985" i="5"/>
  <c r="EY835" i="5"/>
  <c r="EY991" i="5" s="1"/>
  <c r="CG941" i="5"/>
  <c r="CG998" i="5" s="1"/>
  <c r="CG990" i="5"/>
  <c r="F648" i="5"/>
  <c r="F582" i="5"/>
  <c r="Y1389" i="2"/>
  <c r="Y1301" i="2"/>
  <c r="Y1388" i="2" s="1"/>
  <c r="DW572" i="5"/>
  <c r="DW579" i="5" s="1"/>
  <c r="DW615" i="5" s="1"/>
  <c r="HX610" i="5"/>
  <c r="HV1112" i="5"/>
  <c r="HV1114" i="5" s="1"/>
  <c r="HV657" i="5"/>
  <c r="D137" i="7"/>
  <c r="HV596" i="5"/>
  <c r="AD1448" i="2"/>
  <c r="HY636" i="5"/>
  <c r="G41" i="7"/>
  <c r="DQ984" i="5"/>
  <c r="DQ834" i="5"/>
  <c r="IJ981" i="5"/>
  <c r="AE1052" i="2"/>
  <c r="AF1052" i="2"/>
  <c r="IM981" i="5"/>
  <c r="AD989" i="2"/>
  <c r="IG976" i="5"/>
  <c r="EN567" i="5"/>
  <c r="EN569" i="5"/>
  <c r="EN568" i="5"/>
  <c r="EN1132" i="5"/>
  <c r="EN465" i="5"/>
  <c r="IE467" i="5"/>
  <c r="HY965" i="5"/>
  <c r="IA956" i="5"/>
  <c r="IA988" i="5"/>
  <c r="AB1138" i="2"/>
  <c r="DE1149" i="5"/>
  <c r="DE638" i="5"/>
  <c r="DE503" i="5"/>
  <c r="DE572" i="5" s="1"/>
  <c r="II965" i="5"/>
  <c r="IS958" i="5"/>
  <c r="IS967" i="5" s="1"/>
  <c r="IQ967" i="5"/>
  <c r="IB965" i="5"/>
  <c r="ID956" i="5"/>
  <c r="CV572" i="5"/>
  <c r="CV626" i="5"/>
  <c r="CJ643" i="5"/>
  <c r="CJ580" i="5"/>
  <c r="CJ649" i="5" s="1"/>
  <c r="F127" i="7"/>
  <c r="H127" i="7" s="1"/>
  <c r="HX598" i="5"/>
  <c r="AA830" i="2" s="1"/>
  <c r="AA1476" i="2" s="1"/>
  <c r="IV909" i="5"/>
  <c r="AI1230" i="2" s="1"/>
  <c r="IT893" i="5"/>
  <c r="DF991" i="5"/>
  <c r="IM976" i="5"/>
  <c r="AF989" i="2"/>
  <c r="AQ648" i="5"/>
  <c r="AQ582" i="5"/>
  <c r="AH533" i="2"/>
  <c r="AI532" i="2"/>
  <c r="AJ532" i="2" s="1"/>
  <c r="AE1377" i="2"/>
  <c r="AE1289" i="2"/>
  <c r="AE1376" i="2" s="1"/>
  <c r="EZ984" i="5"/>
  <c r="EZ834" i="5"/>
  <c r="N55" i="7"/>
  <c r="IG521" i="5"/>
  <c r="IK965" i="5"/>
  <c r="IM956" i="5"/>
  <c r="AA879" i="2"/>
  <c r="EB572" i="5"/>
  <c r="EB579" i="5" s="1"/>
  <c r="EB615" i="5" s="1"/>
  <c r="AH1273" i="2"/>
  <c r="AH1281" i="2" s="1"/>
  <c r="AH1321" i="2"/>
  <c r="AH1408" i="2" s="1"/>
  <c r="D28" i="7"/>
  <c r="HV631" i="5"/>
  <c r="HX491" i="5"/>
  <c r="HX631" i="5" s="1"/>
  <c r="DN465" i="5"/>
  <c r="DN1132" i="5"/>
  <c r="DN627" i="5"/>
  <c r="DN567" i="5"/>
  <c r="DN568" i="5"/>
  <c r="DN569" i="5"/>
  <c r="ID976" i="5"/>
  <c r="AC989" i="2"/>
  <c r="IQ965" i="5"/>
  <c r="IS956" i="5"/>
  <c r="FA834" i="5"/>
  <c r="FA984" i="5"/>
  <c r="HZ959" i="5"/>
  <c r="IB661" i="5"/>
  <c r="IA817" i="5"/>
  <c r="HZ957" i="5"/>
  <c r="HW522" i="5"/>
  <c r="HX521" i="5"/>
  <c r="AA736" i="2" s="1"/>
  <c r="AA361" i="2" s="1"/>
  <c r="F55" i="7"/>
  <c r="HW505" i="5"/>
  <c r="CN941" i="5"/>
  <c r="CN998" i="5" s="1"/>
  <c r="CN990" i="5"/>
  <c r="EB1157" i="5"/>
  <c r="IG981" i="5"/>
  <c r="AD1052" i="2"/>
  <c r="AA989" i="2"/>
  <c r="HX976" i="5"/>
  <c r="IL965" i="5"/>
  <c r="AH1402" i="2"/>
  <c r="HT638" i="5"/>
  <c r="C68" i="7"/>
  <c r="HT503" i="5"/>
  <c r="IY755" i="5"/>
  <c r="IX755" i="5" s="1"/>
  <c r="AJ1315" i="2"/>
  <c r="AJ1402" i="2" s="1"/>
  <c r="AJ1810" i="2"/>
  <c r="AJ590" i="2"/>
  <c r="IG468" i="5"/>
  <c r="N8" i="7"/>
  <c r="DF1141" i="5"/>
  <c r="DF635" i="5"/>
  <c r="DF573" i="5"/>
  <c r="DF572" i="5"/>
  <c r="IH965" i="5"/>
  <c r="IJ956" i="5"/>
  <c r="GI835" i="5"/>
  <c r="IQ816" i="5"/>
  <c r="AD648" i="5"/>
  <c r="AD582" i="5"/>
  <c r="I55" i="7"/>
  <c r="K55" i="7" s="1"/>
  <c r="HZ522" i="5"/>
  <c r="I56" i="7" s="1"/>
  <c r="K56" i="7" s="1"/>
  <c r="HZ505" i="5"/>
  <c r="IA505" i="5" s="1"/>
  <c r="IA636" i="5" s="1"/>
  <c r="DN636" i="5"/>
  <c r="DN1142" i="5"/>
  <c r="DN503" i="5"/>
  <c r="DN573" i="5" s="1"/>
  <c r="HW965" i="5"/>
  <c r="HZ467" i="5"/>
  <c r="I8" i="7"/>
  <c r="K8" i="7" s="1"/>
  <c r="EG1141" i="5"/>
  <c r="EG1157" i="5" s="1"/>
  <c r="EG572" i="5"/>
  <c r="EG579" i="5" s="1"/>
  <c r="EG615" i="5" s="1"/>
  <c r="EG573" i="5"/>
  <c r="EG580" i="5" s="1"/>
  <c r="AI1321" i="2"/>
  <c r="AI1408" i="2" s="1"/>
  <c r="AI1273" i="2"/>
  <c r="AI1281" i="2" s="1"/>
  <c r="AH1592" i="2"/>
  <c r="AH1598" i="2"/>
  <c r="IC968" i="5"/>
  <c r="AB989" i="2"/>
  <c r="IA976" i="5"/>
  <c r="FE834" i="5"/>
  <c r="FE984" i="5"/>
  <c r="IQ968" i="5"/>
  <c r="BH582" i="5"/>
  <c r="BH648" i="5"/>
  <c r="IC965" i="5"/>
  <c r="CQ991" i="5"/>
  <c r="EU569" i="5"/>
  <c r="CL984" i="5"/>
  <c r="CL834" i="5"/>
  <c r="AH1786" i="2"/>
  <c r="AH1760" i="2"/>
  <c r="AH1759" i="2" s="1"/>
  <c r="AH986" i="2"/>
  <c r="AH1271" i="2"/>
  <c r="AH1279" i="2" s="1"/>
  <c r="HU976" i="5"/>
  <c r="Z989" i="2"/>
  <c r="DZ1142" i="5"/>
  <c r="DZ503" i="5"/>
  <c r="DZ1141" i="5" s="1"/>
  <c r="DM985" i="5"/>
  <c r="DM835" i="5"/>
  <c r="DM991" i="5" s="1"/>
  <c r="AG409" i="2"/>
  <c r="AF409" i="2"/>
  <c r="AI1834" i="2"/>
  <c r="CT626" i="5"/>
  <c r="CT572" i="5"/>
  <c r="HT965" i="5"/>
  <c r="IA491" i="5"/>
  <c r="IA631" i="5" s="1"/>
  <c r="G28" i="7"/>
  <c r="H28" i="7" s="1"/>
  <c r="HY631" i="5"/>
  <c r="HX1108" i="5"/>
  <c r="AA832" i="2"/>
  <c r="IR965" i="5"/>
  <c r="D75" i="7"/>
  <c r="E75" i="7" s="1"/>
  <c r="HX543" i="5"/>
  <c r="HV536" i="5"/>
  <c r="DW984" i="5"/>
  <c r="DW834" i="5"/>
  <c r="DO834" i="5"/>
  <c r="DO984" i="5"/>
  <c r="IN969" i="5"/>
  <c r="IP960" i="5"/>
  <c r="IP969" i="5" s="1"/>
  <c r="FA985" i="5"/>
  <c r="FA835" i="5"/>
  <c r="FA991" i="5" s="1"/>
  <c r="HS965" i="5"/>
  <c r="HU956" i="5"/>
  <c r="AH1418" i="2"/>
  <c r="AH1330" i="2"/>
  <c r="AH1417" i="2" s="1"/>
  <c r="HV965" i="5"/>
  <c r="HX956" i="5"/>
  <c r="AC1388" i="2"/>
  <c r="BJ648" i="5"/>
  <c r="BJ582" i="5"/>
  <c r="AA365" i="2"/>
  <c r="AA1506" i="2"/>
  <c r="AA610" i="2"/>
  <c r="DR636" i="5"/>
  <c r="DR503" i="5"/>
  <c r="DR573" i="5" s="1"/>
  <c r="DR1142" i="5"/>
  <c r="HU567" i="5"/>
  <c r="HU627" i="5"/>
  <c r="HU569" i="5"/>
  <c r="HU568" i="5"/>
  <c r="HU465" i="5"/>
  <c r="D41" i="7"/>
  <c r="HV636" i="5"/>
  <c r="S648" i="5"/>
  <c r="S582" i="5"/>
  <c r="AH1396" i="2"/>
  <c r="AH1308" i="2"/>
  <c r="AH1395" i="2" s="1"/>
  <c r="ET985" i="5"/>
  <c r="ET835" i="5"/>
  <c r="ET991" i="5" s="1"/>
  <c r="AI1356" i="2"/>
  <c r="AI1443" i="2" s="1"/>
  <c r="AI1444" i="2"/>
  <c r="GL796" i="5"/>
  <c r="GK799" i="5"/>
  <c r="EU568" i="5"/>
  <c r="FU834" i="5"/>
  <c r="FU984" i="5"/>
  <c r="IG640" i="5"/>
  <c r="P82" i="7"/>
  <c r="CJ626" i="5"/>
  <c r="CJ572" i="5"/>
  <c r="AH1578" i="2"/>
  <c r="AH1357" i="2"/>
  <c r="AH1777" i="2"/>
  <c r="AN648" i="5"/>
  <c r="AN582" i="5"/>
  <c r="AA1052" i="2"/>
  <c r="HX981" i="5"/>
  <c r="H57" i="7"/>
  <c r="AH1076" i="2"/>
  <c r="DP626" i="5"/>
  <c r="HU981" i="5"/>
  <c r="Z1052" i="2"/>
  <c r="CX1141" i="5"/>
  <c r="CX635" i="5"/>
  <c r="CX573" i="5"/>
  <c r="DU573" i="5"/>
  <c r="DU580" i="5" s="1"/>
  <c r="DU1141" i="5"/>
  <c r="DU1157" i="5" s="1"/>
  <c r="AA1516" i="2"/>
  <c r="AA889" i="2"/>
  <c r="HX798" i="5"/>
  <c r="EN1142" i="5"/>
  <c r="EN503" i="5"/>
  <c r="EN573" i="5" s="1"/>
  <c r="IE505" i="5"/>
  <c r="FE835" i="5"/>
  <c r="FE985" i="5"/>
  <c r="DG580" i="5"/>
  <c r="DG649" i="5" s="1"/>
  <c r="DG643" i="5"/>
  <c r="C7" i="7"/>
  <c r="HT569" i="5"/>
  <c r="C99" i="7" s="1"/>
  <c r="HT627" i="5"/>
  <c r="HT568" i="5"/>
  <c r="C98" i="7" s="1"/>
  <c r="HT465" i="5"/>
  <c r="HT567" i="5"/>
  <c r="C97" i="7" s="1"/>
  <c r="HZ965" i="5"/>
  <c r="DA643" i="5"/>
  <c r="DA580" i="5"/>
  <c r="DA649" i="5" s="1"/>
  <c r="AF1381" i="2"/>
  <c r="AF1289" i="2"/>
  <c r="AH1775" i="2"/>
  <c r="AH1362" i="2"/>
  <c r="HT631" i="5"/>
  <c r="C28" i="7"/>
  <c r="DA635" i="5"/>
  <c r="DA1141" i="5"/>
  <c r="IV817" i="5"/>
  <c r="AI1133" i="2" s="1"/>
  <c r="IT957" i="5"/>
  <c r="AF551" i="2"/>
  <c r="AG551" i="2"/>
  <c r="J582" i="5"/>
  <c r="J648" i="5"/>
  <c r="DE626" i="5"/>
  <c r="CS985" i="5"/>
  <c r="CS835" i="5"/>
  <c r="CS991" i="5" s="1"/>
  <c r="IG632" i="5"/>
  <c r="AD701" i="2"/>
  <c r="P29" i="7"/>
  <c r="P10" i="7"/>
  <c r="AD676" i="2"/>
  <c r="HY467" i="5"/>
  <c r="HY628" i="5"/>
  <c r="G8" i="7"/>
  <c r="P57" i="7"/>
  <c r="AD738" i="2"/>
  <c r="AD1506" i="2" s="1"/>
  <c r="EI834" i="5"/>
  <c r="EI984" i="5"/>
  <c r="ES568" i="5"/>
  <c r="Y1444" i="2"/>
  <c r="Y1356" i="2"/>
  <c r="Y1443" i="2" s="1"/>
  <c r="FS834" i="5"/>
  <c r="FS984" i="5"/>
  <c r="IT959" i="5"/>
  <c r="AI1402" i="2"/>
  <c r="AD577" i="2"/>
  <c r="AD575" i="2"/>
  <c r="AD333" i="2"/>
  <c r="AD1472" i="2"/>
  <c r="EX834" i="5"/>
  <c r="EX984" i="5"/>
  <c r="IA628" i="5"/>
  <c r="IA467" i="5"/>
  <c r="H10" i="7"/>
  <c r="N28" i="7"/>
  <c r="IG491" i="5"/>
  <c r="ID981" i="5"/>
  <c r="AC1052" i="2"/>
  <c r="HW651" i="5"/>
  <c r="F114" i="7"/>
  <c r="AD391" i="2"/>
  <c r="AD1518" i="2"/>
  <c r="AD656" i="2"/>
  <c r="AD1594" i="2"/>
  <c r="ES567" i="5"/>
  <c r="EN991" i="5"/>
  <c r="AB334" i="2"/>
  <c r="AB578" i="2"/>
  <c r="HR981" i="5"/>
  <c r="Y1052" i="2"/>
  <c r="X1534" i="2" s="1"/>
  <c r="IT967" i="5"/>
  <c r="IV958" i="5"/>
  <c r="IV967" i="5" s="1"/>
  <c r="EH1141" i="5"/>
  <c r="EH573" i="5"/>
  <c r="EH580" i="5" s="1"/>
  <c r="HR976" i="5"/>
  <c r="Y989" i="2"/>
  <c r="HX799" i="5"/>
  <c r="HQ965" i="5"/>
  <c r="HR956" i="5"/>
  <c r="EU1142" i="5"/>
  <c r="EU503" i="5"/>
  <c r="EU572" i="5" s="1"/>
  <c r="EU579" i="5" s="1"/>
  <c r="EU615" i="5" s="1"/>
  <c r="AG582" i="5"/>
  <c r="AG648" i="5"/>
  <c r="AA1485" i="2"/>
  <c r="AA1483" i="2" s="1"/>
  <c r="AA906" i="2"/>
  <c r="AA956" i="2" s="1"/>
  <c r="AA810" i="2"/>
  <c r="AA809" i="2" s="1"/>
  <c r="HW628" i="5"/>
  <c r="F8" i="7"/>
  <c r="HW467" i="5"/>
  <c r="DR569" i="5"/>
  <c r="DR568" i="5"/>
  <c r="DR465" i="5"/>
  <c r="DR1132" i="5"/>
  <c r="DR627" i="5"/>
  <c r="DR567" i="5"/>
  <c r="CR626" i="5"/>
  <c r="CR572" i="5"/>
  <c r="DX1141" i="5"/>
  <c r="DX1157" i="5" s="1"/>
  <c r="DX573" i="5"/>
  <c r="DX580" i="5" s="1"/>
  <c r="DX572" i="5"/>
  <c r="DX579" i="5" s="1"/>
  <c r="DX615" i="5" s="1"/>
  <c r="Z543" i="2"/>
  <c r="AA543" i="2"/>
  <c r="AB648" i="5"/>
  <c r="AB582" i="5"/>
  <c r="DI985" i="5"/>
  <c r="DI835" i="5"/>
  <c r="AI1076" i="2"/>
  <c r="AB288" i="2"/>
  <c r="AA288" i="2"/>
  <c r="AD602" i="2"/>
  <c r="AD1496" i="2"/>
  <c r="AE989" i="2"/>
  <c r="IJ976" i="5"/>
  <c r="AJ420" i="2"/>
  <c r="AH421" i="2"/>
  <c r="HX468" i="5"/>
  <c r="AA676" i="2"/>
  <c r="DA626" i="5"/>
  <c r="DA572" i="5"/>
  <c r="DI984" i="5"/>
  <c r="DI834" i="5"/>
  <c r="AH1584" i="2"/>
  <c r="AH1583" i="2" s="1"/>
  <c r="IS898" i="5"/>
  <c r="AH1219" i="2" s="1"/>
  <c r="AH1586" i="2" s="1"/>
  <c r="Q642" i="5"/>
  <c r="Q579" i="5"/>
  <c r="HX801" i="5"/>
  <c r="HW802" i="5"/>
  <c r="HX802" i="5" s="1"/>
  <c r="GL800" i="5"/>
  <c r="GK801" i="5"/>
  <c r="IQ801" i="5" s="1"/>
  <c r="IS801" i="5" s="1"/>
  <c r="AH1117" i="2" s="1"/>
  <c r="FT834" i="5"/>
  <c r="FT984" i="5"/>
  <c r="AB332" i="2"/>
  <c r="AB576" i="2"/>
  <c r="AA332" i="2"/>
  <c r="AA576" i="2"/>
  <c r="AA306" i="2"/>
  <c r="AB306" i="2"/>
  <c r="EZ835" i="5"/>
  <c r="EZ985" i="5"/>
  <c r="HY522" i="5"/>
  <c r="IA521" i="5"/>
  <c r="G55" i="7"/>
  <c r="CF580" i="5"/>
  <c r="CF649" i="5" s="1"/>
  <c r="CF643" i="5"/>
  <c r="IF505" i="5"/>
  <c r="O41" i="7" s="1"/>
  <c r="ES1142" i="5"/>
  <c r="ES503" i="5"/>
  <c r="IF965" i="5"/>
  <c r="IG956" i="5"/>
  <c r="EB573" i="5"/>
  <c r="EB580" i="5" s="1"/>
  <c r="AH1377" i="2"/>
  <c r="AH1289" i="2"/>
  <c r="AI1592" i="2"/>
  <c r="AI1596" i="2" s="1"/>
  <c r="AI1598" i="2"/>
  <c r="EG984" i="5"/>
  <c r="EG834" i="5"/>
  <c r="BM648" i="5"/>
  <c r="BM582" i="5"/>
  <c r="IA981" i="5"/>
  <c r="AB1052" i="2"/>
  <c r="GO892" i="5"/>
  <c r="IR893" i="5"/>
  <c r="GO834" i="5"/>
  <c r="DZ567" i="5"/>
  <c r="DZ569" i="5"/>
  <c r="DZ1132" i="5"/>
  <c r="DZ568" i="5"/>
  <c r="DZ465" i="5"/>
  <c r="DU572" i="5"/>
  <c r="DU579" i="5" s="1"/>
  <c r="DU615" i="5" s="1"/>
  <c r="O27" i="19"/>
  <c r="N27" i="19" s="1"/>
  <c r="Q73" i="19"/>
  <c r="AK1357" i="2"/>
  <c r="AK1356" i="2" s="1"/>
  <c r="AK1443" i="2" s="1"/>
  <c r="AK1173" i="2"/>
  <c r="IB567" i="5"/>
  <c r="J97" i="7" s="1"/>
  <c r="IB465" i="5"/>
  <c r="IB572" i="5" s="1"/>
  <c r="V1276" i="2"/>
  <c r="AJ612" i="2"/>
  <c r="IY789" i="5"/>
  <c r="AJ1273" i="2"/>
  <c r="AJ1281" i="2" s="1"/>
  <c r="AJ1322" i="2"/>
  <c r="AJ1409" i="2" s="1"/>
  <c r="AJ1824" i="2"/>
  <c r="AC968" i="2"/>
  <c r="AC969" i="2" s="1"/>
  <c r="JN790" i="5"/>
  <c r="JM790" i="5" s="1"/>
  <c r="W70" i="19"/>
  <c r="AG38" i="19"/>
  <c r="JB857" i="5"/>
  <c r="JB928" i="5"/>
  <c r="AK1239" i="2"/>
  <c r="AJ606" i="2"/>
  <c r="AJ1324" i="2"/>
  <c r="AJ1411" i="2" s="1"/>
  <c r="IY757" i="5"/>
  <c r="AJ1317" i="2"/>
  <c r="AJ1404" i="2" s="1"/>
  <c r="AJ1076" i="2"/>
  <c r="AJ912" i="2"/>
  <c r="AJ959" i="2" s="1"/>
  <c r="IY829" i="5"/>
  <c r="IX829" i="5" s="1"/>
  <c r="AJ854" i="2"/>
  <c r="AL1239" i="2"/>
  <c r="AG904" i="2"/>
  <c r="AG954" i="2" s="1"/>
  <c r="JE928" i="5"/>
  <c r="JH928" i="5"/>
  <c r="AL564" i="2"/>
  <c r="AM1239" i="2"/>
  <c r="JE857" i="5"/>
  <c r="AE70" i="19"/>
  <c r="Q61" i="19"/>
  <c r="P61" i="19"/>
  <c r="R61" i="19" s="1"/>
  <c r="AK1614" i="2"/>
  <c r="X61" i="19"/>
  <c r="Z61" i="19" s="1"/>
  <c r="Y61" i="19"/>
  <c r="Y42" i="19"/>
  <c r="AO10" i="19"/>
  <c r="AN10" i="19"/>
  <c r="AP10" i="19" s="1"/>
  <c r="AH580" i="2"/>
  <c r="AL679" i="2"/>
  <c r="AL307" i="2" s="1"/>
  <c r="AO100" i="19"/>
  <c r="AN100" i="19"/>
  <c r="AP100" i="19" s="1"/>
  <c r="AO38" i="19"/>
  <c r="AN38" i="19"/>
  <c r="AP38" i="19" s="1"/>
  <c r="JB791" i="5"/>
  <c r="IZ791" i="5" s="1"/>
  <c r="AK1582" i="2"/>
  <c r="JE792" i="5"/>
  <c r="JC792" i="5" s="1"/>
  <c r="AE42" i="19"/>
  <c r="JH857" i="5"/>
  <c r="AG61" i="19"/>
  <c r="AF61" i="19"/>
  <c r="AH61" i="19" s="1"/>
  <c r="AN61" i="19"/>
  <c r="AP61" i="19" s="1"/>
  <c r="AO61" i="19"/>
  <c r="AG100" i="19"/>
  <c r="AF100" i="19"/>
  <c r="AH100" i="19" s="1"/>
  <c r="AJ1357" i="2"/>
  <c r="AJ1444" i="2" s="1"/>
  <c r="AJ843" i="2"/>
  <c r="IY610" i="5" s="1"/>
  <c r="IW610" i="5" s="1"/>
  <c r="IX610" i="5" s="1"/>
  <c r="AL694" i="2"/>
  <c r="AL738" i="2" s="1"/>
  <c r="AM584" i="2"/>
  <c r="AM333" i="2"/>
  <c r="V1560" i="2"/>
  <c r="AH843" i="2"/>
  <c r="AH911" i="2" s="1"/>
  <c r="IS611" i="5"/>
  <c r="IR611" i="5" s="1"/>
  <c r="AH912" i="2"/>
  <c r="AH959" i="2" s="1"/>
  <c r="V1329" i="2"/>
  <c r="V1416" i="2" s="1"/>
  <c r="II536" i="5"/>
  <c r="R68" i="7" s="1"/>
  <c r="IR612" i="5"/>
  <c r="V1261" i="2"/>
  <c r="U1555" i="2" s="1"/>
  <c r="AL1578" i="2"/>
  <c r="AM577" i="2"/>
  <c r="JD897" i="5"/>
  <c r="IU530" i="5"/>
  <c r="JM861" i="5"/>
  <c r="AO1616" i="2" s="1"/>
  <c r="AO1615" i="2" s="1"/>
  <c r="AL1173" i="2"/>
  <c r="AL1357" i="2"/>
  <c r="AL1356" i="2" s="1"/>
  <c r="AL1443" i="2" s="1"/>
  <c r="IU612" i="5"/>
  <c r="Q41" i="7"/>
  <c r="IH503" i="5"/>
  <c r="AK912" i="2"/>
  <c r="AK959" i="2" s="1"/>
  <c r="AK854" i="2"/>
  <c r="Y1490" i="2"/>
  <c r="R50" i="7"/>
  <c r="II505" i="5"/>
  <c r="R41" i="7" s="1"/>
  <c r="IT609" i="5"/>
  <c r="IU609" i="5" s="1"/>
  <c r="AK843" i="2"/>
  <c r="JB610" i="5" s="1"/>
  <c r="V1328" i="2"/>
  <c r="V1415" i="2" s="1"/>
  <c r="AN1239" i="2"/>
  <c r="AO541" i="2"/>
  <c r="W1360" i="2"/>
  <c r="W1447" i="2" s="1"/>
  <c r="AK307" i="2"/>
  <c r="AO539" i="2"/>
  <c r="AP539" i="2" s="1"/>
  <c r="AQ539" i="2" s="1"/>
  <c r="AR539" i="2" s="1"/>
  <c r="AS539" i="2" s="1"/>
  <c r="AT539" i="2" s="1"/>
  <c r="JB473" i="5"/>
  <c r="IZ473" i="5" s="1"/>
  <c r="AM329" i="2"/>
  <c r="L75" i="7"/>
  <c r="IC536" i="5"/>
  <c r="IK503" i="5"/>
  <c r="IL503" i="5" s="1"/>
  <c r="X953" i="2"/>
  <c r="X962" i="2" s="1"/>
  <c r="Y1742" i="2"/>
  <c r="Z954" i="2"/>
  <c r="AO626" i="2"/>
  <c r="AN747" i="2"/>
  <c r="AO367" i="2"/>
  <c r="AM573" i="2"/>
  <c r="JA612" i="5"/>
  <c r="AL491" i="2"/>
  <c r="JE692" i="5"/>
  <c r="JC692" i="5" s="1"/>
  <c r="AN492" i="2"/>
  <c r="AM1014" i="2"/>
  <c r="AI580" i="2"/>
  <c r="AI336" i="2"/>
  <c r="AJ580" i="2" s="1"/>
  <c r="IV506" i="5"/>
  <c r="IT506" i="5" s="1"/>
  <c r="IU506" i="5" s="1"/>
  <c r="AI346" i="2"/>
  <c r="AI345" i="2"/>
  <c r="AJ717" i="2"/>
  <c r="AF318" i="2"/>
  <c r="AF310" i="2" s="1"/>
  <c r="AG314" i="2"/>
  <c r="AG558" i="2"/>
  <c r="AO629" i="2"/>
  <c r="AP629" i="2" s="1"/>
  <c r="AQ629" i="2" s="1"/>
  <c r="AR629" i="2" s="1"/>
  <c r="AS629" i="2" s="1"/>
  <c r="AT629" i="2" s="1"/>
  <c r="X1288" i="2"/>
  <c r="X1329" i="2" s="1"/>
  <c r="AJ1592" i="2"/>
  <c r="L126" i="7"/>
  <c r="IC1107" i="5"/>
  <c r="IC1110" i="5" s="1"/>
  <c r="IZ743" i="5"/>
  <c r="JA743" i="5" s="1"/>
  <c r="JC743" i="5"/>
  <c r="JD743" i="5" s="1"/>
  <c r="AB1697" i="2"/>
  <c r="AB1595" i="2"/>
  <c r="AB1698" i="2" s="1"/>
  <c r="AB1702" i="2" s="1"/>
  <c r="AL423" i="2"/>
  <c r="AL676" i="2"/>
  <c r="AL298" i="2" s="1"/>
  <c r="L138" i="7"/>
  <c r="IC620" i="5"/>
  <c r="AH640" i="2"/>
  <c r="AH380" i="2"/>
  <c r="J39" i="7"/>
  <c r="IB573" i="5"/>
  <c r="IC610" i="5"/>
  <c r="IB1112" i="5"/>
  <c r="IB1114" i="5" s="1"/>
  <c r="IB1116" i="5" s="1"/>
  <c r="J137" i="7"/>
  <c r="AO324" i="2"/>
  <c r="AP568" i="2" s="1"/>
  <c r="AO568" i="2"/>
  <c r="AN325" i="2"/>
  <c r="AN569" i="2"/>
  <c r="AC1591" i="2"/>
  <c r="AC1596" i="2"/>
  <c r="AN301" i="2"/>
  <c r="AM677" i="2"/>
  <c r="IV525" i="5"/>
  <c r="AJ744" i="2"/>
  <c r="AO302" i="2"/>
  <c r="AP424" i="2" s="1"/>
  <c r="AO424" i="2"/>
  <c r="AM1108" i="2"/>
  <c r="AN648" i="2"/>
  <c r="IQ525" i="5"/>
  <c r="IR525" i="5" s="1"/>
  <c r="AI692" i="2"/>
  <c r="AI749" i="2"/>
  <c r="AI295" i="2"/>
  <c r="AH296" i="2" s="1"/>
  <c r="AM692" i="2"/>
  <c r="AM749" i="2"/>
  <c r="AM295" i="2"/>
  <c r="AL296" i="2" s="1"/>
  <c r="AM320" i="2"/>
  <c r="AM564" i="2"/>
  <c r="V1538" i="2"/>
  <c r="W1538" i="2"/>
  <c r="JH726" i="5"/>
  <c r="JG726" i="5" s="1"/>
  <c r="AN1048" i="2"/>
  <c r="HR505" i="5"/>
  <c r="HR636" i="5" s="1"/>
  <c r="Z714" i="2"/>
  <c r="Z796" i="2" s="1"/>
  <c r="Z882" i="2"/>
  <c r="AL898" i="2"/>
  <c r="AL949" i="2" s="1"/>
  <c r="AM801" i="2"/>
  <c r="AL800" i="2"/>
  <c r="AL897" i="2" s="1"/>
  <c r="AL948" i="2" s="1"/>
  <c r="IP558" i="5"/>
  <c r="AG770" i="2"/>
  <c r="AO686" i="2"/>
  <c r="AO682" i="2"/>
  <c r="AO1060" i="2"/>
  <c r="JK738" i="5"/>
  <c r="AL1587" i="2"/>
  <c r="AI1589" i="2"/>
  <c r="AI1621" i="2"/>
  <c r="AI1619" i="2" s="1"/>
  <c r="AO466" i="2"/>
  <c r="AO1563" i="2" s="1"/>
  <c r="AO318" i="2"/>
  <c r="JH895" i="5"/>
  <c r="AN1216" i="2"/>
  <c r="AD1704" i="2"/>
  <c r="AE1705" i="2"/>
  <c r="W1276" i="2"/>
  <c r="W1282" i="2"/>
  <c r="IS486" i="5"/>
  <c r="IR486" i="5" s="1"/>
  <c r="AH849" i="2"/>
  <c r="IS616" i="5" s="1"/>
  <c r="AH876" i="2"/>
  <c r="AL625" i="2"/>
  <c r="AL366" i="2"/>
  <c r="Z792" i="2"/>
  <c r="HR569" i="5" s="1"/>
  <c r="AN289" i="2"/>
  <c r="AO290" i="2"/>
  <c r="AN292" i="2"/>
  <c r="AN294" i="2" s="1"/>
  <c r="IW482" i="5"/>
  <c r="IX482" i="5" s="1"/>
  <c r="JF897" i="5"/>
  <c r="JG897" i="5" s="1"/>
  <c r="AK842" i="2"/>
  <c r="AL688" i="2"/>
  <c r="JB482" i="5"/>
  <c r="AI414" i="2"/>
  <c r="AH415" i="2"/>
  <c r="AL1616" i="2"/>
  <c r="AL1615" i="2" s="1"/>
  <c r="AL1593" i="2"/>
  <c r="AM1592" i="2" s="1"/>
  <c r="AM1591" i="2" s="1"/>
  <c r="JC750" i="5"/>
  <c r="JD750" i="5" s="1"/>
  <c r="AN328" i="2"/>
  <c r="AO565" i="2"/>
  <c r="AO321" i="2"/>
  <c r="AP565" i="2" s="1"/>
  <c r="AN572" i="2"/>
  <c r="AN566" i="2"/>
  <c r="AN322" i="2"/>
  <c r="AJ1588" i="2"/>
  <c r="AJ1620" i="2"/>
  <c r="IS532" i="5"/>
  <c r="IR532" i="5" s="1"/>
  <c r="AH883" i="2"/>
  <c r="AH930" i="2" s="1"/>
  <c r="AH746" i="2"/>
  <c r="IZ857" i="5"/>
  <c r="JF746" i="5"/>
  <c r="JG746" i="5" s="1"/>
  <c r="JB529" i="5"/>
  <c r="JA529" i="5" s="1"/>
  <c r="AK366" i="2"/>
  <c r="AK625" i="2"/>
  <c r="AJ1617" i="2"/>
  <c r="AJ1615" i="2" s="1"/>
  <c r="AJ1593" i="2"/>
  <c r="IZ749" i="5"/>
  <c r="JA749" i="5" s="1"/>
  <c r="IZ477" i="5"/>
  <c r="JA477" i="5" s="1"/>
  <c r="Z790" i="2"/>
  <c r="IP529" i="5"/>
  <c r="IO529" i="5" s="1"/>
  <c r="AG366" i="2"/>
  <c r="AG625" i="2"/>
  <c r="AL1305" i="2"/>
  <c r="JE727" i="5"/>
  <c r="JD727" i="5" s="1"/>
  <c r="AM1049" i="2"/>
  <c r="AJ1391" i="2"/>
  <c r="AJ1297" i="2"/>
  <c r="AJ1384" i="2" s="1"/>
  <c r="AK1392" i="2"/>
  <c r="AK1304" i="2"/>
  <c r="AG416" i="2"/>
  <c r="AF417" i="2" s="1"/>
  <c r="AO336" i="2"/>
  <c r="AP580" i="2" s="1"/>
  <c r="AO580" i="2"/>
  <c r="L7" i="7"/>
  <c r="IC567" i="5"/>
  <c r="L97" i="7" s="1"/>
  <c r="IC465" i="5"/>
  <c r="IZ608" i="5"/>
  <c r="JA608" i="5" s="1"/>
  <c r="W1151" i="2"/>
  <c r="W1261" i="2"/>
  <c r="IT561" i="5"/>
  <c r="IU561" i="5" s="1"/>
  <c r="AO305" i="2"/>
  <c r="AO681" i="2" s="1"/>
  <c r="AN681" i="2"/>
  <c r="AM1578" i="2"/>
  <c r="JA861" i="5"/>
  <c r="AK1616" i="2" s="1"/>
  <c r="Z868" i="2"/>
  <c r="Z969" i="2"/>
  <c r="Z922" i="2"/>
  <c r="Y1723" i="2"/>
  <c r="IY609" i="5"/>
  <c r="AJ656" i="2"/>
  <c r="AJ829" i="2"/>
  <c r="AF328" i="2"/>
  <c r="AF322" i="2"/>
  <c r="AF566" i="2"/>
  <c r="AG565" i="2"/>
  <c r="AF572" i="2"/>
  <c r="AG321" i="2"/>
  <c r="IZ576" i="5"/>
  <c r="IZ575" i="5" s="1"/>
  <c r="AH780" i="2"/>
  <c r="AI381" i="2"/>
  <c r="AI641" i="2"/>
  <c r="AK1617" i="2"/>
  <c r="AK1593" i="2"/>
  <c r="AL1592" i="2" s="1"/>
  <c r="JH831" i="5"/>
  <c r="AN1147" i="2"/>
  <c r="AJ1589" i="2"/>
  <c r="AJ1621" i="2"/>
  <c r="AM1173" i="2"/>
  <c r="Z872" i="2"/>
  <c r="HR465" i="5"/>
  <c r="HR626" i="5" s="1"/>
  <c r="Z953" i="2"/>
  <c r="Y1741" i="2"/>
  <c r="AO326" i="2"/>
  <c r="AP570" i="2" s="1"/>
  <c r="AO570" i="2"/>
  <c r="JF738" i="5"/>
  <c r="JG738" i="5" s="1"/>
  <c r="AE567" i="2"/>
  <c r="AE323" i="2"/>
  <c r="AE573" i="2"/>
  <c r="AE329" i="2"/>
  <c r="JB468" i="5"/>
  <c r="AK874" i="2"/>
  <c r="AK923" i="2" s="1"/>
  <c r="AN310" i="2"/>
  <c r="AN683" i="2"/>
  <c r="AK1620" i="2"/>
  <c r="AK1588" i="2"/>
  <c r="AD576" i="2"/>
  <c r="AE331" i="2"/>
  <c r="IX576" i="5"/>
  <c r="AM1357" i="2"/>
  <c r="AM1356" i="2" s="1"/>
  <c r="AM1443" i="2" s="1"/>
  <c r="W1384" i="2"/>
  <c r="W1288" i="2"/>
  <c r="JF733" i="5"/>
  <c r="JG733" i="5" s="1"/>
  <c r="AG324" i="2"/>
  <c r="AF325" i="2"/>
  <c r="AF569" i="2"/>
  <c r="AG568" i="2"/>
  <c r="AO1075" i="2"/>
  <c r="AP1075" i="2" s="1"/>
  <c r="JK753" i="5"/>
  <c r="AN1313" i="2"/>
  <c r="AN1400" i="2" s="1"/>
  <c r="AO1218" i="2"/>
  <c r="JK897" i="5"/>
  <c r="JI861" i="5"/>
  <c r="AM1617" i="2" s="1"/>
  <c r="AM1615" i="2" s="1"/>
  <c r="AM323" i="2"/>
  <c r="AM840" i="2" s="1"/>
  <c r="AM567" i="2"/>
  <c r="AM684" i="2"/>
  <c r="AM679" i="2" s="1"/>
  <c r="JB575" i="5"/>
  <c r="AK897" i="2"/>
  <c r="AK948" i="2" s="1"/>
  <c r="JE896" i="5"/>
  <c r="AL1268" i="2"/>
  <c r="AM1217" i="2"/>
  <c r="AE1596" i="2"/>
  <c r="AE1591" i="2"/>
  <c r="X1275" i="2"/>
  <c r="X1433" i="2"/>
  <c r="AJ770" i="2"/>
  <c r="AK783" i="2"/>
  <c r="IY561" i="5"/>
  <c r="IX575" i="5"/>
  <c r="JF753" i="5"/>
  <c r="JG753" i="5" s="1"/>
  <c r="AH570" i="2"/>
  <c r="AH326" i="2"/>
  <c r="Z628" i="2"/>
  <c r="Z369" i="2"/>
  <c r="AO1055" i="2"/>
  <c r="JK733" i="5"/>
  <c r="II610" i="5"/>
  <c r="R137" i="7" s="1"/>
  <c r="Q137" i="7"/>
  <c r="AH680" i="2"/>
  <c r="IS474" i="5" s="1"/>
  <c r="IY857" i="5"/>
  <c r="IX857" i="5" s="1"/>
  <c r="JA818" i="5"/>
  <c r="AJ1578" i="2"/>
  <c r="JM876" i="5"/>
  <c r="AJ1173" i="2"/>
  <c r="IN474" i="5"/>
  <c r="IO474" i="5" s="1"/>
  <c r="JJ876" i="5"/>
  <c r="JI876" i="5"/>
  <c r="JI818" i="5"/>
  <c r="JA907" i="5"/>
  <c r="AM1581" i="2"/>
  <c r="JM907" i="5"/>
  <c r="IU611" i="5"/>
  <c r="IV610" i="5"/>
  <c r="AI911" i="2"/>
  <c r="JA611" i="5"/>
  <c r="IN510" i="5"/>
  <c r="IO510" i="5" s="1"/>
  <c r="AL536" i="2"/>
  <c r="AO608" i="2"/>
  <c r="AO614" i="2"/>
  <c r="AO630" i="2"/>
  <c r="AO622" i="2"/>
  <c r="AO603" i="2"/>
  <c r="IS536" i="5"/>
  <c r="AH886" i="2"/>
  <c r="AH933" i="2" s="1"/>
  <c r="Y1063" i="2"/>
  <c r="Z539" i="2"/>
  <c r="AJ754" i="2"/>
  <c r="AI753" i="2"/>
  <c r="IV537" i="5"/>
  <c r="AK1027" i="2"/>
  <c r="AL524" i="2"/>
  <c r="AJ1295" i="2"/>
  <c r="AJ1382" i="2" s="1"/>
  <c r="AJ527" i="2"/>
  <c r="IY706" i="5"/>
  <c r="IX706" i="5" s="1"/>
  <c r="AM694" i="2"/>
  <c r="AN340" i="2"/>
  <c r="IY685" i="5"/>
  <c r="IX685" i="5" s="1"/>
  <c r="AJ471" i="2"/>
  <c r="AK1024" i="2"/>
  <c r="AL512" i="2"/>
  <c r="AK1026" i="2"/>
  <c r="AL520" i="2"/>
  <c r="IY702" i="5"/>
  <c r="IX702" i="5" s="1"/>
  <c r="AJ511" i="2"/>
  <c r="IY704" i="5"/>
  <c r="IX704" i="5" s="1"/>
  <c r="AJ519" i="2"/>
  <c r="AO621" i="2"/>
  <c r="AP621" i="2" s="1"/>
  <c r="AQ621" i="2" s="1"/>
  <c r="AR621" i="2" s="1"/>
  <c r="AS621" i="2" s="1"/>
  <c r="AT621" i="2" s="1"/>
  <c r="IS475" i="5"/>
  <c r="AO376" i="2"/>
  <c r="AO636" i="2"/>
  <c r="IJ470" i="5"/>
  <c r="AE674" i="2"/>
  <c r="AE298" i="2"/>
  <c r="AL500" i="2"/>
  <c r="AK1018" i="2"/>
  <c r="AL516" i="2"/>
  <c r="AK1025" i="2"/>
  <c r="IY684" i="5"/>
  <c r="IX684" i="5" s="1"/>
  <c r="AJ467" i="2"/>
  <c r="JF857" i="5"/>
  <c r="AL1621" i="2"/>
  <c r="AL1619" i="2" s="1"/>
  <c r="AO1622" i="2"/>
  <c r="JN859" i="5"/>
  <c r="AO1267" i="2"/>
  <c r="AO1174" i="2"/>
  <c r="AI737" i="2"/>
  <c r="IS522" i="5"/>
  <c r="AJ535" i="2"/>
  <c r="IY739" i="5"/>
  <c r="IX739" i="5" s="1"/>
  <c r="JE695" i="5"/>
  <c r="JC695" i="5" s="1"/>
  <c r="AL446" i="2"/>
  <c r="IY703" i="5"/>
  <c r="IX703" i="5" s="1"/>
  <c r="AJ515" i="2"/>
  <c r="AM1620" i="2"/>
  <c r="JG857" i="5"/>
  <c r="AL480" i="2"/>
  <c r="AK1011" i="2"/>
  <c r="AM1017" i="2"/>
  <c r="AN447" i="2"/>
  <c r="AG677" i="2"/>
  <c r="AH301" i="2"/>
  <c r="JA695" i="5"/>
  <c r="IM471" i="5"/>
  <c r="AF423" i="2"/>
  <c r="AF676" i="2"/>
  <c r="AO613" i="2"/>
  <c r="AP613" i="2" s="1"/>
  <c r="AQ613" i="2" s="1"/>
  <c r="AR613" i="2" s="1"/>
  <c r="AS613" i="2" s="1"/>
  <c r="AT613" i="2" s="1"/>
  <c r="IY689" i="5"/>
  <c r="IX689" i="5" s="1"/>
  <c r="AJ479" i="2"/>
  <c r="AL488" i="2"/>
  <c r="AK1013" i="2"/>
  <c r="AL472" i="2"/>
  <c r="AK1007" i="2"/>
  <c r="IQ537" i="5"/>
  <c r="IQ536" i="5" s="1"/>
  <c r="AJ523" i="2"/>
  <c r="IY705" i="5"/>
  <c r="IX705" i="5" s="1"/>
  <c r="AO607" i="2"/>
  <c r="AP607" i="2" s="1"/>
  <c r="AQ607" i="2" s="1"/>
  <c r="AR607" i="2" s="1"/>
  <c r="AS607" i="2" s="1"/>
  <c r="AT607" i="2" s="1"/>
  <c r="AJ487" i="2"/>
  <c r="IY691" i="5"/>
  <c r="IX691" i="5" s="1"/>
  <c r="AL528" i="2"/>
  <c r="AK1028" i="2"/>
  <c r="JJ811" i="5"/>
  <c r="IV475" i="5"/>
  <c r="IY696" i="5"/>
  <c r="IX696" i="5" s="1"/>
  <c r="AJ499" i="2"/>
  <c r="S11" i="7"/>
  <c r="II471" i="5"/>
  <c r="R11" i="7" s="1"/>
  <c r="JK857" i="5"/>
  <c r="AN1357" i="2"/>
  <c r="AN1173" i="2"/>
  <c r="JE678" i="5"/>
  <c r="JC678" i="5" s="1"/>
  <c r="AL442" i="2"/>
  <c r="JI859" i="5"/>
  <c r="AS71" i="19" s="1"/>
  <c r="AT71" i="19" s="1"/>
  <c r="JJ859" i="5"/>
  <c r="AO1325" i="2"/>
  <c r="AO1412" i="2" s="1"/>
  <c r="JN811" i="5"/>
  <c r="AE358" i="2"/>
  <c r="AG584" i="2"/>
  <c r="AG340" i="2"/>
  <c r="AI721" i="2"/>
  <c r="AI602" i="2" s="1"/>
  <c r="IS510" i="5"/>
  <c r="IS491" i="5"/>
  <c r="AH877" i="2"/>
  <c r="AH925" i="2" s="1"/>
  <c r="X1447" i="2"/>
  <c r="IQ651" i="5"/>
  <c r="IR584" i="5"/>
  <c r="IR651" i="5" s="1"/>
  <c r="IQ632" i="5"/>
  <c r="IR492" i="5"/>
  <c r="IR632" i="5" s="1"/>
  <c r="IY928" i="5"/>
  <c r="IX928" i="5" s="1"/>
  <c r="AJ1239" i="2"/>
  <c r="ET834" i="5" l="1"/>
  <c r="EB984" i="5"/>
  <c r="EB985" i="5"/>
  <c r="EU834" i="5"/>
  <c r="EU990" i="5" s="1"/>
  <c r="FS835" i="5"/>
  <c r="FS991" i="5" s="1"/>
  <c r="EE985" i="5"/>
  <c r="EA834" i="5"/>
  <c r="EA941" i="5" s="1"/>
  <c r="EA998" i="5" s="1"/>
  <c r="BE88" i="19"/>
  <c r="AG88" i="19"/>
  <c r="AF88" i="19"/>
  <c r="AH88" i="19" s="1"/>
  <c r="IZ692" i="5"/>
  <c r="JA692" i="5" s="1"/>
  <c r="O20" i="19"/>
  <c r="N20" i="19" s="1"/>
  <c r="AS95" i="19"/>
  <c r="AS73" i="19"/>
  <c r="AT73" i="19" s="1"/>
  <c r="AD99" i="19"/>
  <c r="IY683" i="5"/>
  <c r="IX683" i="5" s="1"/>
  <c r="AK1059" i="2"/>
  <c r="W20" i="19" s="1"/>
  <c r="JE672" i="5"/>
  <c r="IY678" i="5"/>
  <c r="IX678" i="5" s="1"/>
  <c r="AK442" i="2"/>
  <c r="AO1118" i="2"/>
  <c r="AJ495" i="2"/>
  <c r="DA834" i="5"/>
  <c r="DA941" i="5" s="1"/>
  <c r="DA998" i="5" s="1"/>
  <c r="CR643" i="5"/>
  <c r="CB582" i="5"/>
  <c r="CB596" i="5" s="1"/>
  <c r="Y650" i="5"/>
  <c r="EM572" i="5"/>
  <c r="EM579" i="5" s="1"/>
  <c r="EK834" i="5"/>
  <c r="EK990" i="5" s="1"/>
  <c r="FU985" i="5"/>
  <c r="EI835" i="5"/>
  <c r="EI991" i="5" s="1"/>
  <c r="EM573" i="5"/>
  <c r="EM580" i="5" s="1"/>
  <c r="DB580" i="5"/>
  <c r="DB649" i="5" s="1"/>
  <c r="BI596" i="5"/>
  <c r="BI615" i="5" s="1"/>
  <c r="FC834" i="5"/>
  <c r="FC990" i="5" s="1"/>
  <c r="IE815" i="5"/>
  <c r="ES834" i="5"/>
  <c r="ES941" i="5" s="1"/>
  <c r="CH984" i="5"/>
  <c r="EK835" i="5"/>
  <c r="EK991" i="5" s="1"/>
  <c r="HP842" i="5"/>
  <c r="HP849" i="5" s="1"/>
  <c r="EA835" i="5"/>
  <c r="EA991" i="5" s="1"/>
  <c r="EP834" i="5"/>
  <c r="DD580" i="5"/>
  <c r="DD649" i="5" s="1"/>
  <c r="IS666" i="5"/>
  <c r="AH988" i="2" s="1"/>
  <c r="HX666" i="5"/>
  <c r="AA988" i="2" s="1"/>
  <c r="AA1163" i="2" s="1"/>
  <c r="AA1435" i="2" s="1"/>
  <c r="IG666" i="5"/>
  <c r="AD988" i="2" s="1"/>
  <c r="BR648" i="5"/>
  <c r="DT642" i="5"/>
  <c r="DP835" i="5"/>
  <c r="DP991" i="5" s="1"/>
  <c r="JJ818" i="5"/>
  <c r="AS61" i="19"/>
  <c r="AT61" i="19" s="1"/>
  <c r="U648" i="5"/>
  <c r="AN1613" i="2"/>
  <c r="AN1611" i="2" s="1"/>
  <c r="BA88" i="19"/>
  <c r="BB88" i="19" s="1"/>
  <c r="EO990" i="5"/>
  <c r="JM906" i="5"/>
  <c r="AO1612" i="2" s="1"/>
  <c r="AO1611" i="2" s="1"/>
  <c r="AV99" i="19"/>
  <c r="AX99" i="19" s="1"/>
  <c r="AT99" i="19"/>
  <c r="V99" i="19"/>
  <c r="AO99" i="19"/>
  <c r="AL99" i="19"/>
  <c r="P99" i="19"/>
  <c r="R99" i="19" s="1"/>
  <c r="N99" i="19"/>
  <c r="CO835" i="5"/>
  <c r="CO991" i="5" s="1"/>
  <c r="HV843" i="5"/>
  <c r="HV960" i="5" s="1"/>
  <c r="HV961" i="5" s="1"/>
  <c r="AB1356" i="2"/>
  <c r="AB1443" i="2" s="1"/>
  <c r="IS959" i="5"/>
  <c r="IS968" i="5" s="1"/>
  <c r="CG985" i="5"/>
  <c r="DP834" i="5"/>
  <c r="DP990" i="5" s="1"/>
  <c r="FR985" i="5"/>
  <c r="DH985" i="5"/>
  <c r="DV941" i="5"/>
  <c r="DV998" i="5" s="1"/>
  <c r="EW834" i="5"/>
  <c r="EW941" i="5" s="1"/>
  <c r="EW998" i="5" s="1"/>
  <c r="DH835" i="5"/>
  <c r="DH991" i="5" s="1"/>
  <c r="DV984" i="5"/>
  <c r="CI834" i="5"/>
  <c r="CI990" i="5" s="1"/>
  <c r="CH990" i="5"/>
  <c r="DA985" i="5"/>
  <c r="CP580" i="5"/>
  <c r="CP649" i="5" s="1"/>
  <c r="DZ941" i="5"/>
  <c r="DZ998" i="5" s="1"/>
  <c r="AT596" i="5"/>
  <c r="AT1154" i="5" s="1"/>
  <c r="AT1157" i="5" s="1"/>
  <c r="AD830" i="2"/>
  <c r="AD1476" i="2" s="1"/>
  <c r="AD1475" i="2" s="1"/>
  <c r="CO579" i="5"/>
  <c r="CO582" i="5" s="1"/>
  <c r="X650" i="5"/>
  <c r="CQ580" i="5"/>
  <c r="CQ649" i="5" s="1"/>
  <c r="CP985" i="5"/>
  <c r="DJ985" i="5"/>
  <c r="CV834" i="5"/>
  <c r="CV941" i="5" s="1"/>
  <c r="CV998" i="5" s="1"/>
  <c r="EL985" i="5"/>
  <c r="DJ984" i="5"/>
  <c r="DS834" i="5"/>
  <c r="CT984" i="5"/>
  <c r="CR985" i="5"/>
  <c r="CS834" i="5"/>
  <c r="CS941" i="5" s="1"/>
  <c r="CS998" i="5" s="1"/>
  <c r="FK834" i="5"/>
  <c r="FK941" i="5" s="1"/>
  <c r="FK998" i="5" s="1"/>
  <c r="DZ835" i="5"/>
  <c r="DZ991" i="5" s="1"/>
  <c r="EP835" i="5"/>
  <c r="EP991" i="5" s="1"/>
  <c r="ED835" i="5"/>
  <c r="ED991" i="5" s="1"/>
  <c r="CO834" i="5"/>
  <c r="CO941" i="5" s="1"/>
  <c r="CO998" i="5" s="1"/>
  <c r="HS572" i="5"/>
  <c r="HS642" i="5" s="1"/>
  <c r="IF815" i="5"/>
  <c r="CP834" i="5"/>
  <c r="CP941" i="5" s="1"/>
  <c r="CP998" i="5" s="1"/>
  <c r="DO985" i="5"/>
  <c r="FG984" i="5"/>
  <c r="CU580" i="5"/>
  <c r="CU649" i="5" s="1"/>
  <c r="ED984" i="5"/>
  <c r="CJ985" i="5"/>
  <c r="IR815" i="5"/>
  <c r="IR984" i="5" s="1"/>
  <c r="DW835" i="5"/>
  <c r="DW991" i="5" s="1"/>
  <c r="IG978" i="5"/>
  <c r="DK834" i="5"/>
  <c r="DK941" i="5" s="1"/>
  <c r="DK998" i="5" s="1"/>
  <c r="FH835" i="5"/>
  <c r="FH991" i="5" s="1"/>
  <c r="Y70" i="19"/>
  <c r="IK842" i="5"/>
  <c r="IK850" i="5" s="1"/>
  <c r="EV834" i="5"/>
  <c r="EV990" i="5" s="1"/>
  <c r="FR834" i="5"/>
  <c r="FR941" i="5" s="1"/>
  <c r="FR998" i="5" s="1"/>
  <c r="CI835" i="5"/>
  <c r="CI991" i="5" s="1"/>
  <c r="CW984" i="5"/>
  <c r="FN984" i="5"/>
  <c r="GJ1141" i="5"/>
  <c r="GJ1157" i="5" s="1"/>
  <c r="D7" i="7"/>
  <c r="E7" i="7" s="1"/>
  <c r="X41" i="19"/>
  <c r="Z41" i="19" s="1"/>
  <c r="HT843" i="5"/>
  <c r="HT960" i="5" s="1"/>
  <c r="AO650" i="5"/>
  <c r="DK580" i="5"/>
  <c r="DK649" i="5" s="1"/>
  <c r="HT975" i="5"/>
  <c r="AK1015" i="2"/>
  <c r="E137" i="7"/>
  <c r="Z1298" i="2"/>
  <c r="Z1297" i="2" s="1"/>
  <c r="Z1384" i="2" s="1"/>
  <c r="AJ1537" i="2"/>
  <c r="IY693" i="5"/>
  <c r="IX693" i="5" s="1"/>
  <c r="JN920" i="5"/>
  <c r="AO1362" i="2"/>
  <c r="AO1449" i="2" s="1"/>
  <c r="AC95" i="19"/>
  <c r="AD1297" i="2"/>
  <c r="AD1288" i="2" s="1"/>
  <c r="AL496" i="2"/>
  <c r="E5" i="19"/>
  <c r="G5" i="19" s="1"/>
  <c r="E69" i="19"/>
  <c r="G69" i="19" s="1"/>
  <c r="E32" i="19"/>
  <c r="G32" i="19" s="1"/>
  <c r="AM431" i="2"/>
  <c r="AM994" i="2" s="1"/>
  <c r="D84" i="19"/>
  <c r="E84" i="19" s="1"/>
  <c r="G84" i="19" s="1"/>
  <c r="AK994" i="2"/>
  <c r="AI1297" i="2"/>
  <c r="AI1288" i="2" s="1"/>
  <c r="AI1375" i="2" s="1"/>
  <c r="Q99" i="19"/>
  <c r="JG920" i="5"/>
  <c r="AL1613" i="2"/>
  <c r="X99" i="19"/>
  <c r="Z99" i="19" s="1"/>
  <c r="JG906" i="5"/>
  <c r="AK88" i="19"/>
  <c r="AL88" i="19" s="1"/>
  <c r="AJ427" i="2"/>
  <c r="AJ1117" i="2"/>
  <c r="O62" i="19"/>
  <c r="JB856" i="5"/>
  <c r="AL1576" i="2" s="1"/>
  <c r="O69" i="19"/>
  <c r="N69" i="19" s="1"/>
  <c r="AU69" i="19"/>
  <c r="AM69" i="19"/>
  <c r="U88" i="19"/>
  <c r="V88" i="19" s="1"/>
  <c r="JC856" i="5"/>
  <c r="U38" i="19"/>
  <c r="JD907" i="5"/>
  <c r="U42" i="19"/>
  <c r="V42" i="19" s="1"/>
  <c r="AG99" i="19"/>
  <c r="AW99" i="19"/>
  <c r="U95" i="19"/>
  <c r="AN99" i="19"/>
  <c r="AP99" i="19" s="1"/>
  <c r="AK95" i="19"/>
  <c r="AC1330" i="2"/>
  <c r="AC1417" i="2" s="1"/>
  <c r="AC1297" i="2"/>
  <c r="AC1384" i="2" s="1"/>
  <c r="AA1534" i="2"/>
  <c r="AL463" i="2"/>
  <c r="AG40" i="19"/>
  <c r="AF40" i="19"/>
  <c r="AH40" i="19" s="1"/>
  <c r="AJ1069" i="2"/>
  <c r="AK546" i="2"/>
  <c r="AQ1356" i="2"/>
  <c r="AQ1443" i="2" s="1"/>
  <c r="AQ1444" i="2"/>
  <c r="JA802" i="5"/>
  <c r="U51" i="19"/>
  <c r="V51" i="19" s="1"/>
  <c r="AB1534" i="2"/>
  <c r="AK455" i="2"/>
  <c r="Z1527" i="2"/>
  <c r="AK1005" i="2"/>
  <c r="AM1000" i="2"/>
  <c r="AH1297" i="2"/>
  <c r="AH1384" i="2" s="1"/>
  <c r="AP1356" i="2"/>
  <c r="AP1443" i="2" s="1"/>
  <c r="AG1288" i="2"/>
  <c r="AG1337" i="2" s="1"/>
  <c r="AG1338" i="2" s="1"/>
  <c r="AG1425" i="2" s="1"/>
  <c r="AJ1548" i="2"/>
  <c r="AJ1002" i="2"/>
  <c r="AJ442" i="2"/>
  <c r="O24" i="19"/>
  <c r="N24" i="19" s="1"/>
  <c r="AF1792" i="2"/>
  <c r="AE1534" i="2"/>
  <c r="AC1775" i="2"/>
  <c r="AJ1004" i="2"/>
  <c r="JB678" i="5"/>
  <c r="D60" i="19"/>
  <c r="E60" i="19" s="1"/>
  <c r="G60" i="19" s="1"/>
  <c r="AC1764" i="2"/>
  <c r="AN1563" i="2"/>
  <c r="AN1050" i="2"/>
  <c r="AM1550" i="2" s="1"/>
  <c r="Y1557" i="2"/>
  <c r="X1557" i="2"/>
  <c r="Y1527" i="2"/>
  <c r="X1527" i="2"/>
  <c r="AF1387" i="2"/>
  <c r="AG1759" i="2"/>
  <c r="AT1563" i="2"/>
  <c r="AF1764" i="2"/>
  <c r="AF1536" i="2"/>
  <c r="AJ1545" i="2"/>
  <c r="AG1792" i="2"/>
  <c r="AG1808" i="2" s="1"/>
  <c r="AF1534" i="2"/>
  <c r="AG1527" i="2"/>
  <c r="O95" i="19"/>
  <c r="AJ1558" i="2"/>
  <c r="AI1558" i="2"/>
  <c r="D10" i="19"/>
  <c r="D4" i="19" s="1"/>
  <c r="AI1557" i="2"/>
  <c r="AJ462" i="2"/>
  <c r="AD1334" i="2"/>
  <c r="AD1421" i="2" s="1"/>
  <c r="AE1527" i="2"/>
  <c r="AM1306" i="2"/>
  <c r="AM1393" i="2" s="1"/>
  <c r="AE95" i="19"/>
  <c r="AL1558" i="2"/>
  <c r="AA1527" i="2"/>
  <c r="AS1563" i="2"/>
  <c r="X1558" i="2"/>
  <c r="AH1762" i="2"/>
  <c r="AH1557" i="2"/>
  <c r="AG1557" i="2"/>
  <c r="Z1334" i="2"/>
  <c r="Z1421" i="2" s="1"/>
  <c r="AF1334" i="2"/>
  <c r="AF1421" i="2" s="1"/>
  <c r="AF1552" i="2"/>
  <c r="AF1553" i="2" s="1"/>
  <c r="AM1558" i="2"/>
  <c r="AL430" i="2"/>
  <c r="JH728" i="5"/>
  <c r="JG728" i="5" s="1"/>
  <c r="D24" i="19"/>
  <c r="F24" i="19" s="1"/>
  <c r="AD1792" i="2"/>
  <c r="AC1534" i="2"/>
  <c r="AC1527" i="2"/>
  <c r="AM1077" i="2"/>
  <c r="AN1077" i="2" s="1"/>
  <c r="AO1077" i="2" s="1"/>
  <c r="AP1077" i="2" s="1"/>
  <c r="AQ1077" i="2" s="1"/>
  <c r="AR1077" i="2" s="1"/>
  <c r="AS1077" i="2" s="1"/>
  <c r="AT1077" i="2" s="1"/>
  <c r="AK1537" i="2"/>
  <c r="AE1792" i="2"/>
  <c r="AD1534" i="2"/>
  <c r="AG1271" i="2"/>
  <c r="AG1279" i="2" s="1"/>
  <c r="AG1847" i="2"/>
  <c r="AG1846" i="2" s="1"/>
  <c r="AG1854" i="2" s="1"/>
  <c r="W95" i="19"/>
  <c r="X95" i="19" s="1"/>
  <c r="Z95" i="19" s="1"/>
  <c r="AK1558" i="2"/>
  <c r="AF1527" i="2"/>
  <c r="Y1334" i="2"/>
  <c r="Y1421" i="2" s="1"/>
  <c r="Y1534" i="2"/>
  <c r="X1167" i="2"/>
  <c r="X1439" i="2" s="1"/>
  <c r="Z1534" i="2"/>
  <c r="AD1527" i="2"/>
  <c r="AP541" i="2"/>
  <c r="AE1334" i="2"/>
  <c r="AE1421" i="2" s="1"/>
  <c r="AE1552" i="2"/>
  <c r="AE1553" i="2" s="1"/>
  <c r="AA1334" i="2"/>
  <c r="AA1330" i="2" s="1"/>
  <c r="AA1417" i="2" s="1"/>
  <c r="AU95" i="19"/>
  <c r="AN1558" i="2"/>
  <c r="AB1527" i="2"/>
  <c r="AB1334" i="2"/>
  <c r="AB1421" i="2" s="1"/>
  <c r="AE1298" i="2"/>
  <c r="AE1385" i="2" s="1"/>
  <c r="AJ991" i="2"/>
  <c r="IL843" i="5"/>
  <c r="IM947" i="5" s="1"/>
  <c r="IM951" i="5" s="1"/>
  <c r="IL842" i="5"/>
  <c r="IL853" i="5" s="1"/>
  <c r="IM948" i="5" s="1"/>
  <c r="IM952" i="5" s="1"/>
  <c r="EJ985" i="5"/>
  <c r="IQ892" i="5"/>
  <c r="IQ995" i="5" s="1"/>
  <c r="GI1154" i="5"/>
  <c r="IR892" i="5"/>
  <c r="IR995" i="5" s="1"/>
  <c r="GO1154" i="5"/>
  <c r="IQ843" i="5"/>
  <c r="IQ960" i="5" s="1"/>
  <c r="IQ842" i="5"/>
  <c r="IP946" i="5" s="1"/>
  <c r="IP950" i="5" s="1"/>
  <c r="IQ834" i="5"/>
  <c r="IQ990" i="5" s="1"/>
  <c r="IC815" i="5"/>
  <c r="EJ834" i="5"/>
  <c r="EJ941" i="5" s="1"/>
  <c r="EJ998" i="5" s="1"/>
  <c r="IQ975" i="5"/>
  <c r="DH984" i="5"/>
  <c r="HQ815" i="5"/>
  <c r="AN1072" i="2"/>
  <c r="AN1071" i="2" s="1"/>
  <c r="W1560" i="2"/>
  <c r="I582" i="5"/>
  <c r="I650" i="5" s="1"/>
  <c r="FM834" i="5"/>
  <c r="FM990" i="5" s="1"/>
  <c r="IS842" i="5"/>
  <c r="IR843" i="5"/>
  <c r="IR960" i="5" s="1"/>
  <c r="IR969" i="5" s="1"/>
  <c r="IR842" i="5"/>
  <c r="CU834" i="5"/>
  <c r="DV985" i="5"/>
  <c r="CW985" i="5"/>
  <c r="JH750" i="5"/>
  <c r="JF750" i="5" s="1"/>
  <c r="JG750" i="5" s="1"/>
  <c r="IR834" i="5"/>
  <c r="IR835" i="5" s="1"/>
  <c r="IF465" i="5"/>
  <c r="O5" i="7" s="1"/>
  <c r="HV1116" i="5"/>
  <c r="EX835" i="5"/>
  <c r="EX991" i="5" s="1"/>
  <c r="DI580" i="5"/>
  <c r="DI649" i="5" s="1"/>
  <c r="DK642" i="5"/>
  <c r="EV572" i="5"/>
  <c r="EV579" i="5" s="1"/>
  <c r="EV615" i="5" s="1"/>
  <c r="CU985" i="5"/>
  <c r="FH984" i="5"/>
  <c r="GL1147" i="5"/>
  <c r="X1168" i="2"/>
  <c r="X1440" i="2" s="1"/>
  <c r="GK797" i="5"/>
  <c r="GK1144" i="5" s="1"/>
  <c r="GK1142" i="5" s="1"/>
  <c r="GK1150" i="5"/>
  <c r="GK1149" i="5" s="1"/>
  <c r="II816" i="5"/>
  <c r="CN985" i="5"/>
  <c r="X1166" i="2"/>
  <c r="X1438" i="2" s="1"/>
  <c r="FG835" i="5"/>
  <c r="FG991" i="5" s="1"/>
  <c r="X1261" i="2"/>
  <c r="X1156" i="2"/>
  <c r="X1154" i="2"/>
  <c r="X1155" i="2"/>
  <c r="X1153" i="2"/>
  <c r="O49" i="19"/>
  <c r="N49" i="19" s="1"/>
  <c r="AG51" i="19"/>
  <c r="AF51" i="19"/>
  <c r="AH51" i="19" s="1"/>
  <c r="AM51" i="19"/>
  <c r="BC98" i="19"/>
  <c r="BB98" i="19" s="1"/>
  <c r="BC29" i="19"/>
  <c r="BB29" i="19" s="1"/>
  <c r="BC72" i="19"/>
  <c r="BB72" i="19" s="1"/>
  <c r="BC81" i="19"/>
  <c r="BB81" i="19" s="1"/>
  <c r="BC96" i="19"/>
  <c r="BB96" i="19" s="1"/>
  <c r="BC97" i="19"/>
  <c r="BB97" i="19" s="1"/>
  <c r="AG31" i="19"/>
  <c r="AF31" i="19"/>
  <c r="AH31" i="19" s="1"/>
  <c r="Q56" i="19"/>
  <c r="AG1163" i="2"/>
  <c r="AG1164" i="2" s="1"/>
  <c r="AG1166" i="2"/>
  <c r="JE749" i="5"/>
  <c r="JC749" i="5" s="1"/>
  <c r="AB1285" i="2"/>
  <c r="IX757" i="5"/>
  <c r="IX789" i="5"/>
  <c r="FG985" i="5"/>
  <c r="CE643" i="5"/>
  <c r="CE1141" i="5"/>
  <c r="CE635" i="5"/>
  <c r="IE816" i="5"/>
  <c r="AI1586" i="2"/>
  <c r="HS816" i="5"/>
  <c r="HS985" i="5" s="1"/>
  <c r="IF957" i="5"/>
  <c r="IF955" i="5" s="1"/>
  <c r="IF963" i="5" s="1"/>
  <c r="EO985" i="5"/>
  <c r="N582" i="5"/>
  <c r="N650" i="5" s="1"/>
  <c r="DK835" i="5"/>
  <c r="DK991" i="5" s="1"/>
  <c r="IL816" i="5"/>
  <c r="CR984" i="5"/>
  <c r="IP955" i="5"/>
  <c r="IP963" i="5" s="1"/>
  <c r="AG1272" i="2"/>
  <c r="AG1280" i="2" s="1"/>
  <c r="EM835" i="5"/>
  <c r="EM991" i="5" s="1"/>
  <c r="V648" i="5"/>
  <c r="V582" i="5"/>
  <c r="AG1274" i="2"/>
  <c r="AG1282" i="2" s="1"/>
  <c r="AG1768" i="2"/>
  <c r="CU579" i="5"/>
  <c r="CU582" i="5" s="1"/>
  <c r="IM978" i="5"/>
  <c r="HQ957" i="5"/>
  <c r="HQ966" i="5" s="1"/>
  <c r="HS573" i="5"/>
  <c r="HS580" i="5" s="1"/>
  <c r="HS649" i="5" s="1"/>
  <c r="FQ984" i="5"/>
  <c r="DF834" i="5"/>
  <c r="HV834" i="5" s="1"/>
  <c r="HV840" i="5" s="1"/>
  <c r="DF984" i="5"/>
  <c r="DB834" i="5"/>
  <c r="DB990" i="5" s="1"/>
  <c r="II843" i="5"/>
  <c r="IJ947" i="5" s="1"/>
  <c r="IJ951" i="5" s="1"/>
  <c r="IH815" i="5"/>
  <c r="G654" i="5"/>
  <c r="DI572" i="5"/>
  <c r="DI642" i="5" s="1"/>
  <c r="IL815" i="5"/>
  <c r="FN835" i="5"/>
  <c r="FN991" i="5" s="1"/>
  <c r="IF816" i="5"/>
  <c r="DL984" i="5"/>
  <c r="G615" i="5"/>
  <c r="II842" i="5"/>
  <c r="FQ835" i="5"/>
  <c r="FQ991" i="5" s="1"/>
  <c r="EW1141" i="5"/>
  <c r="EW1157" i="5" s="1"/>
  <c r="EW573" i="5"/>
  <c r="EW580" i="5" s="1"/>
  <c r="HV815" i="5"/>
  <c r="ES835" i="5"/>
  <c r="ES991" i="5" s="1"/>
  <c r="FQ985" i="5"/>
  <c r="HV567" i="5"/>
  <c r="D97" i="7" s="1"/>
  <c r="E97" i="7" s="1"/>
  <c r="CY984" i="5"/>
  <c r="HV627" i="5"/>
  <c r="ID986" i="5"/>
  <c r="IE569" i="5"/>
  <c r="N99" i="7" s="1"/>
  <c r="IK815" i="5"/>
  <c r="II815" i="5"/>
  <c r="AA968" i="2"/>
  <c r="Z1133" i="2"/>
  <c r="DM834" i="5"/>
  <c r="DM941" i="5" s="1"/>
  <c r="DM998" i="5" s="1"/>
  <c r="IK816" i="5"/>
  <c r="HP816" i="5"/>
  <c r="DQ642" i="5"/>
  <c r="HV568" i="5"/>
  <c r="D98" i="7" s="1"/>
  <c r="E98" i="7" s="1"/>
  <c r="IG654" i="5"/>
  <c r="HV465" i="5"/>
  <c r="D5" i="7" s="1"/>
  <c r="CE985" i="5"/>
  <c r="AL648" i="5"/>
  <c r="AL582" i="5"/>
  <c r="HP815" i="5"/>
  <c r="ES572" i="5"/>
  <c r="ES579" i="5" s="1"/>
  <c r="DQ985" i="5"/>
  <c r="CA648" i="5"/>
  <c r="HV957" i="5"/>
  <c r="HV966" i="5" s="1"/>
  <c r="CJ984" i="5"/>
  <c r="IA804" i="5"/>
  <c r="IF853" i="5"/>
  <c r="IF842" i="5"/>
  <c r="IF851" i="5" s="1"/>
  <c r="EO1141" i="5"/>
  <c r="EO1157" i="5" s="1"/>
  <c r="EO573" i="5"/>
  <c r="EO580" i="5" s="1"/>
  <c r="IE853" i="5"/>
  <c r="HW815" i="5"/>
  <c r="BD648" i="5"/>
  <c r="BD582" i="5"/>
  <c r="EO572" i="5"/>
  <c r="EO579" i="5" s="1"/>
  <c r="EO615" i="5" s="1"/>
  <c r="IE843" i="5"/>
  <c r="IE960" i="5" s="1"/>
  <c r="IE969" i="5" s="1"/>
  <c r="AC1444" i="2"/>
  <c r="HY816" i="5"/>
  <c r="FI941" i="5"/>
  <c r="FI998" i="5" s="1"/>
  <c r="HT816" i="5"/>
  <c r="HT985" i="5" s="1"/>
  <c r="DG941" i="5"/>
  <c r="DG998" i="5" s="1"/>
  <c r="Z650" i="5"/>
  <c r="AR582" i="5"/>
  <c r="AR648" i="5"/>
  <c r="IF843" i="5"/>
  <c r="IF960" i="5" s="1"/>
  <c r="IB815" i="5"/>
  <c r="DG579" i="5"/>
  <c r="DG648" i="5" s="1"/>
  <c r="HU573" i="5"/>
  <c r="HU643" i="5" s="1"/>
  <c r="HS975" i="5"/>
  <c r="CY985" i="5"/>
  <c r="CZ642" i="5"/>
  <c r="O596" i="5"/>
  <c r="O1154" i="5" s="1"/>
  <c r="O1157" i="5" s="1"/>
  <c r="HS843" i="5"/>
  <c r="HS960" i="5" s="1"/>
  <c r="HS961" i="5" s="1"/>
  <c r="ER834" i="5"/>
  <c r="ER984" i="5"/>
  <c r="AA1039" i="2"/>
  <c r="Z1557" i="2" s="1"/>
  <c r="CZ580" i="5"/>
  <c r="CZ649" i="5" s="1"/>
  <c r="CE984" i="5"/>
  <c r="CE572" i="5"/>
  <c r="CE642" i="5" s="1"/>
  <c r="ER985" i="5"/>
  <c r="ER835" i="5"/>
  <c r="ER991" i="5" s="1"/>
  <c r="HY955" i="5"/>
  <c r="HY963" i="5" s="1"/>
  <c r="HY966" i="5"/>
  <c r="AK1317" i="2"/>
  <c r="AK1404" i="2" s="1"/>
  <c r="ID666" i="5"/>
  <c r="AC988" i="2" s="1"/>
  <c r="AC1158" i="2" s="1"/>
  <c r="AC1163" i="2" s="1"/>
  <c r="AC1348" i="2" s="1"/>
  <c r="DB648" i="5"/>
  <c r="IC853" i="5"/>
  <c r="AE1214" i="2"/>
  <c r="AE1777" i="2" s="1"/>
  <c r="JB757" i="5"/>
  <c r="IZ757" i="5" s="1"/>
  <c r="IC843" i="5"/>
  <c r="IC960" i="5" s="1"/>
  <c r="IM666" i="5"/>
  <c r="FB834" i="5"/>
  <c r="FB941" i="5" s="1"/>
  <c r="FB998" i="5" s="1"/>
  <c r="BG648" i="5"/>
  <c r="BG582" i="5"/>
  <c r="H114" i="7"/>
  <c r="HZ1116" i="5"/>
  <c r="IB1118" i="5" s="1"/>
  <c r="W27" i="19"/>
  <c r="IJ959" i="5"/>
  <c r="IJ968" i="5" s="1"/>
  <c r="HR978" i="5"/>
  <c r="H582" i="5"/>
  <c r="H648" i="5"/>
  <c r="HS626" i="5"/>
  <c r="EG985" i="5"/>
  <c r="EF834" i="5"/>
  <c r="EF941" i="5" s="1"/>
  <c r="EF998" i="5" s="1"/>
  <c r="DJ580" i="5"/>
  <c r="DJ649" i="5" s="1"/>
  <c r="HQ842" i="5"/>
  <c r="HQ852" i="5" s="1"/>
  <c r="IT834" i="5"/>
  <c r="IT840" i="5" s="1"/>
  <c r="Y1213" i="2"/>
  <c r="HR666" i="5"/>
  <c r="HR975" i="5" s="1"/>
  <c r="BF596" i="5"/>
  <c r="BF650" i="5"/>
  <c r="IM920" i="5"/>
  <c r="AF1239" i="2" s="1"/>
  <c r="AF1558" i="2" s="1"/>
  <c r="IC816" i="5"/>
  <c r="I125" i="7"/>
  <c r="IE568" i="5"/>
  <c r="N98" i="7" s="1"/>
  <c r="HZ1106" i="5"/>
  <c r="IB843" i="5"/>
  <c r="IB960" i="5" s="1"/>
  <c r="IB969" i="5" s="1"/>
  <c r="IA596" i="5"/>
  <c r="IA654" i="5" s="1"/>
  <c r="HY815" i="5"/>
  <c r="HU666" i="5"/>
  <c r="HU975" i="5" s="1"/>
  <c r="IU815" i="5"/>
  <c r="IV815" i="5" s="1"/>
  <c r="IB853" i="5"/>
  <c r="IB816" i="5"/>
  <c r="IU842" i="5"/>
  <c r="IU851" i="5" s="1"/>
  <c r="IU834" i="5"/>
  <c r="IU837" i="5" s="1"/>
  <c r="K137" i="7"/>
  <c r="IB842" i="5"/>
  <c r="IB852" i="5" s="1"/>
  <c r="FT985" i="5"/>
  <c r="AX648" i="5"/>
  <c r="AX582" i="5"/>
  <c r="CT643" i="5"/>
  <c r="EF985" i="5"/>
  <c r="HW842" i="5"/>
  <c r="HW852" i="5" s="1"/>
  <c r="HS815" i="5"/>
  <c r="HS984" i="5" s="1"/>
  <c r="P56" i="19"/>
  <c r="R56" i="19" s="1"/>
  <c r="IY800" i="5"/>
  <c r="IX800" i="5" s="1"/>
  <c r="AL1145" i="2"/>
  <c r="AL1111" i="2"/>
  <c r="JN733" i="5"/>
  <c r="JL733" i="5" s="1"/>
  <c r="JM733" i="5" s="1"/>
  <c r="AP1055" i="2"/>
  <c r="AQ1055" i="2" s="1"/>
  <c r="AR1055" i="2" s="1"/>
  <c r="AS1055" i="2" s="1"/>
  <c r="AT1055" i="2" s="1"/>
  <c r="JN738" i="5"/>
  <c r="JL738" i="5" s="1"/>
  <c r="JM738" i="5" s="1"/>
  <c r="AP1060" i="2"/>
  <c r="AQ1060" i="2" s="1"/>
  <c r="AR1060" i="2" s="1"/>
  <c r="AS1060" i="2" s="1"/>
  <c r="AT1060" i="2" s="1"/>
  <c r="AR1067" i="2"/>
  <c r="AQ1065" i="2"/>
  <c r="AP1535" i="2" s="1"/>
  <c r="JN746" i="5"/>
  <c r="JL746" i="5" s="1"/>
  <c r="JM746" i="5" s="1"/>
  <c r="AP1068" i="2"/>
  <c r="AQ1068" i="2" s="1"/>
  <c r="AR1068" i="2" s="1"/>
  <c r="AS1068" i="2" s="1"/>
  <c r="AT1068" i="2" s="1"/>
  <c r="JN897" i="5"/>
  <c r="JL897" i="5" s="1"/>
  <c r="JM897" i="5" s="1"/>
  <c r="AP1218" i="2"/>
  <c r="AQ1218" i="2" s="1"/>
  <c r="AR1218" i="2" s="1"/>
  <c r="AS1218" i="2" s="1"/>
  <c r="AT1218" i="2" s="1"/>
  <c r="AT1021" i="2"/>
  <c r="AT1179" i="2" s="1"/>
  <c r="AT1178" i="2" s="1"/>
  <c r="AP1313" i="2"/>
  <c r="AP1400" i="2" s="1"/>
  <c r="AQ1075" i="2"/>
  <c r="AO747" i="2"/>
  <c r="AP626" i="2"/>
  <c r="AB1297" i="2"/>
  <c r="AB1384" i="2" s="1"/>
  <c r="AD308" i="2"/>
  <c r="AH1799" i="2"/>
  <c r="AH1808" i="2" s="1"/>
  <c r="AD287" i="2"/>
  <c r="AD288" i="2" s="1"/>
  <c r="AM42" i="19"/>
  <c r="BD55" i="19"/>
  <c r="BF55" i="19" s="1"/>
  <c r="BE55" i="19"/>
  <c r="BE71" i="19"/>
  <c r="BD71" i="19"/>
  <c r="BF71" i="19" s="1"/>
  <c r="BC70" i="19"/>
  <c r="AV70" i="19"/>
  <c r="AX70" i="19" s="1"/>
  <c r="AW70" i="19"/>
  <c r="AM95" i="19"/>
  <c r="BD95" i="19"/>
  <c r="BF95" i="19" s="1"/>
  <c r="BE95" i="19"/>
  <c r="FD990" i="5"/>
  <c r="BP596" i="5"/>
  <c r="BP650" i="5"/>
  <c r="EQ1157" i="5"/>
  <c r="DL580" i="5"/>
  <c r="DL649" i="5" s="1"/>
  <c r="DL985" i="5"/>
  <c r="IT843" i="5"/>
  <c r="IT960" i="5" s="1"/>
  <c r="IT969" i="5" s="1"/>
  <c r="IV666" i="5"/>
  <c r="AI988" i="2" s="1"/>
  <c r="AI1131" i="2" s="1"/>
  <c r="AI1132" i="2" s="1"/>
  <c r="HU978" i="5"/>
  <c r="HY843" i="5"/>
  <c r="HY960" i="5" s="1"/>
  <c r="HY961" i="5" s="1"/>
  <c r="DM572" i="5"/>
  <c r="DM579" i="5" s="1"/>
  <c r="HX986" i="5"/>
  <c r="CX642" i="5"/>
  <c r="IT842" i="5"/>
  <c r="IA666" i="5"/>
  <c r="AB988" i="2" s="1"/>
  <c r="EL1157" i="5"/>
  <c r="Y41" i="19"/>
  <c r="KP648" i="5"/>
  <c r="HW843" i="5"/>
  <c r="HW960" i="5" s="1"/>
  <c r="JK856" i="5"/>
  <c r="AN1362" i="2"/>
  <c r="AN1449" i="2" s="1"/>
  <c r="Q41" i="19"/>
  <c r="P41" i="19"/>
  <c r="R41" i="19" s="1"/>
  <c r="AL468" i="2"/>
  <c r="AL1006" i="2" s="1"/>
  <c r="AJ1613" i="2"/>
  <c r="AJ1581" i="2"/>
  <c r="AC70" i="19"/>
  <c r="AD70" i="19" s="1"/>
  <c r="JA906" i="5"/>
  <c r="AI1418" i="2"/>
  <c r="AK1619" i="2"/>
  <c r="AI1613" i="2"/>
  <c r="AI1611" i="2" s="1"/>
  <c r="AI1581" i="2"/>
  <c r="AI1579" i="2" s="1"/>
  <c r="AO1056" i="2"/>
  <c r="AF89" i="19"/>
  <c r="AH89" i="19" s="1"/>
  <c r="AG89" i="19"/>
  <c r="AP88" i="19"/>
  <c r="JC906" i="5"/>
  <c r="AC89" i="19"/>
  <c r="AD89" i="19" s="1"/>
  <c r="JF856" i="5"/>
  <c r="AK70" i="19"/>
  <c r="AL70" i="19" s="1"/>
  <c r="AL1580" i="2"/>
  <c r="JK746" i="5"/>
  <c r="JI746" i="5" s="1"/>
  <c r="JJ746" i="5" s="1"/>
  <c r="JD792" i="5"/>
  <c r="AC42" i="19"/>
  <c r="AD42" i="19" s="1"/>
  <c r="JH734" i="5"/>
  <c r="JF734" i="5" s="1"/>
  <c r="JG734" i="5" s="1"/>
  <c r="JE779" i="5"/>
  <c r="JC779" i="5" s="1"/>
  <c r="JD779" i="5" s="1"/>
  <c r="JG856" i="5"/>
  <c r="Y88" i="19"/>
  <c r="X88" i="19"/>
  <c r="Z88" i="19" s="1"/>
  <c r="JD856" i="5"/>
  <c r="JD920" i="5"/>
  <c r="HZ842" i="5"/>
  <c r="HZ851" i="5" s="1"/>
  <c r="AD912" i="2"/>
  <c r="AD959" i="2" s="1"/>
  <c r="IH843" i="5"/>
  <c r="IH960" i="5" s="1"/>
  <c r="IH961" i="5" s="1"/>
  <c r="IH842" i="5"/>
  <c r="IH849" i="5" s="1"/>
  <c r="HS850" i="5"/>
  <c r="E28" i="7"/>
  <c r="BT648" i="5"/>
  <c r="BT582" i="5"/>
  <c r="HU992" i="5"/>
  <c r="Z1173" i="2"/>
  <c r="HQ816" i="5"/>
  <c r="IJ666" i="5"/>
  <c r="AE988" i="2" s="1"/>
  <c r="AE1158" i="2" s="1"/>
  <c r="AE1163" i="2" s="1"/>
  <c r="E99" i="7"/>
  <c r="IE851" i="5"/>
  <c r="EN941" i="5"/>
  <c r="EN998" i="5" s="1"/>
  <c r="DS1157" i="5"/>
  <c r="AK1138" i="2"/>
  <c r="IE852" i="5"/>
  <c r="DT984" i="5"/>
  <c r="CK834" i="5"/>
  <c r="CK984" i="5"/>
  <c r="IG536" i="5"/>
  <c r="AD753" i="2" s="1"/>
  <c r="AD886" i="2" s="1"/>
  <c r="IQ815" i="5"/>
  <c r="IE850" i="5"/>
  <c r="AG1796" i="2"/>
  <c r="CK835" i="5"/>
  <c r="CK991" i="5" s="1"/>
  <c r="CK985" i="5"/>
  <c r="FB835" i="5"/>
  <c r="FB991" i="5" s="1"/>
  <c r="FL995" i="5"/>
  <c r="FL1154" i="5"/>
  <c r="HZ843" i="5"/>
  <c r="HZ960" i="5" s="1"/>
  <c r="IK892" i="5"/>
  <c r="IM892" i="5" s="1"/>
  <c r="AF1213" i="2" s="1"/>
  <c r="IH816" i="5"/>
  <c r="DH642" i="5"/>
  <c r="DH579" i="5"/>
  <c r="Z1357" i="2"/>
  <c r="Z1578" i="2"/>
  <c r="AM1094" i="2"/>
  <c r="CL835" i="5"/>
  <c r="CL991" i="5" s="1"/>
  <c r="IE567" i="5"/>
  <c r="N97" i="7" s="1"/>
  <c r="AL1320" i="2"/>
  <c r="AL1407" i="2" s="1"/>
  <c r="DB642" i="5"/>
  <c r="AC1362" i="2"/>
  <c r="AC1449" i="2" s="1"/>
  <c r="AG1728" i="2"/>
  <c r="F18" i="19"/>
  <c r="E18" i="19"/>
  <c r="G18" i="19" s="1"/>
  <c r="JA792" i="5"/>
  <c r="JA779" i="5"/>
  <c r="U31" i="19"/>
  <c r="V31" i="19" s="1"/>
  <c r="AI1863" i="2"/>
  <c r="AI1861" i="2" s="1"/>
  <c r="D91" i="19"/>
  <c r="AL1542" i="2"/>
  <c r="AL1543" i="2"/>
  <c r="JE802" i="5"/>
  <c r="JC802" i="5" s="1"/>
  <c r="AA1297" i="2"/>
  <c r="AA1384" i="2" s="1"/>
  <c r="F61" i="19"/>
  <c r="E61" i="19"/>
  <c r="G61" i="19" s="1"/>
  <c r="W56" i="19"/>
  <c r="AK1837" i="2"/>
  <c r="W37" i="19"/>
  <c r="AJ1053" i="2"/>
  <c r="JB813" i="5"/>
  <c r="IZ813" i="5" s="1"/>
  <c r="AL1129" i="2"/>
  <c r="IZ856" i="5"/>
  <c r="U70" i="19"/>
  <c r="V70" i="19" s="1"/>
  <c r="JA790" i="5"/>
  <c r="JA920" i="5"/>
  <c r="Q27" i="19"/>
  <c r="Q37" i="19"/>
  <c r="Q43" i="19"/>
  <c r="AK620" i="2"/>
  <c r="AK1326" i="2"/>
  <c r="AK1413" i="2" s="1"/>
  <c r="BA648" i="5"/>
  <c r="BA582" i="5"/>
  <c r="AI1799" i="2"/>
  <c r="AI1808" i="2" s="1"/>
  <c r="AI1762" i="2"/>
  <c r="P125" i="7"/>
  <c r="T596" i="5"/>
  <c r="T650" i="5"/>
  <c r="AE582" i="5"/>
  <c r="AE648" i="5"/>
  <c r="AH648" i="5"/>
  <c r="AH582" i="5"/>
  <c r="Y652" i="2"/>
  <c r="IJ798" i="5"/>
  <c r="Z651" i="2"/>
  <c r="GI941" i="5"/>
  <c r="Y387" i="2"/>
  <c r="AV596" i="5"/>
  <c r="AV650" i="5"/>
  <c r="AK451" i="2"/>
  <c r="AJ1001" i="2"/>
  <c r="IH966" i="5"/>
  <c r="EN572" i="5"/>
  <c r="EN579" i="5" s="1"/>
  <c r="EN615" i="5" s="1"/>
  <c r="DO642" i="5"/>
  <c r="CK635" i="5"/>
  <c r="CK1141" i="5"/>
  <c r="CK573" i="5"/>
  <c r="AF648" i="5"/>
  <c r="AF582" i="5"/>
  <c r="II804" i="5"/>
  <c r="IJ801" i="5"/>
  <c r="II802" i="5"/>
  <c r="IJ802" i="5" s="1"/>
  <c r="FU1157" i="5"/>
  <c r="IG798" i="5"/>
  <c r="CQ941" i="5"/>
  <c r="CQ998" i="5" s="1"/>
  <c r="R648" i="5"/>
  <c r="R582" i="5"/>
  <c r="BB648" i="5"/>
  <c r="BB582" i="5"/>
  <c r="IG1106" i="5"/>
  <c r="HX505" i="5"/>
  <c r="HX636" i="5" s="1"/>
  <c r="IF569" i="5"/>
  <c r="O99" i="7" s="1"/>
  <c r="AK582" i="5"/>
  <c r="AK648" i="5"/>
  <c r="BQ648" i="5"/>
  <c r="BQ582" i="5"/>
  <c r="Z654" i="5"/>
  <c r="Z1154" i="5"/>
  <c r="Z1157" i="5" s="1"/>
  <c r="Z615" i="5"/>
  <c r="M582" i="5"/>
  <c r="M648" i="5"/>
  <c r="DU835" i="5"/>
  <c r="DU991" i="5" s="1"/>
  <c r="DU985" i="5"/>
  <c r="HW966" i="5"/>
  <c r="HW955" i="5"/>
  <c r="HW963" i="5" s="1"/>
  <c r="IJ986" i="5"/>
  <c r="HY892" i="5"/>
  <c r="IA892" i="5" s="1"/>
  <c r="AB1213" i="2" s="1"/>
  <c r="AJ1008" i="2"/>
  <c r="AK476" i="2"/>
  <c r="EC984" i="5"/>
  <c r="EC834" i="5"/>
  <c r="BN582" i="5"/>
  <c r="BN648" i="5"/>
  <c r="DY941" i="5"/>
  <c r="DY998" i="5" s="1"/>
  <c r="DY990" i="5"/>
  <c r="DU834" i="5"/>
  <c r="DU984" i="5"/>
  <c r="EC835" i="5"/>
  <c r="EC991" i="5" s="1"/>
  <c r="EC985" i="5"/>
  <c r="BE650" i="5"/>
  <c r="BE596" i="5"/>
  <c r="BR596" i="5"/>
  <c r="BR650" i="5"/>
  <c r="IC966" i="5"/>
  <c r="DM643" i="5"/>
  <c r="DM580" i="5"/>
  <c r="DM649" i="5" s="1"/>
  <c r="BU650" i="5"/>
  <c r="BU596" i="5"/>
  <c r="AP650" i="5"/>
  <c r="AP596" i="5"/>
  <c r="P596" i="5"/>
  <c r="P650" i="5"/>
  <c r="AK999" i="2"/>
  <c r="AL439" i="2"/>
  <c r="CQ579" i="5"/>
  <c r="CQ648" i="5" s="1"/>
  <c r="EA990" i="5"/>
  <c r="KO582" i="5"/>
  <c r="KO648" i="5"/>
  <c r="HU799" i="5"/>
  <c r="HT957" i="5"/>
  <c r="HT966" i="5" s="1"/>
  <c r="EH1157" i="5"/>
  <c r="IF567" i="5"/>
  <c r="O97" i="7" s="1"/>
  <c r="DJ642" i="5"/>
  <c r="DJ579" i="5"/>
  <c r="Y1362" i="2"/>
  <c r="BS582" i="5"/>
  <c r="BS648" i="5"/>
  <c r="FT1156" i="5"/>
  <c r="FT1157" i="5"/>
  <c r="CG573" i="5"/>
  <c r="CG635" i="5"/>
  <c r="CG1141" i="5"/>
  <c r="CG572" i="5"/>
  <c r="AB1039" i="2"/>
  <c r="EX1141" i="5"/>
  <c r="EX1157" i="5" s="1"/>
  <c r="EX572" i="5"/>
  <c r="EX579" i="5" s="1"/>
  <c r="EX615" i="5" s="1"/>
  <c r="EX573" i="5"/>
  <c r="EX580" i="5" s="1"/>
  <c r="AW654" i="5"/>
  <c r="AW615" i="5"/>
  <c r="AW1154" i="5"/>
  <c r="AW1157" i="5" s="1"/>
  <c r="IY677" i="5"/>
  <c r="IX677" i="5" s="1"/>
  <c r="AJ438" i="2"/>
  <c r="IG582" i="5"/>
  <c r="P112" i="7" s="1"/>
  <c r="IA997" i="5"/>
  <c r="AB1239" i="2"/>
  <c r="AD911" i="2"/>
  <c r="AD828" i="2"/>
  <c r="ID995" i="5"/>
  <c r="AC1213" i="2"/>
  <c r="AC1039" i="2"/>
  <c r="ID978" i="5"/>
  <c r="CM1141" i="5"/>
  <c r="CM635" i="5"/>
  <c r="CM573" i="5"/>
  <c r="KP650" i="5"/>
  <c r="KP596" i="5"/>
  <c r="FF990" i="5"/>
  <c r="FF941" i="5"/>
  <c r="FF998" i="5" s="1"/>
  <c r="AF1385" i="2"/>
  <c r="AF1297" i="2"/>
  <c r="AF1384" i="2" s="1"/>
  <c r="CY580" i="5"/>
  <c r="CY649" i="5" s="1"/>
  <c r="CY643" i="5"/>
  <c r="CL642" i="5"/>
  <c r="CL579" i="5"/>
  <c r="AF1418" i="2"/>
  <c r="IE955" i="5"/>
  <c r="IE963" i="5" s="1"/>
  <c r="IE966" i="5"/>
  <c r="DD990" i="5"/>
  <c r="DD941" i="5"/>
  <c r="DD998" i="5" s="1"/>
  <c r="CX835" i="5"/>
  <c r="CX991" i="5" s="1"/>
  <c r="CX985" i="5"/>
  <c r="AE1239" i="2"/>
  <c r="IJ997" i="5"/>
  <c r="AE1418" i="2"/>
  <c r="BO596" i="5"/>
  <c r="BO650" i="5"/>
  <c r="W650" i="5"/>
  <c r="W596" i="5"/>
  <c r="Z1376" i="2"/>
  <c r="AA1285" i="2"/>
  <c r="Z1285" i="2"/>
  <c r="AG1742" i="2"/>
  <c r="AG1751" i="2" s="1"/>
  <c r="AD954" i="2"/>
  <c r="AC650" i="5"/>
  <c r="AC596" i="5"/>
  <c r="Y1376" i="2"/>
  <c r="Y1285" i="2"/>
  <c r="AD875" i="2"/>
  <c r="AD338" i="2"/>
  <c r="AD582" i="2"/>
  <c r="AY582" i="5"/>
  <c r="AY648" i="5"/>
  <c r="FJ990" i="5"/>
  <c r="FJ941" i="5"/>
  <c r="FJ998" i="5" s="1"/>
  <c r="AA1505" i="2"/>
  <c r="AA1494" i="2" s="1"/>
  <c r="HU804" i="5"/>
  <c r="IA536" i="5"/>
  <c r="IA638" i="5" s="1"/>
  <c r="G68" i="7"/>
  <c r="H68" i="7" s="1"/>
  <c r="HY638" i="5"/>
  <c r="DH941" i="5"/>
  <c r="DH998" i="5" s="1"/>
  <c r="DH990" i="5"/>
  <c r="L582" i="5"/>
  <c r="L648" i="5"/>
  <c r="Z652" i="2"/>
  <c r="AA386" i="2"/>
  <c r="AA651" i="2"/>
  <c r="Z387" i="2"/>
  <c r="IL955" i="5"/>
  <c r="IL963" i="5" s="1"/>
  <c r="IL966" i="5"/>
  <c r="IM957" i="5"/>
  <c r="AD1483" i="2"/>
  <c r="AD366" i="2"/>
  <c r="AD625" i="2"/>
  <c r="AD1508" i="2"/>
  <c r="BX648" i="5"/>
  <c r="BX582" i="5"/>
  <c r="EY941" i="5"/>
  <c r="EY998" i="5" s="1"/>
  <c r="EY990" i="5"/>
  <c r="AH1314" i="2"/>
  <c r="AH1401" i="2" s="1"/>
  <c r="CE991" i="5"/>
  <c r="IL968" i="5"/>
  <c r="IM959" i="5"/>
  <c r="IM968" i="5" s="1"/>
  <c r="CY642" i="5"/>
  <c r="CY579" i="5"/>
  <c r="HX1112" i="5"/>
  <c r="HX1114" i="5" s="1"/>
  <c r="HX657" i="5"/>
  <c r="DC643" i="5"/>
  <c r="DC580" i="5"/>
  <c r="DC649" i="5" s="1"/>
  <c r="CW580" i="5"/>
  <c r="CW649" i="5" s="1"/>
  <c r="CW643" i="5"/>
  <c r="AA878" i="2"/>
  <c r="AA1480" i="2"/>
  <c r="AA1479" i="2" s="1"/>
  <c r="BC648" i="5"/>
  <c r="BC582" i="5"/>
  <c r="IG920" i="5"/>
  <c r="HY650" i="5"/>
  <c r="IA582" i="5"/>
  <c r="IA650" i="5" s="1"/>
  <c r="G112" i="7"/>
  <c r="EY1157" i="5"/>
  <c r="AZ650" i="5"/>
  <c r="AZ596" i="5"/>
  <c r="DD642" i="5"/>
  <c r="DD579" i="5"/>
  <c r="EV1141" i="5"/>
  <c r="EV1157" i="5" s="1"/>
  <c r="EV573" i="5"/>
  <c r="EV580" i="5" s="1"/>
  <c r="CZ941" i="5"/>
  <c r="CZ998" i="5" s="1"/>
  <c r="CZ990" i="5"/>
  <c r="CS642" i="5"/>
  <c r="CS579" i="5"/>
  <c r="IM996" i="5"/>
  <c r="AF1214" i="2"/>
  <c r="AU648" i="5"/>
  <c r="AU582" i="5"/>
  <c r="CM990" i="5"/>
  <c r="CM941" i="5"/>
  <c r="CM998" i="5" s="1"/>
  <c r="ID959" i="5"/>
  <c r="ID968" i="5" s="1"/>
  <c r="AB339" i="2"/>
  <c r="AA583" i="2"/>
  <c r="AB583" i="2"/>
  <c r="AA339" i="2"/>
  <c r="AA1725" i="2"/>
  <c r="AA924" i="2"/>
  <c r="DC642" i="5"/>
  <c r="DC579" i="5"/>
  <c r="HV850" i="5"/>
  <c r="BZ582" i="5"/>
  <c r="BZ648" i="5"/>
  <c r="AD949" i="2"/>
  <c r="AG1737" i="2"/>
  <c r="Y1297" i="2"/>
  <c r="Y1384" i="2" s="1"/>
  <c r="Y1385" i="2"/>
  <c r="AA1737" i="2"/>
  <c r="AA949" i="2"/>
  <c r="AE1633" i="2"/>
  <c r="AE1631" i="2" s="1"/>
  <c r="IM902" i="5"/>
  <c r="AF1223" i="2" s="1"/>
  <c r="AE1629" i="2"/>
  <c r="AE1627" i="2" s="1"/>
  <c r="IB966" i="5"/>
  <c r="IB955" i="5"/>
  <c r="IB963" i="5" s="1"/>
  <c r="K648" i="5"/>
  <c r="K582" i="5"/>
  <c r="CF579" i="5"/>
  <c r="CF642" i="5"/>
  <c r="BW596" i="5"/>
  <c r="BW650" i="5"/>
  <c r="P75" i="7"/>
  <c r="HU959" i="5"/>
  <c r="HU968" i="5" s="1"/>
  <c r="HV852" i="5"/>
  <c r="CE990" i="5"/>
  <c r="CE941" i="5"/>
  <c r="AD1418" i="2"/>
  <c r="AD1517" i="2"/>
  <c r="AD897" i="2"/>
  <c r="AA897" i="2"/>
  <c r="AA1517" i="2"/>
  <c r="AD1356" i="2"/>
  <c r="AD1443" i="2" s="1"/>
  <c r="AD1444" i="2"/>
  <c r="AD1797" i="2"/>
  <c r="DX984" i="5"/>
  <c r="DX834" i="5"/>
  <c r="HZ815" i="5"/>
  <c r="AS648" i="5"/>
  <c r="AS582" i="5"/>
  <c r="CO580" i="5"/>
  <c r="CO649" i="5" s="1"/>
  <c r="CO643" i="5"/>
  <c r="CS580" i="5"/>
  <c r="CS649" i="5" s="1"/>
  <c r="CS643" i="5"/>
  <c r="HP961" i="5"/>
  <c r="CP579" i="5"/>
  <c r="CP642" i="5"/>
  <c r="FM1156" i="5"/>
  <c r="FM1157" i="5"/>
  <c r="HR986" i="5"/>
  <c r="Y1133" i="2"/>
  <c r="AA1274" i="2"/>
  <c r="AA1282" i="2" s="1"/>
  <c r="IP961" i="5"/>
  <c r="AJ650" i="5"/>
  <c r="AJ596" i="5"/>
  <c r="CM572" i="5"/>
  <c r="DZ573" i="5"/>
  <c r="DZ580" i="5" s="1"/>
  <c r="HV849" i="5"/>
  <c r="HW1106" i="5"/>
  <c r="HW1115" i="5" s="1"/>
  <c r="HW654" i="5"/>
  <c r="F125" i="7"/>
  <c r="H125" i="7" s="1"/>
  <c r="CJ941" i="5"/>
  <c r="CJ998" i="5" s="1"/>
  <c r="CJ990" i="5"/>
  <c r="AD1764" i="2"/>
  <c r="DQ648" i="5"/>
  <c r="DQ615" i="5"/>
  <c r="HZ816" i="5"/>
  <c r="DX985" i="5"/>
  <c r="DX835" i="5"/>
  <c r="DX991" i="5" s="1"/>
  <c r="CK642" i="5"/>
  <c r="CK579" i="5"/>
  <c r="BL596" i="5"/>
  <c r="BL650" i="5"/>
  <c r="HR959" i="5"/>
  <c r="HR968" i="5" s="1"/>
  <c r="FE1156" i="5"/>
  <c r="FE1157" i="5"/>
  <c r="DN985" i="5"/>
  <c r="DN835" i="5"/>
  <c r="DN991" i="5" s="1"/>
  <c r="CF835" i="5"/>
  <c r="CF991" i="5" s="1"/>
  <c r="CF985" i="5"/>
  <c r="IG651" i="5"/>
  <c r="P114" i="7"/>
  <c r="CX984" i="5"/>
  <c r="CX834" i="5"/>
  <c r="BY648" i="5"/>
  <c r="BY582" i="5"/>
  <c r="DZ572" i="5"/>
  <c r="DZ579" i="5" s="1"/>
  <c r="DZ615" i="5" s="1"/>
  <c r="DT941" i="5"/>
  <c r="DT998" i="5" s="1"/>
  <c r="DT990" i="5"/>
  <c r="DS572" i="5"/>
  <c r="DS626" i="5"/>
  <c r="EB990" i="5"/>
  <c r="EB941" i="5"/>
  <c r="EB998" i="5" s="1"/>
  <c r="EP990" i="5"/>
  <c r="EP941" i="5"/>
  <c r="EP998" i="5" s="1"/>
  <c r="DO648" i="5"/>
  <c r="DO615" i="5"/>
  <c r="CY941" i="5"/>
  <c r="CY998" i="5" s="1"/>
  <c r="CY990" i="5"/>
  <c r="AO615" i="5"/>
  <c r="AO654" i="5"/>
  <c r="AO1154" i="5"/>
  <c r="AO1157" i="5" s="1"/>
  <c r="DR835" i="5"/>
  <c r="DR991" i="5" s="1"/>
  <c r="DR985" i="5"/>
  <c r="HU997" i="5"/>
  <c r="Z1239" i="2"/>
  <c r="Y1558" i="2" s="1"/>
  <c r="Z1214" i="2"/>
  <c r="Z1361" i="2" s="1"/>
  <c r="HU996" i="5"/>
  <c r="E41" i="7"/>
  <c r="IE968" i="5"/>
  <c r="IG959" i="5"/>
  <c r="IG968" i="5" s="1"/>
  <c r="EN995" i="5"/>
  <c r="IE892" i="5"/>
  <c r="IG892" i="5" s="1"/>
  <c r="AA700" i="2"/>
  <c r="AA877" i="2" s="1"/>
  <c r="AA1726" i="2" s="1"/>
  <c r="HT815" i="5"/>
  <c r="HT984" i="5" s="1"/>
  <c r="IJ978" i="5"/>
  <c r="AE1039" i="2"/>
  <c r="AE1557" i="2" s="1"/>
  <c r="CT941" i="5"/>
  <c r="CT998" i="5" s="1"/>
  <c r="CT990" i="5"/>
  <c r="FH990" i="5"/>
  <c r="FH941" i="5"/>
  <c r="FH998" i="5" s="1"/>
  <c r="Y615" i="5"/>
  <c r="Y1154" i="5"/>
  <c r="Y1157" i="5" s="1"/>
  <c r="Y654" i="5"/>
  <c r="AM596" i="5"/>
  <c r="AM650" i="5"/>
  <c r="DR834" i="5"/>
  <c r="DR984" i="5"/>
  <c r="HS851" i="5"/>
  <c r="DN984" i="5"/>
  <c r="DN834" i="5"/>
  <c r="CN579" i="5"/>
  <c r="CN642" i="5"/>
  <c r="HT995" i="5"/>
  <c r="AA650" i="2"/>
  <c r="AA385" i="2"/>
  <c r="AA908" i="2"/>
  <c r="DZ1157" i="5"/>
  <c r="FL834" i="5"/>
  <c r="FL984" i="5"/>
  <c r="CD648" i="5"/>
  <c r="CD582" i="5"/>
  <c r="CZ582" i="5"/>
  <c r="CZ648" i="5"/>
  <c r="BK648" i="5"/>
  <c r="BK582" i="5"/>
  <c r="EH985" i="5"/>
  <c r="EH835" i="5"/>
  <c r="EH991" i="5" s="1"/>
  <c r="DT648" i="5"/>
  <c r="DT615" i="5"/>
  <c r="FB1154" i="5"/>
  <c r="FB995" i="5"/>
  <c r="HX892" i="5"/>
  <c r="KN648" i="5"/>
  <c r="KN582" i="5"/>
  <c r="DB596" i="5"/>
  <c r="DB650" i="5"/>
  <c r="AC1361" i="2"/>
  <c r="AC1448" i="2" s="1"/>
  <c r="AC1777" i="2"/>
  <c r="E650" i="5"/>
  <c r="E596" i="5"/>
  <c r="CI572" i="5"/>
  <c r="CI1141" i="5"/>
  <c r="CI635" i="5"/>
  <c r="CI573" i="5"/>
  <c r="ID957" i="5"/>
  <c r="ID966" i="5" s="1"/>
  <c r="HS995" i="5"/>
  <c r="HU892" i="5"/>
  <c r="HX596" i="5"/>
  <c r="AA966" i="2"/>
  <c r="D125" i="7"/>
  <c r="HV1106" i="5"/>
  <c r="HV1115" i="5" s="1"/>
  <c r="HV654" i="5"/>
  <c r="HV582" i="5"/>
  <c r="HX582" i="5" s="1"/>
  <c r="HX650" i="5" s="1"/>
  <c r="DE941" i="5"/>
  <c r="DE998" i="5" s="1"/>
  <c r="DE990" i="5"/>
  <c r="AD889" i="2"/>
  <c r="AD935" i="2" s="1"/>
  <c r="HS849" i="5"/>
  <c r="AA716" i="2"/>
  <c r="AA882" i="2" s="1"/>
  <c r="F596" i="5"/>
  <c r="F650" i="5"/>
  <c r="FL985" i="5"/>
  <c r="FL835" i="5"/>
  <c r="FL991" i="5" s="1"/>
  <c r="CC648" i="5"/>
  <c r="CC582" i="5"/>
  <c r="BV650" i="5"/>
  <c r="BV596" i="5"/>
  <c r="CW642" i="5"/>
  <c r="CW579" i="5"/>
  <c r="EH834" i="5"/>
  <c r="EH984" i="5"/>
  <c r="DL642" i="5"/>
  <c r="DL579" i="5"/>
  <c r="CH643" i="5"/>
  <c r="CH580" i="5"/>
  <c r="CH649" i="5" s="1"/>
  <c r="KM582" i="5"/>
  <c r="KM648" i="5"/>
  <c r="CV580" i="5"/>
  <c r="CV649" i="5" s="1"/>
  <c r="CV643" i="5"/>
  <c r="HX959" i="5"/>
  <c r="HX968" i="5" s="1"/>
  <c r="DS643" i="5"/>
  <c r="DS580" i="5"/>
  <c r="DS649" i="5" s="1"/>
  <c r="HS966" i="5"/>
  <c r="EL990" i="5"/>
  <c r="EL941" i="5"/>
  <c r="EL998" i="5" s="1"/>
  <c r="AF1133" i="2"/>
  <c r="AE1549" i="2" s="1"/>
  <c r="IM986" i="5"/>
  <c r="IE465" i="5"/>
  <c r="CF984" i="5"/>
  <c r="CF834" i="5"/>
  <c r="AA650" i="5"/>
  <c r="AA596" i="5"/>
  <c r="HQ961" i="5"/>
  <c r="HW816" i="5"/>
  <c r="HX816" i="5" s="1"/>
  <c r="HX985" i="5" s="1"/>
  <c r="IG986" i="5"/>
  <c r="AD1133" i="2"/>
  <c r="DP1141" i="5"/>
  <c r="DP1157" i="5" s="1"/>
  <c r="DP635" i="5"/>
  <c r="DP573" i="5"/>
  <c r="FO941" i="5"/>
  <c r="FO998" i="5" s="1"/>
  <c r="FO990" i="5"/>
  <c r="IJ892" i="5"/>
  <c r="AA1239" i="2"/>
  <c r="HX997" i="5"/>
  <c r="CH642" i="5"/>
  <c r="CH579" i="5"/>
  <c r="AI596" i="5"/>
  <c r="AI650" i="5"/>
  <c r="EE990" i="5"/>
  <c r="EE941" i="5"/>
  <c r="EE998" i="5" s="1"/>
  <c r="EN580" i="5"/>
  <c r="DL990" i="5"/>
  <c r="DL941" i="5"/>
  <c r="DL998" i="5" s="1"/>
  <c r="C39" i="7"/>
  <c r="HT635" i="5"/>
  <c r="GO941" i="5"/>
  <c r="HX467" i="5"/>
  <c r="HX628" i="5"/>
  <c r="HW569" i="5"/>
  <c r="F99" i="7" s="1"/>
  <c r="F7" i="7"/>
  <c r="HW567" i="5"/>
  <c r="F97" i="7" s="1"/>
  <c r="HW627" i="5"/>
  <c r="HW465" i="5"/>
  <c r="HW568" i="5"/>
  <c r="F98" i="7" s="1"/>
  <c r="AA1732" i="2"/>
  <c r="AA935" i="2"/>
  <c r="IJ965" i="5"/>
  <c r="DN643" i="5"/>
  <c r="DN580" i="5"/>
  <c r="DN649" i="5" s="1"/>
  <c r="CR579" i="5"/>
  <c r="CR642" i="5"/>
  <c r="H8" i="7"/>
  <c r="AD634" i="2"/>
  <c r="AD1513" i="2"/>
  <c r="AD1510" i="2" s="1"/>
  <c r="AD375" i="2"/>
  <c r="EX990" i="5"/>
  <c r="EX941" i="5"/>
  <c r="EX998" i="5" s="1"/>
  <c r="IT968" i="5"/>
  <c r="IV959" i="5"/>
  <c r="IV968" i="5" s="1"/>
  <c r="HT572" i="5"/>
  <c r="C5" i="7"/>
  <c r="HT626" i="5"/>
  <c r="X1154" i="5"/>
  <c r="X1157" i="5" s="1"/>
  <c r="X615" i="5"/>
  <c r="X654" i="5"/>
  <c r="BH650" i="5"/>
  <c r="BH596" i="5"/>
  <c r="DE573" i="5"/>
  <c r="DE1141" i="5"/>
  <c r="DE635" i="5"/>
  <c r="AD1786" i="2"/>
  <c r="AD1760" i="2"/>
  <c r="AD1759" i="2" s="1"/>
  <c r="AD591" i="2"/>
  <c r="AD986" i="2"/>
  <c r="AD1271" i="2"/>
  <c r="IF503" i="5"/>
  <c r="O39" i="7" s="1"/>
  <c r="ES1141" i="5"/>
  <c r="ES1157" i="5" s="1"/>
  <c r="ES573" i="5"/>
  <c r="HT573" i="5"/>
  <c r="IR996" i="5"/>
  <c r="IS893" i="5"/>
  <c r="AH1214" i="2" s="1"/>
  <c r="AH1361" i="2" s="1"/>
  <c r="AH1797" i="2" s="1"/>
  <c r="Q582" i="5"/>
  <c r="Q648" i="5"/>
  <c r="AK420" i="2"/>
  <c r="DE642" i="5"/>
  <c r="DE579" i="5"/>
  <c r="S596" i="5"/>
  <c r="S650" i="5"/>
  <c r="HV638" i="5"/>
  <c r="D68" i="7"/>
  <c r="E68" i="7" s="1"/>
  <c r="ED941" i="5"/>
  <c r="ED990" i="5"/>
  <c r="HY852" i="5"/>
  <c r="HY850" i="5"/>
  <c r="HY851" i="5"/>
  <c r="HY849" i="5"/>
  <c r="HZ968" i="5"/>
  <c r="IA959" i="5"/>
  <c r="IA968" i="5" s="1"/>
  <c r="AK532" i="2"/>
  <c r="DJ941" i="5"/>
  <c r="DJ998" i="5" s="1"/>
  <c r="DJ990" i="5"/>
  <c r="G39" i="7"/>
  <c r="HY635" i="5"/>
  <c r="AN650" i="5"/>
  <c r="AN596" i="5"/>
  <c r="CA650" i="5"/>
  <c r="CA596" i="5"/>
  <c r="DF579" i="5"/>
  <c r="DF642" i="5"/>
  <c r="AH1376" i="2"/>
  <c r="DF580" i="5"/>
  <c r="DF649" i="5" s="1"/>
  <c r="DF643" i="5"/>
  <c r="IA965" i="5"/>
  <c r="AB650" i="5"/>
  <c r="AB596" i="5"/>
  <c r="AD1592" i="2"/>
  <c r="AD1598" i="2"/>
  <c r="HY568" i="5"/>
  <c r="HY569" i="5"/>
  <c r="HY573" i="5"/>
  <c r="HY567" i="5"/>
  <c r="HY627" i="5"/>
  <c r="G7" i="7"/>
  <c r="AB968" i="2"/>
  <c r="AB969" i="2" s="1"/>
  <c r="HY465" i="5"/>
  <c r="HV503" i="5"/>
  <c r="HU965" i="5"/>
  <c r="P55" i="7"/>
  <c r="AD736" i="2"/>
  <c r="AA904" i="2"/>
  <c r="AA807" i="2"/>
  <c r="AA903" i="2" s="1"/>
  <c r="FT990" i="5"/>
  <c r="FT941" i="5"/>
  <c r="FT998" i="5" s="1"/>
  <c r="U596" i="5"/>
  <c r="U650" i="5"/>
  <c r="IV957" i="5"/>
  <c r="IV966" i="5" s="1"/>
  <c r="IT966" i="5"/>
  <c r="AH1356" i="2"/>
  <c r="AH1443" i="2" s="1"/>
  <c r="AH1444" i="2"/>
  <c r="DO991" i="5"/>
  <c r="CV642" i="5"/>
  <c r="CV579" i="5"/>
  <c r="CX648" i="5"/>
  <c r="CX582" i="5"/>
  <c r="AA762" i="2"/>
  <c r="HX536" i="5"/>
  <c r="HX638" i="5" s="1"/>
  <c r="IH963" i="5"/>
  <c r="HT852" i="5"/>
  <c r="HT851" i="5"/>
  <c r="HT850" i="5"/>
  <c r="HT849" i="5"/>
  <c r="HU946" i="5"/>
  <c r="HU950" i="5" s="1"/>
  <c r="IL852" i="5"/>
  <c r="IM946" i="5"/>
  <c r="IM950" i="5" s="1"/>
  <c r="AC1768" i="2"/>
  <c r="AC1274" i="2"/>
  <c r="AC1282" i="2" s="1"/>
  <c r="AG986" i="2"/>
  <c r="AF986" i="2"/>
  <c r="AF1271" i="2"/>
  <c r="AF1279" i="2" s="1"/>
  <c r="AF1760" i="2"/>
  <c r="AF1759" i="2" s="1"/>
  <c r="AF1786" i="2"/>
  <c r="AF591" i="2"/>
  <c r="HQ969" i="5"/>
  <c r="HR960" i="5"/>
  <c r="HR969" i="5" s="1"/>
  <c r="P37" i="19"/>
  <c r="R37" i="19" s="1"/>
  <c r="BM650" i="5"/>
  <c r="BM596" i="5"/>
  <c r="IF568" i="5"/>
  <c r="O98" i="7" s="1"/>
  <c r="AI1768" i="2"/>
  <c r="AI1847" i="2"/>
  <c r="AI1846" i="2" s="1"/>
  <c r="AI1854" i="2" s="1"/>
  <c r="AI1272" i="2"/>
  <c r="AI1280" i="2" s="1"/>
  <c r="DP642" i="5"/>
  <c r="DP579" i="5"/>
  <c r="AF1799" i="2"/>
  <c r="AF1762" i="2"/>
  <c r="II834" i="5"/>
  <c r="FE941" i="5"/>
  <c r="FE990" i="5"/>
  <c r="DN1141" i="5"/>
  <c r="DN635" i="5"/>
  <c r="AD650" i="5"/>
  <c r="AD596" i="5"/>
  <c r="N7" i="7"/>
  <c r="IG467" i="5"/>
  <c r="GM796" i="5"/>
  <c r="GL799" i="5"/>
  <c r="FA990" i="5"/>
  <c r="FA941" i="5"/>
  <c r="FA998" i="5" s="1"/>
  <c r="CJ642" i="5"/>
  <c r="CJ579" i="5"/>
  <c r="HU572" i="5"/>
  <c r="HU626" i="5"/>
  <c r="AA1477" i="2"/>
  <c r="AA1475" i="2" s="1"/>
  <c r="AA854" i="2"/>
  <c r="AA391" i="2"/>
  <c r="AA656" i="2"/>
  <c r="AA910" i="2"/>
  <c r="IG628" i="5"/>
  <c r="P8" i="7"/>
  <c r="AD674" i="2"/>
  <c r="F41" i="7"/>
  <c r="H41" i="7" s="1"/>
  <c r="HW636" i="5"/>
  <c r="HW503" i="5"/>
  <c r="IS834" i="5"/>
  <c r="EG941" i="5"/>
  <c r="EG990" i="5"/>
  <c r="IU969" i="5"/>
  <c r="IU961" i="5"/>
  <c r="J650" i="5"/>
  <c r="J596" i="5"/>
  <c r="AF1376" i="2"/>
  <c r="AH1764" i="2"/>
  <c r="AH1773" i="2" s="1"/>
  <c r="AH1274" i="2"/>
  <c r="AH1282" i="2" s="1"/>
  <c r="DR1141" i="5"/>
  <c r="DR1157" i="5" s="1"/>
  <c r="DR635" i="5"/>
  <c r="HX1122" i="5"/>
  <c r="HW1108" i="5"/>
  <c r="HW1110" i="5" s="1"/>
  <c r="CL941" i="5"/>
  <c r="CL998" i="5" s="1"/>
  <c r="CL990" i="5"/>
  <c r="AB591" i="2"/>
  <c r="AB1271" i="2"/>
  <c r="AB986" i="2"/>
  <c r="FG990" i="5"/>
  <c r="FG941" i="5"/>
  <c r="FG998" i="5" s="1"/>
  <c r="H55" i="7"/>
  <c r="ID965" i="5"/>
  <c r="IA522" i="5"/>
  <c r="G56" i="7"/>
  <c r="P28" i="7"/>
  <c r="IG631" i="5"/>
  <c r="AD700" i="2"/>
  <c r="AD877" i="2" s="1"/>
  <c r="AD1469" i="2"/>
  <c r="AD1467" i="2" s="1"/>
  <c r="AD1466" i="2" s="1"/>
  <c r="AD298" i="2"/>
  <c r="FE991" i="5"/>
  <c r="AA628" i="2"/>
  <c r="AA369" i="2"/>
  <c r="IS965" i="5"/>
  <c r="IT892" i="5"/>
  <c r="IV893" i="5"/>
  <c r="AI1214" i="2" s="1"/>
  <c r="FN941" i="5"/>
  <c r="FN998" i="5" s="1"/>
  <c r="FN990" i="5"/>
  <c r="HR965" i="5"/>
  <c r="IC963" i="5"/>
  <c r="IG965" i="5"/>
  <c r="EZ991" i="5"/>
  <c r="DR626" i="5"/>
  <c r="DR572" i="5"/>
  <c r="EI990" i="5"/>
  <c r="EI941" i="5"/>
  <c r="EI998" i="5" s="1"/>
  <c r="AD878" i="2"/>
  <c r="AD1480" i="2"/>
  <c r="AD1479" i="2" s="1"/>
  <c r="FQ941" i="5"/>
  <c r="FQ990" i="5"/>
  <c r="FU941" i="5"/>
  <c r="FU998" i="5" s="1"/>
  <c r="FU990" i="5"/>
  <c r="AE1768" i="2"/>
  <c r="AE1272" i="2"/>
  <c r="AE1280" i="2" s="1"/>
  <c r="AE1847" i="2"/>
  <c r="AE1846" i="2" s="1"/>
  <c r="AE1854" i="2" s="1"/>
  <c r="AE1274" i="2"/>
  <c r="AE1282" i="2" s="1"/>
  <c r="DK582" i="5"/>
  <c r="DK648" i="5"/>
  <c r="HX965" i="5"/>
  <c r="CX643" i="5"/>
  <c r="CX580" i="5"/>
  <c r="CX649" i="5" s="1"/>
  <c r="DI990" i="5"/>
  <c r="DI941" i="5"/>
  <c r="GM800" i="5"/>
  <c r="GN800" i="5" s="1"/>
  <c r="DR580" i="5"/>
  <c r="DR649" i="5" s="1"/>
  <c r="DR643" i="5"/>
  <c r="N41" i="7"/>
  <c r="IG505" i="5"/>
  <c r="AI1591" i="2"/>
  <c r="IK960" i="5"/>
  <c r="AE1786" i="2"/>
  <c r="AE1760" i="2"/>
  <c r="AE1759" i="2" s="1"/>
  <c r="AE986" i="2"/>
  <c r="AE591" i="2"/>
  <c r="AE1271" i="2"/>
  <c r="AE1279" i="2" s="1"/>
  <c r="AG650" i="5"/>
  <c r="AG596" i="5"/>
  <c r="AC334" i="2"/>
  <c r="AC578" i="2"/>
  <c r="CR990" i="5"/>
  <c r="CR941" i="5"/>
  <c r="CR998" i="5" s="1"/>
  <c r="CW991" i="5"/>
  <c r="Z986" i="2"/>
  <c r="Z1271" i="2"/>
  <c r="Z591" i="2"/>
  <c r="CW941" i="5"/>
  <c r="CW990" i="5"/>
  <c r="DN572" i="5"/>
  <c r="DN626" i="5"/>
  <c r="Y591" i="2"/>
  <c r="Y1271" i="2"/>
  <c r="Y986" i="2"/>
  <c r="EZ941" i="5"/>
  <c r="EZ998" i="5" s="1"/>
  <c r="EZ990" i="5"/>
  <c r="IS816" i="5"/>
  <c r="IQ985" i="5"/>
  <c r="AD1762" i="2"/>
  <c r="AD1799" i="2"/>
  <c r="DQ941" i="5"/>
  <c r="DQ998" i="5" s="1"/>
  <c r="DQ990" i="5"/>
  <c r="DI991" i="5"/>
  <c r="EG991" i="5"/>
  <c r="AG1345" i="2"/>
  <c r="AG1432" i="2" s="1"/>
  <c r="AG1159" i="2"/>
  <c r="AG1170" i="2"/>
  <c r="AG1169" i="2"/>
  <c r="AG1168" i="2"/>
  <c r="AG1160" i="2"/>
  <c r="AG1161" i="2"/>
  <c r="AG1167" i="2"/>
  <c r="F56" i="7"/>
  <c r="HX522" i="5"/>
  <c r="AA737" i="2" s="1"/>
  <c r="EN1141" i="5"/>
  <c r="EN1157" i="5" s="1"/>
  <c r="IE503" i="5"/>
  <c r="HZ503" i="5"/>
  <c r="I39" i="7" s="1"/>
  <c r="K39" i="7" s="1"/>
  <c r="I41" i="7"/>
  <c r="K41" i="7" s="1"/>
  <c r="AI1274" i="2"/>
  <c r="AI1282" i="2" s="1"/>
  <c r="AI1764" i="2"/>
  <c r="F112" i="7"/>
  <c r="HW650" i="5"/>
  <c r="IA627" i="5"/>
  <c r="IA465" i="5"/>
  <c r="IA626" i="5" s="1"/>
  <c r="AH1798" i="2"/>
  <c r="AH1449" i="2"/>
  <c r="ET990" i="5"/>
  <c r="ET941" i="5"/>
  <c r="ET998" i="5" s="1"/>
  <c r="BJ650" i="5"/>
  <c r="BJ596" i="5"/>
  <c r="DO990" i="5"/>
  <c r="DO941" i="5"/>
  <c r="CT642" i="5"/>
  <c r="CT579" i="5"/>
  <c r="Q25" i="19"/>
  <c r="P25" i="19"/>
  <c r="R25" i="19" s="1"/>
  <c r="HZ955" i="5"/>
  <c r="HZ966" i="5"/>
  <c r="IA957" i="5"/>
  <c r="AA927" i="2"/>
  <c r="AA1728" i="2"/>
  <c r="FS990" i="5"/>
  <c r="FS941" i="5"/>
  <c r="FS998" i="5" s="1"/>
  <c r="I7" i="7"/>
  <c r="K7" i="7" s="1"/>
  <c r="HZ465" i="5"/>
  <c r="HZ568" i="5"/>
  <c r="I98" i="7" s="1"/>
  <c r="K98" i="7" s="1"/>
  <c r="HZ569" i="5"/>
  <c r="I99" i="7" s="1"/>
  <c r="K99" i="7" s="1"/>
  <c r="HZ567" i="5"/>
  <c r="I97" i="7" s="1"/>
  <c r="K97" i="7" s="1"/>
  <c r="AQ596" i="5"/>
  <c r="AQ650" i="5"/>
  <c r="DA642" i="5"/>
  <c r="DA579" i="5"/>
  <c r="HS835" i="5"/>
  <c r="AC1760" i="2"/>
  <c r="AC1759" i="2" s="1"/>
  <c r="AC1271" i="2"/>
  <c r="AC986" i="2"/>
  <c r="AC591" i="2"/>
  <c r="AK1444" i="2"/>
  <c r="AA1469" i="2"/>
  <c r="AA1467" i="2" s="1"/>
  <c r="AA1466" i="2" s="1"/>
  <c r="AA674" i="2"/>
  <c r="AA298" i="2"/>
  <c r="AA299" i="2"/>
  <c r="IC849" i="5"/>
  <c r="IC851" i="5"/>
  <c r="ID946" i="5"/>
  <c r="ID950" i="5" s="1"/>
  <c r="IC852" i="5"/>
  <c r="IC850" i="5"/>
  <c r="EU1141" i="5"/>
  <c r="EU1157" i="5" s="1"/>
  <c r="EU573" i="5"/>
  <c r="EU580" i="5" s="1"/>
  <c r="AI1314" i="2"/>
  <c r="AI1401" i="2" s="1"/>
  <c r="DW941" i="5"/>
  <c r="DW998" i="5" s="1"/>
  <c r="DW990" i="5"/>
  <c r="AH1591" i="2"/>
  <c r="AH1595" i="2" s="1"/>
  <c r="AH1596" i="2"/>
  <c r="JB755" i="5"/>
  <c r="IZ755" i="5" s="1"/>
  <c r="AK1315" i="2"/>
  <c r="AK1402" i="2" s="1"/>
  <c r="AK590" i="2"/>
  <c r="W25" i="19"/>
  <c r="AK1810" i="2"/>
  <c r="AA591" i="2"/>
  <c r="AA1271" i="2"/>
  <c r="AA986" i="2"/>
  <c r="AB1133" i="2"/>
  <c r="IA986" i="5"/>
  <c r="IM965" i="5"/>
  <c r="W69" i="19"/>
  <c r="J5" i="7"/>
  <c r="AL1103" i="2"/>
  <c r="AK1322" i="2"/>
  <c r="AK1409" i="2" s="1"/>
  <c r="AK1273" i="2"/>
  <c r="AK1281" i="2" s="1"/>
  <c r="AK612" i="2"/>
  <c r="AK1824" i="2"/>
  <c r="JB789" i="5"/>
  <c r="IZ789" i="5" s="1"/>
  <c r="X70" i="19"/>
  <c r="Z70" i="19" s="1"/>
  <c r="AJ1764" i="2"/>
  <c r="JB920" i="5"/>
  <c r="AK1775" i="2"/>
  <c r="AK1362" i="2"/>
  <c r="AK1449" i="2" s="1"/>
  <c r="IY754" i="5"/>
  <c r="IX754" i="5" s="1"/>
  <c r="P43" i="19"/>
  <c r="R43" i="19" s="1"/>
  <c r="AJ1133" i="2"/>
  <c r="IY822" i="5"/>
  <c r="IX822" i="5" s="1"/>
  <c r="AJ1334" i="2"/>
  <c r="AJ1421" i="2" s="1"/>
  <c r="AK1324" i="2"/>
  <c r="AK1411" i="2" s="1"/>
  <c r="AJ1314" i="2"/>
  <c r="AJ1401" i="2" s="1"/>
  <c r="JB795" i="5"/>
  <c r="IZ795" i="5" s="1"/>
  <c r="AM1362" i="2"/>
  <c r="AM1798" i="2" s="1"/>
  <c r="JH920" i="5"/>
  <c r="AK1076" i="2"/>
  <c r="JB829" i="5"/>
  <c r="IZ829" i="5" s="1"/>
  <c r="AK606" i="2"/>
  <c r="AJ1356" i="2"/>
  <c r="AJ1443" i="2" s="1"/>
  <c r="AK1116" i="2"/>
  <c r="W43" i="19"/>
  <c r="AJ1827" i="2"/>
  <c r="JE920" i="5"/>
  <c r="AL1362" i="2"/>
  <c r="AL1798" i="2" s="1"/>
  <c r="JA896" i="5"/>
  <c r="P27" i="19"/>
  <c r="R27" i="19" s="1"/>
  <c r="JE856" i="5"/>
  <c r="AM1577" i="2" s="1"/>
  <c r="AE69" i="19"/>
  <c r="JH856" i="5"/>
  <c r="AJ911" i="2"/>
  <c r="JH792" i="5"/>
  <c r="JF792" i="5" s="1"/>
  <c r="AO70" i="19"/>
  <c r="AN70" i="19"/>
  <c r="AP70" i="19" s="1"/>
  <c r="AG70" i="19"/>
  <c r="AF70" i="19"/>
  <c r="AH70" i="19" s="1"/>
  <c r="AM1595" i="2"/>
  <c r="AF42" i="19"/>
  <c r="AH42" i="19" s="1"/>
  <c r="AG42" i="19"/>
  <c r="JE791" i="5"/>
  <c r="JC791" i="5" s="1"/>
  <c r="AJ1597" i="2"/>
  <c r="JA576" i="5"/>
  <c r="P70" i="19"/>
  <c r="R70" i="19" s="1"/>
  <c r="Q70" i="19"/>
  <c r="IY856" i="5"/>
  <c r="IX856" i="5" s="1"/>
  <c r="V1338" i="2"/>
  <c r="V1425" i="2" s="1"/>
  <c r="IS610" i="5"/>
  <c r="IQ610" i="5" s="1"/>
  <c r="IR610" i="5" s="1"/>
  <c r="IR537" i="5"/>
  <c r="AL1444" i="2"/>
  <c r="V1337" i="2"/>
  <c r="JK920" i="5"/>
  <c r="AK911" i="2"/>
  <c r="II503" i="5"/>
  <c r="R39" i="7" s="1"/>
  <c r="Q39" i="7"/>
  <c r="AJ1619" i="2"/>
  <c r="IZ468" i="5"/>
  <c r="JA468" i="5" s="1"/>
  <c r="JA473" i="5"/>
  <c r="L68" i="7"/>
  <c r="IC503" i="5"/>
  <c r="IC572" i="5" s="1"/>
  <c r="JA857" i="5"/>
  <c r="JM743" i="5"/>
  <c r="Z797" i="2"/>
  <c r="Z894" i="2" s="1"/>
  <c r="Z940" i="2" s="1"/>
  <c r="Z794" i="2"/>
  <c r="HR572" i="5" s="1"/>
  <c r="HR642" i="5" s="1"/>
  <c r="AJ1577" i="2"/>
  <c r="Z798" i="2"/>
  <c r="Z895" i="2" s="1"/>
  <c r="Z941" i="2" s="1"/>
  <c r="Z799" i="2"/>
  <c r="Z896" i="2" s="1"/>
  <c r="Z942" i="2" s="1"/>
  <c r="AK1615" i="2"/>
  <c r="JA575" i="5"/>
  <c r="J103" i="7"/>
  <c r="IB580" i="5"/>
  <c r="J110" i="7" s="1"/>
  <c r="AN1108" i="2"/>
  <c r="AO648" i="2"/>
  <c r="AO1108" i="2" s="1"/>
  <c r="AO301" i="2"/>
  <c r="AO677" i="2" s="1"/>
  <c r="AN677" i="2"/>
  <c r="X1328" i="2"/>
  <c r="X1415" i="2" s="1"/>
  <c r="X1375" i="2"/>
  <c r="AC1595" i="2"/>
  <c r="AC1698" i="2" s="1"/>
  <c r="AC1702" i="2" s="1"/>
  <c r="AC1697" i="2"/>
  <c r="AH314" i="2"/>
  <c r="AH558" i="2"/>
  <c r="AG562" i="2"/>
  <c r="AG318" i="2"/>
  <c r="IC1112" i="5"/>
  <c r="IC1114" i="5" s="1"/>
  <c r="IC1116" i="5" s="1"/>
  <c r="L137" i="7"/>
  <c r="JH692" i="5"/>
  <c r="JF692" i="5" s="1"/>
  <c r="AM491" i="2"/>
  <c r="AO492" i="2"/>
  <c r="AN1014" i="2"/>
  <c r="JD692" i="5"/>
  <c r="AB1701" i="2"/>
  <c r="AL1591" i="2"/>
  <c r="AL1595" i="2" s="1"/>
  <c r="AI380" i="2"/>
  <c r="AI640" i="2"/>
  <c r="AK744" i="2"/>
  <c r="IY525" i="5"/>
  <c r="V1555" i="2"/>
  <c r="AM423" i="2"/>
  <c r="AM676" i="2"/>
  <c r="IY506" i="5"/>
  <c r="AK717" i="2"/>
  <c r="IT525" i="5"/>
  <c r="IU525" i="5" s="1"/>
  <c r="AL674" i="2"/>
  <c r="AL874" i="2" s="1"/>
  <c r="AL923" i="2" s="1"/>
  <c r="AM738" i="2"/>
  <c r="AO569" i="2"/>
  <c r="AO325" i="2"/>
  <c r="AH625" i="2"/>
  <c r="IS529" i="5"/>
  <c r="IR529" i="5" s="1"/>
  <c r="AH366" i="2"/>
  <c r="AE1697" i="2"/>
  <c r="AE1595" i="2"/>
  <c r="AE1698" i="2" s="1"/>
  <c r="AE1702" i="2" s="1"/>
  <c r="JI897" i="5"/>
  <c r="JJ897" i="5" s="1"/>
  <c r="AM1305" i="2"/>
  <c r="AN1049" i="2"/>
  <c r="JH727" i="5"/>
  <c r="JG727" i="5" s="1"/>
  <c r="AJ909" i="2"/>
  <c r="AJ958" i="2" s="1"/>
  <c r="IY597" i="5"/>
  <c r="AJ828" i="2"/>
  <c r="AO310" i="2"/>
  <c r="AO683" i="2"/>
  <c r="AN295" i="2"/>
  <c r="AM296" i="2" s="1"/>
  <c r="AN692" i="2"/>
  <c r="AN749" i="2"/>
  <c r="AM898" i="2"/>
  <c r="AM949" i="2" s="1"/>
  <c r="AM800" i="2"/>
  <c r="AM897" i="2" s="1"/>
  <c r="AM948" i="2" s="1"/>
  <c r="AN801" i="2"/>
  <c r="AJ1596" i="2"/>
  <c r="AJ1587" i="2"/>
  <c r="AJ1576" i="2"/>
  <c r="J102" i="7"/>
  <c r="AC964" i="2"/>
  <c r="AC965" i="2" s="1"/>
  <c r="IB579" i="5"/>
  <c r="AK770" i="2"/>
  <c r="JB561" i="5"/>
  <c r="AL783" i="2"/>
  <c r="W1328" i="2"/>
  <c r="W1329" i="2"/>
  <c r="W1375" i="2"/>
  <c r="AG328" i="2"/>
  <c r="AG566" i="2"/>
  <c r="AG322" i="2"/>
  <c r="AH565" i="2"/>
  <c r="AH321" i="2"/>
  <c r="AG572" i="2"/>
  <c r="IZ482" i="5"/>
  <c r="JA482" i="5" s="1"/>
  <c r="AN1217" i="2"/>
  <c r="AM1268" i="2"/>
  <c r="JH896" i="5"/>
  <c r="JI753" i="5"/>
  <c r="JJ753" i="5" s="1"/>
  <c r="AO1313" i="2"/>
  <c r="AO1400" i="2" s="1"/>
  <c r="JN753" i="5"/>
  <c r="Z341" i="2"/>
  <c r="Z585" i="2"/>
  <c r="AM849" i="2"/>
  <c r="AM876" i="2"/>
  <c r="AF331" i="2"/>
  <c r="AE576" i="2"/>
  <c r="AJ414" i="2"/>
  <c r="AI415" i="2"/>
  <c r="AI849" i="2"/>
  <c r="IV616" i="5" s="1"/>
  <c r="IV486" i="5"/>
  <c r="IU486" i="5" s="1"/>
  <c r="AI876" i="2"/>
  <c r="JI734" i="5"/>
  <c r="JJ734" i="5" s="1"/>
  <c r="AE1704" i="2"/>
  <c r="AF1705" i="2"/>
  <c r="AF1704" i="2" s="1"/>
  <c r="IY550" i="5"/>
  <c r="AJ889" i="2"/>
  <c r="AJ935" i="2" s="1"/>
  <c r="AK1391" i="2"/>
  <c r="AK1297" i="2"/>
  <c r="AK1384" i="2" s="1"/>
  <c r="AM688" i="2"/>
  <c r="AL842" i="2"/>
  <c r="JI738" i="5"/>
  <c r="JJ738" i="5" s="1"/>
  <c r="IW609" i="5"/>
  <c r="IW597" i="5" s="1"/>
  <c r="AJ1591" i="2"/>
  <c r="AK1592" i="2"/>
  <c r="AK1591" i="2" s="1"/>
  <c r="AI780" i="2"/>
  <c r="AM1444" i="2"/>
  <c r="AI680" i="2"/>
  <c r="IV474" i="5" s="1"/>
  <c r="JJ861" i="5"/>
  <c r="AN1616" i="2" s="1"/>
  <c r="AN1615" i="2" s="1"/>
  <c r="AK1587" i="2"/>
  <c r="JB609" i="5"/>
  <c r="AK656" i="2"/>
  <c r="AK829" i="2"/>
  <c r="AK391" i="2"/>
  <c r="AO1216" i="2"/>
  <c r="JK895" i="5"/>
  <c r="Z893" i="2"/>
  <c r="Z939" i="2" s="1"/>
  <c r="HR574" i="5"/>
  <c r="AO322" i="2"/>
  <c r="AO328" i="2"/>
  <c r="AO572" i="2"/>
  <c r="AO566" i="2"/>
  <c r="JC896" i="5"/>
  <c r="JC895" i="5" s="1"/>
  <c r="JD895" i="5" s="1"/>
  <c r="AO289" i="2"/>
  <c r="AO292" i="2"/>
  <c r="AO294" i="2" s="1"/>
  <c r="AM883" i="2"/>
  <c r="AM930" i="2" s="1"/>
  <c r="AM746" i="2"/>
  <c r="X1416" i="2"/>
  <c r="X1338" i="2"/>
  <c r="X1425" i="2" s="1"/>
  <c r="AI1597" i="2"/>
  <c r="AI1587" i="2"/>
  <c r="AL1597" i="2"/>
  <c r="AM307" i="2"/>
  <c r="IW561" i="5"/>
  <c r="IW550" i="5" s="1"/>
  <c r="X1283" i="2"/>
  <c r="X1276" i="2"/>
  <c r="AM1312" i="2"/>
  <c r="AM1399" i="2" s="1"/>
  <c r="JH749" i="5"/>
  <c r="AH416" i="2"/>
  <c r="AG417" i="2" s="1"/>
  <c r="Z929" i="2"/>
  <c r="Y1730" i="2"/>
  <c r="AH324" i="2"/>
  <c r="AH568" i="2"/>
  <c r="AG325" i="2"/>
  <c r="AG569" i="2"/>
  <c r="JK831" i="5"/>
  <c r="AO1147" i="2"/>
  <c r="AF567" i="2"/>
  <c r="AF323" i="2"/>
  <c r="AF329" i="2"/>
  <c r="AF573" i="2"/>
  <c r="AK1597" i="2"/>
  <c r="JI733" i="5"/>
  <c r="JJ733" i="5" s="1"/>
  <c r="IN558" i="5"/>
  <c r="IN550" i="5" s="1"/>
  <c r="AL1392" i="2"/>
  <c r="AL1304" i="2"/>
  <c r="AI326" i="2"/>
  <c r="AJ570" i="2" s="1"/>
  <c r="AI570" i="2"/>
  <c r="Z921" i="2"/>
  <c r="Y1722" i="2"/>
  <c r="IS558" i="5"/>
  <c r="AH770" i="2"/>
  <c r="L5" i="7"/>
  <c r="IV532" i="5"/>
  <c r="IU532" i="5" s="1"/>
  <c r="AI883" i="2"/>
  <c r="AI930" i="2" s="1"/>
  <c r="AI746" i="2"/>
  <c r="HR567" i="5"/>
  <c r="Z791" i="2"/>
  <c r="HR568" i="5" s="1"/>
  <c r="AL1596" i="2"/>
  <c r="HR503" i="5"/>
  <c r="HR635" i="5" s="1"/>
  <c r="Z881" i="2"/>
  <c r="Z795" i="2"/>
  <c r="AO1048" i="2"/>
  <c r="JK726" i="5"/>
  <c r="JJ726" i="5" s="1"/>
  <c r="JF831" i="5"/>
  <c r="JG831" i="5" s="1"/>
  <c r="AM1596" i="2"/>
  <c r="AN567" i="2"/>
  <c r="AN323" i="2"/>
  <c r="AN840" i="2" s="1"/>
  <c r="AN684" i="2"/>
  <c r="AN679" i="2" s="1"/>
  <c r="IP550" i="5"/>
  <c r="AG889" i="2"/>
  <c r="AG935" i="2" s="1"/>
  <c r="AI1577" i="2"/>
  <c r="AI1575" i="2" s="1"/>
  <c r="IQ474" i="5"/>
  <c r="IR474" i="5" s="1"/>
  <c r="IZ610" i="5"/>
  <c r="JA610" i="5" s="1"/>
  <c r="IT610" i="5"/>
  <c r="IU610" i="5" s="1"/>
  <c r="JL811" i="5"/>
  <c r="AN1444" i="2"/>
  <c r="AN1356" i="2"/>
  <c r="AN1443" i="2" s="1"/>
  <c r="AM524" i="2"/>
  <c r="AL1027" i="2"/>
  <c r="JB705" i="5"/>
  <c r="IZ705" i="5" s="1"/>
  <c r="AK523" i="2"/>
  <c r="AN1620" i="2"/>
  <c r="JJ857" i="5"/>
  <c r="JJ856" i="5" s="1"/>
  <c r="AK511" i="2"/>
  <c r="JB702" i="5"/>
  <c r="IZ702" i="5" s="1"/>
  <c r="IT537" i="5"/>
  <c r="IT536" i="5" s="1"/>
  <c r="AI886" i="2"/>
  <c r="AI933" i="2" s="1"/>
  <c r="IV536" i="5"/>
  <c r="IY537" i="5"/>
  <c r="AJ753" i="2"/>
  <c r="AK754" i="2"/>
  <c r="JB691" i="5"/>
  <c r="IZ691" i="5" s="1"/>
  <c r="AK487" i="2"/>
  <c r="AN1017" i="2"/>
  <c r="AO447" i="2"/>
  <c r="JD695" i="5"/>
  <c r="AM488" i="2"/>
  <c r="AL1013" i="2"/>
  <c r="AM446" i="2"/>
  <c r="JH695" i="5"/>
  <c r="JF695" i="5" s="1"/>
  <c r="JB706" i="5"/>
  <c r="IZ706" i="5" s="1"/>
  <c r="AK1295" i="2"/>
  <c r="AK1382" i="2" s="1"/>
  <c r="AK527" i="2"/>
  <c r="AM528" i="2"/>
  <c r="AN528" i="2" s="1"/>
  <c r="AO528" i="2" s="1"/>
  <c r="AP528" i="2" s="1"/>
  <c r="AL1028" i="2"/>
  <c r="AK479" i="2"/>
  <c r="JB689" i="5"/>
  <c r="IZ689" i="5" s="1"/>
  <c r="AM1621" i="2"/>
  <c r="AM1619" i="2" s="1"/>
  <c r="JI857" i="5"/>
  <c r="AM480" i="2"/>
  <c r="AL1011" i="2"/>
  <c r="AA539" i="2"/>
  <c r="Z1063" i="2"/>
  <c r="AJ737" i="2"/>
  <c r="IV522" i="5"/>
  <c r="AN694" i="2"/>
  <c r="AO340" i="2"/>
  <c r="AO694" i="2" s="1"/>
  <c r="IQ638" i="5"/>
  <c r="IR536" i="5"/>
  <c r="IR638" i="5" s="1"/>
  <c r="IY732" i="5"/>
  <c r="IX732" i="5" s="1"/>
  <c r="IQ475" i="5"/>
  <c r="IR475" i="5" s="1"/>
  <c r="IM470" i="5"/>
  <c r="AF674" i="2"/>
  <c r="AF298" i="2"/>
  <c r="IW958" i="5"/>
  <c r="JB739" i="5"/>
  <c r="AK535" i="2"/>
  <c r="JB684" i="5"/>
  <c r="IZ684" i="5" s="1"/>
  <c r="AK467" i="2"/>
  <c r="JN857" i="5"/>
  <c r="AO1357" i="2"/>
  <c r="AO1173" i="2"/>
  <c r="AL1061" i="2"/>
  <c r="AM536" i="2"/>
  <c r="IQ510" i="5"/>
  <c r="IV510" i="5"/>
  <c r="AJ721" i="2"/>
  <c r="IJ468" i="5"/>
  <c r="AE347" i="2"/>
  <c r="AE673" i="2"/>
  <c r="AE874" i="2"/>
  <c r="AJ1794" i="2"/>
  <c r="IY737" i="5"/>
  <c r="IX737" i="5" s="1"/>
  <c r="AJ1310" i="2"/>
  <c r="AJ1397" i="2" s="1"/>
  <c r="S10" i="7"/>
  <c r="IH470" i="5"/>
  <c r="IT475" i="5"/>
  <c r="IU475" i="5" s="1"/>
  <c r="AG694" i="2"/>
  <c r="AG738" i="2" s="1"/>
  <c r="AH584" i="2"/>
  <c r="AH340" i="2"/>
  <c r="AO443" i="2"/>
  <c r="AN1000" i="2"/>
  <c r="AH376" i="2"/>
  <c r="AH636" i="2"/>
  <c r="AF358" i="2"/>
  <c r="IL471" i="5"/>
  <c r="T11" i="7"/>
  <c r="AK515" i="2"/>
  <c r="JB703" i="5"/>
  <c r="IZ703" i="5" s="1"/>
  <c r="JL859" i="5"/>
  <c r="BA71" i="19" s="1"/>
  <c r="BB71" i="19" s="1"/>
  <c r="JM859" i="5"/>
  <c r="AL1025" i="2"/>
  <c r="AM516" i="2"/>
  <c r="JB696" i="5"/>
  <c r="IZ696" i="5" s="1"/>
  <c r="AK499" i="2"/>
  <c r="AL1026" i="2"/>
  <c r="AM520" i="2"/>
  <c r="JD678" i="5"/>
  <c r="AK471" i="2"/>
  <c r="JB685" i="5"/>
  <c r="IZ685" i="5" s="1"/>
  <c r="AH677" i="2"/>
  <c r="AI301" i="2"/>
  <c r="AI677" i="2" s="1"/>
  <c r="AM500" i="2"/>
  <c r="AL1018" i="2"/>
  <c r="JB704" i="5"/>
  <c r="IZ704" i="5" s="1"/>
  <c r="AK519" i="2"/>
  <c r="AM472" i="2"/>
  <c r="AL1007" i="2"/>
  <c r="AG423" i="2"/>
  <c r="IP471" i="5"/>
  <c r="AG676" i="2"/>
  <c r="AL1024" i="2"/>
  <c r="AM512" i="2"/>
  <c r="IQ631" i="5"/>
  <c r="IR491" i="5"/>
  <c r="IR631" i="5" s="1"/>
  <c r="AJ1775" i="2"/>
  <c r="IY920" i="5"/>
  <c r="IX920" i="5" s="1"/>
  <c r="AJ1362" i="2"/>
  <c r="EU941" i="5" l="1"/>
  <c r="EU998" i="5" s="1"/>
  <c r="EK941" i="5"/>
  <c r="EK998" i="5" s="1"/>
  <c r="IG815" i="5"/>
  <c r="IG984" i="5" s="1"/>
  <c r="IS843" i="5"/>
  <c r="DA990" i="5"/>
  <c r="FC941" i="5"/>
  <c r="FC998" i="5" s="1"/>
  <c r="CB650" i="5"/>
  <c r="IG975" i="5"/>
  <c r="BI654" i="5"/>
  <c r="BI1154" i="5"/>
  <c r="BI1157" i="5" s="1"/>
  <c r="JC672" i="5"/>
  <c r="JD672" i="5" s="1"/>
  <c r="AA1158" i="2"/>
  <c r="AA1168" i="2" s="1"/>
  <c r="AA1440" i="2" s="1"/>
  <c r="IZ678" i="5"/>
  <c r="JA678" i="5" s="1"/>
  <c r="AL1015" i="2"/>
  <c r="AL495" i="2" s="1"/>
  <c r="AM430" i="2"/>
  <c r="IY682" i="5"/>
  <c r="IX682" i="5" s="1"/>
  <c r="JB693" i="5"/>
  <c r="AI1529" i="2"/>
  <c r="JB672" i="5"/>
  <c r="JH678" i="5"/>
  <c r="JF678" i="5" s="1"/>
  <c r="JG678" i="5" s="1"/>
  <c r="AK462" i="2"/>
  <c r="IY680" i="5"/>
  <c r="IX680" i="5" s="1"/>
  <c r="HP850" i="5"/>
  <c r="ES990" i="5"/>
  <c r="EW990" i="5"/>
  <c r="IE834" i="5"/>
  <c r="IE839" i="5" s="1"/>
  <c r="HP852" i="5"/>
  <c r="HP851" i="5"/>
  <c r="HX975" i="5"/>
  <c r="HV969" i="5"/>
  <c r="HV835" i="5"/>
  <c r="DP941" i="5"/>
  <c r="DP998" i="5" s="1"/>
  <c r="CO648" i="5"/>
  <c r="JM811" i="5"/>
  <c r="BA55" i="19"/>
  <c r="BB55" i="19" s="1"/>
  <c r="HP834" i="5"/>
  <c r="HP840" i="5" s="1"/>
  <c r="JI856" i="5"/>
  <c r="AS70" i="19"/>
  <c r="AT70" i="19" s="1"/>
  <c r="AV69" i="19"/>
  <c r="AX69" i="19" s="1"/>
  <c r="V95" i="19"/>
  <c r="BE72" i="19"/>
  <c r="BE29" i="19"/>
  <c r="BD98" i="19"/>
  <c r="BF98" i="19" s="1"/>
  <c r="AW95" i="19"/>
  <c r="AT95" i="19"/>
  <c r="AO95" i="19"/>
  <c r="AL95" i="19"/>
  <c r="Q95" i="19"/>
  <c r="N95" i="19"/>
  <c r="CO990" i="5"/>
  <c r="CI941" i="5"/>
  <c r="CI998" i="5" s="1"/>
  <c r="JH672" i="5"/>
  <c r="AT615" i="5"/>
  <c r="AD831" i="2"/>
  <c r="AD854" i="2" s="1"/>
  <c r="AT654" i="5"/>
  <c r="JD802" i="5"/>
  <c r="AC51" i="19"/>
  <c r="AD51" i="19" s="1"/>
  <c r="CS990" i="5"/>
  <c r="HS834" i="5"/>
  <c r="HS990" i="5" s="1"/>
  <c r="FR990" i="5"/>
  <c r="CV990" i="5"/>
  <c r="IG957" i="5"/>
  <c r="IG966" i="5" s="1"/>
  <c r="HY834" i="5"/>
  <c r="HY840" i="5" s="1"/>
  <c r="CP990" i="5"/>
  <c r="HX815" i="5"/>
  <c r="AA1131" i="2" s="1"/>
  <c r="IA655" i="5"/>
  <c r="HU947" i="5"/>
  <c r="HU951" i="5" s="1"/>
  <c r="HS579" i="5"/>
  <c r="HS648" i="5" s="1"/>
  <c r="IM816" i="5"/>
  <c r="AF1132" i="2" s="1"/>
  <c r="IQ835" i="5"/>
  <c r="Z964" i="2"/>
  <c r="HR957" i="5"/>
  <c r="HR966" i="5" s="1"/>
  <c r="FK990" i="5"/>
  <c r="HQ834" i="5"/>
  <c r="HQ838" i="5" s="1"/>
  <c r="ID815" i="5"/>
  <c r="ID984" i="5" s="1"/>
  <c r="DS990" i="5"/>
  <c r="DS941" i="5"/>
  <c r="DS998" i="5" s="1"/>
  <c r="IC834" i="5"/>
  <c r="IC838" i="5" s="1"/>
  <c r="IP947" i="5"/>
  <c r="IP951" i="5" s="1"/>
  <c r="Z988" i="2"/>
  <c r="Z1159" i="2" s="1"/>
  <c r="CU648" i="5"/>
  <c r="IG465" i="5"/>
  <c r="P5" i="7" s="1"/>
  <c r="IR990" i="5"/>
  <c r="HS643" i="5"/>
  <c r="IA1106" i="5"/>
  <c r="AL1531" i="2"/>
  <c r="I596" i="5"/>
  <c r="I1154" i="5" s="1"/>
  <c r="I1157" i="5" s="1"/>
  <c r="IR961" i="5"/>
  <c r="IJ946" i="5"/>
  <c r="IJ950" i="5" s="1"/>
  <c r="AG1855" i="2"/>
  <c r="AG1856" i="2" s="1"/>
  <c r="Y69" i="19"/>
  <c r="P62" i="19"/>
  <c r="R62" i="19" s="1"/>
  <c r="N62" i="19"/>
  <c r="AM496" i="2"/>
  <c r="IK851" i="5"/>
  <c r="AD1384" i="2"/>
  <c r="HR815" i="5"/>
  <c r="HR984" i="5" s="1"/>
  <c r="IK852" i="5"/>
  <c r="IM852" i="5" s="1"/>
  <c r="IR941" i="5"/>
  <c r="IR998" i="5" s="1"/>
  <c r="IF966" i="5"/>
  <c r="FM941" i="5"/>
  <c r="FM998" i="5" s="1"/>
  <c r="V38" i="19"/>
  <c r="X56" i="19"/>
  <c r="Z56" i="19" s="1"/>
  <c r="IL850" i="5"/>
  <c r="IM850" i="5" s="1"/>
  <c r="IL849" i="5"/>
  <c r="IK849" i="5"/>
  <c r="IQ941" i="5"/>
  <c r="IQ998" i="5" s="1"/>
  <c r="EV941" i="5"/>
  <c r="EV998" i="5" s="1"/>
  <c r="HU580" i="5"/>
  <c r="HU649" i="5" s="1"/>
  <c r="IS946" i="5"/>
  <c r="IS950" i="5" s="1"/>
  <c r="GK1141" i="5"/>
  <c r="GK1157" i="5" s="1"/>
  <c r="AK495" i="2"/>
  <c r="N596" i="5"/>
  <c r="N615" i="5" s="1"/>
  <c r="DK990" i="5"/>
  <c r="IJ816" i="5"/>
  <c r="IJ985" i="5" s="1"/>
  <c r="IL851" i="5"/>
  <c r="IF834" i="5"/>
  <c r="IS815" i="5"/>
  <c r="II835" i="5"/>
  <c r="EF990" i="5"/>
  <c r="IK853" i="5"/>
  <c r="IM853" i="5" s="1"/>
  <c r="Z1385" i="2"/>
  <c r="IL834" i="5"/>
  <c r="IL838" i="5" s="1"/>
  <c r="IK834" i="5"/>
  <c r="IK840" i="5" s="1"/>
  <c r="AG95" i="19"/>
  <c r="AD95" i="19"/>
  <c r="X43" i="19"/>
  <c r="Z43" i="19" s="1"/>
  <c r="AN431" i="2"/>
  <c r="AO431" i="2" s="1"/>
  <c r="AO994" i="2" s="1"/>
  <c r="AE1558" i="2"/>
  <c r="AK430" i="2"/>
  <c r="JA829" i="5"/>
  <c r="AO1072" i="2"/>
  <c r="AP1072" i="2" s="1"/>
  <c r="AP1071" i="2" s="1"/>
  <c r="AP1312" i="2" s="1"/>
  <c r="AP1399" i="2" s="1"/>
  <c r="JK728" i="5"/>
  <c r="JJ728" i="5" s="1"/>
  <c r="AO1050" i="2"/>
  <c r="AP1050" i="2" s="1"/>
  <c r="AO1550" i="2" s="1"/>
  <c r="JK750" i="5"/>
  <c r="JI750" i="5" s="1"/>
  <c r="JJ750" i="5" s="1"/>
  <c r="BC42" i="19"/>
  <c r="AU42" i="19"/>
  <c r="F84" i="19"/>
  <c r="AJ993" i="2"/>
  <c r="AJ1311" i="2"/>
  <c r="AJ1398" i="2" s="1"/>
  <c r="AL1005" i="2"/>
  <c r="AK427" i="2"/>
  <c r="AG1779" i="2"/>
  <c r="AK1531" i="2"/>
  <c r="AI1384" i="2"/>
  <c r="AJ1531" i="2"/>
  <c r="AE1297" i="2"/>
  <c r="AE1384" i="2" s="1"/>
  <c r="AG1375" i="2"/>
  <c r="D83" i="19"/>
  <c r="F83" i="19" s="1"/>
  <c r="AN1306" i="2"/>
  <c r="AN1393" i="2" s="1"/>
  <c r="AC1288" i="2"/>
  <c r="AC1375" i="2" s="1"/>
  <c r="AM1612" i="2"/>
  <c r="AM1611" i="2" s="1"/>
  <c r="AM463" i="2"/>
  <c r="Q62" i="19"/>
  <c r="AJ545" i="2"/>
  <c r="AJ1058" i="2"/>
  <c r="AW69" i="19"/>
  <c r="O22" i="19"/>
  <c r="W49" i="19"/>
  <c r="AJ1795" i="2"/>
  <c r="BC69" i="19"/>
  <c r="AK1577" i="2"/>
  <c r="AC69" i="19"/>
  <c r="AD69" i="19" s="1"/>
  <c r="U41" i="19"/>
  <c r="V41" i="19" s="1"/>
  <c r="U56" i="19"/>
  <c r="V56" i="19" s="1"/>
  <c r="U27" i="19"/>
  <c r="V27" i="19" s="1"/>
  <c r="AM1576" i="2"/>
  <c r="AM1575" i="2" s="1"/>
  <c r="U69" i="19"/>
  <c r="V69" i="19" s="1"/>
  <c r="AK69" i="19"/>
  <c r="AL69" i="19" s="1"/>
  <c r="AL546" i="2"/>
  <c r="AB1557" i="2"/>
  <c r="AD1557" i="2"/>
  <c r="AK1069" i="2"/>
  <c r="IY747" i="5"/>
  <c r="IX747" i="5" s="1"/>
  <c r="Y1330" i="2"/>
  <c r="Y1417" i="2" s="1"/>
  <c r="AK1002" i="2"/>
  <c r="E24" i="19"/>
  <c r="G24" i="19" s="1"/>
  <c r="JB683" i="5"/>
  <c r="AJ996" i="2"/>
  <c r="AL455" i="2"/>
  <c r="F60" i="19"/>
  <c r="BD72" i="19"/>
  <c r="BF72" i="19" s="1"/>
  <c r="AJ458" i="2"/>
  <c r="AJ454" i="2"/>
  <c r="Y95" i="19"/>
  <c r="AG1329" i="2"/>
  <c r="AG1416" i="2" s="1"/>
  <c r="AA1421" i="2"/>
  <c r="AD1330" i="2"/>
  <c r="AD1417" i="2" s="1"/>
  <c r="AM442" i="2"/>
  <c r="AG1424" i="2"/>
  <c r="AK1004" i="2"/>
  <c r="Z1330" i="2"/>
  <c r="Z1417" i="2" s="1"/>
  <c r="AG1328" i="2"/>
  <c r="AG1415" i="2" s="1"/>
  <c r="AH1288" i="2"/>
  <c r="AH1328" i="2" s="1"/>
  <c r="P95" i="19"/>
  <c r="R95" i="19" s="1"/>
  <c r="AM1145" i="2"/>
  <c r="AK1548" i="2"/>
  <c r="AL1324" i="2"/>
  <c r="AL1411" i="2" s="1"/>
  <c r="AM1061" i="2"/>
  <c r="E10" i="19"/>
  <c r="G10" i="19" s="1"/>
  <c r="F10" i="19"/>
  <c r="AF95" i="19"/>
  <c r="AH95" i="19" s="1"/>
  <c r="AV95" i="19"/>
  <c r="AX95" i="19" s="1"/>
  <c r="AB1330" i="2"/>
  <c r="AB1417" i="2" s="1"/>
  <c r="AA1362" i="2"/>
  <c r="AA1449" i="2" s="1"/>
  <c r="AA1558" i="2"/>
  <c r="W62" i="19"/>
  <c r="AF1549" i="2"/>
  <c r="Z1274" i="2"/>
  <c r="Z1282" i="2" s="1"/>
  <c r="AD1768" i="2"/>
  <c r="AD1772" i="2" s="1"/>
  <c r="AA1159" i="2"/>
  <c r="AA1557" i="2"/>
  <c r="AC1762" i="2"/>
  <c r="AC1779" i="2" s="1"/>
  <c r="AC1557" i="2"/>
  <c r="AQ541" i="2"/>
  <c r="X1559" i="2"/>
  <c r="AF1559" i="2"/>
  <c r="O50" i="19"/>
  <c r="AI1544" i="2"/>
  <c r="AK1545" i="2"/>
  <c r="W24" i="19"/>
  <c r="AE1330" i="2"/>
  <c r="AE1417" i="2" s="1"/>
  <c r="Y1274" i="2"/>
  <c r="Y1282" i="2" s="1"/>
  <c r="O60" i="19"/>
  <c r="AF1330" i="2"/>
  <c r="AF1417" i="2" s="1"/>
  <c r="AB1362" i="2"/>
  <c r="AB1449" i="2" s="1"/>
  <c r="AB1558" i="2"/>
  <c r="AB1559" i="2" s="1"/>
  <c r="AI1565" i="2"/>
  <c r="W1555" i="2"/>
  <c r="AL1537" i="2"/>
  <c r="AM25" i="19"/>
  <c r="Z1362" i="2"/>
  <c r="Z1449" i="2" s="1"/>
  <c r="Z1558" i="2"/>
  <c r="AB1274" i="2"/>
  <c r="AB1282" i="2" s="1"/>
  <c r="IF849" i="5"/>
  <c r="IF850" i="5"/>
  <c r="IM815" i="5"/>
  <c r="IM984" i="5" s="1"/>
  <c r="II960" i="5"/>
  <c r="II969" i="5" s="1"/>
  <c r="IM975" i="5"/>
  <c r="IM843" i="5"/>
  <c r="IM842" i="5"/>
  <c r="GI1156" i="5"/>
  <c r="GI1157" i="5"/>
  <c r="GL797" i="5"/>
  <c r="GL1144" i="5" s="1"/>
  <c r="GL1142" i="5" s="1"/>
  <c r="GL1150" i="5"/>
  <c r="GL1149" i="5" s="1"/>
  <c r="EJ990" i="5"/>
  <c r="GO1156" i="5"/>
  <c r="GO1157" i="5"/>
  <c r="CU990" i="5"/>
  <c r="GM1147" i="5"/>
  <c r="DB941" i="5"/>
  <c r="DB998" i="5" s="1"/>
  <c r="IG816" i="5"/>
  <c r="AD1132" i="2" s="1"/>
  <c r="CU941" i="5"/>
  <c r="CU998" i="5" s="1"/>
  <c r="AJ1814" i="2"/>
  <c r="AG741" i="2" s="1"/>
  <c r="IS892" i="5"/>
  <c r="AH1213" i="2" s="1"/>
  <c r="BD29" i="19"/>
  <c r="BF29" i="19" s="1"/>
  <c r="BE98" i="19"/>
  <c r="AU51" i="19"/>
  <c r="AE1348" i="2"/>
  <c r="AE1164" i="2"/>
  <c r="AO51" i="19"/>
  <c r="AN51" i="19"/>
  <c r="AP51" i="19" s="1"/>
  <c r="Q49" i="19"/>
  <c r="P49" i="19"/>
  <c r="R49" i="19" s="1"/>
  <c r="BD81" i="19"/>
  <c r="BF81" i="19" s="1"/>
  <c r="BE81" i="19"/>
  <c r="BD97" i="19"/>
  <c r="BF97" i="19" s="1"/>
  <c r="BE97" i="19"/>
  <c r="BD96" i="19"/>
  <c r="BF96" i="19" s="1"/>
  <c r="BE96" i="19"/>
  <c r="Y27" i="19"/>
  <c r="X27" i="19"/>
  <c r="Z27" i="19" s="1"/>
  <c r="Y37" i="19"/>
  <c r="X37" i="19"/>
  <c r="Z37" i="19" s="1"/>
  <c r="AM1111" i="2"/>
  <c r="JE829" i="5"/>
  <c r="AL1138" i="2"/>
  <c r="AG1774" i="2"/>
  <c r="IJ815" i="5"/>
  <c r="AE1131" i="2" s="1"/>
  <c r="IQ800" i="5"/>
  <c r="IS800" i="5" s="1"/>
  <c r="AH1116" i="2" s="1"/>
  <c r="DI579" i="5"/>
  <c r="DI648" i="5" s="1"/>
  <c r="DM990" i="5"/>
  <c r="AG1773" i="2"/>
  <c r="HV955" i="5"/>
  <c r="HV963" i="5" s="1"/>
  <c r="HU816" i="5"/>
  <c r="HU985" i="5" s="1"/>
  <c r="IU844" i="5"/>
  <c r="IE961" i="5"/>
  <c r="HR816" i="5"/>
  <c r="Y1132" i="2" s="1"/>
  <c r="HX957" i="5"/>
  <c r="HX955" i="5" s="1"/>
  <c r="HX963" i="5" s="1"/>
  <c r="AG1772" i="2"/>
  <c r="V596" i="5"/>
  <c r="V650" i="5"/>
  <c r="II853" i="5"/>
  <c r="II851" i="5"/>
  <c r="IT837" i="5"/>
  <c r="IV837" i="5" s="1"/>
  <c r="IE580" i="5"/>
  <c r="N110" i="7" s="1"/>
  <c r="HV572" i="5"/>
  <c r="AA964" i="2" s="1"/>
  <c r="IQ984" i="5"/>
  <c r="II849" i="5"/>
  <c r="IL835" i="5"/>
  <c r="II850" i="5"/>
  <c r="HS969" i="5"/>
  <c r="II852" i="5"/>
  <c r="HV626" i="5"/>
  <c r="IF835" i="5"/>
  <c r="AL650" i="5"/>
  <c r="AL596" i="5"/>
  <c r="DF941" i="5"/>
  <c r="DF998" i="5" s="1"/>
  <c r="DF990" i="5"/>
  <c r="IE835" i="5"/>
  <c r="DG582" i="5"/>
  <c r="DG596" i="5" s="1"/>
  <c r="HY969" i="5"/>
  <c r="AR650" i="5"/>
  <c r="AR596" i="5"/>
  <c r="HW849" i="5"/>
  <c r="IB961" i="5"/>
  <c r="IL960" i="5"/>
  <c r="IM960" i="5" s="1"/>
  <c r="ID975" i="5"/>
  <c r="HR946" i="5"/>
  <c r="HR950" i="5" s="1"/>
  <c r="IA960" i="5"/>
  <c r="IA969" i="5" s="1"/>
  <c r="IE573" i="5"/>
  <c r="N103" i="7" s="1"/>
  <c r="IA816" i="5"/>
  <c r="AB1132" i="2" s="1"/>
  <c r="IA815" i="5"/>
  <c r="AB1131" i="2" s="1"/>
  <c r="BD596" i="5"/>
  <c r="BD650" i="5"/>
  <c r="IF852" i="5"/>
  <c r="IM997" i="5"/>
  <c r="Y988" i="2"/>
  <c r="Y1158" i="2" s="1"/>
  <c r="Y1167" i="2" s="1"/>
  <c r="Y1439" i="2" s="1"/>
  <c r="ER941" i="5"/>
  <c r="ER998" i="5" s="1"/>
  <c r="ER990" i="5"/>
  <c r="O654" i="5"/>
  <c r="IU850" i="5"/>
  <c r="O615" i="5"/>
  <c r="IH834" i="5"/>
  <c r="IH839" i="5" s="1"/>
  <c r="IT838" i="5"/>
  <c r="HW850" i="5"/>
  <c r="CE579" i="5"/>
  <c r="CE648" i="5" s="1"/>
  <c r="HR947" i="5"/>
  <c r="HR951" i="5" s="1"/>
  <c r="HW851" i="5"/>
  <c r="HX946" i="5"/>
  <c r="HX950" i="5" s="1"/>
  <c r="IS947" i="5"/>
  <c r="IS951" i="5" s="1"/>
  <c r="IU852" i="5"/>
  <c r="ID947" i="5"/>
  <c r="ID951" i="5" s="1"/>
  <c r="IV834" i="5"/>
  <c r="IG650" i="5"/>
  <c r="IU845" i="5"/>
  <c r="HQ850" i="5"/>
  <c r="IV960" i="5"/>
  <c r="IV969" i="5" s="1"/>
  <c r="IU849" i="5"/>
  <c r="IT839" i="5"/>
  <c r="HQ851" i="5"/>
  <c r="ID816" i="5"/>
  <c r="ID985" i="5" s="1"/>
  <c r="IV843" i="5"/>
  <c r="IJ975" i="5"/>
  <c r="AL1116" i="2"/>
  <c r="IG946" i="5"/>
  <c r="IG950" i="5" s="1"/>
  <c r="IU835" i="5"/>
  <c r="IH852" i="5"/>
  <c r="FB990" i="5"/>
  <c r="AE1361" i="2"/>
  <c r="AE1448" i="2" s="1"/>
  <c r="H650" i="5"/>
  <c r="H596" i="5"/>
  <c r="JE795" i="5"/>
  <c r="JC795" i="5" s="1"/>
  <c r="IU839" i="5"/>
  <c r="IU840" i="5"/>
  <c r="IV840" i="5" s="1"/>
  <c r="IH853" i="5"/>
  <c r="IT835" i="5"/>
  <c r="BF615" i="5"/>
  <c r="BF1154" i="5"/>
  <c r="BF1157" i="5" s="1"/>
  <c r="BF654" i="5"/>
  <c r="IT961" i="5"/>
  <c r="IU853" i="5"/>
  <c r="IU838" i="5"/>
  <c r="AL606" i="2"/>
  <c r="AF988" i="2"/>
  <c r="AF1158" i="2" s="1"/>
  <c r="AF1166" i="2" s="1"/>
  <c r="HQ849" i="5"/>
  <c r="BG596" i="5"/>
  <c r="BG650" i="5"/>
  <c r="DM642" i="5"/>
  <c r="IB849" i="5"/>
  <c r="IB851" i="5"/>
  <c r="IB850" i="5"/>
  <c r="IG947" i="5"/>
  <c r="IG951" i="5" s="1"/>
  <c r="HQ835" i="5"/>
  <c r="IA946" i="5"/>
  <c r="IA950" i="5" s="1"/>
  <c r="HZ852" i="5"/>
  <c r="IH835" i="5"/>
  <c r="HZ849" i="5"/>
  <c r="AX596" i="5"/>
  <c r="AX650" i="5"/>
  <c r="HZ850" i="5"/>
  <c r="IU941" i="5"/>
  <c r="IA947" i="5"/>
  <c r="IA951" i="5" s="1"/>
  <c r="IC953" i="5"/>
  <c r="IC962" i="5"/>
  <c r="IT845" i="5"/>
  <c r="AI1158" i="2"/>
  <c r="AE43" i="19"/>
  <c r="JN734" i="5"/>
  <c r="JL734" i="5" s="1"/>
  <c r="JM734" i="5" s="1"/>
  <c r="AP1056" i="2"/>
  <c r="AQ1056" i="2" s="1"/>
  <c r="AR1056" i="2" s="1"/>
  <c r="AS1056" i="2" s="1"/>
  <c r="AT1056" i="2" s="1"/>
  <c r="AO1014" i="2"/>
  <c r="AP492" i="2"/>
  <c r="AQ1313" i="2"/>
  <c r="AQ1400" i="2" s="1"/>
  <c r="AR1075" i="2"/>
  <c r="JN831" i="5"/>
  <c r="JL831" i="5" s="1"/>
  <c r="JM831" i="5" s="1"/>
  <c r="AP1147" i="2"/>
  <c r="AQ1147" i="2" s="1"/>
  <c r="AR1147" i="2" s="1"/>
  <c r="AS1147" i="2" s="1"/>
  <c r="AT1147" i="2" s="1"/>
  <c r="AQ528" i="2"/>
  <c r="AP1028" i="2"/>
  <c r="AB1288" i="2"/>
  <c r="AB1375" i="2" s="1"/>
  <c r="JN895" i="5"/>
  <c r="AP1216" i="2"/>
  <c r="AQ1216" i="2" s="1"/>
  <c r="AR1216" i="2" s="1"/>
  <c r="AS1216" i="2" s="1"/>
  <c r="AT1216" i="2" s="1"/>
  <c r="AS1067" i="2"/>
  <c r="AR1065" i="2"/>
  <c r="AQ1535" i="2" s="1"/>
  <c r="AO1000" i="2"/>
  <c r="AP443" i="2"/>
  <c r="AO1017" i="2"/>
  <c r="AP447" i="2"/>
  <c r="JN726" i="5"/>
  <c r="JM726" i="5" s="1"/>
  <c r="AP1048" i="2"/>
  <c r="AQ1048" i="2" s="1"/>
  <c r="AR1048" i="2" s="1"/>
  <c r="AS1048" i="2" s="1"/>
  <c r="AT1048" i="2" s="1"/>
  <c r="AE288" i="2"/>
  <c r="AI1150" i="2"/>
  <c r="AI1153" i="2" s="1"/>
  <c r="AI1340" i="2" s="1"/>
  <c r="AI1427" i="2" s="1"/>
  <c r="AM31" i="19"/>
  <c r="AN95" i="19"/>
  <c r="AP95" i="19" s="1"/>
  <c r="BD70" i="19"/>
  <c r="BF70" i="19" s="1"/>
  <c r="BE70" i="19"/>
  <c r="IH969" i="5"/>
  <c r="HU957" i="5"/>
  <c r="HU955" i="5" s="1"/>
  <c r="HU963" i="5" s="1"/>
  <c r="IA975" i="5"/>
  <c r="IT849" i="5"/>
  <c r="IT852" i="5"/>
  <c r="IT851" i="5"/>
  <c r="IV851" i="5" s="1"/>
  <c r="IG638" i="5"/>
  <c r="HU815" i="5"/>
  <c r="HU984" i="5" s="1"/>
  <c r="IH850" i="5"/>
  <c r="IH851" i="5"/>
  <c r="IT844" i="5"/>
  <c r="JN792" i="5"/>
  <c r="JL792" i="5" s="1"/>
  <c r="IT853" i="5"/>
  <c r="IS948" i="5" s="1"/>
  <c r="IS952" i="5" s="1"/>
  <c r="IE572" i="5"/>
  <c r="N102" i="7" s="1"/>
  <c r="IV842" i="5"/>
  <c r="N5" i="7"/>
  <c r="HT835" i="5"/>
  <c r="HT991" i="5" s="1"/>
  <c r="BP615" i="5"/>
  <c r="BP1154" i="5"/>
  <c r="BP1157" i="5" s="1"/>
  <c r="BP654" i="5"/>
  <c r="JK792" i="5"/>
  <c r="JI792" i="5" s="1"/>
  <c r="HX947" i="5"/>
  <c r="HX951" i="5" s="1"/>
  <c r="IG569" i="5"/>
  <c r="P99" i="7" s="1"/>
  <c r="IT850" i="5"/>
  <c r="JN856" i="5"/>
  <c r="AK1827" i="2"/>
  <c r="AK1117" i="2"/>
  <c r="AM468" i="2"/>
  <c r="AM1006" i="2" s="1"/>
  <c r="AK1612" i="2"/>
  <c r="AJ1580" i="2"/>
  <c r="AJ1579" i="2" s="1"/>
  <c r="AJ1612" i="2"/>
  <c r="AJ1611" i="2" s="1"/>
  <c r="AK1580" i="2"/>
  <c r="JG792" i="5"/>
  <c r="AK42" i="19"/>
  <c r="AL42" i="19" s="1"/>
  <c r="JD791" i="5"/>
  <c r="AC41" i="19"/>
  <c r="AD41" i="19" s="1"/>
  <c r="AL1577" i="2"/>
  <c r="AL1575" i="2" s="1"/>
  <c r="AC88" i="19"/>
  <c r="AD88" i="19" s="1"/>
  <c r="AK1613" i="2"/>
  <c r="AK1581" i="2"/>
  <c r="AM1580" i="2"/>
  <c r="AM1579" i="2" s="1"/>
  <c r="JD906" i="5"/>
  <c r="JD749" i="5"/>
  <c r="AC23" i="19"/>
  <c r="AD23" i="19" s="1"/>
  <c r="IA995" i="5"/>
  <c r="CK941" i="5"/>
  <c r="CK998" i="5" s="1"/>
  <c r="CK990" i="5"/>
  <c r="CQ582" i="5"/>
  <c r="CQ596" i="5" s="1"/>
  <c r="Z1444" i="2"/>
  <c r="Z1356" i="2"/>
  <c r="Z1443" i="2" s="1"/>
  <c r="FL1156" i="5"/>
  <c r="FL1157" i="5"/>
  <c r="AA1132" i="2"/>
  <c r="AN1094" i="2"/>
  <c r="IB835" i="5"/>
  <c r="JH779" i="5"/>
  <c r="JF779" i="5" s="1"/>
  <c r="JG779" i="5" s="1"/>
  <c r="BT596" i="5"/>
  <c r="BT650" i="5"/>
  <c r="DH582" i="5"/>
  <c r="DH648" i="5"/>
  <c r="AM1320" i="2"/>
  <c r="AM1407" i="2" s="1"/>
  <c r="P68" i="7"/>
  <c r="Y56" i="19"/>
  <c r="JH802" i="5"/>
  <c r="JF802" i="5" s="1"/>
  <c r="AK51" i="19" s="1"/>
  <c r="AL51" i="19" s="1"/>
  <c r="AM1543" i="2"/>
  <c r="AM1542" i="2"/>
  <c r="F91" i="19"/>
  <c r="E91" i="19"/>
  <c r="G91" i="19" s="1"/>
  <c r="AA1288" i="2"/>
  <c r="AA1328" i="2" s="1"/>
  <c r="JA791" i="5"/>
  <c r="D58" i="19"/>
  <c r="D65" i="19"/>
  <c r="F4" i="19"/>
  <c r="E4" i="19"/>
  <c r="G4" i="19" s="1"/>
  <c r="JA755" i="5"/>
  <c r="U25" i="19"/>
  <c r="V25" i="19" s="1"/>
  <c r="AM1129" i="2"/>
  <c r="AJ1052" i="2"/>
  <c r="JE813" i="5"/>
  <c r="JC813" i="5" s="1"/>
  <c r="AL1326" i="2"/>
  <c r="AL1413" i="2" s="1"/>
  <c r="AL620" i="2"/>
  <c r="AE56" i="19"/>
  <c r="AL612" i="2"/>
  <c r="AL1837" i="2"/>
  <c r="JA856" i="5"/>
  <c r="Q24" i="19"/>
  <c r="X69" i="19"/>
  <c r="Z69" i="19" s="1"/>
  <c r="AI1855" i="2"/>
  <c r="AC1360" i="2"/>
  <c r="AC1447" i="2" s="1"/>
  <c r="IJ804" i="5"/>
  <c r="II957" i="5"/>
  <c r="AF650" i="5"/>
  <c r="AF596" i="5"/>
  <c r="AH596" i="5"/>
  <c r="AH650" i="5"/>
  <c r="CK643" i="5"/>
  <c r="CK580" i="5"/>
  <c r="CK649" i="5" s="1"/>
  <c r="H56" i="7"/>
  <c r="AK650" i="5"/>
  <c r="AK596" i="5"/>
  <c r="AE596" i="5"/>
  <c r="AE650" i="5"/>
  <c r="T1154" i="5"/>
  <c r="T1157" i="5" s="1"/>
  <c r="T654" i="5"/>
  <c r="T615" i="5"/>
  <c r="IY679" i="5"/>
  <c r="IX679" i="5" s="1"/>
  <c r="AJ450" i="2"/>
  <c r="BB596" i="5"/>
  <c r="BB650" i="5"/>
  <c r="AL451" i="2"/>
  <c r="AK1001" i="2"/>
  <c r="IF962" i="5"/>
  <c r="R650" i="5"/>
  <c r="R596" i="5"/>
  <c r="AV654" i="5"/>
  <c r="AV615" i="5"/>
  <c r="AV1154" i="5"/>
  <c r="AV1157" i="5" s="1"/>
  <c r="HZ573" i="5"/>
  <c r="I103" i="7" s="1"/>
  <c r="K103" i="7" s="1"/>
  <c r="HP835" i="5"/>
  <c r="BA596" i="5"/>
  <c r="BA650" i="5"/>
  <c r="HW835" i="5"/>
  <c r="IF572" i="5"/>
  <c r="O102" i="7" s="1"/>
  <c r="KO650" i="5"/>
  <c r="KO596" i="5"/>
  <c r="Y1449" i="2"/>
  <c r="Y1360" i="2"/>
  <c r="Y1447" i="2" s="1"/>
  <c r="BR654" i="5"/>
  <c r="BR1154" i="5"/>
  <c r="BR1157" i="5" s="1"/>
  <c r="BR615" i="5"/>
  <c r="IY686" i="5"/>
  <c r="IX686" i="5" s="1"/>
  <c r="AJ475" i="2"/>
  <c r="BS650" i="5"/>
  <c r="BS596" i="5"/>
  <c r="Y1288" i="2"/>
  <c r="Y1329" i="2" s="1"/>
  <c r="BE1154" i="5"/>
  <c r="BE1157" i="5" s="1"/>
  <c r="BE615" i="5"/>
  <c r="BE654" i="5"/>
  <c r="AK1008" i="2"/>
  <c r="AL476" i="2"/>
  <c r="EC990" i="5"/>
  <c r="EC941" i="5"/>
  <c r="EC998" i="5" s="1"/>
  <c r="AD807" i="2"/>
  <c r="AD903" i="2" s="1"/>
  <c r="AD908" i="2"/>
  <c r="DJ648" i="5"/>
  <c r="DJ582" i="5"/>
  <c r="IM995" i="5"/>
  <c r="AP615" i="5"/>
  <c r="AP654" i="5"/>
  <c r="AP1154" i="5"/>
  <c r="AP1157" i="5" s="1"/>
  <c r="M650" i="5"/>
  <c r="M596" i="5"/>
  <c r="AL999" i="2"/>
  <c r="AM439" i="2"/>
  <c r="HR961" i="5"/>
  <c r="JB677" i="5"/>
  <c r="AK438" i="2"/>
  <c r="AI1328" i="2"/>
  <c r="AI1415" i="2" s="1"/>
  <c r="IG567" i="5"/>
  <c r="P97" i="7" s="1"/>
  <c r="HY835" i="5"/>
  <c r="DU941" i="5"/>
  <c r="DU998" i="5" s="1"/>
  <c r="DU990" i="5"/>
  <c r="IG568" i="5"/>
  <c r="P98" i="7" s="1"/>
  <c r="BU1154" i="5"/>
  <c r="BU1157" i="5" s="1"/>
  <c r="BU654" i="5"/>
  <c r="BU615" i="5"/>
  <c r="CG580" i="5"/>
  <c r="CG649" i="5" s="1"/>
  <c r="CG643" i="5"/>
  <c r="IB834" i="5"/>
  <c r="IB840" i="5" s="1"/>
  <c r="P1154" i="5"/>
  <c r="P1157" i="5" s="1"/>
  <c r="P654" i="5"/>
  <c r="P615" i="5"/>
  <c r="AH1796" i="2"/>
  <c r="BQ596" i="5"/>
  <c r="BQ650" i="5"/>
  <c r="CG579" i="5"/>
  <c r="CG642" i="5"/>
  <c r="BN650" i="5"/>
  <c r="BN596" i="5"/>
  <c r="CP648" i="5"/>
  <c r="CP582" i="5"/>
  <c r="W1154" i="5"/>
  <c r="W1157" i="5" s="1"/>
  <c r="W654" i="5"/>
  <c r="W615" i="5"/>
  <c r="ID955" i="5"/>
  <c r="ID963" i="5" s="1"/>
  <c r="CD650" i="5"/>
  <c r="CD596" i="5"/>
  <c r="AF1269" i="2"/>
  <c r="AF1266" i="2" s="1"/>
  <c r="AF1630" i="2"/>
  <c r="AF1634" i="2"/>
  <c r="CS648" i="5"/>
  <c r="CS582" i="5"/>
  <c r="BC650" i="5"/>
  <c r="BC596" i="5"/>
  <c r="CI643" i="5"/>
  <c r="CI580" i="5"/>
  <c r="CI649" i="5" s="1"/>
  <c r="AF1362" i="2"/>
  <c r="AF1775" i="2"/>
  <c r="BZ650" i="5"/>
  <c r="BZ596" i="5"/>
  <c r="DL582" i="5"/>
  <c r="DL648" i="5"/>
  <c r="L650" i="5"/>
  <c r="L596" i="5"/>
  <c r="IC835" i="5"/>
  <c r="AE1213" i="2"/>
  <c r="IJ995" i="5"/>
  <c r="AF1768" i="2"/>
  <c r="AF1773" i="2" s="1"/>
  <c r="AF1847" i="2"/>
  <c r="AF1846" i="2" s="1"/>
  <c r="AF1854" i="2" s="1"/>
  <c r="AF1272" i="2"/>
  <c r="AF1280" i="2" s="1"/>
  <c r="AF1274" i="2"/>
  <c r="AF1282" i="2" s="1"/>
  <c r="D112" i="7"/>
  <c r="HV650" i="5"/>
  <c r="DS642" i="5"/>
  <c r="DS579" i="5"/>
  <c r="CE998" i="5"/>
  <c r="BX596" i="5"/>
  <c r="BX650" i="5"/>
  <c r="AC654" i="5"/>
  <c r="AC615" i="5"/>
  <c r="AC1154" i="5"/>
  <c r="AC1157" i="5" s="1"/>
  <c r="BO615" i="5"/>
  <c r="BO654" i="5"/>
  <c r="BO1154" i="5"/>
  <c r="BO1157" i="5" s="1"/>
  <c r="AA948" i="2"/>
  <c r="AA1736" i="2"/>
  <c r="IK835" i="5"/>
  <c r="IG997" i="5"/>
  <c r="AD1239" i="2"/>
  <c r="AE1775" i="2"/>
  <c r="AE1362" i="2"/>
  <c r="CZ650" i="5"/>
  <c r="CZ596" i="5"/>
  <c r="Z1448" i="2"/>
  <c r="CM642" i="5"/>
  <c r="CM579" i="5"/>
  <c r="CN648" i="5"/>
  <c r="CN582" i="5"/>
  <c r="F1154" i="5"/>
  <c r="F1157" i="5" s="1"/>
  <c r="F654" i="5"/>
  <c r="F615" i="5"/>
  <c r="DC582" i="5"/>
  <c r="DC648" i="5"/>
  <c r="AG1732" i="2"/>
  <c r="AF1288" i="2"/>
  <c r="AF1375" i="2" s="1"/>
  <c r="DM648" i="5"/>
  <c r="DM582" i="5"/>
  <c r="FL990" i="5"/>
  <c r="FL941" i="5"/>
  <c r="FL998" i="5" s="1"/>
  <c r="AM615" i="5"/>
  <c r="AM1154" i="5"/>
  <c r="AM1157" i="5" s="1"/>
  <c r="AM654" i="5"/>
  <c r="AJ1154" i="5"/>
  <c r="AJ1157" i="5" s="1"/>
  <c r="AJ615" i="5"/>
  <c r="AJ654" i="5"/>
  <c r="AA1727" i="2"/>
  <c r="AA926" i="2"/>
  <c r="KP615" i="5"/>
  <c r="KP654" i="5"/>
  <c r="DN941" i="5"/>
  <c r="DN998" i="5" s="1"/>
  <c r="DN990" i="5"/>
  <c r="AD1490" i="2"/>
  <c r="KM650" i="5"/>
  <c r="KM596" i="5"/>
  <c r="CI642" i="5"/>
  <c r="CI579" i="5"/>
  <c r="CF941" i="5"/>
  <c r="CF998" i="5" s="1"/>
  <c r="CF990" i="5"/>
  <c r="HW834" i="5"/>
  <c r="HW839" i="5" s="1"/>
  <c r="DP643" i="5"/>
  <c r="DP580" i="5"/>
  <c r="DP649" i="5" s="1"/>
  <c r="DB615" i="5"/>
  <c r="DB1154" i="5"/>
  <c r="DB1157" i="5" s="1"/>
  <c r="DB654" i="5"/>
  <c r="AS596" i="5"/>
  <c r="AS650" i="5"/>
  <c r="AY650" i="5"/>
  <c r="AY596" i="5"/>
  <c r="AA1154" i="5"/>
  <c r="AA1157" i="5" s="1"/>
  <c r="AA615" i="5"/>
  <c r="AA654" i="5"/>
  <c r="AD339" i="2"/>
  <c r="AE338" i="2"/>
  <c r="AD583" i="2"/>
  <c r="EH941" i="5"/>
  <c r="EH998" i="5" s="1"/>
  <c r="EH990" i="5"/>
  <c r="KN596" i="5"/>
  <c r="KN650" i="5"/>
  <c r="CM643" i="5"/>
  <c r="CM580" i="5"/>
  <c r="CM649" i="5" s="1"/>
  <c r="E615" i="5"/>
  <c r="E654" i="5"/>
  <c r="E1154" i="5"/>
  <c r="E1157" i="5" s="1"/>
  <c r="DR990" i="5"/>
  <c r="DR941" i="5"/>
  <c r="DR998" i="5" s="1"/>
  <c r="CW582" i="5"/>
  <c r="CW648" i="5"/>
  <c r="HX1106" i="5"/>
  <c r="HX654" i="5"/>
  <c r="AA967" i="2"/>
  <c r="AA1743" i="2"/>
  <c r="AA1752" i="2" s="1"/>
  <c r="AA957" i="2"/>
  <c r="CH648" i="5"/>
  <c r="CH582" i="5"/>
  <c r="AA652" i="2"/>
  <c r="AA387" i="2"/>
  <c r="AB386" i="2"/>
  <c r="AB651" i="2"/>
  <c r="H112" i="7"/>
  <c r="BK650" i="5"/>
  <c r="BK596" i="5"/>
  <c r="AD1274" i="2"/>
  <c r="AD1282" i="2" s="1"/>
  <c r="DX990" i="5"/>
  <c r="DX941" i="5"/>
  <c r="DX998" i="5" s="1"/>
  <c r="HZ834" i="5"/>
  <c r="DD648" i="5"/>
  <c r="DD582" i="5"/>
  <c r="AI615" i="5"/>
  <c r="AI654" i="5"/>
  <c r="AI1154" i="5"/>
  <c r="AI1157" i="5" s="1"/>
  <c r="AA925" i="2"/>
  <c r="HV839" i="5"/>
  <c r="BV1154" i="5"/>
  <c r="BV1157" i="5" s="1"/>
  <c r="BV615" i="5"/>
  <c r="BV654" i="5"/>
  <c r="BL615" i="5"/>
  <c r="BL1154" i="5"/>
  <c r="BL1157" i="5" s="1"/>
  <c r="BL654" i="5"/>
  <c r="BW1154" i="5"/>
  <c r="BW1157" i="5" s="1"/>
  <c r="BW615" i="5"/>
  <c r="BW654" i="5"/>
  <c r="HZ835" i="5"/>
  <c r="AG1736" i="2"/>
  <c r="AD948" i="2"/>
  <c r="AF1777" i="2"/>
  <c r="AF1361" i="2"/>
  <c r="AD1375" i="2"/>
  <c r="AD1329" i="2"/>
  <c r="AD1328" i="2"/>
  <c r="AL1273" i="2"/>
  <c r="AL1281" i="2" s="1"/>
  <c r="AL1322" i="2"/>
  <c r="AL1409" i="2" s="1"/>
  <c r="HV838" i="5"/>
  <c r="HX995" i="5"/>
  <c r="AA1213" i="2"/>
  <c r="CK648" i="5"/>
  <c r="CK582" i="5"/>
  <c r="AZ1154" i="5"/>
  <c r="AZ1157" i="5" s="1"/>
  <c r="AZ654" i="5"/>
  <c r="AZ615" i="5"/>
  <c r="IM966" i="5"/>
  <c r="IM955" i="5"/>
  <c r="IM963" i="5" s="1"/>
  <c r="Z1288" i="2"/>
  <c r="CX941" i="5"/>
  <c r="CX998" i="5" s="1"/>
  <c r="CX990" i="5"/>
  <c r="AU596" i="5"/>
  <c r="AU650" i="5"/>
  <c r="AD924" i="2"/>
  <c r="AG1725" i="2"/>
  <c r="AD1808" i="2"/>
  <c r="HT834" i="5"/>
  <c r="HV837" i="5"/>
  <c r="AD1158" i="2"/>
  <c r="AD1163" i="2" s="1"/>
  <c r="AD1348" i="2" s="1"/>
  <c r="CC650" i="5"/>
  <c r="CC596" i="5"/>
  <c r="Z1213" i="2"/>
  <c r="HU995" i="5"/>
  <c r="BY596" i="5"/>
  <c r="BY650" i="5"/>
  <c r="CF582" i="5"/>
  <c r="CF648" i="5"/>
  <c r="CY648" i="5"/>
  <c r="CY582" i="5"/>
  <c r="AD1213" i="2"/>
  <c r="IG995" i="5"/>
  <c r="IF953" i="5"/>
  <c r="FB1156" i="5"/>
  <c r="FB1157" i="5"/>
  <c r="AE1799" i="2"/>
  <c r="AE1808" i="2" s="1"/>
  <c r="AE1855" i="2" s="1"/>
  <c r="AE1856" i="2" s="1"/>
  <c r="AE1762" i="2"/>
  <c r="K650" i="5"/>
  <c r="K596" i="5"/>
  <c r="CL582" i="5"/>
  <c r="CL648" i="5"/>
  <c r="U1154" i="5"/>
  <c r="U1157" i="5" s="1"/>
  <c r="U654" i="5"/>
  <c r="U615" i="5"/>
  <c r="DN579" i="5"/>
  <c r="DN642" i="5"/>
  <c r="IK969" i="5"/>
  <c r="IK961" i="5"/>
  <c r="AI1777" i="2"/>
  <c r="AI1779" i="2" s="1"/>
  <c r="AI1361" i="2"/>
  <c r="HW1116" i="5"/>
  <c r="HY1118" i="5" s="1"/>
  <c r="HX1110" i="5"/>
  <c r="HX1116" i="5" s="1"/>
  <c r="EG998" i="5"/>
  <c r="HV635" i="5"/>
  <c r="D39" i="7"/>
  <c r="E39" i="7" s="1"/>
  <c r="HV573" i="5"/>
  <c r="ES615" i="5"/>
  <c r="IF615" i="5" s="1"/>
  <c r="O142" i="7" s="1"/>
  <c r="IF579" i="5"/>
  <c r="O109" i="7" s="1"/>
  <c r="AA300" i="2"/>
  <c r="AB300" i="2"/>
  <c r="AG1351" i="2"/>
  <c r="AG1438" i="2"/>
  <c r="HX503" i="5"/>
  <c r="HX635" i="5" s="1"/>
  <c r="DI998" i="5"/>
  <c r="IT941" i="5"/>
  <c r="IV892" i="5"/>
  <c r="AI1213" i="2" s="1"/>
  <c r="AA1513" i="2"/>
  <c r="AA1510" i="2" s="1"/>
  <c r="AA1521" i="2" s="1"/>
  <c r="AA634" i="2"/>
  <c r="AA375" i="2"/>
  <c r="AA753" i="2"/>
  <c r="AH1779" i="2"/>
  <c r="C103" i="7"/>
  <c r="HT580" i="5"/>
  <c r="HT643" i="5"/>
  <c r="DE580" i="5"/>
  <c r="DE649" i="5" s="1"/>
  <c r="DE643" i="5"/>
  <c r="AQ615" i="5"/>
  <c r="AQ654" i="5"/>
  <c r="AQ1154" i="5"/>
  <c r="AQ1157" i="5" s="1"/>
  <c r="CT648" i="5"/>
  <c r="CT582" i="5"/>
  <c r="AG1352" i="2"/>
  <c r="AG1439" i="2"/>
  <c r="CW998" i="5"/>
  <c r="IE579" i="5"/>
  <c r="EM615" i="5"/>
  <c r="IE615" i="5" s="1"/>
  <c r="CX650" i="5"/>
  <c r="CX596" i="5"/>
  <c r="HY626" i="5"/>
  <c r="HY572" i="5"/>
  <c r="G5" i="7"/>
  <c r="HU642" i="5"/>
  <c r="HU579" i="5"/>
  <c r="AG1354" i="2"/>
  <c r="AG1441" i="2"/>
  <c r="HZ572" i="5"/>
  <c r="I5" i="7"/>
  <c r="K5" i="7" s="1"/>
  <c r="AG1348" i="2"/>
  <c r="AG1435" i="2"/>
  <c r="IS835" i="5"/>
  <c r="HY643" i="5"/>
  <c r="HY580" i="5"/>
  <c r="G103" i="7"/>
  <c r="IA503" i="5"/>
  <c r="IA635" i="5" s="1"/>
  <c r="AA1279" i="2"/>
  <c r="AI1773" i="2"/>
  <c r="AI1772" i="2"/>
  <c r="AI1774" i="2"/>
  <c r="AG1442" i="2"/>
  <c r="AG1355" i="2"/>
  <c r="AC1167" i="2"/>
  <c r="AC1435" i="2"/>
  <c r="AC1345" i="2"/>
  <c r="AC1432" i="2" s="1"/>
  <c r="AC1168" i="2"/>
  <c r="AC1159" i="2"/>
  <c r="AC1169" i="2"/>
  <c r="AC1166" i="2"/>
  <c r="FQ998" i="5"/>
  <c r="IL941" i="5"/>
  <c r="J615" i="5"/>
  <c r="J1154" i="5"/>
  <c r="J1157" i="5" s="1"/>
  <c r="J654" i="5"/>
  <c r="F39" i="7"/>
  <c r="H39" i="7" s="1"/>
  <c r="HW635" i="5"/>
  <c r="BM1154" i="5"/>
  <c r="BM1157" i="5" s="1"/>
  <c r="BM654" i="5"/>
  <c r="BM615" i="5"/>
  <c r="CB615" i="5"/>
  <c r="CB1154" i="5"/>
  <c r="CB1157" i="5" s="1"/>
  <c r="CB654" i="5"/>
  <c r="AH1774" i="2"/>
  <c r="G99" i="7"/>
  <c r="H99" i="7" s="1"/>
  <c r="IA569" i="5"/>
  <c r="DP615" i="5"/>
  <c r="DP648" i="5"/>
  <c r="ES580" i="5"/>
  <c r="IF580" i="5" s="1"/>
  <c r="O110" i="7" s="1"/>
  <c r="IF573" i="5"/>
  <c r="O103" i="7" s="1"/>
  <c r="AG1440" i="2"/>
  <c r="AG1353" i="2"/>
  <c r="IC969" i="5"/>
  <c r="IC961" i="5"/>
  <c r="Y1279" i="2"/>
  <c r="AD334" i="2"/>
  <c r="AD578" i="2"/>
  <c r="AH1158" i="2"/>
  <c r="AH1150" i="2"/>
  <c r="AH1131" i="2"/>
  <c r="AH1132" i="2" s="1"/>
  <c r="G97" i="7"/>
  <c r="H97" i="7" s="1"/>
  <c r="IA567" i="5"/>
  <c r="IY669" i="5"/>
  <c r="IX669" i="5" s="1"/>
  <c r="AJ419" i="2"/>
  <c r="BJ1154" i="5"/>
  <c r="BJ1157" i="5" s="1"/>
  <c r="BJ654" i="5"/>
  <c r="BJ615" i="5"/>
  <c r="N39" i="7"/>
  <c r="IG503" i="5"/>
  <c r="AG654" i="5"/>
  <c r="AG615" i="5"/>
  <c r="AG1154" i="5"/>
  <c r="AG1157" i="5" s="1"/>
  <c r="CJ582" i="5"/>
  <c r="CJ648" i="5"/>
  <c r="AH1772" i="2"/>
  <c r="AL420" i="2"/>
  <c r="AK991" i="2"/>
  <c r="BH615" i="5"/>
  <c r="BH654" i="5"/>
  <c r="BH1154" i="5"/>
  <c r="BH1157" i="5" s="1"/>
  <c r="IF969" i="5"/>
  <c r="IF961" i="5"/>
  <c r="IG960" i="5"/>
  <c r="AG1275" i="2"/>
  <c r="AG1433" i="2"/>
  <c r="AG1346" i="2"/>
  <c r="AE1345" i="2"/>
  <c r="AE1432" i="2" s="1"/>
  <c r="AE1170" i="2"/>
  <c r="AE1167" i="2"/>
  <c r="AE1168" i="2"/>
  <c r="AE1159" i="2"/>
  <c r="AE1435" i="2"/>
  <c r="AE1166" i="2"/>
  <c r="AE1169" i="2"/>
  <c r="G98" i="7"/>
  <c r="H98" i="7" s="1"/>
  <c r="IA568" i="5"/>
  <c r="Q650" i="5"/>
  <c r="Q596" i="5"/>
  <c r="CR648" i="5"/>
  <c r="CR582" i="5"/>
  <c r="AD874" i="2"/>
  <c r="AD347" i="2"/>
  <c r="F5" i="7"/>
  <c r="HW572" i="5"/>
  <c r="HW626" i="5"/>
  <c r="DO998" i="5"/>
  <c r="P7" i="7"/>
  <c r="IG627" i="5"/>
  <c r="AD673" i="2"/>
  <c r="AA953" i="2"/>
  <c r="AA1741" i="2"/>
  <c r="AE25" i="19"/>
  <c r="JE755" i="5"/>
  <c r="AL1810" i="2"/>
  <c r="AL590" i="2"/>
  <c r="AL1315" i="2"/>
  <c r="AL1402" i="2" s="1"/>
  <c r="AC1773" i="2"/>
  <c r="HZ969" i="5"/>
  <c r="HZ961" i="5"/>
  <c r="AA1742" i="2"/>
  <c r="AA1751" i="2" s="1"/>
  <c r="AA954" i="2"/>
  <c r="AD1596" i="2"/>
  <c r="AD1591" i="2"/>
  <c r="AI1329" i="2"/>
  <c r="AI1416" i="2" s="1"/>
  <c r="Y25" i="19"/>
  <c r="X25" i="19"/>
  <c r="Z25" i="19" s="1"/>
  <c r="HS991" i="5"/>
  <c r="AA362" i="2"/>
  <c r="AB363" i="2"/>
  <c r="AA363" i="2"/>
  <c r="AB364" i="2"/>
  <c r="AA364" i="2"/>
  <c r="AD1154" i="5"/>
  <c r="AD1157" i="5" s="1"/>
  <c r="AD654" i="5"/>
  <c r="AD615" i="5"/>
  <c r="AA1490" i="2"/>
  <c r="AC1279" i="2"/>
  <c r="AI1595" i="2"/>
  <c r="DR642" i="5"/>
  <c r="DR579" i="5"/>
  <c r="E5" i="7"/>
  <c r="Z1279" i="2"/>
  <c r="AE1773" i="2"/>
  <c r="HW969" i="5"/>
  <c r="HX960" i="5"/>
  <c r="HW961" i="5"/>
  <c r="DK650" i="5"/>
  <c r="DK596" i="5"/>
  <c r="CO650" i="5"/>
  <c r="CO596" i="5"/>
  <c r="AD1505" i="2"/>
  <c r="AD1494" i="2" s="1"/>
  <c r="AD1521" i="2" s="1"/>
  <c r="AD361" i="2"/>
  <c r="AB1154" i="5"/>
  <c r="AB1157" i="5" s="1"/>
  <c r="AB615" i="5"/>
  <c r="AB654" i="5"/>
  <c r="DF648" i="5"/>
  <c r="DF582" i="5"/>
  <c r="S654" i="5"/>
  <c r="S615" i="5"/>
  <c r="S1154" i="5"/>
  <c r="S1157" i="5" s="1"/>
  <c r="AD1279" i="2"/>
  <c r="C102" i="7"/>
  <c r="HT642" i="5"/>
  <c r="HT579" i="5"/>
  <c r="H7" i="7"/>
  <c r="AA347" i="2"/>
  <c r="AA874" i="2"/>
  <c r="AA673" i="2"/>
  <c r="IQ991" i="5"/>
  <c r="AB1279" i="2"/>
  <c r="ES998" i="5"/>
  <c r="HW573" i="5"/>
  <c r="AB1158" i="2"/>
  <c r="AB1163" i="2"/>
  <c r="AB1435" i="2" s="1"/>
  <c r="AB1159" i="2"/>
  <c r="AG1727" i="2"/>
  <c r="AD926" i="2"/>
  <c r="AA929" i="2"/>
  <c r="AA1730" i="2"/>
  <c r="AA1747" i="2" s="1"/>
  <c r="CA654" i="5"/>
  <c r="CA615" i="5"/>
  <c r="CA1154" i="5"/>
  <c r="CA1157" i="5" s="1"/>
  <c r="AH1448" i="2"/>
  <c r="AH1360" i="2"/>
  <c r="AH1447" i="2" s="1"/>
  <c r="IA966" i="5"/>
  <c r="IA955" i="5"/>
  <c r="IA963" i="5" s="1"/>
  <c r="ID960" i="5"/>
  <c r="AG1731" i="2"/>
  <c r="AG1748" i="2" s="1"/>
  <c r="AD933" i="2"/>
  <c r="AG1726" i="2"/>
  <c r="AD925" i="2"/>
  <c r="FE998" i="5"/>
  <c r="II941" i="5"/>
  <c r="AF1808" i="2"/>
  <c r="AN615" i="5"/>
  <c r="AN654" i="5"/>
  <c r="AN1154" i="5"/>
  <c r="AN1157" i="5" s="1"/>
  <c r="AK1053" i="2"/>
  <c r="AL532" i="2"/>
  <c r="HT969" i="5"/>
  <c r="HU960" i="5"/>
  <c r="HT961" i="5"/>
  <c r="CU650" i="5"/>
  <c r="CU596" i="5"/>
  <c r="P41" i="7"/>
  <c r="IG636" i="5"/>
  <c r="AD716" i="2"/>
  <c r="AD882" i="2" s="1"/>
  <c r="II838" i="5"/>
  <c r="II837" i="5"/>
  <c r="II840" i="5"/>
  <c r="II839" i="5"/>
  <c r="IR991" i="5"/>
  <c r="O19" i="19"/>
  <c r="N19" i="19" s="1"/>
  <c r="AJ1793" i="2"/>
  <c r="AJ531" i="2"/>
  <c r="IY731" i="5"/>
  <c r="IX731" i="5" s="1"/>
  <c r="AJ1309" i="2"/>
  <c r="AJ1396" i="2" s="1"/>
  <c r="DE648" i="5"/>
  <c r="DE582" i="5"/>
  <c r="HX627" i="5"/>
  <c r="HX568" i="5"/>
  <c r="AA791" i="2" s="1"/>
  <c r="HX569" i="5"/>
  <c r="HX567" i="5"/>
  <c r="HX465" i="5"/>
  <c r="IQ969" i="5"/>
  <c r="IS960" i="5"/>
  <c r="IQ961" i="5"/>
  <c r="GN796" i="5"/>
  <c r="GN1147" i="5" s="1"/>
  <c r="GM799" i="5"/>
  <c r="CV648" i="5"/>
  <c r="CV582" i="5"/>
  <c r="ED998" i="5"/>
  <c r="AE37" i="19"/>
  <c r="DA648" i="5"/>
  <c r="DA582" i="5"/>
  <c r="HZ963" i="5"/>
  <c r="HZ962" i="5" s="1"/>
  <c r="HZ953" i="5"/>
  <c r="JE789" i="5"/>
  <c r="JC789" i="5" s="1"/>
  <c r="AM1103" i="2"/>
  <c r="AL1824" i="2"/>
  <c r="P24" i="19"/>
  <c r="R24" i="19" s="1"/>
  <c r="AK1798" i="2"/>
  <c r="AJ1274" i="2"/>
  <c r="AJ1282" i="2" s="1"/>
  <c r="AJ1768" i="2"/>
  <c r="IY817" i="5"/>
  <c r="IX817" i="5" s="1"/>
  <c r="AK1133" i="2"/>
  <c r="AJ1330" i="2"/>
  <c r="AJ1417" i="2" s="1"/>
  <c r="AK1314" i="2"/>
  <c r="AK1401" i="2" s="1"/>
  <c r="AK1764" i="2"/>
  <c r="JB754" i="5"/>
  <c r="JB822" i="5"/>
  <c r="IZ822" i="5" s="1"/>
  <c r="AM1449" i="2"/>
  <c r="AK1334" i="2"/>
  <c r="AK1330" i="2" s="1"/>
  <c r="AK1417" i="2" s="1"/>
  <c r="AJ1120" i="2"/>
  <c r="JB800" i="5"/>
  <c r="IZ800" i="5" s="1"/>
  <c r="AL1449" i="2"/>
  <c r="IY801" i="5"/>
  <c r="IX801" i="5" s="1"/>
  <c r="Y43" i="19"/>
  <c r="Q20" i="19"/>
  <c r="P20" i="19"/>
  <c r="R20" i="19" s="1"/>
  <c r="Z804" i="2"/>
  <c r="Z901" i="2" s="1"/>
  <c r="Y20" i="19"/>
  <c r="X20" i="19"/>
  <c r="Z20" i="19" s="1"/>
  <c r="AO42" i="19"/>
  <c r="AN42" i="19"/>
  <c r="AP42" i="19" s="1"/>
  <c r="AO69" i="19"/>
  <c r="AN69" i="19"/>
  <c r="AP69" i="19" s="1"/>
  <c r="AF69" i="19"/>
  <c r="AH69" i="19" s="1"/>
  <c r="AG69" i="19"/>
  <c r="Q69" i="19"/>
  <c r="P69" i="19"/>
  <c r="R69" i="19" s="1"/>
  <c r="IU536" i="5"/>
  <c r="IX561" i="5"/>
  <c r="X943" i="2"/>
  <c r="X1337" i="2"/>
  <c r="X1424" i="2" s="1"/>
  <c r="JD896" i="5"/>
  <c r="V1424" i="2"/>
  <c r="V1367" i="2"/>
  <c r="V1454" i="2" s="1"/>
  <c r="Z891" i="2"/>
  <c r="Z937" i="2" s="1"/>
  <c r="AC1701" i="2"/>
  <c r="IU537" i="5"/>
  <c r="L39" i="7"/>
  <c r="IC573" i="5"/>
  <c r="AJ1575" i="2"/>
  <c r="AO738" i="2"/>
  <c r="IX550" i="5"/>
  <c r="X944" i="2"/>
  <c r="IO558" i="5"/>
  <c r="X946" i="2"/>
  <c r="AH562" i="2"/>
  <c r="AH318" i="2"/>
  <c r="AI558" i="2"/>
  <c r="AI314" i="2"/>
  <c r="AL744" i="2"/>
  <c r="AM744" i="2" s="1"/>
  <c r="AN744" i="2" s="1"/>
  <c r="AO744" i="2" s="1"/>
  <c r="JB525" i="5"/>
  <c r="IZ525" i="5" s="1"/>
  <c r="JA525" i="5" s="1"/>
  <c r="AO423" i="2"/>
  <c r="AO676" i="2"/>
  <c r="JG692" i="5"/>
  <c r="AG310" i="2"/>
  <c r="AG683" i="2"/>
  <c r="AG320" i="2" s="1"/>
  <c r="IW506" i="5"/>
  <c r="IX506" i="5" s="1"/>
  <c r="AM674" i="2"/>
  <c r="AM874" i="2" s="1"/>
  <c r="AM923" i="2" s="1"/>
  <c r="AM298" i="2"/>
  <c r="IW525" i="5"/>
  <c r="IX525" i="5" s="1"/>
  <c r="IO550" i="5"/>
  <c r="IO640" i="5" s="1"/>
  <c r="AJ1595" i="2"/>
  <c r="IX597" i="5"/>
  <c r="AK308" i="2"/>
  <c r="AK287" i="2"/>
  <c r="AK288" i="2" s="1"/>
  <c r="AK346" i="2"/>
  <c r="AK347" i="2"/>
  <c r="AK345" i="2"/>
  <c r="JB506" i="5"/>
  <c r="AL717" i="2"/>
  <c r="AN738" i="2"/>
  <c r="JK692" i="5"/>
  <c r="AN491" i="2"/>
  <c r="AN676" i="2"/>
  <c r="AN674" i="2" s="1"/>
  <c r="AN874" i="2" s="1"/>
  <c r="AN423" i="2"/>
  <c r="W1416" i="2"/>
  <c r="W1338" i="2"/>
  <c r="W1425" i="2" s="1"/>
  <c r="AO1049" i="2"/>
  <c r="AP1049" i="2" s="1"/>
  <c r="JK727" i="5"/>
  <c r="JJ727" i="5" s="1"/>
  <c r="AN1305" i="2"/>
  <c r="IQ558" i="5"/>
  <c r="IQ550" i="5" s="1"/>
  <c r="AO692" i="2"/>
  <c r="AO585" i="2" s="1"/>
  <c r="AO295" i="2"/>
  <c r="AN296" i="2" s="1"/>
  <c r="AO749" i="2"/>
  <c r="AN1312" i="2"/>
  <c r="AN1399" i="2" s="1"/>
  <c r="JK749" i="5"/>
  <c r="IX609" i="5"/>
  <c r="AO801" i="2"/>
  <c r="AN800" i="2"/>
  <c r="AN897" i="2" s="1"/>
  <c r="AN898" i="2"/>
  <c r="AJ807" i="2"/>
  <c r="IY596" i="5"/>
  <c r="AJ908" i="2"/>
  <c r="AJ957" i="2" s="1"/>
  <c r="JI831" i="5"/>
  <c r="JJ831" i="5" s="1"/>
  <c r="AH569" i="2"/>
  <c r="AI568" i="2"/>
  <c r="AI324" i="2"/>
  <c r="AH325" i="2"/>
  <c r="IB582" i="5"/>
  <c r="IB618" i="5" s="1"/>
  <c r="J109" i="7"/>
  <c r="IS550" i="5"/>
  <c r="IQ640" i="5" s="1"/>
  <c r="AH889" i="2"/>
  <c r="AH935" i="2" s="1"/>
  <c r="AJ680" i="2"/>
  <c r="AK680" i="2" s="1"/>
  <c r="JF896" i="5"/>
  <c r="JF895" i="5" s="1"/>
  <c r="JG895" i="5" s="1"/>
  <c r="JB597" i="5"/>
  <c r="AK909" i="2"/>
  <c r="AK958" i="2" s="1"/>
  <c r="AK828" i="2"/>
  <c r="AH322" i="2"/>
  <c r="AH328" i="2"/>
  <c r="AI565" i="2"/>
  <c r="AH572" i="2"/>
  <c r="AI321" i="2"/>
  <c r="AH566" i="2"/>
  <c r="AL1391" i="2"/>
  <c r="AL1297" i="2"/>
  <c r="AL1384" i="2" s="1"/>
  <c r="AF576" i="2"/>
  <c r="AG331" i="2"/>
  <c r="AL770" i="2"/>
  <c r="AL889" i="2" s="1"/>
  <c r="AL935" i="2" s="1"/>
  <c r="AM783" i="2"/>
  <c r="AK889" i="2"/>
  <c r="AK935" i="2" s="1"/>
  <c r="JB550" i="5"/>
  <c r="JL753" i="5"/>
  <c r="JM753" i="5" s="1"/>
  <c r="AO1217" i="2"/>
  <c r="AP1217" i="2" s="1"/>
  <c r="AN1268" i="2"/>
  <c r="JK896" i="5"/>
  <c r="AN883" i="2"/>
  <c r="AN746" i="2"/>
  <c r="AO323" i="2"/>
  <c r="AO840" i="2" s="1"/>
  <c r="AO567" i="2"/>
  <c r="AO684" i="2"/>
  <c r="AO679" i="2" s="1"/>
  <c r="AM1304" i="2"/>
  <c r="AM1392" i="2"/>
  <c r="AN688" i="2"/>
  <c r="AM842" i="2"/>
  <c r="AE1701" i="2"/>
  <c r="JF749" i="5"/>
  <c r="IZ609" i="5"/>
  <c r="IZ597" i="5" s="1"/>
  <c r="AG323" i="2"/>
  <c r="AG840" i="2" s="1"/>
  <c r="AG567" i="2"/>
  <c r="AG573" i="2"/>
  <c r="AG329" i="2"/>
  <c r="AN849" i="2"/>
  <c r="AN876" i="2"/>
  <c r="AN585" i="2"/>
  <c r="AN341" i="2"/>
  <c r="W1415" i="2"/>
  <c r="W1337" i="2"/>
  <c r="IV558" i="5"/>
  <c r="AI770" i="2"/>
  <c r="AM366" i="2"/>
  <c r="AM625" i="2"/>
  <c r="L102" i="7"/>
  <c r="IC579" i="5"/>
  <c r="AL391" i="2"/>
  <c r="AL829" i="2"/>
  <c r="AL656" i="2"/>
  <c r="Z805" i="2"/>
  <c r="HR573" i="5"/>
  <c r="HR643" i="5" s="1"/>
  <c r="Z892" i="2"/>
  <c r="AK1596" i="2"/>
  <c r="AK414" i="2"/>
  <c r="AJ415" i="2"/>
  <c r="AI366" i="2"/>
  <c r="IV529" i="5"/>
  <c r="IU529" i="5" s="1"/>
  <c r="AI625" i="2"/>
  <c r="IZ561" i="5"/>
  <c r="IZ550" i="5" s="1"/>
  <c r="Y1729" i="2"/>
  <c r="Z928" i="2"/>
  <c r="Z867" i="2"/>
  <c r="AK1595" i="2"/>
  <c r="IT474" i="5"/>
  <c r="IU474" i="5" s="1"/>
  <c r="JA689" i="5"/>
  <c r="AM1013" i="2"/>
  <c r="AN488" i="2"/>
  <c r="JA703" i="5"/>
  <c r="JA813" i="5"/>
  <c r="IX958" i="5"/>
  <c r="IX967" i="5" s="1"/>
  <c r="AO1444" i="2"/>
  <c r="AO1356" i="2"/>
  <c r="AO1443" i="2" s="1"/>
  <c r="AN446" i="2"/>
  <c r="JK695" i="5"/>
  <c r="JI695" i="5" s="1"/>
  <c r="AM1027" i="2"/>
  <c r="AN524" i="2"/>
  <c r="AL511" i="2"/>
  <c r="JE702" i="5"/>
  <c r="JC702" i="5" s="1"/>
  <c r="AN516" i="2"/>
  <c r="AM1025" i="2"/>
  <c r="AG358" i="2"/>
  <c r="IH468" i="5"/>
  <c r="Q10" i="7"/>
  <c r="AE923" i="2"/>
  <c r="AI1724" i="2"/>
  <c r="AI1746" i="2" s="1"/>
  <c r="JE696" i="5"/>
  <c r="JC696" i="5" s="1"/>
  <c r="AL499" i="2"/>
  <c r="JE703" i="5"/>
  <c r="JC703" i="5" s="1"/>
  <c r="AL515" i="2"/>
  <c r="IJ467" i="5"/>
  <c r="AE671" i="2"/>
  <c r="AE873" i="2"/>
  <c r="AL467" i="2"/>
  <c r="JE684" i="5"/>
  <c r="JC684" i="5" s="1"/>
  <c r="JB732" i="5"/>
  <c r="AM1018" i="2"/>
  <c r="AN500" i="2"/>
  <c r="JM857" i="5"/>
  <c r="JM856" i="5" s="1"/>
  <c r="AO1620" i="2"/>
  <c r="AO1619" i="2" s="1"/>
  <c r="II470" i="5"/>
  <c r="JA757" i="5"/>
  <c r="JA706" i="5"/>
  <c r="AM1026" i="2"/>
  <c r="AN520" i="2"/>
  <c r="IP523" i="5"/>
  <c r="AG736" i="2"/>
  <c r="JE704" i="5"/>
  <c r="JC704" i="5" s="1"/>
  <c r="AL519" i="2"/>
  <c r="IT510" i="5"/>
  <c r="AK1310" i="2"/>
  <c r="AK1397" i="2" s="1"/>
  <c r="JB737" i="5"/>
  <c r="AK1794" i="2"/>
  <c r="IW537" i="5"/>
  <c r="IW536" i="5" s="1"/>
  <c r="JE685" i="5"/>
  <c r="JC685" i="5" s="1"/>
  <c r="AL471" i="2"/>
  <c r="IS471" i="5"/>
  <c r="AH423" i="2"/>
  <c r="AH676" i="2"/>
  <c r="IP488" i="5"/>
  <c r="AG693" i="2"/>
  <c r="JE689" i="5"/>
  <c r="JC689" i="5" s="1"/>
  <c r="AL479" i="2"/>
  <c r="T10" i="7"/>
  <c r="IK470" i="5"/>
  <c r="IK468" i="5" s="1"/>
  <c r="IK467" i="5" s="1"/>
  <c r="JA704" i="5"/>
  <c r="IN471" i="5"/>
  <c r="IO471" i="5" s="1"/>
  <c r="JB537" i="5"/>
  <c r="AK753" i="2"/>
  <c r="AL754" i="2"/>
  <c r="IV471" i="5"/>
  <c r="AI423" i="2"/>
  <c r="AI676" i="2"/>
  <c r="AM1007" i="2"/>
  <c r="AN472" i="2"/>
  <c r="JA685" i="5"/>
  <c r="JA696" i="5"/>
  <c r="IR510" i="5"/>
  <c r="IZ739" i="5"/>
  <c r="JA739" i="5" s="1"/>
  <c r="AM1011" i="2"/>
  <c r="AN480" i="2"/>
  <c r="AI636" i="2"/>
  <c r="AI376" i="2"/>
  <c r="AL527" i="2"/>
  <c r="AL1295" i="2"/>
  <c r="AL1382" i="2" s="1"/>
  <c r="JE706" i="5"/>
  <c r="JC706" i="5" s="1"/>
  <c r="IM468" i="5"/>
  <c r="AF874" i="2"/>
  <c r="AF923" i="2" s="1"/>
  <c r="AF673" i="2"/>
  <c r="AF347" i="2"/>
  <c r="AA1063" i="2"/>
  <c r="AB539" i="2"/>
  <c r="JA691" i="5"/>
  <c r="JE705" i="5"/>
  <c r="JC705" i="5" s="1"/>
  <c r="AL523" i="2"/>
  <c r="IP470" i="5"/>
  <c r="AG298" i="2"/>
  <c r="AN1621" i="2"/>
  <c r="AN1619" i="2" s="1"/>
  <c r="JL857" i="5"/>
  <c r="S8" i="7"/>
  <c r="IJ628" i="5"/>
  <c r="IY510" i="5"/>
  <c r="AK721" i="2"/>
  <c r="AN536" i="2"/>
  <c r="AN442" i="2"/>
  <c r="JK678" i="5"/>
  <c r="JI678" i="5" s="1"/>
  <c r="JE739" i="5"/>
  <c r="AL535" i="2"/>
  <c r="AL1059" i="2"/>
  <c r="IY522" i="5"/>
  <c r="AK737" i="2"/>
  <c r="AJ736" i="2"/>
  <c r="IY521" i="5" s="1"/>
  <c r="JG695" i="5"/>
  <c r="AM1028" i="2"/>
  <c r="AM1024" i="2"/>
  <c r="AN512" i="2"/>
  <c r="AI584" i="2"/>
  <c r="AH694" i="2"/>
  <c r="IS488" i="5" s="1"/>
  <c r="AI340" i="2"/>
  <c r="JA684" i="5"/>
  <c r="IY536" i="5"/>
  <c r="AJ886" i="2"/>
  <c r="AJ933" i="2" s="1"/>
  <c r="AJ636" i="2" s="1"/>
  <c r="IW967" i="5"/>
  <c r="JA702" i="5"/>
  <c r="JA705" i="5"/>
  <c r="AL487" i="2"/>
  <c r="JE691" i="5"/>
  <c r="JC691" i="5" s="1"/>
  <c r="AJ1449" i="2"/>
  <c r="AJ1798" i="2"/>
  <c r="AD1131" i="2" l="1"/>
  <c r="IG834" i="5"/>
  <c r="AD1150" i="2" s="1"/>
  <c r="AD1153" i="2" s="1"/>
  <c r="AD1340" i="2" s="1"/>
  <c r="AD1427" i="2" s="1"/>
  <c r="IE840" i="5"/>
  <c r="AA1166" i="2"/>
  <c r="AA1438" i="2" s="1"/>
  <c r="IG955" i="5"/>
  <c r="IG963" i="5" s="1"/>
  <c r="AA1169" i="2"/>
  <c r="AA1441" i="2" s="1"/>
  <c r="AA1167" i="2"/>
  <c r="AA1439" i="2" s="1"/>
  <c r="IE837" i="5"/>
  <c r="IJ960" i="5"/>
  <c r="IJ969" i="5" s="1"/>
  <c r="JE693" i="5"/>
  <c r="JC693" i="5" s="1"/>
  <c r="IZ677" i="5"/>
  <c r="JA677" i="5" s="1"/>
  <c r="IZ672" i="5"/>
  <c r="JA672" i="5" s="1"/>
  <c r="IZ683" i="5"/>
  <c r="JA683" i="5" s="1"/>
  <c r="IZ693" i="5"/>
  <c r="JA693" i="5" s="1"/>
  <c r="JF672" i="5"/>
  <c r="JG672" i="5" s="1"/>
  <c r="JN692" i="5"/>
  <c r="JL692" i="5" s="1"/>
  <c r="AS69" i="19"/>
  <c r="AT69" i="19" s="1"/>
  <c r="JI692" i="5"/>
  <c r="JJ692" i="5" s="1"/>
  <c r="AN496" i="2"/>
  <c r="AO496" i="2" s="1"/>
  <c r="AI1530" i="2"/>
  <c r="AL462" i="2"/>
  <c r="AK1311" i="2"/>
  <c r="AK1398" i="2" s="1"/>
  <c r="JB682" i="5"/>
  <c r="JN695" i="5"/>
  <c r="O7" i="19"/>
  <c r="N7" i="19" s="1"/>
  <c r="AO442" i="2"/>
  <c r="AJ1529" i="2"/>
  <c r="JB680" i="5"/>
  <c r="AJ1565" i="2"/>
  <c r="HP839" i="5"/>
  <c r="HX835" i="5"/>
  <c r="AA1151" i="2" s="1"/>
  <c r="IE838" i="5"/>
  <c r="HP838" i="5"/>
  <c r="HP837" i="5"/>
  <c r="IC840" i="5"/>
  <c r="JL856" i="5"/>
  <c r="BA70" i="19"/>
  <c r="BB70" i="19" s="1"/>
  <c r="IM835" i="5"/>
  <c r="AF1151" i="2" s="1"/>
  <c r="JM792" i="5"/>
  <c r="BA42" i="19"/>
  <c r="BB42" i="19" s="1"/>
  <c r="HX984" i="5"/>
  <c r="HS582" i="5"/>
  <c r="HS650" i="5" s="1"/>
  <c r="HS837" i="5"/>
  <c r="HU834" i="5"/>
  <c r="Z1150" i="2" s="1"/>
  <c r="HS839" i="5"/>
  <c r="JJ792" i="5"/>
  <c r="AS42" i="19"/>
  <c r="AT42" i="19" s="1"/>
  <c r="BE69" i="19"/>
  <c r="AW42" i="19"/>
  <c r="BD42" i="19"/>
  <c r="BF42" i="19" s="1"/>
  <c r="AN31" i="19"/>
  <c r="AP31" i="19" s="1"/>
  <c r="AL31" i="19"/>
  <c r="IC839" i="5"/>
  <c r="IK839" i="5"/>
  <c r="HS840" i="5"/>
  <c r="IK837" i="5"/>
  <c r="HS838" i="5"/>
  <c r="IK941" i="5"/>
  <c r="IM941" i="5" s="1"/>
  <c r="AF1261" i="2" s="1"/>
  <c r="IL837" i="5"/>
  <c r="IM985" i="5"/>
  <c r="IF941" i="5"/>
  <c r="IK838" i="5"/>
  <c r="IM838" i="5" s="1"/>
  <c r="HY839" i="5"/>
  <c r="HY838" i="5"/>
  <c r="HY837" i="5"/>
  <c r="AP431" i="2"/>
  <c r="AQ431" i="2" s="1"/>
  <c r="HQ837" i="5"/>
  <c r="AM1015" i="2"/>
  <c r="HQ839" i="5"/>
  <c r="I615" i="5"/>
  <c r="HQ840" i="5"/>
  <c r="I654" i="5"/>
  <c r="IA834" i="5"/>
  <c r="IA990" i="5" s="1"/>
  <c r="HR834" i="5"/>
  <c r="Y1150" i="2" s="1"/>
  <c r="AC1131" i="2"/>
  <c r="Z1158" i="2"/>
  <c r="Z1167" i="2" s="1"/>
  <c r="Z1439" i="2" s="1"/>
  <c r="N654" i="5"/>
  <c r="N1154" i="5"/>
  <c r="N1157" i="5" s="1"/>
  <c r="IG626" i="5"/>
  <c r="IC837" i="5"/>
  <c r="AE1132" i="2"/>
  <c r="IL840" i="5"/>
  <c r="IM840" i="5" s="1"/>
  <c r="IM851" i="5"/>
  <c r="II961" i="5"/>
  <c r="IJ984" i="5"/>
  <c r="IF840" i="5"/>
  <c r="IF838" i="5"/>
  <c r="IF837" i="5"/>
  <c r="AF1131" i="2"/>
  <c r="IL839" i="5"/>
  <c r="IM834" i="5"/>
  <c r="IM990" i="5" s="1"/>
  <c r="IJ835" i="5"/>
  <c r="IJ991" i="5" s="1"/>
  <c r="IF839" i="5"/>
  <c r="IM849" i="5"/>
  <c r="X62" i="19"/>
  <c r="Z62" i="19" s="1"/>
  <c r="IS941" i="5"/>
  <c r="AH1261" i="2" s="1"/>
  <c r="AH1367" i="2" s="1"/>
  <c r="AH1454" i="2" s="1"/>
  <c r="P60" i="19"/>
  <c r="R60" i="19" s="1"/>
  <c r="N60" i="19"/>
  <c r="IJ948" i="5"/>
  <c r="IJ952" i="5" s="1"/>
  <c r="AO1306" i="2"/>
  <c r="AO1393" i="2" s="1"/>
  <c r="HX966" i="5"/>
  <c r="AN994" i="2"/>
  <c r="Y1131" i="2"/>
  <c r="Q22" i="19"/>
  <c r="N22" i="19"/>
  <c r="JN728" i="5"/>
  <c r="JM728" i="5" s="1"/>
  <c r="Q50" i="19"/>
  <c r="N50" i="19"/>
  <c r="Y49" i="19"/>
  <c r="AM546" i="2"/>
  <c r="AQ1072" i="2"/>
  <c r="AE1559" i="2"/>
  <c r="AK993" i="2"/>
  <c r="JN750" i="5"/>
  <c r="JL750" i="5" s="1"/>
  <c r="JM750" i="5" s="1"/>
  <c r="AO1071" i="2"/>
  <c r="AO1312" i="2" s="1"/>
  <c r="AO1399" i="2" s="1"/>
  <c r="AC1772" i="2"/>
  <c r="AL427" i="2"/>
  <c r="AJ990" i="2"/>
  <c r="IY671" i="5"/>
  <c r="IX671" i="5" s="1"/>
  <c r="AJ426" i="2"/>
  <c r="JC829" i="5"/>
  <c r="JD829" i="5" s="1"/>
  <c r="AV42" i="19"/>
  <c r="AX42" i="19" s="1"/>
  <c r="BE42" i="19"/>
  <c r="X24" i="19"/>
  <c r="Z24" i="19" s="1"/>
  <c r="W22" i="19"/>
  <c r="JE683" i="5"/>
  <c r="AL1004" i="2"/>
  <c r="AB1360" i="2"/>
  <c r="AB1447" i="2" s="1"/>
  <c r="AN1550" i="2"/>
  <c r="AD1773" i="2"/>
  <c r="AH1375" i="2"/>
  <c r="AK996" i="2"/>
  <c r="AE1288" i="2"/>
  <c r="AE1375" i="2" s="1"/>
  <c r="AH1329" i="2"/>
  <c r="AH1416" i="2" s="1"/>
  <c r="AL1069" i="2"/>
  <c r="JB747" i="5"/>
  <c r="IZ747" i="5" s="1"/>
  <c r="AM1005" i="2"/>
  <c r="AK545" i="2"/>
  <c r="AN463" i="2"/>
  <c r="AC1774" i="2"/>
  <c r="AC1328" i="2"/>
  <c r="AC1337" i="2" s="1"/>
  <c r="AC1424" i="2" s="1"/>
  <c r="AC1329" i="2"/>
  <c r="AC1416" i="2" s="1"/>
  <c r="E83" i="19"/>
  <c r="G83" i="19" s="1"/>
  <c r="D82" i="19"/>
  <c r="F82" i="19" s="1"/>
  <c r="P22" i="19"/>
  <c r="R22" i="19" s="1"/>
  <c r="X49" i="19"/>
  <c r="Z49" i="19" s="1"/>
  <c r="F65" i="19"/>
  <c r="F66" i="19" s="1"/>
  <c r="AE20" i="19"/>
  <c r="BD69" i="19"/>
  <c r="BF69" i="19" s="1"/>
  <c r="AJ1789" i="2"/>
  <c r="AK1795" i="2"/>
  <c r="AK1052" i="2"/>
  <c r="O18" i="19"/>
  <c r="AK454" i="2"/>
  <c r="U37" i="19"/>
  <c r="V37" i="19" s="1"/>
  <c r="U43" i="19"/>
  <c r="V43" i="19" s="1"/>
  <c r="AJ1292" i="2"/>
  <c r="AJ1379" i="2" s="1"/>
  <c r="Z1360" i="2"/>
  <c r="Z1447" i="2" s="1"/>
  <c r="IY674" i="5"/>
  <c r="IX674" i="5" s="1"/>
  <c r="AA1360" i="2"/>
  <c r="AA1447" i="2" s="1"/>
  <c r="AP1306" i="2"/>
  <c r="AP1393" i="2" s="1"/>
  <c r="AL1002" i="2"/>
  <c r="AK458" i="2"/>
  <c r="AN1145" i="2"/>
  <c r="JH829" i="5"/>
  <c r="AA1556" i="2"/>
  <c r="AQ1050" i="2"/>
  <c r="AP1550" i="2" s="1"/>
  <c r="Z1559" i="2"/>
  <c r="AA1559" i="2"/>
  <c r="AM1138" i="2"/>
  <c r="AL1548" i="2"/>
  <c r="AM43" i="19"/>
  <c r="Y24" i="19"/>
  <c r="JH795" i="5"/>
  <c r="JF795" i="5" s="1"/>
  <c r="P50" i="19"/>
  <c r="R50" i="19" s="1"/>
  <c r="AN1111" i="2"/>
  <c r="AL1545" i="2"/>
  <c r="Y62" i="19"/>
  <c r="Q60" i="19"/>
  <c r="AO430" i="2"/>
  <c r="AR541" i="2"/>
  <c r="AE62" i="19"/>
  <c r="AU25" i="19"/>
  <c r="AM1537" i="2"/>
  <c r="O53" i="19"/>
  <c r="AI1552" i="2"/>
  <c r="AI1553" i="2" s="1"/>
  <c r="AI1536" i="2"/>
  <c r="AA1433" i="2"/>
  <c r="AD1558" i="2"/>
  <c r="AD1559" i="2" s="1"/>
  <c r="AC1558" i="2"/>
  <c r="AC1559" i="2" s="1"/>
  <c r="AB1556" i="2"/>
  <c r="AB1560" i="2" s="1"/>
  <c r="AA1275" i="2"/>
  <c r="AA1283" i="2" s="1"/>
  <c r="Z1556" i="2"/>
  <c r="Y1559" i="2"/>
  <c r="AH1559" i="2"/>
  <c r="AG1559" i="2"/>
  <c r="AI1549" i="2"/>
  <c r="W50" i="19"/>
  <c r="AJ1544" i="2"/>
  <c r="W60" i="19"/>
  <c r="AD1774" i="2"/>
  <c r="AI1534" i="2"/>
  <c r="IG985" i="5"/>
  <c r="IV838" i="5"/>
  <c r="IH838" i="5"/>
  <c r="IL969" i="5"/>
  <c r="AM1324" i="2"/>
  <c r="AM1411" i="2" s="1"/>
  <c r="IH941" i="5"/>
  <c r="IJ941" i="5" s="1"/>
  <c r="AM1116" i="2"/>
  <c r="IJ834" i="5"/>
  <c r="AE1150" i="2" s="1"/>
  <c r="IH837" i="5"/>
  <c r="GL1141" i="5"/>
  <c r="GL1157" i="5" s="1"/>
  <c r="GM797" i="5"/>
  <c r="GM1144" i="5" s="1"/>
  <c r="GM1142" i="5" s="1"/>
  <c r="GM1150" i="5"/>
  <c r="GM1149" i="5" s="1"/>
  <c r="Z1132" i="2"/>
  <c r="DI582" i="5"/>
  <c r="DI596" i="5" s="1"/>
  <c r="DI615" i="5" s="1"/>
  <c r="IL961" i="5"/>
  <c r="IV844" i="5"/>
  <c r="IG835" i="5"/>
  <c r="IG991" i="5" s="1"/>
  <c r="HS941" i="5"/>
  <c r="HS998" i="5" s="1"/>
  <c r="AM606" i="2"/>
  <c r="AL1133" i="2"/>
  <c r="JE822" i="5"/>
  <c r="JC822" i="5" s="1"/>
  <c r="AL1334" i="2"/>
  <c r="AL1330" i="2" s="1"/>
  <c r="AL1417" i="2" s="1"/>
  <c r="AL1827" i="2"/>
  <c r="AE49" i="19"/>
  <c r="AP1118" i="2"/>
  <c r="BC51" i="19"/>
  <c r="AV51" i="19"/>
  <c r="AX51" i="19" s="1"/>
  <c r="AW51" i="19"/>
  <c r="AG37" i="19"/>
  <c r="AF37" i="19"/>
  <c r="AH37" i="19" s="1"/>
  <c r="AH1163" i="2"/>
  <c r="AH1164" i="2" s="1"/>
  <c r="AH1166" i="2"/>
  <c r="AI1159" i="2"/>
  <c r="AI1346" i="2" s="1"/>
  <c r="AI1166" i="2"/>
  <c r="AI1438" i="2" s="1"/>
  <c r="E1117" i="2"/>
  <c r="DG650" i="5"/>
  <c r="HR835" i="5"/>
  <c r="HR991" i="5" s="1"/>
  <c r="V615" i="5"/>
  <c r="V654" i="5"/>
  <c r="V1154" i="5"/>
  <c r="V1157" i="5" s="1"/>
  <c r="Y1159" i="2"/>
  <c r="AI1168" i="2"/>
  <c r="AI1440" i="2" s="1"/>
  <c r="AI1856" i="2"/>
  <c r="IV849" i="5"/>
  <c r="Z1131" i="2"/>
  <c r="AI1263" i="2"/>
  <c r="AI1155" i="2"/>
  <c r="AI1342" i="2" s="1"/>
  <c r="AI1429" i="2" s="1"/>
  <c r="AI1345" i="2"/>
  <c r="AI1432" i="2" s="1"/>
  <c r="AI1170" i="2"/>
  <c r="AI1442" i="2" s="1"/>
  <c r="AI1161" i="2"/>
  <c r="IV835" i="5"/>
  <c r="AI1156" i="2"/>
  <c r="AI1343" i="2" s="1"/>
  <c r="AI1430" i="2" s="1"/>
  <c r="HV579" i="5"/>
  <c r="HV648" i="5" s="1"/>
  <c r="HV642" i="5"/>
  <c r="D102" i="7"/>
  <c r="E102" i="7" s="1"/>
  <c r="HR985" i="5"/>
  <c r="IV850" i="5"/>
  <c r="AI1167" i="2"/>
  <c r="AI1352" i="2" s="1"/>
  <c r="IE941" i="5"/>
  <c r="IV852" i="5"/>
  <c r="CE582" i="5"/>
  <c r="CE596" i="5" s="1"/>
  <c r="AL615" i="5"/>
  <c r="AL654" i="5"/>
  <c r="AL1154" i="5"/>
  <c r="AL1157" i="5" s="1"/>
  <c r="HV941" i="5"/>
  <c r="IA961" i="5"/>
  <c r="IA985" i="5"/>
  <c r="IV961" i="5"/>
  <c r="AI1154" i="2"/>
  <c r="AI1341" i="2" s="1"/>
  <c r="AI1428" i="2" s="1"/>
  <c r="AR654" i="5"/>
  <c r="AR615" i="5"/>
  <c r="AR1154" i="5"/>
  <c r="AR1157" i="5" s="1"/>
  <c r="IA984" i="5"/>
  <c r="BD654" i="5"/>
  <c r="BD615" i="5"/>
  <c r="BD1154" i="5"/>
  <c r="BD1157" i="5" s="1"/>
  <c r="IH840" i="5"/>
  <c r="JE800" i="5"/>
  <c r="JC800" i="5" s="1"/>
  <c r="IV845" i="5"/>
  <c r="IV839" i="5"/>
  <c r="BG654" i="5"/>
  <c r="BG1154" i="5"/>
  <c r="BG1157" i="5" s="1"/>
  <c r="BG615" i="5"/>
  <c r="H1154" i="5"/>
  <c r="H1157" i="5" s="1"/>
  <c r="H615" i="5"/>
  <c r="H654" i="5"/>
  <c r="IA953" i="5"/>
  <c r="IA962" i="5"/>
  <c r="IA573" i="5"/>
  <c r="IA643" i="5" s="1"/>
  <c r="ID953" i="5"/>
  <c r="ID962" i="5"/>
  <c r="HU966" i="5"/>
  <c r="AL1117" i="2"/>
  <c r="CQ650" i="5"/>
  <c r="AE1797" i="2"/>
  <c r="AC1132" i="2"/>
  <c r="AB1328" i="2"/>
  <c r="AB1415" i="2" s="1"/>
  <c r="AX615" i="5"/>
  <c r="AX654" i="5"/>
  <c r="AX1154" i="5"/>
  <c r="AX1157" i="5" s="1"/>
  <c r="HU835" i="5"/>
  <c r="HU991" i="5" s="1"/>
  <c r="JN678" i="5"/>
  <c r="JN672" i="5"/>
  <c r="AF1169" i="2"/>
  <c r="AF1441" i="2" s="1"/>
  <c r="AF1163" i="2"/>
  <c r="AO491" i="2"/>
  <c r="AI1160" i="2"/>
  <c r="AI1163" i="2"/>
  <c r="AI1164" i="2" s="1"/>
  <c r="AI1349" i="2" s="1"/>
  <c r="AI1436" i="2" s="1"/>
  <c r="AG43" i="19"/>
  <c r="AF43" i="19"/>
  <c r="AH43" i="19" s="1"/>
  <c r="AM37" i="19"/>
  <c r="AQ1071" i="2"/>
  <c r="AQ1312" i="2" s="1"/>
  <c r="AQ1399" i="2" s="1"/>
  <c r="AR1072" i="2"/>
  <c r="AP527" i="2"/>
  <c r="AP1295" i="2"/>
  <c r="AP1382" i="2" s="1"/>
  <c r="AR528" i="2"/>
  <c r="AQ1028" i="2"/>
  <c r="AO446" i="2"/>
  <c r="AB1329" i="2"/>
  <c r="AB1416" i="2" s="1"/>
  <c r="AR1313" i="2"/>
  <c r="AR1400" i="2" s="1"/>
  <c r="AS1075" i="2"/>
  <c r="AQ1049" i="2"/>
  <c r="AP1305" i="2"/>
  <c r="AI1151" i="2"/>
  <c r="AQ447" i="2"/>
  <c r="AP1017" i="2"/>
  <c r="AP446" i="2" s="1"/>
  <c r="AP1268" i="2"/>
  <c r="AQ1217" i="2"/>
  <c r="AP1000" i="2"/>
  <c r="AP442" i="2" s="1"/>
  <c r="AQ443" i="2"/>
  <c r="AT1067" i="2"/>
  <c r="AT1065" i="2" s="1"/>
  <c r="AS1065" i="2"/>
  <c r="AR1535" i="2" s="1"/>
  <c r="AQ492" i="2"/>
  <c r="AP1014" i="2"/>
  <c r="AP491" i="2" s="1"/>
  <c r="AO31" i="19"/>
  <c r="JK779" i="5"/>
  <c r="JI779" i="5" s="1"/>
  <c r="JJ779" i="5" s="1"/>
  <c r="AU31" i="19"/>
  <c r="AT31" i="19" s="1"/>
  <c r="JH813" i="5"/>
  <c r="JF813" i="5" s="1"/>
  <c r="AM56" i="19"/>
  <c r="AN468" i="2"/>
  <c r="AO468" i="2" s="1"/>
  <c r="HP941" i="5"/>
  <c r="IV853" i="5"/>
  <c r="HW837" i="5"/>
  <c r="HQ941" i="5"/>
  <c r="IB941" i="5"/>
  <c r="AK1611" i="2"/>
  <c r="AK1579" i="2"/>
  <c r="AL1581" i="2"/>
  <c r="AL1579" i="2" s="1"/>
  <c r="AL1612" i="2"/>
  <c r="AL1611" i="2" s="1"/>
  <c r="JG749" i="5"/>
  <c r="AK23" i="19"/>
  <c r="AL23" i="19" s="1"/>
  <c r="AN1320" i="2"/>
  <c r="AN1407" i="2" s="1"/>
  <c r="JC958" i="5"/>
  <c r="JC967" i="5" s="1"/>
  <c r="AC37" i="19"/>
  <c r="AD37" i="19" s="1"/>
  <c r="AO1094" i="2"/>
  <c r="JD813" i="5"/>
  <c r="AC56" i="19"/>
  <c r="AD56" i="19" s="1"/>
  <c r="JG802" i="5"/>
  <c r="JD795" i="5"/>
  <c r="AC43" i="19"/>
  <c r="AD43" i="19" s="1"/>
  <c r="DH650" i="5"/>
  <c r="DH596" i="5"/>
  <c r="BT615" i="5"/>
  <c r="BT654" i="5"/>
  <c r="BT1154" i="5"/>
  <c r="BT1157" i="5" s="1"/>
  <c r="HX834" i="5"/>
  <c r="AA1150" i="2" s="1"/>
  <c r="AF1345" i="2"/>
  <c r="AF1432" i="2" s="1"/>
  <c r="AF1167" i="2"/>
  <c r="AF1352" i="2" s="1"/>
  <c r="AA1329" i="2"/>
  <c r="AA1416" i="2" s="1"/>
  <c r="AJ1792" i="2"/>
  <c r="AA1375" i="2"/>
  <c r="IY730" i="5"/>
  <c r="IX730" i="5" s="1"/>
  <c r="D66" i="19"/>
  <c r="E66" i="19" s="1"/>
  <c r="G66" i="19" s="1"/>
  <c r="E65" i="19"/>
  <c r="G65" i="19" s="1"/>
  <c r="F58" i="19"/>
  <c r="D59" i="19"/>
  <c r="E58" i="19"/>
  <c r="G58" i="19" s="1"/>
  <c r="AM620" i="2"/>
  <c r="AF1170" i="2"/>
  <c r="AF1355" i="2" s="1"/>
  <c r="AM1837" i="2"/>
  <c r="AI1337" i="2"/>
  <c r="AI1424" i="2" s="1"/>
  <c r="AM1326" i="2"/>
  <c r="AM1413" i="2" s="1"/>
  <c r="AN1129" i="2"/>
  <c r="AN1543" i="2"/>
  <c r="AN1542" i="2"/>
  <c r="JK802" i="5"/>
  <c r="JI802" i="5" s="1"/>
  <c r="AG56" i="19"/>
  <c r="AF56" i="19"/>
  <c r="AH56" i="19" s="1"/>
  <c r="IZ754" i="5"/>
  <c r="JA789" i="5"/>
  <c r="AK1576" i="2"/>
  <c r="AK1575" i="2" s="1"/>
  <c r="IZ958" i="5"/>
  <c r="IZ967" i="5" s="1"/>
  <c r="JA795" i="5"/>
  <c r="AF1438" i="2"/>
  <c r="Y1375" i="2"/>
  <c r="Y1328" i="2"/>
  <c r="Y1415" i="2" s="1"/>
  <c r="AF1159" i="2"/>
  <c r="AE1556" i="2" s="1"/>
  <c r="HZ580" i="5"/>
  <c r="I110" i="7" s="1"/>
  <c r="K110" i="7" s="1"/>
  <c r="AF1168" i="2"/>
  <c r="AF1353" i="2" s="1"/>
  <c r="AE1154" i="5"/>
  <c r="AE1157" i="5" s="1"/>
  <c r="AE654" i="5"/>
  <c r="AE615" i="5"/>
  <c r="AK654" i="5"/>
  <c r="AK1154" i="5"/>
  <c r="AK1157" i="5" s="1"/>
  <c r="AK615" i="5"/>
  <c r="R1154" i="5"/>
  <c r="R1157" i="5" s="1"/>
  <c r="R654" i="5"/>
  <c r="R615" i="5"/>
  <c r="AK450" i="2"/>
  <c r="JB679" i="5"/>
  <c r="IG572" i="5"/>
  <c r="IG642" i="5" s="1"/>
  <c r="HW838" i="5"/>
  <c r="BA615" i="5"/>
  <c r="BA1154" i="5"/>
  <c r="BA1157" i="5" s="1"/>
  <c r="BA654" i="5"/>
  <c r="AM451" i="2"/>
  <c r="AL1001" i="2"/>
  <c r="HW840" i="5"/>
  <c r="AE1779" i="2"/>
  <c r="AH615" i="5"/>
  <c r="AH1154" i="5"/>
  <c r="AH1157" i="5" s="1"/>
  <c r="AH654" i="5"/>
  <c r="BB615" i="5"/>
  <c r="BB1154" i="5"/>
  <c r="BB1157" i="5" s="1"/>
  <c r="BB654" i="5"/>
  <c r="AF1154" i="5"/>
  <c r="AF1157" i="5" s="1"/>
  <c r="AF654" i="5"/>
  <c r="AF615" i="5"/>
  <c r="IB838" i="5"/>
  <c r="IJ957" i="5"/>
  <c r="II955" i="5"/>
  <c r="II966" i="5"/>
  <c r="AF1855" i="2"/>
  <c r="AF1856" i="2" s="1"/>
  <c r="Y1168" i="2"/>
  <c r="Y1440" i="2" s="1"/>
  <c r="AD953" i="2"/>
  <c r="AG1741" i="2"/>
  <c r="AI1338" i="2"/>
  <c r="AI1425" i="2" s="1"/>
  <c r="Y1166" i="2"/>
  <c r="Y1438" i="2" s="1"/>
  <c r="CG582" i="5"/>
  <c r="CG648" i="5"/>
  <c r="Y1169" i="2"/>
  <c r="Y1441" i="2" s="1"/>
  <c r="IB839" i="5"/>
  <c r="DJ650" i="5"/>
  <c r="DJ596" i="5"/>
  <c r="BQ615" i="5"/>
  <c r="BQ1154" i="5"/>
  <c r="BQ1157" i="5" s="1"/>
  <c r="BQ654" i="5"/>
  <c r="ID834" i="5"/>
  <c r="AC1150" i="2" s="1"/>
  <c r="AL1008" i="2"/>
  <c r="AM476" i="2"/>
  <c r="AE1774" i="2"/>
  <c r="IB837" i="5"/>
  <c r="AF1328" i="2"/>
  <c r="AF1415" i="2" s="1"/>
  <c r="JB686" i="5"/>
  <c r="AK475" i="2"/>
  <c r="AF1779" i="2"/>
  <c r="AE1772" i="2"/>
  <c r="AF1329" i="2"/>
  <c r="AF1416" i="2" s="1"/>
  <c r="M1154" i="5"/>
  <c r="M1157" i="5" s="1"/>
  <c r="M654" i="5"/>
  <c r="M615" i="5"/>
  <c r="KO654" i="5"/>
  <c r="KO615" i="5"/>
  <c r="BS654" i="5"/>
  <c r="BS615" i="5"/>
  <c r="BS1154" i="5"/>
  <c r="BS1157" i="5" s="1"/>
  <c r="AD957" i="2"/>
  <c r="AG1743" i="2"/>
  <c r="AG1752" i="2" s="1"/>
  <c r="AN439" i="2"/>
  <c r="AM999" i="2"/>
  <c r="AF1772" i="2"/>
  <c r="BN615" i="5"/>
  <c r="BN1154" i="5"/>
  <c r="BN1157" i="5" s="1"/>
  <c r="BN654" i="5"/>
  <c r="AF1337" i="2"/>
  <c r="AF1424" i="2" s="1"/>
  <c r="AF1774" i="2"/>
  <c r="HZ941" i="5"/>
  <c r="JE677" i="5"/>
  <c r="AL438" i="2"/>
  <c r="HT941" i="5"/>
  <c r="HT998" i="5" s="1"/>
  <c r="DL650" i="5"/>
  <c r="DL596" i="5"/>
  <c r="HT840" i="5"/>
  <c r="CN650" i="5"/>
  <c r="CN596" i="5"/>
  <c r="BZ615" i="5"/>
  <c r="BZ1154" i="5"/>
  <c r="BZ1157" i="5" s="1"/>
  <c r="BZ654" i="5"/>
  <c r="CY596" i="5"/>
  <c r="CY650" i="5"/>
  <c r="AD1415" i="2"/>
  <c r="AD1337" i="2"/>
  <c r="AD1424" i="2" s="1"/>
  <c r="L654" i="5"/>
  <c r="L1154" i="5"/>
  <c r="L1157" i="5" s="1"/>
  <c r="L615" i="5"/>
  <c r="ID835" i="5"/>
  <c r="AC1151" i="2" s="1"/>
  <c r="AU615" i="5"/>
  <c r="AU1154" i="5"/>
  <c r="AU1157" i="5" s="1"/>
  <c r="AU654" i="5"/>
  <c r="AB652" i="2"/>
  <c r="AB387" i="2"/>
  <c r="AC651" i="2"/>
  <c r="AC386" i="2"/>
  <c r="AD1338" i="2"/>
  <c r="AD1425" i="2" s="1"/>
  <c r="AD1416" i="2"/>
  <c r="CM582" i="5"/>
  <c r="CM648" i="5"/>
  <c r="BX615" i="5"/>
  <c r="BX654" i="5"/>
  <c r="BX1154" i="5"/>
  <c r="BX1157" i="5" s="1"/>
  <c r="Y1416" i="2"/>
  <c r="Y1338" i="2"/>
  <c r="Y1425" i="2" s="1"/>
  <c r="HY941" i="5"/>
  <c r="Z1375" i="2"/>
  <c r="Z1329" i="2"/>
  <c r="Z1328" i="2"/>
  <c r="CH650" i="5"/>
  <c r="CH596" i="5"/>
  <c r="CK596" i="5"/>
  <c r="CK650" i="5"/>
  <c r="AJ1308" i="2"/>
  <c r="AJ1395" i="2" s="1"/>
  <c r="HW941" i="5"/>
  <c r="CF596" i="5"/>
  <c r="CF650" i="5"/>
  <c r="AF1448" i="2"/>
  <c r="AF1360" i="2"/>
  <c r="AF1447" i="2" s="1"/>
  <c r="AF1797" i="2"/>
  <c r="CP596" i="5"/>
  <c r="CP650" i="5"/>
  <c r="AD1167" i="2"/>
  <c r="AD1159" i="2"/>
  <c r="AD1556" i="2" s="1"/>
  <c r="AD1168" i="2"/>
  <c r="AD1435" i="2"/>
  <c r="AD1345" i="2"/>
  <c r="AD1432" i="2" s="1"/>
  <c r="AD1169" i="2"/>
  <c r="AD1166" i="2"/>
  <c r="KN654" i="5"/>
  <c r="KN615" i="5"/>
  <c r="AE583" i="2"/>
  <c r="AF338" i="2"/>
  <c r="DS648" i="5"/>
  <c r="DS615" i="5"/>
  <c r="AF1449" i="2"/>
  <c r="AF1798" i="2"/>
  <c r="AS615" i="5"/>
  <c r="AS1154" i="5"/>
  <c r="AS1157" i="5" s="1"/>
  <c r="AS654" i="5"/>
  <c r="BK1154" i="5"/>
  <c r="BK1157" i="5" s="1"/>
  <c r="BK615" i="5"/>
  <c r="BK654" i="5"/>
  <c r="CL596" i="5"/>
  <c r="CL650" i="5"/>
  <c r="DD596" i="5"/>
  <c r="DD650" i="5"/>
  <c r="AA1337" i="2"/>
  <c r="AA1415" i="2"/>
  <c r="CZ615" i="5"/>
  <c r="CZ1154" i="5"/>
  <c r="CZ1157" i="5" s="1"/>
  <c r="CZ654" i="5"/>
  <c r="DC650" i="5"/>
  <c r="DC596" i="5"/>
  <c r="IE953" i="5"/>
  <c r="K615" i="5"/>
  <c r="K654" i="5"/>
  <c r="K1154" i="5"/>
  <c r="K1157" i="5" s="1"/>
  <c r="CD654" i="5"/>
  <c r="CD615" i="5"/>
  <c r="CD1154" i="5"/>
  <c r="CD1157" i="5" s="1"/>
  <c r="HT837" i="5"/>
  <c r="IM837" i="5"/>
  <c r="AA1520" i="2"/>
  <c r="BY654" i="5"/>
  <c r="BY615" i="5"/>
  <c r="BY1154" i="5"/>
  <c r="BY1157" i="5" s="1"/>
  <c r="HZ837" i="5"/>
  <c r="HZ838" i="5"/>
  <c r="HZ839" i="5"/>
  <c r="HZ840" i="5"/>
  <c r="CI648" i="5"/>
  <c r="CI582" i="5"/>
  <c r="AE1798" i="2"/>
  <c r="AE1449" i="2"/>
  <c r="AE1360" i="2"/>
  <c r="AE1447" i="2" s="1"/>
  <c r="BC654" i="5"/>
  <c r="BC1154" i="5"/>
  <c r="BC1157" i="5" s="1"/>
  <c r="BC615" i="5"/>
  <c r="HT838" i="5"/>
  <c r="DM596" i="5"/>
  <c r="DM650" i="5"/>
  <c r="HT839" i="5"/>
  <c r="IG573" i="5"/>
  <c r="P103" i="7" s="1"/>
  <c r="AD1362" i="2"/>
  <c r="AD1775" i="2"/>
  <c r="AD1779" i="2" s="1"/>
  <c r="CS650" i="5"/>
  <c r="CS596" i="5"/>
  <c r="IC941" i="5"/>
  <c r="CW596" i="5"/>
  <c r="CW650" i="5"/>
  <c r="HT990" i="5"/>
  <c r="CC1154" i="5"/>
  <c r="CC1157" i="5" s="1"/>
  <c r="CC654" i="5"/>
  <c r="CC615" i="5"/>
  <c r="IA835" i="5"/>
  <c r="AD1520" i="2"/>
  <c r="HX573" i="5"/>
  <c r="HX643" i="5" s="1"/>
  <c r="AY654" i="5"/>
  <c r="AY615" i="5"/>
  <c r="AY1154" i="5"/>
  <c r="AY1157" i="5" s="1"/>
  <c r="KM615" i="5"/>
  <c r="KM654" i="5"/>
  <c r="HX572" i="5"/>
  <c r="HX626" i="5"/>
  <c r="IA572" i="5"/>
  <c r="IA642" i="5" s="1"/>
  <c r="G102" i="7"/>
  <c r="AB964" i="2"/>
  <c r="AB965" i="2" s="1"/>
  <c r="HY579" i="5"/>
  <c r="HY642" i="5"/>
  <c r="Q1154" i="5"/>
  <c r="Q1157" i="5" s="1"/>
  <c r="Q654" i="5"/>
  <c r="Q615" i="5"/>
  <c r="C110" i="7"/>
  <c r="HT649" i="5"/>
  <c r="AE1352" i="2"/>
  <c r="AE1439" i="2"/>
  <c r="AC1440" i="2"/>
  <c r="AC1353" i="2"/>
  <c r="AB1275" i="2"/>
  <c r="AB1433" i="2"/>
  <c r="AB1346" i="2"/>
  <c r="AE1442" i="2"/>
  <c r="AE1355" i="2"/>
  <c r="N142" i="7"/>
  <c r="IG615" i="5"/>
  <c r="P142" i="7" s="1"/>
  <c r="AA886" i="2"/>
  <c r="AA714" i="2"/>
  <c r="AA881" i="2" s="1"/>
  <c r="D103" i="7"/>
  <c r="E103" i="7" s="1"/>
  <c r="HV580" i="5"/>
  <c r="HV643" i="5"/>
  <c r="DN648" i="5"/>
  <c r="DN582" i="5"/>
  <c r="CR596" i="5"/>
  <c r="CR650" i="5"/>
  <c r="AE578" i="2"/>
  <c r="AE334" i="2"/>
  <c r="CJ650" i="5"/>
  <c r="CJ596" i="5"/>
  <c r="JH789" i="5"/>
  <c r="JF789" i="5" s="1"/>
  <c r="AK37" i="19" s="1"/>
  <c r="HU969" i="5"/>
  <c r="HU961" i="5"/>
  <c r="AB1345" i="2"/>
  <c r="AB1432" i="2" s="1"/>
  <c r="AB1168" i="2"/>
  <c r="AB1167" i="2"/>
  <c r="AB1166" i="2"/>
  <c r="AB1169" i="2"/>
  <c r="AA873" i="2"/>
  <c r="AA671" i="2"/>
  <c r="AA792" i="2"/>
  <c r="AA790" i="2"/>
  <c r="DG615" i="5"/>
  <c r="DG654" i="5"/>
  <c r="DG1154" i="5"/>
  <c r="DG1157" i="5" s="1"/>
  <c r="AH1169" i="2"/>
  <c r="AH1167" i="2"/>
  <c r="AH1263" i="2"/>
  <c r="AH1160" i="2"/>
  <c r="AH1170" i="2"/>
  <c r="AH1168" i="2"/>
  <c r="AH1345" i="2"/>
  <c r="AH1432" i="2" s="1"/>
  <c r="AH1161" i="2"/>
  <c r="AH1159" i="2"/>
  <c r="AC1439" i="2"/>
  <c r="AC1352" i="2"/>
  <c r="JB669" i="5"/>
  <c r="AK419" i="2"/>
  <c r="AH1151" i="2"/>
  <c r="AH1156" i="2"/>
  <c r="AH1343" i="2" s="1"/>
  <c r="AH1430" i="2" s="1"/>
  <c r="AH1155" i="2"/>
  <c r="AH1342" i="2" s="1"/>
  <c r="AH1429" i="2" s="1"/>
  <c r="AH1154" i="2"/>
  <c r="AH1341" i="2" s="1"/>
  <c r="AH1428" i="2" s="1"/>
  <c r="AH1153" i="2"/>
  <c r="AH1340" i="2" s="1"/>
  <c r="AH1427" i="2" s="1"/>
  <c r="CV596" i="5"/>
  <c r="CV650" i="5"/>
  <c r="AA923" i="2"/>
  <c r="AA1724" i="2"/>
  <c r="AA1746" i="2" s="1"/>
  <c r="DF650" i="5"/>
  <c r="DF596" i="5"/>
  <c r="HW579" i="5"/>
  <c r="F102" i="7"/>
  <c r="HW642" i="5"/>
  <c r="HX969" i="5"/>
  <c r="HX961" i="5"/>
  <c r="CX654" i="5"/>
  <c r="CX1154" i="5"/>
  <c r="CX1157" i="5" s="1"/>
  <c r="CX615" i="5"/>
  <c r="IM969" i="5"/>
  <c r="IM961" i="5"/>
  <c r="AM532" i="2"/>
  <c r="AL1053" i="2"/>
  <c r="I102" i="7"/>
  <c r="K102" i="7" s="1"/>
  <c r="HZ579" i="5"/>
  <c r="W19" i="19"/>
  <c r="AK1793" i="2"/>
  <c r="JB731" i="5"/>
  <c r="IZ731" i="5" s="1"/>
  <c r="AK1309" i="2"/>
  <c r="AK1396" i="2" s="1"/>
  <c r="AK531" i="2"/>
  <c r="AM1315" i="2"/>
  <c r="AM1402" i="2" s="1"/>
  <c r="JH755" i="5"/>
  <c r="AM590" i="2"/>
  <c r="AM1810" i="2"/>
  <c r="AD714" i="2"/>
  <c r="AD881" i="2" s="1"/>
  <c r="IG635" i="5"/>
  <c r="P39" i="7"/>
  <c r="HX1119" i="5"/>
  <c r="HX1123" i="5"/>
  <c r="HX1124" i="5" s="1"/>
  <c r="HT648" i="5"/>
  <c r="HT582" i="5"/>
  <c r="C109" i="7"/>
  <c r="ID969" i="5"/>
  <c r="ID961" i="5"/>
  <c r="AL991" i="2"/>
  <c r="AM420" i="2"/>
  <c r="H5" i="7"/>
  <c r="AM1322" i="2"/>
  <c r="AM1409" i="2" s="1"/>
  <c r="AN1103" i="2"/>
  <c r="Z1433" i="2"/>
  <c r="Z1275" i="2"/>
  <c r="JC755" i="5"/>
  <c r="AG1283" i="2"/>
  <c r="AG1276" i="2"/>
  <c r="IV941" i="5"/>
  <c r="AI1261" i="2" s="1"/>
  <c r="AI1367" i="2" s="1"/>
  <c r="AI1454" i="2" s="1"/>
  <c r="AD671" i="2"/>
  <c r="AD873" i="2"/>
  <c r="AD790" i="2"/>
  <c r="AD791" i="2" s="1"/>
  <c r="AD792" i="2"/>
  <c r="AC1441" i="2"/>
  <c r="AC1354" i="2"/>
  <c r="AC1275" i="2"/>
  <c r="AC1346" i="2"/>
  <c r="AC1433" i="2"/>
  <c r="IY736" i="5"/>
  <c r="IX736" i="5" s="1"/>
  <c r="AK1058" i="2"/>
  <c r="AG25" i="19"/>
  <c r="AF25" i="19"/>
  <c r="AH25" i="19" s="1"/>
  <c r="IG969" i="5"/>
  <c r="IG961" i="5"/>
  <c r="F103" i="7"/>
  <c r="H103" i="7" s="1"/>
  <c r="HW580" i="5"/>
  <c r="HW643" i="5"/>
  <c r="AG1724" i="2"/>
  <c r="AG1746" i="2" s="1"/>
  <c r="AD923" i="2"/>
  <c r="CT650" i="5"/>
  <c r="CT596" i="5"/>
  <c r="HU648" i="5"/>
  <c r="HU582" i="5"/>
  <c r="AE1351" i="2"/>
  <c r="AE1438" i="2"/>
  <c r="DR648" i="5"/>
  <c r="DR615" i="5"/>
  <c r="GN799" i="5"/>
  <c r="IQ796" i="5"/>
  <c r="IS796" i="5" s="1"/>
  <c r="AH1112" i="2" s="1"/>
  <c r="Q19" i="19"/>
  <c r="P19" i="19"/>
  <c r="R19" i="19" s="1"/>
  <c r="AG1730" i="2"/>
  <c r="AG1747" i="2" s="1"/>
  <c r="AD929" i="2"/>
  <c r="CO1154" i="5"/>
  <c r="CO1157" i="5" s="1"/>
  <c r="CO615" i="5"/>
  <c r="CO654" i="5"/>
  <c r="AI1797" i="2"/>
  <c r="AI1796" i="2" s="1"/>
  <c r="AI1448" i="2"/>
  <c r="AI1360" i="2"/>
  <c r="AI1447" i="2" s="1"/>
  <c r="AC1438" i="2"/>
  <c r="AC1351" i="2"/>
  <c r="AE1433" i="2"/>
  <c r="AE1346" i="2"/>
  <c r="AE1275" i="2"/>
  <c r="DE650" i="5"/>
  <c r="DE596" i="5"/>
  <c r="AM612" i="2"/>
  <c r="AH1415" i="2"/>
  <c r="AH1337" i="2"/>
  <c r="AH1424" i="2" s="1"/>
  <c r="AE1441" i="2"/>
  <c r="AE1354" i="2"/>
  <c r="HS596" i="5"/>
  <c r="DK1154" i="5"/>
  <c r="DK1157" i="5" s="1"/>
  <c r="DK615" i="5"/>
  <c r="DK654" i="5"/>
  <c r="IG580" i="5"/>
  <c r="AD1697" i="2"/>
  <c r="AD1595" i="2"/>
  <c r="AD1698" i="2" s="1"/>
  <c r="AD1702" i="2" s="1"/>
  <c r="CQ1154" i="5"/>
  <c r="CQ1157" i="5" s="1"/>
  <c r="CQ654" i="5"/>
  <c r="CQ615" i="5"/>
  <c r="AE1353" i="2"/>
  <c r="AE1440" i="2"/>
  <c r="IG579" i="5"/>
  <c r="N109" i="7"/>
  <c r="AM1824" i="2"/>
  <c r="DA650" i="5"/>
  <c r="DA596" i="5"/>
  <c r="IS969" i="5"/>
  <c r="IS961" i="5"/>
  <c r="CU1154" i="5"/>
  <c r="CU1157" i="5" s="1"/>
  <c r="CU615" i="5"/>
  <c r="CU654" i="5"/>
  <c r="G110" i="7"/>
  <c r="HY649" i="5"/>
  <c r="AM1273" i="2"/>
  <c r="AM1281" i="2" s="1"/>
  <c r="AK1274" i="2"/>
  <c r="AK1282" i="2" s="1"/>
  <c r="AK1768" i="2"/>
  <c r="JB817" i="5"/>
  <c r="AK1814" i="2"/>
  <c r="JB801" i="5"/>
  <c r="IZ801" i="5" s="1"/>
  <c r="AK1120" i="2"/>
  <c r="AK1421" i="2"/>
  <c r="E1118" i="2"/>
  <c r="AJ1272" i="2"/>
  <c r="AJ1280" i="2" s="1"/>
  <c r="AJ1847" i="2"/>
  <c r="AJ1846" i="2" s="1"/>
  <c r="AJ1854" i="2" s="1"/>
  <c r="IY804" i="5"/>
  <c r="IX804" i="5" s="1"/>
  <c r="IR558" i="5"/>
  <c r="Z965" i="2"/>
  <c r="Y1734" i="2"/>
  <c r="Z848" i="2"/>
  <c r="Y1519" i="2" s="1"/>
  <c r="Y1521" i="2" s="1"/>
  <c r="Y1520" i="2" s="1"/>
  <c r="HR579" i="5"/>
  <c r="HR648" i="5" s="1"/>
  <c r="X1367" i="2"/>
  <c r="X1454" i="2" s="1"/>
  <c r="JA561" i="5"/>
  <c r="IR550" i="5"/>
  <c r="IR640" i="5" s="1"/>
  <c r="IC580" i="5"/>
  <c r="L110" i="7" s="1"/>
  <c r="L103" i="7"/>
  <c r="JG896" i="5"/>
  <c r="IY474" i="5"/>
  <c r="IW474" i="5" s="1"/>
  <c r="IX474" i="5" s="1"/>
  <c r="AI318" i="2"/>
  <c r="AI562" i="2"/>
  <c r="AJ558" i="2"/>
  <c r="AK558" i="2" s="1"/>
  <c r="AL558" i="2" s="1"/>
  <c r="AM558" i="2" s="1"/>
  <c r="AN558" i="2" s="1"/>
  <c r="AO558" i="2" s="1"/>
  <c r="AP558" i="2" s="1"/>
  <c r="AQ558" i="2" s="1"/>
  <c r="AR558" i="2" s="1"/>
  <c r="AS558" i="2" s="1"/>
  <c r="AT558" i="2" s="1"/>
  <c r="IX536" i="5"/>
  <c r="JA597" i="5"/>
  <c r="AL345" i="2"/>
  <c r="AL347" i="2"/>
  <c r="AL287" i="2"/>
  <c r="AL288" i="2" s="1"/>
  <c r="AL308" i="2"/>
  <c r="AM717" i="2"/>
  <c r="AL346" i="2"/>
  <c r="AH310" i="2"/>
  <c r="AH683" i="2"/>
  <c r="IZ506" i="5"/>
  <c r="JA506" i="5" s="1"/>
  <c r="AO674" i="2"/>
  <c r="AO874" i="2" s="1"/>
  <c r="L109" i="7"/>
  <c r="IC582" i="5"/>
  <c r="IC618" i="5" s="1"/>
  <c r="AJ565" i="2"/>
  <c r="AI572" i="2"/>
  <c r="AI328" i="2"/>
  <c r="AI322" i="2"/>
  <c r="AI566" i="2"/>
  <c r="AO688" i="2"/>
  <c r="AO842" i="2" s="1"/>
  <c r="AO829" i="2" s="1"/>
  <c r="AN842" i="2"/>
  <c r="AN656" i="2" s="1"/>
  <c r="AK908" i="2"/>
  <c r="AK957" i="2" s="1"/>
  <c r="JB596" i="5"/>
  <c r="AK807" i="2"/>
  <c r="AN1304" i="2"/>
  <c r="AN1392" i="2"/>
  <c r="IP608" i="5"/>
  <c r="AG829" i="2"/>
  <c r="AG656" i="2"/>
  <c r="AG391" i="2"/>
  <c r="AM1391" i="2"/>
  <c r="AM1297" i="2"/>
  <c r="AM1384" i="2" s="1"/>
  <c r="IT558" i="5"/>
  <c r="IT550" i="5" s="1"/>
  <c r="AM770" i="2"/>
  <c r="AM889" i="2" s="1"/>
  <c r="AM935" i="2" s="1"/>
  <c r="AN783" i="2"/>
  <c r="JI749" i="5"/>
  <c r="JJ749" i="5" s="1"/>
  <c r="W1367" i="2"/>
  <c r="W1454" i="2" s="1"/>
  <c r="W1424" i="2"/>
  <c r="AM391" i="2"/>
  <c r="AM656" i="2"/>
  <c r="AM829" i="2"/>
  <c r="AI569" i="2"/>
  <c r="AJ568" i="2"/>
  <c r="AI325" i="2"/>
  <c r="JN727" i="5"/>
  <c r="JM727" i="5" s="1"/>
  <c r="AO1305" i="2"/>
  <c r="X945" i="2"/>
  <c r="AL414" i="2"/>
  <c r="AK415" i="2"/>
  <c r="JN896" i="5"/>
  <c r="AO1268" i="2"/>
  <c r="IB596" i="5"/>
  <c r="KK582" i="5"/>
  <c r="J112" i="7"/>
  <c r="K112" i="7" s="1"/>
  <c r="AH575" i="2"/>
  <c r="AH331" i="2"/>
  <c r="AG576" i="2"/>
  <c r="AJ903" i="2"/>
  <c r="AJ953" i="2" s="1"/>
  <c r="IY582" i="5"/>
  <c r="AO876" i="2"/>
  <c r="AO849" i="2"/>
  <c r="AO341" i="2"/>
  <c r="JI896" i="5"/>
  <c r="JI895" i="5" s="1"/>
  <c r="JJ895" i="5" s="1"/>
  <c r="AH684" i="2"/>
  <c r="IS478" i="5" s="1"/>
  <c r="Y1735" i="2"/>
  <c r="Z938" i="2"/>
  <c r="JA609" i="5"/>
  <c r="AL909" i="2"/>
  <c r="AL958" i="2" s="1"/>
  <c r="AL828" i="2"/>
  <c r="AO898" i="2"/>
  <c r="AO800" i="2"/>
  <c r="AO897" i="2" s="1"/>
  <c r="AH323" i="2"/>
  <c r="AH840" i="2" s="1"/>
  <c r="AH567" i="2"/>
  <c r="AH329" i="2"/>
  <c r="AH573" i="2"/>
  <c r="Z919" i="2"/>
  <c r="Y1744" i="2" s="1"/>
  <c r="Z951" i="2"/>
  <c r="Z962" i="2" s="1"/>
  <c r="Y1739" i="2"/>
  <c r="AI889" i="2"/>
  <c r="AI935" i="2" s="1"/>
  <c r="IV550" i="5"/>
  <c r="JA550" i="5"/>
  <c r="Z902" i="2"/>
  <c r="HR580" i="5"/>
  <c r="HR649" i="5" s="1"/>
  <c r="AO883" i="2"/>
  <c r="AO746" i="2"/>
  <c r="JB474" i="5"/>
  <c r="AL680" i="2"/>
  <c r="AM680" i="2" s="1"/>
  <c r="AN680" i="2" s="1"/>
  <c r="AO680" i="2" s="1"/>
  <c r="IY958" i="5"/>
  <c r="IY967" i="5" s="1"/>
  <c r="JB536" i="5"/>
  <c r="AK886" i="2"/>
  <c r="AK933" i="2" s="1"/>
  <c r="AM535" i="2"/>
  <c r="AM1059" i="2"/>
  <c r="JH739" i="5"/>
  <c r="IZ537" i="5"/>
  <c r="IZ536" i="5" s="1"/>
  <c r="JH696" i="5"/>
  <c r="JF696" i="5" s="1"/>
  <c r="AM499" i="2"/>
  <c r="JD789" i="5"/>
  <c r="AO512" i="2"/>
  <c r="AN1024" i="2"/>
  <c r="IW510" i="5"/>
  <c r="IX510" i="5" s="1"/>
  <c r="JE732" i="5"/>
  <c r="JD696" i="5"/>
  <c r="JH702" i="5"/>
  <c r="JF702" i="5" s="1"/>
  <c r="AM511" i="2"/>
  <c r="AL1794" i="2"/>
  <c r="AL1310" i="2"/>
  <c r="AL1397" i="2" s="1"/>
  <c r="JE737" i="5"/>
  <c r="AO472" i="2"/>
  <c r="AN1007" i="2"/>
  <c r="IZ737" i="5"/>
  <c r="T8" i="7"/>
  <c r="IM628" i="5"/>
  <c r="IL468" i="5"/>
  <c r="AM754" i="2"/>
  <c r="AL753" i="2"/>
  <c r="AL886" i="2" s="1"/>
  <c r="AL933" i="2" s="1"/>
  <c r="IP487" i="5"/>
  <c r="IO487" i="5" s="1"/>
  <c r="AH693" i="2"/>
  <c r="AG691" i="2"/>
  <c r="JB510" i="5"/>
  <c r="AL721" i="2"/>
  <c r="AM471" i="2"/>
  <c r="JH685" i="5"/>
  <c r="JF685" i="5" s="1"/>
  <c r="IS470" i="5"/>
  <c r="AH298" i="2"/>
  <c r="AO524" i="2"/>
  <c r="AN1027" i="2"/>
  <c r="IV470" i="5"/>
  <c r="AI298" i="2"/>
  <c r="AH738" i="2"/>
  <c r="JH705" i="5"/>
  <c r="JF705" i="5" s="1"/>
  <c r="AM523" i="2"/>
  <c r="IK567" i="5"/>
  <c r="IL567" i="5" s="1"/>
  <c r="IK568" i="5"/>
  <c r="IL568" i="5" s="1"/>
  <c r="IK569" i="5"/>
  <c r="IL569" i="5" s="1"/>
  <c r="IK465" i="5"/>
  <c r="IK572" i="5" s="1"/>
  <c r="IK573" i="5"/>
  <c r="IU510" i="5"/>
  <c r="JD684" i="5"/>
  <c r="AJ716" i="2"/>
  <c r="IN488" i="5"/>
  <c r="IO488" i="5" s="1"/>
  <c r="AO480" i="2"/>
  <c r="AN1011" i="2"/>
  <c r="IQ471" i="5"/>
  <c r="IR471" i="5" s="1"/>
  <c r="JD706" i="5"/>
  <c r="JD691" i="5"/>
  <c r="AB1063" i="2"/>
  <c r="AC539" i="2"/>
  <c r="JH689" i="5"/>
  <c r="JF689" i="5" s="1"/>
  <c r="AM479" i="2"/>
  <c r="IT471" i="5"/>
  <c r="IU471" i="5" s="1"/>
  <c r="JD704" i="5"/>
  <c r="AH358" i="2"/>
  <c r="AO516" i="2"/>
  <c r="AN1025" i="2"/>
  <c r="AI694" i="2"/>
  <c r="AJ584" i="2"/>
  <c r="JD685" i="5"/>
  <c r="IP521" i="5"/>
  <c r="AG361" i="2"/>
  <c r="AG716" i="2"/>
  <c r="JD705" i="5"/>
  <c r="Q8" i="7"/>
  <c r="IH467" i="5"/>
  <c r="AO500" i="2"/>
  <c r="AN1018" i="2"/>
  <c r="AK736" i="2"/>
  <c r="AK716" i="2" s="1"/>
  <c r="JB522" i="5"/>
  <c r="AL737" i="2"/>
  <c r="JD702" i="5"/>
  <c r="AM527" i="2"/>
  <c r="AM1295" i="2"/>
  <c r="AM1382" i="2" s="1"/>
  <c r="JH706" i="5"/>
  <c r="JF706" i="5" s="1"/>
  <c r="IN523" i="5"/>
  <c r="IO523" i="5" s="1"/>
  <c r="AI1723" i="2"/>
  <c r="AE922" i="2"/>
  <c r="IN470" i="5"/>
  <c r="IO470" i="5" s="1"/>
  <c r="JD703" i="5"/>
  <c r="AO488" i="2"/>
  <c r="AN1013" i="2"/>
  <c r="AN1061" i="2"/>
  <c r="AO536" i="2"/>
  <c r="JC739" i="5"/>
  <c r="JD739" i="5" s="1"/>
  <c r="JJ678" i="5"/>
  <c r="IM467" i="5"/>
  <c r="AF671" i="2"/>
  <c r="AF873" i="2"/>
  <c r="AF922" i="2" s="1"/>
  <c r="JD689" i="5"/>
  <c r="IX537" i="5"/>
  <c r="AO520" i="2"/>
  <c r="AN1026" i="2"/>
  <c r="IJ465" i="5"/>
  <c r="AE872" i="2"/>
  <c r="AM467" i="2"/>
  <c r="JH684" i="5"/>
  <c r="JF684" i="5" s="1"/>
  <c r="JJ695" i="5"/>
  <c r="IW521" i="5"/>
  <c r="IW522" i="5" s="1"/>
  <c r="IX522" i="5" s="1"/>
  <c r="AM487" i="2"/>
  <c r="JH691" i="5"/>
  <c r="JF691" i="5" s="1"/>
  <c r="IL470" i="5"/>
  <c r="JH703" i="5"/>
  <c r="JF703" i="5" s="1"/>
  <c r="AM515" i="2"/>
  <c r="IZ732" i="5"/>
  <c r="JA732" i="5" s="1"/>
  <c r="IQ488" i="5"/>
  <c r="IR488" i="5" s="1"/>
  <c r="AO1028" i="2"/>
  <c r="AN1028" i="2"/>
  <c r="JH704" i="5"/>
  <c r="JF704" i="5" s="1"/>
  <c r="AM519" i="2"/>
  <c r="R10" i="7"/>
  <c r="II468" i="5"/>
  <c r="S7" i="7"/>
  <c r="IJ627" i="5"/>
  <c r="IM991" i="5" l="1"/>
  <c r="AD1154" i="2"/>
  <c r="AD1341" i="2" s="1"/>
  <c r="AD1428" i="2" s="1"/>
  <c r="JM692" i="5"/>
  <c r="AD1170" i="2"/>
  <c r="IG990" i="5"/>
  <c r="AD1155" i="2"/>
  <c r="AD1342" i="2" s="1"/>
  <c r="AD1429" i="2" s="1"/>
  <c r="JD693" i="5"/>
  <c r="IJ961" i="5"/>
  <c r="HR990" i="5"/>
  <c r="AD1156" i="2"/>
  <c r="AD1343" i="2" s="1"/>
  <c r="AD1430" i="2" s="1"/>
  <c r="Z1168" i="2"/>
  <c r="Z1440" i="2" s="1"/>
  <c r="HX991" i="5"/>
  <c r="JN749" i="5"/>
  <c r="AS23" i="19" s="1"/>
  <c r="AT23" i="19" s="1"/>
  <c r="AP994" i="2"/>
  <c r="AP430" i="2" s="1"/>
  <c r="IG941" i="5"/>
  <c r="AD1261" i="2" s="1"/>
  <c r="AD1367" i="2" s="1"/>
  <c r="AD1454" i="2" s="1"/>
  <c r="Z1166" i="2"/>
  <c r="Z1438" i="2" s="1"/>
  <c r="Z1169" i="2"/>
  <c r="Z1441" i="2" s="1"/>
  <c r="AN1015" i="2"/>
  <c r="JK693" i="5" s="1"/>
  <c r="JI693" i="5" s="1"/>
  <c r="JL678" i="5"/>
  <c r="JM678" i="5" s="1"/>
  <c r="IZ679" i="5"/>
  <c r="JA679" i="5" s="1"/>
  <c r="JC677" i="5"/>
  <c r="JD677" i="5" s="1"/>
  <c r="IZ682" i="5"/>
  <c r="JA682" i="5" s="1"/>
  <c r="IZ686" i="5"/>
  <c r="JA686" i="5" s="1"/>
  <c r="JL695" i="5"/>
  <c r="JM695" i="5" s="1"/>
  <c r="IZ680" i="5"/>
  <c r="JA680" i="5" s="1"/>
  <c r="JL672" i="5"/>
  <c r="JM672" i="5" s="1"/>
  <c r="JC683" i="5"/>
  <c r="JD683" i="5" s="1"/>
  <c r="IZ669" i="5"/>
  <c r="JA669" i="5" s="1"/>
  <c r="BA69" i="19"/>
  <c r="BB69" i="19" s="1"/>
  <c r="P7" i="19"/>
  <c r="R7" i="19" s="1"/>
  <c r="AN546" i="2"/>
  <c r="AO546" i="2" s="1"/>
  <c r="Q7" i="19"/>
  <c r="JE682" i="5"/>
  <c r="JC682" i="5" s="1"/>
  <c r="AK1565" i="2"/>
  <c r="JE747" i="5"/>
  <c r="JC747" i="5" s="1"/>
  <c r="AC22" i="19" s="1"/>
  <c r="AJ1530" i="2"/>
  <c r="AM1531" i="2"/>
  <c r="O6" i="19"/>
  <c r="N6" i="19" s="1"/>
  <c r="AK1292" i="2"/>
  <c r="AK1379" i="2" s="1"/>
  <c r="AM462" i="2"/>
  <c r="AK1529" i="2"/>
  <c r="JB730" i="5"/>
  <c r="AN527" i="2"/>
  <c r="AO527" i="2"/>
  <c r="JH693" i="5"/>
  <c r="IM839" i="5"/>
  <c r="AB1150" i="2"/>
  <c r="AB1153" i="2" s="1"/>
  <c r="AB1340" i="2" s="1"/>
  <c r="AB1427" i="2" s="1"/>
  <c r="AM495" i="2"/>
  <c r="HU990" i="5"/>
  <c r="AN1531" i="2"/>
  <c r="IY668" i="5"/>
  <c r="IX668" i="5" s="1"/>
  <c r="AL37" i="19"/>
  <c r="JJ802" i="5"/>
  <c r="AS51" i="19"/>
  <c r="AT51" i="19" s="1"/>
  <c r="AO43" i="19"/>
  <c r="JD800" i="5"/>
  <c r="AC49" i="19"/>
  <c r="AD49" i="19" s="1"/>
  <c r="Y1151" i="2"/>
  <c r="AD1151" i="2"/>
  <c r="AF1150" i="2"/>
  <c r="AF1155" i="2" s="1"/>
  <c r="AF1342" i="2" s="1"/>
  <c r="AF1429" i="2" s="1"/>
  <c r="AE1560" i="2"/>
  <c r="AN430" i="2"/>
  <c r="AJ1290" i="2"/>
  <c r="AJ1377" i="2" s="1"/>
  <c r="AM1069" i="2"/>
  <c r="AE1151" i="2"/>
  <c r="AG1555" i="2"/>
  <c r="IJ990" i="5"/>
  <c r="AK426" i="2"/>
  <c r="AK990" i="2"/>
  <c r="JB671" i="5"/>
  <c r="Y22" i="19"/>
  <c r="Y50" i="19"/>
  <c r="JK672" i="5"/>
  <c r="JI672" i="5" s="1"/>
  <c r="P53" i="19"/>
  <c r="R53" i="19" s="1"/>
  <c r="N53" i="19"/>
  <c r="AH1338" i="2"/>
  <c r="AH1425" i="2" s="1"/>
  <c r="DI654" i="5"/>
  <c r="Y60" i="19"/>
  <c r="AG20" i="19"/>
  <c r="AI1528" i="2"/>
  <c r="AF62" i="19"/>
  <c r="AH62" i="19" s="1"/>
  <c r="Q18" i="19"/>
  <c r="N18" i="19"/>
  <c r="AE22" i="19"/>
  <c r="AL1795" i="2"/>
  <c r="AO463" i="2"/>
  <c r="AO1005" i="2" s="1"/>
  <c r="AJ1787" i="2"/>
  <c r="X22" i="19"/>
  <c r="Z22" i="19" s="1"/>
  <c r="AM427" i="2"/>
  <c r="AL993" i="2"/>
  <c r="JH683" i="5"/>
  <c r="AE1329" i="2"/>
  <c r="AE1416" i="2" s="1"/>
  <c r="AE1328" i="2"/>
  <c r="AE1415" i="2" s="1"/>
  <c r="AE1337" i="2"/>
  <c r="AE1424" i="2" s="1"/>
  <c r="JB674" i="5"/>
  <c r="W7" i="19"/>
  <c r="Y7" i="19" s="1"/>
  <c r="AL458" i="2"/>
  <c r="AK1789" i="2"/>
  <c r="JF829" i="5"/>
  <c r="JG829" i="5" s="1"/>
  <c r="JA747" i="5"/>
  <c r="U22" i="19"/>
  <c r="V22" i="19" s="1"/>
  <c r="AC1415" i="2"/>
  <c r="AN1005" i="2"/>
  <c r="AL1311" i="2"/>
  <c r="AL1398" i="2" s="1"/>
  <c r="AM1004" i="2"/>
  <c r="AL545" i="2"/>
  <c r="Z1560" i="2"/>
  <c r="AC1338" i="2"/>
  <c r="AC1425" i="2" s="1"/>
  <c r="AA1560" i="2"/>
  <c r="E82" i="19"/>
  <c r="G82" i="19" s="1"/>
  <c r="AR1050" i="2"/>
  <c r="AQ1550" i="2" s="1"/>
  <c r="AK1792" i="2"/>
  <c r="AL996" i="2"/>
  <c r="AF20" i="19"/>
  <c r="AH20" i="19" s="1"/>
  <c r="AM49" i="19"/>
  <c r="W18" i="19"/>
  <c r="AM20" i="19"/>
  <c r="AJ1534" i="2"/>
  <c r="AJ1549" i="2"/>
  <c r="AL1052" i="2"/>
  <c r="JH822" i="5"/>
  <c r="JF822" i="5" s="1"/>
  <c r="P18" i="19"/>
  <c r="R18" i="19" s="1"/>
  <c r="AE60" i="19"/>
  <c r="U62" i="19"/>
  <c r="V62" i="19" s="1"/>
  <c r="U24" i="19"/>
  <c r="V24" i="19" s="1"/>
  <c r="AN1138" i="2"/>
  <c r="JK829" i="5"/>
  <c r="AO1145" i="2"/>
  <c r="AM1827" i="2"/>
  <c r="AQ1306" i="2"/>
  <c r="AQ1393" i="2" s="1"/>
  <c r="AH1555" i="2"/>
  <c r="AN37" i="19"/>
  <c r="AP37" i="19" s="1"/>
  <c r="AL454" i="2"/>
  <c r="JE680" i="5"/>
  <c r="JA800" i="5"/>
  <c r="U49" i="19"/>
  <c r="V49" i="19" s="1"/>
  <c r="AM62" i="19"/>
  <c r="AN1324" i="2"/>
  <c r="AN1411" i="2" s="1"/>
  <c r="AM1133" i="2"/>
  <c r="AM1334" i="2"/>
  <c r="AM1330" i="2" s="1"/>
  <c r="AM1417" i="2" s="1"/>
  <c r="JK795" i="5"/>
  <c r="JI795" i="5" s="1"/>
  <c r="AO1111" i="2"/>
  <c r="AN606" i="2"/>
  <c r="AU43" i="19"/>
  <c r="AI1433" i="2"/>
  <c r="AN43" i="19"/>
  <c r="AP43" i="19" s="1"/>
  <c r="AN1116" i="2"/>
  <c r="AL1421" i="2"/>
  <c r="AM1548" i="2"/>
  <c r="AM1117" i="2"/>
  <c r="JE817" i="5"/>
  <c r="AG62" i="19"/>
  <c r="JH800" i="5"/>
  <c r="JF800" i="5" s="1"/>
  <c r="Q53" i="19"/>
  <c r="X50" i="19"/>
  <c r="Z50" i="19" s="1"/>
  <c r="AW25" i="19"/>
  <c r="AV25" i="19"/>
  <c r="AX25" i="19" s="1"/>
  <c r="X60" i="19"/>
  <c r="Z60" i="19" s="1"/>
  <c r="AD1560" i="2"/>
  <c r="AT541" i="2"/>
  <c r="AT1535" i="2"/>
  <c r="Y1275" i="2"/>
  <c r="Y1283" i="2" s="1"/>
  <c r="Y1556" i="2"/>
  <c r="Y1560" i="2" s="1"/>
  <c r="X1556" i="2"/>
  <c r="X1560" i="2" s="1"/>
  <c r="AQ1118" i="2"/>
  <c r="AP1542" i="2"/>
  <c r="AP1543" i="2"/>
  <c r="AC1556" i="2"/>
  <c r="AC1560" i="2" s="1"/>
  <c r="AF1367" i="2"/>
  <c r="AF1454" i="2" s="1"/>
  <c r="AF1555" i="2"/>
  <c r="AH1556" i="2"/>
  <c r="AH1560" i="2" s="1"/>
  <c r="AG1556" i="2"/>
  <c r="AG1560" i="2" s="1"/>
  <c r="AJ1536" i="2"/>
  <c r="AJ1552" i="2"/>
  <c r="AJ1553" i="2" s="1"/>
  <c r="AF1275" i="2"/>
  <c r="AF1276" i="2" s="1"/>
  <c r="AF1556" i="2"/>
  <c r="AF1560" i="2" s="1"/>
  <c r="AM1545" i="2"/>
  <c r="AA1276" i="2"/>
  <c r="AS541" i="2"/>
  <c r="AS1535" i="2"/>
  <c r="AN1537" i="2"/>
  <c r="BC25" i="19"/>
  <c r="GM1141" i="5"/>
  <c r="GM1157" i="5" s="1"/>
  <c r="DI1154" i="5"/>
  <c r="DI1157" i="5" s="1"/>
  <c r="DI650" i="5"/>
  <c r="IQ799" i="5"/>
  <c r="IS799" i="5" s="1"/>
  <c r="AH1115" i="2" s="1"/>
  <c r="GN1150" i="5"/>
  <c r="GN1149" i="5" s="1"/>
  <c r="D109" i="7"/>
  <c r="E109" i="7" s="1"/>
  <c r="CE650" i="5"/>
  <c r="BD51" i="19"/>
  <c r="BF51" i="19" s="1"/>
  <c r="BE51" i="19"/>
  <c r="AG49" i="19"/>
  <c r="AF49" i="19"/>
  <c r="AH49" i="19" s="1"/>
  <c r="AF1435" i="2"/>
  <c r="AF1164" i="2"/>
  <c r="AL1120" i="2"/>
  <c r="AE50" i="19"/>
  <c r="AK1272" i="2"/>
  <c r="AK1280" i="2" s="1"/>
  <c r="W53" i="19"/>
  <c r="Y1433" i="2"/>
  <c r="AI1435" i="2"/>
  <c r="AI1169" i="2"/>
  <c r="AI1275" i="2"/>
  <c r="AI1283" i="2" s="1"/>
  <c r="HX941" i="5"/>
  <c r="HX998" i="5" s="1"/>
  <c r="AI1351" i="2"/>
  <c r="AI1439" i="2"/>
  <c r="AI1353" i="2"/>
  <c r="AI1355" i="2"/>
  <c r="AB1338" i="2"/>
  <c r="AB1425" i="2" s="1"/>
  <c r="AF1354" i="2"/>
  <c r="Z1151" i="2"/>
  <c r="P102" i="7"/>
  <c r="AE1796" i="2"/>
  <c r="AB1337" i="2"/>
  <c r="AB1424" i="2" s="1"/>
  <c r="JE801" i="5"/>
  <c r="JC801" i="5" s="1"/>
  <c r="AC50" i="19" s="1"/>
  <c r="AN1006" i="2"/>
  <c r="AO656" i="2"/>
  <c r="AI1348" i="2"/>
  <c r="AU56" i="19"/>
  <c r="AU37" i="19"/>
  <c r="AO1024" i="2"/>
  <c r="AP512" i="2"/>
  <c r="AO1025" i="2"/>
  <c r="AP516" i="2"/>
  <c r="AR431" i="2"/>
  <c r="AQ994" i="2"/>
  <c r="AO1007" i="2"/>
  <c r="AP472" i="2"/>
  <c r="AT1075" i="2"/>
  <c r="AT1313" i="2" s="1"/>
  <c r="AT1400" i="2" s="1"/>
  <c r="AS1313" i="2"/>
  <c r="AS1400" i="2" s="1"/>
  <c r="AR492" i="2"/>
  <c r="AQ1014" i="2"/>
  <c r="AQ491" i="2" s="1"/>
  <c r="AO1027" i="2"/>
  <c r="AP524" i="2"/>
  <c r="AR443" i="2"/>
  <c r="AQ1000" i="2"/>
  <c r="AQ442" i="2" s="1"/>
  <c r="AO1026" i="2"/>
  <c r="AP520" i="2"/>
  <c r="AR1071" i="2"/>
  <c r="AR1312" i="2" s="1"/>
  <c r="AR1399" i="2" s="1"/>
  <c r="AS1072" i="2"/>
  <c r="AP1304" i="2"/>
  <c r="AP1392" i="2"/>
  <c r="AR1049" i="2"/>
  <c r="AQ1305" i="2"/>
  <c r="AO1011" i="2"/>
  <c r="AP480" i="2"/>
  <c r="AQ527" i="2"/>
  <c r="AQ1295" i="2"/>
  <c r="AQ1382" i="2" s="1"/>
  <c r="AS528" i="2"/>
  <c r="AR1028" i="2"/>
  <c r="AR1217" i="2"/>
  <c r="AQ1268" i="2"/>
  <c r="AR447" i="2"/>
  <c r="AQ1017" i="2"/>
  <c r="AQ446" i="2" s="1"/>
  <c r="AO1061" i="2"/>
  <c r="AP536" i="2"/>
  <c r="AO1015" i="2"/>
  <c r="AP496" i="2"/>
  <c r="AO1018" i="2"/>
  <c r="AP500" i="2"/>
  <c r="AO1013" i="2"/>
  <c r="AP488" i="2"/>
  <c r="AO1006" i="2"/>
  <c r="AP468" i="2"/>
  <c r="AO1320" i="2"/>
  <c r="AO1407" i="2" s="1"/>
  <c r="BC31" i="19"/>
  <c r="BB31" i="19" s="1"/>
  <c r="AV31" i="19"/>
  <c r="AX31" i="19" s="1"/>
  <c r="AW31" i="19"/>
  <c r="HR941" i="5"/>
  <c r="JK813" i="5"/>
  <c r="JI813" i="5" s="1"/>
  <c r="AS56" i="19" s="1"/>
  <c r="JN779" i="5"/>
  <c r="JL779" i="5" s="1"/>
  <c r="JM779" i="5" s="1"/>
  <c r="AC25" i="19"/>
  <c r="AD25" i="19" s="1"/>
  <c r="AK56" i="19"/>
  <c r="AL56" i="19" s="1"/>
  <c r="JF958" i="5"/>
  <c r="JF967" i="5" s="1"/>
  <c r="JC817" i="5"/>
  <c r="AC62" i="19"/>
  <c r="AD62" i="19" s="1"/>
  <c r="JG795" i="5"/>
  <c r="AK43" i="19"/>
  <c r="AL43" i="19" s="1"/>
  <c r="AF1439" i="2"/>
  <c r="HX990" i="5"/>
  <c r="AA1338" i="2"/>
  <c r="AA1425" i="2" s="1"/>
  <c r="IA941" i="5"/>
  <c r="AB1261" i="2" s="1"/>
  <c r="IA580" i="5"/>
  <c r="IA649" i="5" s="1"/>
  <c r="DH1154" i="5"/>
  <c r="DH1157" i="5" s="1"/>
  <c r="DH615" i="5"/>
  <c r="DH654" i="5"/>
  <c r="AF1348" i="2"/>
  <c r="AF1351" i="2"/>
  <c r="IG643" i="5"/>
  <c r="AN620" i="2"/>
  <c r="Y1337" i="2"/>
  <c r="Y1424" i="2" s="1"/>
  <c r="AO1129" i="2"/>
  <c r="AF1442" i="2"/>
  <c r="AN1326" i="2"/>
  <c r="AN1413" i="2" s="1"/>
  <c r="AF1440" i="2"/>
  <c r="AF1433" i="2"/>
  <c r="AO1543" i="2"/>
  <c r="AO1542" i="2"/>
  <c r="JN802" i="5"/>
  <c r="JL802" i="5" s="1"/>
  <c r="F59" i="19"/>
  <c r="E59" i="19"/>
  <c r="G59" i="19" s="1"/>
  <c r="AA795" i="2"/>
  <c r="AA892" i="2" s="1"/>
  <c r="AA1735" i="2" s="1"/>
  <c r="AA1750" i="2" s="1"/>
  <c r="JA958" i="5"/>
  <c r="JA967" i="5" s="1"/>
  <c r="AN56" i="19"/>
  <c r="AP56" i="19" s="1"/>
  <c r="AO56" i="19"/>
  <c r="AO37" i="19"/>
  <c r="JA822" i="5"/>
  <c r="JA754" i="5"/>
  <c r="AO1103" i="2"/>
  <c r="JA731" i="5"/>
  <c r="U19" i="19"/>
  <c r="V19" i="19" s="1"/>
  <c r="JA737" i="5"/>
  <c r="U20" i="19"/>
  <c r="V20" i="19" s="1"/>
  <c r="IZ817" i="5"/>
  <c r="IW957" i="5"/>
  <c r="IW966" i="5" s="1"/>
  <c r="IW959" i="5"/>
  <c r="IW968" i="5" s="1"/>
  <c r="JK789" i="5"/>
  <c r="ID991" i="5"/>
  <c r="IJ955" i="5"/>
  <c r="IJ963" i="5" s="1"/>
  <c r="IJ966" i="5"/>
  <c r="AF1346" i="2"/>
  <c r="HX580" i="5"/>
  <c r="HX649" i="5" s="1"/>
  <c r="HU941" i="5"/>
  <c r="Z1261" i="2" s="1"/>
  <c r="AN1273" i="2"/>
  <c r="AN1281" i="2" s="1"/>
  <c r="AN612" i="2"/>
  <c r="AN1322" i="2"/>
  <c r="AN1409" i="2" s="1"/>
  <c r="ID990" i="5"/>
  <c r="JE679" i="5"/>
  <c r="AL450" i="2"/>
  <c r="AM1001" i="2"/>
  <c r="AN451" i="2"/>
  <c r="JD755" i="5"/>
  <c r="II963" i="5"/>
  <c r="IH962" i="5" s="1"/>
  <c r="IG962" i="5" s="1"/>
  <c r="IH953" i="5"/>
  <c r="ID941" i="5"/>
  <c r="IG998" i="5"/>
  <c r="CG596" i="5"/>
  <c r="CG650" i="5"/>
  <c r="AM438" i="2"/>
  <c r="JH677" i="5"/>
  <c r="AM1008" i="2"/>
  <c r="AN476" i="2"/>
  <c r="AL475" i="2"/>
  <c r="JE686" i="5"/>
  <c r="AF1338" i="2"/>
  <c r="AF1425" i="2" s="1"/>
  <c r="AO439" i="2"/>
  <c r="AN999" i="2"/>
  <c r="DJ654" i="5"/>
  <c r="DJ615" i="5"/>
  <c r="DJ1154" i="5"/>
  <c r="DJ1157" i="5" s="1"/>
  <c r="AD795" i="2"/>
  <c r="AD892" i="2" s="1"/>
  <c r="DM1154" i="5"/>
  <c r="DM1157" i="5" s="1"/>
  <c r="DM654" i="5"/>
  <c r="DM615" i="5"/>
  <c r="CK654" i="5"/>
  <c r="CK1154" i="5"/>
  <c r="CK1157" i="5" s="1"/>
  <c r="CK615" i="5"/>
  <c r="CM596" i="5"/>
  <c r="CM650" i="5"/>
  <c r="CY615" i="5"/>
  <c r="CY1154" i="5"/>
  <c r="CY1157" i="5" s="1"/>
  <c r="CY654" i="5"/>
  <c r="GN797" i="5"/>
  <c r="CW1154" i="5"/>
  <c r="CW1157" i="5" s="1"/>
  <c r="CW654" i="5"/>
  <c r="CW615" i="5"/>
  <c r="CH654" i="5"/>
  <c r="CH615" i="5"/>
  <c r="CH1154" i="5"/>
  <c r="CH1157" i="5" s="1"/>
  <c r="CF1154" i="5"/>
  <c r="CF1157" i="5" s="1"/>
  <c r="CF654" i="5"/>
  <c r="CF615" i="5"/>
  <c r="DD1154" i="5"/>
  <c r="DD1157" i="5" s="1"/>
  <c r="DD654" i="5"/>
  <c r="DD615" i="5"/>
  <c r="IM998" i="5"/>
  <c r="CS615" i="5"/>
  <c r="CS654" i="5"/>
  <c r="CS1154" i="5"/>
  <c r="CS1157" i="5" s="1"/>
  <c r="CL1154" i="5"/>
  <c r="CL1157" i="5" s="1"/>
  <c r="CL654" i="5"/>
  <c r="CL615" i="5"/>
  <c r="AD1438" i="2"/>
  <c r="AD1351" i="2"/>
  <c r="Z1415" i="2"/>
  <c r="Z1337" i="2"/>
  <c r="AC652" i="2"/>
  <c r="AC387" i="2"/>
  <c r="H102" i="7"/>
  <c r="AD1354" i="2"/>
  <c r="AD1441" i="2"/>
  <c r="Z1338" i="2"/>
  <c r="Z1425" i="2" s="1"/>
  <c r="Z1416" i="2"/>
  <c r="DT616" i="5"/>
  <c r="CN654" i="5"/>
  <c r="CN1154" i="5"/>
  <c r="CN1157" i="5" s="1"/>
  <c r="CN615" i="5"/>
  <c r="AA1367" i="2"/>
  <c r="AA1454" i="2" s="1"/>
  <c r="AA1424" i="2"/>
  <c r="CE1154" i="5"/>
  <c r="CE1157" i="5" s="1"/>
  <c r="CE615" i="5"/>
  <c r="CE654" i="5"/>
  <c r="AD1449" i="2"/>
  <c r="AD1798" i="2"/>
  <c r="AD1796" i="2" s="1"/>
  <c r="AD1360" i="2"/>
  <c r="AD1447" i="2" s="1"/>
  <c r="AD1353" i="2"/>
  <c r="AD1440" i="2"/>
  <c r="CI650" i="5"/>
  <c r="CI596" i="5"/>
  <c r="JH958" i="5"/>
  <c r="JH967" i="5" s="1"/>
  <c r="AD1352" i="2"/>
  <c r="AD1439" i="2"/>
  <c r="DL1154" i="5"/>
  <c r="DL1157" i="5" s="1"/>
  <c r="DL615" i="5"/>
  <c r="DL654" i="5"/>
  <c r="AD1433" i="2"/>
  <c r="AD1275" i="2"/>
  <c r="AD1346" i="2"/>
  <c r="AB1151" i="2"/>
  <c r="IA991" i="5"/>
  <c r="DC1154" i="5"/>
  <c r="DC1157" i="5" s="1"/>
  <c r="DC615" i="5"/>
  <c r="DC654" i="5"/>
  <c r="CP654" i="5"/>
  <c r="CP615" i="5"/>
  <c r="CP1154" i="5"/>
  <c r="CP1157" i="5" s="1"/>
  <c r="AF583" i="2"/>
  <c r="AG338" i="2"/>
  <c r="AF1796" i="2"/>
  <c r="CR1154" i="5"/>
  <c r="CR1157" i="5" s="1"/>
  <c r="CR615" i="5"/>
  <c r="CR654" i="5"/>
  <c r="X19" i="19"/>
  <c r="Z19" i="19" s="1"/>
  <c r="Y19" i="19"/>
  <c r="AB1441" i="2"/>
  <c r="AB1354" i="2"/>
  <c r="DA654" i="5"/>
  <c r="DA615" i="5"/>
  <c r="DA1154" i="5"/>
  <c r="DA1157" i="5" s="1"/>
  <c r="HW648" i="5"/>
  <c r="F109" i="7"/>
  <c r="AH1433" i="2"/>
  <c r="AH1275" i="2"/>
  <c r="AH1346" i="2"/>
  <c r="I109" i="7"/>
  <c r="K109" i="7" s="1"/>
  <c r="HZ615" i="5"/>
  <c r="I142" i="7" s="1"/>
  <c r="AH1435" i="2"/>
  <c r="AH1348" i="2"/>
  <c r="Z1283" i="2"/>
  <c r="Z1276" i="2"/>
  <c r="AA1155" i="2"/>
  <c r="AA1154" i="2"/>
  <c r="AA1153" i="2"/>
  <c r="AA1156" i="2"/>
  <c r="HV649" i="5"/>
  <c r="D110" i="7"/>
  <c r="E110" i="7" s="1"/>
  <c r="DE654" i="5"/>
  <c r="DE615" i="5"/>
  <c r="DE1154" i="5"/>
  <c r="DE1157" i="5" s="1"/>
  <c r="AA928" i="2"/>
  <c r="AA1729" i="2"/>
  <c r="AE1283" i="2"/>
  <c r="AE1276" i="2"/>
  <c r="P109" i="7"/>
  <c r="IG648" i="5"/>
  <c r="HS654" i="5"/>
  <c r="Z966" i="2"/>
  <c r="Z967" i="2" s="1"/>
  <c r="HS615" i="5"/>
  <c r="HS660" i="5" s="1"/>
  <c r="AH1353" i="2"/>
  <c r="AH1440" i="2"/>
  <c r="AD1701" i="2"/>
  <c r="DN650" i="5"/>
  <c r="DN596" i="5"/>
  <c r="IG649" i="5"/>
  <c r="P110" i="7"/>
  <c r="AB1439" i="2"/>
  <c r="AB1352" i="2"/>
  <c r="AA1731" i="2"/>
  <c r="AA1748" i="2" s="1"/>
  <c r="AA933" i="2"/>
  <c r="AG1729" i="2"/>
  <c r="AD928" i="2"/>
  <c r="AH1438" i="2"/>
  <c r="AH1351" i="2"/>
  <c r="AE1155" i="2"/>
  <c r="AE1342" i="2" s="1"/>
  <c r="AE1429" i="2" s="1"/>
  <c r="AE1154" i="2"/>
  <c r="AE1341" i="2" s="1"/>
  <c r="AE1428" i="2" s="1"/>
  <c r="AE1153" i="2"/>
  <c r="AE1340" i="2" s="1"/>
  <c r="AE1427" i="2" s="1"/>
  <c r="AE1156" i="2"/>
  <c r="AE1343" i="2" s="1"/>
  <c r="AE1430" i="2" s="1"/>
  <c r="AK1308" i="2"/>
  <c r="AK1395" i="2" s="1"/>
  <c r="DF1154" i="5"/>
  <c r="DF1157" i="5" s="1"/>
  <c r="DF615" i="5"/>
  <c r="DF654" i="5"/>
  <c r="AC1283" i="2"/>
  <c r="AC1276" i="2"/>
  <c r="AB1440" i="2"/>
  <c r="AB1353" i="2"/>
  <c r="CV1154" i="5"/>
  <c r="CV1157" i="5" s="1"/>
  <c r="CV654" i="5"/>
  <c r="CV615" i="5"/>
  <c r="AH1355" i="2"/>
  <c r="AH1442" i="2"/>
  <c r="Y1153" i="2"/>
  <c r="Y1154" i="2"/>
  <c r="Y1155" i="2"/>
  <c r="Y1156" i="2"/>
  <c r="HT596" i="5"/>
  <c r="HT650" i="5"/>
  <c r="C112" i="7"/>
  <c r="E112" i="7" s="1"/>
  <c r="AA922" i="2"/>
  <c r="AA1723" i="2"/>
  <c r="AA969" i="2"/>
  <c r="CT1154" i="5"/>
  <c r="CT1157" i="5" s="1"/>
  <c r="CT654" i="5"/>
  <c r="CT615" i="5"/>
  <c r="AM1053" i="2"/>
  <c r="AN532" i="2"/>
  <c r="HU650" i="5"/>
  <c r="HU596" i="5"/>
  <c r="JF755" i="5"/>
  <c r="AH1439" i="2"/>
  <c r="AH1352" i="2"/>
  <c r="HY615" i="5"/>
  <c r="HY617" i="5" s="1"/>
  <c r="HY648" i="5"/>
  <c r="HY660" i="5" s="1"/>
  <c r="G109" i="7"/>
  <c r="IA579" i="5"/>
  <c r="F110" i="7"/>
  <c r="H110" i="7" s="1"/>
  <c r="HW649" i="5"/>
  <c r="AG1723" i="2"/>
  <c r="AD922" i="2"/>
  <c r="AH1354" i="2"/>
  <c r="AH1441" i="2"/>
  <c r="CJ654" i="5"/>
  <c r="CJ1154" i="5"/>
  <c r="CJ1157" i="5" s="1"/>
  <c r="CJ615" i="5"/>
  <c r="AB1351" i="2"/>
  <c r="AB1438" i="2"/>
  <c r="AE19" i="19"/>
  <c r="JE731" i="5"/>
  <c r="JC731" i="5" s="1"/>
  <c r="JD731" i="5" s="1"/>
  <c r="AL1309" i="2"/>
  <c r="AL1396" i="2" s="1"/>
  <c r="AL531" i="2"/>
  <c r="AL1793" i="2"/>
  <c r="AN1315" i="2"/>
  <c r="AN1402" i="2" s="1"/>
  <c r="JK755" i="5"/>
  <c r="JI755" i="5" s="1"/>
  <c r="AN590" i="2"/>
  <c r="AC1155" i="2"/>
  <c r="AC1342" i="2" s="1"/>
  <c r="AC1429" i="2" s="1"/>
  <c r="AC1154" i="2"/>
  <c r="AC1341" i="2" s="1"/>
  <c r="AC1428" i="2" s="1"/>
  <c r="AC1153" i="2"/>
  <c r="AC1340" i="2" s="1"/>
  <c r="AC1427" i="2" s="1"/>
  <c r="AC1156" i="2"/>
  <c r="AC1343" i="2" s="1"/>
  <c r="AC1430" i="2" s="1"/>
  <c r="AD1355" i="2"/>
  <c r="AD1442" i="2"/>
  <c r="AH1827" i="2"/>
  <c r="E1112" i="2"/>
  <c r="AD798" i="2"/>
  <c r="AD895" i="2" s="1"/>
  <c r="AD941" i="2" s="1"/>
  <c r="AD944" i="2" s="1"/>
  <c r="AD797" i="2"/>
  <c r="AD894" i="2" s="1"/>
  <c r="AD940" i="2" s="1"/>
  <c r="AD943" i="2" s="1"/>
  <c r="AD796" i="2"/>
  <c r="AD893" i="2" s="1"/>
  <c r="AD939" i="2" s="1"/>
  <c r="AD799" i="2"/>
  <c r="AD896" i="2" s="1"/>
  <c r="AD942" i="2" s="1"/>
  <c r="AD794" i="2"/>
  <c r="AD872" i="2"/>
  <c r="AO25" i="19"/>
  <c r="AN25" i="19"/>
  <c r="AP25" i="19" s="1"/>
  <c r="AA796" i="2"/>
  <c r="AA893" i="2" s="1"/>
  <c r="AA939" i="2" s="1"/>
  <c r="AA794" i="2"/>
  <c r="AA872" i="2"/>
  <c r="AA798" i="2"/>
  <c r="AA895" i="2" s="1"/>
  <c r="AA941" i="2" s="1"/>
  <c r="AA799" i="2"/>
  <c r="AA896" i="2" s="1"/>
  <c r="AA942" i="2" s="1"/>
  <c r="AA797" i="2"/>
  <c r="AA894" i="2" s="1"/>
  <c r="AA940" i="2" s="1"/>
  <c r="Z1155" i="2"/>
  <c r="Z1154" i="2"/>
  <c r="Z1153" i="2"/>
  <c r="Z1156" i="2"/>
  <c r="AM991" i="2"/>
  <c r="AN420" i="2"/>
  <c r="AF578" i="2"/>
  <c r="AF334" i="2"/>
  <c r="AB1283" i="2"/>
  <c r="AB1276" i="2"/>
  <c r="JB736" i="5"/>
  <c r="IZ736" i="5" s="1"/>
  <c r="JA736" i="5" s="1"/>
  <c r="AL1058" i="2"/>
  <c r="IJ998" i="5"/>
  <c r="AE1261" i="2"/>
  <c r="AL419" i="2"/>
  <c r="JE669" i="5"/>
  <c r="HX642" i="5"/>
  <c r="HX579" i="5"/>
  <c r="JB804" i="5"/>
  <c r="IZ804" i="5" s="1"/>
  <c r="AK1847" i="2"/>
  <c r="AK1846" i="2" s="1"/>
  <c r="AK1854" i="2" s="1"/>
  <c r="HR615" i="5"/>
  <c r="IX521" i="5"/>
  <c r="JG813" i="5"/>
  <c r="IU558" i="5"/>
  <c r="AH564" i="2"/>
  <c r="AH320" i="2"/>
  <c r="IS477" i="5"/>
  <c r="AI310" i="2"/>
  <c r="AI683" i="2"/>
  <c r="JJ896" i="5"/>
  <c r="AM308" i="2"/>
  <c r="AM346" i="2"/>
  <c r="AM347" i="2"/>
  <c r="AM345" i="2"/>
  <c r="AM287" i="2"/>
  <c r="AM288" i="2" s="1"/>
  <c r="AN717" i="2"/>
  <c r="AO909" i="2"/>
  <c r="AO828" i="2"/>
  <c r="JB582" i="5"/>
  <c r="AK903" i="2"/>
  <c r="AK953" i="2" s="1"/>
  <c r="AI323" i="2"/>
  <c r="AI840" i="2" s="1"/>
  <c r="AI567" i="2"/>
  <c r="AI573" i="2"/>
  <c r="AI329" i="2"/>
  <c r="AO1304" i="2"/>
  <c r="AO1392" i="2"/>
  <c r="IC596" i="5"/>
  <c r="L112" i="7"/>
  <c r="AH829" i="2"/>
  <c r="IS608" i="5"/>
  <c r="AH656" i="2"/>
  <c r="AH391" i="2"/>
  <c r="AI684" i="2"/>
  <c r="IV478" i="5" s="1"/>
  <c r="AI575" i="2"/>
  <c r="AI331" i="2"/>
  <c r="Z952" i="2"/>
  <c r="Y1740" i="2"/>
  <c r="J125" i="7"/>
  <c r="K125" i="7" s="1"/>
  <c r="IB615" i="5"/>
  <c r="J142" i="7" s="1"/>
  <c r="IB1106" i="5"/>
  <c r="AC966" i="2"/>
  <c r="AC967" i="2" s="1"/>
  <c r="AO391" i="2"/>
  <c r="AN1391" i="2"/>
  <c r="AN1297" i="2"/>
  <c r="AN1384" i="2" s="1"/>
  <c r="IP597" i="5"/>
  <c r="AG909" i="2"/>
  <c r="AG958" i="2" s="1"/>
  <c r="AG828" i="2"/>
  <c r="AN829" i="2"/>
  <c r="AN391" i="2"/>
  <c r="JL749" i="5"/>
  <c r="JM749" i="5" s="1"/>
  <c r="IU550" i="5"/>
  <c r="AL908" i="2"/>
  <c r="AL957" i="2" s="1"/>
  <c r="AL807" i="2"/>
  <c r="AL903" i="2" s="1"/>
  <c r="AL953" i="2" s="1"/>
  <c r="JL896" i="5"/>
  <c r="JL895" i="5" s="1"/>
  <c r="JM895" i="5" s="1"/>
  <c r="AM909" i="2"/>
  <c r="AM958" i="2" s="1"/>
  <c r="AM828" i="2"/>
  <c r="IN608" i="5"/>
  <c r="IN597" i="5" s="1"/>
  <c r="IQ478" i="5"/>
  <c r="IR478" i="5" s="1"/>
  <c r="AM414" i="2"/>
  <c r="AL415" i="2"/>
  <c r="AO783" i="2"/>
  <c r="AO770" i="2" s="1"/>
  <c r="AO889" i="2" s="1"/>
  <c r="AN770" i="2"/>
  <c r="AN889" i="2" s="1"/>
  <c r="IZ474" i="5"/>
  <c r="JA474" i="5" s="1"/>
  <c r="JA536" i="5"/>
  <c r="JF739" i="5"/>
  <c r="JG739" i="5" s="1"/>
  <c r="JG702" i="5"/>
  <c r="AK636" i="2"/>
  <c r="AK376" i="2"/>
  <c r="IP485" i="5"/>
  <c r="IO485" i="5" s="1"/>
  <c r="IO629" i="5" s="1"/>
  <c r="AG875" i="2"/>
  <c r="AG924" i="2" s="1"/>
  <c r="AG582" i="2"/>
  <c r="JK706" i="5"/>
  <c r="JI706" i="5" s="1"/>
  <c r="AN1295" i="2"/>
  <c r="AN1382" i="2" s="1"/>
  <c r="AN515" i="2"/>
  <c r="JK703" i="5"/>
  <c r="JI703" i="5" s="1"/>
  <c r="AL636" i="2"/>
  <c r="AL376" i="2"/>
  <c r="JK685" i="5"/>
  <c r="JI685" i="5" s="1"/>
  <c r="AN471" i="2"/>
  <c r="IL572" i="5"/>
  <c r="IK579" i="5"/>
  <c r="T7" i="7"/>
  <c r="IM627" i="5"/>
  <c r="IL467" i="5"/>
  <c r="IV488" i="5"/>
  <c r="AI738" i="2"/>
  <c r="AN754" i="2"/>
  <c r="AM753" i="2"/>
  <c r="AM886" i="2" s="1"/>
  <c r="AM933" i="2" s="1"/>
  <c r="AM721" i="2"/>
  <c r="AN479" i="2"/>
  <c r="JK689" i="5"/>
  <c r="JI689" i="5" s="1"/>
  <c r="AM737" i="2"/>
  <c r="AL736" i="2"/>
  <c r="AL361" i="2" s="1"/>
  <c r="AG882" i="2"/>
  <c r="AG929" i="2" s="1"/>
  <c r="IP505" i="5"/>
  <c r="AG714" i="2"/>
  <c r="IZ730" i="5"/>
  <c r="JK705" i="5"/>
  <c r="JI705" i="5" s="1"/>
  <c r="AN523" i="2"/>
  <c r="AC1063" i="2"/>
  <c r="AD539" i="2"/>
  <c r="AJ882" i="2"/>
  <c r="AJ929" i="2" s="1"/>
  <c r="AJ714" i="2"/>
  <c r="IY505" i="5"/>
  <c r="AK714" i="2"/>
  <c r="AK882" i="2"/>
  <c r="AK929" i="2" s="1"/>
  <c r="JB505" i="5"/>
  <c r="JG705" i="5"/>
  <c r="JG691" i="5"/>
  <c r="IS523" i="5"/>
  <c r="AH736" i="2"/>
  <c r="IW505" i="5"/>
  <c r="IW503" i="5" s="1"/>
  <c r="IK580" i="5"/>
  <c r="IL580" i="5" s="1"/>
  <c r="IL573" i="5"/>
  <c r="AN487" i="2"/>
  <c r="JK691" i="5"/>
  <c r="JI691" i="5" s="1"/>
  <c r="IQ470" i="5"/>
  <c r="JD958" i="5"/>
  <c r="JG704" i="5"/>
  <c r="IS487" i="5"/>
  <c r="AH691" i="2"/>
  <c r="AI693" i="2"/>
  <c r="AN499" i="2"/>
  <c r="JK696" i="5"/>
  <c r="JI696" i="5" s="1"/>
  <c r="AN519" i="2"/>
  <c r="JK704" i="5"/>
  <c r="JI704" i="5" s="1"/>
  <c r="Q7" i="7"/>
  <c r="IH569" i="5"/>
  <c r="IH567" i="5"/>
  <c r="IH568" i="5"/>
  <c r="IH465" i="5"/>
  <c r="IH573" i="5"/>
  <c r="JC737" i="5"/>
  <c r="AF872" i="2"/>
  <c r="AF921" i="2" s="1"/>
  <c r="IM465" i="5"/>
  <c r="JG789" i="5"/>
  <c r="AN535" i="2"/>
  <c r="AN1059" i="2"/>
  <c r="JK739" i="5"/>
  <c r="AO1295" i="2"/>
  <c r="AO1382" i="2" s="1"/>
  <c r="JN706" i="5"/>
  <c r="JL706" i="5" s="1"/>
  <c r="JG706" i="5"/>
  <c r="IN521" i="5"/>
  <c r="IO521" i="5" s="1"/>
  <c r="IT470" i="5"/>
  <c r="IU470" i="5" s="1"/>
  <c r="JG685" i="5"/>
  <c r="JK702" i="5"/>
  <c r="JI702" i="5" s="1"/>
  <c r="AN511" i="2"/>
  <c r="JG696" i="5"/>
  <c r="AF341" i="2"/>
  <c r="AF585" i="2"/>
  <c r="JH732" i="5"/>
  <c r="JC732" i="5"/>
  <c r="JD732" i="5" s="1"/>
  <c r="JG684" i="5"/>
  <c r="AE921" i="2"/>
  <c r="AI1722" i="2"/>
  <c r="JB521" i="5"/>
  <c r="AK361" i="2"/>
  <c r="R8" i="7"/>
  <c r="II467" i="5"/>
  <c r="JH737" i="5"/>
  <c r="AM1310" i="2"/>
  <c r="AM1397" i="2" s="1"/>
  <c r="AM1794" i="2"/>
  <c r="IZ510" i="5"/>
  <c r="JG703" i="5"/>
  <c r="JG689" i="5"/>
  <c r="JD822" i="5"/>
  <c r="IJ626" i="5"/>
  <c r="S5" i="7"/>
  <c r="AE585" i="2"/>
  <c r="AE341" i="2"/>
  <c r="AI358" i="2"/>
  <c r="AJ602" i="2" s="1"/>
  <c r="JA537" i="5"/>
  <c r="AO1531" i="2" l="1"/>
  <c r="AD1555" i="2"/>
  <c r="AB1156" i="2"/>
  <c r="AB1343" i="2" s="1"/>
  <c r="AB1430" i="2" s="1"/>
  <c r="AB1154" i="2"/>
  <c r="AB1341" i="2" s="1"/>
  <c r="AB1428" i="2" s="1"/>
  <c r="AB1155" i="2"/>
  <c r="AB1342" i="2" s="1"/>
  <c r="AB1429" i="2" s="1"/>
  <c r="AN495" i="2"/>
  <c r="JD747" i="5"/>
  <c r="JD682" i="5"/>
  <c r="AD50" i="19"/>
  <c r="AN1069" i="2"/>
  <c r="AU22" i="19" s="1"/>
  <c r="JF693" i="5"/>
  <c r="JG693" i="5" s="1"/>
  <c r="JF677" i="5"/>
  <c r="JG677" i="5" s="1"/>
  <c r="JC680" i="5"/>
  <c r="JD680" i="5" s="1"/>
  <c r="IZ674" i="5"/>
  <c r="JA674" i="5" s="1"/>
  <c r="JC679" i="5"/>
  <c r="JD679" i="5" s="1"/>
  <c r="JC686" i="5"/>
  <c r="JD686" i="5" s="1"/>
  <c r="JF683" i="5"/>
  <c r="JG683" i="5" s="1"/>
  <c r="IZ671" i="5"/>
  <c r="JA671" i="5" s="1"/>
  <c r="JB668" i="5"/>
  <c r="JC669" i="5"/>
  <c r="JD669" i="5" s="1"/>
  <c r="AN427" i="2"/>
  <c r="AN993" i="2" s="1"/>
  <c r="AK1530" i="2"/>
  <c r="AL1565" i="2"/>
  <c r="AO487" i="2"/>
  <c r="JH682" i="5"/>
  <c r="JF682" i="5" s="1"/>
  <c r="JN693" i="5"/>
  <c r="AO1059" i="2"/>
  <c r="AO1310" i="2" s="1"/>
  <c r="AO1397" i="2" s="1"/>
  <c r="JN685" i="5"/>
  <c r="AL1292" i="2"/>
  <c r="AL1379" i="2" s="1"/>
  <c r="AJ1528" i="2"/>
  <c r="P6" i="19"/>
  <c r="R6" i="19" s="1"/>
  <c r="AN462" i="2"/>
  <c r="AO479" i="2"/>
  <c r="AO467" i="2"/>
  <c r="AO515" i="2"/>
  <c r="AO511" i="2"/>
  <c r="JN683" i="5"/>
  <c r="AL1529" i="2"/>
  <c r="AO499" i="2"/>
  <c r="AO519" i="2"/>
  <c r="AM1795" i="2"/>
  <c r="Q6" i="19"/>
  <c r="JN705" i="5"/>
  <c r="JL705" i="5" s="1"/>
  <c r="AK1787" i="2"/>
  <c r="JJ795" i="5"/>
  <c r="AS43" i="19"/>
  <c r="AT43" i="19" s="1"/>
  <c r="AF1154" i="2"/>
  <c r="AF1341" i="2" s="1"/>
  <c r="AF1428" i="2" s="1"/>
  <c r="AF1153" i="2"/>
  <c r="AF1340" i="2" s="1"/>
  <c r="AF1427" i="2" s="1"/>
  <c r="JJ755" i="5"/>
  <c r="AS25" i="19"/>
  <c r="AT25" i="19" s="1"/>
  <c r="JG800" i="5"/>
  <c r="AK49" i="19"/>
  <c r="AL49" i="19" s="1"/>
  <c r="JH747" i="5"/>
  <c r="JF747" i="5" s="1"/>
  <c r="AK22" i="19" s="1"/>
  <c r="JM802" i="5"/>
  <c r="BA51" i="19"/>
  <c r="BB51" i="19" s="1"/>
  <c r="AM22" i="19"/>
  <c r="AN22" i="19" s="1"/>
  <c r="AP22" i="19" s="1"/>
  <c r="AF1156" i="2"/>
  <c r="AF1343" i="2" s="1"/>
  <c r="AF1430" i="2" s="1"/>
  <c r="JJ672" i="5"/>
  <c r="AV56" i="19"/>
  <c r="AX56" i="19" s="1"/>
  <c r="AT56" i="19"/>
  <c r="AV43" i="19"/>
  <c r="AX43" i="19" s="1"/>
  <c r="AO62" i="19"/>
  <c r="W6" i="19"/>
  <c r="Y6" i="19" s="1"/>
  <c r="AK1290" i="2"/>
  <c r="AK1377" i="2" s="1"/>
  <c r="AM545" i="2"/>
  <c r="AM1311" i="2"/>
  <c r="AM1398" i="2" s="1"/>
  <c r="AM993" i="2"/>
  <c r="AM990" i="2" s="1"/>
  <c r="AL426" i="2"/>
  <c r="AK1534" i="2"/>
  <c r="AE1338" i="2"/>
  <c r="AE1425" i="2" s="1"/>
  <c r="JE671" i="5"/>
  <c r="JC671" i="5" s="1"/>
  <c r="AA1261" i="2"/>
  <c r="Z1555" i="2" s="1"/>
  <c r="AG22" i="19"/>
  <c r="AD22" i="19"/>
  <c r="X7" i="19"/>
  <c r="Z7" i="19" s="1"/>
  <c r="AF60" i="19"/>
  <c r="AH60" i="19" s="1"/>
  <c r="AF22" i="19"/>
  <c r="AH22" i="19" s="1"/>
  <c r="AP463" i="2"/>
  <c r="AP1005" i="2" s="1"/>
  <c r="AP462" i="2" s="1"/>
  <c r="AO462" i="2"/>
  <c r="JE674" i="5"/>
  <c r="AL1789" i="2"/>
  <c r="AE7" i="19"/>
  <c r="AL990" i="2"/>
  <c r="AN1004" i="2"/>
  <c r="JI829" i="5"/>
  <c r="JJ829" i="5" s="1"/>
  <c r="AM458" i="2"/>
  <c r="JI789" i="5"/>
  <c r="AP1111" i="2"/>
  <c r="AP606" i="2" s="1"/>
  <c r="AU62" i="19"/>
  <c r="AP1145" i="2"/>
  <c r="AP1138" i="2" s="1"/>
  <c r="AP1334" i="2" s="1"/>
  <c r="JK683" i="5"/>
  <c r="AS1050" i="2"/>
  <c r="AR1550" i="2" s="1"/>
  <c r="AO1138" i="2"/>
  <c r="AR1306" i="2"/>
  <c r="AR1393" i="2" s="1"/>
  <c r="JK800" i="5"/>
  <c r="JI800" i="5" s="1"/>
  <c r="AE18" i="19"/>
  <c r="AM50" i="19"/>
  <c r="AL1792" i="2"/>
  <c r="BC43" i="19"/>
  <c r="AO49" i="19"/>
  <c r="AN49" i="19"/>
  <c r="AP49" i="19" s="1"/>
  <c r="JE730" i="5"/>
  <c r="AN1133" i="2"/>
  <c r="AG60" i="19"/>
  <c r="JK822" i="5"/>
  <c r="X18" i="19"/>
  <c r="Z18" i="19" s="1"/>
  <c r="Y18" i="19"/>
  <c r="AN1334" i="2"/>
  <c r="AN1421" i="2" s="1"/>
  <c r="JN829" i="5"/>
  <c r="AM60" i="19"/>
  <c r="AC60" i="19"/>
  <c r="AD60" i="19" s="1"/>
  <c r="U53" i="19"/>
  <c r="V53" i="19" s="1"/>
  <c r="AM1421" i="2"/>
  <c r="AW37" i="19"/>
  <c r="AN62" i="19"/>
  <c r="AP62" i="19" s="1"/>
  <c r="JH817" i="5"/>
  <c r="AO1324" i="2"/>
  <c r="AO1411" i="2" s="1"/>
  <c r="AO1116" i="2"/>
  <c r="JN795" i="5"/>
  <c r="JL795" i="5" s="1"/>
  <c r="AO606" i="2"/>
  <c r="JA801" i="5"/>
  <c r="U50" i="19"/>
  <c r="V50" i="19" s="1"/>
  <c r="AW43" i="19"/>
  <c r="AF1283" i="2"/>
  <c r="AM1120" i="2"/>
  <c r="AN1545" i="2"/>
  <c r="JH801" i="5"/>
  <c r="JF801" i="5" s="1"/>
  <c r="AU49" i="19"/>
  <c r="AN1117" i="2"/>
  <c r="AL1847" i="2"/>
  <c r="AL1846" i="2" s="1"/>
  <c r="BE25" i="19"/>
  <c r="BD25" i="19"/>
  <c r="BF25" i="19" s="1"/>
  <c r="AB1367" i="2"/>
  <c r="AB1454" i="2" s="1"/>
  <c r="AH1847" i="2"/>
  <c r="AH1846" i="2" s="1"/>
  <c r="AG1552" i="2"/>
  <c r="AG1553" i="2" s="1"/>
  <c r="AH1552" i="2"/>
  <c r="AH1553" i="2" s="1"/>
  <c r="AH1536" i="2"/>
  <c r="AG1549" i="2"/>
  <c r="AG1536" i="2"/>
  <c r="AH1549" i="2"/>
  <c r="AR1118" i="2"/>
  <c r="AQ1542" i="2"/>
  <c r="AQ1543" i="2"/>
  <c r="AO1537" i="2"/>
  <c r="AP590" i="2"/>
  <c r="AP1315" i="2"/>
  <c r="AP1402" i="2" s="1"/>
  <c r="AN1548" i="2"/>
  <c r="AK1552" i="2"/>
  <c r="AK1553" i="2" s="1"/>
  <c r="AE1367" i="2"/>
  <c r="AE1454" i="2" s="1"/>
  <c r="AE1555" i="2"/>
  <c r="AQ430" i="2"/>
  <c r="AP1531" i="2"/>
  <c r="Y1276" i="2"/>
  <c r="AK1549" i="2"/>
  <c r="IQ797" i="5"/>
  <c r="IS797" i="5" s="1"/>
  <c r="AH1113" i="2" s="1"/>
  <c r="AH1272" i="2" s="1"/>
  <c r="AH1280" i="2" s="1"/>
  <c r="GN1144" i="5"/>
  <c r="GN1142" i="5" s="1"/>
  <c r="GN1141" i="5" s="1"/>
  <c r="GN1157" i="5" s="1"/>
  <c r="AG50" i="19"/>
  <c r="AF50" i="19"/>
  <c r="AH50" i="19" s="1"/>
  <c r="Y53" i="19"/>
  <c r="X53" i="19"/>
  <c r="Z53" i="19" s="1"/>
  <c r="JE804" i="5"/>
  <c r="JC804" i="5" s="1"/>
  <c r="AE53" i="19"/>
  <c r="AI1276" i="2"/>
  <c r="AO471" i="2"/>
  <c r="AN467" i="2"/>
  <c r="JK684" i="5"/>
  <c r="JN704" i="5"/>
  <c r="HU998" i="5"/>
  <c r="JN689" i="5"/>
  <c r="IA998" i="5"/>
  <c r="AO523" i="2"/>
  <c r="JN702" i="5"/>
  <c r="AO1004" i="2"/>
  <c r="JN684" i="5"/>
  <c r="JN739" i="5"/>
  <c r="JL739" i="5" s="1"/>
  <c r="JM739" i="5" s="1"/>
  <c r="AI1354" i="2"/>
  <c r="AI1441" i="2"/>
  <c r="JN691" i="5"/>
  <c r="AW56" i="19"/>
  <c r="AV37" i="19"/>
  <c r="AX37" i="19" s="1"/>
  <c r="AP546" i="2"/>
  <c r="AO1069" i="2"/>
  <c r="AS1049" i="2"/>
  <c r="AR1305" i="2"/>
  <c r="AR527" i="2"/>
  <c r="AR1295" i="2"/>
  <c r="AR1382" i="2" s="1"/>
  <c r="AQ472" i="2"/>
  <c r="AP1007" i="2"/>
  <c r="AP471" i="2" s="1"/>
  <c r="AQ480" i="2"/>
  <c r="AP1011" i="2"/>
  <c r="AP479" i="2" s="1"/>
  <c r="AQ1304" i="2"/>
  <c r="AQ1392" i="2"/>
  <c r="AQ468" i="2"/>
  <c r="AP1006" i="2"/>
  <c r="AP467" i="2" s="1"/>
  <c r="AS1217" i="2"/>
  <c r="AR1268" i="2"/>
  <c r="AS492" i="2"/>
  <c r="AR1014" i="2"/>
  <c r="AR491" i="2" s="1"/>
  <c r="AT528" i="2"/>
  <c r="AT1028" i="2" s="1"/>
  <c r="AS1028" i="2"/>
  <c r="JN703" i="5"/>
  <c r="Y1367" i="2"/>
  <c r="Y1454" i="2" s="1"/>
  <c r="AP1391" i="2"/>
  <c r="AP1297" i="2"/>
  <c r="AP1384" i="2" s="1"/>
  <c r="AQ488" i="2"/>
  <c r="AP1013" i="2"/>
  <c r="AP487" i="2" s="1"/>
  <c r="AS1071" i="2"/>
  <c r="AS1312" i="2" s="1"/>
  <c r="AS1399" i="2" s="1"/>
  <c r="AT1072" i="2"/>
  <c r="AT1071" i="2" s="1"/>
  <c r="AT1312" i="2" s="1"/>
  <c r="AT1399" i="2" s="1"/>
  <c r="AO535" i="2"/>
  <c r="AS431" i="2"/>
  <c r="AR994" i="2"/>
  <c r="AQ500" i="2"/>
  <c r="AP1018" i="2"/>
  <c r="AP499" i="2" s="1"/>
  <c r="AQ516" i="2"/>
  <c r="AP1025" i="2"/>
  <c r="AP515" i="2" s="1"/>
  <c r="AS443" i="2"/>
  <c r="AR1000" i="2"/>
  <c r="AR442" i="2" s="1"/>
  <c r="AQ524" i="2"/>
  <c r="AP1027" i="2"/>
  <c r="AP523" i="2" s="1"/>
  <c r="AP1024" i="2"/>
  <c r="AP511" i="2" s="1"/>
  <c r="AQ512" i="2"/>
  <c r="AQ520" i="2"/>
  <c r="AP1026" i="2"/>
  <c r="AP519" i="2" s="1"/>
  <c r="AO495" i="2"/>
  <c r="AS447" i="2"/>
  <c r="AR1017" i="2"/>
  <c r="AR446" i="2" s="1"/>
  <c r="AQ536" i="2"/>
  <c r="AP1061" i="2"/>
  <c r="AQ496" i="2"/>
  <c r="AP1015" i="2"/>
  <c r="AP495" i="2" s="1"/>
  <c r="BC56" i="19"/>
  <c r="AP1129" i="2"/>
  <c r="JN696" i="5"/>
  <c r="AO999" i="2"/>
  <c r="AP439" i="2"/>
  <c r="BC37" i="19"/>
  <c r="AP1103" i="2"/>
  <c r="AA938" i="2"/>
  <c r="AU20" i="19"/>
  <c r="BE31" i="19"/>
  <c r="BD31" i="19"/>
  <c r="BF31" i="19" s="1"/>
  <c r="AM1052" i="2"/>
  <c r="AM19" i="19"/>
  <c r="JN813" i="5"/>
  <c r="JL813" i="5" s="1"/>
  <c r="Y1261" i="2"/>
  <c r="HR998" i="5"/>
  <c r="AO1273" i="2"/>
  <c r="AO1281" i="2" s="1"/>
  <c r="AO620" i="2"/>
  <c r="AO1326" i="2"/>
  <c r="AO1413" i="2" s="1"/>
  <c r="AK25" i="19"/>
  <c r="AL25" i="19" s="1"/>
  <c r="JD737" i="5"/>
  <c r="AC20" i="19"/>
  <c r="AD20" i="19" s="1"/>
  <c r="JD817" i="5"/>
  <c r="JF817" i="5"/>
  <c r="AK62" i="19"/>
  <c r="AL62" i="19" s="1"/>
  <c r="AO1322" i="2"/>
  <c r="AO1409" i="2" s="1"/>
  <c r="JM896" i="5"/>
  <c r="AO612" i="2"/>
  <c r="JB958" i="5"/>
  <c r="JB967" i="5" s="1"/>
  <c r="JN789" i="5"/>
  <c r="JK958" i="5"/>
  <c r="JK967" i="5" s="1"/>
  <c r="JA730" i="5"/>
  <c r="U18" i="19"/>
  <c r="V18" i="19" s="1"/>
  <c r="U60" i="19"/>
  <c r="V60" i="19" s="1"/>
  <c r="IZ959" i="5"/>
  <c r="IZ968" i="5" s="1"/>
  <c r="JA817" i="5"/>
  <c r="IX957" i="5"/>
  <c r="IX966" i="5" s="1"/>
  <c r="IX959" i="5"/>
  <c r="IX968" i="5" s="1"/>
  <c r="AM450" i="2"/>
  <c r="JH679" i="5"/>
  <c r="AN1001" i="2"/>
  <c r="AO451" i="2"/>
  <c r="IG953" i="5"/>
  <c r="IH952" i="5"/>
  <c r="H109" i="7"/>
  <c r="AN1008" i="2"/>
  <c r="AO476" i="2"/>
  <c r="AL1308" i="2"/>
  <c r="AL1395" i="2" s="1"/>
  <c r="AM475" i="2"/>
  <c r="JH686" i="5"/>
  <c r="CG1154" i="5"/>
  <c r="CG1157" i="5" s="1"/>
  <c r="CG615" i="5"/>
  <c r="CG654" i="5"/>
  <c r="AD805" i="2"/>
  <c r="AD902" i="2" s="1"/>
  <c r="AG1740" i="2" s="1"/>
  <c r="JK677" i="5"/>
  <c r="AN438" i="2"/>
  <c r="AC1261" i="2"/>
  <c r="AB1555" i="2" s="1"/>
  <c r="ID998" i="5"/>
  <c r="HV615" i="5"/>
  <c r="HV660" i="5" s="1"/>
  <c r="Z1424" i="2"/>
  <c r="Z1367" i="2"/>
  <c r="Z1454" i="2" s="1"/>
  <c r="CI1154" i="5"/>
  <c r="CI1157" i="5" s="1"/>
  <c r="CI654" i="5"/>
  <c r="CI615" i="5"/>
  <c r="CM1154" i="5"/>
  <c r="CM1157" i="5" s="1"/>
  <c r="CM615" i="5"/>
  <c r="CM654" i="5"/>
  <c r="AD1283" i="2"/>
  <c r="AD1276" i="2"/>
  <c r="AH338" i="2"/>
  <c r="AH582" i="2"/>
  <c r="AG583" i="2"/>
  <c r="AA636" i="2"/>
  <c r="AA376" i="2"/>
  <c r="AN991" i="2"/>
  <c r="AO420" i="2"/>
  <c r="AP420" i="2" s="1"/>
  <c r="AM419" i="2"/>
  <c r="JH669" i="5"/>
  <c r="JF669" i="5" s="1"/>
  <c r="AD921" i="2"/>
  <c r="AG1722" i="2"/>
  <c r="AA585" i="2"/>
  <c r="AA341" i="2"/>
  <c r="AA921" i="2"/>
  <c r="AA1722" i="2"/>
  <c r="AG578" i="2"/>
  <c r="AG334" i="2"/>
  <c r="IA648" i="5"/>
  <c r="AD891" i="2"/>
  <c r="AD804" i="2"/>
  <c r="G142" i="7"/>
  <c r="HY616" i="5"/>
  <c r="IA615" i="5"/>
  <c r="IA617" i="5" s="1"/>
  <c r="AO532" i="2"/>
  <c r="AN1053" i="2"/>
  <c r="AC946" i="2"/>
  <c r="AA946" i="2"/>
  <c r="AB946" i="2"/>
  <c r="Z946" i="2"/>
  <c r="AD946" i="2"/>
  <c r="Y946" i="2"/>
  <c r="AD341" i="2"/>
  <c r="AD585" i="2"/>
  <c r="AO1315" i="2"/>
  <c r="AO1402" i="2" s="1"/>
  <c r="JN755" i="5"/>
  <c r="JL755" i="5" s="1"/>
  <c r="AO590" i="2"/>
  <c r="AH1276" i="2"/>
  <c r="AH1283" i="2"/>
  <c r="AF19" i="19"/>
  <c r="AH19" i="19" s="1"/>
  <c r="AG19" i="19"/>
  <c r="AC943" i="2"/>
  <c r="AA943" i="2"/>
  <c r="AB943" i="2"/>
  <c r="Y943" i="2"/>
  <c r="Z943" i="2"/>
  <c r="C125" i="7"/>
  <c r="E125" i="7" s="1"/>
  <c r="HT615" i="5"/>
  <c r="HT654" i="5"/>
  <c r="DN1154" i="5"/>
  <c r="DN1157" i="5" s="1"/>
  <c r="DN654" i="5"/>
  <c r="DN615" i="5"/>
  <c r="HW615" i="5" s="1"/>
  <c r="AC944" i="2"/>
  <c r="Z944" i="2"/>
  <c r="Y944" i="2"/>
  <c r="AA944" i="2"/>
  <c r="AB944" i="2"/>
  <c r="AC1112" i="2"/>
  <c r="Y1112" i="2"/>
  <c r="W1112" i="2"/>
  <c r="Z1112" i="2"/>
  <c r="AD1112" i="2"/>
  <c r="X1112" i="2"/>
  <c r="V1112" i="2"/>
  <c r="AA1112" i="2"/>
  <c r="AB1112" i="2"/>
  <c r="JG755" i="5"/>
  <c r="AM1793" i="2"/>
  <c r="AM1309" i="2"/>
  <c r="AM1396" i="2" s="1"/>
  <c r="JH731" i="5"/>
  <c r="JF731" i="5" s="1"/>
  <c r="AM531" i="2"/>
  <c r="HX648" i="5"/>
  <c r="AA804" i="2"/>
  <c r="AA901" i="2" s="1"/>
  <c r="AA891" i="2"/>
  <c r="AD938" i="2"/>
  <c r="AG1735" i="2"/>
  <c r="AG1750" i="2" s="1"/>
  <c r="K142" i="7"/>
  <c r="HU615" i="5"/>
  <c r="HU660" i="5" s="1"/>
  <c r="HU654" i="5"/>
  <c r="AM1058" i="2"/>
  <c r="JE736" i="5"/>
  <c r="JC736" i="5" s="1"/>
  <c r="JD736" i="5" s="1"/>
  <c r="AN20" i="19"/>
  <c r="AP20" i="19" s="1"/>
  <c r="AO20" i="19"/>
  <c r="JG822" i="5"/>
  <c r="JA804" i="5"/>
  <c r="JD801" i="5"/>
  <c r="IQ477" i="5"/>
  <c r="IR477" i="5" s="1"/>
  <c r="AO717" i="2"/>
  <c r="AN347" i="2"/>
  <c r="AN287" i="2"/>
  <c r="AN288" i="2" s="1"/>
  <c r="AN308" i="2"/>
  <c r="AI320" i="2"/>
  <c r="AI564" i="2"/>
  <c r="IV477" i="5"/>
  <c r="IZ957" i="5"/>
  <c r="L125" i="7"/>
  <c r="IC615" i="5"/>
  <c r="L142" i="7" s="1"/>
  <c r="IC1106" i="5"/>
  <c r="IO608" i="5"/>
  <c r="AG807" i="2"/>
  <c r="AG908" i="2"/>
  <c r="AG957" i="2" s="1"/>
  <c r="IP596" i="5"/>
  <c r="AM415" i="2"/>
  <c r="AN414" i="2"/>
  <c r="AM908" i="2"/>
  <c r="AM957" i="2" s="1"/>
  <c r="AM807" i="2"/>
  <c r="AM903" i="2" s="1"/>
  <c r="AM953" i="2" s="1"/>
  <c r="AJ575" i="2"/>
  <c r="JJ813" i="5"/>
  <c r="JC730" i="5"/>
  <c r="IO597" i="5"/>
  <c r="AI656" i="2"/>
  <c r="AI829" i="2"/>
  <c r="AI391" i="2"/>
  <c r="IV608" i="5"/>
  <c r="IQ608" i="5"/>
  <c r="IQ597" i="5" s="1"/>
  <c r="AN909" i="2"/>
  <c r="AN828" i="2"/>
  <c r="AO1297" i="2"/>
  <c r="AO1384" i="2" s="1"/>
  <c r="AO1391" i="2"/>
  <c r="AO908" i="2"/>
  <c r="AO807" i="2"/>
  <c r="AO903" i="2" s="1"/>
  <c r="IS597" i="5"/>
  <c r="AH909" i="2"/>
  <c r="AH958" i="2" s="1"/>
  <c r="AH828" i="2"/>
  <c r="IT478" i="5"/>
  <c r="IU478" i="5" s="1"/>
  <c r="JJ702" i="5"/>
  <c r="AM376" i="2"/>
  <c r="AM636" i="2"/>
  <c r="JK737" i="5"/>
  <c r="AN1310" i="2"/>
  <c r="AN1397" i="2" s="1"/>
  <c r="T5" i="7"/>
  <c r="IM626" i="5"/>
  <c r="IL465" i="5"/>
  <c r="Q98" i="7"/>
  <c r="II568" i="5"/>
  <c r="R98" i="7" s="1"/>
  <c r="JD967" i="5"/>
  <c r="JE958" i="5"/>
  <c r="JE967" i="5" s="1"/>
  <c r="JJ685" i="5"/>
  <c r="IK582" i="5"/>
  <c r="IL579" i="5"/>
  <c r="JG958" i="5"/>
  <c r="JG967" i="5" s="1"/>
  <c r="IS521" i="5"/>
  <c r="AH361" i="2"/>
  <c r="AH716" i="2"/>
  <c r="JJ705" i="5"/>
  <c r="AG881" i="2"/>
  <c r="AG928" i="2" s="1"/>
  <c r="IP503" i="5"/>
  <c r="JB503" i="5"/>
  <c r="AK881" i="2"/>
  <c r="AK928" i="2" s="1"/>
  <c r="AH875" i="2"/>
  <c r="AH924" i="2" s="1"/>
  <c r="IS485" i="5"/>
  <c r="IQ523" i="5"/>
  <c r="IR523" i="5" s="1"/>
  <c r="JJ703" i="5"/>
  <c r="JI739" i="5"/>
  <c r="JJ739" i="5" s="1"/>
  <c r="JA510" i="5"/>
  <c r="JF732" i="5"/>
  <c r="JG732" i="5" s="1"/>
  <c r="AJ881" i="2"/>
  <c r="AJ928" i="2" s="1"/>
  <c r="IY503" i="5"/>
  <c r="IX503" i="5" s="1"/>
  <c r="AN737" i="2"/>
  <c r="AM736" i="2"/>
  <c r="AM361" i="2" s="1"/>
  <c r="JJ706" i="5"/>
  <c r="IX505" i="5"/>
  <c r="JF737" i="5"/>
  <c r="JJ704" i="5"/>
  <c r="IR470" i="5"/>
  <c r="JJ689" i="5"/>
  <c r="II567" i="5"/>
  <c r="R97" i="7" s="1"/>
  <c r="Q97" i="7"/>
  <c r="IQ487" i="5"/>
  <c r="IQ485" i="5" s="1"/>
  <c r="IV523" i="5"/>
  <c r="AI736" i="2"/>
  <c r="AO754" i="2"/>
  <c r="AO753" i="2" s="1"/>
  <c r="AO886" i="2" s="1"/>
  <c r="AN753" i="2"/>
  <c r="AN886" i="2" s="1"/>
  <c r="IN522" i="5"/>
  <c r="IO522" i="5" s="1"/>
  <c r="IN505" i="5"/>
  <c r="Q5" i="7"/>
  <c r="IH572" i="5"/>
  <c r="JN732" i="5"/>
  <c r="JK732" i="5"/>
  <c r="AI691" i="2"/>
  <c r="AJ693" i="2"/>
  <c r="IV487" i="5"/>
  <c r="II465" i="5"/>
  <c r="R7" i="7"/>
  <c r="II573" i="5"/>
  <c r="JJ693" i="5"/>
  <c r="IZ521" i="5"/>
  <c r="IZ522" i="5" s="1"/>
  <c r="JA522" i="5" s="1"/>
  <c r="JM706" i="5"/>
  <c r="JJ696" i="5"/>
  <c r="AD1063" i="2"/>
  <c r="AE539" i="2"/>
  <c r="AL716" i="2"/>
  <c r="IT488" i="5"/>
  <c r="IU488" i="5" s="1"/>
  <c r="AN721" i="2"/>
  <c r="Q103" i="7"/>
  <c r="IH580" i="5"/>
  <c r="Q110" i="7" s="1"/>
  <c r="Q99" i="7"/>
  <c r="II569" i="5"/>
  <c r="R99" i="7" s="1"/>
  <c r="JJ691" i="5"/>
  <c r="BA25" i="19" l="1"/>
  <c r="BB25" i="19" s="1"/>
  <c r="AA1555" i="2"/>
  <c r="JN737" i="5"/>
  <c r="JL737" i="5" s="1"/>
  <c r="JG747" i="5"/>
  <c r="AN1311" i="2"/>
  <c r="AN1398" i="2" s="1"/>
  <c r="JK747" i="5"/>
  <c r="JI747" i="5" s="1"/>
  <c r="AS22" i="19" s="1"/>
  <c r="AT22" i="19" s="1"/>
  <c r="AN545" i="2"/>
  <c r="JH671" i="5"/>
  <c r="JF671" i="5" s="1"/>
  <c r="AM426" i="2"/>
  <c r="U7" i="19"/>
  <c r="V7" i="19" s="1"/>
  <c r="JM705" i="5"/>
  <c r="JG682" i="5"/>
  <c r="JL702" i="5"/>
  <c r="JM702" i="5" s="1"/>
  <c r="JI677" i="5"/>
  <c r="JJ677" i="5" s="1"/>
  <c r="JL689" i="5"/>
  <c r="JM689" i="5" s="1"/>
  <c r="JL684" i="5"/>
  <c r="JM684" i="5" s="1"/>
  <c r="AO427" i="2"/>
  <c r="AO993" i="2" s="1"/>
  <c r="JI684" i="5"/>
  <c r="JJ684" i="5" s="1"/>
  <c r="JI683" i="5"/>
  <c r="JJ683" i="5" s="1"/>
  <c r="JL703" i="5"/>
  <c r="JM703" i="5" s="1"/>
  <c r="JF679" i="5"/>
  <c r="JG679" i="5" s="1"/>
  <c r="JF686" i="5"/>
  <c r="JG686" i="5" s="1"/>
  <c r="JC674" i="5"/>
  <c r="AC7" i="19" s="1"/>
  <c r="AD7" i="19" s="1"/>
  <c r="JL704" i="5"/>
  <c r="JM704" i="5" s="1"/>
  <c r="JL685" i="5"/>
  <c r="JM685" i="5" s="1"/>
  <c r="JL691" i="5"/>
  <c r="JM691" i="5" s="1"/>
  <c r="JL693" i="5"/>
  <c r="JM693" i="5" s="1"/>
  <c r="JL696" i="5"/>
  <c r="JM696" i="5" s="1"/>
  <c r="IZ668" i="5"/>
  <c r="JL683" i="5"/>
  <c r="JM683" i="5" s="1"/>
  <c r="X6" i="19"/>
  <c r="Z6" i="19" s="1"/>
  <c r="BC20" i="19"/>
  <c r="BD20" i="19" s="1"/>
  <c r="BF20" i="19" s="1"/>
  <c r="AO22" i="19"/>
  <c r="AL22" i="19"/>
  <c r="AM1565" i="2"/>
  <c r="AO438" i="2"/>
  <c r="AL1290" i="2"/>
  <c r="AL1377" i="2" s="1"/>
  <c r="AL1530" i="2"/>
  <c r="AM1529" i="2"/>
  <c r="JN682" i="5"/>
  <c r="AM1530" i="2"/>
  <c r="AN458" i="2"/>
  <c r="JJ800" i="5"/>
  <c r="AS49" i="19"/>
  <c r="AT49" i="19" s="1"/>
  <c r="JG801" i="5"/>
  <c r="AK50" i="19"/>
  <c r="AL50" i="19" s="1"/>
  <c r="JM795" i="5"/>
  <c r="BA43" i="19"/>
  <c r="BB43" i="19" s="1"/>
  <c r="JM813" i="5"/>
  <c r="BA56" i="19"/>
  <c r="BB56" i="19" s="1"/>
  <c r="JI958" i="5"/>
  <c r="JI967" i="5" s="1"/>
  <c r="AS37" i="19"/>
  <c r="AT37" i="19" s="1"/>
  <c r="BD37" i="19"/>
  <c r="BF37" i="19" s="1"/>
  <c r="BD56" i="19"/>
  <c r="BF56" i="19" s="1"/>
  <c r="AW49" i="19"/>
  <c r="BD43" i="19"/>
  <c r="BF43" i="19" s="1"/>
  <c r="AO60" i="19"/>
  <c r="AN50" i="19"/>
  <c r="AP50" i="19" s="1"/>
  <c r="JD804" i="5"/>
  <c r="AC53" i="19"/>
  <c r="AD53" i="19" s="1"/>
  <c r="JD671" i="5"/>
  <c r="AK1528" i="2"/>
  <c r="JE668" i="5"/>
  <c r="AL1787" i="2"/>
  <c r="AE6" i="19"/>
  <c r="AG7" i="19"/>
  <c r="AS1306" i="2"/>
  <c r="AS1393" i="2" s="1"/>
  <c r="AQ463" i="2"/>
  <c r="AQ1005" i="2" s="1"/>
  <c r="AQ462" i="2" s="1"/>
  <c r="JK682" i="5"/>
  <c r="AF7" i="19"/>
  <c r="AH7" i="19" s="1"/>
  <c r="AT1050" i="2"/>
  <c r="AT1550" i="2" s="1"/>
  <c r="JJ789" i="5"/>
  <c r="JJ958" i="5" s="1"/>
  <c r="JJ967" i="5" s="1"/>
  <c r="JL829" i="5"/>
  <c r="JM829" i="5" s="1"/>
  <c r="JN958" i="5"/>
  <c r="JN967" i="5" s="1"/>
  <c r="JL789" i="5"/>
  <c r="JI822" i="5"/>
  <c r="AW62" i="19"/>
  <c r="AV62" i="19"/>
  <c r="AX62" i="19" s="1"/>
  <c r="JN822" i="5"/>
  <c r="AQ1111" i="2"/>
  <c r="AQ606" i="2" s="1"/>
  <c r="AP1324" i="2"/>
  <c r="AP1411" i="2" s="1"/>
  <c r="AP1116" i="2"/>
  <c r="AP1117" i="2" s="1"/>
  <c r="AP1120" i="2" s="1"/>
  <c r="AQ1145" i="2"/>
  <c r="AQ1138" i="2" s="1"/>
  <c r="AQ1133" i="2" s="1"/>
  <c r="AO1133" i="2"/>
  <c r="AO1334" i="2"/>
  <c r="AO1421" i="2" s="1"/>
  <c r="BC62" i="19"/>
  <c r="AP1133" i="2"/>
  <c r="AH553" i="2"/>
  <c r="AN1330" i="2"/>
  <c r="AN1417" i="2" s="1"/>
  <c r="JK817" i="5"/>
  <c r="AU60" i="19"/>
  <c r="BC49" i="19"/>
  <c r="JN800" i="5"/>
  <c r="JL800" i="5" s="1"/>
  <c r="AO1117" i="2"/>
  <c r="AN60" i="19"/>
  <c r="AP60" i="19" s="1"/>
  <c r="BE43" i="19"/>
  <c r="AM53" i="19"/>
  <c r="AO50" i="19"/>
  <c r="AU50" i="19"/>
  <c r="AG18" i="19"/>
  <c r="AF18" i="19"/>
  <c r="AH18" i="19" s="1"/>
  <c r="AM18" i="19"/>
  <c r="JG817" i="5"/>
  <c r="AC18" i="19"/>
  <c r="AD18" i="19" s="1"/>
  <c r="AM1847" i="2"/>
  <c r="AM1846" i="2" s="1"/>
  <c r="AL1549" i="2"/>
  <c r="JH804" i="5"/>
  <c r="JF804" i="5" s="1"/>
  <c r="AK53" i="19" s="1"/>
  <c r="AN1120" i="2"/>
  <c r="AV49" i="19"/>
  <c r="AX49" i="19" s="1"/>
  <c r="JK801" i="5"/>
  <c r="JI801" i="5" s="1"/>
  <c r="AL1552" i="2"/>
  <c r="AL1553" i="2" s="1"/>
  <c r="E1113" i="2"/>
  <c r="AA1113" i="2" s="1"/>
  <c r="AH1544" i="2"/>
  <c r="AG1544" i="2"/>
  <c r="AC1367" i="2"/>
  <c r="AC1454" i="2" s="1"/>
  <c r="AC1555" i="2"/>
  <c r="AP1537" i="2"/>
  <c r="AQ1315" i="2"/>
  <c r="AQ1402" i="2" s="1"/>
  <c r="AQ590" i="2"/>
  <c r="AO1545" i="2"/>
  <c r="AR430" i="2"/>
  <c r="AQ1531" i="2"/>
  <c r="AS1118" i="2"/>
  <c r="AR1542" i="2"/>
  <c r="AR1543" i="2"/>
  <c r="Y1555" i="2"/>
  <c r="X1555" i="2"/>
  <c r="AO1548" i="2"/>
  <c r="AM6" i="19"/>
  <c r="AL1528" i="2"/>
  <c r="AH1814" i="2"/>
  <c r="AH1854" i="2" s="1"/>
  <c r="AH1855" i="2" s="1"/>
  <c r="AH1856" i="2" s="1"/>
  <c r="AH405" i="2"/>
  <c r="AI409" i="2" s="1"/>
  <c r="E1114" i="2"/>
  <c r="IQ957" i="5"/>
  <c r="AO458" i="2"/>
  <c r="AG53" i="19"/>
  <c r="AF53" i="19"/>
  <c r="AH53" i="19" s="1"/>
  <c r="AP1004" i="2"/>
  <c r="AP458" i="2" s="1"/>
  <c r="AW22" i="19"/>
  <c r="AV22" i="19"/>
  <c r="AX22" i="19" s="1"/>
  <c r="BC22" i="19"/>
  <c r="AO545" i="2"/>
  <c r="AO1311" i="2"/>
  <c r="AO1398" i="2" s="1"/>
  <c r="JN747" i="5"/>
  <c r="JL747" i="5" s="1"/>
  <c r="AQ546" i="2"/>
  <c r="AP1069" i="2"/>
  <c r="BE37" i="19"/>
  <c r="AS1014" i="2"/>
  <c r="AS491" i="2" s="1"/>
  <c r="AT492" i="2"/>
  <c r="AT1014" i="2" s="1"/>
  <c r="AT491" i="2" s="1"/>
  <c r="AR468" i="2"/>
  <c r="AQ1006" i="2"/>
  <c r="AQ467" i="2" s="1"/>
  <c r="AT431" i="2"/>
  <c r="AT994" i="2" s="1"/>
  <c r="AS994" i="2"/>
  <c r="AQ1391" i="2"/>
  <c r="AQ1297" i="2"/>
  <c r="AQ1384" i="2" s="1"/>
  <c r="AR516" i="2"/>
  <c r="AQ1025" i="2"/>
  <c r="AQ515" i="2" s="1"/>
  <c r="AR500" i="2"/>
  <c r="AQ1018" i="2"/>
  <c r="AQ499" i="2" s="1"/>
  <c r="AO1001" i="2"/>
  <c r="AP451" i="2"/>
  <c r="AQ1027" i="2"/>
  <c r="AQ523" i="2" s="1"/>
  <c r="AR524" i="2"/>
  <c r="AT443" i="2"/>
  <c r="AT1000" i="2" s="1"/>
  <c r="AT442" i="2" s="1"/>
  <c r="AS1000" i="2"/>
  <c r="AS442" i="2" s="1"/>
  <c r="AS1017" i="2"/>
  <c r="AS446" i="2" s="1"/>
  <c r="AT447" i="2"/>
  <c r="AT1017" i="2" s="1"/>
  <c r="AT446" i="2" s="1"/>
  <c r="AR480" i="2"/>
  <c r="AQ1011" i="2"/>
  <c r="AQ479" i="2" s="1"/>
  <c r="AR488" i="2"/>
  <c r="AQ1013" i="2"/>
  <c r="AQ487" i="2" s="1"/>
  <c r="AR472" i="2"/>
  <c r="AQ1007" i="2"/>
  <c r="AQ471" i="2" s="1"/>
  <c r="AT1217" i="2"/>
  <c r="AT1268" i="2" s="1"/>
  <c r="AS1268" i="2"/>
  <c r="AQ1024" i="2"/>
  <c r="AQ511" i="2" s="1"/>
  <c r="AR512" i="2"/>
  <c r="AR520" i="2"/>
  <c r="AQ1026" i="2"/>
  <c r="AQ519" i="2" s="1"/>
  <c r="AR1304" i="2"/>
  <c r="AR1392" i="2"/>
  <c r="AT1049" i="2"/>
  <c r="AT1305" i="2" s="1"/>
  <c r="AT1392" i="2" s="1"/>
  <c r="AS1305" i="2"/>
  <c r="AS1392" i="2" s="1"/>
  <c r="AS527" i="2"/>
  <c r="AS1295" i="2"/>
  <c r="AS1382" i="2" s="1"/>
  <c r="AT1295" i="2"/>
  <c r="AT1382" i="2" s="1"/>
  <c r="AT527" i="2"/>
  <c r="AP535" i="2"/>
  <c r="AP1059" i="2"/>
  <c r="AP1310" i="2" s="1"/>
  <c r="AP1397" i="2" s="1"/>
  <c r="AR536" i="2"/>
  <c r="AQ1061" i="2"/>
  <c r="AR496" i="2"/>
  <c r="AQ1015" i="2"/>
  <c r="AQ495" i="2" s="1"/>
  <c r="BE56" i="19"/>
  <c r="AQ439" i="2"/>
  <c r="AP999" i="2"/>
  <c r="AP620" i="2"/>
  <c r="AP1326" i="2"/>
  <c r="AP1413" i="2" s="1"/>
  <c r="AQ1129" i="2"/>
  <c r="JN677" i="5"/>
  <c r="AP1330" i="2"/>
  <c r="AP1417" i="2" s="1"/>
  <c r="AP1421" i="2"/>
  <c r="AQ420" i="2"/>
  <c r="AP991" i="2"/>
  <c r="AQ1103" i="2"/>
  <c r="AP1322" i="2"/>
  <c r="AP1273" i="2"/>
  <c r="AP1281" i="2" s="1"/>
  <c r="AP612" i="2"/>
  <c r="AO1053" i="2"/>
  <c r="AP532" i="2"/>
  <c r="AO1008" i="2"/>
  <c r="AP476" i="2"/>
  <c r="AW20" i="19"/>
  <c r="AV20" i="19"/>
  <c r="AX20" i="19" s="1"/>
  <c r="JH730" i="5"/>
  <c r="AM1792" i="2"/>
  <c r="AU19" i="19"/>
  <c r="AK19" i="19"/>
  <c r="AL19" i="19" s="1"/>
  <c r="AC19" i="19"/>
  <c r="AD19" i="19" s="1"/>
  <c r="JG737" i="5"/>
  <c r="AK20" i="19"/>
  <c r="AL20" i="19" s="1"/>
  <c r="AK60" i="19"/>
  <c r="AL60" i="19" s="1"/>
  <c r="AD952" i="2"/>
  <c r="JA957" i="5"/>
  <c r="JA966" i="5" s="1"/>
  <c r="JA959" i="5"/>
  <c r="IY957" i="5"/>
  <c r="IY966" i="5" s="1"/>
  <c r="AO991" i="2"/>
  <c r="IY959" i="5"/>
  <c r="IY968" i="5" s="1"/>
  <c r="AN450" i="2"/>
  <c r="JK679" i="5"/>
  <c r="HX615" i="5"/>
  <c r="HX617" i="5" s="1"/>
  <c r="D142" i="7"/>
  <c r="JG671" i="5"/>
  <c r="AM1308" i="2"/>
  <c r="AM1395" i="2" s="1"/>
  <c r="JK686" i="5"/>
  <c r="AN475" i="2"/>
  <c r="AI582" i="2"/>
  <c r="AI338" i="2"/>
  <c r="AJ582" i="2" s="1"/>
  <c r="AN426" i="2"/>
  <c r="JK671" i="5"/>
  <c r="JG731" i="5"/>
  <c r="AA1739" i="2"/>
  <c r="AA919" i="2"/>
  <c r="AA1744" i="2" s="1"/>
  <c r="AA951" i="2"/>
  <c r="AA962" i="2" s="1"/>
  <c r="AD901" i="2"/>
  <c r="AD848" i="2"/>
  <c r="AD937" i="2"/>
  <c r="AD945" i="2" s="1"/>
  <c r="AG1734" i="2"/>
  <c r="AG1749" i="2" s="1"/>
  <c r="Y1116" i="2"/>
  <c r="AC1116" i="2"/>
  <c r="AD1116" i="2"/>
  <c r="W1116" i="2"/>
  <c r="JH736" i="5"/>
  <c r="JF736" i="5" s="1"/>
  <c r="JG736" i="5" s="1"/>
  <c r="AN1058" i="2"/>
  <c r="HW660" i="5"/>
  <c r="F142" i="7"/>
  <c r="H142" i="7" s="1"/>
  <c r="JM755" i="5"/>
  <c r="AG686" i="2"/>
  <c r="AH334" i="2"/>
  <c r="AG682" i="2"/>
  <c r="AH578" i="2"/>
  <c r="AN419" i="2"/>
  <c r="JK669" i="5"/>
  <c r="AN990" i="2"/>
  <c r="AO19" i="19"/>
  <c r="AN19" i="19"/>
  <c r="AP19" i="19" s="1"/>
  <c r="AB1116" i="2"/>
  <c r="HT660" i="5"/>
  <c r="C142" i="7"/>
  <c r="Z1116" i="2"/>
  <c r="AA1116" i="2"/>
  <c r="V1116" i="2"/>
  <c r="AN531" i="2"/>
  <c r="JK731" i="5"/>
  <c r="JI731" i="5" s="1"/>
  <c r="AN1309" i="2"/>
  <c r="AN1396" i="2" s="1"/>
  <c r="AM1787" i="2"/>
  <c r="AM1290" i="2"/>
  <c r="AM1377" i="2" s="1"/>
  <c r="JH668" i="5"/>
  <c r="JF668" i="5" s="1"/>
  <c r="AA1734" i="2"/>
  <c r="AA1749" i="2" s="1"/>
  <c r="AA965" i="2"/>
  <c r="AA937" i="2"/>
  <c r="X1116" i="2"/>
  <c r="AN1052" i="2"/>
  <c r="JA521" i="5"/>
  <c r="AO347" i="2"/>
  <c r="AO287" i="2"/>
  <c r="AO288" i="2" s="1"/>
  <c r="AO308" i="2"/>
  <c r="IZ966" i="5"/>
  <c r="JF730" i="5"/>
  <c r="IT477" i="5"/>
  <c r="IU477" i="5" s="1"/>
  <c r="JD730" i="5"/>
  <c r="AN908" i="2"/>
  <c r="AN807" i="2"/>
  <c r="AN903" i="2" s="1"/>
  <c r="IT608" i="5"/>
  <c r="IT597" i="5" s="1"/>
  <c r="AN415" i="2"/>
  <c r="AO414" i="2"/>
  <c r="IR608" i="5"/>
  <c r="AH908" i="2"/>
  <c r="AH957" i="2" s="1"/>
  <c r="IS596" i="5"/>
  <c r="IQ654" i="5" s="1"/>
  <c r="AH807" i="2"/>
  <c r="IP582" i="5"/>
  <c r="AG903" i="2"/>
  <c r="AG953" i="2" s="1"/>
  <c r="IZ505" i="5"/>
  <c r="JA505" i="5" s="1"/>
  <c r="AI909" i="2"/>
  <c r="AI958" i="2" s="1"/>
  <c r="IV597" i="5"/>
  <c r="AI828" i="2"/>
  <c r="AM716" i="2"/>
  <c r="AM714" i="2" s="1"/>
  <c r="AM881" i="2" s="1"/>
  <c r="AM928" i="2" s="1"/>
  <c r="IR597" i="5"/>
  <c r="AH714" i="2"/>
  <c r="IS505" i="5"/>
  <c r="AH882" i="2"/>
  <c r="AH929" i="2" s="1"/>
  <c r="IQ521" i="5"/>
  <c r="IR521" i="5" s="1"/>
  <c r="II580" i="5"/>
  <c r="R110" i="7" s="1"/>
  <c r="R103" i="7"/>
  <c r="II572" i="5"/>
  <c r="R5" i="7"/>
  <c r="AI361" i="2"/>
  <c r="IV521" i="5"/>
  <c r="AI716" i="2"/>
  <c r="JI737" i="5"/>
  <c r="AL882" i="2"/>
  <c r="AL929" i="2" s="1"/>
  <c r="AL714" i="2"/>
  <c r="AL881" i="2" s="1"/>
  <c r="AL928" i="2" s="1"/>
  <c r="AI875" i="2"/>
  <c r="AI924" i="2" s="1"/>
  <c r="IV485" i="5"/>
  <c r="IT523" i="5"/>
  <c r="IU523" i="5" s="1"/>
  <c r="IK596" i="5"/>
  <c r="IL582" i="5"/>
  <c r="IR487" i="5"/>
  <c r="AN736" i="2"/>
  <c r="AN716" i="2" s="1"/>
  <c r="AO737" i="2"/>
  <c r="AO736" i="2" s="1"/>
  <c r="JI732" i="5"/>
  <c r="JJ732" i="5" s="1"/>
  <c r="AF539" i="2"/>
  <c r="AG539" i="2" s="1"/>
  <c r="AE1063" i="2"/>
  <c r="JL732" i="5"/>
  <c r="JM732" i="5" s="1"/>
  <c r="AO721" i="2"/>
  <c r="IT487" i="5"/>
  <c r="IT485" i="5" s="1"/>
  <c r="AJ691" i="2"/>
  <c r="AK693" i="2"/>
  <c r="IY487" i="5"/>
  <c r="Q102" i="7"/>
  <c r="IH579" i="5"/>
  <c r="IR485" i="5"/>
  <c r="IR629" i="5" s="1"/>
  <c r="IQ629" i="5"/>
  <c r="IO505" i="5"/>
  <c r="IO636" i="5" s="1"/>
  <c r="IN503" i="5"/>
  <c r="IO503" i="5" s="1"/>
  <c r="IO635" i="5" s="1"/>
  <c r="JJ747" i="5" l="1"/>
  <c r="JD674" i="5"/>
  <c r="JI682" i="5"/>
  <c r="JJ682" i="5" s="1"/>
  <c r="AP427" i="2"/>
  <c r="AQ427" i="2" s="1"/>
  <c r="JL677" i="5"/>
  <c r="JM677" i="5" s="1"/>
  <c r="JI686" i="5"/>
  <c r="JJ686" i="5" s="1"/>
  <c r="JI671" i="5"/>
  <c r="JJ671" i="5" s="1"/>
  <c r="JI679" i="5"/>
  <c r="JJ679" i="5" s="1"/>
  <c r="JA668" i="5"/>
  <c r="JI669" i="5"/>
  <c r="JJ669" i="5" s="1"/>
  <c r="U6" i="19"/>
  <c r="V6" i="19" s="1"/>
  <c r="JC668" i="5"/>
  <c r="BE20" i="19"/>
  <c r="JL682" i="5"/>
  <c r="JM682" i="5" s="1"/>
  <c r="AN1565" i="2"/>
  <c r="AO450" i="2"/>
  <c r="JJ801" i="5"/>
  <c r="AS50" i="19"/>
  <c r="AT50" i="19" s="1"/>
  <c r="JM737" i="5"/>
  <c r="BA20" i="19"/>
  <c r="BB20" i="19" s="1"/>
  <c r="JL958" i="5"/>
  <c r="JL967" i="5" s="1"/>
  <c r="BA37" i="19"/>
  <c r="BB37" i="19" s="1"/>
  <c r="JM747" i="5"/>
  <c r="BA22" i="19"/>
  <c r="BB22" i="19" s="1"/>
  <c r="JJ731" i="5"/>
  <c r="AS19" i="19"/>
  <c r="AT19" i="19" s="1"/>
  <c r="JM800" i="5"/>
  <c r="BA49" i="19"/>
  <c r="BB49" i="19" s="1"/>
  <c r="AR463" i="2"/>
  <c r="AS463" i="2" s="1"/>
  <c r="AT463" i="2" s="1"/>
  <c r="AT1005" i="2" s="1"/>
  <c r="JI817" i="5"/>
  <c r="AS62" i="19"/>
  <c r="AT62" i="19" s="1"/>
  <c r="JJ737" i="5"/>
  <c r="AS20" i="19"/>
  <c r="AT20" i="19" s="1"/>
  <c r="AW50" i="19"/>
  <c r="BD49" i="19"/>
  <c r="BF49" i="19" s="1"/>
  <c r="AV60" i="19"/>
  <c r="AX60" i="19" s="1"/>
  <c r="BD62" i="19"/>
  <c r="BF62" i="19" s="1"/>
  <c r="AO53" i="19"/>
  <c r="AL53" i="19"/>
  <c r="AO18" i="19"/>
  <c r="AF6" i="19"/>
  <c r="AH6" i="19" s="1"/>
  <c r="AG6" i="19"/>
  <c r="AG67" i="19" s="1"/>
  <c r="AS1550" i="2"/>
  <c r="AT1306" i="2"/>
  <c r="AT1393" i="2" s="1"/>
  <c r="JJ822" i="5"/>
  <c r="AQ1324" i="2"/>
  <c r="AQ1411" i="2" s="1"/>
  <c r="AQ1116" i="2"/>
  <c r="AQ1117" i="2" s="1"/>
  <c r="AQ1120" i="2" s="1"/>
  <c r="AP1549" i="2" s="1"/>
  <c r="AR1111" i="2"/>
  <c r="AR1324" i="2" s="1"/>
  <c r="AR1411" i="2" s="1"/>
  <c r="JL822" i="5"/>
  <c r="JN817" i="5"/>
  <c r="AQ1334" i="2"/>
  <c r="AQ1421" i="2" s="1"/>
  <c r="AO1330" i="2"/>
  <c r="AO1417" i="2" s="1"/>
  <c r="AR1145" i="2"/>
  <c r="AR1138" i="2" s="1"/>
  <c r="AR1133" i="2" s="1"/>
  <c r="BC60" i="19"/>
  <c r="AO1120" i="2"/>
  <c r="AU53" i="19"/>
  <c r="BE62" i="19"/>
  <c r="AW60" i="19"/>
  <c r="X1113" i="2"/>
  <c r="X405" i="2" s="1"/>
  <c r="W1113" i="2"/>
  <c r="W1115" i="2" s="1"/>
  <c r="AD1113" i="2"/>
  <c r="AD1114" i="2" s="1"/>
  <c r="Z1113" i="2"/>
  <c r="Z1115" i="2" s="1"/>
  <c r="AB1113" i="2"/>
  <c r="AB405" i="2" s="1"/>
  <c r="AC1113" i="2"/>
  <c r="AC1115" i="2" s="1"/>
  <c r="BE49" i="19"/>
  <c r="AN53" i="19"/>
  <c r="AP53" i="19" s="1"/>
  <c r="JN801" i="5"/>
  <c r="JL801" i="5" s="1"/>
  <c r="BC50" i="19"/>
  <c r="AN18" i="19"/>
  <c r="AP18" i="19" s="1"/>
  <c r="AM1549" i="2"/>
  <c r="BC19" i="19"/>
  <c r="AU18" i="19"/>
  <c r="AV50" i="19"/>
  <c r="AX50" i="19" s="1"/>
  <c r="AK6" i="19"/>
  <c r="AL6" i="19" s="1"/>
  <c r="AM1528" i="2"/>
  <c r="AM1552" i="2"/>
  <c r="AM1553" i="2" s="1"/>
  <c r="JK804" i="5"/>
  <c r="JI804" i="5" s="1"/>
  <c r="Y1113" i="2"/>
  <c r="Y1115" i="2" s="1"/>
  <c r="V1113" i="2"/>
  <c r="V1115" i="2" s="1"/>
  <c r="AT430" i="2"/>
  <c r="AT1531" i="2"/>
  <c r="AS1531" i="2"/>
  <c r="AQ1537" i="2"/>
  <c r="AR1315" i="2"/>
  <c r="AR1402" i="2" s="1"/>
  <c r="AR590" i="2"/>
  <c r="AT1118" i="2"/>
  <c r="AS1543" i="2"/>
  <c r="AS1542" i="2"/>
  <c r="JN686" i="5"/>
  <c r="AP1548" i="2"/>
  <c r="AS430" i="2"/>
  <c r="AR1531" i="2"/>
  <c r="AP1545" i="2"/>
  <c r="JN671" i="5"/>
  <c r="AN1530" i="2"/>
  <c r="JN669" i="5"/>
  <c r="AN1529" i="2"/>
  <c r="AO1529" i="2"/>
  <c r="AH409" i="2"/>
  <c r="IQ955" i="5"/>
  <c r="IQ963" i="5" s="1"/>
  <c r="IS957" i="5"/>
  <c r="IS966" i="5" s="1"/>
  <c r="IQ966" i="5"/>
  <c r="AS1304" i="2"/>
  <c r="AS1391" i="2" s="1"/>
  <c r="AR546" i="2"/>
  <c r="AQ1069" i="2"/>
  <c r="AP1311" i="2"/>
  <c r="AP1398" i="2" s="1"/>
  <c r="AP545" i="2"/>
  <c r="BE22" i="19"/>
  <c r="BD22" i="19"/>
  <c r="BF22" i="19" s="1"/>
  <c r="AO415" i="2"/>
  <c r="AP414" i="2"/>
  <c r="AO426" i="2"/>
  <c r="AS472" i="2"/>
  <c r="AR1007" i="2"/>
  <c r="AR471" i="2" s="1"/>
  <c r="AQ451" i="2"/>
  <c r="AP1001" i="2"/>
  <c r="AP450" i="2" s="1"/>
  <c r="AS520" i="2"/>
  <c r="AR1026" i="2"/>
  <c r="AR519" i="2" s="1"/>
  <c r="AS516" i="2"/>
  <c r="AR1025" i="2"/>
  <c r="AR515" i="2" s="1"/>
  <c r="AR1027" i="2"/>
  <c r="AR523" i="2" s="1"/>
  <c r="AS524" i="2"/>
  <c r="AR1391" i="2"/>
  <c r="AR1297" i="2"/>
  <c r="AR1384" i="2" s="1"/>
  <c r="AS512" i="2"/>
  <c r="AR1024" i="2"/>
  <c r="AR511" i="2" s="1"/>
  <c r="JN679" i="5"/>
  <c r="AS488" i="2"/>
  <c r="AR1013" i="2"/>
  <c r="AR487" i="2" s="1"/>
  <c r="AQ1004" i="2"/>
  <c r="AQ458" i="2" s="1"/>
  <c r="AS468" i="2"/>
  <c r="AR1006" i="2"/>
  <c r="AR467" i="2" s="1"/>
  <c r="AS500" i="2"/>
  <c r="AR1018" i="2"/>
  <c r="AR499" i="2" s="1"/>
  <c r="AS480" i="2"/>
  <c r="AR1011" i="2"/>
  <c r="AR479" i="2" s="1"/>
  <c r="AQ535" i="2"/>
  <c r="AQ1059" i="2"/>
  <c r="AQ1310" i="2" s="1"/>
  <c r="AQ1397" i="2" s="1"/>
  <c r="AS536" i="2"/>
  <c r="AR1061" i="2"/>
  <c r="AS496" i="2"/>
  <c r="AR1015" i="2"/>
  <c r="AR495" i="2" s="1"/>
  <c r="AO475" i="2"/>
  <c r="AQ532" i="2"/>
  <c r="AP1053" i="2"/>
  <c r="AO531" i="2"/>
  <c r="JN731" i="5"/>
  <c r="JL731" i="5" s="1"/>
  <c r="AQ1273" i="2"/>
  <c r="AQ1281" i="2" s="1"/>
  <c r="AQ1322" i="2"/>
  <c r="AQ612" i="2"/>
  <c r="AR1103" i="2"/>
  <c r="AQ620" i="2"/>
  <c r="AR1129" i="2"/>
  <c r="AQ1548" i="2" s="1"/>
  <c r="AQ1326" i="2"/>
  <c r="AQ1413" i="2" s="1"/>
  <c r="AQ476" i="2"/>
  <c r="AP1008" i="2"/>
  <c r="AO1565" i="2" s="1"/>
  <c r="AP438" i="2"/>
  <c r="AO1052" i="2"/>
  <c r="AP1409" i="2"/>
  <c r="AP419" i="2"/>
  <c r="AO1309" i="2"/>
  <c r="AO1396" i="2" s="1"/>
  <c r="AR439" i="2"/>
  <c r="AQ999" i="2"/>
  <c r="AR420" i="2"/>
  <c r="AQ991" i="2"/>
  <c r="AP1529" i="2" s="1"/>
  <c r="AV19" i="19"/>
  <c r="AX19" i="19" s="1"/>
  <c r="AW19" i="19"/>
  <c r="AU6" i="19"/>
  <c r="JK730" i="5"/>
  <c r="JM789" i="5"/>
  <c r="JG730" i="5"/>
  <c r="AK18" i="19"/>
  <c r="AL18" i="19" s="1"/>
  <c r="JB957" i="5"/>
  <c r="JB966" i="5" s="1"/>
  <c r="AO990" i="2"/>
  <c r="AO419" i="2"/>
  <c r="JA968" i="5"/>
  <c r="JB959" i="5"/>
  <c r="JB968" i="5" s="1"/>
  <c r="E142" i="7"/>
  <c r="HX1115" i="5"/>
  <c r="HX1117" i="5" s="1"/>
  <c r="HX660" i="5"/>
  <c r="AA848" i="2"/>
  <c r="JG668" i="5"/>
  <c r="IP480" i="5"/>
  <c r="AG333" i="2"/>
  <c r="AC1117" i="2"/>
  <c r="AC1118" i="2" s="1"/>
  <c r="X1117" i="2"/>
  <c r="X1118" i="2" s="1"/>
  <c r="Z1117" i="2"/>
  <c r="Z1118" i="2" s="1"/>
  <c r="AC945" i="2"/>
  <c r="Y945" i="2"/>
  <c r="AA945" i="2"/>
  <c r="AB945" i="2"/>
  <c r="Z945" i="2"/>
  <c r="Y1117" i="2"/>
  <c r="Y1118" i="2" s="1"/>
  <c r="AD1827" i="2"/>
  <c r="AD1117" i="2"/>
  <c r="AA1117" i="2"/>
  <c r="AA1118" i="2" s="1"/>
  <c r="JK736" i="5"/>
  <c r="JI736" i="5" s="1"/>
  <c r="JJ736" i="5" s="1"/>
  <c r="AO1058" i="2"/>
  <c r="AN1308" i="2"/>
  <c r="AN1395" i="2" s="1"/>
  <c r="AG577" i="2"/>
  <c r="IP476" i="5"/>
  <c r="AG575" i="2"/>
  <c r="AD951" i="2"/>
  <c r="AD962" i="2" s="1"/>
  <c r="AG1739" i="2"/>
  <c r="AG1744" i="2" s="1"/>
  <c r="AB1117" i="2"/>
  <c r="AB1118" i="2" s="1"/>
  <c r="V1117" i="2"/>
  <c r="V1118" i="2" s="1"/>
  <c r="JG669" i="5"/>
  <c r="AA1115" i="2"/>
  <c r="AA405" i="2"/>
  <c r="AA1114" i="2"/>
  <c r="AI578" i="2"/>
  <c r="AH686" i="2"/>
  <c r="AI334" i="2"/>
  <c r="AH682" i="2"/>
  <c r="AN6" i="19"/>
  <c r="AP6" i="19" s="1"/>
  <c r="AO6" i="19"/>
  <c r="AO67" i="19" s="1"/>
  <c r="AN1290" i="2"/>
  <c r="AN1377" i="2" s="1"/>
  <c r="JK668" i="5"/>
  <c r="JI668" i="5" s="1"/>
  <c r="W1117" i="2"/>
  <c r="W1118" i="2" s="1"/>
  <c r="IU597" i="5"/>
  <c r="AM882" i="2"/>
  <c r="AM929" i="2" s="1"/>
  <c r="JI730" i="5"/>
  <c r="IZ503" i="5"/>
  <c r="JA503" i="5" s="1"/>
  <c r="IS582" i="5"/>
  <c r="IQ650" i="5" s="1"/>
  <c r="AH903" i="2"/>
  <c r="AH953" i="2" s="1"/>
  <c r="IU608" i="5"/>
  <c r="IV596" i="5"/>
  <c r="AI908" i="2"/>
  <c r="AI957" i="2" s="1"/>
  <c r="AI807" i="2"/>
  <c r="AO716" i="2"/>
  <c r="AO882" i="2" s="1"/>
  <c r="IQ522" i="5"/>
  <c r="IR522" i="5" s="1"/>
  <c r="IQ505" i="5"/>
  <c r="IR505" i="5" s="1"/>
  <c r="IR636" i="5" s="1"/>
  <c r="IW487" i="5"/>
  <c r="IW485" i="5" s="1"/>
  <c r="IW467" i="5" s="1"/>
  <c r="IV505" i="5"/>
  <c r="AI882" i="2"/>
  <c r="AI929" i="2" s="1"/>
  <c r="AI714" i="2"/>
  <c r="IQ636" i="5"/>
  <c r="IT521" i="5"/>
  <c r="IU521" i="5" s="1"/>
  <c r="IL596" i="5"/>
  <c r="IK615" i="5"/>
  <c r="IL615" i="5" s="1"/>
  <c r="AH881" i="2"/>
  <c r="AH928" i="2" s="1"/>
  <c r="IS503" i="5"/>
  <c r="JB487" i="5"/>
  <c r="AL693" i="2"/>
  <c r="AK691" i="2"/>
  <c r="AN882" i="2"/>
  <c r="AN714" i="2"/>
  <c r="AN881" i="2" s="1"/>
  <c r="IU485" i="5"/>
  <c r="IH582" i="5"/>
  <c r="Q109" i="7"/>
  <c r="JG804" i="5"/>
  <c r="AJ673" i="2"/>
  <c r="IY485" i="5"/>
  <c r="AJ875" i="2"/>
  <c r="AJ924" i="2" s="1"/>
  <c r="R102" i="7"/>
  <c r="II579" i="5"/>
  <c r="IU487" i="5"/>
  <c r="AP993" i="2" l="1"/>
  <c r="AP990" i="2" s="1"/>
  <c r="AO1528" i="2" s="1"/>
  <c r="JL686" i="5"/>
  <c r="JM686" i="5" s="1"/>
  <c r="JL671" i="5"/>
  <c r="JM671" i="5" s="1"/>
  <c r="JL679" i="5"/>
  <c r="JM679" i="5" s="1"/>
  <c r="JD668" i="5"/>
  <c r="AC6" i="19"/>
  <c r="AD6" i="19" s="1"/>
  <c r="AS18" i="19"/>
  <c r="JL669" i="5"/>
  <c r="JM669" i="5" s="1"/>
  <c r="JL817" i="5"/>
  <c r="BA62" i="19"/>
  <c r="BB62" i="19" s="1"/>
  <c r="JJ668" i="5"/>
  <c r="AS6" i="19"/>
  <c r="AT6" i="19" s="1"/>
  <c r="AS60" i="19"/>
  <c r="AT60" i="19" s="1"/>
  <c r="AT1304" i="2"/>
  <c r="AT1391" i="2" s="1"/>
  <c r="JL730" i="5"/>
  <c r="BA19" i="19"/>
  <c r="BB19" i="19" s="1"/>
  <c r="AP1552" i="2"/>
  <c r="AP1553" i="2" s="1"/>
  <c r="AR1005" i="2"/>
  <c r="AR462" i="2" s="1"/>
  <c r="JM801" i="5"/>
  <c r="BA50" i="19"/>
  <c r="BB50" i="19" s="1"/>
  <c r="JJ804" i="5"/>
  <c r="AS53" i="19"/>
  <c r="AT53" i="19" s="1"/>
  <c r="AS1005" i="2"/>
  <c r="AS462" i="2" s="1"/>
  <c r="JM822" i="5"/>
  <c r="JJ817" i="5"/>
  <c r="BD50" i="19"/>
  <c r="BF50" i="19" s="1"/>
  <c r="AV53" i="19"/>
  <c r="AX53" i="19" s="1"/>
  <c r="BD60" i="19"/>
  <c r="BF60" i="19" s="1"/>
  <c r="AW18" i="19"/>
  <c r="AT18" i="19"/>
  <c r="BE19" i="19"/>
  <c r="AR1116" i="2"/>
  <c r="AR1117" i="2" s="1"/>
  <c r="AR1120" i="2" s="1"/>
  <c r="AQ1552" i="2" s="1"/>
  <c r="AQ1553" i="2" s="1"/>
  <c r="AS1111" i="2"/>
  <c r="AS606" i="2" s="1"/>
  <c r="AD405" i="2"/>
  <c r="AE409" i="2" s="1"/>
  <c r="AD1115" i="2"/>
  <c r="AR606" i="2"/>
  <c r="AD553" i="2"/>
  <c r="X1115" i="2"/>
  <c r="W405" i="2"/>
  <c r="X409" i="2" s="1"/>
  <c r="W1114" i="2"/>
  <c r="X1114" i="2"/>
  <c r="AQ1330" i="2"/>
  <c r="AQ1417" i="2" s="1"/>
  <c r="AR1334" i="2"/>
  <c r="AR1330" i="2" s="1"/>
  <c r="AR1417" i="2" s="1"/>
  <c r="BE60" i="19"/>
  <c r="AS1145" i="2"/>
  <c r="AT1145" i="2" s="1"/>
  <c r="AT1138" i="2" s="1"/>
  <c r="AT1334" i="2" s="1"/>
  <c r="AW53" i="19"/>
  <c r="AO1549" i="2"/>
  <c r="AN1549" i="2"/>
  <c r="JN804" i="5"/>
  <c r="JL804" i="5" s="1"/>
  <c r="AN1552" i="2"/>
  <c r="AN1553" i="2" s="1"/>
  <c r="AO1552" i="2"/>
  <c r="AO1553" i="2" s="1"/>
  <c r="BC53" i="19"/>
  <c r="AC405" i="2"/>
  <c r="AC409" i="2" s="1"/>
  <c r="AC1114" i="2"/>
  <c r="AB1114" i="2"/>
  <c r="Z1114" i="2"/>
  <c r="Z1544" i="2" s="1"/>
  <c r="AB1115" i="2"/>
  <c r="Z405" i="2"/>
  <c r="AA409" i="2" s="1"/>
  <c r="Y405" i="2"/>
  <c r="Y409" i="2" s="1"/>
  <c r="BE50" i="19"/>
  <c r="V1114" i="2"/>
  <c r="Y1114" i="2"/>
  <c r="V405" i="2"/>
  <c r="V409" i="2" s="1"/>
  <c r="BC18" i="19"/>
  <c r="AV18" i="19"/>
  <c r="AX18" i="19" s="1"/>
  <c r="BD19" i="19"/>
  <c r="BF19" i="19" s="1"/>
  <c r="AS1297" i="2"/>
  <c r="AS1384" i="2" s="1"/>
  <c r="AB1543" i="2"/>
  <c r="AB1542" i="2"/>
  <c r="AR1537" i="2"/>
  <c r="AS1315" i="2"/>
  <c r="AS1402" i="2" s="1"/>
  <c r="AS590" i="2"/>
  <c r="W1543" i="2"/>
  <c r="W1542" i="2"/>
  <c r="Y1543" i="2"/>
  <c r="Y1542" i="2"/>
  <c r="AT1543" i="2"/>
  <c r="AT1542" i="2"/>
  <c r="AQ1545" i="2"/>
  <c r="Z1542" i="2"/>
  <c r="Z1543" i="2"/>
  <c r="X1543" i="2"/>
  <c r="X1542" i="2"/>
  <c r="AA1542" i="2"/>
  <c r="AA1543" i="2"/>
  <c r="AC1543" i="2"/>
  <c r="AC1542" i="2"/>
  <c r="BC6" i="19"/>
  <c r="AN1528" i="2"/>
  <c r="JM731" i="5"/>
  <c r="AQ1311" i="2"/>
  <c r="AQ1398" i="2" s="1"/>
  <c r="AQ545" i="2"/>
  <c r="AR1069" i="2"/>
  <c r="AS546" i="2"/>
  <c r="JM958" i="5"/>
  <c r="JM967" i="5" s="1"/>
  <c r="AT488" i="2"/>
  <c r="AT1013" i="2" s="1"/>
  <c r="AT487" i="2" s="1"/>
  <c r="AS1013" i="2"/>
  <c r="AS487" i="2" s="1"/>
  <c r="AS1011" i="2"/>
  <c r="AS479" i="2" s="1"/>
  <c r="AT480" i="2"/>
  <c r="AT1011" i="2" s="1"/>
  <c r="AT479" i="2" s="1"/>
  <c r="AT512" i="2"/>
  <c r="AT1024" i="2" s="1"/>
  <c r="AT511" i="2" s="1"/>
  <c r="AS1024" i="2"/>
  <c r="AS511" i="2" s="1"/>
  <c r="AT524" i="2"/>
  <c r="AT1027" i="2" s="1"/>
  <c r="AT523" i="2" s="1"/>
  <c r="AS1027" i="2"/>
  <c r="AS523" i="2" s="1"/>
  <c r="AT516" i="2"/>
  <c r="AT1025" i="2" s="1"/>
  <c r="AT515" i="2" s="1"/>
  <c r="AS1025" i="2"/>
  <c r="AS515" i="2" s="1"/>
  <c r="AR451" i="2"/>
  <c r="AQ1001" i="2"/>
  <c r="AQ450" i="2" s="1"/>
  <c r="AT520" i="2"/>
  <c r="AT1026" i="2" s="1"/>
  <c r="AT519" i="2" s="1"/>
  <c r="AS1026" i="2"/>
  <c r="AS519" i="2" s="1"/>
  <c r="AT472" i="2"/>
  <c r="AT1007" i="2" s="1"/>
  <c r="AT471" i="2" s="1"/>
  <c r="AS1007" i="2"/>
  <c r="AS471" i="2" s="1"/>
  <c r="AQ414" i="2"/>
  <c r="AP415" i="2"/>
  <c r="AT500" i="2"/>
  <c r="AT1018" i="2" s="1"/>
  <c r="AT499" i="2" s="1"/>
  <c r="AS1018" i="2"/>
  <c r="AS499" i="2" s="1"/>
  <c r="AT468" i="2"/>
  <c r="AT1006" i="2" s="1"/>
  <c r="AT467" i="2" s="1"/>
  <c r="AS1006" i="2"/>
  <c r="AS467" i="2" s="1"/>
  <c r="JN730" i="5"/>
  <c r="AR535" i="2"/>
  <c r="AR1059" i="2"/>
  <c r="AR1310" i="2" s="1"/>
  <c r="AR1397" i="2" s="1"/>
  <c r="AT536" i="2"/>
  <c r="AT1061" i="2" s="1"/>
  <c r="AS1061" i="2"/>
  <c r="AO1308" i="2"/>
  <c r="AO1395" i="2" s="1"/>
  <c r="AT496" i="2"/>
  <c r="AT1015" i="2" s="1"/>
  <c r="AT495" i="2" s="1"/>
  <c r="AS1015" i="2"/>
  <c r="AS495" i="2" s="1"/>
  <c r="AP475" i="2"/>
  <c r="AS439" i="2"/>
  <c r="AR999" i="2"/>
  <c r="AT462" i="2"/>
  <c r="AR1322" i="2"/>
  <c r="AR1273" i="2"/>
  <c r="AR1281" i="2" s="1"/>
  <c r="AS1103" i="2"/>
  <c r="AR1545" i="2" s="1"/>
  <c r="AR612" i="2"/>
  <c r="AQ1409" i="2"/>
  <c r="AR476" i="2"/>
  <c r="AQ1008" i="2"/>
  <c r="AP1565" i="2" s="1"/>
  <c r="AQ419" i="2"/>
  <c r="AR427" i="2"/>
  <c r="AQ993" i="2"/>
  <c r="AP531" i="2"/>
  <c r="AP1309" i="2"/>
  <c r="AP1052" i="2"/>
  <c r="AS420" i="2"/>
  <c r="AR991" i="2"/>
  <c r="AQ1529" i="2" s="1"/>
  <c r="AQ438" i="2"/>
  <c r="JN736" i="5"/>
  <c r="JL736" i="5" s="1"/>
  <c r="JM736" i="5" s="1"/>
  <c r="AP1058" i="2"/>
  <c r="AR620" i="2"/>
  <c r="AS1129" i="2"/>
  <c r="AR1548" i="2" s="1"/>
  <c r="AR1326" i="2"/>
  <c r="AR1413" i="2" s="1"/>
  <c r="AR532" i="2"/>
  <c r="AQ1053" i="2"/>
  <c r="AW6" i="19"/>
  <c r="AW67" i="19" s="1"/>
  <c r="AV6" i="19"/>
  <c r="AX6" i="19" s="1"/>
  <c r="JJ730" i="5"/>
  <c r="JN668" i="5"/>
  <c r="JL668" i="5" s="1"/>
  <c r="Z1120" i="2"/>
  <c r="Z1272" i="2" s="1"/>
  <c r="Z1280" i="2" s="1"/>
  <c r="AO1290" i="2"/>
  <c r="AO1377" i="2" s="1"/>
  <c r="V1120" i="2"/>
  <c r="U1552" i="2" s="1"/>
  <c r="U1553" i="2" s="1"/>
  <c r="W1120" i="2"/>
  <c r="W1272" i="2" s="1"/>
  <c r="W1280" i="2" s="1"/>
  <c r="AA553" i="2"/>
  <c r="IX487" i="5"/>
  <c r="AB1120" i="2"/>
  <c r="AB553" i="2"/>
  <c r="X1120" i="2"/>
  <c r="Y1120" i="2"/>
  <c r="Y553" i="2"/>
  <c r="AB409" i="2"/>
  <c r="AC553" i="2"/>
  <c r="AH679" i="2"/>
  <c r="IS476" i="5"/>
  <c r="IQ476" i="5" s="1"/>
  <c r="IR476" i="5" s="1"/>
  <c r="AJ578" i="2"/>
  <c r="AI686" i="2"/>
  <c r="AI682" i="2"/>
  <c r="AC1120" i="2"/>
  <c r="AC1272" i="2" s="1"/>
  <c r="AC1280" i="2" s="1"/>
  <c r="AH577" i="2"/>
  <c r="AH333" i="2"/>
  <c r="IS480" i="5"/>
  <c r="IQ480" i="5" s="1"/>
  <c r="IR480" i="5" s="1"/>
  <c r="IN476" i="5"/>
  <c r="IO476" i="5" s="1"/>
  <c r="Z553" i="2"/>
  <c r="X553" i="2"/>
  <c r="AA1120" i="2"/>
  <c r="AA1272" i="2" s="1"/>
  <c r="AA1280" i="2" s="1"/>
  <c r="IN480" i="5"/>
  <c r="IO480" i="5" s="1"/>
  <c r="V553" i="2"/>
  <c r="U1568" i="2" s="1"/>
  <c r="W553" i="2"/>
  <c r="AD1120" i="2"/>
  <c r="AD1118" i="2"/>
  <c r="AO714" i="2"/>
  <c r="AO881" i="2" s="1"/>
  <c r="IV582" i="5"/>
  <c r="AI903" i="2"/>
  <c r="AI953" i="2" s="1"/>
  <c r="IW568" i="5"/>
  <c r="IW567" i="5"/>
  <c r="IW465" i="5"/>
  <c r="IW572" i="5" s="1"/>
  <c r="IW579" i="5" s="1"/>
  <c r="IW582" i="5" s="1"/>
  <c r="IW569" i="5"/>
  <c r="IW573" i="5"/>
  <c r="IW580" i="5" s="1"/>
  <c r="IV503" i="5"/>
  <c r="AI881" i="2"/>
  <c r="AI928" i="2" s="1"/>
  <c r="IQ503" i="5"/>
  <c r="IR503" i="5" s="1"/>
  <c r="IR635" i="5" s="1"/>
  <c r="Q112" i="7"/>
  <c r="IH596" i="5"/>
  <c r="IQ635" i="5"/>
  <c r="IT522" i="5"/>
  <c r="IU522" i="5" s="1"/>
  <c r="IT505" i="5"/>
  <c r="II582" i="5"/>
  <c r="R112" i="7" s="1"/>
  <c r="R109" i="7"/>
  <c r="AK875" i="2"/>
  <c r="AK924" i="2" s="1"/>
  <c r="JB485" i="5"/>
  <c r="AK673" i="2"/>
  <c r="IX485" i="5"/>
  <c r="AL691" i="2"/>
  <c r="AM693" i="2"/>
  <c r="AJ873" i="2"/>
  <c r="AJ922" i="2" s="1"/>
  <c r="AJ585" i="2" s="1"/>
  <c r="IY467" i="5"/>
  <c r="IX467" i="5" s="1"/>
  <c r="AJ790" i="2"/>
  <c r="AJ795" i="2"/>
  <c r="AJ671" i="2"/>
  <c r="AJ792" i="2"/>
  <c r="IY569" i="5" s="1"/>
  <c r="IZ487" i="5"/>
  <c r="IZ485" i="5" s="1"/>
  <c r="IZ467" i="5" s="1"/>
  <c r="V1549" i="2" l="1"/>
  <c r="AP426" i="2"/>
  <c r="AO1530" i="2"/>
  <c r="BA60" i="19"/>
  <c r="BB60" i="19" s="1"/>
  <c r="BA18" i="19"/>
  <c r="JM817" i="5"/>
  <c r="AR1004" i="2"/>
  <c r="AR458" i="2" s="1"/>
  <c r="AD1272" i="2"/>
  <c r="AD1280" i="2" s="1"/>
  <c r="AQ1549" i="2"/>
  <c r="JM730" i="5"/>
  <c r="BA53" i="19"/>
  <c r="BB53" i="19" s="1"/>
  <c r="BB18" i="19"/>
  <c r="AS1324" i="2"/>
  <c r="AS1411" i="2" s="1"/>
  <c r="JM668" i="5"/>
  <c r="BA6" i="19"/>
  <c r="BB6" i="19" s="1"/>
  <c r="AT1297" i="2"/>
  <c r="AT1384" i="2" s="1"/>
  <c r="AT1111" i="2"/>
  <c r="AT1324" i="2" s="1"/>
  <c r="AT1411" i="2" s="1"/>
  <c r="AS1116" i="2"/>
  <c r="AS1117" i="2" s="1"/>
  <c r="AS1120" i="2" s="1"/>
  <c r="BD53" i="19"/>
  <c r="BF53" i="19" s="1"/>
  <c r="BD18" i="19"/>
  <c r="BF18" i="19" s="1"/>
  <c r="BE6" i="19"/>
  <c r="BE67" i="19" s="1"/>
  <c r="V1537" i="2"/>
  <c r="V1568" i="2" s="1"/>
  <c r="AD409" i="2"/>
  <c r="X1537" i="2"/>
  <c r="X1569" i="2" s="1"/>
  <c r="Z1537" i="2"/>
  <c r="Z1568" i="2" s="1"/>
  <c r="W1544" i="2"/>
  <c r="AB1544" i="2"/>
  <c r="W1537" i="2"/>
  <c r="W1568" i="2" s="1"/>
  <c r="BE53" i="19"/>
  <c r="AA1544" i="2"/>
  <c r="AA1537" i="2"/>
  <c r="AA1569" i="2" s="1"/>
  <c r="AC1537" i="2"/>
  <c r="AC1568" i="2" s="1"/>
  <c r="Z409" i="2"/>
  <c r="AT1133" i="2"/>
  <c r="AS1138" i="2"/>
  <c r="AS1133" i="2" s="1"/>
  <c r="AR1421" i="2"/>
  <c r="JM804" i="5"/>
  <c r="BE18" i="19"/>
  <c r="AB1537" i="2"/>
  <c r="AB1568" i="2" s="1"/>
  <c r="V1544" i="2"/>
  <c r="X1544" i="2"/>
  <c r="U1537" i="2"/>
  <c r="AB1272" i="2"/>
  <c r="AB1280" i="2" s="1"/>
  <c r="Y1537" i="2"/>
  <c r="Y1568" i="2" s="1"/>
  <c r="U1544" i="2"/>
  <c r="W409" i="2"/>
  <c r="Y1544" i="2"/>
  <c r="Y1536" i="2"/>
  <c r="Z1536" i="2"/>
  <c r="X1536" i="2"/>
  <c r="X1549" i="2"/>
  <c r="X1552" i="2"/>
  <c r="X1553" i="2" s="1"/>
  <c r="AD1552" i="2"/>
  <c r="AD1553" i="2" s="1"/>
  <c r="Z1552" i="2"/>
  <c r="Z1553" i="2" s="1"/>
  <c r="W1536" i="2"/>
  <c r="AE1542" i="2"/>
  <c r="AD1542" i="2"/>
  <c r="AD1543" i="2"/>
  <c r="AE1543" i="2"/>
  <c r="W1552" i="2"/>
  <c r="W1553" i="2" s="1"/>
  <c r="AD1544" i="2"/>
  <c r="W1549" i="2"/>
  <c r="AC1544" i="2"/>
  <c r="Y1549" i="2"/>
  <c r="AC1549" i="2"/>
  <c r="AD1536" i="2"/>
  <c r="AT1537" i="2"/>
  <c r="AS1537" i="2"/>
  <c r="AT590" i="2"/>
  <c r="AT1315" i="2"/>
  <c r="AT1402" i="2" s="1"/>
  <c r="Y1552" i="2"/>
  <c r="Y1553" i="2" s="1"/>
  <c r="AC1536" i="2"/>
  <c r="AB1549" i="2"/>
  <c r="AA1549" i="2"/>
  <c r="AB1536" i="2"/>
  <c r="AA1552" i="2"/>
  <c r="AA1553" i="2" s="1"/>
  <c r="AD1549" i="2"/>
  <c r="AC1552" i="2"/>
  <c r="AC1553" i="2" s="1"/>
  <c r="Z1549" i="2"/>
  <c r="AD1537" i="2"/>
  <c r="AB1552" i="2"/>
  <c r="AB1553" i="2" s="1"/>
  <c r="AA1536" i="2"/>
  <c r="BD6" i="19"/>
  <c r="BF6" i="19" s="1"/>
  <c r="AQ426" i="2"/>
  <c r="AP1530" i="2"/>
  <c r="AS1004" i="2"/>
  <c r="AS458" i="2" s="1"/>
  <c r="AT546" i="2"/>
  <c r="AT1069" i="2" s="1"/>
  <c r="AS1069" i="2"/>
  <c r="AR545" i="2"/>
  <c r="AR1311" i="2"/>
  <c r="AR1398" i="2" s="1"/>
  <c r="AS451" i="2"/>
  <c r="AR1001" i="2"/>
  <c r="AR450" i="2" s="1"/>
  <c r="AT1004" i="2"/>
  <c r="AT458" i="2" s="1"/>
  <c r="AR414" i="2"/>
  <c r="AQ415" i="2"/>
  <c r="AS535" i="2"/>
  <c r="AS1059" i="2"/>
  <c r="AS1310" i="2" s="1"/>
  <c r="AS1397" i="2" s="1"/>
  <c r="AT535" i="2"/>
  <c r="AT1059" i="2"/>
  <c r="AT1310" i="2" s="1"/>
  <c r="AT1397" i="2" s="1"/>
  <c r="AQ531" i="2"/>
  <c r="AQ1309" i="2"/>
  <c r="AQ1052" i="2"/>
  <c r="AS620" i="2"/>
  <c r="AT1129" i="2"/>
  <c r="AT1548" i="2" s="1"/>
  <c r="AS1326" i="2"/>
  <c r="AS1413" i="2" s="1"/>
  <c r="AQ990" i="2"/>
  <c r="AP1528" i="2" s="1"/>
  <c r="AT1421" i="2"/>
  <c r="AT1330" i="2"/>
  <c r="AT1417" i="2" s="1"/>
  <c r="AR438" i="2"/>
  <c r="AT439" i="2"/>
  <c r="AT999" i="2" s="1"/>
  <c r="AS999" i="2"/>
  <c r="AS427" i="2"/>
  <c r="AR993" i="2"/>
  <c r="AQ1058" i="2"/>
  <c r="AS1322" i="2"/>
  <c r="AS1273" i="2"/>
  <c r="AS1281" i="2" s="1"/>
  <c r="AS612" i="2"/>
  <c r="AT1103" i="2"/>
  <c r="AT1545" i="2" s="1"/>
  <c r="AR1409" i="2"/>
  <c r="AQ475" i="2"/>
  <c r="AR419" i="2"/>
  <c r="AT420" i="2"/>
  <c r="AT991" i="2" s="1"/>
  <c r="AS991" i="2"/>
  <c r="AR1529" i="2" s="1"/>
  <c r="AP1308" i="2"/>
  <c r="AP1395" i="2" s="1"/>
  <c r="AP1396" i="2"/>
  <c r="AP1290" i="2"/>
  <c r="AS532" i="2"/>
  <c r="AR1053" i="2"/>
  <c r="AS476" i="2"/>
  <c r="AR1008" i="2"/>
  <c r="AQ1565" i="2" s="1"/>
  <c r="V1272" i="2"/>
  <c r="V1280" i="2" s="1"/>
  <c r="V1536" i="2"/>
  <c r="U1536" i="2"/>
  <c r="V1552" i="2"/>
  <c r="V1553" i="2" s="1"/>
  <c r="U1549" i="2"/>
  <c r="Y1272" i="2"/>
  <c r="Y1280" i="2" s="1"/>
  <c r="AD1847" i="2"/>
  <c r="AD1846" i="2" s="1"/>
  <c r="X1272" i="2"/>
  <c r="X1280" i="2" s="1"/>
  <c r="AD1810" i="2"/>
  <c r="AD1814" i="2"/>
  <c r="AI333" i="2"/>
  <c r="AI577" i="2"/>
  <c r="IV480" i="5"/>
  <c r="IT480" i="5" s="1"/>
  <c r="AI679" i="2"/>
  <c r="IV476" i="5"/>
  <c r="IT476" i="5" s="1"/>
  <c r="IU476" i="5" s="1"/>
  <c r="AH674" i="2"/>
  <c r="AH307" i="2"/>
  <c r="IS473" i="5"/>
  <c r="IQ473" i="5" s="1"/>
  <c r="IQ468" i="5" s="1"/>
  <c r="IQ467" i="5" s="1"/>
  <c r="IQ465" i="5" s="1"/>
  <c r="IQ572" i="5" s="1"/>
  <c r="IQ579" i="5" s="1"/>
  <c r="IQ582" i="5" s="1"/>
  <c r="AH287" i="2"/>
  <c r="AH308" i="2"/>
  <c r="JA487" i="5"/>
  <c r="JA485" i="5"/>
  <c r="AJ892" i="2"/>
  <c r="AJ938" i="2" s="1"/>
  <c r="IY573" i="5"/>
  <c r="IX573" i="5" s="1"/>
  <c r="AJ805" i="2"/>
  <c r="AJ872" i="2"/>
  <c r="AJ921" i="2" s="1"/>
  <c r="AJ794" i="2"/>
  <c r="AJ798" i="2"/>
  <c r="AJ895" i="2" s="1"/>
  <c r="AJ941" i="2" s="1"/>
  <c r="AJ797" i="2"/>
  <c r="AJ894" i="2" s="1"/>
  <c r="AJ940" i="2" s="1"/>
  <c r="AL943" i="2" s="1"/>
  <c r="IY465" i="5"/>
  <c r="IX465" i="5" s="1"/>
  <c r="AJ799" i="2"/>
  <c r="AJ896" i="2" s="1"/>
  <c r="AJ942" i="2" s="1"/>
  <c r="AJ946" i="2" s="1"/>
  <c r="AJ796" i="2"/>
  <c r="AJ791" i="2"/>
  <c r="IY568" i="5" s="1"/>
  <c r="IX568" i="5" s="1"/>
  <c r="IY567" i="5"/>
  <c r="IX567" i="5" s="1"/>
  <c r="II596" i="5"/>
  <c r="Q125" i="7"/>
  <c r="IH615" i="5"/>
  <c r="Q142" i="7" s="1"/>
  <c r="JB467" i="5"/>
  <c r="JA467" i="5" s="1"/>
  <c r="AK873" i="2"/>
  <c r="AK922" i="2" s="1"/>
  <c r="AK792" i="2"/>
  <c r="JB569" i="5" s="1"/>
  <c r="AK790" i="2"/>
  <c r="AK795" i="2"/>
  <c r="AK671" i="2"/>
  <c r="IX569" i="5"/>
  <c r="IT503" i="5"/>
  <c r="IU503" i="5" s="1"/>
  <c r="AL875" i="2"/>
  <c r="AL924" i="2" s="1"/>
  <c r="AL673" i="2"/>
  <c r="IW596" i="5"/>
  <c r="IX582" i="5"/>
  <c r="AN693" i="2"/>
  <c r="AM691" i="2"/>
  <c r="IU505" i="5"/>
  <c r="IZ568" i="5"/>
  <c r="IZ465" i="5"/>
  <c r="IZ572" i="5" s="1"/>
  <c r="IZ579" i="5" s="1"/>
  <c r="IZ582" i="5" s="1"/>
  <c r="IZ569" i="5"/>
  <c r="IZ567" i="5"/>
  <c r="IZ573" i="5"/>
  <c r="IZ580" i="5" s="1"/>
  <c r="AC1569" i="2" l="1"/>
  <c r="AT1116" i="2"/>
  <c r="AT1117" i="2" s="1"/>
  <c r="AR1549" i="2"/>
  <c r="Z1569" i="2"/>
  <c r="X1568" i="2"/>
  <c r="AT606" i="2"/>
  <c r="V1569" i="2"/>
  <c r="W1569" i="2"/>
  <c r="AA1568" i="2"/>
  <c r="AB1569" i="2"/>
  <c r="AR1552" i="2"/>
  <c r="AR1553" i="2" s="1"/>
  <c r="AS1334" i="2"/>
  <c r="AS1421" i="2" s="1"/>
  <c r="Y1569" i="2"/>
  <c r="AS1545" i="2"/>
  <c r="AS1548" i="2"/>
  <c r="AD1568" i="2"/>
  <c r="AD1569" i="2"/>
  <c r="AR426" i="2"/>
  <c r="AQ1530" i="2"/>
  <c r="AT1529" i="2"/>
  <c r="AS1529" i="2"/>
  <c r="AS545" i="2"/>
  <c r="AS1311" i="2"/>
  <c r="AS1398" i="2" s="1"/>
  <c r="AT545" i="2"/>
  <c r="AT1311" i="2"/>
  <c r="AT1398" i="2" s="1"/>
  <c r="AR990" i="2"/>
  <c r="AQ1528" i="2" s="1"/>
  <c r="AS414" i="2"/>
  <c r="AR415" i="2"/>
  <c r="AT451" i="2"/>
  <c r="AT1001" i="2" s="1"/>
  <c r="AT450" i="2" s="1"/>
  <c r="AS1001" i="2"/>
  <c r="AS450" i="2" s="1"/>
  <c r="AQ1290" i="2"/>
  <c r="AS419" i="2"/>
  <c r="AR531" i="2"/>
  <c r="AR1309" i="2"/>
  <c r="AR1052" i="2"/>
  <c r="AT620" i="2"/>
  <c r="AT1326" i="2"/>
  <c r="AT1413" i="2" s="1"/>
  <c r="AT419" i="2"/>
  <c r="AS438" i="2"/>
  <c r="AT1273" i="2"/>
  <c r="AT1281" i="2" s="1"/>
  <c r="AT1322" i="2"/>
  <c r="AT612" i="2"/>
  <c r="AT476" i="2"/>
  <c r="AT1008" i="2" s="1"/>
  <c r="AT1565" i="2" s="1"/>
  <c r="AS1008" i="2"/>
  <c r="AR1058" i="2"/>
  <c r="AT532" i="2"/>
  <c r="AT1053" i="2" s="1"/>
  <c r="AS1053" i="2"/>
  <c r="AQ1308" i="2"/>
  <c r="AQ1395" i="2" s="1"/>
  <c r="AQ1396" i="2"/>
  <c r="AT438" i="2"/>
  <c r="AR475" i="2"/>
  <c r="AS1409" i="2"/>
  <c r="AP1377" i="2"/>
  <c r="AT427" i="2"/>
  <c r="AT993" i="2" s="1"/>
  <c r="AS993" i="2"/>
  <c r="IQ573" i="5"/>
  <c r="IQ580" i="5" s="1"/>
  <c r="IR473" i="5"/>
  <c r="IQ567" i="5"/>
  <c r="AD1854" i="2"/>
  <c r="AD1855" i="2" s="1"/>
  <c r="AD1856" i="2" s="1"/>
  <c r="IQ568" i="5"/>
  <c r="IU480" i="5"/>
  <c r="IQ569" i="5"/>
  <c r="AI674" i="2"/>
  <c r="AI307" i="2"/>
  <c r="AI308" i="2"/>
  <c r="AI287" i="2"/>
  <c r="AI288" i="2" s="1"/>
  <c r="IV473" i="5"/>
  <c r="IS468" i="5"/>
  <c r="AH874" i="2"/>
  <c r="AH923" i="2" s="1"/>
  <c r="AH347" i="2"/>
  <c r="AH673" i="2"/>
  <c r="IQ596" i="5"/>
  <c r="IR582" i="5"/>
  <c r="IR650" i="5" s="1"/>
  <c r="AL944" i="2"/>
  <c r="AM875" i="2"/>
  <c r="AM924" i="2" s="1"/>
  <c r="AM673" i="2"/>
  <c r="AJ804" i="2"/>
  <c r="AJ891" i="2"/>
  <c r="AJ937" i="2" s="1"/>
  <c r="IY572" i="5"/>
  <c r="IX572" i="5" s="1"/>
  <c r="AL873" i="2"/>
  <c r="AL922" i="2" s="1"/>
  <c r="AL790" i="2"/>
  <c r="AL791" i="2" s="1"/>
  <c r="AL792" i="2"/>
  <c r="AL671" i="2"/>
  <c r="AL795" i="2"/>
  <c r="R125" i="7"/>
  <c r="II615" i="5"/>
  <c r="R142" i="7" s="1"/>
  <c r="IY574" i="5"/>
  <c r="IW574" i="5" s="1"/>
  <c r="IX574" i="5" s="1"/>
  <c r="AJ893" i="2"/>
  <c r="AJ939" i="2" s="1"/>
  <c r="AK872" i="2"/>
  <c r="AK921" i="2" s="1"/>
  <c r="JB465" i="5"/>
  <c r="JA465" i="5" s="1"/>
  <c r="AK799" i="2"/>
  <c r="AK896" i="2" s="1"/>
  <c r="AK942" i="2" s="1"/>
  <c r="AK946" i="2" s="1"/>
  <c r="AK797" i="2"/>
  <c r="AK894" i="2" s="1"/>
  <c r="AK940" i="2" s="1"/>
  <c r="AM943" i="2" s="1"/>
  <c r="AK798" i="2"/>
  <c r="AK895" i="2" s="1"/>
  <c r="AK941" i="2" s="1"/>
  <c r="AM944" i="2" s="1"/>
  <c r="AK796" i="2"/>
  <c r="AK794" i="2"/>
  <c r="AO693" i="2"/>
  <c r="AO691" i="2" s="1"/>
  <c r="AN691" i="2"/>
  <c r="IX596" i="5"/>
  <c r="IW615" i="5"/>
  <c r="AK892" i="2"/>
  <c r="AK938" i="2" s="1"/>
  <c r="AK805" i="2"/>
  <c r="JB573" i="5"/>
  <c r="JA573" i="5" s="1"/>
  <c r="AK341" i="2"/>
  <c r="AK585" i="2"/>
  <c r="AJ902" i="2"/>
  <c r="AJ952" i="2" s="1"/>
  <c r="IY580" i="5"/>
  <c r="IX580" i="5" s="1"/>
  <c r="JA569" i="5"/>
  <c r="IZ596" i="5"/>
  <c r="JA582" i="5"/>
  <c r="AK791" i="2"/>
  <c r="JB568" i="5" s="1"/>
  <c r="JA568" i="5" s="1"/>
  <c r="JB567" i="5"/>
  <c r="JA567" i="5" s="1"/>
  <c r="AT1120" i="2" l="1"/>
  <c r="AT1552" i="2" s="1"/>
  <c r="AT1553" i="2" s="1"/>
  <c r="AS1330" i="2"/>
  <c r="AS1417" i="2" s="1"/>
  <c r="AS1565" i="2"/>
  <c r="AR1290" i="2"/>
  <c r="AR1377" i="2" s="1"/>
  <c r="AR1565" i="2"/>
  <c r="AT426" i="2"/>
  <c r="AS1530" i="2"/>
  <c r="AT1530" i="2"/>
  <c r="AS426" i="2"/>
  <c r="AR1530" i="2"/>
  <c r="AS415" i="2"/>
  <c r="AT414" i="2"/>
  <c r="AT415" i="2" s="1"/>
  <c r="AT990" i="2"/>
  <c r="AT1290" i="2" s="1"/>
  <c r="AS1058" i="2"/>
  <c r="AT1058" i="2" s="1"/>
  <c r="AR1308" i="2"/>
  <c r="AR1395" i="2" s="1"/>
  <c r="AR1396" i="2"/>
  <c r="AS1309" i="2"/>
  <c r="AS531" i="2"/>
  <c r="AS1052" i="2"/>
  <c r="AT1409" i="2"/>
  <c r="AT475" i="2"/>
  <c r="AT531" i="2"/>
  <c r="AT1309" i="2"/>
  <c r="AT1052" i="2"/>
  <c r="AQ1377" i="2"/>
  <c r="AS475" i="2"/>
  <c r="AS990" i="2"/>
  <c r="AR1528" i="2" s="1"/>
  <c r="IR468" i="5"/>
  <c r="IR628" i="5" s="1"/>
  <c r="IQ628" i="5"/>
  <c r="AH790" i="2"/>
  <c r="AH671" i="2"/>
  <c r="IS467" i="5"/>
  <c r="AH873" i="2"/>
  <c r="AH922" i="2" s="1"/>
  <c r="AH795" i="2"/>
  <c r="AH792" i="2"/>
  <c r="IS569" i="5" s="1"/>
  <c r="IR569" i="5" s="1"/>
  <c r="AI347" i="2"/>
  <c r="IV468" i="5"/>
  <c r="AI874" i="2"/>
  <c r="AI923" i="2" s="1"/>
  <c r="AI673" i="2"/>
  <c r="IT473" i="5"/>
  <c r="IT468" i="5" s="1"/>
  <c r="IT467" i="5" s="1"/>
  <c r="AL585" i="2"/>
  <c r="AL341" i="2"/>
  <c r="AL797" i="2"/>
  <c r="AL894" i="2" s="1"/>
  <c r="AL940" i="2" s="1"/>
  <c r="AN943" i="2" s="1"/>
  <c r="AL798" i="2"/>
  <c r="AL895" i="2" s="1"/>
  <c r="AL941" i="2" s="1"/>
  <c r="AN944" i="2" s="1"/>
  <c r="AL799" i="2"/>
  <c r="AL896" i="2" s="1"/>
  <c r="AL942" i="2" s="1"/>
  <c r="AL946" i="2" s="1"/>
  <c r="AL796" i="2"/>
  <c r="AL893" i="2" s="1"/>
  <c r="AL939" i="2" s="1"/>
  <c r="AL794" i="2"/>
  <c r="AL872" i="2"/>
  <c r="AL921" i="2" s="1"/>
  <c r="JA596" i="5"/>
  <c r="IZ615" i="5"/>
  <c r="AL805" i="2"/>
  <c r="AL902" i="2" s="1"/>
  <c r="AL952" i="2" s="1"/>
  <c r="AL892" i="2"/>
  <c r="AL938" i="2" s="1"/>
  <c r="AK902" i="2"/>
  <c r="AK952" i="2" s="1"/>
  <c r="JB580" i="5"/>
  <c r="JA580" i="5" s="1"/>
  <c r="AJ848" i="2"/>
  <c r="IY615" i="5" s="1"/>
  <c r="IX615" i="5" s="1"/>
  <c r="AJ901" i="2"/>
  <c r="AJ951" i="2" s="1"/>
  <c r="AJ962" i="2" s="1"/>
  <c r="IY579" i="5"/>
  <c r="IX579" i="5" s="1"/>
  <c r="AM790" i="2"/>
  <c r="AM791" i="2" s="1"/>
  <c r="AM873" i="2"/>
  <c r="AM922" i="2" s="1"/>
  <c r="AM792" i="2"/>
  <c r="AM671" i="2"/>
  <c r="AM795" i="2"/>
  <c r="AO875" i="2"/>
  <c r="AO673" i="2"/>
  <c r="JB572" i="5"/>
  <c r="JA572" i="5" s="1"/>
  <c r="AK891" i="2"/>
  <c r="AK937" i="2" s="1"/>
  <c r="AM945" i="2" s="1"/>
  <c r="AK804" i="2"/>
  <c r="AL945" i="2"/>
  <c r="AN875" i="2"/>
  <c r="AN673" i="2"/>
  <c r="AK893" i="2"/>
  <c r="AK939" i="2" s="1"/>
  <c r="JB574" i="5"/>
  <c r="IZ574" i="5" s="1"/>
  <c r="JA574" i="5" s="1"/>
  <c r="IQ615" i="5"/>
  <c r="IR596" i="5"/>
  <c r="IR654" i="5" s="1"/>
  <c r="AS1549" i="2" l="1"/>
  <c r="AT1549" i="2"/>
  <c r="AS1552" i="2"/>
  <c r="AS1553" i="2" s="1"/>
  <c r="AT1528" i="2"/>
  <c r="AS1528" i="2"/>
  <c r="AT1377" i="2"/>
  <c r="AT1396" i="2"/>
  <c r="AT1308" i="2"/>
  <c r="AT1395" i="2" s="1"/>
  <c r="AS1290" i="2"/>
  <c r="AS1396" i="2"/>
  <c r="AS1308" i="2"/>
  <c r="AS1395" i="2" s="1"/>
  <c r="IU473" i="5"/>
  <c r="AH341" i="2"/>
  <c r="AH585" i="2"/>
  <c r="AH892" i="2"/>
  <c r="AH938" i="2" s="1"/>
  <c r="AH805" i="2"/>
  <c r="IS573" i="5"/>
  <c r="AI795" i="2"/>
  <c r="AI790" i="2"/>
  <c r="AI792" i="2"/>
  <c r="IV569" i="5" s="1"/>
  <c r="AI873" i="2"/>
  <c r="AI922" i="2" s="1"/>
  <c r="AI671" i="2"/>
  <c r="IV467" i="5"/>
  <c r="IU467" i="5" s="1"/>
  <c r="AH791" i="2"/>
  <c r="IS568" i="5" s="1"/>
  <c r="IR568" i="5" s="1"/>
  <c r="IS567" i="5"/>
  <c r="IR567" i="5" s="1"/>
  <c r="IU468" i="5"/>
  <c r="IR467" i="5"/>
  <c r="IR627" i="5" s="1"/>
  <c r="IQ627" i="5"/>
  <c r="IT465" i="5"/>
  <c r="IT572" i="5" s="1"/>
  <c r="IT579" i="5" s="1"/>
  <c r="IT582" i="5" s="1"/>
  <c r="IT567" i="5"/>
  <c r="IT568" i="5"/>
  <c r="IT569" i="5"/>
  <c r="IT573" i="5"/>
  <c r="IT580" i="5" s="1"/>
  <c r="AH797" i="2"/>
  <c r="AH894" i="2" s="1"/>
  <c r="AH940" i="2" s="1"/>
  <c r="AH798" i="2"/>
  <c r="AH895" i="2" s="1"/>
  <c r="AH941" i="2" s="1"/>
  <c r="AH872" i="2"/>
  <c r="AH921" i="2" s="1"/>
  <c r="AH794" i="2"/>
  <c r="AH799" i="2"/>
  <c r="AH896" i="2" s="1"/>
  <c r="AH942" i="2" s="1"/>
  <c r="IS465" i="5"/>
  <c r="AH796" i="2"/>
  <c r="AO873" i="2"/>
  <c r="AO792" i="2"/>
  <c r="AO790" i="2"/>
  <c r="AO791" i="2" s="1"/>
  <c r="AO671" i="2"/>
  <c r="AO795" i="2"/>
  <c r="AM799" i="2"/>
  <c r="AM896" i="2" s="1"/>
  <c r="AM942" i="2" s="1"/>
  <c r="AM946" i="2" s="1"/>
  <c r="AM798" i="2"/>
  <c r="AM895" i="2" s="1"/>
  <c r="AM941" i="2" s="1"/>
  <c r="AO944" i="2" s="1"/>
  <c r="AM872" i="2"/>
  <c r="AM921" i="2" s="1"/>
  <c r="AM796" i="2"/>
  <c r="AM893" i="2" s="1"/>
  <c r="AM939" i="2" s="1"/>
  <c r="AM797" i="2"/>
  <c r="AM894" i="2" s="1"/>
  <c r="AM940" i="2" s="1"/>
  <c r="AO943" i="2" s="1"/>
  <c r="AM794" i="2"/>
  <c r="AN790" i="2"/>
  <c r="AN791" i="2" s="1"/>
  <c r="AN873" i="2"/>
  <c r="AN792" i="2"/>
  <c r="AN795" i="2"/>
  <c r="AN671" i="2"/>
  <c r="AL891" i="2"/>
  <c r="AL937" i="2" s="1"/>
  <c r="AN945" i="2" s="1"/>
  <c r="AL804" i="2"/>
  <c r="AM892" i="2"/>
  <c r="AM938" i="2" s="1"/>
  <c r="AM805" i="2"/>
  <c r="AM902" i="2" s="1"/>
  <c r="AM952" i="2" s="1"/>
  <c r="AK901" i="2"/>
  <c r="JB579" i="5"/>
  <c r="JA579" i="5" s="1"/>
  <c r="AK848" i="2"/>
  <c r="AM341" i="2"/>
  <c r="AM585" i="2"/>
  <c r="AS1377" i="2" l="1"/>
  <c r="IU569" i="5"/>
  <c r="IU582" i="5"/>
  <c r="IT596" i="5"/>
  <c r="AI798" i="2"/>
  <c r="AI895" i="2" s="1"/>
  <c r="AI941" i="2" s="1"/>
  <c r="AI872" i="2"/>
  <c r="AI921" i="2" s="1"/>
  <c r="AI794" i="2"/>
  <c r="AI797" i="2"/>
  <c r="AI894" i="2" s="1"/>
  <c r="AI940" i="2" s="1"/>
  <c r="AK943" i="2" s="1"/>
  <c r="IV465" i="5"/>
  <c r="IU465" i="5" s="1"/>
  <c r="AI796" i="2"/>
  <c r="AI799" i="2"/>
  <c r="AI896" i="2" s="1"/>
  <c r="AI942" i="2" s="1"/>
  <c r="AI341" i="2"/>
  <c r="AI585" i="2"/>
  <c r="IQ643" i="5"/>
  <c r="IR573" i="5"/>
  <c r="IR643" i="5" s="1"/>
  <c r="AH902" i="2"/>
  <c r="AH952" i="2" s="1"/>
  <c r="IS580" i="5"/>
  <c r="IV573" i="5"/>
  <c r="IU573" i="5" s="1"/>
  <c r="AI805" i="2"/>
  <c r="AI892" i="2"/>
  <c r="AI938" i="2" s="1"/>
  <c r="AH893" i="2"/>
  <c r="AH939" i="2" s="1"/>
  <c r="IS574" i="5"/>
  <c r="IQ574" i="5" s="1"/>
  <c r="IR574" i="5" s="1"/>
  <c r="AH891" i="2"/>
  <c r="AH937" i="2" s="1"/>
  <c r="AH804" i="2"/>
  <c r="IS572" i="5"/>
  <c r="IR465" i="5"/>
  <c r="IR626" i="5" s="1"/>
  <c r="IQ626" i="5"/>
  <c r="AI791" i="2"/>
  <c r="IV568" i="5" s="1"/>
  <c r="IU568" i="5" s="1"/>
  <c r="IV567" i="5"/>
  <c r="IU567" i="5" s="1"/>
  <c r="AM891" i="2"/>
  <c r="AM937" i="2" s="1"/>
  <c r="AO945" i="2" s="1"/>
  <c r="AM804" i="2"/>
  <c r="AO892" i="2"/>
  <c r="AO805" i="2"/>
  <c r="AO902" i="2" s="1"/>
  <c r="AK919" i="2"/>
  <c r="AK951" i="2"/>
  <c r="AK962" i="2" s="1"/>
  <c r="AO872" i="2"/>
  <c r="AO798" i="2"/>
  <c r="AO895" i="2" s="1"/>
  <c r="AO796" i="2"/>
  <c r="AO893" i="2" s="1"/>
  <c r="AO799" i="2"/>
  <c r="AO896" i="2" s="1"/>
  <c r="AO794" i="2"/>
  <c r="AO797" i="2"/>
  <c r="AO894" i="2" s="1"/>
  <c r="JB615" i="5"/>
  <c r="JA615" i="5" s="1"/>
  <c r="AL848" i="2"/>
  <c r="AL901" i="2"/>
  <c r="AN798" i="2"/>
  <c r="AN895" i="2" s="1"/>
  <c r="AN872" i="2"/>
  <c r="AN796" i="2"/>
  <c r="AN893" i="2" s="1"/>
  <c r="AN797" i="2"/>
  <c r="AN894" i="2" s="1"/>
  <c r="AN794" i="2"/>
  <c r="AN799" i="2"/>
  <c r="AN896" i="2" s="1"/>
  <c r="AN805" i="2"/>
  <c r="AN902" i="2" s="1"/>
  <c r="AN892" i="2"/>
  <c r="AJ943" i="2" l="1"/>
  <c r="AJ944" i="2"/>
  <c r="IV580" i="5"/>
  <c r="IU580" i="5" s="1"/>
  <c r="AI902" i="2"/>
  <c r="AI952" i="2" s="1"/>
  <c r="IV574" i="5"/>
  <c r="IT574" i="5" s="1"/>
  <c r="IU574" i="5" s="1"/>
  <c r="AI893" i="2"/>
  <c r="AI939" i="2" s="1"/>
  <c r="IR572" i="5"/>
  <c r="IR642" i="5" s="1"/>
  <c r="IQ642" i="5"/>
  <c r="AI804" i="2"/>
  <c r="AI891" i="2"/>
  <c r="AI937" i="2" s="1"/>
  <c r="AK945" i="2" s="1"/>
  <c r="IV572" i="5"/>
  <c r="IU572" i="5" s="1"/>
  <c r="IR580" i="5"/>
  <c r="IR649" i="5" s="1"/>
  <c r="IQ649" i="5"/>
  <c r="AK944" i="2"/>
  <c r="AH901" i="2"/>
  <c r="AH951" i="2" s="1"/>
  <c r="AH962" i="2" s="1"/>
  <c r="IS579" i="5"/>
  <c r="AH848" i="2"/>
  <c r="IS615" i="5" s="1"/>
  <c r="IR615" i="5" s="1"/>
  <c r="IU596" i="5"/>
  <c r="IT615" i="5"/>
  <c r="AL919" i="2"/>
  <c r="AL951" i="2"/>
  <c r="AL962" i="2" s="1"/>
  <c r="AO891" i="2"/>
  <c r="AO804" i="2"/>
  <c r="AM848" i="2"/>
  <c r="AM901" i="2"/>
  <c r="AN804" i="2"/>
  <c r="AN891" i="2"/>
  <c r="AJ945" i="2" l="1"/>
  <c r="AI848" i="2"/>
  <c r="IV615" i="5" s="1"/>
  <c r="IU615" i="5" s="1"/>
  <c r="IV579" i="5"/>
  <c r="IU579" i="5" s="1"/>
  <c r="AI901" i="2"/>
  <c r="AI951" i="2" s="1"/>
  <c r="AI962" i="2" s="1"/>
  <c r="IQ648" i="5"/>
  <c r="IR579" i="5"/>
  <c r="IR648" i="5" s="1"/>
  <c r="AO901" i="2"/>
  <c r="AO919" i="2" s="1"/>
  <c r="AO848" i="2"/>
  <c r="AM919" i="2"/>
  <c r="AM951" i="2"/>
  <c r="AM962" i="2" s="1"/>
  <c r="AN901" i="2"/>
  <c r="AN919" i="2" s="1"/>
  <c r="AN848" i="2"/>
  <c r="AI505" i="2" l="1"/>
  <c r="AJ504" i="2"/>
  <c r="AJ1020" i="2" l="1"/>
  <c r="AK504" i="2"/>
  <c r="AJ1019" i="2" l="1"/>
  <c r="AI1533" i="2" s="1"/>
  <c r="IY698" i="5"/>
  <c r="IX698" i="5" s="1"/>
  <c r="AL504" i="2"/>
  <c r="AJ503" i="2"/>
  <c r="AK1020" i="2"/>
  <c r="AI1566" i="2" l="1"/>
  <c r="AI1570" i="2" s="1"/>
  <c r="AL1020" i="2"/>
  <c r="AM504" i="2"/>
  <c r="AK503" i="2"/>
  <c r="AK1019" i="2"/>
  <c r="JB698" i="5"/>
  <c r="AJ1294" i="2"/>
  <c r="IY697" i="5"/>
  <c r="AI552" i="2"/>
  <c r="AJ1791" i="2"/>
  <c r="O9" i="19"/>
  <c r="N9" i="19" s="1"/>
  <c r="AI1567" i="2" l="1"/>
  <c r="IZ698" i="5"/>
  <c r="JA698" i="5" s="1"/>
  <c r="AL1019" i="2"/>
  <c r="AK552" i="2" s="1"/>
  <c r="AJ1566" i="2"/>
  <c r="AJ1570" i="2" s="1"/>
  <c r="AJ1533" i="2"/>
  <c r="AN504" i="2"/>
  <c r="AL503" i="2"/>
  <c r="AM1020" i="2"/>
  <c r="JE698" i="5"/>
  <c r="IX697" i="5"/>
  <c r="IW956" i="5"/>
  <c r="P9" i="19"/>
  <c r="R9" i="19" s="1"/>
  <c r="Q9" i="19"/>
  <c r="AJ1381" i="2"/>
  <c r="W9" i="19"/>
  <c r="AK1791" i="2"/>
  <c r="JB697" i="5"/>
  <c r="IZ697" i="5" s="1"/>
  <c r="AJ552" i="2"/>
  <c r="AK1294" i="2"/>
  <c r="JE697" i="5" l="1"/>
  <c r="JC697" i="5" s="1"/>
  <c r="AK1533" i="2"/>
  <c r="AK1566" i="2"/>
  <c r="AL1294" i="2"/>
  <c r="AL1381" i="2" s="1"/>
  <c r="AE9" i="19"/>
  <c r="AF9" i="19" s="1"/>
  <c r="AH9" i="19" s="1"/>
  <c r="JC698" i="5"/>
  <c r="JD698" i="5" s="1"/>
  <c r="AL1791" i="2"/>
  <c r="AM1019" i="2"/>
  <c r="AM9" i="19" s="1"/>
  <c r="U9" i="19"/>
  <c r="V9" i="19" s="1"/>
  <c r="AJ1567" i="2"/>
  <c r="AK1570" i="2"/>
  <c r="AK1567" i="2"/>
  <c r="JH698" i="5"/>
  <c r="AN1020" i="2"/>
  <c r="AO504" i="2"/>
  <c r="AP504" i="2" s="1"/>
  <c r="AM503" i="2"/>
  <c r="IW666" i="5"/>
  <c r="K4" i="19" s="1"/>
  <c r="X9" i="19"/>
  <c r="Z9" i="19" s="1"/>
  <c r="Y9" i="19"/>
  <c r="JA697" i="5"/>
  <c r="AK1381" i="2"/>
  <c r="IW965" i="5"/>
  <c r="AG9" i="19" l="1"/>
  <c r="AL1533" i="2"/>
  <c r="AL1566" i="2"/>
  <c r="JH697" i="5"/>
  <c r="JF697" i="5" s="1"/>
  <c r="JF698" i="5"/>
  <c r="JG698" i="5" s="1"/>
  <c r="AM1294" i="2"/>
  <c r="AM1381" i="2" s="1"/>
  <c r="AM1791" i="2"/>
  <c r="AL552" i="2"/>
  <c r="AN1019" i="2"/>
  <c r="JK697" i="5" s="1"/>
  <c r="JI697" i="5" s="1"/>
  <c r="K65" i="19"/>
  <c r="L4" i="19"/>
  <c r="K58" i="19"/>
  <c r="L58" i="19" s="1"/>
  <c r="AO1020" i="2"/>
  <c r="AO503" i="2" s="1"/>
  <c r="AL1570" i="2"/>
  <c r="AL1567" i="2"/>
  <c r="JK698" i="5"/>
  <c r="AN503" i="2"/>
  <c r="IW843" i="5"/>
  <c r="IV947" i="5" s="1"/>
  <c r="IV951" i="5" s="1"/>
  <c r="AQ504" i="2"/>
  <c r="AP1020" i="2"/>
  <c r="JD697" i="5"/>
  <c r="IV946" i="5"/>
  <c r="IV950" i="5" s="1"/>
  <c r="IV948" i="5"/>
  <c r="IV952" i="5" s="1"/>
  <c r="AC9" i="19"/>
  <c r="AD9" i="19" s="1"/>
  <c r="AN9" i="19"/>
  <c r="AP9" i="19" s="1"/>
  <c r="AO9" i="19"/>
  <c r="AM1533" i="2" l="1"/>
  <c r="AU9" i="19"/>
  <c r="AN1294" i="2"/>
  <c r="AM552" i="2"/>
  <c r="JN698" i="5"/>
  <c r="JI698" i="5"/>
  <c r="JJ698" i="5" s="1"/>
  <c r="AM1566" i="2"/>
  <c r="AM1570" i="2" s="1"/>
  <c r="AO1019" i="2"/>
  <c r="AN552" i="2" s="1"/>
  <c r="K66" i="19"/>
  <c r="L66" i="19" s="1"/>
  <c r="L65" i="19"/>
  <c r="L67" i="19" s="1"/>
  <c r="K67" i="19"/>
  <c r="IW960" i="5"/>
  <c r="JG697" i="5"/>
  <c r="AP503" i="2"/>
  <c r="AP1019" i="2"/>
  <c r="AR504" i="2"/>
  <c r="AQ1020" i="2"/>
  <c r="IW969" i="5"/>
  <c r="IW961" i="5"/>
  <c r="AK9" i="19"/>
  <c r="AL9" i="19" s="1"/>
  <c r="AS9" i="19"/>
  <c r="AW9" i="19"/>
  <c r="AV9" i="19"/>
  <c r="AX9" i="19" s="1"/>
  <c r="AN1381" i="2"/>
  <c r="AT9" i="19" l="1"/>
  <c r="JL698" i="5"/>
  <c r="JM698" i="5" s="1"/>
  <c r="AM1567" i="2"/>
  <c r="BC9" i="19"/>
  <c r="AN1566" i="2"/>
  <c r="AN1570" i="2" s="1"/>
  <c r="JN697" i="5"/>
  <c r="AN1533" i="2"/>
  <c r="AO1294" i="2"/>
  <c r="AO1381" i="2" s="1"/>
  <c r="BE9" i="19"/>
  <c r="AN1567" i="2"/>
  <c r="BD9" i="19"/>
  <c r="BF9" i="19" s="1"/>
  <c r="AO1533" i="2"/>
  <c r="AO1566" i="2"/>
  <c r="AQ503" i="2"/>
  <c r="AQ1019" i="2"/>
  <c r="AR1020" i="2"/>
  <c r="AS504" i="2"/>
  <c r="AP1294" i="2"/>
  <c r="AO552" i="2"/>
  <c r="JJ697" i="5"/>
  <c r="JL697" i="5" l="1"/>
  <c r="JM697" i="5" s="1"/>
  <c r="AO1570" i="2"/>
  <c r="AO1567" i="2"/>
  <c r="AP1566" i="2"/>
  <c r="AP1533" i="2"/>
  <c r="AR1019" i="2"/>
  <c r="AQ1566" i="2" s="1"/>
  <c r="AR503" i="2"/>
  <c r="AS1020" i="2"/>
  <c r="AT504" i="2"/>
  <c r="AT1020" i="2" s="1"/>
  <c r="AQ1294" i="2"/>
  <c r="AP552" i="2"/>
  <c r="AP1381" i="2"/>
  <c r="BA9" i="19" l="1"/>
  <c r="BB9" i="19" s="1"/>
  <c r="AP1570" i="2"/>
  <c r="AP1567" i="2"/>
  <c r="AQ1570" i="2"/>
  <c r="AQ1567" i="2"/>
  <c r="AQ1533" i="2"/>
  <c r="AS503" i="2"/>
  <c r="AS1019" i="2"/>
  <c r="AR1566" i="2" s="1"/>
  <c r="AR1294" i="2"/>
  <c r="AQ552" i="2"/>
  <c r="AQ1381" i="2"/>
  <c r="AT1019" i="2"/>
  <c r="AT503" i="2"/>
  <c r="AT1566" i="2" l="1"/>
  <c r="AT1533" i="2"/>
  <c r="AR1567" i="2"/>
  <c r="AR1570" i="2"/>
  <c r="AS1533" i="2"/>
  <c r="AS1566" i="2"/>
  <c r="AR1533" i="2"/>
  <c r="AS1294" i="2"/>
  <c r="AR552" i="2"/>
  <c r="AT1294" i="2"/>
  <c r="AS552" i="2"/>
  <c r="AR1381" i="2"/>
  <c r="AS1570" i="2" l="1"/>
  <c r="AS1567" i="2"/>
  <c r="AT1570" i="2"/>
  <c r="AT1567" i="2"/>
  <c r="AT1381" i="2"/>
  <c r="AS1381" i="2"/>
  <c r="AI1629" i="2" l="1"/>
  <c r="AI1627" i="2" s="1"/>
  <c r="AI1633" i="2"/>
  <c r="AI1631" i="2" s="1"/>
  <c r="AI1585" i="2" l="1"/>
  <c r="AI1583" i="2" s="1"/>
  <c r="AM455" i="2" l="1"/>
  <c r="AN455" i="2" l="1"/>
  <c r="AM1002" i="2"/>
  <c r="JH680" i="5" l="1"/>
  <c r="JF680" i="5" s="1"/>
  <c r="AN1002" i="2"/>
  <c r="AO455" i="2"/>
  <c r="AP455" i="2" s="1"/>
  <c r="AM454" i="2"/>
  <c r="AM996" i="2"/>
  <c r="JG680" i="5" l="1"/>
  <c r="AO1002" i="2"/>
  <c r="AN996" i="2"/>
  <c r="JK680" i="5"/>
  <c r="AN454" i="2"/>
  <c r="AM1292" i="2"/>
  <c r="AM7" i="19"/>
  <c r="AL1534" i="2"/>
  <c r="AM1789" i="2"/>
  <c r="JH674" i="5"/>
  <c r="JF674" i="5" s="1"/>
  <c r="AQ455" i="2"/>
  <c r="AP1002" i="2"/>
  <c r="JI680" i="5" l="1"/>
  <c r="JJ680" i="5" s="1"/>
  <c r="AM1534" i="2"/>
  <c r="JN680" i="5"/>
  <c r="JL680" i="5" s="1"/>
  <c r="AO996" i="2"/>
  <c r="AO454" i="2"/>
  <c r="AN1292" i="2"/>
  <c r="AN1379" i="2" s="1"/>
  <c r="JK674" i="5"/>
  <c r="JI674" i="5" s="1"/>
  <c r="AU7" i="19"/>
  <c r="AO7" i="19"/>
  <c r="AN7" i="19"/>
  <c r="AP7" i="19" s="1"/>
  <c r="AM1379" i="2"/>
  <c r="AP454" i="2"/>
  <c r="AP996" i="2"/>
  <c r="AQ1002" i="2"/>
  <c r="AR455" i="2"/>
  <c r="JM680" i="5"/>
  <c r="AN1534" i="2" l="1"/>
  <c r="AO1292" i="2"/>
  <c r="AO1379" i="2" s="1"/>
  <c r="BC7" i="19"/>
  <c r="AO1534" i="2"/>
  <c r="JN674" i="5"/>
  <c r="JL674" i="5" s="1"/>
  <c r="AK7" i="19"/>
  <c r="AL7" i="19" s="1"/>
  <c r="AV7" i="19"/>
  <c r="AX7" i="19" s="1"/>
  <c r="AW7" i="19"/>
  <c r="JG674" i="5"/>
  <c r="AP1292" i="2"/>
  <c r="AR1002" i="2"/>
  <c r="AS455" i="2"/>
  <c r="AQ454" i="2"/>
  <c r="AQ996" i="2"/>
  <c r="JJ674" i="5" l="1"/>
  <c r="BA7" i="19"/>
  <c r="BB7" i="19" s="1"/>
  <c r="AS7" i="19"/>
  <c r="AT7" i="19" s="1"/>
  <c r="BE7" i="19"/>
  <c r="BD7" i="19"/>
  <c r="BF7" i="19" s="1"/>
  <c r="AQ1292" i="2"/>
  <c r="AS1002" i="2"/>
  <c r="AT455" i="2"/>
  <c r="AT1002" i="2" s="1"/>
  <c r="JM674" i="5"/>
  <c r="AP1534" i="2"/>
  <c r="AR454" i="2"/>
  <c r="AR996" i="2"/>
  <c r="AP1379" i="2"/>
  <c r="AR1292" i="2" l="1"/>
  <c r="AT996" i="2"/>
  <c r="AT454" i="2"/>
  <c r="AS454" i="2"/>
  <c r="AS996" i="2"/>
  <c r="AQ1379" i="2"/>
  <c r="AQ1534" i="2"/>
  <c r="AS1292" i="2" l="1"/>
  <c r="AS1534" i="2"/>
  <c r="AT1292" i="2"/>
  <c r="AT1534" i="2"/>
  <c r="AR1534" i="2"/>
  <c r="AR1379" i="2"/>
  <c r="AS1379" i="2" l="1"/>
  <c r="AT1379" i="2"/>
  <c r="AJ484" i="2"/>
  <c r="AH485" i="2"/>
  <c r="AI485" i="2"/>
  <c r="AJ1012" i="2" l="1"/>
  <c r="AK484" i="2"/>
  <c r="AK1012" i="2" l="1"/>
  <c r="AJ1003" i="2"/>
  <c r="AJ483" i="2"/>
  <c r="IY690" i="5"/>
  <c r="IX690" i="5" s="1"/>
  <c r="AL484" i="2"/>
  <c r="AL1012" i="2" l="1"/>
  <c r="AI1561" i="2"/>
  <c r="AI1532" i="2"/>
  <c r="AJ989" i="2"/>
  <c r="AJ1790" i="2"/>
  <c r="O8" i="19"/>
  <c r="N8" i="19" s="1"/>
  <c r="AJ1293" i="2"/>
  <c r="IY681" i="5"/>
  <c r="IX681" i="5" s="1"/>
  <c r="AJ553" i="2"/>
  <c r="AJ405" i="2"/>
  <c r="AJ409" i="2" s="1"/>
  <c r="JB690" i="5"/>
  <c r="IZ690" i="5" s="1"/>
  <c r="AK1003" i="2"/>
  <c r="AK483" i="2"/>
  <c r="AM484" i="2"/>
  <c r="AM1012" i="2" l="1"/>
  <c r="AJ1289" i="2"/>
  <c r="AJ1376" i="2" s="1"/>
  <c r="AJ1380" i="2"/>
  <c r="P8" i="19"/>
  <c r="R8" i="19" s="1"/>
  <c r="Q8" i="19"/>
  <c r="AJ988" i="2"/>
  <c r="AJ986" i="2"/>
  <c r="AI1527" i="2"/>
  <c r="O5" i="19"/>
  <c r="N5" i="19" s="1"/>
  <c r="AJ1786" i="2"/>
  <c r="AJ1808" i="2" s="1"/>
  <c r="AJ1855" i="2" s="1"/>
  <c r="IY667" i="5"/>
  <c r="IX667" i="5" s="1"/>
  <c r="IX956" i="5" s="1"/>
  <c r="AJ591" i="2"/>
  <c r="AJ1760" i="2"/>
  <c r="AJ1759" i="2" s="1"/>
  <c r="AJ1271" i="2"/>
  <c r="AJ1279" i="2" s="1"/>
  <c r="AI1569" i="2"/>
  <c r="AI1568" i="2"/>
  <c r="JA690" i="5"/>
  <c r="AN484" i="2"/>
  <c r="AL1003" i="2"/>
  <c r="JE690" i="5"/>
  <c r="JC690" i="5" s="1"/>
  <c r="AL483" i="2"/>
  <c r="AK405" i="2"/>
  <c r="AK409" i="2" s="1"/>
  <c r="AK1293" i="2"/>
  <c r="AK1790" i="2"/>
  <c r="AK989" i="2"/>
  <c r="W8" i="19"/>
  <c r="AK553" i="2"/>
  <c r="JB681" i="5"/>
  <c r="IZ681" i="5" s="1"/>
  <c r="AJ1532" i="2"/>
  <c r="AJ1561" i="2"/>
  <c r="AK1561" i="2" l="1"/>
  <c r="AK1568" i="2" s="1"/>
  <c r="AN1012" i="2"/>
  <c r="AJ1772" i="2"/>
  <c r="AG684" i="2" s="1"/>
  <c r="AJ1773" i="2"/>
  <c r="AG690" i="2" s="1"/>
  <c r="AJ1774" i="2"/>
  <c r="P5" i="19"/>
  <c r="R5" i="19" s="1"/>
  <c r="O4" i="19"/>
  <c r="N4" i="19" s="1"/>
  <c r="Q5" i="19"/>
  <c r="IX965" i="5"/>
  <c r="IY956" i="5"/>
  <c r="IY965" i="5" s="1"/>
  <c r="IY666" i="5"/>
  <c r="IX666" i="5" s="1"/>
  <c r="AJ1150" i="2"/>
  <c r="AJ1131" i="2"/>
  <c r="AJ1158" i="2"/>
  <c r="AJ1288" i="2"/>
  <c r="AO484" i="2"/>
  <c r="X8" i="19"/>
  <c r="Z8" i="19" s="1"/>
  <c r="Y8" i="19"/>
  <c r="AM483" i="2"/>
  <c r="JH690" i="5"/>
  <c r="JF690" i="5" s="1"/>
  <c r="AM1003" i="2"/>
  <c r="JD690" i="5"/>
  <c r="AL553" i="2"/>
  <c r="AL989" i="2"/>
  <c r="AL1790" i="2"/>
  <c r="AL405" i="2"/>
  <c r="AL409" i="2" s="1"/>
  <c r="AL1293" i="2"/>
  <c r="JE681" i="5"/>
  <c r="JC681" i="5" s="1"/>
  <c r="AE8" i="19"/>
  <c r="AJ1569" i="2"/>
  <c r="AJ1568" i="2"/>
  <c r="JB667" i="5"/>
  <c r="AK1271" i="2"/>
  <c r="W5" i="19"/>
  <c r="AK1760" i="2"/>
  <c r="AK1759" i="2" s="1"/>
  <c r="AK1786" i="2"/>
  <c r="AK1808" i="2" s="1"/>
  <c r="AK1855" i="2" s="1"/>
  <c r="AK591" i="2"/>
  <c r="AK986" i="2"/>
  <c r="AK988" i="2"/>
  <c r="AJ1527" i="2"/>
  <c r="AK1289" i="2"/>
  <c r="AK1380" i="2"/>
  <c r="AK1532" i="2"/>
  <c r="JC667" i="5" l="1"/>
  <c r="AK1569" i="2"/>
  <c r="AL1532" i="2"/>
  <c r="JA681" i="5"/>
  <c r="AK1527" i="2"/>
  <c r="AJ1329" i="2"/>
  <c r="AJ1328" i="2"/>
  <c r="AJ1375" i="2"/>
  <c r="AJ1168" i="2"/>
  <c r="AJ1159" i="2"/>
  <c r="AJ1166" i="2"/>
  <c r="AJ1170" i="2"/>
  <c r="AJ1167" i="2"/>
  <c r="AJ1263" i="2"/>
  <c r="IY842" i="5"/>
  <c r="IX842" i="5" s="1"/>
  <c r="AJ1161" i="2"/>
  <c r="AJ1345" i="2"/>
  <c r="AJ1432" i="2" s="1"/>
  <c r="AJ1160" i="2"/>
  <c r="AJ1163" i="2"/>
  <c r="IY834" i="5"/>
  <c r="IX834" i="5" s="1"/>
  <c r="AJ1213" i="2"/>
  <c r="AJ1151" i="2"/>
  <c r="AJ1154" i="2"/>
  <c r="AJ1155" i="2"/>
  <c r="AJ1153" i="2"/>
  <c r="AJ1156" i="2"/>
  <c r="IY815" i="5"/>
  <c r="IX815" i="5" s="1"/>
  <c r="AJ1132" i="2"/>
  <c r="AL1561" i="2"/>
  <c r="AL1568" i="2" s="1"/>
  <c r="AG679" i="2"/>
  <c r="IP478" i="5"/>
  <c r="P4" i="19"/>
  <c r="R4" i="19" s="1"/>
  <c r="O58" i="19"/>
  <c r="N58" i="19" s="1"/>
  <c r="O65" i="19"/>
  <c r="N65" i="19" s="1"/>
  <c r="Q4" i="19"/>
  <c r="Q65" i="19" s="1"/>
  <c r="Q66" i="19" s="1"/>
  <c r="Q67" i="19" s="1"/>
  <c r="AJ1856" i="2"/>
  <c r="AN1003" i="2"/>
  <c r="AN483" i="2"/>
  <c r="JK690" i="5"/>
  <c r="JI690" i="5" s="1"/>
  <c r="X5" i="19"/>
  <c r="Z5" i="19" s="1"/>
  <c r="W4" i="19"/>
  <c r="W65" i="19" s="1"/>
  <c r="Y5" i="19"/>
  <c r="AK1150" i="2"/>
  <c r="JB666" i="5"/>
  <c r="AK1131" i="2"/>
  <c r="AK1158" i="2"/>
  <c r="AK1279" i="2"/>
  <c r="AK1376" i="2"/>
  <c r="AK1288" i="2"/>
  <c r="AL1380" i="2"/>
  <c r="AL1289" i="2"/>
  <c r="AK1774" i="2"/>
  <c r="AK1772" i="2"/>
  <c r="AK1773" i="2"/>
  <c r="JG690" i="5"/>
  <c r="AP484" i="2"/>
  <c r="AO1012" i="2"/>
  <c r="IZ667" i="5"/>
  <c r="U8" i="19"/>
  <c r="V8" i="19" s="1"/>
  <c r="AF8" i="19"/>
  <c r="AH8" i="19" s="1"/>
  <c r="AG8" i="19"/>
  <c r="AE5" i="19"/>
  <c r="AL986" i="2"/>
  <c r="AL1271" i="2"/>
  <c r="AL591" i="2"/>
  <c r="JE667" i="5"/>
  <c r="AL1786" i="2"/>
  <c r="AL1808" i="2" s="1"/>
  <c r="AL988" i="2"/>
  <c r="AM989" i="2"/>
  <c r="AM1293" i="2"/>
  <c r="AM8" i="19"/>
  <c r="JH681" i="5"/>
  <c r="JF681" i="5" s="1"/>
  <c r="AM553" i="2"/>
  <c r="AM405" i="2"/>
  <c r="AM409" i="2" s="1"/>
  <c r="AM1790" i="2"/>
  <c r="AL1569" i="2" l="1"/>
  <c r="Q68" i="19"/>
  <c r="JF667" i="5"/>
  <c r="U5" i="19"/>
  <c r="V5" i="19" s="1"/>
  <c r="JC666" i="5"/>
  <c r="IY844" i="5"/>
  <c r="IX844" i="5" s="1"/>
  <c r="IY845" i="5"/>
  <c r="IX845" i="5" s="1"/>
  <c r="IY816" i="5"/>
  <c r="IX816" i="5" s="1"/>
  <c r="IY835" i="5"/>
  <c r="IX835" i="5" s="1"/>
  <c r="AM1561" i="2"/>
  <c r="AM1568" i="2" s="1"/>
  <c r="JD681" i="5"/>
  <c r="JA667" i="5"/>
  <c r="AL1527" i="2"/>
  <c r="AK1856" i="2"/>
  <c r="AK1263" i="2"/>
  <c r="IY839" i="5"/>
  <c r="IX839" i="5" s="1"/>
  <c r="AJ1342" i="2"/>
  <c r="AJ1429" i="2" s="1"/>
  <c r="IY892" i="5"/>
  <c r="IX892" i="5" s="1"/>
  <c r="AI1559" i="2"/>
  <c r="AJ1214" i="2"/>
  <c r="O82" i="19"/>
  <c r="N82" i="19" s="1"/>
  <c r="AJ1261" i="2"/>
  <c r="AJ1435" i="2"/>
  <c r="AJ1169" i="2"/>
  <c r="O68" i="19"/>
  <c r="AJ1348" i="2"/>
  <c r="AJ1164" i="2"/>
  <c r="IY850" i="5"/>
  <c r="IX850" i="5" s="1"/>
  <c r="AJ1352" i="2"/>
  <c r="AJ1439" i="2"/>
  <c r="AG307" i="2"/>
  <c r="IP473" i="5"/>
  <c r="IN473" i="5" s="1"/>
  <c r="IN468" i="5" s="1"/>
  <c r="IN467" i="5" s="1"/>
  <c r="IN569" i="5" s="1"/>
  <c r="AG287" i="2"/>
  <c r="AG308" i="2"/>
  <c r="AG674" i="2"/>
  <c r="AI1556" i="2"/>
  <c r="AJ1346" i="2"/>
  <c r="AJ1433" i="2"/>
  <c r="IY843" i="5"/>
  <c r="IX843" i="5" s="1"/>
  <c r="IX960" i="5" s="1"/>
  <c r="IY960" i="5" s="1"/>
  <c r="AJ1275" i="2"/>
  <c r="AJ1353" i="2"/>
  <c r="IY851" i="5"/>
  <c r="IX851" i="5" s="1"/>
  <c r="AJ1440" i="2"/>
  <c r="O67" i="19"/>
  <c r="O66" i="19"/>
  <c r="P65" i="19"/>
  <c r="R65" i="19" s="1"/>
  <c r="Q58" i="19"/>
  <c r="P58" i="19"/>
  <c r="R58" i="19" s="1"/>
  <c r="O59" i="19"/>
  <c r="N59" i="19" s="1"/>
  <c r="IY849" i="5"/>
  <c r="IX849" i="5" s="1"/>
  <c r="AJ1438" i="2"/>
  <c r="AJ1351" i="2"/>
  <c r="AJ1340" i="2"/>
  <c r="AJ1427" i="2" s="1"/>
  <c r="IY837" i="5"/>
  <c r="IX837" i="5" s="1"/>
  <c r="AJ1415" i="2"/>
  <c r="AJ1337" i="2"/>
  <c r="AJ1424" i="2" s="1"/>
  <c r="IY838" i="5"/>
  <c r="IX838" i="5" s="1"/>
  <c r="AJ1341" i="2"/>
  <c r="AJ1428" i="2" s="1"/>
  <c r="AJ1355" i="2"/>
  <c r="AJ1442" i="2"/>
  <c r="IY853" i="5"/>
  <c r="IX853" i="5" s="1"/>
  <c r="IN478" i="5"/>
  <c r="IO478" i="5" s="1"/>
  <c r="AM1532" i="2"/>
  <c r="AJ1343" i="2"/>
  <c r="AJ1430" i="2" s="1"/>
  <c r="IY840" i="5"/>
  <c r="IX840" i="5" s="1"/>
  <c r="AJ1338" i="2"/>
  <c r="AJ1425" i="2" s="1"/>
  <c r="AJ1416" i="2"/>
  <c r="AO8" i="19"/>
  <c r="AN8" i="19"/>
  <c r="AP8" i="19" s="1"/>
  <c r="AK1166" i="2"/>
  <c r="AK1168" i="2"/>
  <c r="AK1345" i="2"/>
  <c r="AK1432" i="2" s="1"/>
  <c r="AK1159" i="2"/>
  <c r="AK1161" i="2"/>
  <c r="AK1163" i="2"/>
  <c r="AK1170" i="2"/>
  <c r="JB842" i="5"/>
  <c r="AK1160" i="2"/>
  <c r="AL1279" i="2"/>
  <c r="AM1289" i="2"/>
  <c r="AM1380" i="2"/>
  <c r="AC5" i="19"/>
  <c r="AD5" i="19" s="1"/>
  <c r="AC8" i="19"/>
  <c r="AD8" i="19" s="1"/>
  <c r="AP1012" i="2"/>
  <c r="AQ484" i="2"/>
  <c r="AK1132" i="2"/>
  <c r="JB815" i="5"/>
  <c r="AK1151" i="2"/>
  <c r="AK1153" i="2"/>
  <c r="JB834" i="5"/>
  <c r="AK1213" i="2"/>
  <c r="AK1329" i="2"/>
  <c r="AK1375" i="2"/>
  <c r="AK1328" i="2"/>
  <c r="JJ690" i="5"/>
  <c r="AM5" i="19"/>
  <c r="AM986" i="2"/>
  <c r="AM1786" i="2"/>
  <c r="AM1808" i="2" s="1"/>
  <c r="AM591" i="2"/>
  <c r="JH667" i="5"/>
  <c r="AM1271" i="2"/>
  <c r="AM988" i="2"/>
  <c r="JN690" i="5"/>
  <c r="JL690" i="5" s="1"/>
  <c r="AO1003" i="2"/>
  <c r="AO483" i="2"/>
  <c r="JE666" i="5"/>
  <c r="AL1376" i="2"/>
  <c r="AL1288" i="2"/>
  <c r="AG5" i="19"/>
  <c r="AG66" i="19" s="1"/>
  <c r="AF5" i="19"/>
  <c r="AH5" i="19" s="1"/>
  <c r="AE4" i="19"/>
  <c r="W58" i="19"/>
  <c r="Y4" i="19"/>
  <c r="Y65" i="19" s="1"/>
  <c r="Y66" i="19" s="1"/>
  <c r="Y67" i="19" s="1"/>
  <c r="X4" i="19"/>
  <c r="Z4" i="19" s="1"/>
  <c r="IZ666" i="5"/>
  <c r="IZ816" i="5"/>
  <c r="IZ956" i="5"/>
  <c r="JK681" i="5"/>
  <c r="JI681" i="5" s="1"/>
  <c r="AU8" i="19"/>
  <c r="AN1293" i="2"/>
  <c r="AN989" i="2"/>
  <c r="AN553" i="2"/>
  <c r="AN405" i="2"/>
  <c r="AN409" i="2" s="1"/>
  <c r="JF666" i="5" l="1"/>
  <c r="JI667" i="5"/>
  <c r="Y68" i="19"/>
  <c r="JB845" i="5"/>
  <c r="JB844" i="5"/>
  <c r="JB835" i="5"/>
  <c r="JB816" i="5"/>
  <c r="JA816" i="5" s="1"/>
  <c r="AJ1349" i="2"/>
  <c r="AJ1436" i="2" s="1"/>
  <c r="W67" i="19"/>
  <c r="JA666" i="5"/>
  <c r="JA834" i="5" s="1"/>
  <c r="U4" i="19"/>
  <c r="V4" i="19" s="1"/>
  <c r="P68" i="19"/>
  <c r="R68" i="19" s="1"/>
  <c r="N68" i="19"/>
  <c r="P66" i="19"/>
  <c r="R66" i="19" s="1"/>
  <c r="N66" i="19"/>
  <c r="P67" i="19"/>
  <c r="N67" i="19"/>
  <c r="JA956" i="5"/>
  <c r="JA965" i="5" s="1"/>
  <c r="AM1569" i="2"/>
  <c r="JD667" i="5"/>
  <c r="AK1261" i="2"/>
  <c r="IX961" i="5"/>
  <c r="IX969" i="5"/>
  <c r="AG288" i="2"/>
  <c r="AH288" i="2"/>
  <c r="Q59" i="19"/>
  <c r="P59" i="19"/>
  <c r="R59" i="19" s="1"/>
  <c r="AJ1283" i="2"/>
  <c r="AJ1276" i="2"/>
  <c r="AJ1361" i="2"/>
  <c r="O83" i="19"/>
  <c r="N83" i="19" s="1"/>
  <c r="IY893" i="5"/>
  <c r="IX893" i="5" s="1"/>
  <c r="AJ1777" i="2"/>
  <c r="AJ1779" i="2" s="1"/>
  <c r="AG696" i="2" s="1"/>
  <c r="AJ1220" i="2"/>
  <c r="AJ1223" i="2" s="1"/>
  <c r="AJ1219" i="2"/>
  <c r="IN568" i="5"/>
  <c r="IY852" i="5"/>
  <c r="IX852" i="5" s="1"/>
  <c r="AJ1441" i="2"/>
  <c r="AJ1354" i="2"/>
  <c r="AG874" i="2"/>
  <c r="AG923" i="2" s="1"/>
  <c r="AG347" i="2"/>
  <c r="AG673" i="2"/>
  <c r="IP468" i="5"/>
  <c r="IO468" i="5" s="1"/>
  <c r="IO628" i="5" s="1"/>
  <c r="IN567" i="5"/>
  <c r="IN573" i="5"/>
  <c r="IN580" i="5" s="1"/>
  <c r="IN465" i="5"/>
  <c r="IN572" i="5" s="1"/>
  <c r="IN579" i="5" s="1"/>
  <c r="IN582" i="5" s="1"/>
  <c r="IO582" i="5" s="1"/>
  <c r="IO650" i="5" s="1"/>
  <c r="AJ1367" i="2"/>
  <c r="AJ1454" i="2" s="1"/>
  <c r="AI1555" i="2"/>
  <c r="IY941" i="5"/>
  <c r="IX941" i="5" s="1"/>
  <c r="O108" i="19"/>
  <c r="N108" i="19" s="1"/>
  <c r="P82" i="19"/>
  <c r="R82" i="19" s="1"/>
  <c r="Q82" i="19"/>
  <c r="IO473" i="5"/>
  <c r="AI1560" i="2"/>
  <c r="AK8" i="19"/>
  <c r="AL8" i="19" s="1"/>
  <c r="AO1293" i="2"/>
  <c r="BC8" i="19"/>
  <c r="AO553" i="2"/>
  <c r="AO405" i="2"/>
  <c r="AO409" i="2" s="1"/>
  <c r="AO989" i="2"/>
  <c r="JN681" i="5"/>
  <c r="JL681" i="5" s="1"/>
  <c r="AK1275" i="2"/>
  <c r="AK1346" i="2"/>
  <c r="JB843" i="5"/>
  <c r="AK1433" i="2"/>
  <c r="AJ1556" i="2"/>
  <c r="JH666" i="5"/>
  <c r="AK1440" i="2"/>
  <c r="JB851" i="5"/>
  <c r="AK1353" i="2"/>
  <c r="JH956" i="5"/>
  <c r="AV8" i="19"/>
  <c r="AX8" i="19" s="1"/>
  <c r="AW8" i="19"/>
  <c r="AK1338" i="2"/>
  <c r="AK1425" i="2" s="1"/>
  <c r="AK1416" i="2"/>
  <c r="AK1435" i="2"/>
  <c r="AK1348" i="2"/>
  <c r="AK1164" i="2"/>
  <c r="W68" i="19"/>
  <c r="AK1169" i="2"/>
  <c r="AN988" i="2"/>
  <c r="JK667" i="5"/>
  <c r="AU5" i="19"/>
  <c r="AN1271" i="2"/>
  <c r="AN986" i="2"/>
  <c r="AN591" i="2"/>
  <c r="AM1279" i="2"/>
  <c r="AK1438" i="2"/>
  <c r="AK1351" i="2"/>
  <c r="JB849" i="5"/>
  <c r="AQ1012" i="2"/>
  <c r="AR484" i="2"/>
  <c r="AO5" i="19"/>
  <c r="AO66" i="19" s="1"/>
  <c r="AM4" i="19"/>
  <c r="AN5" i="19"/>
  <c r="AP5" i="19" s="1"/>
  <c r="JC956" i="5"/>
  <c r="AC4" i="19"/>
  <c r="AK1355" i="2"/>
  <c r="AK1442" i="2"/>
  <c r="JB853" i="5"/>
  <c r="W59" i="19"/>
  <c r="X58" i="19"/>
  <c r="Z58" i="19" s="1"/>
  <c r="Y58" i="19"/>
  <c r="AM1527" i="2"/>
  <c r="JG681" i="5"/>
  <c r="AF4" i="19"/>
  <c r="AH4" i="19" s="1"/>
  <c r="AG4" i="19"/>
  <c r="AK1337" i="2"/>
  <c r="AK1424" i="2" s="1"/>
  <c r="AK1415" i="2"/>
  <c r="AN1380" i="2"/>
  <c r="AN1289" i="2"/>
  <c r="AK1214" i="2"/>
  <c r="JB892" i="5"/>
  <c r="W82" i="19"/>
  <c r="AJ1559" i="2"/>
  <c r="IZ965" i="5"/>
  <c r="IY969" i="5"/>
  <c r="IY961" i="5"/>
  <c r="AL1375" i="2"/>
  <c r="IZ842" i="5"/>
  <c r="IZ843" i="5"/>
  <c r="IZ815" i="5"/>
  <c r="JA815" i="5" s="1"/>
  <c r="IZ834" i="5"/>
  <c r="JB837" i="5"/>
  <c r="AK1340" i="2"/>
  <c r="AK1427" i="2" s="1"/>
  <c r="W66" i="19"/>
  <c r="X65" i="19"/>
  <c r="Z65" i="19" s="1"/>
  <c r="JM690" i="5"/>
  <c r="AN1561" i="2"/>
  <c r="AN1532" i="2"/>
  <c r="AP483" i="2"/>
  <c r="AP1003" i="2"/>
  <c r="AO1561" i="2" s="1"/>
  <c r="AM1288" i="2"/>
  <c r="AM1376" i="2"/>
  <c r="X67" i="19" l="1"/>
  <c r="JI666" i="5"/>
  <c r="JL667" i="5"/>
  <c r="R67" i="19"/>
  <c r="U58" i="19"/>
  <c r="U59" i="19" s="1"/>
  <c r="V59" i="19" s="1"/>
  <c r="U65" i="19"/>
  <c r="U67" i="19" s="1"/>
  <c r="JA842" i="5"/>
  <c r="JA844" i="5" s="1"/>
  <c r="JA843" i="5"/>
  <c r="JA960" i="5" s="1"/>
  <c r="AK1349" i="2"/>
  <c r="AK1436" i="2" s="1"/>
  <c r="AS5" i="19"/>
  <c r="AT5" i="19" s="1"/>
  <c r="AS8" i="19"/>
  <c r="AT8" i="19" s="1"/>
  <c r="AD4" i="19"/>
  <c r="X68" i="19"/>
  <c r="Z68" i="19" s="1"/>
  <c r="V68" i="19"/>
  <c r="X66" i="19"/>
  <c r="Z66" i="19" s="1"/>
  <c r="JB956" i="5"/>
  <c r="JB965" i="5" s="1"/>
  <c r="AJ1555" i="2"/>
  <c r="AK1367" i="2"/>
  <c r="AK1454" i="2" s="1"/>
  <c r="JB941" i="5"/>
  <c r="W108" i="19"/>
  <c r="JD956" i="5"/>
  <c r="JE956" i="5" s="1"/>
  <c r="AN1527" i="2"/>
  <c r="IN596" i="5"/>
  <c r="IO596" i="5" s="1"/>
  <c r="IO654" i="5" s="1"/>
  <c r="JJ681" i="5"/>
  <c r="Q83" i="19"/>
  <c r="P83" i="19"/>
  <c r="R83" i="19" s="1"/>
  <c r="IY899" i="5"/>
  <c r="IX899" i="5" s="1"/>
  <c r="O85" i="19"/>
  <c r="N85" i="19" s="1"/>
  <c r="AJ1360" i="2"/>
  <c r="AJ1447" i="2" s="1"/>
  <c r="AJ1797" i="2"/>
  <c r="AJ1796" i="2" s="1"/>
  <c r="AJ1448" i="2"/>
  <c r="AG795" i="2"/>
  <c r="IP467" i="5"/>
  <c r="IO467" i="5" s="1"/>
  <c r="IO627" i="5" s="1"/>
  <c r="AG790" i="2"/>
  <c r="AG792" i="2"/>
  <c r="IP569" i="5" s="1"/>
  <c r="IO569" i="5" s="1"/>
  <c r="AG873" i="2"/>
  <c r="AG922" i="2" s="1"/>
  <c r="AG671" i="2"/>
  <c r="P108" i="19"/>
  <c r="R108" i="19" s="1"/>
  <c r="Q108" i="19"/>
  <c r="IY898" i="5"/>
  <c r="IX898" i="5" s="1"/>
  <c r="AJ1584" i="2" s="1"/>
  <c r="AJ1586" i="2"/>
  <c r="O84" i="19"/>
  <c r="N84" i="19" s="1"/>
  <c r="AN1279" i="2"/>
  <c r="AK5" i="19"/>
  <c r="AL5" i="19" s="1"/>
  <c r="JF956" i="5"/>
  <c r="AJ1560" i="2"/>
  <c r="BE8" i="19"/>
  <c r="BD8" i="19"/>
  <c r="BF8" i="19" s="1"/>
  <c r="AO1569" i="2"/>
  <c r="AO1568" i="2"/>
  <c r="IZ960" i="5"/>
  <c r="IY947" i="5"/>
  <c r="IY951" i="5" s="1"/>
  <c r="AO1380" i="2"/>
  <c r="AO1289" i="2"/>
  <c r="JB852" i="5"/>
  <c r="AK1354" i="2"/>
  <c r="AK1441" i="2"/>
  <c r="X59" i="19"/>
  <c r="Z59" i="19" s="1"/>
  <c r="Y59" i="19"/>
  <c r="AR1012" i="2"/>
  <c r="AS484" i="2"/>
  <c r="AQ483" i="2"/>
  <c r="AQ1003" i="2"/>
  <c r="IZ849" i="5"/>
  <c r="IZ844" i="5"/>
  <c r="IZ853" i="5"/>
  <c r="IY948" i="5" s="1"/>
  <c r="IY952" i="5" s="1"/>
  <c r="IZ851" i="5"/>
  <c r="IZ845" i="5"/>
  <c r="IY946" i="5"/>
  <c r="IY950" i="5" s="1"/>
  <c r="AU4" i="19"/>
  <c r="AW5" i="19"/>
  <c r="AW66" i="19" s="1"/>
  <c r="AV5" i="19"/>
  <c r="AX5" i="19" s="1"/>
  <c r="JC965" i="5"/>
  <c r="AO4" i="19"/>
  <c r="AN4" i="19"/>
  <c r="AP4" i="19" s="1"/>
  <c r="AN1376" i="2"/>
  <c r="AN1288" i="2"/>
  <c r="JD666" i="5"/>
  <c r="JN667" i="5"/>
  <c r="BC5" i="19"/>
  <c r="AO1271" i="2"/>
  <c r="AO988" i="2"/>
  <c r="AO986" i="2"/>
  <c r="AO591" i="2"/>
  <c r="IZ892" i="5"/>
  <c r="IZ837" i="5"/>
  <c r="IZ835" i="5"/>
  <c r="AK1283" i="2"/>
  <c r="AK1276" i="2"/>
  <c r="JH965" i="5"/>
  <c r="AK1361" i="2"/>
  <c r="AK1777" i="2"/>
  <c r="AK1779" i="2" s="1"/>
  <c r="AK1220" i="2"/>
  <c r="JB893" i="5"/>
  <c r="AK1219" i="2"/>
  <c r="W83" i="19"/>
  <c r="JA892" i="5"/>
  <c r="JA837" i="5"/>
  <c r="JA835" i="5"/>
  <c r="AP989" i="2"/>
  <c r="AO1527" i="2" s="1"/>
  <c r="AP553" i="2"/>
  <c r="AP1293" i="2"/>
  <c r="AP405" i="2"/>
  <c r="AP409" i="2" s="1"/>
  <c r="AM1375" i="2"/>
  <c r="AN1569" i="2"/>
  <c r="AN1568" i="2"/>
  <c r="JG667" i="5"/>
  <c r="JJ667" i="5"/>
  <c r="JJ956" i="5" s="1"/>
  <c r="JK956" i="5"/>
  <c r="JK666" i="5"/>
  <c r="X82" i="19"/>
  <c r="Z82" i="19" s="1"/>
  <c r="Y82" i="19"/>
  <c r="AO1532" i="2"/>
  <c r="V65" i="19" l="1"/>
  <c r="V67" i="19" s="1"/>
  <c r="Z67" i="19"/>
  <c r="JL666" i="5"/>
  <c r="U66" i="19"/>
  <c r="V66" i="19" s="1"/>
  <c r="V58" i="19"/>
  <c r="JA851" i="5"/>
  <c r="JA849" i="5"/>
  <c r="JA853" i="5"/>
  <c r="JA845" i="5"/>
  <c r="JI956" i="5"/>
  <c r="JI965" i="5" s="1"/>
  <c r="AS4" i="19"/>
  <c r="AT4" i="19" s="1"/>
  <c r="AJ1226" i="2"/>
  <c r="AJ1224" i="2" s="1"/>
  <c r="BA5" i="19"/>
  <c r="BB5" i="19" s="1"/>
  <c r="BA8" i="19"/>
  <c r="BB8" i="19" s="1"/>
  <c r="JG666" i="5"/>
  <c r="AK4" i="19"/>
  <c r="AL4" i="19" s="1"/>
  <c r="Y108" i="19"/>
  <c r="X108" i="19"/>
  <c r="Z108" i="19" s="1"/>
  <c r="JD965" i="5"/>
  <c r="IZ941" i="5"/>
  <c r="IN615" i="5"/>
  <c r="JM681" i="5"/>
  <c r="Q84" i="19"/>
  <c r="P84" i="19"/>
  <c r="R84" i="19" s="1"/>
  <c r="AG794" i="2"/>
  <c r="AG797" i="2"/>
  <c r="AG894" i="2" s="1"/>
  <c r="AG940" i="2" s="1"/>
  <c r="AG872" i="2"/>
  <c r="AG921" i="2" s="1"/>
  <c r="AG798" i="2"/>
  <c r="AG895" i="2" s="1"/>
  <c r="AG941" i="2" s="1"/>
  <c r="AG799" i="2"/>
  <c r="AG896" i="2" s="1"/>
  <c r="AG942" i="2" s="1"/>
  <c r="IP465" i="5"/>
  <c r="IO465" i="5" s="1"/>
  <c r="IO626" i="5" s="1"/>
  <c r="AG796" i="2"/>
  <c r="Q85" i="19"/>
  <c r="P85" i="19"/>
  <c r="R85" i="19" s="1"/>
  <c r="AJ1221" i="2"/>
  <c r="IY902" i="5"/>
  <c r="IX902" i="5" s="1"/>
  <c r="IP567" i="5"/>
  <c r="IO567" i="5" s="1"/>
  <c r="AG791" i="2"/>
  <c r="IP568" i="5" s="1"/>
  <c r="IO568" i="5" s="1"/>
  <c r="AG585" i="2"/>
  <c r="AG341" i="2"/>
  <c r="IP573" i="5"/>
  <c r="IO573" i="5" s="1"/>
  <c r="IO643" i="5" s="1"/>
  <c r="AG892" i="2"/>
  <c r="AG938" i="2" s="1"/>
  <c r="AG805" i="2"/>
  <c r="AQ989" i="2"/>
  <c r="AP1527" i="2" s="1"/>
  <c r="AQ1293" i="2"/>
  <c r="AQ553" i="2"/>
  <c r="AQ405" i="2"/>
  <c r="AQ409" i="2" s="1"/>
  <c r="JB960" i="5"/>
  <c r="IZ969" i="5"/>
  <c r="IZ961" i="5"/>
  <c r="IZ893" i="5"/>
  <c r="U82" i="19"/>
  <c r="V82" i="19" s="1"/>
  <c r="JA893" i="5"/>
  <c r="JJ965" i="5"/>
  <c r="AV4" i="19"/>
  <c r="AX4" i="19" s="1"/>
  <c r="AW4" i="19"/>
  <c r="AP1289" i="2"/>
  <c r="AP1380" i="2"/>
  <c r="AN1375" i="2"/>
  <c r="AK1797" i="2"/>
  <c r="AK1796" i="2" s="1"/>
  <c r="AK1360" i="2"/>
  <c r="AK1447" i="2" s="1"/>
  <c r="AK1448" i="2"/>
  <c r="AS1012" i="2"/>
  <c r="AT484" i="2"/>
  <c r="AT1012" i="2" s="1"/>
  <c r="AR1003" i="2"/>
  <c r="AQ1561" i="2" s="1"/>
  <c r="AR483" i="2"/>
  <c r="JG956" i="5"/>
  <c r="JN956" i="5"/>
  <c r="X83" i="19"/>
  <c r="Z83" i="19" s="1"/>
  <c r="Y83" i="19"/>
  <c r="JF965" i="5"/>
  <c r="AO1279" i="2"/>
  <c r="AP591" i="2"/>
  <c r="AP1271" i="2"/>
  <c r="AP988" i="2"/>
  <c r="JB898" i="5"/>
  <c r="AL1584" i="2" s="1"/>
  <c r="W84" i="19"/>
  <c r="AK1586" i="2"/>
  <c r="AO1376" i="2"/>
  <c r="AO1288" i="2"/>
  <c r="JA969" i="5"/>
  <c r="JA961" i="5"/>
  <c r="JE965" i="5"/>
  <c r="JK965" i="5"/>
  <c r="AP1561" i="2"/>
  <c r="JN666" i="5"/>
  <c r="AP1532" i="2"/>
  <c r="BD5" i="19"/>
  <c r="BF5" i="19" s="1"/>
  <c r="BE5" i="19"/>
  <c r="BE66" i="19" s="1"/>
  <c r="BC4" i="19"/>
  <c r="W85" i="19"/>
  <c r="AK1223" i="2"/>
  <c r="JB899" i="5"/>
  <c r="AJ1634" i="2" l="1"/>
  <c r="AJ1630" i="2"/>
  <c r="AJ1269" i="2"/>
  <c r="AJ1266" i="2" s="1"/>
  <c r="BA4" i="19"/>
  <c r="JL956" i="5"/>
  <c r="JL965" i="5" s="1"/>
  <c r="JM667" i="5"/>
  <c r="JM956" i="5" s="1"/>
  <c r="JM965" i="5" s="1"/>
  <c r="JJ666" i="5"/>
  <c r="IY905" i="5"/>
  <c r="IX905" i="5" s="1"/>
  <c r="AJ1632" i="2" s="1"/>
  <c r="BB4" i="19"/>
  <c r="U108" i="19"/>
  <c r="V108" i="19" s="1"/>
  <c r="JA941" i="5"/>
  <c r="JM666" i="5"/>
  <c r="O86" i="19"/>
  <c r="N86" i="19" s="1"/>
  <c r="IY900" i="5"/>
  <c r="IX900" i="5" s="1"/>
  <c r="AG893" i="2"/>
  <c r="AG939" i="2" s="1"/>
  <c r="IP574" i="5"/>
  <c r="AI946" i="2"/>
  <c r="AG946" i="2"/>
  <c r="AH946" i="2"/>
  <c r="AI943" i="2"/>
  <c r="AE943" i="2"/>
  <c r="AF943" i="2"/>
  <c r="AG943" i="2"/>
  <c r="AH943" i="2"/>
  <c r="AE944" i="2"/>
  <c r="AI944" i="2"/>
  <c r="AH944" i="2"/>
  <c r="AG944" i="2"/>
  <c r="AF944" i="2"/>
  <c r="AG902" i="2"/>
  <c r="AG952" i="2" s="1"/>
  <c r="IP580" i="5"/>
  <c r="IO580" i="5" s="1"/>
  <c r="IO649" i="5" s="1"/>
  <c r="AG804" i="2"/>
  <c r="AG891" i="2"/>
  <c r="AG937" i="2" s="1"/>
  <c r="IP572" i="5"/>
  <c r="IO572" i="5" s="1"/>
  <c r="IO642" i="5" s="1"/>
  <c r="AQ1569" i="2"/>
  <c r="AQ1568" i="2"/>
  <c r="AP1568" i="2"/>
  <c r="AP1569" i="2"/>
  <c r="AQ1289" i="2"/>
  <c r="AQ1380" i="2"/>
  <c r="Y84" i="19"/>
  <c r="X84" i="19"/>
  <c r="Z84" i="19" s="1"/>
  <c r="JN965" i="5"/>
  <c r="AP1279" i="2"/>
  <c r="Y85" i="19"/>
  <c r="X85" i="19"/>
  <c r="Z85" i="19" s="1"/>
  <c r="JG965" i="5"/>
  <c r="BD4" i="19"/>
  <c r="BF4" i="19" s="1"/>
  <c r="BE4" i="19"/>
  <c r="AO1375" i="2"/>
  <c r="AS483" i="2"/>
  <c r="AS1003" i="2"/>
  <c r="AR1561" i="2" s="1"/>
  <c r="U83" i="19"/>
  <c r="V83" i="19" s="1"/>
  <c r="AQ988" i="2"/>
  <c r="AQ591" i="2"/>
  <c r="AQ1271" i="2"/>
  <c r="AK1221" i="2"/>
  <c r="JB902" i="5"/>
  <c r="JB969" i="5"/>
  <c r="JB961" i="5"/>
  <c r="AR989" i="2"/>
  <c r="AR553" i="2"/>
  <c r="AR405" i="2"/>
  <c r="AR409" i="2" s="1"/>
  <c r="AR1293" i="2"/>
  <c r="AQ1532" i="2"/>
  <c r="AK1226" i="2"/>
  <c r="AP1376" i="2"/>
  <c r="AP1288" i="2"/>
  <c r="AT483" i="2"/>
  <c r="AT1003" i="2"/>
  <c r="O87" i="19" l="1"/>
  <c r="N87" i="19" s="1"/>
  <c r="AJ1628" i="2"/>
  <c r="IY903" i="5"/>
  <c r="IX903" i="5" s="1"/>
  <c r="AR1532" i="2"/>
  <c r="P87" i="19"/>
  <c r="R87" i="19" s="1"/>
  <c r="IP579" i="5"/>
  <c r="IO579" i="5" s="1"/>
  <c r="IO648" i="5" s="1"/>
  <c r="AG848" i="2"/>
  <c r="IP615" i="5" s="1"/>
  <c r="IO615" i="5" s="1"/>
  <c r="AG901" i="2"/>
  <c r="AG951" i="2" s="1"/>
  <c r="AG962" i="2" s="1"/>
  <c r="AE945" i="2"/>
  <c r="AI945" i="2"/>
  <c r="AG945" i="2"/>
  <c r="AH945" i="2"/>
  <c r="AF945" i="2"/>
  <c r="IN574" i="5"/>
  <c r="IO574" i="5" s="1"/>
  <c r="Q86" i="19"/>
  <c r="P86" i="19"/>
  <c r="R86" i="19" s="1"/>
  <c r="JB905" i="5"/>
  <c r="AK1224" i="2"/>
  <c r="AQ1376" i="2"/>
  <c r="AQ1288" i="2"/>
  <c r="AR1289" i="2"/>
  <c r="AR1380" i="2"/>
  <c r="JB900" i="5"/>
  <c r="W86" i="19"/>
  <c r="AR1569" i="2"/>
  <c r="AR1568" i="2"/>
  <c r="AK1630" i="2"/>
  <c r="AT989" i="2"/>
  <c r="AT1293" i="2"/>
  <c r="AT1561" i="2"/>
  <c r="AT405" i="2"/>
  <c r="AT553" i="2"/>
  <c r="AT1532" i="2"/>
  <c r="AK1634" i="2"/>
  <c r="AP1375" i="2"/>
  <c r="AR988" i="2"/>
  <c r="AR1271" i="2"/>
  <c r="AR591" i="2"/>
  <c r="AQ1279" i="2"/>
  <c r="AQ1527" i="2"/>
  <c r="AS1293" i="2"/>
  <c r="AS989" i="2"/>
  <c r="AS553" i="2"/>
  <c r="AS1532" i="2"/>
  <c r="AS1561" i="2"/>
  <c r="AS405" i="2"/>
  <c r="AS409" i="2" s="1"/>
  <c r="AK1269" i="2"/>
  <c r="AK1266" i="2" s="1"/>
  <c r="Q87" i="19" l="1"/>
  <c r="AQ1375" i="2"/>
  <c r="IZ905" i="5"/>
  <c r="IZ903" i="5" s="1"/>
  <c r="JA905" i="5"/>
  <c r="JA903" i="5" s="1"/>
  <c r="AS1568" i="2"/>
  <c r="AS1569" i="2"/>
  <c r="X86" i="19"/>
  <c r="Z86" i="19" s="1"/>
  <c r="Y86" i="19"/>
  <c r="AT409" i="2"/>
  <c r="AS988" i="2"/>
  <c r="AS1527" i="2"/>
  <c r="AS591" i="2"/>
  <c r="AS1271" i="2"/>
  <c r="AT1568" i="2"/>
  <c r="AT1569" i="2"/>
  <c r="W87" i="19"/>
  <c r="JB903" i="5"/>
  <c r="AR1527" i="2"/>
  <c r="AR1279" i="2"/>
  <c r="AT1380" i="2"/>
  <c r="AT1289" i="2"/>
  <c r="AR1288" i="2"/>
  <c r="AR1376" i="2"/>
  <c r="AS1380" i="2"/>
  <c r="AS1289" i="2"/>
  <c r="AT1271" i="2"/>
  <c r="AT988" i="2"/>
  <c r="AT1527" i="2"/>
  <c r="AT591" i="2"/>
  <c r="JA902" i="5" l="1"/>
  <c r="U87" i="19"/>
  <c r="V87" i="19" s="1"/>
  <c r="IZ902" i="5"/>
  <c r="X87" i="19"/>
  <c r="Z87" i="19" s="1"/>
  <c r="Y87" i="19"/>
  <c r="AS1376" i="2"/>
  <c r="AS1288" i="2"/>
  <c r="AT1376" i="2"/>
  <c r="AT1288" i="2"/>
  <c r="AS1279" i="2"/>
  <c r="AT1279" i="2"/>
  <c r="AR1375" i="2"/>
  <c r="AJ1629" i="2" l="1"/>
  <c r="AJ1627" i="2" s="1"/>
  <c r="IZ900" i="5"/>
  <c r="AJ1633" i="2"/>
  <c r="AJ1631" i="2" s="1"/>
  <c r="AS1375" i="2"/>
  <c r="AK1628" i="2"/>
  <c r="AK1632" i="2"/>
  <c r="JA900" i="5"/>
  <c r="AT1375" i="2"/>
  <c r="U86" i="19" l="1"/>
  <c r="V86" i="19" s="1"/>
  <c r="IZ899" i="5"/>
  <c r="JA899" i="5"/>
  <c r="JA898" i="5" l="1"/>
  <c r="IZ898" i="5"/>
  <c r="U85" i="19"/>
  <c r="V85" i="19" s="1"/>
  <c r="AJ1585" i="2" l="1"/>
  <c r="AJ1583" i="2" s="1"/>
  <c r="U84" i="19"/>
  <c r="V84" i="19" s="1"/>
  <c r="AK1584" i="2"/>
  <c r="AL603" i="2" l="1"/>
  <c r="AL1079" i="2" s="1"/>
  <c r="AM1079" i="2" s="1"/>
  <c r="AN1079" i="2" s="1"/>
  <c r="AO1079" i="2" s="1"/>
  <c r="AP1079" i="2" s="1"/>
  <c r="AQ1079" i="2" s="1"/>
  <c r="AR1079" i="2" s="1"/>
  <c r="AS1079" i="2" s="1"/>
  <c r="AT1079" i="2" s="1"/>
  <c r="JE757" i="5" l="1"/>
  <c r="JC757" i="5" s="1"/>
  <c r="JC754" i="5" s="1"/>
  <c r="AK1544" i="2"/>
  <c r="AL1272" i="2"/>
  <c r="AL1280" i="2" s="1"/>
  <c r="AL1814" i="2"/>
  <c r="AL1854" i="2" s="1"/>
  <c r="AL1855" i="2" s="1"/>
  <c r="AE27" i="19"/>
  <c r="AL1076" i="2"/>
  <c r="AL1317" i="2"/>
  <c r="JD757" i="5" l="1"/>
  <c r="JD957" i="5" s="1"/>
  <c r="JD966" i="5" s="1"/>
  <c r="JC957" i="5"/>
  <c r="JC966" i="5" s="1"/>
  <c r="AC27" i="19"/>
  <c r="AD27" i="19" s="1"/>
  <c r="AG27" i="19"/>
  <c r="AG68" i="19" s="1"/>
  <c r="AF27" i="19"/>
  <c r="AH27" i="19" s="1"/>
  <c r="AL1314" i="2"/>
  <c r="AL1404" i="2"/>
  <c r="AM1317" i="2"/>
  <c r="AM1272" i="2"/>
  <c r="AM1280" i="2" s="1"/>
  <c r="AL1544" i="2"/>
  <c r="AM27" i="19"/>
  <c r="JH757" i="5"/>
  <c r="AM1076" i="2"/>
  <c r="AM1814" i="2"/>
  <c r="AM1854" i="2" s="1"/>
  <c r="AM1855" i="2" s="1"/>
  <c r="AL1158" i="2"/>
  <c r="AL1131" i="2"/>
  <c r="AE24" i="19"/>
  <c r="AK1536" i="2"/>
  <c r="AL1274" i="2"/>
  <c r="AL1150" i="2"/>
  <c r="AL1159" i="2"/>
  <c r="JE754" i="5"/>
  <c r="JD754" i="5" s="1"/>
  <c r="JC843" i="5"/>
  <c r="JC834" i="5"/>
  <c r="JC815" i="5"/>
  <c r="JC816" i="5"/>
  <c r="JC959" i="5"/>
  <c r="AC24" i="19"/>
  <c r="JC842" i="5"/>
  <c r="JF757" i="5" l="1"/>
  <c r="JF957" i="5" s="1"/>
  <c r="JF966" i="5" s="1"/>
  <c r="JH957" i="5"/>
  <c r="AD24" i="19"/>
  <c r="AC65" i="19"/>
  <c r="AC67" i="19" s="1"/>
  <c r="AC58" i="19"/>
  <c r="AC59" i="19" s="1"/>
  <c r="JE957" i="5"/>
  <c r="JE966" i="5" s="1"/>
  <c r="AL1282" i="2"/>
  <c r="JC853" i="5"/>
  <c r="JB948" i="5" s="1"/>
  <c r="JB952" i="5" s="1"/>
  <c r="JB946" i="5"/>
  <c r="JB950" i="5" s="1"/>
  <c r="JC851" i="5"/>
  <c r="JC849" i="5"/>
  <c r="JC845" i="5"/>
  <c r="JC844" i="5"/>
  <c r="AU27" i="19"/>
  <c r="AN1272" i="2"/>
  <c r="AN1280" i="2" s="1"/>
  <c r="AM1544" i="2"/>
  <c r="JK757" i="5"/>
  <c r="AN1076" i="2"/>
  <c r="AN1317" i="2"/>
  <c r="JE815" i="5"/>
  <c r="JD815" i="5" s="1"/>
  <c r="AL1132" i="2"/>
  <c r="JC968" i="5"/>
  <c r="AM1150" i="2"/>
  <c r="JH754" i="5"/>
  <c r="AM1159" i="2"/>
  <c r="AM1158" i="2"/>
  <c r="AM1274" i="2"/>
  <c r="AM1131" i="2"/>
  <c r="AM24" i="19"/>
  <c r="JH966" i="5"/>
  <c r="AN27" i="19"/>
  <c r="AP27" i="19" s="1"/>
  <c r="AO27" i="19"/>
  <c r="AO68" i="19" s="1"/>
  <c r="AL1536" i="2"/>
  <c r="AL1170" i="2"/>
  <c r="JE842" i="5"/>
  <c r="AL1166" i="2"/>
  <c r="AL1168" i="2"/>
  <c r="AL1263" i="2"/>
  <c r="AL1345" i="2"/>
  <c r="AL1432" i="2" s="1"/>
  <c r="AL1163" i="2"/>
  <c r="AL1160" i="2"/>
  <c r="AL1161" i="2"/>
  <c r="JC892" i="5"/>
  <c r="JC835" i="5"/>
  <c r="JC837" i="5"/>
  <c r="JB947" i="5"/>
  <c r="JB951" i="5" s="1"/>
  <c r="JC960" i="5"/>
  <c r="JC961" i="5" s="1"/>
  <c r="AL1856" i="2"/>
  <c r="AM1314" i="2"/>
  <c r="AM1404" i="2"/>
  <c r="AE65" i="19"/>
  <c r="AD65" i="19" s="1"/>
  <c r="AD67" i="19" s="1"/>
  <c r="AG24" i="19"/>
  <c r="AG65" i="19" s="1"/>
  <c r="AF24" i="19"/>
  <c r="AH24" i="19" s="1"/>
  <c r="AE58" i="19"/>
  <c r="JD843" i="5"/>
  <c r="JD842" i="5"/>
  <c r="JD959" i="5"/>
  <c r="JE959" i="5" s="1"/>
  <c r="JD834" i="5"/>
  <c r="AL1329" i="2"/>
  <c r="AL1401" i="2"/>
  <c r="AL1328" i="2"/>
  <c r="AL1275" i="2"/>
  <c r="AL1283" i="2" s="1"/>
  <c r="AL1346" i="2"/>
  <c r="AL1433" i="2"/>
  <c r="JE843" i="5"/>
  <c r="AK1556" i="2"/>
  <c r="AL1153" i="2"/>
  <c r="JE834" i="5"/>
  <c r="AL1151" i="2"/>
  <c r="AL1213" i="2"/>
  <c r="AC66" i="19" l="1"/>
  <c r="AD58" i="19"/>
  <c r="JE844" i="5"/>
  <c r="JE835" i="5"/>
  <c r="JE816" i="5"/>
  <c r="JD816" i="5" s="1"/>
  <c r="AL1556" i="2"/>
  <c r="AM1856" i="2"/>
  <c r="JE845" i="5"/>
  <c r="AE67" i="19"/>
  <c r="JC941" i="5"/>
  <c r="AM1536" i="2"/>
  <c r="AL1261" i="2"/>
  <c r="JE968" i="5"/>
  <c r="AO1272" i="2"/>
  <c r="AO1280" i="2" s="1"/>
  <c r="AN1544" i="2"/>
  <c r="AO1317" i="2"/>
  <c r="JN757" i="5"/>
  <c r="BC27" i="19"/>
  <c r="AO1076" i="2"/>
  <c r="JF754" i="5"/>
  <c r="JF959" i="5" s="1"/>
  <c r="AK27" i="19"/>
  <c r="AL27" i="19" s="1"/>
  <c r="AL1164" i="2"/>
  <c r="JE847" i="5"/>
  <c r="AL1435" i="2"/>
  <c r="AE68" i="19"/>
  <c r="AL1169" i="2"/>
  <c r="AL1348" i="2"/>
  <c r="AM1168" i="2"/>
  <c r="AM1345" i="2"/>
  <c r="AM1432" i="2" s="1"/>
  <c r="AM1263" i="2"/>
  <c r="AM1160" i="2"/>
  <c r="JH842" i="5"/>
  <c r="AM1163" i="2"/>
  <c r="AM1166" i="2"/>
  <c r="AM1170" i="2"/>
  <c r="AM1161" i="2"/>
  <c r="AM1275" i="2"/>
  <c r="AM1283" i="2" s="1"/>
  <c r="AM1433" i="2"/>
  <c r="AM1346" i="2"/>
  <c r="JH843" i="5"/>
  <c r="JH960" i="5" s="1"/>
  <c r="JH969" i="5" s="1"/>
  <c r="AL1337" i="2"/>
  <c r="AL1424" i="2" s="1"/>
  <c r="AL1415" i="2"/>
  <c r="JD844" i="5"/>
  <c r="JD851" i="5"/>
  <c r="JD845" i="5"/>
  <c r="JD849" i="5"/>
  <c r="JD853" i="5"/>
  <c r="AN1314" i="2"/>
  <c r="AN1404" i="2"/>
  <c r="AC82" i="19"/>
  <c r="JC893" i="5"/>
  <c r="AM1282" i="2"/>
  <c r="AL1440" i="2"/>
  <c r="AL1353" i="2"/>
  <c r="JE851" i="5"/>
  <c r="JH834" i="5"/>
  <c r="AM1153" i="2"/>
  <c r="AM1151" i="2"/>
  <c r="AM1213" i="2"/>
  <c r="AF65" i="19"/>
  <c r="AH65" i="19" s="1"/>
  <c r="AE66" i="19"/>
  <c r="AD66" i="19" s="1"/>
  <c r="AL1214" i="2"/>
  <c r="AE82" i="19"/>
  <c r="AK1559" i="2"/>
  <c r="AK1560" i="2" s="1"/>
  <c r="JE892" i="5"/>
  <c r="AV27" i="19"/>
  <c r="AX27" i="19" s="1"/>
  <c r="AW27" i="19"/>
  <c r="AW68" i="19" s="1"/>
  <c r="JD968" i="5"/>
  <c r="JD960" i="5"/>
  <c r="JD969" i="5" s="1"/>
  <c r="JI757" i="5"/>
  <c r="JI957" i="5" s="1"/>
  <c r="JI966" i="5" s="1"/>
  <c r="JK957" i="5"/>
  <c r="JK966" i="5" s="1"/>
  <c r="AL1276" i="2"/>
  <c r="AN1274" i="2"/>
  <c r="AN1150" i="2"/>
  <c r="AN1159" i="2"/>
  <c r="AN1158" i="2"/>
  <c r="AU24" i="19"/>
  <c r="JK754" i="5"/>
  <c r="AN1131" i="2"/>
  <c r="JE837" i="5"/>
  <c r="AL1340" i="2"/>
  <c r="AL1427" i="2" s="1"/>
  <c r="JG757" i="5"/>
  <c r="JG957" i="5" s="1"/>
  <c r="JG966" i="5" s="1"/>
  <c r="AM65" i="19"/>
  <c r="AO24" i="19"/>
  <c r="AO65" i="19" s="1"/>
  <c r="AM58" i="19"/>
  <c r="AN24" i="19"/>
  <c r="AP24" i="19" s="1"/>
  <c r="JH815" i="5"/>
  <c r="AM1132" i="2"/>
  <c r="AE59" i="19"/>
  <c r="AD59" i="19" s="1"/>
  <c r="AG58" i="19"/>
  <c r="AF58" i="19"/>
  <c r="AH58" i="19" s="1"/>
  <c r="JH959" i="5"/>
  <c r="AL1438" i="2"/>
  <c r="AL1351" i="2"/>
  <c r="JE849" i="5"/>
  <c r="AL1416" i="2"/>
  <c r="AL1338" i="2"/>
  <c r="AL1425" i="2" s="1"/>
  <c r="AM1401" i="2"/>
  <c r="AM1329" i="2"/>
  <c r="AM1328" i="2"/>
  <c r="AL1355" i="2"/>
  <c r="AL1442" i="2"/>
  <c r="JE853" i="5"/>
  <c r="JD837" i="5"/>
  <c r="JD892" i="5"/>
  <c r="JD835" i="5"/>
  <c r="JC969" i="5"/>
  <c r="JF968" i="5" l="1"/>
  <c r="JH816" i="5"/>
  <c r="JH835" i="5"/>
  <c r="AD82" i="19"/>
  <c r="AL1349" i="2"/>
  <c r="AL1436" i="2" s="1"/>
  <c r="JI754" i="5"/>
  <c r="JI815" i="5" s="1"/>
  <c r="AS27" i="19"/>
  <c r="AT27" i="19" s="1"/>
  <c r="AM67" i="19"/>
  <c r="AF68" i="19"/>
  <c r="AH68" i="19" s="1"/>
  <c r="AD68" i="19"/>
  <c r="AF67" i="19"/>
  <c r="AK1555" i="2"/>
  <c r="AF66" i="19"/>
  <c r="AH66" i="19" s="1"/>
  <c r="AE108" i="19"/>
  <c r="AL1367" i="2"/>
  <c r="AL1454" i="2" s="1"/>
  <c r="JE941" i="5"/>
  <c r="JD941" i="5" s="1"/>
  <c r="AC108" i="19"/>
  <c r="JG754" i="5"/>
  <c r="AN1536" i="2"/>
  <c r="AL1559" i="2"/>
  <c r="AL1560" i="2" s="1"/>
  <c r="JD961" i="5"/>
  <c r="JE960" i="5"/>
  <c r="JE969" i="5" s="1"/>
  <c r="AM1276" i="2"/>
  <c r="AM1340" i="2"/>
  <c r="AM1427" i="2" s="1"/>
  <c r="JH837" i="5"/>
  <c r="AG82" i="19"/>
  <c r="AF82" i="19"/>
  <c r="AH82" i="19" s="1"/>
  <c r="JH961" i="5"/>
  <c r="JH968" i="5"/>
  <c r="JD893" i="5"/>
  <c r="JI842" i="5"/>
  <c r="AM1353" i="2"/>
  <c r="AM1440" i="2"/>
  <c r="JH853" i="5"/>
  <c r="AO1159" i="2"/>
  <c r="AO1158" i="2"/>
  <c r="AO1150" i="2"/>
  <c r="AO1274" i="2"/>
  <c r="JN754" i="5"/>
  <c r="AO1131" i="2"/>
  <c r="BC24" i="19"/>
  <c r="AW24" i="19"/>
  <c r="AW65" i="19" s="1"/>
  <c r="AV24" i="19"/>
  <c r="AX24" i="19" s="1"/>
  <c r="AU65" i="19"/>
  <c r="BH65" i="19" s="1"/>
  <c r="AU58" i="19"/>
  <c r="BE27" i="19"/>
  <c r="BE68" i="19" s="1"/>
  <c r="BD27" i="19"/>
  <c r="BF27" i="19" s="1"/>
  <c r="AL1441" i="2"/>
  <c r="JE852" i="5"/>
  <c r="AL1354" i="2"/>
  <c r="AO1314" i="2"/>
  <c r="AO1404" i="2"/>
  <c r="AN1282" i="2"/>
  <c r="JH851" i="5"/>
  <c r="AM1438" i="2"/>
  <c r="AM1351" i="2"/>
  <c r="AN1153" i="2"/>
  <c r="AN1213" i="2"/>
  <c r="JK834" i="5"/>
  <c r="AN1151" i="2"/>
  <c r="AM1416" i="2"/>
  <c r="AM1338" i="2"/>
  <c r="AM1425" i="2" s="1"/>
  <c r="JH892" i="5"/>
  <c r="AM82" i="19"/>
  <c r="AM1214" i="2"/>
  <c r="AM1164" i="2"/>
  <c r="AM68" i="19"/>
  <c r="AM1169" i="2"/>
  <c r="AM1348" i="2"/>
  <c r="JH849" i="5"/>
  <c r="AM1435" i="2"/>
  <c r="AN1132" i="2"/>
  <c r="JK815" i="5"/>
  <c r="JK959" i="5"/>
  <c r="AG59" i="19"/>
  <c r="AF59" i="19"/>
  <c r="AH59" i="19" s="1"/>
  <c r="AN1346" i="2"/>
  <c r="JK843" i="5"/>
  <c r="JK960" i="5" s="1"/>
  <c r="JK969" i="5" s="1"/>
  <c r="AN1433" i="2"/>
  <c r="AN1275" i="2"/>
  <c r="AN1283" i="2" s="1"/>
  <c r="JL757" i="5"/>
  <c r="JL957" i="5" s="1"/>
  <c r="JL966" i="5" s="1"/>
  <c r="JN957" i="5"/>
  <c r="JN966" i="5" s="1"/>
  <c r="JE893" i="5"/>
  <c r="AE83" i="19"/>
  <c r="AL1219" i="2"/>
  <c r="AL1361" i="2"/>
  <c r="AL1220" i="2"/>
  <c r="AM1556" i="2"/>
  <c r="AM1415" i="2"/>
  <c r="AM1337" i="2"/>
  <c r="AM1424" i="2" s="1"/>
  <c r="AC83" i="19"/>
  <c r="JH855" i="5"/>
  <c r="AM1442" i="2"/>
  <c r="AM1355" i="2"/>
  <c r="AO58" i="19"/>
  <c r="AN58" i="19"/>
  <c r="AP58" i="19" s="1"/>
  <c r="AM59" i="19"/>
  <c r="AN1401" i="2"/>
  <c r="AN1329" i="2"/>
  <c r="AN1328" i="2"/>
  <c r="AN1168" i="2"/>
  <c r="AN1170" i="2"/>
  <c r="AN1163" i="2"/>
  <c r="AN1263" i="2"/>
  <c r="AN1166" i="2"/>
  <c r="JK842" i="5"/>
  <c r="AN1161" i="2"/>
  <c r="AN1345" i="2"/>
  <c r="AN1432" i="2" s="1"/>
  <c r="AN1160" i="2"/>
  <c r="AP1317" i="2"/>
  <c r="AO1544" i="2"/>
  <c r="AP1272" i="2"/>
  <c r="AP1280" i="2" s="1"/>
  <c r="AP1076" i="2"/>
  <c r="AO1536" i="2" s="1"/>
  <c r="JJ757" i="5"/>
  <c r="JJ957" i="5" s="1"/>
  <c r="JJ966" i="5" s="1"/>
  <c r="JH845" i="5"/>
  <c r="JH847" i="5"/>
  <c r="AN65" i="19"/>
  <c r="AP65" i="19" s="1"/>
  <c r="AM66" i="19"/>
  <c r="AM1261" i="2"/>
  <c r="JH844" i="5"/>
  <c r="JH846" i="5"/>
  <c r="JF842" i="5"/>
  <c r="JF816" i="5"/>
  <c r="JF843" i="5"/>
  <c r="JF815" i="5"/>
  <c r="JG815" i="5" s="1"/>
  <c r="JF834" i="5"/>
  <c r="AK24" i="19"/>
  <c r="JG842" i="5" l="1"/>
  <c r="JG959" i="5"/>
  <c r="JI816" i="5"/>
  <c r="JI959" i="5"/>
  <c r="JI968" i="5" s="1"/>
  <c r="JI834" i="5"/>
  <c r="JI843" i="5"/>
  <c r="JI960" i="5" s="1"/>
  <c r="AN67" i="19"/>
  <c r="JG816" i="5"/>
  <c r="AH67" i="19"/>
  <c r="AS24" i="19"/>
  <c r="JK845" i="5"/>
  <c r="AM1349" i="2"/>
  <c r="AM1436" i="2" s="1"/>
  <c r="JK844" i="5"/>
  <c r="JK835" i="5"/>
  <c r="AN1556" i="2"/>
  <c r="JJ754" i="5"/>
  <c r="JK816" i="5"/>
  <c r="JJ816" i="5" s="1"/>
  <c r="JL754" i="5"/>
  <c r="JL959" i="5" s="1"/>
  <c r="JL968" i="5" s="1"/>
  <c r="BA27" i="19"/>
  <c r="BB27" i="19" s="1"/>
  <c r="AN66" i="19"/>
  <c r="AP66" i="19" s="1"/>
  <c r="AN68" i="19"/>
  <c r="AP68" i="19" s="1"/>
  <c r="AL68" i="19"/>
  <c r="AK65" i="19"/>
  <c r="AK66" i="19" s="1"/>
  <c r="AL66" i="19" s="1"/>
  <c r="AK58" i="19"/>
  <c r="AL24" i="19"/>
  <c r="AG108" i="19"/>
  <c r="AD108" i="19"/>
  <c r="AD83" i="19"/>
  <c r="AN1261" i="2"/>
  <c r="AF108" i="19"/>
  <c r="AH108" i="19" s="1"/>
  <c r="JG834" i="5"/>
  <c r="JG892" i="5" s="1"/>
  <c r="JG843" i="5"/>
  <c r="JG960" i="5" s="1"/>
  <c r="JG969" i="5" s="1"/>
  <c r="AM1559" i="2"/>
  <c r="AM1560" i="2" s="1"/>
  <c r="JM757" i="5"/>
  <c r="JM957" i="5" s="1"/>
  <c r="JM966" i="5" s="1"/>
  <c r="JE961" i="5"/>
  <c r="AN1276" i="2"/>
  <c r="AN1355" i="2"/>
  <c r="JK853" i="5"/>
  <c r="AN1442" i="2"/>
  <c r="AE85" i="19"/>
  <c r="AL1223" i="2"/>
  <c r="JE899" i="5"/>
  <c r="AN82" i="19"/>
  <c r="AP82" i="19" s="1"/>
  <c r="AO82" i="19"/>
  <c r="JI892" i="5"/>
  <c r="JI835" i="5"/>
  <c r="JI837" i="5"/>
  <c r="AE84" i="19"/>
  <c r="AL1586" i="2"/>
  <c r="JE898" i="5"/>
  <c r="AM1585" i="2" s="1"/>
  <c r="AN1415" i="2"/>
  <c r="AN1337" i="2"/>
  <c r="AN1424" i="2" s="1"/>
  <c r="JK961" i="5"/>
  <c r="JK968" i="5"/>
  <c r="BE24" i="19"/>
  <c r="BE65" i="19" s="1"/>
  <c r="BC65" i="19"/>
  <c r="BD24" i="19"/>
  <c r="BF24" i="19" s="1"/>
  <c r="BC58" i="19"/>
  <c r="AW58" i="19"/>
  <c r="AU59" i="19"/>
  <c r="AV58" i="19"/>
  <c r="AX58" i="19" s="1"/>
  <c r="AN1338" i="2"/>
  <c r="AN1425" i="2" s="1"/>
  <c r="AN1416" i="2"/>
  <c r="JN815" i="5"/>
  <c r="AO1132" i="2"/>
  <c r="JJ815" i="5"/>
  <c r="AO1329" i="2"/>
  <c r="AO1401" i="2"/>
  <c r="AO1328" i="2"/>
  <c r="AO1154" i="2"/>
  <c r="AO1153" i="2"/>
  <c r="AO1156" i="2"/>
  <c r="JN834" i="5"/>
  <c r="AO1151" i="2"/>
  <c r="AO1155" i="2"/>
  <c r="AO1213" i="2"/>
  <c r="AM83" i="19"/>
  <c r="AM1220" i="2"/>
  <c r="JH893" i="5"/>
  <c r="AM1361" i="2"/>
  <c r="AM1219" i="2"/>
  <c r="JI961" i="5"/>
  <c r="JI969" i="5"/>
  <c r="AL1360" i="2"/>
  <c r="AL1447" i="2" s="1"/>
  <c r="AL1797" i="2"/>
  <c r="AL1796" i="2" s="1"/>
  <c r="AL1448" i="2"/>
  <c r="JG851" i="5"/>
  <c r="JG849" i="5"/>
  <c r="JG845" i="5"/>
  <c r="JG853" i="5"/>
  <c r="JG844" i="5"/>
  <c r="JF837" i="5"/>
  <c r="JF835" i="5"/>
  <c r="JF892" i="5"/>
  <c r="AV65" i="19"/>
  <c r="AX65" i="19" s="1"/>
  <c r="AU66" i="19"/>
  <c r="AV66" i="19" s="1"/>
  <c r="AX66" i="19" s="1"/>
  <c r="AV67" i="19"/>
  <c r="AX67" i="19" s="1"/>
  <c r="JF960" i="5"/>
  <c r="JF961" i="5" s="1"/>
  <c r="JE947" i="5"/>
  <c r="JE951" i="5" s="1"/>
  <c r="AP1314" i="2"/>
  <c r="AP1404" i="2"/>
  <c r="AN59" i="19"/>
  <c r="AP59" i="19" s="1"/>
  <c r="AO59" i="19"/>
  <c r="JN959" i="5"/>
  <c r="AU82" i="19"/>
  <c r="AN1214" i="2"/>
  <c r="JK892" i="5"/>
  <c r="AN1353" i="2"/>
  <c r="AN1440" i="2"/>
  <c r="JK851" i="5"/>
  <c r="JI844" i="5"/>
  <c r="JI849" i="5"/>
  <c r="JI853" i="5"/>
  <c r="JI845" i="5"/>
  <c r="JI851" i="5"/>
  <c r="JK837" i="5"/>
  <c r="AN1340" i="2"/>
  <c r="AN1427" i="2" s="1"/>
  <c r="AO1263" i="2"/>
  <c r="AO1163" i="2"/>
  <c r="AO1170" i="2"/>
  <c r="AO1168" i="2"/>
  <c r="AO1160" i="2"/>
  <c r="AO1167" i="2"/>
  <c r="AO1345" i="2"/>
  <c r="AO1432" i="2" s="1"/>
  <c r="JN842" i="5"/>
  <c r="AO1161" i="2"/>
  <c r="AO1166" i="2"/>
  <c r="AM1354" i="2"/>
  <c r="AM1441" i="2"/>
  <c r="JH854" i="5"/>
  <c r="AP1163" i="2"/>
  <c r="AP1131" i="2"/>
  <c r="AP1132" i="2" s="1"/>
  <c r="AP1158" i="2"/>
  <c r="AP1274" i="2"/>
  <c r="AP1150" i="2"/>
  <c r="AP1159" i="2"/>
  <c r="AO1556" i="2" s="1"/>
  <c r="AG83" i="19"/>
  <c r="AF83" i="19"/>
  <c r="AH83" i="19" s="1"/>
  <c r="AQ1317" i="2"/>
  <c r="AQ1076" i="2"/>
  <c r="AP1544" i="2"/>
  <c r="AQ1272" i="2"/>
  <c r="AQ1280" i="2" s="1"/>
  <c r="JF849" i="5"/>
  <c r="JF844" i="5"/>
  <c r="JF851" i="5"/>
  <c r="JF853" i="5"/>
  <c r="JE948" i="5" s="1"/>
  <c r="JE952" i="5" s="1"/>
  <c r="JF845" i="5"/>
  <c r="JE946" i="5"/>
  <c r="JE950" i="5" s="1"/>
  <c r="AO1282" i="2"/>
  <c r="JK849" i="5"/>
  <c r="AN1438" i="2"/>
  <c r="AN1351" i="2"/>
  <c r="AM1367" i="2"/>
  <c r="AM1454" i="2" s="1"/>
  <c r="JH941" i="5"/>
  <c r="AM108" i="19"/>
  <c r="AL1555" i="2"/>
  <c r="AN1348" i="2"/>
  <c r="AN1164" i="2"/>
  <c r="AN1169" i="2"/>
  <c r="AN1435" i="2"/>
  <c r="JK847" i="5"/>
  <c r="AU68" i="19"/>
  <c r="AO1433" i="2"/>
  <c r="AO1275" i="2"/>
  <c r="AO1283" i="2" s="1"/>
  <c r="AO1346" i="2"/>
  <c r="JN843" i="5"/>
  <c r="JN960" i="5" s="1"/>
  <c r="JN969" i="5" s="1"/>
  <c r="JJ842" i="5" l="1"/>
  <c r="JJ959" i="5"/>
  <c r="JJ968" i="5" s="1"/>
  <c r="JG968" i="5"/>
  <c r="JG961" i="5"/>
  <c r="AP67" i="19"/>
  <c r="AS58" i="19"/>
  <c r="AT24" i="19"/>
  <c r="AS65" i="19"/>
  <c r="BA24" i="19"/>
  <c r="BB24" i="19" s="1"/>
  <c r="JN835" i="5"/>
  <c r="AN1349" i="2"/>
  <c r="AN1436" i="2" s="1"/>
  <c r="AM1555" i="2"/>
  <c r="JN816" i="5"/>
  <c r="JJ834" i="5"/>
  <c r="JJ835" i="5" s="1"/>
  <c r="JN844" i="5"/>
  <c r="JJ843" i="5"/>
  <c r="JJ960" i="5" s="1"/>
  <c r="JJ961" i="5" s="1"/>
  <c r="JN845" i="5"/>
  <c r="JM754" i="5"/>
  <c r="JL816" i="5"/>
  <c r="JL843" i="5"/>
  <c r="JL960" i="5" s="1"/>
  <c r="JL969" i="5" s="1"/>
  <c r="JL815" i="5"/>
  <c r="JM815" i="5" s="1"/>
  <c r="JL842" i="5"/>
  <c r="JL845" i="5" s="1"/>
  <c r="JL834" i="5"/>
  <c r="JL837" i="5" s="1"/>
  <c r="AL1226" i="2"/>
  <c r="JG835" i="5"/>
  <c r="JI893" i="5"/>
  <c r="AS82" i="19"/>
  <c r="AT82" i="19" s="1"/>
  <c r="AV68" i="19"/>
  <c r="AX68" i="19" s="1"/>
  <c r="AT68" i="19"/>
  <c r="AK59" i="19"/>
  <c r="AL59" i="19" s="1"/>
  <c r="AL58" i="19"/>
  <c r="AK67" i="19"/>
  <c r="AL65" i="19"/>
  <c r="AL67" i="19" s="1"/>
  <c r="JG837" i="5"/>
  <c r="JK941" i="5"/>
  <c r="AN1367" i="2"/>
  <c r="AN1454" i="2" s="1"/>
  <c r="AU108" i="19"/>
  <c r="AN1559" i="2"/>
  <c r="AN1560" i="2" s="1"/>
  <c r="AO1261" i="2"/>
  <c r="AW59" i="19"/>
  <c r="AV59" i="19"/>
  <c r="AX59" i="19" s="1"/>
  <c r="JI941" i="5"/>
  <c r="AO1415" i="2"/>
  <c r="AO1337" i="2"/>
  <c r="AO1424" i="2" s="1"/>
  <c r="AL1221" i="2"/>
  <c r="JE902" i="5"/>
  <c r="BC59" i="19"/>
  <c r="BD58" i="19"/>
  <c r="BF58" i="19" s="1"/>
  <c r="BE58" i="19"/>
  <c r="AO1276" i="2"/>
  <c r="JN839" i="5"/>
  <c r="AO1342" i="2"/>
  <c r="AO1429" i="2" s="1"/>
  <c r="AN1361" i="2"/>
  <c r="AU83" i="19"/>
  <c r="AN1220" i="2"/>
  <c r="JK893" i="5"/>
  <c r="AN1219" i="2"/>
  <c r="JN840" i="5"/>
  <c r="AO1343" i="2"/>
  <c r="AO1430" i="2" s="1"/>
  <c r="AO1340" i="2"/>
  <c r="AO1427" i="2" s="1"/>
  <c r="JN837" i="5"/>
  <c r="AQ1314" i="2"/>
  <c r="AQ1404" i="2"/>
  <c r="JF893" i="5"/>
  <c r="AK82" i="19"/>
  <c r="AL82" i="19" s="1"/>
  <c r="AO1439" i="2"/>
  <c r="AO1352" i="2"/>
  <c r="JN850" i="5"/>
  <c r="AO1338" i="2"/>
  <c r="AO1425" i="2" s="1"/>
  <c r="AO1416" i="2"/>
  <c r="AO1435" i="2"/>
  <c r="JN847" i="5"/>
  <c r="BC68" i="19"/>
  <c r="BB68" i="19" s="1"/>
  <c r="AO1164" i="2"/>
  <c r="AO1348" i="2"/>
  <c r="AO1169" i="2"/>
  <c r="AP1166" i="2"/>
  <c r="AP1345" i="2"/>
  <c r="AP1432" i="2" s="1"/>
  <c r="AP1167" i="2"/>
  <c r="AP1170" i="2"/>
  <c r="AP1161" i="2"/>
  <c r="AP1160" i="2"/>
  <c r="AP1168" i="2"/>
  <c r="AP1169" i="2"/>
  <c r="AP1263" i="2"/>
  <c r="AM1448" i="2"/>
  <c r="AM1360" i="2"/>
  <c r="AM1447" i="2" s="1"/>
  <c r="AM1797" i="2"/>
  <c r="AM1796" i="2" s="1"/>
  <c r="AQ1158" i="2"/>
  <c r="AQ1274" i="2"/>
  <c r="AQ1163" i="2"/>
  <c r="AQ1131" i="2"/>
  <c r="AQ1132" i="2" s="1"/>
  <c r="AQ1159" i="2"/>
  <c r="AP1556" i="2" s="1"/>
  <c r="AQ1150" i="2"/>
  <c r="BD65" i="19"/>
  <c r="BF65" i="19" s="1"/>
  <c r="BC66" i="19"/>
  <c r="BD67" i="19"/>
  <c r="BF67" i="19" s="1"/>
  <c r="AO1341" i="2"/>
  <c r="AO1428" i="2" s="1"/>
  <c r="JN838" i="5"/>
  <c r="AP1401" i="2"/>
  <c r="AP1328" i="2"/>
  <c r="AP1329" i="2"/>
  <c r="JJ844" i="5"/>
  <c r="JJ845" i="5"/>
  <c r="JJ853" i="5"/>
  <c r="JJ849" i="5"/>
  <c r="JJ851" i="5"/>
  <c r="JN968" i="5"/>
  <c r="JN961" i="5"/>
  <c r="JF941" i="5"/>
  <c r="AF84" i="19"/>
  <c r="AH84" i="19" s="1"/>
  <c r="AG84" i="19"/>
  <c r="AO108" i="19"/>
  <c r="AN108" i="19"/>
  <c r="AP108" i="19" s="1"/>
  <c r="AM85" i="19"/>
  <c r="JH899" i="5"/>
  <c r="AM1223" i="2"/>
  <c r="AW82" i="19"/>
  <c r="AV82" i="19"/>
  <c r="AX82" i="19" s="1"/>
  <c r="AO1351" i="2"/>
  <c r="AO1438" i="2"/>
  <c r="JN849" i="5"/>
  <c r="AR1272" i="2"/>
  <c r="AR1280" i="2" s="1"/>
  <c r="AQ1544" i="2"/>
  <c r="AR1317" i="2"/>
  <c r="AR1076" i="2"/>
  <c r="AQ1536" i="2" s="1"/>
  <c r="AF85" i="19"/>
  <c r="AH85" i="19" s="1"/>
  <c r="AG85" i="19"/>
  <c r="AN1441" i="2"/>
  <c r="AN1354" i="2"/>
  <c r="JK852" i="5"/>
  <c r="AP1213" i="2"/>
  <c r="AO1559" i="2" s="1"/>
  <c r="AO1560" i="2" s="1"/>
  <c r="AP1153" i="2"/>
  <c r="AP1340" i="2" s="1"/>
  <c r="AP1427" i="2" s="1"/>
  <c r="AP1151" i="2"/>
  <c r="AP1154" i="2"/>
  <c r="AP1341" i="2" s="1"/>
  <c r="AP1428" i="2" s="1"/>
  <c r="AP1155" i="2"/>
  <c r="AP1342" i="2" s="1"/>
  <c r="AP1429" i="2" s="1"/>
  <c r="AP1156" i="2"/>
  <c r="AP1343" i="2" s="1"/>
  <c r="AP1430" i="2" s="1"/>
  <c r="AP1282" i="2"/>
  <c r="AP1536" i="2"/>
  <c r="JG893" i="5"/>
  <c r="AN83" i="19"/>
  <c r="AP83" i="19" s="1"/>
  <c r="AO83" i="19"/>
  <c r="JF969" i="5"/>
  <c r="AP1275" i="2"/>
  <c r="AP1283" i="2" s="1"/>
  <c r="AP1346" i="2"/>
  <c r="AP1433" i="2"/>
  <c r="AO1353" i="2"/>
  <c r="JN851" i="5"/>
  <c r="AO1440" i="2"/>
  <c r="JN853" i="5"/>
  <c r="AO1355" i="2"/>
  <c r="AO1442" i="2"/>
  <c r="AM84" i="19"/>
  <c r="JH898" i="5"/>
  <c r="AM1586" i="2"/>
  <c r="AP1435" i="2"/>
  <c r="AP1348" i="2"/>
  <c r="AO1214" i="2"/>
  <c r="BC82" i="19"/>
  <c r="JN892" i="5"/>
  <c r="JM843" i="5" l="1"/>
  <c r="JM960" i="5" s="1"/>
  <c r="JM959" i="5"/>
  <c r="JM968" i="5" s="1"/>
  <c r="AL1269" i="2"/>
  <c r="AL1266" i="2" s="1"/>
  <c r="JE905" i="5"/>
  <c r="AL1630" i="2"/>
  <c r="AL1634" i="2"/>
  <c r="AT65" i="19"/>
  <c r="AT67" i="19" s="1"/>
  <c r="AS67" i="19"/>
  <c r="AS66" i="19"/>
  <c r="AT66" i="19" s="1"/>
  <c r="AS59" i="19"/>
  <c r="AT59" i="19" s="1"/>
  <c r="AT58" i="19"/>
  <c r="AS108" i="19"/>
  <c r="AT108" i="19" s="1"/>
  <c r="BA65" i="19"/>
  <c r="BA67" i="19" s="1"/>
  <c r="AS83" i="19"/>
  <c r="AT83" i="19" s="1"/>
  <c r="BA58" i="19"/>
  <c r="BA59" i="19" s="1"/>
  <c r="BB59" i="19" s="1"/>
  <c r="AL1224" i="2"/>
  <c r="JJ969" i="5"/>
  <c r="JM816" i="5"/>
  <c r="AM1226" i="2"/>
  <c r="AM1634" i="2" s="1"/>
  <c r="JK898" i="5"/>
  <c r="JM834" i="5"/>
  <c r="JM840" i="5" s="1"/>
  <c r="JL838" i="5"/>
  <c r="JL835" i="5"/>
  <c r="JM842" i="5"/>
  <c r="JM851" i="5" s="1"/>
  <c r="JL961" i="5"/>
  <c r="AO1349" i="2"/>
  <c r="AO1436" i="2" s="1"/>
  <c r="JL852" i="5"/>
  <c r="JL840" i="5"/>
  <c r="JE900" i="5"/>
  <c r="JL892" i="5"/>
  <c r="JJ892" i="5"/>
  <c r="JJ893" i="5" s="1"/>
  <c r="JL844" i="5"/>
  <c r="JL851" i="5"/>
  <c r="JL850" i="5"/>
  <c r="JL839" i="5"/>
  <c r="JL849" i="5"/>
  <c r="JJ837" i="5"/>
  <c r="JL853" i="5"/>
  <c r="BD66" i="19"/>
  <c r="BF66" i="19" s="1"/>
  <c r="AW108" i="19"/>
  <c r="BD68" i="19"/>
  <c r="BF68" i="19" s="1"/>
  <c r="JJ941" i="5"/>
  <c r="AV108" i="19"/>
  <c r="AX108" i="19" s="1"/>
  <c r="JG941" i="5"/>
  <c r="AN1555" i="2"/>
  <c r="AO1367" i="2"/>
  <c r="AO1454" i="2" s="1"/>
  <c r="AP1261" i="2"/>
  <c r="AO1555" i="2" s="1"/>
  <c r="BC108" i="19"/>
  <c r="BB108" i="19" s="1"/>
  <c r="JN941" i="5"/>
  <c r="AQ1282" i="2"/>
  <c r="AW83" i="19"/>
  <c r="AV83" i="19"/>
  <c r="AX83" i="19" s="1"/>
  <c r="AO85" i="19"/>
  <c r="AN85" i="19"/>
  <c r="AP85" i="19" s="1"/>
  <c r="AR1544" i="2"/>
  <c r="AS1272" i="2"/>
  <c r="AS1280" i="2" s="1"/>
  <c r="AS1076" i="2"/>
  <c r="AR1536" i="2" s="1"/>
  <c r="AS1317" i="2"/>
  <c r="AQ1160" i="2"/>
  <c r="AQ1169" i="2"/>
  <c r="AQ1263" i="2"/>
  <c r="AQ1345" i="2"/>
  <c r="AQ1432" i="2" s="1"/>
  <c r="AQ1168" i="2"/>
  <c r="AQ1166" i="2"/>
  <c r="AQ1167" i="2"/>
  <c r="AQ1170" i="2"/>
  <c r="AQ1161" i="2"/>
  <c r="AU84" i="19"/>
  <c r="AU85" i="19"/>
  <c r="AN1223" i="2"/>
  <c r="JK899" i="5"/>
  <c r="AP1276" i="2"/>
  <c r="AP1354" i="2"/>
  <c r="JK854" i="5"/>
  <c r="AP1441" i="2"/>
  <c r="AQ1348" i="2"/>
  <c r="AQ1435" i="2"/>
  <c r="AR1314" i="2"/>
  <c r="AR1404" i="2"/>
  <c r="AN1360" i="2"/>
  <c r="AN1447" i="2" s="1"/>
  <c r="AN1448" i="2"/>
  <c r="AK108" i="19"/>
  <c r="AL108" i="19" s="1"/>
  <c r="AQ1153" i="2"/>
  <c r="AQ1340" i="2" s="1"/>
  <c r="AQ1427" i="2" s="1"/>
  <c r="AQ1154" i="2"/>
  <c r="AQ1341" i="2" s="1"/>
  <c r="AQ1428" i="2" s="1"/>
  <c r="AQ1155" i="2"/>
  <c r="AQ1342" i="2" s="1"/>
  <c r="AQ1429" i="2" s="1"/>
  <c r="AQ1156" i="2"/>
  <c r="AQ1343" i="2" s="1"/>
  <c r="AQ1430" i="2" s="1"/>
  <c r="AQ1151" i="2"/>
  <c r="AQ1213" i="2"/>
  <c r="AQ1261" i="2" s="1"/>
  <c r="AP1440" i="2"/>
  <c r="AP1353" i="2"/>
  <c r="AO1220" i="2"/>
  <c r="AO1361" i="2"/>
  <c r="AO1219" i="2"/>
  <c r="BC83" i="19"/>
  <c r="JN893" i="5"/>
  <c r="JH902" i="5"/>
  <c r="AM1221" i="2"/>
  <c r="AP1416" i="2"/>
  <c r="AP1338" i="2"/>
  <c r="AP1425" i="2" s="1"/>
  <c r="AP1337" i="2"/>
  <c r="AP1424" i="2" s="1"/>
  <c r="AP1415" i="2"/>
  <c r="AP1214" i="2"/>
  <c r="JD905" i="5"/>
  <c r="JD903" i="5" s="1"/>
  <c r="JC905" i="5"/>
  <c r="JC903" i="5" s="1"/>
  <c r="AO84" i="19"/>
  <c r="AN84" i="19"/>
  <c r="AP84" i="19" s="1"/>
  <c r="AK83" i="19"/>
  <c r="AL83" i="19" s="1"/>
  <c r="BD59" i="19"/>
  <c r="BF59" i="19" s="1"/>
  <c r="BE59" i="19"/>
  <c r="AP1352" i="2"/>
  <c r="AP1439" i="2"/>
  <c r="AP1438" i="2"/>
  <c r="AP1351" i="2"/>
  <c r="AQ1433" i="2"/>
  <c r="AQ1346" i="2"/>
  <c r="AQ1275" i="2"/>
  <c r="AQ1283" i="2" s="1"/>
  <c r="AR1158" i="2"/>
  <c r="AR1274" i="2"/>
  <c r="AR1150" i="2"/>
  <c r="AR1159" i="2"/>
  <c r="AR1131" i="2"/>
  <c r="AR1132" i="2" s="1"/>
  <c r="AR1163" i="2"/>
  <c r="AO1354" i="2"/>
  <c r="JN852" i="5"/>
  <c r="AO1441" i="2"/>
  <c r="JM969" i="5"/>
  <c r="JM961" i="5"/>
  <c r="BD82" i="19"/>
  <c r="BF82" i="19" s="1"/>
  <c r="BE82" i="19"/>
  <c r="AP1355" i="2"/>
  <c r="JK855" i="5"/>
  <c r="AP1442" i="2"/>
  <c r="AQ1328" i="2"/>
  <c r="AQ1401" i="2"/>
  <c r="AQ1329" i="2"/>
  <c r="BB58" i="19" l="1"/>
  <c r="BB65" i="19"/>
  <c r="JH905" i="5"/>
  <c r="AM1224" i="2"/>
  <c r="BB67" i="19"/>
  <c r="BA66" i="19"/>
  <c r="BB66" i="19" s="1"/>
  <c r="AE86" i="19"/>
  <c r="AF86" i="19" s="1"/>
  <c r="AH86" i="19" s="1"/>
  <c r="JE903" i="5"/>
  <c r="JM835" i="5"/>
  <c r="JM892" i="5"/>
  <c r="JM893" i="5" s="1"/>
  <c r="JM838" i="5"/>
  <c r="JM839" i="5"/>
  <c r="JM837" i="5"/>
  <c r="JL893" i="5"/>
  <c r="AM1630" i="2"/>
  <c r="AM1269" i="2"/>
  <c r="AM1266" i="2" s="1"/>
  <c r="JL941" i="5"/>
  <c r="JM941" i="5" s="1"/>
  <c r="JM844" i="5"/>
  <c r="JM853" i="5"/>
  <c r="JM849" i="5"/>
  <c r="JM852" i="5"/>
  <c r="AN1226" i="2"/>
  <c r="BA82" i="19"/>
  <c r="BB82" i="19" s="1"/>
  <c r="JM845" i="5"/>
  <c r="JM850" i="5"/>
  <c r="BE108" i="19"/>
  <c r="AP1367" i="2"/>
  <c r="AP1454" i="2" s="1"/>
  <c r="BD108" i="19"/>
  <c r="BF108" i="19" s="1"/>
  <c r="AQ1367" i="2"/>
  <c r="AQ1454" i="2" s="1"/>
  <c r="AP1555" i="2"/>
  <c r="AT1317" i="2"/>
  <c r="AT1272" i="2"/>
  <c r="AT1280" i="2" s="1"/>
  <c r="AT1544" i="2"/>
  <c r="AS1544" i="2"/>
  <c r="AT1076" i="2"/>
  <c r="AS1536" i="2" s="1"/>
  <c r="JK902" i="5"/>
  <c r="AN1221" i="2"/>
  <c r="AQ1351" i="2"/>
  <c r="AQ1438" i="2"/>
  <c r="AQ1440" i="2"/>
  <c r="AQ1353" i="2"/>
  <c r="AQ1338" i="2"/>
  <c r="AQ1425" i="2" s="1"/>
  <c r="AQ1416" i="2"/>
  <c r="AR1348" i="2"/>
  <c r="AR1435" i="2"/>
  <c r="AQ1415" i="2"/>
  <c r="AQ1337" i="2"/>
  <c r="AQ1424" i="2" s="1"/>
  <c r="AR1328" i="2"/>
  <c r="AR1329" i="2"/>
  <c r="AR1401" i="2"/>
  <c r="AQ1214" i="2"/>
  <c r="AW85" i="19"/>
  <c r="AV85" i="19"/>
  <c r="AX85" i="19" s="1"/>
  <c r="AR1154" i="2"/>
  <c r="AR1341" i="2" s="1"/>
  <c r="AR1428" i="2" s="1"/>
  <c r="AR1151" i="2"/>
  <c r="AR1213" i="2"/>
  <c r="AQ1559" i="2" s="1"/>
  <c r="AR1155" i="2"/>
  <c r="AR1342" i="2" s="1"/>
  <c r="AR1429" i="2" s="1"/>
  <c r="AR1153" i="2"/>
  <c r="AR1340" i="2" s="1"/>
  <c r="AR1427" i="2" s="1"/>
  <c r="AR1156" i="2"/>
  <c r="AR1343" i="2" s="1"/>
  <c r="AR1430" i="2" s="1"/>
  <c r="AQ1276" i="2"/>
  <c r="AW84" i="19"/>
  <c r="AV84" i="19"/>
  <c r="AX84" i="19" s="1"/>
  <c r="AQ1439" i="2"/>
  <c r="AQ1352" i="2"/>
  <c r="AM86" i="19"/>
  <c r="JH900" i="5"/>
  <c r="AR1282" i="2"/>
  <c r="BE83" i="19"/>
  <c r="BD83" i="19"/>
  <c r="BF83" i="19" s="1"/>
  <c r="JD902" i="5"/>
  <c r="AO1448" i="2"/>
  <c r="AO1360" i="2"/>
  <c r="AO1447" i="2" s="1"/>
  <c r="AS1314" i="2"/>
  <c r="AS1404" i="2"/>
  <c r="AM87" i="19"/>
  <c r="JH903" i="5"/>
  <c r="AQ1355" i="2"/>
  <c r="AQ1442" i="2"/>
  <c r="AR1433" i="2"/>
  <c r="AR1346" i="2"/>
  <c r="AR1275" i="2"/>
  <c r="AR1283" i="2" s="1"/>
  <c r="AQ1441" i="2"/>
  <c r="AQ1354" i="2"/>
  <c r="AC87" i="19"/>
  <c r="JC902" i="5"/>
  <c r="AR1161" i="2"/>
  <c r="AR1160" i="2"/>
  <c r="AR1345" i="2"/>
  <c r="AR1432" i="2" s="1"/>
  <c r="AR1168" i="2"/>
  <c r="AR1169" i="2"/>
  <c r="AR1167" i="2"/>
  <c r="AR1263" i="2"/>
  <c r="AR1166" i="2"/>
  <c r="AR1170" i="2"/>
  <c r="BC84" i="19"/>
  <c r="JN898" i="5"/>
  <c r="AP1219" i="2"/>
  <c r="AP1220" i="2"/>
  <c r="AP1361" i="2"/>
  <c r="AQ1556" i="2"/>
  <c r="AP1559" i="2"/>
  <c r="AP1560" i="2" s="1"/>
  <c r="JN899" i="5"/>
  <c r="BC85" i="19"/>
  <c r="AO1223" i="2"/>
  <c r="AS1274" i="2"/>
  <c r="AS1163" i="2"/>
  <c r="AS1131" i="2"/>
  <c r="AS1132" i="2" s="1"/>
  <c r="AS1159" i="2"/>
  <c r="AR1556" i="2" s="1"/>
  <c r="AS1150" i="2"/>
  <c r="AS1158" i="2"/>
  <c r="JG905" i="5"/>
  <c r="JG903" i="5" s="1"/>
  <c r="JF905" i="5"/>
  <c r="JF903" i="5" s="1"/>
  <c r="AN1224" i="2" l="1"/>
  <c r="JK905" i="5"/>
  <c r="JI905" i="5" s="1"/>
  <c r="JI903" i="5" s="1"/>
  <c r="AE87" i="19"/>
  <c r="AD87" i="19" s="1"/>
  <c r="AG86" i="19"/>
  <c r="BA83" i="19"/>
  <c r="BB83" i="19" s="1"/>
  <c r="AN1269" i="2"/>
  <c r="AN1266" i="2" s="1"/>
  <c r="AN1630" i="2"/>
  <c r="AN1634" i="2"/>
  <c r="AO1226" i="2"/>
  <c r="JN905" i="5" s="1"/>
  <c r="AR1261" i="2"/>
  <c r="AR1367" i="2" s="1"/>
  <c r="AR1454" i="2" s="1"/>
  <c r="AR1355" i="2"/>
  <c r="AR1442" i="2"/>
  <c r="AS1168" i="2"/>
  <c r="AS1166" i="2"/>
  <c r="AS1167" i="2"/>
  <c r="AS1345" i="2"/>
  <c r="AS1432" i="2" s="1"/>
  <c r="AS1169" i="2"/>
  <c r="AS1170" i="2"/>
  <c r="AS1263" i="2"/>
  <c r="AS1161" i="2"/>
  <c r="AS1160" i="2"/>
  <c r="JK900" i="5"/>
  <c r="AU86" i="19"/>
  <c r="AR1354" i="2"/>
  <c r="AR1441" i="2"/>
  <c r="AO87" i="19"/>
  <c r="AN87" i="19"/>
  <c r="AP87" i="19" s="1"/>
  <c r="AR1440" i="2"/>
  <c r="AR1353" i="2"/>
  <c r="AS1328" i="2"/>
  <c r="AS1401" i="2"/>
  <c r="AS1329" i="2"/>
  <c r="AU87" i="19"/>
  <c r="JK903" i="5"/>
  <c r="AK87" i="19"/>
  <c r="AL87" i="19" s="1"/>
  <c r="JF902" i="5"/>
  <c r="AR1438" i="2"/>
  <c r="AR1351" i="2"/>
  <c r="AS1346" i="2"/>
  <c r="AS1275" i="2"/>
  <c r="AS1283" i="2" s="1"/>
  <c r="AS1433" i="2"/>
  <c r="AS1282" i="2"/>
  <c r="AR1337" i="2"/>
  <c r="AR1424" i="2" s="1"/>
  <c r="AR1415" i="2"/>
  <c r="AO1221" i="2"/>
  <c r="JN902" i="5"/>
  <c r="JD900" i="5"/>
  <c r="AL1632" i="2"/>
  <c r="AL1628" i="2"/>
  <c r="BD85" i="19"/>
  <c r="BF85" i="19" s="1"/>
  <c r="BE85" i="19"/>
  <c r="AT1314" i="2"/>
  <c r="AT1404" i="2"/>
  <c r="JG902" i="5"/>
  <c r="BD84" i="19"/>
  <c r="BF84" i="19" s="1"/>
  <c r="BE84" i="19"/>
  <c r="AS1348" i="2"/>
  <c r="AS1435" i="2"/>
  <c r="AT1159" i="2"/>
  <c r="AS1556" i="2" s="1"/>
  <c r="AT1150" i="2"/>
  <c r="AT1163" i="2"/>
  <c r="AT1131" i="2"/>
  <c r="AT1132" i="2" s="1"/>
  <c r="AT1274" i="2"/>
  <c r="AT1536" i="2"/>
  <c r="AT1158" i="2"/>
  <c r="AQ1219" i="2"/>
  <c r="AQ1220" i="2"/>
  <c r="AQ1361" i="2"/>
  <c r="AN86" i="19"/>
  <c r="AP86" i="19" s="1"/>
  <c r="AO86" i="19"/>
  <c r="AS1153" i="2"/>
  <c r="AS1340" i="2" s="1"/>
  <c r="AS1427" i="2" s="1"/>
  <c r="AS1151" i="2"/>
  <c r="AS1213" i="2"/>
  <c r="AS1261" i="2" s="1"/>
  <c r="AS1156" i="2"/>
  <c r="AS1343" i="2" s="1"/>
  <c r="AS1430" i="2" s="1"/>
  <c r="AS1155" i="2"/>
  <c r="AS1342" i="2" s="1"/>
  <c r="AS1429" i="2" s="1"/>
  <c r="AS1154" i="2"/>
  <c r="AS1341" i="2" s="1"/>
  <c r="AS1428" i="2" s="1"/>
  <c r="AR1352" i="2"/>
  <c r="AR1439" i="2"/>
  <c r="AR1416" i="2"/>
  <c r="AR1338" i="2"/>
  <c r="AR1425" i="2" s="1"/>
  <c r="AK1629" i="2"/>
  <c r="AK1627" i="2" s="1"/>
  <c r="JC900" i="5"/>
  <c r="AK1633" i="2"/>
  <c r="AK1631" i="2" s="1"/>
  <c r="AQ1560" i="2"/>
  <c r="AR1214" i="2"/>
  <c r="AP1360" i="2"/>
  <c r="AP1447" i="2" s="1"/>
  <c r="AP1448" i="2"/>
  <c r="AP1223" i="2"/>
  <c r="AP1226" i="2" s="1"/>
  <c r="AP1224" i="2" s="1"/>
  <c r="AR1276" i="2"/>
  <c r="AO1224" i="2" l="1"/>
  <c r="JJ905" i="5"/>
  <c r="JJ903" i="5" s="1"/>
  <c r="JJ902" i="5" s="1"/>
  <c r="AN1632" i="2" s="1"/>
  <c r="AO1269" i="2"/>
  <c r="AO1266" i="2" s="1"/>
  <c r="AG87" i="19"/>
  <c r="AF87" i="19"/>
  <c r="AH87" i="19" s="1"/>
  <c r="AO1630" i="2"/>
  <c r="AO1634" i="2"/>
  <c r="JI902" i="5"/>
  <c r="JI900" i="5" s="1"/>
  <c r="AS87" i="19"/>
  <c r="AT87" i="19" s="1"/>
  <c r="AQ1555" i="2"/>
  <c r="AR1555" i="2"/>
  <c r="AQ1360" i="2"/>
  <c r="AQ1447" i="2" s="1"/>
  <c r="AQ1448" i="2"/>
  <c r="AQ1223" i="2"/>
  <c r="AQ1226" i="2" s="1"/>
  <c r="AQ1224" i="2" s="1"/>
  <c r="AT1435" i="2"/>
  <c r="AT1348" i="2"/>
  <c r="AS1355" i="2"/>
  <c r="AS1442" i="2"/>
  <c r="AC86" i="19"/>
  <c r="AD86" i="19" s="1"/>
  <c r="JC899" i="5"/>
  <c r="AT1328" i="2"/>
  <c r="AT1401" i="2"/>
  <c r="AT1329" i="2"/>
  <c r="AV86" i="19"/>
  <c r="AX86" i="19" s="1"/>
  <c r="AW86" i="19"/>
  <c r="AT1153" i="2"/>
  <c r="AT1340" i="2" s="1"/>
  <c r="AT1427" i="2" s="1"/>
  <c r="AT1155" i="2"/>
  <c r="AT1342" i="2" s="1"/>
  <c r="AT1429" i="2" s="1"/>
  <c r="AT1213" i="2"/>
  <c r="AS1559" i="2" s="1"/>
  <c r="AS1560" i="2" s="1"/>
  <c r="AT1156" i="2"/>
  <c r="AT1343" i="2" s="1"/>
  <c r="AT1430" i="2" s="1"/>
  <c r="AT1154" i="2"/>
  <c r="AT1341" i="2" s="1"/>
  <c r="AT1428" i="2" s="1"/>
  <c r="AT1151" i="2"/>
  <c r="JJ900" i="5"/>
  <c r="JJ899" i="5" s="1"/>
  <c r="JJ898" i="5" s="1"/>
  <c r="AV87" i="19"/>
  <c r="AX87" i="19" s="1"/>
  <c r="AW87" i="19"/>
  <c r="AS1438" i="2"/>
  <c r="AS1351" i="2"/>
  <c r="AT1282" i="2"/>
  <c r="BC87" i="19"/>
  <c r="JN903" i="5"/>
  <c r="AS1440" i="2"/>
  <c r="AS1353" i="2"/>
  <c r="AT1168" i="2"/>
  <c r="AT1166" i="2"/>
  <c r="AT1167" i="2"/>
  <c r="AT1169" i="2"/>
  <c r="AT1345" i="2"/>
  <c r="AT1432" i="2" s="1"/>
  <c r="AT1263" i="2"/>
  <c r="AT1160" i="2"/>
  <c r="AT1161" i="2"/>
  <c r="AT1170" i="2"/>
  <c r="AT1433" i="2"/>
  <c r="AT1346" i="2"/>
  <c r="AT1556" i="2"/>
  <c r="AT1275" i="2"/>
  <c r="AT1283" i="2" s="1"/>
  <c r="AS1214" i="2"/>
  <c r="AR1559" i="2"/>
  <c r="AR1560" i="2" s="1"/>
  <c r="JG900" i="5"/>
  <c r="AM1628" i="2"/>
  <c r="AM1632" i="2"/>
  <c r="JF900" i="5"/>
  <c r="AL1629" i="2"/>
  <c r="AL1627" i="2" s="1"/>
  <c r="AL1633" i="2"/>
  <c r="AL1631" i="2" s="1"/>
  <c r="AS1367" i="2"/>
  <c r="AS1454" i="2" s="1"/>
  <c r="JD899" i="5"/>
  <c r="AS1354" i="2"/>
  <c r="AS1441" i="2"/>
  <c r="AP1221" i="2"/>
  <c r="AP1269" i="2"/>
  <c r="AP1266" i="2" s="1"/>
  <c r="BC86" i="19"/>
  <c r="JN900" i="5"/>
  <c r="AS1352" i="2"/>
  <c r="AS1439" i="2"/>
  <c r="JM905" i="5"/>
  <c r="JM903" i="5" s="1"/>
  <c r="JM902" i="5" s="1"/>
  <c r="JL905" i="5"/>
  <c r="JL903" i="5" s="1"/>
  <c r="AS1416" i="2"/>
  <c r="AS1338" i="2"/>
  <c r="AS1425" i="2" s="1"/>
  <c r="AR1361" i="2"/>
  <c r="AR1220" i="2"/>
  <c r="AR1219" i="2"/>
  <c r="AS1276" i="2"/>
  <c r="AS1415" i="2"/>
  <c r="AS1337" i="2"/>
  <c r="AS1424" i="2" s="1"/>
  <c r="AN1628" i="2" l="1"/>
  <c r="AM1629" i="2"/>
  <c r="AM1633" i="2"/>
  <c r="JL902" i="5"/>
  <c r="BA87" i="19"/>
  <c r="BB87" i="19" s="1"/>
  <c r="JI899" i="5"/>
  <c r="AS86" i="19"/>
  <c r="AT86" i="19" s="1"/>
  <c r="AT1276" i="2"/>
  <c r="AC85" i="19"/>
  <c r="AD85" i="19" s="1"/>
  <c r="JC898" i="5"/>
  <c r="AR1223" i="2"/>
  <c r="BD86" i="19"/>
  <c r="BF86" i="19" s="1"/>
  <c r="BE86" i="19"/>
  <c r="BD87" i="19"/>
  <c r="BF87" i="19" s="1"/>
  <c r="BE87" i="19"/>
  <c r="JD898" i="5"/>
  <c r="AR1448" i="2"/>
  <c r="AR1360" i="2"/>
  <c r="AR1447" i="2" s="1"/>
  <c r="AT1352" i="2"/>
  <c r="AT1439" i="2"/>
  <c r="AT1353" i="2"/>
  <c r="AT1440" i="2"/>
  <c r="AS1220" i="2"/>
  <c r="AS1219" i="2"/>
  <c r="AS1361" i="2"/>
  <c r="AT1355" i="2"/>
  <c r="AT1442" i="2"/>
  <c r="AN1633" i="2"/>
  <c r="AN1631" i="2" s="1"/>
  <c r="JL900" i="5"/>
  <c r="AN1629" i="2"/>
  <c r="AN1627" i="2" s="1"/>
  <c r="AQ1221" i="2"/>
  <c r="AQ1269" i="2"/>
  <c r="AQ1266" i="2" s="1"/>
  <c r="AT1559" i="2"/>
  <c r="AT1560" i="2" s="1"/>
  <c r="AT1214" i="2"/>
  <c r="AT1338" i="2"/>
  <c r="AT1425" i="2" s="1"/>
  <c r="AT1416" i="2"/>
  <c r="AT1354" i="2"/>
  <c r="AT1441" i="2"/>
  <c r="AO1628" i="2"/>
  <c r="AO1627" i="2" s="1"/>
  <c r="JM900" i="5"/>
  <c r="JM899" i="5" s="1"/>
  <c r="JM898" i="5" s="1"/>
  <c r="AO1632" i="2"/>
  <c r="AO1631" i="2" s="1"/>
  <c r="AM1627" i="2"/>
  <c r="AT1415" i="2"/>
  <c r="AT1337" i="2"/>
  <c r="AT1424" i="2" s="1"/>
  <c r="AT1351" i="2"/>
  <c r="AT1438" i="2"/>
  <c r="AK86" i="19"/>
  <c r="AL86" i="19" s="1"/>
  <c r="JF899" i="5"/>
  <c r="AM1631" i="2"/>
  <c r="JG899" i="5"/>
  <c r="AT1261" i="2"/>
  <c r="JL899" i="5" l="1"/>
  <c r="BA86" i="19"/>
  <c r="BB86" i="19" s="1"/>
  <c r="JI898" i="5"/>
  <c r="AS85" i="19"/>
  <c r="AT85" i="19" s="1"/>
  <c r="AT1220" i="2"/>
  <c r="AT1219" i="2"/>
  <c r="AT1361" i="2"/>
  <c r="JF898" i="5"/>
  <c r="AK85" i="19"/>
  <c r="AL85" i="19" s="1"/>
  <c r="AR1221" i="2"/>
  <c r="AT1367" i="2"/>
  <c r="AT1454" i="2" s="1"/>
  <c r="AT1555" i="2"/>
  <c r="AS1555" i="2"/>
  <c r="AL1585" i="2"/>
  <c r="AL1583" i="2" s="1"/>
  <c r="AM1584" i="2"/>
  <c r="AM1583" i="2" s="1"/>
  <c r="AK1585" i="2"/>
  <c r="AK1583" i="2" s="1"/>
  <c r="AC84" i="19"/>
  <c r="AD84" i="19" s="1"/>
  <c r="AS1448" i="2"/>
  <c r="AS1360" i="2"/>
  <c r="AS1447" i="2" s="1"/>
  <c r="AS1223" i="2"/>
  <c r="AS1226" i="2" s="1"/>
  <c r="AS1224" i="2" s="1"/>
  <c r="JG898" i="5"/>
  <c r="AR1226" i="2"/>
  <c r="AR1224" i="2" s="1"/>
  <c r="AS84" i="19" l="1"/>
  <c r="AT84" i="19" s="1"/>
  <c r="JL898" i="5"/>
  <c r="BA85" i="19"/>
  <c r="BB85" i="19" s="1"/>
  <c r="AR1269" i="2"/>
  <c r="AR1266" i="2" s="1"/>
  <c r="AK84" i="19"/>
  <c r="AL84" i="19" s="1"/>
  <c r="AT1360" i="2"/>
  <c r="AT1447" i="2" s="1"/>
  <c r="AT1448" i="2"/>
  <c r="AS1269" i="2"/>
  <c r="AS1266" i="2" s="1"/>
  <c r="AS1221" i="2"/>
  <c r="AT1223" i="2"/>
  <c r="AT1226" i="2" s="1"/>
  <c r="AT1224" i="2" s="1"/>
  <c r="BA84" i="19" l="1"/>
  <c r="BB84" i="19" s="1"/>
  <c r="AT1269" i="2"/>
  <c r="AT1266" i="2" s="1"/>
  <c r="AT1221" i="2"/>
  <c r="JH793" i="5" l="1"/>
  <c r="JF793" i="5" s="1"/>
  <c r="AM1323" i="2"/>
  <c r="AM1410" i="2" s="1"/>
  <c r="AM1167" i="2"/>
  <c r="AM1155" i="2"/>
  <c r="AM1156" i="2"/>
  <c r="AM1154" i="2"/>
  <c r="JE793" i="5"/>
  <c r="JC793" i="5" s="1"/>
  <c r="AL1323" i="2"/>
  <c r="AL1410" i="2" s="1"/>
  <c r="AL1154" i="2"/>
  <c r="AL1167" i="2"/>
  <c r="AL1155" i="2"/>
  <c r="AL1156" i="2"/>
  <c r="JB793" i="5"/>
  <c r="AK1323" i="2"/>
  <c r="AK1410" i="2" s="1"/>
  <c r="AK1765" i="2"/>
  <c r="AK1154" i="2"/>
  <c r="AK1156" i="2"/>
  <c r="AK1167" i="2"/>
  <c r="AK1155" i="2"/>
  <c r="AN1323" i="2" l="1"/>
  <c r="AN1410" i="2" s="1"/>
  <c r="JK793" i="5"/>
  <c r="JI793" i="5" s="1"/>
  <c r="AN1167" i="2"/>
  <c r="AN1156" i="2"/>
  <c r="AN1155" i="2"/>
  <c r="AN1154" i="2"/>
  <c r="JH852" i="5"/>
  <c r="AM1352" i="2"/>
  <c r="AM1439" i="2"/>
  <c r="JH838" i="5"/>
  <c r="AM1341" i="2"/>
  <c r="AM1428" i="2" s="1"/>
  <c r="AM1343" i="2"/>
  <c r="AM1430" i="2" s="1"/>
  <c r="JH840" i="5"/>
  <c r="JH839" i="5"/>
  <c r="AM1342" i="2"/>
  <c r="AM1429" i="2" s="1"/>
  <c r="JG793" i="5"/>
  <c r="JF840" i="5"/>
  <c r="JF850" i="5"/>
  <c r="JF852" i="5"/>
  <c r="JF838" i="5"/>
  <c r="JF839" i="5"/>
  <c r="AL1341" i="2"/>
  <c r="AL1428" i="2" s="1"/>
  <c r="JE838" i="5"/>
  <c r="AL1343" i="2"/>
  <c r="AL1430" i="2" s="1"/>
  <c r="JE840" i="5"/>
  <c r="AL1342" i="2"/>
  <c r="AL1429" i="2" s="1"/>
  <c r="JE839" i="5"/>
  <c r="AL1352" i="2"/>
  <c r="JE850" i="5"/>
  <c r="AL1439" i="2"/>
  <c r="JD793" i="5"/>
  <c r="JC839" i="5"/>
  <c r="JC838" i="5"/>
  <c r="JC840" i="5"/>
  <c r="JC850" i="5"/>
  <c r="JC852" i="5"/>
  <c r="JB839" i="5"/>
  <c r="AK1342" i="2"/>
  <c r="AK1429" i="2" s="1"/>
  <c r="AK1439" i="2"/>
  <c r="JB850" i="5"/>
  <c r="AK1352" i="2"/>
  <c r="AK1343" i="2"/>
  <c r="AK1430" i="2" s="1"/>
  <c r="JB840" i="5"/>
  <c r="JB838" i="5"/>
  <c r="AK1341" i="2"/>
  <c r="AK1428" i="2" s="1"/>
  <c r="IZ793" i="5"/>
  <c r="JA793" i="5" s="1"/>
  <c r="AN1343" i="2" l="1"/>
  <c r="AN1430" i="2" s="1"/>
  <c r="JK840" i="5"/>
  <c r="JK850" i="5"/>
  <c r="AN1352" i="2"/>
  <c r="AN1439" i="2"/>
  <c r="AN1342" i="2"/>
  <c r="AN1429" i="2" s="1"/>
  <c r="JK839" i="5"/>
  <c r="JJ793" i="5"/>
  <c r="JI852" i="5"/>
  <c r="JI840" i="5"/>
  <c r="JI850" i="5"/>
  <c r="JI838" i="5"/>
  <c r="JI839" i="5"/>
  <c r="AN1341" i="2"/>
  <c r="AN1428" i="2" s="1"/>
  <c r="JK838" i="5"/>
  <c r="JG839" i="5"/>
  <c r="JG852" i="5"/>
  <c r="JG838" i="5"/>
  <c r="JG840" i="5"/>
  <c r="JG850" i="5"/>
  <c r="JD852" i="5"/>
  <c r="JD850" i="5"/>
  <c r="JD840" i="5"/>
  <c r="JD839" i="5"/>
  <c r="JD838" i="5"/>
  <c r="JA852" i="5"/>
  <c r="JA838" i="5"/>
  <c r="JA840" i="5"/>
  <c r="JA839" i="5"/>
  <c r="JA850" i="5"/>
  <c r="IZ838" i="5"/>
  <c r="IZ839" i="5"/>
  <c r="IZ850" i="5"/>
  <c r="IZ840" i="5"/>
  <c r="IZ852" i="5"/>
  <c r="JJ840" i="5" l="1"/>
  <c r="JJ839" i="5"/>
  <c r="JJ850" i="5"/>
  <c r="JJ838" i="5"/>
  <c r="JJ852"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D61" authorId="0" shapeId="0" xr:uid="{00000000-0006-0000-0100-000001000000}">
      <text>
        <r>
          <rPr>
            <b/>
            <sz val="9"/>
            <color rgb="FF000000"/>
            <rFont val="Tahoma"/>
            <family val="2"/>
          </rPr>
          <t>Author:</t>
        </r>
        <r>
          <rPr>
            <sz val="9"/>
            <color rgb="FF000000"/>
            <rFont val="Tahoma"/>
            <family val="2"/>
          </rPr>
          <t xml:space="preserve">
Taken from Abel's file as actual in FRW and devided by end period exchange rate of 922.517</t>
        </r>
      </text>
    </comment>
    <comment ref="AD72" authorId="0" shapeId="0" xr:uid="{00000000-0006-0000-0100-000003000000}">
      <text>
        <r>
          <rPr>
            <b/>
            <sz val="9"/>
            <color rgb="FF000000"/>
            <rFont val="Tahoma"/>
            <family val="2"/>
          </rPr>
          <t>Author:</t>
        </r>
        <r>
          <rPr>
            <sz val="9"/>
            <color rgb="FF000000"/>
            <rFont val="Tahoma"/>
            <family val="2"/>
          </rPr>
          <t xml:space="preserve">
Different from actualexisted from Computed from PDT amounted 282.08</t>
        </r>
      </text>
    </comment>
    <comment ref="AB221" authorId="0" shapeId="0" xr:uid="{00000000-0006-0000-0100-000004000000}">
      <text>
        <r>
          <rPr>
            <b/>
            <sz val="9"/>
            <color rgb="FF000000"/>
            <rFont val="Tahoma"/>
            <family val="2"/>
          </rPr>
          <t>Author:</t>
        </r>
        <r>
          <rPr>
            <sz val="9"/>
            <color rgb="FF000000"/>
            <rFont val="Tahoma"/>
            <family val="2"/>
          </rPr>
          <t xml:space="preserve">
Goes to BOP - Formula changed because low investment deflator (NISR)</t>
        </r>
      </text>
    </comment>
    <comment ref="Y229" authorId="0" shapeId="0" xr:uid="{00000000-0006-0000-0100-000005000000}">
      <text>
        <r>
          <rPr>
            <b/>
            <sz val="9"/>
            <color rgb="FF000000"/>
            <rFont val="Tahoma"/>
            <family val="2"/>
          </rPr>
          <t>akouwenaar:</t>
        </r>
        <r>
          <rPr>
            <sz val="9"/>
            <color rgb="FF000000"/>
            <rFont val="Tahoma"/>
            <family val="2"/>
          </rPr>
          <t xml:space="preserve"> fr 2014: distinguish public and private investment for import content investm. Marked down with ratio direct/dir+indir imports
</t>
        </r>
      </text>
    </comment>
    <comment ref="Y230" authorId="0" shapeId="0" xr:uid="{00000000-0006-0000-0100-000006000000}">
      <text>
        <r>
          <rPr>
            <b/>
            <sz val="9"/>
            <color rgb="FF000000"/>
            <rFont val="Tahoma"/>
            <family val="2"/>
          </rPr>
          <t>akouwenaar:</t>
        </r>
        <r>
          <rPr>
            <sz val="9"/>
            <color rgb="FF000000"/>
            <rFont val="Tahoma"/>
            <family val="2"/>
          </rPr>
          <t xml:space="preserve"> fr 2014: distinguish public and private investment for import content investm. Marked down with ratio direct/dir+indir imports
</t>
        </r>
      </text>
    </comment>
    <comment ref="AF253" authorId="0" shapeId="0" xr:uid="{00000000-0006-0000-0100-000007000000}">
      <text>
        <r>
          <rPr>
            <b/>
            <sz val="9"/>
            <color indexed="81"/>
            <rFont val="Tahoma"/>
            <family val="2"/>
          </rPr>
          <t>Author:</t>
        </r>
        <r>
          <rPr>
            <sz val="9"/>
            <color indexed="81"/>
            <rFont val="Tahoma"/>
            <family val="2"/>
          </rPr>
          <t xml:space="preserve">
Different to the last RCF2 figure</t>
        </r>
      </text>
    </comment>
    <comment ref="AG586" authorId="0" shapeId="0" xr:uid="{00000000-0006-0000-0100-000008000000}">
      <text>
        <r>
          <rPr>
            <b/>
            <sz val="9"/>
            <color indexed="81"/>
            <rFont val="Tahoma"/>
            <family val="2"/>
          </rPr>
          <t>Author:</t>
        </r>
        <r>
          <rPr>
            <sz val="9"/>
            <color indexed="81"/>
            <rFont val="Tahoma"/>
            <family val="2"/>
          </rPr>
          <t xml:space="preserve">
Following the new figure provided by IMF by 9th November 2021</t>
        </r>
      </text>
    </comment>
    <comment ref="AJ640" authorId="0" shapeId="0" xr:uid="{7ECEE743-7C1C-4EAD-A1BD-FD6C259422EC}">
      <text>
        <r>
          <rPr>
            <b/>
            <sz val="9"/>
            <color indexed="81"/>
            <rFont val="Tahoma"/>
            <family val="2"/>
          </rPr>
          <t>Author:</t>
        </r>
        <r>
          <rPr>
            <sz val="9"/>
            <color indexed="81"/>
            <rFont val="Tahoma"/>
            <family val="2"/>
          </rPr>
          <t xml:space="preserve">
O/W 51% (5.9ml usd) part of the Capital injection(ie a wash)</t>
        </r>
      </text>
    </comment>
    <comment ref="AK640" authorId="0" shapeId="0" xr:uid="{797C2E24-A9CB-4F0D-8755-1063433C2D50}">
      <text>
        <r>
          <rPr>
            <b/>
            <sz val="9"/>
            <color indexed="81"/>
            <rFont val="Tahoma"/>
            <family val="2"/>
          </rPr>
          <t>Author:</t>
        </r>
        <r>
          <rPr>
            <sz val="9"/>
            <color indexed="81"/>
            <rFont val="Tahoma"/>
            <family val="2"/>
          </rPr>
          <t xml:space="preserve">
Part of EUROBond Capital Injection In BAC
</t>
        </r>
      </text>
    </comment>
    <comment ref="AC702" authorId="0" shapeId="0" xr:uid="{00000000-0006-0000-0100-000009000000}">
      <text>
        <r>
          <rPr>
            <b/>
            <sz val="9"/>
            <color indexed="81"/>
            <rFont val="Tahoma"/>
            <family val="2"/>
          </rPr>
          <t>Author:</t>
        </r>
        <r>
          <rPr>
            <sz val="9"/>
            <color indexed="81"/>
            <rFont val="Tahoma"/>
            <family val="2"/>
          </rPr>
          <t xml:space="preserve">
Keep the formula to get exfin data 2018-2021</t>
        </r>
      </text>
    </comment>
    <comment ref="AC708" authorId="0" shapeId="0" xr:uid="{00000000-0006-0000-0100-00000A000000}">
      <text>
        <r>
          <rPr>
            <b/>
            <sz val="9"/>
            <color indexed="81"/>
            <rFont val="Tahoma"/>
            <family val="2"/>
          </rPr>
          <t>Author:</t>
        </r>
        <r>
          <rPr>
            <sz val="9"/>
            <color indexed="81"/>
            <rFont val="Tahoma"/>
            <family val="2"/>
          </rPr>
          <t xml:space="preserve">
Keep the formula to get exfin data 2018-2021
</t>
        </r>
      </text>
    </comment>
    <comment ref="AE721" authorId="0" shapeId="0" xr:uid="{00000000-0006-0000-0100-00000B000000}">
      <text>
        <r>
          <rPr>
            <b/>
            <sz val="9"/>
            <color indexed="81"/>
            <rFont val="Tahoma"/>
            <family val="2"/>
          </rPr>
          <t>Author:</t>
        </r>
        <r>
          <rPr>
            <sz val="9"/>
            <color indexed="81"/>
            <rFont val="Tahoma"/>
            <family val="2"/>
          </rPr>
          <t xml:space="preserve">
RCF1 Plus additional health related 50 and Other expenditure:4</t>
        </r>
      </text>
    </comment>
    <comment ref="AN721" authorId="0" shapeId="0" xr:uid="{00000000-0006-0000-0100-00000C000000}">
      <text>
        <r>
          <rPr>
            <b/>
            <sz val="9"/>
            <color indexed="81"/>
            <rFont val="Tahoma"/>
            <family val="2"/>
          </rPr>
          <t>Author:</t>
        </r>
        <r>
          <rPr>
            <sz val="9"/>
            <color indexed="81"/>
            <rFont val="Tahoma"/>
            <family val="2"/>
          </rPr>
          <t xml:space="preserve">
RCF1 Plus additional health related 50 and Other expenditure:4</t>
        </r>
      </text>
    </comment>
    <comment ref="AG749" authorId="0" shapeId="0" xr:uid="{00000000-0006-0000-0100-00000D000000}">
      <text>
        <r>
          <rPr>
            <b/>
            <sz val="9"/>
            <color indexed="81"/>
            <rFont val="Tahoma"/>
            <family val="2"/>
          </rPr>
          <t>Author:</t>
        </r>
        <r>
          <rPr>
            <sz val="9"/>
            <color indexed="81"/>
            <rFont val="Tahoma"/>
            <family val="2"/>
          </rPr>
          <t xml:space="preserve">
Need to check for PKO amount in $</t>
        </r>
      </text>
    </comment>
    <comment ref="AH762" authorId="0" shapeId="0" xr:uid="{00000000-0006-0000-0100-00000E000000}">
      <text>
        <r>
          <rPr>
            <b/>
            <sz val="9"/>
            <color indexed="81"/>
            <rFont val="Tahoma"/>
            <family val="2"/>
          </rPr>
          <t>Author:</t>
        </r>
        <r>
          <rPr>
            <sz val="9"/>
            <color indexed="81"/>
            <rFont val="Tahoma"/>
            <family val="2"/>
          </rPr>
          <t xml:space="preserve">
High compared to the previous years and is mainly coming from projects loans.</t>
        </r>
      </text>
    </comment>
    <comment ref="AF779" authorId="0" shapeId="0" xr:uid="{00000000-0006-0000-0100-00000F000000}">
      <text>
        <r>
          <rPr>
            <b/>
            <sz val="9"/>
            <color indexed="81"/>
            <rFont val="Tahoma"/>
            <family val="2"/>
          </rPr>
          <t>Author:</t>
        </r>
        <r>
          <rPr>
            <sz val="9"/>
            <color indexed="81"/>
            <rFont val="Tahoma"/>
            <family val="2"/>
          </rPr>
          <t xml:space="preserve">
Including BRD Recapitalisation and BRD MaryHill</t>
        </r>
      </text>
    </comment>
    <comment ref="AF783" authorId="0" shapeId="0" xr:uid="{00000000-0006-0000-0100-000011000000}">
      <text>
        <r>
          <rPr>
            <b/>
            <sz val="9"/>
            <color indexed="81"/>
            <rFont val="Tahoma"/>
            <family val="2"/>
          </rPr>
          <t>Author:</t>
        </r>
        <r>
          <rPr>
            <sz val="9"/>
            <color indexed="81"/>
            <rFont val="Tahoma"/>
            <family val="2"/>
          </rPr>
          <t xml:space="preserve">
New figure given by Debt (Judith)</t>
        </r>
      </text>
    </comment>
    <comment ref="AF787" authorId="0" shapeId="0" xr:uid="{00000000-0006-0000-0100-000013000000}">
      <text>
        <r>
          <rPr>
            <b/>
            <sz val="9"/>
            <color indexed="81"/>
            <rFont val="Tahoma"/>
            <family val="2"/>
          </rPr>
          <t>Author:</t>
        </r>
        <r>
          <rPr>
            <sz val="9"/>
            <color indexed="81"/>
            <rFont val="Tahoma"/>
            <family val="2"/>
          </rPr>
          <t xml:space="preserve">
13.4 more</t>
        </r>
      </text>
    </comment>
    <comment ref="AE799" authorId="0" shapeId="0" xr:uid="{00000000-0006-0000-0100-000015000000}">
      <text>
        <r>
          <rPr>
            <b/>
            <sz val="9"/>
            <color indexed="81"/>
            <rFont val="Tahoma"/>
            <family val="2"/>
          </rPr>
          <t>Author:</t>
        </r>
        <r>
          <rPr>
            <sz val="9"/>
            <color indexed="81"/>
            <rFont val="Tahoma"/>
            <family val="2"/>
          </rPr>
          <t xml:space="preserve">
18 is additional to Rwandairdue toCOVID-19</t>
        </r>
      </text>
    </comment>
    <comment ref="AN799" authorId="0" shapeId="0" xr:uid="{00000000-0006-0000-0100-000016000000}">
      <text>
        <r>
          <rPr>
            <b/>
            <sz val="9"/>
            <color indexed="81"/>
            <rFont val="Tahoma"/>
            <family val="2"/>
          </rPr>
          <t>Author:</t>
        </r>
        <r>
          <rPr>
            <sz val="9"/>
            <color indexed="81"/>
            <rFont val="Tahoma"/>
            <family val="2"/>
          </rPr>
          <t xml:space="preserve">
18 is additional to Rwandairdue toCOVID-19</t>
        </r>
      </text>
    </comment>
    <comment ref="AE801" authorId="0" shapeId="0" xr:uid="{00000000-0006-0000-0100-000017000000}">
      <text>
        <r>
          <rPr>
            <b/>
            <sz val="9"/>
            <color indexed="81"/>
            <rFont val="Tahoma"/>
            <family val="2"/>
          </rPr>
          <t>Author:</t>
        </r>
        <r>
          <rPr>
            <sz val="9"/>
            <color indexed="81"/>
            <rFont val="Tahoma"/>
            <family val="2"/>
          </rPr>
          <t xml:space="preserve">
Additional 10 of VAT refund from Costing </t>
        </r>
      </text>
    </comment>
    <comment ref="AN801" authorId="0" shapeId="0" xr:uid="{00000000-0006-0000-0100-000018000000}">
      <text>
        <r>
          <rPr>
            <b/>
            <sz val="9"/>
            <color indexed="81"/>
            <rFont val="Tahoma"/>
            <family val="2"/>
          </rPr>
          <t>Author:</t>
        </r>
        <r>
          <rPr>
            <sz val="9"/>
            <color indexed="81"/>
            <rFont val="Tahoma"/>
            <family val="2"/>
          </rPr>
          <t xml:space="preserve">
Additional 10 of VAT refund from Costing </t>
        </r>
      </text>
    </comment>
    <comment ref="AC811" authorId="0" shapeId="0" xr:uid="{00000000-0006-0000-0100-000019000000}">
      <text>
        <r>
          <rPr>
            <b/>
            <sz val="9"/>
            <color indexed="81"/>
            <rFont val="Tahoma"/>
            <family val="2"/>
          </rPr>
          <t>Author:</t>
        </r>
        <r>
          <rPr>
            <sz val="9"/>
            <color indexed="81"/>
            <rFont val="Tahoma"/>
            <family val="2"/>
          </rPr>
          <t xml:space="preserve">
Keep the formula to get exfin data 2018-2021</t>
        </r>
      </text>
    </comment>
    <comment ref="AC822" authorId="0" shapeId="0" xr:uid="{00000000-0006-0000-0100-00001A000000}">
      <text>
        <r>
          <rPr>
            <b/>
            <sz val="9"/>
            <color indexed="81"/>
            <rFont val="Tahoma"/>
            <family val="2"/>
          </rPr>
          <t>Author:</t>
        </r>
        <r>
          <rPr>
            <sz val="9"/>
            <color indexed="81"/>
            <rFont val="Tahoma"/>
            <family val="2"/>
          </rPr>
          <t xml:space="preserve">
Keep the formula to get exfin data 2018-2021
</t>
        </r>
      </text>
    </comment>
    <comment ref="AJ1015" authorId="0" shapeId="0" xr:uid="{E8D286B6-C7E5-41B0-BBBA-1D3F423F326F}">
      <text>
        <r>
          <rPr>
            <b/>
            <sz val="9"/>
            <color indexed="81"/>
            <rFont val="Tahoma"/>
            <family val="2"/>
          </rPr>
          <t>Author:</t>
        </r>
        <r>
          <rPr>
            <sz val="9"/>
            <color indexed="81"/>
            <rFont val="Tahoma"/>
            <family val="2"/>
          </rPr>
          <t xml:space="preserve">
Amount in this category attributed to be from mining and royalties.</t>
        </r>
      </text>
    </comment>
    <comment ref="Z1065" authorId="0" shapeId="0" xr:uid="{00000000-0006-0000-0100-00001B000000}">
      <text>
        <r>
          <rPr>
            <b/>
            <sz val="9"/>
            <color indexed="81"/>
            <rFont val="Tahoma"/>
            <family val="2"/>
          </rPr>
          <t>Author:</t>
        </r>
        <r>
          <rPr>
            <sz val="9"/>
            <color indexed="81"/>
            <rFont val="Tahoma"/>
            <family val="2"/>
          </rPr>
          <t xml:space="preserve">
An of whichh item is higher than the total???!!</t>
        </r>
      </text>
    </comment>
    <comment ref="AG1066" authorId="0" shapeId="0" xr:uid="{00000000-0006-0000-0100-00001C000000}">
      <text>
        <r>
          <rPr>
            <b/>
            <sz val="9"/>
            <color indexed="81"/>
            <rFont val="Tahoma"/>
            <family val="2"/>
          </rPr>
          <t>Author:</t>
        </r>
        <r>
          <rPr>
            <sz val="9"/>
            <color indexed="81"/>
            <rFont val="Tahoma"/>
            <family val="2"/>
          </rPr>
          <t xml:space="preserve">
New PKO Revenues which added around FRW 20 Blns higher</t>
        </r>
      </text>
    </comment>
    <comment ref="AH1066" authorId="0" shapeId="0" xr:uid="{00000000-0006-0000-0100-00001D000000}">
      <text>
        <r>
          <rPr>
            <b/>
            <sz val="9"/>
            <color indexed="81"/>
            <rFont val="Tahoma"/>
            <family val="2"/>
          </rPr>
          <t>Author:</t>
        </r>
        <r>
          <rPr>
            <sz val="9"/>
            <color indexed="81"/>
            <rFont val="Tahoma"/>
            <family val="2"/>
          </rPr>
          <t xml:space="preserve">
Lower than what we had in PCI 6 due to lower depreciation of exchange rate than in PCI 6</t>
        </r>
      </text>
    </comment>
    <comment ref="AD1077" authorId="0" shapeId="0" xr:uid="{00000000-0006-0000-0100-000022000000}">
      <text>
        <r>
          <rPr>
            <b/>
            <sz val="9"/>
            <color indexed="81"/>
            <rFont val="Tahoma"/>
            <family val="2"/>
          </rPr>
          <t>Author:</t>
        </r>
        <r>
          <rPr>
            <sz val="9"/>
            <color indexed="81"/>
            <rFont val="Tahoma"/>
            <family val="2"/>
          </rPr>
          <t xml:space="preserve">
Why this decline?</t>
        </r>
      </text>
    </comment>
    <comment ref="AJ1077" authorId="0" shapeId="0" xr:uid="{E102DC11-3700-4521-873D-A24432503239}">
      <text>
        <r>
          <rPr>
            <b/>
            <sz val="9"/>
            <color indexed="81"/>
            <rFont val="Tahoma"/>
            <family val="2"/>
          </rPr>
          <t>Author:</t>
        </r>
        <r>
          <rPr>
            <sz val="9"/>
            <color indexed="81"/>
            <rFont val="Tahoma"/>
            <family val="2"/>
          </rPr>
          <t xml:space="preserve">
this 26 will be adjusted after getting MINADEF, OTP, NISS numbers.</t>
        </r>
      </text>
    </comment>
    <comment ref="AJ1080" authorId="0" shapeId="0" xr:uid="{059EE7BB-9AC2-4A44-A6F0-C146171AE1B9}">
      <text>
        <r>
          <rPr>
            <b/>
            <sz val="9"/>
            <color indexed="81"/>
            <rFont val="Tahoma"/>
            <family val="2"/>
          </rPr>
          <t xml:space="preserve">Swadiq ISHIMWE: </t>
        </r>
        <r>
          <rPr>
            <sz val="9"/>
            <color indexed="81"/>
            <rFont val="Tahoma"/>
            <family val="2"/>
          </rPr>
          <t>O/W 52 will be allocated to rwandair repayment of non debt liabilities.</t>
        </r>
      </text>
    </comment>
    <comment ref="AG1082" authorId="0" shapeId="0" xr:uid="{00000000-0006-0000-0100-000023000000}">
      <text>
        <r>
          <rPr>
            <b/>
            <sz val="9"/>
            <color indexed="81"/>
            <rFont val="Tahoma"/>
            <family val="2"/>
          </rPr>
          <t>Author:</t>
        </r>
        <r>
          <rPr>
            <sz val="9"/>
            <color indexed="81"/>
            <rFont val="Tahoma"/>
            <family val="2"/>
          </rPr>
          <t xml:space="preserve">
COVID vaccine more than projected and 22 more of other COVID spending higher than 11 projected,therefore 11 maintaiined for other possible COVID spending during January June period</t>
        </r>
      </text>
    </comment>
    <comment ref="AJ1096" authorId="0" shapeId="0" xr:uid="{7E19CD21-9EBD-44F7-B316-9DF4F11931E4}">
      <text>
        <r>
          <rPr>
            <b/>
            <sz val="9"/>
            <color indexed="81"/>
            <rFont val="Tahoma"/>
            <family val="2"/>
          </rPr>
          <t>Author:</t>
        </r>
        <r>
          <rPr>
            <sz val="9"/>
            <color indexed="81"/>
            <rFont val="Tahoma"/>
            <family val="2"/>
          </rPr>
          <t xml:space="preserve">
Include part of the restructured loan of 72mln usd external interest</t>
        </r>
      </text>
    </comment>
    <comment ref="AJ1098" authorId="0" shapeId="0" xr:uid="{BC6548AB-AD2E-4C50-AF21-D7EA1B647419}">
      <text>
        <r>
          <rPr>
            <b/>
            <sz val="9"/>
            <color indexed="81"/>
            <rFont val="Tahoma"/>
            <family val="2"/>
          </rPr>
          <t>Author:</t>
        </r>
        <r>
          <rPr>
            <sz val="9"/>
            <color indexed="81"/>
            <rFont val="Tahoma"/>
            <family val="2"/>
          </rPr>
          <t xml:space="preserve">
Include part of the restructured loan of 72mln usd external interest
</t>
        </r>
      </text>
    </comment>
    <comment ref="AJ1104" authorId="0" shapeId="0" xr:uid="{8AF08858-C9A3-47C2-88BD-9F6CEC42E174}">
      <text>
        <r>
          <rPr>
            <b/>
            <sz val="9"/>
            <color indexed="81"/>
            <rFont val="Tahoma"/>
            <family val="2"/>
          </rPr>
          <t>Author:</t>
        </r>
        <r>
          <rPr>
            <sz val="9"/>
            <color indexed="81"/>
            <rFont val="Tahoma"/>
            <family val="2"/>
          </rPr>
          <t xml:space="preserve">
New caoital injection of 90.5 USD Mln lower than previously capitured due to repayment</t>
        </r>
      </text>
    </comment>
    <comment ref="AK1104" authorId="0" shapeId="0" xr:uid="{5C16E2D0-4683-4C1F-8CF7-178F4A81C5F6}">
      <text>
        <r>
          <rPr>
            <b/>
            <sz val="9"/>
            <color indexed="81"/>
            <rFont val="Tahoma"/>
            <family val="2"/>
          </rPr>
          <t>Author:</t>
        </r>
        <r>
          <rPr>
            <sz val="9"/>
            <color indexed="81"/>
            <rFont val="Tahoma"/>
            <family val="2"/>
          </rPr>
          <t xml:space="preserve">
New capital injection amt tot to 279  USD Mln lower due to repayment same for the next FY's</t>
        </r>
      </text>
    </comment>
    <comment ref="AJ1107" authorId="0" shapeId="0" xr:uid="{3360DB48-2421-40F5-9D1E-EA2F83DDDC89}">
      <text>
        <r>
          <rPr>
            <b/>
            <sz val="9"/>
            <color indexed="81"/>
            <rFont val="Tahoma"/>
            <family val="2"/>
          </rPr>
          <t>Author:</t>
        </r>
        <r>
          <rPr>
            <sz val="9"/>
            <color indexed="81"/>
            <rFont val="Tahoma"/>
            <family val="2"/>
          </rPr>
          <t xml:space="preserve">
Loan Repayment of 147.3 USD Mln </t>
        </r>
      </text>
    </comment>
    <comment ref="AJ1117" authorId="0" shapeId="0" xr:uid="{FBA6BBAF-3DB7-4225-868B-5006703E4897}">
      <text>
        <r>
          <rPr>
            <b/>
            <sz val="9"/>
            <color indexed="81"/>
            <rFont val="Tahoma"/>
            <family val="2"/>
          </rPr>
          <t>Author:</t>
        </r>
        <r>
          <rPr>
            <sz val="9"/>
            <color indexed="81"/>
            <rFont val="Tahoma"/>
            <family val="2"/>
          </rPr>
          <t xml:space="preserve">
5.9 one of Marbug Response which was transferred to dvpt.</t>
        </r>
      </text>
    </comment>
    <comment ref="AG1134" authorId="0" shapeId="0" xr:uid="{00000000-0006-0000-0100-000024000000}">
      <text>
        <r>
          <rPr>
            <b/>
            <sz val="9"/>
            <color indexed="81"/>
            <rFont val="Tahoma"/>
            <family val="2"/>
          </rPr>
          <t>Author:</t>
        </r>
        <r>
          <rPr>
            <sz val="9"/>
            <color indexed="81"/>
            <rFont val="Tahoma"/>
            <family val="2"/>
          </rPr>
          <t xml:space="preserve">
$ 71.52 Mln of vaccine and (125lloans+25grants) of ERF are removed to be reclassified under use of goods and services for vaccine and under domestic financial assest/loan for ERF</t>
        </r>
      </text>
    </comment>
    <comment ref="AI1134" authorId="0" shapeId="0" xr:uid="{00000000-0006-0000-0100-000025000000}">
      <text>
        <r>
          <rPr>
            <b/>
            <sz val="9"/>
            <color indexed="81"/>
            <rFont val="Tahoma"/>
            <family val="2"/>
          </rPr>
          <t>Author:</t>
        </r>
        <r>
          <rPr>
            <sz val="9"/>
            <color indexed="81"/>
            <rFont val="Tahoma"/>
            <family val="2"/>
          </rPr>
          <t xml:space="preserve">
This amount includes $32.5Mln of ERF grant compnent</t>
        </r>
      </text>
    </comment>
    <comment ref="AR1134" authorId="0" shapeId="0" xr:uid="{31E066B8-A8C6-42B4-9B5D-DDE15EF9F92E}">
      <text>
        <r>
          <rPr>
            <b/>
            <sz val="9"/>
            <color indexed="81"/>
            <rFont val="Tahoma"/>
            <family val="2"/>
          </rPr>
          <t>Author:</t>
        </r>
        <r>
          <rPr>
            <sz val="9"/>
            <color indexed="81"/>
            <rFont val="Tahoma"/>
            <family val="2"/>
          </rPr>
          <t xml:space="preserve">
This amount includes $32.5Mln of ERF grant compnent</t>
        </r>
      </text>
    </comment>
    <comment ref="AG1135" authorId="0" shapeId="0" xr:uid="{00000000-0006-0000-0100-000026000000}">
      <text>
        <r>
          <rPr>
            <b/>
            <sz val="9"/>
            <color indexed="81"/>
            <rFont val="Tahoma"/>
            <family val="2"/>
          </rPr>
          <t>Author:</t>
        </r>
        <r>
          <rPr>
            <sz val="9"/>
            <color indexed="81"/>
            <rFont val="Tahoma"/>
            <family val="2"/>
          </rPr>
          <t xml:space="preserve">
Externally financed Social protection</t>
        </r>
      </text>
    </comment>
    <comment ref="AG1138" authorId="0" shapeId="0" xr:uid="{00000000-0006-0000-0100-000027000000}">
      <text>
        <r>
          <rPr>
            <b/>
            <sz val="9"/>
            <color indexed="81"/>
            <rFont val="Tahoma"/>
            <family val="2"/>
          </rPr>
          <t>Author:</t>
        </r>
        <r>
          <rPr>
            <sz val="9"/>
            <color indexed="81"/>
            <rFont val="Tahoma"/>
            <family val="2"/>
          </rPr>
          <t xml:space="preserve">
This amount include 20.9 of the NISS building and exclude 55 of Gako beef and other integrated investment projects</t>
        </r>
      </text>
    </comment>
    <comment ref="D1146" authorId="0" shapeId="0" xr:uid="{00000000-0006-0000-0100-000028000000}">
      <text>
        <r>
          <rPr>
            <b/>
            <sz val="9"/>
            <color indexed="81"/>
            <rFont val="Tahoma"/>
            <family val="2"/>
          </rPr>
          <t>Author:</t>
        </r>
        <r>
          <rPr>
            <sz val="9"/>
            <color indexed="81"/>
            <rFont val="Tahoma"/>
            <family val="2"/>
          </rPr>
          <t xml:space="preserve">
Strategic reserve (purchase)</t>
        </r>
      </text>
    </comment>
    <comment ref="D1176" authorId="0" shapeId="0" xr:uid="{00000000-0006-0000-0100-000029000000}">
      <text>
        <r>
          <rPr>
            <b/>
            <sz val="9"/>
            <color indexed="81"/>
            <rFont val="Tahoma"/>
            <family val="2"/>
          </rPr>
          <t>Author:</t>
        </r>
        <r>
          <rPr>
            <sz val="9"/>
            <color indexed="81"/>
            <rFont val="Tahoma"/>
            <family val="2"/>
          </rPr>
          <t xml:space="preserve">
To be used when cleaning E&amp;O</t>
        </r>
      </text>
    </comment>
    <comment ref="AF1193" authorId="0" shapeId="0" xr:uid="{00000000-0006-0000-0100-00002A000000}">
      <text>
        <r>
          <rPr>
            <b/>
            <sz val="9"/>
            <color indexed="81"/>
            <rFont val="Tahoma"/>
            <family val="2"/>
          </rPr>
          <t>Author:</t>
        </r>
        <r>
          <rPr>
            <sz val="9"/>
            <color indexed="81"/>
            <rFont val="Tahoma"/>
            <family val="2"/>
          </rPr>
          <t xml:space="preserve">
Policy lending</t>
        </r>
      </text>
    </comment>
    <comment ref="AF1194" authorId="0" shapeId="0" xr:uid="{00000000-0006-0000-0100-00002B000000}">
      <text>
        <r>
          <rPr>
            <b/>
            <sz val="9"/>
            <color indexed="81"/>
            <rFont val="Tahoma"/>
            <family val="2"/>
          </rPr>
          <t>Author:</t>
        </r>
        <r>
          <rPr>
            <sz val="9"/>
            <color indexed="81"/>
            <rFont val="Tahoma"/>
            <family val="2"/>
          </rPr>
          <t xml:space="preserve">
The revised figure to replace existed 16.0, added 139 of the recognized debt guarantee </t>
        </r>
      </text>
    </comment>
    <comment ref="AF1202" authorId="0" shapeId="0" xr:uid="{00000000-0006-0000-0100-00002C000000}">
      <text>
        <r>
          <rPr>
            <b/>
            <sz val="9"/>
            <color indexed="81"/>
            <rFont val="Tahoma"/>
            <family val="2"/>
          </rPr>
          <t>Author:</t>
        </r>
        <r>
          <rPr>
            <sz val="9"/>
            <color indexed="81"/>
            <rFont val="Tahoma"/>
            <family val="2"/>
          </rPr>
          <t xml:space="preserve">
BRD Recapitalization</t>
        </r>
      </text>
    </comment>
    <comment ref="AJ1204" authorId="0" shapeId="0" xr:uid="{D4E41E90-3FBF-4A09-B50A-A6432B4B6880}">
      <text>
        <r>
          <rPr>
            <b/>
            <sz val="9"/>
            <color indexed="81"/>
            <rFont val="Tahoma"/>
            <family val="2"/>
          </rPr>
          <t>Author:</t>
        </r>
        <r>
          <rPr>
            <sz val="9"/>
            <color indexed="81"/>
            <rFont val="Tahoma"/>
            <family val="2"/>
          </rPr>
          <t xml:space="preserve">
Minus money paid by Qatar for Euro bond loan repaiement</t>
        </r>
      </text>
    </comment>
    <comment ref="AF1228" authorId="0" shapeId="0" xr:uid="{00000000-0006-0000-0100-00002D000000}">
      <text>
        <r>
          <rPr>
            <b/>
            <sz val="9"/>
            <color indexed="81"/>
            <rFont val="Tahoma"/>
            <family val="2"/>
          </rPr>
          <t>Author:</t>
        </r>
        <r>
          <rPr>
            <sz val="9"/>
            <color indexed="81"/>
            <rFont val="Tahoma"/>
            <family val="2"/>
          </rPr>
          <t xml:space="preserve">
Debt to inform about their issuance plan to Non-Bank</t>
        </r>
      </text>
    </comment>
    <comment ref="AJ1230" authorId="0" shapeId="0" xr:uid="{67589B5D-7DF9-4FB9-A161-5A75A3D7639E}">
      <text>
        <r>
          <rPr>
            <b/>
            <sz val="9"/>
            <color indexed="81"/>
            <rFont val="Tahoma"/>
            <family val="2"/>
          </rPr>
          <t>Author:</t>
        </r>
        <r>
          <rPr>
            <sz val="9"/>
            <color indexed="81"/>
            <rFont val="Tahoma"/>
            <family val="2"/>
          </rPr>
          <t xml:space="preserve">
Include repayment of 72mln loan rdair principal domestic
</t>
        </r>
      </text>
    </comment>
    <comment ref="AG1233" authorId="0" shapeId="0" xr:uid="{00000000-0006-0000-0100-00002E000000}">
      <text>
        <r>
          <rPr>
            <b/>
            <sz val="9"/>
            <color indexed="81"/>
            <rFont val="Tahoma"/>
            <family val="2"/>
          </rPr>
          <t>Author:</t>
        </r>
        <r>
          <rPr>
            <sz val="9"/>
            <color indexed="81"/>
            <rFont val="Tahoma"/>
            <family val="2"/>
          </rPr>
          <t xml:space="preserve">
 7.8 of Marriott &amp; BK 
domestic debt repayment </t>
        </r>
      </text>
    </comment>
    <comment ref="AH1233" authorId="0" shapeId="0" xr:uid="{00000000-0006-0000-0100-00002F000000}">
      <text>
        <r>
          <rPr>
            <b/>
            <sz val="9"/>
            <color indexed="81"/>
            <rFont val="Tahoma"/>
            <family val="2"/>
          </rPr>
          <t>Author:</t>
        </r>
        <r>
          <rPr>
            <sz val="9"/>
            <color indexed="81"/>
            <rFont val="Tahoma"/>
            <family val="2"/>
          </rPr>
          <t xml:space="preserve">
Principal payment for BK &amp; Equity Bank bond</t>
        </r>
      </text>
    </comment>
    <comment ref="AG1234" authorId="0" shapeId="0" xr:uid="{00000000-0006-0000-0100-000030000000}">
      <text>
        <r>
          <rPr>
            <b/>
            <sz val="9"/>
            <color indexed="81"/>
            <rFont val="Tahoma"/>
            <family val="2"/>
          </rPr>
          <t>Author:</t>
        </r>
        <r>
          <rPr>
            <sz val="9"/>
            <color indexed="81"/>
            <rFont val="Tahoma"/>
            <family val="2"/>
          </rPr>
          <t xml:space="preserve">
It includes SONARWA</t>
        </r>
      </text>
    </comment>
    <comment ref="AI1234" authorId="0" shapeId="0" xr:uid="{69A960D2-763F-4FCC-A405-94CE398ED3D1}">
      <text>
        <r>
          <rPr>
            <b/>
            <sz val="9"/>
            <color indexed="81"/>
            <rFont val="Tahoma"/>
            <family val="2"/>
          </rPr>
          <t>Author:</t>
        </r>
        <r>
          <rPr>
            <sz val="9"/>
            <color indexed="81"/>
            <rFont val="Tahoma"/>
            <family val="2"/>
          </rPr>
          <t xml:space="preserve">
This category includes SONARWA part under net lending</t>
        </r>
      </text>
    </comment>
    <comment ref="AJ1258" authorId="0" shapeId="0" xr:uid="{B2B34FE7-236A-449D-A3B1-5F09837907D2}">
      <text>
        <r>
          <rPr>
            <b/>
            <sz val="9"/>
            <color indexed="81"/>
            <rFont val="Tahoma"/>
            <family val="2"/>
          </rPr>
          <t>Author:</t>
        </r>
        <r>
          <rPr>
            <sz val="9"/>
            <color indexed="81"/>
            <rFont val="Tahoma"/>
            <family val="2"/>
          </rPr>
          <t xml:space="preserve">
Include part of the restructured loan of 72mln usd external principal</t>
        </r>
      </text>
    </comment>
    <comment ref="AJ1260" authorId="0" shapeId="0" xr:uid="{157B743C-C9E2-44C5-B736-4FEC5A0CE627}">
      <text>
        <r>
          <rPr>
            <b/>
            <sz val="9"/>
            <color indexed="81"/>
            <rFont val="Tahoma"/>
            <family val="2"/>
          </rPr>
          <t>Author:</t>
        </r>
        <r>
          <rPr>
            <sz val="9"/>
            <color indexed="81"/>
            <rFont val="Tahoma"/>
            <family val="2"/>
          </rPr>
          <t xml:space="preserve">
Include part of the restructured loan of 72mln usd external principal
</t>
        </r>
      </text>
    </comment>
    <comment ref="D1537" authorId="0" shapeId="0" xr:uid="{00000000-0006-0000-0100-000031000000}">
      <text>
        <r>
          <rPr>
            <b/>
            <sz val="9"/>
            <color indexed="81"/>
            <rFont val="Tahoma"/>
            <family val="2"/>
          </rPr>
          <t>Author:</t>
        </r>
        <r>
          <rPr>
            <sz val="9"/>
            <color indexed="81"/>
            <rFont val="Tahoma"/>
            <family val="2"/>
          </rPr>
          <t xml:space="preserve">
including compensation of employees transferred to otherlevel of government as grants</t>
        </r>
      </text>
    </comment>
    <comment ref="AE1772" authorId="0" shapeId="0" xr:uid="{00000000-0006-0000-0100-000032000000}">
      <text>
        <r>
          <rPr>
            <b/>
            <sz val="9"/>
            <color indexed="81"/>
            <rFont val="Tahoma"/>
            <family val="2"/>
          </rPr>
          <t>Author:</t>
        </r>
        <r>
          <rPr>
            <sz val="9"/>
            <color indexed="81"/>
            <rFont val="Tahoma"/>
            <family val="2"/>
          </rPr>
          <t xml:space="preserve">
Fiscal in-year has 10 bln error in fiscal balance GFS 204 as it has -741 in stead of -731</t>
        </r>
      </text>
    </comment>
    <comment ref="AE1779" authorId="0" shapeId="0" xr:uid="{00000000-0006-0000-0100-000033000000}">
      <text>
        <r>
          <rPr>
            <b/>
            <sz val="9"/>
            <color indexed="81"/>
            <rFont val="Tahoma"/>
            <family val="2"/>
          </rPr>
          <t>Author:</t>
        </r>
        <r>
          <rPr>
            <sz val="9"/>
            <color indexed="81"/>
            <rFont val="Tahoma"/>
            <family val="2"/>
          </rPr>
          <t xml:space="preserve">
Fiscal inyear has 10 bln error in fiscal balance</t>
        </r>
      </text>
    </comment>
    <comment ref="C1827" authorId="0" shapeId="0" xr:uid="{9FE1951C-4BFC-458F-9C4E-67EFD09AB79B}">
      <text>
        <r>
          <rPr>
            <b/>
            <sz val="9"/>
            <color indexed="81"/>
            <rFont val="Tahoma"/>
            <family val="2"/>
          </rPr>
          <t>Author:</t>
        </r>
        <r>
          <rPr>
            <sz val="9"/>
            <color indexed="81"/>
            <rFont val="Tahoma"/>
            <family val="2"/>
          </rPr>
          <t xml:space="preserve">
Drawn from the project and ministries account balances in BNR.</t>
        </r>
      </text>
    </comment>
    <comment ref="AF1827" authorId="0" shapeId="0" xr:uid="{5580329E-8DFE-4FEC-B466-A51F82C400C8}">
      <text>
        <r>
          <rPr>
            <b/>
            <sz val="13"/>
            <color indexed="81"/>
            <rFont val="Tahoma"/>
            <family val="2"/>
          </rPr>
          <t>Author:</t>
        </r>
        <r>
          <rPr>
            <sz val="13"/>
            <color indexed="81"/>
            <rFont val="Tahoma"/>
            <family val="2"/>
          </rPr>
          <t xml:space="preserve">
this should be zero, but grants don’t add up for EBU+LG;for LG spending does not add up</t>
        </r>
      </text>
    </comment>
    <comment ref="AE1855" authorId="0" shapeId="0" xr:uid="{B9C50328-E64D-4389-9525-FF1E9D1C6F1C}">
      <text>
        <r>
          <rPr>
            <b/>
            <sz val="13"/>
            <color indexed="81"/>
            <rFont val="Tahoma"/>
            <family val="2"/>
          </rPr>
          <t>Author:</t>
        </r>
        <r>
          <rPr>
            <sz val="13"/>
            <color indexed="81"/>
            <rFont val="Tahoma"/>
            <family val="2"/>
          </rPr>
          <t xml:space="preserve">
inconistencies in in-year (sums don’t add up to components)</t>
        </r>
      </text>
    </comment>
    <comment ref="AF1855" authorId="0" shapeId="0" xr:uid="{DB1D5EF1-BB8D-46FF-ABE2-A981AD178BCD}">
      <text>
        <r>
          <rPr>
            <b/>
            <sz val="13"/>
            <color indexed="81"/>
            <rFont val="Tahoma"/>
            <family val="2"/>
          </rPr>
          <t>Author:</t>
        </r>
        <r>
          <rPr>
            <sz val="13"/>
            <color indexed="81"/>
            <rFont val="Tahoma"/>
            <family val="2"/>
          </rPr>
          <t xml:space="preserve">
inconistencies in in-year (sums don’t add up to components)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ED150" authorId="0" shapeId="0" xr:uid="{00000000-0006-0000-0200-000001000000}">
      <text>
        <r>
          <rPr>
            <b/>
            <sz val="9"/>
            <color indexed="81"/>
            <rFont val="Tahoma"/>
            <family val="2"/>
          </rPr>
          <t>Author:</t>
        </r>
        <r>
          <rPr>
            <sz val="9"/>
            <color indexed="81"/>
            <rFont val="Tahoma"/>
            <family val="2"/>
          </rPr>
          <t xml:space="preserve">
All with green coulor is picked from Tab-1 in Fiscal source as given</t>
        </r>
      </text>
    </comment>
    <comment ref="D229" authorId="0" shapeId="0" xr:uid="{00000000-0006-0000-0200-000002000000}">
      <text>
        <r>
          <rPr>
            <b/>
            <sz val="9"/>
            <color indexed="81"/>
            <rFont val="Tahoma"/>
            <family val="2"/>
          </rPr>
          <t>Author:</t>
        </r>
        <r>
          <rPr>
            <sz val="9"/>
            <color indexed="81"/>
            <rFont val="Tahoma"/>
            <family val="2"/>
          </rPr>
          <t xml:space="preserve">
This item is added due to the fact that the assumption of what is disbursed is spent is no longer valid. Sometimes, what is spent is different to what was disbursed. Therefore, instead of taking this amount in BNR Forex source, it will be taken here from IFMIS Ordonnancement as recorded in OTR account.</t>
        </r>
      </text>
    </comment>
    <comment ref="A295" authorId="0" shapeId="0" xr:uid="{00000000-0006-0000-0200-000003000000}">
      <text>
        <r>
          <rPr>
            <b/>
            <sz val="9"/>
            <color indexed="81"/>
            <rFont val="Tahoma"/>
            <family val="2"/>
          </rPr>
          <t>Author:</t>
        </r>
        <r>
          <rPr>
            <sz val="9"/>
            <color indexed="81"/>
            <rFont val="Tahoma"/>
            <family val="2"/>
          </rPr>
          <t xml:space="preserve">
This is a new block added due to new domestic debt interest as recorded in Fiscal source </t>
        </r>
      </text>
    </comment>
    <comment ref="D305" authorId="0" shapeId="0" xr:uid="{00000000-0006-0000-0200-000004000000}">
      <text>
        <r>
          <rPr>
            <b/>
            <sz val="9"/>
            <color indexed="81"/>
            <rFont val="Tahoma"/>
            <family val="2"/>
          </rPr>
          <t>Author:</t>
        </r>
        <r>
          <rPr>
            <sz val="9"/>
            <color indexed="81"/>
            <rFont val="Tahoma"/>
            <family val="2"/>
          </rPr>
          <t xml:space="preserve">
Used for external interest payment when interest due is not available.</t>
        </r>
      </text>
    </comment>
    <comment ref="GT382" authorId="0" shapeId="0" xr:uid="{00000000-0006-0000-0200-000005000000}">
      <text>
        <r>
          <rPr>
            <b/>
            <sz val="9"/>
            <color indexed="81"/>
            <rFont val="Tahoma"/>
            <family val="2"/>
          </rPr>
          <t>Author:</t>
        </r>
        <r>
          <rPr>
            <sz val="9"/>
            <color indexed="81"/>
            <rFont val="Tahoma"/>
            <family val="2"/>
          </rPr>
          <t xml:space="preserve">
This amount contain FRW 28 billion from RURA</t>
        </r>
      </text>
    </comment>
    <comment ref="EM541" authorId="0" shapeId="0" xr:uid="{00000000-0006-0000-0200-000006000000}">
      <text>
        <r>
          <rPr>
            <b/>
            <sz val="9"/>
            <color indexed="81"/>
            <rFont val="Tahoma"/>
            <family val="2"/>
          </rPr>
          <t>Author:</t>
        </r>
        <r>
          <rPr>
            <sz val="9"/>
            <color indexed="81"/>
            <rFont val="Tahoma"/>
            <family val="2"/>
          </rPr>
          <t xml:space="preserve">
From this data,This item source is changed due to the fact that the assumption of what is disbursed is spent is no longer valid. Sometimes, what is spent is different to what was disbursed. Therefore, instead of taking this amount in BNR Forex source, it will be taken here from IFMIS Ordonnancement as recorded in OTR account.</t>
        </r>
      </text>
    </comment>
    <comment ref="IN752" authorId="0" shapeId="0" xr:uid="{00000000-0006-0000-0200-000007000000}">
      <text>
        <r>
          <rPr>
            <b/>
            <sz val="9"/>
            <color indexed="81"/>
            <rFont val="Tahoma"/>
            <family val="2"/>
          </rPr>
          <t>Author:</t>
        </r>
        <r>
          <rPr>
            <sz val="9"/>
            <color indexed="81"/>
            <rFont val="Tahoma"/>
            <family val="2"/>
          </rPr>
          <t xml:space="preserve">
Actual disbursed</t>
        </r>
      </text>
    </comment>
    <comment ref="GI788" authorId="0" shapeId="0" xr:uid="{00000000-0006-0000-0200-000008000000}">
      <text>
        <r>
          <rPr>
            <b/>
            <sz val="9"/>
            <color indexed="81"/>
            <rFont val="Tahoma"/>
            <family val="2"/>
          </rPr>
          <t>Author:</t>
        </r>
        <r>
          <rPr>
            <sz val="9"/>
            <color indexed="81"/>
            <rFont val="Tahoma"/>
            <family val="2"/>
          </rPr>
          <t xml:space="preserve">
Real monthly data to be requested from DMDG</t>
        </r>
      </text>
    </comment>
    <comment ref="GI813" authorId="0" shapeId="0" xr:uid="{00000000-0006-0000-0200-000009000000}">
      <text>
        <r>
          <rPr>
            <b/>
            <sz val="9"/>
            <color indexed="81"/>
            <rFont val="Tahoma"/>
            <family val="2"/>
          </rPr>
          <t>Author:</t>
        </r>
        <r>
          <rPr>
            <sz val="9"/>
            <color indexed="81"/>
            <rFont val="Tahoma"/>
            <family val="2"/>
          </rPr>
          <t xml:space="preserve">
Need to be adjusted as per the IFMIS new data</t>
        </r>
      </text>
    </comment>
    <comment ref="GI822" authorId="0" shapeId="0" xr:uid="{00000000-0006-0000-0200-00000A000000}">
      <text>
        <r>
          <rPr>
            <b/>
            <sz val="9"/>
            <color indexed="81"/>
            <rFont val="Tahoma"/>
            <family val="2"/>
          </rPr>
          <t>Author:</t>
        </r>
        <r>
          <rPr>
            <sz val="9"/>
            <color indexed="81"/>
            <rFont val="Tahoma"/>
            <family val="2"/>
          </rPr>
          <t xml:space="preserve">
Need to be adjusted based on IFMIS new data</t>
        </r>
      </text>
    </comment>
    <comment ref="EY1137" authorId="0" shapeId="0" xr:uid="{00000000-0006-0000-0200-00000B000000}">
      <text>
        <r>
          <rPr>
            <b/>
            <sz val="9"/>
            <color indexed="81"/>
            <rFont val="Tahoma"/>
            <family val="2"/>
          </rPr>
          <t>Author:</t>
        </r>
        <r>
          <rPr>
            <sz val="9"/>
            <color indexed="81"/>
            <rFont val="Tahoma"/>
            <family val="2"/>
          </rPr>
          <t xml:space="preserve">
other revenue and SocSec contributions</t>
        </r>
      </text>
    </comment>
    <comment ref="EZ1137" authorId="0" shapeId="0" xr:uid="{00000000-0006-0000-0200-00000C000000}">
      <text>
        <r>
          <rPr>
            <b/>
            <sz val="9"/>
            <color indexed="81"/>
            <rFont val="Tahoma"/>
            <family val="2"/>
          </rPr>
          <t>Author:</t>
        </r>
        <r>
          <rPr>
            <sz val="9"/>
            <color indexed="81"/>
            <rFont val="Tahoma"/>
            <family val="2"/>
          </rPr>
          <t xml:space="preserve">
other revenue and SocSec contributions</t>
        </r>
      </text>
    </comment>
    <comment ref="FA1137" authorId="0" shapeId="0" xr:uid="{00000000-0006-0000-0200-00000D000000}">
      <text>
        <r>
          <rPr>
            <b/>
            <sz val="9"/>
            <color indexed="81"/>
            <rFont val="Tahoma"/>
            <family val="2"/>
          </rPr>
          <t>Author:</t>
        </r>
        <r>
          <rPr>
            <sz val="9"/>
            <color indexed="81"/>
            <rFont val="Tahoma"/>
            <family val="2"/>
          </rPr>
          <t xml:space="preserve">
other revenue and SocSec contributions</t>
        </r>
      </text>
    </comment>
    <comment ref="FB1137" authorId="0" shapeId="0" xr:uid="{00000000-0006-0000-0200-00000E000000}">
      <text>
        <r>
          <rPr>
            <b/>
            <sz val="9"/>
            <color indexed="81"/>
            <rFont val="Tahoma"/>
            <family val="2"/>
          </rPr>
          <t>Author:</t>
        </r>
        <r>
          <rPr>
            <sz val="9"/>
            <color indexed="81"/>
            <rFont val="Tahoma"/>
            <family val="2"/>
          </rPr>
          <t xml:space="preserve">
other revenue and SocSec contributions</t>
        </r>
      </text>
    </comment>
    <comment ref="FC1137" authorId="0" shapeId="0" xr:uid="{00000000-0006-0000-0200-00000F000000}">
      <text>
        <r>
          <rPr>
            <b/>
            <sz val="9"/>
            <color indexed="81"/>
            <rFont val="Tahoma"/>
            <family val="2"/>
          </rPr>
          <t>Author:</t>
        </r>
        <r>
          <rPr>
            <sz val="9"/>
            <color indexed="81"/>
            <rFont val="Tahoma"/>
            <family val="2"/>
          </rPr>
          <t xml:space="preserve">
other revenue and SocSec contributions</t>
        </r>
      </text>
    </comment>
    <comment ref="FD1137" authorId="0" shapeId="0" xr:uid="{00000000-0006-0000-0200-000010000000}">
      <text>
        <r>
          <rPr>
            <b/>
            <sz val="9"/>
            <color indexed="81"/>
            <rFont val="Tahoma"/>
            <family val="2"/>
          </rPr>
          <t>Author:</t>
        </r>
        <r>
          <rPr>
            <sz val="9"/>
            <color indexed="81"/>
            <rFont val="Tahoma"/>
            <family val="2"/>
          </rPr>
          <t xml:space="preserve">
other revenue and SocSec contributions</t>
        </r>
      </text>
    </comment>
    <comment ref="FE1137" authorId="0" shapeId="0" xr:uid="{00000000-0006-0000-0200-000011000000}">
      <text>
        <r>
          <rPr>
            <b/>
            <sz val="9"/>
            <color indexed="81"/>
            <rFont val="Tahoma"/>
            <family val="2"/>
          </rPr>
          <t>Author:</t>
        </r>
        <r>
          <rPr>
            <sz val="9"/>
            <color indexed="81"/>
            <rFont val="Tahoma"/>
            <family val="2"/>
          </rPr>
          <t xml:space="preserve">
other revenue and SocSec contributions</t>
        </r>
      </text>
    </comment>
    <comment ref="FF1137" authorId="0" shapeId="0" xr:uid="{00000000-0006-0000-0200-000012000000}">
      <text>
        <r>
          <rPr>
            <b/>
            <sz val="9"/>
            <color indexed="81"/>
            <rFont val="Tahoma"/>
            <family val="2"/>
          </rPr>
          <t>Author:</t>
        </r>
        <r>
          <rPr>
            <sz val="9"/>
            <color indexed="81"/>
            <rFont val="Tahoma"/>
            <family val="2"/>
          </rPr>
          <t xml:space="preserve">
other revenue and SocSec contributions</t>
        </r>
      </text>
    </comment>
    <comment ref="FG1137" authorId="0" shapeId="0" xr:uid="{00000000-0006-0000-0200-000013000000}">
      <text>
        <r>
          <rPr>
            <b/>
            <sz val="9"/>
            <color indexed="81"/>
            <rFont val="Tahoma"/>
            <family val="2"/>
          </rPr>
          <t>Author:</t>
        </r>
        <r>
          <rPr>
            <sz val="9"/>
            <color indexed="81"/>
            <rFont val="Tahoma"/>
            <family val="2"/>
          </rPr>
          <t xml:space="preserve">
other revenue and SocSec contributions</t>
        </r>
      </text>
    </comment>
    <comment ref="FH1137" authorId="0" shapeId="0" xr:uid="{00000000-0006-0000-0200-000014000000}">
      <text>
        <r>
          <rPr>
            <b/>
            <sz val="9"/>
            <color indexed="81"/>
            <rFont val="Tahoma"/>
            <family val="2"/>
          </rPr>
          <t>Author:</t>
        </r>
        <r>
          <rPr>
            <sz val="9"/>
            <color indexed="81"/>
            <rFont val="Tahoma"/>
            <family val="2"/>
          </rPr>
          <t xml:space="preserve">
other revenue and SocSec contributions</t>
        </r>
      </text>
    </comment>
    <comment ref="FI1137" authorId="0" shapeId="0" xr:uid="{00000000-0006-0000-0200-000015000000}">
      <text>
        <r>
          <rPr>
            <b/>
            <sz val="9"/>
            <color indexed="81"/>
            <rFont val="Tahoma"/>
            <family val="2"/>
          </rPr>
          <t>Author:</t>
        </r>
        <r>
          <rPr>
            <sz val="9"/>
            <color indexed="81"/>
            <rFont val="Tahoma"/>
            <family val="2"/>
          </rPr>
          <t xml:space="preserve">
other revenue and SocSec contributions</t>
        </r>
      </text>
    </comment>
    <comment ref="FJ1137" authorId="0" shapeId="0" xr:uid="{00000000-0006-0000-0200-000016000000}">
      <text>
        <r>
          <rPr>
            <b/>
            <sz val="9"/>
            <color indexed="81"/>
            <rFont val="Tahoma"/>
            <family val="2"/>
          </rPr>
          <t>Author:</t>
        </r>
        <r>
          <rPr>
            <sz val="9"/>
            <color indexed="81"/>
            <rFont val="Tahoma"/>
            <family val="2"/>
          </rPr>
          <t xml:space="preserve">
other revenue and SocSec contributions</t>
        </r>
      </text>
    </comment>
    <comment ref="FK1137" authorId="0" shapeId="0" xr:uid="{00000000-0006-0000-0200-000017000000}">
      <text>
        <r>
          <rPr>
            <b/>
            <sz val="9"/>
            <color indexed="81"/>
            <rFont val="Tahoma"/>
            <family val="2"/>
          </rPr>
          <t>Author:</t>
        </r>
        <r>
          <rPr>
            <sz val="9"/>
            <color indexed="81"/>
            <rFont val="Tahoma"/>
            <family val="2"/>
          </rPr>
          <t xml:space="preserve">
other revenue and SocSec contributions</t>
        </r>
      </text>
    </comment>
    <comment ref="FL1137" authorId="0" shapeId="0" xr:uid="{00000000-0006-0000-0200-000018000000}">
      <text>
        <r>
          <rPr>
            <b/>
            <sz val="9"/>
            <color indexed="81"/>
            <rFont val="Tahoma"/>
            <family val="2"/>
          </rPr>
          <t>Author:</t>
        </r>
        <r>
          <rPr>
            <sz val="9"/>
            <color indexed="81"/>
            <rFont val="Tahoma"/>
            <family val="2"/>
          </rPr>
          <t xml:space="preserve">
other revenue and SocSec contributions</t>
        </r>
      </text>
    </comment>
    <comment ref="FM1137" authorId="0" shapeId="0" xr:uid="{00000000-0006-0000-0200-000019000000}">
      <text>
        <r>
          <rPr>
            <b/>
            <sz val="9"/>
            <color indexed="81"/>
            <rFont val="Tahoma"/>
            <family val="2"/>
          </rPr>
          <t>Author:</t>
        </r>
        <r>
          <rPr>
            <sz val="9"/>
            <color indexed="81"/>
            <rFont val="Tahoma"/>
            <family val="2"/>
          </rPr>
          <t xml:space="preserve">
other revenue and SocSec contributions</t>
        </r>
      </text>
    </comment>
    <comment ref="FN1137" authorId="0" shapeId="0" xr:uid="{00000000-0006-0000-0200-00001A000000}">
      <text>
        <r>
          <rPr>
            <b/>
            <sz val="9"/>
            <color indexed="81"/>
            <rFont val="Tahoma"/>
            <family val="2"/>
          </rPr>
          <t>Author:</t>
        </r>
        <r>
          <rPr>
            <sz val="9"/>
            <color indexed="81"/>
            <rFont val="Tahoma"/>
            <family val="2"/>
          </rPr>
          <t xml:space="preserve">
other revenue and SocSec contributions</t>
        </r>
      </text>
    </comment>
    <comment ref="FO1137" authorId="0" shapeId="0" xr:uid="{00000000-0006-0000-0200-00001B000000}">
      <text>
        <r>
          <rPr>
            <b/>
            <sz val="9"/>
            <color indexed="81"/>
            <rFont val="Tahoma"/>
            <family val="2"/>
          </rPr>
          <t>Author:</t>
        </r>
        <r>
          <rPr>
            <sz val="9"/>
            <color indexed="81"/>
            <rFont val="Tahoma"/>
            <family val="2"/>
          </rPr>
          <t xml:space="preserve">
other revenue and SocSec contributions</t>
        </r>
      </text>
    </comment>
    <comment ref="FP1137" authorId="0" shapeId="0" xr:uid="{00000000-0006-0000-0200-00001C000000}">
      <text>
        <r>
          <rPr>
            <b/>
            <sz val="9"/>
            <color indexed="81"/>
            <rFont val="Tahoma"/>
            <family val="2"/>
          </rPr>
          <t>Author:</t>
        </r>
        <r>
          <rPr>
            <sz val="9"/>
            <color indexed="81"/>
            <rFont val="Tahoma"/>
            <family val="2"/>
          </rPr>
          <t xml:space="preserve">
other revenue and SocSec contributions</t>
        </r>
      </text>
    </comment>
    <comment ref="EY1147" authorId="0" shapeId="0" xr:uid="{00000000-0006-0000-0200-00001D000000}">
      <text>
        <r>
          <rPr>
            <b/>
            <sz val="9"/>
            <color indexed="81"/>
            <rFont val="Tahoma"/>
            <family val="2"/>
          </rPr>
          <t>Author:</t>
        </r>
        <r>
          <rPr>
            <sz val="9"/>
            <color indexed="81"/>
            <rFont val="Tahoma"/>
            <family val="2"/>
          </rPr>
          <t xml:space="preserve">
subsidies &amp;
social benefits</t>
        </r>
      </text>
    </comment>
    <comment ref="EZ1147" authorId="0" shapeId="0" xr:uid="{00000000-0006-0000-0200-00001E000000}">
      <text>
        <r>
          <rPr>
            <b/>
            <sz val="9"/>
            <color indexed="81"/>
            <rFont val="Tahoma"/>
            <family val="2"/>
          </rPr>
          <t>Author:</t>
        </r>
        <r>
          <rPr>
            <sz val="9"/>
            <color indexed="81"/>
            <rFont val="Tahoma"/>
            <family val="2"/>
          </rPr>
          <t xml:space="preserve">
subsidies &amp;
social benefits</t>
        </r>
      </text>
    </comment>
    <comment ref="FA1147" authorId="0" shapeId="0" xr:uid="{00000000-0006-0000-0200-00001F000000}">
      <text>
        <r>
          <rPr>
            <b/>
            <sz val="9"/>
            <color indexed="81"/>
            <rFont val="Tahoma"/>
            <family val="2"/>
          </rPr>
          <t>Author:</t>
        </r>
        <r>
          <rPr>
            <sz val="9"/>
            <color indexed="81"/>
            <rFont val="Tahoma"/>
            <family val="2"/>
          </rPr>
          <t xml:space="preserve">
subsidies &amp;
social benefits</t>
        </r>
      </text>
    </comment>
    <comment ref="FB1147" authorId="0" shapeId="0" xr:uid="{00000000-0006-0000-0200-000020000000}">
      <text>
        <r>
          <rPr>
            <b/>
            <sz val="9"/>
            <color indexed="81"/>
            <rFont val="Tahoma"/>
            <family val="2"/>
          </rPr>
          <t>Author:</t>
        </r>
        <r>
          <rPr>
            <sz val="9"/>
            <color indexed="81"/>
            <rFont val="Tahoma"/>
            <family val="2"/>
          </rPr>
          <t xml:space="preserve">
subsidies &amp;
social benefits</t>
        </r>
      </text>
    </comment>
    <comment ref="FC1147" authorId="0" shapeId="0" xr:uid="{00000000-0006-0000-0200-000021000000}">
      <text>
        <r>
          <rPr>
            <b/>
            <sz val="9"/>
            <color indexed="81"/>
            <rFont val="Tahoma"/>
            <family val="2"/>
          </rPr>
          <t>Author:</t>
        </r>
        <r>
          <rPr>
            <sz val="9"/>
            <color indexed="81"/>
            <rFont val="Tahoma"/>
            <family val="2"/>
          </rPr>
          <t xml:space="preserve">
subsidies &amp;
social benefits</t>
        </r>
      </text>
    </comment>
    <comment ref="FD1147" authorId="0" shapeId="0" xr:uid="{00000000-0006-0000-0200-000022000000}">
      <text>
        <r>
          <rPr>
            <b/>
            <sz val="9"/>
            <color indexed="81"/>
            <rFont val="Tahoma"/>
            <family val="2"/>
          </rPr>
          <t>Author:</t>
        </r>
        <r>
          <rPr>
            <sz val="9"/>
            <color indexed="81"/>
            <rFont val="Tahoma"/>
            <family val="2"/>
          </rPr>
          <t xml:space="preserve">
subsidies &amp;
social benefits</t>
        </r>
      </text>
    </comment>
    <comment ref="FE1147" authorId="0" shapeId="0" xr:uid="{00000000-0006-0000-0200-000023000000}">
      <text>
        <r>
          <rPr>
            <b/>
            <sz val="9"/>
            <color indexed="81"/>
            <rFont val="Tahoma"/>
            <family val="2"/>
          </rPr>
          <t>Author:</t>
        </r>
        <r>
          <rPr>
            <sz val="9"/>
            <color indexed="81"/>
            <rFont val="Tahoma"/>
            <family val="2"/>
          </rPr>
          <t xml:space="preserve">
subsidies &amp;
social benefits</t>
        </r>
      </text>
    </comment>
    <comment ref="FF1147" authorId="0" shapeId="0" xr:uid="{00000000-0006-0000-0200-000024000000}">
      <text>
        <r>
          <rPr>
            <b/>
            <sz val="9"/>
            <color indexed="81"/>
            <rFont val="Tahoma"/>
            <family val="2"/>
          </rPr>
          <t>Author:</t>
        </r>
        <r>
          <rPr>
            <sz val="9"/>
            <color indexed="81"/>
            <rFont val="Tahoma"/>
            <family val="2"/>
          </rPr>
          <t xml:space="preserve">
subsidies &amp;
social benefits</t>
        </r>
      </text>
    </comment>
    <comment ref="FG1147" authorId="0" shapeId="0" xr:uid="{00000000-0006-0000-0200-000025000000}">
      <text>
        <r>
          <rPr>
            <b/>
            <sz val="9"/>
            <color indexed="81"/>
            <rFont val="Tahoma"/>
            <family val="2"/>
          </rPr>
          <t>Author:</t>
        </r>
        <r>
          <rPr>
            <sz val="9"/>
            <color indexed="81"/>
            <rFont val="Tahoma"/>
            <family val="2"/>
          </rPr>
          <t xml:space="preserve">
subsidies &amp;
social benefits</t>
        </r>
      </text>
    </comment>
    <comment ref="FH1147" authorId="0" shapeId="0" xr:uid="{00000000-0006-0000-0200-000026000000}">
      <text>
        <r>
          <rPr>
            <b/>
            <sz val="9"/>
            <color indexed="81"/>
            <rFont val="Tahoma"/>
            <family val="2"/>
          </rPr>
          <t>Author:</t>
        </r>
        <r>
          <rPr>
            <sz val="9"/>
            <color indexed="81"/>
            <rFont val="Tahoma"/>
            <family val="2"/>
          </rPr>
          <t xml:space="preserve">
subsidies &amp;
social benefits</t>
        </r>
      </text>
    </comment>
    <comment ref="FI1147" authorId="0" shapeId="0" xr:uid="{00000000-0006-0000-0200-000027000000}">
      <text>
        <r>
          <rPr>
            <b/>
            <sz val="9"/>
            <color indexed="81"/>
            <rFont val="Tahoma"/>
            <family val="2"/>
          </rPr>
          <t>Author:</t>
        </r>
        <r>
          <rPr>
            <sz val="9"/>
            <color indexed="81"/>
            <rFont val="Tahoma"/>
            <family val="2"/>
          </rPr>
          <t xml:space="preserve">
subsidies &amp;
social benefits</t>
        </r>
      </text>
    </comment>
    <comment ref="FJ1147" authorId="0" shapeId="0" xr:uid="{00000000-0006-0000-0200-000028000000}">
      <text>
        <r>
          <rPr>
            <b/>
            <sz val="9"/>
            <color indexed="81"/>
            <rFont val="Tahoma"/>
            <family val="2"/>
          </rPr>
          <t>Author:</t>
        </r>
        <r>
          <rPr>
            <sz val="9"/>
            <color indexed="81"/>
            <rFont val="Tahoma"/>
            <family val="2"/>
          </rPr>
          <t xml:space="preserve">
subsidies &amp;
social benefits</t>
        </r>
      </text>
    </comment>
    <comment ref="FK1147" authorId="0" shapeId="0" xr:uid="{00000000-0006-0000-0200-000029000000}">
      <text>
        <r>
          <rPr>
            <b/>
            <sz val="9"/>
            <color indexed="81"/>
            <rFont val="Tahoma"/>
            <family val="2"/>
          </rPr>
          <t>Author:</t>
        </r>
        <r>
          <rPr>
            <sz val="9"/>
            <color indexed="81"/>
            <rFont val="Tahoma"/>
            <family val="2"/>
          </rPr>
          <t xml:space="preserve">
subsidies &amp;
social benefits</t>
        </r>
      </text>
    </comment>
    <comment ref="FL1147" authorId="0" shapeId="0" xr:uid="{00000000-0006-0000-0200-00002A000000}">
      <text>
        <r>
          <rPr>
            <b/>
            <sz val="9"/>
            <color indexed="81"/>
            <rFont val="Tahoma"/>
            <family val="2"/>
          </rPr>
          <t>Author:</t>
        </r>
        <r>
          <rPr>
            <sz val="9"/>
            <color indexed="81"/>
            <rFont val="Tahoma"/>
            <family val="2"/>
          </rPr>
          <t xml:space="preserve">
subsidies &amp;
social benefits</t>
        </r>
      </text>
    </comment>
    <comment ref="FM1147" authorId="0" shapeId="0" xr:uid="{00000000-0006-0000-0200-00002B000000}">
      <text>
        <r>
          <rPr>
            <b/>
            <sz val="9"/>
            <color indexed="81"/>
            <rFont val="Tahoma"/>
            <family val="2"/>
          </rPr>
          <t>Author:</t>
        </r>
        <r>
          <rPr>
            <sz val="9"/>
            <color indexed="81"/>
            <rFont val="Tahoma"/>
            <family val="2"/>
          </rPr>
          <t xml:space="preserve">
subsidies &amp;
social benefits</t>
        </r>
      </text>
    </comment>
    <comment ref="FN1147" authorId="0" shapeId="0" xr:uid="{00000000-0006-0000-0200-00002C000000}">
      <text>
        <r>
          <rPr>
            <b/>
            <sz val="9"/>
            <color indexed="81"/>
            <rFont val="Tahoma"/>
            <family val="2"/>
          </rPr>
          <t>Author:</t>
        </r>
        <r>
          <rPr>
            <sz val="9"/>
            <color indexed="81"/>
            <rFont val="Tahoma"/>
            <family val="2"/>
          </rPr>
          <t xml:space="preserve">
subsidies &amp;
social benefits</t>
        </r>
      </text>
    </comment>
    <comment ref="FO1147" authorId="0" shapeId="0" xr:uid="{00000000-0006-0000-0200-00002D000000}">
      <text>
        <r>
          <rPr>
            <b/>
            <sz val="9"/>
            <color indexed="81"/>
            <rFont val="Tahoma"/>
            <family val="2"/>
          </rPr>
          <t>Author:</t>
        </r>
        <r>
          <rPr>
            <sz val="9"/>
            <color indexed="81"/>
            <rFont val="Tahoma"/>
            <family val="2"/>
          </rPr>
          <t xml:space="preserve">
subsidies &amp;
social benefits</t>
        </r>
      </text>
    </comment>
    <comment ref="FP1147" authorId="0" shapeId="0" xr:uid="{00000000-0006-0000-0200-00002E000000}">
      <text>
        <r>
          <rPr>
            <b/>
            <sz val="9"/>
            <color indexed="81"/>
            <rFont val="Tahoma"/>
            <family val="2"/>
          </rPr>
          <t>Author:</t>
        </r>
        <r>
          <rPr>
            <sz val="9"/>
            <color indexed="81"/>
            <rFont val="Tahoma"/>
            <family val="2"/>
          </rPr>
          <t xml:space="preserve">
subsidies &amp;
social benefits</t>
        </r>
      </text>
    </comment>
    <comment ref="FQ1147" authorId="0" shapeId="0" xr:uid="{00000000-0006-0000-0200-00002F000000}">
      <text>
        <r>
          <rPr>
            <b/>
            <sz val="9"/>
            <color indexed="81"/>
            <rFont val="Tahoma"/>
            <family val="2"/>
          </rPr>
          <t>Author:</t>
        </r>
        <r>
          <rPr>
            <sz val="9"/>
            <color indexed="81"/>
            <rFont val="Tahoma"/>
            <family val="2"/>
          </rPr>
          <t xml:space="preserve">
subsidies &amp;
social benefits</t>
        </r>
      </text>
    </comment>
    <comment ref="FR1147" authorId="0" shapeId="0" xr:uid="{00000000-0006-0000-0200-000030000000}">
      <text>
        <r>
          <rPr>
            <b/>
            <sz val="9"/>
            <color indexed="81"/>
            <rFont val="Tahoma"/>
            <family val="2"/>
          </rPr>
          <t>Author:</t>
        </r>
        <r>
          <rPr>
            <sz val="9"/>
            <color indexed="81"/>
            <rFont val="Tahoma"/>
            <family val="2"/>
          </rPr>
          <t xml:space="preserve">
subsidies &amp;
social benefits</t>
        </r>
      </text>
    </comment>
    <comment ref="FS1147" authorId="0" shapeId="0" xr:uid="{00000000-0006-0000-0200-000031000000}">
      <text>
        <r>
          <rPr>
            <b/>
            <sz val="9"/>
            <color indexed="81"/>
            <rFont val="Tahoma"/>
            <family val="2"/>
          </rPr>
          <t>Author:</t>
        </r>
        <r>
          <rPr>
            <sz val="9"/>
            <color indexed="81"/>
            <rFont val="Tahoma"/>
            <family val="2"/>
          </rPr>
          <t xml:space="preserve">
subsidies &amp;
social benefits</t>
        </r>
      </text>
    </comment>
    <comment ref="FT1147" authorId="0" shapeId="0" xr:uid="{00000000-0006-0000-0200-000032000000}">
      <text>
        <r>
          <rPr>
            <b/>
            <sz val="9"/>
            <color indexed="81"/>
            <rFont val="Tahoma"/>
            <family val="2"/>
          </rPr>
          <t>Author:</t>
        </r>
        <r>
          <rPr>
            <sz val="9"/>
            <color indexed="81"/>
            <rFont val="Tahoma"/>
            <family val="2"/>
          </rPr>
          <t xml:space="preserve">
subsidies &amp;
social benefits</t>
        </r>
      </text>
    </comment>
    <comment ref="FU1147" authorId="0" shapeId="0" xr:uid="{00000000-0006-0000-0200-000033000000}">
      <text>
        <r>
          <rPr>
            <b/>
            <sz val="9"/>
            <color indexed="81"/>
            <rFont val="Tahoma"/>
            <family val="2"/>
          </rPr>
          <t>Author:</t>
        </r>
        <r>
          <rPr>
            <sz val="9"/>
            <color indexed="81"/>
            <rFont val="Tahoma"/>
            <family val="2"/>
          </rPr>
          <t xml:space="preserve">
subsidies &amp;
social benefits</t>
        </r>
      </text>
    </comment>
    <comment ref="FV1147" authorId="0" shapeId="0" xr:uid="{00000000-0006-0000-0200-000034000000}">
      <text>
        <r>
          <rPr>
            <b/>
            <sz val="9"/>
            <color indexed="81"/>
            <rFont val="Tahoma"/>
            <family val="2"/>
          </rPr>
          <t>Author:</t>
        </r>
        <r>
          <rPr>
            <sz val="9"/>
            <color indexed="81"/>
            <rFont val="Tahoma"/>
            <family val="2"/>
          </rPr>
          <t xml:space="preserve">
subsidies &amp;
social benefits</t>
        </r>
      </text>
    </comment>
    <comment ref="EY1148" authorId="0" shapeId="0" xr:uid="{00000000-0006-0000-0200-000035000000}">
      <text>
        <r>
          <rPr>
            <b/>
            <sz val="9"/>
            <color indexed="81"/>
            <rFont val="Tahoma"/>
            <family val="2"/>
          </rPr>
          <t>Author:</t>
        </r>
        <r>
          <rPr>
            <sz val="9"/>
            <color indexed="81"/>
            <rFont val="Tahoma"/>
            <family val="2"/>
          </rPr>
          <t xml:space="preserve">
Other expemse</t>
        </r>
      </text>
    </comment>
    <comment ref="EZ1148" authorId="0" shapeId="0" xr:uid="{00000000-0006-0000-0200-000036000000}">
      <text>
        <r>
          <rPr>
            <b/>
            <sz val="9"/>
            <color indexed="81"/>
            <rFont val="Tahoma"/>
            <family val="2"/>
          </rPr>
          <t>Author:</t>
        </r>
        <r>
          <rPr>
            <sz val="9"/>
            <color indexed="81"/>
            <rFont val="Tahoma"/>
            <family val="2"/>
          </rPr>
          <t xml:space="preserve">
Other expemse</t>
        </r>
      </text>
    </comment>
    <comment ref="FA1148" authorId="0" shapeId="0" xr:uid="{00000000-0006-0000-0200-000037000000}">
      <text>
        <r>
          <rPr>
            <b/>
            <sz val="9"/>
            <color indexed="81"/>
            <rFont val="Tahoma"/>
            <family val="2"/>
          </rPr>
          <t>Author:</t>
        </r>
        <r>
          <rPr>
            <sz val="9"/>
            <color indexed="81"/>
            <rFont val="Tahoma"/>
            <family val="2"/>
          </rPr>
          <t xml:space="preserve">
Other expemse</t>
        </r>
      </text>
    </comment>
    <comment ref="FB1148" authorId="0" shapeId="0" xr:uid="{00000000-0006-0000-0200-000038000000}">
      <text>
        <r>
          <rPr>
            <b/>
            <sz val="9"/>
            <color indexed="81"/>
            <rFont val="Tahoma"/>
            <family val="2"/>
          </rPr>
          <t>Author:</t>
        </r>
        <r>
          <rPr>
            <sz val="9"/>
            <color indexed="81"/>
            <rFont val="Tahoma"/>
            <family val="2"/>
          </rPr>
          <t xml:space="preserve">
Other expemse</t>
        </r>
      </text>
    </comment>
    <comment ref="FC1148" authorId="0" shapeId="0" xr:uid="{00000000-0006-0000-0200-000039000000}">
      <text>
        <r>
          <rPr>
            <b/>
            <sz val="9"/>
            <color indexed="81"/>
            <rFont val="Tahoma"/>
            <family val="2"/>
          </rPr>
          <t>Author:</t>
        </r>
        <r>
          <rPr>
            <sz val="9"/>
            <color indexed="81"/>
            <rFont val="Tahoma"/>
            <family val="2"/>
          </rPr>
          <t xml:space="preserve">
Other expemse</t>
        </r>
      </text>
    </comment>
    <comment ref="FD1148" authorId="0" shapeId="0" xr:uid="{00000000-0006-0000-0200-00003A000000}">
      <text>
        <r>
          <rPr>
            <b/>
            <sz val="9"/>
            <color indexed="81"/>
            <rFont val="Tahoma"/>
            <family val="2"/>
          </rPr>
          <t>Author:</t>
        </r>
        <r>
          <rPr>
            <sz val="9"/>
            <color indexed="81"/>
            <rFont val="Tahoma"/>
            <family val="2"/>
          </rPr>
          <t xml:space="preserve">
Other expemse</t>
        </r>
      </text>
    </comment>
    <comment ref="FE1148" authorId="0" shapeId="0" xr:uid="{00000000-0006-0000-0200-00003B000000}">
      <text>
        <r>
          <rPr>
            <b/>
            <sz val="9"/>
            <color indexed="81"/>
            <rFont val="Tahoma"/>
            <family val="2"/>
          </rPr>
          <t>Author:</t>
        </r>
        <r>
          <rPr>
            <sz val="9"/>
            <color indexed="81"/>
            <rFont val="Tahoma"/>
            <family val="2"/>
          </rPr>
          <t xml:space="preserve">
Other expemse</t>
        </r>
      </text>
    </comment>
    <comment ref="FF1148" authorId="0" shapeId="0" xr:uid="{00000000-0006-0000-0200-00003C000000}">
      <text>
        <r>
          <rPr>
            <b/>
            <sz val="9"/>
            <color indexed="81"/>
            <rFont val="Tahoma"/>
            <family val="2"/>
          </rPr>
          <t>Author:</t>
        </r>
        <r>
          <rPr>
            <sz val="9"/>
            <color indexed="81"/>
            <rFont val="Tahoma"/>
            <family val="2"/>
          </rPr>
          <t xml:space="preserve">
Other expemse</t>
        </r>
      </text>
    </comment>
    <comment ref="FG1148" authorId="0" shapeId="0" xr:uid="{00000000-0006-0000-0200-00003D000000}">
      <text>
        <r>
          <rPr>
            <b/>
            <sz val="9"/>
            <color indexed="81"/>
            <rFont val="Tahoma"/>
            <family val="2"/>
          </rPr>
          <t>Author:</t>
        </r>
        <r>
          <rPr>
            <sz val="9"/>
            <color indexed="81"/>
            <rFont val="Tahoma"/>
            <family val="2"/>
          </rPr>
          <t xml:space="preserve">
Other expemse</t>
        </r>
      </text>
    </comment>
    <comment ref="FH1148" authorId="0" shapeId="0" xr:uid="{00000000-0006-0000-0200-00003E000000}">
      <text>
        <r>
          <rPr>
            <b/>
            <sz val="9"/>
            <color indexed="81"/>
            <rFont val="Tahoma"/>
            <family val="2"/>
          </rPr>
          <t>Author:</t>
        </r>
        <r>
          <rPr>
            <sz val="9"/>
            <color indexed="81"/>
            <rFont val="Tahoma"/>
            <family val="2"/>
          </rPr>
          <t xml:space="preserve">
Other expemse</t>
        </r>
      </text>
    </comment>
    <comment ref="FI1148" authorId="0" shapeId="0" xr:uid="{00000000-0006-0000-0200-00003F000000}">
      <text>
        <r>
          <rPr>
            <b/>
            <sz val="9"/>
            <color indexed="81"/>
            <rFont val="Tahoma"/>
            <family val="2"/>
          </rPr>
          <t>Author:</t>
        </r>
        <r>
          <rPr>
            <sz val="9"/>
            <color indexed="81"/>
            <rFont val="Tahoma"/>
            <family val="2"/>
          </rPr>
          <t xml:space="preserve">
Other expemse</t>
        </r>
      </text>
    </comment>
    <comment ref="FJ1148" authorId="0" shapeId="0" xr:uid="{00000000-0006-0000-0200-000040000000}">
      <text>
        <r>
          <rPr>
            <b/>
            <sz val="9"/>
            <color indexed="81"/>
            <rFont val="Tahoma"/>
            <family val="2"/>
          </rPr>
          <t>Author:</t>
        </r>
        <r>
          <rPr>
            <sz val="9"/>
            <color indexed="81"/>
            <rFont val="Tahoma"/>
            <family val="2"/>
          </rPr>
          <t xml:space="preserve">
Other expemse</t>
        </r>
      </text>
    </comment>
    <comment ref="FK1148" authorId="0" shapeId="0" xr:uid="{00000000-0006-0000-0200-000041000000}">
      <text>
        <r>
          <rPr>
            <b/>
            <sz val="9"/>
            <color indexed="81"/>
            <rFont val="Tahoma"/>
            <family val="2"/>
          </rPr>
          <t>Author:</t>
        </r>
        <r>
          <rPr>
            <sz val="9"/>
            <color indexed="81"/>
            <rFont val="Tahoma"/>
            <family val="2"/>
          </rPr>
          <t xml:space="preserve">
Other expemse</t>
        </r>
      </text>
    </comment>
    <comment ref="FL1148" authorId="0" shapeId="0" xr:uid="{00000000-0006-0000-0200-000042000000}">
      <text>
        <r>
          <rPr>
            <b/>
            <sz val="9"/>
            <color indexed="81"/>
            <rFont val="Tahoma"/>
            <family val="2"/>
          </rPr>
          <t>Author:</t>
        </r>
        <r>
          <rPr>
            <sz val="9"/>
            <color indexed="81"/>
            <rFont val="Tahoma"/>
            <family val="2"/>
          </rPr>
          <t xml:space="preserve">
Other expemse</t>
        </r>
      </text>
    </comment>
    <comment ref="FM1148" authorId="0" shapeId="0" xr:uid="{00000000-0006-0000-0200-000043000000}">
      <text>
        <r>
          <rPr>
            <b/>
            <sz val="9"/>
            <color indexed="81"/>
            <rFont val="Tahoma"/>
            <family val="2"/>
          </rPr>
          <t>Author:</t>
        </r>
        <r>
          <rPr>
            <sz val="9"/>
            <color indexed="81"/>
            <rFont val="Tahoma"/>
            <family val="2"/>
          </rPr>
          <t xml:space="preserve">
Other expemse</t>
        </r>
      </text>
    </comment>
    <comment ref="FN1148" authorId="0" shapeId="0" xr:uid="{00000000-0006-0000-0200-000044000000}">
      <text>
        <r>
          <rPr>
            <b/>
            <sz val="9"/>
            <color indexed="81"/>
            <rFont val="Tahoma"/>
            <family val="2"/>
          </rPr>
          <t>Author:</t>
        </r>
        <r>
          <rPr>
            <sz val="9"/>
            <color indexed="81"/>
            <rFont val="Tahoma"/>
            <family val="2"/>
          </rPr>
          <t xml:space="preserve">
Other expemse</t>
        </r>
      </text>
    </comment>
    <comment ref="FO1148" authorId="0" shapeId="0" xr:uid="{00000000-0006-0000-0200-000045000000}">
      <text>
        <r>
          <rPr>
            <b/>
            <sz val="9"/>
            <color indexed="81"/>
            <rFont val="Tahoma"/>
            <family val="2"/>
          </rPr>
          <t>Author:</t>
        </r>
        <r>
          <rPr>
            <sz val="9"/>
            <color indexed="81"/>
            <rFont val="Tahoma"/>
            <family val="2"/>
          </rPr>
          <t xml:space="preserve">
Other expemse</t>
        </r>
      </text>
    </comment>
    <comment ref="FP1148" authorId="0" shapeId="0" xr:uid="{00000000-0006-0000-0200-000046000000}">
      <text>
        <r>
          <rPr>
            <b/>
            <sz val="9"/>
            <color indexed="81"/>
            <rFont val="Tahoma"/>
            <family val="2"/>
          </rPr>
          <t>Author:</t>
        </r>
        <r>
          <rPr>
            <sz val="9"/>
            <color indexed="81"/>
            <rFont val="Tahoma"/>
            <family val="2"/>
          </rPr>
          <t xml:space="preserve">
Other expemse</t>
        </r>
      </text>
    </comment>
    <comment ref="E1150" authorId="0" shapeId="0" xr:uid="{00000000-0006-0000-0200-000047000000}">
      <text>
        <r>
          <rPr>
            <b/>
            <sz val="9"/>
            <color indexed="81"/>
            <rFont val="Tahoma"/>
            <family val="2"/>
          </rPr>
          <t>Author:</t>
        </r>
        <r>
          <rPr>
            <sz val="9"/>
            <color indexed="81"/>
            <rFont val="Tahoma"/>
            <family val="2"/>
          </rPr>
          <t xml:space="preserve">
corrected AK June 5 2021</t>
        </r>
      </text>
    </comment>
    <comment ref="F1150" authorId="0" shapeId="0" xr:uid="{00000000-0006-0000-0200-000048000000}">
      <text>
        <r>
          <rPr>
            <b/>
            <sz val="9"/>
            <color indexed="81"/>
            <rFont val="Tahoma"/>
            <family val="2"/>
          </rPr>
          <t>Author:</t>
        </r>
        <r>
          <rPr>
            <sz val="9"/>
            <color indexed="81"/>
            <rFont val="Tahoma"/>
            <family val="2"/>
          </rPr>
          <t xml:space="preserve">
corrected AK June 5 2021</t>
        </r>
      </text>
    </comment>
    <comment ref="G1150" authorId="0" shapeId="0" xr:uid="{00000000-0006-0000-0200-000049000000}">
      <text>
        <r>
          <rPr>
            <b/>
            <sz val="9"/>
            <color indexed="81"/>
            <rFont val="Tahoma"/>
            <family val="2"/>
          </rPr>
          <t>Author:</t>
        </r>
        <r>
          <rPr>
            <sz val="9"/>
            <color indexed="81"/>
            <rFont val="Tahoma"/>
            <family val="2"/>
          </rPr>
          <t xml:space="preserve">
corrected AK June 5 2021</t>
        </r>
      </text>
    </comment>
    <comment ref="H1150" authorId="0" shapeId="0" xr:uid="{00000000-0006-0000-0200-00004A000000}">
      <text>
        <r>
          <rPr>
            <b/>
            <sz val="9"/>
            <color indexed="81"/>
            <rFont val="Tahoma"/>
            <family val="2"/>
          </rPr>
          <t>Author:</t>
        </r>
        <r>
          <rPr>
            <sz val="9"/>
            <color indexed="81"/>
            <rFont val="Tahoma"/>
            <family val="2"/>
          </rPr>
          <t xml:space="preserve">
corrected AK June 5 2021</t>
        </r>
      </text>
    </comment>
    <comment ref="I1150" authorId="0" shapeId="0" xr:uid="{00000000-0006-0000-0200-00004B000000}">
      <text>
        <r>
          <rPr>
            <b/>
            <sz val="9"/>
            <color indexed="81"/>
            <rFont val="Tahoma"/>
            <family val="2"/>
          </rPr>
          <t>Author:</t>
        </r>
        <r>
          <rPr>
            <sz val="9"/>
            <color indexed="81"/>
            <rFont val="Tahoma"/>
            <family val="2"/>
          </rPr>
          <t xml:space="preserve">
corrected AK June 5 2021</t>
        </r>
      </text>
    </comment>
    <comment ref="J1150" authorId="0" shapeId="0" xr:uid="{00000000-0006-0000-0200-00004C000000}">
      <text>
        <r>
          <rPr>
            <b/>
            <sz val="9"/>
            <color indexed="81"/>
            <rFont val="Tahoma"/>
            <family val="2"/>
          </rPr>
          <t>Author:</t>
        </r>
        <r>
          <rPr>
            <sz val="9"/>
            <color indexed="81"/>
            <rFont val="Tahoma"/>
            <family val="2"/>
          </rPr>
          <t xml:space="preserve">
corrected AK June 5 2021</t>
        </r>
      </text>
    </comment>
    <comment ref="K1150" authorId="0" shapeId="0" xr:uid="{00000000-0006-0000-0200-00004D000000}">
      <text>
        <r>
          <rPr>
            <b/>
            <sz val="9"/>
            <color indexed="81"/>
            <rFont val="Tahoma"/>
            <family val="2"/>
          </rPr>
          <t>Author:</t>
        </r>
        <r>
          <rPr>
            <sz val="9"/>
            <color indexed="81"/>
            <rFont val="Tahoma"/>
            <family val="2"/>
          </rPr>
          <t xml:space="preserve">
corrected AK June 5 2021</t>
        </r>
      </text>
    </comment>
    <comment ref="L1150" authorId="0" shapeId="0" xr:uid="{00000000-0006-0000-0200-00004E000000}">
      <text>
        <r>
          <rPr>
            <b/>
            <sz val="9"/>
            <color indexed="81"/>
            <rFont val="Tahoma"/>
            <family val="2"/>
          </rPr>
          <t>Author:</t>
        </r>
        <r>
          <rPr>
            <sz val="9"/>
            <color indexed="81"/>
            <rFont val="Tahoma"/>
            <family val="2"/>
          </rPr>
          <t xml:space="preserve">
corrected AK June 5 2021</t>
        </r>
      </text>
    </comment>
    <comment ref="M1150" authorId="0" shapeId="0" xr:uid="{00000000-0006-0000-0200-00004F000000}">
      <text>
        <r>
          <rPr>
            <b/>
            <sz val="9"/>
            <color indexed="81"/>
            <rFont val="Tahoma"/>
            <family val="2"/>
          </rPr>
          <t>Author:</t>
        </r>
        <r>
          <rPr>
            <sz val="9"/>
            <color indexed="81"/>
            <rFont val="Tahoma"/>
            <family val="2"/>
          </rPr>
          <t xml:space="preserve">
corrected AK June 5 2021</t>
        </r>
      </text>
    </comment>
    <comment ref="N1150" authorId="0" shapeId="0" xr:uid="{00000000-0006-0000-0200-000050000000}">
      <text>
        <r>
          <rPr>
            <b/>
            <sz val="9"/>
            <color indexed="81"/>
            <rFont val="Tahoma"/>
            <family val="2"/>
          </rPr>
          <t>Author:</t>
        </r>
        <r>
          <rPr>
            <sz val="9"/>
            <color indexed="81"/>
            <rFont val="Tahoma"/>
            <family val="2"/>
          </rPr>
          <t xml:space="preserve">
corrected AK June 5 2021</t>
        </r>
      </text>
    </comment>
    <comment ref="O1150" authorId="0" shapeId="0" xr:uid="{00000000-0006-0000-0200-000051000000}">
      <text>
        <r>
          <rPr>
            <b/>
            <sz val="9"/>
            <color indexed="81"/>
            <rFont val="Tahoma"/>
            <family val="2"/>
          </rPr>
          <t>Author:</t>
        </r>
        <r>
          <rPr>
            <sz val="9"/>
            <color indexed="81"/>
            <rFont val="Tahoma"/>
            <family val="2"/>
          </rPr>
          <t xml:space="preserve">
corrected AK June 5 2021</t>
        </r>
      </text>
    </comment>
    <comment ref="P1150" authorId="0" shapeId="0" xr:uid="{00000000-0006-0000-0200-000052000000}">
      <text>
        <r>
          <rPr>
            <b/>
            <sz val="9"/>
            <color indexed="81"/>
            <rFont val="Tahoma"/>
            <family val="2"/>
          </rPr>
          <t>Author:</t>
        </r>
        <r>
          <rPr>
            <sz val="9"/>
            <color indexed="81"/>
            <rFont val="Tahoma"/>
            <family val="2"/>
          </rPr>
          <t xml:space="preserve">
corrected AK June 5 2021</t>
        </r>
      </text>
    </comment>
    <comment ref="Q1150" authorId="0" shapeId="0" xr:uid="{00000000-0006-0000-0200-000053000000}">
      <text>
        <r>
          <rPr>
            <b/>
            <sz val="9"/>
            <color indexed="81"/>
            <rFont val="Tahoma"/>
            <family val="2"/>
          </rPr>
          <t>Author:</t>
        </r>
        <r>
          <rPr>
            <sz val="9"/>
            <color indexed="81"/>
            <rFont val="Tahoma"/>
            <family val="2"/>
          </rPr>
          <t xml:space="preserve">
corrected AK June 5 2021</t>
        </r>
      </text>
    </comment>
    <comment ref="R1150" authorId="0" shapeId="0" xr:uid="{00000000-0006-0000-0200-000054000000}">
      <text>
        <r>
          <rPr>
            <b/>
            <sz val="9"/>
            <color indexed="81"/>
            <rFont val="Tahoma"/>
            <family val="2"/>
          </rPr>
          <t>Author:</t>
        </r>
        <r>
          <rPr>
            <sz val="9"/>
            <color indexed="81"/>
            <rFont val="Tahoma"/>
            <family val="2"/>
          </rPr>
          <t xml:space="preserve">
corrected AK June 5 2021</t>
        </r>
      </text>
    </comment>
    <comment ref="S1150" authorId="0" shapeId="0" xr:uid="{00000000-0006-0000-0200-000055000000}">
      <text>
        <r>
          <rPr>
            <b/>
            <sz val="9"/>
            <color indexed="81"/>
            <rFont val="Tahoma"/>
            <family val="2"/>
          </rPr>
          <t>Author:</t>
        </r>
        <r>
          <rPr>
            <sz val="9"/>
            <color indexed="81"/>
            <rFont val="Tahoma"/>
            <family val="2"/>
          </rPr>
          <t xml:space="preserve">
corrected AK June 5 2021</t>
        </r>
      </text>
    </comment>
    <comment ref="T1150" authorId="0" shapeId="0" xr:uid="{00000000-0006-0000-0200-000056000000}">
      <text>
        <r>
          <rPr>
            <b/>
            <sz val="9"/>
            <color indexed="81"/>
            <rFont val="Tahoma"/>
            <family val="2"/>
          </rPr>
          <t>Author:</t>
        </r>
        <r>
          <rPr>
            <sz val="9"/>
            <color indexed="81"/>
            <rFont val="Tahoma"/>
            <family val="2"/>
          </rPr>
          <t xml:space="preserve">
corrected AK June 5 2021</t>
        </r>
      </text>
    </comment>
    <comment ref="U1150" authorId="0" shapeId="0" xr:uid="{00000000-0006-0000-0200-000057000000}">
      <text>
        <r>
          <rPr>
            <b/>
            <sz val="9"/>
            <color indexed="81"/>
            <rFont val="Tahoma"/>
            <family val="2"/>
          </rPr>
          <t>Author:</t>
        </r>
        <r>
          <rPr>
            <sz val="9"/>
            <color indexed="81"/>
            <rFont val="Tahoma"/>
            <family val="2"/>
          </rPr>
          <t xml:space="preserve">
corrected AK June 5 2021</t>
        </r>
      </text>
    </comment>
    <comment ref="V1150" authorId="0" shapeId="0" xr:uid="{00000000-0006-0000-0200-000058000000}">
      <text>
        <r>
          <rPr>
            <b/>
            <sz val="9"/>
            <color indexed="81"/>
            <rFont val="Tahoma"/>
            <family val="2"/>
          </rPr>
          <t>Author:</t>
        </r>
        <r>
          <rPr>
            <sz val="9"/>
            <color indexed="81"/>
            <rFont val="Tahoma"/>
            <family val="2"/>
          </rPr>
          <t xml:space="preserve">
corrected AK June 5 2021</t>
        </r>
      </text>
    </comment>
    <comment ref="W1150" authorId="0" shapeId="0" xr:uid="{00000000-0006-0000-0200-000059000000}">
      <text>
        <r>
          <rPr>
            <b/>
            <sz val="9"/>
            <color indexed="81"/>
            <rFont val="Tahoma"/>
            <family val="2"/>
          </rPr>
          <t>Author:</t>
        </r>
        <r>
          <rPr>
            <sz val="9"/>
            <color indexed="81"/>
            <rFont val="Tahoma"/>
            <family val="2"/>
          </rPr>
          <t xml:space="preserve">
corrected AK June 5 2021</t>
        </r>
      </text>
    </comment>
    <comment ref="X1150" authorId="0" shapeId="0" xr:uid="{00000000-0006-0000-0200-00005A000000}">
      <text>
        <r>
          <rPr>
            <b/>
            <sz val="9"/>
            <color indexed="81"/>
            <rFont val="Tahoma"/>
            <family val="2"/>
          </rPr>
          <t>Author:</t>
        </r>
        <r>
          <rPr>
            <sz val="9"/>
            <color indexed="81"/>
            <rFont val="Tahoma"/>
            <family val="2"/>
          </rPr>
          <t xml:space="preserve">
corrected AK June 5 2021</t>
        </r>
      </text>
    </comment>
    <comment ref="Y1150" authorId="0" shapeId="0" xr:uid="{00000000-0006-0000-0200-00005B000000}">
      <text>
        <r>
          <rPr>
            <b/>
            <sz val="9"/>
            <color indexed="81"/>
            <rFont val="Tahoma"/>
            <family val="2"/>
          </rPr>
          <t>Author:</t>
        </r>
        <r>
          <rPr>
            <sz val="9"/>
            <color indexed="81"/>
            <rFont val="Tahoma"/>
            <family val="2"/>
          </rPr>
          <t xml:space="preserve">
corrected AK June 5 2021</t>
        </r>
      </text>
    </comment>
    <comment ref="Z1150" authorId="0" shapeId="0" xr:uid="{00000000-0006-0000-0200-00005C000000}">
      <text>
        <r>
          <rPr>
            <b/>
            <sz val="9"/>
            <color indexed="81"/>
            <rFont val="Tahoma"/>
            <family val="2"/>
          </rPr>
          <t>Author:</t>
        </r>
        <r>
          <rPr>
            <sz val="9"/>
            <color indexed="81"/>
            <rFont val="Tahoma"/>
            <family val="2"/>
          </rPr>
          <t xml:space="preserve">
corrected AK June 5 2021</t>
        </r>
      </text>
    </comment>
    <comment ref="AA1150" authorId="0" shapeId="0" xr:uid="{00000000-0006-0000-0200-00005D000000}">
      <text>
        <r>
          <rPr>
            <b/>
            <sz val="9"/>
            <color indexed="81"/>
            <rFont val="Tahoma"/>
            <family val="2"/>
          </rPr>
          <t>Author:</t>
        </r>
        <r>
          <rPr>
            <sz val="9"/>
            <color indexed="81"/>
            <rFont val="Tahoma"/>
            <family val="2"/>
          </rPr>
          <t xml:space="preserve">
corrected AK June 5 2021</t>
        </r>
      </text>
    </comment>
    <comment ref="AB1150" authorId="0" shapeId="0" xr:uid="{00000000-0006-0000-0200-00005E000000}">
      <text>
        <r>
          <rPr>
            <b/>
            <sz val="9"/>
            <color indexed="81"/>
            <rFont val="Tahoma"/>
            <family val="2"/>
          </rPr>
          <t>Author:</t>
        </r>
        <r>
          <rPr>
            <sz val="9"/>
            <color indexed="81"/>
            <rFont val="Tahoma"/>
            <family val="2"/>
          </rPr>
          <t xml:space="preserve">
corrected AK June 5 2021</t>
        </r>
      </text>
    </comment>
    <comment ref="AC1150" authorId="0" shapeId="0" xr:uid="{00000000-0006-0000-0200-00005F000000}">
      <text>
        <r>
          <rPr>
            <b/>
            <sz val="9"/>
            <color indexed="81"/>
            <rFont val="Tahoma"/>
            <family val="2"/>
          </rPr>
          <t>Author:</t>
        </r>
        <r>
          <rPr>
            <sz val="9"/>
            <color indexed="81"/>
            <rFont val="Tahoma"/>
            <family val="2"/>
          </rPr>
          <t xml:space="preserve">
corrected AK June 5 2021</t>
        </r>
      </text>
    </comment>
    <comment ref="AD1150" authorId="0" shapeId="0" xr:uid="{00000000-0006-0000-0200-000060000000}">
      <text>
        <r>
          <rPr>
            <b/>
            <sz val="9"/>
            <color indexed="81"/>
            <rFont val="Tahoma"/>
            <family val="2"/>
          </rPr>
          <t>Author:</t>
        </r>
        <r>
          <rPr>
            <sz val="9"/>
            <color indexed="81"/>
            <rFont val="Tahoma"/>
            <family val="2"/>
          </rPr>
          <t xml:space="preserve">
corrected AK June 5 2021</t>
        </r>
      </text>
    </comment>
    <comment ref="AE1150" authorId="0" shapeId="0" xr:uid="{00000000-0006-0000-0200-000061000000}">
      <text>
        <r>
          <rPr>
            <b/>
            <sz val="9"/>
            <color indexed="81"/>
            <rFont val="Tahoma"/>
            <family val="2"/>
          </rPr>
          <t>Author:</t>
        </r>
        <r>
          <rPr>
            <sz val="9"/>
            <color indexed="81"/>
            <rFont val="Tahoma"/>
            <family val="2"/>
          </rPr>
          <t xml:space="preserve">
corrected AK June 5 2021</t>
        </r>
      </text>
    </comment>
    <comment ref="AF1150" authorId="0" shapeId="0" xr:uid="{00000000-0006-0000-0200-000062000000}">
      <text>
        <r>
          <rPr>
            <b/>
            <sz val="9"/>
            <color indexed="81"/>
            <rFont val="Tahoma"/>
            <family val="2"/>
          </rPr>
          <t>Author:</t>
        </r>
        <r>
          <rPr>
            <sz val="9"/>
            <color indexed="81"/>
            <rFont val="Tahoma"/>
            <family val="2"/>
          </rPr>
          <t xml:space="preserve">
corrected AK June 5 2021</t>
        </r>
      </text>
    </comment>
    <comment ref="AG1150" authorId="0" shapeId="0" xr:uid="{00000000-0006-0000-0200-000063000000}">
      <text>
        <r>
          <rPr>
            <b/>
            <sz val="9"/>
            <color indexed="81"/>
            <rFont val="Tahoma"/>
            <family val="2"/>
          </rPr>
          <t>Author:</t>
        </r>
        <r>
          <rPr>
            <sz val="9"/>
            <color indexed="81"/>
            <rFont val="Tahoma"/>
            <family val="2"/>
          </rPr>
          <t xml:space="preserve">
corrected AK June 5 2021</t>
        </r>
      </text>
    </comment>
    <comment ref="AH1150" authorId="0" shapeId="0" xr:uid="{00000000-0006-0000-0200-000064000000}">
      <text>
        <r>
          <rPr>
            <b/>
            <sz val="9"/>
            <color indexed="81"/>
            <rFont val="Tahoma"/>
            <family val="2"/>
          </rPr>
          <t>Author:</t>
        </r>
        <r>
          <rPr>
            <sz val="9"/>
            <color indexed="81"/>
            <rFont val="Tahoma"/>
            <family val="2"/>
          </rPr>
          <t xml:space="preserve">
corrected AK June 5 2021</t>
        </r>
      </text>
    </comment>
    <comment ref="AI1150" authorId="0" shapeId="0" xr:uid="{00000000-0006-0000-0200-000065000000}">
      <text>
        <r>
          <rPr>
            <b/>
            <sz val="9"/>
            <color indexed="81"/>
            <rFont val="Tahoma"/>
            <family val="2"/>
          </rPr>
          <t>Author:</t>
        </r>
        <r>
          <rPr>
            <sz val="9"/>
            <color indexed="81"/>
            <rFont val="Tahoma"/>
            <family val="2"/>
          </rPr>
          <t xml:space="preserve">
corrected AK June 5 2021</t>
        </r>
      </text>
    </comment>
    <comment ref="AJ1150" authorId="0" shapeId="0" xr:uid="{00000000-0006-0000-0200-000066000000}">
      <text>
        <r>
          <rPr>
            <b/>
            <sz val="9"/>
            <color indexed="81"/>
            <rFont val="Tahoma"/>
            <family val="2"/>
          </rPr>
          <t>Author:</t>
        </r>
        <r>
          <rPr>
            <sz val="9"/>
            <color indexed="81"/>
            <rFont val="Tahoma"/>
            <family val="2"/>
          </rPr>
          <t xml:space="preserve">
corrected AK June 5 2021</t>
        </r>
      </text>
    </comment>
    <comment ref="AK1150" authorId="0" shapeId="0" xr:uid="{00000000-0006-0000-0200-000067000000}">
      <text>
        <r>
          <rPr>
            <b/>
            <sz val="9"/>
            <color indexed="81"/>
            <rFont val="Tahoma"/>
            <family val="2"/>
          </rPr>
          <t>Author:</t>
        </r>
        <r>
          <rPr>
            <sz val="9"/>
            <color indexed="81"/>
            <rFont val="Tahoma"/>
            <family val="2"/>
          </rPr>
          <t xml:space="preserve">
corrected AK June 5 2021</t>
        </r>
      </text>
    </comment>
    <comment ref="AL1150" authorId="0" shapeId="0" xr:uid="{00000000-0006-0000-0200-000068000000}">
      <text>
        <r>
          <rPr>
            <b/>
            <sz val="9"/>
            <color indexed="81"/>
            <rFont val="Tahoma"/>
            <family val="2"/>
          </rPr>
          <t>Author:</t>
        </r>
        <r>
          <rPr>
            <sz val="9"/>
            <color indexed="81"/>
            <rFont val="Tahoma"/>
            <family val="2"/>
          </rPr>
          <t xml:space="preserve">
corrected AK June 5 2021</t>
        </r>
      </text>
    </comment>
    <comment ref="AM1150" authorId="0" shapeId="0" xr:uid="{00000000-0006-0000-0200-000069000000}">
      <text>
        <r>
          <rPr>
            <b/>
            <sz val="9"/>
            <color indexed="81"/>
            <rFont val="Tahoma"/>
            <family val="2"/>
          </rPr>
          <t>Author:</t>
        </r>
        <r>
          <rPr>
            <sz val="9"/>
            <color indexed="81"/>
            <rFont val="Tahoma"/>
            <family val="2"/>
          </rPr>
          <t xml:space="preserve">
corrected AK June 5 2021</t>
        </r>
      </text>
    </comment>
    <comment ref="AN1150" authorId="0" shapeId="0" xr:uid="{00000000-0006-0000-0200-00006A000000}">
      <text>
        <r>
          <rPr>
            <b/>
            <sz val="9"/>
            <color indexed="81"/>
            <rFont val="Tahoma"/>
            <family val="2"/>
          </rPr>
          <t>Author:</t>
        </r>
        <r>
          <rPr>
            <sz val="9"/>
            <color indexed="81"/>
            <rFont val="Tahoma"/>
            <family val="2"/>
          </rPr>
          <t xml:space="preserve">
corrected AK June 5 2021</t>
        </r>
      </text>
    </comment>
    <comment ref="AO1150" authorId="0" shapeId="0" xr:uid="{00000000-0006-0000-0200-00006B000000}">
      <text>
        <r>
          <rPr>
            <b/>
            <sz val="9"/>
            <color indexed="81"/>
            <rFont val="Tahoma"/>
            <family val="2"/>
          </rPr>
          <t>Author:</t>
        </r>
        <r>
          <rPr>
            <sz val="9"/>
            <color indexed="81"/>
            <rFont val="Tahoma"/>
            <family val="2"/>
          </rPr>
          <t xml:space="preserve">
corrected AK June 5 2021</t>
        </r>
      </text>
    </comment>
    <comment ref="AP1150" authorId="0" shapeId="0" xr:uid="{00000000-0006-0000-0200-00006C000000}">
      <text>
        <r>
          <rPr>
            <b/>
            <sz val="9"/>
            <color indexed="81"/>
            <rFont val="Tahoma"/>
            <family val="2"/>
          </rPr>
          <t>Author:</t>
        </r>
        <r>
          <rPr>
            <sz val="9"/>
            <color indexed="81"/>
            <rFont val="Tahoma"/>
            <family val="2"/>
          </rPr>
          <t xml:space="preserve">
corrected AK June 5 2021</t>
        </r>
      </text>
    </comment>
    <comment ref="AQ1150" authorId="0" shapeId="0" xr:uid="{00000000-0006-0000-0200-00006D000000}">
      <text>
        <r>
          <rPr>
            <b/>
            <sz val="9"/>
            <color indexed="81"/>
            <rFont val="Tahoma"/>
            <family val="2"/>
          </rPr>
          <t>Author:</t>
        </r>
        <r>
          <rPr>
            <sz val="9"/>
            <color indexed="81"/>
            <rFont val="Tahoma"/>
            <family val="2"/>
          </rPr>
          <t xml:space="preserve">
corrected AK June 5 2021</t>
        </r>
      </text>
    </comment>
    <comment ref="AR1150" authorId="0" shapeId="0" xr:uid="{00000000-0006-0000-0200-00006E000000}">
      <text>
        <r>
          <rPr>
            <b/>
            <sz val="9"/>
            <color indexed="81"/>
            <rFont val="Tahoma"/>
            <family val="2"/>
          </rPr>
          <t>Author:</t>
        </r>
        <r>
          <rPr>
            <sz val="9"/>
            <color indexed="81"/>
            <rFont val="Tahoma"/>
            <family val="2"/>
          </rPr>
          <t xml:space="preserve">
corrected AK June 5 2021</t>
        </r>
      </text>
    </comment>
    <comment ref="AS1150" authorId="0" shapeId="0" xr:uid="{00000000-0006-0000-0200-00006F000000}">
      <text>
        <r>
          <rPr>
            <b/>
            <sz val="9"/>
            <color indexed="81"/>
            <rFont val="Tahoma"/>
            <family val="2"/>
          </rPr>
          <t>Author:</t>
        </r>
        <r>
          <rPr>
            <sz val="9"/>
            <color indexed="81"/>
            <rFont val="Tahoma"/>
            <family val="2"/>
          </rPr>
          <t xml:space="preserve">
corrected AK June 5 2021</t>
        </r>
      </text>
    </comment>
    <comment ref="AT1150" authorId="0" shapeId="0" xr:uid="{00000000-0006-0000-0200-000070000000}">
      <text>
        <r>
          <rPr>
            <b/>
            <sz val="9"/>
            <color indexed="81"/>
            <rFont val="Tahoma"/>
            <family val="2"/>
          </rPr>
          <t>Author:</t>
        </r>
        <r>
          <rPr>
            <sz val="9"/>
            <color indexed="81"/>
            <rFont val="Tahoma"/>
            <family val="2"/>
          </rPr>
          <t xml:space="preserve">
corrected AK June 5 2021</t>
        </r>
      </text>
    </comment>
    <comment ref="AU1150" authorId="0" shapeId="0" xr:uid="{00000000-0006-0000-0200-000071000000}">
      <text>
        <r>
          <rPr>
            <b/>
            <sz val="9"/>
            <color indexed="81"/>
            <rFont val="Tahoma"/>
            <family val="2"/>
          </rPr>
          <t>Author:</t>
        </r>
        <r>
          <rPr>
            <sz val="9"/>
            <color indexed="81"/>
            <rFont val="Tahoma"/>
            <family val="2"/>
          </rPr>
          <t xml:space="preserve">
corrected AK June 5 2021</t>
        </r>
      </text>
    </comment>
    <comment ref="AV1150" authorId="0" shapeId="0" xr:uid="{00000000-0006-0000-0200-000072000000}">
      <text>
        <r>
          <rPr>
            <b/>
            <sz val="9"/>
            <color indexed="81"/>
            <rFont val="Tahoma"/>
            <family val="2"/>
          </rPr>
          <t>Author:</t>
        </r>
        <r>
          <rPr>
            <sz val="9"/>
            <color indexed="81"/>
            <rFont val="Tahoma"/>
            <family val="2"/>
          </rPr>
          <t xml:space="preserve">
corrected AK June 5 2021</t>
        </r>
      </text>
    </comment>
    <comment ref="AW1150" authorId="0" shapeId="0" xr:uid="{00000000-0006-0000-0200-000073000000}">
      <text>
        <r>
          <rPr>
            <b/>
            <sz val="9"/>
            <color indexed="81"/>
            <rFont val="Tahoma"/>
            <family val="2"/>
          </rPr>
          <t>Author:</t>
        </r>
        <r>
          <rPr>
            <sz val="9"/>
            <color indexed="81"/>
            <rFont val="Tahoma"/>
            <family val="2"/>
          </rPr>
          <t xml:space="preserve">
corrected AK June 5 2021</t>
        </r>
      </text>
    </comment>
    <comment ref="AX1150" authorId="0" shapeId="0" xr:uid="{00000000-0006-0000-0200-000074000000}">
      <text>
        <r>
          <rPr>
            <b/>
            <sz val="9"/>
            <color indexed="81"/>
            <rFont val="Tahoma"/>
            <family val="2"/>
          </rPr>
          <t>Author:</t>
        </r>
        <r>
          <rPr>
            <sz val="9"/>
            <color indexed="81"/>
            <rFont val="Tahoma"/>
            <family val="2"/>
          </rPr>
          <t xml:space="preserve">
corrected AK June 5 2021</t>
        </r>
      </text>
    </comment>
    <comment ref="AY1150" authorId="0" shapeId="0" xr:uid="{00000000-0006-0000-0200-000075000000}">
      <text>
        <r>
          <rPr>
            <b/>
            <sz val="9"/>
            <color indexed="81"/>
            <rFont val="Tahoma"/>
            <family val="2"/>
          </rPr>
          <t>Author:</t>
        </r>
        <r>
          <rPr>
            <sz val="9"/>
            <color indexed="81"/>
            <rFont val="Tahoma"/>
            <family val="2"/>
          </rPr>
          <t xml:space="preserve">
corrected AK June 5 2021</t>
        </r>
      </text>
    </comment>
    <comment ref="AZ1150" authorId="0" shapeId="0" xr:uid="{00000000-0006-0000-0200-000076000000}">
      <text>
        <r>
          <rPr>
            <b/>
            <sz val="9"/>
            <color indexed="81"/>
            <rFont val="Tahoma"/>
            <family val="2"/>
          </rPr>
          <t>Author:</t>
        </r>
        <r>
          <rPr>
            <sz val="9"/>
            <color indexed="81"/>
            <rFont val="Tahoma"/>
            <family val="2"/>
          </rPr>
          <t xml:space="preserve">
corrected AK June 5 2021</t>
        </r>
      </text>
    </comment>
    <comment ref="BA1150" authorId="0" shapeId="0" xr:uid="{00000000-0006-0000-0200-000077000000}">
      <text>
        <r>
          <rPr>
            <b/>
            <sz val="9"/>
            <color indexed="81"/>
            <rFont val="Tahoma"/>
            <family val="2"/>
          </rPr>
          <t>Author:</t>
        </r>
        <r>
          <rPr>
            <sz val="9"/>
            <color indexed="81"/>
            <rFont val="Tahoma"/>
            <family val="2"/>
          </rPr>
          <t xml:space="preserve">
corrected AK June 5 2021</t>
        </r>
      </text>
    </comment>
    <comment ref="BB1150" authorId="0" shapeId="0" xr:uid="{00000000-0006-0000-0200-000078000000}">
      <text>
        <r>
          <rPr>
            <b/>
            <sz val="9"/>
            <color indexed="81"/>
            <rFont val="Tahoma"/>
            <family val="2"/>
          </rPr>
          <t>Author:</t>
        </r>
        <r>
          <rPr>
            <sz val="9"/>
            <color indexed="81"/>
            <rFont val="Tahoma"/>
            <family val="2"/>
          </rPr>
          <t xml:space="preserve">
corrected AK June 5 2021</t>
        </r>
      </text>
    </comment>
    <comment ref="BC1150" authorId="0" shapeId="0" xr:uid="{00000000-0006-0000-0200-000079000000}">
      <text>
        <r>
          <rPr>
            <b/>
            <sz val="9"/>
            <color indexed="81"/>
            <rFont val="Tahoma"/>
            <family val="2"/>
          </rPr>
          <t>Author:</t>
        </r>
        <r>
          <rPr>
            <sz val="9"/>
            <color indexed="81"/>
            <rFont val="Tahoma"/>
            <family val="2"/>
          </rPr>
          <t xml:space="preserve">
corrected AK June 5 2021</t>
        </r>
      </text>
    </comment>
    <comment ref="BD1150" authorId="0" shapeId="0" xr:uid="{00000000-0006-0000-0200-00007A000000}">
      <text>
        <r>
          <rPr>
            <b/>
            <sz val="9"/>
            <color indexed="81"/>
            <rFont val="Tahoma"/>
            <family val="2"/>
          </rPr>
          <t>Author:</t>
        </r>
        <r>
          <rPr>
            <sz val="9"/>
            <color indexed="81"/>
            <rFont val="Tahoma"/>
            <family val="2"/>
          </rPr>
          <t xml:space="preserve">
corrected AK June 5 2021</t>
        </r>
      </text>
    </comment>
    <comment ref="BE1150" authorId="0" shapeId="0" xr:uid="{00000000-0006-0000-0200-00007B000000}">
      <text>
        <r>
          <rPr>
            <b/>
            <sz val="9"/>
            <color indexed="81"/>
            <rFont val="Tahoma"/>
            <family val="2"/>
          </rPr>
          <t>Author:</t>
        </r>
        <r>
          <rPr>
            <sz val="9"/>
            <color indexed="81"/>
            <rFont val="Tahoma"/>
            <family val="2"/>
          </rPr>
          <t xml:space="preserve">
corrected AK June 5 2021</t>
        </r>
      </text>
    </comment>
    <comment ref="BF1150" authorId="0" shapeId="0" xr:uid="{00000000-0006-0000-0200-00007C000000}">
      <text>
        <r>
          <rPr>
            <b/>
            <sz val="9"/>
            <color indexed="81"/>
            <rFont val="Tahoma"/>
            <family val="2"/>
          </rPr>
          <t>Author:</t>
        </r>
        <r>
          <rPr>
            <sz val="9"/>
            <color indexed="81"/>
            <rFont val="Tahoma"/>
            <family val="2"/>
          </rPr>
          <t xml:space="preserve">
corrected AK June 5 2021</t>
        </r>
      </text>
    </comment>
    <comment ref="BG1150" authorId="0" shapeId="0" xr:uid="{00000000-0006-0000-0200-00007D000000}">
      <text>
        <r>
          <rPr>
            <b/>
            <sz val="9"/>
            <color indexed="81"/>
            <rFont val="Tahoma"/>
            <family val="2"/>
          </rPr>
          <t>Author:</t>
        </r>
        <r>
          <rPr>
            <sz val="9"/>
            <color indexed="81"/>
            <rFont val="Tahoma"/>
            <family val="2"/>
          </rPr>
          <t xml:space="preserve">
corrected AK June 5 2021</t>
        </r>
      </text>
    </comment>
    <comment ref="BH1150" authorId="0" shapeId="0" xr:uid="{00000000-0006-0000-0200-00007E000000}">
      <text>
        <r>
          <rPr>
            <b/>
            <sz val="9"/>
            <color indexed="81"/>
            <rFont val="Tahoma"/>
            <family val="2"/>
          </rPr>
          <t>Author:</t>
        </r>
        <r>
          <rPr>
            <sz val="9"/>
            <color indexed="81"/>
            <rFont val="Tahoma"/>
            <family val="2"/>
          </rPr>
          <t xml:space="preserve">
corrected AK June 5 2021</t>
        </r>
      </text>
    </comment>
    <comment ref="BI1150" authorId="0" shapeId="0" xr:uid="{00000000-0006-0000-0200-00007F000000}">
      <text>
        <r>
          <rPr>
            <b/>
            <sz val="9"/>
            <color indexed="81"/>
            <rFont val="Tahoma"/>
            <family val="2"/>
          </rPr>
          <t>Author:</t>
        </r>
        <r>
          <rPr>
            <sz val="9"/>
            <color indexed="81"/>
            <rFont val="Tahoma"/>
            <family val="2"/>
          </rPr>
          <t xml:space="preserve">
corrected AK June 5 2021</t>
        </r>
      </text>
    </comment>
    <comment ref="BJ1150" authorId="0" shapeId="0" xr:uid="{00000000-0006-0000-0200-000080000000}">
      <text>
        <r>
          <rPr>
            <b/>
            <sz val="9"/>
            <color indexed="81"/>
            <rFont val="Tahoma"/>
            <family val="2"/>
          </rPr>
          <t>Author:</t>
        </r>
        <r>
          <rPr>
            <sz val="9"/>
            <color indexed="81"/>
            <rFont val="Tahoma"/>
            <family val="2"/>
          </rPr>
          <t xml:space="preserve">
corrected AK June 5 2021</t>
        </r>
      </text>
    </comment>
    <comment ref="BK1150" authorId="0" shapeId="0" xr:uid="{00000000-0006-0000-0200-000081000000}">
      <text>
        <r>
          <rPr>
            <b/>
            <sz val="9"/>
            <color indexed="81"/>
            <rFont val="Tahoma"/>
            <family val="2"/>
          </rPr>
          <t>Author:</t>
        </r>
        <r>
          <rPr>
            <sz val="9"/>
            <color indexed="81"/>
            <rFont val="Tahoma"/>
            <family val="2"/>
          </rPr>
          <t xml:space="preserve">
corrected AK June 5 2021</t>
        </r>
      </text>
    </comment>
    <comment ref="BL1150" authorId="0" shapeId="0" xr:uid="{00000000-0006-0000-0200-000082000000}">
      <text>
        <r>
          <rPr>
            <b/>
            <sz val="9"/>
            <color indexed="81"/>
            <rFont val="Tahoma"/>
            <family val="2"/>
          </rPr>
          <t>Author:</t>
        </r>
        <r>
          <rPr>
            <sz val="9"/>
            <color indexed="81"/>
            <rFont val="Tahoma"/>
            <family val="2"/>
          </rPr>
          <t xml:space="preserve">
corrected AK June 5 2021</t>
        </r>
      </text>
    </comment>
    <comment ref="BM1150" authorId="0" shapeId="0" xr:uid="{00000000-0006-0000-0200-000083000000}">
      <text>
        <r>
          <rPr>
            <b/>
            <sz val="9"/>
            <color indexed="81"/>
            <rFont val="Tahoma"/>
            <family val="2"/>
          </rPr>
          <t>Author:</t>
        </r>
        <r>
          <rPr>
            <sz val="9"/>
            <color indexed="81"/>
            <rFont val="Tahoma"/>
            <family val="2"/>
          </rPr>
          <t xml:space="preserve">
corrected AK June 5 2021</t>
        </r>
      </text>
    </comment>
    <comment ref="BN1150" authorId="0" shapeId="0" xr:uid="{00000000-0006-0000-0200-000084000000}">
      <text>
        <r>
          <rPr>
            <b/>
            <sz val="9"/>
            <color indexed="81"/>
            <rFont val="Tahoma"/>
            <family val="2"/>
          </rPr>
          <t>Author:</t>
        </r>
        <r>
          <rPr>
            <sz val="9"/>
            <color indexed="81"/>
            <rFont val="Tahoma"/>
            <family val="2"/>
          </rPr>
          <t xml:space="preserve">
corrected AK June 5 2021</t>
        </r>
      </text>
    </comment>
    <comment ref="BO1150" authorId="0" shapeId="0" xr:uid="{00000000-0006-0000-0200-000085000000}">
      <text>
        <r>
          <rPr>
            <b/>
            <sz val="9"/>
            <color indexed="81"/>
            <rFont val="Tahoma"/>
            <family val="2"/>
          </rPr>
          <t>Author:</t>
        </r>
        <r>
          <rPr>
            <sz val="9"/>
            <color indexed="81"/>
            <rFont val="Tahoma"/>
            <family val="2"/>
          </rPr>
          <t xml:space="preserve">
corrected AK June 5 2021</t>
        </r>
      </text>
    </comment>
    <comment ref="BP1150" authorId="0" shapeId="0" xr:uid="{00000000-0006-0000-0200-000086000000}">
      <text>
        <r>
          <rPr>
            <b/>
            <sz val="9"/>
            <color indexed="81"/>
            <rFont val="Tahoma"/>
            <family val="2"/>
          </rPr>
          <t>Author:</t>
        </r>
        <r>
          <rPr>
            <sz val="9"/>
            <color indexed="81"/>
            <rFont val="Tahoma"/>
            <family val="2"/>
          </rPr>
          <t xml:space="preserve">
corrected AK June 5 2021</t>
        </r>
      </text>
    </comment>
    <comment ref="BQ1150" authorId="0" shapeId="0" xr:uid="{00000000-0006-0000-0200-000087000000}">
      <text>
        <r>
          <rPr>
            <b/>
            <sz val="9"/>
            <color indexed="81"/>
            <rFont val="Tahoma"/>
            <family val="2"/>
          </rPr>
          <t>Author:</t>
        </r>
        <r>
          <rPr>
            <sz val="9"/>
            <color indexed="81"/>
            <rFont val="Tahoma"/>
            <family val="2"/>
          </rPr>
          <t xml:space="preserve">
corrected AK June 5 2021</t>
        </r>
      </text>
    </comment>
    <comment ref="BR1150" authorId="0" shapeId="0" xr:uid="{00000000-0006-0000-0200-000088000000}">
      <text>
        <r>
          <rPr>
            <b/>
            <sz val="9"/>
            <color indexed="81"/>
            <rFont val="Tahoma"/>
            <family val="2"/>
          </rPr>
          <t>Author:</t>
        </r>
        <r>
          <rPr>
            <sz val="9"/>
            <color indexed="81"/>
            <rFont val="Tahoma"/>
            <family val="2"/>
          </rPr>
          <t xml:space="preserve">
corrected AK June 5 2021</t>
        </r>
      </text>
    </comment>
    <comment ref="BS1150" authorId="0" shapeId="0" xr:uid="{00000000-0006-0000-0200-000089000000}">
      <text>
        <r>
          <rPr>
            <b/>
            <sz val="9"/>
            <color indexed="81"/>
            <rFont val="Tahoma"/>
            <family val="2"/>
          </rPr>
          <t>Author:</t>
        </r>
        <r>
          <rPr>
            <sz val="9"/>
            <color indexed="81"/>
            <rFont val="Tahoma"/>
            <family val="2"/>
          </rPr>
          <t xml:space="preserve">
corrected AK June 5 2021</t>
        </r>
      </text>
    </comment>
    <comment ref="BT1150" authorId="0" shapeId="0" xr:uid="{00000000-0006-0000-0200-00008A000000}">
      <text>
        <r>
          <rPr>
            <b/>
            <sz val="9"/>
            <color indexed="81"/>
            <rFont val="Tahoma"/>
            <family val="2"/>
          </rPr>
          <t>Author:</t>
        </r>
        <r>
          <rPr>
            <sz val="9"/>
            <color indexed="81"/>
            <rFont val="Tahoma"/>
            <family val="2"/>
          </rPr>
          <t xml:space="preserve">
corrected AK June 5 2021</t>
        </r>
      </text>
    </comment>
    <comment ref="BU1150" authorId="0" shapeId="0" xr:uid="{00000000-0006-0000-0200-00008B000000}">
      <text>
        <r>
          <rPr>
            <b/>
            <sz val="9"/>
            <color indexed="81"/>
            <rFont val="Tahoma"/>
            <family val="2"/>
          </rPr>
          <t>Author:</t>
        </r>
        <r>
          <rPr>
            <sz val="9"/>
            <color indexed="81"/>
            <rFont val="Tahoma"/>
            <family val="2"/>
          </rPr>
          <t xml:space="preserve">
corrected AK June 5 2021</t>
        </r>
      </text>
    </comment>
    <comment ref="BV1150" authorId="0" shapeId="0" xr:uid="{00000000-0006-0000-0200-00008C000000}">
      <text>
        <r>
          <rPr>
            <b/>
            <sz val="9"/>
            <color indexed="81"/>
            <rFont val="Tahoma"/>
            <family val="2"/>
          </rPr>
          <t>Author:</t>
        </r>
        <r>
          <rPr>
            <sz val="9"/>
            <color indexed="81"/>
            <rFont val="Tahoma"/>
            <family val="2"/>
          </rPr>
          <t xml:space="preserve">
corrected AK June 5 2021</t>
        </r>
      </text>
    </comment>
    <comment ref="BW1150" authorId="0" shapeId="0" xr:uid="{00000000-0006-0000-0200-00008D000000}">
      <text>
        <r>
          <rPr>
            <b/>
            <sz val="9"/>
            <color indexed="81"/>
            <rFont val="Tahoma"/>
            <family val="2"/>
          </rPr>
          <t>Author:</t>
        </r>
        <r>
          <rPr>
            <sz val="9"/>
            <color indexed="81"/>
            <rFont val="Tahoma"/>
            <family val="2"/>
          </rPr>
          <t xml:space="preserve">
corrected AK June 5 2021</t>
        </r>
      </text>
    </comment>
    <comment ref="BX1150" authorId="0" shapeId="0" xr:uid="{00000000-0006-0000-0200-00008E000000}">
      <text>
        <r>
          <rPr>
            <b/>
            <sz val="9"/>
            <color indexed="81"/>
            <rFont val="Tahoma"/>
            <family val="2"/>
          </rPr>
          <t>Author:</t>
        </r>
        <r>
          <rPr>
            <sz val="9"/>
            <color indexed="81"/>
            <rFont val="Tahoma"/>
            <family val="2"/>
          </rPr>
          <t xml:space="preserve">
corrected AK June 5 2021</t>
        </r>
      </text>
    </comment>
    <comment ref="BY1150" authorId="0" shapeId="0" xr:uid="{00000000-0006-0000-0200-00008F000000}">
      <text>
        <r>
          <rPr>
            <b/>
            <sz val="9"/>
            <color indexed="81"/>
            <rFont val="Tahoma"/>
            <family val="2"/>
          </rPr>
          <t>Author:</t>
        </r>
        <r>
          <rPr>
            <sz val="9"/>
            <color indexed="81"/>
            <rFont val="Tahoma"/>
            <family val="2"/>
          </rPr>
          <t xml:space="preserve">
corrected AK June 5 2021</t>
        </r>
      </text>
    </comment>
    <comment ref="BZ1150" authorId="0" shapeId="0" xr:uid="{00000000-0006-0000-0200-000090000000}">
      <text>
        <r>
          <rPr>
            <b/>
            <sz val="9"/>
            <color indexed="81"/>
            <rFont val="Tahoma"/>
            <family val="2"/>
          </rPr>
          <t>Author:</t>
        </r>
        <r>
          <rPr>
            <sz val="9"/>
            <color indexed="81"/>
            <rFont val="Tahoma"/>
            <family val="2"/>
          </rPr>
          <t xml:space="preserve">
corrected AK June 5 2021</t>
        </r>
      </text>
    </comment>
    <comment ref="CA1150" authorId="0" shapeId="0" xr:uid="{00000000-0006-0000-0200-000091000000}">
      <text>
        <r>
          <rPr>
            <b/>
            <sz val="9"/>
            <color indexed="81"/>
            <rFont val="Tahoma"/>
            <family val="2"/>
          </rPr>
          <t>Author:</t>
        </r>
        <r>
          <rPr>
            <sz val="9"/>
            <color indexed="81"/>
            <rFont val="Tahoma"/>
            <family val="2"/>
          </rPr>
          <t xml:space="preserve">
corrected AK June 5 2021</t>
        </r>
      </text>
    </comment>
    <comment ref="CB1150" authorId="0" shapeId="0" xr:uid="{00000000-0006-0000-0200-000092000000}">
      <text>
        <r>
          <rPr>
            <b/>
            <sz val="9"/>
            <color indexed="81"/>
            <rFont val="Tahoma"/>
            <family val="2"/>
          </rPr>
          <t>Author:</t>
        </r>
        <r>
          <rPr>
            <sz val="9"/>
            <color indexed="81"/>
            <rFont val="Tahoma"/>
            <family val="2"/>
          </rPr>
          <t xml:space="preserve">
corrected AK June 5 2021</t>
        </r>
      </text>
    </comment>
    <comment ref="CC1150" authorId="0" shapeId="0" xr:uid="{00000000-0006-0000-0200-000093000000}">
      <text>
        <r>
          <rPr>
            <b/>
            <sz val="9"/>
            <color indexed="81"/>
            <rFont val="Tahoma"/>
            <family val="2"/>
          </rPr>
          <t>Author:</t>
        </r>
        <r>
          <rPr>
            <sz val="9"/>
            <color indexed="81"/>
            <rFont val="Tahoma"/>
            <family val="2"/>
          </rPr>
          <t xml:space="preserve">
corrected AK June 5 2021</t>
        </r>
      </text>
    </comment>
    <comment ref="CD1150" authorId="0" shapeId="0" xr:uid="{00000000-0006-0000-0200-000094000000}">
      <text>
        <r>
          <rPr>
            <b/>
            <sz val="9"/>
            <color indexed="81"/>
            <rFont val="Tahoma"/>
            <family val="2"/>
          </rPr>
          <t>Author:</t>
        </r>
        <r>
          <rPr>
            <sz val="9"/>
            <color indexed="81"/>
            <rFont val="Tahoma"/>
            <family val="2"/>
          </rPr>
          <t xml:space="preserve">
corrected AK June 5 2021</t>
        </r>
      </text>
    </comment>
    <comment ref="CE1150" authorId="0" shapeId="0" xr:uid="{00000000-0006-0000-0200-000095000000}">
      <text>
        <r>
          <rPr>
            <b/>
            <sz val="9"/>
            <color indexed="81"/>
            <rFont val="Tahoma"/>
            <family val="2"/>
          </rPr>
          <t>Author:</t>
        </r>
        <r>
          <rPr>
            <sz val="9"/>
            <color indexed="81"/>
            <rFont val="Tahoma"/>
            <family val="2"/>
          </rPr>
          <t xml:space="preserve">
corrected AK June 5 2021</t>
        </r>
      </text>
    </comment>
    <comment ref="CF1150" authorId="0" shapeId="0" xr:uid="{00000000-0006-0000-0200-000096000000}">
      <text>
        <r>
          <rPr>
            <b/>
            <sz val="9"/>
            <color indexed="81"/>
            <rFont val="Tahoma"/>
            <family val="2"/>
          </rPr>
          <t>Author:</t>
        </r>
        <r>
          <rPr>
            <sz val="9"/>
            <color indexed="81"/>
            <rFont val="Tahoma"/>
            <family val="2"/>
          </rPr>
          <t xml:space="preserve">
corrected AK June 5 2021</t>
        </r>
      </text>
    </comment>
    <comment ref="CG1150" authorId="0" shapeId="0" xr:uid="{00000000-0006-0000-0200-000097000000}">
      <text>
        <r>
          <rPr>
            <b/>
            <sz val="9"/>
            <color indexed="81"/>
            <rFont val="Tahoma"/>
            <family val="2"/>
          </rPr>
          <t>Author:</t>
        </r>
        <r>
          <rPr>
            <sz val="9"/>
            <color indexed="81"/>
            <rFont val="Tahoma"/>
            <family val="2"/>
          </rPr>
          <t xml:space="preserve">
corrected AK June 5 2021</t>
        </r>
      </text>
    </comment>
    <comment ref="CH1150" authorId="0" shapeId="0" xr:uid="{00000000-0006-0000-0200-000098000000}">
      <text>
        <r>
          <rPr>
            <b/>
            <sz val="9"/>
            <color indexed="81"/>
            <rFont val="Tahoma"/>
            <family val="2"/>
          </rPr>
          <t>Author:</t>
        </r>
        <r>
          <rPr>
            <sz val="9"/>
            <color indexed="81"/>
            <rFont val="Tahoma"/>
            <family val="2"/>
          </rPr>
          <t xml:space="preserve">
corrected AK June 5 2021</t>
        </r>
      </text>
    </comment>
    <comment ref="CI1150" authorId="0" shapeId="0" xr:uid="{00000000-0006-0000-0200-000099000000}">
      <text>
        <r>
          <rPr>
            <b/>
            <sz val="9"/>
            <color indexed="81"/>
            <rFont val="Tahoma"/>
            <family val="2"/>
          </rPr>
          <t>Author:</t>
        </r>
        <r>
          <rPr>
            <sz val="9"/>
            <color indexed="81"/>
            <rFont val="Tahoma"/>
            <family val="2"/>
          </rPr>
          <t xml:space="preserve">
corrected AK June 5 2021</t>
        </r>
      </text>
    </comment>
    <comment ref="CJ1150" authorId="0" shapeId="0" xr:uid="{00000000-0006-0000-0200-00009A000000}">
      <text>
        <r>
          <rPr>
            <b/>
            <sz val="9"/>
            <color indexed="81"/>
            <rFont val="Tahoma"/>
            <family val="2"/>
          </rPr>
          <t>Author:</t>
        </r>
        <r>
          <rPr>
            <sz val="9"/>
            <color indexed="81"/>
            <rFont val="Tahoma"/>
            <family val="2"/>
          </rPr>
          <t xml:space="preserve">
corrected AK June 5 2021</t>
        </r>
      </text>
    </comment>
    <comment ref="CK1150" authorId="0" shapeId="0" xr:uid="{00000000-0006-0000-0200-00009B000000}">
      <text>
        <r>
          <rPr>
            <b/>
            <sz val="9"/>
            <color indexed="81"/>
            <rFont val="Tahoma"/>
            <family val="2"/>
          </rPr>
          <t>Author:</t>
        </r>
        <r>
          <rPr>
            <sz val="9"/>
            <color indexed="81"/>
            <rFont val="Tahoma"/>
            <family val="2"/>
          </rPr>
          <t xml:space="preserve">
corrected AK June 5 2021</t>
        </r>
      </text>
    </comment>
    <comment ref="CL1150" authorId="0" shapeId="0" xr:uid="{00000000-0006-0000-0200-00009C000000}">
      <text>
        <r>
          <rPr>
            <b/>
            <sz val="9"/>
            <color indexed="81"/>
            <rFont val="Tahoma"/>
            <family val="2"/>
          </rPr>
          <t>Author:</t>
        </r>
        <r>
          <rPr>
            <sz val="9"/>
            <color indexed="81"/>
            <rFont val="Tahoma"/>
            <family val="2"/>
          </rPr>
          <t xml:space="preserve">
corrected AK June 5 2021</t>
        </r>
      </text>
    </comment>
    <comment ref="CM1150" authorId="0" shapeId="0" xr:uid="{00000000-0006-0000-0200-00009D000000}">
      <text>
        <r>
          <rPr>
            <b/>
            <sz val="9"/>
            <color indexed="81"/>
            <rFont val="Tahoma"/>
            <family val="2"/>
          </rPr>
          <t>Author:</t>
        </r>
        <r>
          <rPr>
            <sz val="9"/>
            <color indexed="81"/>
            <rFont val="Tahoma"/>
            <family val="2"/>
          </rPr>
          <t xml:space="preserve">
corrected AK June 5 2021</t>
        </r>
      </text>
    </comment>
    <comment ref="CN1150" authorId="0" shapeId="0" xr:uid="{00000000-0006-0000-0200-00009E000000}">
      <text>
        <r>
          <rPr>
            <b/>
            <sz val="9"/>
            <color indexed="81"/>
            <rFont val="Tahoma"/>
            <family val="2"/>
          </rPr>
          <t>Author:</t>
        </r>
        <r>
          <rPr>
            <sz val="9"/>
            <color indexed="81"/>
            <rFont val="Tahoma"/>
            <family val="2"/>
          </rPr>
          <t xml:space="preserve">
corrected AK June 5 2021</t>
        </r>
      </text>
    </comment>
    <comment ref="CO1150" authorId="0" shapeId="0" xr:uid="{00000000-0006-0000-0200-00009F000000}">
      <text>
        <r>
          <rPr>
            <b/>
            <sz val="9"/>
            <color indexed="81"/>
            <rFont val="Tahoma"/>
            <family val="2"/>
          </rPr>
          <t>Author:</t>
        </r>
        <r>
          <rPr>
            <sz val="9"/>
            <color indexed="81"/>
            <rFont val="Tahoma"/>
            <family val="2"/>
          </rPr>
          <t xml:space="preserve">
corrected AK June 5 2021</t>
        </r>
      </text>
    </comment>
    <comment ref="CP1150" authorId="0" shapeId="0" xr:uid="{00000000-0006-0000-0200-0000A0000000}">
      <text>
        <r>
          <rPr>
            <b/>
            <sz val="9"/>
            <color indexed="81"/>
            <rFont val="Tahoma"/>
            <family val="2"/>
          </rPr>
          <t>Author:</t>
        </r>
        <r>
          <rPr>
            <sz val="9"/>
            <color indexed="81"/>
            <rFont val="Tahoma"/>
            <family val="2"/>
          </rPr>
          <t xml:space="preserve">
corrected AK June 5 2021</t>
        </r>
      </text>
    </comment>
    <comment ref="CQ1150" authorId="0" shapeId="0" xr:uid="{00000000-0006-0000-0200-0000A1000000}">
      <text>
        <r>
          <rPr>
            <b/>
            <sz val="9"/>
            <color indexed="81"/>
            <rFont val="Tahoma"/>
            <family val="2"/>
          </rPr>
          <t>Author:</t>
        </r>
        <r>
          <rPr>
            <sz val="9"/>
            <color indexed="81"/>
            <rFont val="Tahoma"/>
            <family val="2"/>
          </rPr>
          <t xml:space="preserve">
corrected AK June 5 2021</t>
        </r>
      </text>
    </comment>
    <comment ref="CR1150" authorId="0" shapeId="0" xr:uid="{00000000-0006-0000-0200-0000A2000000}">
      <text>
        <r>
          <rPr>
            <b/>
            <sz val="9"/>
            <color indexed="81"/>
            <rFont val="Tahoma"/>
            <family val="2"/>
          </rPr>
          <t>Author:</t>
        </r>
        <r>
          <rPr>
            <sz val="9"/>
            <color indexed="81"/>
            <rFont val="Tahoma"/>
            <family val="2"/>
          </rPr>
          <t xml:space="preserve">
corrected AK June 5 2021</t>
        </r>
      </text>
    </comment>
    <comment ref="CS1150" authorId="0" shapeId="0" xr:uid="{00000000-0006-0000-0200-0000A3000000}">
      <text>
        <r>
          <rPr>
            <b/>
            <sz val="9"/>
            <color indexed="81"/>
            <rFont val="Tahoma"/>
            <family val="2"/>
          </rPr>
          <t>Author:</t>
        </r>
        <r>
          <rPr>
            <sz val="9"/>
            <color indexed="81"/>
            <rFont val="Tahoma"/>
            <family val="2"/>
          </rPr>
          <t xml:space="preserve">
corrected AK June 5 2021</t>
        </r>
      </text>
    </comment>
    <comment ref="CT1150" authorId="0" shapeId="0" xr:uid="{00000000-0006-0000-0200-0000A4000000}">
      <text>
        <r>
          <rPr>
            <b/>
            <sz val="9"/>
            <color indexed="81"/>
            <rFont val="Tahoma"/>
            <family val="2"/>
          </rPr>
          <t>Author:</t>
        </r>
        <r>
          <rPr>
            <sz val="9"/>
            <color indexed="81"/>
            <rFont val="Tahoma"/>
            <family val="2"/>
          </rPr>
          <t xml:space="preserve">
corrected AK June 5 2021</t>
        </r>
      </text>
    </comment>
    <comment ref="CU1150" authorId="0" shapeId="0" xr:uid="{00000000-0006-0000-0200-0000A5000000}">
      <text>
        <r>
          <rPr>
            <b/>
            <sz val="9"/>
            <color indexed="81"/>
            <rFont val="Tahoma"/>
            <family val="2"/>
          </rPr>
          <t>Author:</t>
        </r>
        <r>
          <rPr>
            <sz val="9"/>
            <color indexed="81"/>
            <rFont val="Tahoma"/>
            <family val="2"/>
          </rPr>
          <t xml:space="preserve">
corrected AK June 5 2021</t>
        </r>
      </text>
    </comment>
    <comment ref="CV1150" authorId="0" shapeId="0" xr:uid="{00000000-0006-0000-0200-0000A6000000}">
      <text>
        <r>
          <rPr>
            <b/>
            <sz val="9"/>
            <color indexed="81"/>
            <rFont val="Tahoma"/>
            <family val="2"/>
          </rPr>
          <t>Author:</t>
        </r>
        <r>
          <rPr>
            <sz val="9"/>
            <color indexed="81"/>
            <rFont val="Tahoma"/>
            <family val="2"/>
          </rPr>
          <t xml:space="preserve">
corrected AK June 5 2021</t>
        </r>
      </text>
    </comment>
    <comment ref="CW1150" authorId="0" shapeId="0" xr:uid="{00000000-0006-0000-0200-0000A7000000}">
      <text>
        <r>
          <rPr>
            <b/>
            <sz val="9"/>
            <color indexed="81"/>
            <rFont val="Tahoma"/>
            <family val="2"/>
          </rPr>
          <t>Author:</t>
        </r>
        <r>
          <rPr>
            <sz val="9"/>
            <color indexed="81"/>
            <rFont val="Tahoma"/>
            <family val="2"/>
          </rPr>
          <t xml:space="preserve">
corrected AK June 5 2021</t>
        </r>
      </text>
    </comment>
    <comment ref="CX1150" authorId="0" shapeId="0" xr:uid="{00000000-0006-0000-0200-0000A8000000}">
      <text>
        <r>
          <rPr>
            <b/>
            <sz val="9"/>
            <color indexed="81"/>
            <rFont val="Tahoma"/>
            <family val="2"/>
          </rPr>
          <t>Author:</t>
        </r>
        <r>
          <rPr>
            <sz val="9"/>
            <color indexed="81"/>
            <rFont val="Tahoma"/>
            <family val="2"/>
          </rPr>
          <t xml:space="preserve">
corrected AK June 5 2021</t>
        </r>
      </text>
    </comment>
    <comment ref="CY1150" authorId="0" shapeId="0" xr:uid="{00000000-0006-0000-0200-0000A9000000}">
      <text>
        <r>
          <rPr>
            <b/>
            <sz val="9"/>
            <color indexed="81"/>
            <rFont val="Tahoma"/>
            <family val="2"/>
          </rPr>
          <t>Author:</t>
        </r>
        <r>
          <rPr>
            <sz val="9"/>
            <color indexed="81"/>
            <rFont val="Tahoma"/>
            <family val="2"/>
          </rPr>
          <t xml:space="preserve">
corrected AK June 5 2021</t>
        </r>
      </text>
    </comment>
    <comment ref="CZ1150" authorId="0" shapeId="0" xr:uid="{00000000-0006-0000-0200-0000AA000000}">
      <text>
        <r>
          <rPr>
            <b/>
            <sz val="9"/>
            <color indexed="81"/>
            <rFont val="Tahoma"/>
            <family val="2"/>
          </rPr>
          <t>Author:</t>
        </r>
        <r>
          <rPr>
            <sz val="9"/>
            <color indexed="81"/>
            <rFont val="Tahoma"/>
            <family val="2"/>
          </rPr>
          <t xml:space="preserve">
corrected AK June 5 2021</t>
        </r>
      </text>
    </comment>
    <comment ref="DA1150" authorId="0" shapeId="0" xr:uid="{00000000-0006-0000-0200-0000AB000000}">
      <text>
        <r>
          <rPr>
            <b/>
            <sz val="9"/>
            <color indexed="81"/>
            <rFont val="Tahoma"/>
            <family val="2"/>
          </rPr>
          <t>Author:</t>
        </r>
        <r>
          <rPr>
            <sz val="9"/>
            <color indexed="81"/>
            <rFont val="Tahoma"/>
            <family val="2"/>
          </rPr>
          <t xml:space="preserve">
corrected AK June 5 2021</t>
        </r>
      </text>
    </comment>
    <comment ref="DB1150" authorId="0" shapeId="0" xr:uid="{00000000-0006-0000-0200-0000AC000000}">
      <text>
        <r>
          <rPr>
            <b/>
            <sz val="9"/>
            <color indexed="81"/>
            <rFont val="Tahoma"/>
            <family val="2"/>
          </rPr>
          <t>Author:</t>
        </r>
        <r>
          <rPr>
            <sz val="9"/>
            <color indexed="81"/>
            <rFont val="Tahoma"/>
            <family val="2"/>
          </rPr>
          <t xml:space="preserve">
corrected AK June 5 2021</t>
        </r>
      </text>
    </comment>
    <comment ref="DC1150" authorId="0" shapeId="0" xr:uid="{00000000-0006-0000-0200-0000AD000000}">
      <text>
        <r>
          <rPr>
            <b/>
            <sz val="9"/>
            <color indexed="81"/>
            <rFont val="Tahoma"/>
            <family val="2"/>
          </rPr>
          <t>Author:</t>
        </r>
        <r>
          <rPr>
            <sz val="9"/>
            <color indexed="81"/>
            <rFont val="Tahoma"/>
            <family val="2"/>
          </rPr>
          <t xml:space="preserve">
corrected AK June 5 2021</t>
        </r>
      </text>
    </comment>
    <comment ref="DD1150" authorId="0" shapeId="0" xr:uid="{00000000-0006-0000-0200-0000AE000000}">
      <text>
        <r>
          <rPr>
            <b/>
            <sz val="9"/>
            <color indexed="81"/>
            <rFont val="Tahoma"/>
            <family val="2"/>
          </rPr>
          <t>Author:</t>
        </r>
        <r>
          <rPr>
            <sz val="9"/>
            <color indexed="81"/>
            <rFont val="Tahoma"/>
            <family val="2"/>
          </rPr>
          <t xml:space="preserve">
corrected AK June 5 2021</t>
        </r>
      </text>
    </comment>
    <comment ref="DE1150" authorId="0" shapeId="0" xr:uid="{00000000-0006-0000-0200-0000AF000000}">
      <text>
        <r>
          <rPr>
            <b/>
            <sz val="9"/>
            <color indexed="81"/>
            <rFont val="Tahoma"/>
            <family val="2"/>
          </rPr>
          <t>Author:</t>
        </r>
        <r>
          <rPr>
            <sz val="9"/>
            <color indexed="81"/>
            <rFont val="Tahoma"/>
            <family val="2"/>
          </rPr>
          <t xml:space="preserve">
corrected AK June 5 2021</t>
        </r>
      </text>
    </comment>
    <comment ref="DF1150" authorId="0" shapeId="0" xr:uid="{00000000-0006-0000-0200-0000B0000000}">
      <text>
        <r>
          <rPr>
            <b/>
            <sz val="9"/>
            <color indexed="81"/>
            <rFont val="Tahoma"/>
            <family val="2"/>
          </rPr>
          <t>Author:</t>
        </r>
        <r>
          <rPr>
            <sz val="9"/>
            <color indexed="81"/>
            <rFont val="Tahoma"/>
            <family val="2"/>
          </rPr>
          <t xml:space="preserve">
corrected AK June 5 2021</t>
        </r>
      </text>
    </comment>
    <comment ref="DG1150" authorId="0" shapeId="0" xr:uid="{00000000-0006-0000-0200-0000B1000000}">
      <text>
        <r>
          <rPr>
            <b/>
            <sz val="9"/>
            <color indexed="81"/>
            <rFont val="Tahoma"/>
            <family val="2"/>
          </rPr>
          <t>Author:</t>
        </r>
        <r>
          <rPr>
            <sz val="9"/>
            <color indexed="81"/>
            <rFont val="Tahoma"/>
            <family val="2"/>
          </rPr>
          <t xml:space="preserve">
corrected AK June 5 2021</t>
        </r>
      </text>
    </comment>
    <comment ref="DH1150" authorId="0" shapeId="0" xr:uid="{00000000-0006-0000-0200-0000B2000000}">
      <text>
        <r>
          <rPr>
            <b/>
            <sz val="9"/>
            <color indexed="81"/>
            <rFont val="Tahoma"/>
            <family val="2"/>
          </rPr>
          <t>Author:</t>
        </r>
        <r>
          <rPr>
            <sz val="9"/>
            <color indexed="81"/>
            <rFont val="Tahoma"/>
            <family val="2"/>
          </rPr>
          <t xml:space="preserve">
corrected AK June 5 2021</t>
        </r>
      </text>
    </comment>
    <comment ref="DI1150" authorId="0" shapeId="0" xr:uid="{00000000-0006-0000-0200-0000B3000000}">
      <text>
        <r>
          <rPr>
            <b/>
            <sz val="9"/>
            <color indexed="81"/>
            <rFont val="Tahoma"/>
            <family val="2"/>
          </rPr>
          <t>Author:</t>
        </r>
        <r>
          <rPr>
            <sz val="9"/>
            <color indexed="81"/>
            <rFont val="Tahoma"/>
            <family val="2"/>
          </rPr>
          <t xml:space="preserve">
corrected AK June 5 2021</t>
        </r>
      </text>
    </comment>
    <comment ref="DJ1150" authorId="0" shapeId="0" xr:uid="{00000000-0006-0000-0200-0000B4000000}">
      <text>
        <r>
          <rPr>
            <b/>
            <sz val="9"/>
            <color indexed="81"/>
            <rFont val="Tahoma"/>
            <family val="2"/>
          </rPr>
          <t>Author:</t>
        </r>
        <r>
          <rPr>
            <sz val="9"/>
            <color indexed="81"/>
            <rFont val="Tahoma"/>
            <family val="2"/>
          </rPr>
          <t xml:space="preserve">
corrected AK June 5 2021</t>
        </r>
      </text>
    </comment>
    <comment ref="DK1150" authorId="0" shapeId="0" xr:uid="{00000000-0006-0000-0200-0000B5000000}">
      <text>
        <r>
          <rPr>
            <b/>
            <sz val="9"/>
            <color indexed="81"/>
            <rFont val="Tahoma"/>
            <family val="2"/>
          </rPr>
          <t>Author:</t>
        </r>
        <r>
          <rPr>
            <sz val="9"/>
            <color indexed="81"/>
            <rFont val="Tahoma"/>
            <family val="2"/>
          </rPr>
          <t xml:space="preserve">
corrected AK June 5 2021</t>
        </r>
      </text>
    </comment>
    <comment ref="DL1150" authorId="0" shapeId="0" xr:uid="{00000000-0006-0000-0200-0000B6000000}">
      <text>
        <r>
          <rPr>
            <b/>
            <sz val="9"/>
            <color indexed="81"/>
            <rFont val="Tahoma"/>
            <family val="2"/>
          </rPr>
          <t>Author:</t>
        </r>
        <r>
          <rPr>
            <sz val="9"/>
            <color indexed="81"/>
            <rFont val="Tahoma"/>
            <family val="2"/>
          </rPr>
          <t xml:space="preserve">
corrected AK June 5 2021</t>
        </r>
      </text>
    </comment>
    <comment ref="DM1150" authorId="0" shapeId="0" xr:uid="{00000000-0006-0000-0200-0000B7000000}">
      <text>
        <r>
          <rPr>
            <b/>
            <sz val="9"/>
            <color indexed="81"/>
            <rFont val="Tahoma"/>
            <family val="2"/>
          </rPr>
          <t>Author:</t>
        </r>
        <r>
          <rPr>
            <sz val="9"/>
            <color indexed="81"/>
            <rFont val="Tahoma"/>
            <family val="2"/>
          </rPr>
          <t xml:space="preserve">
corrected AK June 5 2021</t>
        </r>
      </text>
    </comment>
    <comment ref="DN1150" authorId="0" shapeId="0" xr:uid="{00000000-0006-0000-0200-0000B8000000}">
      <text>
        <r>
          <rPr>
            <b/>
            <sz val="9"/>
            <color indexed="81"/>
            <rFont val="Tahoma"/>
            <family val="2"/>
          </rPr>
          <t>Author:</t>
        </r>
        <r>
          <rPr>
            <sz val="9"/>
            <color indexed="81"/>
            <rFont val="Tahoma"/>
            <family val="2"/>
          </rPr>
          <t xml:space="preserve">
corrected AK June 5 2021</t>
        </r>
      </text>
    </comment>
    <comment ref="DO1150" authorId="0" shapeId="0" xr:uid="{00000000-0006-0000-0200-0000B9000000}">
      <text>
        <r>
          <rPr>
            <b/>
            <sz val="9"/>
            <color indexed="81"/>
            <rFont val="Tahoma"/>
            <family val="2"/>
          </rPr>
          <t>Author:</t>
        </r>
        <r>
          <rPr>
            <sz val="9"/>
            <color indexed="81"/>
            <rFont val="Tahoma"/>
            <family val="2"/>
          </rPr>
          <t xml:space="preserve">
corrected AK June 5 2021</t>
        </r>
      </text>
    </comment>
    <comment ref="DP1150" authorId="0" shapeId="0" xr:uid="{00000000-0006-0000-0200-0000BA000000}">
      <text>
        <r>
          <rPr>
            <b/>
            <sz val="9"/>
            <color indexed="81"/>
            <rFont val="Tahoma"/>
            <family val="2"/>
          </rPr>
          <t>Author:</t>
        </r>
        <r>
          <rPr>
            <sz val="9"/>
            <color indexed="81"/>
            <rFont val="Tahoma"/>
            <family val="2"/>
          </rPr>
          <t xml:space="preserve">
corrected AK June 5 2021</t>
        </r>
      </text>
    </comment>
    <comment ref="DQ1150" authorId="0" shapeId="0" xr:uid="{00000000-0006-0000-0200-0000BB000000}">
      <text>
        <r>
          <rPr>
            <b/>
            <sz val="9"/>
            <color indexed="81"/>
            <rFont val="Tahoma"/>
            <family val="2"/>
          </rPr>
          <t>Author:</t>
        </r>
        <r>
          <rPr>
            <sz val="9"/>
            <color indexed="81"/>
            <rFont val="Tahoma"/>
            <family val="2"/>
          </rPr>
          <t xml:space="preserve">
corrected AK June 5 2021</t>
        </r>
      </text>
    </comment>
    <comment ref="DR1150" authorId="0" shapeId="0" xr:uid="{00000000-0006-0000-0200-0000BC000000}">
      <text>
        <r>
          <rPr>
            <b/>
            <sz val="9"/>
            <color indexed="81"/>
            <rFont val="Tahoma"/>
            <family val="2"/>
          </rPr>
          <t>Author:</t>
        </r>
        <r>
          <rPr>
            <sz val="9"/>
            <color indexed="81"/>
            <rFont val="Tahoma"/>
            <family val="2"/>
          </rPr>
          <t xml:space="preserve">
corrected AK June 5 2021</t>
        </r>
      </text>
    </comment>
    <comment ref="DS1150" authorId="0" shapeId="0" xr:uid="{00000000-0006-0000-0200-0000BD000000}">
      <text>
        <r>
          <rPr>
            <b/>
            <sz val="9"/>
            <color indexed="81"/>
            <rFont val="Tahoma"/>
            <family val="2"/>
          </rPr>
          <t>Author:</t>
        </r>
        <r>
          <rPr>
            <sz val="9"/>
            <color indexed="81"/>
            <rFont val="Tahoma"/>
            <family val="2"/>
          </rPr>
          <t xml:space="preserve">
corrected AK June 5 2021</t>
        </r>
      </text>
    </comment>
    <comment ref="DT1150" authorId="0" shapeId="0" xr:uid="{00000000-0006-0000-0200-0000BE000000}">
      <text>
        <r>
          <rPr>
            <b/>
            <sz val="9"/>
            <color indexed="81"/>
            <rFont val="Tahoma"/>
            <family val="2"/>
          </rPr>
          <t>Author:</t>
        </r>
        <r>
          <rPr>
            <sz val="9"/>
            <color indexed="81"/>
            <rFont val="Tahoma"/>
            <family val="2"/>
          </rPr>
          <t xml:space="preserve">
corrected AK June 5 2021</t>
        </r>
      </text>
    </comment>
    <comment ref="DU1150" authorId="0" shapeId="0" xr:uid="{00000000-0006-0000-0200-0000BF000000}">
      <text>
        <r>
          <rPr>
            <b/>
            <sz val="9"/>
            <color indexed="81"/>
            <rFont val="Tahoma"/>
            <family val="2"/>
          </rPr>
          <t>Author:</t>
        </r>
        <r>
          <rPr>
            <sz val="9"/>
            <color indexed="81"/>
            <rFont val="Tahoma"/>
            <family val="2"/>
          </rPr>
          <t xml:space="preserve">
corrected AK June 5 2021</t>
        </r>
      </text>
    </comment>
    <comment ref="DV1150" authorId="0" shapeId="0" xr:uid="{00000000-0006-0000-0200-0000C0000000}">
      <text>
        <r>
          <rPr>
            <b/>
            <sz val="9"/>
            <color indexed="81"/>
            <rFont val="Tahoma"/>
            <family val="2"/>
          </rPr>
          <t>Author:</t>
        </r>
        <r>
          <rPr>
            <sz val="9"/>
            <color indexed="81"/>
            <rFont val="Tahoma"/>
            <family val="2"/>
          </rPr>
          <t xml:space="preserve">
corrected AK June 5 2021</t>
        </r>
      </text>
    </comment>
    <comment ref="DW1150" authorId="0" shapeId="0" xr:uid="{00000000-0006-0000-0200-0000C1000000}">
      <text>
        <r>
          <rPr>
            <b/>
            <sz val="9"/>
            <color indexed="81"/>
            <rFont val="Tahoma"/>
            <family val="2"/>
          </rPr>
          <t>Author:</t>
        </r>
        <r>
          <rPr>
            <sz val="9"/>
            <color indexed="81"/>
            <rFont val="Tahoma"/>
            <family val="2"/>
          </rPr>
          <t xml:space="preserve">
corrected AK June 5 2021</t>
        </r>
      </text>
    </comment>
    <comment ref="DX1150" authorId="0" shapeId="0" xr:uid="{00000000-0006-0000-0200-0000C2000000}">
      <text>
        <r>
          <rPr>
            <b/>
            <sz val="9"/>
            <color indexed="81"/>
            <rFont val="Tahoma"/>
            <family val="2"/>
          </rPr>
          <t>Author:</t>
        </r>
        <r>
          <rPr>
            <sz val="9"/>
            <color indexed="81"/>
            <rFont val="Tahoma"/>
            <family val="2"/>
          </rPr>
          <t xml:space="preserve">
corrected AK June 5 2021</t>
        </r>
      </text>
    </comment>
    <comment ref="DY1150" authorId="0" shapeId="0" xr:uid="{00000000-0006-0000-0200-0000C3000000}">
      <text>
        <r>
          <rPr>
            <b/>
            <sz val="9"/>
            <color indexed="81"/>
            <rFont val="Tahoma"/>
            <family val="2"/>
          </rPr>
          <t>Author:</t>
        </r>
        <r>
          <rPr>
            <sz val="9"/>
            <color indexed="81"/>
            <rFont val="Tahoma"/>
            <family val="2"/>
          </rPr>
          <t xml:space="preserve">
corrected AK June 5 2021</t>
        </r>
      </text>
    </comment>
    <comment ref="DZ1150" authorId="0" shapeId="0" xr:uid="{00000000-0006-0000-0200-0000C4000000}">
      <text>
        <r>
          <rPr>
            <b/>
            <sz val="9"/>
            <color indexed="81"/>
            <rFont val="Tahoma"/>
            <family val="2"/>
          </rPr>
          <t>Author:</t>
        </r>
        <r>
          <rPr>
            <sz val="9"/>
            <color indexed="81"/>
            <rFont val="Tahoma"/>
            <family val="2"/>
          </rPr>
          <t xml:space="preserve">
corrected AK June 5 2021</t>
        </r>
      </text>
    </comment>
    <comment ref="EA1150" authorId="0" shapeId="0" xr:uid="{00000000-0006-0000-0200-0000C5000000}">
      <text>
        <r>
          <rPr>
            <b/>
            <sz val="9"/>
            <color indexed="81"/>
            <rFont val="Tahoma"/>
            <family val="2"/>
          </rPr>
          <t>Author:</t>
        </r>
        <r>
          <rPr>
            <sz val="9"/>
            <color indexed="81"/>
            <rFont val="Tahoma"/>
            <family val="2"/>
          </rPr>
          <t xml:space="preserve">
corrected AK June 5 2021</t>
        </r>
      </text>
    </comment>
    <comment ref="EB1150" authorId="0" shapeId="0" xr:uid="{00000000-0006-0000-0200-0000C6000000}">
      <text>
        <r>
          <rPr>
            <b/>
            <sz val="9"/>
            <color indexed="81"/>
            <rFont val="Tahoma"/>
            <family val="2"/>
          </rPr>
          <t>Author:</t>
        </r>
        <r>
          <rPr>
            <sz val="9"/>
            <color indexed="81"/>
            <rFont val="Tahoma"/>
            <family val="2"/>
          </rPr>
          <t xml:space="preserve">
corrected AK June 5 2021</t>
        </r>
      </text>
    </comment>
    <comment ref="EC1150" authorId="0" shapeId="0" xr:uid="{00000000-0006-0000-0200-0000C7000000}">
      <text>
        <r>
          <rPr>
            <b/>
            <sz val="9"/>
            <color indexed="81"/>
            <rFont val="Tahoma"/>
            <family val="2"/>
          </rPr>
          <t>Author:</t>
        </r>
        <r>
          <rPr>
            <sz val="9"/>
            <color indexed="81"/>
            <rFont val="Tahoma"/>
            <family val="2"/>
          </rPr>
          <t xml:space="preserve">
corrected AK June 5 2021</t>
        </r>
      </text>
    </comment>
    <comment ref="ED1150" authorId="0" shapeId="0" xr:uid="{00000000-0006-0000-0200-0000C8000000}">
      <text>
        <r>
          <rPr>
            <b/>
            <sz val="9"/>
            <color indexed="81"/>
            <rFont val="Tahoma"/>
            <family val="2"/>
          </rPr>
          <t>Author:</t>
        </r>
        <r>
          <rPr>
            <sz val="9"/>
            <color indexed="81"/>
            <rFont val="Tahoma"/>
            <family val="2"/>
          </rPr>
          <t xml:space="preserve">
corrected AK June 5 2021</t>
        </r>
      </text>
    </comment>
    <comment ref="EE1150" authorId="0" shapeId="0" xr:uid="{00000000-0006-0000-0200-0000C9000000}">
      <text>
        <r>
          <rPr>
            <b/>
            <sz val="9"/>
            <color indexed="81"/>
            <rFont val="Tahoma"/>
            <family val="2"/>
          </rPr>
          <t>Author:</t>
        </r>
        <r>
          <rPr>
            <sz val="9"/>
            <color indexed="81"/>
            <rFont val="Tahoma"/>
            <family val="2"/>
          </rPr>
          <t xml:space="preserve">
corrected AK June 5 2021</t>
        </r>
      </text>
    </comment>
    <comment ref="EF1150" authorId="0" shapeId="0" xr:uid="{00000000-0006-0000-0200-0000CA000000}">
      <text>
        <r>
          <rPr>
            <b/>
            <sz val="9"/>
            <color indexed="81"/>
            <rFont val="Tahoma"/>
            <family val="2"/>
          </rPr>
          <t>Author:</t>
        </r>
        <r>
          <rPr>
            <sz val="9"/>
            <color indexed="81"/>
            <rFont val="Tahoma"/>
            <family val="2"/>
          </rPr>
          <t xml:space="preserve">
corrected AK June 5 2021</t>
        </r>
      </text>
    </comment>
    <comment ref="EG1150" authorId="0" shapeId="0" xr:uid="{00000000-0006-0000-0200-0000CB000000}">
      <text>
        <r>
          <rPr>
            <b/>
            <sz val="9"/>
            <color indexed="81"/>
            <rFont val="Tahoma"/>
            <family val="2"/>
          </rPr>
          <t>Author:</t>
        </r>
        <r>
          <rPr>
            <sz val="9"/>
            <color indexed="81"/>
            <rFont val="Tahoma"/>
            <family val="2"/>
          </rPr>
          <t xml:space="preserve">
corrected AK June 5 2021</t>
        </r>
      </text>
    </comment>
    <comment ref="EH1150" authorId="0" shapeId="0" xr:uid="{00000000-0006-0000-0200-0000CC000000}">
      <text>
        <r>
          <rPr>
            <b/>
            <sz val="9"/>
            <color indexed="81"/>
            <rFont val="Tahoma"/>
            <family val="2"/>
          </rPr>
          <t>Author:</t>
        </r>
        <r>
          <rPr>
            <sz val="9"/>
            <color indexed="81"/>
            <rFont val="Tahoma"/>
            <family val="2"/>
          </rPr>
          <t xml:space="preserve">
corrected AK June 5 2021</t>
        </r>
      </text>
    </comment>
    <comment ref="EI1150" authorId="0" shapeId="0" xr:uid="{00000000-0006-0000-0200-0000CD000000}">
      <text>
        <r>
          <rPr>
            <b/>
            <sz val="9"/>
            <color indexed="81"/>
            <rFont val="Tahoma"/>
            <family val="2"/>
          </rPr>
          <t>Author:</t>
        </r>
        <r>
          <rPr>
            <sz val="9"/>
            <color indexed="81"/>
            <rFont val="Tahoma"/>
            <family val="2"/>
          </rPr>
          <t xml:space="preserve">
corrected AK June 5 2021</t>
        </r>
      </text>
    </comment>
    <comment ref="EJ1150" authorId="0" shapeId="0" xr:uid="{00000000-0006-0000-0200-0000CE000000}">
      <text>
        <r>
          <rPr>
            <b/>
            <sz val="9"/>
            <color indexed="81"/>
            <rFont val="Tahoma"/>
            <family val="2"/>
          </rPr>
          <t>Author:</t>
        </r>
        <r>
          <rPr>
            <sz val="9"/>
            <color indexed="81"/>
            <rFont val="Tahoma"/>
            <family val="2"/>
          </rPr>
          <t xml:space="preserve">
corrected AK June 5 2021</t>
        </r>
      </text>
    </comment>
    <comment ref="EK1150" authorId="0" shapeId="0" xr:uid="{00000000-0006-0000-0200-0000CF000000}">
      <text>
        <r>
          <rPr>
            <b/>
            <sz val="9"/>
            <color indexed="81"/>
            <rFont val="Tahoma"/>
            <family val="2"/>
          </rPr>
          <t>Author:</t>
        </r>
        <r>
          <rPr>
            <sz val="9"/>
            <color indexed="81"/>
            <rFont val="Tahoma"/>
            <family val="2"/>
          </rPr>
          <t xml:space="preserve">
corrected AK June 5 2021</t>
        </r>
      </text>
    </comment>
    <comment ref="EL1150" authorId="0" shapeId="0" xr:uid="{00000000-0006-0000-0200-0000D0000000}">
      <text>
        <r>
          <rPr>
            <b/>
            <sz val="9"/>
            <color indexed="81"/>
            <rFont val="Tahoma"/>
            <family val="2"/>
          </rPr>
          <t>Author:</t>
        </r>
        <r>
          <rPr>
            <sz val="9"/>
            <color indexed="81"/>
            <rFont val="Tahoma"/>
            <family val="2"/>
          </rPr>
          <t xml:space="preserve">
corrected AK June 5 2021</t>
        </r>
      </text>
    </comment>
    <comment ref="EM1150" authorId="0" shapeId="0" xr:uid="{00000000-0006-0000-0200-0000D1000000}">
      <text>
        <r>
          <rPr>
            <b/>
            <sz val="9"/>
            <color indexed="81"/>
            <rFont val="Tahoma"/>
            <family val="2"/>
          </rPr>
          <t>Author:</t>
        </r>
        <r>
          <rPr>
            <sz val="9"/>
            <color indexed="81"/>
            <rFont val="Tahoma"/>
            <family val="2"/>
          </rPr>
          <t xml:space="preserve">
corrected AK June 5 2021</t>
        </r>
      </text>
    </comment>
    <comment ref="EN1150" authorId="0" shapeId="0" xr:uid="{00000000-0006-0000-0200-0000D2000000}">
      <text>
        <r>
          <rPr>
            <b/>
            <sz val="9"/>
            <color indexed="81"/>
            <rFont val="Tahoma"/>
            <family val="2"/>
          </rPr>
          <t>Author:</t>
        </r>
        <r>
          <rPr>
            <sz val="9"/>
            <color indexed="81"/>
            <rFont val="Tahoma"/>
            <family val="2"/>
          </rPr>
          <t xml:space="preserve">
corrected AK June 5 2021</t>
        </r>
      </text>
    </comment>
    <comment ref="EO1150" authorId="0" shapeId="0" xr:uid="{00000000-0006-0000-0200-0000D3000000}">
      <text>
        <r>
          <rPr>
            <b/>
            <sz val="9"/>
            <color indexed="81"/>
            <rFont val="Tahoma"/>
            <family val="2"/>
          </rPr>
          <t>Author:</t>
        </r>
        <r>
          <rPr>
            <sz val="9"/>
            <color indexed="81"/>
            <rFont val="Tahoma"/>
            <family val="2"/>
          </rPr>
          <t xml:space="preserve">
corrected AK June 5 2021</t>
        </r>
      </text>
    </comment>
    <comment ref="EP1150" authorId="0" shapeId="0" xr:uid="{00000000-0006-0000-0200-0000D4000000}">
      <text>
        <r>
          <rPr>
            <b/>
            <sz val="9"/>
            <color indexed="81"/>
            <rFont val="Tahoma"/>
            <family val="2"/>
          </rPr>
          <t>Author:</t>
        </r>
        <r>
          <rPr>
            <sz val="9"/>
            <color indexed="81"/>
            <rFont val="Tahoma"/>
            <family val="2"/>
          </rPr>
          <t xml:space="preserve">
corrected AK June 5 2021</t>
        </r>
      </text>
    </comment>
    <comment ref="EQ1150" authorId="0" shapeId="0" xr:uid="{00000000-0006-0000-0200-0000D5000000}">
      <text>
        <r>
          <rPr>
            <b/>
            <sz val="9"/>
            <color indexed="81"/>
            <rFont val="Tahoma"/>
            <family val="2"/>
          </rPr>
          <t>Author:</t>
        </r>
        <r>
          <rPr>
            <sz val="9"/>
            <color indexed="81"/>
            <rFont val="Tahoma"/>
            <family val="2"/>
          </rPr>
          <t xml:space="preserve">
corrected AK June 5 2021</t>
        </r>
      </text>
    </comment>
    <comment ref="ER1150" authorId="0" shapeId="0" xr:uid="{00000000-0006-0000-0200-0000D6000000}">
      <text>
        <r>
          <rPr>
            <b/>
            <sz val="9"/>
            <color indexed="81"/>
            <rFont val="Tahoma"/>
            <family val="2"/>
          </rPr>
          <t>Author:</t>
        </r>
        <r>
          <rPr>
            <sz val="9"/>
            <color indexed="81"/>
            <rFont val="Tahoma"/>
            <family val="2"/>
          </rPr>
          <t xml:space="preserve">
corrected AK June 5 2021</t>
        </r>
      </text>
    </comment>
    <comment ref="ES1150" authorId="0" shapeId="0" xr:uid="{00000000-0006-0000-0200-0000D7000000}">
      <text>
        <r>
          <rPr>
            <b/>
            <sz val="9"/>
            <color indexed="81"/>
            <rFont val="Tahoma"/>
            <family val="2"/>
          </rPr>
          <t>Author:</t>
        </r>
        <r>
          <rPr>
            <sz val="9"/>
            <color indexed="81"/>
            <rFont val="Tahoma"/>
            <family val="2"/>
          </rPr>
          <t xml:space="preserve">
corrected AK June 5 2021</t>
        </r>
      </text>
    </comment>
    <comment ref="ET1150" authorId="0" shapeId="0" xr:uid="{00000000-0006-0000-0200-0000D8000000}">
      <text>
        <r>
          <rPr>
            <b/>
            <sz val="9"/>
            <color indexed="81"/>
            <rFont val="Tahoma"/>
            <family val="2"/>
          </rPr>
          <t>Author:</t>
        </r>
        <r>
          <rPr>
            <sz val="9"/>
            <color indexed="81"/>
            <rFont val="Tahoma"/>
            <family val="2"/>
          </rPr>
          <t xml:space="preserve">
corrected AK June 5 2021</t>
        </r>
      </text>
    </comment>
    <comment ref="EU1150" authorId="0" shapeId="0" xr:uid="{00000000-0006-0000-0200-0000D9000000}">
      <text>
        <r>
          <rPr>
            <b/>
            <sz val="9"/>
            <color indexed="81"/>
            <rFont val="Tahoma"/>
            <family val="2"/>
          </rPr>
          <t>Author:</t>
        </r>
        <r>
          <rPr>
            <sz val="9"/>
            <color indexed="81"/>
            <rFont val="Tahoma"/>
            <family val="2"/>
          </rPr>
          <t xml:space="preserve">
corrected AK June 5 2021</t>
        </r>
      </text>
    </comment>
    <comment ref="EV1150" authorId="0" shapeId="0" xr:uid="{00000000-0006-0000-0200-0000DA000000}">
      <text>
        <r>
          <rPr>
            <b/>
            <sz val="9"/>
            <color indexed="81"/>
            <rFont val="Tahoma"/>
            <family val="2"/>
          </rPr>
          <t>Author:</t>
        </r>
        <r>
          <rPr>
            <sz val="9"/>
            <color indexed="81"/>
            <rFont val="Tahoma"/>
            <family val="2"/>
          </rPr>
          <t xml:space="preserve">
corrected AK June 5 2021</t>
        </r>
      </text>
    </comment>
    <comment ref="EW1150" authorId="0" shapeId="0" xr:uid="{00000000-0006-0000-0200-0000DB000000}">
      <text>
        <r>
          <rPr>
            <b/>
            <sz val="9"/>
            <color indexed="81"/>
            <rFont val="Tahoma"/>
            <family val="2"/>
          </rPr>
          <t>Author:</t>
        </r>
        <r>
          <rPr>
            <sz val="9"/>
            <color indexed="81"/>
            <rFont val="Tahoma"/>
            <family val="2"/>
          </rPr>
          <t xml:space="preserve">
corrected AK June 5 2021</t>
        </r>
      </text>
    </comment>
    <comment ref="EX1150" authorId="0" shapeId="0" xr:uid="{00000000-0006-0000-0200-0000DC000000}">
      <text>
        <r>
          <rPr>
            <b/>
            <sz val="9"/>
            <color indexed="81"/>
            <rFont val="Tahoma"/>
            <family val="2"/>
          </rPr>
          <t>Author:</t>
        </r>
        <r>
          <rPr>
            <sz val="9"/>
            <color indexed="81"/>
            <rFont val="Tahoma"/>
            <family val="2"/>
          </rPr>
          <t xml:space="preserve">
corrected AK June 5 2021</t>
        </r>
      </text>
    </comment>
    <comment ref="EY1154" authorId="0" shapeId="0" xr:uid="{00000000-0006-0000-0200-0000DD000000}">
      <text>
        <r>
          <rPr>
            <b/>
            <sz val="9"/>
            <color indexed="81"/>
            <rFont val="Tahoma"/>
            <family val="2"/>
          </rPr>
          <t>Author:</t>
        </r>
        <r>
          <rPr>
            <sz val="9"/>
            <color indexed="81"/>
            <rFont val="Tahoma"/>
            <family val="2"/>
          </rPr>
          <t xml:space="preserve">
-/-net acquisition of fin assets (-=financing)+net incurrence liab (+=financing)+netL (we put above line)-/-foreign financing
</t>
        </r>
      </text>
    </comment>
    <comment ref="EZ1154" authorId="0" shapeId="0" xr:uid="{00000000-0006-0000-0200-0000DE000000}">
      <text>
        <r>
          <rPr>
            <b/>
            <sz val="9"/>
            <color indexed="81"/>
            <rFont val="Tahoma"/>
            <family val="2"/>
          </rPr>
          <t>Author:</t>
        </r>
        <r>
          <rPr>
            <sz val="9"/>
            <color indexed="81"/>
            <rFont val="Tahoma"/>
            <family val="2"/>
          </rPr>
          <t xml:space="preserve">
-/-net acquisition of fin assets (-=financing)+net incurrence liab (+=financing)+netL (we put above line)-/-foreign financing
</t>
        </r>
      </text>
    </comment>
    <comment ref="FA1154" authorId="0" shapeId="0" xr:uid="{00000000-0006-0000-0200-0000DF000000}">
      <text>
        <r>
          <rPr>
            <b/>
            <sz val="9"/>
            <color indexed="81"/>
            <rFont val="Tahoma"/>
            <family val="2"/>
          </rPr>
          <t>Author:</t>
        </r>
        <r>
          <rPr>
            <sz val="9"/>
            <color indexed="81"/>
            <rFont val="Tahoma"/>
            <family val="2"/>
          </rPr>
          <t xml:space="preserve">
-/-net acquisition of fin assets (-=financing)+net incurrence liab (+=financing)+netL (we put above line)-/-foreign financing
</t>
        </r>
      </text>
    </comment>
    <comment ref="FB1154" authorId="0" shapeId="0" xr:uid="{00000000-0006-0000-0200-0000E0000000}">
      <text>
        <r>
          <rPr>
            <b/>
            <sz val="9"/>
            <color indexed="81"/>
            <rFont val="Tahoma"/>
            <family val="2"/>
          </rPr>
          <t>Author:</t>
        </r>
        <r>
          <rPr>
            <sz val="9"/>
            <color indexed="81"/>
            <rFont val="Tahoma"/>
            <family val="2"/>
          </rPr>
          <t xml:space="preserve">
-/-net acquisition of fin assets (-=financing)+net incurrence liab (+=financing)+netL (we put above line)-/-foreign financing
</t>
        </r>
      </text>
    </comment>
    <comment ref="FC1154" authorId="0" shapeId="0" xr:uid="{00000000-0006-0000-0200-0000E1000000}">
      <text>
        <r>
          <rPr>
            <b/>
            <sz val="9"/>
            <color indexed="81"/>
            <rFont val="Tahoma"/>
            <family val="2"/>
          </rPr>
          <t>Author:</t>
        </r>
        <r>
          <rPr>
            <sz val="9"/>
            <color indexed="81"/>
            <rFont val="Tahoma"/>
            <family val="2"/>
          </rPr>
          <t xml:space="preserve">
-/-net acquisition of fin assets (-=financing)+net incurrence liab (+=financing)+netL (we put above line)-/-foreign financing
</t>
        </r>
      </text>
    </comment>
    <comment ref="FD1154" authorId="0" shapeId="0" xr:uid="{00000000-0006-0000-0200-0000E2000000}">
      <text>
        <r>
          <rPr>
            <b/>
            <sz val="9"/>
            <color indexed="81"/>
            <rFont val="Tahoma"/>
            <family val="2"/>
          </rPr>
          <t>Author:</t>
        </r>
        <r>
          <rPr>
            <sz val="9"/>
            <color indexed="81"/>
            <rFont val="Tahoma"/>
            <family val="2"/>
          </rPr>
          <t xml:space="preserve">
-/-net acquisition of fin assets (-=financing)+net incurrence liab (+=financing)+netL (we put above line)-/-foreign financing
</t>
        </r>
      </text>
    </comment>
    <comment ref="FE1154" authorId="0" shapeId="0" xr:uid="{00000000-0006-0000-0200-0000E3000000}">
      <text>
        <r>
          <rPr>
            <b/>
            <sz val="9"/>
            <color indexed="81"/>
            <rFont val="Tahoma"/>
            <family val="2"/>
          </rPr>
          <t>Author:</t>
        </r>
        <r>
          <rPr>
            <sz val="9"/>
            <color indexed="81"/>
            <rFont val="Tahoma"/>
            <family val="2"/>
          </rPr>
          <t xml:space="preserve">
-/-net acquisition of fin assets (-=financing)+net incurrence liab (+=financing)+netL (we put above line)-/-foreign financing
</t>
        </r>
      </text>
    </comment>
    <comment ref="FF1154" authorId="0" shapeId="0" xr:uid="{00000000-0006-0000-0200-0000E4000000}">
      <text>
        <r>
          <rPr>
            <b/>
            <sz val="9"/>
            <color indexed="81"/>
            <rFont val="Tahoma"/>
            <family val="2"/>
          </rPr>
          <t>Author:</t>
        </r>
        <r>
          <rPr>
            <sz val="9"/>
            <color indexed="81"/>
            <rFont val="Tahoma"/>
            <family val="2"/>
          </rPr>
          <t xml:space="preserve">
-/-net acquisition of fin assets (-=financing)+net incurrence liab (+=financing)+netL (we put above line)-/-foreign financing
</t>
        </r>
      </text>
    </comment>
    <comment ref="FG1154" authorId="0" shapeId="0" xr:uid="{00000000-0006-0000-0200-0000E5000000}">
      <text>
        <r>
          <rPr>
            <b/>
            <sz val="9"/>
            <color indexed="81"/>
            <rFont val="Tahoma"/>
            <family val="2"/>
          </rPr>
          <t>Author:</t>
        </r>
        <r>
          <rPr>
            <sz val="9"/>
            <color indexed="81"/>
            <rFont val="Tahoma"/>
            <family val="2"/>
          </rPr>
          <t xml:space="preserve">
-/-net acquisition of fin assets (-=financing)+net incurrence liab (+=financing)+netL (we put above line)-/-foreign financing
</t>
        </r>
      </text>
    </comment>
    <comment ref="FH1154" authorId="0" shapeId="0" xr:uid="{00000000-0006-0000-0200-0000E6000000}">
      <text>
        <r>
          <rPr>
            <b/>
            <sz val="9"/>
            <color indexed="81"/>
            <rFont val="Tahoma"/>
            <family val="2"/>
          </rPr>
          <t>Author:</t>
        </r>
        <r>
          <rPr>
            <sz val="9"/>
            <color indexed="81"/>
            <rFont val="Tahoma"/>
            <family val="2"/>
          </rPr>
          <t xml:space="preserve">
-/-net acquisition of fin assets (-=financing)+net incurrence liab (+=financing)+netL (we put above line)-/-foreign financing
</t>
        </r>
      </text>
    </comment>
    <comment ref="FI1154" authorId="0" shapeId="0" xr:uid="{00000000-0006-0000-0200-0000E7000000}">
      <text>
        <r>
          <rPr>
            <b/>
            <sz val="9"/>
            <color indexed="81"/>
            <rFont val="Tahoma"/>
            <family val="2"/>
          </rPr>
          <t>Author:</t>
        </r>
        <r>
          <rPr>
            <sz val="9"/>
            <color indexed="81"/>
            <rFont val="Tahoma"/>
            <family val="2"/>
          </rPr>
          <t xml:space="preserve">
-/-net acquisition of fin assets (-=financing)+net incurrence liab (+=financing)+netL (we put above line)-/-foreign financing
</t>
        </r>
      </text>
    </comment>
    <comment ref="FJ1154" authorId="0" shapeId="0" xr:uid="{00000000-0006-0000-0200-0000E8000000}">
      <text>
        <r>
          <rPr>
            <b/>
            <sz val="9"/>
            <color indexed="81"/>
            <rFont val="Tahoma"/>
            <family val="2"/>
          </rPr>
          <t>Author:</t>
        </r>
        <r>
          <rPr>
            <sz val="9"/>
            <color indexed="81"/>
            <rFont val="Tahoma"/>
            <family val="2"/>
          </rPr>
          <t xml:space="preserve">
-/-net acquisition of fin assets (-=financing)+net incurrence liab (+=financing)+netL (we put above line)-/-foreign financing
</t>
        </r>
      </text>
    </comment>
    <comment ref="FK1154" authorId="0" shapeId="0" xr:uid="{00000000-0006-0000-0200-0000E9000000}">
      <text>
        <r>
          <rPr>
            <b/>
            <sz val="9"/>
            <color indexed="81"/>
            <rFont val="Tahoma"/>
            <family val="2"/>
          </rPr>
          <t>Author:</t>
        </r>
        <r>
          <rPr>
            <sz val="9"/>
            <color indexed="81"/>
            <rFont val="Tahoma"/>
            <family val="2"/>
          </rPr>
          <t xml:space="preserve">
-/-net acquisition of fin assets (-=financing)+net incurrence liab (+=financing)+netL (we put above line)-/-foreign financing
</t>
        </r>
      </text>
    </comment>
    <comment ref="FL1154" authorId="0" shapeId="0" xr:uid="{00000000-0006-0000-0200-0000EA000000}">
      <text>
        <r>
          <rPr>
            <b/>
            <sz val="9"/>
            <color indexed="81"/>
            <rFont val="Tahoma"/>
            <family val="2"/>
          </rPr>
          <t>Author:</t>
        </r>
        <r>
          <rPr>
            <sz val="9"/>
            <color indexed="81"/>
            <rFont val="Tahoma"/>
            <family val="2"/>
          </rPr>
          <t xml:space="preserve">
-/-net acquisition of fin assets (-=financing)+net incurrence liab (+=financing)+netL (we put above line)-/-foreign financing
</t>
        </r>
      </text>
    </comment>
    <comment ref="FM1154" authorId="0" shapeId="0" xr:uid="{00000000-0006-0000-0200-0000EB000000}">
      <text>
        <r>
          <rPr>
            <b/>
            <sz val="9"/>
            <color indexed="81"/>
            <rFont val="Tahoma"/>
            <family val="2"/>
          </rPr>
          <t>Author:</t>
        </r>
        <r>
          <rPr>
            <sz val="9"/>
            <color indexed="81"/>
            <rFont val="Tahoma"/>
            <family val="2"/>
          </rPr>
          <t xml:space="preserve">
-/-net acquisition of fin assets (-=financing)+net incurrence liab (+=financing)+netL (we put above line)-/-foreign financing
</t>
        </r>
      </text>
    </comment>
    <comment ref="FN1154" authorId="0" shapeId="0" xr:uid="{00000000-0006-0000-0200-0000EC000000}">
      <text>
        <r>
          <rPr>
            <b/>
            <sz val="9"/>
            <color indexed="81"/>
            <rFont val="Tahoma"/>
            <family val="2"/>
          </rPr>
          <t>Author:</t>
        </r>
        <r>
          <rPr>
            <sz val="9"/>
            <color indexed="81"/>
            <rFont val="Tahoma"/>
            <family val="2"/>
          </rPr>
          <t xml:space="preserve">
-/-net acquisition of fin assets (-=financing)+net incurrence liab (+=financing)+netL (we put above line)-/-foreign financing
</t>
        </r>
      </text>
    </comment>
    <comment ref="FO1154" authorId="0" shapeId="0" xr:uid="{00000000-0006-0000-0200-0000ED000000}">
      <text>
        <r>
          <rPr>
            <b/>
            <sz val="9"/>
            <color indexed="81"/>
            <rFont val="Tahoma"/>
            <family val="2"/>
          </rPr>
          <t>Author:</t>
        </r>
        <r>
          <rPr>
            <sz val="9"/>
            <color indexed="81"/>
            <rFont val="Tahoma"/>
            <family val="2"/>
          </rPr>
          <t xml:space="preserve">
-/-net acquisition of fin assets (-=financing)+net incurrence liab (+=financing)+netL (we put above line)-/-foreign financing
</t>
        </r>
      </text>
    </comment>
    <comment ref="FP1154" authorId="0" shapeId="0" xr:uid="{00000000-0006-0000-0200-0000EE000000}">
      <text>
        <r>
          <rPr>
            <b/>
            <sz val="9"/>
            <color indexed="81"/>
            <rFont val="Tahoma"/>
            <family val="2"/>
          </rPr>
          <t>Author:</t>
        </r>
        <r>
          <rPr>
            <sz val="9"/>
            <color indexed="81"/>
            <rFont val="Tahoma"/>
            <family val="2"/>
          </rPr>
          <t xml:space="preserve">
-/-net acquisition of fin assets (-=financing)+net incurrence liab (+=financing)+netL (we put above line)-/-foreign financing
</t>
        </r>
      </text>
    </comment>
    <comment ref="EY1155" authorId="0" shapeId="0" xr:uid="{00000000-0006-0000-0200-0000EF000000}">
      <text>
        <r>
          <rPr>
            <b/>
            <sz val="9"/>
            <color indexed="81"/>
            <rFont val="Tahoma"/>
            <family val="2"/>
          </rPr>
          <t>Author:</t>
        </r>
        <r>
          <rPr>
            <sz val="9"/>
            <color indexed="81"/>
            <rFont val="Tahoma"/>
            <family val="2"/>
          </rPr>
          <t xml:space="preserve">
some drawdown of deposits 8 (+) and net repayment of banks (-)</t>
        </r>
      </text>
    </comment>
    <comment ref="EZ1155" authorId="0" shapeId="0" xr:uid="{00000000-0006-0000-0200-0000F0000000}">
      <text>
        <r>
          <rPr>
            <b/>
            <sz val="9"/>
            <color indexed="81"/>
            <rFont val="Tahoma"/>
            <family val="2"/>
          </rPr>
          <t>Author:</t>
        </r>
        <r>
          <rPr>
            <sz val="9"/>
            <color indexed="81"/>
            <rFont val="Tahoma"/>
            <family val="2"/>
          </rPr>
          <t xml:space="preserve">
some drawdown of deposits 8 (+) and net repayment of banks (-)</t>
        </r>
      </text>
    </comment>
    <comment ref="FA1155" authorId="0" shapeId="0" xr:uid="{00000000-0006-0000-0200-0000F1000000}">
      <text>
        <r>
          <rPr>
            <b/>
            <sz val="9"/>
            <color indexed="81"/>
            <rFont val="Tahoma"/>
            <family val="2"/>
          </rPr>
          <t>Author:</t>
        </r>
        <r>
          <rPr>
            <sz val="9"/>
            <color indexed="81"/>
            <rFont val="Tahoma"/>
            <family val="2"/>
          </rPr>
          <t xml:space="preserve">
some drawdown of deposits 8 (+) and net repayment of banks (-)</t>
        </r>
      </text>
    </comment>
    <comment ref="FB1155" authorId="0" shapeId="0" xr:uid="{00000000-0006-0000-0200-0000F2000000}">
      <text>
        <r>
          <rPr>
            <b/>
            <sz val="9"/>
            <color indexed="81"/>
            <rFont val="Tahoma"/>
            <family val="2"/>
          </rPr>
          <t>Author:</t>
        </r>
        <r>
          <rPr>
            <sz val="9"/>
            <color indexed="81"/>
            <rFont val="Tahoma"/>
            <family val="2"/>
          </rPr>
          <t xml:space="preserve">
some drawdown of deposits 8 (+) and net repayment of banks (-)</t>
        </r>
      </text>
    </comment>
    <comment ref="FC1155" authorId="0" shapeId="0" xr:uid="{00000000-0006-0000-0200-0000F3000000}">
      <text>
        <r>
          <rPr>
            <b/>
            <sz val="9"/>
            <color indexed="81"/>
            <rFont val="Tahoma"/>
            <family val="2"/>
          </rPr>
          <t>Author:</t>
        </r>
        <r>
          <rPr>
            <sz val="9"/>
            <color indexed="81"/>
            <rFont val="Tahoma"/>
            <family val="2"/>
          </rPr>
          <t xml:space="preserve">
some drawdown of deposits 8 (+) and net repayment of banks (-)</t>
        </r>
      </text>
    </comment>
    <comment ref="FD1155" authorId="0" shapeId="0" xr:uid="{00000000-0006-0000-0200-0000F4000000}">
      <text>
        <r>
          <rPr>
            <b/>
            <sz val="9"/>
            <color indexed="81"/>
            <rFont val="Tahoma"/>
            <family val="2"/>
          </rPr>
          <t>Author:</t>
        </r>
        <r>
          <rPr>
            <sz val="9"/>
            <color indexed="81"/>
            <rFont val="Tahoma"/>
            <family val="2"/>
          </rPr>
          <t xml:space="preserve">
some drawdown of deposits 8 (+) and net repayment of banks (-)</t>
        </r>
      </text>
    </comment>
    <comment ref="FE1155" authorId="0" shapeId="0" xr:uid="{00000000-0006-0000-0200-0000F5000000}">
      <text>
        <r>
          <rPr>
            <b/>
            <sz val="9"/>
            <color indexed="81"/>
            <rFont val="Tahoma"/>
            <family val="2"/>
          </rPr>
          <t>Author:</t>
        </r>
        <r>
          <rPr>
            <sz val="9"/>
            <color indexed="81"/>
            <rFont val="Tahoma"/>
            <family val="2"/>
          </rPr>
          <t xml:space="preserve">
some drawdown of deposits 8 (+) and net repayment of banks (-)</t>
        </r>
      </text>
    </comment>
    <comment ref="FF1155" authorId="0" shapeId="0" xr:uid="{00000000-0006-0000-0200-0000F6000000}">
      <text>
        <r>
          <rPr>
            <b/>
            <sz val="9"/>
            <color indexed="81"/>
            <rFont val="Tahoma"/>
            <family val="2"/>
          </rPr>
          <t>Author:</t>
        </r>
        <r>
          <rPr>
            <sz val="9"/>
            <color indexed="81"/>
            <rFont val="Tahoma"/>
            <family val="2"/>
          </rPr>
          <t xml:space="preserve">
some drawdown of deposits 8 (+) and net repayment of banks (-)</t>
        </r>
      </text>
    </comment>
    <comment ref="FG1155" authorId="0" shapeId="0" xr:uid="{00000000-0006-0000-0200-0000F7000000}">
      <text>
        <r>
          <rPr>
            <b/>
            <sz val="9"/>
            <color indexed="81"/>
            <rFont val="Tahoma"/>
            <family val="2"/>
          </rPr>
          <t>Author:</t>
        </r>
        <r>
          <rPr>
            <sz val="9"/>
            <color indexed="81"/>
            <rFont val="Tahoma"/>
            <family val="2"/>
          </rPr>
          <t xml:space="preserve">
some drawdown of deposits 8 (+) and net repayment of banks (-)</t>
        </r>
      </text>
    </comment>
    <comment ref="FH1155" authorId="0" shapeId="0" xr:uid="{00000000-0006-0000-0200-0000F8000000}">
      <text>
        <r>
          <rPr>
            <b/>
            <sz val="9"/>
            <color indexed="81"/>
            <rFont val="Tahoma"/>
            <family val="2"/>
          </rPr>
          <t>Author:</t>
        </r>
        <r>
          <rPr>
            <sz val="9"/>
            <color indexed="81"/>
            <rFont val="Tahoma"/>
            <family val="2"/>
          </rPr>
          <t xml:space="preserve">
some drawdown of deposits 8 (+) and net repayment of banks (-)</t>
        </r>
      </text>
    </comment>
    <comment ref="FI1155" authorId="0" shapeId="0" xr:uid="{00000000-0006-0000-0200-0000F9000000}">
      <text>
        <r>
          <rPr>
            <b/>
            <sz val="9"/>
            <color indexed="81"/>
            <rFont val="Tahoma"/>
            <family val="2"/>
          </rPr>
          <t>Author:</t>
        </r>
        <r>
          <rPr>
            <sz val="9"/>
            <color indexed="81"/>
            <rFont val="Tahoma"/>
            <family val="2"/>
          </rPr>
          <t xml:space="preserve">
some drawdown of deposits 8 (+) and net repayment of banks (-)</t>
        </r>
      </text>
    </comment>
    <comment ref="FJ1155" authorId="0" shapeId="0" xr:uid="{00000000-0006-0000-0200-0000FA000000}">
      <text>
        <r>
          <rPr>
            <b/>
            <sz val="9"/>
            <color indexed="81"/>
            <rFont val="Tahoma"/>
            <family val="2"/>
          </rPr>
          <t>Author:</t>
        </r>
        <r>
          <rPr>
            <sz val="9"/>
            <color indexed="81"/>
            <rFont val="Tahoma"/>
            <family val="2"/>
          </rPr>
          <t xml:space="preserve">
some drawdown of deposits 8 (+) and net repayment of banks (-)</t>
        </r>
      </text>
    </comment>
    <comment ref="FK1155" authorId="0" shapeId="0" xr:uid="{00000000-0006-0000-0200-0000FB000000}">
      <text>
        <r>
          <rPr>
            <b/>
            <sz val="9"/>
            <color indexed="81"/>
            <rFont val="Tahoma"/>
            <family val="2"/>
          </rPr>
          <t>Author:</t>
        </r>
        <r>
          <rPr>
            <sz val="9"/>
            <color indexed="81"/>
            <rFont val="Tahoma"/>
            <family val="2"/>
          </rPr>
          <t xml:space="preserve">
some drawdown of deposits 8 (+) and net repayment of banks (-)</t>
        </r>
      </text>
    </comment>
    <comment ref="FL1155" authorId="0" shapeId="0" xr:uid="{00000000-0006-0000-0200-0000FC000000}">
      <text>
        <r>
          <rPr>
            <b/>
            <sz val="9"/>
            <color indexed="81"/>
            <rFont val="Tahoma"/>
            <family val="2"/>
          </rPr>
          <t>Author:</t>
        </r>
        <r>
          <rPr>
            <sz val="9"/>
            <color indexed="81"/>
            <rFont val="Tahoma"/>
            <family val="2"/>
          </rPr>
          <t xml:space="preserve">
some drawdown of deposits 8 (+) and net repayment of banks (-)</t>
        </r>
      </text>
    </comment>
    <comment ref="FM1155" authorId="0" shapeId="0" xr:uid="{00000000-0006-0000-0200-0000FD000000}">
      <text>
        <r>
          <rPr>
            <b/>
            <sz val="9"/>
            <color indexed="81"/>
            <rFont val="Tahoma"/>
            <family val="2"/>
          </rPr>
          <t>Author:</t>
        </r>
        <r>
          <rPr>
            <sz val="9"/>
            <color indexed="81"/>
            <rFont val="Tahoma"/>
            <family val="2"/>
          </rPr>
          <t xml:space="preserve">
some drawdown of deposits 8 (+) and net repayment of banks (-)</t>
        </r>
      </text>
    </comment>
    <comment ref="FN1155" authorId="0" shapeId="0" xr:uid="{00000000-0006-0000-0200-0000FE000000}">
      <text>
        <r>
          <rPr>
            <b/>
            <sz val="9"/>
            <color indexed="81"/>
            <rFont val="Tahoma"/>
            <family val="2"/>
          </rPr>
          <t>Author:</t>
        </r>
        <r>
          <rPr>
            <sz val="9"/>
            <color indexed="81"/>
            <rFont val="Tahoma"/>
            <family val="2"/>
          </rPr>
          <t xml:space="preserve">
some drawdown of deposits 8 (+) and net repayment of banks (-)</t>
        </r>
      </text>
    </comment>
    <comment ref="FO1155" authorId="0" shapeId="0" xr:uid="{00000000-0006-0000-0200-0000FF000000}">
      <text>
        <r>
          <rPr>
            <b/>
            <sz val="9"/>
            <color indexed="81"/>
            <rFont val="Tahoma"/>
            <family val="2"/>
          </rPr>
          <t>Author:</t>
        </r>
        <r>
          <rPr>
            <sz val="9"/>
            <color indexed="81"/>
            <rFont val="Tahoma"/>
            <family val="2"/>
          </rPr>
          <t xml:space="preserve">
some drawdown of deposits 8 (+) and net repayment of banks (-)</t>
        </r>
      </text>
    </comment>
    <comment ref="FP1155" authorId="0" shapeId="0" xr:uid="{00000000-0006-0000-0200-000000010000}">
      <text>
        <r>
          <rPr>
            <b/>
            <sz val="9"/>
            <color indexed="81"/>
            <rFont val="Tahoma"/>
            <family val="2"/>
          </rPr>
          <t>Author:</t>
        </r>
        <r>
          <rPr>
            <sz val="9"/>
            <color indexed="81"/>
            <rFont val="Tahoma"/>
            <family val="2"/>
          </rPr>
          <t xml:space="preserve">
some drawdown of deposits 8 (+) and net repayment of banks (-)</t>
        </r>
      </text>
    </comment>
    <comment ref="EY1156" authorId="0" shapeId="0" xr:uid="{00000000-0006-0000-0200-000001010000}">
      <text>
        <r>
          <rPr>
            <b/>
            <sz val="9"/>
            <color indexed="81"/>
            <rFont val="Tahoma"/>
            <family val="2"/>
          </rPr>
          <t>Author:</t>
        </r>
        <r>
          <rPr>
            <sz val="9"/>
            <color indexed="81"/>
            <rFont val="Tahoma"/>
            <family val="2"/>
          </rPr>
          <t xml:space="preserve">
nonbanks bought securities (=) and accts payable (+)</t>
        </r>
      </text>
    </comment>
    <comment ref="EZ1156" authorId="0" shapeId="0" xr:uid="{00000000-0006-0000-0200-000002010000}">
      <text>
        <r>
          <rPr>
            <b/>
            <sz val="9"/>
            <color indexed="81"/>
            <rFont val="Tahoma"/>
            <family val="2"/>
          </rPr>
          <t>Author:</t>
        </r>
        <r>
          <rPr>
            <sz val="9"/>
            <color indexed="81"/>
            <rFont val="Tahoma"/>
            <family val="2"/>
          </rPr>
          <t xml:space="preserve">
nonbanks bought securities (=) and accts payable (+)</t>
        </r>
      </text>
    </comment>
    <comment ref="FA1156" authorId="0" shapeId="0" xr:uid="{00000000-0006-0000-0200-000003010000}">
      <text>
        <r>
          <rPr>
            <b/>
            <sz val="9"/>
            <color indexed="81"/>
            <rFont val="Tahoma"/>
            <family val="2"/>
          </rPr>
          <t>Author:</t>
        </r>
        <r>
          <rPr>
            <sz val="9"/>
            <color indexed="81"/>
            <rFont val="Tahoma"/>
            <family val="2"/>
          </rPr>
          <t xml:space="preserve">
nonbanks bought securities (=) and accts payable (+)</t>
        </r>
      </text>
    </comment>
    <comment ref="FB1156" authorId="0" shapeId="0" xr:uid="{00000000-0006-0000-0200-000004010000}">
      <text>
        <r>
          <rPr>
            <b/>
            <sz val="9"/>
            <color indexed="81"/>
            <rFont val="Tahoma"/>
            <family val="2"/>
          </rPr>
          <t>Author:</t>
        </r>
        <r>
          <rPr>
            <sz val="9"/>
            <color indexed="81"/>
            <rFont val="Tahoma"/>
            <family val="2"/>
          </rPr>
          <t xml:space="preserve">
nonbanks bought securities (=) and accts payable (+)</t>
        </r>
      </text>
    </comment>
    <comment ref="FC1156" authorId="0" shapeId="0" xr:uid="{00000000-0006-0000-0200-000005010000}">
      <text>
        <r>
          <rPr>
            <b/>
            <sz val="9"/>
            <color indexed="81"/>
            <rFont val="Tahoma"/>
            <family val="2"/>
          </rPr>
          <t>Author:</t>
        </r>
        <r>
          <rPr>
            <sz val="9"/>
            <color indexed="81"/>
            <rFont val="Tahoma"/>
            <family val="2"/>
          </rPr>
          <t xml:space="preserve">
nonbanks bought securities (=) and accts payable (+)</t>
        </r>
      </text>
    </comment>
    <comment ref="FD1156" authorId="0" shapeId="0" xr:uid="{00000000-0006-0000-0200-000006010000}">
      <text>
        <r>
          <rPr>
            <b/>
            <sz val="9"/>
            <color indexed="81"/>
            <rFont val="Tahoma"/>
            <family val="2"/>
          </rPr>
          <t>Author:</t>
        </r>
        <r>
          <rPr>
            <sz val="9"/>
            <color indexed="81"/>
            <rFont val="Tahoma"/>
            <family val="2"/>
          </rPr>
          <t xml:space="preserve">
nonbanks bought securities (=) and accts payable (+)</t>
        </r>
      </text>
    </comment>
    <comment ref="FE1156" authorId="0" shapeId="0" xr:uid="{00000000-0006-0000-0200-000007010000}">
      <text>
        <r>
          <rPr>
            <b/>
            <sz val="9"/>
            <color indexed="81"/>
            <rFont val="Tahoma"/>
            <family val="2"/>
          </rPr>
          <t>Author:</t>
        </r>
        <r>
          <rPr>
            <sz val="9"/>
            <color indexed="81"/>
            <rFont val="Tahoma"/>
            <family val="2"/>
          </rPr>
          <t xml:space="preserve">
nonbanks bought securities (=) and accts payable (+)</t>
        </r>
      </text>
    </comment>
    <comment ref="FF1156" authorId="0" shapeId="0" xr:uid="{00000000-0006-0000-0200-000008010000}">
      <text>
        <r>
          <rPr>
            <b/>
            <sz val="9"/>
            <color indexed="81"/>
            <rFont val="Tahoma"/>
            <family val="2"/>
          </rPr>
          <t>Author:</t>
        </r>
        <r>
          <rPr>
            <sz val="9"/>
            <color indexed="81"/>
            <rFont val="Tahoma"/>
            <family val="2"/>
          </rPr>
          <t xml:space="preserve">
nonbanks bought securities (=) and accts payable (+)</t>
        </r>
      </text>
    </comment>
    <comment ref="FG1156" authorId="0" shapeId="0" xr:uid="{00000000-0006-0000-0200-000009010000}">
      <text>
        <r>
          <rPr>
            <b/>
            <sz val="9"/>
            <color indexed="81"/>
            <rFont val="Tahoma"/>
            <family val="2"/>
          </rPr>
          <t>Author:</t>
        </r>
        <r>
          <rPr>
            <sz val="9"/>
            <color indexed="81"/>
            <rFont val="Tahoma"/>
            <family val="2"/>
          </rPr>
          <t xml:space="preserve">
nonbanks bought securities (=) and accts payable (+)</t>
        </r>
      </text>
    </comment>
    <comment ref="FH1156" authorId="0" shapeId="0" xr:uid="{00000000-0006-0000-0200-00000A010000}">
      <text>
        <r>
          <rPr>
            <b/>
            <sz val="9"/>
            <color indexed="81"/>
            <rFont val="Tahoma"/>
            <family val="2"/>
          </rPr>
          <t>Author:</t>
        </r>
        <r>
          <rPr>
            <sz val="9"/>
            <color indexed="81"/>
            <rFont val="Tahoma"/>
            <family val="2"/>
          </rPr>
          <t xml:space="preserve">
nonbanks bought securities (=) and accts payable (+)</t>
        </r>
      </text>
    </comment>
    <comment ref="FI1156" authorId="0" shapeId="0" xr:uid="{00000000-0006-0000-0200-00000B010000}">
      <text>
        <r>
          <rPr>
            <b/>
            <sz val="9"/>
            <color indexed="81"/>
            <rFont val="Tahoma"/>
            <family val="2"/>
          </rPr>
          <t>Author:</t>
        </r>
        <r>
          <rPr>
            <sz val="9"/>
            <color indexed="81"/>
            <rFont val="Tahoma"/>
            <family val="2"/>
          </rPr>
          <t xml:space="preserve">
nonbanks bought securities (=) and accts payable (+)</t>
        </r>
      </text>
    </comment>
    <comment ref="FJ1156" authorId="0" shapeId="0" xr:uid="{00000000-0006-0000-0200-00000C010000}">
      <text>
        <r>
          <rPr>
            <b/>
            <sz val="9"/>
            <color indexed="81"/>
            <rFont val="Tahoma"/>
            <family val="2"/>
          </rPr>
          <t>Author:</t>
        </r>
        <r>
          <rPr>
            <sz val="9"/>
            <color indexed="81"/>
            <rFont val="Tahoma"/>
            <family val="2"/>
          </rPr>
          <t xml:space="preserve">
nonbanks bought securities (=) and accts payable (+)</t>
        </r>
      </text>
    </comment>
    <comment ref="FK1156" authorId="0" shapeId="0" xr:uid="{00000000-0006-0000-0200-00000D010000}">
      <text>
        <r>
          <rPr>
            <b/>
            <sz val="9"/>
            <color indexed="81"/>
            <rFont val="Tahoma"/>
            <family val="2"/>
          </rPr>
          <t>Author:</t>
        </r>
        <r>
          <rPr>
            <sz val="9"/>
            <color indexed="81"/>
            <rFont val="Tahoma"/>
            <family val="2"/>
          </rPr>
          <t xml:space="preserve">
nonbanks bought securities (=) and accts payable (+)</t>
        </r>
      </text>
    </comment>
    <comment ref="FL1156" authorId="0" shapeId="0" xr:uid="{00000000-0006-0000-0200-00000E010000}">
      <text>
        <r>
          <rPr>
            <b/>
            <sz val="9"/>
            <color indexed="81"/>
            <rFont val="Tahoma"/>
            <family val="2"/>
          </rPr>
          <t>Author:</t>
        </r>
        <r>
          <rPr>
            <sz val="9"/>
            <color indexed="81"/>
            <rFont val="Tahoma"/>
            <family val="2"/>
          </rPr>
          <t xml:space="preserve">
nonbanks bought securities (=) and accts payable (+)</t>
        </r>
      </text>
    </comment>
    <comment ref="FM1156" authorId="0" shapeId="0" xr:uid="{00000000-0006-0000-0200-00000F010000}">
      <text>
        <r>
          <rPr>
            <b/>
            <sz val="9"/>
            <color indexed="81"/>
            <rFont val="Tahoma"/>
            <family val="2"/>
          </rPr>
          <t>Author:</t>
        </r>
        <r>
          <rPr>
            <sz val="9"/>
            <color indexed="81"/>
            <rFont val="Tahoma"/>
            <family val="2"/>
          </rPr>
          <t xml:space="preserve">
nonbanks bought securities (=) and accts payable (+)</t>
        </r>
      </text>
    </comment>
    <comment ref="FN1156" authorId="0" shapeId="0" xr:uid="{00000000-0006-0000-0200-000010010000}">
      <text>
        <r>
          <rPr>
            <b/>
            <sz val="9"/>
            <color indexed="81"/>
            <rFont val="Tahoma"/>
            <family val="2"/>
          </rPr>
          <t>Author:</t>
        </r>
        <r>
          <rPr>
            <sz val="9"/>
            <color indexed="81"/>
            <rFont val="Tahoma"/>
            <family val="2"/>
          </rPr>
          <t xml:space="preserve">
nonbanks bought securities (=) and accts payable (+)</t>
        </r>
      </text>
    </comment>
    <comment ref="FO1156" authorId="0" shapeId="0" xr:uid="{00000000-0006-0000-0200-000011010000}">
      <text>
        <r>
          <rPr>
            <b/>
            <sz val="9"/>
            <color indexed="81"/>
            <rFont val="Tahoma"/>
            <family val="2"/>
          </rPr>
          <t>Author:</t>
        </r>
        <r>
          <rPr>
            <sz val="9"/>
            <color indexed="81"/>
            <rFont val="Tahoma"/>
            <family val="2"/>
          </rPr>
          <t xml:space="preserve">
nonbanks bought securities (=) and accts payable (+)</t>
        </r>
      </text>
    </comment>
    <comment ref="FP1156" authorId="0" shapeId="0" xr:uid="{00000000-0006-0000-0200-000012010000}">
      <text>
        <r>
          <rPr>
            <b/>
            <sz val="9"/>
            <color indexed="81"/>
            <rFont val="Tahoma"/>
            <family val="2"/>
          </rPr>
          <t>Author:</t>
        </r>
        <r>
          <rPr>
            <sz val="9"/>
            <color indexed="81"/>
            <rFont val="Tahoma"/>
            <family val="2"/>
          </rPr>
          <t xml:space="preserve">
nonbanks bought securities (=) and accts payable (+)</t>
        </r>
      </text>
    </comment>
    <comment ref="E1157" authorId="0" shapeId="0" xr:uid="{00000000-0006-0000-0200-000013010000}">
      <text>
        <r>
          <rPr>
            <b/>
            <sz val="9"/>
            <color indexed="81"/>
            <rFont val="Tahoma"/>
            <family val="2"/>
          </rPr>
          <t>Author:</t>
        </r>
        <r>
          <rPr>
            <sz val="9"/>
            <color indexed="81"/>
            <rFont val="Tahoma"/>
            <family val="2"/>
          </rPr>
          <t xml:space="preserve">
check: deficit plus financing is minus E&amp;O or stat discrepancy
</t>
        </r>
      </text>
    </comment>
    <comment ref="F1157" authorId="0" shapeId="0" xr:uid="{00000000-0006-0000-0200-000014010000}">
      <text>
        <r>
          <rPr>
            <b/>
            <sz val="9"/>
            <color indexed="81"/>
            <rFont val="Tahoma"/>
            <family val="2"/>
          </rPr>
          <t>Author:</t>
        </r>
        <r>
          <rPr>
            <sz val="9"/>
            <color indexed="81"/>
            <rFont val="Tahoma"/>
            <family val="2"/>
          </rPr>
          <t xml:space="preserve">
check: deficit plus financing is minus E&amp;O or stat discrepancy
</t>
        </r>
      </text>
    </comment>
    <comment ref="G1157" authorId="0" shapeId="0" xr:uid="{00000000-0006-0000-0200-000015010000}">
      <text>
        <r>
          <rPr>
            <b/>
            <sz val="9"/>
            <color indexed="81"/>
            <rFont val="Tahoma"/>
            <family val="2"/>
          </rPr>
          <t>Author:</t>
        </r>
        <r>
          <rPr>
            <sz val="9"/>
            <color indexed="81"/>
            <rFont val="Tahoma"/>
            <family val="2"/>
          </rPr>
          <t xml:space="preserve">
check: deficit plus financing is minus E&amp;O or stat discrepancy
</t>
        </r>
      </text>
    </comment>
    <comment ref="H1157" authorId="0" shapeId="0" xr:uid="{00000000-0006-0000-0200-000016010000}">
      <text>
        <r>
          <rPr>
            <b/>
            <sz val="9"/>
            <color indexed="81"/>
            <rFont val="Tahoma"/>
            <family val="2"/>
          </rPr>
          <t>Author:</t>
        </r>
        <r>
          <rPr>
            <sz val="9"/>
            <color indexed="81"/>
            <rFont val="Tahoma"/>
            <family val="2"/>
          </rPr>
          <t xml:space="preserve">
check: deficit plus financing is minus E&amp;O or stat discrepancy
</t>
        </r>
      </text>
    </comment>
    <comment ref="I1157" authorId="0" shapeId="0" xr:uid="{00000000-0006-0000-0200-000017010000}">
      <text>
        <r>
          <rPr>
            <b/>
            <sz val="9"/>
            <color indexed="81"/>
            <rFont val="Tahoma"/>
            <family val="2"/>
          </rPr>
          <t>Author:</t>
        </r>
        <r>
          <rPr>
            <sz val="9"/>
            <color indexed="81"/>
            <rFont val="Tahoma"/>
            <family val="2"/>
          </rPr>
          <t xml:space="preserve">
check: deficit plus financing is minus E&amp;O or stat discrepancy
</t>
        </r>
      </text>
    </comment>
    <comment ref="J1157" authorId="0" shapeId="0" xr:uid="{00000000-0006-0000-0200-000018010000}">
      <text>
        <r>
          <rPr>
            <b/>
            <sz val="9"/>
            <color indexed="81"/>
            <rFont val="Tahoma"/>
            <family val="2"/>
          </rPr>
          <t>Author:</t>
        </r>
        <r>
          <rPr>
            <sz val="9"/>
            <color indexed="81"/>
            <rFont val="Tahoma"/>
            <family val="2"/>
          </rPr>
          <t xml:space="preserve">
check: deficit plus financing is minus E&amp;O or stat discrepancy
</t>
        </r>
      </text>
    </comment>
    <comment ref="K1157" authorId="0" shapeId="0" xr:uid="{00000000-0006-0000-0200-000019010000}">
      <text>
        <r>
          <rPr>
            <b/>
            <sz val="9"/>
            <color indexed="81"/>
            <rFont val="Tahoma"/>
            <family val="2"/>
          </rPr>
          <t>Author:</t>
        </r>
        <r>
          <rPr>
            <sz val="9"/>
            <color indexed="81"/>
            <rFont val="Tahoma"/>
            <family val="2"/>
          </rPr>
          <t xml:space="preserve">
check: deficit plus financing is minus E&amp;O or stat discrepancy
</t>
        </r>
      </text>
    </comment>
    <comment ref="L1157" authorId="0" shapeId="0" xr:uid="{00000000-0006-0000-0200-00001A010000}">
      <text>
        <r>
          <rPr>
            <b/>
            <sz val="9"/>
            <color indexed="81"/>
            <rFont val="Tahoma"/>
            <family val="2"/>
          </rPr>
          <t>Author:</t>
        </r>
        <r>
          <rPr>
            <sz val="9"/>
            <color indexed="81"/>
            <rFont val="Tahoma"/>
            <family val="2"/>
          </rPr>
          <t xml:space="preserve">
check: deficit plus financing is minus E&amp;O or stat discrepancy
</t>
        </r>
      </text>
    </comment>
    <comment ref="M1157" authorId="0" shapeId="0" xr:uid="{00000000-0006-0000-0200-00001B010000}">
      <text>
        <r>
          <rPr>
            <b/>
            <sz val="9"/>
            <color indexed="81"/>
            <rFont val="Tahoma"/>
            <family val="2"/>
          </rPr>
          <t>Author:</t>
        </r>
        <r>
          <rPr>
            <sz val="9"/>
            <color indexed="81"/>
            <rFont val="Tahoma"/>
            <family val="2"/>
          </rPr>
          <t xml:space="preserve">
check: deficit plus financing is minus E&amp;O or stat discrepancy
</t>
        </r>
      </text>
    </comment>
    <comment ref="N1157" authorId="0" shapeId="0" xr:uid="{00000000-0006-0000-0200-00001C010000}">
      <text>
        <r>
          <rPr>
            <b/>
            <sz val="9"/>
            <color indexed="81"/>
            <rFont val="Tahoma"/>
            <family val="2"/>
          </rPr>
          <t>Author:</t>
        </r>
        <r>
          <rPr>
            <sz val="9"/>
            <color indexed="81"/>
            <rFont val="Tahoma"/>
            <family val="2"/>
          </rPr>
          <t xml:space="preserve">
check: deficit plus financing is minus E&amp;O or stat discrepancy
</t>
        </r>
      </text>
    </comment>
    <comment ref="O1157" authorId="0" shapeId="0" xr:uid="{00000000-0006-0000-0200-00001D010000}">
      <text>
        <r>
          <rPr>
            <b/>
            <sz val="9"/>
            <color indexed="81"/>
            <rFont val="Tahoma"/>
            <family val="2"/>
          </rPr>
          <t>Author:</t>
        </r>
        <r>
          <rPr>
            <sz val="9"/>
            <color indexed="81"/>
            <rFont val="Tahoma"/>
            <family val="2"/>
          </rPr>
          <t xml:space="preserve">
check: deficit plus financing is minus E&amp;O or stat discrepancy
</t>
        </r>
      </text>
    </comment>
    <comment ref="P1157" authorId="0" shapeId="0" xr:uid="{00000000-0006-0000-0200-00001E010000}">
      <text>
        <r>
          <rPr>
            <b/>
            <sz val="9"/>
            <color indexed="81"/>
            <rFont val="Tahoma"/>
            <family val="2"/>
          </rPr>
          <t>Author:</t>
        </r>
        <r>
          <rPr>
            <sz val="9"/>
            <color indexed="81"/>
            <rFont val="Tahoma"/>
            <family val="2"/>
          </rPr>
          <t xml:space="preserve">
check: deficit plus financing is minus E&amp;O or stat discrepancy
</t>
        </r>
      </text>
    </comment>
    <comment ref="Q1157" authorId="0" shapeId="0" xr:uid="{00000000-0006-0000-0200-00001F010000}">
      <text>
        <r>
          <rPr>
            <b/>
            <sz val="9"/>
            <color indexed="81"/>
            <rFont val="Tahoma"/>
            <family val="2"/>
          </rPr>
          <t>Author:</t>
        </r>
        <r>
          <rPr>
            <sz val="9"/>
            <color indexed="81"/>
            <rFont val="Tahoma"/>
            <family val="2"/>
          </rPr>
          <t xml:space="preserve">
check: deficit plus financing is minus E&amp;O or stat discrepancy
</t>
        </r>
      </text>
    </comment>
    <comment ref="R1157" authorId="0" shapeId="0" xr:uid="{00000000-0006-0000-0200-000020010000}">
      <text>
        <r>
          <rPr>
            <b/>
            <sz val="9"/>
            <color indexed="81"/>
            <rFont val="Tahoma"/>
            <family val="2"/>
          </rPr>
          <t>Author:</t>
        </r>
        <r>
          <rPr>
            <sz val="9"/>
            <color indexed="81"/>
            <rFont val="Tahoma"/>
            <family val="2"/>
          </rPr>
          <t xml:space="preserve">
check: deficit plus financing is minus E&amp;O or stat discrepancy
</t>
        </r>
      </text>
    </comment>
    <comment ref="S1157" authorId="0" shapeId="0" xr:uid="{00000000-0006-0000-0200-000021010000}">
      <text>
        <r>
          <rPr>
            <b/>
            <sz val="9"/>
            <color indexed="81"/>
            <rFont val="Tahoma"/>
            <family val="2"/>
          </rPr>
          <t>Author:</t>
        </r>
        <r>
          <rPr>
            <sz val="9"/>
            <color indexed="81"/>
            <rFont val="Tahoma"/>
            <family val="2"/>
          </rPr>
          <t xml:space="preserve">
check: deficit plus financing is minus E&amp;O or stat discrepancy
</t>
        </r>
      </text>
    </comment>
    <comment ref="T1157" authorId="0" shapeId="0" xr:uid="{00000000-0006-0000-0200-000022010000}">
      <text>
        <r>
          <rPr>
            <b/>
            <sz val="9"/>
            <color indexed="81"/>
            <rFont val="Tahoma"/>
            <family val="2"/>
          </rPr>
          <t>Author:</t>
        </r>
        <r>
          <rPr>
            <sz val="9"/>
            <color indexed="81"/>
            <rFont val="Tahoma"/>
            <family val="2"/>
          </rPr>
          <t xml:space="preserve">
check: deficit plus financing is minus E&amp;O or stat discrepancy
</t>
        </r>
      </text>
    </comment>
    <comment ref="U1157" authorId="0" shapeId="0" xr:uid="{00000000-0006-0000-0200-000023010000}">
      <text>
        <r>
          <rPr>
            <b/>
            <sz val="9"/>
            <color indexed="81"/>
            <rFont val="Tahoma"/>
            <family val="2"/>
          </rPr>
          <t>Author:</t>
        </r>
        <r>
          <rPr>
            <sz val="9"/>
            <color indexed="81"/>
            <rFont val="Tahoma"/>
            <family val="2"/>
          </rPr>
          <t xml:space="preserve">
check: deficit plus financing is minus E&amp;O or stat discrepancy
</t>
        </r>
      </text>
    </comment>
    <comment ref="V1157" authorId="0" shapeId="0" xr:uid="{00000000-0006-0000-0200-000024010000}">
      <text>
        <r>
          <rPr>
            <b/>
            <sz val="9"/>
            <color indexed="81"/>
            <rFont val="Tahoma"/>
            <family val="2"/>
          </rPr>
          <t>Author:</t>
        </r>
        <r>
          <rPr>
            <sz val="9"/>
            <color indexed="81"/>
            <rFont val="Tahoma"/>
            <family val="2"/>
          </rPr>
          <t xml:space="preserve">
check: deficit plus financing is minus E&amp;O or stat discrepancy
</t>
        </r>
      </text>
    </comment>
    <comment ref="W1157" authorId="0" shapeId="0" xr:uid="{00000000-0006-0000-0200-000025010000}">
      <text>
        <r>
          <rPr>
            <b/>
            <sz val="9"/>
            <color indexed="81"/>
            <rFont val="Tahoma"/>
            <family val="2"/>
          </rPr>
          <t>Author:</t>
        </r>
        <r>
          <rPr>
            <sz val="9"/>
            <color indexed="81"/>
            <rFont val="Tahoma"/>
            <family val="2"/>
          </rPr>
          <t xml:space="preserve">
check: deficit plus financing is minus E&amp;O or stat discrepancy
</t>
        </r>
      </text>
    </comment>
    <comment ref="X1157" authorId="0" shapeId="0" xr:uid="{00000000-0006-0000-0200-000026010000}">
      <text>
        <r>
          <rPr>
            <b/>
            <sz val="9"/>
            <color indexed="81"/>
            <rFont val="Tahoma"/>
            <family val="2"/>
          </rPr>
          <t>Author:</t>
        </r>
        <r>
          <rPr>
            <sz val="9"/>
            <color indexed="81"/>
            <rFont val="Tahoma"/>
            <family val="2"/>
          </rPr>
          <t xml:space="preserve">
check: deficit plus financing is minus E&amp;O or stat discrepancy
</t>
        </r>
      </text>
    </comment>
    <comment ref="Y1157" authorId="0" shapeId="0" xr:uid="{00000000-0006-0000-0200-000027010000}">
      <text>
        <r>
          <rPr>
            <b/>
            <sz val="9"/>
            <color indexed="81"/>
            <rFont val="Tahoma"/>
            <family val="2"/>
          </rPr>
          <t>Author:</t>
        </r>
        <r>
          <rPr>
            <sz val="9"/>
            <color indexed="81"/>
            <rFont val="Tahoma"/>
            <family val="2"/>
          </rPr>
          <t xml:space="preserve">
check: deficit plus financing is minus E&amp;O or stat discrepancy
</t>
        </r>
      </text>
    </comment>
    <comment ref="Z1157" authorId="0" shapeId="0" xr:uid="{00000000-0006-0000-0200-000028010000}">
      <text>
        <r>
          <rPr>
            <b/>
            <sz val="9"/>
            <color indexed="81"/>
            <rFont val="Tahoma"/>
            <family val="2"/>
          </rPr>
          <t>Author:</t>
        </r>
        <r>
          <rPr>
            <sz val="9"/>
            <color indexed="81"/>
            <rFont val="Tahoma"/>
            <family val="2"/>
          </rPr>
          <t xml:space="preserve">
check: deficit plus financing is minus E&amp;O or stat discrepancy
</t>
        </r>
      </text>
    </comment>
    <comment ref="AA1157" authorId="0" shapeId="0" xr:uid="{00000000-0006-0000-0200-000029010000}">
      <text>
        <r>
          <rPr>
            <b/>
            <sz val="9"/>
            <color indexed="81"/>
            <rFont val="Tahoma"/>
            <family val="2"/>
          </rPr>
          <t>Author:</t>
        </r>
        <r>
          <rPr>
            <sz val="9"/>
            <color indexed="81"/>
            <rFont val="Tahoma"/>
            <family val="2"/>
          </rPr>
          <t xml:space="preserve">
check: deficit plus financing is minus E&amp;O or stat discrepancy
</t>
        </r>
      </text>
    </comment>
    <comment ref="AB1157" authorId="0" shapeId="0" xr:uid="{00000000-0006-0000-0200-00002A010000}">
      <text>
        <r>
          <rPr>
            <b/>
            <sz val="9"/>
            <color indexed="81"/>
            <rFont val="Tahoma"/>
            <family val="2"/>
          </rPr>
          <t>Author:</t>
        </r>
        <r>
          <rPr>
            <sz val="9"/>
            <color indexed="81"/>
            <rFont val="Tahoma"/>
            <family val="2"/>
          </rPr>
          <t xml:space="preserve">
check: deficit plus financing is minus E&amp;O or stat discrepancy
</t>
        </r>
      </text>
    </comment>
    <comment ref="AC1157" authorId="0" shapeId="0" xr:uid="{00000000-0006-0000-0200-00002B010000}">
      <text>
        <r>
          <rPr>
            <b/>
            <sz val="9"/>
            <color indexed="81"/>
            <rFont val="Tahoma"/>
            <family val="2"/>
          </rPr>
          <t>Author:</t>
        </r>
        <r>
          <rPr>
            <sz val="9"/>
            <color indexed="81"/>
            <rFont val="Tahoma"/>
            <family val="2"/>
          </rPr>
          <t xml:space="preserve">
check: deficit plus financing is minus E&amp;O or stat discrepancy
</t>
        </r>
      </text>
    </comment>
    <comment ref="AD1157" authorId="0" shapeId="0" xr:uid="{00000000-0006-0000-0200-00002C010000}">
      <text>
        <r>
          <rPr>
            <b/>
            <sz val="9"/>
            <color indexed="81"/>
            <rFont val="Tahoma"/>
            <family val="2"/>
          </rPr>
          <t>Author:</t>
        </r>
        <r>
          <rPr>
            <sz val="9"/>
            <color indexed="81"/>
            <rFont val="Tahoma"/>
            <family val="2"/>
          </rPr>
          <t xml:space="preserve">
check: deficit plus financing is minus E&amp;O or stat discrepancy
</t>
        </r>
      </text>
    </comment>
    <comment ref="AE1157" authorId="0" shapeId="0" xr:uid="{00000000-0006-0000-0200-00002D010000}">
      <text>
        <r>
          <rPr>
            <b/>
            <sz val="9"/>
            <color indexed="81"/>
            <rFont val="Tahoma"/>
            <family val="2"/>
          </rPr>
          <t>Author:</t>
        </r>
        <r>
          <rPr>
            <sz val="9"/>
            <color indexed="81"/>
            <rFont val="Tahoma"/>
            <family val="2"/>
          </rPr>
          <t xml:space="preserve">
check: deficit plus financing is minus E&amp;O or stat discrepancy
</t>
        </r>
      </text>
    </comment>
    <comment ref="AF1157" authorId="0" shapeId="0" xr:uid="{00000000-0006-0000-0200-00002E010000}">
      <text>
        <r>
          <rPr>
            <b/>
            <sz val="9"/>
            <color indexed="81"/>
            <rFont val="Tahoma"/>
            <family val="2"/>
          </rPr>
          <t>Author:</t>
        </r>
        <r>
          <rPr>
            <sz val="9"/>
            <color indexed="81"/>
            <rFont val="Tahoma"/>
            <family val="2"/>
          </rPr>
          <t xml:space="preserve">
check: deficit plus financing is minus E&amp;O or stat discrepancy
</t>
        </r>
      </text>
    </comment>
    <comment ref="AG1157" authorId="0" shapeId="0" xr:uid="{00000000-0006-0000-0200-00002F010000}">
      <text>
        <r>
          <rPr>
            <b/>
            <sz val="9"/>
            <color indexed="81"/>
            <rFont val="Tahoma"/>
            <family val="2"/>
          </rPr>
          <t>Author:</t>
        </r>
        <r>
          <rPr>
            <sz val="9"/>
            <color indexed="81"/>
            <rFont val="Tahoma"/>
            <family val="2"/>
          </rPr>
          <t xml:space="preserve">
check: deficit plus financing is minus E&amp;O or stat discrepancy
</t>
        </r>
      </text>
    </comment>
    <comment ref="AH1157" authorId="0" shapeId="0" xr:uid="{00000000-0006-0000-0200-000030010000}">
      <text>
        <r>
          <rPr>
            <b/>
            <sz val="9"/>
            <color indexed="81"/>
            <rFont val="Tahoma"/>
            <family val="2"/>
          </rPr>
          <t>Author:</t>
        </r>
        <r>
          <rPr>
            <sz val="9"/>
            <color indexed="81"/>
            <rFont val="Tahoma"/>
            <family val="2"/>
          </rPr>
          <t xml:space="preserve">
check: deficit plus financing is minus E&amp;O or stat discrepancy
</t>
        </r>
      </text>
    </comment>
    <comment ref="AI1157" authorId="0" shapeId="0" xr:uid="{00000000-0006-0000-0200-000031010000}">
      <text>
        <r>
          <rPr>
            <b/>
            <sz val="9"/>
            <color indexed="81"/>
            <rFont val="Tahoma"/>
            <family val="2"/>
          </rPr>
          <t>Author:</t>
        </r>
        <r>
          <rPr>
            <sz val="9"/>
            <color indexed="81"/>
            <rFont val="Tahoma"/>
            <family val="2"/>
          </rPr>
          <t xml:space="preserve">
check: deficit plus financing is minus E&amp;O or stat discrepancy
</t>
        </r>
      </text>
    </comment>
    <comment ref="AJ1157" authorId="0" shapeId="0" xr:uid="{00000000-0006-0000-0200-000032010000}">
      <text>
        <r>
          <rPr>
            <b/>
            <sz val="9"/>
            <color indexed="81"/>
            <rFont val="Tahoma"/>
            <family val="2"/>
          </rPr>
          <t>Author:</t>
        </r>
        <r>
          <rPr>
            <sz val="9"/>
            <color indexed="81"/>
            <rFont val="Tahoma"/>
            <family val="2"/>
          </rPr>
          <t xml:space="preserve">
check: deficit plus financing is minus E&amp;O or stat discrepancy
</t>
        </r>
      </text>
    </comment>
    <comment ref="AK1157" authorId="0" shapeId="0" xr:uid="{00000000-0006-0000-0200-000033010000}">
      <text>
        <r>
          <rPr>
            <b/>
            <sz val="9"/>
            <color indexed="81"/>
            <rFont val="Tahoma"/>
            <family val="2"/>
          </rPr>
          <t>Author:</t>
        </r>
        <r>
          <rPr>
            <sz val="9"/>
            <color indexed="81"/>
            <rFont val="Tahoma"/>
            <family val="2"/>
          </rPr>
          <t xml:space="preserve">
check: deficit plus financing is minus E&amp;O or stat discrepancy
</t>
        </r>
      </text>
    </comment>
    <comment ref="AL1157" authorId="0" shapeId="0" xr:uid="{00000000-0006-0000-0200-000034010000}">
      <text>
        <r>
          <rPr>
            <b/>
            <sz val="9"/>
            <color indexed="81"/>
            <rFont val="Tahoma"/>
            <family val="2"/>
          </rPr>
          <t>Author:</t>
        </r>
        <r>
          <rPr>
            <sz val="9"/>
            <color indexed="81"/>
            <rFont val="Tahoma"/>
            <family val="2"/>
          </rPr>
          <t xml:space="preserve">
check: deficit plus financing is minus E&amp;O or stat discrepancy
</t>
        </r>
      </text>
    </comment>
    <comment ref="AM1157" authorId="0" shapeId="0" xr:uid="{00000000-0006-0000-0200-000035010000}">
      <text>
        <r>
          <rPr>
            <b/>
            <sz val="9"/>
            <color indexed="81"/>
            <rFont val="Tahoma"/>
            <family val="2"/>
          </rPr>
          <t>Author:</t>
        </r>
        <r>
          <rPr>
            <sz val="9"/>
            <color indexed="81"/>
            <rFont val="Tahoma"/>
            <family val="2"/>
          </rPr>
          <t xml:space="preserve">
check: deficit plus financing is minus E&amp;O or stat discrepancy
</t>
        </r>
      </text>
    </comment>
    <comment ref="AN1157" authorId="0" shapeId="0" xr:uid="{00000000-0006-0000-0200-000036010000}">
      <text>
        <r>
          <rPr>
            <b/>
            <sz val="9"/>
            <color indexed="81"/>
            <rFont val="Tahoma"/>
            <family val="2"/>
          </rPr>
          <t>Author:</t>
        </r>
        <r>
          <rPr>
            <sz val="9"/>
            <color indexed="81"/>
            <rFont val="Tahoma"/>
            <family val="2"/>
          </rPr>
          <t xml:space="preserve">
check: deficit plus financing is minus E&amp;O or stat discrepancy
</t>
        </r>
      </text>
    </comment>
    <comment ref="AO1157" authorId="0" shapeId="0" xr:uid="{00000000-0006-0000-0200-000037010000}">
      <text>
        <r>
          <rPr>
            <b/>
            <sz val="9"/>
            <color indexed="81"/>
            <rFont val="Tahoma"/>
            <family val="2"/>
          </rPr>
          <t>Author:</t>
        </r>
        <r>
          <rPr>
            <sz val="9"/>
            <color indexed="81"/>
            <rFont val="Tahoma"/>
            <family val="2"/>
          </rPr>
          <t xml:space="preserve">
check: deficit plus financing is minus E&amp;O or stat discrepancy
</t>
        </r>
      </text>
    </comment>
    <comment ref="AP1157" authorId="0" shapeId="0" xr:uid="{00000000-0006-0000-0200-000038010000}">
      <text>
        <r>
          <rPr>
            <b/>
            <sz val="9"/>
            <color indexed="81"/>
            <rFont val="Tahoma"/>
            <family val="2"/>
          </rPr>
          <t>Author:</t>
        </r>
        <r>
          <rPr>
            <sz val="9"/>
            <color indexed="81"/>
            <rFont val="Tahoma"/>
            <family val="2"/>
          </rPr>
          <t xml:space="preserve">
check: deficit plus financing is minus E&amp;O or stat discrepancy
</t>
        </r>
      </text>
    </comment>
    <comment ref="AQ1157" authorId="0" shapeId="0" xr:uid="{00000000-0006-0000-0200-000039010000}">
      <text>
        <r>
          <rPr>
            <b/>
            <sz val="9"/>
            <color indexed="81"/>
            <rFont val="Tahoma"/>
            <family val="2"/>
          </rPr>
          <t>Author:</t>
        </r>
        <r>
          <rPr>
            <sz val="9"/>
            <color indexed="81"/>
            <rFont val="Tahoma"/>
            <family val="2"/>
          </rPr>
          <t xml:space="preserve">
check: deficit plus financing is minus E&amp;O or stat discrepancy
</t>
        </r>
      </text>
    </comment>
    <comment ref="AR1157" authorId="0" shapeId="0" xr:uid="{00000000-0006-0000-0200-00003A010000}">
      <text>
        <r>
          <rPr>
            <b/>
            <sz val="9"/>
            <color indexed="81"/>
            <rFont val="Tahoma"/>
            <family val="2"/>
          </rPr>
          <t>Author:</t>
        </r>
        <r>
          <rPr>
            <sz val="9"/>
            <color indexed="81"/>
            <rFont val="Tahoma"/>
            <family val="2"/>
          </rPr>
          <t xml:space="preserve">
check: deficit plus financing is minus E&amp;O or stat discrepancy
</t>
        </r>
      </text>
    </comment>
    <comment ref="AS1157" authorId="0" shapeId="0" xr:uid="{00000000-0006-0000-0200-00003B010000}">
      <text>
        <r>
          <rPr>
            <b/>
            <sz val="9"/>
            <color indexed="81"/>
            <rFont val="Tahoma"/>
            <family val="2"/>
          </rPr>
          <t>Author:</t>
        </r>
        <r>
          <rPr>
            <sz val="9"/>
            <color indexed="81"/>
            <rFont val="Tahoma"/>
            <family val="2"/>
          </rPr>
          <t xml:space="preserve">
check: deficit plus financing is minus E&amp;O or stat discrepancy
</t>
        </r>
      </text>
    </comment>
    <comment ref="AT1157" authorId="0" shapeId="0" xr:uid="{00000000-0006-0000-0200-00003C010000}">
      <text>
        <r>
          <rPr>
            <b/>
            <sz val="9"/>
            <color indexed="81"/>
            <rFont val="Tahoma"/>
            <family val="2"/>
          </rPr>
          <t>Author:</t>
        </r>
        <r>
          <rPr>
            <sz val="9"/>
            <color indexed="81"/>
            <rFont val="Tahoma"/>
            <family val="2"/>
          </rPr>
          <t xml:space="preserve">
check: deficit plus financing is minus E&amp;O or stat discrepancy
</t>
        </r>
      </text>
    </comment>
    <comment ref="AU1157" authorId="0" shapeId="0" xr:uid="{00000000-0006-0000-0200-00003D010000}">
      <text>
        <r>
          <rPr>
            <b/>
            <sz val="9"/>
            <color indexed="81"/>
            <rFont val="Tahoma"/>
            <family val="2"/>
          </rPr>
          <t>Author:</t>
        </r>
        <r>
          <rPr>
            <sz val="9"/>
            <color indexed="81"/>
            <rFont val="Tahoma"/>
            <family val="2"/>
          </rPr>
          <t xml:space="preserve">
check: deficit plus financing is minus E&amp;O or stat discrepancy
</t>
        </r>
      </text>
    </comment>
    <comment ref="AV1157" authorId="0" shapeId="0" xr:uid="{00000000-0006-0000-0200-00003E010000}">
      <text>
        <r>
          <rPr>
            <b/>
            <sz val="9"/>
            <color indexed="81"/>
            <rFont val="Tahoma"/>
            <family val="2"/>
          </rPr>
          <t>Author:</t>
        </r>
        <r>
          <rPr>
            <sz val="9"/>
            <color indexed="81"/>
            <rFont val="Tahoma"/>
            <family val="2"/>
          </rPr>
          <t xml:space="preserve">
check: deficit plus financing is minus E&amp;O or stat discrepancy
</t>
        </r>
      </text>
    </comment>
    <comment ref="AW1157" authorId="0" shapeId="0" xr:uid="{00000000-0006-0000-0200-00003F010000}">
      <text>
        <r>
          <rPr>
            <b/>
            <sz val="9"/>
            <color indexed="81"/>
            <rFont val="Tahoma"/>
            <family val="2"/>
          </rPr>
          <t>Author:</t>
        </r>
        <r>
          <rPr>
            <sz val="9"/>
            <color indexed="81"/>
            <rFont val="Tahoma"/>
            <family val="2"/>
          </rPr>
          <t xml:space="preserve">
check: deficit plus financing is minus E&amp;O or stat discrepancy
</t>
        </r>
      </text>
    </comment>
    <comment ref="AX1157" authorId="0" shapeId="0" xr:uid="{00000000-0006-0000-0200-000040010000}">
      <text>
        <r>
          <rPr>
            <b/>
            <sz val="9"/>
            <color indexed="81"/>
            <rFont val="Tahoma"/>
            <family val="2"/>
          </rPr>
          <t>Author:</t>
        </r>
        <r>
          <rPr>
            <sz val="9"/>
            <color indexed="81"/>
            <rFont val="Tahoma"/>
            <family val="2"/>
          </rPr>
          <t xml:space="preserve">
check: deficit plus financing is minus E&amp;O or stat discrepancy
</t>
        </r>
      </text>
    </comment>
    <comment ref="AY1157" authorId="0" shapeId="0" xr:uid="{00000000-0006-0000-0200-000041010000}">
      <text>
        <r>
          <rPr>
            <b/>
            <sz val="9"/>
            <color indexed="81"/>
            <rFont val="Tahoma"/>
            <family val="2"/>
          </rPr>
          <t>Author:</t>
        </r>
        <r>
          <rPr>
            <sz val="9"/>
            <color indexed="81"/>
            <rFont val="Tahoma"/>
            <family val="2"/>
          </rPr>
          <t xml:space="preserve">
check: deficit plus financing is minus E&amp;O or stat discrepancy
</t>
        </r>
      </text>
    </comment>
    <comment ref="AZ1157" authorId="0" shapeId="0" xr:uid="{00000000-0006-0000-0200-000042010000}">
      <text>
        <r>
          <rPr>
            <b/>
            <sz val="9"/>
            <color indexed="81"/>
            <rFont val="Tahoma"/>
            <family val="2"/>
          </rPr>
          <t>Author:</t>
        </r>
        <r>
          <rPr>
            <sz val="9"/>
            <color indexed="81"/>
            <rFont val="Tahoma"/>
            <family val="2"/>
          </rPr>
          <t xml:space="preserve">
check: deficit plus financing is minus E&amp;O or stat discrepancy
</t>
        </r>
      </text>
    </comment>
    <comment ref="BA1157" authorId="0" shapeId="0" xr:uid="{00000000-0006-0000-0200-000043010000}">
      <text>
        <r>
          <rPr>
            <b/>
            <sz val="9"/>
            <color indexed="81"/>
            <rFont val="Tahoma"/>
            <family val="2"/>
          </rPr>
          <t>Author:</t>
        </r>
        <r>
          <rPr>
            <sz val="9"/>
            <color indexed="81"/>
            <rFont val="Tahoma"/>
            <family val="2"/>
          </rPr>
          <t xml:space="preserve">
check: deficit plus financing is minus E&amp;O or stat discrepancy
</t>
        </r>
      </text>
    </comment>
    <comment ref="BB1157" authorId="0" shapeId="0" xr:uid="{00000000-0006-0000-0200-000044010000}">
      <text>
        <r>
          <rPr>
            <b/>
            <sz val="9"/>
            <color indexed="81"/>
            <rFont val="Tahoma"/>
            <family val="2"/>
          </rPr>
          <t>Author:</t>
        </r>
        <r>
          <rPr>
            <sz val="9"/>
            <color indexed="81"/>
            <rFont val="Tahoma"/>
            <family val="2"/>
          </rPr>
          <t xml:space="preserve">
check: deficit plus financing is minus E&amp;O or stat discrepancy
</t>
        </r>
      </text>
    </comment>
    <comment ref="BC1157" authorId="0" shapeId="0" xr:uid="{00000000-0006-0000-0200-000045010000}">
      <text>
        <r>
          <rPr>
            <b/>
            <sz val="9"/>
            <color indexed="81"/>
            <rFont val="Tahoma"/>
            <family val="2"/>
          </rPr>
          <t>Author:</t>
        </r>
        <r>
          <rPr>
            <sz val="9"/>
            <color indexed="81"/>
            <rFont val="Tahoma"/>
            <family val="2"/>
          </rPr>
          <t xml:space="preserve">
check: deficit plus financing is minus E&amp;O or stat discrepancy
</t>
        </r>
      </text>
    </comment>
    <comment ref="BD1157" authorId="0" shapeId="0" xr:uid="{00000000-0006-0000-0200-000046010000}">
      <text>
        <r>
          <rPr>
            <b/>
            <sz val="9"/>
            <color indexed="81"/>
            <rFont val="Tahoma"/>
            <family val="2"/>
          </rPr>
          <t>Author:</t>
        </r>
        <r>
          <rPr>
            <sz val="9"/>
            <color indexed="81"/>
            <rFont val="Tahoma"/>
            <family val="2"/>
          </rPr>
          <t xml:space="preserve">
check: deficit plus financing is minus E&amp;O or stat discrepancy
</t>
        </r>
      </text>
    </comment>
    <comment ref="BE1157" authorId="0" shapeId="0" xr:uid="{00000000-0006-0000-0200-000047010000}">
      <text>
        <r>
          <rPr>
            <b/>
            <sz val="9"/>
            <color indexed="81"/>
            <rFont val="Tahoma"/>
            <family val="2"/>
          </rPr>
          <t>Author:</t>
        </r>
        <r>
          <rPr>
            <sz val="9"/>
            <color indexed="81"/>
            <rFont val="Tahoma"/>
            <family val="2"/>
          </rPr>
          <t xml:space="preserve">
check: deficit plus financing is minus E&amp;O or stat discrepancy
</t>
        </r>
      </text>
    </comment>
    <comment ref="BF1157" authorId="0" shapeId="0" xr:uid="{00000000-0006-0000-0200-000048010000}">
      <text>
        <r>
          <rPr>
            <b/>
            <sz val="9"/>
            <color indexed="81"/>
            <rFont val="Tahoma"/>
            <family val="2"/>
          </rPr>
          <t>Author:</t>
        </r>
        <r>
          <rPr>
            <sz val="9"/>
            <color indexed="81"/>
            <rFont val="Tahoma"/>
            <family val="2"/>
          </rPr>
          <t xml:space="preserve">
check: deficit plus financing is minus E&amp;O or stat discrepancy
</t>
        </r>
      </text>
    </comment>
    <comment ref="BG1157" authorId="0" shapeId="0" xr:uid="{00000000-0006-0000-0200-000049010000}">
      <text>
        <r>
          <rPr>
            <b/>
            <sz val="9"/>
            <color indexed="81"/>
            <rFont val="Tahoma"/>
            <family val="2"/>
          </rPr>
          <t>Author:</t>
        </r>
        <r>
          <rPr>
            <sz val="9"/>
            <color indexed="81"/>
            <rFont val="Tahoma"/>
            <family val="2"/>
          </rPr>
          <t xml:space="preserve">
check: deficit plus financing is minus E&amp;O or stat discrepancy
</t>
        </r>
      </text>
    </comment>
    <comment ref="BH1157" authorId="0" shapeId="0" xr:uid="{00000000-0006-0000-0200-00004A010000}">
      <text>
        <r>
          <rPr>
            <b/>
            <sz val="9"/>
            <color indexed="81"/>
            <rFont val="Tahoma"/>
            <family val="2"/>
          </rPr>
          <t>Author:</t>
        </r>
        <r>
          <rPr>
            <sz val="9"/>
            <color indexed="81"/>
            <rFont val="Tahoma"/>
            <family val="2"/>
          </rPr>
          <t xml:space="preserve">
check: deficit plus financing is minus E&amp;O or stat discrepancy
</t>
        </r>
      </text>
    </comment>
    <comment ref="BI1157" authorId="0" shapeId="0" xr:uid="{00000000-0006-0000-0200-00004B010000}">
      <text>
        <r>
          <rPr>
            <b/>
            <sz val="9"/>
            <color indexed="81"/>
            <rFont val="Tahoma"/>
            <family val="2"/>
          </rPr>
          <t>Author:</t>
        </r>
        <r>
          <rPr>
            <sz val="9"/>
            <color indexed="81"/>
            <rFont val="Tahoma"/>
            <family val="2"/>
          </rPr>
          <t xml:space="preserve">
check: deficit plus financing is minus E&amp;O or stat discrepancy
</t>
        </r>
      </text>
    </comment>
    <comment ref="BJ1157" authorId="0" shapeId="0" xr:uid="{00000000-0006-0000-0200-00004C010000}">
      <text>
        <r>
          <rPr>
            <b/>
            <sz val="9"/>
            <color indexed="81"/>
            <rFont val="Tahoma"/>
            <family val="2"/>
          </rPr>
          <t>Author:</t>
        </r>
        <r>
          <rPr>
            <sz val="9"/>
            <color indexed="81"/>
            <rFont val="Tahoma"/>
            <family val="2"/>
          </rPr>
          <t xml:space="preserve">
check: deficit plus financing is minus E&amp;O or stat discrepancy
</t>
        </r>
      </text>
    </comment>
    <comment ref="BK1157" authorId="0" shapeId="0" xr:uid="{00000000-0006-0000-0200-00004D010000}">
      <text>
        <r>
          <rPr>
            <b/>
            <sz val="9"/>
            <color indexed="81"/>
            <rFont val="Tahoma"/>
            <family val="2"/>
          </rPr>
          <t>Author:</t>
        </r>
        <r>
          <rPr>
            <sz val="9"/>
            <color indexed="81"/>
            <rFont val="Tahoma"/>
            <family val="2"/>
          </rPr>
          <t xml:space="preserve">
check: deficit plus financing is minus E&amp;O or stat discrepancy
</t>
        </r>
      </text>
    </comment>
    <comment ref="BL1157" authorId="0" shapeId="0" xr:uid="{00000000-0006-0000-0200-00004E010000}">
      <text>
        <r>
          <rPr>
            <b/>
            <sz val="9"/>
            <color indexed="81"/>
            <rFont val="Tahoma"/>
            <family val="2"/>
          </rPr>
          <t>Author:</t>
        </r>
        <r>
          <rPr>
            <sz val="9"/>
            <color indexed="81"/>
            <rFont val="Tahoma"/>
            <family val="2"/>
          </rPr>
          <t xml:space="preserve">
check: deficit plus financing is minus E&amp;O or stat discrepancy
</t>
        </r>
      </text>
    </comment>
    <comment ref="BM1157" authorId="0" shapeId="0" xr:uid="{00000000-0006-0000-0200-00004F010000}">
      <text>
        <r>
          <rPr>
            <b/>
            <sz val="9"/>
            <color indexed="81"/>
            <rFont val="Tahoma"/>
            <family val="2"/>
          </rPr>
          <t>Author:</t>
        </r>
        <r>
          <rPr>
            <sz val="9"/>
            <color indexed="81"/>
            <rFont val="Tahoma"/>
            <family val="2"/>
          </rPr>
          <t xml:space="preserve">
check: deficit plus financing is minus E&amp;O or stat discrepancy
</t>
        </r>
      </text>
    </comment>
    <comment ref="BN1157" authorId="0" shapeId="0" xr:uid="{00000000-0006-0000-0200-000050010000}">
      <text>
        <r>
          <rPr>
            <b/>
            <sz val="9"/>
            <color indexed="81"/>
            <rFont val="Tahoma"/>
            <family val="2"/>
          </rPr>
          <t>Author:</t>
        </r>
        <r>
          <rPr>
            <sz val="9"/>
            <color indexed="81"/>
            <rFont val="Tahoma"/>
            <family val="2"/>
          </rPr>
          <t xml:space="preserve">
check: deficit plus financing is minus E&amp;O or stat discrepancy
</t>
        </r>
      </text>
    </comment>
    <comment ref="BO1157" authorId="0" shapeId="0" xr:uid="{00000000-0006-0000-0200-000051010000}">
      <text>
        <r>
          <rPr>
            <b/>
            <sz val="9"/>
            <color indexed="81"/>
            <rFont val="Tahoma"/>
            <family val="2"/>
          </rPr>
          <t>Author:</t>
        </r>
        <r>
          <rPr>
            <sz val="9"/>
            <color indexed="81"/>
            <rFont val="Tahoma"/>
            <family val="2"/>
          </rPr>
          <t xml:space="preserve">
check: deficit plus financing is minus E&amp;O or stat discrepancy
</t>
        </r>
      </text>
    </comment>
    <comment ref="BP1157" authorId="0" shapeId="0" xr:uid="{00000000-0006-0000-0200-000052010000}">
      <text>
        <r>
          <rPr>
            <b/>
            <sz val="9"/>
            <color indexed="81"/>
            <rFont val="Tahoma"/>
            <family val="2"/>
          </rPr>
          <t>Author:</t>
        </r>
        <r>
          <rPr>
            <sz val="9"/>
            <color indexed="81"/>
            <rFont val="Tahoma"/>
            <family val="2"/>
          </rPr>
          <t xml:space="preserve">
check: deficit plus financing is minus E&amp;O or stat discrepancy
</t>
        </r>
      </text>
    </comment>
    <comment ref="BQ1157" authorId="0" shapeId="0" xr:uid="{00000000-0006-0000-0200-000053010000}">
      <text>
        <r>
          <rPr>
            <b/>
            <sz val="9"/>
            <color indexed="81"/>
            <rFont val="Tahoma"/>
            <family val="2"/>
          </rPr>
          <t>Author:</t>
        </r>
        <r>
          <rPr>
            <sz val="9"/>
            <color indexed="81"/>
            <rFont val="Tahoma"/>
            <family val="2"/>
          </rPr>
          <t xml:space="preserve">
check: deficit plus financing is minus E&amp;O or stat discrepancy
</t>
        </r>
      </text>
    </comment>
    <comment ref="BR1157" authorId="0" shapeId="0" xr:uid="{00000000-0006-0000-0200-000054010000}">
      <text>
        <r>
          <rPr>
            <b/>
            <sz val="9"/>
            <color indexed="81"/>
            <rFont val="Tahoma"/>
            <family val="2"/>
          </rPr>
          <t>Author:</t>
        </r>
        <r>
          <rPr>
            <sz val="9"/>
            <color indexed="81"/>
            <rFont val="Tahoma"/>
            <family val="2"/>
          </rPr>
          <t xml:space="preserve">
check: deficit plus financing is minus E&amp;O or stat discrepancy
</t>
        </r>
      </text>
    </comment>
    <comment ref="BS1157" authorId="0" shapeId="0" xr:uid="{00000000-0006-0000-0200-000055010000}">
      <text>
        <r>
          <rPr>
            <b/>
            <sz val="9"/>
            <color indexed="81"/>
            <rFont val="Tahoma"/>
            <family val="2"/>
          </rPr>
          <t>Author:</t>
        </r>
        <r>
          <rPr>
            <sz val="9"/>
            <color indexed="81"/>
            <rFont val="Tahoma"/>
            <family val="2"/>
          </rPr>
          <t xml:space="preserve">
check: deficit plus financing is minus E&amp;O or stat discrepancy
</t>
        </r>
      </text>
    </comment>
    <comment ref="BT1157" authorId="0" shapeId="0" xr:uid="{00000000-0006-0000-0200-000056010000}">
      <text>
        <r>
          <rPr>
            <b/>
            <sz val="9"/>
            <color indexed="81"/>
            <rFont val="Tahoma"/>
            <family val="2"/>
          </rPr>
          <t>Author:</t>
        </r>
        <r>
          <rPr>
            <sz val="9"/>
            <color indexed="81"/>
            <rFont val="Tahoma"/>
            <family val="2"/>
          </rPr>
          <t xml:space="preserve">
check: deficit plus financing is minus E&amp;O or stat discrepancy
</t>
        </r>
      </text>
    </comment>
    <comment ref="BU1157" authorId="0" shapeId="0" xr:uid="{00000000-0006-0000-0200-000057010000}">
      <text>
        <r>
          <rPr>
            <b/>
            <sz val="9"/>
            <color indexed="81"/>
            <rFont val="Tahoma"/>
            <family val="2"/>
          </rPr>
          <t>Author:</t>
        </r>
        <r>
          <rPr>
            <sz val="9"/>
            <color indexed="81"/>
            <rFont val="Tahoma"/>
            <family val="2"/>
          </rPr>
          <t xml:space="preserve">
check: deficit plus financing is minus E&amp;O or stat discrepancy
</t>
        </r>
      </text>
    </comment>
    <comment ref="BV1157" authorId="0" shapeId="0" xr:uid="{00000000-0006-0000-0200-000058010000}">
      <text>
        <r>
          <rPr>
            <b/>
            <sz val="9"/>
            <color indexed="81"/>
            <rFont val="Tahoma"/>
            <family val="2"/>
          </rPr>
          <t>Author:</t>
        </r>
        <r>
          <rPr>
            <sz val="9"/>
            <color indexed="81"/>
            <rFont val="Tahoma"/>
            <family val="2"/>
          </rPr>
          <t xml:space="preserve">
check: deficit plus financing is minus E&amp;O or stat discrepancy
</t>
        </r>
      </text>
    </comment>
    <comment ref="BW1157" authorId="0" shapeId="0" xr:uid="{00000000-0006-0000-0200-000059010000}">
      <text>
        <r>
          <rPr>
            <b/>
            <sz val="9"/>
            <color indexed="81"/>
            <rFont val="Tahoma"/>
            <family val="2"/>
          </rPr>
          <t>Author:</t>
        </r>
        <r>
          <rPr>
            <sz val="9"/>
            <color indexed="81"/>
            <rFont val="Tahoma"/>
            <family val="2"/>
          </rPr>
          <t xml:space="preserve">
check: deficit plus financing is minus E&amp;O or stat discrepancy
</t>
        </r>
      </text>
    </comment>
    <comment ref="BX1157" authorId="0" shapeId="0" xr:uid="{00000000-0006-0000-0200-00005A010000}">
      <text>
        <r>
          <rPr>
            <b/>
            <sz val="9"/>
            <color indexed="81"/>
            <rFont val="Tahoma"/>
            <family val="2"/>
          </rPr>
          <t>Author:</t>
        </r>
        <r>
          <rPr>
            <sz val="9"/>
            <color indexed="81"/>
            <rFont val="Tahoma"/>
            <family val="2"/>
          </rPr>
          <t xml:space="preserve">
check: deficit plus financing is minus E&amp;O or stat discrepancy
</t>
        </r>
      </text>
    </comment>
    <comment ref="BY1157" authorId="0" shapeId="0" xr:uid="{00000000-0006-0000-0200-00005B010000}">
      <text>
        <r>
          <rPr>
            <b/>
            <sz val="9"/>
            <color indexed="81"/>
            <rFont val="Tahoma"/>
            <family val="2"/>
          </rPr>
          <t>Author:</t>
        </r>
        <r>
          <rPr>
            <sz val="9"/>
            <color indexed="81"/>
            <rFont val="Tahoma"/>
            <family val="2"/>
          </rPr>
          <t xml:space="preserve">
check: deficit plus financing is minus E&amp;O or stat discrepancy
</t>
        </r>
      </text>
    </comment>
    <comment ref="BZ1157" authorId="0" shapeId="0" xr:uid="{00000000-0006-0000-0200-00005C010000}">
      <text>
        <r>
          <rPr>
            <b/>
            <sz val="9"/>
            <color indexed="81"/>
            <rFont val="Tahoma"/>
            <family val="2"/>
          </rPr>
          <t>Author:</t>
        </r>
        <r>
          <rPr>
            <sz val="9"/>
            <color indexed="81"/>
            <rFont val="Tahoma"/>
            <family val="2"/>
          </rPr>
          <t xml:space="preserve">
check: deficit plus financing is minus E&amp;O or stat discrepancy
</t>
        </r>
      </text>
    </comment>
    <comment ref="CA1157" authorId="0" shapeId="0" xr:uid="{00000000-0006-0000-0200-00005D010000}">
      <text>
        <r>
          <rPr>
            <b/>
            <sz val="9"/>
            <color indexed="81"/>
            <rFont val="Tahoma"/>
            <family val="2"/>
          </rPr>
          <t>Author:</t>
        </r>
        <r>
          <rPr>
            <sz val="9"/>
            <color indexed="81"/>
            <rFont val="Tahoma"/>
            <family val="2"/>
          </rPr>
          <t xml:space="preserve">
check: deficit plus financing is minus E&amp;O or stat discrepancy
</t>
        </r>
      </text>
    </comment>
    <comment ref="CB1157" authorId="0" shapeId="0" xr:uid="{00000000-0006-0000-0200-00005E010000}">
      <text>
        <r>
          <rPr>
            <b/>
            <sz val="9"/>
            <color indexed="81"/>
            <rFont val="Tahoma"/>
            <family val="2"/>
          </rPr>
          <t>Author:</t>
        </r>
        <r>
          <rPr>
            <sz val="9"/>
            <color indexed="81"/>
            <rFont val="Tahoma"/>
            <family val="2"/>
          </rPr>
          <t xml:space="preserve">
check: deficit plus financing is minus E&amp;O or stat discrepancy
</t>
        </r>
      </text>
    </comment>
    <comment ref="CC1157" authorId="0" shapeId="0" xr:uid="{00000000-0006-0000-0200-00005F010000}">
      <text>
        <r>
          <rPr>
            <b/>
            <sz val="9"/>
            <color indexed="81"/>
            <rFont val="Tahoma"/>
            <family val="2"/>
          </rPr>
          <t>Author:</t>
        </r>
        <r>
          <rPr>
            <sz val="9"/>
            <color indexed="81"/>
            <rFont val="Tahoma"/>
            <family val="2"/>
          </rPr>
          <t xml:space="preserve">
check: deficit plus financing is minus E&amp;O or stat discrepancy
</t>
        </r>
      </text>
    </comment>
    <comment ref="CD1157" authorId="0" shapeId="0" xr:uid="{00000000-0006-0000-0200-000060010000}">
      <text>
        <r>
          <rPr>
            <b/>
            <sz val="9"/>
            <color indexed="81"/>
            <rFont val="Tahoma"/>
            <family val="2"/>
          </rPr>
          <t>Author:</t>
        </r>
        <r>
          <rPr>
            <sz val="9"/>
            <color indexed="81"/>
            <rFont val="Tahoma"/>
            <family val="2"/>
          </rPr>
          <t xml:space="preserve">
check: deficit plus financing is minus E&amp;O or stat discrepancy
</t>
        </r>
      </text>
    </comment>
    <comment ref="CE1157" authorId="0" shapeId="0" xr:uid="{00000000-0006-0000-0200-000061010000}">
      <text>
        <r>
          <rPr>
            <b/>
            <sz val="9"/>
            <color indexed="81"/>
            <rFont val="Tahoma"/>
            <family val="2"/>
          </rPr>
          <t>Author:</t>
        </r>
        <r>
          <rPr>
            <sz val="9"/>
            <color indexed="81"/>
            <rFont val="Tahoma"/>
            <family val="2"/>
          </rPr>
          <t xml:space="preserve">
check: deficit plus financing is minus E&amp;O or stat discrepancy
</t>
        </r>
      </text>
    </comment>
    <comment ref="CF1157" authorId="0" shapeId="0" xr:uid="{00000000-0006-0000-0200-000062010000}">
      <text>
        <r>
          <rPr>
            <b/>
            <sz val="9"/>
            <color indexed="81"/>
            <rFont val="Tahoma"/>
            <family val="2"/>
          </rPr>
          <t>Author:</t>
        </r>
        <r>
          <rPr>
            <sz val="9"/>
            <color indexed="81"/>
            <rFont val="Tahoma"/>
            <family val="2"/>
          </rPr>
          <t xml:space="preserve">
check: deficit plus financing is minus E&amp;O or stat discrepancy
</t>
        </r>
      </text>
    </comment>
    <comment ref="CG1157" authorId="0" shapeId="0" xr:uid="{00000000-0006-0000-0200-000063010000}">
      <text>
        <r>
          <rPr>
            <b/>
            <sz val="9"/>
            <color indexed="81"/>
            <rFont val="Tahoma"/>
            <family val="2"/>
          </rPr>
          <t>Author:</t>
        </r>
        <r>
          <rPr>
            <sz val="9"/>
            <color indexed="81"/>
            <rFont val="Tahoma"/>
            <family val="2"/>
          </rPr>
          <t xml:space="preserve">
check: deficit plus financing is minus E&amp;O or stat discrepancy
</t>
        </r>
      </text>
    </comment>
    <comment ref="CH1157" authorId="0" shapeId="0" xr:uid="{00000000-0006-0000-0200-000064010000}">
      <text>
        <r>
          <rPr>
            <b/>
            <sz val="9"/>
            <color indexed="81"/>
            <rFont val="Tahoma"/>
            <family val="2"/>
          </rPr>
          <t>Author:</t>
        </r>
        <r>
          <rPr>
            <sz val="9"/>
            <color indexed="81"/>
            <rFont val="Tahoma"/>
            <family val="2"/>
          </rPr>
          <t xml:space="preserve">
check: deficit plus financing is minus E&amp;O or stat discrepancy
</t>
        </r>
      </text>
    </comment>
    <comment ref="CI1157" authorId="0" shapeId="0" xr:uid="{00000000-0006-0000-0200-000065010000}">
      <text>
        <r>
          <rPr>
            <b/>
            <sz val="9"/>
            <color indexed="81"/>
            <rFont val="Tahoma"/>
            <family val="2"/>
          </rPr>
          <t>Author:</t>
        </r>
        <r>
          <rPr>
            <sz val="9"/>
            <color indexed="81"/>
            <rFont val="Tahoma"/>
            <family val="2"/>
          </rPr>
          <t xml:space="preserve">
check: deficit plus financing is minus E&amp;O or stat discrepancy
</t>
        </r>
      </text>
    </comment>
    <comment ref="CJ1157" authorId="0" shapeId="0" xr:uid="{00000000-0006-0000-0200-000066010000}">
      <text>
        <r>
          <rPr>
            <b/>
            <sz val="9"/>
            <color indexed="81"/>
            <rFont val="Tahoma"/>
            <family val="2"/>
          </rPr>
          <t>Author:</t>
        </r>
        <r>
          <rPr>
            <sz val="9"/>
            <color indexed="81"/>
            <rFont val="Tahoma"/>
            <family val="2"/>
          </rPr>
          <t xml:space="preserve">
check: deficit plus financing is minus E&amp;O or stat discrepancy
</t>
        </r>
      </text>
    </comment>
    <comment ref="CK1157" authorId="0" shapeId="0" xr:uid="{00000000-0006-0000-0200-000067010000}">
      <text>
        <r>
          <rPr>
            <b/>
            <sz val="9"/>
            <color indexed="81"/>
            <rFont val="Tahoma"/>
            <family val="2"/>
          </rPr>
          <t>Author:</t>
        </r>
        <r>
          <rPr>
            <sz val="9"/>
            <color indexed="81"/>
            <rFont val="Tahoma"/>
            <family val="2"/>
          </rPr>
          <t xml:space="preserve">
check: deficit plus financing is minus E&amp;O or stat discrepancy
</t>
        </r>
      </text>
    </comment>
    <comment ref="CL1157" authorId="0" shapeId="0" xr:uid="{00000000-0006-0000-0200-000068010000}">
      <text>
        <r>
          <rPr>
            <b/>
            <sz val="9"/>
            <color indexed="81"/>
            <rFont val="Tahoma"/>
            <family val="2"/>
          </rPr>
          <t>Author:</t>
        </r>
        <r>
          <rPr>
            <sz val="9"/>
            <color indexed="81"/>
            <rFont val="Tahoma"/>
            <family val="2"/>
          </rPr>
          <t xml:space="preserve">
check: deficit plus financing is minus E&amp;O or stat discrepancy
</t>
        </r>
      </text>
    </comment>
    <comment ref="CM1157" authorId="0" shapeId="0" xr:uid="{00000000-0006-0000-0200-000069010000}">
      <text>
        <r>
          <rPr>
            <b/>
            <sz val="9"/>
            <color indexed="81"/>
            <rFont val="Tahoma"/>
            <family val="2"/>
          </rPr>
          <t>Author:</t>
        </r>
        <r>
          <rPr>
            <sz val="9"/>
            <color indexed="81"/>
            <rFont val="Tahoma"/>
            <family val="2"/>
          </rPr>
          <t xml:space="preserve">
check: deficit plus financing is minus E&amp;O or stat discrepancy
</t>
        </r>
      </text>
    </comment>
    <comment ref="CN1157" authorId="0" shapeId="0" xr:uid="{00000000-0006-0000-0200-00006A010000}">
      <text>
        <r>
          <rPr>
            <b/>
            <sz val="9"/>
            <color indexed="81"/>
            <rFont val="Tahoma"/>
            <family val="2"/>
          </rPr>
          <t>Author:</t>
        </r>
        <r>
          <rPr>
            <sz val="9"/>
            <color indexed="81"/>
            <rFont val="Tahoma"/>
            <family val="2"/>
          </rPr>
          <t xml:space="preserve">
check: deficit plus financing is minus E&amp;O or stat discrepancy
</t>
        </r>
      </text>
    </comment>
    <comment ref="CO1157" authorId="0" shapeId="0" xr:uid="{00000000-0006-0000-0200-00006B010000}">
      <text>
        <r>
          <rPr>
            <b/>
            <sz val="9"/>
            <color indexed="81"/>
            <rFont val="Tahoma"/>
            <family val="2"/>
          </rPr>
          <t>Author:</t>
        </r>
        <r>
          <rPr>
            <sz val="9"/>
            <color indexed="81"/>
            <rFont val="Tahoma"/>
            <family val="2"/>
          </rPr>
          <t xml:space="preserve">
check: deficit plus financing is minus E&amp;O or stat discrepancy
</t>
        </r>
      </text>
    </comment>
    <comment ref="CP1157" authorId="0" shapeId="0" xr:uid="{00000000-0006-0000-0200-00006C010000}">
      <text>
        <r>
          <rPr>
            <b/>
            <sz val="9"/>
            <color indexed="81"/>
            <rFont val="Tahoma"/>
            <family val="2"/>
          </rPr>
          <t>Author:</t>
        </r>
        <r>
          <rPr>
            <sz val="9"/>
            <color indexed="81"/>
            <rFont val="Tahoma"/>
            <family val="2"/>
          </rPr>
          <t xml:space="preserve">
check: deficit plus financing is minus E&amp;O or stat discrepancy
</t>
        </r>
      </text>
    </comment>
    <comment ref="CQ1157" authorId="0" shapeId="0" xr:uid="{00000000-0006-0000-0200-00006D010000}">
      <text>
        <r>
          <rPr>
            <b/>
            <sz val="9"/>
            <color indexed="81"/>
            <rFont val="Tahoma"/>
            <family val="2"/>
          </rPr>
          <t>Author:</t>
        </r>
        <r>
          <rPr>
            <sz val="9"/>
            <color indexed="81"/>
            <rFont val="Tahoma"/>
            <family val="2"/>
          </rPr>
          <t xml:space="preserve">
check: deficit plus financing is minus E&amp;O or stat discrepancy
</t>
        </r>
      </text>
    </comment>
    <comment ref="CR1157" authorId="0" shapeId="0" xr:uid="{00000000-0006-0000-0200-00006E010000}">
      <text>
        <r>
          <rPr>
            <b/>
            <sz val="9"/>
            <color indexed="81"/>
            <rFont val="Tahoma"/>
            <family val="2"/>
          </rPr>
          <t>Author:</t>
        </r>
        <r>
          <rPr>
            <sz val="9"/>
            <color indexed="81"/>
            <rFont val="Tahoma"/>
            <family val="2"/>
          </rPr>
          <t xml:space="preserve">
check: deficit plus financing is minus E&amp;O or stat discrepancy
</t>
        </r>
      </text>
    </comment>
    <comment ref="CS1157" authorId="0" shapeId="0" xr:uid="{00000000-0006-0000-0200-00006F010000}">
      <text>
        <r>
          <rPr>
            <b/>
            <sz val="9"/>
            <color indexed="81"/>
            <rFont val="Tahoma"/>
            <family val="2"/>
          </rPr>
          <t>Author:</t>
        </r>
        <r>
          <rPr>
            <sz val="9"/>
            <color indexed="81"/>
            <rFont val="Tahoma"/>
            <family val="2"/>
          </rPr>
          <t xml:space="preserve">
check: deficit plus financing is minus E&amp;O or stat discrepancy
</t>
        </r>
      </text>
    </comment>
    <comment ref="CT1157" authorId="0" shapeId="0" xr:uid="{00000000-0006-0000-0200-000070010000}">
      <text>
        <r>
          <rPr>
            <b/>
            <sz val="9"/>
            <color indexed="81"/>
            <rFont val="Tahoma"/>
            <family val="2"/>
          </rPr>
          <t>Author:</t>
        </r>
        <r>
          <rPr>
            <sz val="9"/>
            <color indexed="81"/>
            <rFont val="Tahoma"/>
            <family val="2"/>
          </rPr>
          <t xml:space="preserve">
check: deficit plus financing is minus E&amp;O or stat discrepancy
</t>
        </r>
      </text>
    </comment>
    <comment ref="CU1157" authorId="0" shapeId="0" xr:uid="{00000000-0006-0000-0200-000071010000}">
      <text>
        <r>
          <rPr>
            <b/>
            <sz val="9"/>
            <color indexed="81"/>
            <rFont val="Tahoma"/>
            <family val="2"/>
          </rPr>
          <t>Author:</t>
        </r>
        <r>
          <rPr>
            <sz val="9"/>
            <color indexed="81"/>
            <rFont val="Tahoma"/>
            <family val="2"/>
          </rPr>
          <t xml:space="preserve">
check: deficit plus financing is minus E&amp;O or stat discrepancy
</t>
        </r>
      </text>
    </comment>
    <comment ref="CV1157" authorId="0" shapeId="0" xr:uid="{00000000-0006-0000-0200-000072010000}">
      <text>
        <r>
          <rPr>
            <b/>
            <sz val="9"/>
            <color indexed="81"/>
            <rFont val="Tahoma"/>
            <family val="2"/>
          </rPr>
          <t>Author:</t>
        </r>
        <r>
          <rPr>
            <sz val="9"/>
            <color indexed="81"/>
            <rFont val="Tahoma"/>
            <family val="2"/>
          </rPr>
          <t xml:space="preserve">
check: deficit plus financing is minus E&amp;O or stat discrepancy
</t>
        </r>
      </text>
    </comment>
    <comment ref="CW1157" authorId="0" shapeId="0" xr:uid="{00000000-0006-0000-0200-000073010000}">
      <text>
        <r>
          <rPr>
            <b/>
            <sz val="9"/>
            <color indexed="81"/>
            <rFont val="Tahoma"/>
            <family val="2"/>
          </rPr>
          <t>Author:</t>
        </r>
        <r>
          <rPr>
            <sz val="9"/>
            <color indexed="81"/>
            <rFont val="Tahoma"/>
            <family val="2"/>
          </rPr>
          <t xml:space="preserve">
check: deficit plus financing is minus E&amp;O or stat discrepancy
</t>
        </r>
      </text>
    </comment>
    <comment ref="CX1157" authorId="0" shapeId="0" xr:uid="{00000000-0006-0000-0200-000074010000}">
      <text>
        <r>
          <rPr>
            <b/>
            <sz val="9"/>
            <color indexed="81"/>
            <rFont val="Tahoma"/>
            <family val="2"/>
          </rPr>
          <t>Author:</t>
        </r>
        <r>
          <rPr>
            <sz val="9"/>
            <color indexed="81"/>
            <rFont val="Tahoma"/>
            <family val="2"/>
          </rPr>
          <t xml:space="preserve">
check: deficit plus financing is minus E&amp;O or stat discrepancy
</t>
        </r>
      </text>
    </comment>
    <comment ref="CY1157" authorId="0" shapeId="0" xr:uid="{00000000-0006-0000-0200-000075010000}">
      <text>
        <r>
          <rPr>
            <b/>
            <sz val="9"/>
            <color indexed="81"/>
            <rFont val="Tahoma"/>
            <family val="2"/>
          </rPr>
          <t>Author:</t>
        </r>
        <r>
          <rPr>
            <sz val="9"/>
            <color indexed="81"/>
            <rFont val="Tahoma"/>
            <family val="2"/>
          </rPr>
          <t xml:space="preserve">
check: deficit plus financing is minus E&amp;O or stat discrepancy
</t>
        </r>
      </text>
    </comment>
    <comment ref="CZ1157" authorId="0" shapeId="0" xr:uid="{00000000-0006-0000-0200-000076010000}">
      <text>
        <r>
          <rPr>
            <b/>
            <sz val="9"/>
            <color indexed="81"/>
            <rFont val="Tahoma"/>
            <family val="2"/>
          </rPr>
          <t>Author:</t>
        </r>
        <r>
          <rPr>
            <sz val="9"/>
            <color indexed="81"/>
            <rFont val="Tahoma"/>
            <family val="2"/>
          </rPr>
          <t xml:space="preserve">
check: deficit plus financing is minus E&amp;O or stat discrepancy
</t>
        </r>
      </text>
    </comment>
    <comment ref="DA1157" authorId="0" shapeId="0" xr:uid="{00000000-0006-0000-0200-000077010000}">
      <text>
        <r>
          <rPr>
            <b/>
            <sz val="9"/>
            <color indexed="81"/>
            <rFont val="Tahoma"/>
            <family val="2"/>
          </rPr>
          <t>Author:</t>
        </r>
        <r>
          <rPr>
            <sz val="9"/>
            <color indexed="81"/>
            <rFont val="Tahoma"/>
            <family val="2"/>
          </rPr>
          <t xml:space="preserve">
check: deficit plus financing is minus E&amp;O or stat discrepancy
</t>
        </r>
      </text>
    </comment>
    <comment ref="DB1157" authorId="0" shapeId="0" xr:uid="{00000000-0006-0000-0200-000078010000}">
      <text>
        <r>
          <rPr>
            <b/>
            <sz val="9"/>
            <color indexed="81"/>
            <rFont val="Tahoma"/>
            <family val="2"/>
          </rPr>
          <t>Author:</t>
        </r>
        <r>
          <rPr>
            <sz val="9"/>
            <color indexed="81"/>
            <rFont val="Tahoma"/>
            <family val="2"/>
          </rPr>
          <t xml:space="preserve">
check: deficit plus financing is minus E&amp;O or stat discrepancy
</t>
        </r>
      </text>
    </comment>
    <comment ref="DC1157" authorId="0" shapeId="0" xr:uid="{00000000-0006-0000-0200-000079010000}">
      <text>
        <r>
          <rPr>
            <b/>
            <sz val="9"/>
            <color indexed="81"/>
            <rFont val="Tahoma"/>
            <family val="2"/>
          </rPr>
          <t>Author:</t>
        </r>
        <r>
          <rPr>
            <sz val="9"/>
            <color indexed="81"/>
            <rFont val="Tahoma"/>
            <family val="2"/>
          </rPr>
          <t xml:space="preserve">
check: deficit plus financing is minus E&amp;O or stat discrepancy
</t>
        </r>
      </text>
    </comment>
    <comment ref="DD1157" authorId="0" shapeId="0" xr:uid="{00000000-0006-0000-0200-00007A010000}">
      <text>
        <r>
          <rPr>
            <b/>
            <sz val="9"/>
            <color indexed="81"/>
            <rFont val="Tahoma"/>
            <family val="2"/>
          </rPr>
          <t>Author:</t>
        </r>
        <r>
          <rPr>
            <sz val="9"/>
            <color indexed="81"/>
            <rFont val="Tahoma"/>
            <family val="2"/>
          </rPr>
          <t xml:space="preserve">
check: deficit plus financing is minus E&amp;O or stat discrepancy
</t>
        </r>
      </text>
    </comment>
    <comment ref="DE1157" authorId="0" shapeId="0" xr:uid="{00000000-0006-0000-0200-00007B010000}">
      <text>
        <r>
          <rPr>
            <b/>
            <sz val="9"/>
            <color indexed="81"/>
            <rFont val="Tahoma"/>
            <family val="2"/>
          </rPr>
          <t>Author:</t>
        </r>
        <r>
          <rPr>
            <sz val="9"/>
            <color indexed="81"/>
            <rFont val="Tahoma"/>
            <family val="2"/>
          </rPr>
          <t xml:space="preserve">
check: deficit plus financing is minus E&amp;O or stat discrepancy
</t>
        </r>
      </text>
    </comment>
    <comment ref="DF1157" authorId="0" shapeId="0" xr:uid="{00000000-0006-0000-0200-00007C010000}">
      <text>
        <r>
          <rPr>
            <b/>
            <sz val="9"/>
            <color indexed="81"/>
            <rFont val="Tahoma"/>
            <family val="2"/>
          </rPr>
          <t>Author:</t>
        </r>
        <r>
          <rPr>
            <sz val="9"/>
            <color indexed="81"/>
            <rFont val="Tahoma"/>
            <family val="2"/>
          </rPr>
          <t xml:space="preserve">
check: deficit plus financing is minus E&amp;O or stat discrepancy
</t>
        </r>
      </text>
    </comment>
    <comment ref="DG1157" authorId="0" shapeId="0" xr:uid="{00000000-0006-0000-0200-00007D010000}">
      <text>
        <r>
          <rPr>
            <b/>
            <sz val="9"/>
            <color indexed="81"/>
            <rFont val="Tahoma"/>
            <family val="2"/>
          </rPr>
          <t>Author:</t>
        </r>
        <r>
          <rPr>
            <sz val="9"/>
            <color indexed="81"/>
            <rFont val="Tahoma"/>
            <family val="2"/>
          </rPr>
          <t xml:space="preserve">
check: deficit plus financing is minus E&amp;O or stat discrepancy
</t>
        </r>
      </text>
    </comment>
    <comment ref="DH1157" authorId="0" shapeId="0" xr:uid="{00000000-0006-0000-0200-00007E010000}">
      <text>
        <r>
          <rPr>
            <b/>
            <sz val="9"/>
            <color indexed="81"/>
            <rFont val="Tahoma"/>
            <family val="2"/>
          </rPr>
          <t>Author:</t>
        </r>
        <r>
          <rPr>
            <sz val="9"/>
            <color indexed="81"/>
            <rFont val="Tahoma"/>
            <family val="2"/>
          </rPr>
          <t xml:space="preserve">
check: deficit plus financing is minus E&amp;O or stat discrepancy
</t>
        </r>
      </text>
    </comment>
    <comment ref="DI1157" authorId="0" shapeId="0" xr:uid="{00000000-0006-0000-0200-00007F010000}">
      <text>
        <r>
          <rPr>
            <b/>
            <sz val="9"/>
            <color indexed="81"/>
            <rFont val="Tahoma"/>
            <family val="2"/>
          </rPr>
          <t>Author:</t>
        </r>
        <r>
          <rPr>
            <sz val="9"/>
            <color indexed="81"/>
            <rFont val="Tahoma"/>
            <family val="2"/>
          </rPr>
          <t xml:space="preserve">
check: deficit plus financing is minus E&amp;O or stat discrepancy
</t>
        </r>
      </text>
    </comment>
    <comment ref="DJ1157" authorId="0" shapeId="0" xr:uid="{00000000-0006-0000-0200-000080010000}">
      <text>
        <r>
          <rPr>
            <b/>
            <sz val="9"/>
            <color indexed="81"/>
            <rFont val="Tahoma"/>
            <family val="2"/>
          </rPr>
          <t>Author:</t>
        </r>
        <r>
          <rPr>
            <sz val="9"/>
            <color indexed="81"/>
            <rFont val="Tahoma"/>
            <family val="2"/>
          </rPr>
          <t xml:space="preserve">
check: deficit plus financing is minus E&amp;O or stat discrepancy
</t>
        </r>
      </text>
    </comment>
    <comment ref="DK1157" authorId="0" shapeId="0" xr:uid="{00000000-0006-0000-0200-000081010000}">
      <text>
        <r>
          <rPr>
            <b/>
            <sz val="9"/>
            <color indexed="81"/>
            <rFont val="Tahoma"/>
            <family val="2"/>
          </rPr>
          <t>Author:</t>
        </r>
        <r>
          <rPr>
            <sz val="9"/>
            <color indexed="81"/>
            <rFont val="Tahoma"/>
            <family val="2"/>
          </rPr>
          <t xml:space="preserve">
check: deficit plus financing is minus E&amp;O or stat discrepancy
</t>
        </r>
      </text>
    </comment>
    <comment ref="DL1157" authorId="0" shapeId="0" xr:uid="{00000000-0006-0000-0200-000082010000}">
      <text>
        <r>
          <rPr>
            <b/>
            <sz val="9"/>
            <color indexed="81"/>
            <rFont val="Tahoma"/>
            <family val="2"/>
          </rPr>
          <t>Author:</t>
        </r>
        <r>
          <rPr>
            <sz val="9"/>
            <color indexed="81"/>
            <rFont val="Tahoma"/>
            <family val="2"/>
          </rPr>
          <t xml:space="preserve">
check: deficit plus financing is minus E&amp;O or stat discrepancy
</t>
        </r>
      </text>
    </comment>
    <comment ref="DM1157" authorId="0" shapeId="0" xr:uid="{00000000-0006-0000-0200-000083010000}">
      <text>
        <r>
          <rPr>
            <b/>
            <sz val="9"/>
            <color indexed="81"/>
            <rFont val="Tahoma"/>
            <family val="2"/>
          </rPr>
          <t>Author:</t>
        </r>
        <r>
          <rPr>
            <sz val="9"/>
            <color indexed="81"/>
            <rFont val="Tahoma"/>
            <family val="2"/>
          </rPr>
          <t xml:space="preserve">
check: deficit plus financing is minus E&amp;O or stat discrepancy
</t>
        </r>
      </text>
    </comment>
    <comment ref="DN1157" authorId="0" shapeId="0" xr:uid="{00000000-0006-0000-0200-000084010000}">
      <text>
        <r>
          <rPr>
            <b/>
            <sz val="9"/>
            <color indexed="81"/>
            <rFont val="Tahoma"/>
            <family val="2"/>
          </rPr>
          <t>Author:</t>
        </r>
        <r>
          <rPr>
            <sz val="9"/>
            <color indexed="81"/>
            <rFont val="Tahoma"/>
            <family val="2"/>
          </rPr>
          <t xml:space="preserve">
check: deficit plus financing is minus E&amp;O or stat discrepancy
</t>
        </r>
      </text>
    </comment>
    <comment ref="DO1157" authorId="0" shapeId="0" xr:uid="{00000000-0006-0000-0200-000085010000}">
      <text>
        <r>
          <rPr>
            <b/>
            <sz val="9"/>
            <color indexed="81"/>
            <rFont val="Tahoma"/>
            <family val="2"/>
          </rPr>
          <t>Author:</t>
        </r>
        <r>
          <rPr>
            <sz val="9"/>
            <color indexed="81"/>
            <rFont val="Tahoma"/>
            <family val="2"/>
          </rPr>
          <t xml:space="preserve">
check: deficit plus financing is minus E&amp;O or stat discrepancy
</t>
        </r>
      </text>
    </comment>
    <comment ref="DP1157" authorId="0" shapeId="0" xr:uid="{00000000-0006-0000-0200-000086010000}">
      <text>
        <r>
          <rPr>
            <b/>
            <sz val="9"/>
            <color indexed="81"/>
            <rFont val="Tahoma"/>
            <family val="2"/>
          </rPr>
          <t>Author:</t>
        </r>
        <r>
          <rPr>
            <sz val="9"/>
            <color indexed="81"/>
            <rFont val="Tahoma"/>
            <family val="2"/>
          </rPr>
          <t xml:space="preserve">
check: deficit plus financing is minus E&amp;O or stat discrepancy
</t>
        </r>
      </text>
    </comment>
    <comment ref="DQ1157" authorId="0" shapeId="0" xr:uid="{00000000-0006-0000-0200-000087010000}">
      <text>
        <r>
          <rPr>
            <b/>
            <sz val="9"/>
            <color indexed="81"/>
            <rFont val="Tahoma"/>
            <family val="2"/>
          </rPr>
          <t>Author:</t>
        </r>
        <r>
          <rPr>
            <sz val="9"/>
            <color indexed="81"/>
            <rFont val="Tahoma"/>
            <family val="2"/>
          </rPr>
          <t xml:space="preserve">
check: deficit plus financing is minus E&amp;O or stat discrepancy
</t>
        </r>
      </text>
    </comment>
    <comment ref="DR1157" authorId="0" shapeId="0" xr:uid="{00000000-0006-0000-0200-000088010000}">
      <text>
        <r>
          <rPr>
            <b/>
            <sz val="9"/>
            <color indexed="81"/>
            <rFont val="Tahoma"/>
            <family val="2"/>
          </rPr>
          <t>Author:</t>
        </r>
        <r>
          <rPr>
            <sz val="9"/>
            <color indexed="81"/>
            <rFont val="Tahoma"/>
            <family val="2"/>
          </rPr>
          <t xml:space="preserve">
check: deficit plus financing is minus E&amp;O or stat discrepancy
</t>
        </r>
      </text>
    </comment>
    <comment ref="DS1157" authorId="0" shapeId="0" xr:uid="{00000000-0006-0000-0200-000089010000}">
      <text>
        <r>
          <rPr>
            <b/>
            <sz val="9"/>
            <color indexed="81"/>
            <rFont val="Tahoma"/>
            <family val="2"/>
          </rPr>
          <t>Author:</t>
        </r>
        <r>
          <rPr>
            <sz val="9"/>
            <color indexed="81"/>
            <rFont val="Tahoma"/>
            <family val="2"/>
          </rPr>
          <t xml:space="preserve">
check: deficit plus financing is minus E&amp;O or stat discrepancy
</t>
        </r>
      </text>
    </comment>
    <comment ref="DT1157" authorId="0" shapeId="0" xr:uid="{00000000-0006-0000-0200-00008A010000}">
      <text>
        <r>
          <rPr>
            <b/>
            <sz val="9"/>
            <color indexed="81"/>
            <rFont val="Tahoma"/>
            <family val="2"/>
          </rPr>
          <t>Author:</t>
        </r>
        <r>
          <rPr>
            <sz val="9"/>
            <color indexed="81"/>
            <rFont val="Tahoma"/>
            <family val="2"/>
          </rPr>
          <t xml:space="preserve">
check: deficit plus financing is minus E&amp;O or stat discrepancy
</t>
        </r>
      </text>
    </comment>
    <comment ref="DU1157" authorId="0" shapeId="0" xr:uid="{00000000-0006-0000-0200-00008B010000}">
      <text>
        <r>
          <rPr>
            <b/>
            <sz val="9"/>
            <color indexed="81"/>
            <rFont val="Tahoma"/>
            <family val="2"/>
          </rPr>
          <t>Author:</t>
        </r>
        <r>
          <rPr>
            <sz val="9"/>
            <color indexed="81"/>
            <rFont val="Tahoma"/>
            <family val="2"/>
          </rPr>
          <t xml:space="preserve">
check: deficit plus financing is minus E&amp;O or stat discrepancy
</t>
        </r>
      </text>
    </comment>
    <comment ref="DV1157" authorId="0" shapeId="0" xr:uid="{00000000-0006-0000-0200-00008C010000}">
      <text>
        <r>
          <rPr>
            <b/>
            <sz val="9"/>
            <color indexed="81"/>
            <rFont val="Tahoma"/>
            <family val="2"/>
          </rPr>
          <t>Author:</t>
        </r>
        <r>
          <rPr>
            <sz val="9"/>
            <color indexed="81"/>
            <rFont val="Tahoma"/>
            <family val="2"/>
          </rPr>
          <t xml:space="preserve">
check: deficit plus financing is minus E&amp;O or stat discrepancy
</t>
        </r>
      </text>
    </comment>
    <comment ref="DW1157" authorId="0" shapeId="0" xr:uid="{00000000-0006-0000-0200-00008D010000}">
      <text>
        <r>
          <rPr>
            <b/>
            <sz val="9"/>
            <color indexed="81"/>
            <rFont val="Tahoma"/>
            <family val="2"/>
          </rPr>
          <t>Author:</t>
        </r>
        <r>
          <rPr>
            <sz val="9"/>
            <color indexed="81"/>
            <rFont val="Tahoma"/>
            <family val="2"/>
          </rPr>
          <t xml:space="preserve">
check: deficit plus financing is minus E&amp;O or stat discrepancy
</t>
        </r>
      </text>
    </comment>
    <comment ref="DX1157" authorId="0" shapeId="0" xr:uid="{00000000-0006-0000-0200-00008E010000}">
      <text>
        <r>
          <rPr>
            <b/>
            <sz val="9"/>
            <color indexed="81"/>
            <rFont val="Tahoma"/>
            <family val="2"/>
          </rPr>
          <t>Author:</t>
        </r>
        <r>
          <rPr>
            <sz val="9"/>
            <color indexed="81"/>
            <rFont val="Tahoma"/>
            <family val="2"/>
          </rPr>
          <t xml:space="preserve">
check: deficit plus financing is minus E&amp;O or stat discrepancy
</t>
        </r>
      </text>
    </comment>
    <comment ref="DY1157" authorId="0" shapeId="0" xr:uid="{00000000-0006-0000-0200-00008F010000}">
      <text>
        <r>
          <rPr>
            <b/>
            <sz val="9"/>
            <color indexed="81"/>
            <rFont val="Tahoma"/>
            <family val="2"/>
          </rPr>
          <t>Author:</t>
        </r>
        <r>
          <rPr>
            <sz val="9"/>
            <color indexed="81"/>
            <rFont val="Tahoma"/>
            <family val="2"/>
          </rPr>
          <t xml:space="preserve">
check: deficit plus financing is minus E&amp;O or stat discrepancy
</t>
        </r>
      </text>
    </comment>
    <comment ref="DZ1157" authorId="0" shapeId="0" xr:uid="{00000000-0006-0000-0200-000090010000}">
      <text>
        <r>
          <rPr>
            <b/>
            <sz val="9"/>
            <color indexed="81"/>
            <rFont val="Tahoma"/>
            <family val="2"/>
          </rPr>
          <t>Author:</t>
        </r>
        <r>
          <rPr>
            <sz val="9"/>
            <color indexed="81"/>
            <rFont val="Tahoma"/>
            <family val="2"/>
          </rPr>
          <t xml:space="preserve">
check: deficit plus financing is minus E&amp;O or stat discrepancy
</t>
        </r>
      </text>
    </comment>
    <comment ref="EA1157" authorId="0" shapeId="0" xr:uid="{00000000-0006-0000-0200-000091010000}">
      <text>
        <r>
          <rPr>
            <b/>
            <sz val="9"/>
            <color indexed="81"/>
            <rFont val="Tahoma"/>
            <family val="2"/>
          </rPr>
          <t>Author:</t>
        </r>
        <r>
          <rPr>
            <sz val="9"/>
            <color indexed="81"/>
            <rFont val="Tahoma"/>
            <family val="2"/>
          </rPr>
          <t xml:space="preserve">
check: deficit plus financing is minus E&amp;O or stat discrepancy
</t>
        </r>
      </text>
    </comment>
    <comment ref="EB1157" authorId="0" shapeId="0" xr:uid="{00000000-0006-0000-0200-000092010000}">
      <text>
        <r>
          <rPr>
            <b/>
            <sz val="9"/>
            <color indexed="81"/>
            <rFont val="Tahoma"/>
            <family val="2"/>
          </rPr>
          <t>Author:</t>
        </r>
        <r>
          <rPr>
            <sz val="9"/>
            <color indexed="81"/>
            <rFont val="Tahoma"/>
            <family val="2"/>
          </rPr>
          <t xml:space="preserve">
check: deficit plus financing is minus E&amp;O or stat discrepancy
</t>
        </r>
      </text>
    </comment>
    <comment ref="EC1157" authorId="0" shapeId="0" xr:uid="{00000000-0006-0000-0200-000093010000}">
      <text>
        <r>
          <rPr>
            <b/>
            <sz val="9"/>
            <color indexed="81"/>
            <rFont val="Tahoma"/>
            <family val="2"/>
          </rPr>
          <t>Author:</t>
        </r>
        <r>
          <rPr>
            <sz val="9"/>
            <color indexed="81"/>
            <rFont val="Tahoma"/>
            <family val="2"/>
          </rPr>
          <t xml:space="preserve">
check: deficit plus financing is minus E&amp;O or stat discrepancy
</t>
        </r>
      </text>
    </comment>
    <comment ref="ED1157" authorId="0" shapeId="0" xr:uid="{00000000-0006-0000-0200-000094010000}">
      <text>
        <r>
          <rPr>
            <b/>
            <sz val="9"/>
            <color indexed="81"/>
            <rFont val="Tahoma"/>
            <family val="2"/>
          </rPr>
          <t>Author:</t>
        </r>
        <r>
          <rPr>
            <sz val="9"/>
            <color indexed="81"/>
            <rFont val="Tahoma"/>
            <family val="2"/>
          </rPr>
          <t xml:space="preserve">
check: deficit plus financing is minus E&amp;O or stat discrepancy
</t>
        </r>
      </text>
    </comment>
    <comment ref="EE1157" authorId="0" shapeId="0" xr:uid="{00000000-0006-0000-0200-000095010000}">
      <text>
        <r>
          <rPr>
            <b/>
            <sz val="9"/>
            <color indexed="81"/>
            <rFont val="Tahoma"/>
            <family val="2"/>
          </rPr>
          <t>Author:</t>
        </r>
        <r>
          <rPr>
            <sz val="9"/>
            <color indexed="81"/>
            <rFont val="Tahoma"/>
            <family val="2"/>
          </rPr>
          <t xml:space="preserve">
check: deficit plus financing is minus E&amp;O or stat discrepancy
</t>
        </r>
      </text>
    </comment>
    <comment ref="EF1157" authorId="0" shapeId="0" xr:uid="{00000000-0006-0000-0200-000096010000}">
      <text>
        <r>
          <rPr>
            <b/>
            <sz val="9"/>
            <color indexed="81"/>
            <rFont val="Tahoma"/>
            <family val="2"/>
          </rPr>
          <t>Author:</t>
        </r>
        <r>
          <rPr>
            <sz val="9"/>
            <color indexed="81"/>
            <rFont val="Tahoma"/>
            <family val="2"/>
          </rPr>
          <t xml:space="preserve">
check: deficit plus financing is minus E&amp;O or stat discrepancy
</t>
        </r>
      </text>
    </comment>
    <comment ref="EG1157" authorId="0" shapeId="0" xr:uid="{00000000-0006-0000-0200-000097010000}">
      <text>
        <r>
          <rPr>
            <b/>
            <sz val="9"/>
            <color indexed="81"/>
            <rFont val="Tahoma"/>
            <family val="2"/>
          </rPr>
          <t>Author:</t>
        </r>
        <r>
          <rPr>
            <sz val="9"/>
            <color indexed="81"/>
            <rFont val="Tahoma"/>
            <family val="2"/>
          </rPr>
          <t xml:space="preserve">
check: deficit plus financing is minus E&amp;O or stat discrepancy
</t>
        </r>
      </text>
    </comment>
    <comment ref="EH1157" authorId="0" shapeId="0" xr:uid="{00000000-0006-0000-0200-000098010000}">
      <text>
        <r>
          <rPr>
            <b/>
            <sz val="9"/>
            <color indexed="81"/>
            <rFont val="Tahoma"/>
            <family val="2"/>
          </rPr>
          <t>Author:</t>
        </r>
        <r>
          <rPr>
            <sz val="9"/>
            <color indexed="81"/>
            <rFont val="Tahoma"/>
            <family val="2"/>
          </rPr>
          <t xml:space="preserve">
check: deficit plus financing is minus E&amp;O or stat discrepancy
</t>
        </r>
      </text>
    </comment>
    <comment ref="EI1157" authorId="0" shapeId="0" xr:uid="{00000000-0006-0000-0200-000099010000}">
      <text>
        <r>
          <rPr>
            <b/>
            <sz val="9"/>
            <color indexed="81"/>
            <rFont val="Tahoma"/>
            <family val="2"/>
          </rPr>
          <t>Author:</t>
        </r>
        <r>
          <rPr>
            <sz val="9"/>
            <color indexed="81"/>
            <rFont val="Tahoma"/>
            <family val="2"/>
          </rPr>
          <t xml:space="preserve">
check: deficit plus financing is minus E&amp;O or stat discrepancy
</t>
        </r>
      </text>
    </comment>
    <comment ref="EJ1157" authorId="0" shapeId="0" xr:uid="{00000000-0006-0000-0200-00009A010000}">
      <text>
        <r>
          <rPr>
            <b/>
            <sz val="9"/>
            <color indexed="81"/>
            <rFont val="Tahoma"/>
            <family val="2"/>
          </rPr>
          <t>Author:</t>
        </r>
        <r>
          <rPr>
            <sz val="9"/>
            <color indexed="81"/>
            <rFont val="Tahoma"/>
            <family val="2"/>
          </rPr>
          <t xml:space="preserve">
check: deficit plus financing is minus E&amp;O or stat discrepancy
</t>
        </r>
      </text>
    </comment>
    <comment ref="EK1157" authorId="0" shapeId="0" xr:uid="{00000000-0006-0000-0200-00009B010000}">
      <text>
        <r>
          <rPr>
            <b/>
            <sz val="9"/>
            <color indexed="81"/>
            <rFont val="Tahoma"/>
            <family val="2"/>
          </rPr>
          <t>Author:</t>
        </r>
        <r>
          <rPr>
            <sz val="9"/>
            <color indexed="81"/>
            <rFont val="Tahoma"/>
            <family val="2"/>
          </rPr>
          <t xml:space="preserve">
check: deficit plus financing is minus E&amp;O or stat discrepancy
</t>
        </r>
      </text>
    </comment>
    <comment ref="EL1157" authorId="0" shapeId="0" xr:uid="{00000000-0006-0000-0200-00009C010000}">
      <text>
        <r>
          <rPr>
            <b/>
            <sz val="9"/>
            <color indexed="81"/>
            <rFont val="Tahoma"/>
            <family val="2"/>
          </rPr>
          <t>Author:</t>
        </r>
        <r>
          <rPr>
            <sz val="9"/>
            <color indexed="81"/>
            <rFont val="Tahoma"/>
            <family val="2"/>
          </rPr>
          <t xml:space="preserve">
check: deficit plus financing is minus E&amp;O or stat discrepancy
</t>
        </r>
      </text>
    </comment>
    <comment ref="EM1157" authorId="0" shapeId="0" xr:uid="{00000000-0006-0000-0200-00009D010000}">
      <text>
        <r>
          <rPr>
            <b/>
            <sz val="9"/>
            <color indexed="81"/>
            <rFont val="Tahoma"/>
            <family val="2"/>
          </rPr>
          <t>Author:</t>
        </r>
        <r>
          <rPr>
            <sz val="9"/>
            <color indexed="81"/>
            <rFont val="Tahoma"/>
            <family val="2"/>
          </rPr>
          <t xml:space="preserve">
check: deficit plus financing is minus E&amp;O or stat discrepancy
</t>
        </r>
      </text>
    </comment>
    <comment ref="EN1157" authorId="0" shapeId="0" xr:uid="{00000000-0006-0000-0200-00009E010000}">
      <text>
        <r>
          <rPr>
            <b/>
            <sz val="9"/>
            <color indexed="81"/>
            <rFont val="Tahoma"/>
            <family val="2"/>
          </rPr>
          <t>Author:</t>
        </r>
        <r>
          <rPr>
            <sz val="9"/>
            <color indexed="81"/>
            <rFont val="Tahoma"/>
            <family val="2"/>
          </rPr>
          <t xml:space="preserve">
check: deficit plus financing is minus E&amp;O or stat discrepancy
</t>
        </r>
      </text>
    </comment>
    <comment ref="EO1157" authorId="0" shapeId="0" xr:uid="{00000000-0006-0000-0200-00009F010000}">
      <text>
        <r>
          <rPr>
            <b/>
            <sz val="9"/>
            <color indexed="81"/>
            <rFont val="Tahoma"/>
            <family val="2"/>
          </rPr>
          <t>Author:</t>
        </r>
        <r>
          <rPr>
            <sz val="9"/>
            <color indexed="81"/>
            <rFont val="Tahoma"/>
            <family val="2"/>
          </rPr>
          <t xml:space="preserve">
check: deficit plus financing is minus E&amp;O or stat discrepancy
</t>
        </r>
      </text>
    </comment>
    <comment ref="EP1157" authorId="0" shapeId="0" xr:uid="{00000000-0006-0000-0200-0000A0010000}">
      <text>
        <r>
          <rPr>
            <b/>
            <sz val="9"/>
            <color indexed="81"/>
            <rFont val="Tahoma"/>
            <family val="2"/>
          </rPr>
          <t>Author:</t>
        </r>
        <r>
          <rPr>
            <sz val="9"/>
            <color indexed="81"/>
            <rFont val="Tahoma"/>
            <family val="2"/>
          </rPr>
          <t xml:space="preserve">
check: deficit plus financing is minus E&amp;O or stat discrepancy
</t>
        </r>
      </text>
    </comment>
    <comment ref="EQ1157" authorId="0" shapeId="0" xr:uid="{00000000-0006-0000-0200-0000A1010000}">
      <text>
        <r>
          <rPr>
            <b/>
            <sz val="9"/>
            <color indexed="81"/>
            <rFont val="Tahoma"/>
            <family val="2"/>
          </rPr>
          <t>Author:</t>
        </r>
        <r>
          <rPr>
            <sz val="9"/>
            <color indexed="81"/>
            <rFont val="Tahoma"/>
            <family val="2"/>
          </rPr>
          <t xml:space="preserve">
check: deficit plus financing is minus E&amp;O or stat discrepancy
</t>
        </r>
      </text>
    </comment>
    <comment ref="ER1157" authorId="0" shapeId="0" xr:uid="{00000000-0006-0000-0200-0000A2010000}">
      <text>
        <r>
          <rPr>
            <b/>
            <sz val="9"/>
            <color indexed="81"/>
            <rFont val="Tahoma"/>
            <family val="2"/>
          </rPr>
          <t>Author:</t>
        </r>
        <r>
          <rPr>
            <sz val="9"/>
            <color indexed="81"/>
            <rFont val="Tahoma"/>
            <family val="2"/>
          </rPr>
          <t xml:space="preserve">
check: deficit plus financing is minus E&amp;O or stat discrepancy
</t>
        </r>
      </text>
    </comment>
    <comment ref="ES1157" authorId="0" shapeId="0" xr:uid="{00000000-0006-0000-0200-0000A3010000}">
      <text>
        <r>
          <rPr>
            <b/>
            <sz val="9"/>
            <color indexed="81"/>
            <rFont val="Tahoma"/>
            <family val="2"/>
          </rPr>
          <t>Author:</t>
        </r>
        <r>
          <rPr>
            <sz val="9"/>
            <color indexed="81"/>
            <rFont val="Tahoma"/>
            <family val="2"/>
          </rPr>
          <t xml:space="preserve">
check: deficit plus financing is minus E&amp;O or stat discrepancy
</t>
        </r>
      </text>
    </comment>
    <comment ref="ET1157" authorId="0" shapeId="0" xr:uid="{00000000-0006-0000-0200-0000A4010000}">
      <text>
        <r>
          <rPr>
            <b/>
            <sz val="9"/>
            <color indexed="81"/>
            <rFont val="Tahoma"/>
            <family val="2"/>
          </rPr>
          <t>Author:</t>
        </r>
        <r>
          <rPr>
            <sz val="9"/>
            <color indexed="81"/>
            <rFont val="Tahoma"/>
            <family val="2"/>
          </rPr>
          <t xml:space="preserve">
check: deficit plus financing is minus E&amp;O or stat discrepancy
</t>
        </r>
      </text>
    </comment>
    <comment ref="EU1157" authorId="0" shapeId="0" xr:uid="{00000000-0006-0000-0200-0000A5010000}">
      <text>
        <r>
          <rPr>
            <b/>
            <sz val="9"/>
            <color indexed="81"/>
            <rFont val="Tahoma"/>
            <family val="2"/>
          </rPr>
          <t>Author:</t>
        </r>
        <r>
          <rPr>
            <sz val="9"/>
            <color indexed="81"/>
            <rFont val="Tahoma"/>
            <family val="2"/>
          </rPr>
          <t xml:space="preserve">
check: deficit plus financing is minus E&amp;O or stat discrepancy
</t>
        </r>
      </text>
    </comment>
    <comment ref="EV1157" authorId="0" shapeId="0" xr:uid="{00000000-0006-0000-0200-0000A6010000}">
      <text>
        <r>
          <rPr>
            <b/>
            <sz val="9"/>
            <color indexed="81"/>
            <rFont val="Tahoma"/>
            <family val="2"/>
          </rPr>
          <t>Author:</t>
        </r>
        <r>
          <rPr>
            <sz val="9"/>
            <color indexed="81"/>
            <rFont val="Tahoma"/>
            <family val="2"/>
          </rPr>
          <t xml:space="preserve">
check: deficit plus financing is minus E&amp;O or stat discrepancy
</t>
        </r>
      </text>
    </comment>
    <comment ref="EW1157" authorId="0" shapeId="0" xr:uid="{00000000-0006-0000-0200-0000A7010000}">
      <text>
        <r>
          <rPr>
            <b/>
            <sz val="9"/>
            <color indexed="81"/>
            <rFont val="Tahoma"/>
            <family val="2"/>
          </rPr>
          <t>Author:</t>
        </r>
        <r>
          <rPr>
            <sz val="9"/>
            <color indexed="81"/>
            <rFont val="Tahoma"/>
            <family val="2"/>
          </rPr>
          <t xml:space="preserve">
check: deficit plus financing is minus E&amp;O or stat discrepancy
</t>
        </r>
      </text>
    </comment>
    <comment ref="EX1157" authorId="0" shapeId="0" xr:uid="{00000000-0006-0000-0200-0000A8010000}">
      <text>
        <r>
          <rPr>
            <b/>
            <sz val="9"/>
            <color indexed="81"/>
            <rFont val="Tahoma"/>
            <family val="2"/>
          </rPr>
          <t>Author:</t>
        </r>
        <r>
          <rPr>
            <sz val="9"/>
            <color indexed="81"/>
            <rFont val="Tahoma"/>
            <family val="2"/>
          </rPr>
          <t xml:space="preserve">
check: deficit plus financing is minus E&amp;O or stat discrepancy
</t>
        </r>
      </text>
    </comment>
    <comment ref="EY1157" authorId="0" shapeId="0" xr:uid="{00000000-0006-0000-0200-0000A9010000}">
      <text>
        <r>
          <rPr>
            <b/>
            <sz val="9"/>
            <color indexed="81"/>
            <rFont val="Tahoma"/>
            <family val="2"/>
          </rPr>
          <t>Author:</t>
        </r>
        <r>
          <rPr>
            <sz val="9"/>
            <color indexed="81"/>
            <rFont val="Tahoma"/>
            <family val="2"/>
          </rPr>
          <t xml:space="preserve">
check: deficit plus financing is minus E&amp;O or stat discrepancy
</t>
        </r>
      </text>
    </comment>
    <comment ref="EZ1157" authorId="0" shapeId="0" xr:uid="{00000000-0006-0000-0200-0000AA010000}">
      <text>
        <r>
          <rPr>
            <b/>
            <sz val="9"/>
            <color indexed="81"/>
            <rFont val="Tahoma"/>
            <family val="2"/>
          </rPr>
          <t>Author:</t>
        </r>
        <r>
          <rPr>
            <sz val="9"/>
            <color indexed="81"/>
            <rFont val="Tahoma"/>
            <family val="2"/>
          </rPr>
          <t xml:space="preserve">
check: deficit plus financing is minus E&amp;O or stat discrepancy
</t>
        </r>
      </text>
    </comment>
    <comment ref="FA1157" authorId="0" shapeId="0" xr:uid="{00000000-0006-0000-0200-0000AB010000}">
      <text>
        <r>
          <rPr>
            <b/>
            <sz val="9"/>
            <color indexed="81"/>
            <rFont val="Tahoma"/>
            <family val="2"/>
          </rPr>
          <t>Author:</t>
        </r>
        <r>
          <rPr>
            <sz val="9"/>
            <color indexed="81"/>
            <rFont val="Tahoma"/>
            <family val="2"/>
          </rPr>
          <t xml:space="preserve">
check: deficit plus financing is minus E&amp;O or stat discrepancy
</t>
        </r>
      </text>
    </comment>
    <comment ref="FB1157" authorId="0" shapeId="0" xr:uid="{00000000-0006-0000-0200-0000AC010000}">
      <text>
        <r>
          <rPr>
            <b/>
            <sz val="9"/>
            <color indexed="81"/>
            <rFont val="Tahoma"/>
            <family val="2"/>
          </rPr>
          <t>Author:</t>
        </r>
        <r>
          <rPr>
            <sz val="9"/>
            <color indexed="81"/>
            <rFont val="Tahoma"/>
            <family val="2"/>
          </rPr>
          <t xml:space="preserve">
check: deficit plus financing is minus E&amp;O or stat discrepancy
</t>
        </r>
      </text>
    </comment>
    <comment ref="FC1157" authorId="0" shapeId="0" xr:uid="{00000000-0006-0000-0200-0000AD010000}">
      <text>
        <r>
          <rPr>
            <b/>
            <sz val="9"/>
            <color indexed="81"/>
            <rFont val="Tahoma"/>
            <family val="2"/>
          </rPr>
          <t>Author:</t>
        </r>
        <r>
          <rPr>
            <sz val="9"/>
            <color indexed="81"/>
            <rFont val="Tahoma"/>
            <family val="2"/>
          </rPr>
          <t xml:space="preserve">
check: deficit plus financing is minus E&amp;O or stat discrepancy
</t>
        </r>
      </text>
    </comment>
    <comment ref="FD1157" authorId="0" shapeId="0" xr:uid="{00000000-0006-0000-0200-0000AE010000}">
      <text>
        <r>
          <rPr>
            <b/>
            <sz val="9"/>
            <color indexed="81"/>
            <rFont val="Tahoma"/>
            <family val="2"/>
          </rPr>
          <t>Author:</t>
        </r>
        <r>
          <rPr>
            <sz val="9"/>
            <color indexed="81"/>
            <rFont val="Tahoma"/>
            <family val="2"/>
          </rPr>
          <t xml:space="preserve">
check: deficit plus financing is minus E&amp;O or stat discrepancy
</t>
        </r>
      </text>
    </comment>
    <comment ref="FE1157" authorId="0" shapeId="0" xr:uid="{00000000-0006-0000-0200-0000AF010000}">
      <text>
        <r>
          <rPr>
            <b/>
            <sz val="9"/>
            <color indexed="81"/>
            <rFont val="Tahoma"/>
            <family val="2"/>
          </rPr>
          <t>Author:</t>
        </r>
        <r>
          <rPr>
            <sz val="9"/>
            <color indexed="81"/>
            <rFont val="Tahoma"/>
            <family val="2"/>
          </rPr>
          <t xml:space="preserve">
check: deficit plus financing is minus E&amp;O or stat discrepancy
</t>
        </r>
      </text>
    </comment>
    <comment ref="FF1157" authorId="0" shapeId="0" xr:uid="{00000000-0006-0000-0200-0000B0010000}">
      <text>
        <r>
          <rPr>
            <b/>
            <sz val="9"/>
            <color indexed="81"/>
            <rFont val="Tahoma"/>
            <family val="2"/>
          </rPr>
          <t>Author:</t>
        </r>
        <r>
          <rPr>
            <sz val="9"/>
            <color indexed="81"/>
            <rFont val="Tahoma"/>
            <family val="2"/>
          </rPr>
          <t xml:space="preserve">
check: deficit plus financing is minus E&amp;O or stat discrepancy
</t>
        </r>
      </text>
    </comment>
    <comment ref="FG1157" authorId="0" shapeId="0" xr:uid="{00000000-0006-0000-0200-0000B1010000}">
      <text>
        <r>
          <rPr>
            <b/>
            <sz val="9"/>
            <color indexed="81"/>
            <rFont val="Tahoma"/>
            <family val="2"/>
          </rPr>
          <t>Author:</t>
        </r>
        <r>
          <rPr>
            <sz val="9"/>
            <color indexed="81"/>
            <rFont val="Tahoma"/>
            <family val="2"/>
          </rPr>
          <t xml:space="preserve">
check: deficit plus financing is minus E&amp;O or stat discrepancy
</t>
        </r>
      </text>
    </comment>
    <comment ref="FH1157" authorId="0" shapeId="0" xr:uid="{00000000-0006-0000-0200-0000B2010000}">
      <text>
        <r>
          <rPr>
            <b/>
            <sz val="9"/>
            <color indexed="81"/>
            <rFont val="Tahoma"/>
            <family val="2"/>
          </rPr>
          <t>Author:</t>
        </r>
        <r>
          <rPr>
            <sz val="9"/>
            <color indexed="81"/>
            <rFont val="Tahoma"/>
            <family val="2"/>
          </rPr>
          <t xml:space="preserve">
check: deficit plus financing is minus E&amp;O or stat discrepancy
</t>
        </r>
      </text>
    </comment>
    <comment ref="FI1157" authorId="0" shapeId="0" xr:uid="{00000000-0006-0000-0200-0000B3010000}">
      <text>
        <r>
          <rPr>
            <b/>
            <sz val="9"/>
            <color indexed="81"/>
            <rFont val="Tahoma"/>
            <family val="2"/>
          </rPr>
          <t>Author:</t>
        </r>
        <r>
          <rPr>
            <sz val="9"/>
            <color indexed="81"/>
            <rFont val="Tahoma"/>
            <family val="2"/>
          </rPr>
          <t xml:space="preserve">
check: deficit plus financing is minus E&amp;O or stat discrepancy
</t>
        </r>
      </text>
    </comment>
    <comment ref="FJ1157" authorId="0" shapeId="0" xr:uid="{00000000-0006-0000-0200-0000B4010000}">
      <text>
        <r>
          <rPr>
            <b/>
            <sz val="9"/>
            <color indexed="81"/>
            <rFont val="Tahoma"/>
            <family val="2"/>
          </rPr>
          <t>Author:</t>
        </r>
        <r>
          <rPr>
            <sz val="9"/>
            <color indexed="81"/>
            <rFont val="Tahoma"/>
            <family val="2"/>
          </rPr>
          <t xml:space="preserve">
check: deficit plus financing is minus E&amp;O or stat discrepancy
</t>
        </r>
      </text>
    </comment>
    <comment ref="FK1157" authorId="0" shapeId="0" xr:uid="{00000000-0006-0000-0200-0000B5010000}">
      <text>
        <r>
          <rPr>
            <b/>
            <sz val="9"/>
            <color indexed="81"/>
            <rFont val="Tahoma"/>
            <family val="2"/>
          </rPr>
          <t>Author:</t>
        </r>
        <r>
          <rPr>
            <sz val="9"/>
            <color indexed="81"/>
            <rFont val="Tahoma"/>
            <family val="2"/>
          </rPr>
          <t xml:space="preserve">
check: deficit plus financing is minus E&amp;O or stat discrepancy
</t>
        </r>
      </text>
    </comment>
    <comment ref="FL1157" authorId="0" shapeId="0" xr:uid="{00000000-0006-0000-0200-0000B6010000}">
      <text>
        <r>
          <rPr>
            <b/>
            <sz val="9"/>
            <color indexed="81"/>
            <rFont val="Tahoma"/>
            <family val="2"/>
          </rPr>
          <t>Author:</t>
        </r>
        <r>
          <rPr>
            <sz val="9"/>
            <color indexed="81"/>
            <rFont val="Tahoma"/>
            <family val="2"/>
          </rPr>
          <t xml:space="preserve">
check: deficit plus financing is minus E&amp;O or stat discrepancy
</t>
        </r>
      </text>
    </comment>
    <comment ref="FM1157" authorId="0" shapeId="0" xr:uid="{00000000-0006-0000-0200-0000B7010000}">
      <text>
        <r>
          <rPr>
            <b/>
            <sz val="9"/>
            <color indexed="81"/>
            <rFont val="Tahoma"/>
            <family val="2"/>
          </rPr>
          <t>Author:</t>
        </r>
        <r>
          <rPr>
            <sz val="9"/>
            <color indexed="81"/>
            <rFont val="Tahoma"/>
            <family val="2"/>
          </rPr>
          <t xml:space="preserve">
check: deficit plus financing is minus E&amp;O or stat discrepancy
</t>
        </r>
      </text>
    </comment>
    <comment ref="FN1157" authorId="0" shapeId="0" xr:uid="{00000000-0006-0000-0200-0000B8010000}">
      <text>
        <r>
          <rPr>
            <b/>
            <sz val="9"/>
            <color indexed="81"/>
            <rFont val="Tahoma"/>
            <family val="2"/>
          </rPr>
          <t>Author:</t>
        </r>
        <r>
          <rPr>
            <sz val="9"/>
            <color indexed="81"/>
            <rFont val="Tahoma"/>
            <family val="2"/>
          </rPr>
          <t xml:space="preserve">
check: deficit plus financing is minus E&amp;O or stat discrepancy
</t>
        </r>
      </text>
    </comment>
    <comment ref="FO1157" authorId="0" shapeId="0" xr:uid="{00000000-0006-0000-0200-0000B9010000}">
      <text>
        <r>
          <rPr>
            <b/>
            <sz val="9"/>
            <color indexed="81"/>
            <rFont val="Tahoma"/>
            <family val="2"/>
          </rPr>
          <t>Author:</t>
        </r>
        <r>
          <rPr>
            <sz val="9"/>
            <color indexed="81"/>
            <rFont val="Tahoma"/>
            <family val="2"/>
          </rPr>
          <t xml:space="preserve">
check: deficit plus financing is minus E&amp;O or stat discrepancy
</t>
        </r>
      </text>
    </comment>
    <comment ref="FP1157" authorId="0" shapeId="0" xr:uid="{00000000-0006-0000-0200-0000BA010000}">
      <text>
        <r>
          <rPr>
            <b/>
            <sz val="9"/>
            <color indexed="81"/>
            <rFont val="Tahoma"/>
            <family val="2"/>
          </rPr>
          <t>Author:</t>
        </r>
        <r>
          <rPr>
            <sz val="9"/>
            <color indexed="81"/>
            <rFont val="Tahoma"/>
            <family val="2"/>
          </rPr>
          <t xml:space="preserve">
check: deficit plus financing is minus E&amp;O or stat discrepancy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E1" authorId="0" shapeId="0" xr:uid="{E6707630-D1FA-4ED2-9B00-9DB37E5AD24D}">
      <text>
        <r>
          <rPr>
            <b/>
            <sz val="9"/>
            <color indexed="81"/>
            <rFont val="Tahoma"/>
            <family val="2"/>
          </rPr>
          <t>Author:</t>
        </r>
        <r>
          <rPr>
            <sz val="9"/>
            <color indexed="81"/>
            <rFont val="Tahoma"/>
            <family val="2"/>
          </rPr>
          <t xml:space="preserve">
Actual projections Oct,20</t>
        </r>
      </text>
    </comment>
    <comment ref="E72" authorId="0" shapeId="0" xr:uid="{ADCC0C63-D9DE-41A4-A3DA-AC564B9E650E}">
      <text>
        <r>
          <rPr>
            <b/>
            <sz val="9"/>
            <color indexed="81"/>
            <rFont val="Tahoma"/>
            <family val="2"/>
          </rPr>
          <t>Author:</t>
        </r>
        <r>
          <rPr>
            <sz val="9"/>
            <color indexed="81"/>
            <rFont val="Tahoma"/>
            <family val="2"/>
          </rPr>
          <t xml:space="preserve">
including also BAC Accrued interests as of March,21 under pre-financial clause remaining payment before restructuring. To be paid using double counted money under marriot (appeared both in Domestic and External).</t>
        </r>
      </text>
    </comment>
    <comment ref="E73" authorId="0" shapeId="0" xr:uid="{8C959B02-2F26-47B3-AEC2-E8875F209BF2}">
      <text>
        <r>
          <rPr>
            <b/>
            <sz val="9"/>
            <color indexed="81"/>
            <rFont val="Tahoma"/>
            <family val="2"/>
          </rPr>
          <t>Author:</t>
        </r>
        <r>
          <rPr>
            <sz val="9"/>
            <color indexed="81"/>
            <rFont val="Tahoma"/>
            <family val="2"/>
          </rPr>
          <t xml:space="preserve">
got the total estimated amount with no details by bonds. Therefore, the total (from Judith Link) have to be considered by these details are not true.</t>
        </r>
      </text>
    </comment>
  </commentList>
</comments>
</file>

<file path=xl/sharedStrings.xml><?xml version="1.0" encoding="utf-8"?>
<sst xmlns="http://schemas.openxmlformats.org/spreadsheetml/2006/main" count="7752" uniqueCount="3799">
  <si>
    <t>WEO_ALL</t>
  </si>
  <si>
    <t xml:space="preserve">WEO Assumptions </t>
  </si>
  <si>
    <t>EXTFIN_ALL</t>
  </si>
  <si>
    <t xml:space="preserve">External Financing Assumptions </t>
  </si>
  <si>
    <t>EXTDEBT_ALL</t>
  </si>
  <si>
    <t>External debt service</t>
  </si>
  <si>
    <t>Proj. 2015</t>
  </si>
  <si>
    <t>Proj. 2016</t>
  </si>
  <si>
    <t>I. IMPORTED BLOCK (paste values)</t>
  </si>
  <si>
    <t>Sources</t>
  </si>
  <si>
    <t>bln US$</t>
  </si>
  <si>
    <t>2005=100</t>
  </si>
  <si>
    <t>period average</t>
  </si>
  <si>
    <t>Real GDP</t>
  </si>
  <si>
    <t>Advanced economies</t>
  </si>
  <si>
    <t>Emerging market and developing economies</t>
  </si>
  <si>
    <t>GDP deflator</t>
  </si>
  <si>
    <t>Trade</t>
  </si>
  <si>
    <t>World trade volume (goods and services)</t>
  </si>
  <si>
    <t>Trade prices (export price deflator)</t>
  </si>
  <si>
    <t xml:space="preserve">    Manufactures—advanced economies</t>
  </si>
  <si>
    <t>Fuel</t>
  </si>
  <si>
    <t xml:space="preserve">   Petroleum spot price (APSP; US$)</t>
  </si>
  <si>
    <t>Euro area</t>
  </si>
  <si>
    <t>SDRs per U.S. dollar</t>
  </si>
  <si>
    <t>Six-month LIBOR on</t>
  </si>
  <si>
    <t>Precision</t>
  </si>
  <si>
    <t xml:space="preserve"> </t>
  </si>
  <si>
    <t>Tea</t>
  </si>
  <si>
    <t>2013 (value)</t>
  </si>
  <si>
    <t>Nominal GDP</t>
  </si>
  <si>
    <t>Deflator</t>
  </si>
  <si>
    <t>2014 (value)</t>
  </si>
  <si>
    <t>2013-2014</t>
  </si>
  <si>
    <t>% change (value)</t>
  </si>
  <si>
    <t>Domestic</t>
  </si>
  <si>
    <t>DMX codes</t>
  </si>
  <si>
    <t>DMX Codes</t>
  </si>
  <si>
    <t xml:space="preserve"> i.        Keep structure of MF  files as Uniform &amp; Small &amp; Self-contained as possible</t>
  </si>
  <si>
    <t>iv.       Keep sector’s source data sheets in separate file, but avoid hotlinks to other files</t>
  </si>
  <si>
    <t>vi.        In-file documentation of all data sources; input of any data only once</t>
  </si>
  <si>
    <t>vii.      Parameters explicit in “sector specific assumptions” and calculation/projection method explained</t>
  </si>
  <si>
    <t>ix.        Common blocks ‘imported’ or ‘exported’ from/to sectors must be safeguarded</t>
  </si>
  <si>
    <t>GAS Jan 2015</t>
  </si>
  <si>
    <t xml:space="preserve">bln US$    </t>
  </si>
  <si>
    <t>Commodity prices indices (except otherwise indicated)</t>
  </si>
  <si>
    <t>2005=100, Kg/Lbs</t>
  </si>
  <si>
    <t>Coffee, other mild (ICO, ex-dock New York)</t>
  </si>
  <si>
    <t>$/MT</t>
  </si>
  <si>
    <t xml:space="preserve">$/MT     </t>
  </si>
  <si>
    <t>Hides</t>
  </si>
  <si>
    <t>$/MT?</t>
  </si>
  <si>
    <t>Gold</t>
  </si>
  <si>
    <t>$/ounce, 30.6 grams/ounce</t>
  </si>
  <si>
    <t>$/ounce</t>
  </si>
  <si>
    <t>Tin</t>
  </si>
  <si>
    <t>U.S. dollars per unit of national currency</t>
  </si>
  <si>
    <t>$/Euro</t>
  </si>
  <si>
    <t xml:space="preserve">in %   </t>
  </si>
  <si>
    <t>U.S. dollar deposits</t>
  </si>
  <si>
    <t>in %</t>
  </si>
  <si>
    <t>Euro</t>
  </si>
  <si>
    <t>GEE_ALL</t>
  </si>
  <si>
    <t>95% of trade reporting country</t>
  </si>
  <si>
    <t>World growth (Rwa export weigthed 2011-13)</t>
  </si>
  <si>
    <t>trading partners 100% of trade reporting country</t>
  </si>
  <si>
    <t>for RER calc</t>
  </si>
  <si>
    <t>Rwanda's import prices (import weighted 2011-13)</t>
  </si>
  <si>
    <t>for PMmanuf or PEmanuf</t>
  </si>
  <si>
    <t>PEnonoil</t>
  </si>
  <si>
    <t>Rwanda's export prices (export weighted 2011-13)</t>
  </si>
  <si>
    <t>PEcommodity-nonoil</t>
  </si>
  <si>
    <t>I.Project loan disbursements (in US$ mln)</t>
  </si>
  <si>
    <t xml:space="preserve">        Quarter I</t>
  </si>
  <si>
    <t xml:space="preserve">        Quarter II</t>
  </si>
  <si>
    <t xml:space="preserve">        Quarter III</t>
  </si>
  <si>
    <t xml:space="preserve">        Quarter IV</t>
  </si>
  <si>
    <t>II.Budget loans (in US$ mln)</t>
  </si>
  <si>
    <t>III. Project grants (in US$ mln)</t>
  </si>
  <si>
    <t xml:space="preserve">Amortization due excl. IMF in mln US$ </t>
  </si>
  <si>
    <t>Amortization IMF due in mln US$</t>
  </si>
  <si>
    <t>Bilateral</t>
  </si>
  <si>
    <t>Commercial</t>
  </si>
  <si>
    <t>Wages and salaries</t>
  </si>
  <si>
    <t>Purchases of goods and services</t>
  </si>
  <si>
    <t>Transfers</t>
  </si>
  <si>
    <t>REAL_MF</t>
  </si>
  <si>
    <t>Real GDP growth</t>
  </si>
  <si>
    <t>GDP deflator in % change</t>
  </si>
  <si>
    <t xml:space="preserve">    Government consumption</t>
  </si>
  <si>
    <t>GEE assumptions for Rwandan partners</t>
  </si>
  <si>
    <t>I.1 Non Macro-Framework exogenous blocks</t>
  </si>
  <si>
    <t>data starting from 2005</t>
  </si>
  <si>
    <t>Pmnonoil - Could be found in the WEO (updated more often)</t>
  </si>
  <si>
    <t>APSP in % change Pmoil - Appears in the WEO (trade prices -export price deflator - manufactures</t>
  </si>
  <si>
    <t>Appears in the WEO -  petrolum spot price</t>
  </si>
  <si>
    <t>March 2015 version</t>
  </si>
  <si>
    <t>I.2 Macro-Framework exogenous blocks</t>
  </si>
  <si>
    <t>I. EXOGENOUS BLOCK (paste values)</t>
  </si>
  <si>
    <t>Nominal GDP  in bln RWF</t>
  </si>
  <si>
    <t>BNR data</t>
  </si>
  <si>
    <t>check</t>
  </si>
  <si>
    <t>Program exchange rate RWF/USD</t>
  </si>
  <si>
    <t xml:space="preserve">   % increase in government unit wage costs</t>
  </si>
  <si>
    <t>Top-up factor imports g&amp;s over imports goods CIF</t>
  </si>
  <si>
    <t xml:space="preserve">  Share of imports in govt consumption (excl. govt wage bill)</t>
  </si>
  <si>
    <t xml:space="preserve">  Share of imports cons goods in private consumption</t>
  </si>
  <si>
    <t xml:space="preserve">  Share of imports capital goods  in govt investment </t>
  </si>
  <si>
    <t xml:space="preserve">  Share of imports capital goods in private investment </t>
  </si>
  <si>
    <t xml:space="preserve">  Share of imports intermediate goods in exports</t>
  </si>
  <si>
    <t xml:space="preserve">  Share of intermediate imports (excl. energy products) in GDP</t>
  </si>
  <si>
    <t xml:space="preserve">  Share of energy products in GDP</t>
  </si>
  <si>
    <t>REAL_FISC</t>
  </si>
  <si>
    <t>Government investment deflator</t>
  </si>
  <si>
    <t>Monetary variables for MF</t>
  </si>
  <si>
    <t>MON_MF</t>
  </si>
  <si>
    <t>FISC_MON</t>
  </si>
  <si>
    <t xml:space="preserve">     Jan-June </t>
  </si>
  <si>
    <t xml:space="preserve">     July-Dec </t>
  </si>
  <si>
    <t>Peace Keeping Operations (in mln USD)</t>
  </si>
  <si>
    <t>Total final consumption expenditure (constant prices)</t>
  </si>
  <si>
    <t>Exports of goods and services NA (current prices)</t>
  </si>
  <si>
    <t>Imports of goods and services NA (current prices)</t>
  </si>
  <si>
    <t>Domestic government debt (service) bln RWF</t>
  </si>
  <si>
    <t>O/w: principal due NBR</t>
  </si>
  <si>
    <t xml:space="preserve">           principal (gross) commercial banks</t>
  </si>
  <si>
    <t xml:space="preserve">           principal (gross) non banks--for Budget</t>
  </si>
  <si>
    <t xml:space="preserve">        BNR</t>
  </si>
  <si>
    <t xml:space="preserve">IV. Planned new net issuance </t>
  </si>
  <si>
    <t>Net issuance of T bills (gross -/- in-year rollover of repayment)</t>
  </si>
  <si>
    <t>O/w: to non banks</t>
  </si>
  <si>
    <t>New gross issuance of T bonds</t>
  </si>
  <si>
    <t>Peace Keeping Operations (mln USD)</t>
  </si>
  <si>
    <t>FISC_BOP</t>
  </si>
  <si>
    <t>II. Fiscal specific assumptions (elasticities, growth bases,…)</t>
  </si>
  <si>
    <t>Revenue and grants</t>
  </si>
  <si>
    <t/>
  </si>
  <si>
    <t>Total revenue</t>
  </si>
  <si>
    <t>Tax revenue</t>
  </si>
  <si>
    <t>Contingent</t>
  </si>
  <si>
    <t>Direct taxes</t>
  </si>
  <si>
    <t>of which local government taxes</t>
  </si>
  <si>
    <t>Taxes on goods and services</t>
  </si>
  <si>
    <t>of which Taxes on projects expenditures (EWSA&amp;RTDA)</t>
  </si>
  <si>
    <t>Taxes on international trade</t>
  </si>
  <si>
    <t>Non-tax revenue</t>
  </si>
  <si>
    <t>Total Grants</t>
  </si>
  <si>
    <t>Budgetary grants</t>
  </si>
  <si>
    <t>Capital grants</t>
  </si>
  <si>
    <t>Projects</t>
  </si>
  <si>
    <t>Global Fund</t>
  </si>
  <si>
    <t>Total expenditure and net lending</t>
  </si>
  <si>
    <t>Current expenditure</t>
  </si>
  <si>
    <t>Civil</t>
  </si>
  <si>
    <t>Defense</t>
  </si>
  <si>
    <t>Interest payments</t>
  </si>
  <si>
    <t>Domestic Int (paid)</t>
  </si>
  <si>
    <t>of which Interest on overdraft and T/Bills</t>
  </si>
  <si>
    <t>External Int (due)</t>
  </si>
  <si>
    <t>of which external interest on Sovereign Bonds proceeds</t>
  </si>
  <si>
    <t>of which expenditures on local government taxes</t>
  </si>
  <si>
    <t>of which wages and salaries</t>
  </si>
  <si>
    <t>Exceptional social expenditure</t>
  </si>
  <si>
    <t>Assistance to victims of genocide (FARG)</t>
  </si>
  <si>
    <t>Peace keeping operations (incl. CAR&amp;Juba)</t>
  </si>
  <si>
    <t>Capital expenditure</t>
  </si>
  <si>
    <t>Foreign</t>
  </si>
  <si>
    <t>Net lending</t>
  </si>
  <si>
    <t>Additional Expenditure Cimerwa</t>
  </si>
  <si>
    <t>Rwandair (working capital)</t>
  </si>
  <si>
    <t>Rwandair loan (PTA debt service)</t>
  </si>
  <si>
    <t>KCC Loan Repayment</t>
  </si>
  <si>
    <t>Export Promotion</t>
  </si>
  <si>
    <t>Loan</t>
  </si>
  <si>
    <t>Equity</t>
  </si>
  <si>
    <t>Primary deficit (excluding exceptional)</t>
  </si>
  <si>
    <t>Overall deficit (payment order)</t>
  </si>
  <si>
    <t>Including grants</t>
  </si>
  <si>
    <t>Excluding grants</t>
  </si>
  <si>
    <t>Change in arrears (net reduction-)</t>
  </si>
  <si>
    <t>Overall Deficit (cash basis)</t>
  </si>
  <si>
    <t>Financing</t>
  </si>
  <si>
    <t>Foreign financing (net)</t>
  </si>
  <si>
    <t>Drawings</t>
  </si>
  <si>
    <t>Budgetary loan [ AfDB Sector budgetary loan ]</t>
  </si>
  <si>
    <t>Budgetary loan [ WB PRSG loan ]</t>
  </si>
  <si>
    <t>Project loans</t>
  </si>
  <si>
    <t>of which Sovereign Bond proceeds</t>
  </si>
  <si>
    <t>of Which Bugesera airport</t>
  </si>
  <si>
    <t>of Which Additional energy</t>
  </si>
  <si>
    <t>Amortization (due)</t>
  </si>
  <si>
    <t>Domestic financing</t>
  </si>
  <si>
    <t>Non bank T/Bills</t>
  </si>
  <si>
    <t>Non bank T/Bonds</t>
  </si>
  <si>
    <t>2010/11</t>
  </si>
  <si>
    <t>2011/12</t>
  </si>
  <si>
    <t>2012/13</t>
  </si>
  <si>
    <t>2013/14</t>
  </si>
  <si>
    <t>2014/15</t>
  </si>
  <si>
    <t>2015/16</t>
  </si>
  <si>
    <t>2016/17</t>
  </si>
  <si>
    <t>2017/18</t>
  </si>
  <si>
    <t>2018/19</t>
  </si>
  <si>
    <t>2019/20</t>
  </si>
  <si>
    <t>2006/07</t>
  </si>
  <si>
    <t>2007/08</t>
  </si>
  <si>
    <t>2008/09</t>
  </si>
  <si>
    <t>2009/10</t>
  </si>
  <si>
    <t>BOP variables for FISCAL</t>
  </si>
  <si>
    <t xml:space="preserve">  Goods excluding oil—advanced economies</t>
  </si>
  <si>
    <t>Food</t>
  </si>
  <si>
    <t>Agricultural raw materials</t>
  </si>
  <si>
    <t>Metals</t>
  </si>
  <si>
    <t>$cts/lbs, 0.45 Kg/lbs</t>
  </si>
  <si>
    <t>approx. shares</t>
  </si>
  <si>
    <t xml:space="preserve">   share of imports in domestic capital spending</t>
  </si>
  <si>
    <r>
      <rPr>
        <sz val="11"/>
        <rFont val="Calibri"/>
        <family val="2"/>
      </rPr>
      <t xml:space="preserve">In bln  RWF in fiscal year </t>
    </r>
    <r>
      <rPr>
        <sz val="9"/>
        <rFont val="Calibri"/>
        <family val="2"/>
      </rPr>
      <t>(previous year 2d sem, current year 1st sem)</t>
    </r>
  </si>
  <si>
    <t>additional cost PKO deployment (outside budget, estimate)</t>
  </si>
  <si>
    <t xml:space="preserve">    domestic indirect taxes (excl excise fuel)/non agric. GDP</t>
  </si>
  <si>
    <t xml:space="preserve">    direct tax (excl. local govt taxes)/non agric. GDP</t>
  </si>
  <si>
    <t>effective import tax rate (incl. VAT and fuel excise) on imported goods cif</t>
  </si>
  <si>
    <t>effective import tax rate (incl. tariff, VAT) on non fuel goods imports cif</t>
  </si>
  <si>
    <t>effective excise tax rate (incl. any VAT) on energy goods imports cif</t>
  </si>
  <si>
    <t>effective import tax rate (incl. VAT and fuel excise) on imported goods &amp; services</t>
  </si>
  <si>
    <t xml:space="preserve">     effective import tax rate (incl. VAT) on consumption goods&amp; services imports</t>
  </si>
  <si>
    <t>GDP</t>
  </si>
  <si>
    <t>nontax revenue (excl.PKO)/GDP</t>
  </si>
  <si>
    <t>check revenue/GDP</t>
  </si>
  <si>
    <t>Expenditure assumptions/parameters</t>
  </si>
  <si>
    <t>Wages and salaries/GDP</t>
  </si>
  <si>
    <t>Goods and services/GDP</t>
  </si>
  <si>
    <t>Transfers/GDP</t>
  </si>
  <si>
    <t>Capital spending on domestic resources/GDP</t>
  </si>
  <si>
    <t>Non interest current expend/GDP</t>
  </si>
  <si>
    <t>Foreign financed capital spending/GDP</t>
  </si>
  <si>
    <t>Exceptional spending excl PKO/GDP</t>
  </si>
  <si>
    <t xml:space="preserve">     Government investment deflator</t>
  </si>
  <si>
    <r>
      <t xml:space="preserve">Nominal GDP FY </t>
    </r>
    <r>
      <rPr>
        <sz val="11"/>
        <color theme="1"/>
        <rFont val="Calibri"/>
        <family val="2"/>
        <scheme val="minor"/>
      </rPr>
      <t>(simple average) bln RWF</t>
    </r>
  </si>
  <si>
    <t>check capital spending/GDP</t>
  </si>
  <si>
    <t>Primary deficit (incl. exceptional; excl. interest &amp; foreign financed capital spending)</t>
  </si>
  <si>
    <t>Domestic Fiscal Balance ( excl. Demob and PKO; incl. net lending)</t>
  </si>
  <si>
    <t>residual</t>
  </si>
  <si>
    <t>needed?</t>
  </si>
  <si>
    <t>,,</t>
  </si>
  <si>
    <t>Proj.</t>
  </si>
  <si>
    <t>direct tax (incl. local govt taxes)/GDP</t>
  </si>
  <si>
    <t>calc fr REAL</t>
  </si>
  <si>
    <t>IV.Budget grants  (in US$ mln) (incl Global Fund)</t>
  </si>
  <si>
    <t xml:space="preserve">           volume gasoline for domestic consumption (mln liters)</t>
  </si>
  <si>
    <t xml:space="preserve">           volume diesel for domestic consumption (mln liters)</t>
  </si>
  <si>
    <t>from RRA</t>
  </si>
  <si>
    <t>thru 2014/15</t>
  </si>
  <si>
    <t>imports CIF (excl fuel) from BOP in bln RWF (converted to FY)</t>
  </si>
  <si>
    <t xml:space="preserve">Kg/l 15 degreeC </t>
  </si>
  <si>
    <t>calculated fuel excises in bln RWF</t>
  </si>
  <si>
    <t>imports energy products CIF from BOP in bln RWF (converted to FY)</t>
  </si>
  <si>
    <t xml:space="preserve">                VAT on imports</t>
  </si>
  <si>
    <t xml:space="preserve">   share of VAT in import tax (incl VAT; excl. fuel)</t>
  </si>
  <si>
    <t>Financing gap (if any) assumptions on financing</t>
  </si>
  <si>
    <t xml:space="preserve">share of grants in financing gap </t>
  </si>
  <si>
    <t xml:space="preserve">     elasticity of  spending g&amp;s vis-à-vis GDP</t>
  </si>
  <si>
    <t xml:space="preserve">     nominal GDP FY growth in %</t>
  </si>
  <si>
    <t xml:space="preserve">     Elasticity of transfer spending (excl. wages) vis-à-vis GDP</t>
  </si>
  <si>
    <t xml:space="preserve">      transfers excl. wages $ salaries/GDP</t>
  </si>
  <si>
    <t xml:space="preserve">     growth rate spending transfers excl wages in %</t>
  </si>
  <si>
    <t xml:space="preserve">     growth rate spending goods &amp; services in %</t>
  </si>
  <si>
    <t xml:space="preserve">    growth rate wages and salaries (incl in transfers, GFS2014) in %</t>
  </si>
  <si>
    <t xml:space="preserve">      of which transfers excl. wages-salaries &amp; expend on local govt taxes</t>
  </si>
  <si>
    <t>expenditure on local govt taxes (exogenous)</t>
  </si>
  <si>
    <t xml:space="preserve">     Asssistance to victims pf genocide (FARG)</t>
  </si>
  <si>
    <t xml:space="preserve">                           interest on financing need (not included in DU projection)</t>
  </si>
  <si>
    <t>seek data</t>
  </si>
  <si>
    <t xml:space="preserve">     elasticity of capital spending on dom ress vis-à-vis GDP</t>
  </si>
  <si>
    <t xml:space="preserve">     growth rate capital spending dom ress in %</t>
  </si>
  <si>
    <t>Domestic financing (net)/GDP</t>
  </si>
  <si>
    <t xml:space="preserve">    Domestic debt GDP projection from FISCAL end FY</t>
  </si>
  <si>
    <t xml:space="preserve">    non tax revenue -'nominal buyoancy' assumption</t>
  </si>
  <si>
    <t xml:space="preserve">    indirect taxes -  'buyoancy factor' of indirect taxes/non agric GDP ratio</t>
  </si>
  <si>
    <r>
      <t xml:space="preserve">External information </t>
    </r>
    <r>
      <rPr>
        <sz val="11"/>
        <color theme="1"/>
        <rFont val="Calibri"/>
        <family val="2"/>
        <scheme val="minor"/>
      </rPr>
      <t>(other than External Financing flows via EFU)</t>
    </r>
  </si>
  <si>
    <t>Non tax revenue PKO (net) on Budget FY (bln RWF)</t>
  </si>
  <si>
    <r>
      <t xml:space="preserve">calc fr PSI3d </t>
    </r>
    <r>
      <rPr>
        <sz val="8"/>
        <color indexed="8"/>
        <rFont val="Calibri"/>
        <family val="2"/>
      </rPr>
      <t>≤</t>
    </r>
    <r>
      <rPr>
        <sz val="8"/>
        <color indexed="8"/>
        <rFont val="Calibri"/>
        <family val="2"/>
      </rPr>
      <t xml:space="preserve"> 2017/18</t>
    </r>
  </si>
  <si>
    <t xml:space="preserve">    excise rate on gasoline in RWF/liter</t>
  </si>
  <si>
    <t xml:space="preserve">    excise rate on diesel in RWF/liter</t>
  </si>
  <si>
    <t xml:space="preserve">   share of "exemptions" in domestic fuel consumption</t>
  </si>
  <si>
    <t>hyp:constant&gt;2015/16</t>
  </si>
  <si>
    <t>from REAL</t>
  </si>
  <si>
    <t>$/barrel</t>
  </si>
  <si>
    <t xml:space="preserve">   wages and alaries (incl. in transfers)</t>
  </si>
  <si>
    <t>Wages and salaries (incl. in transfers)/tax revenue</t>
  </si>
  <si>
    <t xml:space="preserve">     tobacco import tax (impact in bln RWF)</t>
  </si>
  <si>
    <t>cp. Bank financing from Mon Survey (June-June change stocks in bln RWF)</t>
  </si>
  <si>
    <t xml:space="preserve">      Bank financing from Fiscal (July-June flow in bln RWF)</t>
  </si>
  <si>
    <t>new deflator</t>
  </si>
  <si>
    <t>&lt;2015 NA</t>
  </si>
  <si>
    <t xml:space="preserve">     Demobilization/reintegration (linked to WB funded project)</t>
  </si>
  <si>
    <t>Rwandair debt service on govt guaranteed loan</t>
  </si>
  <si>
    <t xml:space="preserve">     in percent of GDP</t>
  </si>
  <si>
    <t>Privatization proceeds</t>
  </si>
  <si>
    <t>Export promotion subsidies</t>
  </si>
  <si>
    <t>Rwandair (working capital subsidy), percent of GDP until sale</t>
  </si>
  <si>
    <t xml:space="preserve">    direct taxes - 'buyoancy factor' of direct taxes/non agric GDP ratio</t>
  </si>
  <si>
    <t xml:space="preserve">    local govt taxes/GDP</t>
  </si>
  <si>
    <t xml:space="preserve">    local govt taxes - 'buyoancy factor' of property related taxes/GDP</t>
  </si>
  <si>
    <t>used for proj</t>
  </si>
  <si>
    <t>of which 1% EAC levy on imports(EAC secr/projects)</t>
  </si>
  <si>
    <t xml:space="preserve">    import taxes -  'buyoancy factor' relative to imports cif</t>
  </si>
  <si>
    <t>&lt; 6% budget</t>
  </si>
  <si>
    <t>Demobilisation/Reintegration</t>
  </si>
  <si>
    <t>link to project</t>
  </si>
  <si>
    <t>Global Fund (budget grant for HIV, health etc capital spending)</t>
  </si>
  <si>
    <t>GFS convers</t>
  </si>
  <si>
    <t xml:space="preserve">    Civile service employment growth rate</t>
  </si>
  <si>
    <t xml:space="preserve">          o/w: teachers</t>
  </si>
  <si>
    <t xml:space="preserve">          o/w: health workers</t>
  </si>
  <si>
    <r>
      <t xml:space="preserve">    Average salary increase </t>
    </r>
    <r>
      <rPr>
        <sz val="9"/>
        <color indexed="8"/>
        <rFont val="Calibri"/>
        <family val="2"/>
      </rPr>
      <t>(incl. promotion, glissement,…) in %</t>
    </r>
  </si>
  <si>
    <t xml:space="preserve">   share of import taxes (tariffs, VAT) on consumption goods proxy</t>
  </si>
  <si>
    <t xml:space="preserve">   domestic indirect taxes (excl excise fuel)/GDP</t>
  </si>
  <si>
    <t>for  deflator</t>
  </si>
  <si>
    <t>REAL_FISC Calculated ratios, parameters  Calendar Year</t>
  </si>
  <si>
    <t>Revenue assumptions/parameters Fiscal Year</t>
  </si>
  <si>
    <t>idem CY</t>
  </si>
  <si>
    <r>
      <t>domestic indirect tax rate</t>
    </r>
    <r>
      <rPr>
        <u/>
        <sz val="10"/>
        <color indexed="8"/>
        <rFont val="Calibri"/>
        <family val="2"/>
      </rPr>
      <t xml:space="preserve"> (excl. excise fuel/dom VA excl. govt, export</t>
    </r>
    <r>
      <rPr>
        <u/>
        <sz val="11"/>
        <color indexed="8"/>
        <rFont val="Calibri"/>
        <family val="2"/>
      </rPr>
      <t>s)</t>
    </r>
  </si>
  <si>
    <r>
      <t xml:space="preserve">   domestic indirect taxes</t>
    </r>
    <r>
      <rPr>
        <sz val="8"/>
        <color indexed="8"/>
        <rFont val="Calibri"/>
        <family val="2"/>
      </rPr>
      <t xml:space="preserve"> (excl. excise fuel)</t>
    </r>
    <r>
      <rPr>
        <sz val="11"/>
        <color theme="1"/>
        <rFont val="Calibri"/>
        <family val="2"/>
        <scheme val="minor"/>
      </rPr>
      <t xml:space="preserve">/GDP factorcost </t>
    </r>
    <r>
      <rPr>
        <sz val="8"/>
        <color indexed="8"/>
        <rFont val="Calibri"/>
        <family val="2"/>
      </rPr>
      <t xml:space="preserve"> excl govt</t>
    </r>
  </si>
  <si>
    <t>calc fr REAL CY</t>
  </si>
  <si>
    <r>
      <t xml:space="preserve">     non agricultural GDP FY </t>
    </r>
    <r>
      <rPr>
        <sz val="9"/>
        <color indexed="8"/>
        <rFont val="Calibri"/>
        <family val="2"/>
      </rPr>
      <t>(current prices, simple average CY)</t>
    </r>
    <r>
      <rPr>
        <sz val="11"/>
        <color theme="1"/>
        <rFont val="Calibri"/>
        <family val="2"/>
        <scheme val="minor"/>
      </rPr>
      <t xml:space="preserve"> bln RWF</t>
    </r>
  </si>
  <si>
    <t>FISC_REAL (in bln RWF) Calendar Year basis</t>
  </si>
  <si>
    <t>nonagric GDP</t>
  </si>
  <si>
    <t xml:space="preserve">             o/w: Taxes on domestic goods and services (VAT, excises excl, fuel)</t>
  </si>
  <si>
    <t>used for DEFL</t>
  </si>
  <si>
    <t xml:space="preserve">    international trade indirect taxes (incl excise fuel)/imports of g&amp;s in %</t>
  </si>
  <si>
    <t>av 2007-11</t>
  </si>
  <si>
    <t>prel. proj</t>
  </si>
  <si>
    <t>Wages and salaries (incl. in transfers) GFS 2014</t>
  </si>
  <si>
    <t>pro memoire</t>
  </si>
  <si>
    <t xml:space="preserve">                                 teachers</t>
  </si>
  <si>
    <t xml:space="preserve">                                 health workers</t>
  </si>
  <si>
    <t xml:space="preserve">           Of which: admin  proxied from NISR NA deflators</t>
  </si>
  <si>
    <r>
      <rPr>
        <sz val="8"/>
        <color indexed="8"/>
        <rFont val="Symbol"/>
        <family val="1"/>
        <charset val="2"/>
      </rPr>
      <t>³</t>
    </r>
    <r>
      <rPr>
        <sz val="8"/>
        <color indexed="8"/>
        <rFont val="Calibri"/>
        <family val="2"/>
      </rPr>
      <t xml:space="preserve">  2015/16 on</t>
    </r>
  </si>
  <si>
    <t>dom excise?</t>
  </si>
  <si>
    <t>proj M RWF excl fuel</t>
  </si>
  <si>
    <t>proj~fuel M vol</t>
  </si>
  <si>
    <t xml:space="preserve">    domestic indirect taxes (excl excise fuel)/GDP (excl govt) in  %</t>
  </si>
  <si>
    <t xml:space="preserve">    domestic indirect taxes (excl excise fuel)/GDP (excl govt &amp; exportVA) in  %</t>
  </si>
  <si>
    <t xml:space="preserve">      GDP at factor costs (GDP excl indirect taxes and govt wages)</t>
  </si>
  <si>
    <t xml:space="preserve">     Total Government employment </t>
  </si>
  <si>
    <t xml:space="preserve">     Civil service employment (excl. military)</t>
  </si>
  <si>
    <t>MIFOTRAproj</t>
  </si>
  <si>
    <t>of which: Taxes on project expenditures (EWSA&amp;RTDA)</t>
  </si>
  <si>
    <t>Errors and ommissions ( - financing surplus: spending)</t>
  </si>
  <si>
    <t xml:space="preserve">       of which: local government fees</t>
  </si>
  <si>
    <r>
      <rPr>
        <sz val="8"/>
        <rFont val="Symbol"/>
        <family val="1"/>
        <charset val="2"/>
      </rPr>
      <t>³</t>
    </r>
    <r>
      <rPr>
        <sz val="8"/>
        <rFont val="Calibri"/>
        <family val="2"/>
      </rPr>
      <t>2015 Fiscal</t>
    </r>
  </si>
  <si>
    <r>
      <t xml:space="preserve"> Use (+)  govt deposits at NBR</t>
    </r>
    <r>
      <rPr>
        <b/>
        <sz val="10"/>
        <rFont val="Calibri"/>
        <family val="2"/>
      </rPr>
      <t xml:space="preserve"> (treasury, line ministries) CY, bln RWF</t>
    </r>
  </si>
  <si>
    <t>&lt;2015 Mon</t>
  </si>
  <si>
    <t xml:space="preserve">cp. Net use (+) of govt deposits Mon Survey </t>
  </si>
  <si>
    <t>2015 Fiscal</t>
  </si>
  <si>
    <t>Years</t>
  </si>
  <si>
    <t>Semesters</t>
  </si>
  <si>
    <t>2020/2021</t>
  </si>
  <si>
    <t>Jul-Dec</t>
  </si>
  <si>
    <t>Jan-Jun</t>
  </si>
  <si>
    <t>DMO</t>
  </si>
  <si>
    <t>Billion FRw</t>
  </si>
  <si>
    <t>Abu-Dhabi Fund for Development</t>
  </si>
  <si>
    <t>Agence Francaise de Development</t>
  </si>
  <si>
    <t>Arab Bank for Economic Development in Africa</t>
  </si>
  <si>
    <t>European Investment Bank</t>
  </si>
  <si>
    <t>EXIM - China</t>
  </si>
  <si>
    <t>EXIM - India</t>
  </si>
  <si>
    <t>African Development Fund</t>
  </si>
  <si>
    <t>International Fund for Agriculture Development</t>
  </si>
  <si>
    <t>Koweti Fund for Arab Economic Development</t>
  </si>
  <si>
    <t>Saudi Fund for Development</t>
  </si>
  <si>
    <t>International Development Association (IDA)</t>
  </si>
  <si>
    <t>Nordic Development Fund</t>
  </si>
  <si>
    <t>Nigeria Trust Fund</t>
  </si>
  <si>
    <t>Organization of the Petroleum Exporting Countries (OPEC)</t>
  </si>
  <si>
    <t>TOTAL</t>
  </si>
  <si>
    <t>IDA</t>
  </si>
  <si>
    <t>FAD</t>
  </si>
  <si>
    <t>FSN</t>
  </si>
  <si>
    <t>FIDA</t>
  </si>
  <si>
    <t>BEI/CEE</t>
  </si>
  <si>
    <t>BADEA</t>
  </si>
  <si>
    <t>OPEC</t>
  </si>
  <si>
    <t>FSD</t>
  </si>
  <si>
    <t>FKWD</t>
  </si>
  <si>
    <t>NDF</t>
  </si>
  <si>
    <t>EXIM-INDIA</t>
  </si>
  <si>
    <t>EXIM-CHINA</t>
  </si>
  <si>
    <t>EXIM-KOREA</t>
  </si>
  <si>
    <t>BANQUE DE FRANCE</t>
  </si>
  <si>
    <t>ABU DHABI</t>
  </si>
  <si>
    <t>EURO-BONDS</t>
  </si>
  <si>
    <t>Domestic Principal Repayment</t>
  </si>
  <si>
    <t>Corporate Loans</t>
  </si>
  <si>
    <t>BNR</t>
  </si>
  <si>
    <t>RSSB</t>
  </si>
  <si>
    <t>Old consolidated debt</t>
  </si>
  <si>
    <t>New loan</t>
  </si>
  <si>
    <t>Corporate Bonds</t>
  </si>
  <si>
    <t>BANCOR</t>
  </si>
  <si>
    <t>BCR</t>
  </si>
  <si>
    <t>BK/ONATRACOM</t>
  </si>
  <si>
    <t>SODEPARAL</t>
  </si>
  <si>
    <t>NATIONAL POST OFFICE</t>
  </si>
  <si>
    <t>Domestic Interest Payment</t>
  </si>
  <si>
    <t>Overdraft</t>
  </si>
  <si>
    <t>Treasury Bills</t>
  </si>
  <si>
    <t>Banks</t>
  </si>
  <si>
    <t>Non-Banks</t>
  </si>
  <si>
    <t>Treasury Bonds</t>
  </si>
  <si>
    <t>Domestic Securities Stock</t>
  </si>
  <si>
    <t>PKO</t>
  </si>
  <si>
    <t>Privatization</t>
  </si>
  <si>
    <t>PDT - Non Tax Revenue</t>
  </si>
  <si>
    <t>Treasury</t>
  </si>
  <si>
    <t>of which Personnel allowances</t>
  </si>
  <si>
    <t>PDT - Budgetary Disbursements</t>
  </si>
  <si>
    <t>PDT - Project Disbursements</t>
  </si>
  <si>
    <t>Project Grants</t>
  </si>
  <si>
    <t>Amortization&amp;Interest External Debt</t>
  </si>
  <si>
    <t>Interest on Sovereign Bond</t>
  </si>
  <si>
    <t>RRA</t>
  </si>
  <si>
    <t>1. Direct taxes</t>
  </si>
  <si>
    <t>1.1.Tax on income and profit</t>
  </si>
  <si>
    <t>1.1.1. Companies</t>
  </si>
  <si>
    <t>- Large companies</t>
  </si>
  <si>
    <t xml:space="preserve"> Of which :3% WHT</t>
  </si>
  <si>
    <t xml:space="preserve"> Of which :5% WHT</t>
  </si>
  <si>
    <t>WHT 5%  EWSA/RTDA Projects</t>
  </si>
  <si>
    <t>- Arrears</t>
  </si>
  <si>
    <t>1.1.3. Individuals</t>
  </si>
  <si>
    <t>of which PAYE</t>
  </si>
  <si>
    <t>1.1.4. Others</t>
  </si>
  <si>
    <t>WHT 15%  EWSA/RTDA Projects</t>
  </si>
  <si>
    <t>1.2. Property taxes</t>
  </si>
  <si>
    <t>2. Taxes on goods and services</t>
  </si>
  <si>
    <t>2.1. Excise taxes</t>
  </si>
  <si>
    <t>2.1.1. Beer</t>
  </si>
  <si>
    <t>2.1.2. Wines &amp; Liquors</t>
  </si>
  <si>
    <t>of which Excise gazoil for  EWSA/RTDA Projects</t>
  </si>
  <si>
    <t>2.1.4. Cigarettes</t>
  </si>
  <si>
    <t>2.1.5. Lemonade</t>
  </si>
  <si>
    <t>2.1.6. Vehicles</t>
  </si>
  <si>
    <t>2.1.7. Powdered Milk</t>
  </si>
  <si>
    <t>2.2. Value Added Tax</t>
  </si>
  <si>
    <t>of which: on imports</t>
  </si>
  <si>
    <t>of which VAT CUSTOMS for  EWSA/RTDA Projects</t>
  </si>
  <si>
    <t>2.3. Road Fund</t>
  </si>
  <si>
    <t>3. Taxes on international trade</t>
  </si>
  <si>
    <t>3.1. Export tax</t>
  </si>
  <si>
    <t>of which coffee</t>
  </si>
  <si>
    <t>3.2. Import tax</t>
  </si>
  <si>
    <t>of which Import Duty Other for EWSA/RTDA Projects</t>
  </si>
  <si>
    <t>of which surcharge on sugar</t>
  </si>
  <si>
    <t>3.3. Other (including licence fee for private warehouses)</t>
  </si>
  <si>
    <t>Total tax revenue</t>
  </si>
  <si>
    <t>Taxes on EWSA fuel imports for Generators</t>
  </si>
  <si>
    <t>Tax Revenue Collections (Decentralized Level)</t>
  </si>
  <si>
    <t>Business Licence</t>
  </si>
  <si>
    <t>Property Tax</t>
  </si>
  <si>
    <t>Rental Income Tax</t>
  </si>
  <si>
    <t>IFMS</t>
  </si>
  <si>
    <t>IFMS - Ordonnancement</t>
  </si>
  <si>
    <t>Wages and Salaries</t>
  </si>
  <si>
    <t>Defence</t>
  </si>
  <si>
    <t>Others</t>
  </si>
  <si>
    <t>Goods And Services</t>
  </si>
  <si>
    <t>Exceptional Expenditures</t>
  </si>
  <si>
    <t>Net Lending</t>
  </si>
  <si>
    <t>Domestic Capital</t>
  </si>
  <si>
    <t>Interest</t>
  </si>
  <si>
    <t>Debt Repayment</t>
  </si>
  <si>
    <t>External Capital</t>
  </si>
  <si>
    <t>Arrears (on "old stock")</t>
  </si>
  <si>
    <t>Debt repayment</t>
  </si>
  <si>
    <t>Development Budget</t>
  </si>
  <si>
    <t>Goods and Services</t>
  </si>
  <si>
    <t>Arrears (on "old stock"; excluded from  this 'float')</t>
  </si>
  <si>
    <t>--</t>
  </si>
  <si>
    <r>
      <t>IFMS - Arrears</t>
    </r>
    <r>
      <rPr>
        <b/>
        <sz val="12"/>
        <color indexed="8"/>
        <rFont val="Cambria"/>
        <family val="1"/>
      </rPr>
      <t xml:space="preserve"> (</t>
    </r>
    <r>
      <rPr>
        <sz val="12"/>
        <color indexed="8"/>
        <rFont val="Cambria"/>
        <family val="1"/>
      </rPr>
      <t xml:space="preserve"> change in arrears incl. payment on "old stock")</t>
    </r>
  </si>
  <si>
    <t>IFMS - Exceptional</t>
  </si>
  <si>
    <t>FARG</t>
  </si>
  <si>
    <t>Demobilisation</t>
  </si>
  <si>
    <t>RTDA</t>
  </si>
  <si>
    <t>EWSA</t>
  </si>
  <si>
    <t>Receipts</t>
  </si>
  <si>
    <t>BNR - Monetary Survey</t>
  </si>
  <si>
    <t>Central Government (Net)</t>
  </si>
  <si>
    <t>Credit</t>
  </si>
  <si>
    <t>Deposits</t>
  </si>
  <si>
    <t>Revenue - GFS 2014 presentation</t>
  </si>
  <si>
    <t>out-m&gt;&gt;</t>
  </si>
  <si>
    <t xml:space="preserve">REVENUE </t>
  </si>
  <si>
    <t xml:space="preserve">Taxes </t>
  </si>
  <si>
    <t xml:space="preserve">Taxes on income, profits, and capital gains </t>
  </si>
  <si>
    <t xml:space="preserve">Payable by individuals </t>
  </si>
  <si>
    <t xml:space="preserve">Payable by corporations and other enterprises </t>
  </si>
  <si>
    <t xml:space="preserve">Unallocable </t>
  </si>
  <si>
    <t xml:space="preserve">Taxes on payroll and workforce </t>
  </si>
  <si>
    <t xml:space="preserve">Taxes on property </t>
  </si>
  <si>
    <t xml:space="preserve">Recurrent taxes on immovable property </t>
  </si>
  <si>
    <t xml:space="preserve">Recurrent taxes on net wealth </t>
  </si>
  <si>
    <t xml:space="preserve">Estate, inheritance, and gift taxes </t>
  </si>
  <si>
    <t xml:space="preserve">Taxes on financial and capital transactions </t>
  </si>
  <si>
    <t xml:space="preserve">Other nonrecurrent taxes on property </t>
  </si>
  <si>
    <t xml:space="preserve">Other recurrent taxes on property </t>
  </si>
  <si>
    <t xml:space="preserve">Taxes on goods and services </t>
  </si>
  <si>
    <t xml:space="preserve">General taxes on goods and services </t>
  </si>
  <si>
    <t xml:space="preserve">Value-added taxes </t>
  </si>
  <si>
    <t xml:space="preserve">Sales taxes </t>
  </si>
  <si>
    <t xml:space="preserve">Turnover &amp; other general taxes on G &amp; S </t>
  </si>
  <si>
    <t xml:space="preserve">Excises </t>
  </si>
  <si>
    <t xml:space="preserve">Profits of fiscal monopolies </t>
  </si>
  <si>
    <t xml:space="preserve">Taxes on specific services </t>
  </si>
  <si>
    <t xml:space="preserve">Taxes on use of goods, permission to use goods </t>
  </si>
  <si>
    <t xml:space="preserve">Motor vehicles taxes </t>
  </si>
  <si>
    <t xml:space="preserve">Other </t>
  </si>
  <si>
    <t xml:space="preserve">Other taxes on goods and services </t>
  </si>
  <si>
    <t xml:space="preserve">Taxes on international trade and transactions </t>
  </si>
  <si>
    <t xml:space="preserve">Customs and other import duties </t>
  </si>
  <si>
    <t xml:space="preserve">Taxes on exports </t>
  </si>
  <si>
    <t xml:space="preserve">Profits of export or import monopolies </t>
  </si>
  <si>
    <t xml:space="preserve">Exchange profits </t>
  </si>
  <si>
    <t xml:space="preserve">Exchange taxes </t>
  </si>
  <si>
    <t xml:space="preserve">Other taxes on international trade and transactions </t>
  </si>
  <si>
    <t xml:space="preserve">Other taxes </t>
  </si>
  <si>
    <t>N/A</t>
  </si>
  <si>
    <t xml:space="preserve">Social contributions </t>
  </si>
  <si>
    <t xml:space="preserve">Social security contributions </t>
  </si>
  <si>
    <t xml:space="preserve">Employee contributions </t>
  </si>
  <si>
    <t xml:space="preserve">Employer contributions </t>
  </si>
  <si>
    <t xml:space="preserve">Self-employed or nonemployed contributions </t>
  </si>
  <si>
    <t xml:space="preserve">Unallocable contributions </t>
  </si>
  <si>
    <t xml:space="preserve">Other social contributions </t>
  </si>
  <si>
    <t xml:space="preserve">Imputed contributions </t>
  </si>
  <si>
    <t xml:space="preserve">Grants </t>
  </si>
  <si>
    <t xml:space="preserve">From foreign governments </t>
  </si>
  <si>
    <t xml:space="preserve">Current </t>
  </si>
  <si>
    <t xml:space="preserve">Capital </t>
  </si>
  <si>
    <t xml:space="preserve">From international organizations </t>
  </si>
  <si>
    <t xml:space="preserve">From other general government units </t>
  </si>
  <si>
    <t xml:space="preserve">Other revenue </t>
  </si>
  <si>
    <t xml:space="preserve">Property income </t>
  </si>
  <si>
    <t xml:space="preserve">Interest </t>
  </si>
  <si>
    <t xml:space="preserve">Dividends </t>
  </si>
  <si>
    <t xml:space="preserve">Withdrawals from income of quasi-corporations </t>
  </si>
  <si>
    <t xml:space="preserve">Property income attrib to insurance policyholders </t>
  </si>
  <si>
    <t xml:space="preserve">Rent </t>
  </si>
  <si>
    <t xml:space="preserve">Sales of goods and services </t>
  </si>
  <si>
    <t xml:space="preserve">Sales of market establishments </t>
  </si>
  <si>
    <t xml:space="preserve">Administrative fees </t>
  </si>
  <si>
    <t xml:space="preserve">Incidental sales by nonmarket establishments </t>
  </si>
  <si>
    <t xml:space="preserve">Imputed sales of goods and services </t>
  </si>
  <si>
    <t xml:space="preserve">Fines, penalties, and forfeits </t>
  </si>
  <si>
    <t xml:space="preserve">Voluntary transfers other than grants </t>
  </si>
  <si>
    <t xml:space="preserve">Miscellaneous and unidentified revenue </t>
  </si>
  <si>
    <t>separate file</t>
  </si>
  <si>
    <t>IFMS - Ordonnancement - GFS 2014 presentation</t>
  </si>
  <si>
    <t xml:space="preserve">Compensation of employees </t>
  </si>
  <si>
    <t xml:space="preserve">Use of goods and services </t>
  </si>
  <si>
    <t xml:space="preserve">Consumption of fixed capital </t>
  </si>
  <si>
    <t>To nonresidents</t>
  </si>
  <si>
    <t>To residents other than general government</t>
  </si>
  <si>
    <t xml:space="preserve">Subsidies </t>
  </si>
  <si>
    <t xml:space="preserve">Social benefits </t>
  </si>
  <si>
    <t xml:space="preserve">Other expense </t>
  </si>
  <si>
    <t>Transactions in nonfinancial assets domestically financed</t>
  </si>
  <si>
    <t xml:space="preserve">Fixed assets </t>
  </si>
  <si>
    <t xml:space="preserve">Inventories </t>
  </si>
  <si>
    <t xml:space="preserve">Valuables </t>
  </si>
  <si>
    <t xml:space="preserve">Nonproduced assets </t>
  </si>
  <si>
    <t>IFMS - Payment - GFS 2014 presentation</t>
  </si>
  <si>
    <t>IFMS - Float/Other accounts payable - GFS 2014 presentation</t>
  </si>
  <si>
    <t>IFMS - Debt - GFS 2014 presentation</t>
  </si>
  <si>
    <t>of which Eurobond</t>
  </si>
  <si>
    <t>Transactions - Net incurrence of liabilities (reimbursements)</t>
  </si>
  <si>
    <t>Transactions - Net incurrence of liabilities: Domestic (reimbursements)</t>
  </si>
  <si>
    <t>Transactions - Net incurrence of liabilities: Foreign (reimbursements)</t>
  </si>
  <si>
    <t>IFMS - Capital - GFS 2014 presentation</t>
  </si>
  <si>
    <t>Transactions - Net acquisition of nonfinancial assets</t>
  </si>
  <si>
    <t>Domestic capital</t>
  </si>
  <si>
    <t>EWSA on Eurobond</t>
  </si>
  <si>
    <t>Transactions - Net acquisition of financial assets</t>
  </si>
  <si>
    <t>IFMS - Policy lending - GFS 2014 presentation</t>
  </si>
  <si>
    <t>Subsidies</t>
  </si>
  <si>
    <t>Recurrent</t>
  </si>
  <si>
    <t>Development</t>
  </si>
  <si>
    <t>Transactions - Net acquisition of financial assets :  Domestic</t>
  </si>
  <si>
    <t>Transactions - Net acquisition of financial assets :  Foreign</t>
  </si>
  <si>
    <t xml:space="preserve">EXPENSE </t>
  </si>
  <si>
    <t>NET OPERATING BALANCE</t>
  </si>
  <si>
    <t>including grants</t>
  </si>
  <si>
    <t>excluding grants</t>
  </si>
  <si>
    <t>Foreign financed</t>
  </si>
  <si>
    <t>Domestically financed</t>
  </si>
  <si>
    <t>Net acquisition of financial assets</t>
  </si>
  <si>
    <t xml:space="preserve">Domestic </t>
  </si>
  <si>
    <t xml:space="preserve">Currency and deposits </t>
  </si>
  <si>
    <t>of which drawdowns</t>
  </si>
  <si>
    <t xml:space="preserve">Securities other than shares </t>
  </si>
  <si>
    <t xml:space="preserve">Loans </t>
  </si>
  <si>
    <t xml:space="preserve">Foreign </t>
  </si>
  <si>
    <t>Net incurrence of liabilities</t>
  </si>
  <si>
    <t>Held by Banks</t>
  </si>
  <si>
    <t>T-bills</t>
  </si>
  <si>
    <t>T-bonds</t>
  </si>
  <si>
    <t>Held by Non-Banks</t>
  </si>
  <si>
    <t>Loans</t>
  </si>
  <si>
    <t xml:space="preserve">Other accounts payable </t>
  </si>
  <si>
    <t>Disbursements</t>
  </si>
  <si>
    <t>Reimbursements</t>
  </si>
  <si>
    <t>Statistical discrepancy</t>
  </si>
  <si>
    <t>of which local government fees</t>
  </si>
  <si>
    <t>of which local government revenue</t>
  </si>
  <si>
    <t>RESOURCES</t>
  </si>
  <si>
    <t>Domestic revenue</t>
  </si>
  <si>
    <t>Sale of Securities, net (Bank &amp; non-bank T-Bills and Bonds)</t>
  </si>
  <si>
    <t>Drawdown on bank deposits</t>
  </si>
  <si>
    <t>Accumulation of arrears</t>
  </si>
  <si>
    <t>Grants</t>
  </si>
  <si>
    <t>Budget Support</t>
  </si>
  <si>
    <t>Project Support</t>
  </si>
  <si>
    <t>Budgetary Loans</t>
  </si>
  <si>
    <t>Net Lending (repayments)</t>
  </si>
  <si>
    <t>Other Receipts (errors and ommissions)</t>
  </si>
  <si>
    <t>TOTAL RESOURCES</t>
  </si>
  <si>
    <t>EXPENDITURES</t>
  </si>
  <si>
    <t>Recurrent Budget</t>
  </si>
  <si>
    <t>Interest on Overdraft and T-Bills</t>
  </si>
  <si>
    <t xml:space="preserve">External </t>
  </si>
  <si>
    <t>Amortization</t>
  </si>
  <si>
    <t>Domestic (non bank)</t>
  </si>
  <si>
    <t>Exceptional expenditure</t>
  </si>
  <si>
    <t>Externally financed</t>
  </si>
  <si>
    <t>Net Lending (lending)</t>
  </si>
  <si>
    <t>Arrears Payment</t>
  </si>
  <si>
    <t>Accumulation of Deposit</t>
  </si>
  <si>
    <t>Other Payments (errors and ommissions)</t>
  </si>
  <si>
    <t>TOTAL EXPENDITURES</t>
  </si>
  <si>
    <t xml:space="preserve">Net issuance of securities to banks </t>
  </si>
  <si>
    <t xml:space="preserve">Net issuance of securities to nonbanks </t>
  </si>
  <si>
    <t>Of which: Global Fund in budget support</t>
  </si>
  <si>
    <t>Sale of Securities, net (non-bank T-Bills and Bonds)</t>
  </si>
  <si>
    <t>Rwandair loan repayment</t>
  </si>
  <si>
    <t>for debt</t>
  </si>
  <si>
    <t>July-Dec</t>
  </si>
  <si>
    <t>Jan-June</t>
  </si>
  <si>
    <t>equals LG rev</t>
  </si>
  <si>
    <r>
      <t xml:space="preserve">In bln  RWF in fiscal year </t>
    </r>
    <r>
      <rPr>
        <sz val="10"/>
        <rFont val="Calibri"/>
        <family val="2"/>
      </rPr>
      <t>(previous year sem II, current year sem I)</t>
    </r>
  </si>
  <si>
    <t>net lending -/- subs</t>
  </si>
  <si>
    <t>use of deposits+</t>
  </si>
  <si>
    <t>nonbank repay, E&amp;O</t>
  </si>
  <si>
    <t>III.1 FISCAL GFS 1986 PRESENTATION - DETAILED TOFE</t>
  </si>
  <si>
    <t>IV.1 FISCAL GFS 1986 PRESENTATION - SUMMARY</t>
  </si>
  <si>
    <t>III. 1FISCAL GFS 1986 PRESENTATION - DETAILED TOFE</t>
  </si>
  <si>
    <t>IV.2 FISCAL GFS 2014 PRESENTATION - SUMMARY</t>
  </si>
  <si>
    <t>REVENUE</t>
  </si>
  <si>
    <t xml:space="preserve">    Contingent</t>
  </si>
  <si>
    <t xml:space="preserve">    Domestically financed</t>
  </si>
  <si>
    <t xml:space="preserve">       Contingent</t>
  </si>
  <si>
    <t xml:space="preserve">    Externally financed</t>
  </si>
  <si>
    <t xml:space="preserve">    Global Fund</t>
  </si>
  <si>
    <t>Domestic debt central government end-period (bln RWF)</t>
  </si>
  <si>
    <t>extrapolate to do projection exercise</t>
  </si>
  <si>
    <t>&lt; 2015/16 CN Aug 2015</t>
  </si>
  <si>
    <t>Of which: Sovereign Bonds proceeds/Energy</t>
  </si>
  <si>
    <t>Of which: Global Fund</t>
  </si>
  <si>
    <t>Of which: counterpart funds for taxes (EWSA&amp;RTDA)</t>
  </si>
  <si>
    <t>Of which: Agaciro Dev.Fund</t>
  </si>
  <si>
    <t>Of which: Bugesera airport</t>
  </si>
  <si>
    <t>Of which: drawdown/accumulation of other deposits</t>
  </si>
  <si>
    <t>BudgetFL_GFS1986</t>
  </si>
  <si>
    <t xml:space="preserve">GFS2014_inyear_SUMMARY below this </t>
  </si>
  <si>
    <t>GFS2014_inyear_DETAILED below this</t>
  </si>
  <si>
    <t>FISC_REAL below this</t>
  </si>
  <si>
    <t>Debt Stock</t>
  </si>
  <si>
    <t>Central Bank NBR</t>
  </si>
  <si>
    <t xml:space="preserve">Consolidated debt </t>
  </si>
  <si>
    <t>overdraft</t>
  </si>
  <si>
    <t>Commercial banks</t>
  </si>
  <si>
    <t xml:space="preserve">T bills </t>
  </si>
  <si>
    <t>T bonds</t>
  </si>
  <si>
    <t>Corporate bonds</t>
  </si>
  <si>
    <t xml:space="preserve">Non banks </t>
  </si>
  <si>
    <t>debt to RSSB</t>
  </si>
  <si>
    <r>
      <t xml:space="preserve">memorandum: </t>
    </r>
    <r>
      <rPr>
        <sz val="12"/>
        <color indexed="8"/>
        <rFont val="Cambria"/>
        <family val="1"/>
      </rPr>
      <t>monetary policy instruments</t>
    </r>
  </si>
  <si>
    <r>
      <t>Central government debt</t>
    </r>
    <r>
      <rPr>
        <b/>
        <sz val="11"/>
        <color indexed="8"/>
        <rFont val="Cambria"/>
        <family val="1"/>
      </rPr>
      <t xml:space="preserve"> (excl. NBR mon.policy instruments)</t>
    </r>
  </si>
  <si>
    <t>domestic arrears</t>
  </si>
  <si>
    <t>Banks holding of securities</t>
  </si>
  <si>
    <t>Central government debt including guarantees</t>
  </si>
  <si>
    <t>Claims on government (monetary survey)</t>
  </si>
  <si>
    <t xml:space="preserve">FISCAL_annual_DOMDEBT below this </t>
  </si>
  <si>
    <t>DOMDEBT_FISCAL</t>
  </si>
  <si>
    <t>II. Fiscal  specific assumptions</t>
  </si>
  <si>
    <t>Net domestic financing Budget (TOFE)</t>
  </si>
  <si>
    <t>Net use of govt deposits  with NBR  (TOFE)</t>
  </si>
  <si>
    <t>Net bank financing (TOFE)</t>
  </si>
  <si>
    <t>Net repayment (-)  of overdraft with NBR</t>
  </si>
  <si>
    <t>Net issuance securities to banks</t>
  </si>
  <si>
    <t>Net nonbank financing  (TOFE)</t>
  </si>
  <si>
    <t>Non Bank Sector Debt Repayment (-) (CHECK which domdebt repaid)</t>
  </si>
  <si>
    <r>
      <t xml:space="preserve">Net  issuance securities non banks </t>
    </r>
    <r>
      <rPr>
        <sz val="12"/>
        <color indexed="8"/>
        <rFont val="Cambria"/>
        <family val="1"/>
      </rPr>
      <t>(CHECK  repayment excl securities)</t>
    </r>
  </si>
  <si>
    <t>NB Net issuance need Finance Law (incl. errors&amp;omissions)</t>
  </si>
  <si>
    <t xml:space="preserve">        Overestimate of use of deposits in Fnance Law</t>
  </si>
  <si>
    <t xml:space="preserve">        Difference TOFE and Finance law net issuance</t>
  </si>
  <si>
    <t xml:space="preserve">        Errors&amp;omisions in Finance Law and PSI 3d review TOFE</t>
  </si>
  <si>
    <r>
      <t>Total net issuance securities (non)banks</t>
    </r>
    <r>
      <rPr>
        <sz val="12"/>
        <color indexed="8"/>
        <rFont val="Cambria"/>
        <family val="1"/>
      </rPr>
      <t xml:space="preserve"> if gap financed domestically</t>
    </r>
  </si>
  <si>
    <t>Memorandum items flows from TOFE/Budget</t>
  </si>
  <si>
    <t>fr 2011 WEO_ALL</t>
  </si>
  <si>
    <t>fr 2011 GEE_ALL</t>
  </si>
  <si>
    <t>fr 2014 EXTFIN_ALL</t>
  </si>
  <si>
    <t>end of GEE_PRINT</t>
  </si>
  <si>
    <t>GEE Rwanda August 26, 2015</t>
  </si>
  <si>
    <r>
      <t xml:space="preserve">WEO-GAS EXTRACT for MUiMF (version August 2015) </t>
    </r>
    <r>
      <rPr>
        <sz val="9"/>
        <rFont val="Calibri"/>
        <family val="2"/>
      </rPr>
      <t>WEO_PRINT below this</t>
    </r>
  </si>
  <si>
    <t>WEO_PRINT</t>
  </si>
  <si>
    <t>end WEO_PRINT</t>
  </si>
  <si>
    <t>end EXTFIN_PRINT</t>
  </si>
  <si>
    <t>end EXTDEBT_PRINT</t>
  </si>
  <si>
    <t>FISCAL_inyear_DOMDEBTproj</t>
  </si>
  <si>
    <t>Total net issuance securities banks &amp; nonbanks</t>
  </si>
  <si>
    <t>Other public sector debt</t>
  </si>
  <si>
    <t xml:space="preserve">Govenment guaranteed domestic debt </t>
  </si>
  <si>
    <t>Source: Fiscal framework, DU</t>
  </si>
  <si>
    <t>Financing gap/errors&amp; omissions in TOFE  (after correction)</t>
  </si>
  <si>
    <t>fr 2011 FISC_MON</t>
  </si>
  <si>
    <t>fr 2011 FISC_BOP</t>
  </si>
  <si>
    <t>FISC_BOP below this</t>
  </si>
  <si>
    <t>FISCAL_inyear_DOMDEBT1415</t>
  </si>
  <si>
    <t xml:space="preserve">fr 2011 REAL_FISC </t>
  </si>
  <si>
    <t>REAL_FISC below this</t>
  </si>
  <si>
    <t xml:space="preserve">    local government (LG) fees </t>
  </si>
  <si>
    <t xml:space="preserve">exog number </t>
  </si>
  <si>
    <r>
      <rPr>
        <sz val="8"/>
        <color indexed="60"/>
        <rFont val="Arial"/>
        <family val="2"/>
      </rPr>
      <t>Ʃ</t>
    </r>
    <r>
      <rPr>
        <sz val="8"/>
        <color indexed="60"/>
        <rFont val="Calibri"/>
        <family val="2"/>
      </rPr>
      <t xml:space="preserve">LG </t>
    </r>
    <r>
      <rPr>
        <sz val="8"/>
        <color indexed="60"/>
        <rFont val="Calibri"/>
        <family val="2"/>
      </rPr>
      <t>dir tax+fees</t>
    </r>
  </si>
  <si>
    <t>calculated interest on financing gap</t>
  </si>
  <si>
    <t>interest rate on loan (implicitly assumed in PSI 3d review fin gap)</t>
  </si>
  <si>
    <t>FISCAL_annual_DOMDEBT</t>
  </si>
  <si>
    <t>FISCAL_inyear_DOMDEBT1415 above this</t>
  </si>
  <si>
    <t>FISCAL_inyear_DOMDEBTproj above this</t>
  </si>
  <si>
    <t>Memorandum</t>
  </si>
  <si>
    <t>Average interest rate on dometic debt (FY average)</t>
  </si>
  <si>
    <t>average outstanding FY</t>
  </si>
  <si>
    <t>fr 2011 FISC_REAL</t>
  </si>
  <si>
    <t>Nominal GDP growth USD basis</t>
  </si>
  <si>
    <t>Nominal GDP in mln USD</t>
  </si>
  <si>
    <t>BOP_FISC</t>
  </si>
  <si>
    <t>Volume of petroleum products (tons)</t>
  </si>
  <si>
    <t xml:space="preserve">          Motor Spirits</t>
  </si>
  <si>
    <t xml:space="preserve">          Gas Oils</t>
  </si>
  <si>
    <t xml:space="preserve">          Other carburants</t>
  </si>
  <si>
    <t>o/w: imports of capital goods cif</t>
  </si>
  <si>
    <t xml:space="preserve">           imports of intermediate goods (incl "adjustment") cif</t>
  </si>
  <si>
    <t xml:space="preserve">           imports of energy products cif</t>
  </si>
  <si>
    <t xml:space="preserve">           imports of consumption goods cif</t>
  </si>
  <si>
    <t>fr '1 EXTDEBT_ALL</t>
  </si>
  <si>
    <t>fr'11 DOMDEBT_FISC</t>
  </si>
  <si>
    <t>fr'11 REAL__MF</t>
  </si>
  <si>
    <t>fr'11 BOP_FISC</t>
  </si>
  <si>
    <t>fr'11 MON_MF</t>
  </si>
  <si>
    <t xml:space="preserve">    Central government domestic debt (bln RWF end-CY)</t>
  </si>
  <si>
    <t>projected fr</t>
  </si>
  <si>
    <t>Budget dom fin</t>
  </si>
  <si>
    <t>Mon Survey</t>
  </si>
  <si>
    <t>light color:</t>
  </si>
  <si>
    <t>detect</t>
  </si>
  <si>
    <t>discepancies</t>
  </si>
  <si>
    <t>TOFE~MonSur</t>
  </si>
  <si>
    <t xml:space="preserve">      Net use of govt deposits shown in Fiscal TOFE</t>
  </si>
  <si>
    <t>April 2015 for BFP</t>
  </si>
  <si>
    <t>implied  in TOFE</t>
  </si>
  <si>
    <t>Use (+) govt deposits at NBR (treasury, line ministries) FY in bln RWF</t>
  </si>
  <si>
    <t>before corr E&amp;O</t>
  </si>
  <si>
    <t>est.10/15</t>
  </si>
  <si>
    <t>Assumption on net use of govt deposits in Budget Finance Law</t>
  </si>
  <si>
    <t xml:space="preserve">light color: </t>
  </si>
  <si>
    <t>for BOP</t>
  </si>
  <si>
    <t>FISCAL_OUTPUT above this</t>
  </si>
  <si>
    <t>not used</t>
  </si>
  <si>
    <t>Other unidentified expenditure</t>
  </si>
  <si>
    <t>required grants (to be identified)</t>
  </si>
  <si>
    <r>
      <t>Net issuance T bills/bonds to banks CY</t>
    </r>
    <r>
      <rPr>
        <sz val="8"/>
        <rFont val="Calibri"/>
        <family val="2"/>
      </rPr>
      <t>, bln RWF</t>
    </r>
    <r>
      <rPr>
        <b/>
        <sz val="9"/>
        <rFont val="Calibri"/>
        <family val="2"/>
      </rPr>
      <t xml:space="preserve"> </t>
    </r>
    <r>
      <rPr>
        <sz val="8"/>
        <rFont val="Calibri"/>
        <family val="2"/>
      </rPr>
      <t>(if no change other credit govt)</t>
    </r>
  </si>
  <si>
    <t>Domestic interest</t>
  </si>
  <si>
    <t>FISCAL_DEBT_OUTPUT below this</t>
  </si>
  <si>
    <t>FISCAL_DEBT_OUTPUT above  this</t>
  </si>
  <si>
    <t>est.</t>
  </si>
  <si>
    <t>progr.</t>
  </si>
  <si>
    <t>check E&amp;O</t>
  </si>
  <si>
    <t>Financing requirement/unidentified financing</t>
  </si>
  <si>
    <t xml:space="preserve">    O/w: budget loans (gross)</t>
  </si>
  <si>
    <t>import tax  (incl VAT; excl. fuel)/GDP</t>
  </si>
  <si>
    <t>levy for strategic fuel reserve in RWF per liter</t>
  </si>
  <si>
    <t>required loans (to be identified)</t>
  </si>
  <si>
    <t>excises on fuel/GDP (excl strategic reserve and FER)</t>
  </si>
  <si>
    <t>calculated levy strategic fuel reserve in bln RWF</t>
  </si>
  <si>
    <t xml:space="preserve">     levy for strategic fuel reserve (impact in bln RWF, in TOFE)</t>
  </si>
  <si>
    <t>calculated levy for Road Fund in bln RWF</t>
  </si>
  <si>
    <t xml:space="preserve">    impact increase levy for FER (in RWF bln, in TOFE compared to 2014/15)</t>
  </si>
  <si>
    <t>levy for Road Fund (FER) in RWF per liter</t>
  </si>
  <si>
    <r>
      <t xml:space="preserve">total levies on fuel/GDP </t>
    </r>
    <r>
      <rPr>
        <sz val="9"/>
        <color indexed="8"/>
        <rFont val="Calibri"/>
        <family val="2"/>
      </rPr>
      <t>(calculated, incl strategic reserve and FER)</t>
    </r>
  </si>
  <si>
    <t xml:space="preserve">           volume other carburants for domestic consumption (mln liters)</t>
  </si>
  <si>
    <t xml:space="preserve">    excise rate on other carburants in RWF/liter</t>
  </si>
  <si>
    <t xml:space="preserve">    calculated impact increase in levy Road Fund</t>
  </si>
  <si>
    <t>Budgetary grants  (incl. required grants)</t>
  </si>
  <si>
    <t xml:space="preserve">    O/w: budget loans (gross) (incl. required loans)</t>
  </si>
  <si>
    <t xml:space="preserve">                plus: required budget loans (semester)</t>
  </si>
  <si>
    <t>`</t>
  </si>
  <si>
    <t>errors &amp; omissions</t>
  </si>
  <si>
    <t>Net issuance T bills/bonds to banks and non banks</t>
  </si>
  <si>
    <t>CY net issuance</t>
  </si>
  <si>
    <t xml:space="preserve">     infrastructure levy  1% EAC (impact in RWF bln) from 2015/16 onward</t>
  </si>
  <si>
    <t xml:space="preserve">    Of which Public investment current prices</t>
  </si>
  <si>
    <t xml:space="preserve">    Of which Private investment current prices</t>
  </si>
  <si>
    <t xml:space="preserve">   of which: project grants through government 'own' accounts</t>
  </si>
  <si>
    <t xml:space="preserve">                          project grants through government 'donor' accounts</t>
  </si>
  <si>
    <t xml:space="preserve">                    project grants through government 'donor' accounts</t>
  </si>
  <si>
    <t>of which: project grants through government 'own' accounts</t>
  </si>
  <si>
    <t xml:space="preserve">                 project grants through government 'donor' accounts</t>
  </si>
  <si>
    <t xml:space="preserve">                        project grants through government 'donor' accounts</t>
  </si>
  <si>
    <t>rev. April 6,2016</t>
  </si>
  <si>
    <t xml:space="preserve">        Semester I</t>
  </si>
  <si>
    <t xml:space="preserve">        Semester II</t>
  </si>
  <si>
    <t xml:space="preserve">  </t>
  </si>
  <si>
    <t>other grants (incl. HIPC grants)</t>
  </si>
  <si>
    <t xml:space="preserve">  PKO disbursements</t>
  </si>
  <si>
    <t>proj fr "FISC"</t>
  </si>
  <si>
    <t xml:space="preserve">       o/w: expected net issuance of govt securities</t>
  </si>
  <si>
    <t>4&amp;5th review</t>
  </si>
  <si>
    <t>proj.</t>
  </si>
  <si>
    <r>
      <t>FISCAL_OUTPUT_progr_act</t>
    </r>
    <r>
      <rPr>
        <sz val="9"/>
        <color indexed="8"/>
        <rFont val="Calibri"/>
        <family val="2"/>
      </rPr>
      <t xml:space="preserve"> above this                                          </t>
    </r>
    <r>
      <rPr>
        <sz val="9"/>
        <color indexed="10"/>
        <rFont val="Calibri"/>
        <family val="2"/>
      </rPr>
      <t xml:space="preserve"> check E&amp;O</t>
    </r>
  </si>
  <si>
    <t>intMF</t>
  </si>
  <si>
    <t>Exchange rate RWF/USD  (period average) CY</t>
  </si>
  <si>
    <t>Exchange rate RWF/USD (end of period) CY</t>
  </si>
  <si>
    <t>Exchange rate RWF/USD (period average) Fiscal Year (FY)</t>
  </si>
  <si>
    <t xml:space="preserve">Gross international reserves NBR end-period in mln USD </t>
  </si>
  <si>
    <t>proj fr BOP</t>
  </si>
  <si>
    <t xml:space="preserve">   idem at end June (from in-year MonSurvey, incl for projection)</t>
  </si>
  <si>
    <t xml:space="preserve">NBR overdraft government </t>
  </si>
  <si>
    <t>not in MS</t>
  </si>
  <si>
    <t>Claims on central government  commercial banks bln RWF</t>
  </si>
  <si>
    <t>NBR monetary policy instruments (debt + if absorption) bln RWF</t>
  </si>
  <si>
    <t xml:space="preserve">fr in-yr 2016 </t>
  </si>
  <si>
    <t>est. to "FISC"</t>
  </si>
  <si>
    <t xml:space="preserve">                level fuel (strategic reserve and Road Fund-FER)</t>
  </si>
  <si>
    <t xml:space="preserve">                excise duty on fuel (excl. strategic reserve)</t>
  </si>
  <si>
    <t>Bugesera airport (govt equity contribution, local spending)</t>
  </si>
  <si>
    <t xml:space="preserve">        Commercial banks T bills/bonds and corporate bonds</t>
  </si>
  <si>
    <t xml:space="preserve">        Non banks T bills/bonds</t>
  </si>
  <si>
    <t>Principal due on new issuance</t>
  </si>
  <si>
    <t xml:space="preserve">Interest due on gross issuance of T bonds </t>
  </si>
  <si>
    <t>V. Domestic debt guarantees (bln RWF)</t>
  </si>
  <si>
    <t xml:space="preserve">              o/w: non bank repayment (excl. securities)</t>
  </si>
  <si>
    <t>Interest due on existing and new debt (assumed even thru year)</t>
  </si>
  <si>
    <t>DOMDEBT_FISC version Oct 2016 below this</t>
  </si>
  <si>
    <t>Projected financing need (unidentified budget grants/loans) (- surplus)</t>
  </si>
  <si>
    <t xml:space="preserve">        o/w: use of sovereign bond proceeds (KCC, Energy)</t>
  </si>
  <si>
    <t>GFS 1986 Sum</t>
  </si>
  <si>
    <t>Bugesera govt equity contribution 2016-17</t>
  </si>
  <si>
    <r>
      <t>IV.1 Summary FISCAL Output</t>
    </r>
    <r>
      <rPr>
        <b/>
        <sz val="12"/>
        <rFont val="Calibri"/>
        <family val="2"/>
      </rPr>
      <t xml:space="preserve"> (bln RWF)</t>
    </r>
  </si>
  <si>
    <t>of which tobacco tax</t>
  </si>
  <si>
    <t xml:space="preserve">FY GDP </t>
  </si>
  <si>
    <t>Of which: (incl Transfers Agaciro Fund)</t>
  </si>
  <si>
    <t>June</t>
  </si>
  <si>
    <t xml:space="preserve">                          stock of securities held by nonbanks end FY </t>
  </si>
  <si>
    <t>Fiscal_assumptions below this</t>
  </si>
  <si>
    <t>Fiscal_assumptions above this</t>
  </si>
  <si>
    <r>
      <rPr>
        <sz val="8"/>
        <color indexed="10"/>
        <rFont val="Symbol"/>
        <family val="1"/>
        <charset val="2"/>
      </rPr>
      <t>³</t>
    </r>
    <r>
      <rPr>
        <sz val="8"/>
        <color indexed="10"/>
        <rFont val="Calibri"/>
        <family val="2"/>
      </rPr>
      <t>2018/19 MF projection</t>
    </r>
  </si>
  <si>
    <t xml:space="preserve">  Net foreign assets NBR (mln US$) end-June </t>
  </si>
  <si>
    <t xml:space="preserve">      Of which: PKO revenue</t>
  </si>
  <si>
    <t xml:space="preserve">      Of which: disbursed into government project accounts</t>
  </si>
  <si>
    <t xml:space="preserve">      Of which: via government project grant accounts</t>
  </si>
  <si>
    <t xml:space="preserve">      Of which: PKO expenditure</t>
  </si>
  <si>
    <t xml:space="preserve">    Net non bank financing</t>
  </si>
  <si>
    <t xml:space="preserve">    Net bank financing</t>
  </si>
  <si>
    <t>Net domestic financing</t>
  </si>
  <si>
    <t xml:space="preserve">              project loans (gross)</t>
  </si>
  <si>
    <r>
      <t xml:space="preserve">Net bank financing </t>
    </r>
    <r>
      <rPr>
        <sz val="9"/>
        <color indexed="8"/>
        <rFont val="Calibri"/>
        <family val="2"/>
      </rPr>
      <t>(~ Monetary Survey</t>
    </r>
    <r>
      <rPr>
        <sz val="8"/>
        <color indexed="8"/>
        <rFont val="Calibri"/>
        <family val="2"/>
      </rPr>
      <t>, but sometimes diff.</t>
    </r>
    <r>
      <rPr>
        <sz val="9"/>
        <color indexed="8"/>
        <rFont val="Calibri"/>
        <family val="2"/>
      </rPr>
      <t>)</t>
    </r>
  </si>
  <si>
    <t>Non bank financing (Net)</t>
  </si>
  <si>
    <t>Government Securities (Net)</t>
  </si>
  <si>
    <t>Net bank financing (~ Monetary Survey, but sometimes diff.)</t>
  </si>
  <si>
    <t xml:space="preserve">o/w: bank borrowing/use (+) or built-up (-) other deposits </t>
  </si>
  <si>
    <t>o/w: Sovereign Bonds proceeds/KCC</t>
  </si>
  <si>
    <r>
      <t xml:space="preserve">o/w: Global Fund </t>
    </r>
    <r>
      <rPr>
        <sz val="9"/>
        <color indexed="8"/>
        <rFont val="Calibri"/>
        <family val="2"/>
      </rPr>
      <t>(and Sovereign Bonds proceeds/Energy/Agaciro)</t>
    </r>
  </si>
  <si>
    <t>o/w: Rwandair Loan receipt to Gov't</t>
  </si>
  <si>
    <t>o/w: PKO (CAR&amp;Juba)</t>
  </si>
  <si>
    <t>o/w: Strategic reserves</t>
  </si>
  <si>
    <t>o/w: levy on imports</t>
  </si>
  <si>
    <r>
      <t xml:space="preserve">Change in arrears </t>
    </r>
    <r>
      <rPr>
        <sz val="10"/>
        <color indexed="8"/>
        <rFont val="Calibri"/>
        <family val="2"/>
      </rPr>
      <t>(net reduction-)</t>
    </r>
  </si>
  <si>
    <t>Domestic financing (net)</t>
  </si>
  <si>
    <t>Memorandum items for program monitoring</t>
  </si>
  <si>
    <t xml:space="preserve">                                                                                         (flow Jan--June)</t>
  </si>
  <si>
    <t xml:space="preserve">                                           (flow Jan--June)</t>
  </si>
  <si>
    <t xml:space="preserve">                                                                        (flow Jan--June)</t>
  </si>
  <si>
    <r>
      <t xml:space="preserve">Domestic arrears: unpaid payment orders (&gt; 90 days) </t>
    </r>
    <r>
      <rPr>
        <sz val="10"/>
        <color indexed="56"/>
        <rFont val="Calibri"/>
        <family val="2"/>
      </rPr>
      <t>(stock end-December)</t>
    </r>
  </si>
  <si>
    <t xml:space="preserve">                                                                                                 (stock end-June)</t>
  </si>
  <si>
    <r>
      <rPr>
        <b/>
        <sz val="10"/>
        <color indexed="56"/>
        <rFont val="Calibri"/>
        <family val="2"/>
      </rPr>
      <t>Domestic revenue collection</t>
    </r>
    <r>
      <rPr>
        <sz val="10"/>
        <color indexed="56"/>
        <rFont val="Calibri"/>
        <family val="2"/>
      </rPr>
      <t>, excl. PKO (flow July-December)</t>
    </r>
  </si>
  <si>
    <r>
      <rPr>
        <b/>
        <sz val="10"/>
        <color indexed="56"/>
        <rFont val="Calibri"/>
        <family val="2"/>
      </rPr>
      <t>Net domestic financing</t>
    </r>
    <r>
      <rPr>
        <sz val="10"/>
        <color indexed="56"/>
        <rFont val="Calibri"/>
        <family val="2"/>
      </rPr>
      <t xml:space="preserve"> (flow July-December)</t>
    </r>
  </si>
  <si>
    <r>
      <rPr>
        <b/>
        <sz val="10"/>
        <color indexed="56"/>
        <rFont val="Calibri"/>
        <family val="2"/>
      </rPr>
      <t>Overall fiscal deficit</t>
    </r>
    <r>
      <rPr>
        <sz val="10"/>
        <color indexed="56"/>
        <rFont val="Calibri"/>
        <family val="2"/>
      </rPr>
      <t xml:space="preserve"> payment order, incl. grants (flow July--December)</t>
    </r>
  </si>
  <si>
    <t xml:space="preserve">                                                                                       (flow Jan--June)</t>
  </si>
  <si>
    <r>
      <rPr>
        <b/>
        <sz val="10"/>
        <color indexed="56"/>
        <rFont val="Calibri"/>
        <family val="2"/>
      </rPr>
      <t xml:space="preserve">Total priority spending  </t>
    </r>
    <r>
      <rPr>
        <sz val="10"/>
        <color indexed="56"/>
        <rFont val="Calibri"/>
        <family val="2"/>
      </rPr>
      <t>(flow July-December)</t>
    </r>
  </si>
  <si>
    <t xml:space="preserve">        o/w: net issuance of government securities to non banks</t>
  </si>
  <si>
    <t xml:space="preserve">      O/w: net bank financing</t>
  </si>
  <si>
    <t xml:space="preserve">      O/w: net issuance of government securities to non banks</t>
  </si>
  <si>
    <t>Pro.Act.</t>
  </si>
  <si>
    <t>USED</t>
  </si>
  <si>
    <r>
      <rPr>
        <b/>
        <sz val="10"/>
        <color indexed="8"/>
        <rFont val="Arial"/>
        <family val="2"/>
      </rPr>
      <t>Ʃ</t>
    </r>
    <r>
      <rPr>
        <b/>
        <sz val="10"/>
        <color indexed="8"/>
        <rFont val="Cambria"/>
        <family val="1"/>
      </rPr>
      <t xml:space="preserve"> months</t>
    </r>
  </si>
  <si>
    <t xml:space="preserve">                                      (flow Jan--June)</t>
  </si>
  <si>
    <t xml:space="preserve">      Of which: PKO expenditure, incl. bonuses</t>
  </si>
  <si>
    <r>
      <rPr>
        <b/>
        <sz val="10"/>
        <color indexed="56"/>
        <rFont val="Calibri"/>
        <family val="2"/>
      </rPr>
      <t>PKO disbursements</t>
    </r>
    <r>
      <rPr>
        <sz val="10"/>
        <color indexed="56"/>
        <rFont val="Calibri"/>
        <family val="2"/>
      </rPr>
      <t xml:space="preserve">  (flow July-December)</t>
    </r>
  </si>
  <si>
    <r>
      <rPr>
        <b/>
        <sz val="10"/>
        <color indexed="56"/>
        <rFont val="Calibri"/>
        <family val="2"/>
      </rPr>
      <t>Project grants disbursed</t>
    </r>
    <r>
      <rPr>
        <sz val="10"/>
        <color indexed="56"/>
        <rFont val="Calibri"/>
        <family val="2"/>
      </rPr>
      <t xml:space="preserve"> in govt project accounts (flow July-December)</t>
    </r>
  </si>
  <si>
    <t xml:space="preserve">                                                                                      (flow Jan--June)</t>
  </si>
  <si>
    <r>
      <rPr>
        <b/>
        <sz val="10"/>
        <color indexed="56"/>
        <rFont val="Calibri"/>
        <family val="2"/>
      </rPr>
      <t>PKO spending</t>
    </r>
    <r>
      <rPr>
        <sz val="10"/>
        <color indexed="56"/>
        <rFont val="Calibri"/>
        <family val="2"/>
      </rPr>
      <t xml:space="preserve"> incl. bonuses from 2016/17 (flow July-December) </t>
    </r>
  </si>
  <si>
    <t xml:space="preserve">                                                                              (flow Jan--June)</t>
  </si>
  <si>
    <r>
      <rPr>
        <b/>
        <sz val="10"/>
        <color indexed="56"/>
        <rFont val="Calibri"/>
        <family val="2"/>
      </rPr>
      <t>Capital spending via govt project grant accounts</t>
    </r>
    <r>
      <rPr>
        <sz val="10"/>
        <color indexed="56"/>
        <rFont val="Calibri"/>
        <family val="2"/>
      </rPr>
      <t xml:space="preserve"> (flow July-December)</t>
    </r>
  </si>
  <si>
    <t>exchange rate p.a.</t>
  </si>
  <si>
    <t>FISC_MON_PRINT above this</t>
  </si>
  <si>
    <t>FER</t>
  </si>
  <si>
    <t>Source data to construct TOFE:</t>
  </si>
  <si>
    <t>file name</t>
  </si>
  <si>
    <t>descriptor</t>
  </si>
  <si>
    <t>agency</t>
  </si>
  <si>
    <t>OTR net lending, debt service, expenditure,…</t>
  </si>
  <si>
    <t>OTR revenue collection, budget support received,…</t>
  </si>
  <si>
    <t>Tax Revenue Collection (Central Level)</t>
  </si>
  <si>
    <t>IFMIS</t>
  </si>
  <si>
    <r>
      <t xml:space="preserve">TOC: </t>
    </r>
    <r>
      <rPr>
        <sz val="12"/>
        <color indexed="8"/>
        <rFont val="Calibri"/>
        <family val="2"/>
      </rPr>
      <t>Table of contents and description</t>
    </r>
  </si>
  <si>
    <r>
      <t xml:space="preserve">==&gt; </t>
    </r>
    <r>
      <rPr>
        <sz val="11"/>
        <color theme="1"/>
        <rFont val="Calibri"/>
        <family val="2"/>
        <scheme val="minor"/>
      </rPr>
      <t>Hence the format and number of lines and columns of these blocks need to be strictly preserved, and should only be changed in consultation with the intMF coordinator.</t>
    </r>
  </si>
  <si>
    <t>guidance_FISC below this</t>
  </si>
  <si>
    <t>Guidance for Fiscal intMF file</t>
  </si>
  <si>
    <r>
      <t xml:space="preserve">This Fiscal file has 4 working sheets including this one (see detailed </t>
    </r>
    <r>
      <rPr>
        <b/>
        <sz val="12"/>
        <color indexed="8"/>
        <rFont val="Calibri"/>
        <family val="2"/>
      </rPr>
      <t>Guidance for Fiscal intMF file</t>
    </r>
    <r>
      <rPr>
        <sz val="12"/>
        <color indexed="8"/>
        <rFont val="Calibri"/>
        <family val="2"/>
      </rPr>
      <t xml:space="preserve"> below):</t>
    </r>
  </si>
  <si>
    <r>
      <rPr>
        <b/>
        <sz val="12"/>
        <color indexed="8"/>
        <rFont val="Calibri"/>
        <family val="2"/>
      </rPr>
      <t xml:space="preserve">FISC: </t>
    </r>
    <r>
      <rPr>
        <sz val="12"/>
        <color indexed="8"/>
        <rFont val="Calibri"/>
        <family val="2"/>
      </rPr>
      <t>fiscal annual projection sheet, linked to rest of intMF</t>
    </r>
  </si>
  <si>
    <r>
      <rPr>
        <b/>
        <sz val="12"/>
        <color indexed="8"/>
        <rFont val="Calibri"/>
        <family val="2"/>
      </rPr>
      <t xml:space="preserve">FISCinyear: </t>
    </r>
    <r>
      <rPr>
        <sz val="12"/>
        <color indexed="8"/>
        <rFont val="Calibri"/>
        <family val="2"/>
      </rPr>
      <t>fiscal current year and program year, breakdown by semester and month</t>
    </r>
  </si>
  <si>
    <r>
      <t xml:space="preserve">TOFE AN: </t>
    </r>
    <r>
      <rPr>
        <sz val="12"/>
        <color indexed="8"/>
        <rFont val="Calibri"/>
        <family val="2"/>
      </rPr>
      <t xml:space="preserve">presentation of result in currently used TOFE format </t>
    </r>
  </si>
  <si>
    <t>REAL variables for MF</t>
  </si>
  <si>
    <t xml:space="preserve">III.1 Fiscal working table "TOFE" GFS 1986 annual FY </t>
  </si>
  <si>
    <t>(under development)</t>
  </si>
  <si>
    <t>III.  Fiscal working tables</t>
  </si>
  <si>
    <t>Fiscal variables for Macro-Framework</t>
  </si>
  <si>
    <t>V. SELECTED FISCAL BLOCKS FOR MACRO-FRAMEWORK Calendar Year</t>
  </si>
  <si>
    <r>
      <t xml:space="preserve">FISCAL_OUTPUT_progr_act </t>
    </r>
    <r>
      <rPr>
        <sz val="9"/>
        <color indexed="8"/>
        <rFont val="Calibri"/>
        <family val="2"/>
      </rPr>
      <t>below this</t>
    </r>
  </si>
  <si>
    <t>IV.4 FISCAL GFS 1986 PRESENTATION - Program vs Actual</t>
  </si>
  <si>
    <t>IV.3 Budget/Finance Law Presentation (GFS 1986) - Summary</t>
  </si>
  <si>
    <t>Calculated tax ratios, parameters CY</t>
  </si>
  <si>
    <r>
      <t>IV. Summary FISCAL Output</t>
    </r>
    <r>
      <rPr>
        <b/>
        <sz val="11"/>
        <rFont val="Calibri"/>
        <family val="2"/>
      </rPr>
      <t xml:space="preserve"> (bln RWF)</t>
    </r>
  </si>
  <si>
    <t>III.2 FISCAL GFS 2014 PRESENTATION - detailed TOFE</t>
  </si>
  <si>
    <r>
      <t xml:space="preserve">The import of blocks of variables (Exogenous or Other sector files) under block I. is done via Excel macros, at the top of the FISC sheet: </t>
    </r>
    <r>
      <rPr>
        <b/>
        <sz val="11"/>
        <color indexed="8"/>
        <rFont val="Calibri"/>
        <family val="2"/>
      </rPr>
      <t>Integrate EXOGENOUS</t>
    </r>
    <r>
      <rPr>
        <sz val="11"/>
        <color theme="1"/>
        <rFont val="Calibri"/>
        <family val="2"/>
        <scheme val="minor"/>
      </rPr>
      <t xml:space="preserve"> and </t>
    </r>
    <r>
      <rPr>
        <b/>
        <sz val="11"/>
        <color indexed="8"/>
        <rFont val="Calibri"/>
        <family val="2"/>
      </rPr>
      <t>Integrate MF sector</t>
    </r>
    <r>
      <rPr>
        <sz val="11"/>
        <color theme="1"/>
        <rFont val="Calibri"/>
        <family val="2"/>
        <scheme val="minor"/>
      </rPr>
      <t>s.</t>
    </r>
  </si>
  <si>
    <t>Similarly, the export of variables of the fiscal file, FISC_REAL, FISC_MON and FISC_BOP, under block V. is done  via Excel macros in each of the other sector files.</t>
  </si>
  <si>
    <t>under development</t>
  </si>
  <si>
    <t xml:space="preserve">Structure of the 'FISC' </t>
  </si>
  <si>
    <t>main sheet</t>
  </si>
  <si>
    <t>in-year sheet (monthly)</t>
  </si>
  <si>
    <t>see table "Source data" below</t>
  </si>
  <si>
    <t>Integrated MF: 10 file management Principles</t>
  </si>
  <si>
    <r>
      <t>viii.     Spreadsheet structure:</t>
    </r>
    <r>
      <rPr>
        <b/>
        <i/>
        <sz val="11"/>
        <color indexed="56"/>
        <rFont val="Calibri"/>
        <family val="2"/>
      </rPr>
      <t xml:space="preserve"> </t>
    </r>
    <r>
      <rPr>
        <b/>
        <sz val="11"/>
        <color indexed="56"/>
        <rFont val="Calibri"/>
        <family val="2"/>
      </rPr>
      <t xml:space="preserve">uniform </t>
    </r>
    <r>
      <rPr>
        <b/>
        <i/>
        <sz val="11"/>
        <color indexed="56"/>
        <rFont val="Calibri"/>
        <family val="2"/>
      </rPr>
      <t>year -column</t>
    </r>
    <r>
      <rPr>
        <b/>
        <sz val="11"/>
        <color indexed="56"/>
        <rFont val="Calibri"/>
        <family val="2"/>
      </rPr>
      <t xml:space="preserve">, </t>
    </r>
    <r>
      <rPr>
        <b/>
        <i/>
        <sz val="11"/>
        <color indexed="56"/>
        <rFont val="Calibri"/>
        <family val="2"/>
      </rPr>
      <t>top-down, left-right</t>
    </r>
    <r>
      <rPr>
        <b/>
        <sz val="11"/>
        <color indexed="56"/>
        <rFont val="Calibri"/>
        <family val="2"/>
      </rPr>
      <t xml:space="preserve"> logic, no circularity</t>
    </r>
  </si>
  <si>
    <r>
      <t xml:space="preserve">x.         Translate CY projections to  FY basis with two-year average (and </t>
    </r>
    <r>
      <rPr>
        <b/>
        <i/>
        <sz val="11"/>
        <color indexed="56"/>
        <rFont val="Calibri"/>
        <family val="2"/>
      </rPr>
      <t>vice versa</t>
    </r>
    <r>
      <rPr>
        <b/>
        <sz val="11"/>
        <color indexed="56"/>
        <rFont val="Calibri"/>
        <family val="2"/>
      </rPr>
      <t>), for FISCAL and BOP</t>
    </r>
  </si>
  <si>
    <t>iii.      For common data input, insert well-formatted extract of source file (rather than whole sheet)</t>
  </si>
  <si>
    <r>
      <t>v.        </t>
    </r>
    <r>
      <rPr>
        <b/>
        <i/>
        <sz val="11"/>
        <color indexed="56"/>
        <rFont val="Calibri"/>
        <family val="2"/>
      </rPr>
      <t>In-year</t>
    </r>
    <r>
      <rPr>
        <b/>
        <sz val="11"/>
        <color indexed="56"/>
        <rFont val="Calibri"/>
        <family val="2"/>
      </rPr>
      <t xml:space="preserve"> estimates/updated projections  in separate ”in-year” sheet, with links or copy/paste value to main projection module;</t>
    </r>
  </si>
  <si>
    <t xml:space="preserve"> in-year sheet can have quarters, semesters etc. as needed</t>
  </si>
  <si>
    <t>TABLE of CONTENTS Fiscal file</t>
  </si>
  <si>
    <t>TOC_guidance below this</t>
  </si>
  <si>
    <t>TOC_guidance &amp; guidance_FISC above this</t>
  </si>
  <si>
    <t>ii.       The “main projection module” should be in one work sheet (normally CY, except fiscal)</t>
  </si>
  <si>
    <t>The FY annual projection framework uses intMF aggregates to project revenue (endogenous), and reflects budget or assumptions for spending (largely exogenous).</t>
  </si>
  <si>
    <t>Macros for import and export of blocks of variables (I.)</t>
  </si>
  <si>
    <t>Fiscal Specific Assumptions (II) and Working Module (III)</t>
  </si>
  <si>
    <r>
      <t xml:space="preserve">Closure mechanism: </t>
    </r>
    <r>
      <rPr>
        <sz val="11"/>
        <color theme="1"/>
        <rFont val="Calibri"/>
        <family val="2"/>
        <scheme val="minor"/>
      </rPr>
      <t>net domestic financing ensures fiscal accounts are in balance.</t>
    </r>
  </si>
  <si>
    <t>==&gt;Exchange rate projected by MON affects RWF value of external financing flows.  In turn, projected net domestic financing (NCG) affects monetary projection.</t>
  </si>
  <si>
    <t xml:space="preserve">Key interactions with variables from other sectors </t>
  </si>
  <si>
    <t>==&gt;Domestic debt service projected by DOMDEBT feeds into FISC. In turn, net domestic financing need determines change in government domestic debt.</t>
  </si>
  <si>
    <r>
      <t xml:space="preserve">Total </t>
    </r>
    <r>
      <rPr>
        <sz val="12"/>
        <color indexed="8"/>
        <rFont val="Cambria"/>
        <family val="1"/>
      </rPr>
      <t>(tax revenue, excl. local govt fees)</t>
    </r>
  </si>
  <si>
    <t>Source data for FISCinyear (in-year TOFE)</t>
  </si>
  <si>
    <t>For revenue, five tax categories and 2 non-tax revenues are distinguished with a tax base (projected in intMF) and tax rate and buyoancy parameters (tax policies and admin) for each.</t>
  </si>
  <si>
    <t>and exchange rates (from MON). Net domestic financing (NDF) is the closing variable, while other variables, notably revenue and spending, are adjusted iteratively to ensure NDF is acceptable.</t>
  </si>
  <si>
    <t>data start 2005</t>
  </si>
  <si>
    <t>of which: local government taxes (RRA, at decentralized level)</t>
  </si>
  <si>
    <t>- Small enterprises</t>
  </si>
  <si>
    <t>Net Lending (NOT USED in TOFE, instead: IFMIS_DEBT)</t>
  </si>
  <si>
    <t>DMO_DebDisb</t>
  </si>
  <si>
    <t>I. IMPORTED VALUES FROM FISCAL SOURCE FILES (paste values)</t>
  </si>
  <si>
    <t>External Project Loans Disbursements (bln RWF)</t>
  </si>
  <si>
    <t>External Budget Loans Disbursementsn(bln RWF)</t>
  </si>
  <si>
    <r>
      <t>External Principal Repayment</t>
    </r>
    <r>
      <rPr>
        <b/>
        <sz val="12"/>
        <color indexed="8"/>
        <rFont val="Cambria"/>
        <family val="1"/>
      </rPr>
      <t xml:space="preserve"> (bln RWF)</t>
    </r>
  </si>
  <si>
    <r>
      <t>External Interest Payment</t>
    </r>
    <r>
      <rPr>
        <b/>
        <sz val="12"/>
        <color indexed="8"/>
        <rFont val="Cambria"/>
        <family val="1"/>
      </rPr>
      <t xml:space="preserve"> (bln RWF)</t>
    </r>
  </si>
  <si>
    <r>
      <t>HIPC</t>
    </r>
    <r>
      <rPr>
        <b/>
        <sz val="12"/>
        <color indexed="8"/>
        <rFont val="Cambria"/>
        <family val="1"/>
      </rPr>
      <t xml:space="preserve"> (bln RWF)</t>
    </r>
  </si>
  <si>
    <t>TreBNR_ExtDeb_FISCinyear below this</t>
  </si>
  <si>
    <t>TreBNR_ExtDeb_FISCinyear above this</t>
  </si>
  <si>
    <t>DMO_DebDisb_FISCinyear above this</t>
  </si>
  <si>
    <t>DMO_DebDisb_FISCinyear below this</t>
  </si>
  <si>
    <t>BNR_OTR_RecPyt</t>
  </si>
  <si>
    <t>TreBNR_DomDeb</t>
  </si>
  <si>
    <t>238103  Free Trade Zone Contribution</t>
  </si>
  <si>
    <t>238107  Agaciro Fund</t>
  </si>
  <si>
    <t>238109  Akagera Aviation</t>
  </si>
  <si>
    <t xml:space="preserve">                    Cimerwa</t>
  </si>
  <si>
    <t>238102  Rwandair Aircraft Purchase</t>
  </si>
  <si>
    <t>235101  Savings and fixed term deposits (KCC working capital)</t>
  </si>
  <si>
    <t>238108  Kigali convention Center</t>
  </si>
  <si>
    <t>238104  Strategic Investment Fund</t>
  </si>
  <si>
    <t>total net lending (IFMIS-DEBT)</t>
  </si>
  <si>
    <t>Privatization (net receipts)</t>
  </si>
  <si>
    <t>Privatization receipts ( - receipt)</t>
  </si>
  <si>
    <t>IFMIS_DEBT_FISCinyear below</t>
  </si>
  <si>
    <t>OTR</t>
  </si>
  <si>
    <t>Net Lending Payments</t>
  </si>
  <si>
    <t>accrual/cash</t>
  </si>
  <si>
    <t>accrual</t>
  </si>
  <si>
    <t>used in TOFE</t>
  </si>
  <si>
    <t>Y</t>
  </si>
  <si>
    <t>comment</t>
  </si>
  <si>
    <t>also in BNR_Forex, but not used there</t>
  </si>
  <si>
    <t>projected debt service in DebSer (not used)</t>
  </si>
  <si>
    <t>cash</t>
  </si>
  <si>
    <t xml:space="preserve">   BNR</t>
  </si>
  <si>
    <t xml:space="preserve">   RSSB</t>
  </si>
  <si>
    <t>TreBNR_DomDeb_FISCinyear above this</t>
  </si>
  <si>
    <t>TreBNR_DomDeb_FISCinyear below this</t>
  </si>
  <si>
    <r>
      <t xml:space="preserve">FISCAL_TOFE_inyear_201418  below this  </t>
    </r>
    <r>
      <rPr>
        <sz val="10"/>
        <color indexed="8"/>
        <rFont val="Cambria"/>
        <family val="1"/>
      </rPr>
      <t>(ensure same format as annual TOFE)</t>
    </r>
  </si>
  <si>
    <t>replaced by EXTDEBT intMF</t>
  </si>
  <si>
    <t>cash  RRA nontax rev</t>
  </si>
  <si>
    <t xml:space="preserve">cash OTR dividends etc </t>
  </si>
  <si>
    <t>cash PKO revenue</t>
  </si>
  <si>
    <t>cash Budget grants</t>
  </si>
  <si>
    <t>N</t>
  </si>
  <si>
    <t>(to allocate proj. amount by Q to months)</t>
  </si>
  <si>
    <t>cash debt service</t>
  </si>
  <si>
    <t>cash project grants via govt acts</t>
  </si>
  <si>
    <t>cash project loans via govt acts</t>
  </si>
  <si>
    <t xml:space="preserve"> (only for PDT; TOFE uses DMO disb)</t>
  </si>
  <si>
    <t>TOFE uses DMO debt service</t>
  </si>
  <si>
    <t xml:space="preserve">accrual </t>
  </si>
  <si>
    <t>non tax revenue at decentralized level</t>
  </si>
  <si>
    <t xml:space="preserve">cash </t>
  </si>
  <si>
    <t>(diff with Ord is change unpaid Pyt Orders)</t>
  </si>
  <si>
    <t>can be part of IFMIS_EXP_Ord</t>
  </si>
  <si>
    <t>in principle all ordonn (Except,netL</t>
  </si>
  <si>
    <t>and priority,…)</t>
  </si>
  <si>
    <t>net lending</t>
  </si>
  <si>
    <t>(in addition repayment old stock unpaid PO)</t>
  </si>
  <si>
    <t>BNR_OTR_RecPyt_FISCinyear below this</t>
  </si>
  <si>
    <t>BNR_OTR_RecPyt_FISCinyear above this</t>
  </si>
  <si>
    <t>Other cash, by OTR (dividends, interest,.....)</t>
  </si>
  <si>
    <t xml:space="preserve">   tax revenue cash not used (accrual fr RRA)</t>
  </si>
  <si>
    <t>GPMU</t>
  </si>
  <si>
    <t>Priority spending, exceptional sp, net lending, tax exp ?</t>
  </si>
  <si>
    <t>to include?</t>
  </si>
  <si>
    <t>Centralized level, cash, by RRA, recorded by OTR (fees, permits, rents etc)</t>
  </si>
  <si>
    <r>
      <t xml:space="preserve">OTR - Overdraft </t>
    </r>
    <r>
      <rPr>
        <sz val="12"/>
        <color indexed="8"/>
        <rFont val="Cambria"/>
        <family val="1"/>
      </rPr>
      <t>(used for monitoring domestic debt)</t>
    </r>
  </si>
  <si>
    <t>BNR_Forex_FISCinyear below this</t>
  </si>
  <si>
    <t>BNR_Forex_FISCinyear above this</t>
  </si>
  <si>
    <t>Budget Loans (NOT used in TOFE, takes DMO_DebDisb)</t>
  </si>
  <si>
    <t>Est.</t>
  </si>
  <si>
    <t>Project Loans (NOT used in TOFE, takes DMO_DebDisb)</t>
  </si>
  <si>
    <t>Budget Grants (cash, used in TOFE)</t>
  </si>
  <si>
    <t>Global Fund (cash, used in TOFE)</t>
  </si>
  <si>
    <r>
      <t>PDT - Debt Service</t>
    </r>
    <r>
      <rPr>
        <sz val="12"/>
        <rFont val="Cambria"/>
        <family val="1"/>
      </rPr>
      <t xml:space="preserve"> (cash, not used in TOFE)</t>
    </r>
  </si>
  <si>
    <t>RRA_tax_FISCinyear below this</t>
  </si>
  <si>
    <r>
      <t>Local Government  (LG) Fees (</t>
    </r>
    <r>
      <rPr>
        <b/>
        <sz val="12"/>
        <color indexed="8"/>
        <rFont val="Cambria"/>
        <family val="1"/>
      </rPr>
      <t>non tax revenue</t>
    </r>
    <r>
      <rPr>
        <sz val="12"/>
        <color indexed="8"/>
        <rFont val="Cambria"/>
        <family val="1"/>
      </rPr>
      <t>, by RRA)</t>
    </r>
  </si>
  <si>
    <t>RRA_taxDECENTR_FISCinyear below this</t>
  </si>
  <si>
    <t>RRA_tax_FISCinyear above this</t>
  </si>
  <si>
    <t>RRA_taxDECENTR_FISCinyear above this</t>
  </si>
  <si>
    <t>check total RRA tax revenue</t>
  </si>
  <si>
    <t>check grand total tax  revenue and Local Govt Fees</t>
  </si>
  <si>
    <t>==&gt; Strategic fuel reserve</t>
  </si>
  <si>
    <r>
      <t xml:space="preserve">Total tax revenue </t>
    </r>
    <r>
      <rPr>
        <b/>
        <sz val="12"/>
        <color indexed="10"/>
        <rFont val="Cambria"/>
        <family val="1"/>
      </rPr>
      <t xml:space="preserve">EXCL. </t>
    </r>
    <r>
      <rPr>
        <b/>
        <sz val="12"/>
        <color indexed="8"/>
        <rFont val="Cambria"/>
        <family val="1"/>
      </rPr>
      <t>taxes on EWSA fuel imports for Generators</t>
    </r>
  </si>
  <si>
    <t>Non Tax Revenue (excl. PKO)  cash OTR</t>
  </si>
  <si>
    <t xml:space="preserve">  Other (incl.  local government fees)</t>
  </si>
  <si>
    <t xml:space="preserve">Arrears (not used) </t>
  </si>
  <si>
    <t>Interest (not used in TOFE, instead TreBNR_DomDeb and _ExtDeb)</t>
  </si>
  <si>
    <t>IFMIS_EXP_Ord_FISCinyear above this</t>
  </si>
  <si>
    <t>IFMIS_EXP_Ord_FISCinyear below this</t>
  </si>
  <si>
    <t>External Capital ( used for GF; could be use of govt project grants)</t>
  </si>
  <si>
    <t>Budget Grants (LODA) directly disbursed</t>
  </si>
  <si>
    <t>IFMIS_EXP_Pyt_FISCinyear above this</t>
  </si>
  <si>
    <t>IFMIS - Payment</t>
  </si>
  <si>
    <r>
      <t>IFMIS - Float</t>
    </r>
    <r>
      <rPr>
        <sz val="12"/>
        <color indexed="8"/>
        <rFont val="Cambria"/>
        <family val="1"/>
      </rPr>
      <t xml:space="preserve">  (change in unpaid payment orders current FY)</t>
    </r>
  </si>
  <si>
    <t>IFMIS_Ex_FISCinyear below this</t>
  </si>
  <si>
    <t>IFMIS_Ex_FISCinyear above this</t>
  </si>
  <si>
    <t>Privat_Rec_FISCinyear below this</t>
  </si>
  <si>
    <t>Privat_Rec_FISCinyear above this</t>
  </si>
  <si>
    <r>
      <t>IFMS - Tax Expenditures</t>
    </r>
    <r>
      <rPr>
        <b/>
        <sz val="12"/>
        <color indexed="8"/>
        <rFont val="Cambria"/>
        <family val="1"/>
      </rPr>
      <t xml:space="preserve"> </t>
    </r>
    <r>
      <rPr>
        <sz val="12"/>
        <color indexed="8"/>
        <rFont val="Cambria"/>
        <family val="1"/>
      </rPr>
      <t>(used in domestic capital exp)</t>
    </r>
  </si>
  <si>
    <t>IFMIS_TaxExp_FISCinyear below this</t>
  </si>
  <si>
    <t>IFMIS_TaxExp_FISCinyear above this</t>
  </si>
  <si>
    <t>==&gt; Infrastructure development levy</t>
  </si>
  <si>
    <t xml:space="preserve">      o/w PKO allowances (from Treasury)</t>
  </si>
  <si>
    <t>cash receipts OTR used for RRA nontax &amp; OTR-dividends</t>
  </si>
  <si>
    <t>For expenditure, outer years are projected using relationships with GDP, fiscal revenue, or past trends. External financing and debt service are identified flows in forex (from EXTFIN and EXTDEBT)</t>
  </si>
  <si>
    <t>NDF is broken down by nonbank (largely exogenous) and bank financing (NCG, residual); for realization, monetary survey data feed into FISC, while fiscal projection of NCG flows feeds into MON.</t>
  </si>
  <si>
    <t>==&gt;GDP, its composition (non agriculture) and GDP deflator affect tax and expenditure, and ratios. In turn, govt taxes (and effective collection rates) and wage bill affect GDP and its deflator.</t>
  </si>
  <si>
    <t>==&gt;Import values and volumes of goods (of which: fuel, for big projects) projected by BOP affect import &amp; excise tax collection. In turn, projected PKO nontax revenue affects BOP services exports.</t>
  </si>
  <si>
    <r>
      <t xml:space="preserve">2.1.8. </t>
    </r>
    <r>
      <rPr>
        <sz val="12"/>
        <color indexed="8"/>
        <rFont val="Cambria"/>
        <family val="1"/>
      </rPr>
      <t>Air time</t>
    </r>
    <r>
      <rPr>
        <sz val="12"/>
        <color indexed="8"/>
        <rFont val="Cambria"/>
        <family val="1"/>
      </rPr>
      <t>/Mining Royalties</t>
    </r>
  </si>
  <si>
    <t>Mining Royalties</t>
  </si>
  <si>
    <t>BNR_Forex_FISCinyear (PDT)</t>
  </si>
  <si>
    <t>RRA_ Tax_FISCinyear</t>
  </si>
  <si>
    <t>RRA_taxDECENTR_FISCinyear</t>
  </si>
  <si>
    <t>IFMIS_EXP_Ord_FISCinyear</t>
  </si>
  <si>
    <t>IFMIS_EXP_Pyt_FISCinyear</t>
  </si>
  <si>
    <t>IFMIS_Ex_FISCinyear</t>
  </si>
  <si>
    <t>IFMIS_TaxExp_FISCinyear</t>
  </si>
  <si>
    <t>IFMIS_DEBT_FISCinyear</t>
  </si>
  <si>
    <t>Privat_Rec_FISCinyear</t>
  </si>
  <si>
    <t>MonSur_FISCinyear</t>
  </si>
  <si>
    <t>TreBNR_ExtDeb_FISCinyear</t>
  </si>
  <si>
    <t>DMO_DebDisb_FISCinyear</t>
  </si>
  <si>
    <t>TreBNR_DomDeb_FISCinyear</t>
  </si>
  <si>
    <t>MonSur_FISCinyear above this</t>
  </si>
  <si>
    <t>Used</t>
  </si>
  <si>
    <r>
      <t xml:space="preserve">  o/w: PKO allowances</t>
    </r>
    <r>
      <rPr>
        <b/>
        <sz val="10"/>
        <color indexed="10"/>
        <rFont val="Cambria"/>
        <family val="1"/>
      </rPr>
      <t xml:space="preserve"> (from Treasury, outside IFMIS)</t>
    </r>
  </si>
  <si>
    <t>Peace Keeping (via IFMIS,  and outside--via treasury)</t>
  </si>
  <si>
    <t>2.1.3. Petrol</t>
  </si>
  <si>
    <t>Budgetary loans</t>
  </si>
  <si>
    <t xml:space="preserve">   Difference PKO revenue -/- recorded spending  (- advance)</t>
  </si>
  <si>
    <t xml:space="preserve">   Net withdrawal from government project accounts</t>
  </si>
  <si>
    <t>Non Bank Sector Debt Repayment (&gt; 2016/17 from DMO)</t>
  </si>
  <si>
    <t>prov.act.</t>
  </si>
  <si>
    <t>GEE _PRINT above this</t>
  </si>
  <si>
    <t>2020/21</t>
  </si>
  <si>
    <t>EXTFIN_PRINT above this</t>
  </si>
  <si>
    <t>REAL_MF above this</t>
  </si>
  <si>
    <t>BOP_FISC above this</t>
  </si>
  <si>
    <t>FISC_BOP above this</t>
  </si>
  <si>
    <r>
      <t>Fiscal variables to MON and PDT (plan de trésorerie)</t>
    </r>
    <r>
      <rPr>
        <sz val="8"/>
        <rFont val="Calibri"/>
        <family val="2"/>
      </rPr>
      <t xml:space="preserve"> FISC_MON_PRINT below this</t>
    </r>
  </si>
  <si>
    <t>6th review</t>
  </si>
  <si>
    <t>Fiscal accounts: Program versus Projections</t>
  </si>
  <si>
    <t>in % of GDP</t>
  </si>
  <si>
    <t>Direct taxes (excl. local govt taxes)</t>
  </si>
  <si>
    <t>Non-tax revenue (excl. local govt)</t>
  </si>
  <si>
    <t>Transfers (excl. to local govt)</t>
  </si>
  <si>
    <t xml:space="preserve"> excl. local government revenue</t>
  </si>
  <si>
    <t>excl. local government taxes</t>
  </si>
  <si>
    <t>excl. local government fees</t>
  </si>
  <si>
    <t>Current expenditure &amp; net lending</t>
  </si>
  <si>
    <t>Capital spending</t>
  </si>
  <si>
    <t>Deficit payment order (incl grants)</t>
  </si>
  <si>
    <t xml:space="preserve">                                         (excl. grants)</t>
  </si>
  <si>
    <t>Net foreign financing</t>
  </si>
  <si>
    <t xml:space="preserve">             o/w: Taxes on projects expenditures (REG&amp;RTDA)</t>
  </si>
  <si>
    <t>KCC Working capital (interest)</t>
  </si>
  <si>
    <r>
      <rPr>
        <sz val="8"/>
        <rFont val="Calibri"/>
        <family val="2"/>
      </rPr>
      <t xml:space="preserve">FISCAL_TOFE above this      </t>
    </r>
    <r>
      <rPr>
        <sz val="8"/>
        <color indexed="60"/>
        <rFont val="Calibri"/>
        <family val="2"/>
      </rPr>
      <t xml:space="preserve">                                                                          net issuance of Tbills/bonds banks&amp;nonbanks </t>
    </r>
  </si>
  <si>
    <r>
      <rPr>
        <sz val="9"/>
        <rFont val="Calibri"/>
        <family val="2"/>
      </rPr>
      <t xml:space="preserve">FISCAL_TOFE_inyear_201418 above this </t>
    </r>
    <r>
      <rPr>
        <sz val="9"/>
        <color indexed="60"/>
        <rFont val="Calibri"/>
        <family val="2"/>
      </rPr>
      <t xml:space="preserve">      Net issuance securities and use deposits</t>
    </r>
  </si>
  <si>
    <t>Budget</t>
  </si>
  <si>
    <t>calculated levies strategic reserve bln RWF (if tax base includes other fuels) NOT USED</t>
  </si>
  <si>
    <t>2021/22</t>
  </si>
  <si>
    <t>2022/23</t>
  </si>
  <si>
    <t>2023/24</t>
  </si>
  <si>
    <t>2024/25</t>
  </si>
  <si>
    <t>2025/26</t>
  </si>
  <si>
    <t>2005/06</t>
  </si>
  <si>
    <t>2004/05</t>
  </si>
  <si>
    <t>2003/04</t>
  </si>
  <si>
    <t>2002/03</t>
  </si>
  <si>
    <t>2001/02</t>
  </si>
  <si>
    <t>2000/01</t>
  </si>
  <si>
    <t>1999/00</t>
  </si>
  <si>
    <t>1998/99</t>
  </si>
  <si>
    <t>From 1998/99 to 2005/06 is the average of two calendar year based on information source that was in calendar year</t>
  </si>
  <si>
    <r>
      <t xml:space="preserve">   O/w: </t>
    </r>
    <r>
      <rPr>
        <sz val="11"/>
        <color indexed="10"/>
        <rFont val="Calibri"/>
        <family val="2"/>
      </rPr>
      <t>project grants</t>
    </r>
  </si>
  <si>
    <t>7th review</t>
  </si>
  <si>
    <t>1997/98</t>
  </si>
  <si>
    <t xml:space="preserve">              project loans</t>
  </si>
  <si>
    <t>External interest</t>
  </si>
  <si>
    <r>
      <t>Taxes on domestic goods &amp; services</t>
    </r>
    <r>
      <rPr>
        <b/>
        <sz val="9"/>
        <color indexed="8"/>
        <rFont val="Calibri"/>
        <family val="2"/>
      </rPr>
      <t xml:space="preserve"> (incl VAT imports, fuel excises)</t>
    </r>
  </si>
  <si>
    <t>GNI per capita</t>
  </si>
  <si>
    <t xml:space="preserve">              Amortization (due)</t>
  </si>
  <si>
    <t>Marriot Loan(New line  from 04th Oct 2017)</t>
  </si>
  <si>
    <t>238110  Bugesera Airport</t>
  </si>
  <si>
    <t>JICA</t>
  </si>
  <si>
    <t xml:space="preserve">       LODA expenditure on budget grants directly disbursed/ REG&amp;RTDA Tax expenditure</t>
  </si>
  <si>
    <t xml:space="preserve">    o/w prefinancing and soldier/police bonuses (from 2016/17)</t>
  </si>
  <si>
    <t>o/w: Global Fund (and Sovereign Bonds proceeds/Energy/Agaciro)</t>
  </si>
  <si>
    <t>Jan-Dec</t>
  </si>
  <si>
    <t>2015</t>
  </si>
  <si>
    <t>2016</t>
  </si>
  <si>
    <t>Adjusted project Grants(Used in TOFE)</t>
  </si>
  <si>
    <t>GFS 1986</t>
  </si>
  <si>
    <t xml:space="preserve">    o/w prefinancing and soldier/police bonuses</t>
  </si>
  <si>
    <t>Marriott Loan repayment ( from Oct 2017)</t>
  </si>
  <si>
    <t>KCC Loan repayment</t>
  </si>
  <si>
    <t>7th Review May 2017</t>
  </si>
  <si>
    <t>2017</t>
  </si>
  <si>
    <t xml:space="preserve">FISCAL_TOFE above this                                                                                net issuance of Tbills/bonds banks&amp;nonbanks </t>
  </si>
  <si>
    <t xml:space="preserve"> Revised Current Proj.</t>
  </si>
  <si>
    <t xml:space="preserve"> Provisional Actual</t>
  </si>
  <si>
    <r>
      <t xml:space="preserve"> LODA expenditure on budget grants directly disbursed/ R</t>
    </r>
    <r>
      <rPr>
        <b/>
        <i/>
        <sz val="10"/>
        <color indexed="10"/>
        <rFont val="Calibri"/>
        <family val="2"/>
      </rPr>
      <t>EG&amp;RTDA Tax expenditur</t>
    </r>
    <r>
      <rPr>
        <i/>
        <sz val="10"/>
        <color indexed="10"/>
        <rFont val="Calibri"/>
        <family val="2"/>
      </rPr>
      <t>e</t>
    </r>
  </si>
  <si>
    <t>Nominal GDP growth FRW</t>
  </si>
  <si>
    <t xml:space="preserve">     Prices of domestic goods excluding taxes</t>
  </si>
  <si>
    <t xml:space="preserve">     Agriculture GDP excl. export crops in current prices (bln RWF)</t>
  </si>
  <si>
    <t xml:space="preserve">     Non agricultural GDP in current prices (excl. govt &amp; taxes, exports) (bln RWF)</t>
  </si>
  <si>
    <t>CPI (end-period) in % change</t>
  </si>
  <si>
    <t>CPI (period average) in % change</t>
  </si>
  <si>
    <t>Investment deflator 2011=100</t>
  </si>
  <si>
    <t xml:space="preserve">    Households and NGOs consumption</t>
  </si>
  <si>
    <t>Gross capital formation (excl inventories constant prices)</t>
  </si>
  <si>
    <t xml:space="preserve">     O/w: Private investment (MF proxy)</t>
  </si>
  <si>
    <t>Imports, cif (mln USD) (in trade statistics, excl. adjustment for planes, CBT, fuel etc.)</t>
  </si>
  <si>
    <t>average Kg/l</t>
  </si>
  <si>
    <t>Principal due existing debt (excl. T bills)</t>
  </si>
  <si>
    <t>End-year FY stock domestic govt debt (mid-CY, bln RWF)</t>
  </si>
  <si>
    <t xml:space="preserve">        RSSB and "corporate bonds" nonbanks (post office, Soderapal)</t>
  </si>
  <si>
    <t>end DOMDEBT_FISC_PRINT</t>
  </si>
  <si>
    <t>Marriott loan  (from Oct 2017)</t>
  </si>
  <si>
    <t>of Which  Rwanda National Police Non-Tax revenue</t>
  </si>
  <si>
    <t>of Which  RDB Non-Tax revenue</t>
  </si>
  <si>
    <t>of Which  Sweden NEP</t>
  </si>
  <si>
    <t>of Which  RNP expenditures on non-Tax revenue collections</t>
  </si>
  <si>
    <t>of which expenditures  on RDB non Tax revenue collections</t>
  </si>
  <si>
    <t xml:space="preserve"> of Which LODA (Netherlands,Germany,VUP/S.Protection)</t>
  </si>
  <si>
    <t>Excluding PKO Pre-financing</t>
  </si>
  <si>
    <t>of which Strategic reserves accumulation</t>
  </si>
  <si>
    <r>
      <t xml:space="preserve">     </t>
    </r>
    <r>
      <rPr>
        <sz val="10"/>
        <color indexed="17"/>
        <rFont val="Calibri"/>
        <family val="2"/>
      </rPr>
      <t>Of Which LODA (Netherlands,Germany,VUP/S.Protection)</t>
    </r>
  </si>
  <si>
    <t>Marriott Loan repayment</t>
  </si>
  <si>
    <r>
      <t xml:space="preserve"> </t>
    </r>
    <r>
      <rPr>
        <sz val="10"/>
        <color indexed="17"/>
        <rFont val="Calibri"/>
        <family val="2"/>
      </rPr>
      <t>Contingent Budgetary loan [ WB  Social protection]</t>
    </r>
  </si>
  <si>
    <r>
      <rPr>
        <sz val="10"/>
        <color indexed="17"/>
        <rFont val="Calibri"/>
        <family val="2"/>
      </rPr>
      <t>Earmarked   Levies</t>
    </r>
    <r>
      <rPr>
        <sz val="10"/>
        <color indexed="8"/>
        <rFont val="Calibri"/>
        <family val="2"/>
      </rPr>
      <t xml:space="preserve">   </t>
    </r>
  </si>
  <si>
    <t xml:space="preserve">  Net foreign assets NBR (mln US$) end-Dec (for QAC/PC)</t>
  </si>
  <si>
    <t>Stock gross foreign liabilities NBR  end-year (in mln US$)</t>
  </si>
  <si>
    <t xml:space="preserve">       valuation change on foreign liabilties</t>
  </si>
  <si>
    <t>Net foreign assets commercial banks end-period in mln USD</t>
  </si>
  <si>
    <t>Reserve money (bln RWF) (target: av. April-June; realized: daily average)</t>
  </si>
  <si>
    <t xml:space="preserve">                                                      (target: av. Oct-Dec; realized: daily average)</t>
  </si>
  <si>
    <t>Net credit to Govt monetary survey end-period stock (bln RWF)</t>
  </si>
  <si>
    <t>Govt deposits (treasury, line ministries) at NBR  end-period stock (bln RWF)</t>
  </si>
  <si>
    <t xml:space="preserve"> African Union levy</t>
  </si>
  <si>
    <r>
      <t xml:space="preserve"> </t>
    </r>
    <r>
      <rPr>
        <sz val="12"/>
        <color rgb="FF00B050"/>
        <rFont val="Cambria"/>
        <family val="1"/>
        <scheme val="major"/>
      </rPr>
      <t>African Union levy</t>
    </r>
  </si>
  <si>
    <t>2021/2022</t>
  </si>
  <si>
    <t>2022/2023</t>
  </si>
  <si>
    <t>2023/2024</t>
  </si>
  <si>
    <t>2024/2025</t>
  </si>
  <si>
    <t>2025/2026</t>
  </si>
  <si>
    <t>2026/2027</t>
  </si>
  <si>
    <t>2027/2028</t>
  </si>
  <si>
    <t xml:space="preserve"> LODA expenditure on budget grants directly disbursed/ REG&amp;RTDA Tax expenditure</t>
  </si>
  <si>
    <t>FISCAL_TOFE_inyear_201418 above this       Net issuance securities and use deposits</t>
  </si>
  <si>
    <t xml:space="preserve">         African Union levy</t>
  </si>
  <si>
    <t>238111 Marriot Hotel</t>
  </si>
  <si>
    <t xml:space="preserve">      Of which Rwanda National Police Revenue</t>
  </si>
  <si>
    <t xml:space="preserve">     Of which  Rwanda Development Board Revenue</t>
  </si>
  <si>
    <t>Rwanda National Police Revenue</t>
  </si>
  <si>
    <t>Rwanda Development Board Revenue</t>
  </si>
  <si>
    <t>Of which Strategic reserve  Fuel refilling</t>
  </si>
  <si>
    <t>BRD Recapitalisation</t>
  </si>
  <si>
    <t>Budgetary loan [ Priority Skills, , P4R  Agric and Energy ]</t>
  </si>
  <si>
    <t xml:space="preserve"> JICA (Nutrition)</t>
  </si>
  <si>
    <t>of Which  RRA Other  Administrative fee</t>
  </si>
  <si>
    <t>of Which  RMPGP(Mining board)</t>
  </si>
  <si>
    <t>of Which  RCS</t>
  </si>
  <si>
    <t>Of which Strategic reserve Petroleum Levy/Construction</t>
  </si>
  <si>
    <t>of which Strategic reserves fuel sales</t>
  </si>
  <si>
    <t>Of which Strategic reserve fuel  Stock purchase</t>
  </si>
  <si>
    <t>Of which Strategic reserve fuel stock Sales</t>
  </si>
  <si>
    <t>Overall deficit (payment order-5years average)</t>
  </si>
  <si>
    <t>Total</t>
  </si>
  <si>
    <t>Domestic Debt Repayment</t>
  </si>
  <si>
    <t>External Debt Repayment</t>
  </si>
  <si>
    <t>Domestic T-bills</t>
  </si>
  <si>
    <t>Domestic T-bonds</t>
  </si>
  <si>
    <t>Domestic-Overdraft</t>
  </si>
  <si>
    <t>Domestic Corporate Loans</t>
  </si>
  <si>
    <t>External Interest</t>
  </si>
  <si>
    <t>Nominal GDP in bln RWF FY</t>
  </si>
  <si>
    <t xml:space="preserve">    Direct taxes</t>
  </si>
  <si>
    <t xml:space="preserve">    Taxes on goods and services</t>
  </si>
  <si>
    <t xml:space="preserve">    Taxes on international trade</t>
  </si>
  <si>
    <t xml:space="preserve">  Total Grants</t>
  </si>
  <si>
    <t>Budgetary Grants</t>
  </si>
  <si>
    <t>Capital Grants</t>
  </si>
  <si>
    <t>FISC_Rwametric_Mdata below</t>
  </si>
  <si>
    <t>Of Which Global Fund</t>
  </si>
  <si>
    <t xml:space="preserve">       Marriot  Hotel Loan Repayement (princ.)</t>
  </si>
  <si>
    <t>External debt service ( incl expected disbursement on signed loans)</t>
  </si>
  <si>
    <t>fr IMF website, verified Sept 9,2019</t>
  </si>
  <si>
    <t>Interest due US$ (excl. IMF) in mln US$</t>
  </si>
  <si>
    <t>End-year stock external debt in mln US$ (incl. IMF, excl. guarantees, PE)</t>
  </si>
  <si>
    <t>Multilateral (incl. IMF)</t>
  </si>
  <si>
    <t>External debt govt guarantees and PE (mln US$)</t>
  </si>
  <si>
    <t xml:space="preserve">of which Interest on Marriot </t>
  </si>
  <si>
    <t>of which Marriot Debt</t>
  </si>
  <si>
    <t xml:space="preserve">  Repayement of Marriotte Debt</t>
  </si>
  <si>
    <t>Excluding Marriott Net lending</t>
  </si>
  <si>
    <t>Excluding Marriott and PKO</t>
  </si>
  <si>
    <t>Overall deficit Excluding Marriott&amp;PKO(-5years average)</t>
  </si>
  <si>
    <t>Overall deficit Excluding Marriott(-5years average)</t>
  </si>
  <si>
    <t>Of which Marriott Equity Kenya</t>
  </si>
  <si>
    <t xml:space="preserve">Of Which Equity Kenya </t>
  </si>
  <si>
    <t>of Which Equity Kenya</t>
  </si>
  <si>
    <t>Of which Other: (incl Transfers Agaciro Fund)</t>
  </si>
  <si>
    <t>GFS CODE</t>
  </si>
  <si>
    <t xml:space="preserve"> GFS DESCRIPTOR</t>
  </si>
  <si>
    <t>REVENUE [11 + 12 + 13 + 14]</t>
  </si>
  <si>
    <t>Taxes  [111 + 112 + 113 + 114 + 115 + 116]</t>
  </si>
  <si>
    <t>Taxes on income, profits, and capital gains [1111 + 1112 + 1113]</t>
  </si>
  <si>
    <t xml:space="preserve">Taxes on income: Payable by individuals </t>
  </si>
  <si>
    <t xml:space="preserve">Taxes on income: Payable by corporations and other enterprises </t>
  </si>
  <si>
    <t>Taxes on income: Other</t>
  </si>
  <si>
    <t>Taxes on property [1131 + 1132 + 1133 + 1134 + 1135 + 1136]</t>
  </si>
  <si>
    <t xml:space="preserve">Taxes on property:  Recurrent taxes on immovable property </t>
  </si>
  <si>
    <t xml:space="preserve">Taxes on property:  Recurrent taxes on net wealth </t>
  </si>
  <si>
    <t xml:space="preserve">Taxes on property:  Estate, inheritance, and gift taxes </t>
  </si>
  <si>
    <t xml:space="preserve">Taxes on property:  Other nonrecurrent taxes on property </t>
  </si>
  <si>
    <t xml:space="preserve">Taxes on property:  Other recurrent taxes on property </t>
  </si>
  <si>
    <t>Taxes on goods and services:  General taxes on goods and services  [11411 + 11412 + 11413]</t>
  </si>
  <si>
    <t xml:space="preserve">General taxes on goods and services:  Value-added taxes </t>
  </si>
  <si>
    <t xml:space="preserve">General taxes on goods and services:  Sales taxes </t>
  </si>
  <si>
    <t xml:space="preserve">General taxes on goods and services:  Turnover &amp; other general taxes on G &amp; S </t>
  </si>
  <si>
    <t>General taxes on goods and services: Taxes on financial and capital transactions</t>
  </si>
  <si>
    <t xml:space="preserve">Taxes on goods and services:  Excises </t>
  </si>
  <si>
    <t xml:space="preserve">Taxes on goods and services:  Profits of fiscal monopolies </t>
  </si>
  <si>
    <t xml:space="preserve">Taxes on goods and services:  Taxes on specific services </t>
  </si>
  <si>
    <t>Taxes on goods and services and on permission to use goods or perform activities  [11451 + 11452]</t>
  </si>
  <si>
    <t xml:space="preserve">Taxes on use and permission of goods and services:  Motor vehicles taxes </t>
  </si>
  <si>
    <t xml:space="preserve">Taxes on use and permission of goods and services:  Other </t>
  </si>
  <si>
    <t xml:space="preserve">Taxes on goods and services:  Other taxes on goods and services </t>
  </si>
  <si>
    <t>Taxes on international trade and transactions [1151 + 1152 + 1153 + 1154 + 1155 + 1156]</t>
  </si>
  <si>
    <t xml:space="preserve">Taxes on international trade and transactions: Customs and other import duties </t>
  </si>
  <si>
    <t xml:space="preserve">Taxes on international trade and transactions: Taxes on exports </t>
  </si>
  <si>
    <t xml:space="preserve">Taxes on international trade and transactions: Profits of export or import monopolies </t>
  </si>
  <si>
    <t xml:space="preserve">Taxes on international trade and transactions: Exchange profits </t>
  </si>
  <si>
    <t xml:space="preserve">Taxes on international trade and transactions: Exchange taxes </t>
  </si>
  <si>
    <t xml:space="preserve">Taxes on international trade and transactions: Other taxes on international trade and transactions </t>
  </si>
  <si>
    <t>Social contributions [121 + 122]</t>
  </si>
  <si>
    <t>Social security contributions [1211 + 1212 + 1213 + 1214]</t>
  </si>
  <si>
    <t xml:space="preserve">Social security contributions:  Employee contributions </t>
  </si>
  <si>
    <t xml:space="preserve">Social security contributions:  Employer contributions </t>
  </si>
  <si>
    <t xml:space="preserve">Social security contributions:  Self-employed or nonemployed contributions </t>
  </si>
  <si>
    <t xml:space="preserve">Social security contributions:  Unallocable contributions </t>
  </si>
  <si>
    <t>Other social contributions [1221 + 1222 + 1223]</t>
  </si>
  <si>
    <t xml:space="preserve">Other social contributions : Employee contributions </t>
  </si>
  <si>
    <t xml:space="preserve">Other social contributions : Employer contributions </t>
  </si>
  <si>
    <t xml:space="preserve">Other social contributions : Imputed contributions </t>
  </si>
  <si>
    <t>Grants [131 + 132 + 133]</t>
  </si>
  <si>
    <t>Grants from foreign governments [1311 + 1312]</t>
  </si>
  <si>
    <t xml:space="preserve">Grants from foreign governments: Current </t>
  </si>
  <si>
    <t xml:space="preserve">Grants from foreign governments: Capital </t>
  </si>
  <si>
    <t>Grants from international organizations [1321 + 1322]</t>
  </si>
  <si>
    <t xml:space="preserve">Grants from international organizations: Current </t>
  </si>
  <si>
    <t xml:space="preserve">Grants from international organizations: Capital </t>
  </si>
  <si>
    <t>Grants from other general government units [1331 + 1332]</t>
  </si>
  <si>
    <t xml:space="preserve">Grants from other general government units: Current </t>
  </si>
  <si>
    <t xml:space="preserve">Grants from other general government units: Capital </t>
  </si>
  <si>
    <t>Other revenue [141 + 142 + 143 + 144 + 145]</t>
  </si>
  <si>
    <t>Other revenue: Property income [1411 + 1412 + 1413 + 1414 + 1415]</t>
  </si>
  <si>
    <t xml:space="preserve">Other revenue: Property income: Interest </t>
  </si>
  <si>
    <t>Other Revenue: Property income: Interest from nonresidents</t>
  </si>
  <si>
    <t>Other Revenue: Property Income: Interest from residents other than general government</t>
  </si>
  <si>
    <t>Other Revenue: Property Income: Interest from other general government units</t>
  </si>
  <si>
    <t xml:space="preserve">Other revenue: Property income: Dividends </t>
  </si>
  <si>
    <t xml:space="preserve">Other revenue: Property income: Withdrawals from income of quasi-corporations </t>
  </si>
  <si>
    <t xml:space="preserve">Other revenue: Property income: Property income attrib to insurance policyholders </t>
  </si>
  <si>
    <t xml:space="preserve">Other revenue: Property income: Rent </t>
  </si>
  <si>
    <t>Other Revenue: Property income: Reinvested earnings on foreign direct investment</t>
  </si>
  <si>
    <t>Other revenue: Sales of goods and services [1421 + 1422 + 1423 + 1424]</t>
  </si>
  <si>
    <t xml:space="preserve">Other revenue: Sales of goods and services: Sales of market establishments </t>
  </si>
  <si>
    <t xml:space="preserve">Other revenue: Sales of goods and services: Administrative fees </t>
  </si>
  <si>
    <t xml:space="preserve">Other revenue: Sales of goods and services: Incidental sales by nonmarket establishments </t>
  </si>
  <si>
    <t xml:space="preserve">Other revenue: Sales of goods and services: Imputed sales of goods and services </t>
  </si>
  <si>
    <t xml:space="preserve">Other revenue: Fines, penalties, and forfeits </t>
  </si>
  <si>
    <t>Transfers not elsewhere classified [1441 + 1442]</t>
  </si>
  <si>
    <t xml:space="preserve">Transfers: Current </t>
  </si>
  <si>
    <t>Transfers: Current: Subsidies</t>
  </si>
  <si>
    <t>Transfers: Current: Other</t>
  </si>
  <si>
    <t xml:space="preserve">Transfers : Capital </t>
  </si>
  <si>
    <t>Insurance and standardized guarantee schemes</t>
  </si>
  <si>
    <t>Insurance and standardized guarantees: Premiums, fees, and current claims</t>
  </si>
  <si>
    <t>Insurance and standardized guarantees: Premiums</t>
  </si>
  <si>
    <t>Insurance and standardized guarantees: Fees for standardized guarantee schemes</t>
  </si>
  <si>
    <t>Insurance and standardized guarantees: Current claims</t>
  </si>
  <si>
    <t>Insurance and standardized guarantee schemes: Capital claims</t>
  </si>
  <si>
    <t>EXPENSE [21 + 22 + 23 + 24 + 25 + 26 + 27 + 28]</t>
  </si>
  <si>
    <t>Compensation of employees [211 + 212]</t>
  </si>
  <si>
    <t>Compensation of employees: Wages and salaries [2111 + 2112]</t>
  </si>
  <si>
    <t>Compensation of employees: Employers' social contributions [2121 + 2122]</t>
  </si>
  <si>
    <t xml:space="preserve">Compensation of employees: Actual employers' social contributions </t>
  </si>
  <si>
    <t xml:space="preserve">Compensation of employees: Imputed employers' social contributions </t>
  </si>
  <si>
    <t>Interest [241 + 242 + 243]</t>
  </si>
  <si>
    <t xml:space="preserve">Interest : To nonresidents </t>
  </si>
  <si>
    <t xml:space="preserve">Interest : To residents other than general government </t>
  </si>
  <si>
    <t xml:space="preserve">Interest : To other general government units </t>
  </si>
  <si>
    <t>Subsidies [251 + 252]</t>
  </si>
  <si>
    <t>Subsidies: To public corporations [2511 + 2512]</t>
  </si>
  <si>
    <t>Subsidies: To private enterprises [2521 + 2522]</t>
  </si>
  <si>
    <t>Grants [262 + 262 + 263]</t>
  </si>
  <si>
    <t>To foreign governments [2611 + 2612]</t>
  </si>
  <si>
    <t xml:space="preserve">To foreign governments :  Current </t>
  </si>
  <si>
    <t xml:space="preserve">To foreign governments :  Capital </t>
  </si>
  <si>
    <t>To international organizations  [2621 + 2622]</t>
  </si>
  <si>
    <t xml:space="preserve">To international organizations : Current </t>
  </si>
  <si>
    <t xml:space="preserve">To international organizations : Capital </t>
  </si>
  <si>
    <t>To other general government units [2631 + 2632]</t>
  </si>
  <si>
    <t xml:space="preserve">To other general government units: Current </t>
  </si>
  <si>
    <t xml:space="preserve">To other general government units: Capital </t>
  </si>
  <si>
    <t>Social benefits [271 + 272 + 273]</t>
  </si>
  <si>
    <t>Social benefits: Social security benefits [2711 + 2712]</t>
  </si>
  <si>
    <t>Social benefits: Social assistance benefits [2721 + 2722]</t>
  </si>
  <si>
    <t>Social benefits: Employer social benefits [2731 + 2732]</t>
  </si>
  <si>
    <t>Other expense [281 + 282]</t>
  </si>
  <si>
    <t>Other expense:  Property expense other than interest [2811 +2812 +2813+ 2814]</t>
  </si>
  <si>
    <t>Other expense:  Property expense other than interest: Dividends (public corporations only)</t>
  </si>
  <si>
    <t>Other expense:  Property expense other than interest: Withdrawals from income of quasi-corp. (public corp. only)</t>
  </si>
  <si>
    <t>Other expense:  Property expense other than interest: Property expense for investment income disbursements</t>
  </si>
  <si>
    <t>Other expense:  Property expense other than interest: Rent</t>
  </si>
  <si>
    <t>Other expense: Property expense other than interest: Reinvested earnings on FDI</t>
  </si>
  <si>
    <t>Other expense:  Transfers not elsewhere classified [2821 + 2822]</t>
  </si>
  <si>
    <t xml:space="preserve">Other expense:  Transfers not elsewhere classified:  Current </t>
  </si>
  <si>
    <t xml:space="preserve">Other expense:  Transfers not elsewhere classified:  Capital </t>
  </si>
  <si>
    <t>Other Expense: Premiums, fees, and claims related to nonlife insurance and standardized guarantee schemes</t>
  </si>
  <si>
    <t xml:space="preserve">Other Expense: Premiums, fees, and current claims </t>
  </si>
  <si>
    <t>Other Expense: Premiums, fees, and current claims: Premiums</t>
  </si>
  <si>
    <t>Other Expense: Premiums, fees, and current claims: Fees for standardized guarantee schemes</t>
  </si>
  <si>
    <t>Other Expense: Premiums, fees, and current claims: Current claims</t>
  </si>
  <si>
    <t>Other Expense: Premiums, fees, and claims: Capital claims</t>
  </si>
  <si>
    <t>CHANGE IN NET WORTH: TRANSACTIONS [31 + 32 - 33]</t>
  </si>
  <si>
    <t>Transactions - Net acquisition of nonfinancial assets [311 + 312 + 313 + 314]</t>
  </si>
  <si>
    <t>Transactions - Fixed assets [311A - 311B - 311C] OR [3111 + 3112 + 3113 + 3114]</t>
  </si>
  <si>
    <t>311A</t>
  </si>
  <si>
    <t>Transactions - Acquisitions: fixed assets [3111A + 3112A + 3113A]</t>
  </si>
  <si>
    <t>311B</t>
  </si>
  <si>
    <t>Transactions - Disposals: fixed assets [3111B + 3112B + 3113B]</t>
  </si>
  <si>
    <t>311C</t>
  </si>
  <si>
    <t>Transactions - Consumption of fixed capital (CFC): fixed assets [3111C + 3112C + 3113C]</t>
  </si>
  <si>
    <t>Transactions - Fixed assets: Buildings and structures [3111A - 3111B - 3111C]</t>
  </si>
  <si>
    <t>3111A</t>
  </si>
  <si>
    <t xml:space="preserve">Transactions - Acquisitions: buildings and structures </t>
  </si>
  <si>
    <t>3111B</t>
  </si>
  <si>
    <t xml:space="preserve">Transactions - Disposals: buildings and structures </t>
  </si>
  <si>
    <t>3111C</t>
  </si>
  <si>
    <t xml:space="preserve">Transactions - CFC: buildings and structures </t>
  </si>
  <si>
    <t>Transactions - Fixed assets:  Machinery and equipment</t>
  </si>
  <si>
    <t>3112A</t>
  </si>
  <si>
    <t xml:space="preserve">Transactions - Acquisitions: machinery and equipment </t>
  </si>
  <si>
    <t>3112B</t>
  </si>
  <si>
    <t xml:space="preserve">Transactions - Disposals: machinery and equipment </t>
  </si>
  <si>
    <t>3112C</t>
  </si>
  <si>
    <t xml:space="preserve">Transactions - CFC: machinery and equipment </t>
  </si>
  <si>
    <t>Transactions - Fixed assets:  Other fixed assets  [3113A - 3113B - 3113C]</t>
  </si>
  <si>
    <t>3113A</t>
  </si>
  <si>
    <t xml:space="preserve">Transactions - Acquisitions: other fixed assets </t>
  </si>
  <si>
    <t>3113B</t>
  </si>
  <si>
    <t xml:space="preserve">Transactions - Disposals: other fixed assets </t>
  </si>
  <si>
    <t>3113C</t>
  </si>
  <si>
    <t xml:space="preserve">Transactions - CFC: other fixed assets </t>
  </si>
  <si>
    <t>Transactions - Fixed assets:  Weapons systems</t>
  </si>
  <si>
    <t>3114A</t>
  </si>
  <si>
    <t>Transactions - Acquisitions: other fixed assets: Weapons systems</t>
  </si>
  <si>
    <t>3114B</t>
  </si>
  <si>
    <t>Transactions - Disposals: other fixed assets:  Weapons systems</t>
  </si>
  <si>
    <t>3114C</t>
  </si>
  <si>
    <t>Transactions - CFC: other fixed assets:  Weapons systems</t>
  </si>
  <si>
    <t xml:space="preserve">Transactions - Inventories </t>
  </si>
  <si>
    <t>312A</t>
  </si>
  <si>
    <t>Transactions - Acquisition: Inventories</t>
  </si>
  <si>
    <t>312B</t>
  </si>
  <si>
    <t>Transactions - Disposals: Inventories</t>
  </si>
  <si>
    <t>Transactions - Valuables [313A - 313B]</t>
  </si>
  <si>
    <t>313A</t>
  </si>
  <si>
    <t xml:space="preserve">Transactions - Acquisitions: valuables </t>
  </si>
  <si>
    <t>313B</t>
  </si>
  <si>
    <t xml:space="preserve">Transactions - Disposals: valuables </t>
  </si>
  <si>
    <t>Transactions - Nonproduced assets [314A - 314B - 314C]</t>
  </si>
  <si>
    <t>314A</t>
  </si>
  <si>
    <t>Transactions - Acquisitions: nonproduced assets [3141A + 3142A + 3143A + 3144A]</t>
  </si>
  <si>
    <t>314B</t>
  </si>
  <si>
    <t>Transactions - Disposals: nonproduced assets [3141B + 3142B + 3143B + 3144B]</t>
  </si>
  <si>
    <t>Transactions - Nonproduced assets: Land  [3141A -3141B - 3141C]</t>
  </si>
  <si>
    <t>3141A</t>
  </si>
  <si>
    <t xml:space="preserve">Transactions - Acquisitions: land </t>
  </si>
  <si>
    <t>3141B</t>
  </si>
  <si>
    <t xml:space="preserve">Transactions - Disposals: land </t>
  </si>
  <si>
    <t>Transactions - Nonproduced assets: Mineral and energy resources [3142A - 3142B - 3142C]</t>
  </si>
  <si>
    <t>3142A</t>
  </si>
  <si>
    <t>Transactions - Acquisitions: Mineral and energy resources</t>
  </si>
  <si>
    <t>3142B</t>
  </si>
  <si>
    <t xml:space="preserve">Transactions - Disposals: Mineral and energy resources </t>
  </si>
  <si>
    <t>Transactions - Nonproduced assets: Other naturally occurring assets  [3143A - 3143B]</t>
  </si>
  <si>
    <t>3143A</t>
  </si>
  <si>
    <t xml:space="preserve">Transactions - Acquisitions: other naturally occurring assets </t>
  </si>
  <si>
    <t>3143B</t>
  </si>
  <si>
    <t xml:space="preserve">Transactions - Disposals: other naturally occurring assets </t>
  </si>
  <si>
    <t>Transactions - Nonproduced assets: Intangible nonproduced assets  [3144A - 3144B]</t>
  </si>
  <si>
    <t>3144A</t>
  </si>
  <si>
    <t xml:space="preserve">Transactions - Acquisitions: intangible nonproduced assets </t>
  </si>
  <si>
    <t>3144B</t>
  </si>
  <si>
    <t xml:space="preserve">Transactions - Disposals: intangible nonproduced assets </t>
  </si>
  <si>
    <t>Transactions - Net acquisition of financial assets [3202 + 3203 + 3204 + 3205 + 3206 + 3207 + 3208]</t>
  </si>
  <si>
    <t>32A</t>
  </si>
  <si>
    <t xml:space="preserve">Transactions - Disbursements: Net acquisition of financial assets </t>
  </si>
  <si>
    <t>32B</t>
  </si>
  <si>
    <t xml:space="preserve">Transactions - Repayments: Net acquisition of financial assets </t>
  </si>
  <si>
    <t>Transactions - Net acquisition of financial assets :  Monetary gold and SDRs</t>
  </si>
  <si>
    <t xml:space="preserve">Transactions - Net acquisition of financial assets :  Currency and deposits [3212+3222] </t>
  </si>
  <si>
    <t>3202A</t>
  </si>
  <si>
    <t xml:space="preserve">Transactions - Disbursements: Net acquisition of financial assets :  Currency and deposits  </t>
  </si>
  <si>
    <t>3202B</t>
  </si>
  <si>
    <t xml:space="preserve">Transactions - Repayments: Net acquisition of financial assets :  Currency and deposits  </t>
  </si>
  <si>
    <t xml:space="preserve">Transactions - Net acquisition of financial assets :  Debt Securities [3213+3223] </t>
  </si>
  <si>
    <t>3203A</t>
  </si>
  <si>
    <t xml:space="preserve">Transactions - Disbursements: Net acquisition of financial assets :  Debt Securities  </t>
  </si>
  <si>
    <t>3203B</t>
  </si>
  <si>
    <t xml:space="preserve">Transactions - Repayments: Net acquisition of financial assets :  Debt Securities  </t>
  </si>
  <si>
    <t xml:space="preserve">Transactions - Net acquisition of financial assets :  Loans [3214+3224] </t>
  </si>
  <si>
    <t>3204A</t>
  </si>
  <si>
    <t xml:space="preserve">Transactions - Disbursements: Net acquisition of financial assets :  Loans  </t>
  </si>
  <si>
    <t>3204B</t>
  </si>
  <si>
    <t xml:space="preserve">Transactions - Repayments: Net acquisition of financial assets :  Loans  </t>
  </si>
  <si>
    <t xml:space="preserve">Transactions - Net acquisition of financial assets :  Equity and investment fund shares [3215+3225] </t>
  </si>
  <si>
    <t>3205A</t>
  </si>
  <si>
    <t xml:space="preserve">Transactions - Disbursements: Net acquisition of financial assets :  Equity and investment fund shares  </t>
  </si>
  <si>
    <t>3205B</t>
  </si>
  <si>
    <t xml:space="preserve">Transactions - Repayments: Net acquisition of financial assets :  Equity and investment fund shares  </t>
  </si>
  <si>
    <t xml:space="preserve">Transactions - Net acquisition of financial assets :  Insurance, pension, and standardized guarantee schemes  [3216+3226] </t>
  </si>
  <si>
    <t>3206A</t>
  </si>
  <si>
    <t xml:space="preserve">Transactions - Disbursements: Net acquisition of financial assets :  Insurance, pension, and standardized guarantee schemes   </t>
  </si>
  <si>
    <t>3206B</t>
  </si>
  <si>
    <t xml:space="preserve">Transactions - Repayments: Net acquisition of financial assets :  Insurance, pension, and standardized guarantee schemes   </t>
  </si>
  <si>
    <t xml:space="preserve">Transactions - Net acquisition of financial assets :  Financial derivatives and employee stock options [3217+3227] </t>
  </si>
  <si>
    <t>3207A</t>
  </si>
  <si>
    <t>Transactions - Disbursements: Net acquisition of financial assets :  Financial derivatives and employee stock options</t>
  </si>
  <si>
    <t>3207B</t>
  </si>
  <si>
    <t>Transactions - Repayments: Net acquisition of financial assets :  Financial derivatives and employee stock options</t>
  </si>
  <si>
    <t xml:space="preserve">Transactions - Net acquisition of financial assets :  Other accounts receivable [3218+3228] </t>
  </si>
  <si>
    <t>3208A</t>
  </si>
  <si>
    <t xml:space="preserve">Transactions - Disbursements: Net acquisition of financial assets :  Other accounts receivable  </t>
  </si>
  <si>
    <t>3208B</t>
  </si>
  <si>
    <t xml:space="preserve">Transactions - Repayments: Net acquisition of financial assets :  Other accounts receivable  </t>
  </si>
  <si>
    <t>Transactions - Net acquisition of financial assets :  Domestic [3212 + 3213 + 3214 + 3215 + 3216 + 3217 + 3218]</t>
  </si>
  <si>
    <t>321A</t>
  </si>
  <si>
    <t xml:space="preserve">Transactions - Disbursements: Net acquisition of financial assets :  Domestic </t>
  </si>
  <si>
    <t>321B</t>
  </si>
  <si>
    <t xml:space="preserve">Transactions - Repayments: Net acquisition of financial assets :  Domestic </t>
  </si>
  <si>
    <t xml:space="preserve">Transactions - Net acquisition of financial assets :  Domestic - Currency and deposits </t>
  </si>
  <si>
    <t>3212A</t>
  </si>
  <si>
    <t xml:space="preserve">Transactions - Disbursements: Net acquisition of financial assets :  Domestic - Currency and deposits </t>
  </si>
  <si>
    <t>3212B</t>
  </si>
  <si>
    <t xml:space="preserve">Transactions - Repayments: Net acquisition of financial assets :  Domestic - Currency and deposits </t>
  </si>
  <si>
    <t xml:space="preserve">Transactions - Net acquisition of financial assets :  Domestic - Debt Securities </t>
  </si>
  <si>
    <t>3213A</t>
  </si>
  <si>
    <t xml:space="preserve">Transactions - Disbursements: Net acquisition of financial assets :  Domestic - Debt Securities  </t>
  </si>
  <si>
    <t>3213B</t>
  </si>
  <si>
    <t>Transactions - Repayments: Net acquisition of financial assets :  Domestic - Debt Securities</t>
  </si>
  <si>
    <t xml:space="preserve">Transactions - Net acquisition of financial assets :  Domestic - Loans </t>
  </si>
  <si>
    <t>3214A</t>
  </si>
  <si>
    <t xml:space="preserve">Transactions - Disbursements: Net acquisition of financial assets :  Domestic - Loans </t>
  </si>
  <si>
    <t>3214B</t>
  </si>
  <si>
    <t xml:space="preserve">Transactions - Repayments: Net acquisition of financial assets :  Domestic - Loans </t>
  </si>
  <si>
    <t xml:space="preserve">Transactions - Net acquisition of financial assets :  Domestic - Equity and investment fund shares </t>
  </si>
  <si>
    <t>3215A</t>
  </si>
  <si>
    <t xml:space="preserve">Transactions - Disbursements: Net acquisition of financial assets :  Domestic - Equity and investment fund shares </t>
  </si>
  <si>
    <t>3215B</t>
  </si>
  <si>
    <t xml:space="preserve">Transactions - Repayments: Net acquisition of financial assets :  Domestic - Equity and investment fund shares </t>
  </si>
  <si>
    <t xml:space="preserve">Transactions - Net acquisition of financial assets :  Domestic - Insurance, pension, and standardized guarantee schemes  </t>
  </si>
  <si>
    <t>3216A</t>
  </si>
  <si>
    <t xml:space="preserve">Transactions - Disbursements: Net acquisition of financial assets :  Domestic - Insurance, pension, and standardized guarantee schemes  </t>
  </si>
  <si>
    <t>3216B</t>
  </si>
  <si>
    <t xml:space="preserve">Transactions - Repayments: Net acquisition of financial assets :  Domestic - Insurance, pension, and standardized guarantee schemes </t>
  </si>
  <si>
    <t>Transactions - Net acquisition of financial assets :  Domestic - Financial derivatives and employee stock options</t>
  </si>
  <si>
    <t>3217A</t>
  </si>
  <si>
    <t>Transactions - Disbursements: Net acquisition of financial assets :  Domestic - Financial derivatives and employee stock options</t>
  </si>
  <si>
    <t>3217B</t>
  </si>
  <si>
    <t>Transactions - Repayments: Net acquisition of financial assets :  Domestic - Financial derivatives and employee stock options</t>
  </si>
  <si>
    <t xml:space="preserve">Transactions - Net acquisition of financial assets :  Domestic - Other accounts receivable </t>
  </si>
  <si>
    <t>3218A</t>
  </si>
  <si>
    <t xml:space="preserve">Transactions - Disbursements: Net acquisition of financial assets :  Domestic - Other accounts receivable </t>
  </si>
  <si>
    <t>3218B</t>
  </si>
  <si>
    <t xml:space="preserve">Transactions - Repayments: Net acquisition of financial assets :  Domestic - Other accounts receivable </t>
  </si>
  <si>
    <t>Transactions - Net acquisition of financial assets :  Foreign [3222 + 3223 + 3224 + 3225 + 3226 + 3227 + 3228]</t>
  </si>
  <si>
    <t>322A</t>
  </si>
  <si>
    <t xml:space="preserve">Transactions - Disbursements: Net acquisition of financial assets :  Foreign </t>
  </si>
  <si>
    <t>322B</t>
  </si>
  <si>
    <t xml:space="preserve">Transactions - Repayments: Net acquisition of financial assets :  Foreign </t>
  </si>
  <si>
    <t>Transactions - Net acquisition of financial assets :  Foreign - Monetary gold and SDRs</t>
  </si>
  <si>
    <t xml:space="preserve">Transactions - Net acquisition of financial assets :  Foreign - Currency and deposits </t>
  </si>
  <si>
    <t>3222A</t>
  </si>
  <si>
    <t xml:space="preserve">Transactions - Disbursements: Net acquisition of financial assets :  Foreign - Currency and deposits </t>
  </si>
  <si>
    <t>3222B</t>
  </si>
  <si>
    <t xml:space="preserve">Transactions - Repayments: Net acquisition of financial assets :  Foreign - Currency and deposits </t>
  </si>
  <si>
    <t>Transactions - Net acquisition of financial assets :  Foreign - Debt Securities</t>
  </si>
  <si>
    <t>3223A</t>
  </si>
  <si>
    <t xml:space="preserve">Transactions - Disbursements: Net acquisition of financial assets :  Foreign - Debt Securities </t>
  </si>
  <si>
    <t>3223B</t>
  </si>
  <si>
    <t>Transactions - Repayments: Net acquisition of financial assets :  Foreign - Debt Securities</t>
  </si>
  <si>
    <t xml:space="preserve">Transactions - Net acquisition of financial assets :  Foreign - Loans </t>
  </si>
  <si>
    <t>3224A</t>
  </si>
  <si>
    <t xml:space="preserve">Transactions - Disbursements: Net acquisition of financial assets :  Foreign - Loans </t>
  </si>
  <si>
    <t>3224B</t>
  </si>
  <si>
    <t xml:space="preserve">Transactions - Repayments: Net acquisition of financial assets :  Foreign - Loans </t>
  </si>
  <si>
    <t>Transactions - Net acquisition of financial assets :  Foreign - Equity and investment fund shares</t>
  </si>
  <si>
    <t>3225A</t>
  </si>
  <si>
    <t>Transactions - Disbursements: Net acquisition of financial assets :  Foreign - Equity and investment fund shares</t>
  </si>
  <si>
    <t>3225B</t>
  </si>
  <si>
    <t xml:space="preserve">Transactions - Repayments: Net acquisition of financial assets :  Foreign - Equity and investment fund shares </t>
  </si>
  <si>
    <t xml:space="preserve">Transactions - Net acquisition of financial assets :  Foreign - Insurance, pension, and standardized guarantee schemes </t>
  </si>
  <si>
    <t>3226A</t>
  </si>
  <si>
    <t xml:space="preserve">Transactions - Disbursements: Net acquisition of financial assets :  Foreign - Insurance, pension, and standardized guarantee schemes </t>
  </si>
  <si>
    <t>3226B</t>
  </si>
  <si>
    <t xml:space="preserve">Transactions - Repayments: Net acquisition of financial assets :  Foreign - Insurance, pension, and standardized guarantee schemes </t>
  </si>
  <si>
    <t xml:space="preserve">Transactions - Net acquisition of financial assets :  Foreign - Financial derivatives and employee stock options </t>
  </si>
  <si>
    <t>3227A</t>
  </si>
  <si>
    <t>Transactions - Disbursements: Net acquisition of financial assets :  Foreign - Financial derivatives and employee stock options</t>
  </si>
  <si>
    <t>3227B</t>
  </si>
  <si>
    <t>Transactions - Repayments: Net acquisition of financial assets :  Foreign - Financial derivatives and employee stock options</t>
  </si>
  <si>
    <t xml:space="preserve">Transactions - Net acquisition of financial assets :  Foreign - Other accounts receivable </t>
  </si>
  <si>
    <t>3228A</t>
  </si>
  <si>
    <t xml:space="preserve">Transactions - Disbursements: Net acquisition of financial assets :  Foreign - Other accounts receivable </t>
  </si>
  <si>
    <t>3228B</t>
  </si>
  <si>
    <t xml:space="preserve">Transactions - Repayments: Net acquisition of financial assets :  Foreign - Other accounts receivable </t>
  </si>
  <si>
    <t>Transactions - Net incurrence of liabilities [3322 + 3323 + 3324 + 3325 + 3326 + 3327 + 3328]</t>
  </si>
  <si>
    <t>33A</t>
  </si>
  <si>
    <t xml:space="preserve">Transactions - Disbursements: Net incurrence of liabilities </t>
  </si>
  <si>
    <t>33B</t>
  </si>
  <si>
    <t xml:space="preserve">Transactions - Repayments: Net incurrence of liabilities </t>
  </si>
  <si>
    <t>Transactions - Special Drawing Rights (SDRs)</t>
  </si>
  <si>
    <t xml:space="preserve">Transactions - Net incurrence of liabilities: Currency and deposits [3312+3322] </t>
  </si>
  <si>
    <t>3302A</t>
  </si>
  <si>
    <t xml:space="preserve">Transactions - Disbursements: Net incurrence of liabilities: Currency and deposits  </t>
  </si>
  <si>
    <t>3302B</t>
  </si>
  <si>
    <t xml:space="preserve">Transactions - Repayments: Net incurrence of liabilities: Currency and deposits  </t>
  </si>
  <si>
    <t xml:space="preserve">Transactions - Net incurrence of liabilities: Debt Securities [3313+3323] </t>
  </si>
  <si>
    <t>3303A</t>
  </si>
  <si>
    <t xml:space="preserve">Transactions - Disbursements: Net incurrence of liabilities: Debt Securities </t>
  </si>
  <si>
    <t>3303B</t>
  </si>
  <si>
    <t xml:space="preserve">Transactions - Repayments: Net incurrence of liabilities: Debt Securities </t>
  </si>
  <si>
    <t xml:space="preserve">Transactions - Net incurrence of liabilities: Loans [3314+3324] </t>
  </si>
  <si>
    <t>3304A</t>
  </si>
  <si>
    <t xml:space="preserve">Transactions - Disbursements: Net incurrence of liabilities: Loans  </t>
  </si>
  <si>
    <t>3304B</t>
  </si>
  <si>
    <t xml:space="preserve">Transactions - Repayments: Net incurrence of liabilities: Loans  </t>
  </si>
  <si>
    <t xml:space="preserve">Transactions - Net incurrence of liabilities: Equity and investment fund shares [3315+3325] </t>
  </si>
  <si>
    <t>3305A</t>
  </si>
  <si>
    <t xml:space="preserve">Transactions - Disbursements: Net incurrence of liabilities: Equity and investment fund shares  </t>
  </si>
  <si>
    <t>3305B</t>
  </si>
  <si>
    <t xml:space="preserve">Transactions - Repayments: Net incurrence of liabilities: Equity and investment fund shares </t>
  </si>
  <si>
    <t xml:space="preserve">Transactions - Net incurrence of liabilities: Insurance, pension, and standardized guarantee schemes  [3316+3326] </t>
  </si>
  <si>
    <t>3306A</t>
  </si>
  <si>
    <t xml:space="preserve">Transactions - Disbursements: Net incurrence of liabilities: Insurance, pension, and standardized guarantee schemes   </t>
  </si>
  <si>
    <t>3306B</t>
  </si>
  <si>
    <t xml:space="preserve">Transactions - Repayments: Net incurrence of liabilities: Insurance, pension, and standardized guarantee schemes  </t>
  </si>
  <si>
    <t xml:space="preserve">Transactions - Net incurrence of liabilities: Financial derivatives and employee stock options [3317+3327] </t>
  </si>
  <si>
    <t>3307A</t>
  </si>
  <si>
    <t>Transactions - Disbursements: Net incurrence of liabilities: Financial derivatives and employee stock options</t>
  </si>
  <si>
    <t>3307B</t>
  </si>
  <si>
    <t>Transactions - Repayments: Net incurrence of liabilities: Financial derivatives and employee stock options</t>
  </si>
  <si>
    <t xml:space="preserve">Transactions - Net incurrence of liabilities: Other accounts payable [3318+3328] </t>
  </si>
  <si>
    <t>3308A</t>
  </si>
  <si>
    <t xml:space="preserve">Transactions - Disbursements: Net incurrence of liabilities: Other accounts payable  </t>
  </si>
  <si>
    <t>3308B</t>
  </si>
  <si>
    <t xml:space="preserve">Transactions - Repayments: Net incurrence of liabilities: Other accounts payable  </t>
  </si>
  <si>
    <t>Transactions - Net incurrence of liabilities: Domestic [3313 + 3313 + 3314 + 3315 + 3316 + 3317 + 3318]</t>
  </si>
  <si>
    <t>331A</t>
  </si>
  <si>
    <t xml:space="preserve">Transactions - Disbursements: Net incurrence of liabilities: Domestic </t>
  </si>
  <si>
    <t>331B</t>
  </si>
  <si>
    <t xml:space="preserve">Transactions - Repayments: Net incurrence of liabilities: Domestic </t>
  </si>
  <si>
    <t xml:space="preserve">Transactions - Net incurrence of liabilities: Domestic - Currency and deposits </t>
  </si>
  <si>
    <t>3312A</t>
  </si>
  <si>
    <t xml:space="preserve">Transactions - Disbursements: Net incurrence of liabilities: Domestic - Currency and deposits </t>
  </si>
  <si>
    <t>3312B</t>
  </si>
  <si>
    <t xml:space="preserve">Transactions - Repayments: Net incurrence of liabilities: Domestic - Currency and deposits </t>
  </si>
  <si>
    <t>Transactions - Net incurrence of liabilities: Domestic - Debt Securities</t>
  </si>
  <si>
    <t>3313A</t>
  </si>
  <si>
    <t>Transactions - Disbursements: Net incurrence of liabilities: Domestic - Debt Securities</t>
  </si>
  <si>
    <t>3313B</t>
  </si>
  <si>
    <t xml:space="preserve">Transactions - Repayments: Net incurrence of liabilities: Domestic - Debt Securities </t>
  </si>
  <si>
    <t xml:space="preserve">Transactions - Net incurrence of liabilities: Domestic - Loans </t>
  </si>
  <si>
    <t>3314A</t>
  </si>
  <si>
    <t xml:space="preserve">Transactions - Disbursements: Net incurrence of liabilities: Domestic - Loans </t>
  </si>
  <si>
    <t>3314B</t>
  </si>
  <si>
    <t xml:space="preserve">Transactions - Repayments: Net incurrence of liabilities: Domestic - Loans </t>
  </si>
  <si>
    <t xml:space="preserve">Transactions - Net incurrence of liabilities: Domestic - Equity and investment fund shares </t>
  </si>
  <si>
    <t>3315A</t>
  </si>
  <si>
    <t>Transactions - Disbursements: Net incurrence of liabilities: Domestic - Equity and investment fund shares</t>
  </si>
  <si>
    <t>3315B</t>
  </si>
  <si>
    <t>Transactions - Repayments: Net incurrence of liabilities: Domestic - Equity and investment fund shares</t>
  </si>
  <si>
    <t xml:space="preserve">Transactions - Net incurrence of liabilities: Domestic - Insurance, pension, and standardized guarantee schemes </t>
  </si>
  <si>
    <t>3316A</t>
  </si>
  <si>
    <t xml:space="preserve">Transactions - Disbursements: Net incurrence of liabilities: Domestic - Insurance, pension, and standardized guarantee schemes </t>
  </si>
  <si>
    <t>3316B</t>
  </si>
  <si>
    <t xml:space="preserve">Transactions - Repayments: Net incurrence of liabilities: Domestic - Insurance, pension, and standardized guarantee schemes </t>
  </si>
  <si>
    <t>Transactions - Net incurrence of liabilities: Domestic - Financial derivatives and employee stock options</t>
  </si>
  <si>
    <t>3317A</t>
  </si>
  <si>
    <t>Transactions - Disbursements: Net incurrence of liabilities: Domestic - Financial derivatives and employee stock options</t>
  </si>
  <si>
    <t>3317B</t>
  </si>
  <si>
    <t>Transactions - Repayments: Net incurrence of liabilities: Domestic - Financial derivatives and employee stock options</t>
  </si>
  <si>
    <t xml:space="preserve">Transactions - Net incurrence of liabilities: Domestic - Other accounts payable </t>
  </si>
  <si>
    <t>3318A</t>
  </si>
  <si>
    <t xml:space="preserve">Transactions - Disbursements: Net incurrence of liabilities: Domestic - Other accounts payable </t>
  </si>
  <si>
    <t>3318B</t>
  </si>
  <si>
    <t xml:space="preserve">Transactions - Repayments: Net incurrence of liabilities: Domestic - Other accounts payable </t>
  </si>
  <si>
    <t>Transactions - Net incurrence of liabilities: Foreign [3322 + 3323 + 3324 + 3325 + 3326 +3327 +3328]</t>
  </si>
  <si>
    <t>332A</t>
  </si>
  <si>
    <t xml:space="preserve">Transactions - Disbursements: Net incurrence of liabilities: Foreign </t>
  </si>
  <si>
    <t>332B</t>
  </si>
  <si>
    <t xml:space="preserve">Transactions - Repayments: Net incurrence of liabilities: Foreign </t>
  </si>
  <si>
    <t>Transactions - Net incurrence of liabilities: Foreign  - Special Drawing Rights (SDRs)</t>
  </si>
  <si>
    <t xml:space="preserve">Transactions - Net incurrence of liabilities: Foreign  - Currency and deposits </t>
  </si>
  <si>
    <t>3322A</t>
  </si>
  <si>
    <t xml:space="preserve">Transactions - Disbursements: Net incurrence of liabilities: Foreign  - Currency and deposits </t>
  </si>
  <si>
    <t>3322B</t>
  </si>
  <si>
    <t xml:space="preserve">Transactions - Repayments: Net incurrence of liabilities: Foreign  - Currency and deposits </t>
  </si>
  <si>
    <t xml:space="preserve">Transactions - Net incurrence of liabilities: Foreign  - Debt Securities </t>
  </si>
  <si>
    <t>3323A</t>
  </si>
  <si>
    <t xml:space="preserve">Transactions - Disbursements: Net incurrence of liabilities: Foreign  - Debt Securities </t>
  </si>
  <si>
    <t>3323B</t>
  </si>
  <si>
    <t>Transactions - Repayments: Net incurrence of liabilities: Foreign  - Debt Securities</t>
  </si>
  <si>
    <t xml:space="preserve">Transactions - Net incurrence of liabilities: Foreign  - Loans </t>
  </si>
  <si>
    <t>3324A</t>
  </si>
  <si>
    <t xml:space="preserve">Transactions - Disbursements: Net incurrence of liabilities: Foreign  - Loans </t>
  </si>
  <si>
    <t>3324B</t>
  </si>
  <si>
    <t xml:space="preserve">Transactions - Repayments: Net incurrence of liabilities: Foreign  - Loans </t>
  </si>
  <si>
    <t>Transactions - Net incurrence of liabilities: Foreign  - Equity and investment fund shares</t>
  </si>
  <si>
    <t>3325A</t>
  </si>
  <si>
    <t xml:space="preserve">Transactions - Disbursements: Net incurrence of liabilities: Foreign  - Equity and investment fund shares </t>
  </si>
  <si>
    <t>3325B</t>
  </si>
  <si>
    <t xml:space="preserve">Transactions - Repayments: Net incurrence of liabilities: Foreign  - Equity and investment fund shares </t>
  </si>
  <si>
    <t xml:space="preserve">Transactions - Net incurrence of liabilities: Foreign  - Insurance, pension, and standardized guarantee schemes </t>
  </si>
  <si>
    <t>3326A</t>
  </si>
  <si>
    <t xml:space="preserve">Transactions - Disbursements: Net incurrence of liabilities: Foreign  - Insurance, pension, and standardized guarantee schemes </t>
  </si>
  <si>
    <t>3326B</t>
  </si>
  <si>
    <t xml:space="preserve">Transactions - Repayments: Net incurrence of liabilities: Foreign  - Insurance, pension, and standardized guarantee schemes </t>
  </si>
  <si>
    <t>Transactions - Net incurrence of liabilities: Foreign  - Financial derivatives and employee stock options</t>
  </si>
  <si>
    <t>3327A</t>
  </si>
  <si>
    <t>Transactions - Disbursements: Net incurrence of liabilities: Foreign  - Financial derivatives and employee stock options</t>
  </si>
  <si>
    <t>3327B</t>
  </si>
  <si>
    <t>Transactions - Repayments: Net incurrence of liabilities: Foreign  - Financial derivatives and employee stock options</t>
  </si>
  <si>
    <t xml:space="preserve">Transactions - Net incurrence of liabilities: Foreign  - Other accounts payable </t>
  </si>
  <si>
    <t>3328A</t>
  </si>
  <si>
    <t xml:space="preserve">Transactions - Disbursements: Net incurrence of liabilities: Foreign  - Other accounts payable </t>
  </si>
  <si>
    <t>3328B</t>
  </si>
  <si>
    <t xml:space="preserve">Transactions - Repayments: Net incurrence of liabilities: Foreign  - Other accounts payable </t>
  </si>
  <si>
    <t>GB</t>
  </si>
  <si>
    <t>Government Balance per national definition</t>
  </si>
  <si>
    <t>3M1</t>
  </si>
  <si>
    <t>Transactions - Memo Item: Own-account capital formation</t>
  </si>
  <si>
    <t>3M11</t>
  </si>
  <si>
    <t>Transactions - Memo Item: Own-account capital formation: Compensation of employees</t>
  </si>
  <si>
    <t>3M12</t>
  </si>
  <si>
    <t>Transactions - Memo Item: Own-account capital formation: Use of goods and services</t>
  </si>
  <si>
    <t>3M13</t>
  </si>
  <si>
    <t>Transactions - Memo Item: Own-account capital formation: Consumption of fixed capital</t>
  </si>
  <si>
    <t>3M14</t>
  </si>
  <si>
    <t>Transactions - Memo Item: Own-account capital formation: Other taxes minus other subsidies (on production)</t>
  </si>
  <si>
    <t>3M3</t>
  </si>
  <si>
    <t>Transactions - Memo Item: Debt at market value</t>
  </si>
  <si>
    <t>CHANGE IN NET WORTH: HOLDING GAINS [41 + 42 - 43]</t>
  </si>
  <si>
    <t>Holding Gains- Nonfinancial assets [411 + 412 + 413 + 414]</t>
  </si>
  <si>
    <t>Holding Gains- Nonfinancial assets:  Fixed assets [4111 + 4112 + 4113]</t>
  </si>
  <si>
    <t xml:space="preserve">Holding Gains- Nonfinancial assets:  Fixed assets:  Buildings and structures </t>
  </si>
  <si>
    <t xml:space="preserve">Holding Gains- Nonfinancial assets:  Fixed assets:  Machinery and equipment </t>
  </si>
  <si>
    <t xml:space="preserve">Holding Gains- Nonfinancial assets:  Fixed assets:  Other fixed assets </t>
  </si>
  <si>
    <t>Holding Gains - Nonfinancial assets : Fixed assets:  Weapons systems</t>
  </si>
  <si>
    <t xml:space="preserve">Holding Gains- Nonfinancial assets:  Inventories </t>
  </si>
  <si>
    <t xml:space="preserve">Holding Gains- Nonfinancial assets:  Valuables </t>
  </si>
  <si>
    <t>Holding Gains- Nonfinancial assets:  Nonproduced assets [4141 + 4142 + 4143 + 4144]</t>
  </si>
  <si>
    <t xml:space="preserve">Holding Gains- Nonfinancial assets:  Nonproduced assets:  Land </t>
  </si>
  <si>
    <t xml:space="preserve">Holding Gains- Nonfinancial assets:  Nonproduced assets:  Mineral and energy resources </t>
  </si>
  <si>
    <t xml:space="preserve">Holding Gains- Nonfinancial assets:  Nonproduced assets:  Other naturally occurring assets </t>
  </si>
  <si>
    <t xml:space="preserve">Holding Gains- Nonfinancial assets:  Nonproduced assets:  Intangible nonproduced assets </t>
  </si>
  <si>
    <t xml:space="preserve">Holding Gains- Financial assets [421+422+423] </t>
  </si>
  <si>
    <t xml:space="preserve">Holding Gains- Financial assets:  Monetary gold and SDRs </t>
  </si>
  <si>
    <t xml:space="preserve">Holding Gains- Financial assets:  Currency and deposits [4212+4222] </t>
  </si>
  <si>
    <t xml:space="preserve">Holding Gains- Financial assets:  Debt Securities  [4213+4223] </t>
  </si>
  <si>
    <t xml:space="preserve">Holding Gains- Financial assets:  Loans [4214+4224] </t>
  </si>
  <si>
    <t xml:space="preserve">Holding Gains- Financial assets:  Equity and investment fund shares [4215+4225] </t>
  </si>
  <si>
    <t xml:space="preserve">Holding Gains- Financial assets:   Insurance, pension, and standardized guarantee schemes  [4216+4226] </t>
  </si>
  <si>
    <t xml:space="preserve">Holding Gains- Financial assets:  Financial derivatives and employee stock options [4217+4227] </t>
  </si>
  <si>
    <t xml:space="preserve">Holding Gains- Financial assets:  Other accounts receivable [4218+4228] </t>
  </si>
  <si>
    <t>Holding Gains- Financial assets:  Domestic [4212 + 4213 + 4214 + 4215 + 4216 + 4217 + 4218]</t>
  </si>
  <si>
    <t xml:space="preserve">Holding Gains- Financial assets:  Domestic - Currency and deposits </t>
  </si>
  <si>
    <t xml:space="preserve">Holding Gains- Financial assets:  Domestic - Debt Securities  </t>
  </si>
  <si>
    <t xml:space="preserve">Holding Gains- Financial assets:  Domestic - Loans </t>
  </si>
  <si>
    <t xml:space="preserve">Holding Gains- Financial assets:  Domestic - Equity and investment fund shares </t>
  </si>
  <si>
    <t xml:space="preserve">Holding Gains- Financial assets:  Domestic -  Insurance, pension, and standardized guarantee schemes  </t>
  </si>
  <si>
    <t xml:space="preserve">Holding Gains- Financial assets:  Domestic - Financial derivatives and employee stock options </t>
  </si>
  <si>
    <t xml:space="preserve">Holding Gains- Financial assets:  Domestic - Other accounts receivable </t>
  </si>
  <si>
    <t>Holding Gains- Financial assets:  Foreign -  [4222 + 4223 + 4224 + 4225 + 4226 + 4227 + 4228]</t>
  </si>
  <si>
    <t>Holding Gains- Financial assets:  Foreign - Monetary gold and SDRs</t>
  </si>
  <si>
    <t xml:space="preserve">Holding Gains- Financial assets:  Foreign - Currency and deposits </t>
  </si>
  <si>
    <t xml:space="preserve">Holding Gains- Financial assets:  Foreign - Debt Securities </t>
  </si>
  <si>
    <t xml:space="preserve">Holding Gains- Financial assets:  Foreign - Loans </t>
  </si>
  <si>
    <t>Holding Gains- Financial assets:  Foreign - Equity and investment fund shares</t>
  </si>
  <si>
    <t xml:space="preserve">Holding Gains- Financial assets:  Foreign -  Insurance, pension, and standardized guarantee schemes </t>
  </si>
  <si>
    <t>Holding Gains- Financial assets:  Foreign - Financial derivatives and employee stock options</t>
  </si>
  <si>
    <t xml:space="preserve">Holding Gains- Financial assets:  Foreign - Other accounts receivable </t>
  </si>
  <si>
    <t xml:space="preserve">Holding Gains- Liabilities [431+432] </t>
  </si>
  <si>
    <t>Holding Gains- Liabilities :  Special Drawing Rights (SDRs)</t>
  </si>
  <si>
    <t xml:space="preserve">Holding Gains- Liabilities :  Currency and deposits [4312+4322] </t>
  </si>
  <si>
    <t xml:space="preserve">Holding Gains- Liabilities :  Debt Securities  [4313+4323] </t>
  </si>
  <si>
    <t xml:space="preserve">Holding Gains- Liabilities :  Loans [4314+4324] </t>
  </si>
  <si>
    <t xml:space="preserve">Holding Gains- Liabilities :  Equity and investment fund shares [4315+4325] </t>
  </si>
  <si>
    <t xml:space="preserve">Holding Gains- Liabilities :   Insurance, pension, and standardized guarantee schemes  [4316+4326] </t>
  </si>
  <si>
    <t xml:space="preserve">Holding Gains- Liabilities :  Financial derivatives and employee stock options [4317+4327] </t>
  </si>
  <si>
    <t xml:space="preserve">Holding Gains- Liabilities :  Other accounts payable [4318+4328] </t>
  </si>
  <si>
    <t>Holding Gains- Liabilities :  Domestic  [4312 + 4313 + 4314 + 4315 + 4316+ 4317 + 4318]</t>
  </si>
  <si>
    <t xml:space="preserve">Holding Gains- Liabilities :  Domestic  - Currency and deposits </t>
  </si>
  <si>
    <t xml:space="preserve">Holding Gains- Liabilities :  Domestic  - Debt Securities </t>
  </si>
  <si>
    <t xml:space="preserve">Holding Gains- Liabilities :  Domestic  - Loans </t>
  </si>
  <si>
    <t>Holding Gains- Liabilities :  Domestic  - Equity and investment fund shares</t>
  </si>
  <si>
    <t xml:space="preserve">Holding Gains- Liabilities :  Domestic  -  Insurance, pension, and standardized guarantee schemes </t>
  </si>
  <si>
    <t>Holding Gains- Liabilities :  Domestic  - Financial derivatives and employee stock options</t>
  </si>
  <si>
    <t xml:space="preserve">Holding Gains- Liabilities :  Domestic  - Other accounts payable </t>
  </si>
  <si>
    <t>Holding Gains- Liabilities :  Foreign [4322 + 4323 + 4324 + 4325 + 4326 + 4327 + 4328]</t>
  </si>
  <si>
    <t>Holding Gains- Liabilities :  Foreign - Special Drawing Rights (SDRs)</t>
  </si>
  <si>
    <t xml:space="preserve">Holding Gains- Liabilities :  Foreign - Currency and deposits </t>
  </si>
  <si>
    <t xml:space="preserve">Holding Gains- Liabilities :  Foreign - Debt Securities </t>
  </si>
  <si>
    <t xml:space="preserve">Holding Gains- Liabilities :  Foreign - Loans </t>
  </si>
  <si>
    <t>Holding Gains- Liabilities :  Foreign - Equity and investment fund shares</t>
  </si>
  <si>
    <t xml:space="preserve">Holding Gains- Liabilities :  Foreign -  Insurance, pension, and standardized guarantee schemes </t>
  </si>
  <si>
    <t>Holding Gains- Liabilities :  Foreign - Financial derivatives and employee stock options</t>
  </si>
  <si>
    <t xml:space="preserve">Holding Gains- Liabilities :  Foreign - Other accounts payable </t>
  </si>
  <si>
    <t>4M3</t>
  </si>
  <si>
    <t>Holding Gains - Memo Item: Debt at market value</t>
  </si>
  <si>
    <t>CHANGE IN NET WORTH: VOLUME CHANGES [51 + 52 - 53]</t>
  </si>
  <si>
    <t>Volume Changes - Nonfinancial assets [511 + 512 + 513 + 514]</t>
  </si>
  <si>
    <t>Volume Changes - Nonfinancial assets : Fixed assets [5111 + 5112 + 5113]</t>
  </si>
  <si>
    <t xml:space="preserve">Volume Changes - Nonfinancial assets : Fixed assets:   Buildings and structures </t>
  </si>
  <si>
    <t xml:space="preserve">Volume Changes - Nonfinancial assets : Fixed assets:  Machinery and equipment </t>
  </si>
  <si>
    <t xml:space="preserve">Volume Changes - Nonfinancial assets : Fixed assets:  Other fixed assets </t>
  </si>
  <si>
    <t>Volume Changes - Nonfinancial assets : Fixed assets:  Weapons systems</t>
  </si>
  <si>
    <t xml:space="preserve">Volume Changes - Inventories </t>
  </si>
  <si>
    <t xml:space="preserve">Volume Changes - Valuables </t>
  </si>
  <si>
    <t>Volume Changes - Nonfinancial assets : Nonproduced assets [5141 + 5142 + 5143 + 5144]</t>
  </si>
  <si>
    <t xml:space="preserve">Volume Changes - Nonfinancial assets : Nonproduced assets:  Land </t>
  </si>
  <si>
    <t>Volume Changes - Nonfinancial assets : Nonproduced assets:  Mineral and energy resources</t>
  </si>
  <si>
    <t xml:space="preserve">Volume Changes - Nonfinancial assets : Nonproduced assets:  Other naturally occurring assets </t>
  </si>
  <si>
    <t xml:space="preserve">Volume Changes - Nonfinancial assets : Nonproduced assets:  Intangible nonproduced assets </t>
  </si>
  <si>
    <t xml:space="preserve">Volume Changes - Financial assets [521+522+523] </t>
  </si>
  <si>
    <t xml:space="preserve">Volume Changes - Financial assets:  Monetary gold and SDRs </t>
  </si>
  <si>
    <t xml:space="preserve">Volume Changes - Financial assets:  Currency and deposits [5212+5222] </t>
  </si>
  <si>
    <t xml:space="preserve">Volume Changes - Financial assets:  Debt Securities  [5213+5223] </t>
  </si>
  <si>
    <t xml:space="preserve">Volume Changes - Financial assets:  Loans [5214+5224] </t>
  </si>
  <si>
    <t xml:space="preserve">Volume Changes - Financial assets:  Equity and investment fund shares [5215+5225] </t>
  </si>
  <si>
    <t xml:space="preserve">Volume Changes - Financial assets:   Insurance, pension, and standardized guarantee schemes  [5216+5226] </t>
  </si>
  <si>
    <t xml:space="preserve">Volume Changes - Financial assets:  Financial derivatives and employee stock options [5217+5227] </t>
  </si>
  <si>
    <t xml:space="preserve">Volume Changes - Financial assets:  Other accounts receivable [5218+5228] </t>
  </si>
  <si>
    <t>Volume Changes - Financial assets:  Domestic  [5212 + 5213 + 5214 + 5215 + 5216+ 5217 + 5218]</t>
  </si>
  <si>
    <t xml:space="preserve">Volume Changes - Financial assets:  Domestic - Currency and deposits </t>
  </si>
  <si>
    <t xml:space="preserve">Volume Changes - Financial assets:  Domestic - Debt Securities  </t>
  </si>
  <si>
    <t xml:space="preserve">Volume Changes - Financial assets:  Domestic - Loans </t>
  </si>
  <si>
    <t>Volume Changes - Financial assets:  Domestic - Equity and investment fund shares</t>
  </si>
  <si>
    <t xml:space="preserve">Volume Changes - Financial assets:  Domestic -  Insurance, pension, and standardized guarantee schemes </t>
  </si>
  <si>
    <t xml:space="preserve">Volume Changes - Financial assets:  Domestic - Financial derivatives and employee stock options </t>
  </si>
  <si>
    <t xml:space="preserve">Volume Changes - Financial assets:  Domestic - Other accounts receivable </t>
  </si>
  <si>
    <t>Volume Changes - Financial assets:  Foreign  [5222 + 5223 + 5224 + 5225 + 5226+ 5227 + 5228]</t>
  </si>
  <si>
    <t>Volume Changes - Financial assets:  Foreign  - Monetary gold and SDRs</t>
  </si>
  <si>
    <t xml:space="preserve">Volume Changes - Financial assets:  Foreign  - Currency and deposits </t>
  </si>
  <si>
    <t xml:space="preserve">Volume Changes - Financial assets:  Foreign  - Debt Securities </t>
  </si>
  <si>
    <t xml:space="preserve">Volume Changes - Financial assets:  Foreign  - Loans </t>
  </si>
  <si>
    <t>Volume Changes - Financial assets:  Foreign  - Equity and investment fund shares</t>
  </si>
  <si>
    <t xml:space="preserve">Volume Changes - Financial assets:  Foreign  -  Insurance, pension, and standardized guarantee schemes </t>
  </si>
  <si>
    <t>Volume Changes - Financial assets:  Foreign  - Financial derivatives and employee stock options</t>
  </si>
  <si>
    <t xml:space="preserve">Volume Changes - Financial assets:  Foreign  - Other accounts receivable </t>
  </si>
  <si>
    <t xml:space="preserve">Volume Changes - Liabilities [531+532] </t>
  </si>
  <si>
    <t>Volume Changes - Liabilities:  Special Drawing Rights (SDRs)</t>
  </si>
  <si>
    <t xml:space="preserve">Volume Changes - Liabilities:  Currency and deposits [5312+5322] </t>
  </si>
  <si>
    <t xml:space="preserve">Volume Changes - Liabilities:  Debt Securities  [5313+5323] </t>
  </si>
  <si>
    <t xml:space="preserve">Volume Changes - Liabilities:  Loans [5314+5324] </t>
  </si>
  <si>
    <t xml:space="preserve">Volume Changes - Liabilities:  Equity and investment fund shares [5315+5325] </t>
  </si>
  <si>
    <t xml:space="preserve">Volume Changes - Liabilities:   Insurance, pension, and standardized guarantee schemes  [5316+5326] </t>
  </si>
  <si>
    <t xml:space="preserve">Volume Changes - Liabilities:  Financial derivatives and employee stock options [5317+5327] </t>
  </si>
  <si>
    <t xml:space="preserve">Volume Changes - Liabilities:  Other accounts payable [5318+5328] </t>
  </si>
  <si>
    <t>Volume Changes - Liabilities:  Domestic  [5312 + 5313 + 5314 + 5315 + 5316+ 5317 + 5318]</t>
  </si>
  <si>
    <t xml:space="preserve">Volume Changes - Liabilities:  Domestic - Currency and deposits </t>
  </si>
  <si>
    <t xml:space="preserve">Volume Changes - Liabilities:  Domestic - Debt Securities  </t>
  </si>
  <si>
    <t xml:space="preserve">Volume Changes - Liabilities:  Domestic - Loans </t>
  </si>
  <si>
    <t>Volume Changes - Liabilities:  Domestic - Equity and investment fund shares</t>
  </si>
  <si>
    <t xml:space="preserve">Volume Changes - Liabilities:  Domestic -  Insurance, pension, and standardized guarantee schemes  </t>
  </si>
  <si>
    <t>Volume Changes - Liabilities:  Domestic - Financial derivatives and employee stock options</t>
  </si>
  <si>
    <t xml:space="preserve">Volume Changes - Liabilities:  Domestic - Other accounts payable </t>
  </si>
  <si>
    <t>Volume Changes - Liabilities:  Foreign [5322 + 5323 + 5324 + 5325 + 5326+ 5327 + 5328]</t>
  </si>
  <si>
    <t xml:space="preserve">Volume Changes - Liabilities:  Foreign  - Special Drawing Rights (SDRs) </t>
  </si>
  <si>
    <t xml:space="preserve">Volume Changes - Liabilities:  Foreign  - Currency and deposits </t>
  </si>
  <si>
    <t xml:space="preserve">Volume Changes - Liabilities:  Foreign  - Debt Securities  </t>
  </si>
  <si>
    <t xml:space="preserve">Volume Changes - Liabilities:  Foreign  - Loans </t>
  </si>
  <si>
    <t>Volume Changes - Liabilities:  Foreign  - Equity and investment fund shares</t>
  </si>
  <si>
    <t xml:space="preserve">Volume Changes - Liabilities:  Foreign  -  Insurance, pension, and standardized guarantee schemes </t>
  </si>
  <si>
    <t>Volume Changes - Liabilities:  Foreign  - Financial derivatives and employee stock options</t>
  </si>
  <si>
    <t xml:space="preserve">Volume Changes - Liabilities:  Foreign  - Other accounts payable </t>
  </si>
  <si>
    <t>5M3</t>
  </si>
  <si>
    <t>Volume Changes - Memo Item: Debt at market value</t>
  </si>
  <si>
    <t>NET WORTH  [Stocks = 61 + 62 - 63]</t>
  </si>
  <si>
    <t>Stocks -Nonfinancial assets [611 + 612 + 613 +614]</t>
  </si>
  <si>
    <t>Stocks -Nonfinancial assets:  Fixed assets [6111 + 6112 + 6113]</t>
  </si>
  <si>
    <t xml:space="preserve">Stocks -Nonfinancial assets:  Fixed assets : Buildings and structures </t>
  </si>
  <si>
    <t xml:space="preserve">Stocks -Nonfinancial assets:  Fixed assets : Machinery and equipment </t>
  </si>
  <si>
    <t xml:space="preserve">Stocks -Nonfinancial assets:  Fixed assets : Other fixed assets </t>
  </si>
  <si>
    <t>Stocks - Nonfinancial assets : Fixed assets:  Weapons systems</t>
  </si>
  <si>
    <t xml:space="preserve">Stocks -Inventories </t>
  </si>
  <si>
    <t xml:space="preserve">Stocks -Valuables </t>
  </si>
  <si>
    <t>Stocks -Nonfinancial assets:  Nonproduced assets [6141 + 6142 + 6143 + 6144]</t>
  </si>
  <si>
    <t xml:space="preserve">Stocks -Nonfinancial assets:  Nonproduced assets:  Land </t>
  </si>
  <si>
    <t>Stocks -Nonfinancial assets:  Nonproduced assets: Mineral and energy resources</t>
  </si>
  <si>
    <t xml:space="preserve">Stocks -Nonfinancial assets:  Nonproduced assets: Other naturally occurring assets </t>
  </si>
  <si>
    <t xml:space="preserve">Stocks -Nonfinancial assets:  Nonproduced assets: Intangible nonproduced assets </t>
  </si>
  <si>
    <t xml:space="preserve">Stocks -Financial assets [621+622+623] </t>
  </si>
  <si>
    <t xml:space="preserve">Stocks -Financial assets : Monetary gold and SDRs </t>
  </si>
  <si>
    <t xml:space="preserve">Stocks -Financial assets : Currency and deposits [6212+6222] </t>
  </si>
  <si>
    <t xml:space="preserve">Stocks -Financial assets : Debt Securities  [6213+6223] </t>
  </si>
  <si>
    <t xml:space="preserve">Stocks -Financial assets : Loans [6214+6224] </t>
  </si>
  <si>
    <t xml:space="preserve">Stocks -Financial assets : Equity and investment fund shares [6215+6225] </t>
  </si>
  <si>
    <t xml:space="preserve">Stocks -Financial assets :  Insurance, pension, and standardized guarantee schemes  [6216+6226] </t>
  </si>
  <si>
    <t xml:space="preserve">Stocks -Financial assets : Financial derivatives and employee stock options [6217+6227] </t>
  </si>
  <si>
    <t xml:space="preserve">Stocks -Financial assets : Other accounts receivable [6218+6228] </t>
  </si>
  <si>
    <t>Stocks -Financial assets : Domestic [6212 + 6213 + 6214 + 6215 + 6216 + 6217 + 6218]</t>
  </si>
  <si>
    <t xml:space="preserve">Stocks -Financial assets : Domestic - Currency and deposits </t>
  </si>
  <si>
    <t xml:space="preserve">Stocks -Financial assets : Domestic - Debt Securities  </t>
  </si>
  <si>
    <t xml:space="preserve">Stocks -Financial assets : Domestic - Loans </t>
  </si>
  <si>
    <t xml:space="preserve">Stocks -Financial assets : Domestic - Equity and investment fund shares </t>
  </si>
  <si>
    <t xml:space="preserve">Stocks -Financial assets : Domestic -  Insurance, pension, and standardized guarantee schemes </t>
  </si>
  <si>
    <t>Stocks -Financial assets : Domestic - Financial derivatives and employee stock options</t>
  </si>
  <si>
    <t xml:space="preserve">Stocks -Financial assets : Domestic - Other accounts receivable </t>
  </si>
  <si>
    <t>Stocks -Financial assets : Foreign  [6222 + 6223 + 6224 + 6225 + 6226 + 6227 + 6228]</t>
  </si>
  <si>
    <t>Stocks -Financial assets : Foreign  - Monetary gold and SDRs</t>
  </si>
  <si>
    <t xml:space="preserve">Stocks -Financial assets : Foreign  - Currency and deposits </t>
  </si>
  <si>
    <t xml:space="preserve">Stocks -Financial assets : Foreign  - Debt Securities </t>
  </si>
  <si>
    <t xml:space="preserve">Stocks -Financial assets : Foreign  - Loans </t>
  </si>
  <si>
    <t>Stocks -Financial assets : Foreign  - Equity and investment fund shares</t>
  </si>
  <si>
    <t xml:space="preserve">Stocks -Financial assets : Foreign  -  Insurance, pension, and standardized guarantee schemes </t>
  </si>
  <si>
    <t>Stocks -Financial assets : Foreign  - Financial derivatives and employee stock options</t>
  </si>
  <si>
    <t xml:space="preserve">Stocks -Financial assets : Foreign  - Other accounts receivable </t>
  </si>
  <si>
    <t xml:space="preserve">Stocks -Liabilities [631+632] </t>
  </si>
  <si>
    <t>Stocks -Liabilities : Special Drawing Rights (SDRs)</t>
  </si>
  <si>
    <t xml:space="preserve">Stocks -Liabilities : Currency and deposits [6312+6322] </t>
  </si>
  <si>
    <t xml:space="preserve">Stocks -Liabilities : Debt Securities  [6313+6323] </t>
  </si>
  <si>
    <t xml:space="preserve">Stocks -Liabilities : Loans [6314+6324] </t>
  </si>
  <si>
    <t xml:space="preserve">Stocks -Liabilities : Equity and investment fund shares [6315+6325] </t>
  </si>
  <si>
    <t xml:space="preserve">Stocks -Liabilities :  Insurance, pension, and standardized guarantee schemes  [6316+6326] </t>
  </si>
  <si>
    <t xml:space="preserve">Stocks -Liabilities : Financial derivatives and employee stock options [6317+6327] </t>
  </si>
  <si>
    <t xml:space="preserve">Stocks -Liabilities : Other accounts payable [6318+6328] </t>
  </si>
  <si>
    <t>Stocks -Liabilities : Domestic [6312 + 6313 + 6314 + 6315 + 6316 + 6317 + 6318]</t>
  </si>
  <si>
    <t xml:space="preserve">Stocks -Liabilities : Domestic - Currency and deposits </t>
  </si>
  <si>
    <t xml:space="preserve">Stocks -Liabilities : Domestic - Debt Securities </t>
  </si>
  <si>
    <t xml:space="preserve">Stocks -Liabilities : Domestic - Loans </t>
  </si>
  <si>
    <t>Stocks -Liabilities : Domestic - Equity and investment fund shares</t>
  </si>
  <si>
    <t xml:space="preserve">Stocks -Liabilities : Domestic -  Insurance, pension, and standardized guarantee schemes </t>
  </si>
  <si>
    <t>Stocks -Liabilities : Domestic - Financial derivatives and employee stock options</t>
  </si>
  <si>
    <t xml:space="preserve">Stocks -Liabilities : Domestic - Other accounts payable </t>
  </si>
  <si>
    <t>Stocks -Liabilities : Foreign  [6322 + 6323 + 6324 + 6325 + 6326 + 6327 + 6328]</t>
  </si>
  <si>
    <t>Stocks -Liabilities : Foreign - Special Drawing Rights</t>
  </si>
  <si>
    <t xml:space="preserve">Stocks -Liabilities : Foreign - Currency and deposits </t>
  </si>
  <si>
    <t xml:space="preserve">Stocks -Liabilities : Foreign - Debt Securities </t>
  </si>
  <si>
    <t xml:space="preserve">Stocks -Liabilities : Foreign - Loans </t>
  </si>
  <si>
    <t>Stocks -Liabilities : Foreign - Equity and investment fund shares</t>
  </si>
  <si>
    <t xml:space="preserve">Stocks -Liabilities : Foreign -  Insurance, pension, and standardized guarantee schemes </t>
  </si>
  <si>
    <t>Stocks -Liabilities : Foreign - Financial derivatives and employee stock options</t>
  </si>
  <si>
    <t xml:space="preserve">Stocks -Liabilities : Foreign - Other accounts payable </t>
  </si>
  <si>
    <t>6M3</t>
  </si>
  <si>
    <t>Balance Sheet: Memo Items - Debt at market value</t>
  </si>
  <si>
    <t>6M35</t>
  </si>
  <si>
    <t>Balance Sheet: Memo Items - Debt at face value</t>
  </si>
  <si>
    <t>6M4</t>
  </si>
  <si>
    <t xml:space="preserve">Balance Sheet: Memo Items - Debt at nominal value </t>
  </si>
  <si>
    <t>6M5</t>
  </si>
  <si>
    <t>Balance Sheet: Memo Items - Arrears</t>
  </si>
  <si>
    <t>6M6</t>
  </si>
  <si>
    <t>Balance Sheet: Memo Items - Obligations for social security benefits</t>
  </si>
  <si>
    <t>6M7</t>
  </si>
  <si>
    <t>Balance Sheet: Memo Items - Contingent liabilities</t>
  </si>
  <si>
    <t>6M8</t>
  </si>
  <si>
    <t>Balance Sheet: Memo Items - Uncapitalized military weapons, delivery systems</t>
  </si>
  <si>
    <t xml:space="preserve">TOTAL OUTLAYS </t>
  </si>
  <si>
    <t xml:space="preserve">General public services </t>
  </si>
  <si>
    <t>Executive and legislative organs, financial and fiscal affairs, external affairs</t>
  </si>
  <si>
    <t>Foreign economic aid</t>
  </si>
  <si>
    <t>General services</t>
  </si>
  <si>
    <t>Basic research</t>
  </si>
  <si>
    <t>R &amp; D General public services</t>
  </si>
  <si>
    <t>General public services n.e.c.</t>
  </si>
  <si>
    <t>Public debt transactions</t>
  </si>
  <si>
    <t>Transfers of a general character between different levels of government</t>
  </si>
  <si>
    <t xml:space="preserve">Defense </t>
  </si>
  <si>
    <t>Military defense</t>
  </si>
  <si>
    <t>Civil defense</t>
  </si>
  <si>
    <t>Foreign military aid</t>
  </si>
  <si>
    <t>R &amp; D Defense</t>
  </si>
  <si>
    <t>Defense n.e.c.</t>
  </si>
  <si>
    <t xml:space="preserve">Public order and safety </t>
  </si>
  <si>
    <t>Police services</t>
  </si>
  <si>
    <t>Fire protection services</t>
  </si>
  <si>
    <t>Law courts</t>
  </si>
  <si>
    <t>Prisons</t>
  </si>
  <si>
    <t>R &amp; D Public order and safety</t>
  </si>
  <si>
    <t>Public order and safety n.e.c.</t>
  </si>
  <si>
    <t xml:space="preserve">Economic affairs </t>
  </si>
  <si>
    <t>General economic, commercial, and labor affairs</t>
  </si>
  <si>
    <t xml:space="preserve">Agriculture, forestry, fishing, and hunting </t>
  </si>
  <si>
    <t xml:space="preserve">Fuel and energy </t>
  </si>
  <si>
    <t xml:space="preserve">Mining, manufacturing, and construction </t>
  </si>
  <si>
    <t xml:space="preserve">Transport </t>
  </si>
  <si>
    <t xml:space="preserve">Communication </t>
  </si>
  <si>
    <t>Other industries</t>
  </si>
  <si>
    <t>R&amp;D Economic Affairs</t>
  </si>
  <si>
    <t>Economic affairs n.e.c.</t>
  </si>
  <si>
    <t xml:space="preserve">Environmental protection </t>
  </si>
  <si>
    <t>Waste management</t>
  </si>
  <si>
    <t>Waste water management</t>
  </si>
  <si>
    <t>Pollution abatement</t>
  </si>
  <si>
    <t>Protection of biodiversity and landscape</t>
  </si>
  <si>
    <t>R&amp;D Environmental protection</t>
  </si>
  <si>
    <t>Environmental protection n.e.c. (CS)</t>
  </si>
  <si>
    <t xml:space="preserve">Housing and community amenities </t>
  </si>
  <si>
    <t>Housing development</t>
  </si>
  <si>
    <t>Community development</t>
  </si>
  <si>
    <t>Water supply</t>
  </si>
  <si>
    <t>Street lighting</t>
  </si>
  <si>
    <t>R &amp; D Housing and community amenities</t>
  </si>
  <si>
    <t>Housing and community amenities n.e.c.</t>
  </si>
  <si>
    <t xml:space="preserve">Health </t>
  </si>
  <si>
    <t>Medical products, appliances, and equipment</t>
  </si>
  <si>
    <t>Outpatient services</t>
  </si>
  <si>
    <t>Hospital services</t>
  </si>
  <si>
    <t>Public health services</t>
  </si>
  <si>
    <t>R &amp; D Health</t>
  </si>
  <si>
    <t>Health n.e.c.</t>
  </si>
  <si>
    <t xml:space="preserve">Recreation, culture and religion </t>
  </si>
  <si>
    <t>Recreational and sporting services</t>
  </si>
  <si>
    <t>Cultural services</t>
  </si>
  <si>
    <t>Broadcasting and publishing services</t>
  </si>
  <si>
    <t>Religious and other community services</t>
  </si>
  <si>
    <t>R &amp; D Recreation, culture, and religion</t>
  </si>
  <si>
    <t>Recreation, culture, and religion n.e.c.</t>
  </si>
  <si>
    <t xml:space="preserve">Education </t>
  </si>
  <si>
    <t xml:space="preserve">Pre-primary and primary education </t>
  </si>
  <si>
    <t xml:space="preserve">Secondary education </t>
  </si>
  <si>
    <t>Postsecondary nontertiary education</t>
  </si>
  <si>
    <t>Tertiary education</t>
  </si>
  <si>
    <t>Education not definable by level</t>
  </si>
  <si>
    <t>Subsidiary services to education</t>
  </si>
  <si>
    <t>R &amp; D Education</t>
  </si>
  <si>
    <t>Education n.e.c.</t>
  </si>
  <si>
    <t xml:space="preserve">Social protection </t>
  </si>
  <si>
    <t>Sickness and disability</t>
  </si>
  <si>
    <t>Old age</t>
  </si>
  <si>
    <t>Survivors</t>
  </si>
  <si>
    <t>Family and children</t>
  </si>
  <si>
    <t>Unemployment</t>
  </si>
  <si>
    <t>Housing</t>
  </si>
  <si>
    <t>Social exclusion n.e.c.</t>
  </si>
  <si>
    <t>R &amp; D Social protection</t>
  </si>
  <si>
    <t>Social protection n.e.c.</t>
  </si>
  <si>
    <t>Net financial worth change due to transactions [=82-83]</t>
  </si>
  <si>
    <t xml:space="preserve">Net acquisition of financial assets [=32] </t>
  </si>
  <si>
    <t>Net acquisition of financial assets : Domestic [=321]</t>
  </si>
  <si>
    <t>Net acquisition of financial assets : Domestic : General government</t>
  </si>
  <si>
    <t>Net acquisition of financial assets : Domestic : General government - Central Government (CG)</t>
  </si>
  <si>
    <t>Net acquisition of financial assets : Domestic : General government - CG: Budgetary</t>
  </si>
  <si>
    <t>Net acquisition of financial assets : Domestic : General government - CG: Extrabudgetary</t>
  </si>
  <si>
    <t>Net acquisition of financial assets : Domestic : General government - Social Security Funds</t>
  </si>
  <si>
    <t>Net acquisition of financial assets : Domestic : General government - State Government</t>
  </si>
  <si>
    <t>Net acquisition of financial assets : Domestic : General government - Local Government</t>
  </si>
  <si>
    <t>Net acquisition of financial assets : Domestic :Central bank</t>
  </si>
  <si>
    <t>Net acquisition of financial assets : Domestic : Deposit taking corporations except central bank</t>
  </si>
  <si>
    <t>Net acquisition of financial assets : Domestic : Other financial corporations</t>
  </si>
  <si>
    <t xml:space="preserve">Net acquisition of financial assets : Domestic :Nonfinancial corporations </t>
  </si>
  <si>
    <t xml:space="preserve">Net acquisition of financial assets : Domestic :Households &amp; nonprofit institutions serving h/holds </t>
  </si>
  <si>
    <t xml:space="preserve">Net acquisition of financial assets : Foreign [=322] </t>
  </si>
  <si>
    <t xml:space="preserve">Net acquisition of financial assets : Foreign : General government </t>
  </si>
  <si>
    <t xml:space="preserve">Net acquisition of financial assets : Foreign : International organizations </t>
  </si>
  <si>
    <t>Net acquisition of financial assets : Foreign : Financial corporations other than internat'l org's</t>
  </si>
  <si>
    <t xml:space="preserve">Net acquisition of financial assets : Foreign : Other nonresidents </t>
  </si>
  <si>
    <t>Net acquisition of Monetary gold and SDRs [=323]</t>
  </si>
  <si>
    <t xml:space="preserve">Net incurrence of liabilities [=33] </t>
  </si>
  <si>
    <t xml:space="preserve">Net incurrence of liabilities : Domestic [=331] </t>
  </si>
  <si>
    <t xml:space="preserve">Net incurrence of liabilities : Domestic : General government </t>
  </si>
  <si>
    <t>Net incurrence of liabilities : Domestic : General government - Central Government (CG)</t>
  </si>
  <si>
    <t>Net incurrence of liabilities : Domestic : General government - CG Budgetary</t>
  </si>
  <si>
    <t>Net incurrence of liabilities : Domestic : General government - CG Extrabudgetary</t>
  </si>
  <si>
    <t>Net incurrence of liabilities : Domestic : General government - Social Security Funds</t>
  </si>
  <si>
    <t>Net incurrence of liabilities : Domestic : General government - State Government</t>
  </si>
  <si>
    <t>Net incurrence of liabilities : Domestic : General government - Local Government</t>
  </si>
  <si>
    <t xml:space="preserve">Net incurrence of liabilities : Domestic : Central bank </t>
  </si>
  <si>
    <t>Net incurrence of liabilities : Domestic : Depository taking corporations except central bank</t>
  </si>
  <si>
    <t>Net incurrence of liabilities : Domestic : Other financial corporations</t>
  </si>
  <si>
    <t xml:space="preserve">Net incurrence of liabilities : Domestic : Nonfinancial corporations </t>
  </si>
  <si>
    <t>Net incurrence of liabilities : Domestic : Households &amp; nonprofit institutions serving h/holds</t>
  </si>
  <si>
    <t xml:space="preserve">Net incurrence of liabities : Foreign [=332] </t>
  </si>
  <si>
    <t xml:space="preserve">Net incurrence of liabities : Foreign : General government </t>
  </si>
  <si>
    <t>Net incurrence of liabities : Foreign : International organizations</t>
  </si>
  <si>
    <t>Net incurrence of liabities : Foreign : Financial corporations other than internat'l org's</t>
  </si>
  <si>
    <t xml:space="preserve">Net incurrence of liabities : Foreign : Other nonresidents </t>
  </si>
  <si>
    <t xml:space="preserve">Stock positions in financial assets [=62] </t>
  </si>
  <si>
    <t>Stock positions in financial assets : Domestic [=621]</t>
  </si>
  <si>
    <t>Stock positions in financial assets : Domestic : General government</t>
  </si>
  <si>
    <t>Stock positions in financial assets : Domestic : General government - Central Government (CG)</t>
  </si>
  <si>
    <t>Stock positions in financial assets : Domestic : General government - CG: Budgetary</t>
  </si>
  <si>
    <t>Stock positions in financial assets : Domestic : General government - CG: Extrabudgetary</t>
  </si>
  <si>
    <t>Stock positions in financial assets : Domestic : General government - Social Security Funds</t>
  </si>
  <si>
    <t>Stock positions in financial assets : Domestic : General government - State Government</t>
  </si>
  <si>
    <t>Stock positions in financial assets : Domestic : General government - Local Government</t>
  </si>
  <si>
    <t>Stock positions in financial assets : Domestic :Central bank</t>
  </si>
  <si>
    <t>Stock positions in financial assets : Domestic :Other depository corporations</t>
  </si>
  <si>
    <t xml:space="preserve">Stock positions in financial assets : Domestic :Financial corporations not elsewhere classified </t>
  </si>
  <si>
    <t xml:space="preserve">Stock positions in financial assets : Domestic :Nonfinancial corporations </t>
  </si>
  <si>
    <t xml:space="preserve">Stock positions in financial assets : Domestic :Households &amp; nonprofit institutions serving h/holds </t>
  </si>
  <si>
    <t xml:space="preserve">Net acquisition of financial assets : Foreign [=622] </t>
  </si>
  <si>
    <t xml:space="preserve">Stock positions in financial assets : Foreign : General government </t>
  </si>
  <si>
    <t xml:space="preserve">Stock positions in financial assets : Foreign : International organizations </t>
  </si>
  <si>
    <t>Stock positions in financial assets : Foreign : Financial corporations other than internat'l org's</t>
  </si>
  <si>
    <t xml:space="preserve">Stock positions in financial assets : Foreign : Other nonresidents </t>
  </si>
  <si>
    <t xml:space="preserve">Stock positions in liabilities [=63] </t>
  </si>
  <si>
    <t xml:space="preserve">Stock positions in liabilities : Domestic [=631] </t>
  </si>
  <si>
    <t xml:space="preserve">Stock positions in  liabilities : Domestic : General government </t>
  </si>
  <si>
    <t>Stock positions in liabilities : Domestic : General government - Central Government (CG)</t>
  </si>
  <si>
    <t>Stock positions in liabilities : Domestic : General government - CG Budgetary</t>
  </si>
  <si>
    <t>Stock positions in liabilities : Domestic : General government - CG Extrabudgetary</t>
  </si>
  <si>
    <t>Stock positions in liabilities : Domestic : General government - Social Security Funds</t>
  </si>
  <si>
    <t>Stock positions in liabilities : Domestic : General government - State Government</t>
  </si>
  <si>
    <t>Stock positions in liabilities : Domestic : General government - Local Government</t>
  </si>
  <si>
    <t xml:space="preserve">Stock positions in liabilities : Domestic : Central bank </t>
  </si>
  <si>
    <t xml:space="preserve">Stock positions in liabilities : Domestic : Other depository corporations </t>
  </si>
  <si>
    <t>Stock positions in liabilities : Domestic : Financial corporations not elsewhere classified</t>
  </si>
  <si>
    <t xml:space="preserve">Stock positions in liabilities : Domestic : Nonfinancial corporations </t>
  </si>
  <si>
    <t>Stock positions in liabilities : Domestic : Households &amp; nonprofit institutions serving h/holds</t>
  </si>
  <si>
    <t xml:space="preserve">Stock positions in liabities : Foreign [=632] </t>
  </si>
  <si>
    <t xml:space="preserve">Stock positions in liabities : Foreign : General government </t>
  </si>
  <si>
    <t>Stock positions in liabities : Foreign : International organizations</t>
  </si>
  <si>
    <t>Stock positions in liabities : Foreign : Financial corporations other than internat'l org's</t>
  </si>
  <si>
    <t xml:space="preserve">Stock positions in liabities : Foreign : Other nonresidents </t>
  </si>
  <si>
    <t>6301N</t>
  </si>
  <si>
    <t xml:space="preserve">Special Drawing Rights </t>
  </si>
  <si>
    <t>6301NA2</t>
  </si>
  <si>
    <t xml:space="preserve">External creditors </t>
  </si>
  <si>
    <t>6301NB3</t>
  </si>
  <si>
    <t xml:space="preserve">Long-term by original maturity, with payment due in more than one year </t>
  </si>
  <si>
    <t>6301NC2</t>
  </si>
  <si>
    <t xml:space="preserve">Foreign currency denominated </t>
  </si>
  <si>
    <t>6301ND2</t>
  </si>
  <si>
    <t xml:space="preserve">Variable rate </t>
  </si>
  <si>
    <t>6302N</t>
  </si>
  <si>
    <t>6302NA1</t>
  </si>
  <si>
    <t xml:space="preserve">Domestic creditors </t>
  </si>
  <si>
    <t>6302NA2</t>
  </si>
  <si>
    <t>6302NB1</t>
  </si>
  <si>
    <t xml:space="preserve">Short-term by original maturity </t>
  </si>
  <si>
    <t>6302NB2</t>
  </si>
  <si>
    <t xml:space="preserve">Long-term by original maturity, with payment due in one year or less </t>
  </si>
  <si>
    <t>6302NB3</t>
  </si>
  <si>
    <t>6302NC1</t>
  </si>
  <si>
    <t xml:space="preserve">Domestic currency denominated </t>
  </si>
  <si>
    <t>6302NC2</t>
  </si>
  <si>
    <t>6302ND1</t>
  </si>
  <si>
    <t xml:space="preserve">Fixed rate </t>
  </si>
  <si>
    <t>6302ND2</t>
  </si>
  <si>
    <t>6303N</t>
  </si>
  <si>
    <t xml:space="preserve">Debt securities at nominal value </t>
  </si>
  <si>
    <t>6303NA1</t>
  </si>
  <si>
    <t>6303NA2</t>
  </si>
  <si>
    <t>6303NB1</t>
  </si>
  <si>
    <t>6303NB1d</t>
  </si>
  <si>
    <t xml:space="preserve">of which: domestic currency denominated </t>
  </si>
  <si>
    <t>6303NB2</t>
  </si>
  <si>
    <t>6303NB2d</t>
  </si>
  <si>
    <t>6303NB3</t>
  </si>
  <si>
    <t>6303NC1</t>
  </si>
  <si>
    <t>6303NC2</t>
  </si>
  <si>
    <t>6303ND1</t>
  </si>
  <si>
    <t>6303ND2</t>
  </si>
  <si>
    <t>6303M</t>
  </si>
  <si>
    <t xml:space="preserve">Debt securities at market value </t>
  </si>
  <si>
    <t>6303MA1</t>
  </si>
  <si>
    <t>6303MA2</t>
  </si>
  <si>
    <t>6303MB1</t>
  </si>
  <si>
    <t>6303MB1d</t>
  </si>
  <si>
    <t>6303MB2</t>
  </si>
  <si>
    <t>6303MB2d</t>
  </si>
  <si>
    <t>6303MB3</t>
  </si>
  <si>
    <t>6303MC1</t>
  </si>
  <si>
    <t>6303MC2</t>
  </si>
  <si>
    <t>6303MD1</t>
  </si>
  <si>
    <t>6303MD2</t>
  </si>
  <si>
    <t>6304N</t>
  </si>
  <si>
    <t>6304NA1</t>
  </si>
  <si>
    <t>6304NA2</t>
  </si>
  <si>
    <t>6304NB1</t>
  </si>
  <si>
    <t>6304NB1d</t>
  </si>
  <si>
    <t>6304NB2</t>
  </si>
  <si>
    <t>6304NB2d</t>
  </si>
  <si>
    <t>6304NB3</t>
  </si>
  <si>
    <t>6304NC1</t>
  </si>
  <si>
    <t>6304NC2</t>
  </si>
  <si>
    <t>6304ND1</t>
  </si>
  <si>
    <t>6304ND2</t>
  </si>
  <si>
    <t>6306N</t>
  </si>
  <si>
    <t xml:space="preserve">Insurance, pension, and standardized guarantee schemes </t>
  </si>
  <si>
    <t>6306NA1</t>
  </si>
  <si>
    <t>6306NA2</t>
  </si>
  <si>
    <t>6306NB1</t>
  </si>
  <si>
    <t>6306NB2</t>
  </si>
  <si>
    <t>6306NB3</t>
  </si>
  <si>
    <t>6306NC1</t>
  </si>
  <si>
    <t>6306NC2</t>
  </si>
  <si>
    <t>6306ND1</t>
  </si>
  <si>
    <t>6306ND2</t>
  </si>
  <si>
    <t>6308N</t>
  </si>
  <si>
    <t>6308NA1</t>
  </si>
  <si>
    <t>6308NA2</t>
  </si>
  <si>
    <t>6308NB1</t>
  </si>
  <si>
    <t>6308NB2</t>
  </si>
  <si>
    <t>6308NB3</t>
  </si>
  <si>
    <t>6308NC1</t>
  </si>
  <si>
    <t>6308NC2</t>
  </si>
  <si>
    <t>6308ND1</t>
  </si>
  <si>
    <t>6308ND2</t>
  </si>
  <si>
    <t>6301F</t>
  </si>
  <si>
    <t>6301FA2</t>
  </si>
  <si>
    <t xml:space="preserve">SDR External creditors </t>
  </si>
  <si>
    <t>6301FB3</t>
  </si>
  <si>
    <t>6301FC2</t>
  </si>
  <si>
    <t xml:space="preserve">SDR Foreign currency denominated </t>
  </si>
  <si>
    <t>6301FD2</t>
  </si>
  <si>
    <t xml:space="preserve">SDR Variable rate </t>
  </si>
  <si>
    <t>6302F</t>
  </si>
  <si>
    <t xml:space="preserve">Debt / Face value / Currency and deposits </t>
  </si>
  <si>
    <t>6302FA1</t>
  </si>
  <si>
    <t xml:space="preserve">Debt / Face value / CURRENCY Domestic creditors </t>
  </si>
  <si>
    <t>6302FA2</t>
  </si>
  <si>
    <t xml:space="preserve">Debt / Face value / CURRENCY External creditors </t>
  </si>
  <si>
    <t>6302FB1</t>
  </si>
  <si>
    <t xml:space="preserve">Debt / Face value / CURRENCY Short-term by original maturity </t>
  </si>
  <si>
    <t>6302FB2</t>
  </si>
  <si>
    <t xml:space="preserve">Debt / Face value / CURRENCY Long-term by original maturity, with payment due in one year or less </t>
  </si>
  <si>
    <t>6302FB3</t>
  </si>
  <si>
    <t xml:space="preserve">Debt / Face value / CURRENCY Long-term by original maturity, with payment due in more than one year </t>
  </si>
  <si>
    <t>6302FC1</t>
  </si>
  <si>
    <t xml:space="preserve">Debt / Face value / CURRENCY Domestic currency denominated </t>
  </si>
  <si>
    <t>6302FC2</t>
  </si>
  <si>
    <t xml:space="preserve">Debt / Face value / CURRENCY Foreign currency denominated </t>
  </si>
  <si>
    <t>6302FD1</t>
  </si>
  <si>
    <t xml:space="preserve">Debt / Face value / CURRENCY Fixed rate </t>
  </si>
  <si>
    <t>6302FD2</t>
  </si>
  <si>
    <t xml:space="preserve">Debt / Face value / CURRENCY Variable rate </t>
  </si>
  <si>
    <t>6303F</t>
  </si>
  <si>
    <t xml:space="preserve">Debt / Face value / Debt securities </t>
  </si>
  <si>
    <t>6303FA1</t>
  </si>
  <si>
    <t xml:space="preserve">Debt / Face value / SECURITIES Domestic creditors </t>
  </si>
  <si>
    <t>6303FA2</t>
  </si>
  <si>
    <t xml:space="preserve">Debt / Face value / SECURITIES External creditors </t>
  </si>
  <si>
    <t>6303FB1</t>
  </si>
  <si>
    <t xml:space="preserve">Debt / Face value / SECURITIES Short-term by original maturity </t>
  </si>
  <si>
    <t>6303FB1d</t>
  </si>
  <si>
    <t xml:space="preserve">Debt / Face value / of which: SECURITIES domestic currency denominated </t>
  </si>
  <si>
    <t>6303FB2</t>
  </si>
  <si>
    <t xml:space="preserve">Debt / Face value / SECURITIES Long-term by original maturity, with payment due in one year or less </t>
  </si>
  <si>
    <t>6303FB2d</t>
  </si>
  <si>
    <t>6303FB3</t>
  </si>
  <si>
    <t xml:space="preserve">Debt / Face value / SECURITIES Long-term by original maturity, with payment due in more than one year </t>
  </si>
  <si>
    <t>6303FC1</t>
  </si>
  <si>
    <t xml:space="preserve">Debt / Face value / SECURITIES Domestic currency denominated </t>
  </si>
  <si>
    <t>6303FC2</t>
  </si>
  <si>
    <t xml:space="preserve">Debt / Face value / SECURITIES Foreign currency denominated </t>
  </si>
  <si>
    <t>6303FD1</t>
  </si>
  <si>
    <t xml:space="preserve">Debt / Face value / SECURITIES Fixed rate </t>
  </si>
  <si>
    <t>6303FD2</t>
  </si>
  <si>
    <t xml:space="preserve">Debt / Face value / SECURITIES Variable rate </t>
  </si>
  <si>
    <t>6304F</t>
  </si>
  <si>
    <t xml:space="preserve">Debt / Face value / Loans </t>
  </si>
  <si>
    <t>6304FA1</t>
  </si>
  <si>
    <t xml:space="preserve">Debt / Face value / LOANS Domestic creditors </t>
  </si>
  <si>
    <t>6304FA2</t>
  </si>
  <si>
    <t xml:space="preserve">Debt / Face value / LOANS External creditors </t>
  </si>
  <si>
    <t>6304FB1</t>
  </si>
  <si>
    <t xml:space="preserve">Debt / Face value / LOANS Short-term by original maturity </t>
  </si>
  <si>
    <t>6304FB1d</t>
  </si>
  <si>
    <t xml:space="preserve">Debt / Face value / of which: LOANS domestic currency denominated </t>
  </si>
  <si>
    <t>6304FB2</t>
  </si>
  <si>
    <t xml:space="preserve">Debt / Face value / LOANS Long-term by original maturity, with payment due in one year or less </t>
  </si>
  <si>
    <t>6304FB2d</t>
  </si>
  <si>
    <t>6304FB3</t>
  </si>
  <si>
    <t xml:space="preserve">Debt / Face value / LOANS Long-term by original maturity, with payment due in more than one year </t>
  </si>
  <si>
    <t>6304FC1</t>
  </si>
  <si>
    <t xml:space="preserve">Debt / Face value / LOANS Domestic currency denominated </t>
  </si>
  <si>
    <t>6304FC2</t>
  </si>
  <si>
    <t xml:space="preserve">Debt / Face value / LOANS Foreign currency denominated </t>
  </si>
  <si>
    <t>6304FD1</t>
  </si>
  <si>
    <t xml:space="preserve">Debt / Face value / LOANS Fixed rate </t>
  </si>
  <si>
    <t>6304FD2</t>
  </si>
  <si>
    <t xml:space="preserve">Debt / Face value / LOANS Variable rate </t>
  </si>
  <si>
    <t>6306F</t>
  </si>
  <si>
    <t xml:space="preserve">Debt / Face value / Insurance, pension, and standardized guarantee schemes </t>
  </si>
  <si>
    <t>6306FA1</t>
  </si>
  <si>
    <t xml:space="preserve">Debt / Face value / IPSG Domestic creditors </t>
  </si>
  <si>
    <t>6306FA2</t>
  </si>
  <si>
    <t xml:space="preserve">Debt / Face value / IPSG External creditors </t>
  </si>
  <si>
    <t>6306FB1</t>
  </si>
  <si>
    <t xml:space="preserve">Debt / Face value / IPSG Short-term by original maturity </t>
  </si>
  <si>
    <t>6306FB2</t>
  </si>
  <si>
    <t xml:space="preserve">Debt / Face value / IPSG Long-term by original maturity, with payment due in one year or less </t>
  </si>
  <si>
    <t>6306FB3</t>
  </si>
  <si>
    <t xml:space="preserve">Debt / Face value / IPSG  Long-term by original maturity, with payment due in more than one year </t>
  </si>
  <si>
    <t>6306FC1</t>
  </si>
  <si>
    <t xml:space="preserve">Debt / Face value / IPSG Domestic currency denominated </t>
  </si>
  <si>
    <t>6306FC2</t>
  </si>
  <si>
    <t xml:space="preserve">Debt / Face value / IPSG Foreign currency denominated </t>
  </si>
  <si>
    <t>6306FD1</t>
  </si>
  <si>
    <t xml:space="preserve">Debt / Face value / IPSG Fixed rate </t>
  </si>
  <si>
    <t>6306FD2</t>
  </si>
  <si>
    <t xml:space="preserve">Debt / Face value / IPSG Variable rate </t>
  </si>
  <si>
    <t>6308F</t>
  </si>
  <si>
    <t xml:space="preserve">Debt / Face value / Other accounts payable </t>
  </si>
  <si>
    <t>6308FA1</t>
  </si>
  <si>
    <t xml:space="preserve">Debt / Face value / accounts payable Domestic creditors </t>
  </si>
  <si>
    <t>6308FA2</t>
  </si>
  <si>
    <t xml:space="preserve">Debt / Face value / accounts payable External creditors </t>
  </si>
  <si>
    <t>6308FB1</t>
  </si>
  <si>
    <t xml:space="preserve">Debt / Face value / accounts payable Short-term by original maturity </t>
  </si>
  <si>
    <t>6308FB2</t>
  </si>
  <si>
    <t xml:space="preserve">Debt / Face value / accounts payable Long-term by original maturity, with payment due in one year or less </t>
  </si>
  <si>
    <t>6308FB3</t>
  </si>
  <si>
    <t xml:space="preserve">Debt / Face value / accounts payable Long-term by original maturity, with payment due in more than one year </t>
  </si>
  <si>
    <t>6308FC1</t>
  </si>
  <si>
    <t xml:space="preserve">Debt / Face value / accounts payable Domestic currency denominated </t>
  </si>
  <si>
    <t>6308FC2</t>
  </si>
  <si>
    <t xml:space="preserve">Debt / Face value / accounts payable Foreign currency denominated </t>
  </si>
  <si>
    <t>6308FD1</t>
  </si>
  <si>
    <t xml:space="preserve">Debt / Face value / accounts payable Fixed rate </t>
  </si>
  <si>
    <t>6308FD2</t>
  </si>
  <si>
    <t xml:space="preserve">Debt / Face value / accounts payable Variable rate </t>
  </si>
  <si>
    <t>CHANGE IN NET WORTH: Other Flows [51 + 52 - 53]</t>
  </si>
  <si>
    <t>Other Flows - Nonfinancial assets [511 + 512 + 513 + 514]</t>
  </si>
  <si>
    <t>Other Flows - Nonfinancial assets : Fixed assets [5111 + 5112 + 5113]</t>
  </si>
  <si>
    <t xml:space="preserve">Other Flows - Nonfinancial assets : Fixed assets:   Buildings and structures </t>
  </si>
  <si>
    <t xml:space="preserve">Other Flows - Nonfinancial assets : Fixed assets:  Machinery and equipment </t>
  </si>
  <si>
    <t xml:space="preserve">Other Flows - Nonfinancial assets : Fixed assets:  Other fixed assets </t>
  </si>
  <si>
    <t>Other Flows - Nonfinancial assets : Fixed assets:  Weapons systems</t>
  </si>
  <si>
    <t xml:space="preserve">Other Flows - Inventories </t>
  </si>
  <si>
    <t xml:space="preserve">Other Flows - Valuables </t>
  </si>
  <si>
    <t>Other Flows - Nonfinancial assets : Nonproduced assets [5141 + 5142 + 5143 + 5144]</t>
  </si>
  <si>
    <t xml:space="preserve">Other Flows - Nonfinancial assets : Nonproduced assets:  Land </t>
  </si>
  <si>
    <t>Other Flows - Nonfinancial assets : Nonproduced assets:  Mineral and energy resources</t>
  </si>
  <si>
    <t xml:space="preserve">Other Flows - Nonfinancial assets : Nonproduced assets:  Other naturally occurring assets </t>
  </si>
  <si>
    <t xml:space="preserve">Other Flows - Nonfinancial assets : Nonproduced assets:  Intangible nonproduced assets </t>
  </si>
  <si>
    <t xml:space="preserve">Other Flows - Financial assets [521+522+523] </t>
  </si>
  <si>
    <t xml:space="preserve">Other Flows - Financial assets:  Monetary gold and SDRs </t>
  </si>
  <si>
    <t xml:space="preserve">Other Flows - Financial assets:  Currency and deposits [5212+5222] </t>
  </si>
  <si>
    <t xml:space="preserve">Other Flows - Financial assets:  Debt Securities  [5213+5223] </t>
  </si>
  <si>
    <t xml:space="preserve">Other Flows - Financial assets:  Loans [5214+5224] </t>
  </si>
  <si>
    <t xml:space="preserve">Other Flows - Financial assets:  Equity and investment fund shares [5215+5225] </t>
  </si>
  <si>
    <t xml:space="preserve">Other Flows - Financial assets:   Insurance, pension, and standardized guarantee schemes  [5216+5226] </t>
  </si>
  <si>
    <t xml:space="preserve">Other Flows - Financial assets:  Financial derivatives and employee stock options [5217+5227] </t>
  </si>
  <si>
    <t xml:space="preserve">Other Flows - Financial assets:  Other accounts receivable [5218+5228] </t>
  </si>
  <si>
    <t>Other Flows - Financial assets:  Domestic  [5212 + 5213 + 5214 + 5215 + 5216+ 5217 + 5218]</t>
  </si>
  <si>
    <t xml:space="preserve">Other Flows - Financial assets:  Domestic - Currency and deposits </t>
  </si>
  <si>
    <t xml:space="preserve">Other Flows - Financial assets:  Domestic - Debt Securities </t>
  </si>
  <si>
    <t xml:space="preserve">Other Flows - Financial assets:  Domestic - Loans </t>
  </si>
  <si>
    <t>Other Flows - Financial assets:  Domestic - Equity and investment fund shares</t>
  </si>
  <si>
    <t xml:space="preserve">Other Flows - Financial assets:  Domestic -  Insurance, pension, and standardized guarantee schemes </t>
  </si>
  <si>
    <t>Other Flows - Financial assets:  Domestic - Financial derivatives and employee stock options</t>
  </si>
  <si>
    <t xml:space="preserve">Other Flows - Financial assets:  Domestic - Other accounts receivable </t>
  </si>
  <si>
    <t>Other Flows - Financial assets:  Foreign  [5222 + 5223 + 5224 + 5225 + 5226+ 5227 + 5228]</t>
  </si>
  <si>
    <t>Other Flows - Financial assets:  Foreign  - Monetary gold and SDRs</t>
  </si>
  <si>
    <t xml:space="preserve">Other Flows - Financial assets:  Foreign  - Currency and deposits </t>
  </si>
  <si>
    <t xml:space="preserve">Other Flows - Financial assets:  Foreign  - Debt Securities </t>
  </si>
  <si>
    <t xml:space="preserve">Other Flows - Financial assets:  Foreign  - Loans </t>
  </si>
  <si>
    <t>Other Flows - Financial assets:  Foreign  - Equity and investment fund shares</t>
  </si>
  <si>
    <t xml:space="preserve">Other Flows - Financial assets:  Foreign  - Insurance, pension, and standardized guarantee schemes </t>
  </si>
  <si>
    <t>Other Flows - Financial assets:  Foreign  - Financial derivatives and employee stock options</t>
  </si>
  <si>
    <t xml:space="preserve">Other Flows - Financial assets:  Foreign  - Other accounts receivable </t>
  </si>
  <si>
    <t xml:space="preserve">Other Flows - Liabilities [531+532] </t>
  </si>
  <si>
    <t>Other Flows - Liabilities:  Special Drawing Rights (SDRs)</t>
  </si>
  <si>
    <t xml:space="preserve">Other Flows - Liabilities:  Currency and deposits [5312+5322] </t>
  </si>
  <si>
    <t xml:space="preserve">Other Flows - Liabilities:  Debt Securities  [5313+5323] </t>
  </si>
  <si>
    <t xml:space="preserve">Other Flows - Liabilities:  Loans [5314+5324] </t>
  </si>
  <si>
    <t xml:space="preserve">Other Flows - Liabilities:  Equity and investment fund shares [5315+5325] </t>
  </si>
  <si>
    <t xml:space="preserve">Other Flows - Liabilities:   Insurance, pension, and standardized guarantee schemes  [5316+5326] </t>
  </si>
  <si>
    <t xml:space="preserve">Other Flows - Liabilities:  Financial derivatives and employee stock options [5317+5327] </t>
  </si>
  <si>
    <t xml:space="preserve">Other Flows - Liabilities:  Other accounts payable [5318+5328] </t>
  </si>
  <si>
    <t>Other Flows - Liabilities:  Domestic  [5312 + 5313 + 5314 + 5315 + 5316+ 5317 + 5318]</t>
  </si>
  <si>
    <t xml:space="preserve">Other Flows - Liabilities:  Domestic - Currency and deposits </t>
  </si>
  <si>
    <t xml:space="preserve">Other Flows - Liabilities:  Domestic - Debt Securities  </t>
  </si>
  <si>
    <t xml:space="preserve">Other Flows - Liabilities:  Domestic - Loans </t>
  </si>
  <si>
    <t>Other Flows - Liabilities:  Domestic - Equity and investment fund shares</t>
  </si>
  <si>
    <t xml:space="preserve">Other Flows - Liabilities:  Domestic - Insurance, pension, and standardized guarantee schemes  </t>
  </si>
  <si>
    <t>Other Flows - Liabilities:  Domestic - Financial derivatives and employee stock options</t>
  </si>
  <si>
    <t xml:space="preserve">Other Flows - Liabilities:  Domestic - Other accounts payable </t>
  </si>
  <si>
    <t>Other Flows - Liabilities:  Foreign [5322 + 5323 + 5324 + 5325 + 5326+ 5327 + 5328]</t>
  </si>
  <si>
    <t>Other Flows - Liabilities:  Foreign  - Special Drawing Rights (SDRs)</t>
  </si>
  <si>
    <t xml:space="preserve">Other Flows - Liabilities:  Foreign  - Currency and deposits </t>
  </si>
  <si>
    <t xml:space="preserve">Other Flows - Liabilities:  Foreign  - Debt Securities </t>
  </si>
  <si>
    <t xml:space="preserve">Other Flows - Liabilities:  Foreign  - Loans </t>
  </si>
  <si>
    <t>Other Flows - Liabilities:  Foreign  - Equity and investment fund shares</t>
  </si>
  <si>
    <t xml:space="preserve">Other Flows - Liabilities:  Foreign  -  Insurance, pension, and standardized guarantee schemes  </t>
  </si>
  <si>
    <t>Other Flows - Liabilities:  Foreign  - Financial derivatives and employee stock options</t>
  </si>
  <si>
    <t xml:space="preserve">Other Flows - Liabilities:  Foreign  - Other accounts payable </t>
  </si>
  <si>
    <t>9M3</t>
  </si>
  <si>
    <t>Other Flows - Memo Item: Debt at market value</t>
  </si>
  <si>
    <t>Excluding Marriott, PKO, Emergencies and COVID-19</t>
  </si>
  <si>
    <t>Excluding Marriott, PKO, Emergencies and COVID-19 (5 YearsAverage)</t>
  </si>
  <si>
    <t>Gross National Income (GNI) US$ mln current prices</t>
  </si>
  <si>
    <t>Tax Loss due to COVID-19</t>
  </si>
  <si>
    <t>Memorandum Item</t>
  </si>
  <si>
    <t>Nominal GDP FY</t>
  </si>
  <si>
    <t xml:space="preserve">   Of Which Emergencies</t>
  </si>
  <si>
    <t>Of Which  COVID-19 Expenditure</t>
  </si>
  <si>
    <t>Financing Gap</t>
  </si>
  <si>
    <t>O/w Existing PCI 1st Review</t>
  </si>
  <si>
    <t>Business Support Fund</t>
  </si>
  <si>
    <t>IMF Debt Relief Cconsired as Grants (Mln USD)</t>
  </si>
  <si>
    <t>Non-Tax Loss due to COVID-19</t>
  </si>
  <si>
    <t xml:space="preserve">BRD </t>
  </si>
  <si>
    <t>UCL (BANK OF KIGALI)</t>
  </si>
  <si>
    <t>Of Which World Bank Issuence in London</t>
  </si>
  <si>
    <t>Of Which Afrexim</t>
  </si>
  <si>
    <t>The macros are specified with user-specific file paths (typically of intMF coordinator), which can be changed to the file paths of the Fiscal Economist so (s)he can run the macros.</t>
  </si>
  <si>
    <t>Coporation tax (excl. local govt taxes)/GDP</t>
  </si>
  <si>
    <t xml:space="preserve">   corporation tax (excl. local govt taxes)/non agric. GDP</t>
  </si>
  <si>
    <t xml:space="preserve">    individual taxes - 'buyoancy factor' of direct taxes/non agric GDP ratio</t>
  </si>
  <si>
    <t>other tax (excl. local govt taxes)/non agric. GDP</t>
  </si>
  <si>
    <t xml:space="preserve">    coprporation taxes - 'buyoancy factor' of corporation taxes/non agric GDP ratio</t>
  </si>
  <si>
    <t>Total Consumption</t>
  </si>
  <si>
    <t>Import</t>
  </si>
  <si>
    <t>II. GFS14 Fiscal specific assumptions (elasticities, growth bases,…)</t>
  </si>
  <si>
    <t>Property tax: recurrent net wealth (excl. local govt taxes)/GDP</t>
  </si>
  <si>
    <t>Property tax: Estate, inheritane &amp; gift (excl. local govt taxes)/GDP</t>
  </si>
  <si>
    <t>Property tax: financial and capital transactions (excl. local govt taxes)/GDP</t>
  </si>
  <si>
    <t>Property tax: non-recurrent (excl. local govt taxes)/GDP</t>
  </si>
  <si>
    <t>Property tax: Other recurrent (excl. local govt taxes)/GDP</t>
  </si>
  <si>
    <t>immovable tax (excl. local govt taxes)/non agric. GDP</t>
  </si>
  <si>
    <t>estate,inheritance&amp;gift tax (excl. local govt taxes)/non agric. GDP</t>
  </si>
  <si>
    <t>financial and capital tax (excl. local govt taxes)/non agric. GDP</t>
  </si>
  <si>
    <t>non-recurrent tax (excl. local govt taxes)/non agric. GDP</t>
  </si>
  <si>
    <t>other recurrent tax (excl. local govt taxes)/non agric. GDP</t>
  </si>
  <si>
    <t>G &amp; S taxes: General (excl. local govt taxes)/GDP</t>
  </si>
  <si>
    <t>G &amp; S taxes: Sales (excl. local govt taxes)/GDP</t>
  </si>
  <si>
    <t>general tax (excl. local govt taxes)/non agric. GDP</t>
  </si>
  <si>
    <t>sales tax (excl. local govt taxes)/non agric. GDP</t>
  </si>
  <si>
    <t>turnover&amp; other general tax (excl. local govt taxes)/non agric. GDP</t>
  </si>
  <si>
    <t xml:space="preserve">    general taxes - 'buyoancy factor' of property taxes/non agric GDP ratio</t>
  </si>
  <si>
    <t xml:space="preserve">    immovable taxes - 'buyoancy factor' of immovable taxes/non agric GDP ratio</t>
  </si>
  <si>
    <t>Property tax:recurrent immovable property(excl. local govt taxes)/GDP</t>
  </si>
  <si>
    <t xml:space="preserve">    estate taxes - 'buyoancy factor' of estate taxes/non agric GDP ratio</t>
  </si>
  <si>
    <t xml:space="preserve">    financial&amp; capital taxes - 'buyoancy factor' of fiancial&amp; capital taxes/non agric GDP ratio</t>
  </si>
  <si>
    <t xml:space="preserve">   non-current taxes - 'buyoancy factor' of non-current taxes/non agric GDP ratio</t>
  </si>
  <si>
    <t xml:space="preserve">    other recurrent taxes - 'buyoancy factor' of other recurrentt axes/non agric GDP ratio</t>
  </si>
  <si>
    <t xml:space="preserve">    sales taxes - 'buyoancy factor' of sales taxes/non agric GDP ratio</t>
  </si>
  <si>
    <t xml:space="preserve"> turnover&amp; other general taxes - 'buyoancy factor' of turnover taxes/non agric GDP ratio</t>
  </si>
  <si>
    <t>G &amp; S taxes: turnoverand other general  G &amp; S(excl. local govt taxes)/GDP</t>
  </si>
  <si>
    <t>G &amp; S taxes: profit of fiscal monopolies (excl. local govt taxes)/GDP</t>
  </si>
  <si>
    <t>profit of fiscal monopolies tax (excl. local govt taxes)/non agric. GDP</t>
  </si>
  <si>
    <t>profit of fiscal monopolies taxes - 'buyoancy factor' of monopolies taxes/non agric GDP ratio</t>
  </si>
  <si>
    <t>specific services tax (excl. local govt taxes)/non agric. GDP</t>
  </si>
  <si>
    <t>G &amp; S taxes: specific services (excl. local govt taxes)/GDP</t>
  </si>
  <si>
    <t>specific services taxes - 'buyoancy factor' of specific services taxes/non agric GDP ratio</t>
  </si>
  <si>
    <t>G &amp; S taxes: use of goods, permission to use Gds (excl. local govt taxes)/GDP</t>
  </si>
  <si>
    <t>use,permission to use gds tax (excl. local govt taxes)/non agric. GDP</t>
  </si>
  <si>
    <t>use,permission to use Gds taxes - 'buyoancy factor' of use,perms to use Gds taxes/non agric GDP ratio</t>
  </si>
  <si>
    <t>Exports</t>
  </si>
  <si>
    <t>VAT tax (excl. local govt taxes)/total consumption</t>
  </si>
  <si>
    <t>G &amp; S taxes: excises (excl. local govt taxes)/Total Consumption</t>
  </si>
  <si>
    <t xml:space="preserve">    VAT taxes - 'buyoancy factor' of VAT taxes/total consumption ratiio</t>
  </si>
  <si>
    <t>excises tax (excl. local govt taxes)/total consumption</t>
  </si>
  <si>
    <t xml:space="preserve"> excise taxes - 'buyoancy factor' of excise taxes/total consumption ratio</t>
  </si>
  <si>
    <t>G &amp; S taxes: Other (excl. local govt taxes)/GDP</t>
  </si>
  <si>
    <t>G &amp; S taxes: other taxes on googd and services  (excl. local govt taxes)/GDP</t>
  </si>
  <si>
    <t>other gods and services tax (excl. local govt taxes)/non agric. GDP</t>
  </si>
  <si>
    <t>other taxes goods and services - 'buyoancy factor' of other taxes on goods and services/non agric GDP ratio</t>
  </si>
  <si>
    <t>other taxes - 'buyoancy factor' of other taxes/non agric GDP ratio</t>
  </si>
  <si>
    <t>custms&amp; other import duties (excl. local govt taxes)/imports</t>
  </si>
  <si>
    <t>customs&amp;other import duties - 'buyoancy factor' of custom&amp;other imports duties/imports ratio</t>
  </si>
  <si>
    <t>taxes on exports (excl. local govt taxes)/exports</t>
  </si>
  <si>
    <t>taxes on exports - 'buyoancy factor' of taxes on exports/exports</t>
  </si>
  <si>
    <t>International trade: Profits of export or import monopolies (excl. local govt taxes)/GDP</t>
  </si>
  <si>
    <t>profits of export or import monopolies tax (excl. local govt taxes)/non agric. GDP</t>
  </si>
  <si>
    <t>profit of export or import monopolies taxes - 'buyoancy factor' of profit exp. or imp. monopoliestaxes/non agric GDP ratio</t>
  </si>
  <si>
    <t>exchange profits tax (excl. local govt taxes)/non agric. GDP</t>
  </si>
  <si>
    <t>International trade: Exchange profits tax (excl. local govt taxes)/GDP</t>
  </si>
  <si>
    <t>exchange profit taxes - 'buyoancy factor' of exchange profit taxes/non agric GDP ratio</t>
  </si>
  <si>
    <t>International trade: Other taxes on international trade and transactions (excl. local govt taxes)/GDP</t>
  </si>
  <si>
    <t>other taxes int. trade and transactions (excl. local govt taxes)/non agric. GDP</t>
  </si>
  <si>
    <t>other taxes on int. trade &amp; transac - 'buyoancy factor' other taxes on Int trad&amp; transac/non agric GDP ratio</t>
  </si>
  <si>
    <t>Exports (Average CY from Real block)</t>
  </si>
  <si>
    <t>International trade: Exchange  taxes (excl. local govt taxes)/GDP</t>
  </si>
  <si>
    <t>exchange tax (excl. local govt taxes)/non agric. GDP</t>
  </si>
  <si>
    <t>exchange taxes - 'buyoancy factor' of exchange taxes/non agric GDP ratio</t>
  </si>
  <si>
    <t>NA</t>
  </si>
  <si>
    <t>Net acquisition of nonfinancial assets</t>
  </si>
  <si>
    <t>IFMIS_PolLend1</t>
  </si>
  <si>
    <t>RRA GL Codes</t>
  </si>
  <si>
    <t>RRA Description</t>
  </si>
  <si>
    <t>AA010</t>
  </si>
  <si>
    <t>Pay As You Earn (PAYE)-Principal</t>
  </si>
  <si>
    <t>AA020</t>
  </si>
  <si>
    <t>Personal Income Tax (PIT)-Principal</t>
  </si>
  <si>
    <t>AA030</t>
  </si>
  <si>
    <t>Capital Gains Tax - Principal</t>
  </si>
  <si>
    <t>AA060</t>
  </si>
  <si>
    <t>Withholding Tax 15% on Service Fees - Principal</t>
  </si>
  <si>
    <t>AA070</t>
  </si>
  <si>
    <t>Withholding Tax 10% on Service Fees - Principal</t>
  </si>
  <si>
    <t>AA080</t>
  </si>
  <si>
    <t>Withholding Tax - Commissions - Principal</t>
  </si>
  <si>
    <t>AA090</t>
  </si>
  <si>
    <t>Withholding Tax on Lottery &amp; Games - Principal</t>
  </si>
  <si>
    <t>AA120</t>
  </si>
  <si>
    <t>Withholding Tax - Performance Payments-Principal</t>
  </si>
  <si>
    <t>AA140</t>
  </si>
  <si>
    <t>Withholding Tax on Bank Interest-Principal</t>
  </si>
  <si>
    <t>AA160</t>
  </si>
  <si>
    <t>Withholding Tax on Dividends-Principal</t>
  </si>
  <si>
    <t>GG020</t>
  </si>
  <si>
    <t>Rental Income Tax principal</t>
  </si>
  <si>
    <t>-</t>
  </si>
  <si>
    <t>AA040</t>
  </si>
  <si>
    <t>Corporate  Income Tax (CIT) - Principal</t>
  </si>
  <si>
    <t>AA110</t>
  </si>
  <si>
    <t>Withholding Tax -Management Fees - Principal</t>
  </si>
  <si>
    <t>AA150</t>
  </si>
  <si>
    <t>AA170</t>
  </si>
  <si>
    <t>Withholding Tax 3 % Public Supply - Principal</t>
  </si>
  <si>
    <t>AA100</t>
  </si>
  <si>
    <t>Withholding Tax-Treasury bonds - Principal</t>
  </si>
  <si>
    <t>FF060</t>
  </si>
  <si>
    <t>Land Lease Fees principal</t>
  </si>
  <si>
    <t>GG010</t>
  </si>
  <si>
    <t>Fixed asset Tax Principal</t>
  </si>
  <si>
    <t>BB010</t>
  </si>
  <si>
    <t>Motovehicle Registration (Domestic)-Principal</t>
  </si>
  <si>
    <t>CC010</t>
  </si>
  <si>
    <t>Value Added Tax(VAT)- Principal</t>
  </si>
  <si>
    <t>CC020</t>
  </si>
  <si>
    <t>Withholding VAT on Public Institution - Principal</t>
  </si>
  <si>
    <t>CC030</t>
  </si>
  <si>
    <t xml:space="preserve">VAT Collection on Imports </t>
  </si>
  <si>
    <t>DD025</t>
  </si>
  <si>
    <t>Change of ownership</t>
  </si>
  <si>
    <t>FF790</t>
  </si>
  <si>
    <t>Fees Charged for Services related to the documents of Immovable Property</t>
  </si>
  <si>
    <t>FF810</t>
  </si>
  <si>
    <t>Changing Ownership of Immovable Property for any reason</t>
  </si>
  <si>
    <t>WW102</t>
  </si>
  <si>
    <t>Motor vehicle ownership transfer</t>
  </si>
  <si>
    <t>WW103</t>
  </si>
  <si>
    <t>Moto Cycle Ownership transfer</t>
  </si>
  <si>
    <t>CC040</t>
  </si>
  <si>
    <t>Excise duty - Local Mineral water -Principal</t>
  </si>
  <si>
    <t>CC050</t>
  </si>
  <si>
    <t>Excise Duty  on Mineral Water - imports</t>
  </si>
  <si>
    <t>CC060</t>
  </si>
  <si>
    <t>Excise duty - Local Fruit Juice - Principal</t>
  </si>
  <si>
    <t>CC070</t>
  </si>
  <si>
    <t>Excise duty - Local other Juice  - Principal</t>
  </si>
  <si>
    <t>CC080</t>
  </si>
  <si>
    <t>Excise Duty- Local Soft Drink - Principal</t>
  </si>
  <si>
    <t>CC090</t>
  </si>
  <si>
    <t>Excise Duty on Soft Drinks - imports</t>
  </si>
  <si>
    <t>CC100</t>
  </si>
  <si>
    <t>Excise duty- Local Beer Principal</t>
  </si>
  <si>
    <t>CC110</t>
  </si>
  <si>
    <t>Excise Duty on Beer - imports</t>
  </si>
  <si>
    <t>CC120</t>
  </si>
  <si>
    <t>Excise duty - Local Wines &amp;Liquor- Principal</t>
  </si>
  <si>
    <t>CC130</t>
  </si>
  <si>
    <t>Excise Duty on Wines and Liquors - imports</t>
  </si>
  <si>
    <t>CC140</t>
  </si>
  <si>
    <t>Excise duty - Local Cigarettes -Principal</t>
  </si>
  <si>
    <t>CC150</t>
  </si>
  <si>
    <t>Excise Duty on Cigarettes - imports</t>
  </si>
  <si>
    <t>CC160</t>
  </si>
  <si>
    <t>Excise duty - Local Airtime - Principal</t>
  </si>
  <si>
    <t>CC170</t>
  </si>
  <si>
    <t>Excise Duty on Petroleum Products  - imports</t>
  </si>
  <si>
    <t>CC180</t>
  </si>
  <si>
    <t>Excise Duty  on Vehicles - imports</t>
  </si>
  <si>
    <t>CC190</t>
  </si>
  <si>
    <t>Excise Duty  on Milk - imports</t>
  </si>
  <si>
    <t>CC210</t>
  </si>
  <si>
    <t>Excise duty- on Lubricant - Principal</t>
  </si>
  <si>
    <t>CC300</t>
  </si>
  <si>
    <t>Strategic Petroleum Reserve levy</t>
  </si>
  <si>
    <t>CC400</t>
  </si>
  <si>
    <t>Road Fund- Fuel levy (Road Transport fee)</t>
  </si>
  <si>
    <t>WW113</t>
  </si>
  <si>
    <t>Issuance of tax stamps on tobacco , liquors and wines</t>
  </si>
  <si>
    <t>AA050</t>
  </si>
  <si>
    <t>GAMING TAX -Principal</t>
  </si>
  <si>
    <t>GG030</t>
  </si>
  <si>
    <t>Trading License Tax (Patent) principal</t>
  </si>
  <si>
    <t>FF480</t>
  </si>
  <si>
    <t>Mines Exploitation License</t>
  </si>
  <si>
    <t>FF490</t>
  </si>
  <si>
    <t>Mines Selling License</t>
  </si>
  <si>
    <t>FF520</t>
  </si>
  <si>
    <t>Quarry Exploitation License</t>
  </si>
  <si>
    <t>FF530</t>
  </si>
  <si>
    <t>Licenses To Exploit Sub-Soil Assets</t>
  </si>
  <si>
    <t>MM143</t>
  </si>
  <si>
    <t>MM147</t>
  </si>
  <si>
    <t>Forestry and Natural conservation (FNC)</t>
  </si>
  <si>
    <t>MM148</t>
  </si>
  <si>
    <t>Integrated water resources management fees</t>
  </si>
  <si>
    <t>AA180</t>
  </si>
  <si>
    <t>Withholding 5% Tax on imports</t>
  </si>
  <si>
    <t>BB020</t>
  </si>
  <si>
    <t>Moto vehicles Registrations-Customs</t>
  </si>
  <si>
    <t>DD010</t>
  </si>
  <si>
    <t>Import Duty on  Petrol Products</t>
  </si>
  <si>
    <t>DD011</t>
  </si>
  <si>
    <t xml:space="preserve">Import Duty on other Goods </t>
  </si>
  <si>
    <t>DD012</t>
  </si>
  <si>
    <t>Surcharges</t>
  </si>
  <si>
    <t>DD024</t>
  </si>
  <si>
    <t>Customs Duties sur P V</t>
  </si>
  <si>
    <t>DD050</t>
  </si>
  <si>
    <t>Revenues from motovehicle entry card</t>
  </si>
  <si>
    <t>DD070</t>
  </si>
  <si>
    <t>Infrastructure Development Levy</t>
  </si>
  <si>
    <t>DD071</t>
  </si>
  <si>
    <t xml:space="preserve">African Union  Import levy </t>
  </si>
  <si>
    <t>DD021</t>
  </si>
  <si>
    <t>Congolese Trucks carrying sand from Rubavu to DRC</t>
  </si>
  <si>
    <t>DD032</t>
  </si>
  <si>
    <t>Re-exportation</t>
  </si>
  <si>
    <t>DD036</t>
  </si>
  <si>
    <t>Congolese with business in DRC who cross daily to Rubavu</t>
  </si>
  <si>
    <t>DD060</t>
  </si>
  <si>
    <t>Export tax on Hides &amp; Skins</t>
  </si>
  <si>
    <t>AA011</t>
  </si>
  <si>
    <t>Pay As You Earn (PAYE)-Interests</t>
  </si>
  <si>
    <t>AA021</t>
  </si>
  <si>
    <t>Personal Income Tax (PIT)-Interests</t>
  </si>
  <si>
    <t>AA041</t>
  </si>
  <si>
    <t>Corporate  Income Tax (CIT)  - Interests</t>
  </si>
  <si>
    <t>AA051</t>
  </si>
  <si>
    <t>GAMING TAX Interest</t>
  </si>
  <si>
    <t>AA061</t>
  </si>
  <si>
    <t>Withholding Tax 15% on Service Fees - Interest</t>
  </si>
  <si>
    <t>AA071</t>
  </si>
  <si>
    <t>Withholding Tax 10% on Service Fees - Interest</t>
  </si>
  <si>
    <t>AA081</t>
  </si>
  <si>
    <t>Withholding Tax - Commissions - Interest</t>
  </si>
  <si>
    <t>AA091</t>
  </si>
  <si>
    <t>Withholding Tax on Lottery &amp; Games - Interest</t>
  </si>
  <si>
    <t>AA101</t>
  </si>
  <si>
    <t>Withholding Tax-Treasury bonds - Interest</t>
  </si>
  <si>
    <t>AA111</t>
  </si>
  <si>
    <t>Withholding Tax -Management Fees - Interest</t>
  </si>
  <si>
    <t>AA121</t>
  </si>
  <si>
    <t>Withholding Tax - Performance Payments-Interest</t>
  </si>
  <si>
    <t>AA131</t>
  </si>
  <si>
    <t>Withholding Tax on Royalties- Interest</t>
  </si>
  <si>
    <t>AA141</t>
  </si>
  <si>
    <t>Withholding Tax on Bank Interest-Interests</t>
  </si>
  <si>
    <t>AA142</t>
  </si>
  <si>
    <t>Withholding Tax on Bank Interest-Penalties</t>
  </si>
  <si>
    <t>AA151</t>
  </si>
  <si>
    <t>AA161</t>
  </si>
  <si>
    <t>Withholding Tax on Dividends-Interest</t>
  </si>
  <si>
    <t>AA171</t>
  </si>
  <si>
    <t>Withholding Tax 3 % Public Supply - Interest</t>
  </si>
  <si>
    <t>BB011</t>
  </si>
  <si>
    <t>Motovehicle Registration (Domestic)-Interest</t>
  </si>
  <si>
    <t>CC011</t>
  </si>
  <si>
    <t>Value Added Tax(VAT) - Interests</t>
  </si>
  <si>
    <t>CC041</t>
  </si>
  <si>
    <t>Excise duty - Local Mineral water -Interest</t>
  </si>
  <si>
    <t>CC061</t>
  </si>
  <si>
    <t>Excise duty - Local Fruit Juice - Interest</t>
  </si>
  <si>
    <t>CC071</t>
  </si>
  <si>
    <t>Excise duty - Local other Juice  - Interest</t>
  </si>
  <si>
    <t>CC081</t>
  </si>
  <si>
    <t>Excise Duty- Local Soft Drink - Interests</t>
  </si>
  <si>
    <t>CC101</t>
  </si>
  <si>
    <t>Excise duty- Local Beer Interest</t>
  </si>
  <si>
    <t>CC121</t>
  </si>
  <si>
    <t>Excise duty - Local Wines &amp;Liquor- Interst</t>
  </si>
  <si>
    <t>CC141</t>
  </si>
  <si>
    <t>Excise duty - Local Cigarettes -Interest</t>
  </si>
  <si>
    <t>CC161</t>
  </si>
  <si>
    <t>Excise duty - Local Airtime - Interests</t>
  </si>
  <si>
    <t>CC201</t>
  </si>
  <si>
    <t>Royalty Tax on Mining - Interests</t>
  </si>
  <si>
    <t>CC211</t>
  </si>
  <si>
    <t>Excise duty- on Lubricant - Interest</t>
  </si>
  <si>
    <t>FF012</t>
  </si>
  <si>
    <t>Arrears Fees_INTEREST</t>
  </si>
  <si>
    <t>FF022</t>
  </si>
  <si>
    <t xml:space="preserve">Advertising on Billboard _x000D_Interest
</t>
  </si>
  <si>
    <t>FF042</t>
  </si>
  <si>
    <t xml:space="preserve">Communication towers_x000D_ interest
</t>
  </si>
  <si>
    <t>FF062</t>
  </si>
  <si>
    <t>Land Lease Fees interest</t>
  </si>
  <si>
    <t>FF072</t>
  </si>
  <si>
    <t>Market Fee_INTEREST</t>
  </si>
  <si>
    <t>FF782</t>
  </si>
  <si>
    <t>Public Cleaning interest</t>
  </si>
  <si>
    <t>GG012</t>
  </si>
  <si>
    <t>Fixed asset Tax interest</t>
  </si>
  <si>
    <t>GG022</t>
  </si>
  <si>
    <t>Rental Income Tax interest</t>
  </si>
  <si>
    <t>GG032</t>
  </si>
  <si>
    <t>Trading License Tax (Patent) interest</t>
  </si>
  <si>
    <t>AA130</t>
  </si>
  <si>
    <t>Withholding Tax on Royalties- Principal</t>
  </si>
  <si>
    <t>CC200</t>
  </si>
  <si>
    <t>Royalty Tax on Mining - Principal</t>
  </si>
  <si>
    <t>DD022</t>
  </si>
  <si>
    <t>Query</t>
  </si>
  <si>
    <t>DD023</t>
  </si>
  <si>
    <t>Licensing fee for bonded warehouse</t>
  </si>
  <si>
    <t>DD026</t>
  </si>
  <si>
    <t>Change of destination</t>
  </si>
  <si>
    <t>DD027</t>
  </si>
  <si>
    <t>DTDR Spontanee/DDCom Spontanee</t>
  </si>
  <si>
    <t>DD029</t>
  </si>
  <si>
    <t>Archive documents</t>
  </si>
  <si>
    <t>DD030</t>
  </si>
  <si>
    <t>Transhipment</t>
  </si>
  <si>
    <t>DD031</t>
  </si>
  <si>
    <t>Cancellation</t>
  </si>
  <si>
    <t>DD034</t>
  </si>
  <si>
    <t>Licensing fee for clearing agency</t>
  </si>
  <si>
    <t>DD035</t>
  </si>
  <si>
    <t xml:space="preserve">Licensing fee for Transit or Transport </t>
  </si>
  <si>
    <t>DD037</t>
  </si>
  <si>
    <t>Licensing fees</t>
  </si>
  <si>
    <t>DD038</t>
  </si>
  <si>
    <t>Temporary imported foreign vehicles  administrative fees</t>
  </si>
  <si>
    <t>DD039</t>
  </si>
  <si>
    <t>Customs Fees</t>
  </si>
  <si>
    <t>DD080</t>
  </si>
  <si>
    <t>Other Warehousing Fees</t>
  </si>
  <si>
    <t>DD090</t>
  </si>
  <si>
    <t>Quality Inspection Fees</t>
  </si>
  <si>
    <t>DD100</t>
  </si>
  <si>
    <t>Public Auction</t>
  </si>
  <si>
    <t>FF010</t>
  </si>
  <si>
    <t>Arrears Fees_PRINCIPAL</t>
  </si>
  <si>
    <t>FF020</t>
  </si>
  <si>
    <t xml:space="preserve">Advertising on Billboard _x000D_Principal
</t>
  </si>
  <si>
    <t>FF030</t>
  </si>
  <si>
    <t>Boat Number Plate</t>
  </si>
  <si>
    <t>FF040</t>
  </si>
  <si>
    <t xml:space="preserve">Communication towers_x000D_ principal
</t>
  </si>
  <si>
    <t>FF070</t>
  </si>
  <si>
    <t>Market Fee_PRINCIPAL</t>
  </si>
  <si>
    <t>FF080</t>
  </si>
  <si>
    <t>Charged on Official Certificates and Documents to be notified by public notary</t>
  </si>
  <si>
    <t>FF090</t>
  </si>
  <si>
    <t>Authentification of a signature on Documents</t>
  </si>
  <si>
    <t>FF100</t>
  </si>
  <si>
    <t>Civil Status Certificate</t>
  </si>
  <si>
    <t>FF110</t>
  </si>
  <si>
    <t>Notarization for by laws</t>
  </si>
  <si>
    <t>FF120</t>
  </si>
  <si>
    <t>Notarization of any agreements</t>
  </si>
  <si>
    <t>FF121</t>
  </si>
  <si>
    <t>Notification of land related documents by notary</t>
  </si>
  <si>
    <t>FF130</t>
  </si>
  <si>
    <t>Public Auction of Private Immovable Property</t>
  </si>
  <si>
    <t>FF140</t>
  </si>
  <si>
    <t>Marriage Booklet</t>
  </si>
  <si>
    <t>FF150</t>
  </si>
  <si>
    <t>Any Other Certificates whose cost has not been determined</t>
  </si>
  <si>
    <t>FF160</t>
  </si>
  <si>
    <t>Changing names or shares certificates in companies</t>
  </si>
  <si>
    <t>FF170</t>
  </si>
  <si>
    <t>Fee Charged On Civil Marriage Done Outside The Official Business Days</t>
  </si>
  <si>
    <t>FF180</t>
  </si>
  <si>
    <t>Registration Cancellation review or Assignment of Debt Mortgage</t>
  </si>
  <si>
    <t>FF190</t>
  </si>
  <si>
    <t>Authentification of Bank Loan agreement fees(Obtaining Volume Number)</t>
  </si>
  <si>
    <t>FF200</t>
  </si>
  <si>
    <t>Normal Civil mariage fees</t>
  </si>
  <si>
    <t>FF210</t>
  </si>
  <si>
    <t>Copy of Short civil status certificate</t>
  </si>
  <si>
    <t>FF220</t>
  </si>
  <si>
    <t>Short civil status certificate</t>
  </si>
  <si>
    <t>FF230</t>
  </si>
  <si>
    <t>Living or death Certificate</t>
  </si>
  <si>
    <t>FF240</t>
  </si>
  <si>
    <t>Identification Certificate fees</t>
  </si>
  <si>
    <t>FF250</t>
  </si>
  <si>
    <t>Birth Certificate</t>
  </si>
  <si>
    <t>FF260</t>
  </si>
  <si>
    <t>Marriage Certificate</t>
  </si>
  <si>
    <t>FF270</t>
  </si>
  <si>
    <t>Certificate of Celibacy</t>
  </si>
  <si>
    <t>FF280</t>
  </si>
  <si>
    <t>Authentification of Documents</t>
  </si>
  <si>
    <t>FF290</t>
  </si>
  <si>
    <t>Certificate of Divorce</t>
  </si>
  <si>
    <t>FF300</t>
  </si>
  <si>
    <t>Widows Certificate</t>
  </si>
  <si>
    <t>FF310</t>
  </si>
  <si>
    <t>Certificate of Nationality</t>
  </si>
  <si>
    <t>FF320</t>
  </si>
  <si>
    <t>Certificate of Residence</t>
  </si>
  <si>
    <t>FF330</t>
  </si>
  <si>
    <t>Certificate of Cohabitation</t>
  </si>
  <si>
    <t>FF340</t>
  </si>
  <si>
    <t>Out Sourcing Fees</t>
  </si>
  <si>
    <t>FF380</t>
  </si>
  <si>
    <t>Public Cementery</t>
  </si>
  <si>
    <t>FF390</t>
  </si>
  <si>
    <t>Transport of Materials from quarries and forests</t>
  </si>
  <si>
    <t>FF400</t>
  </si>
  <si>
    <t>Other Fees</t>
  </si>
  <si>
    <t>FF460</t>
  </si>
  <si>
    <t>Public Cemetery</t>
  </si>
  <si>
    <t>FF470</t>
  </si>
  <si>
    <t>Transportation of timber permit</t>
  </si>
  <si>
    <t>FF500</t>
  </si>
  <si>
    <t>Animal Vaccination fees</t>
  </si>
  <si>
    <t>FF540</t>
  </si>
  <si>
    <t>A document from a case file</t>
  </si>
  <si>
    <t>FF550</t>
  </si>
  <si>
    <t>Underground Road crossing installation Permit</t>
  </si>
  <si>
    <t>FF570</t>
  </si>
  <si>
    <t>Cadastral plan</t>
  </si>
  <si>
    <t>FF580</t>
  </si>
  <si>
    <t xml:space="preserve">	Sale of Tender Documents</t>
  </si>
  <si>
    <t>FF590</t>
  </si>
  <si>
    <t>Insemination fees</t>
  </si>
  <si>
    <t>FF600</t>
  </si>
  <si>
    <t>Fees on Authorization to adopt a kid</t>
  </si>
  <si>
    <t>FF620</t>
  </si>
  <si>
    <t>Dowry Registration fees</t>
  </si>
  <si>
    <t>FF630</t>
  </si>
  <si>
    <t>FF640</t>
  </si>
  <si>
    <t>Passport request fee</t>
  </si>
  <si>
    <t>FF650</t>
  </si>
  <si>
    <t>ibyangombwa ku abantu bafite Ubumuga</t>
  </si>
  <si>
    <t>FF660</t>
  </si>
  <si>
    <t xml:space="preserve">Affidavit Fees </t>
  </si>
  <si>
    <t>FF680</t>
  </si>
  <si>
    <t>Animal ear tag  fees</t>
  </si>
  <si>
    <t>FF700</t>
  </si>
  <si>
    <t>Admin fines</t>
  </si>
  <si>
    <t>FF710</t>
  </si>
  <si>
    <t>Forests Fees</t>
  </si>
  <si>
    <t>FF720</t>
  </si>
  <si>
    <t>Livestock transportation permit</t>
  </si>
  <si>
    <t>FF800</t>
  </si>
  <si>
    <t>Fees Charged on Authorization to burn Firewood Clay briks and Roof Tiles</t>
  </si>
  <si>
    <t>FF820</t>
  </si>
  <si>
    <t>Advertising on Banners</t>
  </si>
  <si>
    <t>FF830</t>
  </si>
  <si>
    <t>Bicycle Number Plate</t>
  </si>
  <si>
    <t>FF840</t>
  </si>
  <si>
    <t>Printing Form</t>
  </si>
  <si>
    <t>FF850</t>
  </si>
  <si>
    <t>Document Fees</t>
  </si>
  <si>
    <t>FF860</t>
  </si>
  <si>
    <t>Building construction permit(0-100 SQUARE_METER)</t>
  </si>
  <si>
    <t>FF870</t>
  </si>
  <si>
    <t>Building construction permit(100-500_SQUARE_METER)</t>
  </si>
  <si>
    <t>FF880</t>
  </si>
  <si>
    <t>Building construction permit(&gt;500_SQUARE_METER)</t>
  </si>
  <si>
    <t>FF890</t>
  </si>
  <si>
    <t>Building permit and measurement of land plot in imidugudu located in rural areas</t>
  </si>
  <si>
    <t>FF900</t>
  </si>
  <si>
    <t>Changes or requests for a new land lease title</t>
  </si>
  <si>
    <t>FF910</t>
  </si>
  <si>
    <t>Authorization for repair rehabilitation of houses or erection of a fence around a house in Kigali City</t>
  </si>
  <si>
    <t>FF920</t>
  </si>
  <si>
    <t>Authorization for repair rehabilitation of houses or erection of a fence around a house in other areas</t>
  </si>
  <si>
    <t>FF930</t>
  </si>
  <si>
    <t>Request for a map showing the boundaries design and acreage of a land plot</t>
  </si>
  <si>
    <t>FF940</t>
  </si>
  <si>
    <t>Land Sub Division</t>
  </si>
  <si>
    <t>FF950</t>
  </si>
  <si>
    <t>Land merging</t>
  </si>
  <si>
    <t>FF960</t>
  </si>
  <si>
    <t>Change of land use</t>
  </si>
  <si>
    <t>MM101</t>
  </si>
  <si>
    <t>Passport/Travel Document Fees</t>
  </si>
  <si>
    <t>MM102</t>
  </si>
  <si>
    <t>Migration Visas</t>
  </si>
  <si>
    <t>MM103</t>
  </si>
  <si>
    <t>Notary Charges</t>
  </si>
  <si>
    <t>MM106</t>
  </si>
  <si>
    <t>Driving Licenses</t>
  </si>
  <si>
    <t>MM112</t>
  </si>
  <si>
    <t>Collections from Ambassies</t>
  </si>
  <si>
    <t>MM114</t>
  </si>
  <si>
    <t>Sale Of Accreditation Cards</t>
  </si>
  <si>
    <t>MM122</t>
  </si>
  <si>
    <t>Chancellerie Rights Legislation And State Preview</t>
  </si>
  <si>
    <t>MM124</t>
  </si>
  <si>
    <t>Other Administrative  Fees</t>
  </si>
  <si>
    <t>MM128</t>
  </si>
  <si>
    <t>Rwanda Housing Authority Administrative  Fees</t>
  </si>
  <si>
    <t>MM130</t>
  </si>
  <si>
    <t>Other Driving License Fees and Exams</t>
  </si>
  <si>
    <t>MM131</t>
  </si>
  <si>
    <t>Examination Fees - MINEDUC</t>
  </si>
  <si>
    <t>MM135</t>
  </si>
  <si>
    <t>Systematic Land Registration</t>
  </si>
  <si>
    <t>MM136</t>
  </si>
  <si>
    <t>Orthophotos Fees</t>
  </si>
  <si>
    <t>MM137</t>
  </si>
  <si>
    <t>Land Registration Certificate Fees</t>
  </si>
  <si>
    <t>MM138</t>
  </si>
  <si>
    <t>Blood transfusion fees</t>
  </si>
  <si>
    <t>MM140</t>
  </si>
  <si>
    <t>Sanitary photo certificate  -MINAGRI</t>
  </si>
  <si>
    <t>MM141</t>
  </si>
  <si>
    <t>Waste disposal Fees</t>
  </si>
  <si>
    <t>MM149</t>
  </si>
  <si>
    <t>Gacaca/CNLG Fees</t>
  </si>
  <si>
    <t>MM153</t>
  </si>
  <si>
    <t>Application for National ID</t>
  </si>
  <si>
    <t>MM154</t>
  </si>
  <si>
    <t xml:space="preserve">Citizen and children registration </t>
  </si>
  <si>
    <t>MM155</t>
  </si>
  <si>
    <t>Civil Society Organization Registration</t>
  </si>
  <si>
    <t>RR102</t>
  </si>
  <si>
    <t xml:space="preserve">Rental of plates numbers </t>
  </si>
  <si>
    <t>RR106</t>
  </si>
  <si>
    <t>Location fees for Communication Towers</t>
  </si>
  <si>
    <t>WW100</t>
  </si>
  <si>
    <t>Tax clearance certificate</t>
  </si>
  <si>
    <t>WW101</t>
  </si>
  <si>
    <t>Quitus Fiscal</t>
  </si>
  <si>
    <t>WW104</t>
  </si>
  <si>
    <t>Issuance of New Plate for Motor Vehicle  when the other is lost damaged or old</t>
  </si>
  <si>
    <t>WW105</t>
  </si>
  <si>
    <t xml:space="preserve">Issuance of New Plate for Motor cycle &amp; square plate number for Motor vehicles when the other is lost damaged or old </t>
  </si>
  <si>
    <t>WW106</t>
  </si>
  <si>
    <t>Lost of log book</t>
  </si>
  <si>
    <t>WW107</t>
  </si>
  <si>
    <t>Request of hard copies of declaration</t>
  </si>
  <si>
    <t>WW108</t>
  </si>
  <si>
    <t>Tax arrears certificate (for public tender)</t>
  </si>
  <si>
    <t>WW109</t>
  </si>
  <si>
    <t>Duplicate  sticker</t>
  </si>
  <si>
    <t>WW110</t>
  </si>
  <si>
    <t xml:space="preserve">Ownership certificate </t>
  </si>
  <si>
    <t>WW111</t>
  </si>
  <si>
    <t>Application fees for tax advisors</t>
  </si>
  <si>
    <t>WW112</t>
  </si>
  <si>
    <t>Application fees for ICPAR Members</t>
  </si>
  <si>
    <t>WW200</t>
  </si>
  <si>
    <t>Computer processing Fees</t>
  </si>
  <si>
    <t>WW202</t>
  </si>
  <si>
    <t>Certificates of origin</t>
  </si>
  <si>
    <t>WW203</t>
  </si>
  <si>
    <t>VI-BUHITA</t>
  </si>
  <si>
    <t>WW204</t>
  </si>
  <si>
    <t>Exemption form</t>
  </si>
  <si>
    <t>WW205</t>
  </si>
  <si>
    <t>Seales</t>
  </si>
  <si>
    <t>WW206</t>
  </si>
  <si>
    <t>GSP ASP AGOA</t>
  </si>
  <si>
    <t>WW207</t>
  </si>
  <si>
    <t>Application fees</t>
  </si>
  <si>
    <t>WW208</t>
  </si>
  <si>
    <t>Bagdes fee</t>
  </si>
  <si>
    <t>WW209</t>
  </si>
  <si>
    <t>Euro1</t>
  </si>
  <si>
    <t>WW210</t>
  </si>
  <si>
    <t>Empty manifest</t>
  </si>
  <si>
    <t>CC401</t>
  </si>
  <si>
    <t>Road Fund- Road toll</t>
  </si>
  <si>
    <t>DD033</t>
  </si>
  <si>
    <t>Amande</t>
  </si>
  <si>
    <t>FF050</t>
  </si>
  <si>
    <t>kvcs fees_PRINCIPAL</t>
  </si>
  <si>
    <t>FF350</t>
  </si>
  <si>
    <t>Parking Fee</t>
  </si>
  <si>
    <t>FF360</t>
  </si>
  <si>
    <t>Public Parking</t>
  </si>
  <si>
    <t>FF370</t>
  </si>
  <si>
    <t>Boat Parking</t>
  </si>
  <si>
    <t>FF510</t>
  </si>
  <si>
    <t>Proceeds From Rentals</t>
  </si>
  <si>
    <t>FF560</t>
  </si>
  <si>
    <t>District Water Bill</t>
  </si>
  <si>
    <t>FF610</t>
  </si>
  <si>
    <t>Sale Of Flags</t>
  </si>
  <si>
    <t>FF690</t>
  </si>
  <si>
    <t>To whom it may concern</t>
  </si>
  <si>
    <t>FF780</t>
  </si>
  <si>
    <t>Public Cleaning principal</t>
  </si>
  <si>
    <t>MM104</t>
  </si>
  <si>
    <t>MM108</t>
  </si>
  <si>
    <t>General laboratories Test</t>
  </si>
  <si>
    <t>MM109</t>
  </si>
  <si>
    <t>Sale Of Official Gazette</t>
  </si>
  <si>
    <t>MM111</t>
  </si>
  <si>
    <t>MM115</t>
  </si>
  <si>
    <t>Sale of Standards(SS)</t>
  </si>
  <si>
    <t>MM116</t>
  </si>
  <si>
    <t>RBS Laboratory Fees</t>
  </si>
  <si>
    <t>MM117</t>
  </si>
  <si>
    <t>Calibration and Verification Charges</t>
  </si>
  <si>
    <t>MM125</t>
  </si>
  <si>
    <t>Sale Of Geographical Maps</t>
  </si>
  <si>
    <t>MM132</t>
  </si>
  <si>
    <t>Book Sales - MINEDUC</t>
  </si>
  <si>
    <t>MM134</t>
  </si>
  <si>
    <t xml:space="preserve">National Museum Institute Fees </t>
  </si>
  <si>
    <t>MM152</t>
  </si>
  <si>
    <t>East Africa Tourist Visa (EATV)</t>
  </si>
  <si>
    <t>RR101</t>
  </si>
  <si>
    <t>Agricultural revenues</t>
  </si>
  <si>
    <t>RR103</t>
  </si>
  <si>
    <t>Sale Of Used State Objects -Public Auction</t>
  </si>
  <si>
    <t>RR104</t>
  </si>
  <si>
    <t>Hire of Halls and Other GOR Facilities</t>
  </si>
  <si>
    <t>RR105</t>
  </si>
  <si>
    <t>Rent of public administration lands</t>
  </si>
  <si>
    <t>WW201</t>
  </si>
  <si>
    <t>Ventes imprimes</t>
  </si>
  <si>
    <t>AA012</t>
  </si>
  <si>
    <t>Pay As You Earn (PAYE)-Penalties</t>
  </si>
  <si>
    <t>AA022</t>
  </si>
  <si>
    <t>Personal Income Tax (PIT)-Penalties</t>
  </si>
  <si>
    <t>AA032</t>
  </si>
  <si>
    <t>Capital Gains Tax - Penalties</t>
  </si>
  <si>
    <t>AA042</t>
  </si>
  <si>
    <t>Corporate  Income Tax (CIT)- Penalties</t>
  </si>
  <si>
    <t>AA052</t>
  </si>
  <si>
    <t>GAMING TAX PENALTY</t>
  </si>
  <si>
    <t>AA062</t>
  </si>
  <si>
    <t>Withholding Tax 15% on Service Fees - Penalty</t>
  </si>
  <si>
    <t>AA072</t>
  </si>
  <si>
    <t>Withholding Tax 10% on Service Fees - Penalty</t>
  </si>
  <si>
    <t>AA082</t>
  </si>
  <si>
    <t>Withholding Tax - Commissions - Penalty</t>
  </si>
  <si>
    <t>AA092</t>
  </si>
  <si>
    <t>Withholding Tax on Lottery &amp; Games - Penalty</t>
  </si>
  <si>
    <t>AA102</t>
  </si>
  <si>
    <t>Withholding Tax-Treasury bonds - Penalty</t>
  </si>
  <si>
    <t>AA112</t>
  </si>
  <si>
    <t>Withholding Tax -Management Fees - Penalty</t>
  </si>
  <si>
    <t>AA122</t>
  </si>
  <si>
    <t>Withholding Tax - Performance Payments-Penalty</t>
  </si>
  <si>
    <t>AA132</t>
  </si>
  <si>
    <t>Withholding Tax on Royalties- Penalty</t>
  </si>
  <si>
    <t>AA152</t>
  </si>
  <si>
    <t>AA162</t>
  </si>
  <si>
    <t>Withholding Tax on Dividends-Penalty</t>
  </si>
  <si>
    <t>AA172</t>
  </si>
  <si>
    <t>Withholding Tax 3 % Public Supply - Penalty</t>
  </si>
  <si>
    <t>BB012</t>
  </si>
  <si>
    <t>Motovehicle Registration (Domestic)-Penality</t>
  </si>
  <si>
    <t>CC012</t>
  </si>
  <si>
    <t>Value Added Tax(VAT) - Penalty</t>
  </si>
  <si>
    <t>CC022</t>
  </si>
  <si>
    <t>Withholding VAT on Public Institution - Penalties</t>
  </si>
  <si>
    <t>CC042</t>
  </si>
  <si>
    <t>Excise duty - Local Mineral water -Penalty</t>
  </si>
  <si>
    <t>CC062</t>
  </si>
  <si>
    <t>Excise duty - Local Fruit Juice - Penalty</t>
  </si>
  <si>
    <t>CC072</t>
  </si>
  <si>
    <t>Excise duty - Local other Juice  - Penalty</t>
  </si>
  <si>
    <t>CC082</t>
  </si>
  <si>
    <t>Excise Duty- Local Soft Drink - Penalties</t>
  </si>
  <si>
    <t>CC102</t>
  </si>
  <si>
    <t>Excise Duty- Local Beer Penalties</t>
  </si>
  <si>
    <t>CC122</t>
  </si>
  <si>
    <t>Excise duty - Local Wines &amp;Liquor- Penalty</t>
  </si>
  <si>
    <t>CC142</t>
  </si>
  <si>
    <t>Excise duty - Local Cigarettes -Penalty</t>
  </si>
  <si>
    <t>CC162</t>
  </si>
  <si>
    <t>Excise duty - Local Airtime - Penalty</t>
  </si>
  <si>
    <t>CC202</t>
  </si>
  <si>
    <t>Royalty Tax on Mining - Panalties</t>
  </si>
  <si>
    <t>CC212</t>
  </si>
  <si>
    <t>Excise duty- on Lubricant - Penalties</t>
  </si>
  <si>
    <t>DD020</t>
  </si>
  <si>
    <t>Amandes</t>
  </si>
  <si>
    <t>DD028</t>
  </si>
  <si>
    <t>Amende sur PV</t>
  </si>
  <si>
    <t>FF011</t>
  </si>
  <si>
    <t>Arrears Fees_PENALTY</t>
  </si>
  <si>
    <t>FF021</t>
  </si>
  <si>
    <t xml:space="preserve">Advertising on Billboard _x000D_Penalty
</t>
  </si>
  <si>
    <t>FF041</t>
  </si>
  <si>
    <t xml:space="preserve">Communication towers_x000D_ penalty
</t>
  </si>
  <si>
    <t>FF061</t>
  </si>
  <si>
    <t>Land Lease Fees penalty</t>
  </si>
  <si>
    <t>FF071</t>
  </si>
  <si>
    <t>Market Fee_PENALTY</t>
  </si>
  <si>
    <t>FF670</t>
  </si>
  <si>
    <t>Court fees</t>
  </si>
  <si>
    <t>FF781</t>
  </si>
  <si>
    <t>Public Cleaning penality</t>
  </si>
  <si>
    <t>GG011</t>
  </si>
  <si>
    <t>Fixed asset Tax penalty</t>
  </si>
  <si>
    <t>GG021</t>
  </si>
  <si>
    <t>Rental Income Tax penalty</t>
  </si>
  <si>
    <t>GG031</t>
  </si>
  <si>
    <t>Trading License Tax (Patent) penalty</t>
  </si>
  <si>
    <t>JJ102</t>
  </si>
  <si>
    <t>Judicial penalties</t>
  </si>
  <si>
    <t>JJ103</t>
  </si>
  <si>
    <t>Penalties of commercial cases</t>
  </si>
  <si>
    <t>JJ104</t>
  </si>
  <si>
    <t>Other penalties and contraventions</t>
  </si>
  <si>
    <t>MM105</t>
  </si>
  <si>
    <t>MM110</t>
  </si>
  <si>
    <t>Gage and Bank fines</t>
  </si>
  <si>
    <t>MM142</t>
  </si>
  <si>
    <t>Penalties on bounced cheques</t>
  </si>
  <si>
    <t xml:space="preserve">                O/w: required budget grants (semester)</t>
  </si>
  <si>
    <r>
      <rPr>
        <sz val="11"/>
        <color rgb="FFFF0000"/>
        <rFont val="Calibri"/>
        <family val="2"/>
        <scheme val="minor"/>
      </rPr>
      <t>domestic indirect tax rate</t>
    </r>
    <r>
      <rPr>
        <sz val="9"/>
        <color rgb="FFFF0000"/>
        <rFont val="Calibri"/>
        <family val="2"/>
      </rPr>
      <t xml:space="preserve"> (excl. excise fuel)</t>
    </r>
    <r>
      <rPr>
        <sz val="10"/>
        <color rgb="FFFF0000"/>
        <rFont val="Calibri"/>
        <family val="2"/>
      </rPr>
      <t xml:space="preserve"> </t>
    </r>
    <r>
      <rPr>
        <sz val="11"/>
        <color rgb="FFFF0000"/>
        <rFont val="Calibri"/>
        <family val="2"/>
        <scheme val="minor"/>
      </rPr>
      <t>on domestic VA excl govt, export</t>
    </r>
    <r>
      <rPr>
        <sz val="10"/>
        <color rgb="FFFF0000"/>
        <rFont val="Calibri"/>
        <family val="2"/>
      </rPr>
      <t>s</t>
    </r>
  </si>
  <si>
    <r>
      <t xml:space="preserve">  </t>
    </r>
    <r>
      <rPr>
        <sz val="11"/>
        <color rgb="FFFF0000"/>
        <rFont val="Calibri"/>
        <family val="2"/>
        <scheme val="minor"/>
      </rPr>
      <t>domestic indirect tax rate</t>
    </r>
    <r>
      <rPr>
        <sz val="12"/>
        <color rgb="FFFF0000"/>
        <rFont val="Calibri"/>
        <family val="2"/>
      </rPr>
      <t xml:space="preserve"> </t>
    </r>
    <r>
      <rPr>
        <sz val="9"/>
        <color rgb="FFFF0000"/>
        <rFont val="Calibri"/>
        <family val="2"/>
      </rPr>
      <t>(excl. excise fuel)</t>
    </r>
    <r>
      <rPr>
        <sz val="12"/>
        <color rgb="FFFF0000"/>
        <rFont val="Calibri"/>
        <family val="2"/>
      </rPr>
      <t xml:space="preserve"> </t>
    </r>
    <r>
      <rPr>
        <sz val="11"/>
        <color rgb="FFFF0000"/>
        <rFont val="Calibri"/>
        <family val="2"/>
        <scheme val="minor"/>
      </rPr>
      <t>on domestic VA excl govt</t>
    </r>
  </si>
  <si>
    <t>Other revenue PKO (net) on Budget FY (bln RWF)</t>
  </si>
  <si>
    <t>From Foreign Governments</t>
  </si>
  <si>
    <t>From International Organizations</t>
  </si>
  <si>
    <t>From General Government Units</t>
  </si>
  <si>
    <t>Property income</t>
  </si>
  <si>
    <t>Sales og goods and services</t>
  </si>
  <si>
    <t>Fines, penalties, and forfeits</t>
  </si>
  <si>
    <t>Voluntary transfers other than grants</t>
  </si>
  <si>
    <r>
      <t>Net lending (+) / borrowing (-) {</t>
    </r>
    <r>
      <rPr>
        <sz val="10"/>
        <rFont val="Cambria"/>
        <family val="1"/>
      </rPr>
      <t>deficit/Surplus}</t>
    </r>
  </si>
  <si>
    <t xml:space="preserve">     o/w: payable by individuals</t>
  </si>
  <si>
    <t>Transactions in financial assets</t>
  </si>
  <si>
    <t>&gt;&gt;Data includes LG revenue and expenditures directly  2018/19</t>
  </si>
  <si>
    <t xml:space="preserve">Net acquisition of nonfinancial assets </t>
  </si>
  <si>
    <t>Net lending (+) / borrowing (-) {deficit/Surplus}</t>
  </si>
  <si>
    <t xml:space="preserve"> Individual tax /GDP</t>
  </si>
  <si>
    <t>individual tax /non agric. GDP</t>
  </si>
  <si>
    <t>Unallocable income tax (excl. local govt taxes)/GDP</t>
  </si>
  <si>
    <t>unallocable tax (excl. local govt taxes)/non agric. GDP</t>
  </si>
  <si>
    <t>unallocable taxes - 'buyoancy factor' of other income taxes/non agric GDP ratio</t>
  </si>
  <si>
    <t>Net wealth tax (excl. local govt taxes)/non agric. GDP</t>
  </si>
  <si>
    <t xml:space="preserve">   Net wealth taxes - 'buyoancy factor' of wealth taxes/non agric GDP ratio</t>
  </si>
  <si>
    <t>motor vehicle taxes (excl. local govt taxes)/import cif</t>
  </si>
  <si>
    <t>motor vehicle taxes - 'buyoancy factor' of motor vehicle/import cif</t>
  </si>
  <si>
    <t>G &amp; S taxes: Motor vehicle taxes (excl. local govt taxes)/GDP</t>
  </si>
  <si>
    <t>International trade:customs&amp;otherimport duties (excl. local govt taxes)/GDP</t>
  </si>
  <si>
    <t>International trade:Taxes on exports (excl. local govt taxes)/GDP</t>
  </si>
  <si>
    <t>Other taxes/GDP</t>
  </si>
  <si>
    <t>othe taxes (excl. local govt taxes)/non agric. GDP</t>
  </si>
  <si>
    <t>other taxes 'buyoancy factor'/non agric GDP ratio</t>
  </si>
  <si>
    <t>of Export Promotion</t>
  </si>
  <si>
    <t>o/w PKO</t>
  </si>
  <si>
    <t>o/w Other (MDAs)</t>
  </si>
  <si>
    <t xml:space="preserve"> O/W to EBUs</t>
  </si>
  <si>
    <t>O/W to LG</t>
  </si>
  <si>
    <t>o/w LG Rental Income tax</t>
  </si>
  <si>
    <t>o/w LG tax on property</t>
  </si>
  <si>
    <t xml:space="preserve"> o/w LG trade licence tax</t>
  </si>
  <si>
    <t>o/w PKO receipt</t>
  </si>
  <si>
    <t>o/w Road toll (RMF)</t>
  </si>
  <si>
    <t>o/w Rwanda National Police</t>
  </si>
  <si>
    <t>Import cif</t>
  </si>
  <si>
    <t>o/w Fuel Levy (RMF)</t>
  </si>
  <si>
    <t>Equity and Investment shares</t>
  </si>
  <si>
    <t>Insurance, pension and standarized guarantee scheme</t>
  </si>
  <si>
    <t>Finacial derivatives and employee stocks</t>
  </si>
  <si>
    <t>Other account receivable</t>
  </si>
  <si>
    <t>o/w Business Support Fund</t>
  </si>
  <si>
    <t>o/w Marriott</t>
  </si>
  <si>
    <t>o/w KCC</t>
  </si>
  <si>
    <t>o/w LG fees</t>
  </si>
  <si>
    <t>o/w Others ( incl. Agencies own Revenue)</t>
  </si>
  <si>
    <t>o/w Infrastrure development levy</t>
  </si>
  <si>
    <t>o/w African Union import levy</t>
  </si>
  <si>
    <t>o/w Strategic petroleum reserve levy</t>
  </si>
  <si>
    <t>Other revenue: Property income/GDP</t>
  </si>
  <si>
    <t>property inome (excl. local govt taxes)/non agric. GDP</t>
  </si>
  <si>
    <t>property income 'buyoancy factor'/non agric GDP ratio</t>
  </si>
  <si>
    <t>Other revenue: sales of G&amp;S (Administrative fees)/GDP</t>
  </si>
  <si>
    <t>sales of G&amp;S (Administrative fees)[(excl. local govt taxes)]/non agric. GDP</t>
  </si>
  <si>
    <t>sales of G&amp;S (Administrative fees)'buyoancy factor'/non agric GDP ratio</t>
  </si>
  <si>
    <t>Other revenue: sales of G&amp;S (Incidental sales by nonmarket establishments)/GDP</t>
  </si>
  <si>
    <t>sales of G&amp;S (incidental sales by nonmarket establishments)[(excl. local govt taxes)]/non agric. GDP</t>
  </si>
  <si>
    <t>sales of G&amp;S (incidental sales by nonmarket establishments)'buyoancy factor'/non agric GDP ratio</t>
  </si>
  <si>
    <t>o/w Local Government (LG) fee</t>
  </si>
  <si>
    <t>Other revenue: Fines, penalties and forfeits/GDP</t>
  </si>
  <si>
    <t>Fines, penalties and forfeits/non agric. GDP</t>
  </si>
  <si>
    <t>fines, penalties and forfeits 'buyoancy factor'/non agric GDP ratio</t>
  </si>
  <si>
    <t>Compensation of employees/GDP</t>
  </si>
  <si>
    <t>Compensation of employees /tax revenue</t>
  </si>
  <si>
    <t xml:space="preserve">   compensation of employees  growth rate in %</t>
  </si>
  <si>
    <t>o/w Equity Kenya (Marriott)</t>
  </si>
  <si>
    <t>Grants/GDP</t>
  </si>
  <si>
    <t xml:space="preserve">     growth rate grants in %</t>
  </si>
  <si>
    <t xml:space="preserve">     Elasticity of grants spending (excl. wages) vis-à-vis GDP</t>
  </si>
  <si>
    <t xml:space="preserve">      Grants/GDP (Proj.)</t>
  </si>
  <si>
    <t>Social benefits</t>
  </si>
  <si>
    <t xml:space="preserve">      Social benefits/GDP</t>
  </si>
  <si>
    <t>Otherexpense/GDP</t>
  </si>
  <si>
    <t xml:space="preserve">  other expense/GDP (Proj.)</t>
  </si>
  <si>
    <t xml:space="preserve">     growth rate other expense in %</t>
  </si>
  <si>
    <t xml:space="preserve">     Elasticity of other expense vis-à-vis GDP</t>
  </si>
  <si>
    <t>Required</t>
  </si>
  <si>
    <t>Current</t>
  </si>
  <si>
    <t>IV.2 FISCAL GFS 2014 PRESENTATION - SUMMARY % GDP</t>
  </si>
  <si>
    <t xml:space="preserve"> VCXXXXXXX </t>
  </si>
  <si>
    <t>Expense assumptions/parameters</t>
  </si>
  <si>
    <t>Govt Expense  in bln RWF</t>
  </si>
  <si>
    <t>Use of goods and services</t>
  </si>
  <si>
    <t>G &amp; S taxes: VAT (excl. local govt taxes)/GDP</t>
  </si>
  <si>
    <t>From RRA Actual data&amp; REFOTO Proj.</t>
  </si>
  <si>
    <t>o/w VAT imports (billion FRW)</t>
  </si>
  <si>
    <r>
      <t>Taxes on international trade (tariffs etc. but</t>
    </r>
    <r>
      <rPr>
        <b/>
        <sz val="11"/>
        <color rgb="FFFF0000"/>
        <rFont val="Calibri"/>
        <family val="2"/>
        <scheme val="minor"/>
      </rPr>
      <t xml:space="preserve"> incl. VAT</t>
    </r>
    <r>
      <rPr>
        <b/>
        <sz val="11"/>
        <color theme="1"/>
        <rFont val="Calibri"/>
        <family val="2"/>
        <scheme val="minor"/>
      </rPr>
      <t>)</t>
    </r>
  </si>
  <si>
    <t>Rent  (mining and royalities)</t>
  </si>
  <si>
    <t>of which infrastructure levy accumulation</t>
  </si>
  <si>
    <t>of which strategic reserves accumulation</t>
  </si>
  <si>
    <t>of which African Union levy accumulation</t>
  </si>
  <si>
    <t>Required Grants</t>
  </si>
  <si>
    <t>o/w CCRT</t>
  </si>
  <si>
    <t>o/w RRA other revenue collection</t>
  </si>
  <si>
    <t>Of which World Bank</t>
  </si>
  <si>
    <t xml:space="preserve"> of which: Covid-19 spending</t>
  </si>
  <si>
    <t xml:space="preserve"> of which: Disaster-management spending</t>
  </si>
  <si>
    <t xml:space="preserve">     growth rate subsidies in %</t>
  </si>
  <si>
    <t>Subsidies/GDP (Proj.)</t>
  </si>
  <si>
    <t xml:space="preserve">     Elasticity of subsidies vis-à-vis GDP</t>
  </si>
  <si>
    <t>Subsidies /GDP</t>
  </si>
  <si>
    <t>of which compensation of employees</t>
  </si>
  <si>
    <t>of which: Covid-19 spending</t>
  </si>
  <si>
    <t>o/w ERF</t>
  </si>
  <si>
    <t>Bank financing Budget Fiscal Year (curr + prev CY) bln RWF</t>
  </si>
  <si>
    <t>Issuance of T bills/bonds to banks Fiscal Year, bln RWF</t>
  </si>
  <si>
    <t>Nonbank financing net issuance Fiscal Year (in bln RWF)</t>
  </si>
  <si>
    <t>Nonbank financing debt repayment Fiscal Year (bln RWF)</t>
  </si>
  <si>
    <r>
      <t xml:space="preserve">Nonbank financing debt repayment </t>
    </r>
    <r>
      <rPr>
        <b/>
        <sz val="10"/>
        <rFont val="Calibri"/>
        <family val="2"/>
      </rPr>
      <t>Calendar Year (bln RWF)</t>
    </r>
    <r>
      <rPr>
        <b/>
        <sz val="11"/>
        <rFont val="Calibri"/>
        <family val="2"/>
      </rPr>
      <t xml:space="preserve">  </t>
    </r>
  </si>
  <si>
    <t>Domestic financing Fiscal Year (in bln RWF)</t>
  </si>
  <si>
    <t xml:space="preserve">Domestic financing Calendar Year (in bln RWF)  </t>
  </si>
  <si>
    <t>Bank financing, Calendar Year, bln RWF</t>
  </si>
  <si>
    <t xml:space="preserve">o/w Bugesera </t>
  </si>
  <si>
    <t>o/w BRD</t>
  </si>
  <si>
    <t>o/w Vaccine</t>
  </si>
  <si>
    <t>o/w vaccine</t>
  </si>
  <si>
    <t>Net lending (+) / borrowing (-) {deficit/Surplus} V86</t>
  </si>
  <si>
    <t>O/w ERF (WB, AIB, IDA $225Mln)</t>
  </si>
  <si>
    <t xml:space="preserve"> of which: Covid-19 spending (ERF Public Transport)</t>
  </si>
  <si>
    <t>o/w COVID-19 (School construction/social protection)</t>
  </si>
  <si>
    <t>of which Strategic reserves drawdown for fuel storage facilities</t>
  </si>
  <si>
    <t>of which Strategic reserves drawdown for Fuel refilling</t>
  </si>
  <si>
    <t xml:space="preserve">of which Strategic reserves drawdown </t>
  </si>
  <si>
    <t>of which Infrastracture levy on imports accumulation</t>
  </si>
  <si>
    <t xml:space="preserve">of which Infrastracture levy on imports drawdown </t>
  </si>
  <si>
    <t>of which African Union Levy Accumulation</t>
  </si>
  <si>
    <t>of whichAfrican Union Levy Payement</t>
  </si>
  <si>
    <t>Of Which Vaccine</t>
  </si>
  <si>
    <t>o/w guarantee</t>
  </si>
  <si>
    <t>Excluding Marriott, KCC and PKO</t>
  </si>
  <si>
    <t>Excluding Marriott, KCC, PKO, Emergencies and COVID-19</t>
  </si>
  <si>
    <t>o/w Eurobond</t>
  </si>
  <si>
    <t xml:space="preserve">              Of which Euro Bond New</t>
  </si>
  <si>
    <t>Property income from investment income disbursements</t>
  </si>
  <si>
    <t>Transfers not elsewhere classified</t>
  </si>
  <si>
    <t>Premiums, fees, and claims related to nonlife insurance and standardized guarantee schemes</t>
  </si>
  <si>
    <t>o/w BNR</t>
  </si>
  <si>
    <t>o/w Commercial banks</t>
  </si>
  <si>
    <t>Debt Securities</t>
  </si>
  <si>
    <t xml:space="preserve">o/w Banks </t>
  </si>
  <si>
    <t>o/w non-banks</t>
  </si>
  <si>
    <t xml:space="preserve">  Debt securities</t>
  </si>
  <si>
    <t xml:space="preserve">        Disbursements</t>
  </si>
  <si>
    <t xml:space="preserve">        Redemptions</t>
  </si>
  <si>
    <t>Eurobond Investment project</t>
  </si>
  <si>
    <t>o/w New Eurobond (2021)</t>
  </si>
  <si>
    <t>o/w Exist. Eurobond (2013)</t>
  </si>
  <si>
    <t>Overall Deficit(-) {deficit/Surplus} V1986</t>
  </si>
  <si>
    <t>Overall Deficit (-) {deficit/Surplus} V1986</t>
  </si>
  <si>
    <t xml:space="preserve"> of which: Covid-19 spending (Teachers)</t>
  </si>
  <si>
    <t>Excluding COVID-19</t>
  </si>
  <si>
    <t>Excluding ERF &amp;  COVID-19 Vaccine</t>
  </si>
  <si>
    <t>O/w ERF</t>
  </si>
  <si>
    <t>Overall Deficit (-) {deficit/Surplus} V1986 CY</t>
  </si>
  <si>
    <t>Overall Deficit (-) {deficit/Surplus} V1986 CY % GDP</t>
  </si>
  <si>
    <t>Nominal GDP CY (Bln FRW)</t>
  </si>
  <si>
    <t>Required Deficit path CY</t>
  </si>
  <si>
    <t>Eurobond</t>
  </si>
  <si>
    <t>Excluding Eurobond</t>
  </si>
  <si>
    <t>o/w Eurobond Investment project</t>
  </si>
  <si>
    <t>o/w COVID-19 (Vaccine)</t>
  </si>
  <si>
    <t>Extract fiscal response variables (Covid) bln RWF</t>
  </si>
  <si>
    <t>Covid tax relief measures</t>
  </si>
  <si>
    <t>o/w: Covid-related grants</t>
  </si>
  <si>
    <t>o/w: Covid (emergencies, Covid-19 exp)</t>
  </si>
  <si>
    <t>o/w: Covid direct support hholds</t>
  </si>
  <si>
    <t>o/w: Covid direct support other</t>
  </si>
  <si>
    <t>o/w: Covid capital spending</t>
  </si>
  <si>
    <t>o/w: Covid ERF (fund for loans to businesses, via banks)</t>
  </si>
  <si>
    <t>o/w: Covid other</t>
  </si>
  <si>
    <t>Fiscal balance (incl. grants) in % of projected GDP</t>
  </si>
  <si>
    <t>Fiscal balance (excl. grants) in % of projected GDP</t>
  </si>
  <si>
    <t>o/w: Covid-related net borrowing</t>
  </si>
  <si>
    <t>Net domestic financing (incl. domestic arrears)</t>
  </si>
  <si>
    <t>Nominal GDP (FY)</t>
  </si>
  <si>
    <t>check=fin gap(-)</t>
  </si>
  <si>
    <t>FISCAL_PCI4_may2021 below this</t>
  </si>
  <si>
    <t>GFS 2014</t>
  </si>
  <si>
    <r>
      <t xml:space="preserve">Revenue </t>
    </r>
    <r>
      <rPr>
        <sz val="11"/>
        <color theme="1"/>
        <rFont val="Calibri"/>
        <family val="2"/>
        <scheme val="minor"/>
      </rPr>
      <t>(excl. grants, taxes and other revenue)</t>
    </r>
  </si>
  <si>
    <t>Current spending ("expense")</t>
  </si>
  <si>
    <r>
      <t xml:space="preserve">Capital spending </t>
    </r>
    <r>
      <rPr>
        <sz val="11"/>
        <color theme="1"/>
        <rFont val="Calibri"/>
        <family val="2"/>
        <scheme val="minor"/>
      </rPr>
      <t>("next acquisition of non-financial assets")</t>
    </r>
  </si>
  <si>
    <r>
      <t xml:space="preserve">Net lending </t>
    </r>
    <r>
      <rPr>
        <sz val="11"/>
        <color theme="1"/>
        <rFont val="Calibri"/>
        <family val="2"/>
        <scheme val="minor"/>
      </rPr>
      <t>(GFS1986 def. "Loans", "Equity and inv. shares")</t>
    </r>
  </si>
  <si>
    <t>fiscal bal.inc.grants GFS1986</t>
  </si>
  <si>
    <t>PCI4 response May 2021</t>
  </si>
  <si>
    <t>FISCAL_PCI4_may2021 below this (extract fr FISCAL_OUTPUT , FISCAL_TOFE)</t>
  </si>
  <si>
    <t>Interest payments domestic</t>
  </si>
  <si>
    <t>Interest payments foreign</t>
  </si>
  <si>
    <t>from Q2 2019 GFS2014</t>
  </si>
  <si>
    <t>Tax revenue (incl. non-tax revenue)</t>
  </si>
  <si>
    <t xml:space="preserve">Current expenditure </t>
  </si>
  <si>
    <r>
      <t xml:space="preserve">FISCAL_inyear_Rwametric above this </t>
    </r>
    <r>
      <rPr>
        <sz val="9"/>
        <color rgb="FFFF0000"/>
        <rFont val="Cambria"/>
        <family val="1"/>
        <scheme val="major"/>
      </rPr>
      <t xml:space="preserve"> (check: stat discrepancy)</t>
    </r>
  </si>
  <si>
    <t>Revenue in bln RWF (Excluding grants)</t>
  </si>
  <si>
    <t>2025/27</t>
  </si>
  <si>
    <t>2026/27</t>
  </si>
  <si>
    <t>Monetary Gold &amp; SDRs</t>
  </si>
  <si>
    <t>AIIB</t>
  </si>
  <si>
    <t>o/w Eurobond (Premium and fees)</t>
  </si>
  <si>
    <t>IMF Debt Relief Considered as Grants (Mln USD)</t>
  </si>
  <si>
    <t>Exchange rate</t>
  </si>
  <si>
    <t>Policy</t>
  </si>
  <si>
    <t>Regular</t>
  </si>
  <si>
    <t>Residual</t>
  </si>
  <si>
    <t>Mthodology/GDP</t>
  </si>
  <si>
    <t xml:space="preserve">o/w SDRs </t>
  </si>
  <si>
    <t>of which Rwandair working capital</t>
  </si>
  <si>
    <t>o/w  Rwandair loan repayment Eurobond</t>
  </si>
  <si>
    <t>SDRs Allocation</t>
  </si>
  <si>
    <r>
      <t>Issuance T bills/bonds to Commercial Banks CY</t>
    </r>
    <r>
      <rPr>
        <sz val="8"/>
        <rFont val="Calibri"/>
        <family val="2"/>
      </rPr>
      <t>, bln RWF</t>
    </r>
    <r>
      <rPr>
        <b/>
        <sz val="9"/>
        <rFont val="Calibri"/>
        <family val="2"/>
      </rPr>
      <t xml:space="preserve"> </t>
    </r>
    <r>
      <rPr>
        <sz val="8"/>
        <rFont val="Calibri"/>
        <family val="2"/>
      </rPr>
      <t>(if no change other credit govt)</t>
    </r>
  </si>
  <si>
    <t>Issuance of T bills/bonds to Commercial Banks Fiscal Year, bln RWF</t>
  </si>
  <si>
    <r>
      <t>Issuance T bills/bonds to BNR CY</t>
    </r>
    <r>
      <rPr>
        <sz val="8"/>
        <rFont val="Calibri"/>
        <family val="2"/>
      </rPr>
      <t>, bln RWF</t>
    </r>
    <r>
      <rPr>
        <b/>
        <sz val="9"/>
        <rFont val="Calibri"/>
        <family val="2"/>
      </rPr>
      <t xml:space="preserve"> </t>
    </r>
    <r>
      <rPr>
        <sz val="8"/>
        <rFont val="Calibri"/>
        <family val="2"/>
      </rPr>
      <t>(if no change other credit govt)</t>
    </r>
  </si>
  <si>
    <t>Issuance of T bills/bonds to BNR Fiscal Year, bln RWF</t>
  </si>
  <si>
    <t>Borrowing to Commercial Bank CY (Loan)</t>
  </si>
  <si>
    <t>Borrowing to Commercial Bank FY (Loan)</t>
  </si>
  <si>
    <t>Non-Bank financing Budget CY bln RWF</t>
  </si>
  <si>
    <t>Non-Bank financing Budget FY bln RWF</t>
  </si>
  <si>
    <t>Bank financing, Fiscal Year, bln RWF</t>
  </si>
  <si>
    <r>
      <t xml:space="preserve"> Use of earmarked levies at BNR</t>
    </r>
    <r>
      <rPr>
        <b/>
        <sz val="10"/>
        <rFont val="Calibri"/>
        <family val="2"/>
      </rPr>
      <t xml:space="preserve"> CY, bln RWF</t>
    </r>
  </si>
  <si>
    <t xml:space="preserve">FISC_MON </t>
  </si>
  <si>
    <t>SRDs Allocaion Interest</t>
  </si>
  <si>
    <t xml:space="preserve">Total COVID-19 </t>
  </si>
  <si>
    <t xml:space="preserve">The Residual </t>
  </si>
  <si>
    <t>3% of GDP assumed to be in this category</t>
  </si>
  <si>
    <t>To Monetary</t>
  </si>
  <si>
    <t>Net credit do the government</t>
  </si>
  <si>
    <t>Currency and deposits</t>
  </si>
  <si>
    <t>BNR claims on central govt.</t>
  </si>
  <si>
    <t>Commercial bank claims on central govt.</t>
  </si>
  <si>
    <t>Currency and deposits , Fiscal Year, bln RWF</t>
  </si>
  <si>
    <t>Currency and deposits , Calendar Year, bln RWF</t>
  </si>
  <si>
    <t>Use of earmarked levies at NBR (Currency &amp; deposit) FY in bln RWF</t>
  </si>
  <si>
    <t>FISCAL 1986_OUTPUT below this</t>
  </si>
  <si>
    <t>III.2 FISCAL  "TOFE" GFS 2014 PRESENTATION - detailed TOFE</t>
  </si>
  <si>
    <t>IV.2 FISCAL GFS 2014 to OUTPUT &amp;SUMMARY</t>
  </si>
  <si>
    <t>FISCAL2014_OUTPUT</t>
  </si>
  <si>
    <t>FISCAL2014_TOFE</t>
  </si>
  <si>
    <t>FISCAL1986_TOFE  below this;       always ensure same format as TOFE in FISC inyear sheet</t>
  </si>
  <si>
    <t xml:space="preserve">FISCAL1986_TOFE </t>
  </si>
  <si>
    <t>Fiscal2014_TOFE_inyear</t>
  </si>
  <si>
    <t>FISCAL2014_OUTPUT_inyear</t>
  </si>
  <si>
    <t>Domestic (Incl. LG &amp; EBUs)</t>
  </si>
  <si>
    <t>Wages and salaries  (Incl. LG &amp; EBUs)</t>
  </si>
  <si>
    <t>including grants(Excl.  Spending Associated Excluding SDRs)</t>
  </si>
  <si>
    <t>Unallocable</t>
  </si>
  <si>
    <t>Taxes on goods and services…</t>
  </si>
  <si>
    <t>Tax on Income, Profit and Capital gain (Incl. Taxes on payroll)</t>
  </si>
  <si>
    <t xml:space="preserve">              payable by coorporations and other enterprises(Incl. Taxes on payroll)</t>
  </si>
  <si>
    <t>Taxes on international trade (tariffs etc. but incl. VAT)</t>
  </si>
  <si>
    <t xml:space="preserve"> o/w Incidental sales by nonmarket establishments (PKO) </t>
  </si>
  <si>
    <t>Other revenue (Incl. Taxes on property &amp; Other taxes)</t>
  </si>
  <si>
    <r>
      <t>Compensation of employees (</t>
    </r>
    <r>
      <rPr>
        <sz val="11"/>
        <color rgb="FFFF0000"/>
        <rFont val="Calibri"/>
        <family val="2"/>
        <scheme val="minor"/>
      </rPr>
      <t>incl. transfers/ Grants to LG&amp; EBUs</t>
    </r>
    <r>
      <rPr>
        <sz val="11"/>
        <color theme="1"/>
        <rFont val="Calibri"/>
        <family val="2"/>
        <scheme val="minor"/>
      </rPr>
      <t>)</t>
    </r>
  </si>
  <si>
    <t>Transfers (Subsidies, Social benefits excl. grants to LG &amp; EBUs)</t>
  </si>
  <si>
    <t>Other Expense</t>
  </si>
  <si>
    <r>
      <rPr>
        <sz val="11"/>
        <color theme="1"/>
        <rFont val="Calibri"/>
        <family val="2"/>
        <scheme val="minor"/>
      </rPr>
      <t xml:space="preserve">   O/w:</t>
    </r>
    <r>
      <rPr>
        <b/>
        <sz val="11"/>
        <color indexed="8"/>
        <rFont val="Calibri"/>
        <family val="2"/>
      </rPr>
      <t xml:space="preserve"> </t>
    </r>
    <r>
      <rPr>
        <sz val="11"/>
        <color theme="1"/>
        <rFont val="Calibri"/>
        <family val="2"/>
        <scheme val="minor"/>
      </rPr>
      <t>domestic (own ressources incl Grants to  LG &amp; EBUs )</t>
    </r>
  </si>
  <si>
    <t>Capital expenditure (incl Grants to  LG &amp; EBUs)</t>
  </si>
  <si>
    <t>Statistical discrepency</t>
  </si>
  <si>
    <t>Loans+Equity+Insurance+etc (Net Lending GFS1986)</t>
  </si>
  <si>
    <t>Deficit excl. grants (Net lending&amp;borrowing)</t>
  </si>
  <si>
    <t>TOFE GFS2014 extract (GFS1986 &lt;2019)</t>
  </si>
  <si>
    <t>Other expense (incl. Exceptional spending)</t>
  </si>
  <si>
    <t>Foreign financing (net: incl. minus foreign assets)</t>
  </si>
  <si>
    <r>
      <t xml:space="preserve">Total expenditure </t>
    </r>
    <r>
      <rPr>
        <sz val="11"/>
        <color theme="1"/>
        <rFont val="Times New Roman"/>
        <family val="1"/>
      </rPr>
      <t>(incl. net lending, GFS1986)</t>
    </r>
  </si>
  <si>
    <t>PRINCIPAL</t>
  </si>
  <si>
    <t>INTEREST</t>
  </si>
  <si>
    <t>Rwandair (working capital subsidy)</t>
  </si>
  <si>
    <t>YEN Bond</t>
  </si>
  <si>
    <t xml:space="preserve">Rent  </t>
  </si>
  <si>
    <t xml:space="preserve">              Of which Fees Commercial</t>
  </si>
  <si>
    <t>2026/28</t>
  </si>
  <si>
    <t>2025/28</t>
  </si>
  <si>
    <t>o/w UK</t>
  </si>
  <si>
    <t>o/w Refugees integration spending</t>
  </si>
  <si>
    <t>o/w Social Protection</t>
  </si>
  <si>
    <t>o/w Fertilizers</t>
  </si>
  <si>
    <t>30% Tbills</t>
  </si>
  <si>
    <t>70% Tbonds</t>
  </si>
  <si>
    <t>&lt;-- By assumption (70%)</t>
  </si>
  <si>
    <t>o/w Budget Loan</t>
  </si>
  <si>
    <t>o/w Project Loan</t>
  </si>
  <si>
    <t>o/w Amortization</t>
  </si>
  <si>
    <t xml:space="preserve">  AFD</t>
  </si>
  <si>
    <t>GEE Rwanda (March 17 version) GEE_PRINT below this</t>
  </si>
  <si>
    <t>Real GDP growth all trading partners (100% of trade of reporting country)</t>
  </si>
  <si>
    <t>Real imports, goods excl. oil all trading partners (100% of trade of reporting country)</t>
  </si>
  <si>
    <t>CPI of advanced economy trading partners in US $ (for RER calc)</t>
  </si>
  <si>
    <t>Export deflator goods (excluding oil) in US $ (PMnonoil)</t>
  </si>
  <si>
    <t>Export unit value for manuf (MUV) world in US $ (for PMmanuf or PEmanuf)</t>
  </si>
  <si>
    <t>Petroleum spot price (APSP) in US $ (in % change) (PMoil)</t>
  </si>
  <si>
    <t>Import deflator  goods (excluding oil) in US  $ (PEnonoil)</t>
  </si>
  <si>
    <t>Nonfuel commodity export price in US $ (PEcommodity-nonoil)</t>
  </si>
  <si>
    <t>Ext Fin (US$ mln, update of Oct2016  budget support EFU) EXTFIN_PRINT below this</t>
  </si>
  <si>
    <t>External debt service (Sept 2015 version) EXTDEBT_PRINT below this</t>
  </si>
  <si>
    <t>REAL variables for MF REAL_MF below this</t>
  </si>
  <si>
    <t>BOP variables for FISCAL (BOP_FISC below this)</t>
  </si>
  <si>
    <t>Monetary variables for MF MON_MF below this</t>
  </si>
  <si>
    <t>BRD-Affordable Housing Project</t>
  </si>
  <si>
    <t>EUCL</t>
  </si>
  <si>
    <t>NHL</t>
  </si>
  <si>
    <t>AFRIPRICAST</t>
  </si>
  <si>
    <t>MARAPHONE</t>
  </si>
  <si>
    <t>EAX</t>
  </si>
  <si>
    <t>KIVU</t>
  </si>
  <si>
    <t>EPIC</t>
  </si>
  <si>
    <t>O/w IMF RST</t>
  </si>
  <si>
    <t>Coffee abica</t>
  </si>
  <si>
    <t>2027/28</t>
  </si>
  <si>
    <t>.</t>
  </si>
  <si>
    <t>Election</t>
  </si>
  <si>
    <t>o/w Foods (Under Grain Reserve)</t>
  </si>
  <si>
    <t>Flood response</t>
  </si>
  <si>
    <t>PCI/RST Deficit</t>
  </si>
  <si>
    <t>Financing gap</t>
  </si>
  <si>
    <t>01-JUL-18 30-JUN-19</t>
  </si>
  <si>
    <t>01-JUL-19 30-JUN-20</t>
  </si>
  <si>
    <t>01-JUL-20 30-JUN-21 (Act)</t>
  </si>
  <si>
    <t>01-JUL-21 30-JUN-22</t>
  </si>
  <si>
    <t>01-JUL-22 30-JUN-23</t>
  </si>
  <si>
    <t>01-JUL-23 30-JUN-24</t>
  </si>
  <si>
    <t>01-JUL-24 30-JUN-25</t>
  </si>
  <si>
    <t>01-JUL-25 30-JUN-26</t>
  </si>
  <si>
    <t>01-JUL-26 30-JUN-27</t>
  </si>
  <si>
    <t>01-JUL-27 30-JUN-28</t>
  </si>
  <si>
    <t>01-JUL-28 30-JUN-29</t>
  </si>
  <si>
    <t>Assumption (total payment)</t>
  </si>
  <si>
    <t>2.-BK06</t>
  </si>
  <si>
    <t>2.-BNR01</t>
  </si>
  <si>
    <t>2.-TB10Y022015</t>
  </si>
  <si>
    <t>2.-TB10Y022018</t>
  </si>
  <si>
    <t>2.-TB10Y022021</t>
  </si>
  <si>
    <t>2.-TB10Y022022</t>
  </si>
  <si>
    <t>2.-TB10Y042020</t>
  </si>
  <si>
    <t>2.-TB15Y022016</t>
  </si>
  <si>
    <t>2.-TB15Y022020</t>
  </si>
  <si>
    <t>2.-TB15Y032018</t>
  </si>
  <si>
    <t>2.-TB15Y032021</t>
  </si>
  <si>
    <t>2.-TB15Y042022</t>
  </si>
  <si>
    <t>2.-TB20Y012023</t>
  </si>
  <si>
    <t>2.-TB20Y032019</t>
  </si>
  <si>
    <t>2.-TB20Y042021</t>
  </si>
  <si>
    <t>2.-TB20Y062020</t>
  </si>
  <si>
    <t>2.-TB3Y012020</t>
  </si>
  <si>
    <t>2.-TB3Y032020</t>
  </si>
  <si>
    <t>2.-TB3Y032022</t>
  </si>
  <si>
    <t>2.-TB3Y042019</t>
  </si>
  <si>
    <t>2.-TB3Y052021</t>
  </si>
  <si>
    <t>2.-TB5Y012018</t>
  </si>
  <si>
    <t>2.-TB5Y012021</t>
  </si>
  <si>
    <t>2.-TB5Y012022</t>
  </si>
  <si>
    <t>2.-TB5Y022019</t>
  </si>
  <si>
    <t>2.-TB5Y032017</t>
  </si>
  <si>
    <t>2.-TB5Y052020</t>
  </si>
  <si>
    <t>2.-TB7Y012019</t>
  </si>
  <si>
    <t>2.-TB7Y022017</t>
  </si>
  <si>
    <t>2.-TB7Y042017</t>
  </si>
  <si>
    <t>2.-TB7Y052019</t>
  </si>
  <si>
    <t>2.-TB7Y052022</t>
  </si>
  <si>
    <t>2.-TB7Y062021</t>
  </si>
  <si>
    <t>2.-TB7Y072020</t>
  </si>
  <si>
    <t>2.-TB10Y032023</t>
  </si>
  <si>
    <t>2.-TB5Y022023</t>
  </si>
  <si>
    <t>2.-TB3Y042023</t>
  </si>
  <si>
    <t>2.-TB15Y052023</t>
  </si>
  <si>
    <t>2.-TB7Y062023</t>
  </si>
  <si>
    <t>2.-TB20Y012024</t>
  </si>
  <si>
    <t>2.-TB5Y022024</t>
  </si>
  <si>
    <t>2.-TB10Y032024</t>
  </si>
  <si>
    <t>Total T-bonds</t>
  </si>
  <si>
    <t xml:space="preserve"> INTEREST</t>
  </si>
  <si>
    <t>FEES</t>
  </si>
  <si>
    <t>Tbonds New Issuance</t>
  </si>
  <si>
    <t>Tbills  Outstanding + New issuance</t>
  </si>
  <si>
    <t>T-bills Outstanding</t>
  </si>
  <si>
    <t>Tbills from new issuance</t>
  </si>
  <si>
    <t>Overdaft</t>
  </si>
  <si>
    <t xml:space="preserve">   % increase in central govt employment (fr MIFOTRA)</t>
  </si>
  <si>
    <t xml:space="preserve">          teachers (local govt)</t>
  </si>
  <si>
    <t xml:space="preserve">         health workers ( local govt)</t>
  </si>
  <si>
    <r>
      <t>of which: VAT on imports (</t>
    </r>
    <r>
      <rPr>
        <sz val="11"/>
        <color rgb="FFFF0000"/>
        <rFont val="Calibri"/>
        <family val="2"/>
        <scheme val="minor"/>
      </rPr>
      <t>prel. from RRA act., Refoto proj</t>
    </r>
    <r>
      <rPr>
        <sz val="11"/>
        <color theme="1"/>
        <rFont val="Calibri"/>
        <family val="2"/>
        <scheme val="minor"/>
      </rPr>
      <t>)</t>
    </r>
  </si>
  <si>
    <t>Excise on fuel (incl. budget levy, Strategic reserve, RMF)</t>
  </si>
  <si>
    <t>Excises on imports (excl. fuel)</t>
  </si>
  <si>
    <t>Excises on domestic goods</t>
  </si>
  <si>
    <t>Excluding  floods</t>
  </si>
  <si>
    <t>Excluding required grants</t>
  </si>
  <si>
    <t>Grev (Taxes and Other Rev.)</t>
  </si>
  <si>
    <t>Gdem (Salaries, Use of G&amp;S, (CG,LG,EBUS'S),Capital Spending, Other Expense)</t>
  </si>
  <si>
    <t>Other Expenditure (Subsidies, Interest, Social Benefits, Net Lending)</t>
  </si>
  <si>
    <t>Tot Spending (Incl. Net Lending)</t>
  </si>
  <si>
    <t>Deficit ( Excl. Grants) 1986</t>
  </si>
  <si>
    <t>Check</t>
  </si>
  <si>
    <t xml:space="preserve">Nominal GDP </t>
  </si>
  <si>
    <t>Grev in % of GDP</t>
  </si>
  <si>
    <t>Gdem in % of GDP</t>
  </si>
  <si>
    <t>Other Expenditure of %GDP</t>
  </si>
  <si>
    <t>Tot Spending in % of GDP</t>
  </si>
  <si>
    <t>Deficit (Excl. Grants ) % of GDP</t>
  </si>
  <si>
    <t>FISCAL_SAM_NAT_wGFS below this</t>
  </si>
  <si>
    <t>FISCAL_SAM_NAT_wGFS from 2018/19</t>
  </si>
  <si>
    <t xml:space="preserve">Revenues         </t>
  </si>
  <si>
    <t xml:space="preserve">Tax Revenues        </t>
  </si>
  <si>
    <t>1.6.3</t>
  </si>
  <si>
    <t xml:space="preserve">Taxes on Income, Profits or Capital Gains   </t>
  </si>
  <si>
    <t>need split:</t>
  </si>
  <si>
    <t xml:space="preserve">Taxes on Payroll and Workforce     </t>
  </si>
  <si>
    <t>corp/pers.income</t>
  </si>
  <si>
    <t xml:space="preserve">Tax on Property Income      </t>
  </si>
  <si>
    <t xml:space="preserve">Taxes on goods and services     </t>
  </si>
  <si>
    <t xml:space="preserve">Taxes on international trade and transactions    </t>
  </si>
  <si>
    <t xml:space="preserve">Administrative fees, Fines, Penalties and Licenses         </t>
  </si>
  <si>
    <t>1.6.4</t>
  </si>
  <si>
    <t>Property Income</t>
  </si>
  <si>
    <t>Sales of goods and services (incl. PKO)</t>
  </si>
  <si>
    <t>need show PKO</t>
  </si>
  <si>
    <r>
      <t xml:space="preserve">Borrowings </t>
    </r>
    <r>
      <rPr>
        <b/>
        <sz val="9"/>
        <color rgb="FF000000"/>
        <rFont val="Calibri"/>
        <family val="2"/>
      </rPr>
      <t xml:space="preserve"> (not used in SAM-CGE, here fr FISCAL_Output)</t>
    </r>
  </si>
  <si>
    <t>1.6.5</t>
  </si>
  <si>
    <t xml:space="preserve">Domestic borrowings        </t>
  </si>
  <si>
    <t xml:space="preserve">External borrowings        </t>
  </si>
  <si>
    <t xml:space="preserve">Grants         </t>
  </si>
  <si>
    <t>1.6.6</t>
  </si>
  <si>
    <t xml:space="preserve">Capital Receipts        </t>
  </si>
  <si>
    <t>1.6.7</t>
  </si>
  <si>
    <t xml:space="preserve">Disposal of tangible fixed assets     </t>
  </si>
  <si>
    <t xml:space="preserve">Sale of Inventories       </t>
  </si>
  <si>
    <t xml:space="preserve">Sale of Non-Produced Assets      </t>
  </si>
  <si>
    <t xml:space="preserve">Sale of Financial Assets - Domestic    </t>
  </si>
  <si>
    <t xml:space="preserve">Other income        </t>
  </si>
  <si>
    <t>1.6.8</t>
  </si>
  <si>
    <t>Miscellaneous and unidentified Revenue</t>
  </si>
  <si>
    <t>Total Revenue  (excl. borrowing)</t>
  </si>
  <si>
    <t>1.6.27</t>
  </si>
  <si>
    <t xml:space="preserve">Expenditure         </t>
  </si>
  <si>
    <t xml:space="preserve">Compensation of Employees  (incl. in EBU, LG)   </t>
  </si>
  <si>
    <t>1.6.9</t>
  </si>
  <si>
    <t xml:space="preserve">Salaries in cash </t>
  </si>
  <si>
    <t>Social contribution</t>
  </si>
  <si>
    <t>Salaries arrears</t>
  </si>
  <si>
    <t>Use of Goods and Services   (incl. in EBU, LG)</t>
  </si>
  <si>
    <t>1.6.10</t>
  </si>
  <si>
    <t xml:space="preserve">General Services        </t>
  </si>
  <si>
    <t xml:space="preserve">Professional, Research services       </t>
  </si>
  <si>
    <t xml:space="preserve">Transport and travel       </t>
  </si>
  <si>
    <t xml:space="preserve">Maintenance, Repairs and Spare Parts     </t>
  </si>
  <si>
    <t xml:space="preserve">Tools and Small Equipment      </t>
  </si>
  <si>
    <t xml:space="preserve">Training Costs        </t>
  </si>
  <si>
    <t xml:space="preserve">Supplies and services       </t>
  </si>
  <si>
    <t xml:space="preserve">Arrears         </t>
  </si>
  <si>
    <t xml:space="preserve">Other Use of Goods&amp; Services     </t>
  </si>
  <si>
    <t xml:space="preserve">Subsidies         </t>
  </si>
  <si>
    <t>1.6.11</t>
  </si>
  <si>
    <r>
      <t xml:space="preserve">Indirect subsidies on commodities </t>
    </r>
    <r>
      <rPr>
        <sz val="11"/>
        <color rgb="FFFF0000"/>
        <rFont val="Calibri"/>
        <family val="2"/>
      </rPr>
      <t>NEED this info!</t>
    </r>
  </si>
  <si>
    <t>Subsidies to Public and Private Enterprises</t>
  </si>
  <si>
    <r>
      <t xml:space="preserve">Grants </t>
    </r>
    <r>
      <rPr>
        <b/>
        <sz val="9"/>
        <color rgb="FFFF0000"/>
        <rFont val="Calibri"/>
        <family val="2"/>
      </rPr>
      <t>(excl. grants to EBU, LG, under wage, G&amp;S, dev. spending)</t>
    </r>
  </si>
  <si>
    <t>1.6.12</t>
  </si>
  <si>
    <t xml:space="preserve">Grants to Foreign Governments </t>
  </si>
  <si>
    <t>Grants to International Organizations -</t>
  </si>
  <si>
    <r>
      <t xml:space="preserve">Grants to Subsidiary Entity </t>
    </r>
    <r>
      <rPr>
        <sz val="9"/>
        <color rgb="FFFF0000"/>
        <rFont val="Calibri"/>
        <family val="2"/>
      </rPr>
      <t>(reclass. Wages, G&amp;S, NANFA)</t>
    </r>
  </si>
  <si>
    <t xml:space="preserve">Social Assistance        </t>
  </si>
  <si>
    <t>1.6.13</t>
  </si>
  <si>
    <t>Social Assistance Benefits</t>
  </si>
  <si>
    <t>Employer Social Benefits</t>
  </si>
  <si>
    <t xml:space="preserve">Finance cost        </t>
  </si>
  <si>
    <t>1.6.14</t>
  </si>
  <si>
    <t>Interest on domestic debt</t>
  </si>
  <si>
    <t>Interest on foreign debt</t>
  </si>
  <si>
    <r>
      <t xml:space="preserve">Other Expenses  </t>
    </r>
    <r>
      <rPr>
        <b/>
        <sz val="11"/>
        <color rgb="FFFF0000"/>
        <rFont val="Calibri"/>
        <family val="2"/>
      </rPr>
      <t>(decide transfers or G&amp;S)</t>
    </r>
  </si>
  <si>
    <t>1.6.15</t>
  </si>
  <si>
    <t>Miscellaneous expenses</t>
  </si>
  <si>
    <t>Arrears on other expenditures</t>
  </si>
  <si>
    <t xml:space="preserve">Property expenses other than interest </t>
  </si>
  <si>
    <t>Premiums ,Fees and Current claims</t>
  </si>
  <si>
    <r>
      <t xml:space="preserve">Repayment of borrowings </t>
    </r>
    <r>
      <rPr>
        <sz val="11"/>
        <color rgb="FFFF0000"/>
        <rFont val="Calibri"/>
        <family val="2"/>
      </rPr>
      <t>(not used in SAM-CGE)</t>
    </r>
  </si>
  <si>
    <t>1.6.16</t>
  </si>
  <si>
    <t>Repayment of principal – Domestic debt</t>
  </si>
  <si>
    <t>Repayment of principal – Foreign debt</t>
  </si>
  <si>
    <t xml:space="preserve">Acquisition of Assets       </t>
  </si>
  <si>
    <t>1.6.17</t>
  </si>
  <si>
    <t xml:space="preserve">Acquisition of tangible fixed assets  (incl. in EBU, LG)  </t>
  </si>
  <si>
    <t xml:space="preserve">Inventories         </t>
  </si>
  <si>
    <t xml:space="preserve">Valuables         </t>
  </si>
  <si>
    <t xml:space="preserve">Non Produced Assets       </t>
  </si>
  <si>
    <t xml:space="preserve">Investment in Financial Assets – Domestic    </t>
  </si>
  <si>
    <t xml:space="preserve">Investment in Financial Assets – Foreign    </t>
  </si>
  <si>
    <t xml:space="preserve">Arrears on acquisition of fixed assets    </t>
  </si>
  <si>
    <r>
      <t xml:space="preserve">Total Expenditure </t>
    </r>
    <r>
      <rPr>
        <sz val="11"/>
        <color rgb="FFFF0000"/>
        <rFont val="Calibri"/>
        <family val="2"/>
      </rPr>
      <t xml:space="preserve"> (excl. repayment borrowing)</t>
    </r>
  </si>
  <si>
    <t>1.6.28</t>
  </si>
  <si>
    <r>
      <t xml:space="preserve">Net Surplus / (Deficit) </t>
    </r>
    <r>
      <rPr>
        <b/>
        <sz val="8"/>
        <color rgb="FFFF0000"/>
        <rFont val="Calibri"/>
        <family val="2"/>
      </rPr>
      <t>Rev-Exp corr.for netLending, ie GFS1986 def.</t>
    </r>
  </si>
  <si>
    <t>must=l.1121</t>
  </si>
  <si>
    <r>
      <t xml:space="preserve">FISCAL_SAM_NAT_wGFS above this     </t>
    </r>
    <r>
      <rPr>
        <sz val="8"/>
        <color rgb="FFFF0000"/>
        <rFont val="Calibri"/>
        <family val="2"/>
        <scheme val="minor"/>
      </rPr>
      <t>check on deficit excl. grants (GFS1986 def.)</t>
    </r>
  </si>
  <si>
    <t>2028/29</t>
  </si>
  <si>
    <t>2029/30</t>
  </si>
  <si>
    <t>2025/29</t>
  </si>
  <si>
    <t>2025/30</t>
  </si>
  <si>
    <t>2028/2029</t>
  </si>
  <si>
    <t>2029/2030</t>
  </si>
  <si>
    <t>01/07/2024-31/12/2024</t>
  </si>
  <si>
    <t>01/01/2025-30/06/2025</t>
  </si>
  <si>
    <t>01/07/2025-31/12/2025</t>
  </si>
  <si>
    <t>01/01/2026-30/06/2026</t>
  </si>
  <si>
    <t>01/07/2026-31/12/2026</t>
  </si>
  <si>
    <t>01/01/2027-30/06/2027</t>
  </si>
  <si>
    <t>01/07/2027-31/12/2027</t>
  </si>
  <si>
    <t>01/01/2028-30/06/2028</t>
  </si>
  <si>
    <t>01/07/2028-31/12/2028</t>
  </si>
  <si>
    <t>01/01/2029-30/06/2029</t>
  </si>
  <si>
    <t>01/07/2029-31/12/2029</t>
  </si>
  <si>
    <t>2.-I&amp;M Bank</t>
  </si>
  <si>
    <t>Total Existing T-bonds</t>
  </si>
  <si>
    <t xml:space="preserve">UK Contigent </t>
  </si>
  <si>
    <t>Flood response (GoR)</t>
  </si>
  <si>
    <t>FISC2014_OUTPUT above this</t>
  </si>
  <si>
    <t>1998A1</t>
  </si>
  <si>
    <t>1999A1</t>
  </si>
  <si>
    <t>2000A1</t>
  </si>
  <si>
    <t>2001A1</t>
  </si>
  <si>
    <t>2002A1</t>
  </si>
  <si>
    <t>2003A1</t>
  </si>
  <si>
    <t>2004A1</t>
  </si>
  <si>
    <t>2005A1</t>
  </si>
  <si>
    <t>2006A1</t>
  </si>
  <si>
    <t>2007A1</t>
  </si>
  <si>
    <t>2008A1</t>
  </si>
  <si>
    <t>2009A1</t>
  </si>
  <si>
    <t>2010A1</t>
  </si>
  <si>
    <t>2011A1</t>
  </si>
  <si>
    <t>2012A1</t>
  </si>
  <si>
    <t>2013A1</t>
  </si>
  <si>
    <t>2014A1</t>
  </si>
  <si>
    <t>2015A1</t>
  </si>
  <si>
    <t>2016A1</t>
  </si>
  <si>
    <t>2017A1</t>
  </si>
  <si>
    <t>2018A1</t>
  </si>
  <si>
    <t>2019A1</t>
  </si>
  <si>
    <t>2020A1</t>
  </si>
  <si>
    <t>2021A1</t>
  </si>
  <si>
    <t>2022A1</t>
  </si>
  <si>
    <t>2023A1</t>
  </si>
  <si>
    <t>2024A1</t>
  </si>
  <si>
    <t>2025A1</t>
  </si>
  <si>
    <t>2026A1</t>
  </si>
  <si>
    <t>2027A1</t>
  </si>
  <si>
    <t>2028A1</t>
  </si>
  <si>
    <t>2029A1</t>
  </si>
  <si>
    <t>2030A1</t>
  </si>
  <si>
    <t>old LIBOR from previous WEOGAS</t>
  </si>
  <si>
    <t>External debt Services</t>
  </si>
  <si>
    <t>Domestic Debt Services</t>
  </si>
  <si>
    <t>Disbursement</t>
  </si>
  <si>
    <t>EXTFIN_PRINT</t>
  </si>
  <si>
    <t>o/w COVID-19 Vaccine (AFD))</t>
  </si>
  <si>
    <t>o/w IMF RST &amp; SCF</t>
  </si>
  <si>
    <t>o/w  COVID-19 Vaccine (AFD)</t>
  </si>
  <si>
    <t>o/w COVID-19 Vaccine (COVAX,WB,INDIA)</t>
  </si>
  <si>
    <t xml:space="preserve">          Of which Global Fund</t>
  </si>
  <si>
    <t xml:space="preserve">Gross capital formation excl big projects (eg Bugesera) (excl inventories KP),used by BOP </t>
  </si>
  <si>
    <t>Gross capital formation excl big projects s and FDI Bugesera (excl inventories USD CP)</t>
  </si>
  <si>
    <t>01/01/2030-30/06/2030</t>
  </si>
  <si>
    <t>01-JUL-29 30-JUN-30</t>
  </si>
  <si>
    <t>2.-BK12</t>
  </si>
  <si>
    <t>2-RSSB</t>
  </si>
  <si>
    <t>2-Equity bank bond</t>
  </si>
  <si>
    <t>2.-TB5Y042024</t>
  </si>
  <si>
    <t>2.-TB15Y052024</t>
  </si>
  <si>
    <t>2.-TB3Y072024</t>
  </si>
  <si>
    <t>2.-TB5Y022025</t>
  </si>
  <si>
    <t>2-BNR</t>
  </si>
  <si>
    <t>2-CSR</t>
  </si>
  <si>
    <t>2-Total Fees on Domestic Debt</t>
  </si>
  <si>
    <t>Gross international reserves NBR end-period in mln USD (for BOP)</t>
  </si>
  <si>
    <t>Payment from KCC+PHL</t>
  </si>
  <si>
    <t>III.2 FISCAL  "TOFE" GFS 2014 PRESENTATION</t>
  </si>
  <si>
    <t> %GDP</t>
  </si>
  <si>
    <t xml:space="preserve">  Deviation</t>
  </si>
  <si>
    <t>O/w PKO</t>
  </si>
  <si>
    <t>O/w  which RwandAir working capital</t>
  </si>
  <si>
    <t>Rwandair Loan Repayment</t>
  </si>
  <si>
    <t>O/w Export Promotion</t>
  </si>
  <si>
    <t>Nominal GDP(billion FRW)</t>
  </si>
  <si>
    <t xml:space="preserve"> of which: Marburg Response</t>
  </si>
  <si>
    <t>O/w Marbug Response</t>
  </si>
  <si>
    <t>O/W Marburg</t>
  </si>
  <si>
    <t>of which: Marburg Response</t>
  </si>
  <si>
    <t xml:space="preserve"> of which: Marburg</t>
  </si>
  <si>
    <t>of which: Marburg</t>
  </si>
  <si>
    <t>o/w PCL</t>
  </si>
  <si>
    <t>o/w KCC in flow and PHL</t>
  </si>
  <si>
    <t>March Proj.</t>
  </si>
  <si>
    <t>Prov. Actual</t>
  </si>
  <si>
    <t>July Dec. 2025</t>
  </si>
  <si>
    <t>Jan June. 2026</t>
  </si>
  <si>
    <t xml:space="preserve">  Deviation in % of GDP</t>
  </si>
  <si>
    <t xml:space="preserve">  Dev.</t>
  </si>
  <si>
    <t xml:space="preserve">  Dev. in % of GDP </t>
  </si>
  <si>
    <t>Required Loans</t>
  </si>
  <si>
    <t>Payment</t>
  </si>
  <si>
    <t>Inflow</t>
  </si>
  <si>
    <t>of VAT Refund</t>
  </si>
  <si>
    <t>O/w VAT Refund</t>
  </si>
  <si>
    <t xml:space="preserve"> of which: VAT Refund</t>
  </si>
  <si>
    <t>July Dec. 2026</t>
  </si>
  <si>
    <t>Jan June. 2027</t>
  </si>
  <si>
    <t>July Dec. 2027</t>
  </si>
  <si>
    <t>Jan June. 2028</t>
  </si>
  <si>
    <t>T-Bills</t>
  </si>
  <si>
    <t>T- Bonds</t>
  </si>
  <si>
    <t xml:space="preserve">Bank </t>
  </si>
  <si>
    <t>Non Bank</t>
  </si>
  <si>
    <t>o/w Bugesera</t>
  </si>
  <si>
    <t>o/w Rdair</t>
  </si>
  <si>
    <t>o/w BAC</t>
  </si>
  <si>
    <t>Rwandair Euro Bond Repayment US$</t>
  </si>
  <si>
    <t>Qatar Contribution to Euro bond repayment US$</t>
  </si>
  <si>
    <t>Total Rdair Euro bond Repayment US$</t>
  </si>
  <si>
    <t>Bugesera govt equity contribution 2024/24-29</t>
  </si>
  <si>
    <t>Rwandair restructured loan Principal payment external</t>
  </si>
  <si>
    <t>Rwandair restructured loan Interest payment Domestic</t>
  </si>
  <si>
    <t>Rwandair restructured loan Principal payment Domestic</t>
  </si>
  <si>
    <t>o/w Commercial-Rwandair commercial</t>
  </si>
  <si>
    <t>o/w Rwandair  loan repayment (short-term Liabilities+bank)</t>
  </si>
  <si>
    <t>2031A1</t>
  </si>
  <si>
    <t>2032A1</t>
  </si>
  <si>
    <t>2033A1</t>
  </si>
  <si>
    <t>2034A1</t>
  </si>
  <si>
    <t>2035A1</t>
  </si>
  <si>
    <t>2030/31</t>
  </si>
  <si>
    <t>2031/32</t>
  </si>
  <si>
    <t>2032/33</t>
  </si>
  <si>
    <t>2033/34</t>
  </si>
  <si>
    <t>2034/35</t>
  </si>
  <si>
    <r>
      <t>Net Investment in nonfinancial assets</t>
    </r>
    <r>
      <rPr>
        <sz val="12"/>
        <rFont val="Cambria"/>
        <family val="1"/>
      </rPr>
      <t xml:space="preserve"> </t>
    </r>
  </si>
  <si>
    <t>Primary  Deficit (-) {deficit/Surplus} V1986</t>
  </si>
  <si>
    <t>Excluding Bugesera</t>
  </si>
  <si>
    <t>Excluding Bugesera, Rwandair</t>
  </si>
  <si>
    <t>Excluding Bugesera &amp; Rwandair</t>
  </si>
  <si>
    <t>Excluding Rwandair &amp;Bugesera</t>
  </si>
  <si>
    <t>Debt Creating Overall Deficit</t>
  </si>
  <si>
    <t>Excluding New Rwandair</t>
  </si>
  <si>
    <t>o/w Existing Rwndair Pofile</t>
  </si>
  <si>
    <t>O/w New Profile</t>
  </si>
  <si>
    <t>o/w Excl. Rwandair&amp;Bugesera</t>
  </si>
  <si>
    <t>O/W RSSB Reforms</t>
  </si>
  <si>
    <t>EBUS</t>
  </si>
  <si>
    <t>o/w RSSB Reform</t>
  </si>
  <si>
    <t>LG</t>
  </si>
  <si>
    <t>O/W Deficit Excl. Rwndair and Bugesera</t>
  </si>
  <si>
    <t>O/w Primary Balance</t>
  </si>
  <si>
    <t>October 2024 agreed</t>
  </si>
  <si>
    <t>Mar. 2025</t>
  </si>
  <si>
    <t>O/w  which Existing RwandAir working capital</t>
  </si>
  <si>
    <t>O/w Existing Bugesera (Bridge Loan)</t>
  </si>
  <si>
    <t>O/w additional New Profile</t>
  </si>
  <si>
    <t>O/w  which additional RwandAir working capital</t>
  </si>
  <si>
    <t>July Dec 2024 Proj</t>
  </si>
  <si>
    <t>July Dec 2024 Prov Act.</t>
  </si>
  <si>
    <t>Dev</t>
  </si>
  <si>
    <t>Jan June 2025. Oct. Agreed</t>
  </si>
  <si>
    <t>Jan June 2025. Mar.2025</t>
  </si>
  <si>
    <t>O/W New Bugesera</t>
  </si>
  <si>
    <t>O/W Existing Bugesera (Bridge Loansa</t>
  </si>
  <si>
    <r>
      <t xml:space="preserve">Total Nonbank financing </t>
    </r>
    <r>
      <rPr>
        <b/>
        <sz val="10"/>
        <rFont val="Calibri"/>
        <family val="2"/>
      </rPr>
      <t>Calendar Year (bln RWF)</t>
    </r>
  </si>
  <si>
    <t>01/07/2030-31/12/2030</t>
  </si>
  <si>
    <t>01/01/2031-30/06/2031</t>
  </si>
  <si>
    <t>01-JUL-30 30-JUN-31</t>
  </si>
  <si>
    <t>01/07/2031-31/12/2031</t>
  </si>
  <si>
    <t>01/01/2032-30/06/2032</t>
  </si>
  <si>
    <t>01-JUL-31 30-JUN-32</t>
  </si>
  <si>
    <t>01/07/2032-31/12/2032</t>
  </si>
  <si>
    <t>01/01/2033-30/06/2033</t>
  </si>
  <si>
    <t>01-JUL-32 30-JUN-33</t>
  </si>
  <si>
    <t>01/07/2033-31/12/2033</t>
  </si>
  <si>
    <t>01/01/2034-30/06/2034</t>
  </si>
  <si>
    <t>01-JUL-33 30-JUN-34</t>
  </si>
  <si>
    <t>01/07/2034-31/12/2034</t>
  </si>
  <si>
    <t>01/01/2035-30/06/2035</t>
  </si>
  <si>
    <t>01-JUL-34 30-JUN-35</t>
  </si>
  <si>
    <t>01/07/2035-31/12/2035</t>
  </si>
  <si>
    <t>01/01/2036-30/06/2036</t>
  </si>
  <si>
    <t>01-JUL-35 30-JUN-36</t>
  </si>
  <si>
    <t>2-BRD</t>
  </si>
  <si>
    <t>2.-TB7Y062024</t>
  </si>
  <si>
    <t>2.-TB20Y082024</t>
  </si>
  <si>
    <t>2.-TB10Y082024</t>
  </si>
  <si>
    <t>2.-TB10Y012025</t>
  </si>
  <si>
    <t>O/W BIA+Rwandair</t>
  </si>
  <si>
    <t>O/w Bugesera +Rwandair</t>
  </si>
  <si>
    <t>New Euro Bond</t>
  </si>
  <si>
    <t>Eurobond Fees</t>
  </si>
  <si>
    <t>O/W Eurobond Fees</t>
  </si>
  <si>
    <t xml:space="preserve">              Of which Bugesera</t>
  </si>
  <si>
    <t xml:space="preserve">              Of which Rwandair</t>
  </si>
  <si>
    <t xml:space="preserve">              Of which Euro bond(2021)</t>
  </si>
  <si>
    <t xml:space="preserve">              Of which Euro bond(2025)</t>
  </si>
  <si>
    <t xml:space="preserve">              Of which Euro Bond  (2025)</t>
  </si>
  <si>
    <t>Naïve extrapolation</t>
  </si>
  <si>
    <t>RWF/US$</t>
  </si>
  <si>
    <t>o/w BIA</t>
  </si>
  <si>
    <t>o/w Rwandair</t>
  </si>
  <si>
    <t>o/w Eurobond interest</t>
  </si>
  <si>
    <t>BUGESERA</t>
  </si>
  <si>
    <t>Rwandair</t>
  </si>
  <si>
    <t>July Dec. 2028</t>
  </si>
  <si>
    <t>Jan June. 2029</t>
  </si>
  <si>
    <t>July Dec. 2029</t>
  </si>
  <si>
    <t>Jan June. 2030</t>
  </si>
  <si>
    <t>Bugesera</t>
  </si>
  <si>
    <t>Other Use of Goods and Services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</si>
</sst>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0.00_);_(* \(#,##0.00\);_(* &quot;-&quot;??_);_(@_)"/>
    <numFmt numFmtId="164" formatCode="_-* #,##0_-;\-* #,##0_-;_-* &quot;-&quot;_-;_-@_-"/>
    <numFmt numFmtId="165" formatCode="_-* #,##0.00_-;\-* #,##0.00_-;_-* &quot;-&quot;??_-;_-@_-"/>
    <numFmt numFmtId="166" formatCode="0.0"/>
    <numFmt numFmtId="167" formatCode="#,##0.0"/>
    <numFmt numFmtId="168" formatCode="0.0%"/>
    <numFmt numFmtId="169" formatCode="_(* #,##0.0_);_(* \(#,##0.0\);_(* &quot;-&quot;??_);_(@_)"/>
    <numFmt numFmtId="170" formatCode="_-* #,##0.00\ _€_-;\-* #,##0.00\ _€_-;_-* &quot;-&quot;??\ _€_-;_-@_-"/>
    <numFmt numFmtId="171" formatCode="_(* #,##0.0_);_(* \(#,##0.0\);_(* &quot;-&quot;?_);_(@_)"/>
    <numFmt numFmtId="172" formatCode="[$-409]mmm\-yy;@"/>
    <numFmt numFmtId="173" formatCode="#,##0.000"/>
    <numFmt numFmtId="174" formatCode="_(* #,##0_);_(* \(#,##0\);_(* &quot;-&quot;??_);_(@_)"/>
    <numFmt numFmtId="175" formatCode="#,##0.000000"/>
    <numFmt numFmtId="176" formatCode="#,##0.00000000"/>
    <numFmt numFmtId="177" formatCode="_-* #,##0.0_-;\-* #,##0.0_-;_-* &quot;-&quot;_-;_-@_-"/>
    <numFmt numFmtId="178" formatCode="#,##0.00000"/>
    <numFmt numFmtId="179" formatCode="_-* #,##0.0_-;\-* #,##0.0_-;_-* &quot;-&quot;?_-;_-@_-"/>
    <numFmt numFmtId="180" formatCode="0.000000000000000000%"/>
    <numFmt numFmtId="181" formatCode="#,##0.0000"/>
  </numFmts>
  <fonts count="303">
    <font>
      <sz val="11"/>
      <color theme="1"/>
      <name val="Calibri"/>
      <family val="2"/>
      <scheme val="minor"/>
    </font>
    <font>
      <b/>
      <sz val="11"/>
      <color indexed="8"/>
      <name val="Calibri"/>
      <family val="2"/>
    </font>
    <font>
      <sz val="12"/>
      <color indexed="8"/>
      <name val="Calibri"/>
      <family val="2"/>
    </font>
    <font>
      <sz val="11"/>
      <name val="Calibri"/>
      <family val="2"/>
    </font>
    <font>
      <b/>
      <sz val="11"/>
      <name val="Calibri"/>
      <family val="2"/>
    </font>
    <font>
      <sz val="10"/>
      <color indexed="8"/>
      <name val="Calibri"/>
      <family val="2"/>
    </font>
    <font>
      <sz val="10"/>
      <name val="Arial"/>
      <family val="2"/>
    </font>
    <font>
      <sz val="10"/>
      <name val="Calibri"/>
      <family val="2"/>
    </font>
    <font>
      <b/>
      <sz val="10"/>
      <name val="Calibri"/>
      <family val="2"/>
    </font>
    <font>
      <b/>
      <sz val="10"/>
      <name val="Times New Roman"/>
      <family val="1"/>
    </font>
    <font>
      <sz val="10"/>
      <name val="Times New Roman"/>
      <family val="1"/>
    </font>
    <font>
      <sz val="8"/>
      <name val="Calibri"/>
      <family val="2"/>
    </font>
    <font>
      <sz val="9"/>
      <name val="Arial"/>
      <family val="2"/>
    </font>
    <font>
      <b/>
      <sz val="8"/>
      <name val="Arial"/>
      <family val="2"/>
    </font>
    <font>
      <b/>
      <sz val="9"/>
      <name val="Arial"/>
      <family val="2"/>
    </font>
    <font>
      <b/>
      <sz val="9"/>
      <color indexed="8"/>
      <name val="Calibri"/>
      <family val="2"/>
    </font>
    <font>
      <sz val="9"/>
      <color indexed="8"/>
      <name val="Calibri"/>
      <family val="2"/>
    </font>
    <font>
      <sz val="8"/>
      <color indexed="8"/>
      <name val="Calibri"/>
      <family val="2"/>
    </font>
    <font>
      <u/>
      <sz val="11"/>
      <color indexed="8"/>
      <name val="Calibri"/>
      <family val="2"/>
    </font>
    <font>
      <b/>
      <sz val="8"/>
      <name val="Times New Roman"/>
      <family val="1"/>
    </font>
    <font>
      <sz val="12"/>
      <color indexed="8"/>
      <name val="Cambria"/>
      <family val="1"/>
    </font>
    <font>
      <sz val="9"/>
      <name val="Calibri"/>
      <family val="2"/>
    </font>
    <font>
      <sz val="8"/>
      <name val="Arial"/>
      <family val="2"/>
    </font>
    <font>
      <sz val="9"/>
      <color indexed="10"/>
      <name val="Calibri"/>
      <family val="2"/>
    </font>
    <font>
      <sz val="8"/>
      <color indexed="60"/>
      <name val="Calibri"/>
      <family val="2"/>
    </font>
    <font>
      <u/>
      <sz val="10"/>
      <color indexed="8"/>
      <name val="Calibri"/>
      <family val="2"/>
    </font>
    <font>
      <sz val="8"/>
      <color indexed="8"/>
      <name val="Symbol"/>
      <family val="1"/>
      <charset val="2"/>
    </font>
    <font>
      <sz val="8"/>
      <name val="Symbol"/>
      <family val="1"/>
      <charset val="2"/>
    </font>
    <font>
      <b/>
      <sz val="12"/>
      <color indexed="8"/>
      <name val="Cambria"/>
      <family val="1"/>
    </font>
    <font>
      <sz val="10"/>
      <color indexed="8"/>
      <name val="Arial"/>
      <family val="2"/>
    </font>
    <font>
      <b/>
      <sz val="11"/>
      <color indexed="8"/>
      <name val="Cambria"/>
      <family val="1"/>
    </font>
    <font>
      <b/>
      <sz val="9"/>
      <name val="Calibri"/>
      <family val="2"/>
    </font>
    <font>
      <sz val="8"/>
      <color indexed="60"/>
      <name val="Arial"/>
      <family val="2"/>
    </font>
    <font>
      <sz val="12"/>
      <name val="Calibri"/>
      <family val="2"/>
    </font>
    <font>
      <b/>
      <sz val="12"/>
      <color indexed="8"/>
      <name val="Calibri"/>
      <family val="2"/>
    </font>
    <font>
      <b/>
      <sz val="12"/>
      <name val="Calibri"/>
      <family val="2"/>
    </font>
    <font>
      <sz val="12"/>
      <name val="Cambria"/>
      <family val="1"/>
    </font>
    <font>
      <sz val="10"/>
      <color indexed="8"/>
      <name val="Cambria"/>
      <family val="1"/>
    </font>
    <font>
      <sz val="10"/>
      <name val="Cambria"/>
      <family val="1"/>
    </font>
    <font>
      <b/>
      <sz val="10"/>
      <color indexed="10"/>
      <name val="Cambria"/>
      <family val="1"/>
    </font>
    <font>
      <b/>
      <sz val="12"/>
      <color indexed="10"/>
      <name val="Cambria"/>
      <family val="1"/>
    </font>
    <font>
      <sz val="13"/>
      <name val="Arial"/>
      <family val="2"/>
    </font>
    <font>
      <sz val="8"/>
      <color indexed="10"/>
      <name val="Symbol"/>
      <family val="1"/>
      <charset val="2"/>
    </font>
    <font>
      <sz val="8"/>
      <color indexed="10"/>
      <name val="Calibri"/>
      <family val="2"/>
    </font>
    <font>
      <sz val="10"/>
      <color indexed="56"/>
      <name val="Calibri"/>
      <family val="2"/>
    </font>
    <font>
      <b/>
      <sz val="10"/>
      <color indexed="56"/>
      <name val="Calibri"/>
      <family val="2"/>
    </font>
    <font>
      <b/>
      <sz val="10"/>
      <color indexed="8"/>
      <name val="Cambria"/>
      <family val="1"/>
    </font>
    <font>
      <b/>
      <sz val="10"/>
      <color indexed="8"/>
      <name val="Arial"/>
      <family val="2"/>
    </font>
    <font>
      <b/>
      <sz val="11"/>
      <color indexed="56"/>
      <name val="Calibri"/>
      <family val="2"/>
    </font>
    <font>
      <b/>
      <i/>
      <sz val="11"/>
      <color indexed="56"/>
      <name val="Calibri"/>
      <family val="2"/>
    </font>
    <font>
      <i/>
      <sz val="10"/>
      <color indexed="10"/>
      <name val="Calibri"/>
      <family val="2"/>
    </font>
    <font>
      <b/>
      <i/>
      <sz val="10"/>
      <color indexed="10"/>
      <name val="Calibri"/>
      <family val="2"/>
    </font>
    <font>
      <sz val="9"/>
      <color indexed="60"/>
      <name val="Calibri"/>
      <family val="2"/>
    </font>
    <font>
      <sz val="9"/>
      <color indexed="81"/>
      <name val="Tahoma"/>
      <family val="2"/>
    </font>
    <font>
      <sz val="11"/>
      <color indexed="10"/>
      <name val="Calibri"/>
      <family val="2"/>
    </font>
    <font>
      <b/>
      <sz val="9"/>
      <color indexed="81"/>
      <name val="Tahoma"/>
      <family val="2"/>
    </font>
    <font>
      <sz val="10"/>
      <color indexed="17"/>
      <name val="Calibri"/>
      <family val="2"/>
    </font>
    <font>
      <b/>
      <sz val="8"/>
      <name val="Calibri"/>
      <family val="2"/>
    </font>
    <font>
      <sz val="11"/>
      <color theme="1"/>
      <name val="Calibri"/>
      <family val="2"/>
      <scheme val="minor"/>
    </font>
    <font>
      <b/>
      <sz val="11"/>
      <color theme="3"/>
      <name val="Calibri"/>
      <family val="2"/>
      <scheme val="minor"/>
    </font>
    <font>
      <sz val="10"/>
      <color theme="1"/>
      <name val="Cambria"/>
      <family val="2"/>
    </font>
    <font>
      <sz val="12"/>
      <color theme="1"/>
      <name val="Calibri"/>
      <family val="2"/>
      <scheme val="minor"/>
    </font>
    <font>
      <b/>
      <sz val="11"/>
      <color theme="1"/>
      <name val="Calibri"/>
      <family val="2"/>
      <scheme val="minor"/>
    </font>
    <font>
      <sz val="11"/>
      <color rgb="FFFF0000"/>
      <name val="Calibri"/>
      <family val="2"/>
      <scheme val="minor"/>
    </font>
    <font>
      <b/>
      <u/>
      <sz val="11"/>
      <color theme="1"/>
      <name val="Calibri"/>
      <family val="2"/>
      <scheme val="minor"/>
    </font>
    <font>
      <sz val="11"/>
      <name val="Calibri"/>
      <family val="2"/>
      <scheme val="minor"/>
    </font>
    <font>
      <sz val="10"/>
      <color theme="1"/>
      <name val="Calibri"/>
      <family val="2"/>
      <scheme val="minor"/>
    </font>
    <font>
      <b/>
      <sz val="11"/>
      <name val="Calibri"/>
      <family val="2"/>
      <scheme val="minor"/>
    </font>
    <font>
      <b/>
      <sz val="11"/>
      <color rgb="FFFF0000"/>
      <name val="Calibri"/>
      <family val="2"/>
      <scheme val="minor"/>
    </font>
    <font>
      <sz val="10"/>
      <name val="Calibri"/>
      <family val="2"/>
      <scheme val="minor"/>
    </font>
    <font>
      <b/>
      <sz val="14"/>
      <color theme="1"/>
      <name val="Calibri"/>
      <family val="2"/>
      <scheme val="minor"/>
    </font>
    <font>
      <b/>
      <i/>
      <sz val="11"/>
      <color theme="1"/>
      <name val="Calibri"/>
      <family val="2"/>
      <scheme val="minor"/>
    </font>
    <font>
      <b/>
      <sz val="9"/>
      <color theme="1"/>
      <name val="Calibri"/>
      <family val="2"/>
      <scheme val="minor"/>
    </font>
    <font>
      <sz val="9"/>
      <color theme="1"/>
      <name val="Calibri"/>
      <family val="2"/>
      <scheme val="minor"/>
    </font>
    <font>
      <b/>
      <sz val="10"/>
      <color theme="1"/>
      <name val="Calibri"/>
      <family val="2"/>
      <scheme val="minor"/>
    </font>
    <font>
      <b/>
      <sz val="12"/>
      <color theme="1"/>
      <name val="Calibri"/>
      <family val="2"/>
      <scheme val="minor"/>
    </font>
    <font>
      <sz val="8"/>
      <color theme="1"/>
      <name val="Calibri"/>
      <family val="2"/>
      <scheme val="minor"/>
    </font>
    <font>
      <sz val="8"/>
      <color rgb="FFFF0000"/>
      <name val="Calibri"/>
      <family val="2"/>
      <scheme val="minor"/>
    </font>
    <font>
      <sz val="8"/>
      <name val="Calibri"/>
      <family val="2"/>
      <scheme val="minor"/>
    </font>
    <font>
      <i/>
      <sz val="11"/>
      <color theme="1"/>
      <name val="Calibri"/>
      <family val="2"/>
      <scheme val="minor"/>
    </font>
    <font>
      <sz val="12"/>
      <name val="Calibri"/>
      <family val="2"/>
      <scheme val="minor"/>
    </font>
    <font>
      <b/>
      <sz val="10"/>
      <name val="Calibri"/>
      <family val="2"/>
      <scheme val="minor"/>
    </font>
    <font>
      <sz val="12"/>
      <color theme="1"/>
      <name val="Cambria"/>
      <family val="1"/>
      <scheme val="major"/>
    </font>
    <font>
      <b/>
      <sz val="12"/>
      <name val="Calibri"/>
      <family val="2"/>
      <scheme val="minor"/>
    </font>
    <font>
      <b/>
      <sz val="8"/>
      <name val="Calibri"/>
      <family val="2"/>
      <scheme val="minor"/>
    </font>
    <font>
      <b/>
      <sz val="8"/>
      <color theme="1"/>
      <name val="Calibri"/>
      <family val="2"/>
      <scheme val="minor"/>
    </font>
    <font>
      <i/>
      <sz val="10"/>
      <color theme="1"/>
      <name val="Calibri"/>
      <family val="2"/>
      <scheme val="minor"/>
    </font>
    <font>
      <sz val="9"/>
      <name val="Calibri"/>
      <family val="2"/>
      <scheme val="minor"/>
    </font>
    <font>
      <i/>
      <sz val="10"/>
      <color rgb="FFC00000"/>
      <name val="Calibri"/>
      <family val="2"/>
      <scheme val="minor"/>
    </font>
    <font>
      <b/>
      <i/>
      <sz val="10"/>
      <color rgb="FFC00000"/>
      <name val="Calibri"/>
      <family val="2"/>
      <scheme val="minor"/>
    </font>
    <font>
      <sz val="10"/>
      <color rgb="FFC00000"/>
      <name val="Calibri"/>
      <family val="2"/>
      <scheme val="minor"/>
    </font>
    <font>
      <sz val="9"/>
      <color rgb="FFFF0000"/>
      <name val="Calibri"/>
      <family val="2"/>
      <scheme val="minor"/>
    </font>
    <font>
      <i/>
      <sz val="8"/>
      <color rgb="FFC00000"/>
      <name val="Calibri"/>
      <family val="2"/>
      <scheme val="minor"/>
    </font>
    <font>
      <sz val="8"/>
      <color rgb="FFC00000"/>
      <name val="Calibri"/>
      <family val="2"/>
      <scheme val="minor"/>
    </font>
    <font>
      <sz val="9"/>
      <color rgb="FFC00000"/>
      <name val="Calibri"/>
      <family val="2"/>
      <scheme val="minor"/>
    </font>
    <font>
      <b/>
      <sz val="10"/>
      <color rgb="FFFF0000"/>
      <name val="Calibri"/>
      <family val="2"/>
      <scheme val="minor"/>
    </font>
    <font>
      <b/>
      <sz val="8"/>
      <color rgb="FFC00000"/>
      <name val="Calibri"/>
      <family val="2"/>
      <scheme val="minor"/>
    </font>
    <font>
      <b/>
      <sz val="10"/>
      <color rgb="FFC00000"/>
      <name val="Calibri"/>
      <family val="2"/>
      <scheme val="minor"/>
    </font>
    <font>
      <b/>
      <sz val="9"/>
      <color rgb="FFC00000"/>
      <name val="Calibri"/>
      <family val="2"/>
      <scheme val="minor"/>
    </font>
    <font>
      <i/>
      <sz val="9"/>
      <color rgb="FFC00000"/>
      <name val="Calibri"/>
      <family val="2"/>
      <scheme val="minor"/>
    </font>
    <font>
      <u/>
      <sz val="11"/>
      <color theme="1"/>
      <name val="Calibri"/>
      <family val="2"/>
      <scheme val="minor"/>
    </font>
    <font>
      <sz val="10"/>
      <color rgb="FFFF0000"/>
      <name val="Calibri"/>
      <family val="2"/>
      <scheme val="minor"/>
    </font>
    <font>
      <b/>
      <i/>
      <sz val="9"/>
      <color rgb="FFC00000"/>
      <name val="Calibri"/>
      <family val="2"/>
      <scheme val="minor"/>
    </font>
    <font>
      <b/>
      <sz val="11"/>
      <color rgb="FFC00000"/>
      <name val="Calibri"/>
      <family val="2"/>
      <scheme val="minor"/>
    </font>
    <font>
      <i/>
      <sz val="11"/>
      <color rgb="FFC00000"/>
      <name val="Calibri"/>
      <family val="2"/>
      <scheme val="minor"/>
    </font>
    <font>
      <u/>
      <sz val="10"/>
      <name val="Calibri"/>
      <family val="2"/>
      <scheme val="minor"/>
    </font>
    <font>
      <b/>
      <sz val="9"/>
      <color rgb="FF5C732F"/>
      <name val="Calibri"/>
      <family val="2"/>
      <scheme val="minor"/>
    </font>
    <font>
      <b/>
      <sz val="12"/>
      <color rgb="FF586D2D"/>
      <name val="Calibri"/>
      <family val="2"/>
      <scheme val="minor"/>
    </font>
    <font>
      <b/>
      <sz val="12"/>
      <color rgb="FF53672B"/>
      <name val="Calibri"/>
      <family val="2"/>
      <scheme val="minor"/>
    </font>
    <font>
      <b/>
      <i/>
      <sz val="8"/>
      <color rgb="FFC00000"/>
      <name val="Calibri"/>
      <family val="2"/>
      <scheme val="minor"/>
    </font>
    <font>
      <b/>
      <u/>
      <sz val="12"/>
      <color theme="1"/>
      <name val="Cambria"/>
      <family val="1"/>
      <scheme val="major"/>
    </font>
    <font>
      <b/>
      <sz val="12"/>
      <name val="Cambria"/>
      <family val="1"/>
      <scheme val="major"/>
    </font>
    <font>
      <b/>
      <sz val="10"/>
      <color theme="1"/>
      <name val="Cambria"/>
      <family val="1"/>
      <scheme val="major"/>
    </font>
    <font>
      <b/>
      <sz val="12"/>
      <color theme="1"/>
      <name val="Cambria"/>
      <family val="1"/>
      <scheme val="major"/>
    </font>
    <font>
      <sz val="12"/>
      <name val="Cambria"/>
      <family val="1"/>
      <scheme val="major"/>
    </font>
    <font>
      <b/>
      <sz val="12"/>
      <color theme="6" tint="-0.249977111117893"/>
      <name val="Cambria"/>
      <family val="1"/>
      <scheme val="major"/>
    </font>
    <font>
      <b/>
      <u/>
      <sz val="12"/>
      <name val="Cambria"/>
      <family val="1"/>
      <scheme val="major"/>
    </font>
    <font>
      <i/>
      <sz val="12"/>
      <name val="Cambria"/>
      <family val="1"/>
      <scheme val="major"/>
    </font>
    <font>
      <b/>
      <i/>
      <sz val="12"/>
      <color theme="1"/>
      <name val="Cambria"/>
      <family val="1"/>
      <scheme val="major"/>
    </font>
    <font>
      <i/>
      <sz val="12"/>
      <color theme="1"/>
      <name val="Cambria"/>
      <family val="1"/>
      <scheme val="major"/>
    </font>
    <font>
      <sz val="12"/>
      <color rgb="FFC00000"/>
      <name val="Cambria"/>
      <family val="1"/>
      <scheme val="major"/>
    </font>
    <font>
      <b/>
      <u/>
      <sz val="12"/>
      <color indexed="8"/>
      <name val="Cambria"/>
      <family val="1"/>
      <scheme val="major"/>
    </font>
    <font>
      <sz val="12"/>
      <color indexed="8"/>
      <name val="Cambria"/>
      <family val="1"/>
      <scheme val="major"/>
    </font>
    <font>
      <sz val="12"/>
      <color theme="0"/>
      <name val="Cambria"/>
      <family val="1"/>
      <scheme val="major"/>
    </font>
    <font>
      <b/>
      <sz val="8"/>
      <color theme="1"/>
      <name val="Cambria"/>
      <family val="1"/>
      <scheme val="major"/>
    </font>
    <font>
      <sz val="10"/>
      <color theme="1"/>
      <name val="Cambria"/>
      <family val="1"/>
      <scheme val="major"/>
    </font>
    <font>
      <b/>
      <sz val="10"/>
      <name val="Cambria"/>
      <family val="1"/>
      <scheme val="major"/>
    </font>
    <font>
      <sz val="10"/>
      <name val="Cambria"/>
      <family val="1"/>
      <scheme val="major"/>
    </font>
    <font>
      <sz val="10"/>
      <color theme="0"/>
      <name val="Cambria"/>
      <family val="1"/>
      <scheme val="major"/>
    </font>
    <font>
      <u/>
      <sz val="10"/>
      <color theme="1"/>
      <name val="Calibri"/>
      <family val="2"/>
      <scheme val="minor"/>
    </font>
    <font>
      <i/>
      <sz val="10"/>
      <name val="Calibri"/>
      <family val="2"/>
      <scheme val="minor"/>
    </font>
    <font>
      <b/>
      <i/>
      <sz val="12"/>
      <color rgb="FFC00000"/>
      <name val="Cambria"/>
      <family val="1"/>
      <scheme val="major"/>
    </font>
    <font>
      <b/>
      <sz val="11"/>
      <color theme="1"/>
      <name val="Cambria"/>
      <family val="1"/>
      <scheme val="major"/>
    </font>
    <font>
      <u/>
      <sz val="12"/>
      <color theme="1"/>
      <name val="Cambria"/>
      <family val="1"/>
      <scheme val="major"/>
    </font>
    <font>
      <b/>
      <sz val="9"/>
      <name val="Calibri"/>
      <family val="2"/>
      <scheme val="minor"/>
    </font>
    <font>
      <u/>
      <sz val="12"/>
      <color theme="1"/>
      <name val="Calibri"/>
      <family val="2"/>
      <scheme val="minor"/>
    </font>
    <font>
      <b/>
      <u/>
      <sz val="12"/>
      <color theme="1"/>
      <name val="Calibri"/>
      <family val="2"/>
      <scheme val="minor"/>
    </font>
    <font>
      <i/>
      <sz val="12"/>
      <color theme="1"/>
      <name val="Calibri"/>
      <family val="2"/>
      <scheme val="minor"/>
    </font>
    <font>
      <b/>
      <i/>
      <sz val="12"/>
      <color theme="1"/>
      <name val="Calibri"/>
      <family val="2"/>
      <scheme val="minor"/>
    </font>
    <font>
      <b/>
      <sz val="8"/>
      <color theme="6" tint="-0.249977111117893"/>
      <name val="Calibri"/>
      <family val="2"/>
      <scheme val="minor"/>
    </font>
    <font>
      <b/>
      <sz val="11"/>
      <color rgb="FF586D2D"/>
      <name val="Calibri"/>
      <family val="2"/>
      <scheme val="minor"/>
    </font>
    <font>
      <i/>
      <sz val="9"/>
      <name val="Calibri"/>
      <family val="2"/>
      <scheme val="minor"/>
    </font>
    <font>
      <b/>
      <sz val="8"/>
      <color rgb="FF5C732F"/>
      <name val="Calibri"/>
      <family val="2"/>
      <scheme val="minor"/>
    </font>
    <font>
      <b/>
      <sz val="10"/>
      <color rgb="FFFF0000"/>
      <name val="Cambria"/>
      <family val="1"/>
      <scheme val="major"/>
    </font>
    <font>
      <i/>
      <sz val="9"/>
      <color theme="1"/>
      <name val="Calibri"/>
      <family val="2"/>
      <scheme val="minor"/>
    </font>
    <font>
      <u/>
      <sz val="11"/>
      <color rgb="FFC00000"/>
      <name val="Calibri"/>
      <family val="2"/>
      <scheme val="minor"/>
    </font>
    <font>
      <b/>
      <sz val="10"/>
      <color rgb="FFC00000"/>
      <name val="Cambria"/>
      <family val="1"/>
      <scheme val="major"/>
    </font>
    <font>
      <b/>
      <sz val="8"/>
      <color rgb="FFFF0000"/>
      <name val="Calibri"/>
      <family val="2"/>
      <scheme val="minor"/>
    </font>
    <font>
      <sz val="12"/>
      <color rgb="FFC00000"/>
      <name val="Calibri"/>
      <family val="2"/>
      <scheme val="minor"/>
    </font>
    <font>
      <i/>
      <sz val="12"/>
      <color rgb="FFC00000"/>
      <name val="Calibri"/>
      <family val="2"/>
      <scheme val="minor"/>
    </font>
    <font>
      <b/>
      <sz val="12"/>
      <color rgb="FFFF0000"/>
      <name val="Cambria"/>
      <family val="1"/>
      <scheme val="major"/>
    </font>
    <font>
      <sz val="12"/>
      <color rgb="FFFF0000"/>
      <name val="Cambria"/>
      <family val="1"/>
      <scheme val="major"/>
    </font>
    <font>
      <sz val="13"/>
      <color theme="1"/>
      <name val="Arial"/>
      <family val="2"/>
    </font>
    <font>
      <b/>
      <sz val="13"/>
      <color theme="1"/>
      <name val="Arial"/>
      <family val="2"/>
    </font>
    <font>
      <b/>
      <sz val="13"/>
      <color rgb="FFFF0000"/>
      <name val="Arial"/>
      <family val="2"/>
    </font>
    <font>
      <i/>
      <sz val="13"/>
      <color theme="1"/>
      <name val="Arial"/>
      <family val="2"/>
    </font>
    <font>
      <sz val="13"/>
      <color rgb="FFFF0000"/>
      <name val="Arial"/>
      <family val="2"/>
    </font>
    <font>
      <sz val="14"/>
      <color theme="1"/>
      <name val="Cambria"/>
      <family val="1"/>
      <scheme val="major"/>
    </font>
    <font>
      <b/>
      <u/>
      <sz val="12"/>
      <color rgb="FFFF0000"/>
      <name val="Cambria"/>
      <family val="1"/>
      <scheme val="major"/>
    </font>
    <font>
      <b/>
      <u/>
      <sz val="14"/>
      <color theme="1"/>
      <name val="Cambria"/>
      <family val="1"/>
      <scheme val="major"/>
    </font>
    <font>
      <sz val="8"/>
      <color theme="1"/>
      <name val="Cambria"/>
      <family val="1"/>
      <scheme val="major"/>
    </font>
    <font>
      <sz val="10"/>
      <color rgb="FF002060"/>
      <name val="Calibri"/>
      <family val="2"/>
      <scheme val="minor"/>
    </font>
    <font>
      <b/>
      <sz val="10"/>
      <color rgb="FF002060"/>
      <name val="Calibri"/>
      <family val="2"/>
      <scheme val="minor"/>
    </font>
    <font>
      <b/>
      <i/>
      <sz val="10"/>
      <color rgb="FF002060"/>
      <name val="Calibri"/>
      <family val="2"/>
      <scheme val="minor"/>
    </font>
    <font>
      <b/>
      <i/>
      <sz val="8"/>
      <name val="Calibri"/>
      <family val="2"/>
      <scheme val="minor"/>
    </font>
    <font>
      <sz val="11"/>
      <color rgb="FF3B4A1E"/>
      <name val="Calibri"/>
      <family val="2"/>
      <scheme val="minor"/>
    </font>
    <font>
      <b/>
      <sz val="11"/>
      <color rgb="FF3B4A1E"/>
      <name val="Calibri"/>
      <family val="2"/>
      <scheme val="minor"/>
    </font>
    <font>
      <b/>
      <sz val="9"/>
      <color rgb="FF3B4A1E"/>
      <name val="Calibri"/>
      <family val="2"/>
      <scheme val="minor"/>
    </font>
    <font>
      <sz val="9"/>
      <color rgb="FF3B4A1E"/>
      <name val="Calibri"/>
      <family val="2"/>
      <scheme val="minor"/>
    </font>
    <font>
      <b/>
      <sz val="10"/>
      <color rgb="FF3B4A1E"/>
      <name val="Calibri"/>
      <family val="2"/>
      <scheme val="minor"/>
    </font>
    <font>
      <b/>
      <sz val="14"/>
      <color rgb="FF000000"/>
      <name val="Calibri"/>
      <family val="2"/>
    </font>
    <font>
      <b/>
      <i/>
      <sz val="10"/>
      <color rgb="FF3B4A1E"/>
      <name val="Calibri"/>
      <family val="2"/>
      <scheme val="minor"/>
    </font>
    <font>
      <b/>
      <u/>
      <sz val="8"/>
      <color theme="1"/>
      <name val="Calibri"/>
      <family val="2"/>
      <scheme val="minor"/>
    </font>
    <font>
      <b/>
      <sz val="12"/>
      <color theme="3"/>
      <name val="Calibri"/>
      <family val="2"/>
    </font>
    <font>
      <b/>
      <sz val="11"/>
      <color theme="3"/>
      <name val="Calibri"/>
      <family val="2"/>
    </font>
    <font>
      <sz val="9"/>
      <color theme="1"/>
      <name val="Cambria"/>
      <family val="1"/>
      <scheme val="major"/>
    </font>
    <font>
      <b/>
      <u/>
      <sz val="9"/>
      <color rgb="FF3B4A1E"/>
      <name val="Calibri"/>
      <family val="2"/>
      <scheme val="minor"/>
    </font>
    <font>
      <b/>
      <u/>
      <sz val="11"/>
      <color rgb="FF3B4A1E"/>
      <name val="Calibri"/>
      <family val="2"/>
      <scheme val="minor"/>
    </font>
    <font>
      <sz val="12"/>
      <color theme="8" tint="-0.499984740745262"/>
      <name val="Cambria"/>
      <family val="1"/>
      <scheme val="major"/>
    </font>
    <font>
      <b/>
      <u/>
      <sz val="10"/>
      <color rgb="FF3B4A1E"/>
      <name val="Calibri"/>
      <family val="2"/>
      <scheme val="minor"/>
    </font>
    <font>
      <i/>
      <sz val="12"/>
      <color rgb="FF002060"/>
      <name val="Cambria"/>
      <family val="1"/>
      <scheme val="major"/>
    </font>
    <font>
      <sz val="10"/>
      <color theme="8" tint="-0.499984740745262"/>
      <name val="Cambria"/>
      <family val="1"/>
      <scheme val="major"/>
    </font>
    <font>
      <sz val="9"/>
      <color theme="8" tint="-0.499984740745262"/>
      <name val="Cambria"/>
      <family val="1"/>
      <scheme val="major"/>
    </font>
    <font>
      <i/>
      <sz val="12"/>
      <color rgb="FF0070C0"/>
      <name val="Cambria"/>
      <family val="1"/>
      <scheme val="major"/>
    </font>
    <font>
      <sz val="12"/>
      <color rgb="FF0070C0"/>
      <name val="Cambria"/>
      <family val="1"/>
      <scheme val="major"/>
    </font>
    <font>
      <sz val="10"/>
      <color rgb="FFFF0000"/>
      <name val="Cambria"/>
      <family val="1"/>
      <scheme val="major"/>
    </font>
    <font>
      <sz val="9"/>
      <color rgb="FFFF0000"/>
      <name val="Cambria"/>
      <family val="1"/>
      <scheme val="major"/>
    </font>
    <font>
      <sz val="9"/>
      <color rgb="FF002060"/>
      <name val="Cambria"/>
      <family val="1"/>
      <scheme val="major"/>
    </font>
    <font>
      <sz val="9"/>
      <color rgb="FF0070C0"/>
      <name val="Cambria"/>
      <family val="1"/>
      <scheme val="major"/>
    </font>
    <font>
      <sz val="9"/>
      <color indexed="8"/>
      <name val="Cambria"/>
      <family val="1"/>
      <scheme val="major"/>
    </font>
    <font>
      <sz val="9"/>
      <name val="Cambria"/>
      <family val="1"/>
      <scheme val="major"/>
    </font>
    <font>
      <b/>
      <sz val="8"/>
      <color rgb="FF3B4A1E"/>
      <name val="Calibri"/>
      <family val="2"/>
      <scheme val="minor"/>
    </font>
    <font>
      <b/>
      <sz val="9"/>
      <color theme="1"/>
      <name val="Cambria"/>
      <family val="1"/>
      <scheme val="major"/>
    </font>
    <font>
      <sz val="8"/>
      <color rgb="FFFF0000"/>
      <name val="Cambria"/>
      <family val="1"/>
      <scheme val="major"/>
    </font>
    <font>
      <b/>
      <i/>
      <sz val="10"/>
      <color theme="1"/>
      <name val="Calibri"/>
      <family val="2"/>
      <scheme val="minor"/>
    </font>
    <font>
      <i/>
      <sz val="10"/>
      <color rgb="FFFF0000"/>
      <name val="Calibri"/>
      <family val="2"/>
      <scheme val="minor"/>
    </font>
    <font>
      <b/>
      <i/>
      <sz val="11"/>
      <name val="Calibri"/>
      <family val="2"/>
      <scheme val="minor"/>
    </font>
    <font>
      <sz val="8"/>
      <color rgb="FFC00000"/>
      <name val="Calibri"/>
      <family val="2"/>
    </font>
    <font>
      <sz val="9"/>
      <color rgb="FFC00000"/>
      <name val="Calibri"/>
      <family val="2"/>
    </font>
    <font>
      <b/>
      <sz val="8"/>
      <color rgb="FF000000"/>
      <name val="Calibri"/>
      <family val="2"/>
    </font>
    <font>
      <sz val="10"/>
      <color theme="3" tint="-0.499984740745262"/>
      <name val="Calibri"/>
      <family val="2"/>
      <scheme val="minor"/>
    </font>
    <font>
      <b/>
      <sz val="13"/>
      <color rgb="FF000000"/>
      <name val="Arial"/>
      <family val="2"/>
    </font>
    <font>
      <sz val="11"/>
      <color theme="1"/>
      <name val="Calibri"/>
      <family val="2"/>
    </font>
    <font>
      <sz val="13"/>
      <color rgb="FF000000"/>
      <name val="Arial"/>
      <family val="2"/>
    </font>
    <font>
      <b/>
      <sz val="12"/>
      <color rgb="FFFF0000"/>
      <name val="Cambria"/>
      <family val="1"/>
    </font>
    <font>
      <sz val="10"/>
      <color rgb="FF000000"/>
      <name val="Calibri"/>
      <family val="2"/>
    </font>
    <font>
      <sz val="10"/>
      <color rgb="FF000000"/>
      <name val="Arial"/>
      <family val="2"/>
    </font>
    <font>
      <b/>
      <sz val="8"/>
      <color rgb="FFFF0000"/>
      <name val="Cambria"/>
      <family val="1"/>
      <scheme val="major"/>
    </font>
    <font>
      <sz val="11"/>
      <color theme="1"/>
      <name val="Times New Roman"/>
      <family val="1"/>
    </font>
    <font>
      <sz val="8"/>
      <color rgb="FFFF0000"/>
      <name val="Cambria"/>
      <family val="1"/>
    </font>
    <font>
      <i/>
      <sz val="13"/>
      <color rgb="FFFF0000"/>
      <name val="Arial"/>
      <family val="2"/>
    </font>
    <font>
      <sz val="11"/>
      <color rgb="FFFF0000"/>
      <name val="Arial"/>
      <family val="2"/>
    </font>
    <font>
      <sz val="13"/>
      <color rgb="FF00B050"/>
      <name val="Arial"/>
      <family val="2"/>
    </font>
    <font>
      <b/>
      <sz val="13"/>
      <color rgb="FF00B050"/>
      <name val="Arial"/>
      <family val="2"/>
    </font>
    <font>
      <i/>
      <sz val="10"/>
      <color rgb="FF00B050"/>
      <name val="Calibri"/>
      <family val="2"/>
      <scheme val="minor"/>
    </font>
    <font>
      <sz val="10"/>
      <color rgb="FF00B050"/>
      <name val="Calibri"/>
      <family val="2"/>
      <scheme val="minor"/>
    </font>
    <font>
      <sz val="9"/>
      <color rgb="FF000000"/>
      <name val="Calibri"/>
      <family val="2"/>
    </font>
    <font>
      <sz val="12"/>
      <color rgb="FF00B050"/>
      <name val="Cambria"/>
      <family val="1"/>
      <scheme val="major"/>
    </font>
    <font>
      <sz val="9"/>
      <color rgb="FF000000"/>
      <name val="Cambria"/>
      <family val="1"/>
    </font>
    <font>
      <sz val="12"/>
      <color rgb="FF000000"/>
      <name val="Cambria"/>
      <family val="1"/>
    </font>
    <font>
      <b/>
      <sz val="12"/>
      <color rgb="FF000000"/>
      <name val="Cambria"/>
      <family val="1"/>
    </font>
    <font>
      <b/>
      <u/>
      <sz val="12"/>
      <color rgb="FF000000"/>
      <name val="Cambria"/>
      <family val="1"/>
    </font>
    <font>
      <b/>
      <sz val="12"/>
      <name val="Cambria"/>
      <family val="1"/>
    </font>
    <font>
      <u/>
      <sz val="12"/>
      <color rgb="FF000000"/>
      <name val="Cambria"/>
      <family val="1"/>
    </font>
    <font>
      <sz val="12"/>
      <color rgb="FF00B050"/>
      <name val="Cambria"/>
      <family val="1"/>
    </font>
    <font>
      <sz val="12"/>
      <color rgb="FFFF0000"/>
      <name val="Cambria"/>
      <family val="1"/>
    </font>
    <font>
      <sz val="9"/>
      <color rgb="FF002060"/>
      <name val="Cambria"/>
      <family val="1"/>
    </font>
    <font>
      <i/>
      <sz val="12"/>
      <color rgb="FF002060"/>
      <name val="Cambria"/>
      <family val="1"/>
    </font>
    <font>
      <sz val="10"/>
      <color rgb="FFFF0000"/>
      <name val="Cambria"/>
      <family val="1"/>
    </font>
    <font>
      <b/>
      <sz val="12"/>
      <color rgb="FF00B050"/>
      <name val="Cambria"/>
      <family val="1"/>
    </font>
    <font>
      <b/>
      <sz val="9"/>
      <color rgb="FF000000"/>
      <name val="Tahoma"/>
      <family val="2"/>
    </font>
    <font>
      <sz val="9"/>
      <color rgb="FF000000"/>
      <name val="Tahoma"/>
      <family val="2"/>
    </font>
    <font>
      <b/>
      <sz val="11"/>
      <color theme="1"/>
      <name val="Times New Roman"/>
      <family val="1"/>
    </font>
    <font>
      <b/>
      <sz val="10.5"/>
      <color rgb="FF000000"/>
      <name val="SegoeUI"/>
    </font>
    <font>
      <sz val="10.5"/>
      <color rgb="FF000000"/>
      <name val="SegoeUI"/>
    </font>
    <font>
      <b/>
      <sz val="10"/>
      <color theme="3"/>
      <name val="Calibri"/>
      <family val="2"/>
      <scheme val="minor"/>
    </font>
    <font>
      <b/>
      <sz val="11"/>
      <color rgb="FF000000"/>
      <name val="Calibri"/>
      <family val="2"/>
    </font>
    <font>
      <b/>
      <sz val="9"/>
      <color rgb="FF000000"/>
      <name val="Calibri"/>
      <family val="2"/>
    </font>
    <font>
      <i/>
      <sz val="11"/>
      <color rgb="FF000000"/>
      <name val="Calibri"/>
      <family val="2"/>
    </font>
    <font>
      <b/>
      <sz val="10"/>
      <color rgb="FF000000"/>
      <name val="Calibri"/>
      <family val="2"/>
    </font>
    <font>
      <sz val="10"/>
      <name val="Arial"/>
      <family val="2"/>
    </font>
    <font>
      <i/>
      <sz val="8"/>
      <color theme="1"/>
      <name val="Calibri"/>
      <family val="2"/>
      <scheme val="minor"/>
    </font>
    <font>
      <i/>
      <sz val="11"/>
      <color rgb="FFFF0000"/>
      <name val="Calibri"/>
      <family val="2"/>
    </font>
    <font>
      <sz val="11"/>
      <color rgb="FF000000"/>
      <name val="Calibri"/>
      <family val="2"/>
    </font>
    <font>
      <sz val="11"/>
      <color rgb="FFFF0000"/>
      <name val="Times New Roman"/>
      <family val="1"/>
    </font>
    <font>
      <b/>
      <i/>
      <sz val="10"/>
      <name val="Cambria"/>
      <family val="1"/>
      <scheme val="major"/>
    </font>
    <font>
      <sz val="12"/>
      <color rgb="FF000000"/>
      <name val="Bookman Old Style"/>
      <family val="1"/>
    </font>
    <font>
      <sz val="7"/>
      <color theme="1"/>
      <name val="Cambria"/>
      <family val="1"/>
      <scheme val="major"/>
    </font>
    <font>
      <sz val="11"/>
      <color rgb="FF000000"/>
      <name val="Bookman Old Style"/>
      <family val="1"/>
    </font>
    <font>
      <b/>
      <sz val="10"/>
      <name val="Bookman Old Style"/>
      <family val="1"/>
    </font>
    <font>
      <b/>
      <sz val="10"/>
      <color theme="1"/>
      <name val="Bookman Old Style"/>
      <family val="1"/>
    </font>
    <font>
      <b/>
      <sz val="10"/>
      <color rgb="FF000000"/>
      <name val="Bookman Old Style"/>
      <family val="1"/>
    </font>
    <font>
      <sz val="10"/>
      <color rgb="FF000000"/>
      <name val="Bookman Old Style"/>
      <family val="1"/>
    </font>
    <font>
      <sz val="10"/>
      <color theme="1"/>
      <name val="Bookman Old Style"/>
      <family val="1"/>
    </font>
    <font>
      <b/>
      <sz val="12"/>
      <color rgb="FFFF0000"/>
      <name val="Calibri"/>
      <family val="2"/>
      <scheme val="minor"/>
    </font>
    <font>
      <sz val="12"/>
      <color rgb="FFFF0000"/>
      <name val="Calibri"/>
      <family val="2"/>
      <scheme val="minor"/>
    </font>
    <font>
      <sz val="9"/>
      <color rgb="FFFF0000"/>
      <name val="Calibri"/>
      <family val="2"/>
    </font>
    <font>
      <sz val="10"/>
      <color rgb="FFFF0000"/>
      <name val="Calibri"/>
      <family val="2"/>
    </font>
    <font>
      <sz val="12"/>
      <color rgb="FFFF0000"/>
      <name val="Calibri"/>
      <family val="2"/>
    </font>
    <font>
      <b/>
      <u/>
      <sz val="10"/>
      <color theme="1"/>
      <name val="Calibri"/>
      <family val="2"/>
      <scheme val="minor"/>
    </font>
    <font>
      <sz val="8"/>
      <color rgb="FF000000"/>
      <name val="Calibri"/>
      <family val="2"/>
    </font>
    <font>
      <u/>
      <sz val="10"/>
      <name val="Cambria"/>
      <family val="1"/>
      <scheme val="major"/>
    </font>
    <font>
      <sz val="9"/>
      <name val="Cambria"/>
      <family val="1"/>
    </font>
    <font>
      <b/>
      <sz val="10"/>
      <color rgb="FFFF0000"/>
      <name val="Cambria"/>
      <family val="1"/>
    </font>
    <font>
      <b/>
      <sz val="10"/>
      <name val="Cambria"/>
      <family val="1"/>
    </font>
    <font>
      <sz val="10"/>
      <color rgb="FF000000"/>
      <name val="Cambria"/>
      <family val="1"/>
    </font>
    <font>
      <sz val="8"/>
      <name val="Cambria"/>
      <family val="1"/>
      <scheme val="major"/>
    </font>
    <font>
      <sz val="10"/>
      <color rgb="FF7030A0"/>
      <name val="Calibri"/>
      <family val="2"/>
      <scheme val="minor"/>
    </font>
    <font>
      <i/>
      <sz val="10"/>
      <color rgb="FF7030A0"/>
      <name val="Calibri"/>
      <family val="2"/>
      <scheme val="minor"/>
    </font>
    <font>
      <sz val="8"/>
      <color rgb="FF7030A0"/>
      <name val="Calibri"/>
      <family val="2"/>
      <scheme val="minor"/>
    </font>
    <font>
      <b/>
      <u/>
      <sz val="10"/>
      <name val="Calibri"/>
      <family val="2"/>
      <scheme val="minor"/>
    </font>
    <font>
      <b/>
      <sz val="11"/>
      <color rgb="FF586D2D"/>
      <name val="Calibri"/>
      <family val="2"/>
    </font>
    <font>
      <sz val="11"/>
      <color rgb="FFFF0000"/>
      <name val="Calibri"/>
      <family val="2"/>
    </font>
    <font>
      <sz val="10"/>
      <color theme="1"/>
      <name val="Arial"/>
      <family val="2"/>
    </font>
    <font>
      <b/>
      <sz val="10"/>
      <color rgb="FFFF0000"/>
      <name val="Arial"/>
      <family val="2"/>
    </font>
    <font>
      <b/>
      <sz val="9"/>
      <color rgb="FFFF0000"/>
      <name val="Courier New"/>
      <family val="3"/>
    </font>
    <font>
      <sz val="11"/>
      <color indexed="8"/>
      <name val="Calibri"/>
      <family val="2"/>
    </font>
    <font>
      <sz val="11"/>
      <color indexed="23"/>
      <name val="Calibri"/>
      <family val="2"/>
    </font>
    <font>
      <sz val="11"/>
      <color theme="0" tint="-0.499984740745262"/>
      <name val="Calibri"/>
      <family val="2"/>
      <scheme val="minor"/>
    </font>
    <font>
      <b/>
      <sz val="9"/>
      <color rgb="FFFF0000"/>
      <name val="Calibri"/>
      <family val="2"/>
    </font>
    <font>
      <b/>
      <sz val="11"/>
      <color rgb="FFFF0000"/>
      <name val="Calibri"/>
      <family val="2"/>
    </font>
    <font>
      <b/>
      <sz val="8"/>
      <color rgb="FFFF0000"/>
      <name val="Calibri"/>
      <family val="2"/>
    </font>
    <font>
      <b/>
      <sz val="13"/>
      <color indexed="81"/>
      <name val="Tahoma"/>
      <family val="2"/>
    </font>
    <font>
      <sz val="13"/>
      <color indexed="81"/>
      <name val="Tahoma"/>
      <family val="2"/>
    </font>
    <font>
      <sz val="11"/>
      <color rgb="FF000000"/>
      <name val="Calibri"/>
      <family val="2"/>
      <scheme val="minor"/>
    </font>
    <font>
      <b/>
      <sz val="9"/>
      <color indexed="8"/>
      <name val="Courier New"/>
      <family val="3"/>
    </font>
    <font>
      <b/>
      <sz val="10"/>
      <color indexed="8"/>
      <name val="Courier New"/>
      <family val="3"/>
    </font>
    <font>
      <b/>
      <i/>
      <sz val="10"/>
      <color indexed="10"/>
      <name val="Arial"/>
      <family val="2"/>
    </font>
    <font>
      <b/>
      <sz val="10"/>
      <color indexed="12"/>
      <name val="Arial"/>
      <family val="2"/>
    </font>
    <font>
      <b/>
      <sz val="10"/>
      <color indexed="32"/>
      <name val="Arial"/>
      <family val="2"/>
    </font>
    <font>
      <sz val="10"/>
      <color theme="1"/>
      <name val="Times New Roman"/>
      <family val="1"/>
    </font>
    <font>
      <b/>
      <sz val="10"/>
      <color theme="1"/>
      <name val="Times New Roman"/>
      <family val="1"/>
    </font>
    <font>
      <b/>
      <sz val="10"/>
      <color rgb="FF000000"/>
      <name val="Times New Roman"/>
      <family val="1"/>
    </font>
    <font>
      <b/>
      <i/>
      <sz val="10"/>
      <color rgb="FF000000"/>
      <name val="Times New Roman"/>
      <family val="1"/>
    </font>
    <font>
      <b/>
      <i/>
      <sz val="10"/>
      <name val="Times New Roman"/>
      <family val="1"/>
    </font>
    <font>
      <sz val="10"/>
      <color rgb="FF000000"/>
      <name val="Times New Roman"/>
      <family val="1"/>
    </font>
    <font>
      <i/>
      <sz val="10"/>
      <name val="Times New Roman"/>
      <family val="1"/>
    </font>
    <font>
      <i/>
      <sz val="10"/>
      <color rgb="FF000000"/>
      <name val="Times New Roman"/>
      <family val="1"/>
    </font>
    <font>
      <b/>
      <sz val="10"/>
      <color rgb="FF145DAC"/>
      <name val="Times New Roman"/>
      <family val="1"/>
    </font>
    <font>
      <i/>
      <sz val="10"/>
      <color theme="1"/>
      <name val="Times New Roman"/>
      <family val="1"/>
    </font>
    <font>
      <sz val="10"/>
      <color rgb="FFFF0000"/>
      <name val="Times New Roman"/>
      <family val="1"/>
    </font>
    <font>
      <sz val="10"/>
      <color rgb="FFC00000"/>
      <name val="Cambria"/>
      <family val="1"/>
      <scheme val="major"/>
    </font>
    <font>
      <i/>
      <sz val="11"/>
      <color rgb="FFFF0000"/>
      <name val="Calibri"/>
      <family val="2"/>
      <scheme val="minor"/>
    </font>
  </fonts>
  <fills count="88">
    <fill>
      <patternFill patternType="none"/>
    </fill>
    <fill>
      <patternFill patternType="gray125"/>
    </fill>
    <fill>
      <patternFill patternType="solid">
        <fgColor theme="0" tint="-0.14999847407452621"/>
        <bgColor indexed="64"/>
      </patternFill>
    </fill>
    <fill>
      <patternFill patternType="solid">
        <fgColor theme="6" tint="0.79998168889431442"/>
        <bgColor indexed="64"/>
      </patternFill>
    </fill>
    <fill>
      <patternFill patternType="solid">
        <fgColor theme="6" tint="0.39997558519241921"/>
        <bgColor indexed="64"/>
      </patternFill>
    </fill>
    <fill>
      <patternFill patternType="solid">
        <fgColor theme="9" tint="0.79998168889431442"/>
        <bgColor indexed="64"/>
      </patternFill>
    </fill>
    <fill>
      <patternFill patternType="solid">
        <fgColor theme="4" tint="0.79998168889431442"/>
        <bgColor indexed="64"/>
      </patternFill>
    </fill>
    <fill>
      <patternFill patternType="solid">
        <fgColor rgb="FFFFFFCC"/>
        <bgColor indexed="64"/>
      </patternFill>
    </fill>
    <fill>
      <patternFill patternType="solid">
        <fgColor rgb="FFA7B5CD"/>
        <bgColor indexed="64"/>
      </patternFill>
    </fill>
    <fill>
      <patternFill patternType="solid">
        <fgColor theme="3" tint="0.59999389629810485"/>
        <bgColor indexed="64"/>
      </patternFill>
    </fill>
    <fill>
      <patternFill patternType="solid">
        <fgColor theme="7" tint="0.59999389629810485"/>
        <bgColor indexed="64"/>
      </patternFill>
    </fill>
    <fill>
      <patternFill patternType="solid">
        <fgColor rgb="FFFF0000"/>
        <bgColor indexed="64"/>
      </patternFill>
    </fill>
    <fill>
      <patternFill patternType="solid">
        <fgColor rgb="FFF6F5F0"/>
        <bgColor indexed="64"/>
      </patternFill>
    </fill>
    <fill>
      <patternFill patternType="solid">
        <fgColor theme="2"/>
        <bgColor indexed="64"/>
      </patternFill>
    </fill>
    <fill>
      <patternFill patternType="solid">
        <fgColor theme="2" tint="-0.249977111117893"/>
        <bgColor indexed="64"/>
      </patternFill>
    </fill>
    <fill>
      <patternFill patternType="solid">
        <fgColor rgb="FFE4E4E4"/>
        <bgColor indexed="64"/>
      </patternFill>
    </fill>
    <fill>
      <patternFill patternType="solid">
        <fgColor theme="5" tint="0.39997558519241921"/>
        <bgColor indexed="64"/>
      </patternFill>
    </fill>
    <fill>
      <patternFill patternType="solid">
        <fgColor rgb="FF92D050"/>
        <bgColor indexed="64"/>
      </patternFill>
    </fill>
    <fill>
      <patternFill patternType="solid">
        <fgColor rgb="FFFFFF00"/>
        <bgColor indexed="64"/>
      </patternFill>
    </fill>
    <fill>
      <patternFill patternType="solid">
        <fgColor rgb="FF00B0F0"/>
        <bgColor indexed="64"/>
      </patternFill>
    </fill>
    <fill>
      <patternFill patternType="solid">
        <fgColor theme="0"/>
        <bgColor indexed="64"/>
      </patternFill>
    </fill>
    <fill>
      <patternFill patternType="solid">
        <fgColor rgb="FFC3F6BA"/>
        <bgColor indexed="64"/>
      </patternFill>
    </fill>
    <fill>
      <patternFill patternType="solid">
        <fgColor rgb="FFD6D2B8"/>
        <bgColor indexed="64"/>
      </patternFill>
    </fill>
    <fill>
      <patternFill patternType="solid">
        <fgColor rgb="FFCFCAA9"/>
        <bgColor indexed="64"/>
      </patternFill>
    </fill>
    <fill>
      <patternFill patternType="solid">
        <fgColor rgb="FFD0CBAC"/>
        <bgColor indexed="64"/>
      </patternFill>
    </fill>
    <fill>
      <patternFill patternType="solid">
        <fgColor rgb="FFD2CDAE"/>
        <bgColor indexed="64"/>
      </patternFill>
    </fill>
    <fill>
      <patternFill patternType="solid">
        <fgColor rgb="FFB0F5AD"/>
        <bgColor indexed="64"/>
      </patternFill>
    </fill>
    <fill>
      <patternFill patternType="solid">
        <fgColor rgb="FFECF1F8"/>
        <bgColor indexed="64"/>
      </patternFill>
    </fill>
    <fill>
      <patternFill patternType="solid">
        <fgColor theme="0" tint="-4.9989318521683403E-2"/>
        <bgColor indexed="64"/>
      </patternFill>
    </fill>
    <fill>
      <patternFill patternType="solid">
        <fgColor rgb="FFFFC000"/>
        <bgColor indexed="64"/>
      </patternFill>
    </fill>
    <fill>
      <patternFill patternType="solid">
        <fgColor rgb="FFDDDAC5"/>
        <bgColor indexed="64"/>
      </patternFill>
    </fill>
    <fill>
      <patternFill patternType="solid">
        <fgColor rgb="FFD5CFB9"/>
        <bgColor indexed="64"/>
      </patternFill>
    </fill>
    <fill>
      <patternFill patternType="solid">
        <fgColor rgb="FFEAE8DA"/>
        <bgColor indexed="64"/>
      </patternFill>
    </fill>
    <fill>
      <patternFill patternType="solid">
        <fgColor rgb="FFE4E1CE"/>
        <bgColor indexed="64"/>
      </patternFill>
    </fill>
    <fill>
      <patternFill patternType="solid">
        <fgColor rgb="FFFFFFFF"/>
        <bgColor indexed="64"/>
      </patternFill>
    </fill>
    <fill>
      <patternFill patternType="solid">
        <fgColor theme="9" tint="0.39997558519241921"/>
        <bgColor indexed="64"/>
      </patternFill>
    </fill>
    <fill>
      <patternFill patternType="solid">
        <fgColor rgb="FFDFDCC7"/>
        <bgColor indexed="64"/>
      </patternFill>
    </fill>
    <fill>
      <patternFill patternType="solid">
        <fgColor rgb="FFFFFF75"/>
        <bgColor indexed="64"/>
      </patternFill>
    </fill>
    <fill>
      <patternFill patternType="solid">
        <fgColor rgb="FFF9F8F5"/>
        <bgColor indexed="64"/>
      </patternFill>
    </fill>
    <fill>
      <patternFill patternType="solid">
        <fgColor rgb="FFF8F7F2"/>
        <bgColor indexed="64"/>
      </patternFill>
    </fill>
    <fill>
      <patternFill patternType="solid">
        <fgColor rgb="FFDAD6BC"/>
        <bgColor indexed="64"/>
      </patternFill>
    </fill>
    <fill>
      <patternFill patternType="solid">
        <fgColor rgb="FFDBD7BF"/>
        <bgColor indexed="64"/>
      </patternFill>
    </fill>
    <fill>
      <patternFill patternType="solid">
        <fgColor rgb="FFC5D9F1"/>
        <bgColor indexed="64"/>
      </patternFill>
    </fill>
    <fill>
      <patternFill patternType="solid">
        <fgColor theme="2" tint="-9.9948118533890809E-2"/>
        <bgColor indexed="64"/>
      </patternFill>
    </fill>
    <fill>
      <patternFill patternType="solid">
        <fgColor rgb="FFF1F0E7"/>
        <bgColor indexed="64"/>
      </patternFill>
    </fill>
    <fill>
      <patternFill patternType="solid">
        <fgColor rgb="FFE5E2D1"/>
        <bgColor indexed="64"/>
      </patternFill>
    </fill>
    <fill>
      <patternFill patternType="solid">
        <fgColor rgb="FFE7E4D5"/>
        <bgColor indexed="64"/>
      </patternFill>
    </fill>
    <fill>
      <patternFill patternType="solid">
        <fgColor rgb="FFA0C1E8"/>
        <bgColor indexed="64"/>
      </patternFill>
    </fill>
    <fill>
      <patternFill patternType="solid">
        <fgColor rgb="FFEDF3E1"/>
        <bgColor indexed="64"/>
      </patternFill>
    </fill>
    <fill>
      <patternFill patternType="solid">
        <fgColor rgb="FFFDE4CF"/>
        <bgColor indexed="64"/>
      </patternFill>
    </fill>
    <fill>
      <patternFill patternType="solid">
        <fgColor rgb="FFFBF9C9"/>
        <bgColor indexed="64"/>
      </patternFill>
    </fill>
    <fill>
      <patternFill patternType="solid">
        <fgColor rgb="FFF0EEE4"/>
        <bgColor indexed="64"/>
      </patternFill>
    </fill>
    <fill>
      <patternFill patternType="solid">
        <fgColor rgb="FFEBEADD"/>
        <bgColor indexed="64"/>
      </patternFill>
    </fill>
    <fill>
      <patternFill patternType="solid">
        <fgColor rgb="FFEEECE2"/>
        <bgColor indexed="64"/>
      </patternFill>
    </fill>
    <fill>
      <patternFill patternType="solid">
        <fgColor rgb="FFC7DAF1"/>
        <bgColor indexed="64"/>
      </patternFill>
    </fill>
    <fill>
      <patternFill patternType="solid">
        <fgColor rgb="FFFFFFCC"/>
        <bgColor rgb="FF000000"/>
      </patternFill>
    </fill>
    <fill>
      <patternFill patternType="solid">
        <fgColor rgb="FFB2CCEC"/>
        <bgColor indexed="64"/>
      </patternFill>
    </fill>
    <fill>
      <patternFill patternType="solid">
        <fgColor rgb="FFAFCAEB"/>
        <bgColor indexed="64"/>
      </patternFill>
    </fill>
    <fill>
      <patternFill patternType="solid">
        <fgColor rgb="FFFFFF00"/>
        <bgColor rgb="FF000000"/>
      </patternFill>
    </fill>
    <fill>
      <patternFill patternType="solid">
        <fgColor rgb="FFFABF8F"/>
        <bgColor rgb="FF000000"/>
      </patternFill>
    </fill>
    <fill>
      <patternFill patternType="solid">
        <fgColor rgb="FFFFC000"/>
        <bgColor rgb="FF000000"/>
      </patternFill>
    </fill>
    <fill>
      <patternFill patternType="solid">
        <fgColor rgb="FFFDE9D9"/>
        <bgColor rgb="FF000000"/>
      </patternFill>
    </fill>
    <fill>
      <patternFill patternType="solid">
        <fgColor rgb="FFCCC0DA"/>
        <bgColor rgb="FF000000"/>
      </patternFill>
    </fill>
    <fill>
      <patternFill patternType="solid">
        <fgColor rgb="FF8DB4E2"/>
        <bgColor rgb="FF000000"/>
      </patternFill>
    </fill>
    <fill>
      <patternFill patternType="solid">
        <fgColor rgb="FFDCE6F1"/>
        <bgColor rgb="FF000000"/>
      </patternFill>
    </fill>
    <fill>
      <patternFill patternType="solid">
        <fgColor rgb="FFEEECE1"/>
        <bgColor rgb="FF000000"/>
      </patternFill>
    </fill>
    <fill>
      <patternFill patternType="solid">
        <fgColor indexed="9"/>
        <bgColor indexed="64"/>
      </patternFill>
    </fill>
    <fill>
      <patternFill patternType="solid">
        <fgColor rgb="FF92D050"/>
        <bgColor rgb="FF000000"/>
      </patternFill>
    </fill>
    <fill>
      <patternFill patternType="solid">
        <fgColor theme="2" tint="-0.499984740745262"/>
        <bgColor indexed="64"/>
      </patternFill>
    </fill>
    <fill>
      <patternFill patternType="solid">
        <fgColor rgb="FFD5DBE7"/>
        <bgColor rgb="FF000000"/>
      </patternFill>
    </fill>
    <fill>
      <patternFill patternType="solid">
        <fgColor rgb="FFD1D8E5"/>
        <bgColor rgb="FF000000"/>
      </patternFill>
    </fill>
    <fill>
      <patternFill patternType="solid">
        <fgColor rgb="FFC00000"/>
        <bgColor indexed="64"/>
      </patternFill>
    </fill>
    <fill>
      <patternFill patternType="solid">
        <fgColor rgb="FFDAE0EA"/>
        <bgColor rgb="FF000000"/>
      </patternFill>
    </fill>
    <fill>
      <patternFill patternType="solid">
        <fgColor rgb="FF00B050"/>
        <bgColor indexed="64"/>
      </patternFill>
    </fill>
    <fill>
      <patternFill patternType="solid">
        <fgColor rgb="FFFEF9F4"/>
        <bgColor indexed="64"/>
      </patternFill>
    </fill>
    <fill>
      <patternFill patternType="solid">
        <fgColor theme="2" tint="-9.9978637043366805E-2"/>
        <bgColor indexed="64"/>
      </patternFill>
    </fill>
    <fill>
      <patternFill patternType="solid">
        <fgColor rgb="FFF6F5F0"/>
        <bgColor rgb="FF000000"/>
      </patternFill>
    </fill>
    <fill>
      <patternFill patternType="solid">
        <fgColor theme="8" tint="0.59999389629810485"/>
        <bgColor indexed="64"/>
      </patternFill>
    </fill>
    <fill>
      <patternFill patternType="solid">
        <fgColor theme="0" tint="-0.34998626667073579"/>
        <bgColor indexed="64"/>
      </patternFill>
    </fill>
    <fill>
      <patternFill patternType="solid">
        <fgColor rgb="FFBFD1E7"/>
        <bgColor indexed="64"/>
      </patternFill>
    </fill>
    <fill>
      <patternFill patternType="solid">
        <fgColor rgb="FFA9D08E"/>
        <bgColor indexed="64"/>
      </patternFill>
    </fill>
    <fill>
      <patternFill patternType="solid">
        <fgColor rgb="FFC6E0B4"/>
        <bgColor indexed="64"/>
      </patternFill>
    </fill>
    <fill>
      <patternFill patternType="solid">
        <fgColor rgb="FFFFFFC1"/>
        <bgColor indexed="64"/>
      </patternFill>
    </fill>
    <fill>
      <patternFill patternType="solid">
        <fgColor rgb="FFE2EFDA"/>
        <bgColor indexed="64"/>
      </patternFill>
    </fill>
    <fill>
      <patternFill patternType="solid">
        <fgColor theme="9" tint="0.59999389629810485"/>
        <bgColor indexed="64"/>
      </patternFill>
    </fill>
    <fill>
      <patternFill patternType="solid">
        <fgColor theme="0"/>
        <bgColor rgb="FF000000"/>
      </patternFill>
    </fill>
    <fill>
      <patternFill patternType="solid">
        <fgColor theme="7" tint="0.79998168889431442"/>
        <bgColor indexed="64"/>
      </patternFill>
    </fill>
    <fill>
      <patternFill patternType="solid">
        <fgColor theme="8" tint="0.79998168889431442"/>
        <bgColor indexed="64"/>
      </patternFill>
    </fill>
  </fills>
  <borders count="174">
    <border>
      <left/>
      <right/>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bottom/>
      <diagonal/>
    </border>
    <border>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thin">
        <color indexed="64"/>
      </left>
      <right style="thin">
        <color indexed="64"/>
      </right>
      <top/>
      <bottom style="medium">
        <color indexed="64"/>
      </bottom>
      <diagonal/>
    </border>
    <border>
      <left style="medium">
        <color indexed="64"/>
      </left>
      <right style="medium">
        <color indexed="64"/>
      </right>
      <top/>
      <bottom style="medium">
        <color indexed="64"/>
      </bottom>
      <diagonal/>
    </border>
    <border>
      <left/>
      <right style="thin">
        <color indexed="64"/>
      </right>
      <top/>
      <bottom style="medium">
        <color indexed="64"/>
      </bottom>
      <diagonal/>
    </border>
    <border>
      <left style="thin">
        <color indexed="64"/>
      </left>
      <right style="medium">
        <color indexed="64"/>
      </right>
      <top/>
      <bottom style="medium">
        <color indexed="64"/>
      </bottom>
      <diagonal/>
    </border>
    <border>
      <left/>
      <right style="mediumDashed">
        <color indexed="64"/>
      </right>
      <top/>
      <bottom/>
      <diagonal/>
    </border>
    <border>
      <left style="mediumDashed">
        <color indexed="64"/>
      </left>
      <right/>
      <top style="mediumDashed">
        <color indexed="64"/>
      </top>
      <bottom/>
      <diagonal/>
    </border>
    <border>
      <left/>
      <right/>
      <top style="mediumDashed">
        <color indexed="64"/>
      </top>
      <bottom/>
      <diagonal/>
    </border>
    <border>
      <left style="mediumDashed">
        <color indexed="64"/>
      </left>
      <right/>
      <top/>
      <bottom/>
      <diagonal/>
    </border>
    <border>
      <left style="mediumDashed">
        <color indexed="64"/>
      </left>
      <right/>
      <top/>
      <bottom style="mediumDashed">
        <color indexed="64"/>
      </bottom>
      <diagonal/>
    </border>
    <border>
      <left/>
      <right/>
      <top/>
      <bottom style="mediumDashed">
        <color indexed="64"/>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mediumDashed">
        <color indexed="64"/>
      </top>
      <bottom/>
      <diagonal/>
    </border>
    <border>
      <left/>
      <right/>
      <top/>
      <bottom style="thin">
        <color indexed="64"/>
      </bottom>
      <diagonal/>
    </border>
    <border>
      <left style="thin">
        <color indexed="64"/>
      </left>
      <right/>
      <top style="thin">
        <color indexed="64"/>
      </top>
      <bottom/>
      <diagonal/>
    </border>
    <border>
      <left style="thin">
        <color indexed="64"/>
      </left>
      <right style="thin">
        <color indexed="64"/>
      </right>
      <top/>
      <bottom style="thin">
        <color indexed="64"/>
      </bottom>
      <diagonal/>
    </border>
    <border>
      <left style="mediumDashed">
        <color indexed="64"/>
      </left>
      <right style="thin">
        <color indexed="64"/>
      </right>
      <top/>
      <bottom/>
      <diagonal/>
    </border>
    <border>
      <left style="thin">
        <color indexed="64"/>
      </left>
      <right style="thin">
        <color indexed="64"/>
      </right>
      <top/>
      <bottom style="mediumDashed">
        <color indexed="64"/>
      </bottom>
      <diagonal/>
    </border>
    <border>
      <left style="mediumDashed">
        <color indexed="64"/>
      </left>
      <right style="thin">
        <color indexed="64"/>
      </right>
      <top/>
      <bottom style="mediumDashed">
        <color indexed="64"/>
      </bottom>
      <diagonal/>
    </border>
    <border>
      <left style="thin">
        <color indexed="8"/>
      </left>
      <right/>
      <top/>
      <bottom/>
      <diagonal/>
    </border>
    <border>
      <left style="thin">
        <color indexed="64"/>
      </left>
      <right/>
      <top/>
      <bottom style="thin">
        <color indexed="64"/>
      </bottom>
      <diagonal/>
    </border>
    <border>
      <left style="dashed">
        <color indexed="64"/>
      </left>
      <right style="dashed">
        <color indexed="64"/>
      </right>
      <top style="dashed">
        <color indexed="64"/>
      </top>
      <bottom style="dashed">
        <color indexed="64"/>
      </bottom>
      <diagonal/>
    </border>
    <border>
      <left style="dashed">
        <color indexed="64"/>
      </left>
      <right style="dashed">
        <color indexed="64"/>
      </right>
      <top style="dashed">
        <color indexed="64"/>
      </top>
      <bottom/>
      <diagonal/>
    </border>
    <border>
      <left style="thin">
        <color indexed="64"/>
      </left>
      <right style="thin">
        <color indexed="64"/>
      </right>
      <top style="thin">
        <color indexed="64"/>
      </top>
      <bottom/>
      <diagonal/>
    </border>
    <border>
      <left style="thin">
        <color indexed="64"/>
      </left>
      <right style="mediumDashed">
        <color indexed="64"/>
      </right>
      <top/>
      <bottom/>
      <diagonal/>
    </border>
    <border>
      <left/>
      <right style="thin">
        <color indexed="64"/>
      </right>
      <top/>
      <bottom style="thin">
        <color indexed="64"/>
      </bottom>
      <diagonal/>
    </border>
    <border>
      <left/>
      <right style="thin">
        <color indexed="64"/>
      </right>
      <top style="thin">
        <color indexed="64"/>
      </top>
      <bottom/>
      <diagonal/>
    </border>
    <border>
      <left/>
      <right style="double">
        <color indexed="64"/>
      </right>
      <top/>
      <bottom/>
      <diagonal/>
    </border>
    <border>
      <left/>
      <right style="double">
        <color indexed="64"/>
      </right>
      <top style="thin">
        <color indexed="64"/>
      </top>
      <bottom style="thin">
        <color indexed="64"/>
      </bottom>
      <diagonal/>
    </border>
    <border>
      <left/>
      <right style="thin">
        <color indexed="64"/>
      </right>
      <top style="thin">
        <color indexed="64"/>
      </top>
      <bottom style="thin">
        <color indexed="64"/>
      </bottom>
      <diagonal/>
    </border>
    <border>
      <left/>
      <right/>
      <top/>
      <bottom style="double">
        <color indexed="64"/>
      </bottom>
      <diagonal/>
    </border>
    <border>
      <left/>
      <right style="double">
        <color indexed="64"/>
      </right>
      <top/>
      <bottom style="double">
        <color indexed="64"/>
      </bottom>
      <diagonal/>
    </border>
    <border>
      <left style="double">
        <color indexed="64"/>
      </left>
      <right/>
      <top/>
      <bottom/>
      <diagonal/>
    </border>
    <border>
      <left/>
      <right style="mediumDashed">
        <color indexed="64"/>
      </right>
      <top/>
      <bottom style="double">
        <color indexed="64"/>
      </bottom>
      <diagonal/>
    </border>
    <border>
      <left style="thin">
        <color indexed="8"/>
      </left>
      <right style="thin">
        <color indexed="64"/>
      </right>
      <top style="thin">
        <color indexed="8"/>
      </top>
      <bottom/>
      <diagonal/>
    </border>
    <border>
      <left/>
      <right style="double">
        <color indexed="64"/>
      </right>
      <top/>
      <bottom style="thin">
        <color indexed="64"/>
      </bottom>
      <diagonal/>
    </border>
    <border>
      <left/>
      <right style="mediumDashed">
        <color indexed="64"/>
      </right>
      <top style="thin">
        <color indexed="64"/>
      </top>
      <bottom/>
      <diagonal/>
    </border>
    <border>
      <left/>
      <right style="thin">
        <color indexed="64"/>
      </right>
      <top/>
      <bottom style="mediumDashed">
        <color indexed="64"/>
      </bottom>
      <diagonal/>
    </border>
    <border>
      <left/>
      <right style="mediumDashDot">
        <color indexed="64"/>
      </right>
      <top/>
      <bottom/>
      <diagonal/>
    </border>
    <border>
      <left/>
      <right style="double">
        <color indexed="64"/>
      </right>
      <top style="thin">
        <color indexed="64"/>
      </top>
      <bottom/>
      <diagonal/>
    </border>
    <border>
      <left/>
      <right style="double">
        <color indexed="64"/>
      </right>
      <top/>
      <bottom style="medium">
        <color indexed="64"/>
      </bottom>
      <diagonal/>
    </border>
    <border>
      <left style="thin">
        <color indexed="64"/>
      </left>
      <right style="thin">
        <color indexed="64"/>
      </right>
      <top/>
      <bottom style="dashed">
        <color indexed="64"/>
      </bottom>
      <diagonal/>
    </border>
    <border>
      <left style="thin">
        <color indexed="8"/>
      </left>
      <right style="thin">
        <color indexed="64"/>
      </right>
      <top/>
      <bottom/>
      <diagonal/>
    </border>
    <border>
      <left style="thin">
        <color indexed="64"/>
      </left>
      <right style="thin">
        <color indexed="64"/>
      </right>
      <top style="mediumDashed">
        <color indexed="64"/>
      </top>
      <bottom/>
      <diagonal/>
    </border>
    <border>
      <left style="thin">
        <color indexed="64"/>
      </left>
      <right style="thin">
        <color indexed="64"/>
      </right>
      <top style="dashed">
        <color indexed="64"/>
      </top>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Dashed">
        <color indexed="64"/>
      </left>
      <right/>
      <top style="thin">
        <color indexed="64"/>
      </top>
      <bottom/>
      <diagonal/>
    </border>
    <border>
      <left style="thin">
        <color rgb="FFC00000"/>
      </left>
      <right style="thin">
        <color rgb="FFC00000"/>
      </right>
      <top style="thin">
        <color rgb="FFC00000"/>
      </top>
      <bottom/>
      <diagonal/>
    </border>
    <border>
      <left style="thin">
        <color rgb="FFC00000"/>
      </left>
      <right style="thin">
        <color rgb="FFC00000"/>
      </right>
      <top/>
      <bottom/>
      <diagonal/>
    </border>
    <border>
      <left style="thin">
        <color rgb="FFC00000"/>
      </left>
      <right style="thin">
        <color rgb="FFC00000"/>
      </right>
      <top/>
      <bottom style="thin">
        <color rgb="FFC00000"/>
      </bottom>
      <diagonal/>
    </border>
    <border>
      <left style="medium">
        <color rgb="FF5C732F"/>
      </left>
      <right/>
      <top style="medium">
        <color rgb="FF5C732F"/>
      </top>
      <bottom/>
      <diagonal/>
    </border>
    <border>
      <left/>
      <right/>
      <top style="medium">
        <color rgb="FF5C732F"/>
      </top>
      <bottom/>
      <diagonal/>
    </border>
    <border>
      <left/>
      <right style="medium">
        <color rgb="FF5C732F"/>
      </right>
      <top style="medium">
        <color rgb="FF5C732F"/>
      </top>
      <bottom/>
      <diagonal/>
    </border>
    <border>
      <left style="medium">
        <color rgb="FF5C732F"/>
      </left>
      <right/>
      <top/>
      <bottom/>
      <diagonal/>
    </border>
    <border>
      <left/>
      <right style="medium">
        <color rgb="FF5C732F"/>
      </right>
      <top/>
      <bottom/>
      <diagonal/>
    </border>
    <border>
      <left style="medium">
        <color rgb="FF5C732F"/>
      </left>
      <right/>
      <top/>
      <bottom style="medium">
        <color rgb="FF5C732F"/>
      </bottom>
      <diagonal/>
    </border>
    <border>
      <left/>
      <right/>
      <top/>
      <bottom style="medium">
        <color rgb="FF5C732F"/>
      </bottom>
      <diagonal/>
    </border>
    <border>
      <left/>
      <right style="medium">
        <color rgb="FF5C732F"/>
      </right>
      <top/>
      <bottom style="medium">
        <color rgb="FF5C732F"/>
      </bottom>
      <diagonal/>
    </border>
    <border>
      <left/>
      <right style="thin">
        <color rgb="FF5C732F"/>
      </right>
      <top style="medium">
        <color rgb="FF5C732F"/>
      </top>
      <bottom/>
      <diagonal/>
    </border>
    <border>
      <left/>
      <right style="thin">
        <color rgb="FF5C732F"/>
      </right>
      <top/>
      <bottom/>
      <diagonal/>
    </border>
    <border>
      <left/>
      <right style="thin">
        <color rgb="FF5C732F"/>
      </right>
      <top/>
      <bottom style="medium">
        <color rgb="FF5C732F"/>
      </bottom>
      <diagonal/>
    </border>
    <border>
      <left style="thin">
        <color rgb="FFC00000"/>
      </left>
      <right/>
      <top style="thin">
        <color rgb="FFC00000"/>
      </top>
      <bottom/>
      <diagonal/>
    </border>
    <border>
      <left style="thin">
        <color indexed="64"/>
      </left>
      <right/>
      <top style="thin">
        <color rgb="FFC00000"/>
      </top>
      <bottom/>
      <diagonal/>
    </border>
    <border>
      <left style="thin">
        <color indexed="64"/>
      </left>
      <right style="thin">
        <color rgb="FFC00000"/>
      </right>
      <top style="thin">
        <color rgb="FFC00000"/>
      </top>
      <bottom/>
      <diagonal/>
    </border>
    <border>
      <left style="thin">
        <color rgb="FFC00000"/>
      </left>
      <right/>
      <top/>
      <bottom/>
      <diagonal/>
    </border>
    <border>
      <left style="thin">
        <color indexed="64"/>
      </left>
      <right style="thin">
        <color rgb="FFC00000"/>
      </right>
      <top/>
      <bottom/>
      <diagonal/>
    </border>
    <border>
      <left style="thin">
        <color rgb="FFC00000"/>
      </left>
      <right/>
      <top/>
      <bottom style="thin">
        <color rgb="FFC00000"/>
      </bottom>
      <diagonal/>
    </border>
    <border>
      <left style="thin">
        <color indexed="64"/>
      </left>
      <right style="thin">
        <color rgb="FFC00000"/>
      </right>
      <top/>
      <bottom style="thin">
        <color rgb="FFC00000"/>
      </bottom>
      <diagonal/>
    </border>
    <border>
      <left/>
      <right/>
      <top/>
      <bottom style="thick">
        <color rgb="FFC00000"/>
      </bottom>
      <diagonal/>
    </border>
    <border>
      <left style="thin">
        <color indexed="64"/>
      </left>
      <right style="thin">
        <color indexed="64"/>
      </right>
      <top/>
      <bottom style="thin">
        <color rgb="FFC00000"/>
      </bottom>
      <diagonal/>
    </border>
    <border>
      <left/>
      <right/>
      <top style="medium">
        <color rgb="FFC00000"/>
      </top>
      <bottom style="medium">
        <color rgb="FFC00000"/>
      </bottom>
      <diagonal/>
    </border>
    <border>
      <left/>
      <right style="medium">
        <color rgb="FFC00000"/>
      </right>
      <top style="medium">
        <color rgb="FFC00000"/>
      </top>
      <bottom style="medium">
        <color rgb="FFC00000"/>
      </bottom>
      <diagonal/>
    </border>
    <border>
      <left style="thin">
        <color rgb="FFFF0000"/>
      </left>
      <right/>
      <top style="thin">
        <color rgb="FFFF0000"/>
      </top>
      <bottom style="thin">
        <color rgb="FFFF0000"/>
      </bottom>
      <diagonal/>
    </border>
    <border>
      <left/>
      <right/>
      <top style="thin">
        <color rgb="FFFF0000"/>
      </top>
      <bottom style="thin">
        <color rgb="FFFF0000"/>
      </bottom>
      <diagonal/>
    </border>
    <border>
      <left style="medium">
        <color rgb="FFC00000"/>
      </left>
      <right/>
      <top style="medium">
        <color rgb="FFC00000"/>
      </top>
      <bottom/>
      <diagonal/>
    </border>
    <border>
      <left/>
      <right/>
      <top style="medium">
        <color rgb="FFC00000"/>
      </top>
      <bottom/>
      <diagonal/>
    </border>
    <border>
      <left style="medium">
        <color rgb="FFC00000"/>
      </left>
      <right/>
      <top/>
      <bottom/>
      <diagonal/>
    </border>
    <border>
      <left style="medium">
        <color rgb="FFC00000"/>
      </left>
      <right/>
      <top/>
      <bottom style="medium">
        <color rgb="FFC00000"/>
      </bottom>
      <diagonal/>
    </border>
    <border>
      <left/>
      <right/>
      <top/>
      <bottom style="medium">
        <color rgb="FFC00000"/>
      </bottom>
      <diagonal/>
    </border>
    <border>
      <left style="medium">
        <color rgb="FFFF0000"/>
      </left>
      <right/>
      <top style="medium">
        <color rgb="FFFF0000"/>
      </top>
      <bottom/>
      <diagonal/>
    </border>
    <border>
      <left/>
      <right/>
      <top style="medium">
        <color rgb="FFFF0000"/>
      </top>
      <bottom/>
      <diagonal/>
    </border>
    <border>
      <left/>
      <right style="medium">
        <color rgb="FFFF0000"/>
      </right>
      <top style="medium">
        <color rgb="FFFF0000"/>
      </top>
      <bottom/>
      <diagonal/>
    </border>
    <border>
      <left style="medium">
        <color rgb="FFFF0000"/>
      </left>
      <right/>
      <top/>
      <bottom/>
      <diagonal/>
    </border>
    <border>
      <left/>
      <right style="medium">
        <color rgb="FFFF0000"/>
      </right>
      <top/>
      <bottom/>
      <diagonal/>
    </border>
    <border>
      <left style="medium">
        <color rgb="FFFF0000"/>
      </left>
      <right/>
      <top/>
      <bottom style="medium">
        <color rgb="FFFF0000"/>
      </bottom>
      <diagonal/>
    </border>
    <border>
      <left/>
      <right/>
      <top/>
      <bottom style="medium">
        <color rgb="FFFF0000"/>
      </bottom>
      <diagonal/>
    </border>
    <border>
      <left/>
      <right style="medium">
        <color rgb="FFFF0000"/>
      </right>
      <top/>
      <bottom style="medium">
        <color rgb="FFFF0000"/>
      </bottom>
      <diagonal/>
    </border>
    <border>
      <left/>
      <right style="medium">
        <color rgb="FFC00000"/>
      </right>
      <top style="medium">
        <color rgb="FFC00000"/>
      </top>
      <bottom/>
      <diagonal/>
    </border>
    <border>
      <left/>
      <right style="medium">
        <color rgb="FFC00000"/>
      </right>
      <top/>
      <bottom/>
      <diagonal/>
    </border>
    <border>
      <left/>
      <right style="medium">
        <color rgb="FFC00000"/>
      </right>
      <top/>
      <bottom style="medium">
        <color rgb="FFC00000"/>
      </bottom>
      <diagonal/>
    </border>
    <border>
      <left/>
      <right style="thin">
        <color rgb="FFFF0000"/>
      </right>
      <top style="thin">
        <color rgb="FFFF0000"/>
      </top>
      <bottom style="thin">
        <color rgb="FFFF0000"/>
      </bottom>
      <diagonal/>
    </border>
    <border>
      <left style="thin">
        <color indexed="64"/>
      </left>
      <right style="thin">
        <color indexed="64"/>
      </right>
      <top style="thin">
        <color rgb="FFC00000"/>
      </top>
      <bottom/>
      <diagonal/>
    </border>
    <border>
      <left style="thin">
        <color indexed="64"/>
      </left>
      <right/>
      <top/>
      <bottom style="thin">
        <color rgb="FFC00000"/>
      </bottom>
      <diagonal/>
    </border>
    <border>
      <left style="thin">
        <color rgb="FF000000"/>
      </left>
      <right/>
      <top/>
      <bottom/>
      <diagonal/>
    </border>
    <border>
      <left style="hair">
        <color indexed="64"/>
      </left>
      <right style="hair">
        <color indexed="64"/>
      </right>
      <top style="hair">
        <color indexed="64"/>
      </top>
      <bottom style="hair">
        <color indexed="64"/>
      </bottom>
      <diagonal/>
    </border>
    <border>
      <left style="mediumDashDot">
        <color auto="1"/>
      </left>
      <right/>
      <top style="mediumDashDot">
        <color auto="1"/>
      </top>
      <bottom style="mediumDashDot">
        <color auto="1"/>
      </bottom>
      <diagonal/>
    </border>
    <border>
      <left/>
      <right/>
      <top style="mediumDashDot">
        <color auto="1"/>
      </top>
      <bottom style="mediumDashDot">
        <color auto="1"/>
      </bottom>
      <diagonal/>
    </border>
    <border>
      <left/>
      <right style="mediumDashDot">
        <color auto="1"/>
      </right>
      <top style="mediumDashDot">
        <color auto="1"/>
      </top>
      <bottom style="mediumDashDot">
        <color auto="1"/>
      </bottom>
      <diagonal/>
    </border>
    <border>
      <left/>
      <right style="mediumDashed">
        <color indexed="64"/>
      </right>
      <top style="mediumDashed">
        <color indexed="64"/>
      </top>
      <bottom/>
      <diagonal/>
    </border>
    <border>
      <left/>
      <right style="mediumDashed">
        <color indexed="64"/>
      </right>
      <top/>
      <bottom style="mediumDashed">
        <color indexed="64"/>
      </bottom>
      <diagonal/>
    </border>
    <border>
      <left style="dashed">
        <color auto="1"/>
      </left>
      <right/>
      <top style="dashed">
        <color auto="1"/>
      </top>
      <bottom/>
      <diagonal/>
    </border>
    <border>
      <left/>
      <right/>
      <top style="dashed">
        <color auto="1"/>
      </top>
      <bottom/>
      <diagonal/>
    </border>
    <border>
      <left/>
      <right style="dashed">
        <color auto="1"/>
      </right>
      <top style="dashed">
        <color auto="1"/>
      </top>
      <bottom/>
      <diagonal/>
    </border>
    <border>
      <left style="dashed">
        <color auto="1"/>
      </left>
      <right/>
      <top/>
      <bottom style="dashed">
        <color auto="1"/>
      </bottom>
      <diagonal/>
    </border>
    <border>
      <left/>
      <right/>
      <top/>
      <bottom style="dashed">
        <color auto="1"/>
      </bottom>
      <diagonal/>
    </border>
    <border>
      <left/>
      <right style="dashed">
        <color auto="1"/>
      </right>
      <top/>
      <bottom style="dashed">
        <color auto="1"/>
      </bottom>
      <diagonal/>
    </border>
    <border>
      <left style="dashDotDot">
        <color auto="1"/>
      </left>
      <right/>
      <top style="dashDotDot">
        <color auto="1"/>
      </top>
      <bottom style="dashDotDot">
        <color auto="1"/>
      </bottom>
      <diagonal/>
    </border>
    <border>
      <left/>
      <right/>
      <top style="dashDotDot">
        <color auto="1"/>
      </top>
      <bottom style="dashDotDot">
        <color auto="1"/>
      </bottom>
      <diagonal/>
    </border>
    <border>
      <left/>
      <right style="dashDotDot">
        <color auto="1"/>
      </right>
      <top style="dashDotDot">
        <color auto="1"/>
      </top>
      <bottom style="dashDotDot">
        <color auto="1"/>
      </bottom>
      <diagonal/>
    </border>
    <border>
      <left style="dashDotDot">
        <color auto="1"/>
      </left>
      <right/>
      <top style="dashDotDot">
        <color auto="1"/>
      </top>
      <bottom/>
      <diagonal/>
    </border>
    <border>
      <left/>
      <right/>
      <top style="dashDotDot">
        <color auto="1"/>
      </top>
      <bottom/>
      <diagonal/>
    </border>
    <border>
      <left/>
      <right style="dashDotDot">
        <color auto="1"/>
      </right>
      <top style="dashDotDot">
        <color auto="1"/>
      </top>
      <bottom/>
      <diagonal/>
    </border>
    <border>
      <left style="dashDotDot">
        <color auto="1"/>
      </left>
      <right/>
      <top/>
      <bottom/>
      <diagonal/>
    </border>
    <border>
      <left/>
      <right style="dashDotDot">
        <color auto="1"/>
      </right>
      <top/>
      <bottom/>
      <diagonal/>
    </border>
    <border>
      <left style="dashDotDot">
        <color auto="1"/>
      </left>
      <right/>
      <top/>
      <bottom style="dashDotDot">
        <color auto="1"/>
      </bottom>
      <diagonal/>
    </border>
    <border>
      <left/>
      <right/>
      <top/>
      <bottom style="dashDotDot">
        <color auto="1"/>
      </bottom>
      <diagonal/>
    </border>
    <border>
      <left/>
      <right style="dashDotDot">
        <color auto="1"/>
      </right>
      <top/>
      <bottom style="dashDotDot">
        <color auto="1"/>
      </bottom>
      <diagonal/>
    </border>
    <border>
      <left style="dotted">
        <color auto="1"/>
      </left>
      <right/>
      <top style="dotted">
        <color auto="1"/>
      </top>
      <bottom style="dotted">
        <color auto="1"/>
      </bottom>
      <diagonal/>
    </border>
    <border>
      <left style="dashed">
        <color auto="1"/>
      </left>
      <right/>
      <top style="dotted">
        <color auto="1"/>
      </top>
      <bottom style="dotted">
        <color auto="1"/>
      </bottom>
      <diagonal/>
    </border>
    <border>
      <left/>
      <right/>
      <top style="dotted">
        <color auto="1"/>
      </top>
      <bottom style="dotted">
        <color auto="1"/>
      </bottom>
      <diagonal/>
    </border>
    <border>
      <left/>
      <right style="dotted">
        <color auto="1"/>
      </right>
      <top style="dotted">
        <color auto="1"/>
      </top>
      <bottom style="dotted">
        <color auto="1"/>
      </bottom>
      <diagonal/>
    </border>
    <border>
      <left style="mediumDashed">
        <color auto="1"/>
      </left>
      <right/>
      <top style="mediumDashed">
        <color auto="1"/>
      </top>
      <bottom style="mediumDashed">
        <color auto="1"/>
      </bottom>
      <diagonal/>
    </border>
    <border>
      <left/>
      <right/>
      <top style="mediumDashed">
        <color auto="1"/>
      </top>
      <bottom style="mediumDashed">
        <color auto="1"/>
      </bottom>
      <diagonal/>
    </border>
    <border>
      <left/>
      <right style="mediumDashed">
        <color auto="1"/>
      </right>
      <top style="mediumDashed">
        <color auto="1"/>
      </top>
      <bottom style="mediumDashed">
        <color auto="1"/>
      </bottom>
      <diagonal/>
    </border>
    <border>
      <left style="mediumDashed">
        <color auto="1"/>
      </left>
      <right style="mediumDashed">
        <color auto="1"/>
      </right>
      <top style="mediumDashed">
        <color auto="1"/>
      </top>
      <bottom/>
      <diagonal/>
    </border>
    <border>
      <left style="mediumDashed">
        <color auto="1"/>
      </left>
      <right style="mediumDashed">
        <color auto="1"/>
      </right>
      <top/>
      <bottom style="mediumDashed">
        <color auto="1"/>
      </bottom>
      <diagonal/>
    </border>
    <border>
      <left/>
      <right style="thin">
        <color indexed="64"/>
      </right>
      <top/>
      <bottom style="double">
        <color indexed="64"/>
      </bottom>
      <diagonal/>
    </border>
    <border>
      <left style="medium">
        <color rgb="FF5C732F"/>
      </left>
      <right style="thin">
        <color indexed="64"/>
      </right>
      <top style="medium">
        <color rgb="FF5C732F"/>
      </top>
      <bottom/>
      <diagonal/>
    </border>
    <border>
      <left style="mediumDashed">
        <color indexed="64"/>
      </left>
      <right style="double">
        <color auto="1"/>
      </right>
      <top/>
      <bottom/>
      <diagonal/>
    </border>
    <border>
      <left style="dotted">
        <color auto="1"/>
      </left>
      <right/>
      <top style="dotted">
        <color auto="1"/>
      </top>
      <bottom/>
      <diagonal/>
    </border>
    <border>
      <left/>
      <right/>
      <top style="dotted">
        <color auto="1"/>
      </top>
      <bottom/>
      <diagonal/>
    </border>
    <border>
      <left/>
      <right style="dotted">
        <color auto="1"/>
      </right>
      <top style="dotted">
        <color auto="1"/>
      </top>
      <bottom/>
      <diagonal/>
    </border>
    <border>
      <left style="dotted">
        <color auto="1"/>
      </left>
      <right/>
      <top/>
      <bottom style="dotted">
        <color auto="1"/>
      </bottom>
      <diagonal/>
    </border>
    <border>
      <left/>
      <right/>
      <top/>
      <bottom style="dotted">
        <color auto="1"/>
      </bottom>
      <diagonal/>
    </border>
    <border>
      <left/>
      <right style="dotted">
        <color auto="1"/>
      </right>
      <top/>
      <bottom style="dotted">
        <color auto="1"/>
      </bottom>
      <diagonal/>
    </border>
    <border>
      <left style="mediumDashDot">
        <color auto="1"/>
      </left>
      <right/>
      <top/>
      <bottom/>
      <diagonal/>
    </border>
    <border>
      <left style="dotted">
        <color auto="1"/>
      </left>
      <right/>
      <top/>
      <bottom/>
      <diagonal/>
    </border>
    <border>
      <left/>
      <right style="dotted">
        <color auto="1"/>
      </right>
      <top/>
      <bottom/>
      <diagonal/>
    </border>
    <border>
      <left style="hair">
        <color auto="1"/>
      </left>
      <right/>
      <top style="hair">
        <color auto="1"/>
      </top>
      <bottom style="hair">
        <color auto="1"/>
      </bottom>
      <diagonal/>
    </border>
    <border>
      <left/>
      <right/>
      <top style="hair">
        <color auto="1"/>
      </top>
      <bottom style="hair">
        <color auto="1"/>
      </bottom>
      <diagonal/>
    </border>
    <border>
      <left/>
      <right style="hair">
        <color auto="1"/>
      </right>
      <top style="hair">
        <color auto="1"/>
      </top>
      <bottom style="hair">
        <color auto="1"/>
      </bottom>
      <diagonal/>
    </border>
    <border>
      <left style="thin">
        <color rgb="FF000000"/>
      </left>
      <right style="thin">
        <color indexed="64"/>
      </right>
      <top style="thin">
        <color rgb="FF000000"/>
      </top>
      <bottom/>
      <diagonal/>
    </border>
    <border>
      <left style="medium">
        <color indexed="64"/>
      </left>
      <right/>
      <top style="medium">
        <color indexed="64"/>
      </top>
      <bottom style="medium">
        <color indexed="64"/>
      </bottom>
      <diagonal/>
    </border>
    <border>
      <left style="double">
        <color auto="1"/>
      </left>
      <right style="medium">
        <color indexed="64"/>
      </right>
      <top style="medium">
        <color indexed="64"/>
      </top>
      <bottom style="medium">
        <color indexed="64"/>
      </bottom>
      <diagonal/>
    </border>
    <border>
      <left/>
      <right/>
      <top style="hair">
        <color auto="1"/>
      </top>
      <bottom/>
      <diagonal/>
    </border>
    <border>
      <left/>
      <right/>
      <top/>
      <bottom style="hair">
        <color auto="1"/>
      </bottom>
      <diagonal/>
    </border>
    <border>
      <left/>
      <right/>
      <top/>
      <bottom style="thin">
        <color rgb="FF000000"/>
      </bottom>
      <diagonal/>
    </border>
    <border>
      <left/>
      <right/>
      <top style="thin">
        <color rgb="FF000000"/>
      </top>
      <bottom style="thin">
        <color rgb="FF000000"/>
      </bottom>
      <diagonal/>
    </border>
    <border>
      <left/>
      <right/>
      <top style="thin">
        <color rgb="FF000000"/>
      </top>
      <bottom/>
      <diagonal/>
    </border>
    <border>
      <left style="medium">
        <color rgb="FF000000"/>
      </left>
      <right/>
      <top/>
      <bottom/>
      <diagonal/>
    </border>
    <border>
      <left style="mediumDashed">
        <color rgb="FF000000"/>
      </left>
      <right/>
      <top/>
      <bottom style="medium">
        <color rgb="FF000000"/>
      </bottom>
      <diagonal/>
    </border>
    <border>
      <left/>
      <right/>
      <top/>
      <bottom style="medium">
        <color rgb="FF000000"/>
      </bottom>
      <diagonal/>
    </border>
    <border>
      <left style="medium">
        <color rgb="FF000000"/>
      </left>
      <right/>
      <top style="medium">
        <color rgb="FF000000"/>
      </top>
      <bottom/>
      <diagonal/>
    </border>
    <border>
      <left style="mediumDashed">
        <color rgb="FF000000"/>
      </left>
      <right/>
      <top/>
      <bottom style="thin">
        <color rgb="FF000000"/>
      </bottom>
      <diagonal/>
    </border>
    <border>
      <left/>
      <right/>
      <top style="thin">
        <color rgb="FF000000"/>
      </top>
      <bottom style="thin">
        <color indexed="64"/>
      </bottom>
      <diagonal/>
    </border>
  </borders>
  <cellStyleXfs count="25">
    <xf numFmtId="0" fontId="0" fillId="0" borderId="0"/>
    <xf numFmtId="43" fontId="58"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170" fontId="6" fillId="0" borderId="0" applyFont="0" applyFill="0" applyBorder="0" applyAlignment="0" applyProtection="0"/>
    <xf numFmtId="0" fontId="60" fillId="0" borderId="0"/>
    <xf numFmtId="0" fontId="61" fillId="0" borderId="0"/>
    <xf numFmtId="0" fontId="58" fillId="0" borderId="0"/>
    <xf numFmtId="0" fontId="6" fillId="0" borderId="0"/>
    <xf numFmtId="0" fontId="29" fillId="0" borderId="0">
      <alignment vertical="top"/>
    </xf>
    <xf numFmtId="0" fontId="6" fillId="0" borderId="0"/>
    <xf numFmtId="0" fontId="10" fillId="0" borderId="0" applyFill="0" applyBorder="0" applyProtection="0">
      <alignment horizontal="right"/>
    </xf>
    <xf numFmtId="9" fontId="58" fillId="0" borderId="0" applyFont="0" applyFill="0" applyBorder="0" applyAlignment="0" applyProtection="0"/>
    <xf numFmtId="9" fontId="6" fillId="0" borderId="0" applyFont="0" applyFill="0" applyBorder="0" applyAlignment="0" applyProtection="0"/>
    <xf numFmtId="0" fontId="273" fillId="0" borderId="0"/>
    <xf numFmtId="0" fontId="58" fillId="0" borderId="0"/>
    <xf numFmtId="0" fontId="284" fillId="0" borderId="0"/>
    <xf numFmtId="164" fontId="58" fillId="0" borderId="0" applyFont="0" applyFill="0" applyBorder="0" applyAlignment="0" applyProtection="0"/>
    <xf numFmtId="0" fontId="206" fillId="0" borderId="0">
      <alignment vertical="top"/>
    </xf>
    <xf numFmtId="43" fontId="58" fillId="0" borderId="0" applyFont="0" applyFill="0" applyBorder="0" applyAlignment="0" applyProtection="0"/>
    <xf numFmtId="165" fontId="58" fillId="0" borderId="0" applyFont="0" applyFill="0" applyBorder="0" applyAlignment="0" applyProtection="0"/>
    <xf numFmtId="165" fontId="6" fillId="0" borderId="0" applyFont="0" applyFill="0" applyBorder="0" applyAlignment="0" applyProtection="0"/>
    <xf numFmtId="165" fontId="6" fillId="0" borderId="0" applyFont="0" applyFill="0" applyBorder="0" applyAlignment="0" applyProtection="0"/>
    <xf numFmtId="164" fontId="58" fillId="0" borderId="0" applyFont="0" applyFill="0" applyBorder="0" applyAlignment="0" applyProtection="0"/>
    <xf numFmtId="165" fontId="58" fillId="0" borderId="0" applyFont="0" applyFill="0" applyBorder="0" applyAlignment="0" applyProtection="0"/>
  </cellStyleXfs>
  <cellXfs count="2356">
    <xf numFmtId="0" fontId="0" fillId="0" borderId="0" xfId="0"/>
    <xf numFmtId="0" fontId="61" fillId="0" borderId="0" xfId="0" applyFont="1"/>
    <xf numFmtId="0" fontId="0" fillId="0" borderId="0" xfId="0" applyAlignment="1">
      <alignment horizontal="right"/>
    </xf>
    <xf numFmtId="0" fontId="64" fillId="0" borderId="0" xfId="0" applyFont="1"/>
    <xf numFmtId="0" fontId="0" fillId="0" borderId="1" xfId="0" applyBorder="1"/>
    <xf numFmtId="0" fontId="0" fillId="0" borderId="2" xfId="0" applyBorder="1"/>
    <xf numFmtId="0" fontId="0" fillId="0" borderId="3" xfId="0" applyBorder="1"/>
    <xf numFmtId="0" fontId="0" fillId="0" borderId="4" xfId="0" applyBorder="1"/>
    <xf numFmtId="0" fontId="0" fillId="0" borderId="5" xfId="0" applyBorder="1"/>
    <xf numFmtId="0" fontId="62" fillId="0" borderId="0" xfId="0" applyFont="1"/>
    <xf numFmtId="0" fontId="0" fillId="2" borderId="6" xfId="0" applyFill="1" applyBorder="1"/>
    <xf numFmtId="0" fontId="61" fillId="3" borderId="0" xfId="0" applyFont="1" applyFill="1"/>
    <xf numFmtId="0" fontId="65" fillId="3" borderId="0" xfId="0" applyFont="1" applyFill="1"/>
    <xf numFmtId="0" fontId="0" fillId="3" borderId="0" xfId="0" applyFill="1"/>
    <xf numFmtId="0" fontId="66" fillId="0" borderId="0" xfId="0" applyFont="1"/>
    <xf numFmtId="0" fontId="62" fillId="0" borderId="6" xfId="0" applyFont="1" applyBorder="1"/>
    <xf numFmtId="0" fontId="0" fillId="0" borderId="7" xfId="0" applyBorder="1"/>
    <xf numFmtId="0" fontId="0" fillId="4" borderId="0" xfId="0" applyFill="1"/>
    <xf numFmtId="0" fontId="0" fillId="3" borderId="0" xfId="0" applyFill="1" applyAlignment="1">
      <alignment horizontal="right"/>
    </xf>
    <xf numFmtId="0" fontId="67" fillId="3" borderId="8" xfId="0" applyFont="1" applyFill="1" applyBorder="1" applyAlignment="1">
      <alignment horizontal="center" vertical="top" wrapText="1"/>
    </xf>
    <xf numFmtId="0" fontId="0" fillId="3" borderId="9" xfId="0" applyFill="1" applyBorder="1"/>
    <xf numFmtId="0" fontId="0" fillId="3" borderId="10" xfId="0" applyFill="1" applyBorder="1"/>
    <xf numFmtId="0" fontId="68" fillId="3" borderId="11" xfId="0" applyFont="1" applyFill="1" applyBorder="1" applyAlignment="1">
      <alignment horizontal="center"/>
    </xf>
    <xf numFmtId="0" fontId="0" fillId="3" borderId="12" xfId="0" applyFill="1" applyBorder="1"/>
    <xf numFmtId="0" fontId="67" fillId="3" borderId="11" xfId="0" applyFont="1" applyFill="1" applyBorder="1" applyAlignment="1">
      <alignment horizontal="center" vertical="top"/>
    </xf>
    <xf numFmtId="0" fontId="67" fillId="3" borderId="13" xfId="0" applyFont="1" applyFill="1" applyBorder="1" applyAlignment="1">
      <alignment horizontal="center" vertical="top" wrapText="1"/>
    </xf>
    <xf numFmtId="0" fontId="67" fillId="3" borderId="14" xfId="0" applyFont="1" applyFill="1" applyBorder="1" applyAlignment="1">
      <alignment horizontal="center" vertical="top" wrapText="1"/>
    </xf>
    <xf numFmtId="0" fontId="0" fillId="3" borderId="15" xfId="0" applyFill="1" applyBorder="1"/>
    <xf numFmtId="0" fontId="66" fillId="0" borderId="0" xfId="0" applyFont="1" applyAlignment="1">
      <alignment horizontal="fill"/>
    </xf>
    <xf numFmtId="168" fontId="0" fillId="0" borderId="0" xfId="0" applyNumberFormat="1"/>
    <xf numFmtId="0" fontId="67" fillId="0" borderId="6" xfId="0" applyFont="1" applyBorder="1" applyAlignment="1">
      <alignment horizontal="right"/>
    </xf>
    <xf numFmtId="0" fontId="0" fillId="0" borderId="12" xfId="0" applyBorder="1"/>
    <xf numFmtId="0" fontId="0" fillId="0" borderId="10" xfId="0" applyBorder="1"/>
    <xf numFmtId="0" fontId="0" fillId="0" borderId="9" xfId="0" applyBorder="1"/>
    <xf numFmtId="0" fontId="0" fillId="0" borderId="16" xfId="0" applyBorder="1"/>
    <xf numFmtId="0" fontId="0" fillId="0" borderId="17" xfId="0" applyBorder="1"/>
    <xf numFmtId="0" fontId="0" fillId="0" borderId="18" xfId="0" applyBorder="1"/>
    <xf numFmtId="0" fontId="0" fillId="0" borderId="19" xfId="0" applyBorder="1"/>
    <xf numFmtId="0" fontId="68" fillId="4" borderId="11" xfId="0" applyFont="1" applyFill="1" applyBorder="1" applyAlignment="1">
      <alignment horizontal="center"/>
    </xf>
    <xf numFmtId="0" fontId="0" fillId="4" borderId="0" xfId="0" applyFill="1" applyAlignment="1">
      <alignment horizontal="right"/>
    </xf>
    <xf numFmtId="0" fontId="67" fillId="4" borderId="8" xfId="0" applyFont="1" applyFill="1" applyBorder="1" applyAlignment="1">
      <alignment horizontal="center" vertical="top" wrapText="1"/>
    </xf>
    <xf numFmtId="0" fontId="67" fillId="4" borderId="11" xfId="0" applyFont="1" applyFill="1" applyBorder="1" applyAlignment="1">
      <alignment horizontal="center" vertical="top"/>
    </xf>
    <xf numFmtId="0" fontId="67" fillId="4" borderId="13" xfId="0" applyFont="1" applyFill="1" applyBorder="1" applyAlignment="1">
      <alignment horizontal="center" vertical="top" wrapText="1"/>
    </xf>
    <xf numFmtId="0" fontId="67" fillId="4" borderId="14" xfId="0" applyFont="1" applyFill="1" applyBorder="1" applyAlignment="1">
      <alignment horizontal="center" vertical="top" wrapText="1"/>
    </xf>
    <xf numFmtId="0" fontId="0" fillId="4" borderId="12" xfId="0" applyFill="1" applyBorder="1"/>
    <xf numFmtId="0" fontId="0" fillId="4" borderId="10" xfId="0" applyFill="1" applyBorder="1"/>
    <xf numFmtId="0" fontId="0" fillId="4" borderId="9" xfId="0" applyFill="1" applyBorder="1"/>
    <xf numFmtId="0" fontId="0" fillId="4" borderId="15" xfId="0" applyFill="1" applyBorder="1"/>
    <xf numFmtId="0" fontId="69" fillId="5" borderId="0" xfId="0" applyFont="1" applyFill="1"/>
    <xf numFmtId="0" fontId="69" fillId="5" borderId="20" xfId="0" applyFont="1" applyFill="1" applyBorder="1"/>
    <xf numFmtId="0" fontId="9" fillId="5" borderId="21" xfId="0" applyFont="1" applyFill="1" applyBorder="1"/>
    <xf numFmtId="0" fontId="9" fillId="5" borderId="22" xfId="0" applyFont="1" applyFill="1" applyBorder="1"/>
    <xf numFmtId="0" fontId="10" fillId="5" borderId="23" xfId="0" applyFont="1" applyFill="1" applyBorder="1"/>
    <xf numFmtId="0" fontId="10" fillId="5" borderId="0" xfId="0" applyFont="1" applyFill="1"/>
    <xf numFmtId="166" fontId="10" fillId="5" borderId="23" xfId="0" applyNumberFormat="1" applyFont="1" applyFill="1" applyBorder="1"/>
    <xf numFmtId="166" fontId="10" fillId="5" borderId="0" xfId="0" applyNumberFormat="1" applyFont="1" applyFill="1"/>
    <xf numFmtId="166" fontId="9" fillId="5" borderId="23" xfId="0" applyNumberFormat="1" applyFont="1" applyFill="1" applyBorder="1"/>
    <xf numFmtId="166" fontId="9" fillId="5" borderId="0" xfId="0" applyNumberFormat="1" applyFont="1" applyFill="1"/>
    <xf numFmtId="2" fontId="9" fillId="5" borderId="23" xfId="0" applyNumberFormat="1" applyFont="1" applyFill="1" applyBorder="1"/>
    <xf numFmtId="2" fontId="9" fillId="5" borderId="0" xfId="0" applyNumberFormat="1" applyFont="1" applyFill="1"/>
    <xf numFmtId="1" fontId="10" fillId="5" borderId="23" xfId="0" applyNumberFormat="1" applyFont="1" applyFill="1" applyBorder="1"/>
    <xf numFmtId="1" fontId="10" fillId="5" borderId="0" xfId="0" applyNumberFormat="1" applyFont="1" applyFill="1"/>
    <xf numFmtId="2" fontId="10" fillId="5" borderId="23" xfId="0" applyNumberFormat="1" applyFont="1" applyFill="1" applyBorder="1"/>
    <xf numFmtId="2" fontId="10" fillId="5" borderId="0" xfId="0" applyNumberFormat="1" applyFont="1" applyFill="1"/>
    <xf numFmtId="0" fontId="10" fillId="5" borderId="24" xfId="0" applyFont="1" applyFill="1" applyBorder="1"/>
    <xf numFmtId="0" fontId="10" fillId="5" borderId="25" xfId="0" applyFont="1" applyFill="1" applyBorder="1"/>
    <xf numFmtId="0" fontId="62" fillId="0" borderId="26" xfId="0" applyFont="1" applyBorder="1"/>
    <xf numFmtId="0" fontId="62" fillId="0" borderId="27" xfId="0" applyFont="1" applyBorder="1" applyAlignment="1">
      <alignment horizontal="right"/>
    </xf>
    <xf numFmtId="0" fontId="62" fillId="0" borderId="28" xfId="0" applyFont="1" applyBorder="1" applyAlignment="1">
      <alignment horizontal="right"/>
    </xf>
    <xf numFmtId="0" fontId="0" fillId="0" borderId="29" xfId="0" applyBorder="1" applyAlignment="1">
      <alignment horizontal="right"/>
    </xf>
    <xf numFmtId="0" fontId="70" fillId="0" borderId="29" xfId="0" applyFont="1" applyBorder="1" applyAlignment="1">
      <alignment horizontal="right"/>
    </xf>
    <xf numFmtId="0" fontId="61" fillId="0" borderId="26" xfId="0" applyFont="1" applyBorder="1"/>
    <xf numFmtId="0" fontId="61" fillId="0" borderId="22" xfId="0" applyFont="1" applyBorder="1"/>
    <xf numFmtId="0" fontId="61" fillId="0" borderId="30" xfId="0" applyFont="1" applyBorder="1"/>
    <xf numFmtId="0" fontId="71" fillId="6" borderId="0" xfId="0" applyFont="1" applyFill="1"/>
    <xf numFmtId="0" fontId="0" fillId="6" borderId="0" xfId="0" applyFill="1"/>
    <xf numFmtId="0" fontId="62" fillId="7" borderId="0" xfId="0" applyFont="1" applyFill="1"/>
    <xf numFmtId="0" fontId="0" fillId="7" borderId="26" xfId="0" applyFill="1" applyBorder="1"/>
    <xf numFmtId="0" fontId="0" fillId="7" borderId="0" xfId="0" applyFill="1"/>
    <xf numFmtId="0" fontId="73" fillId="7" borderId="26" xfId="0" applyFont="1" applyFill="1" applyBorder="1"/>
    <xf numFmtId="0" fontId="0" fillId="9" borderId="7" xfId="0" applyFill="1" applyBorder="1" applyAlignment="1">
      <alignment horizontal="right"/>
    </xf>
    <xf numFmtId="0" fontId="0" fillId="0" borderId="7" xfId="0" applyBorder="1" applyAlignment="1">
      <alignment horizontal="right"/>
    </xf>
    <xf numFmtId="0" fontId="0" fillId="10" borderId="0" xfId="0" applyFill="1"/>
    <xf numFmtId="0" fontId="0" fillId="3" borderId="7" xfId="0" applyFill="1" applyBorder="1"/>
    <xf numFmtId="0" fontId="0" fillId="4" borderId="7" xfId="0" applyFill="1" applyBorder="1"/>
    <xf numFmtId="0" fontId="75" fillId="0" borderId="32" xfId="0" applyFont="1" applyBorder="1"/>
    <xf numFmtId="0" fontId="75" fillId="0" borderId="29" xfId="0" applyFont="1" applyBorder="1"/>
    <xf numFmtId="0" fontId="0" fillId="0" borderId="29" xfId="0" applyBorder="1"/>
    <xf numFmtId="0" fontId="14" fillId="0" borderId="26" xfId="0" applyFont="1" applyBorder="1"/>
    <xf numFmtId="0" fontId="62" fillId="0" borderId="27" xfId="0" applyFont="1" applyBorder="1"/>
    <xf numFmtId="0" fontId="0" fillId="10" borderId="33" xfId="0" applyFill="1" applyBorder="1"/>
    <xf numFmtId="0" fontId="76" fillId="0" borderId="0" xfId="0" applyFont="1" applyAlignment="1">
      <alignment horizontal="fill"/>
    </xf>
    <xf numFmtId="0" fontId="76" fillId="0" borderId="0" xfId="0" applyFont="1"/>
    <xf numFmtId="0" fontId="76" fillId="0" borderId="0" xfId="0" applyFont="1" applyAlignment="1">
      <alignment horizontal="left"/>
    </xf>
    <xf numFmtId="0" fontId="76" fillId="11" borderId="0" xfId="0" applyFont="1" applyFill="1"/>
    <xf numFmtId="0" fontId="77" fillId="0" borderId="0" xfId="0" applyFont="1"/>
    <xf numFmtId="0" fontId="78" fillId="0" borderId="0" xfId="0" applyFont="1"/>
    <xf numFmtId="0" fontId="76" fillId="0" borderId="0" xfId="0" applyFont="1" applyAlignment="1">
      <alignment horizontal="left" shrinkToFit="1"/>
    </xf>
    <xf numFmtId="168" fontId="73" fillId="10" borderId="0" xfId="0" applyNumberFormat="1" applyFont="1" applyFill="1"/>
    <xf numFmtId="3" fontId="0" fillId="10" borderId="35" xfId="0" applyNumberFormat="1" applyFill="1" applyBorder="1" applyAlignment="1">
      <alignment horizontal="right"/>
    </xf>
    <xf numFmtId="0" fontId="62" fillId="0" borderId="0" xfId="0" applyFont="1" applyAlignment="1">
      <alignment horizontal="right"/>
    </xf>
    <xf numFmtId="0" fontId="67" fillId="12" borderId="37" xfId="0" applyFont="1" applyFill="1" applyBorder="1"/>
    <xf numFmtId="0" fontId="80" fillId="12" borderId="7" xfId="0" applyFont="1" applyFill="1" applyBorder="1"/>
    <xf numFmtId="0" fontId="80" fillId="12" borderId="0" xfId="0" applyFont="1" applyFill="1"/>
    <xf numFmtId="0" fontId="80" fillId="12" borderId="37" xfId="0" applyFont="1" applyFill="1" applyBorder="1"/>
    <xf numFmtId="0" fontId="81" fillId="12" borderId="37" xfId="0" applyFont="1" applyFill="1" applyBorder="1"/>
    <xf numFmtId="0" fontId="80" fillId="12" borderId="0" xfId="0" applyFont="1" applyFill="1" applyAlignment="1">
      <alignment horizontal="right"/>
    </xf>
    <xf numFmtId="0" fontId="80" fillId="12" borderId="37" xfId="0" applyFont="1" applyFill="1" applyBorder="1" applyAlignment="1">
      <alignment horizontal="right"/>
    </xf>
    <xf numFmtId="0" fontId="65" fillId="12" borderId="37" xfId="0" applyFont="1" applyFill="1" applyBorder="1"/>
    <xf numFmtId="166" fontId="0" fillId="12" borderId="10" xfId="0" applyNumberFormat="1" applyFill="1" applyBorder="1"/>
    <xf numFmtId="166" fontId="0" fillId="12" borderId="7" xfId="0" applyNumberFormat="1" applyFill="1" applyBorder="1"/>
    <xf numFmtId="166" fontId="0" fillId="12" borderId="26" xfId="0" applyNumberFormat="1" applyFill="1" applyBorder="1"/>
    <xf numFmtId="0" fontId="67" fillId="12" borderId="7" xfId="0" applyFont="1" applyFill="1" applyBorder="1"/>
    <xf numFmtId="0" fontId="65" fillId="12" borderId="7" xfId="0" applyFont="1" applyFill="1" applyBorder="1"/>
    <xf numFmtId="0" fontId="80" fillId="12" borderId="7" xfId="0" applyFont="1" applyFill="1" applyBorder="1" applyAlignment="1">
      <alignment horizontal="right"/>
    </xf>
    <xf numFmtId="0" fontId="80" fillId="12" borderId="33" xfId="0" applyFont="1" applyFill="1" applyBorder="1"/>
    <xf numFmtId="0" fontId="19" fillId="5" borderId="22" xfId="0" applyFont="1" applyFill="1" applyBorder="1"/>
    <xf numFmtId="0" fontId="82" fillId="0" borderId="0" xfId="0" applyFont="1"/>
    <xf numFmtId="0" fontId="83" fillId="12" borderId="7" xfId="0" applyFont="1" applyFill="1" applyBorder="1"/>
    <xf numFmtId="0" fontId="80" fillId="12" borderId="7" xfId="0" applyFont="1" applyFill="1" applyBorder="1" applyAlignment="1">
      <alignment horizontal="left"/>
    </xf>
    <xf numFmtId="0" fontId="65" fillId="12" borderId="7" xfId="0" applyFont="1" applyFill="1" applyBorder="1" applyAlignment="1">
      <alignment horizontal="left"/>
    </xf>
    <xf numFmtId="166" fontId="69" fillId="12" borderId="7" xfId="0" applyNumberFormat="1" applyFont="1" applyFill="1" applyBorder="1" applyAlignment="1">
      <alignment horizontal="right"/>
    </xf>
    <xf numFmtId="166" fontId="81" fillId="12" borderId="7" xfId="0" applyNumberFormat="1" applyFont="1" applyFill="1" applyBorder="1" applyAlignment="1">
      <alignment horizontal="right"/>
    </xf>
    <xf numFmtId="0" fontId="84" fillId="12" borderId="7" xfId="0" applyFont="1" applyFill="1" applyBorder="1"/>
    <xf numFmtId="49" fontId="85" fillId="0" borderId="0" xfId="0" applyNumberFormat="1" applyFont="1" applyAlignment="1">
      <alignment horizontal="right"/>
    </xf>
    <xf numFmtId="0" fontId="74" fillId="13" borderId="0" xfId="0" applyFont="1" applyFill="1"/>
    <xf numFmtId="167" fontId="66" fillId="13" borderId="0" xfId="0" applyNumberFormat="1" applyFont="1" applyFill="1" applyAlignment="1">
      <alignment horizontal="right"/>
    </xf>
    <xf numFmtId="0" fontId="66" fillId="13" borderId="0" xfId="0" applyFont="1" applyFill="1"/>
    <xf numFmtId="0" fontId="74" fillId="13" borderId="0" xfId="0" applyFont="1" applyFill="1" applyAlignment="1">
      <alignment horizontal="left" indent="1"/>
    </xf>
    <xf numFmtId="0" fontId="66" fillId="13" borderId="0" xfId="0" applyFont="1" applyFill="1" applyAlignment="1">
      <alignment horizontal="left" indent="2"/>
    </xf>
    <xf numFmtId="0" fontId="86" fillId="13" borderId="0" xfId="0" applyFont="1" applyFill="1" applyAlignment="1">
      <alignment horizontal="left" indent="4"/>
    </xf>
    <xf numFmtId="0" fontId="66" fillId="13" borderId="0" xfId="0" applyFont="1" applyFill="1" applyAlignment="1">
      <alignment horizontal="left" indent="3"/>
    </xf>
    <xf numFmtId="0" fontId="66" fillId="13" borderId="0" xfId="0" applyFont="1" applyFill="1" applyAlignment="1">
      <alignment horizontal="left" indent="4"/>
    </xf>
    <xf numFmtId="0" fontId="66" fillId="13" borderId="0" xfId="0" applyFont="1" applyFill="1" applyAlignment="1">
      <alignment horizontal="left" indent="1"/>
    </xf>
    <xf numFmtId="167" fontId="66" fillId="14" borderId="0" xfId="0" applyNumberFormat="1" applyFont="1" applyFill="1"/>
    <xf numFmtId="0" fontId="81" fillId="5" borderId="26" xfId="0" applyFont="1" applyFill="1" applyBorder="1"/>
    <xf numFmtId="0" fontId="69" fillId="5" borderId="26" xfId="0" applyFont="1" applyFill="1" applyBorder="1"/>
    <xf numFmtId="0" fontId="87" fillId="5" borderId="0" xfId="0" applyFont="1" applyFill="1"/>
    <xf numFmtId="0" fontId="78" fillId="5" borderId="26" xfId="0" applyFont="1" applyFill="1" applyBorder="1"/>
    <xf numFmtId="167" fontId="0" fillId="9" borderId="7" xfId="0" applyNumberFormat="1" applyFill="1" applyBorder="1" applyAlignment="1">
      <alignment horizontal="right"/>
    </xf>
    <xf numFmtId="9" fontId="73" fillId="9" borderId="7" xfId="0" applyNumberFormat="1" applyFont="1" applyFill="1" applyBorder="1" applyAlignment="1">
      <alignment horizontal="right"/>
    </xf>
    <xf numFmtId="167" fontId="66" fillId="13" borderId="20" xfId="0" applyNumberFormat="1" applyFont="1" applyFill="1" applyBorder="1" applyAlignment="1">
      <alignment horizontal="right"/>
    </xf>
    <xf numFmtId="49" fontId="84" fillId="0" borderId="6" xfId="0" applyNumberFormat="1" applyFont="1" applyBorder="1" applyAlignment="1">
      <alignment horizontal="right"/>
    </xf>
    <xf numFmtId="0" fontId="73" fillId="0" borderId="0" xfId="0" applyFont="1" applyAlignment="1">
      <alignment horizontal="left"/>
    </xf>
    <xf numFmtId="0" fontId="73" fillId="0" borderId="0" xfId="0" applyFont="1"/>
    <xf numFmtId="167" fontId="76" fillId="13" borderId="0" xfId="0" applyNumberFormat="1" applyFont="1" applyFill="1" applyAlignment="1">
      <alignment horizontal="right"/>
    </xf>
    <xf numFmtId="167" fontId="88" fillId="13" borderId="0" xfId="0" applyNumberFormat="1" applyFont="1" applyFill="1" applyAlignment="1">
      <alignment horizontal="right"/>
    </xf>
    <xf numFmtId="0" fontId="84" fillId="0" borderId="6" xfId="0" applyFont="1" applyBorder="1" applyAlignment="1">
      <alignment horizontal="right"/>
    </xf>
    <xf numFmtId="167" fontId="89" fillId="13" borderId="0" xfId="0" applyNumberFormat="1" applyFont="1" applyFill="1" applyAlignment="1">
      <alignment horizontal="right"/>
    </xf>
    <xf numFmtId="167" fontId="90" fillId="13" borderId="0" xfId="0" applyNumberFormat="1" applyFont="1" applyFill="1" applyAlignment="1">
      <alignment horizontal="right"/>
    </xf>
    <xf numFmtId="0" fontId="91" fillId="0" borderId="0" xfId="0" applyFont="1" applyAlignment="1">
      <alignment horizontal="right"/>
    </xf>
    <xf numFmtId="0" fontId="77" fillId="0" borderId="0" xfId="0" applyFont="1" applyAlignment="1">
      <alignment horizontal="center"/>
    </xf>
    <xf numFmtId="0" fontId="90" fillId="13" borderId="0" xfId="0" applyFont="1" applyFill="1" applyAlignment="1">
      <alignment horizontal="left" indent="2"/>
    </xf>
    <xf numFmtId="9" fontId="92" fillId="9" borderId="7" xfId="0" applyNumberFormat="1" applyFont="1" applyFill="1" applyBorder="1" applyAlignment="1">
      <alignment horizontal="right"/>
    </xf>
    <xf numFmtId="1" fontId="66" fillId="13" borderId="0" xfId="0" applyNumberFormat="1" applyFont="1" applyFill="1" applyAlignment="1">
      <alignment horizontal="right"/>
    </xf>
    <xf numFmtId="1" fontId="66" fillId="13" borderId="20" xfId="0" applyNumberFormat="1" applyFont="1" applyFill="1" applyBorder="1" applyAlignment="1">
      <alignment horizontal="right"/>
    </xf>
    <xf numFmtId="0" fontId="93" fillId="0" borderId="0" xfId="0" applyFont="1"/>
    <xf numFmtId="1" fontId="87" fillId="9" borderId="7" xfId="0" applyNumberFormat="1" applyFont="1" applyFill="1" applyBorder="1" applyAlignment="1">
      <alignment horizontal="right"/>
    </xf>
    <xf numFmtId="1" fontId="87" fillId="13" borderId="0" xfId="0" applyNumberFormat="1" applyFont="1" applyFill="1" applyAlignment="1">
      <alignment horizontal="right"/>
    </xf>
    <xf numFmtId="3" fontId="73" fillId="13" borderId="0" xfId="0" applyNumberFormat="1" applyFont="1" applyFill="1" applyAlignment="1">
      <alignment horizontal="right"/>
    </xf>
    <xf numFmtId="3" fontId="94" fillId="13" borderId="0" xfId="0" applyNumberFormat="1" applyFont="1" applyFill="1" applyAlignment="1">
      <alignment horizontal="right"/>
    </xf>
    <xf numFmtId="1" fontId="90" fillId="13" borderId="0" xfId="0" applyNumberFormat="1" applyFont="1" applyFill="1" applyAlignment="1">
      <alignment horizontal="right"/>
    </xf>
    <xf numFmtId="0" fontId="86" fillId="13" borderId="0" xfId="0" applyFont="1" applyFill="1" applyAlignment="1">
      <alignment horizontal="left" indent="2"/>
    </xf>
    <xf numFmtId="167" fontId="69" fillId="13" borderId="0" xfId="0" applyNumberFormat="1" applyFont="1" applyFill="1" applyAlignment="1">
      <alignment horizontal="right"/>
    </xf>
    <xf numFmtId="167" fontId="95" fillId="13" borderId="0" xfId="0" applyNumberFormat="1" applyFont="1" applyFill="1" applyAlignment="1">
      <alignment horizontal="right"/>
    </xf>
    <xf numFmtId="167" fontId="95" fillId="13" borderId="0" xfId="0" applyNumberFormat="1" applyFont="1" applyFill="1" applyAlignment="1">
      <alignment horizontal="center"/>
    </xf>
    <xf numFmtId="1" fontId="93" fillId="0" borderId="0" xfId="0" applyNumberFormat="1" applyFont="1"/>
    <xf numFmtId="0" fontId="70" fillId="0" borderId="6" xfId="0" applyFont="1" applyBorder="1"/>
    <xf numFmtId="167" fontId="96" fillId="13" borderId="0" xfId="0" applyNumberFormat="1" applyFont="1" applyFill="1" applyAlignment="1">
      <alignment horizontal="right"/>
    </xf>
    <xf numFmtId="167" fontId="96" fillId="13" borderId="0" xfId="0" applyNumberFormat="1" applyFont="1" applyFill="1" applyAlignment="1">
      <alignment horizontal="left"/>
    </xf>
    <xf numFmtId="167" fontId="97" fillId="13" borderId="0" xfId="0" applyNumberFormat="1" applyFont="1" applyFill="1" applyAlignment="1">
      <alignment horizontal="left"/>
    </xf>
    <xf numFmtId="167" fontId="98" fillId="13" borderId="0" xfId="0" applyNumberFormat="1" applyFont="1" applyFill="1" applyAlignment="1">
      <alignment horizontal="left"/>
    </xf>
    <xf numFmtId="167" fontId="96" fillId="13" borderId="0" xfId="0" applyNumberFormat="1" applyFont="1" applyFill="1" applyAlignment="1">
      <alignment horizontal="center"/>
    </xf>
    <xf numFmtId="168" fontId="73" fillId="10" borderId="31" xfId="0" applyNumberFormat="1" applyFont="1" applyFill="1" applyBorder="1"/>
    <xf numFmtId="0" fontId="62" fillId="15" borderId="7" xfId="0" applyFont="1" applyFill="1" applyBorder="1"/>
    <xf numFmtId="0" fontId="0" fillId="15" borderId="7" xfId="0" applyFill="1" applyBorder="1"/>
    <xf numFmtId="1" fontId="73" fillId="15" borderId="7" xfId="0" applyNumberFormat="1" applyFont="1" applyFill="1" applyBorder="1"/>
    <xf numFmtId="1" fontId="88" fillId="15" borderId="7" xfId="0" applyNumberFormat="1" applyFont="1" applyFill="1" applyBorder="1"/>
    <xf numFmtId="0" fontId="73" fillId="15" borderId="7" xfId="0" applyFont="1" applyFill="1" applyBorder="1"/>
    <xf numFmtId="168" fontId="73" fillId="15" borderId="7" xfId="0" applyNumberFormat="1" applyFont="1" applyFill="1" applyBorder="1"/>
    <xf numFmtId="168" fontId="99" fillId="15" borderId="7" xfId="0" applyNumberFormat="1" applyFont="1" applyFill="1" applyBorder="1"/>
    <xf numFmtId="0" fontId="62" fillId="15" borderId="26" xfId="0" applyFont="1" applyFill="1" applyBorder="1"/>
    <xf numFmtId="166" fontId="74" fillId="15" borderId="26" xfId="0" applyNumberFormat="1" applyFont="1" applyFill="1" applyBorder="1"/>
    <xf numFmtId="0" fontId="0" fillId="15" borderId="26" xfId="0" applyFill="1" applyBorder="1"/>
    <xf numFmtId="166" fontId="66" fillId="15" borderId="26" xfId="0" applyNumberFormat="1" applyFont="1" applyFill="1" applyBorder="1"/>
    <xf numFmtId="166" fontId="88" fillId="15" borderId="26" xfId="0" applyNumberFormat="1" applyFont="1" applyFill="1" applyBorder="1"/>
    <xf numFmtId="166" fontId="66" fillId="15" borderId="39" xfId="0" applyNumberFormat="1" applyFont="1" applyFill="1" applyBorder="1"/>
    <xf numFmtId="166" fontId="66" fillId="15" borderId="40" xfId="0" applyNumberFormat="1" applyFont="1" applyFill="1" applyBorder="1"/>
    <xf numFmtId="0" fontId="75" fillId="15" borderId="41" xfId="0" applyFont="1" applyFill="1" applyBorder="1"/>
    <xf numFmtId="0" fontId="0" fillId="15" borderId="41" xfId="0" applyFill="1" applyBorder="1"/>
    <xf numFmtId="0" fontId="100" fillId="15" borderId="7" xfId="0" applyFont="1" applyFill="1" applyBorder="1"/>
    <xf numFmtId="0" fontId="76" fillId="15" borderId="7" xfId="0" applyFont="1" applyFill="1" applyBorder="1" applyAlignment="1">
      <alignment horizontal="right"/>
    </xf>
    <xf numFmtId="2" fontId="87" fillId="15" borderId="7" xfId="0" applyNumberFormat="1" applyFont="1" applyFill="1" applyBorder="1"/>
    <xf numFmtId="10" fontId="73" fillId="15" borderId="7" xfId="0" applyNumberFormat="1" applyFont="1" applyFill="1" applyBorder="1"/>
    <xf numFmtId="166" fontId="76" fillId="15" borderId="7" xfId="0" applyNumberFormat="1" applyFont="1" applyFill="1" applyBorder="1"/>
    <xf numFmtId="166" fontId="101" fillId="15" borderId="7" xfId="0" applyNumberFormat="1" applyFont="1" applyFill="1" applyBorder="1"/>
    <xf numFmtId="166" fontId="102" fillId="15" borderId="7" xfId="0" applyNumberFormat="1" applyFont="1" applyFill="1" applyBorder="1"/>
    <xf numFmtId="0" fontId="102" fillId="15" borderId="7" xfId="0" applyFont="1" applyFill="1" applyBorder="1"/>
    <xf numFmtId="0" fontId="76" fillId="15" borderId="7" xfId="0" applyFont="1" applyFill="1" applyBorder="1"/>
    <xf numFmtId="167" fontId="0" fillId="15" borderId="7" xfId="0" applyNumberFormat="1" applyFill="1" applyBorder="1"/>
    <xf numFmtId="0" fontId="103" fillId="15" borderId="7" xfId="0" applyFont="1" applyFill="1" applyBorder="1"/>
    <xf numFmtId="1" fontId="102" fillId="15" borderId="7" xfId="0" applyNumberFormat="1" applyFont="1" applyFill="1" applyBorder="1"/>
    <xf numFmtId="0" fontId="63" fillId="15" borderId="7" xfId="0" applyFont="1" applyFill="1" applyBorder="1"/>
    <xf numFmtId="168" fontId="94" fillId="15" borderId="7" xfId="0" applyNumberFormat="1" applyFont="1" applyFill="1" applyBorder="1"/>
    <xf numFmtId="0" fontId="76" fillId="15" borderId="7" xfId="0" applyFont="1" applyFill="1" applyBorder="1" applyAlignment="1">
      <alignment horizontal="left"/>
    </xf>
    <xf numFmtId="1" fontId="65" fillId="15" borderId="7" xfId="0" applyNumberFormat="1" applyFont="1" applyFill="1" applyBorder="1"/>
    <xf numFmtId="0" fontId="93" fillId="15" borderId="7" xfId="0" applyFont="1" applyFill="1" applyBorder="1"/>
    <xf numFmtId="1" fontId="87" fillId="15" borderId="7" xfId="0" applyNumberFormat="1" applyFont="1" applyFill="1" applyBorder="1"/>
    <xf numFmtId="168" fontId="91" fillId="15" borderId="7" xfId="0" applyNumberFormat="1" applyFont="1" applyFill="1" applyBorder="1"/>
    <xf numFmtId="166" fontId="65" fillId="15" borderId="7" xfId="0" applyNumberFormat="1" applyFont="1" applyFill="1" applyBorder="1"/>
    <xf numFmtId="1" fontId="94" fillId="15" borderId="7" xfId="0" applyNumberFormat="1" applyFont="1" applyFill="1" applyBorder="1"/>
    <xf numFmtId="1" fontId="99" fillId="15" borderId="7" xfId="0" applyNumberFormat="1" applyFont="1" applyFill="1" applyBorder="1"/>
    <xf numFmtId="9" fontId="87" fillId="15" borderId="7" xfId="0" applyNumberFormat="1" applyFont="1" applyFill="1" applyBorder="1"/>
    <xf numFmtId="168" fontId="99" fillId="15" borderId="26" xfId="0" applyNumberFormat="1" applyFont="1" applyFill="1" applyBorder="1"/>
    <xf numFmtId="168" fontId="99" fillId="15" borderId="42" xfId="0" applyNumberFormat="1" applyFont="1" applyFill="1" applyBorder="1"/>
    <xf numFmtId="9" fontId="73" fillId="15" borderId="7" xfId="0" applyNumberFormat="1" applyFont="1" applyFill="1" applyBorder="1"/>
    <xf numFmtId="168" fontId="99" fillId="15" borderId="10" xfId="0" applyNumberFormat="1" applyFont="1" applyFill="1" applyBorder="1"/>
    <xf numFmtId="9" fontId="99" fillId="15" borderId="10" xfId="0" applyNumberFormat="1" applyFont="1" applyFill="1" applyBorder="1"/>
    <xf numFmtId="9" fontId="99" fillId="15" borderId="7" xfId="0" applyNumberFormat="1" applyFont="1" applyFill="1" applyBorder="1"/>
    <xf numFmtId="1" fontId="73" fillId="15" borderId="10" xfId="0" applyNumberFormat="1" applyFont="1" applyFill="1" applyBorder="1"/>
    <xf numFmtId="166" fontId="94" fillId="15" borderId="7" xfId="0" applyNumberFormat="1" applyFont="1" applyFill="1" applyBorder="1"/>
    <xf numFmtId="0" fontId="75" fillId="15" borderId="7" xfId="0" applyFont="1" applyFill="1" applyBorder="1"/>
    <xf numFmtId="168" fontId="0" fillId="15" borderId="7" xfId="0" applyNumberFormat="1" applyFill="1" applyBorder="1"/>
    <xf numFmtId="0" fontId="0" fillId="15" borderId="29" xfId="0" applyFill="1" applyBorder="1"/>
    <xf numFmtId="168" fontId="99" fillId="15" borderId="29" xfId="0" applyNumberFormat="1" applyFont="1" applyFill="1" applyBorder="1"/>
    <xf numFmtId="0" fontId="0" fillId="15" borderId="31" xfId="0" applyFill="1" applyBorder="1"/>
    <xf numFmtId="168" fontId="99" fillId="15" borderId="31" xfId="0" applyNumberFormat="1" applyFont="1" applyFill="1" applyBorder="1"/>
    <xf numFmtId="168" fontId="99" fillId="15" borderId="43" xfId="0" applyNumberFormat="1" applyFont="1" applyFill="1" applyBorder="1"/>
    <xf numFmtId="168" fontId="88" fillId="15" borderId="7" xfId="0" applyNumberFormat="1" applyFont="1" applyFill="1" applyBorder="1"/>
    <xf numFmtId="166" fontId="73" fillId="15" borderId="7" xfId="0" applyNumberFormat="1" applyFont="1" applyFill="1" applyBorder="1"/>
    <xf numFmtId="166" fontId="88" fillId="15" borderId="7" xfId="0" applyNumberFormat="1" applyFont="1" applyFill="1" applyBorder="1"/>
    <xf numFmtId="166" fontId="99" fillId="15" borderId="7" xfId="0" applyNumberFormat="1" applyFont="1" applyFill="1" applyBorder="1"/>
    <xf numFmtId="0" fontId="104" fillId="15" borderId="7" xfId="0" applyFont="1" applyFill="1" applyBorder="1"/>
    <xf numFmtId="1" fontId="76" fillId="15" borderId="7" xfId="0" applyNumberFormat="1" applyFont="1" applyFill="1" applyBorder="1"/>
    <xf numFmtId="0" fontId="88" fillId="15" borderId="7" xfId="0" applyFont="1" applyFill="1" applyBorder="1"/>
    <xf numFmtId="0" fontId="73" fillId="15" borderId="7" xfId="0" applyFont="1" applyFill="1" applyBorder="1" applyAlignment="1">
      <alignment horizontal="left"/>
    </xf>
    <xf numFmtId="0" fontId="76" fillId="15" borderId="33" xfId="0" applyFont="1" applyFill="1" applyBorder="1" applyAlignment="1">
      <alignment horizontal="right"/>
    </xf>
    <xf numFmtId="0" fontId="0" fillId="15" borderId="33" xfId="0" applyFill="1" applyBorder="1"/>
    <xf numFmtId="168" fontId="73" fillId="15" borderId="33" xfId="0" applyNumberFormat="1" applyFont="1" applyFill="1" applyBorder="1"/>
    <xf numFmtId="166" fontId="101" fillId="15" borderId="33" xfId="0" applyNumberFormat="1" applyFont="1" applyFill="1" applyBorder="1"/>
    <xf numFmtId="0" fontId="63" fillId="15" borderId="33" xfId="0" applyFont="1" applyFill="1" applyBorder="1"/>
    <xf numFmtId="0" fontId="100" fillId="15" borderId="7" xfId="0" applyFont="1" applyFill="1" applyBorder="1" applyAlignment="1">
      <alignment horizontal="left"/>
    </xf>
    <xf numFmtId="3" fontId="73" fillId="15" borderId="7" xfId="0" applyNumberFormat="1" applyFont="1" applyFill="1" applyBorder="1"/>
    <xf numFmtId="0" fontId="0" fillId="15" borderId="7" xfId="0" applyFill="1" applyBorder="1" applyAlignment="1">
      <alignment horizontal="left"/>
    </xf>
    <xf numFmtId="3" fontId="99" fillId="15" borderId="7" xfId="0" applyNumberFormat="1" applyFont="1" applyFill="1" applyBorder="1"/>
    <xf numFmtId="3" fontId="94" fillId="15" borderId="7" xfId="0" applyNumberFormat="1" applyFont="1" applyFill="1" applyBorder="1"/>
    <xf numFmtId="0" fontId="66" fillId="15" borderId="7" xfId="0" applyFont="1" applyFill="1" applyBorder="1" applyAlignment="1">
      <alignment horizontal="left"/>
    </xf>
    <xf numFmtId="0" fontId="73" fillId="15" borderId="33" xfId="0" applyFont="1" applyFill="1" applyBorder="1"/>
    <xf numFmtId="166" fontId="63" fillId="15" borderId="33" xfId="0" applyNumberFormat="1" applyFont="1" applyFill="1" applyBorder="1"/>
    <xf numFmtId="166" fontId="87" fillId="15" borderId="7" xfId="0" applyNumberFormat="1" applyFont="1" applyFill="1" applyBorder="1"/>
    <xf numFmtId="168" fontId="66" fillId="13" borderId="0" xfId="0" applyNumberFormat="1" applyFont="1" applyFill="1" applyAlignment="1">
      <alignment horizontal="right"/>
    </xf>
    <xf numFmtId="0" fontId="0" fillId="15" borderId="0" xfId="0" applyFill="1"/>
    <xf numFmtId="0" fontId="93" fillId="15" borderId="0" xfId="0" applyFont="1" applyFill="1"/>
    <xf numFmtId="0" fontId="93" fillId="15" borderId="7" xfId="0" applyFont="1" applyFill="1" applyBorder="1" applyAlignment="1">
      <alignment horizontal="right"/>
    </xf>
    <xf numFmtId="2" fontId="73" fillId="15" borderId="7" xfId="0" applyNumberFormat="1" applyFont="1" applyFill="1" applyBorder="1"/>
    <xf numFmtId="0" fontId="86" fillId="13" borderId="0" xfId="0" applyFont="1" applyFill="1"/>
    <xf numFmtId="0" fontId="76" fillId="9" borderId="7" xfId="0" applyFont="1" applyFill="1" applyBorder="1"/>
    <xf numFmtId="168" fontId="73" fillId="9" borderId="7" xfId="0" applyNumberFormat="1" applyFont="1" applyFill="1" applyBorder="1" applyAlignment="1">
      <alignment horizontal="right"/>
    </xf>
    <xf numFmtId="0" fontId="76" fillId="15" borderId="66" xfId="0" applyFont="1" applyFill="1" applyBorder="1"/>
    <xf numFmtId="0" fontId="0" fillId="15" borderId="67" xfId="0" applyFill="1" applyBorder="1"/>
    <xf numFmtId="0" fontId="93" fillId="15" borderId="67" xfId="0" applyFont="1" applyFill="1" applyBorder="1"/>
    <xf numFmtId="168" fontId="99" fillId="15" borderId="67" xfId="0" applyNumberFormat="1" applyFont="1" applyFill="1" applyBorder="1"/>
    <xf numFmtId="0" fontId="93" fillId="15" borderId="68" xfId="0" applyFont="1" applyFill="1" applyBorder="1"/>
    <xf numFmtId="0" fontId="73" fillId="9" borderId="7" xfId="0" applyFont="1" applyFill="1" applyBorder="1" applyAlignment="1">
      <alignment horizontal="right"/>
    </xf>
    <xf numFmtId="1" fontId="0" fillId="15" borderId="7" xfId="0" applyNumberFormat="1" applyFill="1" applyBorder="1"/>
    <xf numFmtId="168" fontId="99" fillId="15" borderId="0" xfId="0" applyNumberFormat="1" applyFont="1" applyFill="1"/>
    <xf numFmtId="9" fontId="93" fillId="15" borderId="0" xfId="0" applyNumberFormat="1" applyFont="1" applyFill="1"/>
    <xf numFmtId="0" fontId="76" fillId="15" borderId="7" xfId="0" quotePrefix="1" applyFont="1" applyFill="1" applyBorder="1" applyAlignment="1">
      <alignment horizontal="left"/>
    </xf>
    <xf numFmtId="167" fontId="90" fillId="13" borderId="0" xfId="0" applyNumberFormat="1" applyFont="1" applyFill="1" applyAlignment="1">
      <alignment horizontal="center"/>
    </xf>
    <xf numFmtId="166" fontId="105" fillId="12" borderId="7" xfId="0" applyNumberFormat="1" applyFont="1" applyFill="1" applyBorder="1" applyAlignment="1">
      <alignment horizontal="right"/>
    </xf>
    <xf numFmtId="0" fontId="78" fillId="12" borderId="7" xfId="0" applyFont="1" applyFill="1" applyBorder="1"/>
    <xf numFmtId="0" fontId="67" fillId="12" borderId="41" xfId="0" applyFont="1" applyFill="1" applyBorder="1"/>
    <xf numFmtId="0" fontId="80" fillId="12" borderId="41" xfId="0" applyFont="1" applyFill="1" applyBorder="1"/>
    <xf numFmtId="166" fontId="0" fillId="12" borderId="44" xfId="0" applyNumberFormat="1" applyFill="1" applyBorder="1"/>
    <xf numFmtId="166" fontId="0" fillId="12" borderId="41" xfId="0" applyNumberFormat="1" applyFill="1" applyBorder="1"/>
    <xf numFmtId="166" fontId="0" fillId="12" borderId="32" xfId="0" applyNumberFormat="1" applyFill="1" applyBorder="1"/>
    <xf numFmtId="166" fontId="100" fillId="12" borderId="41" xfId="0" applyNumberFormat="1" applyFont="1" applyFill="1" applyBorder="1"/>
    <xf numFmtId="0" fontId="80" fillId="12" borderId="33" xfId="0" applyFont="1" applyFill="1" applyBorder="1" applyAlignment="1">
      <alignment horizontal="right"/>
    </xf>
    <xf numFmtId="166" fontId="69" fillId="12" borderId="33" xfId="0" applyNumberFormat="1" applyFont="1" applyFill="1" applyBorder="1" applyAlignment="1">
      <alignment horizontal="right"/>
    </xf>
    <xf numFmtId="166" fontId="0" fillId="12" borderId="43" xfId="0" applyNumberFormat="1" applyFill="1" applyBorder="1"/>
    <xf numFmtId="166" fontId="0" fillId="12" borderId="33" xfId="0" applyNumberFormat="1" applyFill="1" applyBorder="1"/>
    <xf numFmtId="166" fontId="106" fillId="12" borderId="33" xfId="0" applyNumberFormat="1" applyFont="1" applyFill="1" applyBorder="1"/>
    <xf numFmtId="166" fontId="106" fillId="12" borderId="38" xfId="0" applyNumberFormat="1" applyFont="1" applyFill="1" applyBorder="1"/>
    <xf numFmtId="166" fontId="73" fillId="12" borderId="7" xfId="0" applyNumberFormat="1" applyFont="1" applyFill="1" applyBorder="1"/>
    <xf numFmtId="167" fontId="87" fillId="12" borderId="7" xfId="0" applyNumberFormat="1" applyFont="1" applyFill="1" applyBorder="1" applyAlignment="1">
      <alignment horizontal="right"/>
    </xf>
    <xf numFmtId="0" fontId="80" fillId="12" borderId="41" xfId="0" applyFont="1" applyFill="1" applyBorder="1" applyAlignment="1">
      <alignment horizontal="right"/>
    </xf>
    <xf numFmtId="0" fontId="107" fillId="12" borderId="33" xfId="0" applyFont="1" applyFill="1" applyBorder="1"/>
    <xf numFmtId="0" fontId="108" fillId="12" borderId="33" xfId="0" applyFont="1" applyFill="1" applyBorder="1"/>
    <xf numFmtId="166" fontId="105" fillId="12" borderId="41" xfId="0" applyNumberFormat="1" applyFont="1" applyFill="1" applyBorder="1" applyAlignment="1">
      <alignment horizontal="right"/>
    </xf>
    <xf numFmtId="0" fontId="65" fillId="12" borderId="33" xfId="0" applyFont="1" applyFill="1" applyBorder="1"/>
    <xf numFmtId="166" fontId="109" fillId="15" borderId="7" xfId="0" applyNumberFormat="1" applyFont="1" applyFill="1" applyBorder="1"/>
    <xf numFmtId="166" fontId="109" fillId="15" borderId="10" xfId="0" applyNumberFormat="1" applyFont="1" applyFill="1" applyBorder="1"/>
    <xf numFmtId="1" fontId="89" fillId="12" borderId="7" xfId="0" applyNumberFormat="1" applyFont="1" applyFill="1" applyBorder="1" applyAlignment="1">
      <alignment horizontal="right"/>
    </xf>
    <xf numFmtId="0" fontId="110" fillId="16" borderId="0" xfId="0" applyFont="1" applyFill="1" applyAlignment="1">
      <alignment horizontal="fill" shrinkToFit="1"/>
    </xf>
    <xf numFmtId="0" fontId="110" fillId="17" borderId="0" xfId="0" applyFont="1" applyFill="1" applyAlignment="1">
      <alignment horizontal="fill"/>
    </xf>
    <xf numFmtId="0" fontId="110" fillId="18" borderId="0" xfId="0" applyFont="1" applyFill="1" applyAlignment="1">
      <alignment horizontal="fill"/>
    </xf>
    <xf numFmtId="172" fontId="111" fillId="0" borderId="0" xfId="0" applyNumberFormat="1" applyFont="1"/>
    <xf numFmtId="172" fontId="111" fillId="0" borderId="45" xfId="0" applyNumberFormat="1" applyFont="1" applyBorder="1"/>
    <xf numFmtId="172" fontId="111" fillId="19" borderId="0" xfId="0" applyNumberFormat="1" applyFont="1" applyFill="1"/>
    <xf numFmtId="0" fontId="112" fillId="0" borderId="28" xfId="0" applyFont="1" applyBorder="1" applyAlignment="1">
      <alignment horizontal="center"/>
    </xf>
    <xf numFmtId="0" fontId="113" fillId="0" borderId="28" xfId="0" applyFont="1" applyBorder="1" applyAlignment="1">
      <alignment horizontal="center"/>
    </xf>
    <xf numFmtId="0" fontId="114" fillId="20" borderId="0" xfId="9" applyFont="1" applyFill="1" applyAlignment="1">
      <alignment horizontal="left" indent="1"/>
    </xf>
    <xf numFmtId="167" fontId="82" fillId="0" borderId="0" xfId="0" applyNumberFormat="1" applyFont="1"/>
    <xf numFmtId="167" fontId="82" fillId="0" borderId="45" xfId="0" applyNumberFormat="1" applyFont="1" applyBorder="1"/>
    <xf numFmtId="167" fontId="82" fillId="19" borderId="0" xfId="0" applyNumberFormat="1" applyFont="1" applyFill="1"/>
    <xf numFmtId="49" fontId="112" fillId="0" borderId="0" xfId="0" applyNumberFormat="1" applyFont="1" applyAlignment="1">
      <alignment horizontal="center"/>
    </xf>
    <xf numFmtId="49" fontId="113" fillId="0" borderId="0" xfId="0" applyNumberFormat="1" applyFont="1" applyAlignment="1">
      <alignment horizontal="center"/>
    </xf>
    <xf numFmtId="167" fontId="113" fillId="0" borderId="0" xfId="0" applyNumberFormat="1" applyFont="1" applyAlignment="1">
      <alignment horizontal="center"/>
    </xf>
    <xf numFmtId="167" fontId="113" fillId="0" borderId="45" xfId="0" applyNumberFormat="1" applyFont="1" applyBorder="1" applyAlignment="1">
      <alignment horizontal="center"/>
    </xf>
    <xf numFmtId="0" fontId="113" fillId="0" borderId="27" xfId="0" applyFont="1" applyBorder="1"/>
    <xf numFmtId="167" fontId="82" fillId="0" borderId="28" xfId="0" applyNumberFormat="1" applyFont="1" applyBorder="1"/>
    <xf numFmtId="167" fontId="82" fillId="0" borderId="46" xfId="0" applyNumberFormat="1" applyFont="1" applyBorder="1"/>
    <xf numFmtId="167" fontId="82" fillId="19" borderId="28" xfId="0" applyNumberFormat="1" applyFont="1" applyFill="1" applyBorder="1"/>
    <xf numFmtId="167" fontId="82" fillId="0" borderId="47" xfId="0" applyNumberFormat="1" applyFont="1" applyBorder="1"/>
    <xf numFmtId="0" fontId="115" fillId="0" borderId="0" xfId="0" applyFont="1"/>
    <xf numFmtId="0" fontId="113" fillId="5" borderId="0" xfId="0" applyFont="1" applyFill="1" applyAlignment="1">
      <alignment horizontal="left" indent="1"/>
    </xf>
    <xf numFmtId="167" fontId="82" fillId="5" borderId="0" xfId="0" applyNumberFormat="1" applyFont="1" applyFill="1"/>
    <xf numFmtId="167" fontId="82" fillId="5" borderId="23" xfId="0" applyNumberFormat="1" applyFont="1" applyFill="1" applyBorder="1"/>
    <xf numFmtId="167" fontId="82" fillId="5" borderId="45" xfId="0" applyNumberFormat="1" applyFont="1" applyFill="1" applyBorder="1"/>
    <xf numFmtId="0" fontId="82" fillId="5" borderId="0" xfId="0" applyFont="1" applyFill="1" applyAlignment="1">
      <alignment horizontal="left" indent="2"/>
    </xf>
    <xf numFmtId="0" fontId="82" fillId="5" borderId="0" xfId="0" applyFont="1" applyFill="1" applyAlignment="1">
      <alignment horizontal="left" indent="1"/>
    </xf>
    <xf numFmtId="0" fontId="82" fillId="5" borderId="0" xfId="0" applyFont="1" applyFill="1"/>
    <xf numFmtId="0" fontId="110" fillId="5" borderId="0" xfId="0" applyFont="1" applyFill="1" applyAlignment="1">
      <alignment horizontal="left" indent="1"/>
    </xf>
    <xf numFmtId="0" fontId="82" fillId="5" borderId="0" xfId="0" applyFont="1" applyFill="1" applyAlignment="1">
      <alignment horizontal="left" indent="3"/>
    </xf>
    <xf numFmtId="0" fontId="82" fillId="5" borderId="0" xfId="0" applyFont="1" applyFill="1" applyAlignment="1">
      <alignment horizontal="left" indent="4"/>
    </xf>
    <xf numFmtId="0" fontId="82" fillId="5" borderId="0" xfId="6" applyFont="1" applyFill="1" applyAlignment="1">
      <alignment horizontal="left" indent="2"/>
    </xf>
    <xf numFmtId="0" fontId="116" fillId="5" borderId="0" xfId="10" applyFont="1" applyFill="1"/>
    <xf numFmtId="0" fontId="114" fillId="5" borderId="0" xfId="10" applyFont="1" applyFill="1" applyAlignment="1">
      <alignment horizontal="left" indent="1"/>
    </xf>
    <xf numFmtId="0" fontId="114" fillId="5" borderId="0" xfId="10" applyFont="1" applyFill="1"/>
    <xf numFmtId="0" fontId="117" fillId="5" borderId="0" xfId="10" applyFont="1" applyFill="1" applyAlignment="1">
      <alignment horizontal="left" indent="1"/>
    </xf>
    <xf numFmtId="0" fontId="110" fillId="5" borderId="0" xfId="0" applyFont="1" applyFill="1"/>
    <xf numFmtId="0" fontId="113" fillId="5" borderId="0" xfId="0" applyFont="1" applyFill="1"/>
    <xf numFmtId="0" fontId="118" fillId="5" borderId="0" xfId="0" applyFont="1" applyFill="1" applyAlignment="1">
      <alignment horizontal="left" indent="1"/>
    </xf>
    <xf numFmtId="0" fontId="119" fillId="5" borderId="0" xfId="0" applyFont="1" applyFill="1" applyAlignment="1">
      <alignment horizontal="left" indent="5"/>
    </xf>
    <xf numFmtId="0" fontId="119" fillId="5" borderId="0" xfId="0" applyFont="1" applyFill="1" applyAlignment="1">
      <alignment horizontal="left" indent="3"/>
    </xf>
    <xf numFmtId="167" fontId="120" fillId="5" borderId="0" xfId="0" applyNumberFormat="1" applyFont="1" applyFill="1"/>
    <xf numFmtId="0" fontId="121" fillId="5" borderId="0" xfId="9" applyFont="1" applyFill="1">
      <alignment vertical="top"/>
    </xf>
    <xf numFmtId="0" fontId="122" fillId="5" borderId="0" xfId="9" applyFont="1" applyFill="1" applyAlignment="1">
      <alignment horizontal="left" vertical="top" indent="1"/>
    </xf>
    <xf numFmtId="0" fontId="122" fillId="5" borderId="0" xfId="9" applyFont="1" applyFill="1" applyAlignment="1">
      <alignment horizontal="left" vertical="top" indent="2"/>
    </xf>
    <xf numFmtId="3" fontId="121" fillId="5" borderId="0" xfId="9" applyNumberFormat="1" applyFont="1" applyFill="1">
      <alignment vertical="top"/>
    </xf>
    <xf numFmtId="167" fontId="82" fillId="5" borderId="23" xfId="0" applyNumberFormat="1" applyFont="1" applyFill="1" applyBorder="1" applyAlignment="1">
      <alignment horizontal="right"/>
    </xf>
    <xf numFmtId="167" fontId="82" fillId="5" borderId="0" xfId="0" applyNumberFormat="1" applyFont="1" applyFill="1" applyAlignment="1">
      <alignment horizontal="right"/>
    </xf>
    <xf numFmtId="0" fontId="111" fillId="5" borderId="0" xfId="9" applyFont="1" applyFill="1" applyAlignment="1"/>
    <xf numFmtId="0" fontId="111" fillId="5" borderId="0" xfId="9" applyFont="1" applyFill="1" applyAlignment="1">
      <alignment horizontal="left" indent="1"/>
    </xf>
    <xf numFmtId="0" fontId="114" fillId="5" borderId="0" xfId="9" applyFont="1" applyFill="1" applyAlignment="1">
      <alignment horizontal="left" indent="2"/>
    </xf>
    <xf numFmtId="0" fontId="113" fillId="13" borderId="0" xfId="0" applyFont="1" applyFill="1"/>
    <xf numFmtId="167" fontId="82" fillId="13" borderId="0" xfId="0" applyNumberFormat="1" applyFont="1" applyFill="1" applyAlignment="1">
      <alignment horizontal="right"/>
    </xf>
    <xf numFmtId="167" fontId="82" fillId="13" borderId="23" xfId="0" applyNumberFormat="1" applyFont="1" applyFill="1" applyBorder="1" applyAlignment="1">
      <alignment horizontal="right"/>
    </xf>
    <xf numFmtId="167" fontId="82" fillId="13" borderId="45" xfId="0" applyNumberFormat="1" applyFont="1" applyFill="1" applyBorder="1" applyAlignment="1">
      <alignment horizontal="right"/>
    </xf>
    <xf numFmtId="167" fontId="82" fillId="19" borderId="0" xfId="0" applyNumberFormat="1" applyFont="1" applyFill="1" applyAlignment="1">
      <alignment horizontal="right"/>
    </xf>
    <xf numFmtId="167" fontId="82" fillId="0" borderId="0" xfId="0" applyNumberFormat="1" applyFont="1" applyAlignment="1">
      <alignment horizontal="right"/>
    </xf>
    <xf numFmtId="0" fontId="82" fillId="13" borderId="0" xfId="0" applyFont="1" applyFill="1"/>
    <xf numFmtId="167" fontId="82" fillId="13" borderId="20" xfId="0" applyNumberFormat="1" applyFont="1" applyFill="1" applyBorder="1" applyAlignment="1">
      <alignment horizontal="right"/>
    </xf>
    <xf numFmtId="0" fontId="82" fillId="13" borderId="0" xfId="0" applyFont="1" applyFill="1" applyAlignment="1">
      <alignment horizontal="left" indent="1"/>
    </xf>
    <xf numFmtId="0" fontId="111" fillId="13" borderId="0" xfId="9" applyFont="1" applyFill="1" applyAlignment="1"/>
    <xf numFmtId="0" fontId="114" fillId="13" borderId="0" xfId="9" applyFont="1" applyFill="1" applyAlignment="1">
      <alignment horizontal="left" indent="1"/>
    </xf>
    <xf numFmtId="0" fontId="111" fillId="13" borderId="0" xfId="9" applyFont="1" applyFill="1" applyAlignment="1">
      <alignment horizontal="left" indent="1"/>
    </xf>
    <xf numFmtId="0" fontId="114" fillId="13" borderId="0" xfId="9" applyFont="1" applyFill="1" applyAlignment="1">
      <alignment horizontal="left" indent="2"/>
    </xf>
    <xf numFmtId="0" fontId="114" fillId="13" borderId="0" xfId="9" applyFont="1" applyFill="1" applyAlignment="1">
      <alignment horizontal="left" indent="3"/>
    </xf>
    <xf numFmtId="0" fontId="123" fillId="13" borderId="0" xfId="0" applyFont="1" applyFill="1" applyAlignment="1">
      <alignment horizontal="left"/>
    </xf>
    <xf numFmtId="0" fontId="114" fillId="13" borderId="0" xfId="9" applyFont="1" applyFill="1" applyAlignment="1">
      <alignment horizontal="left" indent="4"/>
    </xf>
    <xf numFmtId="167" fontId="114" fillId="14" borderId="0" xfId="9" applyNumberFormat="1" applyFont="1" applyFill="1" applyAlignment="1"/>
    <xf numFmtId="167" fontId="114" fillId="14" borderId="20" xfId="9" applyNumberFormat="1" applyFont="1" applyFill="1" applyBorder="1" applyAlignment="1"/>
    <xf numFmtId="167" fontId="114" fillId="19" borderId="0" xfId="9" applyNumberFormat="1" applyFont="1" applyFill="1" applyAlignment="1"/>
    <xf numFmtId="167" fontId="114" fillId="0" borderId="0" xfId="9" applyNumberFormat="1" applyFont="1" applyAlignment="1"/>
    <xf numFmtId="0" fontId="82" fillId="0" borderId="48" xfId="0" applyFont="1" applyBorder="1"/>
    <xf numFmtId="167" fontId="82" fillId="19" borderId="48" xfId="0" applyNumberFormat="1" applyFont="1" applyFill="1" applyBorder="1"/>
    <xf numFmtId="167" fontId="82" fillId="0" borderId="48" xfId="0" applyNumberFormat="1" applyFont="1" applyBorder="1"/>
    <xf numFmtId="167" fontId="82" fillId="0" borderId="49" xfId="0" applyNumberFormat="1" applyFont="1" applyBorder="1"/>
    <xf numFmtId="167" fontId="76" fillId="0" borderId="0" xfId="0" applyNumberFormat="1" applyFont="1"/>
    <xf numFmtId="0" fontId="113" fillId="0" borderId="0" xfId="0" applyFont="1"/>
    <xf numFmtId="167" fontId="82" fillId="0" borderId="29" xfId="0" applyNumberFormat="1" applyFont="1" applyBorder="1"/>
    <xf numFmtId="0" fontId="61" fillId="0" borderId="31" xfId="0" applyFont="1" applyBorder="1"/>
    <xf numFmtId="0" fontId="124" fillId="0" borderId="31" xfId="0" applyFont="1" applyBorder="1"/>
    <xf numFmtId="0" fontId="72" fillId="13" borderId="0" xfId="0" applyFont="1" applyFill="1" applyAlignment="1">
      <alignment horizontal="right"/>
    </xf>
    <xf numFmtId="172" fontId="112" fillId="13" borderId="0" xfId="0" applyNumberFormat="1" applyFont="1" applyFill="1"/>
    <xf numFmtId="0" fontId="93" fillId="0" borderId="0" xfId="0" applyFont="1" applyAlignment="1">
      <alignment horizontal="right"/>
    </xf>
    <xf numFmtId="0" fontId="112" fillId="0" borderId="27" xfId="0" applyFont="1" applyBorder="1"/>
    <xf numFmtId="0" fontId="125" fillId="0" borderId="0" xfId="0" applyFont="1"/>
    <xf numFmtId="0" fontId="126" fillId="13" borderId="0" xfId="9" applyFont="1" applyFill="1" applyAlignment="1"/>
    <xf numFmtId="0" fontId="127" fillId="13" borderId="0" xfId="9" applyFont="1" applyFill="1" applyAlignment="1">
      <alignment horizontal="left" indent="1"/>
    </xf>
    <xf numFmtId="0" fontId="126" fillId="13" borderId="0" xfId="9" applyFont="1" applyFill="1" applyAlignment="1">
      <alignment horizontal="left" indent="1"/>
    </xf>
    <xf numFmtId="0" fontId="127" fillId="13" borderId="0" xfId="9" applyFont="1" applyFill="1" applyAlignment="1">
      <alignment horizontal="left" indent="2"/>
    </xf>
    <xf numFmtId="0" fontId="127" fillId="13" borderId="0" xfId="9" applyFont="1" applyFill="1" applyAlignment="1">
      <alignment horizontal="left" indent="3"/>
    </xf>
    <xf numFmtId="0" fontId="125" fillId="13" borderId="0" xfId="0" applyFont="1" applyFill="1" applyAlignment="1">
      <alignment horizontal="left" indent="1"/>
    </xf>
    <xf numFmtId="0" fontId="128" fillId="13" borderId="0" xfId="0" applyFont="1" applyFill="1" applyAlignment="1">
      <alignment horizontal="left"/>
    </xf>
    <xf numFmtId="0" fontId="127" fillId="13" borderId="0" xfId="9" applyFont="1" applyFill="1" applyAlignment="1">
      <alignment horizontal="left" indent="4"/>
    </xf>
    <xf numFmtId="0" fontId="125" fillId="13" borderId="0" xfId="0" applyFont="1" applyFill="1"/>
    <xf numFmtId="49" fontId="85" fillId="0" borderId="28" xfId="0" applyNumberFormat="1" applyFont="1" applyBorder="1" applyAlignment="1">
      <alignment horizontal="right"/>
    </xf>
    <xf numFmtId="172" fontId="112" fillId="0" borderId="28" xfId="0" applyNumberFormat="1" applyFont="1" applyBorder="1"/>
    <xf numFmtId="0" fontId="113" fillId="0" borderId="0" xfId="0" applyFont="1" applyAlignment="1">
      <alignment horizontal="center"/>
    </xf>
    <xf numFmtId="0" fontId="12" fillId="6" borderId="0" xfId="0" applyFont="1" applyFill="1"/>
    <xf numFmtId="0" fontId="14" fillId="6" borderId="0" xfId="0" applyFont="1" applyFill="1"/>
    <xf numFmtId="167" fontId="85" fillId="13" borderId="0" xfId="0" applyNumberFormat="1" applyFont="1" applyFill="1" applyAlignment="1">
      <alignment horizontal="right"/>
    </xf>
    <xf numFmtId="172" fontId="112" fillId="13" borderId="0" xfId="0" applyNumberFormat="1" applyFont="1" applyFill="1" applyAlignment="1">
      <alignment horizontal="right"/>
    </xf>
    <xf numFmtId="0" fontId="113" fillId="0" borderId="31" xfId="0" applyFont="1" applyBorder="1" applyAlignment="1">
      <alignment horizontal="center"/>
    </xf>
    <xf numFmtId="0" fontId="112" fillId="0" borderId="0" xfId="0" applyFont="1" applyAlignment="1">
      <alignment horizontal="center"/>
    </xf>
    <xf numFmtId="167" fontId="113" fillId="0" borderId="29" xfId="0" applyNumberFormat="1" applyFont="1" applyBorder="1" applyAlignment="1">
      <alignment horizontal="center"/>
    </xf>
    <xf numFmtId="167" fontId="82" fillId="19" borderId="50" xfId="0" applyNumberFormat="1" applyFont="1" applyFill="1" applyBorder="1"/>
    <xf numFmtId="167" fontId="74" fillId="13" borderId="0" xfId="0" applyNumberFormat="1" applyFont="1" applyFill="1" applyAlignment="1">
      <alignment horizontal="right"/>
    </xf>
    <xf numFmtId="1" fontId="74" fillId="13" borderId="0" xfId="0" applyNumberFormat="1" applyFont="1" applyFill="1" applyAlignment="1">
      <alignment horizontal="right"/>
    </xf>
    <xf numFmtId="0" fontId="62" fillId="21" borderId="69" xfId="0" applyFont="1" applyFill="1" applyBorder="1"/>
    <xf numFmtId="0" fontId="66" fillId="21" borderId="70" xfId="0" applyFont="1" applyFill="1" applyBorder="1"/>
    <xf numFmtId="49" fontId="72" fillId="21" borderId="70" xfId="0" applyNumberFormat="1" applyFont="1" applyFill="1" applyBorder="1" applyAlignment="1">
      <alignment horizontal="right"/>
    </xf>
    <xf numFmtId="0" fontId="66" fillId="21" borderId="71" xfId="0" applyFont="1" applyFill="1" applyBorder="1"/>
    <xf numFmtId="0" fontId="62" fillId="21" borderId="72" xfId="0" applyFont="1" applyFill="1" applyBorder="1"/>
    <xf numFmtId="0" fontId="66" fillId="21" borderId="0" xfId="0" applyFont="1" applyFill="1"/>
    <xf numFmtId="49" fontId="72" fillId="21" borderId="0" xfId="0" applyNumberFormat="1" applyFont="1" applyFill="1" applyAlignment="1">
      <alignment horizontal="right"/>
    </xf>
    <xf numFmtId="0" fontId="66" fillId="21" borderId="73" xfId="0" applyFont="1" applyFill="1" applyBorder="1"/>
    <xf numFmtId="166" fontId="73" fillId="21" borderId="0" xfId="0" applyNumberFormat="1" applyFont="1" applyFill="1" applyAlignment="1">
      <alignment horizontal="right"/>
    </xf>
    <xf numFmtId="166" fontId="73" fillId="21" borderId="73" xfId="0" applyNumberFormat="1" applyFont="1" applyFill="1" applyBorder="1" applyAlignment="1">
      <alignment horizontal="right"/>
    </xf>
    <xf numFmtId="0" fontId="69" fillId="21" borderId="72" xfId="0" applyFont="1" applyFill="1" applyBorder="1"/>
    <xf numFmtId="166" fontId="72" fillId="21" borderId="0" xfId="0" applyNumberFormat="1" applyFont="1" applyFill="1" applyAlignment="1">
      <alignment horizontal="right"/>
    </xf>
    <xf numFmtId="0" fontId="81" fillId="21" borderId="72" xfId="0" applyFont="1" applyFill="1" applyBorder="1" applyAlignment="1">
      <alignment horizontal="left" indent="1"/>
    </xf>
    <xf numFmtId="0" fontId="69" fillId="21" borderId="72" xfId="0" applyFont="1" applyFill="1" applyBorder="1" applyAlignment="1">
      <alignment horizontal="left" indent="3"/>
    </xf>
    <xf numFmtId="0" fontId="130" fillId="21" borderId="72" xfId="0" applyFont="1" applyFill="1" applyBorder="1" applyAlignment="1">
      <alignment horizontal="left" indent="5"/>
    </xf>
    <xf numFmtId="0" fontId="69" fillId="21" borderId="72" xfId="0" applyFont="1" applyFill="1" applyBorder="1" applyAlignment="1">
      <alignment horizontal="left" indent="4"/>
    </xf>
    <xf numFmtId="166" fontId="91" fillId="21" borderId="0" xfId="0" applyNumberFormat="1" applyFont="1" applyFill="1" applyAlignment="1">
      <alignment horizontal="right"/>
    </xf>
    <xf numFmtId="0" fontId="130" fillId="21" borderId="72" xfId="0" applyFont="1" applyFill="1" applyBorder="1" applyAlignment="1">
      <alignment horizontal="left" indent="4"/>
    </xf>
    <xf numFmtId="0" fontId="69" fillId="21" borderId="72" xfId="0" applyFont="1" applyFill="1" applyBorder="1" applyAlignment="1">
      <alignment horizontal="left" indent="2"/>
    </xf>
    <xf numFmtId="0" fontId="81" fillId="21" borderId="72" xfId="0" applyFont="1" applyFill="1" applyBorder="1"/>
    <xf numFmtId="0" fontId="69" fillId="21" borderId="72" xfId="11" applyFont="1" applyFill="1" applyBorder="1" applyAlignment="1"/>
    <xf numFmtId="0" fontId="81" fillId="21" borderId="72" xfId="0" applyFont="1" applyFill="1" applyBorder="1" applyAlignment="1">
      <alignment horizontal="left"/>
    </xf>
    <xf numFmtId="0" fontId="61" fillId="21" borderId="0" xfId="0" applyFont="1" applyFill="1"/>
    <xf numFmtId="0" fontId="130" fillId="21" borderId="72" xfId="0" applyFont="1" applyFill="1" applyBorder="1" applyAlignment="1">
      <alignment horizontal="left" indent="3"/>
    </xf>
    <xf numFmtId="0" fontId="69" fillId="21" borderId="72" xfId="0" applyFont="1" applyFill="1" applyBorder="1" applyAlignment="1">
      <alignment horizontal="left" indent="1"/>
    </xf>
    <xf numFmtId="0" fontId="90" fillId="21" borderId="72" xfId="0" applyFont="1" applyFill="1" applyBorder="1" applyAlignment="1">
      <alignment horizontal="right"/>
    </xf>
    <xf numFmtId="0" fontId="81" fillId="21" borderId="74" xfId="0" applyFont="1" applyFill="1" applyBorder="1"/>
    <xf numFmtId="0" fontId="66" fillId="21" borderId="75" xfId="0" applyFont="1" applyFill="1" applyBorder="1"/>
    <xf numFmtId="166" fontId="73" fillId="21" borderId="76" xfId="0" applyNumberFormat="1" applyFont="1" applyFill="1" applyBorder="1" applyAlignment="1">
      <alignment horizontal="right"/>
    </xf>
    <xf numFmtId="167" fontId="82" fillId="22" borderId="0" xfId="0" applyNumberFormat="1" applyFont="1" applyFill="1"/>
    <xf numFmtId="0" fontId="111" fillId="23" borderId="0" xfId="9" applyFont="1" applyFill="1" applyAlignment="1"/>
    <xf numFmtId="167" fontId="114" fillId="23" borderId="0" xfId="9" applyNumberFormat="1" applyFont="1" applyFill="1" applyAlignment="1"/>
    <xf numFmtId="167" fontId="114" fillId="23" borderId="20" xfId="9" applyNumberFormat="1" applyFont="1" applyFill="1" applyBorder="1" applyAlignment="1"/>
    <xf numFmtId="167" fontId="111" fillId="23" borderId="0" xfId="9" applyNumberFormat="1" applyFont="1" applyFill="1" applyAlignment="1"/>
    <xf numFmtId="167" fontId="114" fillId="23" borderId="45" xfId="9" applyNumberFormat="1" applyFont="1" applyFill="1" applyBorder="1" applyAlignment="1"/>
    <xf numFmtId="0" fontId="114" fillId="23" borderId="0" xfId="9" applyFont="1" applyFill="1" applyAlignment="1"/>
    <xf numFmtId="0" fontId="114" fillId="23" borderId="0" xfId="9" applyFont="1" applyFill="1" applyAlignment="1">
      <alignment horizontal="left" indent="2"/>
    </xf>
    <xf numFmtId="0" fontId="82" fillId="24" borderId="0" xfId="0" applyFont="1" applyFill="1" applyAlignment="1">
      <alignment horizontal="left" indent="1"/>
    </xf>
    <xf numFmtId="167" fontId="82" fillId="24" borderId="0" xfId="0" applyNumberFormat="1" applyFont="1" applyFill="1"/>
    <xf numFmtId="167" fontId="82" fillId="24" borderId="20" xfId="0" applyNumberFormat="1" applyFont="1" applyFill="1" applyBorder="1"/>
    <xf numFmtId="167" fontId="82" fillId="24" borderId="45" xfId="0" applyNumberFormat="1" applyFont="1" applyFill="1" applyBorder="1"/>
    <xf numFmtId="0" fontId="111" fillId="24" borderId="0" xfId="9" applyFont="1" applyFill="1" applyAlignment="1"/>
    <xf numFmtId="167" fontId="114" fillId="24" borderId="0" xfId="9" applyNumberFormat="1" applyFont="1" applyFill="1" applyAlignment="1"/>
    <xf numFmtId="167" fontId="114" fillId="24" borderId="20" xfId="9" applyNumberFormat="1" applyFont="1" applyFill="1" applyBorder="1" applyAlignment="1"/>
    <xf numFmtId="167" fontId="111" fillId="24" borderId="0" xfId="9" applyNumberFormat="1" applyFont="1" applyFill="1" applyAlignment="1"/>
    <xf numFmtId="167" fontId="114" fillId="24" borderId="45" xfId="9" applyNumberFormat="1" applyFont="1" applyFill="1" applyBorder="1" applyAlignment="1"/>
    <xf numFmtId="0" fontId="114" fillId="24" borderId="0" xfId="9" applyFont="1" applyFill="1" applyAlignment="1"/>
    <xf numFmtId="0" fontId="114" fillId="24" borderId="0" xfId="9" applyFont="1" applyFill="1" applyAlignment="1">
      <alignment horizontal="left" indent="1"/>
    </xf>
    <xf numFmtId="0" fontId="82" fillId="24" borderId="48" xfId="0" applyFont="1" applyFill="1" applyBorder="1"/>
    <xf numFmtId="167" fontId="82" fillId="24" borderId="48" xfId="0" applyNumberFormat="1" applyFont="1" applyFill="1" applyBorder="1"/>
    <xf numFmtId="167" fontId="82" fillId="24" borderId="51" xfId="0" applyNumberFormat="1" applyFont="1" applyFill="1" applyBorder="1"/>
    <xf numFmtId="167" fontId="82" fillId="24" borderId="49" xfId="0" applyNumberFormat="1" applyFont="1" applyFill="1" applyBorder="1"/>
    <xf numFmtId="0" fontId="111" fillId="25" borderId="0" xfId="9" applyFont="1" applyFill="1" applyAlignment="1"/>
    <xf numFmtId="167" fontId="111" fillId="25" borderId="0" xfId="9" applyNumberFormat="1" applyFont="1" applyFill="1" applyAlignment="1"/>
    <xf numFmtId="167" fontId="131" fillId="0" borderId="0" xfId="0" applyNumberFormat="1" applyFont="1" applyAlignment="1">
      <alignment horizontal="right"/>
    </xf>
    <xf numFmtId="172" fontId="112" fillId="0" borderId="0" xfId="0" applyNumberFormat="1" applyFont="1" applyAlignment="1">
      <alignment horizontal="right"/>
    </xf>
    <xf numFmtId="166" fontId="114" fillId="23" borderId="0" xfId="9" applyNumberFormat="1" applyFont="1" applyFill="1" applyAlignment="1"/>
    <xf numFmtId="166" fontId="114" fillId="23" borderId="48" xfId="9" applyNumberFormat="1" applyFont="1" applyFill="1" applyBorder="1" applyAlignment="1"/>
    <xf numFmtId="167" fontId="113" fillId="0" borderId="48" xfId="0" applyNumberFormat="1" applyFont="1" applyBorder="1" applyAlignment="1">
      <alignment horizontal="center"/>
    </xf>
    <xf numFmtId="167" fontId="113" fillId="0" borderId="0" xfId="0" applyNumberFormat="1" applyFont="1" applyAlignment="1">
      <alignment horizontal="right"/>
    </xf>
    <xf numFmtId="1" fontId="113" fillId="0" borderId="0" xfId="0" applyNumberFormat="1" applyFont="1"/>
    <xf numFmtId="0" fontId="113" fillId="0" borderId="0" xfId="0" applyFont="1" applyAlignment="1">
      <alignment horizontal="right"/>
    </xf>
    <xf numFmtId="167" fontId="113" fillId="0" borderId="28" xfId="0" applyNumberFormat="1" applyFont="1" applyBorder="1" applyAlignment="1">
      <alignment horizontal="right"/>
    </xf>
    <xf numFmtId="1" fontId="112" fillId="0" borderId="0" xfId="0" applyNumberFormat="1" applyFont="1"/>
    <xf numFmtId="0" fontId="112" fillId="0" borderId="0" xfId="0" applyFont="1" applyAlignment="1">
      <alignment horizontal="right"/>
    </xf>
    <xf numFmtId="0" fontId="112" fillId="0" borderId="31" xfId="0" applyFont="1" applyBorder="1" applyAlignment="1">
      <alignment horizontal="right"/>
    </xf>
    <xf numFmtId="49" fontId="113" fillId="0" borderId="0" xfId="0" applyNumberFormat="1" applyFont="1" applyAlignment="1">
      <alignment horizontal="right"/>
    </xf>
    <xf numFmtId="0" fontId="112" fillId="0" borderId="28" xfId="0" applyFont="1" applyBorder="1" applyAlignment="1">
      <alignment horizontal="right"/>
    </xf>
    <xf numFmtId="0" fontId="81" fillId="26" borderId="0" xfId="0" applyFont="1" applyFill="1" applyAlignment="1">
      <alignment horizontal="left" indent="1"/>
    </xf>
    <xf numFmtId="0" fontId="69" fillId="26" borderId="0" xfId="0" applyFont="1" applyFill="1" applyAlignment="1">
      <alignment horizontal="left" indent="1"/>
    </xf>
    <xf numFmtId="0" fontId="130" fillId="26" borderId="0" xfId="0" applyFont="1" applyFill="1" applyAlignment="1">
      <alignment horizontal="left" indent="1"/>
    </xf>
    <xf numFmtId="0" fontId="82" fillId="27" borderId="0" xfId="0" applyFont="1" applyFill="1"/>
    <xf numFmtId="167" fontId="82" fillId="27" borderId="0" xfId="0" applyNumberFormat="1" applyFont="1" applyFill="1"/>
    <xf numFmtId="172" fontId="111" fillId="23" borderId="0" xfId="9" applyNumberFormat="1" applyFont="1" applyFill="1" applyAlignment="1"/>
    <xf numFmtId="172" fontId="62" fillId="21" borderId="69" xfId="0" applyNumberFormat="1" applyFont="1" applyFill="1" applyBorder="1"/>
    <xf numFmtId="172" fontId="132" fillId="21" borderId="69" xfId="0" applyNumberFormat="1" applyFont="1" applyFill="1" applyBorder="1"/>
    <xf numFmtId="167" fontId="114" fillId="0" borderId="0" xfId="0" applyNumberFormat="1" applyFont="1"/>
    <xf numFmtId="167" fontId="114" fillId="0" borderId="0" xfId="0" quotePrefix="1" applyNumberFormat="1" applyFont="1" applyAlignment="1">
      <alignment horizontal="right"/>
    </xf>
    <xf numFmtId="166" fontId="72" fillId="21" borderId="75" xfId="0" applyNumberFormat="1" applyFont="1" applyFill="1" applyBorder="1" applyAlignment="1">
      <alignment horizontal="right"/>
    </xf>
    <xf numFmtId="49" fontId="72" fillId="21" borderId="77" xfId="0" applyNumberFormat="1" applyFont="1" applyFill="1" applyBorder="1" applyAlignment="1">
      <alignment horizontal="right"/>
    </xf>
    <xf numFmtId="49" fontId="72" fillId="21" borderId="78" xfId="0" applyNumberFormat="1" applyFont="1" applyFill="1" applyBorder="1" applyAlignment="1">
      <alignment horizontal="right"/>
    </xf>
    <xf numFmtId="166" fontId="72" fillId="21" borderId="78" xfId="0" applyNumberFormat="1" applyFont="1" applyFill="1" applyBorder="1" applyAlignment="1">
      <alignment horizontal="right"/>
    </xf>
    <xf numFmtId="166" fontId="73" fillId="21" borderId="78" xfId="0" applyNumberFormat="1" applyFont="1" applyFill="1" applyBorder="1" applyAlignment="1">
      <alignment horizontal="right"/>
    </xf>
    <xf numFmtId="0" fontId="61" fillId="21" borderId="78" xfId="0" applyFont="1" applyFill="1" applyBorder="1"/>
    <xf numFmtId="166" fontId="91" fillId="21" borderId="78" xfId="0" applyNumberFormat="1" applyFont="1" applyFill="1" applyBorder="1" applyAlignment="1">
      <alignment horizontal="right"/>
    </xf>
    <xf numFmtId="166" fontId="72" fillId="21" borderId="79" xfId="0" applyNumberFormat="1" applyFont="1" applyFill="1" applyBorder="1" applyAlignment="1">
      <alignment horizontal="right"/>
    </xf>
    <xf numFmtId="0" fontId="78" fillId="0" borderId="0" xfId="0" applyFont="1" applyAlignment="1">
      <alignment horizontal="left"/>
    </xf>
    <xf numFmtId="167" fontId="66" fillId="27" borderId="0" xfId="0" applyNumberFormat="1" applyFont="1" applyFill="1"/>
    <xf numFmtId="167" fontId="62" fillId="27" borderId="0" xfId="0" applyNumberFormat="1" applyFont="1" applyFill="1"/>
    <xf numFmtId="1" fontId="72" fillId="27" borderId="0" xfId="0" applyNumberFormat="1" applyFont="1" applyFill="1"/>
    <xf numFmtId="166" fontId="82" fillId="0" borderId="0" xfId="0" applyNumberFormat="1" applyFont="1"/>
    <xf numFmtId="166" fontId="82" fillId="28" borderId="0" xfId="0" applyNumberFormat="1" applyFont="1" applyFill="1"/>
    <xf numFmtId="166" fontId="82" fillId="29" borderId="0" xfId="0" applyNumberFormat="1" applyFont="1" applyFill="1"/>
    <xf numFmtId="166" fontId="114" fillId="29" borderId="0" xfId="0" applyNumberFormat="1" applyFont="1" applyFill="1"/>
    <xf numFmtId="0" fontId="62" fillId="27" borderId="0" xfId="0" applyFont="1" applyFill="1"/>
    <xf numFmtId="172" fontId="132" fillId="27" borderId="0" xfId="0" applyNumberFormat="1" applyFont="1" applyFill="1"/>
    <xf numFmtId="0" fontId="113" fillId="27" borderId="0" xfId="0" applyFont="1" applyFill="1"/>
    <xf numFmtId="0" fontId="119" fillId="27" borderId="0" xfId="0" applyFont="1" applyFill="1"/>
    <xf numFmtId="0" fontId="133" fillId="27" borderId="0" xfId="0" applyFont="1" applyFill="1"/>
    <xf numFmtId="167" fontId="133" fillId="27" borderId="0" xfId="0" applyNumberFormat="1" applyFont="1" applyFill="1"/>
    <xf numFmtId="167" fontId="113" fillId="27" borderId="0" xfId="0" applyNumberFormat="1" applyFont="1" applyFill="1"/>
    <xf numFmtId="167" fontId="0" fillId="27" borderId="0" xfId="0" applyNumberFormat="1" applyFill="1"/>
    <xf numFmtId="167" fontId="100" fillId="27" borderId="0" xfId="0" applyNumberFormat="1" applyFont="1" applyFill="1"/>
    <xf numFmtId="0" fontId="134" fillId="0" borderId="37" xfId="0" applyFont="1" applyBorder="1"/>
    <xf numFmtId="0" fontId="134" fillId="0" borderId="26" xfId="0" applyFont="1" applyBorder="1"/>
    <xf numFmtId="166" fontId="66" fillId="27" borderId="0" xfId="0" applyNumberFormat="1" applyFont="1" applyFill="1"/>
    <xf numFmtId="166" fontId="86" fillId="27" borderId="0" xfId="0" applyNumberFormat="1" applyFont="1" applyFill="1"/>
    <xf numFmtId="167" fontId="79" fillId="27" borderId="0" xfId="0" applyNumberFormat="1" applyFont="1" applyFill="1"/>
    <xf numFmtId="166" fontId="74" fillId="27" borderId="0" xfId="0" applyNumberFormat="1" applyFont="1" applyFill="1"/>
    <xf numFmtId="166" fontId="129" fillId="27" borderId="0" xfId="0" applyNumberFormat="1" applyFont="1" applyFill="1"/>
    <xf numFmtId="0" fontId="75" fillId="0" borderId="0" xfId="0" applyFont="1"/>
    <xf numFmtId="0" fontId="118" fillId="27" borderId="0" xfId="0" applyFont="1" applyFill="1"/>
    <xf numFmtId="167" fontId="113" fillId="13" borderId="0" xfId="0" applyNumberFormat="1" applyFont="1" applyFill="1" applyAlignment="1">
      <alignment horizontal="right"/>
    </xf>
    <xf numFmtId="167" fontId="110" fillId="13" borderId="0" xfId="0" applyNumberFormat="1" applyFont="1" applyFill="1" applyAlignment="1">
      <alignment horizontal="right"/>
    </xf>
    <xf numFmtId="49" fontId="112" fillId="27" borderId="28" xfId="0" applyNumberFormat="1" applyFont="1" applyFill="1" applyBorder="1" applyAlignment="1">
      <alignment horizontal="center"/>
    </xf>
    <xf numFmtId="167" fontId="113" fillId="27" borderId="0" xfId="0" applyNumberFormat="1" applyFont="1" applyFill="1" applyAlignment="1">
      <alignment horizontal="center"/>
    </xf>
    <xf numFmtId="167" fontId="75" fillId="27" borderId="0" xfId="0" applyNumberFormat="1" applyFont="1" applyFill="1"/>
    <xf numFmtId="167" fontId="61" fillId="27" borderId="0" xfId="0" applyNumberFormat="1" applyFont="1" applyFill="1"/>
    <xf numFmtId="167" fontId="135" fillId="27" borderId="0" xfId="0" applyNumberFormat="1" applyFont="1" applyFill="1"/>
    <xf numFmtId="0" fontId="19" fillId="5" borderId="0" xfId="0" applyFont="1" applyFill="1"/>
    <xf numFmtId="0" fontId="19" fillId="5" borderId="21" xfId="0" applyFont="1" applyFill="1" applyBorder="1"/>
    <xf numFmtId="0" fontId="126" fillId="30" borderId="0" xfId="9" applyFont="1" applyFill="1" applyAlignment="1"/>
    <xf numFmtId="167" fontId="114" fillId="30" borderId="0" xfId="9" applyNumberFormat="1" applyFont="1" applyFill="1" applyAlignment="1"/>
    <xf numFmtId="1" fontId="81" fillId="30" borderId="0" xfId="9" applyNumberFormat="1" applyFont="1" applyFill="1" applyAlignment="1"/>
    <xf numFmtId="0" fontId="127" fillId="30" borderId="0" xfId="9" applyFont="1" applyFill="1" applyAlignment="1"/>
    <xf numFmtId="166" fontId="69" fillId="30" borderId="0" xfId="9" applyNumberFormat="1" applyFont="1" applyFill="1" applyAlignment="1"/>
    <xf numFmtId="0" fontId="127" fillId="30" borderId="0" xfId="9" applyFont="1" applyFill="1" applyAlignment="1">
      <alignment horizontal="left" indent="2"/>
    </xf>
    <xf numFmtId="166" fontId="81" fillId="30" borderId="0" xfId="9" applyNumberFormat="1" applyFont="1" applyFill="1" applyAlignment="1"/>
    <xf numFmtId="0" fontId="125" fillId="30" borderId="0" xfId="0" applyFont="1" applyFill="1" applyAlignment="1">
      <alignment horizontal="left" indent="1"/>
    </xf>
    <xf numFmtId="167" fontId="82" fillId="30" borderId="0" xfId="0" applyNumberFormat="1" applyFont="1" applyFill="1"/>
    <xf numFmtId="0" fontId="127" fillId="30" borderId="0" xfId="9" applyFont="1" applyFill="1" applyAlignment="1">
      <alignment horizontal="left" indent="1"/>
    </xf>
    <xf numFmtId="0" fontId="125" fillId="30" borderId="48" xfId="0" applyFont="1" applyFill="1" applyBorder="1"/>
    <xf numFmtId="167" fontId="82" fillId="30" borderId="48" xfId="0" applyNumberFormat="1" applyFont="1" applyFill="1" applyBorder="1"/>
    <xf numFmtId="166" fontId="69" fillId="30" borderId="48" xfId="9" applyNumberFormat="1" applyFont="1" applyFill="1" applyBorder="1" applyAlignment="1"/>
    <xf numFmtId="0" fontId="82" fillId="31" borderId="0" xfId="0" applyFont="1" applyFill="1" applyAlignment="1">
      <alignment horizontal="left" indent="2"/>
    </xf>
    <xf numFmtId="172" fontId="112" fillId="31" borderId="0" xfId="0" applyNumberFormat="1" applyFont="1" applyFill="1" applyAlignment="1">
      <alignment horizontal="right"/>
    </xf>
    <xf numFmtId="167" fontId="82" fillId="31" borderId="0" xfId="0" applyNumberFormat="1" applyFont="1" applyFill="1"/>
    <xf numFmtId="0" fontId="113" fillId="31" borderId="0" xfId="0" applyFont="1" applyFill="1"/>
    <xf numFmtId="167" fontId="82" fillId="31" borderId="20" xfId="0" applyNumberFormat="1" applyFont="1" applyFill="1" applyBorder="1"/>
    <xf numFmtId="167" fontId="82" fillId="31" borderId="45" xfId="0" applyNumberFormat="1" applyFont="1" applyFill="1" applyBorder="1"/>
    <xf numFmtId="0" fontId="113" fillId="31" borderId="0" xfId="0" applyFont="1" applyFill="1" applyAlignment="1">
      <alignment horizontal="left" indent="1"/>
    </xf>
    <xf numFmtId="0" fontId="82" fillId="31" borderId="0" xfId="0" applyFont="1" applyFill="1" applyAlignment="1">
      <alignment horizontal="left" indent="1"/>
    </xf>
    <xf numFmtId="0" fontId="82" fillId="31" borderId="0" xfId="0" applyFont="1" applyFill="1"/>
    <xf numFmtId="167" fontId="82" fillId="32" borderId="0" xfId="0" applyNumberFormat="1" applyFont="1" applyFill="1"/>
    <xf numFmtId="167" fontId="82" fillId="33" borderId="0" xfId="0" applyNumberFormat="1" applyFont="1" applyFill="1"/>
    <xf numFmtId="167" fontId="136" fillId="27" borderId="0" xfId="0" applyNumberFormat="1" applyFont="1" applyFill="1"/>
    <xf numFmtId="167" fontId="137" fillId="27" borderId="0" xfId="0" applyNumberFormat="1" applyFont="1" applyFill="1"/>
    <xf numFmtId="167" fontId="110" fillId="27" borderId="0" xfId="0" applyNumberFormat="1" applyFont="1" applyFill="1"/>
    <xf numFmtId="0" fontId="110" fillId="27" borderId="0" xfId="0" applyFont="1" applyFill="1"/>
    <xf numFmtId="167" fontId="138" fillId="27" borderId="0" xfId="0" applyNumberFormat="1" applyFont="1" applyFill="1"/>
    <xf numFmtId="1" fontId="125" fillId="27" borderId="0" xfId="0" applyNumberFormat="1" applyFont="1" applyFill="1"/>
    <xf numFmtId="0" fontId="125" fillId="27" borderId="0" xfId="0" applyFont="1" applyFill="1" applyAlignment="1">
      <alignment horizontal="right"/>
    </xf>
    <xf numFmtId="168" fontId="61" fillId="27" borderId="0" xfId="0" applyNumberFormat="1" applyFont="1" applyFill="1"/>
    <xf numFmtId="0" fontId="66" fillId="0" borderId="0" xfId="0" applyFont="1" applyAlignment="1">
      <alignment horizontal="right"/>
    </xf>
    <xf numFmtId="0" fontId="76" fillId="0" borderId="0" xfId="0" applyFont="1" applyAlignment="1">
      <alignment horizontal="right"/>
    </xf>
    <xf numFmtId="166" fontId="66" fillId="15" borderId="80" xfId="0" applyNumberFormat="1" applyFont="1" applyFill="1" applyBorder="1"/>
    <xf numFmtId="166" fontId="66" fillId="15" borderId="81" xfId="0" applyNumberFormat="1" applyFont="1" applyFill="1" applyBorder="1"/>
    <xf numFmtId="166" fontId="66" fillId="15" borderId="82" xfId="0" applyNumberFormat="1" applyFont="1" applyFill="1" applyBorder="1"/>
    <xf numFmtId="166" fontId="66" fillId="15" borderId="83" xfId="0" applyNumberFormat="1" applyFont="1" applyFill="1" applyBorder="1"/>
    <xf numFmtId="166" fontId="66" fillId="15" borderId="84" xfId="0" applyNumberFormat="1" applyFont="1" applyFill="1" applyBorder="1"/>
    <xf numFmtId="166" fontId="66" fillId="15" borderId="85" xfId="0" applyNumberFormat="1" applyFont="1" applyFill="1" applyBorder="1"/>
    <xf numFmtId="166" fontId="66" fillId="15" borderId="86" xfId="0" applyNumberFormat="1" applyFont="1" applyFill="1" applyBorder="1"/>
    <xf numFmtId="166" fontId="106" fillId="34" borderId="7" xfId="0" applyNumberFormat="1" applyFont="1" applyFill="1" applyBorder="1"/>
    <xf numFmtId="166" fontId="69" fillId="34" borderId="7" xfId="0" applyNumberFormat="1" applyFont="1" applyFill="1" applyBorder="1" applyAlignment="1">
      <alignment horizontal="right"/>
    </xf>
    <xf numFmtId="166" fontId="105" fillId="34" borderId="7" xfId="0" applyNumberFormat="1" applyFont="1" applyFill="1" applyBorder="1" applyAlignment="1">
      <alignment horizontal="right"/>
    </xf>
    <xf numFmtId="166" fontId="139" fillId="34" borderId="7" xfId="0" applyNumberFormat="1" applyFont="1" applyFill="1" applyBorder="1" applyAlignment="1">
      <alignment horizontal="left"/>
    </xf>
    <xf numFmtId="166" fontId="101" fillId="15" borderId="26" xfId="0" applyNumberFormat="1" applyFont="1" applyFill="1" applyBorder="1"/>
    <xf numFmtId="0" fontId="140" fillId="12" borderId="7" xfId="0" applyFont="1" applyFill="1" applyBorder="1"/>
    <xf numFmtId="0" fontId="140" fillId="12" borderId="33" xfId="0" applyFont="1" applyFill="1" applyBorder="1"/>
    <xf numFmtId="0" fontId="67" fillId="12" borderId="52" xfId="0" applyFont="1" applyFill="1" applyBorder="1"/>
    <xf numFmtId="167" fontId="69" fillId="12" borderId="7" xfId="0" applyNumberFormat="1" applyFont="1" applyFill="1" applyBorder="1"/>
    <xf numFmtId="1" fontId="141" fillId="13" borderId="0" xfId="0" applyNumberFormat="1" applyFont="1" applyFill="1" applyAlignment="1">
      <alignment horizontal="right"/>
    </xf>
    <xf numFmtId="167" fontId="66" fillId="18" borderId="0" xfId="0" applyNumberFormat="1" applyFont="1" applyFill="1" applyAlignment="1">
      <alignment horizontal="right"/>
    </xf>
    <xf numFmtId="167" fontId="66" fillId="18" borderId="20" xfId="0" applyNumberFormat="1" applyFont="1" applyFill="1" applyBorder="1" applyAlignment="1">
      <alignment horizontal="right"/>
    </xf>
    <xf numFmtId="167" fontId="97" fillId="13" borderId="20" xfId="0" applyNumberFormat="1" applyFont="1" applyFill="1" applyBorder="1" applyAlignment="1">
      <alignment horizontal="right"/>
    </xf>
    <xf numFmtId="0" fontId="66" fillId="18" borderId="0" xfId="0" applyFont="1" applyFill="1" applyAlignment="1">
      <alignment horizontal="left" indent="3"/>
    </xf>
    <xf numFmtId="167" fontId="69" fillId="18" borderId="0" xfId="0" applyNumberFormat="1" applyFont="1" applyFill="1" applyAlignment="1">
      <alignment horizontal="right"/>
    </xf>
    <xf numFmtId="0" fontId="110" fillId="13" borderId="0" xfId="0" applyFont="1" applyFill="1"/>
    <xf numFmtId="167" fontId="82" fillId="18" borderId="0" xfId="0" applyNumberFormat="1" applyFont="1" applyFill="1"/>
    <xf numFmtId="167" fontId="114" fillId="18" borderId="0" xfId="0" applyNumberFormat="1" applyFont="1" applyFill="1"/>
    <xf numFmtId="0" fontId="90" fillId="0" borderId="0" xfId="0" applyFont="1" applyAlignment="1">
      <alignment horizontal="right"/>
    </xf>
    <xf numFmtId="167" fontId="101" fillId="0" borderId="0" xfId="0" applyNumberFormat="1" applyFont="1"/>
    <xf numFmtId="167" fontId="98" fillId="12" borderId="7" xfId="0" applyNumberFormat="1" applyFont="1" applyFill="1" applyBorder="1" applyAlignment="1">
      <alignment horizontal="right"/>
    </xf>
    <xf numFmtId="166" fontId="142" fillId="34" borderId="7" xfId="0" applyNumberFormat="1" applyFont="1" applyFill="1" applyBorder="1" applyAlignment="1">
      <alignment horizontal="center"/>
    </xf>
    <xf numFmtId="0" fontId="62" fillId="7" borderId="26" xfId="0" applyFont="1" applyFill="1" applyBorder="1"/>
    <xf numFmtId="0" fontId="78" fillId="0" borderId="0" xfId="0" applyFont="1" applyAlignment="1">
      <alignment horizontal="left" vertical="top"/>
    </xf>
    <xf numFmtId="166" fontId="73" fillId="15" borderId="34" xfId="0" applyNumberFormat="1" applyFont="1" applyFill="1" applyBorder="1"/>
    <xf numFmtId="166" fontId="73" fillId="15" borderId="26" xfId="0" applyNumberFormat="1" applyFont="1" applyFill="1" applyBorder="1"/>
    <xf numFmtId="167" fontId="143" fillId="0" borderId="0" xfId="0" applyNumberFormat="1" applyFont="1" applyAlignment="1">
      <alignment horizontal="center"/>
    </xf>
    <xf numFmtId="0" fontId="84" fillId="35" borderId="7" xfId="0" applyFont="1" applyFill="1" applyBorder="1"/>
    <xf numFmtId="166" fontId="0" fillId="35" borderId="7" xfId="0" applyNumberFormat="1" applyFill="1" applyBorder="1"/>
    <xf numFmtId="166" fontId="73" fillId="35" borderId="7" xfId="0" applyNumberFormat="1" applyFont="1" applyFill="1" applyBorder="1"/>
    <xf numFmtId="166" fontId="65" fillId="35" borderId="7" xfId="0" applyNumberFormat="1" applyFont="1" applyFill="1" applyBorder="1" applyAlignment="1">
      <alignment horizontal="right"/>
    </xf>
    <xf numFmtId="167" fontId="87" fillId="35" borderId="7" xfId="0" applyNumberFormat="1" applyFont="1" applyFill="1" applyBorder="1" applyAlignment="1">
      <alignment horizontal="right"/>
    </xf>
    <xf numFmtId="171" fontId="65" fillId="35" borderId="7" xfId="0" applyNumberFormat="1" applyFont="1" applyFill="1" applyBorder="1" applyAlignment="1">
      <alignment horizontal="right"/>
    </xf>
    <xf numFmtId="171" fontId="87" fillId="35" borderId="7" xfId="0" applyNumberFormat="1" applyFont="1" applyFill="1" applyBorder="1" applyAlignment="1">
      <alignment horizontal="right"/>
    </xf>
    <xf numFmtId="171" fontId="87" fillId="35" borderId="0" xfId="0" applyNumberFormat="1" applyFont="1" applyFill="1" applyAlignment="1">
      <alignment horizontal="right"/>
    </xf>
    <xf numFmtId="166" fontId="87" fillId="35" borderId="0" xfId="0" applyNumberFormat="1" applyFont="1" applyFill="1" applyAlignment="1">
      <alignment horizontal="right"/>
    </xf>
    <xf numFmtId="0" fontId="133" fillId="13" borderId="0" xfId="0" applyFont="1" applyFill="1"/>
    <xf numFmtId="166" fontId="73" fillId="15" borderId="10" xfId="0" applyNumberFormat="1" applyFont="1" applyFill="1" applyBorder="1"/>
    <xf numFmtId="1" fontId="76" fillId="15" borderId="21" xfId="0" applyNumberFormat="1" applyFont="1" applyFill="1" applyBorder="1"/>
    <xf numFmtId="1" fontId="76" fillId="15" borderId="24" xfId="0" applyNumberFormat="1" applyFont="1" applyFill="1" applyBorder="1"/>
    <xf numFmtId="1" fontId="76" fillId="0" borderId="0" xfId="0" applyNumberFormat="1" applyFont="1"/>
    <xf numFmtId="167" fontId="85" fillId="27" borderId="0" xfId="0" applyNumberFormat="1" applyFont="1" applyFill="1"/>
    <xf numFmtId="0" fontId="144" fillId="0" borderId="0" xfId="0" applyFont="1"/>
    <xf numFmtId="0" fontId="74" fillId="32" borderId="0" xfId="0" applyFont="1" applyFill="1"/>
    <xf numFmtId="0" fontId="0" fillId="32" borderId="0" xfId="0" applyFill="1"/>
    <xf numFmtId="0" fontId="61" fillId="32" borderId="0" xfId="0" applyFont="1" applyFill="1"/>
    <xf numFmtId="0" fontId="75" fillId="32" borderId="0" xfId="0" applyFont="1" applyFill="1" applyAlignment="1">
      <alignment horizontal="left"/>
    </xf>
    <xf numFmtId="17" fontId="96" fillId="32" borderId="0" xfId="0" quotePrefix="1" applyNumberFormat="1" applyFont="1" applyFill="1" applyAlignment="1">
      <alignment horizontal="center"/>
    </xf>
    <xf numFmtId="0" fontId="66" fillId="32" borderId="0" xfId="0" applyFont="1" applyFill="1" applyAlignment="1">
      <alignment horizontal="left" indent="1"/>
    </xf>
    <xf numFmtId="17" fontId="98" fillId="32" borderId="0" xfId="0" applyNumberFormat="1" applyFont="1" applyFill="1" applyAlignment="1">
      <alignment horizontal="center"/>
    </xf>
    <xf numFmtId="0" fontId="74" fillId="32" borderId="27" xfId="0" applyFont="1" applyFill="1" applyBorder="1"/>
    <xf numFmtId="0" fontId="85" fillId="32" borderId="0" xfId="0" applyFont="1" applyFill="1" applyAlignment="1">
      <alignment horizontal="right"/>
    </xf>
    <xf numFmtId="49" fontId="85" fillId="32" borderId="0" xfId="0" applyNumberFormat="1" applyFont="1" applyFill="1" applyAlignment="1">
      <alignment horizontal="right"/>
    </xf>
    <xf numFmtId="1" fontId="66" fillId="36" borderId="0" xfId="0" applyNumberFormat="1" applyFont="1" applyFill="1"/>
    <xf numFmtId="0" fontId="76" fillId="0" borderId="87" xfId="0" applyFont="1" applyBorder="1" applyAlignment="1">
      <alignment horizontal="left"/>
    </xf>
    <xf numFmtId="0" fontId="76" fillId="0" borderId="87" xfId="0" applyFont="1" applyBorder="1"/>
    <xf numFmtId="0" fontId="61" fillId="0" borderId="87" xfId="0" applyFont="1" applyBorder="1"/>
    <xf numFmtId="0" fontId="0" fillId="0" borderId="87" xfId="0" applyBorder="1"/>
    <xf numFmtId="167" fontId="73" fillId="14" borderId="0" xfId="0" applyNumberFormat="1" applyFont="1" applyFill="1"/>
    <xf numFmtId="2" fontId="94" fillId="15" borderId="7" xfId="0" applyNumberFormat="1" applyFont="1" applyFill="1" applyBorder="1"/>
    <xf numFmtId="1" fontId="88" fillId="15" borderId="88" xfId="0" applyNumberFormat="1" applyFont="1" applyFill="1" applyBorder="1"/>
    <xf numFmtId="0" fontId="144" fillId="15" borderId="7" xfId="0" applyFont="1" applyFill="1" applyBorder="1"/>
    <xf numFmtId="1" fontId="144" fillId="15" borderId="7" xfId="0" applyNumberFormat="1" applyFont="1" applyFill="1" applyBorder="1"/>
    <xf numFmtId="166" fontId="144" fillId="15" borderId="7" xfId="0" applyNumberFormat="1" applyFont="1" applyFill="1" applyBorder="1"/>
    <xf numFmtId="168" fontId="73" fillId="15" borderId="10" xfId="0" applyNumberFormat="1" applyFont="1" applyFill="1" applyBorder="1"/>
    <xf numFmtId="167" fontId="89" fillId="13" borderId="89" xfId="0" applyNumberFormat="1" applyFont="1" applyFill="1" applyBorder="1" applyAlignment="1">
      <alignment horizontal="right"/>
    </xf>
    <xf numFmtId="167" fontId="66" fillId="37" borderId="0" xfId="0" applyNumberFormat="1" applyFont="1" applyFill="1" applyAlignment="1">
      <alignment horizontal="right"/>
    </xf>
    <xf numFmtId="168" fontId="76" fillId="15" borderId="7" xfId="0" applyNumberFormat="1" applyFont="1" applyFill="1" applyBorder="1"/>
    <xf numFmtId="167" fontId="89" fillId="13" borderId="90" xfId="0" applyNumberFormat="1" applyFont="1" applyFill="1" applyBorder="1" applyAlignment="1">
      <alignment horizontal="right"/>
    </xf>
    <xf numFmtId="3" fontId="89" fillId="13" borderId="0" xfId="0" applyNumberFormat="1" applyFont="1" applyFill="1" applyAlignment="1">
      <alignment horizontal="right"/>
    </xf>
    <xf numFmtId="166" fontId="145" fillId="12" borderId="41" xfId="0" applyNumberFormat="1" applyFont="1" applyFill="1" applyBorder="1"/>
    <xf numFmtId="49" fontId="85" fillId="15" borderId="41" xfId="0" applyNumberFormat="1" applyFont="1" applyFill="1" applyBorder="1" applyAlignment="1">
      <alignment horizontal="right"/>
    </xf>
    <xf numFmtId="167" fontId="113" fillId="5" borderId="23" xfId="0" applyNumberFormat="1" applyFont="1" applyFill="1" applyBorder="1"/>
    <xf numFmtId="167" fontId="113" fillId="5" borderId="0" xfId="0" applyNumberFormat="1" applyFont="1" applyFill="1"/>
    <xf numFmtId="167" fontId="113" fillId="0" borderId="0" xfId="0" applyNumberFormat="1" applyFont="1"/>
    <xf numFmtId="167" fontId="82" fillId="18" borderId="0" xfId="0" applyNumberFormat="1" applyFont="1" applyFill="1" applyAlignment="1">
      <alignment horizontal="right"/>
    </xf>
    <xf numFmtId="167" fontId="82" fillId="37" borderId="0" xfId="0" applyNumberFormat="1" applyFont="1" applyFill="1"/>
    <xf numFmtId="0" fontId="85" fillId="0" borderId="26" xfId="0" applyFont="1" applyBorder="1"/>
    <xf numFmtId="168" fontId="69" fillId="15" borderId="7" xfId="0" applyNumberFormat="1" applyFont="1" applyFill="1" applyBorder="1"/>
    <xf numFmtId="172" fontId="112" fillId="27" borderId="0" xfId="0" applyNumberFormat="1" applyFont="1" applyFill="1"/>
    <xf numFmtId="166" fontId="66" fillId="27" borderId="91" xfId="0" applyNumberFormat="1" applyFont="1" applyFill="1" applyBorder="1"/>
    <xf numFmtId="166" fontId="66" fillId="27" borderId="92" xfId="0" applyNumberFormat="1" applyFont="1" applyFill="1" applyBorder="1"/>
    <xf numFmtId="167" fontId="146" fillId="27" borderId="0" xfId="0" applyNumberFormat="1" applyFont="1" applyFill="1"/>
    <xf numFmtId="167" fontId="147" fillId="27" borderId="0" xfId="0" applyNumberFormat="1" applyFont="1" applyFill="1" applyAlignment="1">
      <alignment horizontal="right"/>
    </xf>
    <xf numFmtId="167" fontId="74" fillId="27" borderId="0" xfId="0" applyNumberFormat="1" applyFont="1" applyFill="1"/>
    <xf numFmtId="167" fontId="129" fillId="27" borderId="0" xfId="0" applyNumberFormat="1" applyFont="1" applyFill="1"/>
    <xf numFmtId="167" fontId="148" fillId="27" borderId="0" xfId="0" applyNumberFormat="1" applyFont="1" applyFill="1" applyAlignment="1">
      <alignment horizontal="left"/>
    </xf>
    <xf numFmtId="167" fontId="120" fillId="27" borderId="0" xfId="0" applyNumberFormat="1" applyFont="1" applyFill="1"/>
    <xf numFmtId="167" fontId="149" fillId="27" borderId="0" xfId="0" applyNumberFormat="1" applyFont="1" applyFill="1"/>
    <xf numFmtId="0" fontId="86" fillId="7" borderId="26" xfId="0" applyFont="1" applyFill="1" applyBorder="1"/>
    <xf numFmtId="167" fontId="113" fillId="5" borderId="45" xfId="0" applyNumberFormat="1" applyFont="1" applyFill="1" applyBorder="1"/>
    <xf numFmtId="172" fontId="112" fillId="13" borderId="45" xfId="0" applyNumberFormat="1" applyFont="1" applyFill="1" applyBorder="1" applyAlignment="1">
      <alignment horizontal="right"/>
    </xf>
    <xf numFmtId="172" fontId="111" fillId="23" borderId="45" xfId="9" applyNumberFormat="1" applyFont="1" applyFill="1" applyBorder="1" applyAlignment="1"/>
    <xf numFmtId="167" fontId="82" fillId="0" borderId="53" xfId="0" applyNumberFormat="1" applyFont="1" applyBorder="1"/>
    <xf numFmtId="17" fontId="96" fillId="32" borderId="0" xfId="0" applyNumberFormat="1" applyFont="1" applyFill="1" applyAlignment="1">
      <alignment horizontal="center"/>
    </xf>
    <xf numFmtId="0" fontId="82" fillId="38" borderId="0" xfId="0" applyFont="1" applyFill="1"/>
    <xf numFmtId="166" fontId="82" fillId="38" borderId="0" xfId="0" applyNumberFormat="1" applyFont="1" applyFill="1"/>
    <xf numFmtId="167" fontId="82" fillId="39" borderId="0" xfId="0" applyNumberFormat="1" applyFont="1" applyFill="1" applyAlignment="1">
      <alignment horizontal="right"/>
    </xf>
    <xf numFmtId="167" fontId="131" fillId="39" borderId="0" xfId="0" applyNumberFormat="1" applyFont="1" applyFill="1" applyAlignment="1">
      <alignment horizontal="right"/>
    </xf>
    <xf numFmtId="0" fontId="76" fillId="0" borderId="26" xfId="0" applyFont="1" applyBorder="1"/>
    <xf numFmtId="17" fontId="96" fillId="32" borderId="26" xfId="0" applyNumberFormat="1" applyFont="1" applyFill="1" applyBorder="1" applyAlignment="1">
      <alignment horizontal="center"/>
    </xf>
    <xf numFmtId="17" fontId="96" fillId="32" borderId="10" xfId="0" applyNumberFormat="1" applyFont="1" applyFill="1" applyBorder="1" applyAlignment="1">
      <alignment horizontal="center"/>
    </xf>
    <xf numFmtId="17" fontId="98" fillId="32" borderId="26" xfId="0" applyNumberFormat="1" applyFont="1" applyFill="1" applyBorder="1" applyAlignment="1">
      <alignment horizontal="center"/>
    </xf>
    <xf numFmtId="17" fontId="98" fillId="32" borderId="10" xfId="0" applyNumberFormat="1" applyFont="1" applyFill="1" applyBorder="1" applyAlignment="1">
      <alignment horizontal="center"/>
    </xf>
    <xf numFmtId="49" fontId="85" fillId="32" borderId="26" xfId="0" applyNumberFormat="1" applyFont="1" applyFill="1" applyBorder="1" applyAlignment="1">
      <alignment horizontal="right"/>
    </xf>
    <xf numFmtId="49" fontId="85" fillId="32" borderId="10" xfId="0" applyNumberFormat="1" applyFont="1" applyFill="1" applyBorder="1" applyAlignment="1">
      <alignment horizontal="right"/>
    </xf>
    <xf numFmtId="1" fontId="93" fillId="0" borderId="26" xfId="0" applyNumberFormat="1" applyFont="1" applyBorder="1"/>
    <xf numFmtId="167" fontId="114" fillId="18" borderId="0" xfId="0" quotePrefix="1" applyNumberFormat="1" applyFont="1" applyFill="1" applyAlignment="1">
      <alignment horizontal="right"/>
    </xf>
    <xf numFmtId="167" fontId="94" fillId="12" borderId="7" xfId="0" applyNumberFormat="1" applyFont="1" applyFill="1" applyBorder="1" applyAlignment="1">
      <alignment horizontal="right"/>
    </xf>
    <xf numFmtId="166" fontId="94" fillId="12" borderId="7" xfId="0" applyNumberFormat="1" applyFont="1" applyFill="1" applyBorder="1"/>
    <xf numFmtId="167" fontId="82" fillId="18" borderId="45" xfId="0" applyNumberFormat="1" applyFont="1" applyFill="1" applyBorder="1" applyAlignment="1">
      <alignment horizontal="right"/>
    </xf>
    <xf numFmtId="167" fontId="150" fillId="13" borderId="0" xfId="0" applyNumberFormat="1" applyFont="1" applyFill="1" applyAlignment="1">
      <alignment horizontal="right"/>
    </xf>
    <xf numFmtId="0" fontId="151" fillId="0" borderId="0" xfId="0" applyFont="1"/>
    <xf numFmtId="0" fontId="151" fillId="5" borderId="0" xfId="10" applyFont="1" applyFill="1"/>
    <xf numFmtId="167" fontId="151" fillId="5" borderId="0" xfId="0" applyNumberFormat="1" applyFont="1" applyFill="1"/>
    <xf numFmtId="167" fontId="151" fillId="5" borderId="23" xfId="0" applyNumberFormat="1" applyFont="1" applyFill="1" applyBorder="1"/>
    <xf numFmtId="167" fontId="151" fillId="5" borderId="45" xfId="0" applyNumberFormat="1" applyFont="1" applyFill="1" applyBorder="1"/>
    <xf numFmtId="167" fontId="151" fillId="19" borderId="0" xfId="0" applyNumberFormat="1" applyFont="1" applyFill="1"/>
    <xf numFmtId="167" fontId="151" fillId="0" borderId="0" xfId="0" applyNumberFormat="1" applyFont="1"/>
    <xf numFmtId="167" fontId="151" fillId="0" borderId="45" xfId="0" applyNumberFormat="1" applyFont="1" applyBorder="1"/>
    <xf numFmtId="166" fontId="66" fillId="13" borderId="20" xfId="0" applyNumberFormat="1" applyFont="1" applyFill="1" applyBorder="1" applyAlignment="1">
      <alignment horizontal="right"/>
    </xf>
    <xf numFmtId="166" fontId="66" fillId="18" borderId="20" xfId="0" applyNumberFormat="1" applyFont="1" applyFill="1" applyBorder="1" applyAlignment="1">
      <alignment horizontal="right"/>
    </xf>
    <xf numFmtId="167" fontId="114" fillId="13" borderId="0" xfId="0" applyNumberFormat="1" applyFont="1" applyFill="1" applyAlignment="1">
      <alignment horizontal="right"/>
    </xf>
    <xf numFmtId="168" fontId="87" fillId="15" borderId="7" xfId="0" applyNumberFormat="1" applyFont="1" applyFill="1" applyBorder="1"/>
    <xf numFmtId="0" fontId="66" fillId="18" borderId="0" xfId="0" applyFont="1" applyFill="1" applyAlignment="1">
      <alignment horizontal="left" indent="2"/>
    </xf>
    <xf numFmtId="0" fontId="82" fillId="18" borderId="0" xfId="0" applyFont="1" applyFill="1"/>
    <xf numFmtId="0" fontId="69" fillId="18" borderId="0" xfId="0" applyFont="1" applyFill="1" applyAlignment="1">
      <alignment horizontal="left" indent="2"/>
    </xf>
    <xf numFmtId="0" fontId="120" fillId="38" borderId="0" xfId="0" applyFont="1" applyFill="1"/>
    <xf numFmtId="0" fontId="75" fillId="0" borderId="27" xfId="0" applyFont="1" applyBorder="1"/>
    <xf numFmtId="167" fontId="132" fillId="0" borderId="29" xfId="0" applyNumberFormat="1" applyFont="1" applyBorder="1" applyAlignment="1">
      <alignment horizontal="right"/>
    </xf>
    <xf numFmtId="167" fontId="132" fillId="0" borderId="29" xfId="0" applyNumberFormat="1" applyFont="1" applyBorder="1" applyAlignment="1">
      <alignment horizontal="center"/>
    </xf>
    <xf numFmtId="166" fontId="77" fillId="40" borderId="0" xfId="0" applyNumberFormat="1" applyFont="1" applyFill="1" applyAlignment="1">
      <alignment horizontal="left" indent="1"/>
    </xf>
    <xf numFmtId="0" fontId="75" fillId="41" borderId="0" xfId="0" applyFont="1" applyFill="1"/>
    <xf numFmtId="0" fontId="152" fillId="0" borderId="0" xfId="0" applyFont="1"/>
    <xf numFmtId="0" fontId="153" fillId="0" borderId="0" xfId="0" applyFont="1"/>
    <xf numFmtId="0" fontId="153" fillId="0" borderId="0" xfId="0" applyFont="1" applyAlignment="1">
      <alignment horizontal="left" indent="1"/>
    </xf>
    <xf numFmtId="0" fontId="153" fillId="0" borderId="0" xfId="0" applyFont="1" applyAlignment="1">
      <alignment horizontal="left" indent="2"/>
    </xf>
    <xf numFmtId="0" fontId="155" fillId="0" borderId="0" xfId="0" applyFont="1" applyAlignment="1">
      <alignment horizontal="left" indent="4"/>
    </xf>
    <xf numFmtId="0" fontId="152" fillId="0" borderId="0" xfId="0" applyFont="1" applyAlignment="1">
      <alignment horizontal="left" indent="3"/>
    </xf>
    <xf numFmtId="0" fontId="152" fillId="0" borderId="0" xfId="0" applyFont="1" applyAlignment="1">
      <alignment horizontal="left" indent="2"/>
    </xf>
    <xf numFmtId="0" fontId="152" fillId="0" borderId="0" xfId="0" applyFont="1" applyAlignment="1">
      <alignment horizontal="left" indent="4"/>
    </xf>
    <xf numFmtId="0" fontId="152" fillId="0" borderId="0" xfId="0" applyFont="1" applyAlignment="1">
      <alignment horizontal="left" indent="1"/>
    </xf>
    <xf numFmtId="0" fontId="156" fillId="0" borderId="0" xfId="0" applyFont="1" applyAlignment="1">
      <alignment horizontal="left" indent="3"/>
    </xf>
    <xf numFmtId="167" fontId="82" fillId="0" borderId="10" xfId="0" applyNumberFormat="1" applyFont="1" applyBorder="1"/>
    <xf numFmtId="166" fontId="66" fillId="13" borderId="0" xfId="0" applyNumberFormat="1" applyFont="1" applyFill="1" applyAlignment="1">
      <alignment horizontal="right"/>
    </xf>
    <xf numFmtId="0" fontId="74" fillId="13" borderId="0" xfId="0" applyFont="1" applyFill="1" applyAlignment="1">
      <alignment horizontal="left" indent="2"/>
    </xf>
    <xf numFmtId="0" fontId="74" fillId="13" borderId="0" xfId="0" applyFont="1" applyFill="1" applyAlignment="1">
      <alignment horizontal="left" indent="3"/>
    </xf>
    <xf numFmtId="167" fontId="133" fillId="0" borderId="0" xfId="0" applyNumberFormat="1" applyFont="1"/>
    <xf numFmtId="167" fontId="151" fillId="38" borderId="0" xfId="0" applyNumberFormat="1" applyFont="1" applyFill="1"/>
    <xf numFmtId="0" fontId="72" fillId="13" borderId="54" xfId="0" applyFont="1" applyFill="1" applyBorder="1" applyAlignment="1">
      <alignment horizontal="right"/>
    </xf>
    <xf numFmtId="167" fontId="76" fillId="13" borderId="20" xfId="0" applyNumberFormat="1" applyFont="1" applyFill="1" applyBorder="1" applyAlignment="1">
      <alignment horizontal="right"/>
    </xf>
    <xf numFmtId="167" fontId="133" fillId="13" borderId="0" xfId="0" applyNumberFormat="1" applyFont="1" applyFill="1" applyAlignment="1">
      <alignment horizontal="right"/>
    </xf>
    <xf numFmtId="0" fontId="63" fillId="0" borderId="0" xfId="0" applyFont="1"/>
    <xf numFmtId="167" fontId="99" fillId="18" borderId="0" xfId="0" applyNumberFormat="1" applyFont="1" applyFill="1" applyAlignment="1">
      <alignment horizontal="right"/>
    </xf>
    <xf numFmtId="166" fontId="105" fillId="34" borderId="41" xfId="0" applyNumberFormat="1" applyFont="1" applyFill="1" applyBorder="1" applyAlignment="1">
      <alignment horizontal="right"/>
    </xf>
    <xf numFmtId="167" fontId="160" fillId="27" borderId="0" xfId="0" applyNumberFormat="1" applyFont="1" applyFill="1" applyAlignment="1">
      <alignment horizontal="right"/>
    </xf>
    <xf numFmtId="1" fontId="72" fillId="27" borderId="0" xfId="0" applyNumberFormat="1" applyFont="1" applyFill="1" applyAlignment="1">
      <alignment horizontal="right"/>
    </xf>
    <xf numFmtId="167" fontId="125" fillId="0" borderId="45" xfId="0" applyNumberFormat="1" applyFont="1" applyBorder="1"/>
    <xf numFmtId="0" fontId="75" fillId="42" borderId="0" xfId="0" applyFont="1" applyFill="1"/>
    <xf numFmtId="0" fontId="62" fillId="42" borderId="0" xfId="0" applyFont="1" applyFill="1"/>
    <xf numFmtId="0" fontId="72" fillId="42" borderId="0" xfId="0" applyFont="1" applyFill="1"/>
    <xf numFmtId="166" fontId="62" fillId="42" borderId="0" xfId="0" applyNumberFormat="1" applyFont="1" applyFill="1"/>
    <xf numFmtId="0" fontId="0" fillId="42" borderId="0" xfId="0" applyFill="1"/>
    <xf numFmtId="0" fontId="0" fillId="42" borderId="10" xfId="0" applyFill="1" applyBorder="1"/>
    <xf numFmtId="166" fontId="0" fillId="42" borderId="32" xfId="0" applyNumberFormat="1" applyFill="1" applyBorder="1"/>
    <xf numFmtId="166" fontId="0" fillId="42" borderId="0" xfId="0" applyNumberFormat="1" applyFill="1"/>
    <xf numFmtId="0" fontId="62" fillId="42" borderId="10" xfId="0" applyFont="1" applyFill="1" applyBorder="1"/>
    <xf numFmtId="166" fontId="73" fillId="42" borderId="38" xfId="0" applyNumberFormat="1" applyFont="1" applyFill="1" applyBorder="1"/>
    <xf numFmtId="0" fontId="0" fillId="42" borderId="32" xfId="0" applyFill="1" applyBorder="1"/>
    <xf numFmtId="0" fontId="62" fillId="42" borderId="38" xfId="0" applyFont="1" applyFill="1" applyBorder="1"/>
    <xf numFmtId="166" fontId="0" fillId="42" borderId="27" xfId="0" applyNumberFormat="1" applyFill="1" applyBorder="1"/>
    <xf numFmtId="166" fontId="0" fillId="42" borderId="47" xfId="0" applyNumberFormat="1" applyFill="1" applyBorder="1"/>
    <xf numFmtId="0" fontId="66" fillId="42" borderId="0" xfId="0" applyFont="1" applyFill="1"/>
    <xf numFmtId="166" fontId="76" fillId="42" borderId="0" xfId="0" applyNumberFormat="1" applyFont="1" applyFill="1"/>
    <xf numFmtId="0" fontId="77" fillId="13" borderId="0" xfId="0" applyFont="1" applyFill="1"/>
    <xf numFmtId="0" fontId="65" fillId="35" borderId="7" xfId="0" applyFont="1" applyFill="1" applyBorder="1"/>
    <xf numFmtId="0" fontId="74" fillId="0" borderId="0" xfId="0" applyFont="1"/>
    <xf numFmtId="167" fontId="157" fillId="31" borderId="0" xfId="0" applyNumberFormat="1" applyFont="1" applyFill="1"/>
    <xf numFmtId="167" fontId="113" fillId="43" borderId="0" xfId="0" applyNumberFormat="1" applyFont="1" applyFill="1" applyAlignment="1">
      <alignment horizontal="center"/>
    </xf>
    <xf numFmtId="167" fontId="113" fillId="43" borderId="0" xfId="0" applyNumberFormat="1" applyFont="1" applyFill="1" applyAlignment="1">
      <alignment horizontal="right"/>
    </xf>
    <xf numFmtId="167" fontId="82" fillId="43" borderId="0" xfId="0" applyNumberFormat="1" applyFont="1" applyFill="1" applyAlignment="1">
      <alignment horizontal="right"/>
    </xf>
    <xf numFmtId="166" fontId="77" fillId="44" borderId="0" xfId="0" applyNumberFormat="1" applyFont="1" applyFill="1" applyAlignment="1">
      <alignment horizontal="left" indent="1"/>
    </xf>
    <xf numFmtId="166" fontId="77" fillId="32" borderId="0" xfId="0" applyNumberFormat="1" applyFont="1" applyFill="1" applyAlignment="1">
      <alignment horizontal="left" indent="1"/>
    </xf>
    <xf numFmtId="166" fontId="161" fillId="32" borderId="0" xfId="0" applyNumberFormat="1" applyFont="1" applyFill="1" applyAlignment="1">
      <alignment horizontal="left" indent="1"/>
    </xf>
    <xf numFmtId="166" fontId="162" fillId="32" borderId="0" xfId="0" applyNumberFormat="1" applyFont="1" applyFill="1" applyAlignment="1">
      <alignment horizontal="left" indent="1"/>
    </xf>
    <xf numFmtId="166" fontId="163" fillId="32" borderId="0" xfId="0" applyNumberFormat="1" applyFont="1" applyFill="1" applyAlignment="1">
      <alignment horizontal="left" indent="1"/>
    </xf>
    <xf numFmtId="0" fontId="74" fillId="45" borderId="0" xfId="0" applyFont="1" applyFill="1"/>
    <xf numFmtId="0" fontId="74" fillId="45" borderId="0" xfId="0" applyFont="1" applyFill="1" applyAlignment="1">
      <alignment horizontal="left" indent="1"/>
    </xf>
    <xf numFmtId="0" fontId="66" fillId="45" borderId="0" xfId="0" applyFont="1" applyFill="1" applyAlignment="1">
      <alignment horizontal="left" indent="2"/>
    </xf>
    <xf numFmtId="0" fontId="66" fillId="45" borderId="0" xfId="0" applyFont="1" applyFill="1" applyAlignment="1">
      <alignment horizontal="left" indent="1"/>
    </xf>
    <xf numFmtId="0" fontId="73" fillId="45" borderId="0" xfId="0" applyFont="1" applyFill="1" applyAlignment="1">
      <alignment horizontal="left" indent="1"/>
    </xf>
    <xf numFmtId="1" fontId="73" fillId="36" borderId="0" xfId="0" applyNumberFormat="1" applyFont="1" applyFill="1"/>
    <xf numFmtId="0" fontId="74" fillId="33" borderId="0" xfId="0" applyFont="1" applyFill="1"/>
    <xf numFmtId="0" fontId="74" fillId="33" borderId="0" xfId="0" applyFont="1" applyFill="1" applyAlignment="1">
      <alignment horizontal="left" indent="1"/>
    </xf>
    <xf numFmtId="0" fontId="66" fillId="33" borderId="0" xfId="0" applyFont="1" applyFill="1" applyAlignment="1">
      <alignment horizontal="left" indent="2"/>
    </xf>
    <xf numFmtId="0" fontId="66" fillId="33" borderId="0" xfId="0" applyFont="1" applyFill="1" applyAlignment="1">
      <alignment horizontal="left" indent="1"/>
    </xf>
    <xf numFmtId="0" fontId="73" fillId="33" borderId="0" xfId="0" applyFont="1" applyFill="1" applyAlignment="1">
      <alignment horizontal="left" indent="1"/>
    </xf>
    <xf numFmtId="0" fontId="77" fillId="33" borderId="0" xfId="0" applyFont="1" applyFill="1" applyAlignment="1">
      <alignment horizontal="right" indent="1"/>
    </xf>
    <xf numFmtId="168" fontId="66" fillId="46" borderId="0" xfId="0" applyNumberFormat="1" applyFont="1" applyFill="1"/>
    <xf numFmtId="167" fontId="66" fillId="46" borderId="0" xfId="0" applyNumberFormat="1" applyFont="1" applyFill="1"/>
    <xf numFmtId="168" fontId="73" fillId="46" borderId="0" xfId="0" applyNumberFormat="1" applyFont="1" applyFill="1"/>
    <xf numFmtId="168" fontId="77" fillId="46" borderId="0" xfId="0" applyNumberFormat="1" applyFont="1" applyFill="1"/>
    <xf numFmtId="49" fontId="76" fillId="0" borderId="0" xfId="0" applyNumberFormat="1" applyFont="1" applyAlignment="1">
      <alignment horizontal="right"/>
    </xf>
    <xf numFmtId="0" fontId="77" fillId="0" borderId="0" xfId="0" applyFont="1" applyAlignment="1">
      <alignment horizontal="right"/>
    </xf>
    <xf numFmtId="1" fontId="66" fillId="18" borderId="0" xfId="0" applyNumberFormat="1" applyFont="1" applyFill="1"/>
    <xf numFmtId="167" fontId="113" fillId="31" borderId="0" xfId="0" applyNumberFormat="1" applyFont="1" applyFill="1"/>
    <xf numFmtId="167" fontId="46" fillId="0" borderId="0" xfId="0" applyNumberFormat="1" applyFont="1" applyAlignment="1">
      <alignment horizontal="center"/>
    </xf>
    <xf numFmtId="1" fontId="69" fillId="32" borderId="0" xfId="0" applyNumberFormat="1" applyFont="1" applyFill="1"/>
    <xf numFmtId="1" fontId="69" fillId="18" borderId="0" xfId="0" applyNumberFormat="1" applyFont="1" applyFill="1"/>
    <xf numFmtId="166" fontId="164" fillId="32" borderId="0" xfId="0" applyNumberFormat="1" applyFont="1" applyFill="1" applyAlignment="1">
      <alignment horizontal="right"/>
    </xf>
    <xf numFmtId="1" fontId="69" fillId="32" borderId="32" xfId="0" applyNumberFormat="1" applyFont="1" applyFill="1" applyBorder="1"/>
    <xf numFmtId="1" fontId="69" fillId="32" borderId="44" xfId="0" applyNumberFormat="1" applyFont="1" applyFill="1" applyBorder="1"/>
    <xf numFmtId="1" fontId="69" fillId="32" borderId="26" xfId="0" applyNumberFormat="1" applyFont="1" applyFill="1" applyBorder="1"/>
    <xf numFmtId="1" fontId="69" fillId="32" borderId="38" xfId="0" applyNumberFormat="1" applyFont="1" applyFill="1" applyBorder="1"/>
    <xf numFmtId="1" fontId="69" fillId="32" borderId="43" xfId="0" applyNumberFormat="1" applyFont="1" applyFill="1" applyBorder="1"/>
    <xf numFmtId="0" fontId="165" fillId="0" borderId="93" xfId="0" applyFont="1" applyBorder="1"/>
    <xf numFmtId="0" fontId="166" fillId="0" borderId="94" xfId="0" applyFont="1" applyBorder="1"/>
    <xf numFmtId="0" fontId="165" fillId="0" borderId="94" xfId="0" applyFont="1" applyBorder="1"/>
    <xf numFmtId="0" fontId="165" fillId="0" borderId="95" xfId="0" applyFont="1" applyBorder="1"/>
    <xf numFmtId="0" fontId="165" fillId="0" borderId="0" xfId="0" applyFont="1"/>
    <xf numFmtId="0" fontId="167" fillId="0" borderId="95" xfId="0" applyFont="1" applyBorder="1"/>
    <xf numFmtId="0" fontId="167" fillId="0" borderId="0" xfId="0" applyFont="1"/>
    <xf numFmtId="0" fontId="168" fillId="0" borderId="0" xfId="0" applyFont="1"/>
    <xf numFmtId="0" fontId="168" fillId="0" borderId="96" xfId="0" applyFont="1" applyBorder="1"/>
    <xf numFmtId="0" fontId="168" fillId="0" borderId="97" xfId="0" applyFont="1" applyBorder="1"/>
    <xf numFmtId="0" fontId="169" fillId="0" borderId="95" xfId="0" applyFont="1" applyBorder="1"/>
    <xf numFmtId="0" fontId="169" fillId="0" borderId="0" xfId="0" applyFont="1"/>
    <xf numFmtId="0" fontId="166" fillId="0" borderId="95" xfId="0" applyFont="1" applyBorder="1"/>
    <xf numFmtId="3" fontId="169" fillId="0" borderId="0" xfId="0" applyNumberFormat="1" applyFont="1"/>
    <xf numFmtId="0" fontId="170" fillId="0" borderId="0" xfId="0" applyFont="1" applyAlignment="1">
      <alignment horizontal="left" vertical="center"/>
    </xf>
    <xf numFmtId="0" fontId="68" fillId="0" borderId="0" xfId="0" quotePrefix="1" applyFont="1"/>
    <xf numFmtId="0" fontId="168" fillId="0" borderId="0" xfId="0" applyFont="1" applyAlignment="1">
      <alignment horizontal="right"/>
    </xf>
    <xf numFmtId="0" fontId="75" fillId="13" borderId="0" xfId="0" applyFont="1" applyFill="1"/>
    <xf numFmtId="0" fontId="67" fillId="3" borderId="0" xfId="0" applyFont="1" applyFill="1"/>
    <xf numFmtId="0" fontId="0" fillId="41" borderId="0" xfId="0" applyFill="1"/>
    <xf numFmtId="0" fontId="75" fillId="47" borderId="7" xfId="0" applyFont="1" applyFill="1" applyBorder="1"/>
    <xf numFmtId="0" fontId="0" fillId="0" borderId="33" xfId="0" applyBorder="1"/>
    <xf numFmtId="0" fontId="62" fillId="41" borderId="0" xfId="0" applyFont="1" applyFill="1"/>
    <xf numFmtId="0" fontId="75" fillId="0" borderId="41" xfId="0" applyFont="1" applyBorder="1"/>
    <xf numFmtId="0" fontId="0" fillId="9" borderId="7" xfId="0" applyFill="1" applyBorder="1"/>
    <xf numFmtId="0" fontId="65" fillId="0" borderId="7" xfId="0" applyFont="1" applyBorder="1"/>
    <xf numFmtId="0" fontId="61" fillId="48" borderId="33" xfId="0" applyFont="1" applyFill="1" applyBorder="1"/>
    <xf numFmtId="0" fontId="171" fillId="0" borderId="0" xfId="0" applyFont="1"/>
    <xf numFmtId="0" fontId="172" fillId="16" borderId="0" xfId="0" applyFont="1" applyFill="1"/>
    <xf numFmtId="0" fontId="172" fillId="17" borderId="0" xfId="0" applyFont="1" applyFill="1" applyAlignment="1">
      <alignment horizontal="fill"/>
    </xf>
    <xf numFmtId="0" fontId="172" fillId="18" borderId="0" xfId="0" applyFont="1" applyFill="1"/>
    <xf numFmtId="0" fontId="62" fillId="0" borderId="41" xfId="0" applyFont="1" applyBorder="1"/>
    <xf numFmtId="0" fontId="0" fillId="49" borderId="7" xfId="0" applyFill="1" applyBorder="1"/>
    <xf numFmtId="0" fontId="0" fillId="6" borderId="7" xfId="0" applyFill="1" applyBorder="1"/>
    <xf numFmtId="0" fontId="0" fillId="50" borderId="7" xfId="0" applyFill="1" applyBorder="1"/>
    <xf numFmtId="0" fontId="0" fillId="8" borderId="7" xfId="0" applyFill="1" applyBorder="1"/>
    <xf numFmtId="0" fontId="62" fillId="0" borderId="0" xfId="0" applyFont="1" applyAlignment="1">
      <alignment horizontal="center"/>
    </xf>
    <xf numFmtId="0" fontId="62" fillId="0" borderId="0" xfId="0" applyFont="1" applyAlignment="1">
      <alignment horizontal="left"/>
    </xf>
    <xf numFmtId="0" fontId="59" fillId="0" borderId="29" xfId="0" applyFont="1" applyBorder="1"/>
    <xf numFmtId="0" fontId="59" fillId="0" borderId="44" xfId="0" applyFont="1" applyBorder="1"/>
    <xf numFmtId="0" fontId="173" fillId="0" borderId="26" xfId="0" applyFont="1" applyBorder="1" applyAlignment="1">
      <alignment horizontal="left" vertical="center"/>
    </xf>
    <xf numFmtId="0" fontId="59" fillId="0" borderId="0" xfId="0" applyFont="1"/>
    <xf numFmtId="0" fontId="59" fillId="0" borderId="10" xfId="0" applyFont="1" applyBorder="1"/>
    <xf numFmtId="0" fontId="174" fillId="0" borderId="26" xfId="0" applyFont="1" applyBorder="1" applyAlignment="1">
      <alignment horizontal="left" vertical="center"/>
    </xf>
    <xf numFmtId="0" fontId="59" fillId="0" borderId="38" xfId="0" applyFont="1" applyBorder="1"/>
    <xf numFmtId="0" fontId="59" fillId="0" borderId="31" xfId="0" applyFont="1" applyBorder="1"/>
    <xf numFmtId="0" fontId="59" fillId="0" borderId="43" xfId="0" applyFont="1" applyBorder="1"/>
    <xf numFmtId="0" fontId="173" fillId="0" borderId="32" xfId="0" applyFont="1" applyBorder="1" applyAlignment="1">
      <alignment horizontal="left" vertical="center"/>
    </xf>
    <xf numFmtId="0" fontId="171" fillId="0" borderId="95" xfId="0" applyFont="1" applyBorder="1"/>
    <xf numFmtId="0" fontId="0" fillId="0" borderId="0" xfId="0" quotePrefix="1"/>
    <xf numFmtId="167" fontId="119" fillId="0" borderId="0" xfId="0" applyNumberFormat="1" applyFont="1"/>
    <xf numFmtId="167" fontId="119" fillId="13" borderId="0" xfId="0" applyNumberFormat="1" applyFont="1" applyFill="1" applyAlignment="1">
      <alignment horizontal="right"/>
    </xf>
    <xf numFmtId="0" fontId="0" fillId="0" borderId="26" xfId="0" applyBorder="1"/>
    <xf numFmtId="0" fontId="76" fillId="0" borderId="0" xfId="0" applyFont="1" applyAlignment="1">
      <alignment horizontal="center"/>
    </xf>
    <xf numFmtId="0" fontId="85" fillId="16" borderId="0" xfId="0" applyFont="1" applyFill="1" applyAlignment="1">
      <alignment horizontal="left"/>
    </xf>
    <xf numFmtId="0" fontId="85" fillId="17" borderId="0" xfId="0" applyFont="1" applyFill="1"/>
    <xf numFmtId="0" fontId="85" fillId="18" borderId="0" xfId="0" applyFont="1" applyFill="1" applyAlignment="1">
      <alignment horizontal="fill"/>
    </xf>
    <xf numFmtId="166" fontId="82" fillId="31" borderId="0" xfId="0" applyNumberFormat="1" applyFont="1" applyFill="1"/>
    <xf numFmtId="167" fontId="82" fillId="5" borderId="45" xfId="0" applyNumberFormat="1" applyFont="1" applyFill="1" applyBorder="1" applyAlignment="1">
      <alignment horizontal="right"/>
    </xf>
    <xf numFmtId="0" fontId="82" fillId="5" borderId="0" xfId="0" quotePrefix="1" applyFont="1" applyFill="1" applyAlignment="1">
      <alignment horizontal="left" indent="3"/>
    </xf>
    <xf numFmtId="0" fontId="122" fillId="18" borderId="0" xfId="9" applyFont="1" applyFill="1" applyAlignment="1">
      <alignment horizontal="left" vertical="top" indent="1"/>
    </xf>
    <xf numFmtId="172" fontId="175" fillId="5" borderId="29" xfId="0" quotePrefix="1" applyNumberFormat="1" applyFont="1" applyFill="1" applyBorder="1" applyAlignment="1">
      <alignment horizontal="right"/>
    </xf>
    <xf numFmtId="167" fontId="82" fillId="0" borderId="23" xfId="0" applyNumberFormat="1" applyFont="1" applyBorder="1"/>
    <xf numFmtId="3" fontId="121" fillId="0" borderId="0" xfId="9" applyNumberFormat="1" applyFont="1">
      <alignment vertical="top"/>
    </xf>
    <xf numFmtId="167" fontId="120" fillId="0" borderId="0" xfId="0" applyNumberFormat="1" applyFont="1"/>
    <xf numFmtId="0" fontId="110" fillId="0" borderId="0" xfId="0" applyFont="1"/>
    <xf numFmtId="0" fontId="167" fillId="0" borderId="0" xfId="0" applyFont="1" applyAlignment="1">
      <alignment horizontal="right"/>
    </xf>
    <xf numFmtId="0" fontId="169" fillId="0" borderId="0" xfId="0" applyFont="1" applyAlignment="1">
      <alignment horizontal="right"/>
    </xf>
    <xf numFmtId="0" fontId="168" fillId="0" borderId="97" xfId="0" applyFont="1" applyBorder="1" applyAlignment="1">
      <alignment horizontal="right"/>
    </xf>
    <xf numFmtId="0" fontId="0" fillId="0" borderId="94" xfId="0" applyBorder="1"/>
    <xf numFmtId="0" fontId="0" fillId="0" borderId="106" xfId="0" applyBorder="1"/>
    <xf numFmtId="0" fontId="0" fillId="0" borderId="107" xfId="0" applyBorder="1"/>
    <xf numFmtId="0" fontId="0" fillId="0" borderId="108" xfId="0" applyBorder="1"/>
    <xf numFmtId="0" fontId="176" fillId="0" borderId="0" xfId="0" applyFont="1"/>
    <xf numFmtId="0" fontId="177" fillId="0" borderId="0" xfId="0" applyFont="1"/>
    <xf numFmtId="0" fontId="176" fillId="0" borderId="0" xfId="0" applyFont="1" applyAlignment="1">
      <alignment horizontal="right"/>
    </xf>
    <xf numFmtId="0" fontId="169" fillId="0" borderId="0" xfId="0" applyFont="1" applyAlignment="1">
      <alignment horizontal="left"/>
    </xf>
    <xf numFmtId="0" fontId="167" fillId="0" borderId="0" xfId="0" applyFont="1" applyAlignment="1">
      <alignment horizontal="left"/>
    </xf>
    <xf numFmtId="0" fontId="73" fillId="0" borderId="107" xfId="0" applyFont="1" applyBorder="1"/>
    <xf numFmtId="167" fontId="178" fillId="0" borderId="28" xfId="0" applyNumberFormat="1" applyFont="1" applyBorder="1"/>
    <xf numFmtId="167" fontId="178" fillId="0" borderId="0" xfId="0" applyNumberFormat="1" applyFont="1"/>
    <xf numFmtId="0" fontId="178" fillId="0" borderId="0" xfId="0" applyFont="1"/>
    <xf numFmtId="166" fontId="82" fillId="5" borderId="0" xfId="0" applyNumberFormat="1" applyFont="1" applyFill="1"/>
    <xf numFmtId="166" fontId="82" fillId="5" borderId="45" xfId="0" applyNumberFormat="1" applyFont="1" applyFill="1" applyBorder="1"/>
    <xf numFmtId="167" fontId="110" fillId="5" borderId="0" xfId="0" applyNumberFormat="1" applyFont="1" applyFill="1"/>
    <xf numFmtId="166" fontId="113" fillId="5" borderId="0" xfId="0" applyNumberFormat="1" applyFont="1" applyFill="1"/>
    <xf numFmtId="166" fontId="113" fillId="5" borderId="45" xfId="0" applyNumberFormat="1" applyFont="1" applyFill="1" applyBorder="1"/>
    <xf numFmtId="166" fontId="111" fillId="5" borderId="0" xfId="0" applyNumberFormat="1" applyFont="1" applyFill="1"/>
    <xf numFmtId="166" fontId="111" fillId="5" borderId="45" xfId="0" applyNumberFormat="1" applyFont="1" applyFill="1" applyBorder="1"/>
    <xf numFmtId="167" fontId="110" fillId="5" borderId="45" xfId="0" applyNumberFormat="1" applyFont="1" applyFill="1" applyBorder="1"/>
    <xf numFmtId="172" fontId="127" fillId="5" borderId="0" xfId="0" applyNumberFormat="1" applyFont="1" applyFill="1"/>
    <xf numFmtId="0" fontId="82" fillId="0" borderId="0" xfId="0" applyFont="1" applyAlignment="1">
      <alignment horizontal="left" indent="1"/>
    </xf>
    <xf numFmtId="0" fontId="113" fillId="13" borderId="27" xfId="0" applyFont="1" applyFill="1" applyBorder="1"/>
    <xf numFmtId="167" fontId="82" fillId="13" borderId="28" xfId="0" applyNumberFormat="1" applyFont="1" applyFill="1" applyBorder="1"/>
    <xf numFmtId="167" fontId="82" fillId="13" borderId="0" xfId="0" applyNumberFormat="1" applyFont="1" applyFill="1"/>
    <xf numFmtId="167" fontId="82" fillId="13" borderId="45" xfId="0" applyNumberFormat="1" applyFont="1" applyFill="1" applyBorder="1"/>
    <xf numFmtId="167" fontId="133" fillId="5" borderId="0" xfId="0" applyNumberFormat="1" applyFont="1" applyFill="1"/>
    <xf numFmtId="167" fontId="133" fillId="5" borderId="45" xfId="0" applyNumberFormat="1" applyFont="1" applyFill="1" applyBorder="1"/>
    <xf numFmtId="0" fontId="0" fillId="0" borderId="0" xfId="0" applyAlignment="1">
      <alignment horizontal="left"/>
    </xf>
    <xf numFmtId="0" fontId="0" fillId="0" borderId="94" xfId="0" applyBorder="1" applyAlignment="1">
      <alignment horizontal="left"/>
    </xf>
    <xf numFmtId="0" fontId="176" fillId="0" borderId="0" xfId="0" applyFont="1" applyAlignment="1">
      <alignment horizontal="left"/>
    </xf>
    <xf numFmtId="0" fontId="59" fillId="0" borderId="29" xfId="0" applyFont="1" applyBorder="1" applyAlignment="1">
      <alignment horizontal="left"/>
    </xf>
    <xf numFmtId="0" fontId="59" fillId="0" borderId="0" xfId="0" applyFont="1" applyAlignment="1">
      <alignment horizontal="left"/>
    </xf>
    <xf numFmtId="0" fontId="59" fillId="0" borderId="31" xfId="0" applyFont="1" applyBorder="1" applyAlignment="1">
      <alignment horizontal="left"/>
    </xf>
    <xf numFmtId="0" fontId="179" fillId="0" borderId="0" xfId="0" applyFont="1"/>
    <xf numFmtId="17" fontId="175" fillId="5" borderId="0" xfId="6" applyNumberFormat="1" applyFont="1" applyFill="1"/>
    <xf numFmtId="0" fontId="113" fillId="5" borderId="0" xfId="6" applyFont="1" applyFill="1"/>
    <xf numFmtId="167" fontId="119" fillId="0" borderId="0" xfId="0" applyNumberFormat="1" applyFont="1" applyAlignment="1">
      <alignment horizontal="right"/>
    </xf>
    <xf numFmtId="167" fontId="119" fillId="0" borderId="23" xfId="0" applyNumberFormat="1" applyFont="1" applyBorder="1"/>
    <xf numFmtId="167" fontId="180" fillId="0" borderId="0" xfId="0" applyNumberFormat="1" applyFont="1"/>
    <xf numFmtId="0" fontId="113" fillId="0" borderId="0" xfId="0" applyFont="1" applyAlignment="1">
      <alignment horizontal="left" indent="1"/>
    </xf>
    <xf numFmtId="0" fontId="181" fillId="0" borderId="0" xfId="0" applyFont="1"/>
    <xf numFmtId="0" fontId="182" fillId="0" borderId="0" xfId="0" applyFont="1"/>
    <xf numFmtId="0" fontId="150" fillId="5" borderId="0" xfId="0" quotePrefix="1" applyFont="1" applyFill="1" applyAlignment="1">
      <alignment horizontal="left" indent="2"/>
    </xf>
    <xf numFmtId="0" fontId="112" fillId="5" borderId="0" xfId="6" applyFont="1" applyFill="1" applyAlignment="1">
      <alignment horizontal="left" indent="1"/>
    </xf>
    <xf numFmtId="167" fontId="183" fillId="0" borderId="0" xfId="0" applyNumberFormat="1" applyFont="1"/>
    <xf numFmtId="167" fontId="184" fillId="13" borderId="0" xfId="0" applyNumberFormat="1" applyFont="1" applyFill="1" applyAlignment="1">
      <alignment horizontal="right"/>
    </xf>
    <xf numFmtId="167" fontId="185" fillId="0" borderId="0" xfId="0" applyNumberFormat="1" applyFont="1"/>
    <xf numFmtId="0" fontId="122" fillId="0" borderId="0" xfId="9" applyFont="1" applyAlignment="1">
      <alignment horizontal="left" vertical="top" indent="1"/>
    </xf>
    <xf numFmtId="167" fontId="127" fillId="5" borderId="4" xfId="10" applyNumberFormat="1" applyFont="1" applyFill="1" applyBorder="1"/>
    <xf numFmtId="0" fontId="111" fillId="5" borderId="4" xfId="10" applyFont="1" applyFill="1" applyBorder="1"/>
    <xf numFmtId="167" fontId="186" fillId="0" borderId="91" xfId="0" applyNumberFormat="1" applyFont="1" applyBorder="1" applyAlignment="1">
      <alignment horizontal="right"/>
    </xf>
    <xf numFmtId="167" fontId="186" fillId="39" borderId="109" xfId="0" applyNumberFormat="1" applyFont="1" applyFill="1" applyBorder="1" applyAlignment="1">
      <alignment horizontal="right"/>
    </xf>
    <xf numFmtId="167" fontId="187" fillId="0" borderId="0" xfId="0" applyNumberFormat="1" applyFont="1" applyAlignment="1">
      <alignment horizontal="right"/>
    </xf>
    <xf numFmtId="167" fontId="175" fillId="0" borderId="0" xfId="0" applyNumberFormat="1" applyFont="1"/>
    <xf numFmtId="167" fontId="175" fillId="0" borderId="0" xfId="0" applyNumberFormat="1" applyFont="1" applyAlignment="1">
      <alignment horizontal="right"/>
    </xf>
    <xf numFmtId="167" fontId="175" fillId="0" borderId="23" xfId="0" applyNumberFormat="1" applyFont="1" applyBorder="1"/>
    <xf numFmtId="167" fontId="187" fillId="0" borderId="0" xfId="0" applyNumberFormat="1" applyFont="1"/>
    <xf numFmtId="167" fontId="188" fillId="0" borderId="0" xfId="0" applyNumberFormat="1" applyFont="1" applyAlignment="1">
      <alignment horizontal="left"/>
    </xf>
    <xf numFmtId="0" fontId="0" fillId="5" borderId="0" xfId="0" applyFill="1"/>
    <xf numFmtId="172" fontId="73" fillId="5" borderId="0" xfId="0" applyNumberFormat="1" applyFont="1" applyFill="1"/>
    <xf numFmtId="17" fontId="189" fillId="5" borderId="0" xfId="9" applyNumberFormat="1" applyFont="1" applyFill="1">
      <alignment vertical="top"/>
    </xf>
    <xf numFmtId="172" fontId="190" fillId="5" borderId="0" xfId="0" applyNumberFormat="1" applyFont="1" applyFill="1"/>
    <xf numFmtId="17" fontId="175" fillId="5" borderId="0" xfId="0" applyNumberFormat="1" applyFont="1" applyFill="1"/>
    <xf numFmtId="0" fontId="85" fillId="10" borderId="7" xfId="0" applyFont="1" applyFill="1" applyBorder="1"/>
    <xf numFmtId="168" fontId="0" fillId="10" borderId="7" xfId="0" applyNumberFormat="1" applyFill="1" applyBorder="1" applyAlignment="1">
      <alignment horizontal="right"/>
    </xf>
    <xf numFmtId="168" fontId="65" fillId="10" borderId="7" xfId="0" applyNumberFormat="1" applyFont="1" applyFill="1" applyBorder="1" applyAlignment="1">
      <alignment horizontal="right"/>
    </xf>
    <xf numFmtId="168" fontId="73" fillId="10" borderId="7" xfId="0" applyNumberFormat="1" applyFont="1" applyFill="1" applyBorder="1" applyAlignment="1">
      <alignment horizontal="right"/>
    </xf>
    <xf numFmtId="3" fontId="73" fillId="10" borderId="7" xfId="0" applyNumberFormat="1" applyFont="1" applyFill="1" applyBorder="1" applyAlignment="1">
      <alignment horizontal="right"/>
    </xf>
    <xf numFmtId="3" fontId="0" fillId="10" borderId="7" xfId="0" applyNumberFormat="1" applyFill="1" applyBorder="1" applyAlignment="1">
      <alignment horizontal="right"/>
    </xf>
    <xf numFmtId="3" fontId="65" fillId="10" borderId="7" xfId="0" applyNumberFormat="1" applyFont="1" applyFill="1" applyBorder="1" applyAlignment="1">
      <alignment horizontal="right"/>
    </xf>
    <xf numFmtId="168" fontId="0" fillId="10" borderId="7" xfId="0" applyNumberFormat="1" applyFill="1" applyBorder="1"/>
    <xf numFmtId="1" fontId="0" fillId="10" borderId="7" xfId="0" applyNumberFormat="1" applyFill="1" applyBorder="1"/>
    <xf numFmtId="167" fontId="66" fillId="13" borderId="56" xfId="0" applyNumberFormat="1" applyFont="1" applyFill="1" applyBorder="1" applyAlignment="1">
      <alignment horizontal="right"/>
    </xf>
    <xf numFmtId="0" fontId="74" fillId="0" borderId="0" xfId="0" applyFont="1" applyAlignment="1">
      <alignment horizontal="center"/>
    </xf>
    <xf numFmtId="0" fontId="66" fillId="0" borderId="0" xfId="0" applyFont="1" applyAlignment="1">
      <alignment horizontal="left"/>
    </xf>
    <xf numFmtId="0" fontId="191" fillId="0" borderId="0" xfId="0" applyFont="1" applyAlignment="1">
      <alignment horizontal="left"/>
    </xf>
    <xf numFmtId="172" fontId="175" fillId="5" borderId="0" xfId="0" quotePrefix="1" applyNumberFormat="1" applyFont="1" applyFill="1" applyAlignment="1">
      <alignment horizontal="right"/>
    </xf>
    <xf numFmtId="172" fontId="112" fillId="0" borderId="0" xfId="0" applyNumberFormat="1" applyFont="1"/>
    <xf numFmtId="172" fontId="175" fillId="5" borderId="57" xfId="0" quotePrefix="1" applyNumberFormat="1" applyFont="1" applyFill="1" applyBorder="1" applyAlignment="1">
      <alignment horizontal="right"/>
    </xf>
    <xf numFmtId="17" fontId="175" fillId="5" borderId="45" xfId="6" applyNumberFormat="1" applyFont="1" applyFill="1" applyBorder="1"/>
    <xf numFmtId="167" fontId="127" fillId="5" borderId="58" xfId="10" applyNumberFormat="1" applyFont="1" applyFill="1" applyBorder="1"/>
    <xf numFmtId="167" fontId="113" fillId="13" borderId="45" xfId="0" applyNumberFormat="1" applyFont="1" applyFill="1" applyBorder="1" applyAlignment="1">
      <alignment horizontal="right"/>
    </xf>
    <xf numFmtId="172" fontId="62" fillId="21" borderId="0" xfId="0" applyNumberFormat="1" applyFont="1" applyFill="1"/>
    <xf numFmtId="172" fontId="73" fillId="5" borderId="45" xfId="0" applyNumberFormat="1" applyFont="1" applyFill="1" applyBorder="1"/>
    <xf numFmtId="17" fontId="175" fillId="5" borderId="45" xfId="0" applyNumberFormat="1" applyFont="1" applyFill="1" applyBorder="1"/>
    <xf numFmtId="167" fontId="82" fillId="0" borderId="31" xfId="0" applyNumberFormat="1" applyFont="1" applyBorder="1"/>
    <xf numFmtId="167" fontId="82" fillId="13" borderId="53" xfId="0" applyNumberFormat="1" applyFont="1" applyFill="1" applyBorder="1"/>
    <xf numFmtId="167" fontId="82" fillId="13" borderId="31" xfId="0" applyNumberFormat="1" applyFont="1" applyFill="1" applyBorder="1"/>
    <xf numFmtId="167" fontId="82" fillId="20" borderId="0" xfId="0" applyNumberFormat="1" applyFont="1" applyFill="1" applyAlignment="1">
      <alignment horizontal="right"/>
    </xf>
    <xf numFmtId="167" fontId="82" fillId="20" borderId="0" xfId="0" applyNumberFormat="1" applyFont="1" applyFill="1"/>
    <xf numFmtId="167" fontId="119" fillId="20" borderId="0" xfId="0" applyNumberFormat="1" applyFont="1" applyFill="1"/>
    <xf numFmtId="167" fontId="113" fillId="20" borderId="0" xfId="0" applyNumberFormat="1" applyFont="1" applyFill="1"/>
    <xf numFmtId="49" fontId="192" fillId="0" borderId="0" xfId="0" applyNumberFormat="1" applyFont="1" applyAlignment="1">
      <alignment horizontal="right"/>
    </xf>
    <xf numFmtId="167" fontId="192" fillId="0" borderId="0" xfId="0" applyNumberFormat="1" applyFont="1" applyAlignment="1">
      <alignment horizontal="right"/>
    </xf>
    <xf numFmtId="0" fontId="150" fillId="5" borderId="0" xfId="0" applyFont="1" applyFill="1" applyAlignment="1">
      <alignment horizontal="left" indent="1"/>
    </xf>
    <xf numFmtId="167" fontId="151" fillId="29" borderId="0" xfId="0" applyNumberFormat="1" applyFont="1" applyFill="1"/>
    <xf numFmtId="167" fontId="186" fillId="39" borderId="92" xfId="0" applyNumberFormat="1" applyFont="1" applyFill="1" applyBorder="1" applyAlignment="1">
      <alignment horizontal="right"/>
    </xf>
    <xf numFmtId="167" fontId="193" fillId="0" borderId="0" xfId="0" applyNumberFormat="1" applyFont="1" applyAlignment="1">
      <alignment horizontal="right"/>
    </xf>
    <xf numFmtId="0" fontId="151" fillId="38" borderId="0" xfId="0" applyFont="1" applyFill="1"/>
    <xf numFmtId="167" fontId="150" fillId="43" borderId="0" xfId="0" applyNumberFormat="1" applyFont="1" applyFill="1" applyAlignment="1">
      <alignment horizontal="right"/>
    </xf>
    <xf numFmtId="172" fontId="143" fillId="0" borderId="0" xfId="0" applyNumberFormat="1" applyFont="1" applyAlignment="1">
      <alignment horizontal="right"/>
    </xf>
    <xf numFmtId="167" fontId="62" fillId="27" borderId="0" xfId="0" applyNumberFormat="1" applyFont="1" applyFill="1" applyAlignment="1">
      <alignment horizontal="left"/>
    </xf>
    <xf numFmtId="0" fontId="62" fillId="0" borderId="32" xfId="0" applyFont="1" applyBorder="1" applyAlignment="1">
      <alignment horizontal="right"/>
    </xf>
    <xf numFmtId="0" fontId="62" fillId="0" borderId="29" xfId="0" applyFont="1" applyBorder="1" applyAlignment="1">
      <alignment horizontal="right"/>
    </xf>
    <xf numFmtId="0" fontId="62" fillId="0" borderId="38" xfId="0" applyFont="1" applyBorder="1" applyAlignment="1">
      <alignment horizontal="right"/>
    </xf>
    <xf numFmtId="0" fontId="62" fillId="0" borderId="31" xfId="0" applyFont="1" applyBorder="1" applyAlignment="1">
      <alignment horizontal="right"/>
    </xf>
    <xf numFmtId="0" fontId="22" fillId="0" borderId="26" xfId="0" applyFont="1" applyBorder="1" applyAlignment="1">
      <alignment vertical="top"/>
    </xf>
    <xf numFmtId="168" fontId="99" fillId="15" borderId="34" xfId="0" applyNumberFormat="1" applyFont="1" applyFill="1" applyBorder="1"/>
    <xf numFmtId="168" fontId="0" fillId="0" borderId="22" xfId="0" applyNumberFormat="1" applyBorder="1"/>
    <xf numFmtId="0" fontId="76" fillId="0" borderId="26" xfId="0" applyFont="1" applyBorder="1" applyAlignment="1">
      <alignment vertical="top"/>
    </xf>
    <xf numFmtId="0" fontId="62" fillId="0" borderId="31" xfId="0" applyFont="1" applyBorder="1"/>
    <xf numFmtId="0" fontId="66" fillId="0" borderId="31" xfId="0" applyFont="1" applyBorder="1"/>
    <xf numFmtId="0" fontId="76" fillId="0" borderId="31" xfId="0" applyFont="1" applyBorder="1" applyAlignment="1">
      <alignment horizontal="right"/>
    </xf>
    <xf numFmtId="0" fontId="76" fillId="0" borderId="31" xfId="0" applyFont="1" applyBorder="1"/>
    <xf numFmtId="0" fontId="67" fillId="0" borderId="0" xfId="0" applyFont="1"/>
    <xf numFmtId="0" fontId="76" fillId="0" borderId="0" xfId="0" applyFont="1" applyAlignment="1">
      <alignment vertical="top"/>
    </xf>
    <xf numFmtId="166" fontId="88" fillId="15" borderId="110" xfId="0" applyNumberFormat="1" applyFont="1" applyFill="1" applyBorder="1"/>
    <xf numFmtId="166" fontId="88" fillId="15" borderId="59" xfId="0" applyNumberFormat="1" applyFont="1" applyFill="1" applyBorder="1"/>
    <xf numFmtId="0" fontId="84" fillId="12" borderId="37" xfId="0" applyFont="1" applyFill="1" applyBorder="1"/>
    <xf numFmtId="0" fontId="84" fillId="12" borderId="60" xfId="0" applyFont="1" applyFill="1" applyBorder="1"/>
    <xf numFmtId="1" fontId="85" fillId="27" borderId="0" xfId="0" applyNumberFormat="1" applyFont="1" applyFill="1"/>
    <xf numFmtId="168" fontId="77" fillId="15" borderId="7" xfId="0" applyNumberFormat="1" applyFont="1" applyFill="1" applyBorder="1"/>
    <xf numFmtId="3" fontId="131" fillId="39" borderId="0" xfId="0" applyNumberFormat="1" applyFont="1" applyFill="1" applyAlignment="1">
      <alignment horizontal="right"/>
    </xf>
    <xf numFmtId="17" fontId="96" fillId="32" borderId="26" xfId="0" quotePrefix="1" applyNumberFormat="1" applyFont="1" applyFill="1" applyBorder="1" applyAlignment="1">
      <alignment horizontal="center"/>
    </xf>
    <xf numFmtId="0" fontId="85" fillId="32" borderId="26" xfId="0" applyFont="1" applyFill="1" applyBorder="1" applyAlignment="1">
      <alignment horizontal="right"/>
    </xf>
    <xf numFmtId="1" fontId="74" fillId="51" borderId="26" xfId="0" applyNumberFormat="1" applyFont="1" applyFill="1" applyBorder="1"/>
    <xf numFmtId="1" fontId="66" fillId="51" borderId="26" xfId="0" applyNumberFormat="1" applyFont="1" applyFill="1" applyBorder="1"/>
    <xf numFmtId="1" fontId="74" fillId="0" borderId="0" xfId="0" applyNumberFormat="1" applyFont="1"/>
    <xf numFmtId="1" fontId="66" fillId="0" borderId="0" xfId="0" applyNumberFormat="1" applyFont="1"/>
    <xf numFmtId="1" fontId="74" fillId="0" borderId="10" xfId="0" applyNumberFormat="1" applyFont="1" applyBorder="1"/>
    <xf numFmtId="1" fontId="66" fillId="0" borderId="10" xfId="0" applyNumberFormat="1" applyFont="1" applyBorder="1"/>
    <xf numFmtId="1" fontId="93" fillId="0" borderId="7" xfId="0" applyNumberFormat="1" applyFont="1" applyBorder="1"/>
    <xf numFmtId="168" fontId="66" fillId="0" borderId="0" xfId="0" applyNumberFormat="1" applyFont="1"/>
    <xf numFmtId="168" fontId="66" fillId="51" borderId="26" xfId="0" applyNumberFormat="1" applyFont="1" applyFill="1" applyBorder="1"/>
    <xf numFmtId="168" fontId="66" fillId="0" borderId="10" xfId="0" applyNumberFormat="1" applyFont="1" applyBorder="1"/>
    <xf numFmtId="1" fontId="74" fillId="52" borderId="0" xfId="0" applyNumberFormat="1" applyFont="1" applyFill="1"/>
    <xf numFmtId="1" fontId="66" fillId="52" borderId="0" xfId="0" applyNumberFormat="1" applyFont="1" applyFill="1"/>
    <xf numFmtId="0" fontId="74" fillId="53" borderId="0" xfId="0" applyFont="1" applyFill="1" applyAlignment="1">
      <alignment horizontal="left" indent="1"/>
    </xf>
    <xf numFmtId="0" fontId="66" fillId="53" borderId="0" xfId="0" applyFont="1" applyFill="1" applyAlignment="1">
      <alignment horizontal="left" indent="1"/>
    </xf>
    <xf numFmtId="2" fontId="91" fillId="15" borderId="7" xfId="0" applyNumberFormat="1" applyFont="1" applyFill="1" applyBorder="1"/>
    <xf numFmtId="167" fontId="101" fillId="13" borderId="0" xfId="0" applyNumberFormat="1" applyFont="1" applyFill="1" applyAlignment="1">
      <alignment horizontal="right"/>
    </xf>
    <xf numFmtId="166" fontId="144" fillId="21" borderId="0" xfId="0" applyNumberFormat="1" applyFont="1" applyFill="1" applyAlignment="1">
      <alignment horizontal="right"/>
    </xf>
    <xf numFmtId="0" fontId="194" fillId="13" borderId="0" xfId="0" applyFont="1" applyFill="1"/>
    <xf numFmtId="167" fontId="101" fillId="18" borderId="0" xfId="0" applyNumberFormat="1" applyFont="1" applyFill="1" applyAlignment="1">
      <alignment horizontal="right"/>
    </xf>
    <xf numFmtId="0" fontId="195" fillId="13" borderId="0" xfId="0" applyFont="1" applyFill="1" applyAlignment="1">
      <alignment horizontal="left" indent="4"/>
    </xf>
    <xf numFmtId="166" fontId="91" fillId="15" borderId="7" xfId="0" applyNumberFormat="1" applyFont="1" applyFill="1" applyBorder="1"/>
    <xf numFmtId="168" fontId="66" fillId="46" borderId="27" xfId="0" applyNumberFormat="1" applyFont="1" applyFill="1" applyBorder="1"/>
    <xf numFmtId="168" fontId="66" fillId="46" borderId="28" xfId="0" applyNumberFormat="1" applyFont="1" applyFill="1" applyBorder="1"/>
    <xf numFmtId="168" fontId="66" fillId="46" borderId="47" xfId="0" applyNumberFormat="1" applyFont="1" applyFill="1" applyBorder="1"/>
    <xf numFmtId="0" fontId="72" fillId="12" borderId="7" xfId="0" applyFont="1" applyFill="1" applyBorder="1" applyAlignment="1">
      <alignment horizontal="right" vertical="top"/>
    </xf>
    <xf numFmtId="0" fontId="80" fillId="12" borderId="7" xfId="0" applyFont="1" applyFill="1" applyBorder="1" applyAlignment="1">
      <alignment vertical="top"/>
    </xf>
    <xf numFmtId="0" fontId="80" fillId="12" borderId="7" xfId="0" applyFont="1" applyFill="1" applyBorder="1" applyAlignment="1">
      <alignment horizontal="right" vertical="top"/>
    </xf>
    <xf numFmtId="166" fontId="72" fillId="12" borderId="7" xfId="0" applyNumberFormat="1" applyFont="1" applyFill="1" applyBorder="1" applyAlignment="1">
      <alignment horizontal="right" vertical="top"/>
    </xf>
    <xf numFmtId="0" fontId="72" fillId="54" borderId="0" xfId="0" applyFont="1" applyFill="1"/>
    <xf numFmtId="0" fontId="134" fillId="54" borderId="0" xfId="0" applyFont="1" applyFill="1"/>
    <xf numFmtId="166" fontId="62" fillId="54" borderId="0" xfId="0" applyNumberFormat="1" applyFont="1" applyFill="1"/>
    <xf numFmtId="166" fontId="67" fillId="54" borderId="0" xfId="0" applyNumberFormat="1" applyFont="1" applyFill="1"/>
    <xf numFmtId="166" fontId="0" fillId="54" borderId="29" xfId="0" applyNumberFormat="1" applyFill="1" applyBorder="1"/>
    <xf numFmtId="166" fontId="65" fillId="54" borderId="29" xfId="0" applyNumberFormat="1" applyFont="1" applyFill="1" applyBorder="1"/>
    <xf numFmtId="166" fontId="73" fillId="54" borderId="0" xfId="0" applyNumberFormat="1" applyFont="1" applyFill="1"/>
    <xf numFmtId="166" fontId="87" fillId="54" borderId="0" xfId="0" applyNumberFormat="1" applyFont="1" applyFill="1"/>
    <xf numFmtId="166" fontId="0" fillId="54" borderId="0" xfId="0" applyNumberFormat="1" applyFill="1"/>
    <xf numFmtId="166" fontId="65" fillId="54" borderId="0" xfId="0" applyNumberFormat="1" applyFont="1" applyFill="1"/>
    <xf numFmtId="166" fontId="73" fillId="54" borderId="31" xfId="0" applyNumberFormat="1" applyFont="1" applyFill="1" applyBorder="1"/>
    <xf numFmtId="166" fontId="87" fillId="54" borderId="31" xfId="0" applyNumberFormat="1" applyFont="1" applyFill="1" applyBorder="1"/>
    <xf numFmtId="0" fontId="62" fillId="54" borderId="0" xfId="0" applyFont="1" applyFill="1"/>
    <xf numFmtId="0" fontId="67" fillId="54" borderId="0" xfId="0" applyFont="1" applyFill="1"/>
    <xf numFmtId="0" fontId="0" fillId="54" borderId="0" xfId="0" applyFill="1"/>
    <xf numFmtId="0" fontId="0" fillId="54" borderId="29" xfId="0" applyFill="1" applyBorder="1"/>
    <xf numFmtId="0" fontId="62" fillId="54" borderId="31" xfId="0" applyFont="1" applyFill="1" applyBorder="1"/>
    <xf numFmtId="0" fontId="67" fillId="54" borderId="31" xfId="0" applyFont="1" applyFill="1" applyBorder="1"/>
    <xf numFmtId="0" fontId="196" fillId="54" borderId="31" xfId="0" applyFont="1" applyFill="1" applyBorder="1"/>
    <xf numFmtId="166" fontId="84" fillId="54" borderId="0" xfId="0" applyNumberFormat="1" applyFont="1" applyFill="1"/>
    <xf numFmtId="166" fontId="85" fillId="54" borderId="0" xfId="0" applyNumberFormat="1" applyFont="1" applyFill="1"/>
    <xf numFmtId="2" fontId="65" fillId="54" borderId="0" xfId="0" applyNumberFormat="1" applyFont="1" applyFill="1"/>
    <xf numFmtId="2" fontId="0" fillId="54" borderId="0" xfId="0" applyNumberFormat="1" applyFill="1"/>
    <xf numFmtId="166" fontId="76" fillId="54" borderId="0" xfId="0" applyNumberFormat="1" applyFont="1" applyFill="1"/>
    <xf numFmtId="166" fontId="78" fillId="54" borderId="0" xfId="0" applyNumberFormat="1" applyFont="1" applyFill="1"/>
    <xf numFmtId="0" fontId="197" fillId="0" borderId="0" xfId="0" applyFont="1" applyAlignment="1">
      <alignment horizontal="right"/>
    </xf>
    <xf numFmtId="0" fontId="198" fillId="0" borderId="0" xfId="0" applyFont="1" applyAlignment="1">
      <alignment horizontal="left"/>
    </xf>
    <xf numFmtId="1" fontId="90" fillId="32" borderId="10" xfId="0" applyNumberFormat="1" applyFont="1" applyFill="1" applyBorder="1"/>
    <xf numFmtId="1" fontId="90" fillId="32" borderId="31" xfId="0" applyNumberFormat="1" applyFont="1" applyFill="1" applyBorder="1"/>
    <xf numFmtId="1" fontId="90" fillId="32" borderId="43" xfId="0" applyNumberFormat="1" applyFont="1" applyFill="1" applyBorder="1"/>
    <xf numFmtId="1" fontId="90" fillId="32" borderId="0" xfId="0" applyNumberFormat="1" applyFont="1" applyFill="1"/>
    <xf numFmtId="1" fontId="69" fillId="32" borderId="29" xfId="0" applyNumberFormat="1" applyFont="1" applyFill="1" applyBorder="1"/>
    <xf numFmtId="1" fontId="69" fillId="32" borderId="31" xfId="0" applyNumberFormat="1" applyFont="1" applyFill="1" applyBorder="1"/>
    <xf numFmtId="49" fontId="113" fillId="0" borderId="0" xfId="0" applyNumberFormat="1" applyFont="1" applyAlignment="1">
      <alignment horizontal="left"/>
    </xf>
    <xf numFmtId="167" fontId="93" fillId="0" borderId="0" xfId="0" applyNumberFormat="1" applyFont="1"/>
    <xf numFmtId="4" fontId="82" fillId="0" borderId="0" xfId="0" applyNumberFormat="1" applyFont="1"/>
    <xf numFmtId="173" fontId="82" fillId="0" borderId="0" xfId="0" applyNumberFormat="1" applyFont="1" applyAlignment="1">
      <alignment horizontal="right"/>
    </xf>
    <xf numFmtId="166" fontId="98" fillId="13" borderId="0" xfId="0" applyNumberFormat="1" applyFont="1" applyFill="1" applyAlignment="1">
      <alignment horizontal="right"/>
    </xf>
    <xf numFmtId="168" fontId="61" fillId="0" borderId="0" xfId="12" applyNumberFormat="1" applyFont="1"/>
    <xf numFmtId="166" fontId="61" fillId="0" borderId="0" xfId="0" applyNumberFormat="1" applyFont="1"/>
    <xf numFmtId="167" fontId="74" fillId="18" borderId="0" xfId="0" applyNumberFormat="1" applyFont="1" applyFill="1" applyAlignment="1">
      <alignment horizontal="right"/>
    </xf>
    <xf numFmtId="167" fontId="114" fillId="0" borderId="0" xfId="0" applyNumberFormat="1" applyFont="1" applyAlignment="1">
      <alignment horizontal="right"/>
    </xf>
    <xf numFmtId="166" fontId="99" fillId="15" borderId="10" xfId="0" applyNumberFormat="1" applyFont="1" applyFill="1" applyBorder="1"/>
    <xf numFmtId="0" fontId="101" fillId="13" borderId="0" xfId="0" applyFont="1" applyFill="1"/>
    <xf numFmtId="0" fontId="63" fillId="28" borderId="0" xfId="0" applyFont="1" applyFill="1"/>
    <xf numFmtId="166" fontId="195" fillId="15" borderId="82" xfId="0" applyNumberFormat="1" applyFont="1" applyFill="1" applyBorder="1"/>
    <xf numFmtId="2" fontId="99" fillId="15" borderId="7" xfId="0" applyNumberFormat="1" applyFont="1" applyFill="1" applyBorder="1"/>
    <xf numFmtId="2" fontId="99" fillId="15" borderId="10" xfId="0" applyNumberFormat="1" applyFont="1" applyFill="1" applyBorder="1"/>
    <xf numFmtId="0" fontId="160" fillId="0" borderId="0" xfId="0" applyFont="1"/>
    <xf numFmtId="2" fontId="85" fillId="0" borderId="0" xfId="0" applyNumberFormat="1" applyFont="1" applyAlignment="1">
      <alignment horizontal="right"/>
    </xf>
    <xf numFmtId="10" fontId="0" fillId="18" borderId="30" xfId="0" applyNumberFormat="1" applyFill="1" applyBorder="1" applyAlignment="1">
      <alignment horizontal="right"/>
    </xf>
    <xf numFmtId="3" fontId="0" fillId="18" borderId="10" xfId="0" applyNumberFormat="1" applyFill="1" applyBorder="1" applyAlignment="1">
      <alignment horizontal="right"/>
    </xf>
    <xf numFmtId="0" fontId="199" fillId="55" borderId="0" xfId="0" applyFont="1" applyFill="1"/>
    <xf numFmtId="0" fontId="73" fillId="9" borderId="62" xfId="0" applyFont="1" applyFill="1" applyBorder="1" applyAlignment="1">
      <alignment horizontal="left"/>
    </xf>
    <xf numFmtId="0" fontId="0" fillId="9" borderId="62" xfId="0" applyFill="1" applyBorder="1" applyAlignment="1">
      <alignment horizontal="right"/>
    </xf>
    <xf numFmtId="1" fontId="76" fillId="18" borderId="10" xfId="0" applyNumberFormat="1" applyFont="1" applyFill="1" applyBorder="1" applyAlignment="1">
      <alignment horizontal="right"/>
    </xf>
    <xf numFmtId="0" fontId="62" fillId="56" borderId="7" xfId="0" applyFont="1" applyFill="1" applyBorder="1"/>
    <xf numFmtId="0" fontId="0" fillId="56" borderId="7" xfId="0" applyFill="1" applyBorder="1" applyAlignment="1">
      <alignment horizontal="right"/>
    </xf>
    <xf numFmtId="0" fontId="62" fillId="56" borderId="7" xfId="0" applyFont="1" applyFill="1" applyBorder="1" applyAlignment="1">
      <alignment horizontal="right"/>
    </xf>
    <xf numFmtId="0" fontId="85" fillId="56" borderId="7" xfId="0" applyFont="1" applyFill="1" applyBorder="1" applyAlignment="1">
      <alignment horizontal="right"/>
    </xf>
    <xf numFmtId="167" fontId="0" fillId="56" borderId="7" xfId="0" applyNumberFormat="1" applyFill="1" applyBorder="1" applyAlignment="1">
      <alignment horizontal="right"/>
    </xf>
    <xf numFmtId="1" fontId="0" fillId="56" borderId="7" xfId="0" applyNumberFormat="1" applyFill="1" applyBorder="1" applyAlignment="1">
      <alignment horizontal="right"/>
    </xf>
    <xf numFmtId="1" fontId="0" fillId="56" borderId="10" xfId="0" applyNumberFormat="1" applyFill="1" applyBorder="1" applyAlignment="1">
      <alignment horizontal="right"/>
    </xf>
    <xf numFmtId="0" fontId="74" fillId="56" borderId="7" xfId="0" applyFont="1" applyFill="1" applyBorder="1"/>
    <xf numFmtId="0" fontId="66" fillId="56" borderId="7" xfId="0" applyFont="1" applyFill="1" applyBorder="1" applyAlignment="1">
      <alignment horizontal="right"/>
    </xf>
    <xf numFmtId="0" fontId="74" fillId="56" borderId="7" xfId="0" applyFont="1" applyFill="1" applyBorder="1" applyAlignment="1">
      <alignment horizontal="right"/>
    </xf>
    <xf numFmtId="167" fontId="66" fillId="56" borderId="7" xfId="0" applyNumberFormat="1" applyFont="1" applyFill="1" applyBorder="1" applyAlignment="1">
      <alignment horizontal="right"/>
    </xf>
    <xf numFmtId="0" fontId="66" fillId="56" borderId="7" xfId="0" applyFont="1" applyFill="1" applyBorder="1"/>
    <xf numFmtId="0" fontId="0" fillId="56" borderId="7" xfId="0" applyFill="1" applyBorder="1"/>
    <xf numFmtId="0" fontId="73" fillId="56" borderId="7" xfId="0" applyFont="1" applyFill="1" applyBorder="1"/>
    <xf numFmtId="0" fontId="93" fillId="56" borderId="7" xfId="0" applyFont="1" applyFill="1" applyBorder="1" applyAlignment="1">
      <alignment horizontal="right"/>
    </xf>
    <xf numFmtId="0" fontId="73" fillId="56" borderId="7" xfId="0" applyFont="1" applyFill="1" applyBorder="1" applyAlignment="1">
      <alignment horizontal="right"/>
    </xf>
    <xf numFmtId="168" fontId="99" fillId="56" borderId="7" xfId="0" applyNumberFormat="1" applyFont="1" applyFill="1" applyBorder="1" applyAlignment="1">
      <alignment horizontal="right"/>
    </xf>
    <xf numFmtId="167" fontId="68" fillId="56" borderId="7" xfId="0" applyNumberFormat="1" applyFont="1" applyFill="1" applyBorder="1" applyAlignment="1">
      <alignment horizontal="right"/>
    </xf>
    <xf numFmtId="9" fontId="73" fillId="56" borderId="7" xfId="0" applyNumberFormat="1" applyFont="1" applyFill="1" applyBorder="1" applyAlignment="1">
      <alignment horizontal="right"/>
    </xf>
    <xf numFmtId="167" fontId="73" fillId="56" borderId="7" xfId="0" applyNumberFormat="1" applyFont="1" applyFill="1" applyBorder="1" applyAlignment="1">
      <alignment horizontal="right"/>
    </xf>
    <xf numFmtId="1" fontId="73" fillId="56" borderId="7" xfId="0" applyNumberFormat="1" applyFont="1" applyFill="1" applyBorder="1" applyAlignment="1">
      <alignment horizontal="right"/>
    </xf>
    <xf numFmtId="167" fontId="95" fillId="56" borderId="7" xfId="0" applyNumberFormat="1" applyFont="1" applyFill="1" applyBorder="1" applyAlignment="1">
      <alignment horizontal="right"/>
    </xf>
    <xf numFmtId="0" fontId="63" fillId="56" borderId="7" xfId="0" applyFont="1" applyFill="1" applyBorder="1"/>
    <xf numFmtId="0" fontId="96" fillId="56" borderId="7" xfId="0" applyFont="1" applyFill="1" applyBorder="1" applyAlignment="1">
      <alignment horizontal="right"/>
    </xf>
    <xf numFmtId="1" fontId="0" fillId="57" borderId="62" xfId="0" applyNumberFormat="1" applyFill="1" applyBorder="1" applyAlignment="1">
      <alignment horizontal="right"/>
    </xf>
    <xf numFmtId="1" fontId="87" fillId="57" borderId="7" xfId="0" applyNumberFormat="1" applyFont="1" applyFill="1" applyBorder="1" applyAlignment="1">
      <alignment horizontal="right"/>
    </xf>
    <xf numFmtId="1" fontId="0" fillId="57" borderId="7" xfId="0" applyNumberFormat="1" applyFill="1" applyBorder="1" applyAlignment="1">
      <alignment horizontal="right"/>
    </xf>
    <xf numFmtId="1" fontId="0" fillId="57" borderId="42" xfId="0" applyNumberFormat="1" applyFill="1" applyBorder="1" applyAlignment="1">
      <alignment horizontal="right"/>
    </xf>
    <xf numFmtId="168" fontId="73" fillId="57" borderId="7" xfId="0" applyNumberFormat="1" applyFont="1" applyFill="1" applyBorder="1" applyAlignment="1">
      <alignment horizontal="right"/>
    </xf>
    <xf numFmtId="0" fontId="85" fillId="57" borderId="7" xfId="0" applyFont="1" applyFill="1" applyBorder="1" applyAlignment="1">
      <alignment horizontal="right"/>
    </xf>
    <xf numFmtId="0" fontId="68" fillId="56" borderId="7" xfId="0" applyFont="1" applyFill="1" applyBorder="1"/>
    <xf numFmtId="1" fontId="61" fillId="18" borderId="0" xfId="0" applyNumberFormat="1" applyFont="1" applyFill="1"/>
    <xf numFmtId="168" fontId="66" fillId="18" borderId="0" xfId="0" applyNumberFormat="1" applyFont="1" applyFill="1"/>
    <xf numFmtId="2" fontId="88" fillId="18" borderId="7" xfId="0" applyNumberFormat="1" applyFont="1" applyFill="1" applyBorder="1"/>
    <xf numFmtId="166" fontId="98" fillId="18" borderId="0" xfId="0" applyNumberFormat="1" applyFont="1" applyFill="1" applyAlignment="1">
      <alignment horizontal="right"/>
    </xf>
    <xf numFmtId="2" fontId="94" fillId="18" borderId="7" xfId="0" applyNumberFormat="1" applyFont="1" applyFill="1" applyBorder="1"/>
    <xf numFmtId="167" fontId="66" fillId="2" borderId="0" xfId="0" applyNumberFormat="1" applyFont="1" applyFill="1" applyAlignment="1">
      <alignment horizontal="right"/>
    </xf>
    <xf numFmtId="167" fontId="200" fillId="29" borderId="0" xfId="0" applyNumberFormat="1" applyFont="1" applyFill="1" applyAlignment="1">
      <alignment horizontal="right"/>
    </xf>
    <xf numFmtId="167" fontId="76" fillId="18" borderId="0" xfId="0" applyNumberFormat="1" applyFont="1" applyFill="1" applyAlignment="1">
      <alignment horizontal="right"/>
    </xf>
    <xf numFmtId="167" fontId="94" fillId="13" borderId="0" xfId="0" applyNumberFormat="1" applyFont="1" applyFill="1" applyAlignment="1">
      <alignment horizontal="right"/>
    </xf>
    <xf numFmtId="166" fontId="66" fillId="18" borderId="111" xfId="0" applyNumberFormat="1" applyFont="1" applyFill="1" applyBorder="1"/>
    <xf numFmtId="166" fontId="66" fillId="18" borderId="84" xfId="0" applyNumberFormat="1" applyFont="1" applyFill="1" applyBorder="1"/>
    <xf numFmtId="167" fontId="151" fillId="18" borderId="0" xfId="0" applyNumberFormat="1" applyFont="1" applyFill="1"/>
    <xf numFmtId="166" fontId="0" fillId="0" borderId="0" xfId="0" applyNumberFormat="1"/>
    <xf numFmtId="49" fontId="192" fillId="28" borderId="0" xfId="0" applyNumberFormat="1" applyFont="1" applyFill="1" applyAlignment="1">
      <alignment horizontal="right"/>
    </xf>
    <xf numFmtId="166" fontId="0" fillId="28" borderId="0" xfId="0" applyNumberFormat="1" applyFill="1"/>
    <xf numFmtId="167" fontId="192" fillId="28" borderId="0" xfId="0" applyNumberFormat="1" applyFont="1" applyFill="1" applyAlignment="1">
      <alignment horizontal="right"/>
    </xf>
    <xf numFmtId="167" fontId="82" fillId="28" borderId="0" xfId="0" applyNumberFormat="1" applyFont="1" applyFill="1"/>
    <xf numFmtId="167" fontId="151" fillId="18" borderId="0" xfId="0" applyNumberFormat="1" applyFont="1" applyFill="1" applyAlignment="1">
      <alignment horizontal="right"/>
    </xf>
    <xf numFmtId="0" fontId="151" fillId="5" borderId="0" xfId="10" applyFont="1" applyFill="1" applyAlignment="1">
      <alignment horizontal="left" indent="1"/>
    </xf>
    <xf numFmtId="167" fontId="150" fillId="5" borderId="0" xfId="0" applyNumberFormat="1" applyFont="1" applyFill="1"/>
    <xf numFmtId="166" fontId="105" fillId="0" borderId="41" xfId="0" applyNumberFormat="1" applyFont="1" applyBorder="1" applyAlignment="1">
      <alignment horizontal="right"/>
    </xf>
    <xf numFmtId="166" fontId="105" fillId="0" borderId="7" xfId="0" applyNumberFormat="1" applyFont="1" applyBorder="1" applyAlignment="1">
      <alignment horizontal="right"/>
    </xf>
    <xf numFmtId="166" fontId="69" fillId="0" borderId="10" xfId="0" applyNumberFormat="1" applyFont="1" applyBorder="1"/>
    <xf numFmtId="167" fontId="102" fillId="12" borderId="7" xfId="0" applyNumberFormat="1" applyFont="1" applyFill="1" applyBorder="1" applyAlignment="1">
      <alignment horizontal="right"/>
    </xf>
    <xf numFmtId="166" fontId="69" fillId="0" borderId="33" xfId="0" applyNumberFormat="1" applyFont="1" applyBorder="1" applyAlignment="1">
      <alignment horizontal="right"/>
    </xf>
    <xf numFmtId="166" fontId="69" fillId="0" borderId="7" xfId="0" applyNumberFormat="1" applyFont="1" applyBorder="1" applyAlignment="1">
      <alignment horizontal="right"/>
    </xf>
    <xf numFmtId="0" fontId="80" fillId="0" borderId="41" xfId="0" applyFont="1" applyBorder="1" applyAlignment="1">
      <alignment horizontal="right"/>
    </xf>
    <xf numFmtId="166" fontId="69" fillId="0" borderId="41" xfId="0" applyNumberFormat="1" applyFont="1" applyBorder="1" applyAlignment="1">
      <alignment horizontal="right"/>
    </xf>
    <xf numFmtId="0" fontId="80" fillId="0" borderId="7" xfId="0" applyFont="1" applyBorder="1" applyAlignment="1">
      <alignment horizontal="right"/>
    </xf>
    <xf numFmtId="0" fontId="80" fillId="0" borderId="33" xfId="0" applyFont="1" applyBorder="1" applyAlignment="1">
      <alignment horizontal="right"/>
    </xf>
    <xf numFmtId="0" fontId="80" fillId="0" borderId="7" xfId="0" applyFont="1" applyBorder="1" applyAlignment="1">
      <alignment horizontal="right" vertical="top"/>
    </xf>
    <xf numFmtId="166" fontId="69" fillId="0" borderId="7" xfId="0" applyNumberFormat="1" applyFont="1" applyBorder="1" applyAlignment="1">
      <alignment horizontal="right" vertical="top"/>
    </xf>
    <xf numFmtId="166" fontId="72" fillId="0" borderId="7" xfId="0" applyNumberFormat="1" applyFont="1" applyBorder="1" applyAlignment="1">
      <alignment horizontal="right" vertical="top"/>
    </xf>
    <xf numFmtId="0" fontId="80" fillId="0" borderId="33" xfId="0" applyFont="1" applyBorder="1"/>
    <xf numFmtId="167" fontId="66" fillId="2" borderId="23" xfId="0" applyNumberFormat="1" applyFont="1" applyFill="1" applyBorder="1" applyAlignment="1">
      <alignment horizontal="right"/>
    </xf>
    <xf numFmtId="166" fontId="89" fillId="13" borderId="0" xfId="0" applyNumberFormat="1" applyFont="1" applyFill="1" applyAlignment="1">
      <alignment horizontal="right"/>
    </xf>
    <xf numFmtId="0" fontId="69" fillId="13" borderId="0" xfId="0" applyFont="1" applyFill="1" applyAlignment="1">
      <alignment horizontal="left" indent="3"/>
    </xf>
    <xf numFmtId="166" fontId="99" fillId="18" borderId="10" xfId="0" applyNumberFormat="1" applyFont="1" applyFill="1" applyBorder="1"/>
    <xf numFmtId="167" fontId="69" fillId="18" borderId="7" xfId="0" applyNumberFormat="1" applyFont="1" applyFill="1" applyBorder="1"/>
    <xf numFmtId="0" fontId="202" fillId="0" borderId="0" xfId="0" applyFont="1"/>
    <xf numFmtId="166" fontId="204" fillId="0" borderId="0" xfId="0" applyNumberFormat="1" applyFont="1"/>
    <xf numFmtId="22" fontId="0" fillId="0" borderId="0" xfId="0" applyNumberFormat="1"/>
    <xf numFmtId="0" fontId="205" fillId="0" borderId="0" xfId="0" applyFont="1"/>
    <xf numFmtId="3" fontId="207" fillId="0" borderId="0" xfId="0" applyNumberFormat="1" applyFont="1"/>
    <xf numFmtId="3" fontId="207" fillId="0" borderId="0" xfId="0" applyNumberFormat="1" applyFont="1" applyAlignment="1">
      <alignment wrapText="1"/>
    </xf>
    <xf numFmtId="0" fontId="208" fillId="0" borderId="0" xfId="0" applyFont="1"/>
    <xf numFmtId="166" fontId="209" fillId="0" borderId="0" xfId="0" applyNumberFormat="1" applyFont="1"/>
    <xf numFmtId="166" fontId="193" fillId="0" borderId="0" xfId="0" applyNumberFormat="1" applyFont="1"/>
    <xf numFmtId="1" fontId="209" fillId="0" borderId="0" xfId="0" applyNumberFormat="1" applyFont="1"/>
    <xf numFmtId="1" fontId="193" fillId="0" borderId="0" xfId="0" applyNumberFormat="1" applyFont="1"/>
    <xf numFmtId="166" fontId="87" fillId="18" borderId="7" xfId="0" applyNumberFormat="1" applyFont="1" applyFill="1" applyBorder="1"/>
    <xf numFmtId="167" fontId="82" fillId="29" borderId="0" xfId="0" applyNumberFormat="1" applyFont="1" applyFill="1"/>
    <xf numFmtId="167" fontId="82" fillId="29" borderId="0" xfId="0" applyNumberFormat="1" applyFont="1" applyFill="1" applyAlignment="1">
      <alignment horizontal="right"/>
    </xf>
    <xf numFmtId="0" fontId="72" fillId="13" borderId="29" xfId="0" applyFont="1" applyFill="1" applyBorder="1" applyAlignment="1">
      <alignment horizontal="center"/>
    </xf>
    <xf numFmtId="9" fontId="58" fillId="0" borderId="0" xfId="12" applyFont="1"/>
    <xf numFmtId="167" fontId="0" fillId="18" borderId="7" xfId="0" applyNumberFormat="1" applyFill="1" applyBorder="1" applyAlignment="1">
      <alignment horizontal="right"/>
    </xf>
    <xf numFmtId="0" fontId="0" fillId="42" borderId="43" xfId="0" applyFill="1" applyBorder="1"/>
    <xf numFmtId="166" fontId="66" fillId="18" borderId="86" xfId="0" applyNumberFormat="1" applyFont="1" applyFill="1" applyBorder="1"/>
    <xf numFmtId="0" fontId="201" fillId="0" borderId="0" xfId="0" applyFont="1" applyAlignment="1">
      <alignment horizontal="left" indent="1"/>
    </xf>
    <xf numFmtId="0" fontId="203" fillId="0" borderId="0" xfId="0" applyFont="1" applyAlignment="1">
      <alignment horizontal="left" indent="3"/>
    </xf>
    <xf numFmtId="0" fontId="203" fillId="0" borderId="0" xfId="0" applyFont="1" applyAlignment="1">
      <alignment horizontal="left" indent="2"/>
    </xf>
    <xf numFmtId="0" fontId="210" fillId="0" borderId="0" xfId="0" applyFont="1" applyAlignment="1">
      <alignment horizontal="left" indent="4"/>
    </xf>
    <xf numFmtId="0" fontId="41" fillId="0" borderId="0" xfId="0" applyFont="1" applyAlignment="1">
      <alignment horizontal="left" indent="1"/>
    </xf>
    <xf numFmtId="167" fontId="66" fillId="29" borderId="0" xfId="0" applyNumberFormat="1" applyFont="1" applyFill="1" applyAlignment="1">
      <alignment horizontal="right"/>
    </xf>
    <xf numFmtId="167" fontId="212" fillId="0" borderId="0" xfId="0" applyNumberFormat="1" applyFont="1"/>
    <xf numFmtId="166" fontId="213" fillId="0" borderId="0" xfId="0" applyNumberFormat="1" applyFont="1"/>
    <xf numFmtId="166" fontId="212" fillId="0" borderId="0" xfId="0" applyNumberFormat="1" applyFont="1"/>
    <xf numFmtId="0" fontId="210" fillId="0" borderId="0" xfId="0" applyFont="1" applyAlignment="1">
      <alignment horizontal="left" indent="3"/>
    </xf>
    <xf numFmtId="0" fontId="41" fillId="0" borderId="0" xfId="0" applyFont="1" applyAlignment="1">
      <alignment horizontal="left" indent="4"/>
    </xf>
    <xf numFmtId="0" fontId="154" fillId="0" borderId="0" xfId="0" applyFont="1" applyAlignment="1">
      <alignment horizontal="left" indent="3"/>
    </xf>
    <xf numFmtId="0" fontId="154" fillId="0" borderId="0" xfId="0" applyFont="1" applyAlignment="1">
      <alignment horizontal="left" indent="4"/>
    </xf>
    <xf numFmtId="166" fontId="201" fillId="0" borderId="0" xfId="0" applyNumberFormat="1" applyFont="1"/>
    <xf numFmtId="0" fontId="214" fillId="13" borderId="0" xfId="0" applyFont="1" applyFill="1" applyAlignment="1">
      <alignment horizontal="left" indent="4"/>
    </xf>
    <xf numFmtId="0" fontId="215" fillId="13" borderId="0" xfId="0" applyFont="1" applyFill="1" applyAlignment="1">
      <alignment horizontal="left" indent="3"/>
    </xf>
    <xf numFmtId="0" fontId="4" fillId="59" borderId="112" xfId="0" applyFont="1" applyFill="1" applyBorder="1"/>
    <xf numFmtId="0" fontId="8" fillId="59" borderId="7" xfId="0" applyFont="1" applyFill="1" applyBorder="1"/>
    <xf numFmtId="0" fontId="33" fillId="59" borderId="7" xfId="0" applyFont="1" applyFill="1" applyBorder="1"/>
    <xf numFmtId="0" fontId="57" fillId="59" borderId="7" xfId="0" applyFont="1" applyFill="1" applyBorder="1"/>
    <xf numFmtId="0" fontId="3" fillId="59" borderId="112" xfId="0" applyFont="1" applyFill="1" applyBorder="1"/>
    <xf numFmtId="166" fontId="202" fillId="59" borderId="7" xfId="0" applyNumberFormat="1" applyFont="1" applyFill="1" applyBorder="1"/>
    <xf numFmtId="166" fontId="202" fillId="60" borderId="7" xfId="0" applyNumberFormat="1" applyFont="1" applyFill="1" applyBorder="1"/>
    <xf numFmtId="166" fontId="202" fillId="59" borderId="10" xfId="0" applyNumberFormat="1" applyFont="1" applyFill="1" applyBorder="1"/>
    <xf numFmtId="166" fontId="202" fillId="59" borderId="26" xfId="0" applyNumberFormat="1" applyFont="1" applyFill="1" applyBorder="1"/>
    <xf numFmtId="166" fontId="202" fillId="59" borderId="27" xfId="0" applyNumberFormat="1" applyFont="1" applyFill="1" applyBorder="1"/>
    <xf numFmtId="0" fontId="21" fillId="59" borderId="112" xfId="0" applyFont="1" applyFill="1" applyBorder="1"/>
    <xf numFmtId="166" fontId="216" fillId="59" borderId="7" xfId="0" applyNumberFormat="1" applyFont="1" applyFill="1" applyBorder="1"/>
    <xf numFmtId="0" fontId="3" fillId="59" borderId="0" xfId="0" applyFont="1" applyFill="1"/>
    <xf numFmtId="166" fontId="205" fillId="59" borderId="7" xfId="0" applyNumberFormat="1" applyFont="1" applyFill="1" applyBorder="1"/>
    <xf numFmtId="0" fontId="3" fillId="59" borderId="7" xfId="0" applyFont="1" applyFill="1" applyBorder="1"/>
    <xf numFmtId="0" fontId="11" fillId="59" borderId="7" xfId="0" applyFont="1" applyFill="1" applyBorder="1"/>
    <xf numFmtId="0" fontId="33" fillId="59" borderId="7" xfId="0" applyFont="1" applyFill="1" applyBorder="1" applyAlignment="1">
      <alignment horizontal="right"/>
    </xf>
    <xf numFmtId="166" fontId="3" fillId="59" borderId="7" xfId="0" applyNumberFormat="1" applyFont="1" applyFill="1" applyBorder="1" applyAlignment="1">
      <alignment horizontal="right"/>
    </xf>
    <xf numFmtId="0" fontId="3" fillId="59" borderId="26" xfId="0" applyFont="1" applyFill="1" applyBorder="1"/>
    <xf numFmtId="166" fontId="3" fillId="59" borderId="32" xfId="0" applyNumberFormat="1" applyFont="1" applyFill="1" applyBorder="1" applyAlignment="1">
      <alignment horizontal="right"/>
    </xf>
    <xf numFmtId="166" fontId="3" fillId="59" borderId="31" xfId="0" applyNumberFormat="1" applyFont="1" applyFill="1" applyBorder="1" applyAlignment="1">
      <alignment horizontal="right"/>
    </xf>
    <xf numFmtId="166" fontId="3" fillId="59" borderId="10" xfId="0" applyNumberFormat="1" applyFont="1" applyFill="1" applyBorder="1" applyAlignment="1">
      <alignment horizontal="right"/>
    </xf>
    <xf numFmtId="0" fontId="33" fillId="59" borderId="26" xfId="0" applyFont="1" applyFill="1" applyBorder="1"/>
    <xf numFmtId="0" fontId="7" fillId="59" borderId="26" xfId="0" applyFont="1" applyFill="1" applyBorder="1"/>
    <xf numFmtId="166" fontId="21" fillId="59" borderId="7" xfId="0" applyNumberFormat="1" applyFont="1" applyFill="1" applyBorder="1" applyAlignment="1">
      <alignment horizontal="right"/>
    </xf>
    <xf numFmtId="167" fontId="21" fillId="59" borderId="7" xfId="0" applyNumberFormat="1" applyFont="1" applyFill="1" applyBorder="1" applyAlignment="1">
      <alignment horizontal="right"/>
    </xf>
    <xf numFmtId="169" fontId="21" fillId="59" borderId="7" xfId="0" applyNumberFormat="1" applyFont="1" applyFill="1" applyBorder="1" applyAlignment="1">
      <alignment horizontal="right"/>
    </xf>
    <xf numFmtId="0" fontId="33" fillId="59" borderId="10" xfId="0" applyFont="1" applyFill="1" applyBorder="1" applyAlignment="1">
      <alignment horizontal="right"/>
    </xf>
    <xf numFmtId="171" fontId="3" fillId="59" borderId="7" xfId="0" applyNumberFormat="1" applyFont="1" applyFill="1" applyBorder="1" applyAlignment="1">
      <alignment horizontal="right"/>
    </xf>
    <xf numFmtId="0" fontId="7" fillId="59" borderId="0" xfId="0" applyFont="1" applyFill="1"/>
    <xf numFmtId="171" fontId="21" fillId="59" borderId="7" xfId="0" applyNumberFormat="1" applyFont="1" applyFill="1" applyBorder="1" applyAlignment="1">
      <alignment horizontal="right"/>
    </xf>
    <xf numFmtId="0" fontId="11" fillId="59" borderId="7" xfId="0" applyFont="1" applyFill="1" applyBorder="1" applyAlignment="1">
      <alignment horizontal="right"/>
    </xf>
    <xf numFmtId="0" fontId="33" fillId="59" borderId="0" xfId="0" applyFont="1" applyFill="1" applyAlignment="1">
      <alignment horizontal="right"/>
    </xf>
    <xf numFmtId="171" fontId="21" fillId="59" borderId="0" xfId="0" applyNumberFormat="1" applyFont="1" applyFill="1" applyAlignment="1">
      <alignment horizontal="right"/>
    </xf>
    <xf numFmtId="166" fontId="21" fillId="59" borderId="0" xfId="0" applyNumberFormat="1" applyFont="1" applyFill="1" applyAlignment="1">
      <alignment horizontal="right"/>
    </xf>
    <xf numFmtId="0" fontId="11" fillId="59" borderId="0" xfId="0" applyFont="1" applyFill="1" applyAlignment="1">
      <alignment horizontal="right"/>
    </xf>
    <xf numFmtId="0" fontId="211" fillId="0" borderId="0" xfId="0" applyFont="1"/>
    <xf numFmtId="0" fontId="152" fillId="0" borderId="4" xfId="0" applyFont="1" applyBorder="1" applyAlignment="1">
      <alignment horizontal="left" indent="2"/>
    </xf>
    <xf numFmtId="167" fontId="217" fillId="5" borderId="0" xfId="0" applyNumberFormat="1" applyFont="1" applyFill="1"/>
    <xf numFmtId="167" fontId="217" fillId="13" borderId="0" xfId="0" applyNumberFormat="1" applyFont="1" applyFill="1" applyAlignment="1">
      <alignment horizontal="right"/>
    </xf>
    <xf numFmtId="168" fontId="202" fillId="59" borderId="7" xfId="12" applyNumberFormat="1" applyFont="1" applyFill="1" applyBorder="1"/>
    <xf numFmtId="167" fontId="127" fillId="5" borderId="0" xfId="10" applyNumberFormat="1" applyFont="1" applyFill="1"/>
    <xf numFmtId="172" fontId="218" fillId="61" borderId="0" xfId="0" quotePrefix="1" applyNumberFormat="1" applyFont="1" applyFill="1" applyAlignment="1">
      <alignment horizontal="right"/>
    </xf>
    <xf numFmtId="167" fontId="219" fillId="61" borderId="0" xfId="0" applyNumberFormat="1" applyFont="1" applyFill="1"/>
    <xf numFmtId="0" fontId="219" fillId="0" borderId="0" xfId="0" applyFont="1"/>
    <xf numFmtId="167" fontId="219" fillId="0" borderId="0" xfId="0" applyNumberFormat="1" applyFont="1"/>
    <xf numFmtId="167" fontId="220" fillId="61" borderId="0" xfId="0" applyNumberFormat="1" applyFont="1" applyFill="1"/>
    <xf numFmtId="167" fontId="221" fillId="61" borderId="0" xfId="0" applyNumberFormat="1" applyFont="1" applyFill="1"/>
    <xf numFmtId="166" fontId="220" fillId="61" borderId="0" xfId="0" applyNumberFormat="1" applyFont="1" applyFill="1"/>
    <xf numFmtId="166" fontId="219" fillId="61" borderId="0" xfId="0" applyNumberFormat="1" applyFont="1" applyFill="1"/>
    <xf numFmtId="166" fontId="222" fillId="61" borderId="0" xfId="0" applyNumberFormat="1" applyFont="1" applyFill="1"/>
    <xf numFmtId="167" fontId="223" fillId="61" borderId="0" xfId="0" applyNumberFormat="1" applyFont="1" applyFill="1"/>
    <xf numFmtId="0" fontId="220" fillId="61" borderId="0" xfId="0" applyFont="1" applyFill="1" applyAlignment="1">
      <alignment horizontal="left" indent="1"/>
    </xf>
    <xf numFmtId="167" fontId="224" fillId="61" borderId="0" xfId="0" applyNumberFormat="1" applyFont="1" applyFill="1"/>
    <xf numFmtId="167" fontId="225" fillId="61" borderId="0" xfId="0" applyNumberFormat="1" applyFont="1" applyFill="1"/>
    <xf numFmtId="167" fontId="38" fillId="61" borderId="0" xfId="10" applyNumberFormat="1" applyFont="1" applyFill="1"/>
    <xf numFmtId="167" fontId="220" fillId="0" borderId="0" xfId="0" applyNumberFormat="1" applyFont="1"/>
    <xf numFmtId="167" fontId="226" fillId="0" borderId="0" xfId="0" applyNumberFormat="1" applyFont="1"/>
    <xf numFmtId="167" fontId="227" fillId="0" borderId="0" xfId="0" applyNumberFormat="1" applyFont="1"/>
    <xf numFmtId="167" fontId="219" fillId="61" borderId="0" xfId="0" applyNumberFormat="1" applyFont="1" applyFill="1" applyAlignment="1">
      <alignment horizontal="right"/>
    </xf>
    <xf numFmtId="17" fontId="218" fillId="61" borderId="0" xfId="6" applyNumberFormat="1" applyFont="1" applyFill="1"/>
    <xf numFmtId="167" fontId="228" fillId="0" borderId="0" xfId="0" applyNumberFormat="1" applyFont="1"/>
    <xf numFmtId="0" fontId="217" fillId="13" borderId="0" xfId="0" applyFont="1" applyFill="1"/>
    <xf numFmtId="167" fontId="229" fillId="61" borderId="0" xfId="0" applyNumberFormat="1" applyFont="1" applyFill="1"/>
    <xf numFmtId="4" fontId="219" fillId="0" borderId="0" xfId="0" applyNumberFormat="1" applyFont="1"/>
    <xf numFmtId="43" fontId="66" fillId="15" borderId="86" xfId="0" applyNumberFormat="1" applyFont="1" applyFill="1" applyBorder="1"/>
    <xf numFmtId="0" fontId="121" fillId="0" borderId="0" xfId="9" applyFont="1">
      <alignment vertical="top"/>
    </xf>
    <xf numFmtId="3" fontId="122" fillId="0" borderId="0" xfId="9" applyNumberFormat="1" applyFont="1">
      <alignment vertical="top"/>
    </xf>
    <xf numFmtId="0" fontId="122" fillId="0" borderId="0" xfId="9" applyFont="1">
      <alignment vertical="top"/>
    </xf>
    <xf numFmtId="167" fontId="204" fillId="61" borderId="0" xfId="0" applyNumberFormat="1" applyFont="1" applyFill="1"/>
    <xf numFmtId="0" fontId="232" fillId="0" borderId="6" xfId="0" applyFont="1" applyBorder="1" applyAlignment="1">
      <alignment horizontal="left" indent="1"/>
    </xf>
    <xf numFmtId="0" fontId="232" fillId="0" borderId="6" xfId="0" applyFont="1" applyBorder="1" applyAlignment="1">
      <alignment horizontal="left" indent="2"/>
    </xf>
    <xf numFmtId="0" fontId="208" fillId="0" borderId="6" xfId="0" applyFont="1" applyBorder="1" applyAlignment="1">
      <alignment horizontal="left" indent="2"/>
    </xf>
    <xf numFmtId="0" fontId="232" fillId="0" borderId="6" xfId="0" applyFont="1" applyBorder="1" applyAlignment="1">
      <alignment horizontal="left"/>
    </xf>
    <xf numFmtId="0" fontId="232" fillId="0" borderId="6" xfId="0" applyFont="1" applyBorder="1"/>
    <xf numFmtId="0" fontId="208" fillId="0" borderId="6" xfId="0" applyFont="1" applyBorder="1" applyAlignment="1">
      <alignment horizontal="left" indent="1"/>
    </xf>
    <xf numFmtId="167" fontId="219" fillId="61" borderId="23" xfId="0" applyNumberFormat="1" applyFont="1" applyFill="1" applyBorder="1"/>
    <xf numFmtId="0" fontId="151" fillId="13" borderId="0" xfId="0" applyFont="1" applyFill="1"/>
    <xf numFmtId="167" fontId="61" fillId="0" borderId="0" xfId="0" applyNumberFormat="1" applyFont="1"/>
    <xf numFmtId="168" fontId="66" fillId="29" borderId="0" xfId="0" applyNumberFormat="1" applyFont="1" applyFill="1"/>
    <xf numFmtId="0" fontId="74" fillId="29" borderId="0" xfId="0" applyFont="1" applyFill="1" applyAlignment="1">
      <alignment horizontal="left" indent="1"/>
    </xf>
    <xf numFmtId="10" fontId="66" fillId="17" borderId="0" xfId="0" applyNumberFormat="1" applyFont="1" applyFill="1"/>
    <xf numFmtId="168" fontId="66" fillId="17" borderId="0" xfId="0" applyNumberFormat="1" applyFont="1" applyFill="1"/>
    <xf numFmtId="3" fontId="66" fillId="13" borderId="0" xfId="0" applyNumberFormat="1" applyFont="1" applyFill="1" applyAlignment="1">
      <alignment horizontal="right"/>
    </xf>
    <xf numFmtId="0" fontId="101" fillId="13" borderId="0" xfId="0" applyFont="1" applyFill="1" applyAlignment="1">
      <alignment horizontal="left" indent="3"/>
    </xf>
    <xf numFmtId="167" fontId="151" fillId="0" borderId="0" xfId="0" applyNumberFormat="1" applyFont="1" applyAlignment="1">
      <alignment horizontal="right"/>
    </xf>
    <xf numFmtId="0" fontId="233" fillId="0" borderId="113" xfId="0" applyFont="1" applyBorder="1"/>
    <xf numFmtId="0" fontId="234" fillId="0" borderId="113" xfId="0" applyFont="1" applyBorder="1" applyAlignment="1">
      <alignment horizontal="right"/>
    </xf>
    <xf numFmtId="0" fontId="234" fillId="0" borderId="113" xfId="0" applyFont="1" applyBorder="1"/>
    <xf numFmtId="168" fontId="66" fillId="13" borderId="0" xfId="12" applyNumberFormat="1" applyFont="1" applyFill="1" applyBorder="1" applyAlignment="1">
      <alignment horizontal="right"/>
    </xf>
    <xf numFmtId="0" fontId="235" fillId="13" borderId="0" xfId="0" applyFont="1" applyFill="1"/>
    <xf numFmtId="168" fontId="66" fillId="19" borderId="0" xfId="0" applyNumberFormat="1" applyFont="1" applyFill="1"/>
    <xf numFmtId="0" fontId="236" fillId="62" borderId="26" xfId="0" applyFont="1" applyFill="1" applyBorder="1"/>
    <xf numFmtId="0" fontId="237" fillId="62" borderId="26" xfId="0" applyFont="1" applyFill="1" applyBorder="1"/>
    <xf numFmtId="0" fontId="199" fillId="62" borderId="26" xfId="0" applyFont="1" applyFill="1" applyBorder="1"/>
    <xf numFmtId="0" fontId="199" fillId="62" borderId="26" xfId="0" applyFont="1" applyFill="1" applyBorder="1" applyAlignment="1">
      <alignment horizontal="right"/>
    </xf>
    <xf numFmtId="0" fontId="199" fillId="62" borderId="7" xfId="0" applyFont="1" applyFill="1" applyBorder="1"/>
    <xf numFmtId="0" fontId="202" fillId="62" borderId="26" xfId="0" applyFont="1" applyFill="1" applyBorder="1"/>
    <xf numFmtId="0" fontId="216" fillId="62" borderId="26" xfId="0" applyFont="1" applyFill="1" applyBorder="1"/>
    <xf numFmtId="168" fontId="202" fillId="62" borderId="7" xfId="0" applyNumberFormat="1" applyFont="1" applyFill="1" applyBorder="1" applyAlignment="1">
      <alignment horizontal="right"/>
    </xf>
    <xf numFmtId="168" fontId="202" fillId="62" borderId="10" xfId="0" applyNumberFormat="1" applyFont="1" applyFill="1" applyBorder="1" applyAlignment="1">
      <alignment horizontal="right"/>
    </xf>
    <xf numFmtId="168" fontId="202" fillId="62" borderId="30" xfId="0" applyNumberFormat="1" applyFont="1" applyFill="1" applyBorder="1" applyAlignment="1">
      <alignment horizontal="right"/>
    </xf>
    <xf numFmtId="168" fontId="202" fillId="62" borderId="61" xfId="0" applyNumberFormat="1" applyFont="1" applyFill="1" applyBorder="1" applyAlignment="1">
      <alignment horizontal="right"/>
    </xf>
    <xf numFmtId="168" fontId="202" fillId="58" borderId="30" xfId="0" applyNumberFormat="1" applyFont="1" applyFill="1" applyBorder="1" applyAlignment="1">
      <alignment horizontal="right"/>
    </xf>
    <xf numFmtId="168" fontId="202" fillId="62" borderId="34" xfId="0" applyNumberFormat="1" applyFont="1" applyFill="1" applyBorder="1" applyAlignment="1">
      <alignment horizontal="right"/>
    </xf>
    <xf numFmtId="0" fontId="3" fillId="62" borderId="26" xfId="0" applyFont="1" applyFill="1" applyBorder="1"/>
    <xf numFmtId="0" fontId="21" fillId="62" borderId="26" xfId="0" applyFont="1" applyFill="1" applyBorder="1"/>
    <xf numFmtId="168" fontId="3" fillId="62" borderId="7" xfId="0" applyNumberFormat="1" applyFont="1" applyFill="1" applyBorder="1" applyAlignment="1">
      <alignment horizontal="right"/>
    </xf>
    <xf numFmtId="168" fontId="3" fillId="62" borderId="10" xfId="0" applyNumberFormat="1" applyFont="1" applyFill="1" applyBorder="1" applyAlignment="1">
      <alignment horizontal="right"/>
    </xf>
    <xf numFmtId="168" fontId="3" fillId="62" borderId="0" xfId="0" applyNumberFormat="1" applyFont="1" applyFill="1" applyAlignment="1">
      <alignment horizontal="right"/>
    </xf>
    <xf numFmtId="0" fontId="216" fillId="62" borderId="26" xfId="0" applyFont="1" applyFill="1" applyBorder="1" applyAlignment="1">
      <alignment horizontal="left"/>
    </xf>
    <xf numFmtId="168" fontId="202" fillId="58" borderId="7" xfId="0" applyNumberFormat="1" applyFont="1" applyFill="1" applyBorder="1" applyAlignment="1">
      <alignment horizontal="right"/>
    </xf>
    <xf numFmtId="168" fontId="216" fillId="62" borderId="26" xfId="0" applyNumberFormat="1" applyFont="1" applyFill="1" applyBorder="1" applyAlignment="1">
      <alignment horizontal="right"/>
    </xf>
    <xf numFmtId="168" fontId="216" fillId="62" borderId="7" xfId="0" applyNumberFormat="1" applyFont="1" applyFill="1" applyBorder="1" applyAlignment="1">
      <alignment horizontal="right"/>
    </xf>
    <xf numFmtId="168" fontId="216" fillId="62" borderId="10" xfId="0" applyNumberFormat="1" applyFont="1" applyFill="1" applyBorder="1" applyAlignment="1">
      <alignment horizontal="right"/>
    </xf>
    <xf numFmtId="168" fontId="216" fillId="62" borderId="34" xfId="0" applyNumberFormat="1" applyFont="1" applyFill="1" applyBorder="1" applyAlignment="1">
      <alignment horizontal="right"/>
    </xf>
    <xf numFmtId="3" fontId="216" fillId="62" borderId="26" xfId="0" applyNumberFormat="1" applyFont="1" applyFill="1" applyBorder="1" applyAlignment="1">
      <alignment horizontal="right"/>
    </xf>
    <xf numFmtId="3" fontId="216" fillId="62" borderId="7" xfId="0" applyNumberFormat="1" applyFont="1" applyFill="1" applyBorder="1" applyAlignment="1">
      <alignment horizontal="right"/>
    </xf>
    <xf numFmtId="3" fontId="216" fillId="62" borderId="10" xfId="0" applyNumberFormat="1" applyFont="1" applyFill="1" applyBorder="1" applyAlignment="1">
      <alignment horizontal="right"/>
    </xf>
    <xf numFmtId="3" fontId="216" fillId="62" borderId="0" xfId="0" applyNumberFormat="1" applyFont="1" applyFill="1" applyAlignment="1">
      <alignment horizontal="right"/>
    </xf>
    <xf numFmtId="167" fontId="216" fillId="62" borderId="7" xfId="0" applyNumberFormat="1" applyFont="1" applyFill="1" applyBorder="1" applyAlignment="1">
      <alignment horizontal="right"/>
    </xf>
    <xf numFmtId="3" fontId="202" fillId="62" borderId="26" xfId="0" applyNumberFormat="1" applyFont="1" applyFill="1" applyBorder="1" applyAlignment="1">
      <alignment horizontal="right"/>
    </xf>
    <xf numFmtId="1" fontId="202" fillId="62" borderId="26" xfId="0" applyNumberFormat="1" applyFont="1" applyFill="1" applyBorder="1" applyAlignment="1">
      <alignment horizontal="right"/>
    </xf>
    <xf numFmtId="1" fontId="202" fillId="62" borderId="7" xfId="0" applyNumberFormat="1" applyFont="1" applyFill="1" applyBorder="1" applyAlignment="1">
      <alignment horizontal="right"/>
    </xf>
    <xf numFmtId="1" fontId="202" fillId="62" borderId="0" xfId="0" applyNumberFormat="1" applyFont="1" applyFill="1" applyAlignment="1">
      <alignment horizontal="right"/>
    </xf>
    <xf numFmtId="1" fontId="202" fillId="58" borderId="7" xfId="0" applyNumberFormat="1" applyFont="1" applyFill="1" applyBorder="1" applyAlignment="1">
      <alignment horizontal="right"/>
    </xf>
    <xf numFmtId="0" fontId="21" fillId="62" borderId="26" xfId="0" applyFont="1" applyFill="1" applyBorder="1" applyAlignment="1">
      <alignment horizontal="left"/>
    </xf>
    <xf numFmtId="3" fontId="3" fillId="62" borderId="26" xfId="0" applyNumberFormat="1" applyFont="1" applyFill="1" applyBorder="1" applyAlignment="1">
      <alignment horizontal="right"/>
    </xf>
    <xf numFmtId="1" fontId="3" fillId="62" borderId="26" xfId="0" applyNumberFormat="1" applyFont="1" applyFill="1" applyBorder="1" applyAlignment="1">
      <alignment horizontal="right"/>
    </xf>
    <xf numFmtId="1" fontId="3" fillId="62" borderId="7" xfId="0" applyNumberFormat="1" applyFont="1" applyFill="1" applyBorder="1" applyAlignment="1">
      <alignment horizontal="right"/>
    </xf>
    <xf numFmtId="1" fontId="3" fillId="62" borderId="10" xfId="0" applyNumberFormat="1" applyFont="1" applyFill="1" applyBorder="1" applyAlignment="1">
      <alignment horizontal="right"/>
    </xf>
    <xf numFmtId="0" fontId="3" fillId="58" borderId="26" xfId="0" applyFont="1" applyFill="1" applyBorder="1"/>
    <xf numFmtId="174" fontId="3" fillId="58" borderId="26" xfId="1" applyNumberFormat="1" applyFont="1" applyFill="1" applyBorder="1" applyAlignment="1">
      <alignment horizontal="right"/>
    </xf>
    <xf numFmtId="174" fontId="202" fillId="58" borderId="7" xfId="1" applyNumberFormat="1" applyFont="1" applyFill="1" applyBorder="1" applyAlignment="1">
      <alignment horizontal="right"/>
    </xf>
    <xf numFmtId="0" fontId="216" fillId="62" borderId="7" xfId="0" applyFont="1" applyFill="1" applyBorder="1" applyAlignment="1">
      <alignment horizontal="left"/>
    </xf>
    <xf numFmtId="0" fontId="202" fillId="62" borderId="7" xfId="0" applyFont="1" applyFill="1" applyBorder="1"/>
    <xf numFmtId="168" fontId="202" fillId="62" borderId="26" xfId="0" applyNumberFormat="1" applyFont="1" applyFill="1" applyBorder="1" applyAlignment="1">
      <alignment horizontal="right"/>
    </xf>
    <xf numFmtId="168" fontId="202" fillId="62" borderId="7" xfId="0" applyNumberFormat="1" applyFont="1" applyFill="1" applyBorder="1"/>
    <xf numFmtId="168" fontId="202" fillId="62" borderId="0" xfId="0" applyNumberFormat="1" applyFont="1" applyFill="1"/>
    <xf numFmtId="0" fontId="216" fillId="62" borderId="26" xfId="0" applyFont="1" applyFill="1" applyBorder="1" applyAlignment="1">
      <alignment horizontal="right"/>
    </xf>
    <xf numFmtId="1" fontId="202" fillId="62" borderId="7" xfId="0" applyNumberFormat="1" applyFont="1" applyFill="1" applyBorder="1"/>
    <xf numFmtId="1" fontId="202" fillId="62" borderId="10" xfId="0" applyNumberFormat="1" applyFont="1" applyFill="1" applyBorder="1" applyAlignment="1">
      <alignment horizontal="right"/>
    </xf>
    <xf numFmtId="1" fontId="202" fillId="62" borderId="0" xfId="0" applyNumberFormat="1" applyFont="1" applyFill="1"/>
    <xf numFmtId="3" fontId="202" fillId="62" borderId="7" xfId="0" applyNumberFormat="1" applyFont="1" applyFill="1" applyBorder="1" applyAlignment="1">
      <alignment horizontal="right"/>
    </xf>
    <xf numFmtId="3" fontId="202" fillId="62" borderId="10" xfId="0" applyNumberFormat="1" applyFont="1" applyFill="1" applyBorder="1" applyAlignment="1">
      <alignment horizontal="right"/>
    </xf>
    <xf numFmtId="3" fontId="202" fillId="62" borderId="0" xfId="0" applyNumberFormat="1" applyFont="1" applyFill="1" applyAlignment="1">
      <alignment horizontal="right"/>
    </xf>
    <xf numFmtId="0" fontId="216" fillId="62" borderId="7" xfId="0" applyFont="1" applyFill="1" applyBorder="1"/>
    <xf numFmtId="3" fontId="202" fillId="58" borderId="10" xfId="0" applyNumberFormat="1" applyFont="1" applyFill="1" applyBorder="1" applyAlignment="1">
      <alignment horizontal="right"/>
    </xf>
    <xf numFmtId="0" fontId="238" fillId="62" borderId="26" xfId="0" applyFont="1" applyFill="1" applyBorder="1"/>
    <xf numFmtId="3" fontId="238" fillId="62" borderId="7" xfId="0" applyNumberFormat="1" applyFont="1" applyFill="1" applyBorder="1" applyAlignment="1">
      <alignment horizontal="right"/>
    </xf>
    <xf numFmtId="3" fontId="202" fillId="62" borderId="23" xfId="0" applyNumberFormat="1" applyFont="1" applyFill="1" applyBorder="1" applyAlignment="1">
      <alignment horizontal="right"/>
    </xf>
    <xf numFmtId="3" fontId="202" fillId="58" borderId="7" xfId="0" applyNumberFormat="1" applyFont="1" applyFill="1" applyBorder="1" applyAlignment="1">
      <alignment horizontal="right"/>
    </xf>
    <xf numFmtId="3" fontId="202" fillId="62" borderId="55" xfId="0" applyNumberFormat="1" applyFont="1" applyFill="1" applyBorder="1" applyAlignment="1">
      <alignment horizontal="right"/>
    </xf>
    <xf numFmtId="3" fontId="202" fillId="62" borderId="35" xfId="0" applyNumberFormat="1" applyFont="1" applyFill="1" applyBorder="1" applyAlignment="1">
      <alignment horizontal="right"/>
    </xf>
    <xf numFmtId="3" fontId="202" fillId="62" borderId="25" xfId="0" applyNumberFormat="1" applyFont="1" applyFill="1" applyBorder="1" applyAlignment="1">
      <alignment horizontal="right"/>
    </xf>
    <xf numFmtId="168" fontId="216" fillId="62" borderId="7" xfId="0" applyNumberFormat="1" applyFont="1" applyFill="1" applyBorder="1"/>
    <xf numFmtId="168" fontId="216" fillId="62" borderId="0" xfId="0" applyNumberFormat="1" applyFont="1" applyFill="1" applyAlignment="1">
      <alignment horizontal="right"/>
    </xf>
    <xf numFmtId="168" fontId="216" fillId="62" borderId="0" xfId="0" applyNumberFormat="1" applyFont="1" applyFill="1"/>
    <xf numFmtId="168" fontId="216" fillId="62" borderId="35" xfId="0" applyNumberFormat="1" applyFont="1" applyFill="1" applyBorder="1" applyAlignment="1">
      <alignment horizontal="right"/>
    </xf>
    <xf numFmtId="168" fontId="216" fillId="62" borderId="26" xfId="0" applyNumberFormat="1" applyFont="1" applyFill="1" applyBorder="1"/>
    <xf numFmtId="168" fontId="216" fillId="62" borderId="36" xfId="0" applyNumberFormat="1" applyFont="1" applyFill="1" applyBorder="1" applyAlignment="1">
      <alignment horizontal="right"/>
    </xf>
    <xf numFmtId="0" fontId="202" fillId="62" borderId="33" xfId="0" applyFont="1" applyFill="1" applyBorder="1"/>
    <xf numFmtId="0" fontId="216" fillId="62" borderId="33" xfId="0" applyFont="1" applyFill="1" applyBorder="1"/>
    <xf numFmtId="168" fontId="216" fillId="62" borderId="38" xfId="0" applyNumberFormat="1" applyFont="1" applyFill="1" applyBorder="1"/>
    <xf numFmtId="168" fontId="216" fillId="62" borderId="38" xfId="0" applyNumberFormat="1" applyFont="1" applyFill="1" applyBorder="1" applyAlignment="1">
      <alignment horizontal="right"/>
    </xf>
    <xf numFmtId="168" fontId="216" fillId="62" borderId="33" xfId="0" applyNumberFormat="1" applyFont="1" applyFill="1" applyBorder="1" applyAlignment="1">
      <alignment horizontal="right"/>
    </xf>
    <xf numFmtId="168" fontId="216" fillId="62" borderId="31" xfId="0" applyNumberFormat="1" applyFont="1" applyFill="1" applyBorder="1" applyAlignment="1">
      <alignment horizontal="right"/>
    </xf>
    <xf numFmtId="168" fontId="216" fillId="62" borderId="31" xfId="0" applyNumberFormat="1" applyFont="1" applyFill="1" applyBorder="1"/>
    <xf numFmtId="0" fontId="236" fillId="63" borderId="26" xfId="0" applyFont="1" applyFill="1" applyBorder="1"/>
    <xf numFmtId="1" fontId="199" fillId="63" borderId="7" xfId="0" applyNumberFormat="1" applyFont="1" applyFill="1" applyBorder="1"/>
    <xf numFmtId="1" fontId="239" fillId="63" borderId="7" xfId="0" applyNumberFormat="1" applyFont="1" applyFill="1" applyBorder="1"/>
    <xf numFmtId="0" fontId="202" fillId="63" borderId="26" xfId="0" applyFont="1" applyFill="1" applyBorder="1"/>
    <xf numFmtId="174" fontId="202" fillId="63" borderId="7" xfId="1" applyNumberFormat="1" applyFont="1" applyFill="1" applyBorder="1"/>
    <xf numFmtId="174" fontId="205" fillId="63" borderId="7" xfId="1" applyNumberFormat="1" applyFont="1" applyFill="1" applyBorder="1"/>
    <xf numFmtId="166" fontId="202" fillId="63" borderId="26" xfId="0" applyNumberFormat="1" applyFont="1" applyFill="1" applyBorder="1"/>
    <xf numFmtId="0" fontId="199" fillId="63" borderId="26" xfId="0" applyFont="1" applyFill="1" applyBorder="1"/>
    <xf numFmtId="0" fontId="69" fillId="18" borderId="114" xfId="0" applyFont="1" applyFill="1" applyBorder="1" applyAlignment="1">
      <alignment horizontal="left" indent="2"/>
    </xf>
    <xf numFmtId="167" fontId="96" fillId="13" borderId="115" xfId="0" applyNumberFormat="1" applyFont="1" applyFill="1" applyBorder="1" applyAlignment="1">
      <alignment horizontal="right"/>
    </xf>
    <xf numFmtId="0" fontId="66" fillId="0" borderId="115" xfId="0" applyFont="1" applyBorder="1"/>
    <xf numFmtId="167" fontId="66" fillId="13" borderId="115" xfId="0" applyNumberFormat="1" applyFont="1" applyFill="1" applyBorder="1" applyAlignment="1">
      <alignment horizontal="right"/>
    </xf>
    <xf numFmtId="167" fontId="90" fillId="13" borderId="115" xfId="0" applyNumberFormat="1" applyFont="1" applyFill="1" applyBorder="1" applyAlignment="1">
      <alignment horizontal="right"/>
    </xf>
    <xf numFmtId="167" fontId="66" fillId="18" borderId="115" xfId="0" applyNumberFormat="1" applyFont="1" applyFill="1" applyBorder="1" applyAlignment="1">
      <alignment horizontal="right"/>
    </xf>
    <xf numFmtId="167" fontId="66" fillId="13" borderId="116" xfId="0" applyNumberFormat="1" applyFont="1" applyFill="1" applyBorder="1" applyAlignment="1">
      <alignment horizontal="right"/>
    </xf>
    <xf numFmtId="0" fontId="13" fillId="64" borderId="0" xfId="0" applyFont="1" applyFill="1" applyAlignment="1">
      <alignment horizontal="right"/>
    </xf>
    <xf numFmtId="0" fontId="13" fillId="64" borderId="20" xfId="0" applyFont="1" applyFill="1" applyBorder="1" applyAlignment="1">
      <alignment horizontal="right"/>
    </xf>
    <xf numFmtId="0" fontId="13" fillId="64" borderId="22" xfId="0" applyFont="1" applyFill="1" applyBorder="1" applyAlignment="1">
      <alignment horizontal="right"/>
    </xf>
    <xf numFmtId="0" fontId="13" fillId="64" borderId="117" xfId="0" applyFont="1" applyFill="1" applyBorder="1" applyAlignment="1">
      <alignment horizontal="right"/>
    </xf>
    <xf numFmtId="0" fontId="240" fillId="64" borderId="0" xfId="0" applyFont="1" applyFill="1"/>
    <xf numFmtId="0" fontId="12" fillId="64" borderId="0" xfId="0" applyFont="1" applyFill="1"/>
    <xf numFmtId="0" fontId="12" fillId="64" borderId="20" xfId="0" applyFont="1" applyFill="1" applyBorder="1"/>
    <xf numFmtId="168" fontId="240" fillId="64" borderId="0" xfId="0" applyNumberFormat="1" applyFont="1" applyFill="1"/>
    <xf numFmtId="168" fontId="12" fillId="64" borderId="0" xfId="0" applyNumberFormat="1" applyFont="1" applyFill="1"/>
    <xf numFmtId="168" fontId="12" fillId="64" borderId="20" xfId="0" applyNumberFormat="1" applyFont="1" applyFill="1" applyBorder="1"/>
    <xf numFmtId="168" fontId="240" fillId="64" borderId="20" xfId="0" applyNumberFormat="1" applyFont="1" applyFill="1" applyBorder="1"/>
    <xf numFmtId="168" fontId="240" fillId="64" borderId="25" xfId="0" applyNumberFormat="1" applyFont="1" applyFill="1" applyBorder="1"/>
    <xf numFmtId="168" fontId="240" fillId="64" borderId="118" xfId="0" applyNumberFormat="1" applyFont="1" applyFill="1" applyBorder="1"/>
    <xf numFmtId="0" fontId="137" fillId="0" borderId="0" xfId="0" applyFont="1"/>
    <xf numFmtId="1" fontId="144" fillId="36" borderId="0" xfId="0" applyNumberFormat="1" applyFont="1" applyFill="1"/>
    <xf numFmtId="0" fontId="144" fillId="45" borderId="0" xfId="0" applyFont="1" applyFill="1" applyAlignment="1">
      <alignment horizontal="left" indent="2"/>
    </xf>
    <xf numFmtId="167" fontId="144" fillId="14" borderId="0" xfId="0" applyNumberFormat="1" applyFont="1" applyFill="1"/>
    <xf numFmtId="0" fontId="144" fillId="45" borderId="0" xfId="0" applyFont="1" applyFill="1" applyAlignment="1">
      <alignment horizontal="left" indent="3"/>
    </xf>
    <xf numFmtId="1" fontId="97" fillId="36" borderId="0" xfId="0" applyNumberFormat="1" applyFont="1" applyFill="1"/>
    <xf numFmtId="0" fontId="86" fillId="45" borderId="0" xfId="0" applyFont="1" applyFill="1" applyAlignment="1">
      <alignment horizontal="left" indent="1"/>
    </xf>
    <xf numFmtId="0" fontId="86" fillId="45" borderId="119" xfId="0" applyFont="1" applyFill="1" applyBorder="1" applyAlignment="1">
      <alignment horizontal="left" indent="1"/>
    </xf>
    <xf numFmtId="0" fontId="86" fillId="45" borderId="120" xfId="0" applyFont="1" applyFill="1" applyBorder="1" applyAlignment="1">
      <alignment horizontal="left" indent="1"/>
    </xf>
    <xf numFmtId="0" fontId="86" fillId="45" borderId="120" xfId="0" applyFont="1" applyFill="1" applyBorder="1" applyAlignment="1">
      <alignment horizontal="left"/>
    </xf>
    <xf numFmtId="0" fontId="86" fillId="45" borderId="121" xfId="0" applyFont="1" applyFill="1" applyBorder="1" applyAlignment="1">
      <alignment horizontal="left"/>
    </xf>
    <xf numFmtId="0" fontId="86" fillId="45" borderId="122" xfId="0" applyFont="1" applyFill="1" applyBorder="1" applyAlignment="1">
      <alignment horizontal="left" indent="1"/>
    </xf>
    <xf numFmtId="0" fontId="86" fillId="45" borderId="123" xfId="0" applyFont="1" applyFill="1" applyBorder="1" applyAlignment="1">
      <alignment horizontal="left" indent="1"/>
    </xf>
    <xf numFmtId="0" fontId="86" fillId="45" borderId="123" xfId="0" applyFont="1" applyFill="1" applyBorder="1" applyAlignment="1">
      <alignment horizontal="left"/>
    </xf>
    <xf numFmtId="1" fontId="86" fillId="45" borderId="123" xfId="0" applyNumberFormat="1" applyFont="1" applyFill="1" applyBorder="1" applyAlignment="1">
      <alignment horizontal="left"/>
    </xf>
    <xf numFmtId="1" fontId="86" fillId="45" borderId="124" xfId="0" applyNumberFormat="1" applyFont="1" applyFill="1" applyBorder="1" applyAlignment="1">
      <alignment horizontal="left"/>
    </xf>
    <xf numFmtId="1" fontId="66" fillId="36" borderId="31" xfId="0" applyNumberFormat="1" applyFont="1" applyFill="1" applyBorder="1"/>
    <xf numFmtId="1" fontId="144" fillId="36" borderId="32" xfId="0" applyNumberFormat="1" applyFont="1" applyFill="1" applyBorder="1"/>
    <xf numFmtId="1" fontId="144" fillId="36" borderId="38" xfId="0" applyNumberFormat="1" applyFont="1" applyFill="1" applyBorder="1"/>
    <xf numFmtId="1" fontId="144" fillId="36" borderId="27" xfId="0" applyNumberFormat="1" applyFont="1" applyFill="1" applyBorder="1"/>
    <xf numFmtId="0" fontId="86" fillId="33" borderId="0" xfId="0" applyFont="1" applyFill="1" applyAlignment="1">
      <alignment horizontal="left" indent="1"/>
    </xf>
    <xf numFmtId="0" fontId="86" fillId="33" borderId="0" xfId="0" applyFont="1" applyFill="1" applyAlignment="1">
      <alignment horizontal="left" indent="2"/>
    </xf>
    <xf numFmtId="0" fontId="86" fillId="33" borderId="0" xfId="0" applyFont="1" applyFill="1" applyAlignment="1">
      <alignment horizontal="left" indent="3"/>
    </xf>
    <xf numFmtId="168" fontId="66" fillId="46" borderId="32" xfId="0" applyNumberFormat="1" applyFont="1" applyFill="1" applyBorder="1"/>
    <xf numFmtId="168" fontId="66" fillId="46" borderId="38" xfId="0" applyNumberFormat="1" applyFont="1" applyFill="1" applyBorder="1"/>
    <xf numFmtId="0" fontId="76" fillId="0" borderId="126" xfId="0" applyFont="1" applyBorder="1"/>
    <xf numFmtId="167" fontId="66" fillId="14" borderId="126" xfId="0" applyNumberFormat="1" applyFont="1" applyFill="1" applyBorder="1"/>
    <xf numFmtId="168" fontId="66" fillId="46" borderId="126" xfId="0" applyNumberFormat="1" applyFont="1" applyFill="1" applyBorder="1"/>
    <xf numFmtId="168" fontId="66" fillId="46" borderId="127" xfId="0" applyNumberFormat="1" applyFont="1" applyFill="1" applyBorder="1"/>
    <xf numFmtId="0" fontId="86" fillId="33" borderId="125" xfId="0" applyFont="1" applyFill="1" applyBorder="1" applyAlignment="1">
      <alignment horizontal="left" indent="1"/>
    </xf>
    <xf numFmtId="0" fontId="109" fillId="0" borderId="128" xfId="0" applyFont="1" applyBorder="1" applyAlignment="1">
      <alignment horizontal="left"/>
    </xf>
    <xf numFmtId="0" fontId="76" fillId="0" borderId="129" xfId="0" applyFont="1" applyBorder="1"/>
    <xf numFmtId="167" fontId="76" fillId="0" borderId="129" xfId="0" applyNumberFormat="1" applyFont="1" applyBorder="1"/>
    <xf numFmtId="0" fontId="85" fillId="0" borderId="129" xfId="0" applyFont="1" applyBorder="1"/>
    <xf numFmtId="0" fontId="85" fillId="0" borderId="130" xfId="0" applyFont="1" applyBorder="1"/>
    <xf numFmtId="0" fontId="76" fillId="0" borderId="131" xfId="0" applyFont="1" applyBorder="1" applyAlignment="1">
      <alignment horizontal="left"/>
    </xf>
    <xf numFmtId="167" fontId="241" fillId="0" borderId="0" xfId="0" applyNumberFormat="1" applyFont="1"/>
    <xf numFmtId="167" fontId="241" fillId="0" borderId="132" xfId="0" applyNumberFormat="1" applyFont="1" applyBorder="1"/>
    <xf numFmtId="0" fontId="76" fillId="0" borderId="133" xfId="0" applyFont="1" applyBorder="1" applyAlignment="1">
      <alignment horizontal="left"/>
    </xf>
    <xf numFmtId="0" fontId="76" fillId="0" borderId="134" xfId="0" applyFont="1" applyBorder="1"/>
    <xf numFmtId="167" fontId="76" fillId="0" borderId="134" xfId="0" applyNumberFormat="1" applyFont="1" applyBorder="1"/>
    <xf numFmtId="1" fontId="241" fillId="0" borderId="134" xfId="0" applyNumberFormat="1" applyFont="1" applyBorder="1"/>
    <xf numFmtId="1" fontId="241" fillId="0" borderId="135" xfId="0" applyNumberFormat="1" applyFont="1" applyBorder="1"/>
    <xf numFmtId="0" fontId="86" fillId="45" borderId="136" xfId="0" applyFont="1" applyFill="1" applyBorder="1" applyAlignment="1">
      <alignment horizontal="left" indent="1"/>
    </xf>
    <xf numFmtId="0" fontId="86" fillId="45" borderId="137" xfId="0" applyFont="1" applyFill="1" applyBorder="1" applyAlignment="1">
      <alignment horizontal="left" indent="1"/>
    </xf>
    <xf numFmtId="0" fontId="86" fillId="45" borderId="138" xfId="0" applyFont="1" applyFill="1" applyBorder="1" applyAlignment="1">
      <alignment horizontal="left" indent="1"/>
    </xf>
    <xf numFmtId="0" fontId="86" fillId="45" borderId="138" xfId="0" applyFont="1" applyFill="1" applyBorder="1" applyAlignment="1">
      <alignment horizontal="left"/>
    </xf>
    <xf numFmtId="166" fontId="86" fillId="45" borderId="138" xfId="0" applyNumberFormat="1" applyFont="1" applyFill="1" applyBorder="1" applyAlignment="1">
      <alignment horizontal="left"/>
    </xf>
    <xf numFmtId="166" fontId="86" fillId="45" borderId="139" xfId="0" applyNumberFormat="1" applyFont="1" applyFill="1" applyBorder="1" applyAlignment="1">
      <alignment horizontal="left"/>
    </xf>
    <xf numFmtId="49" fontId="86" fillId="45" borderId="0" xfId="0" applyNumberFormat="1" applyFont="1" applyFill="1" applyAlignment="1">
      <alignment horizontal="left" indent="1"/>
    </xf>
    <xf numFmtId="166" fontId="76" fillId="0" borderId="0" xfId="0" applyNumberFormat="1" applyFont="1"/>
    <xf numFmtId="167" fontId="89" fillId="13" borderId="6" xfId="0" applyNumberFormat="1" applyFont="1" applyFill="1" applyBorder="1" applyAlignment="1">
      <alignment horizontal="right"/>
    </xf>
    <xf numFmtId="0" fontId="101" fillId="13" borderId="0" xfId="0" applyFont="1" applyFill="1" applyAlignment="1">
      <alignment horizontal="left" indent="7"/>
    </xf>
    <xf numFmtId="167" fontId="3" fillId="55" borderId="31" xfId="0" applyNumberFormat="1" applyFont="1" applyFill="1" applyBorder="1"/>
    <xf numFmtId="167" fontId="3" fillId="55" borderId="29" xfId="0" applyNumberFormat="1" applyFont="1" applyFill="1" applyBorder="1" applyAlignment="1">
      <alignment horizontal="right"/>
    </xf>
    <xf numFmtId="167" fontId="3" fillId="55" borderId="0" xfId="0" applyNumberFormat="1" applyFont="1" applyFill="1" applyAlignment="1">
      <alignment horizontal="right"/>
    </xf>
    <xf numFmtId="167" fontId="3" fillId="55" borderId="0" xfId="0" applyNumberFormat="1" applyFont="1" applyFill="1"/>
    <xf numFmtId="167" fontId="242" fillId="55" borderId="0" xfId="0" applyNumberFormat="1" applyFont="1" applyFill="1"/>
    <xf numFmtId="167" fontId="243" fillId="55" borderId="0" xfId="0" applyNumberFormat="1" applyFont="1" applyFill="1"/>
    <xf numFmtId="167" fontId="242" fillId="55" borderId="31" xfId="0" applyNumberFormat="1" applyFont="1" applyFill="1" applyBorder="1"/>
    <xf numFmtId="167" fontId="243" fillId="55" borderId="29" xfId="0" applyNumberFormat="1" applyFont="1" applyFill="1" applyBorder="1"/>
    <xf numFmtId="167" fontId="7" fillId="55" borderId="0" xfId="0" applyNumberFormat="1" applyFont="1" applyFill="1" applyAlignment="1">
      <alignment horizontal="right"/>
    </xf>
    <xf numFmtId="167" fontId="242" fillId="55" borderId="0" xfId="0" applyNumberFormat="1" applyFont="1" applyFill="1" applyAlignment="1">
      <alignment horizontal="right"/>
    </xf>
    <xf numFmtId="0" fontId="236" fillId="55" borderId="0" xfId="0" applyFont="1" applyFill="1"/>
    <xf numFmtId="0" fontId="65" fillId="29" borderId="0" xfId="0" applyFont="1" applyFill="1" applyAlignment="1">
      <alignment horizontal="left" wrapText="1" indent="3"/>
    </xf>
    <xf numFmtId="43" fontId="61" fillId="0" borderId="0" xfId="0" applyNumberFormat="1" applyFont="1"/>
    <xf numFmtId="0" fontId="75" fillId="0" borderId="26" xfId="0" applyFont="1" applyBorder="1"/>
    <xf numFmtId="2" fontId="76" fillId="29" borderId="7" xfId="0" applyNumberFormat="1" applyFont="1" applyFill="1" applyBorder="1"/>
    <xf numFmtId="0" fontId="206" fillId="0" borderId="0" xfId="0" applyFont="1" applyAlignment="1">
      <alignment horizontal="left" indent="3"/>
    </xf>
    <xf numFmtId="2" fontId="66" fillId="13" borderId="0" xfId="12" applyNumberFormat="1" applyFont="1" applyFill="1" applyBorder="1" applyAlignment="1">
      <alignment horizontal="right"/>
    </xf>
    <xf numFmtId="169" fontId="202" fillId="58" borderId="7" xfId="1" applyNumberFormat="1" applyFont="1" applyFill="1" applyBorder="1" applyAlignment="1">
      <alignment horizontal="right"/>
    </xf>
    <xf numFmtId="2" fontId="202" fillId="58" borderId="7" xfId="0" applyNumberFormat="1" applyFont="1" applyFill="1" applyBorder="1" applyAlignment="1">
      <alignment horizontal="right"/>
    </xf>
    <xf numFmtId="167" fontId="89" fillId="13" borderId="107" xfId="0" applyNumberFormat="1" applyFont="1" applyFill="1" applyBorder="1" applyAlignment="1">
      <alignment horizontal="right"/>
    </xf>
    <xf numFmtId="0" fontId="195" fillId="29" borderId="143" xfId="0" applyFont="1" applyFill="1" applyBorder="1" applyAlignment="1">
      <alignment horizontal="left" indent="4"/>
    </xf>
    <xf numFmtId="0" fontId="195" fillId="29" borderId="144" xfId="0" applyFont="1" applyFill="1" applyBorder="1" applyAlignment="1">
      <alignment horizontal="left" indent="4"/>
    </xf>
    <xf numFmtId="167" fontId="101" fillId="29" borderId="143" xfId="0" applyNumberFormat="1" applyFont="1" applyFill="1" applyBorder="1" applyAlignment="1">
      <alignment horizontal="right"/>
    </xf>
    <xf numFmtId="167" fontId="101" fillId="29" borderId="144" xfId="0" applyNumberFormat="1" applyFont="1" applyFill="1" applyBorder="1" applyAlignment="1">
      <alignment horizontal="right"/>
    </xf>
    <xf numFmtId="0" fontId="245" fillId="13" borderId="0" xfId="9" applyFont="1" applyFill="1" applyAlignment="1"/>
    <xf numFmtId="0" fontId="246" fillId="0" borderId="113" xfId="0" applyFont="1" applyBorder="1"/>
    <xf numFmtId="167" fontId="247" fillId="13" borderId="0" xfId="0" applyNumberFormat="1" applyFont="1" applyFill="1" applyAlignment="1">
      <alignment horizontal="right"/>
    </xf>
    <xf numFmtId="0" fontId="38" fillId="65" borderId="0" xfId="9" applyFont="1" applyFill="1" applyAlignment="1">
      <alignment horizontal="left" indent="3"/>
    </xf>
    <xf numFmtId="0" fontId="248" fillId="0" borderId="0" xfId="0" applyFont="1"/>
    <xf numFmtId="172" fontId="249" fillId="0" borderId="0" xfId="0" applyNumberFormat="1" applyFont="1"/>
    <xf numFmtId="0" fontId="251" fillId="0" borderId="0" xfId="0" applyFont="1"/>
    <xf numFmtId="0" fontId="239" fillId="0" borderId="0" xfId="0" applyFont="1"/>
    <xf numFmtId="0" fontId="252" fillId="0" borderId="0" xfId="0" applyFont="1"/>
    <xf numFmtId="0" fontId="252" fillId="0" borderId="0" xfId="0" quotePrefix="1" applyFont="1" applyAlignment="1">
      <alignment horizontal="center" vertical="center"/>
    </xf>
    <xf numFmtId="49" fontId="252" fillId="0" borderId="0" xfId="0" applyNumberFormat="1" applyFont="1"/>
    <xf numFmtId="0" fontId="253" fillId="0" borderId="0" xfId="0" applyFont="1"/>
    <xf numFmtId="0" fontId="254" fillId="48" borderId="98" xfId="0" applyFont="1" applyFill="1" applyBorder="1"/>
    <xf numFmtId="0" fontId="255" fillId="48" borderId="99" xfId="0" applyFont="1" applyFill="1" applyBorder="1"/>
    <xf numFmtId="0" fontId="147" fillId="48" borderId="99" xfId="0" applyFont="1" applyFill="1" applyBorder="1"/>
    <xf numFmtId="0" fontId="255" fillId="48" borderId="100" xfId="0" applyFont="1" applyFill="1" applyBorder="1"/>
    <xf numFmtId="0" fontId="255" fillId="48" borderId="101" xfId="0" applyFont="1" applyFill="1" applyBorder="1"/>
    <xf numFmtId="0" fontId="255" fillId="48" borderId="0" xfId="0" applyFont="1" applyFill="1"/>
    <xf numFmtId="168" fontId="63" fillId="48" borderId="0" xfId="0" applyNumberFormat="1" applyFont="1" applyFill="1"/>
    <xf numFmtId="0" fontId="255" fillId="48" borderId="102" xfId="0" applyFont="1" applyFill="1" applyBorder="1"/>
    <xf numFmtId="0" fontId="63" fillId="48" borderId="101" xfId="0" applyFont="1" applyFill="1" applyBorder="1"/>
    <xf numFmtId="0" fontId="63" fillId="48" borderId="103" xfId="0" applyFont="1" applyFill="1" applyBorder="1"/>
    <xf numFmtId="0" fontId="77" fillId="48" borderId="104" xfId="0" applyFont="1" applyFill="1" applyBorder="1" applyAlignment="1">
      <alignment horizontal="fill"/>
    </xf>
    <xf numFmtId="2" fontId="63" fillId="48" borderId="104" xfId="0" applyNumberFormat="1" applyFont="1" applyFill="1" applyBorder="1"/>
    <xf numFmtId="0" fontId="77" fillId="48" borderId="105" xfId="0" applyFont="1" applyFill="1" applyBorder="1" applyAlignment="1">
      <alignment horizontal="fill"/>
    </xf>
    <xf numFmtId="0" fontId="127" fillId="30" borderId="0" xfId="9" applyFont="1" applyFill="1" applyAlignment="1">
      <alignment horizontal="left"/>
    </xf>
    <xf numFmtId="166" fontId="69" fillId="30" borderId="0" xfId="9" applyNumberFormat="1" applyFont="1" applyFill="1" applyAlignment="1">
      <alignment horizontal="left" indent="2"/>
    </xf>
    <xf numFmtId="166" fontId="66" fillId="0" borderId="0" xfId="0" applyNumberFormat="1" applyFont="1"/>
    <xf numFmtId="0" fontId="158" fillId="5" borderId="0" xfId="9" applyFont="1" applyFill="1">
      <alignment vertical="top"/>
    </xf>
    <xf numFmtId="0" fontId="151" fillId="5" borderId="0" xfId="0" applyFont="1" applyFill="1" applyAlignment="1">
      <alignment horizontal="left" indent="1"/>
    </xf>
    <xf numFmtId="0" fontId="151" fillId="5" borderId="0" xfId="0" applyFont="1" applyFill="1"/>
    <xf numFmtId="0" fontId="151" fillId="5" borderId="0" xfId="9" applyFont="1" applyFill="1" applyAlignment="1">
      <alignment horizontal="left" indent="1"/>
    </xf>
    <xf numFmtId="0" fontId="151" fillId="5" borderId="0" xfId="9" applyFont="1" applyFill="1" applyAlignment="1">
      <alignment horizontal="left" indent="2"/>
    </xf>
    <xf numFmtId="0" fontId="151" fillId="18" borderId="0" xfId="0" applyFont="1" applyFill="1"/>
    <xf numFmtId="3" fontId="151" fillId="5" borderId="23" xfId="0" applyNumberFormat="1" applyFont="1" applyFill="1" applyBorder="1"/>
    <xf numFmtId="0" fontId="158" fillId="18" borderId="0" xfId="9" applyFont="1" applyFill="1">
      <alignment vertical="top"/>
    </xf>
    <xf numFmtId="167" fontId="151" fillId="18" borderId="23" xfId="0" applyNumberFormat="1" applyFont="1" applyFill="1" applyBorder="1"/>
    <xf numFmtId="167" fontId="151" fillId="18" borderId="45" xfId="0" applyNumberFormat="1" applyFont="1" applyFill="1" applyBorder="1"/>
    <xf numFmtId="0" fontId="151" fillId="18" borderId="0" xfId="0" applyFont="1" applyFill="1" applyAlignment="1">
      <alignment horizontal="left" indent="1"/>
    </xf>
    <xf numFmtId="0" fontId="151" fillId="18" borderId="0" xfId="0" applyFont="1" applyFill="1" applyAlignment="1">
      <alignment horizontal="left" indent="2"/>
    </xf>
    <xf numFmtId="0" fontId="150" fillId="18" borderId="0" xfId="0" applyFont="1" applyFill="1"/>
    <xf numFmtId="0" fontId="159" fillId="5" borderId="0" xfId="0" applyFont="1" applyFill="1"/>
    <xf numFmtId="167" fontId="82" fillId="20" borderId="45" xfId="0" applyNumberFormat="1" applyFont="1" applyFill="1" applyBorder="1"/>
    <xf numFmtId="167" fontId="82" fillId="13" borderId="10" xfId="0" applyNumberFormat="1" applyFont="1" applyFill="1" applyBorder="1" applyAlignment="1">
      <alignment horizontal="right"/>
    </xf>
    <xf numFmtId="172" fontId="112" fillId="13" borderId="10" xfId="0" applyNumberFormat="1" applyFont="1" applyFill="1" applyBorder="1" applyAlignment="1">
      <alignment horizontal="right"/>
    </xf>
    <xf numFmtId="0" fontId="82" fillId="0" borderId="45" xfId="0" applyFont="1" applyBorder="1"/>
    <xf numFmtId="0" fontId="82" fillId="5" borderId="45" xfId="0" applyFont="1" applyFill="1" applyBorder="1" applyAlignment="1">
      <alignment horizontal="left" indent="2"/>
    </xf>
    <xf numFmtId="166" fontId="82" fillId="0" borderId="45" xfId="0" applyNumberFormat="1" applyFont="1" applyBorder="1"/>
    <xf numFmtId="166" fontId="82" fillId="28" borderId="45" xfId="0" applyNumberFormat="1" applyFont="1" applyFill="1" applyBorder="1"/>
    <xf numFmtId="166" fontId="82" fillId="29" borderId="45" xfId="0" applyNumberFormat="1" applyFont="1" applyFill="1" applyBorder="1"/>
    <xf numFmtId="166" fontId="114" fillId="29" borderId="45" xfId="0" applyNumberFormat="1" applyFont="1" applyFill="1" applyBorder="1"/>
    <xf numFmtId="0" fontId="113" fillId="5" borderId="45" xfId="0" applyFont="1" applyFill="1" applyBorder="1" applyAlignment="1">
      <alignment horizontal="left" indent="1"/>
    </xf>
    <xf numFmtId="167" fontId="175" fillId="0" borderId="45" xfId="0" applyNumberFormat="1" applyFont="1" applyBorder="1"/>
    <xf numFmtId="167" fontId="119" fillId="0" borderId="45" xfId="0" applyNumberFormat="1" applyFont="1" applyBorder="1"/>
    <xf numFmtId="172" fontId="127" fillId="5" borderId="45" xfId="0" applyNumberFormat="1" applyFont="1" applyFill="1" applyBorder="1"/>
    <xf numFmtId="167" fontId="82" fillId="13" borderId="46" xfId="0" applyNumberFormat="1" applyFont="1" applyFill="1" applyBorder="1"/>
    <xf numFmtId="172" fontId="112" fillId="13" borderId="45" xfId="0" applyNumberFormat="1" applyFont="1" applyFill="1" applyBorder="1"/>
    <xf numFmtId="172" fontId="112" fillId="0" borderId="46" xfId="0" applyNumberFormat="1" applyFont="1" applyBorder="1"/>
    <xf numFmtId="172" fontId="112" fillId="31" borderId="45" xfId="0" applyNumberFormat="1" applyFont="1" applyFill="1" applyBorder="1" applyAlignment="1">
      <alignment horizontal="right"/>
    </xf>
    <xf numFmtId="167" fontId="114" fillId="14" borderId="45" xfId="9" applyNumberFormat="1" applyFont="1" applyFill="1" applyBorder="1" applyAlignment="1"/>
    <xf numFmtId="172" fontId="111" fillId="18" borderId="0" xfId="0" applyNumberFormat="1" applyFont="1" applyFill="1" applyAlignment="1">
      <alignment horizontal="center" textRotation="90"/>
    </xf>
    <xf numFmtId="172" fontId="111" fillId="0" borderId="10" xfId="0" applyNumberFormat="1" applyFont="1" applyBorder="1"/>
    <xf numFmtId="167" fontId="82" fillId="5" borderId="10" xfId="0" applyNumberFormat="1" applyFont="1" applyFill="1" applyBorder="1"/>
    <xf numFmtId="0" fontId="82" fillId="0" borderId="10" xfId="0" applyFont="1" applyBorder="1"/>
    <xf numFmtId="0" fontId="82" fillId="5" borderId="10" xfId="0" applyFont="1" applyFill="1" applyBorder="1" applyAlignment="1">
      <alignment horizontal="left" indent="2"/>
    </xf>
    <xf numFmtId="167" fontId="113" fillId="5" borderId="10" xfId="0" applyNumberFormat="1" applyFont="1" applyFill="1" applyBorder="1"/>
    <xf numFmtId="166" fontId="82" fillId="0" borderId="10" xfId="0" applyNumberFormat="1" applyFont="1" applyBorder="1"/>
    <xf numFmtId="166" fontId="82" fillId="28" borderId="10" xfId="0" applyNumberFormat="1" applyFont="1" applyFill="1" applyBorder="1"/>
    <xf numFmtId="166" fontId="82" fillId="29" borderId="10" xfId="0" applyNumberFormat="1" applyFont="1" applyFill="1" applyBorder="1"/>
    <xf numFmtId="166" fontId="114" fillId="29" borderId="10" xfId="0" applyNumberFormat="1" applyFont="1" applyFill="1" applyBorder="1"/>
    <xf numFmtId="0" fontId="113" fillId="5" borderId="10" xfId="0" applyFont="1" applyFill="1" applyBorder="1" applyAlignment="1">
      <alignment horizontal="left" indent="1"/>
    </xf>
    <xf numFmtId="167" fontId="151" fillId="5" borderId="10" xfId="0" applyNumberFormat="1" applyFont="1" applyFill="1" applyBorder="1"/>
    <xf numFmtId="167" fontId="175" fillId="0" borderId="10" xfId="0" applyNumberFormat="1" applyFont="1" applyBorder="1"/>
    <xf numFmtId="167" fontId="119" fillId="0" borderId="10" xfId="0" applyNumberFormat="1" applyFont="1" applyBorder="1"/>
    <xf numFmtId="172" fontId="127" fillId="5" borderId="10" xfId="0" applyNumberFormat="1" applyFont="1" applyFill="1" applyBorder="1"/>
    <xf numFmtId="167" fontId="82" fillId="5" borderId="10" xfId="0" applyNumberFormat="1" applyFont="1" applyFill="1" applyBorder="1" applyAlignment="1">
      <alignment horizontal="right"/>
    </xf>
    <xf numFmtId="167" fontId="151" fillId="18" borderId="10" xfId="0" applyNumberFormat="1" applyFont="1" applyFill="1" applyBorder="1"/>
    <xf numFmtId="167" fontId="82" fillId="13" borderId="47" xfId="0" applyNumberFormat="1" applyFont="1" applyFill="1" applyBorder="1"/>
    <xf numFmtId="167" fontId="82" fillId="13" borderId="10" xfId="0" applyNumberFormat="1" applyFont="1" applyFill="1" applyBorder="1"/>
    <xf numFmtId="172" fontId="112" fillId="13" borderId="10" xfId="0" applyNumberFormat="1" applyFont="1" applyFill="1" applyBorder="1"/>
    <xf numFmtId="167" fontId="82" fillId="31" borderId="10" xfId="0" applyNumberFormat="1" applyFont="1" applyFill="1" applyBorder="1"/>
    <xf numFmtId="172" fontId="112" fillId="31" borderId="10" xfId="0" applyNumberFormat="1" applyFont="1" applyFill="1" applyBorder="1" applyAlignment="1">
      <alignment horizontal="right"/>
    </xf>
    <xf numFmtId="172" fontId="111" fillId="23" borderId="10" xfId="9" applyNumberFormat="1" applyFont="1" applyFill="1" applyBorder="1" applyAlignment="1"/>
    <xf numFmtId="167" fontId="114" fillId="23" borderId="10" xfId="9" applyNumberFormat="1" applyFont="1" applyFill="1" applyBorder="1" applyAlignment="1"/>
    <xf numFmtId="167" fontId="114" fillId="24" borderId="10" xfId="9" applyNumberFormat="1" applyFont="1" applyFill="1" applyBorder="1" applyAlignment="1"/>
    <xf numFmtId="167" fontId="82" fillId="24" borderId="10" xfId="0" applyNumberFormat="1" applyFont="1" applyFill="1" applyBorder="1"/>
    <xf numFmtId="167" fontId="82" fillId="24" borderId="145" xfId="0" applyNumberFormat="1" applyFont="1" applyFill="1" applyBorder="1"/>
    <xf numFmtId="172" fontId="62" fillId="21" borderId="146" xfId="0" applyNumberFormat="1" applyFont="1" applyFill="1" applyBorder="1"/>
    <xf numFmtId="167" fontId="82" fillId="27" borderId="10" xfId="0" applyNumberFormat="1" applyFont="1" applyFill="1" applyBorder="1"/>
    <xf numFmtId="172" fontId="112" fillId="27" borderId="10" xfId="0" applyNumberFormat="1" applyFont="1" applyFill="1" applyBorder="1"/>
    <xf numFmtId="172" fontId="132" fillId="27" borderId="10" xfId="0" applyNumberFormat="1" applyFont="1" applyFill="1" applyBorder="1"/>
    <xf numFmtId="167" fontId="113" fillId="27" borderId="10" xfId="0" applyNumberFormat="1" applyFont="1" applyFill="1" applyBorder="1"/>
    <xf numFmtId="167" fontId="133" fillId="27" borderId="10" xfId="0" applyNumberFormat="1" applyFont="1" applyFill="1" applyBorder="1"/>
    <xf numFmtId="1" fontId="125" fillId="27" borderId="10" xfId="0" applyNumberFormat="1" applyFont="1" applyFill="1" applyBorder="1"/>
    <xf numFmtId="167" fontId="82" fillId="0" borderId="43" xfId="0" applyNumberFormat="1" applyFont="1" applyBorder="1"/>
    <xf numFmtId="0" fontId="113" fillId="0" borderId="28" xfId="0" applyFont="1" applyBorder="1"/>
    <xf numFmtId="172" fontId="175" fillId="5" borderId="45" xfId="0" quotePrefix="1" applyNumberFormat="1" applyFont="1" applyFill="1" applyBorder="1" applyAlignment="1">
      <alignment horizontal="right"/>
    </xf>
    <xf numFmtId="167" fontId="113" fillId="0" borderId="45" xfId="0" applyNumberFormat="1" applyFont="1" applyBorder="1"/>
    <xf numFmtId="167" fontId="187" fillId="0" borderId="45" xfId="0" applyNumberFormat="1" applyFont="1" applyBorder="1"/>
    <xf numFmtId="167" fontId="180" fillId="0" borderId="45" xfId="0" applyNumberFormat="1" applyFont="1" applyBorder="1"/>
    <xf numFmtId="167" fontId="219" fillId="61" borderId="147" xfId="0" applyNumberFormat="1" applyFont="1" applyFill="1" applyBorder="1"/>
    <xf numFmtId="172" fontId="190" fillId="5" borderId="45" xfId="0" applyNumberFormat="1" applyFont="1" applyFill="1" applyBorder="1"/>
    <xf numFmtId="17" fontId="189" fillId="5" borderId="45" xfId="9" applyNumberFormat="1" applyFont="1" applyFill="1" applyBorder="1">
      <alignment vertical="top"/>
    </xf>
    <xf numFmtId="167" fontId="220" fillId="61" borderId="45" xfId="0" applyNumberFormat="1" applyFont="1" applyFill="1" applyBorder="1"/>
    <xf numFmtId="167" fontId="185" fillId="0" borderId="45" xfId="0" applyNumberFormat="1" applyFont="1" applyBorder="1"/>
    <xf numFmtId="0" fontId="82" fillId="38" borderId="45" xfId="0" applyFont="1" applyFill="1" applyBorder="1"/>
    <xf numFmtId="172" fontId="112" fillId="0" borderId="45" xfId="0" applyNumberFormat="1" applyFont="1" applyBorder="1" applyAlignment="1">
      <alignment horizontal="right"/>
    </xf>
    <xf numFmtId="167" fontId="82" fillId="27" borderId="45" xfId="0" applyNumberFormat="1" applyFont="1" applyFill="1" applyBorder="1"/>
    <xf numFmtId="172" fontId="112" fillId="27" borderId="45" xfId="0" applyNumberFormat="1" applyFont="1" applyFill="1" applyBorder="1"/>
    <xf numFmtId="167" fontId="113" fillId="27" borderId="45" xfId="0" applyNumberFormat="1" applyFont="1" applyFill="1" applyBorder="1"/>
    <xf numFmtId="167" fontId="133" fillId="27" borderId="45" xfId="0" applyNumberFormat="1" applyFont="1" applyFill="1" applyBorder="1"/>
    <xf numFmtId="1" fontId="125" fillId="27" borderId="45" xfId="0" applyNumberFormat="1" applyFont="1" applyFill="1" applyBorder="1"/>
    <xf numFmtId="0" fontId="10" fillId="66" borderId="0" xfId="0" applyFont="1" applyFill="1"/>
    <xf numFmtId="167" fontId="217" fillId="5" borderId="45" xfId="0" applyNumberFormat="1" applyFont="1" applyFill="1" applyBorder="1"/>
    <xf numFmtId="167" fontId="219" fillId="61" borderId="45" xfId="0" applyNumberFormat="1" applyFont="1" applyFill="1" applyBorder="1"/>
    <xf numFmtId="167" fontId="217" fillId="13" borderId="45" xfId="0" applyNumberFormat="1" applyFont="1" applyFill="1" applyBorder="1" applyAlignment="1">
      <alignment horizontal="right"/>
    </xf>
    <xf numFmtId="167" fontId="151" fillId="29" borderId="45" xfId="0" applyNumberFormat="1" applyFont="1" applyFill="1" applyBorder="1"/>
    <xf numFmtId="167" fontId="151" fillId="38" borderId="45" xfId="0" applyNumberFormat="1" applyFont="1" applyFill="1" applyBorder="1"/>
    <xf numFmtId="0" fontId="151" fillId="38" borderId="45" xfId="0" applyFont="1" applyFill="1" applyBorder="1"/>
    <xf numFmtId="172" fontId="112" fillId="0" borderId="45" xfId="0" applyNumberFormat="1" applyFont="1" applyBorder="1"/>
    <xf numFmtId="0" fontId="125" fillId="0" borderId="45" xfId="0" applyFont="1" applyBorder="1"/>
    <xf numFmtId="167" fontId="150" fillId="5" borderId="45" xfId="0" applyNumberFormat="1" applyFont="1" applyFill="1" applyBorder="1"/>
    <xf numFmtId="172" fontId="218" fillId="61" borderId="45" xfId="0" quotePrefix="1" applyNumberFormat="1" applyFont="1" applyFill="1" applyBorder="1" applyAlignment="1">
      <alignment horizontal="right"/>
    </xf>
    <xf numFmtId="0" fontId="219" fillId="0" borderId="45" xfId="0" applyFont="1" applyBorder="1"/>
    <xf numFmtId="167" fontId="219" fillId="0" borderId="45" xfId="0" applyNumberFormat="1" applyFont="1" applyBorder="1"/>
    <xf numFmtId="167" fontId="221" fillId="61" borderId="45" xfId="0" applyNumberFormat="1" applyFont="1" applyFill="1" applyBorder="1"/>
    <xf numFmtId="166" fontId="220" fillId="61" borderId="45" xfId="0" applyNumberFormat="1" applyFont="1" applyFill="1" applyBorder="1"/>
    <xf numFmtId="166" fontId="219" fillId="61" borderId="45" xfId="0" applyNumberFormat="1" applyFont="1" applyFill="1" applyBorder="1"/>
    <xf numFmtId="166" fontId="222" fillId="61" borderId="45" xfId="0" applyNumberFormat="1" applyFont="1" applyFill="1" applyBorder="1"/>
    <xf numFmtId="167" fontId="223" fillId="61" borderId="45" xfId="0" applyNumberFormat="1" applyFont="1" applyFill="1" applyBorder="1"/>
    <xf numFmtId="0" fontId="220" fillId="61" borderId="45" xfId="0" applyFont="1" applyFill="1" applyBorder="1" applyAlignment="1">
      <alignment horizontal="left" indent="1"/>
    </xf>
    <xf numFmtId="167" fontId="224" fillId="61" borderId="45" xfId="0" applyNumberFormat="1" applyFont="1" applyFill="1" applyBorder="1"/>
    <xf numFmtId="167" fontId="225" fillId="61" borderId="45" xfId="0" applyNumberFormat="1" applyFont="1" applyFill="1" applyBorder="1"/>
    <xf numFmtId="167" fontId="38" fillId="61" borderId="45" xfId="10" applyNumberFormat="1" applyFont="1" applyFill="1" applyBorder="1"/>
    <xf numFmtId="167" fontId="220" fillId="0" borderId="45" xfId="0" applyNumberFormat="1" applyFont="1" applyBorder="1"/>
    <xf numFmtId="167" fontId="226" fillId="0" borderId="45" xfId="0" applyNumberFormat="1" applyFont="1" applyBorder="1"/>
    <xf numFmtId="167" fontId="227" fillId="0" borderId="45" xfId="0" applyNumberFormat="1" applyFont="1" applyBorder="1"/>
    <xf numFmtId="167" fontId="219" fillId="61" borderId="45" xfId="0" applyNumberFormat="1" applyFont="1" applyFill="1" applyBorder="1" applyAlignment="1">
      <alignment horizontal="right"/>
    </xf>
    <xf numFmtId="167" fontId="204" fillId="61" borderId="45" xfId="0" applyNumberFormat="1" applyFont="1" applyFill="1" applyBorder="1"/>
    <xf numFmtId="17" fontId="218" fillId="61" borderId="45" xfId="6" applyNumberFormat="1" applyFont="1" applyFill="1" applyBorder="1"/>
    <xf numFmtId="167" fontId="228" fillId="0" borderId="45" xfId="0" applyNumberFormat="1" applyFont="1" applyBorder="1"/>
    <xf numFmtId="0" fontId="114" fillId="0" borderId="0" xfId="0" applyFont="1"/>
    <xf numFmtId="167" fontId="114" fillId="13" borderId="20" xfId="0" applyNumberFormat="1" applyFont="1" applyFill="1" applyBorder="1" applyAlignment="1">
      <alignment horizontal="right"/>
    </xf>
    <xf numFmtId="167" fontId="114" fillId="13" borderId="45" xfId="0" applyNumberFormat="1" applyFont="1" applyFill="1" applyBorder="1" applyAlignment="1">
      <alignment horizontal="right"/>
    </xf>
    <xf numFmtId="167" fontId="114" fillId="13" borderId="10" xfId="0" applyNumberFormat="1" applyFont="1" applyFill="1" applyBorder="1" applyAlignment="1">
      <alignment horizontal="right"/>
    </xf>
    <xf numFmtId="167" fontId="114" fillId="19" borderId="0" xfId="0" applyNumberFormat="1" applyFont="1" applyFill="1" applyAlignment="1">
      <alignment horizontal="right"/>
    </xf>
    <xf numFmtId="167" fontId="111" fillId="0" borderId="0" xfId="0" applyNumberFormat="1" applyFont="1"/>
    <xf numFmtId="0" fontId="111" fillId="0" borderId="0" xfId="0" applyFont="1"/>
    <xf numFmtId="167" fontId="111" fillId="13" borderId="0" xfId="0" applyNumberFormat="1" applyFont="1" applyFill="1" applyAlignment="1">
      <alignment horizontal="right"/>
    </xf>
    <xf numFmtId="167" fontId="111" fillId="13" borderId="20" xfId="0" applyNumberFormat="1" applyFont="1" applyFill="1" applyBorder="1" applyAlignment="1">
      <alignment horizontal="right"/>
    </xf>
    <xf numFmtId="167" fontId="111" fillId="13" borderId="45" xfId="0" applyNumberFormat="1" applyFont="1" applyFill="1" applyBorder="1" applyAlignment="1">
      <alignment horizontal="right"/>
    </xf>
    <xf numFmtId="167" fontId="111" fillId="13" borderId="10" xfId="0" applyNumberFormat="1" applyFont="1" applyFill="1" applyBorder="1" applyAlignment="1">
      <alignment horizontal="right"/>
    </xf>
    <xf numFmtId="0" fontId="126" fillId="0" borderId="0" xfId="0" applyFont="1"/>
    <xf numFmtId="167" fontId="111" fillId="19" borderId="0" xfId="0" applyNumberFormat="1" applyFont="1" applyFill="1" applyAlignment="1">
      <alignment horizontal="right"/>
    </xf>
    <xf numFmtId="167" fontId="111" fillId="0" borderId="0" xfId="0" applyNumberFormat="1" applyFont="1" applyAlignment="1">
      <alignment horizontal="right"/>
    </xf>
    <xf numFmtId="167" fontId="125" fillId="0" borderId="0" xfId="0" applyNumberFormat="1" applyFont="1" applyAlignment="1">
      <alignment wrapText="1"/>
    </xf>
    <xf numFmtId="0" fontId="66" fillId="0" borderId="0" xfId="0" applyFont="1" applyAlignment="1">
      <alignment wrapText="1"/>
    </xf>
    <xf numFmtId="172" fontId="112" fillId="0" borderId="29" xfId="0" applyNumberFormat="1" applyFont="1" applyBorder="1" applyAlignment="1">
      <alignment wrapText="1"/>
    </xf>
    <xf numFmtId="172" fontId="112" fillId="0" borderId="0" xfId="0" applyNumberFormat="1" applyFont="1" applyAlignment="1">
      <alignment wrapText="1"/>
    </xf>
    <xf numFmtId="0" fontId="113" fillId="0" borderId="29" xfId="0" applyFont="1" applyBorder="1"/>
    <xf numFmtId="166" fontId="74" fillId="13" borderId="0" xfId="0" applyNumberFormat="1" applyFont="1" applyFill="1" applyAlignment="1">
      <alignment horizontal="right"/>
    </xf>
    <xf numFmtId="167" fontId="194" fillId="13" borderId="0" xfId="0" applyNumberFormat="1" applyFont="1" applyFill="1" applyAlignment="1">
      <alignment horizontal="right"/>
    </xf>
    <xf numFmtId="166" fontId="194" fillId="13" borderId="0" xfId="0" applyNumberFormat="1" applyFont="1" applyFill="1" applyAlignment="1">
      <alignment horizontal="right"/>
    </xf>
    <xf numFmtId="167" fontId="259" fillId="13" borderId="0" xfId="0" applyNumberFormat="1" applyFont="1" applyFill="1" applyAlignment="1">
      <alignment horizontal="right"/>
    </xf>
    <xf numFmtId="2" fontId="76" fillId="15" borderId="7" xfId="0" applyNumberFormat="1" applyFont="1" applyFill="1" applyBorder="1"/>
    <xf numFmtId="2" fontId="73" fillId="29" borderId="7" xfId="0" applyNumberFormat="1" applyFont="1" applyFill="1" applyBorder="1"/>
    <xf numFmtId="0" fontId="61" fillId="18" borderId="0" xfId="0" applyFont="1" applyFill="1"/>
    <xf numFmtId="0" fontId="185" fillId="13" borderId="0" xfId="9" applyFont="1" applyFill="1" applyAlignment="1">
      <alignment horizontal="left" indent="3"/>
    </xf>
    <xf numFmtId="0" fontId="185" fillId="13" borderId="0" xfId="9" applyFont="1" applyFill="1" applyAlignment="1">
      <alignment horizontal="left" indent="1"/>
    </xf>
    <xf numFmtId="0" fontId="185" fillId="13" borderId="0" xfId="9" applyFont="1" applyFill="1" applyAlignment="1">
      <alignment horizontal="left" indent="4"/>
    </xf>
    <xf numFmtId="0" fontId="185" fillId="13" borderId="0" xfId="9" applyFont="1" applyFill="1" applyAlignment="1">
      <alignment horizontal="left" indent="5"/>
    </xf>
    <xf numFmtId="0" fontId="127" fillId="18" borderId="0" xfId="9" applyFont="1" applyFill="1" applyAlignment="1">
      <alignment horizontal="left" indent="2"/>
    </xf>
    <xf numFmtId="166" fontId="101" fillId="13" borderId="0" xfId="0" applyNumberFormat="1" applyFont="1" applyFill="1" applyAlignment="1">
      <alignment horizontal="right"/>
    </xf>
    <xf numFmtId="166" fontId="101" fillId="18" borderId="0" xfId="0" applyNumberFormat="1" applyFont="1" applyFill="1" applyAlignment="1">
      <alignment horizontal="right"/>
    </xf>
    <xf numFmtId="168" fontId="63" fillId="15" borderId="33" xfId="12" applyNumberFormat="1" applyFont="1" applyFill="1" applyBorder="1"/>
    <xf numFmtId="167" fontId="202" fillId="55" borderId="0" xfId="0" applyNumberFormat="1" applyFont="1" applyFill="1"/>
    <xf numFmtId="167" fontId="3" fillId="55" borderId="32" xfId="0" applyNumberFormat="1" applyFont="1" applyFill="1" applyBorder="1" applyAlignment="1">
      <alignment horizontal="right"/>
    </xf>
    <xf numFmtId="167" fontId="3" fillId="55" borderId="26" xfId="0" applyNumberFormat="1" applyFont="1" applyFill="1" applyBorder="1" applyAlignment="1">
      <alignment horizontal="right"/>
    </xf>
    <xf numFmtId="167" fontId="3" fillId="55" borderId="38" xfId="0" applyNumberFormat="1" applyFont="1" applyFill="1" applyBorder="1"/>
    <xf numFmtId="167" fontId="3" fillId="55" borderId="32" xfId="0" applyNumberFormat="1" applyFont="1" applyFill="1" applyBorder="1"/>
    <xf numFmtId="167" fontId="242" fillId="55" borderId="26" xfId="0" applyNumberFormat="1" applyFont="1" applyFill="1" applyBorder="1"/>
    <xf numFmtId="167" fontId="3" fillId="55" borderId="26" xfId="0" applyNumberFormat="1" applyFont="1" applyFill="1" applyBorder="1"/>
    <xf numFmtId="167" fontId="242" fillId="55" borderId="38" xfId="0" applyNumberFormat="1" applyFont="1" applyFill="1" applyBorder="1"/>
    <xf numFmtId="166" fontId="202" fillId="55" borderId="0" xfId="0" applyNumberFormat="1" applyFont="1" applyFill="1"/>
    <xf numFmtId="167" fontId="7" fillId="55" borderId="26" xfId="0" applyNumberFormat="1" applyFont="1" applyFill="1" applyBorder="1" applyAlignment="1">
      <alignment horizontal="right"/>
    </xf>
    <xf numFmtId="167" fontId="7" fillId="55" borderId="26" xfId="0" applyNumberFormat="1" applyFont="1" applyFill="1" applyBorder="1"/>
    <xf numFmtId="166" fontId="99" fillId="29" borderId="7" xfId="0" applyNumberFormat="1" applyFont="1" applyFill="1" applyBorder="1"/>
    <xf numFmtId="168" fontId="94" fillId="29" borderId="7" xfId="0" applyNumberFormat="1" applyFont="1" applyFill="1" applyBorder="1"/>
    <xf numFmtId="167" fontId="74" fillId="68" borderId="0" xfId="0" applyNumberFormat="1" applyFont="1" applyFill="1" applyAlignment="1">
      <alignment horizontal="right"/>
    </xf>
    <xf numFmtId="166" fontId="74" fillId="68" borderId="0" xfId="0" applyNumberFormat="1" applyFont="1" applyFill="1" applyAlignment="1">
      <alignment horizontal="right"/>
    </xf>
    <xf numFmtId="167" fontId="82" fillId="68" borderId="0" xfId="0" applyNumberFormat="1" applyFont="1" applyFill="1" applyAlignment="1">
      <alignment horizontal="right"/>
    </xf>
    <xf numFmtId="167" fontId="66" fillId="68" borderId="0" xfId="0" applyNumberFormat="1" applyFont="1" applyFill="1" applyAlignment="1">
      <alignment horizontal="right"/>
    </xf>
    <xf numFmtId="166" fontId="66" fillId="68" borderId="0" xfId="0" applyNumberFormat="1" applyFont="1" applyFill="1" applyAlignment="1">
      <alignment horizontal="right"/>
    </xf>
    <xf numFmtId="167" fontId="259" fillId="68" borderId="0" xfId="0" applyNumberFormat="1" applyFont="1" applyFill="1" applyAlignment="1">
      <alignment horizontal="right"/>
    </xf>
    <xf numFmtId="0" fontId="125" fillId="30" borderId="0" xfId="0" applyFont="1" applyFill="1"/>
    <xf numFmtId="168" fontId="69" fillId="30" borderId="0" xfId="12" applyNumberFormat="1" applyFont="1" applyFill="1" applyBorder="1" applyAlignment="1" applyProtection="1"/>
    <xf numFmtId="168" fontId="69" fillId="30" borderId="48" xfId="12" applyNumberFormat="1" applyFont="1" applyFill="1" applyBorder="1" applyAlignment="1" applyProtection="1"/>
    <xf numFmtId="168" fontId="76" fillId="15" borderId="7" xfId="12" applyNumberFormat="1" applyFont="1" applyFill="1" applyBorder="1"/>
    <xf numFmtId="167" fontId="73" fillId="9" borderId="7" xfId="0" applyNumberFormat="1" applyFont="1" applyFill="1" applyBorder="1" applyAlignment="1">
      <alignment horizontal="right"/>
    </xf>
    <xf numFmtId="0" fontId="228" fillId="65" borderId="0" xfId="9" applyFont="1" applyFill="1" applyAlignment="1">
      <alignment horizontal="left" indent="5"/>
    </xf>
    <xf numFmtId="0" fontId="228" fillId="65" borderId="0" xfId="9" applyFont="1" applyFill="1" applyAlignment="1">
      <alignment horizontal="left" indent="4"/>
    </xf>
    <xf numFmtId="0" fontId="228" fillId="65" borderId="0" xfId="9" applyFont="1" applyFill="1" applyAlignment="1">
      <alignment horizontal="left" indent="3"/>
    </xf>
    <xf numFmtId="0" fontId="228" fillId="65" borderId="0" xfId="9" applyFont="1" applyFill="1" applyAlignment="1">
      <alignment horizontal="left" indent="1"/>
    </xf>
    <xf numFmtId="0" fontId="38" fillId="58" borderId="0" xfId="9" applyFont="1" applyFill="1" applyAlignment="1">
      <alignment horizontal="left" indent="2"/>
    </xf>
    <xf numFmtId="0" fontId="38" fillId="65" borderId="0" xfId="9" applyFont="1" applyFill="1" applyAlignment="1">
      <alignment horizontal="left" indent="2"/>
    </xf>
    <xf numFmtId="166" fontId="95" fillId="15" borderId="26" xfId="0" applyNumberFormat="1" applyFont="1" applyFill="1" applyBorder="1"/>
    <xf numFmtId="166" fontId="90" fillId="15" borderId="26" xfId="0" applyNumberFormat="1" applyFont="1" applyFill="1" applyBorder="1"/>
    <xf numFmtId="2" fontId="202" fillId="55" borderId="0" xfId="0" applyNumberFormat="1" applyFont="1" applyFill="1"/>
    <xf numFmtId="0" fontId="197" fillId="55" borderId="0" xfId="0" applyFont="1" applyFill="1" applyAlignment="1">
      <alignment horizontal="right"/>
    </xf>
    <xf numFmtId="0" fontId="202" fillId="55" borderId="0" xfId="0" applyFont="1" applyFill="1" applyAlignment="1">
      <alignment horizontal="center"/>
    </xf>
    <xf numFmtId="0" fontId="202" fillId="55" borderId="0" xfId="0" applyFont="1" applyFill="1"/>
    <xf numFmtId="0" fontId="143" fillId="13" borderId="0" xfId="9" applyFont="1" applyFill="1" applyAlignment="1">
      <alignment horizontal="left" indent="1"/>
    </xf>
    <xf numFmtId="167" fontId="101" fillId="68" borderId="0" xfId="0" applyNumberFormat="1" applyFont="1" applyFill="1" applyAlignment="1">
      <alignment horizontal="right"/>
    </xf>
    <xf numFmtId="169" fontId="74" fillId="13" borderId="0" xfId="1" applyNumberFormat="1" applyFont="1" applyFill="1" applyBorder="1" applyAlignment="1">
      <alignment horizontal="right"/>
    </xf>
    <xf numFmtId="0" fontId="86" fillId="7" borderId="26" xfId="0" applyFont="1" applyFill="1" applyBorder="1" applyAlignment="1">
      <alignment horizontal="left" indent="4"/>
    </xf>
    <xf numFmtId="4" fontId="66" fillId="13" borderId="0" xfId="0" applyNumberFormat="1" applyFont="1" applyFill="1" applyAlignment="1">
      <alignment horizontal="right"/>
    </xf>
    <xf numFmtId="167" fontId="101" fillId="13" borderId="27" xfId="0" applyNumberFormat="1" applyFont="1" applyFill="1" applyBorder="1" applyAlignment="1">
      <alignment horizontal="right"/>
    </xf>
    <xf numFmtId="0" fontId="260" fillId="0" borderId="0" xfId="0" applyFont="1" applyAlignment="1">
      <alignment horizontal="right"/>
    </xf>
    <xf numFmtId="166" fontId="202" fillId="70" borderId="0" xfId="1" applyNumberFormat="1" applyFont="1" applyFill="1" applyBorder="1" applyAlignment="1">
      <alignment horizontal="right"/>
    </xf>
    <xf numFmtId="1" fontId="202" fillId="70" borderId="0" xfId="1" applyNumberFormat="1" applyFont="1" applyFill="1" applyBorder="1" applyAlignment="1">
      <alignment horizontal="right"/>
    </xf>
    <xf numFmtId="167" fontId="151" fillId="13" borderId="0" xfId="0" applyNumberFormat="1" applyFont="1" applyFill="1" applyAlignment="1">
      <alignment horizontal="right"/>
    </xf>
    <xf numFmtId="167" fontId="151" fillId="13" borderId="45" xfId="0" applyNumberFormat="1" applyFont="1" applyFill="1" applyBorder="1" applyAlignment="1">
      <alignment horizontal="right"/>
    </xf>
    <xf numFmtId="0" fontId="127" fillId="13" borderId="0" xfId="9" applyFont="1" applyFill="1" applyAlignment="1">
      <alignment horizontal="left" indent="7"/>
    </xf>
    <xf numFmtId="0" fontId="76" fillId="7" borderId="26" xfId="0" applyFont="1" applyFill="1" applyBorder="1" applyAlignment="1">
      <alignment horizontal="left" indent="1"/>
    </xf>
    <xf numFmtId="167" fontId="194" fillId="17" borderId="0" xfId="0" applyNumberFormat="1" applyFont="1" applyFill="1" applyAlignment="1">
      <alignment horizontal="right"/>
    </xf>
    <xf numFmtId="167" fontId="66" fillId="17" borderId="0" xfId="0" applyNumberFormat="1" applyFont="1" applyFill="1" applyAlignment="1">
      <alignment horizontal="right"/>
    </xf>
    <xf numFmtId="166" fontId="66" fillId="18" borderId="0" xfId="0" applyNumberFormat="1" applyFont="1" applyFill="1" applyAlignment="1">
      <alignment horizontal="right"/>
    </xf>
    <xf numFmtId="0" fontId="261" fillId="13" borderId="0" xfId="9" applyFont="1" applyFill="1" applyAlignment="1">
      <alignment horizontal="left" indent="3"/>
    </xf>
    <xf numFmtId="0" fontId="190" fillId="13" borderId="0" xfId="9" applyFont="1" applyFill="1" applyAlignment="1">
      <alignment horizontal="left" indent="4"/>
    </xf>
    <xf numFmtId="0" fontId="126" fillId="13" borderId="21" xfId="9" applyFont="1" applyFill="1" applyBorder="1" applyAlignment="1"/>
    <xf numFmtId="166" fontId="69" fillId="30" borderId="22" xfId="9" applyNumberFormat="1" applyFont="1" applyFill="1" applyBorder="1" applyAlignment="1"/>
    <xf numFmtId="166" fontId="69" fillId="30" borderId="117" xfId="9" applyNumberFormat="1" applyFont="1" applyFill="1" applyBorder="1" applyAlignment="1"/>
    <xf numFmtId="166" fontId="69" fillId="30" borderId="20" xfId="9" applyNumberFormat="1" applyFont="1" applyFill="1" applyBorder="1" applyAlignment="1"/>
    <xf numFmtId="167" fontId="82" fillId="13" borderId="22" xfId="0" applyNumberFormat="1" applyFont="1" applyFill="1" applyBorder="1" applyAlignment="1">
      <alignment horizontal="right"/>
    </xf>
    <xf numFmtId="167" fontId="74" fillId="13" borderId="22" xfId="0" applyNumberFormat="1" applyFont="1" applyFill="1" applyBorder="1" applyAlignment="1">
      <alignment horizontal="right"/>
    </xf>
    <xf numFmtId="166" fontId="74" fillId="13" borderId="22" xfId="0" applyNumberFormat="1" applyFont="1" applyFill="1" applyBorder="1" applyAlignment="1">
      <alignment horizontal="right"/>
    </xf>
    <xf numFmtId="167" fontId="82" fillId="13" borderId="117" xfId="0" applyNumberFormat="1" applyFont="1" applyFill="1" applyBorder="1" applyAlignment="1">
      <alignment horizontal="right"/>
    </xf>
    <xf numFmtId="0" fontId="125" fillId="13" borderId="23" xfId="0" applyFont="1" applyFill="1" applyBorder="1" applyAlignment="1">
      <alignment horizontal="left" indent="1"/>
    </xf>
    <xf numFmtId="0" fontId="126" fillId="30" borderId="21" xfId="9" applyFont="1" applyFill="1" applyBorder="1" applyAlignment="1"/>
    <xf numFmtId="167" fontId="114" fillId="30" borderId="22" xfId="9" applyNumberFormat="1" applyFont="1" applyFill="1" applyBorder="1" applyAlignment="1"/>
    <xf numFmtId="0" fontId="125" fillId="30" borderId="23" xfId="0" applyFont="1" applyFill="1" applyBorder="1" applyAlignment="1">
      <alignment horizontal="left" indent="1"/>
    </xf>
    <xf numFmtId="0" fontId="127" fillId="29" borderId="0" xfId="9" applyFont="1" applyFill="1" applyAlignment="1">
      <alignment horizontal="left" indent="5"/>
    </xf>
    <xf numFmtId="0" fontId="127" fillId="29" borderId="0" xfId="9" applyFont="1" applyFill="1" applyAlignment="1">
      <alignment horizontal="left" indent="3"/>
    </xf>
    <xf numFmtId="0" fontId="126" fillId="29" borderId="0" xfId="9" applyFont="1" applyFill="1" applyAlignment="1">
      <alignment horizontal="left" indent="1"/>
    </xf>
    <xf numFmtId="0" fontId="127" fillId="29" borderId="0" xfId="9" applyFont="1" applyFill="1" applyAlignment="1">
      <alignment horizontal="left" indent="2"/>
    </xf>
    <xf numFmtId="0" fontId="185" fillId="29" borderId="0" xfId="9" applyFont="1" applyFill="1" applyAlignment="1">
      <alignment horizontal="left" indent="3"/>
    </xf>
    <xf numFmtId="0" fontId="125" fillId="29" borderId="23" xfId="0" applyFont="1" applyFill="1" applyBorder="1" applyAlignment="1">
      <alignment horizontal="left" indent="1"/>
    </xf>
    <xf numFmtId="168" fontId="69" fillId="29" borderId="0" xfId="12" applyNumberFormat="1" applyFont="1" applyFill="1" applyBorder="1" applyAlignment="1" applyProtection="1"/>
    <xf numFmtId="0" fontId="126" fillId="17" borderId="23" xfId="9" applyFont="1" applyFill="1" applyBorder="1" applyAlignment="1"/>
    <xf numFmtId="168" fontId="69" fillId="17" borderId="0" xfId="12" applyNumberFormat="1" applyFont="1" applyFill="1" applyBorder="1" applyAlignment="1" applyProtection="1"/>
    <xf numFmtId="0" fontId="125" fillId="17" borderId="23" xfId="0" applyFont="1" applyFill="1" applyBorder="1" applyAlignment="1">
      <alignment horizontal="left" indent="1"/>
    </xf>
    <xf numFmtId="0" fontId="125" fillId="17" borderId="24" xfId="0" applyFont="1" applyFill="1" applyBorder="1" applyAlignment="1">
      <alignment horizontal="left" indent="1"/>
    </xf>
    <xf numFmtId="168" fontId="69" fillId="17" borderId="25" xfId="12" applyNumberFormat="1" applyFont="1" applyFill="1" applyBorder="1" applyAlignment="1" applyProtection="1"/>
    <xf numFmtId="0" fontId="127" fillId="29" borderId="0" xfId="9" applyFont="1" applyFill="1" applyAlignment="1">
      <alignment horizontal="left" indent="4"/>
    </xf>
    <xf numFmtId="167" fontId="82" fillId="17" borderId="0" xfId="0" applyNumberFormat="1" applyFont="1" applyFill="1" applyAlignment="1">
      <alignment horizontal="right"/>
    </xf>
    <xf numFmtId="166" fontId="66" fillId="17" borderId="0" xfId="0" applyNumberFormat="1" applyFont="1" applyFill="1" applyAlignment="1">
      <alignment horizontal="right"/>
    </xf>
    <xf numFmtId="167" fontId="66" fillId="17" borderId="20" xfId="0" applyNumberFormat="1" applyFont="1" applyFill="1" applyBorder="1" applyAlignment="1">
      <alignment horizontal="right"/>
    </xf>
    <xf numFmtId="167" fontId="82" fillId="17" borderId="25" xfId="0" applyNumberFormat="1" applyFont="1" applyFill="1" applyBorder="1" applyAlignment="1">
      <alignment horizontal="right"/>
    </xf>
    <xf numFmtId="167" fontId="66" fillId="17" borderId="25" xfId="0" applyNumberFormat="1" applyFont="1" applyFill="1" applyBorder="1" applyAlignment="1">
      <alignment horizontal="right"/>
    </xf>
    <xf numFmtId="166" fontId="66" fillId="17" borderId="25" xfId="0" applyNumberFormat="1" applyFont="1" applyFill="1" applyBorder="1" applyAlignment="1">
      <alignment horizontal="right"/>
    </xf>
    <xf numFmtId="0" fontId="126" fillId="18" borderId="23" xfId="9" applyFont="1" applyFill="1" applyBorder="1" applyAlignment="1"/>
    <xf numFmtId="0" fontId="125" fillId="18" borderId="23" xfId="0" applyFont="1" applyFill="1" applyBorder="1" applyAlignment="1">
      <alignment horizontal="left" indent="1"/>
    </xf>
    <xf numFmtId="166" fontId="66" fillId="29" borderId="0" xfId="0" applyNumberFormat="1" applyFont="1" applyFill="1" applyAlignment="1">
      <alignment horizontal="right"/>
    </xf>
    <xf numFmtId="167" fontId="74" fillId="17" borderId="0" xfId="0" applyNumberFormat="1" applyFont="1" applyFill="1"/>
    <xf numFmtId="0" fontId="126" fillId="29" borderId="23" xfId="9" applyFont="1" applyFill="1" applyBorder="1" applyAlignment="1"/>
    <xf numFmtId="166" fontId="101" fillId="13" borderId="148" xfId="0" applyNumberFormat="1" applyFont="1" applyFill="1" applyBorder="1" applyAlignment="1">
      <alignment horizontal="right"/>
    </xf>
    <xf numFmtId="167" fontId="101" fillId="13" borderId="149" xfId="0" applyNumberFormat="1" applyFont="1" applyFill="1" applyBorder="1" applyAlignment="1">
      <alignment horizontal="right"/>
    </xf>
    <xf numFmtId="167" fontId="66" fillId="13" borderId="150" xfId="0" applyNumberFormat="1" applyFont="1" applyFill="1" applyBorder="1" applyAlignment="1">
      <alignment horizontal="right"/>
    </xf>
    <xf numFmtId="166" fontId="101" fillId="13" borderId="151" xfId="0" applyNumberFormat="1" applyFont="1" applyFill="1" applyBorder="1" applyAlignment="1">
      <alignment horizontal="right"/>
    </xf>
    <xf numFmtId="167" fontId="101" fillId="13" borderId="152" xfId="0" applyNumberFormat="1" applyFont="1" applyFill="1" applyBorder="1" applyAlignment="1">
      <alignment horizontal="right"/>
    </xf>
    <xf numFmtId="167" fontId="66" fillId="13" borderId="153" xfId="0" applyNumberFormat="1" applyFont="1" applyFill="1" applyBorder="1" applyAlignment="1">
      <alignment horizontal="right"/>
    </xf>
    <xf numFmtId="167" fontId="66" fillId="13" borderId="136" xfId="0" applyNumberFormat="1" applyFont="1" applyFill="1" applyBorder="1" applyAlignment="1">
      <alignment horizontal="right"/>
    </xf>
    <xf numFmtId="167" fontId="66" fillId="13" borderId="138" xfId="0" applyNumberFormat="1" applyFont="1" applyFill="1" applyBorder="1" applyAlignment="1">
      <alignment horizontal="right"/>
    </xf>
    <xf numFmtId="167" fontId="66" fillId="13" borderId="139" xfId="0" applyNumberFormat="1" applyFont="1" applyFill="1" applyBorder="1" applyAlignment="1">
      <alignment horizontal="right"/>
    </xf>
    <xf numFmtId="0" fontId="127" fillId="29" borderId="23" xfId="9" applyFont="1" applyFill="1" applyBorder="1" applyAlignment="1"/>
    <xf numFmtId="168" fontId="69" fillId="18" borderId="0" xfId="12" applyNumberFormat="1" applyFont="1" applyFill="1" applyBorder="1" applyAlignment="1" applyProtection="1"/>
    <xf numFmtId="166" fontId="101" fillId="30" borderId="0" xfId="9" applyNumberFormat="1" applyFont="1" applyFill="1" applyAlignment="1"/>
    <xf numFmtId="168" fontId="101" fillId="30" borderId="0" xfId="12" applyNumberFormat="1" applyFont="1" applyFill="1" applyBorder="1" applyAlignment="1" applyProtection="1"/>
    <xf numFmtId="0" fontId="185" fillId="30" borderId="0" xfId="9" applyFont="1" applyFill="1" applyAlignment="1">
      <alignment horizontal="left" indent="1"/>
    </xf>
    <xf numFmtId="0" fontId="125" fillId="18" borderId="154" xfId="0" applyFont="1" applyFill="1" applyBorder="1" applyAlignment="1">
      <alignment horizontal="left" indent="1"/>
    </xf>
    <xf numFmtId="0" fontId="38" fillId="60" borderId="0" xfId="9" applyFont="1" applyFill="1" applyAlignment="1">
      <alignment horizontal="left" indent="5"/>
    </xf>
    <xf numFmtId="0" fontId="38" fillId="60" borderId="0" xfId="9" applyFont="1" applyFill="1" applyAlignment="1">
      <alignment horizontal="left" indent="3"/>
    </xf>
    <xf numFmtId="0" fontId="262" fillId="65" borderId="0" xfId="9" applyFont="1" applyFill="1" applyAlignment="1">
      <alignment horizontal="left" indent="4"/>
    </xf>
    <xf numFmtId="0" fontId="263" fillId="65" borderId="0" xfId="9" applyFont="1" applyFill="1" applyAlignment="1">
      <alignment horizontal="left" indent="1"/>
    </xf>
    <xf numFmtId="0" fontId="264" fillId="60" borderId="0" xfId="9" applyFont="1" applyFill="1" applyAlignment="1">
      <alignment horizontal="left" indent="1"/>
    </xf>
    <xf numFmtId="0" fontId="38" fillId="65" borderId="0" xfId="9" applyFont="1" applyFill="1" applyAlignment="1">
      <alignment horizontal="left" indent="1"/>
    </xf>
    <xf numFmtId="0" fontId="38" fillId="65" borderId="0" xfId="9" applyFont="1" applyFill="1" applyAlignment="1">
      <alignment horizontal="left" indent="4"/>
    </xf>
    <xf numFmtId="0" fontId="264" fillId="60" borderId="23" xfId="9" applyFont="1" applyFill="1" applyBorder="1" applyAlignment="1"/>
    <xf numFmtId="0" fontId="265" fillId="60" borderId="23" xfId="0" applyFont="1" applyFill="1" applyBorder="1" applyAlignment="1">
      <alignment horizontal="left" indent="1"/>
    </xf>
    <xf numFmtId="0" fontId="264" fillId="58" borderId="23" xfId="9" applyFont="1" applyFill="1" applyBorder="1" applyAlignment="1"/>
    <xf numFmtId="0" fontId="265" fillId="58" borderId="23" xfId="0" applyFont="1" applyFill="1" applyBorder="1" applyAlignment="1">
      <alignment horizontal="left" indent="1"/>
    </xf>
    <xf numFmtId="167" fontId="239" fillId="67" borderId="0" xfId="0" applyNumberFormat="1" applyFont="1" applyFill="1"/>
    <xf numFmtId="0" fontId="265" fillId="67" borderId="23" xfId="0" applyFont="1" applyFill="1" applyBorder="1" applyAlignment="1">
      <alignment horizontal="left" indent="1"/>
    </xf>
    <xf numFmtId="0" fontId="265" fillId="67" borderId="24" xfId="0" applyFont="1" applyFill="1" applyBorder="1" applyAlignment="1">
      <alignment horizontal="left" indent="1"/>
    </xf>
    <xf numFmtId="0" fontId="265" fillId="67" borderId="0" xfId="0" applyFont="1" applyFill="1" applyAlignment="1">
      <alignment horizontal="left" indent="1"/>
    </xf>
    <xf numFmtId="0" fontId="38" fillId="60" borderId="0" xfId="9" applyFont="1" applyFill="1" applyAlignment="1">
      <alignment horizontal="left" indent="2"/>
    </xf>
    <xf numFmtId="0" fontId="228" fillId="60" borderId="0" xfId="9" applyFont="1" applyFill="1" applyAlignment="1">
      <alignment horizontal="left" indent="3"/>
    </xf>
    <xf numFmtId="168" fontId="82" fillId="0" borderId="0" xfId="12" applyNumberFormat="1" applyFont="1" applyBorder="1"/>
    <xf numFmtId="168" fontId="113" fillId="0" borderId="0" xfId="12" applyNumberFormat="1" applyFont="1" applyBorder="1" applyAlignment="1">
      <alignment horizontal="center"/>
    </xf>
    <xf numFmtId="167" fontId="82" fillId="73" borderId="0" xfId="0" applyNumberFormat="1" applyFont="1" applyFill="1"/>
    <xf numFmtId="0" fontId="82" fillId="73" borderId="0" xfId="0" applyFont="1" applyFill="1"/>
    <xf numFmtId="167" fontId="151" fillId="73" borderId="0" xfId="0" applyNumberFormat="1" applyFont="1" applyFill="1"/>
    <xf numFmtId="0" fontId="125" fillId="68" borderId="141" xfId="0" applyFont="1" applyFill="1" applyBorder="1" applyAlignment="1">
      <alignment horizontal="left" indent="1"/>
    </xf>
    <xf numFmtId="167" fontId="82" fillId="68" borderId="141" xfId="0" applyNumberFormat="1" applyFont="1" applyFill="1" applyBorder="1" applyAlignment="1">
      <alignment horizontal="right"/>
    </xf>
    <xf numFmtId="167" fontId="66" fillId="68" borderId="141" xfId="0" applyNumberFormat="1" applyFont="1" applyFill="1" applyBorder="1" applyAlignment="1">
      <alignment horizontal="right"/>
    </xf>
    <xf numFmtId="168" fontId="66" fillId="68" borderId="141" xfId="12" applyNumberFormat="1" applyFont="1" applyFill="1" applyBorder="1" applyAlignment="1">
      <alignment horizontal="right"/>
    </xf>
    <xf numFmtId="168" fontId="82" fillId="68" borderId="0" xfId="12" applyNumberFormat="1" applyFont="1" applyFill="1" applyBorder="1"/>
    <xf numFmtId="0" fontId="38" fillId="60" borderId="0" xfId="9" applyFont="1" applyFill="1" applyAlignment="1">
      <alignment horizontal="left" indent="4"/>
    </xf>
    <xf numFmtId="167" fontId="82" fillId="71" borderId="0" xfId="0" applyNumberFormat="1" applyFont="1" applyFill="1" applyAlignment="1">
      <alignment horizontal="right"/>
    </xf>
    <xf numFmtId="167" fontId="82" fillId="71" borderId="0" xfId="0" applyNumberFormat="1" applyFont="1" applyFill="1"/>
    <xf numFmtId="168" fontId="61" fillId="0" borderId="0" xfId="0" applyNumberFormat="1" applyFont="1"/>
    <xf numFmtId="0" fontId="62" fillId="74" borderId="98" xfId="0" applyFont="1" applyFill="1" applyBorder="1"/>
    <xf numFmtId="0" fontId="0" fillId="74" borderId="99" xfId="0" applyFill="1" applyBorder="1"/>
    <xf numFmtId="0" fontId="61" fillId="74" borderId="99" xfId="0" applyFont="1" applyFill="1" applyBorder="1"/>
    <xf numFmtId="0" fontId="85" fillId="74" borderId="99" xfId="0" applyFont="1" applyFill="1" applyBorder="1" applyAlignment="1">
      <alignment horizontal="right"/>
    </xf>
    <xf numFmtId="0" fontId="62" fillId="74" borderId="101" xfId="0" applyFont="1" applyFill="1" applyBorder="1"/>
    <xf numFmtId="0" fontId="0" fillId="74" borderId="0" xfId="0" applyFill="1"/>
    <xf numFmtId="0" fontId="61" fillId="74" borderId="0" xfId="0" applyFont="1" applyFill="1"/>
    <xf numFmtId="1" fontId="0" fillId="74" borderId="0" xfId="0" applyNumberFormat="1" applyFill="1"/>
    <xf numFmtId="0" fontId="0" fillId="74" borderId="101" xfId="0" applyFill="1" applyBorder="1"/>
    <xf numFmtId="168" fontId="73" fillId="74" borderId="0" xfId="0" applyNumberFormat="1" applyFont="1" applyFill="1"/>
    <xf numFmtId="0" fontId="72" fillId="74" borderId="101" xfId="0" applyFont="1" applyFill="1" applyBorder="1"/>
    <xf numFmtId="1" fontId="73" fillId="74" borderId="0" xfId="0" applyNumberFormat="1" applyFont="1" applyFill="1"/>
    <xf numFmtId="0" fontId="77" fillId="74" borderId="103" xfId="0" applyFont="1" applyFill="1" applyBorder="1" applyAlignment="1">
      <alignment horizontal="right"/>
    </xf>
    <xf numFmtId="0" fontId="0" fillId="74" borderId="104" xfId="0" applyFill="1" applyBorder="1"/>
    <xf numFmtId="0" fontId="61" fillId="74" borderId="104" xfId="0" applyFont="1" applyFill="1" applyBorder="1"/>
    <xf numFmtId="1" fontId="77" fillId="74" borderId="104" xfId="0" applyNumberFormat="1" applyFont="1" applyFill="1" applyBorder="1"/>
    <xf numFmtId="0" fontId="91" fillId="0" borderId="0" xfId="0" applyFont="1" applyAlignment="1">
      <alignment horizontal="center"/>
    </xf>
    <xf numFmtId="1" fontId="63" fillId="74" borderId="0" xfId="0" applyNumberFormat="1" applyFont="1" applyFill="1"/>
    <xf numFmtId="0" fontId="77" fillId="74" borderId="99" xfId="0" applyFont="1" applyFill="1" applyBorder="1"/>
    <xf numFmtId="1" fontId="267" fillId="74" borderId="0" xfId="0" applyNumberFormat="1" applyFont="1" applyFill="1"/>
    <xf numFmtId="1" fontId="268" fillId="74" borderId="0" xfId="0" applyNumberFormat="1" applyFont="1" applyFill="1"/>
    <xf numFmtId="0" fontId="269" fillId="74" borderId="0" xfId="0" applyFont="1" applyFill="1"/>
    <xf numFmtId="0" fontId="244" fillId="0" borderId="6" xfId="0" applyFont="1" applyBorder="1" applyAlignment="1">
      <alignment horizontal="left" indent="2"/>
    </xf>
    <xf numFmtId="0" fontId="185" fillId="0" borderId="0" xfId="0" applyFont="1"/>
    <xf numFmtId="167" fontId="150" fillId="0" borderId="0" xfId="0" applyNumberFormat="1" applyFont="1"/>
    <xf numFmtId="167" fontId="133" fillId="0" borderId="45" xfId="0" applyNumberFormat="1" applyFont="1" applyBorder="1"/>
    <xf numFmtId="0" fontId="151" fillId="5" borderId="0" xfId="0" applyFont="1" applyFill="1" applyAlignment="1">
      <alignment horizontal="left" indent="2"/>
    </xf>
    <xf numFmtId="167" fontId="82" fillId="11" borderId="0" xfId="0" applyNumberFormat="1" applyFont="1" applyFill="1" applyAlignment="1">
      <alignment horizontal="right"/>
    </xf>
    <xf numFmtId="167" fontId="66" fillId="18" borderId="148" xfId="0" applyNumberFormat="1" applyFont="1" applyFill="1" applyBorder="1" applyAlignment="1">
      <alignment horizontal="right"/>
    </xf>
    <xf numFmtId="167" fontId="66" fillId="18" borderId="149" xfId="0" applyNumberFormat="1" applyFont="1" applyFill="1" applyBorder="1" applyAlignment="1">
      <alignment horizontal="right"/>
    </xf>
    <xf numFmtId="167" fontId="66" fillId="18" borderId="150" xfId="0" applyNumberFormat="1" applyFont="1" applyFill="1" applyBorder="1" applyAlignment="1">
      <alignment horizontal="right"/>
    </xf>
    <xf numFmtId="167" fontId="66" fillId="18" borderId="155" xfId="0" applyNumberFormat="1" applyFont="1" applyFill="1" applyBorder="1" applyAlignment="1">
      <alignment horizontal="right"/>
    </xf>
    <xf numFmtId="167" fontId="66" fillId="18" borderId="156" xfId="0" applyNumberFormat="1" applyFont="1" applyFill="1" applyBorder="1" applyAlignment="1">
      <alignment horizontal="right"/>
    </xf>
    <xf numFmtId="167" fontId="66" fillId="18" borderId="151" xfId="0" applyNumberFormat="1" applyFont="1" applyFill="1" applyBorder="1" applyAlignment="1">
      <alignment horizontal="right"/>
    </xf>
    <xf numFmtId="167" fontId="66" fillId="18" borderId="152" xfId="0" applyNumberFormat="1" applyFont="1" applyFill="1" applyBorder="1" applyAlignment="1">
      <alignment horizontal="right"/>
    </xf>
    <xf numFmtId="166" fontId="66" fillId="18" borderId="152" xfId="0" applyNumberFormat="1" applyFont="1" applyFill="1" applyBorder="1" applyAlignment="1">
      <alignment horizontal="right"/>
    </xf>
    <xf numFmtId="166" fontId="66" fillId="18" borderId="153" xfId="0" applyNumberFormat="1" applyFont="1" applyFill="1" applyBorder="1" applyAlignment="1">
      <alignment horizontal="right"/>
    </xf>
    <xf numFmtId="0" fontId="10" fillId="5" borderId="20" xfId="0" applyFont="1" applyFill="1" applyBorder="1"/>
    <xf numFmtId="166" fontId="10" fillId="5" borderId="20" xfId="0" applyNumberFormat="1" applyFont="1" applyFill="1" applyBorder="1"/>
    <xf numFmtId="166" fontId="9" fillId="5" borderId="20" xfId="0" applyNumberFormat="1" applyFont="1" applyFill="1" applyBorder="1"/>
    <xf numFmtId="2" fontId="9" fillId="5" borderId="20" xfId="0" applyNumberFormat="1" applyFont="1" applyFill="1" applyBorder="1"/>
    <xf numFmtId="1" fontId="10" fillId="5" borderId="20" xfId="0" applyNumberFormat="1" applyFont="1" applyFill="1" applyBorder="1"/>
    <xf numFmtId="2" fontId="10" fillId="5" borderId="20" xfId="0" applyNumberFormat="1" applyFont="1" applyFill="1" applyBorder="1"/>
    <xf numFmtId="0" fontId="10" fillId="5" borderId="118" xfId="0" applyFont="1" applyFill="1" applyBorder="1"/>
    <xf numFmtId="167" fontId="242" fillId="55" borderId="38" xfId="0" applyNumberFormat="1" applyFont="1" applyFill="1" applyBorder="1" applyAlignment="1">
      <alignment horizontal="right"/>
    </xf>
    <xf numFmtId="167" fontId="242" fillId="55" borderId="31" xfId="0" applyNumberFormat="1" applyFont="1" applyFill="1" applyBorder="1" applyAlignment="1">
      <alignment horizontal="right"/>
    </xf>
    <xf numFmtId="0" fontId="143" fillId="29" borderId="0" xfId="9" applyFont="1" applyFill="1" applyAlignment="1">
      <alignment horizontal="left" indent="1"/>
    </xf>
    <xf numFmtId="167" fontId="101" fillId="29" borderId="136" xfId="0" applyNumberFormat="1" applyFont="1" applyFill="1" applyBorder="1" applyAlignment="1">
      <alignment horizontal="right"/>
    </xf>
    <xf numFmtId="167" fontId="101" fillId="29" borderId="139" xfId="0" applyNumberFormat="1" applyFont="1" applyFill="1" applyBorder="1" applyAlignment="1">
      <alignment horizontal="right"/>
    </xf>
    <xf numFmtId="167" fontId="101" fillId="29" borderId="138" xfId="0" applyNumberFormat="1" applyFont="1" applyFill="1" applyBorder="1" applyAlignment="1">
      <alignment horizontal="right"/>
    </xf>
    <xf numFmtId="0" fontId="69" fillId="29" borderId="0" xfId="0" applyFont="1" applyFill="1"/>
    <xf numFmtId="167" fontId="66" fillId="17" borderId="0" xfId="0" applyNumberFormat="1" applyFont="1" applyFill="1"/>
    <xf numFmtId="0" fontId="66" fillId="16" borderId="0" xfId="0" applyFont="1" applyFill="1"/>
    <xf numFmtId="167" fontId="74" fillId="29" borderId="0" xfId="0" applyNumberFormat="1" applyFont="1" applyFill="1" applyAlignment="1">
      <alignment horizontal="right"/>
    </xf>
    <xf numFmtId="166" fontId="74" fillId="29" borderId="0" xfId="0" applyNumberFormat="1" applyFont="1" applyFill="1" applyAlignment="1">
      <alignment horizontal="right"/>
    </xf>
    <xf numFmtId="167" fontId="74" fillId="17" borderId="0" xfId="0" applyNumberFormat="1" applyFont="1" applyFill="1" applyAlignment="1">
      <alignment horizontal="right"/>
    </xf>
    <xf numFmtId="166" fontId="101" fillId="29" borderId="0" xfId="0" applyNumberFormat="1" applyFont="1" applyFill="1" applyAlignment="1">
      <alignment horizontal="right"/>
    </xf>
    <xf numFmtId="167" fontId="66" fillId="16" borderId="0" xfId="0" applyNumberFormat="1" applyFont="1" applyFill="1" applyAlignment="1">
      <alignment horizontal="right"/>
    </xf>
    <xf numFmtId="0" fontId="266" fillId="13" borderId="0" xfId="9" applyFont="1" applyFill="1" applyAlignment="1">
      <alignment horizontal="left" indent="3"/>
    </xf>
    <xf numFmtId="167" fontId="66" fillId="29" borderId="134" xfId="0" applyNumberFormat="1" applyFont="1" applyFill="1" applyBorder="1" applyAlignment="1">
      <alignment horizontal="right"/>
    </xf>
    <xf numFmtId="0" fontId="150" fillId="29" borderId="0" xfId="9" applyFont="1" applyFill="1" applyAlignment="1">
      <alignment horizontal="left" indent="1"/>
    </xf>
    <xf numFmtId="166" fontId="270" fillId="12" borderId="7" xfId="0" applyNumberFormat="1" applyFont="1" applyFill="1" applyBorder="1" applyAlignment="1">
      <alignment horizontal="right"/>
    </xf>
    <xf numFmtId="166" fontId="270" fillId="12" borderId="41" xfId="0" applyNumberFormat="1" applyFont="1" applyFill="1" applyBorder="1" applyAlignment="1">
      <alignment horizontal="right"/>
    </xf>
    <xf numFmtId="166" fontId="64" fillId="12" borderId="41" xfId="0" applyNumberFormat="1" applyFont="1" applyFill="1" applyBorder="1"/>
    <xf numFmtId="0" fontId="126" fillId="19" borderId="23" xfId="9" applyFont="1" applyFill="1" applyBorder="1" applyAlignment="1"/>
    <xf numFmtId="167" fontId="66" fillId="19" borderId="0" xfId="0" applyNumberFormat="1" applyFont="1" applyFill="1" applyAlignment="1">
      <alignment horizontal="right"/>
    </xf>
    <xf numFmtId="0" fontId="125" fillId="19" borderId="23" xfId="0" applyFont="1" applyFill="1" applyBorder="1" applyAlignment="1">
      <alignment horizontal="left" indent="1"/>
    </xf>
    <xf numFmtId="0" fontId="125" fillId="19" borderId="0" xfId="0" applyFont="1" applyFill="1" applyAlignment="1">
      <alignment horizontal="left" indent="1"/>
    </xf>
    <xf numFmtId="168" fontId="69" fillId="19" borderId="0" xfId="12" applyNumberFormat="1" applyFont="1" applyFill="1" applyBorder="1" applyAlignment="1" applyProtection="1"/>
    <xf numFmtId="0" fontId="185" fillId="30" borderId="0" xfId="9" applyFont="1" applyFill="1" applyAlignment="1"/>
    <xf numFmtId="0" fontId="185" fillId="30" borderId="0" xfId="9" applyFont="1" applyFill="1" applyAlignment="1">
      <alignment horizontal="left" indent="3"/>
    </xf>
    <xf numFmtId="0" fontId="185" fillId="30" borderId="0" xfId="9" applyFont="1" applyFill="1" applyAlignment="1">
      <alignment horizontal="left" indent="5"/>
    </xf>
    <xf numFmtId="168" fontId="69" fillId="29" borderId="140" xfId="12" applyNumberFormat="1" applyFont="1" applyFill="1" applyBorder="1" applyAlignment="1" applyProtection="1"/>
    <xf numFmtId="168" fontId="69" fillId="29" borderId="141" xfId="12" applyNumberFormat="1" applyFont="1" applyFill="1" applyBorder="1" applyAlignment="1" applyProtection="1"/>
    <xf numFmtId="168" fontId="69" fillId="29" borderId="142" xfId="12" applyNumberFormat="1" applyFont="1" applyFill="1" applyBorder="1" applyAlignment="1" applyProtection="1"/>
    <xf numFmtId="168" fontId="69" fillId="29" borderId="21" xfId="12" applyNumberFormat="1" applyFont="1" applyFill="1" applyBorder="1" applyAlignment="1" applyProtection="1"/>
    <xf numFmtId="168" fontId="69" fillId="29" borderId="22" xfId="12" applyNumberFormat="1" applyFont="1" applyFill="1" applyBorder="1" applyAlignment="1" applyProtection="1"/>
    <xf numFmtId="168" fontId="69" fillId="29" borderId="117" xfId="12" applyNumberFormat="1" applyFont="1" applyFill="1" applyBorder="1" applyAlignment="1" applyProtection="1"/>
    <xf numFmtId="168" fontId="69" fillId="29" borderId="24" xfId="12" applyNumberFormat="1" applyFont="1" applyFill="1" applyBorder="1" applyAlignment="1" applyProtection="1"/>
    <xf numFmtId="168" fontId="69" fillId="29" borderId="25" xfId="12" applyNumberFormat="1" applyFont="1" applyFill="1" applyBorder="1" applyAlignment="1" applyProtection="1"/>
    <xf numFmtId="168" fontId="69" fillId="29" borderId="118" xfId="12" applyNumberFormat="1" applyFont="1" applyFill="1" applyBorder="1" applyAlignment="1" applyProtection="1"/>
    <xf numFmtId="166" fontId="69" fillId="29" borderId="117" xfId="9" applyNumberFormat="1" applyFont="1" applyFill="1" applyBorder="1" applyAlignment="1"/>
    <xf numFmtId="166" fontId="69" fillId="29" borderId="118" xfId="9" applyNumberFormat="1" applyFont="1" applyFill="1" applyBorder="1" applyAlignment="1"/>
    <xf numFmtId="166" fontId="81" fillId="29" borderId="142" xfId="9" applyNumberFormat="1" applyFont="1" applyFill="1" applyBorder="1" applyAlignment="1"/>
    <xf numFmtId="166" fontId="81" fillId="29" borderId="117" xfId="9" applyNumberFormat="1" applyFont="1" applyFill="1" applyBorder="1" applyAlignment="1"/>
    <xf numFmtId="166" fontId="81" fillId="29" borderId="118" xfId="9" applyNumberFormat="1" applyFont="1" applyFill="1" applyBorder="1" applyAlignment="1"/>
    <xf numFmtId="166" fontId="66" fillId="14" borderId="0" xfId="0" applyNumberFormat="1" applyFont="1" applyFill="1" applyAlignment="1">
      <alignment horizontal="right"/>
    </xf>
    <xf numFmtId="166" fontId="66" fillId="75" borderId="0" xfId="0" applyNumberFormat="1" applyFont="1" applyFill="1" applyAlignment="1">
      <alignment horizontal="right"/>
    </xf>
    <xf numFmtId="166" fontId="66" fillId="28" borderId="0" xfId="0" applyNumberFormat="1" applyFont="1" applyFill="1" applyAlignment="1">
      <alignment horizontal="right"/>
    </xf>
    <xf numFmtId="167" fontId="66" fillId="14" borderId="0" xfId="0" applyNumberFormat="1" applyFont="1" applyFill="1" applyAlignment="1">
      <alignment horizontal="right"/>
    </xf>
    <xf numFmtId="167" fontId="82" fillId="35" borderId="0" xfId="0" applyNumberFormat="1" applyFont="1" applyFill="1" applyAlignment="1">
      <alignment horizontal="right"/>
    </xf>
    <xf numFmtId="0" fontId="112" fillId="13" borderId="148" xfId="0" applyFont="1" applyFill="1" applyBorder="1"/>
    <xf numFmtId="167" fontId="82" fillId="13" borderId="149" xfId="0" applyNumberFormat="1" applyFont="1" applyFill="1" applyBorder="1" applyAlignment="1">
      <alignment horizontal="right"/>
    </xf>
    <xf numFmtId="167" fontId="82" fillId="0" borderId="149" xfId="0" applyNumberFormat="1" applyFont="1" applyBorder="1"/>
    <xf numFmtId="167" fontId="66" fillId="13" borderId="149" xfId="0" applyNumberFormat="1" applyFont="1" applyFill="1" applyBorder="1" applyAlignment="1">
      <alignment horizontal="right"/>
    </xf>
    <xf numFmtId="167" fontId="66" fillId="68" borderId="149" xfId="0" applyNumberFormat="1" applyFont="1" applyFill="1" applyBorder="1" applyAlignment="1">
      <alignment horizontal="right"/>
    </xf>
    <xf numFmtId="166" fontId="66" fillId="75" borderId="149" xfId="0" applyNumberFormat="1" applyFont="1" applyFill="1" applyBorder="1" applyAlignment="1">
      <alignment horizontal="right"/>
    </xf>
    <xf numFmtId="166" fontId="66" fillId="75" borderId="150" xfId="0" applyNumberFormat="1" applyFont="1" applyFill="1" applyBorder="1" applyAlignment="1">
      <alignment horizontal="right"/>
    </xf>
    <xf numFmtId="0" fontId="112" fillId="13" borderId="155" xfId="0" applyFont="1" applyFill="1" applyBorder="1"/>
    <xf numFmtId="166" fontId="66" fillId="75" borderId="156" xfId="0" applyNumberFormat="1" applyFont="1" applyFill="1" applyBorder="1" applyAlignment="1">
      <alignment horizontal="right"/>
    </xf>
    <xf numFmtId="0" fontId="125" fillId="13" borderId="155" xfId="0" applyFont="1" applyFill="1" applyBorder="1"/>
    <xf numFmtId="0" fontId="125" fillId="13" borderId="151" xfId="0" applyFont="1" applyFill="1" applyBorder="1"/>
    <xf numFmtId="167" fontId="82" fillId="13" borderId="152" xfId="0" applyNumberFormat="1" applyFont="1" applyFill="1" applyBorder="1" applyAlignment="1">
      <alignment horizontal="right"/>
    </xf>
    <xf numFmtId="167" fontId="82" fillId="0" borderId="152" xfId="0" applyNumberFormat="1" applyFont="1" applyBorder="1"/>
    <xf numFmtId="167" fontId="66" fillId="13" borderId="152" xfId="0" applyNumberFormat="1" applyFont="1" applyFill="1" applyBorder="1" applyAlignment="1">
      <alignment horizontal="right"/>
    </xf>
    <xf numFmtId="167" fontId="66" fillId="68" borderId="152" xfId="0" applyNumberFormat="1" applyFont="1" applyFill="1" applyBorder="1" applyAlignment="1">
      <alignment horizontal="right"/>
    </xf>
    <xf numFmtId="166" fontId="66" fillId="75" borderId="152" xfId="0" applyNumberFormat="1" applyFont="1" applyFill="1" applyBorder="1" applyAlignment="1">
      <alignment horizontal="right"/>
    </xf>
    <xf numFmtId="166" fontId="66" fillId="75" borderId="153" xfId="0" applyNumberFormat="1" applyFont="1" applyFill="1" applyBorder="1" applyAlignment="1">
      <alignment horizontal="right"/>
    </xf>
    <xf numFmtId="0" fontId="4" fillId="76" borderId="160" xfId="0" applyFont="1" applyFill="1" applyBorder="1"/>
    <xf numFmtId="0" fontId="271" fillId="76" borderId="7" xfId="0" applyFont="1" applyFill="1" applyBorder="1"/>
    <xf numFmtId="0" fontId="66" fillId="56" borderId="7" xfId="0" applyFont="1" applyFill="1" applyBorder="1" applyAlignment="1">
      <alignment horizontal="left" indent="2"/>
    </xf>
    <xf numFmtId="0" fontId="66" fillId="56" borderId="7" xfId="0" applyFont="1" applyFill="1" applyBorder="1" applyAlignment="1">
      <alignment horizontal="left" indent="4"/>
    </xf>
    <xf numFmtId="167" fontId="62" fillId="56" borderId="7" xfId="0" applyNumberFormat="1" applyFont="1" applyFill="1" applyBorder="1" applyAlignment="1">
      <alignment horizontal="right"/>
    </xf>
    <xf numFmtId="167" fontId="151" fillId="0" borderId="50" xfId="0" applyNumberFormat="1" applyFont="1" applyBorder="1"/>
    <xf numFmtId="167" fontId="150" fillId="0" borderId="162" xfId="0" applyNumberFormat="1" applyFont="1" applyBorder="1"/>
    <xf numFmtId="167" fontId="150" fillId="0" borderId="50" xfId="0" applyNumberFormat="1" applyFont="1" applyBorder="1"/>
    <xf numFmtId="167" fontId="82" fillId="11" borderId="161" xfId="0" applyNumberFormat="1" applyFont="1" applyFill="1" applyBorder="1" applyAlignment="1">
      <alignment horizontal="right"/>
    </xf>
    <xf numFmtId="167" fontId="82" fillId="13" borderId="63" xfId="0" applyNumberFormat="1" applyFont="1" applyFill="1" applyBorder="1" applyAlignment="1">
      <alignment horizontal="right"/>
    </xf>
    <xf numFmtId="167" fontId="82" fillId="13" borderId="64" xfId="0" applyNumberFormat="1" applyFont="1" applyFill="1" applyBorder="1" applyAlignment="1">
      <alignment horizontal="right"/>
    </xf>
    <xf numFmtId="0" fontId="132" fillId="13" borderId="0" xfId="0" applyFont="1" applyFill="1"/>
    <xf numFmtId="172" fontId="218" fillId="61" borderId="44" xfId="0" quotePrefix="1" applyNumberFormat="1" applyFont="1" applyFill="1" applyBorder="1" applyAlignment="1">
      <alignment horizontal="right"/>
    </xf>
    <xf numFmtId="167" fontId="225" fillId="61" borderId="10" xfId="0" applyNumberFormat="1" applyFont="1" applyFill="1" applyBorder="1"/>
    <xf numFmtId="9" fontId="61" fillId="0" borderId="0" xfId="12" applyFont="1"/>
    <xf numFmtId="168" fontId="0" fillId="0" borderId="0" xfId="12" applyNumberFormat="1" applyFont="1" applyFill="1" applyBorder="1" applyAlignment="1">
      <alignment horizontal="right"/>
    </xf>
    <xf numFmtId="0" fontId="272" fillId="55" borderId="0" xfId="0" applyFont="1" applyFill="1" applyAlignment="1">
      <alignment horizontal="right"/>
    </xf>
    <xf numFmtId="167" fontId="242" fillId="55" borderId="123" xfId="0" applyNumberFormat="1" applyFont="1" applyFill="1" applyBorder="1" applyAlignment="1">
      <alignment horizontal="right"/>
    </xf>
    <xf numFmtId="166" fontId="81" fillId="30" borderId="0" xfId="1" applyNumberFormat="1" applyFont="1" applyFill="1" applyBorder="1" applyAlignment="1" applyProtection="1"/>
    <xf numFmtId="166" fontId="69" fillId="30" borderId="0" xfId="1" applyNumberFormat="1" applyFont="1" applyFill="1" applyBorder="1" applyAlignment="1" applyProtection="1"/>
    <xf numFmtId="166" fontId="81" fillId="29" borderId="140" xfId="1" applyNumberFormat="1" applyFont="1" applyFill="1" applyBorder="1" applyAlignment="1" applyProtection="1"/>
    <xf numFmtId="166" fontId="81" fillId="29" borderId="141" xfId="1" applyNumberFormat="1" applyFont="1" applyFill="1" applyBorder="1" applyAlignment="1" applyProtection="1"/>
    <xf numFmtId="166" fontId="81" fillId="29" borderId="21" xfId="1" applyNumberFormat="1" applyFont="1" applyFill="1" applyBorder="1" applyAlignment="1" applyProtection="1"/>
    <xf numFmtId="166" fontId="81" fillId="29" borderId="22" xfId="1" applyNumberFormat="1" applyFont="1" applyFill="1" applyBorder="1" applyAlignment="1" applyProtection="1"/>
    <xf numFmtId="166" fontId="81" fillId="29" borderId="24" xfId="1" applyNumberFormat="1" applyFont="1" applyFill="1" applyBorder="1" applyAlignment="1" applyProtection="1"/>
    <xf numFmtId="166" fontId="81" fillId="29" borderId="25" xfId="1" applyNumberFormat="1" applyFont="1" applyFill="1" applyBorder="1" applyAlignment="1" applyProtection="1"/>
    <xf numFmtId="166" fontId="69" fillId="29" borderId="21" xfId="1" applyNumberFormat="1" applyFont="1" applyFill="1" applyBorder="1" applyAlignment="1" applyProtection="1"/>
    <xf numFmtId="166" fontId="69" fillId="29" borderId="22" xfId="1" applyNumberFormat="1" applyFont="1" applyFill="1" applyBorder="1" applyAlignment="1" applyProtection="1"/>
    <xf numFmtId="166" fontId="69" fillId="29" borderId="24" xfId="1" applyNumberFormat="1" applyFont="1" applyFill="1" applyBorder="1" applyAlignment="1" applyProtection="1"/>
    <xf numFmtId="166" fontId="69" fillId="29" borderId="25" xfId="1" applyNumberFormat="1" applyFont="1" applyFill="1" applyBorder="1" applyAlignment="1" applyProtection="1"/>
    <xf numFmtId="166" fontId="69" fillId="30" borderId="22" xfId="1" applyNumberFormat="1" applyFont="1" applyFill="1" applyBorder="1" applyAlignment="1" applyProtection="1"/>
    <xf numFmtId="166" fontId="66" fillId="29" borderId="0" xfId="1" applyNumberFormat="1" applyFont="1" applyFill="1" applyBorder="1" applyAlignment="1">
      <alignment horizontal="right"/>
    </xf>
    <xf numFmtId="166" fontId="66" fillId="18" borderId="0" xfId="1" applyNumberFormat="1" applyFont="1" applyFill="1" applyBorder="1" applyAlignment="1">
      <alignment horizontal="right"/>
    </xf>
    <xf numFmtId="166" fontId="66" fillId="19" borderId="0" xfId="1" applyNumberFormat="1" applyFont="1" applyFill="1" applyBorder="1" applyAlignment="1">
      <alignment horizontal="right"/>
    </xf>
    <xf numFmtId="166" fontId="66" fillId="17" borderId="0" xfId="1" applyNumberFormat="1" applyFont="1" applyFill="1" applyBorder="1" applyAlignment="1">
      <alignment horizontal="right"/>
    </xf>
    <xf numFmtId="166" fontId="66" fillId="17" borderId="25" xfId="1" applyNumberFormat="1" applyFont="1" applyFill="1" applyBorder="1" applyAlignment="1">
      <alignment horizontal="right"/>
    </xf>
    <xf numFmtId="166" fontId="66" fillId="68" borderId="141" xfId="1" applyNumberFormat="1" applyFont="1" applyFill="1" applyBorder="1" applyAlignment="1">
      <alignment horizontal="right"/>
    </xf>
    <xf numFmtId="166" fontId="101" fillId="30" borderId="0" xfId="1" applyNumberFormat="1" applyFont="1" applyFill="1" applyBorder="1" applyAlignment="1" applyProtection="1"/>
    <xf numFmtId="166" fontId="69" fillId="30" borderId="48" xfId="1" applyNumberFormat="1" applyFont="1" applyFill="1" applyBorder="1" applyAlignment="1" applyProtection="1"/>
    <xf numFmtId="3" fontId="202" fillId="58" borderId="26" xfId="0" applyNumberFormat="1" applyFont="1" applyFill="1" applyBorder="1" applyAlignment="1">
      <alignment horizontal="right"/>
    </xf>
    <xf numFmtId="174" fontId="3" fillId="58" borderId="7" xfId="1" applyNumberFormat="1" applyFont="1" applyFill="1" applyBorder="1" applyAlignment="1">
      <alignment horizontal="right"/>
    </xf>
    <xf numFmtId="0" fontId="266" fillId="13" borderId="0" xfId="9" applyFont="1" applyFill="1" applyAlignment="1">
      <alignment horizontal="left" indent="4"/>
    </xf>
    <xf numFmtId="167" fontId="125" fillId="0" borderId="0" xfId="0" applyNumberFormat="1" applyFont="1"/>
    <xf numFmtId="167" fontId="126" fillId="0" borderId="0" xfId="0" applyNumberFormat="1" applyFont="1"/>
    <xf numFmtId="1" fontId="61" fillId="0" borderId="0" xfId="0" applyNumberFormat="1" applyFont="1"/>
    <xf numFmtId="167" fontId="101" fillId="29" borderId="0" xfId="0" applyNumberFormat="1" applyFont="1" applyFill="1" applyAlignment="1">
      <alignment horizontal="right"/>
    </xf>
    <xf numFmtId="166" fontId="125" fillId="0" borderId="0" xfId="0" applyNumberFormat="1" applyFont="1"/>
    <xf numFmtId="167" fontId="185" fillId="18" borderId="0" xfId="0" applyNumberFormat="1" applyFont="1" applyFill="1"/>
    <xf numFmtId="167" fontId="112" fillId="0" borderId="0" xfId="0" applyNumberFormat="1" applyFont="1"/>
    <xf numFmtId="167" fontId="101" fillId="78" borderId="0" xfId="0" applyNumberFormat="1" applyFont="1" applyFill="1" applyAlignment="1">
      <alignment horizontal="right"/>
    </xf>
    <xf numFmtId="0" fontId="112" fillId="19" borderId="0" xfId="0" applyFont="1" applyFill="1" applyAlignment="1">
      <alignment horizontal="left" indent="1"/>
    </xf>
    <xf numFmtId="0" fontId="0" fillId="18" borderId="7" xfId="0" applyFill="1" applyBorder="1"/>
    <xf numFmtId="168" fontId="73" fillId="18" borderId="7" xfId="0" applyNumberFormat="1" applyFont="1" applyFill="1" applyBorder="1"/>
    <xf numFmtId="166" fontId="94" fillId="18" borderId="7" xfId="0" applyNumberFormat="1" applyFont="1" applyFill="1" applyBorder="1"/>
    <xf numFmtId="166" fontId="141" fillId="18" borderId="7" xfId="0" applyNumberFormat="1" applyFont="1" applyFill="1" applyBorder="1"/>
    <xf numFmtId="166" fontId="141" fillId="18" borderId="0" xfId="0" applyNumberFormat="1" applyFont="1" applyFill="1"/>
    <xf numFmtId="0" fontId="125" fillId="78" borderId="0" xfId="0" applyFont="1" applyFill="1"/>
    <xf numFmtId="167" fontId="82" fillId="78" borderId="0" xfId="0" applyNumberFormat="1" applyFont="1" applyFill="1"/>
    <xf numFmtId="167" fontId="66" fillId="78" borderId="0" xfId="0" applyNumberFormat="1" applyFont="1" applyFill="1" applyAlignment="1">
      <alignment horizontal="right"/>
    </xf>
    <xf numFmtId="166" fontId="66" fillId="78" borderId="157" xfId="0" applyNumberFormat="1" applyFont="1" applyFill="1" applyBorder="1" applyAlignment="1">
      <alignment horizontal="right"/>
    </xf>
    <xf numFmtId="166" fontId="66" fillId="78" borderId="158" xfId="0" applyNumberFormat="1" applyFont="1" applyFill="1" applyBorder="1" applyAlignment="1">
      <alignment horizontal="right"/>
    </xf>
    <xf numFmtId="166" fontId="66" fillId="78" borderId="159" xfId="0" applyNumberFormat="1" applyFont="1" applyFill="1" applyBorder="1" applyAlignment="1">
      <alignment horizontal="right"/>
    </xf>
    <xf numFmtId="166" fontId="66" fillId="78" borderId="0" xfId="0" applyNumberFormat="1" applyFont="1" applyFill="1" applyAlignment="1">
      <alignment horizontal="right"/>
    </xf>
    <xf numFmtId="9" fontId="82" fillId="0" borderId="0" xfId="12" applyFont="1"/>
    <xf numFmtId="9" fontId="185" fillId="0" borderId="0" xfId="12" applyFont="1"/>
    <xf numFmtId="167" fontId="125" fillId="18" borderId="0" xfId="0" applyNumberFormat="1" applyFont="1" applyFill="1"/>
    <xf numFmtId="0" fontId="125" fillId="18" borderId="0" xfId="0" applyFont="1" applyFill="1"/>
    <xf numFmtId="173" fontId="82" fillId="0" borderId="0" xfId="0" applyNumberFormat="1" applyFont="1"/>
    <xf numFmtId="175" fontId="82" fillId="0" borderId="0" xfId="0" applyNumberFormat="1" applyFont="1"/>
    <xf numFmtId="0" fontId="185" fillId="18" borderId="0" xfId="9" applyFont="1" applyFill="1" applyAlignment="1">
      <alignment horizontal="left" indent="1"/>
    </xf>
    <xf numFmtId="0" fontId="275" fillId="0" borderId="0" xfId="0" applyFont="1" applyAlignment="1">
      <alignment vertical="top"/>
    </xf>
    <xf numFmtId="166" fontId="66" fillId="18" borderId="40" xfId="0" applyNumberFormat="1" applyFont="1" applyFill="1" applyBorder="1"/>
    <xf numFmtId="166" fontId="66" fillId="18" borderId="39" xfId="0" applyNumberFormat="1" applyFont="1" applyFill="1" applyBorder="1"/>
    <xf numFmtId="0" fontId="91" fillId="56" borderId="7" xfId="0" applyFont="1" applyFill="1" applyBorder="1"/>
    <xf numFmtId="0" fontId="63" fillId="79" borderId="7" xfId="0" applyFont="1" applyFill="1" applyBorder="1"/>
    <xf numFmtId="0" fontId="68" fillId="79" borderId="7" xfId="0" applyFont="1" applyFill="1" applyBorder="1"/>
    <xf numFmtId="168" fontId="0" fillId="0" borderId="0" xfId="12" applyNumberFormat="1" applyFont="1"/>
    <xf numFmtId="0" fontId="61" fillId="9" borderId="0" xfId="0" applyFont="1" applyFill="1"/>
    <xf numFmtId="0" fontId="125" fillId="9" borderId="0" xfId="0" applyFont="1" applyFill="1"/>
    <xf numFmtId="167" fontId="82" fillId="9" borderId="0" xfId="0" applyNumberFormat="1" applyFont="1" applyFill="1" applyAlignment="1">
      <alignment horizontal="right"/>
    </xf>
    <xf numFmtId="167" fontId="82" fillId="9" borderId="0" xfId="0" applyNumberFormat="1" applyFont="1" applyFill="1"/>
    <xf numFmtId="167" fontId="66" fillId="9" borderId="0" xfId="0" applyNumberFormat="1" applyFont="1" applyFill="1" applyAlignment="1">
      <alignment horizontal="right"/>
    </xf>
    <xf numFmtId="166" fontId="66" fillId="9" borderId="0" xfId="0" applyNumberFormat="1" applyFont="1" applyFill="1" applyAlignment="1">
      <alignment horizontal="right"/>
    </xf>
    <xf numFmtId="0" fontId="82" fillId="9" borderId="0" xfId="0" applyFont="1" applyFill="1"/>
    <xf numFmtId="167" fontId="82" fillId="9" borderId="10" xfId="0" applyNumberFormat="1" applyFont="1" applyFill="1" applyBorder="1"/>
    <xf numFmtId="167" fontId="82" fillId="9" borderId="45" xfId="0" applyNumberFormat="1" applyFont="1" applyFill="1" applyBorder="1"/>
    <xf numFmtId="0" fontId="125" fillId="9" borderId="45" xfId="0" applyFont="1" applyFill="1" applyBorder="1"/>
    <xf numFmtId="0" fontId="151" fillId="9" borderId="0" xfId="0" applyFont="1" applyFill="1"/>
    <xf numFmtId="167" fontId="151" fillId="9" borderId="0" xfId="0" applyNumberFormat="1" applyFont="1" applyFill="1"/>
    <xf numFmtId="176" fontId="82" fillId="9" borderId="0" xfId="0" applyNumberFormat="1" applyFont="1" applyFill="1"/>
    <xf numFmtId="9" fontId="82" fillId="9" borderId="0" xfId="12" applyFont="1" applyFill="1"/>
    <xf numFmtId="168" fontId="82" fillId="9" borderId="0" xfId="12" applyNumberFormat="1" applyFont="1" applyFill="1"/>
    <xf numFmtId="4" fontId="82" fillId="9" borderId="0" xfId="0" applyNumberFormat="1" applyFont="1" applyFill="1"/>
    <xf numFmtId="0" fontId="276" fillId="80" borderId="0" xfId="0" applyFont="1" applyFill="1"/>
    <xf numFmtId="0" fontId="1" fillId="18" borderId="0" xfId="0" applyFont="1" applyFill="1" applyAlignment="1">
      <alignment horizontal="right"/>
    </xf>
    <xf numFmtId="0" fontId="1" fillId="80" borderId="0" xfId="0" applyFont="1" applyFill="1" applyAlignment="1">
      <alignment horizontal="right"/>
    </xf>
    <xf numFmtId="0" fontId="1" fillId="81" borderId="0" xfId="0" applyFont="1" applyFill="1"/>
    <xf numFmtId="0" fontId="276" fillId="81" borderId="0" xfId="0" applyFont="1" applyFill="1"/>
    <xf numFmtId="0" fontId="276" fillId="18" borderId="0" xfId="0" applyFont="1" applyFill="1"/>
    <xf numFmtId="0" fontId="276" fillId="82" borderId="0" xfId="0" applyFont="1" applyFill="1"/>
    <xf numFmtId="3" fontId="276" fillId="82" borderId="0" xfId="0" applyNumberFormat="1" applyFont="1" applyFill="1"/>
    <xf numFmtId="0" fontId="1" fillId="83" borderId="0" xfId="0" applyFont="1" applyFill="1"/>
    <xf numFmtId="0" fontId="62" fillId="5" borderId="0" xfId="0" applyFont="1" applyFill="1"/>
    <xf numFmtId="3" fontId="1" fillId="18" borderId="0" xfId="0" applyNumberFormat="1" applyFont="1" applyFill="1"/>
    <xf numFmtId="3" fontId="1" fillId="83" borderId="0" xfId="0" applyNumberFormat="1" applyFont="1" applyFill="1"/>
    <xf numFmtId="3" fontId="1" fillId="82" borderId="0" xfId="0" applyNumberFormat="1" applyFont="1" applyFill="1"/>
    <xf numFmtId="0" fontId="277" fillId="83" borderId="0" xfId="0" applyFont="1" applyFill="1" applyAlignment="1">
      <alignment horizontal="left" indent="1"/>
    </xf>
    <xf numFmtId="0" fontId="147" fillId="5" borderId="0" xfId="0" applyFont="1" applyFill="1"/>
    <xf numFmtId="3" fontId="277" fillId="18" borderId="0" xfId="0" applyNumberFormat="1" applyFont="1" applyFill="1" applyAlignment="1">
      <alignment horizontal="right"/>
    </xf>
    <xf numFmtId="3" fontId="277" fillId="83" borderId="0" xfId="0" applyNumberFormat="1" applyFont="1" applyFill="1" applyAlignment="1">
      <alignment horizontal="right"/>
    </xf>
    <xf numFmtId="3" fontId="277" fillId="82" borderId="0" xfId="0" applyNumberFormat="1" applyFont="1" applyFill="1" applyAlignment="1">
      <alignment horizontal="right"/>
    </xf>
    <xf numFmtId="0" fontId="278" fillId="5" borderId="0" xfId="0" applyFont="1" applyFill="1"/>
    <xf numFmtId="0" fontId="1" fillId="0" borderId="0" xfId="0" applyFont="1"/>
    <xf numFmtId="3" fontId="1" fillId="0" borderId="0" xfId="0" applyNumberFormat="1" applyFont="1"/>
    <xf numFmtId="0" fontId="277" fillId="0" borderId="0" xfId="0" applyFont="1" applyAlignment="1">
      <alignment horizontal="left" indent="1"/>
    </xf>
    <xf numFmtId="0" fontId="278" fillId="0" borderId="0" xfId="0" applyFont="1"/>
    <xf numFmtId="3" fontId="277" fillId="0" borderId="0" xfId="0" applyNumberFormat="1" applyFont="1" applyAlignment="1">
      <alignment horizontal="right"/>
    </xf>
    <xf numFmtId="3" fontId="277" fillId="18" borderId="0" xfId="0" applyNumberFormat="1" applyFont="1" applyFill="1"/>
    <xf numFmtId="3" fontId="277" fillId="83" borderId="0" xfId="0" applyNumberFormat="1" applyFont="1" applyFill="1"/>
    <xf numFmtId="3" fontId="277" fillId="82" borderId="0" xfId="0" applyNumberFormat="1" applyFont="1" applyFill="1"/>
    <xf numFmtId="3" fontId="278" fillId="5" borderId="0" xfId="0" applyNumberFormat="1" applyFont="1" applyFill="1"/>
    <xf numFmtId="0" fontId="1" fillId="18" borderId="0" xfId="0" applyFont="1" applyFill="1"/>
    <xf numFmtId="0" fontId="62" fillId="18" borderId="0" xfId="0" applyFont="1" applyFill="1"/>
    <xf numFmtId="0" fontId="277" fillId="18" borderId="0" xfId="0" applyFont="1" applyFill="1" applyAlignment="1">
      <alignment horizontal="left" indent="1"/>
    </xf>
    <xf numFmtId="0" fontId="278" fillId="18" borderId="0" xfId="0" applyFont="1" applyFill="1"/>
    <xf numFmtId="0" fontId="1" fillId="83" borderId="31" xfId="0" applyFont="1" applyFill="1" applyBorder="1"/>
    <xf numFmtId="0" fontId="62" fillId="5" borderId="31" xfId="0" applyFont="1" applyFill="1" applyBorder="1"/>
    <xf numFmtId="3" fontId="1" fillId="18" borderId="31" xfId="0" applyNumberFormat="1" applyFont="1" applyFill="1" applyBorder="1"/>
    <xf numFmtId="3" fontId="1" fillId="83" borderId="31" xfId="0" applyNumberFormat="1" applyFont="1" applyFill="1" applyBorder="1"/>
    <xf numFmtId="3" fontId="1" fillId="82" borderId="31" xfId="0" applyNumberFormat="1" applyFont="1" applyFill="1" applyBorder="1"/>
    <xf numFmtId="0" fontId="0" fillId="84" borderId="0" xfId="0" applyFill="1"/>
    <xf numFmtId="3" fontId="276" fillId="18" borderId="0" xfId="0" applyNumberFormat="1" applyFont="1" applyFill="1"/>
    <xf numFmtId="3" fontId="276" fillId="83" borderId="0" xfId="0" applyNumberFormat="1" applyFont="1" applyFill="1"/>
    <xf numFmtId="0" fontId="276" fillId="83" borderId="0" xfId="0" applyFont="1" applyFill="1"/>
    <xf numFmtId="0" fontId="77" fillId="84" borderId="0" xfId="0" applyFont="1" applyFill="1"/>
    <xf numFmtId="3" fontId="1" fillId="81" borderId="0" xfId="0" applyNumberFormat="1" applyFont="1" applyFill="1"/>
    <xf numFmtId="1" fontId="77" fillId="0" borderId="0" xfId="0" applyNumberFormat="1" applyFont="1"/>
    <xf numFmtId="9" fontId="151" fillId="9" borderId="0" xfId="12" applyFont="1" applyFill="1"/>
    <xf numFmtId="9" fontId="0" fillId="35" borderId="7" xfId="12" applyFont="1" applyFill="1" applyBorder="1"/>
    <xf numFmtId="167" fontId="95" fillId="5" borderId="7" xfId="0" applyNumberFormat="1" applyFont="1" applyFill="1" applyBorder="1" applyAlignment="1">
      <alignment horizontal="right"/>
    </xf>
    <xf numFmtId="167" fontId="66" fillId="5" borderId="7" xfId="0" applyNumberFormat="1" applyFont="1" applyFill="1" applyBorder="1" applyAlignment="1">
      <alignment horizontal="right"/>
    </xf>
    <xf numFmtId="1" fontId="0" fillId="71" borderId="10" xfId="0" applyNumberFormat="1" applyFill="1" applyBorder="1" applyAlignment="1">
      <alignment horizontal="right"/>
    </xf>
    <xf numFmtId="167" fontId="112" fillId="0" borderId="0" xfId="0" applyNumberFormat="1" applyFont="1" applyAlignment="1">
      <alignment horizontal="center"/>
    </xf>
    <xf numFmtId="169" fontId="194" fillId="17" borderId="0" xfId="0" applyNumberFormat="1" applyFont="1" applyFill="1" applyAlignment="1">
      <alignment horizontal="right"/>
    </xf>
    <xf numFmtId="169" fontId="66" fillId="13" borderId="0" xfId="0" applyNumberFormat="1" applyFont="1" applyFill="1" applyAlignment="1">
      <alignment horizontal="right"/>
    </xf>
    <xf numFmtId="169" fontId="101" fillId="13" borderId="0" xfId="0" applyNumberFormat="1" applyFont="1" applyFill="1" applyAlignment="1">
      <alignment horizontal="right"/>
    </xf>
    <xf numFmtId="0" fontId="202" fillId="58" borderId="0" xfId="0" applyFont="1" applyFill="1"/>
    <xf numFmtId="0" fontId="202" fillId="58" borderId="7" xfId="0" applyFont="1" applyFill="1" applyBorder="1"/>
    <xf numFmtId="177" fontId="61" fillId="0" borderId="0" xfId="17" applyNumberFormat="1" applyFont="1"/>
    <xf numFmtId="0" fontId="82" fillId="20" borderId="0" xfId="0" applyFont="1" applyFill="1"/>
    <xf numFmtId="0" fontId="127" fillId="20" borderId="0" xfId="9" applyFont="1" applyFill="1" applyAlignment="1">
      <alignment horizontal="left" indent="4"/>
    </xf>
    <xf numFmtId="167" fontId="82" fillId="20" borderId="20" xfId="0" applyNumberFormat="1" applyFont="1" applyFill="1" applyBorder="1" applyAlignment="1">
      <alignment horizontal="right"/>
    </xf>
    <xf numFmtId="167" fontId="82" fillId="20" borderId="45" xfId="0" applyNumberFormat="1" applyFont="1" applyFill="1" applyBorder="1" applyAlignment="1">
      <alignment horizontal="right"/>
    </xf>
    <xf numFmtId="167" fontId="82" fillId="20" borderId="10" xfId="0" applyNumberFormat="1" applyFont="1" applyFill="1" applyBorder="1" applyAlignment="1">
      <alignment horizontal="right"/>
    </xf>
    <xf numFmtId="167" fontId="125" fillId="20" borderId="0" xfId="0" applyNumberFormat="1" applyFont="1" applyFill="1"/>
    <xf numFmtId="0" fontId="127" fillId="20" borderId="0" xfId="9" applyFont="1" applyFill="1" applyAlignment="1">
      <alignment horizontal="left" indent="2"/>
    </xf>
    <xf numFmtId="167" fontId="113" fillId="20" borderId="0" xfId="0" applyNumberFormat="1" applyFont="1" applyFill="1" applyAlignment="1">
      <alignment horizontal="center"/>
    </xf>
    <xf numFmtId="168" fontId="82" fillId="0" borderId="0" xfId="12" applyNumberFormat="1" applyFont="1"/>
    <xf numFmtId="9" fontId="202" fillId="58" borderId="7" xfId="0" applyNumberFormat="1" applyFont="1" applyFill="1" applyBorder="1" applyAlignment="1">
      <alignment horizontal="right"/>
    </xf>
    <xf numFmtId="9" fontId="0" fillId="18" borderId="7" xfId="0" applyNumberFormat="1" applyFill="1" applyBorder="1" applyAlignment="1">
      <alignment horizontal="right"/>
    </xf>
    <xf numFmtId="0" fontId="285" fillId="18" borderId="0" xfId="0" applyFont="1" applyFill="1" applyAlignment="1">
      <alignment vertical="top"/>
    </xf>
    <xf numFmtId="43" fontId="288" fillId="0" borderId="0" xfId="1" applyFont="1" applyAlignment="1">
      <alignment horizontal="right"/>
    </xf>
    <xf numFmtId="43" fontId="288" fillId="17" borderId="0" xfId="1" applyFont="1" applyFill="1" applyAlignment="1">
      <alignment horizontal="right"/>
    </xf>
    <xf numFmtId="4" fontId="0" fillId="0" borderId="0" xfId="0" applyNumberFormat="1" applyAlignment="1">
      <alignment horizontal="right"/>
    </xf>
    <xf numFmtId="0" fontId="0" fillId="0" borderId="0" xfId="0" applyAlignment="1">
      <alignment wrapText="1"/>
    </xf>
    <xf numFmtId="4" fontId="0" fillId="17" borderId="0" xfId="0" applyNumberFormat="1" applyFill="1" applyAlignment="1">
      <alignment horizontal="right"/>
    </xf>
    <xf numFmtId="0" fontId="4" fillId="59" borderId="0" xfId="0" applyFont="1" applyFill="1"/>
    <xf numFmtId="0" fontId="185" fillId="13" borderId="0" xfId="9" applyFont="1" applyFill="1" applyAlignment="1">
      <alignment horizontal="left" indent="2"/>
    </xf>
    <xf numFmtId="167" fontId="101" fillId="18" borderId="136" xfId="0" applyNumberFormat="1" applyFont="1" applyFill="1" applyBorder="1" applyAlignment="1">
      <alignment horizontal="right"/>
    </xf>
    <xf numFmtId="0" fontId="290" fillId="0" borderId="0" xfId="0" applyFont="1"/>
    <xf numFmtId="0" fontId="292" fillId="20" borderId="166" xfId="0" applyFont="1" applyFill="1" applyBorder="1" applyAlignment="1">
      <alignment horizontal="left" wrapText="1"/>
    </xf>
    <xf numFmtId="169" fontId="9" fillId="86" borderId="166" xfId="19" applyNumberFormat="1" applyFont="1" applyFill="1" applyBorder="1" applyAlignment="1">
      <alignment horizontal="right" wrapText="1"/>
    </xf>
    <xf numFmtId="168" fontId="9" fillId="10" borderId="166" xfId="12" applyNumberFormat="1" applyFont="1" applyFill="1" applyBorder="1" applyAlignment="1">
      <alignment horizontal="right" wrapText="1"/>
    </xf>
    <xf numFmtId="169" fontId="9" fillId="87" borderId="166" xfId="19" applyNumberFormat="1" applyFont="1" applyFill="1" applyBorder="1" applyAlignment="1">
      <alignment horizontal="right" wrapText="1"/>
    </xf>
    <xf numFmtId="168" fontId="9" fillId="77" borderId="166" xfId="12" applyNumberFormat="1" applyFont="1" applyFill="1" applyBorder="1" applyAlignment="1">
      <alignment horizontal="right" wrapText="1"/>
    </xf>
    <xf numFmtId="166" fontId="9" fillId="20" borderId="166" xfId="19" applyNumberFormat="1" applyFont="1" applyFill="1" applyBorder="1" applyAlignment="1">
      <alignment horizontal="right" wrapText="1"/>
    </xf>
    <xf numFmtId="0" fontId="293" fillId="20" borderId="167" xfId="0" applyFont="1" applyFill="1" applyBorder="1" applyAlignment="1">
      <alignment horizontal="left" wrapText="1"/>
    </xf>
    <xf numFmtId="168" fontId="294" fillId="10" borderId="167" xfId="12" applyNumberFormat="1" applyFont="1" applyFill="1" applyBorder="1" applyAlignment="1">
      <alignment horizontal="right" wrapText="1"/>
    </xf>
    <xf numFmtId="169" fontId="294" fillId="87" borderId="167" xfId="19" applyNumberFormat="1" applyFont="1" applyFill="1" applyBorder="1" applyAlignment="1">
      <alignment horizontal="right" wrapText="1"/>
    </xf>
    <xf numFmtId="168" fontId="294" fillId="77" borderId="167" xfId="12" applyNumberFormat="1" applyFont="1" applyFill="1" applyBorder="1" applyAlignment="1">
      <alignment horizontal="right" wrapText="1"/>
    </xf>
    <xf numFmtId="166" fontId="294" fillId="20" borderId="167" xfId="19" applyNumberFormat="1" applyFont="1" applyFill="1" applyBorder="1" applyAlignment="1">
      <alignment horizontal="right" wrapText="1"/>
    </xf>
    <xf numFmtId="0" fontId="295" fillId="20" borderId="0" xfId="0" applyFont="1" applyFill="1" applyAlignment="1">
      <alignment horizontal="left" wrapText="1" indent="1"/>
    </xf>
    <xf numFmtId="168" fontId="10" fillId="10" borderId="0" xfId="12" applyNumberFormat="1" applyFont="1" applyFill="1" applyAlignment="1">
      <alignment horizontal="right" wrapText="1"/>
    </xf>
    <xf numFmtId="169" fontId="296" fillId="87" borderId="0" xfId="19" applyNumberFormat="1" applyFont="1" applyFill="1" applyAlignment="1">
      <alignment horizontal="right" wrapText="1"/>
    </xf>
    <xf numFmtId="168" fontId="10" fillId="77" borderId="0" xfId="12" applyNumberFormat="1" applyFont="1" applyFill="1" applyAlignment="1">
      <alignment horizontal="right" wrapText="1"/>
    </xf>
    <xf numFmtId="166" fontId="10" fillId="20" borderId="0" xfId="19" applyNumberFormat="1" applyFont="1" applyFill="1" applyAlignment="1">
      <alignment horizontal="right" wrapText="1"/>
    </xf>
    <xf numFmtId="169" fontId="9" fillId="86" borderId="0" xfId="19" applyNumberFormat="1" applyFont="1" applyFill="1" applyBorder="1" applyAlignment="1">
      <alignment horizontal="right" wrapText="1"/>
    </xf>
    <xf numFmtId="169" fontId="296" fillId="86" borderId="0" xfId="19" applyNumberFormat="1" applyFont="1" applyFill="1" applyAlignment="1">
      <alignment horizontal="right" wrapText="1"/>
    </xf>
    <xf numFmtId="0" fontId="295" fillId="20" borderId="0" xfId="0" applyFont="1" applyFill="1" applyAlignment="1">
      <alignment horizontal="left" wrapText="1"/>
    </xf>
    <xf numFmtId="169" fontId="10" fillId="86" borderId="0" xfId="19" applyNumberFormat="1" applyFont="1" applyFill="1" applyAlignment="1">
      <alignment horizontal="right" wrapText="1"/>
    </xf>
    <xf numFmtId="169" fontId="10" fillId="87" borderId="0" xfId="19" applyNumberFormat="1" applyFont="1" applyFill="1" applyAlignment="1">
      <alignment horizontal="right" wrapText="1"/>
    </xf>
    <xf numFmtId="0" fontId="295" fillId="20" borderId="165" xfId="0" applyFont="1" applyFill="1" applyBorder="1" applyAlignment="1">
      <alignment horizontal="left" wrapText="1"/>
    </xf>
    <xf numFmtId="169" fontId="10" fillId="86" borderId="165" xfId="19" applyNumberFormat="1" applyFont="1" applyFill="1" applyBorder="1" applyAlignment="1">
      <alignment horizontal="right" wrapText="1"/>
    </xf>
    <xf numFmtId="168" fontId="10" fillId="10" borderId="165" xfId="12" applyNumberFormat="1" applyFont="1" applyFill="1" applyBorder="1" applyAlignment="1">
      <alignment horizontal="right" wrapText="1"/>
    </xf>
    <xf numFmtId="169" fontId="10" fillId="87" borderId="165" xfId="19" applyNumberFormat="1" applyFont="1" applyFill="1" applyBorder="1" applyAlignment="1">
      <alignment horizontal="right" wrapText="1"/>
    </xf>
    <xf numFmtId="168" fontId="10" fillId="77" borderId="165" xfId="12" applyNumberFormat="1" applyFont="1" applyFill="1" applyBorder="1" applyAlignment="1">
      <alignment horizontal="right" wrapText="1"/>
    </xf>
    <xf numFmtId="166" fontId="10" fillId="20" borderId="165" xfId="19" applyNumberFormat="1" applyFont="1" applyFill="1" applyBorder="1" applyAlignment="1">
      <alignment horizontal="right" wrapText="1"/>
    </xf>
    <xf numFmtId="0" fontId="292" fillId="20" borderId="167" xfId="0" applyFont="1" applyFill="1" applyBorder="1" applyAlignment="1">
      <alignment horizontal="left" wrapText="1"/>
    </xf>
    <xf numFmtId="169" fontId="9" fillId="86" borderId="167" xfId="19" applyNumberFormat="1" applyFont="1" applyFill="1" applyBorder="1" applyAlignment="1">
      <alignment horizontal="right" wrapText="1"/>
    </xf>
    <xf numFmtId="168" fontId="9" fillId="10" borderId="167" xfId="12" applyNumberFormat="1" applyFont="1" applyFill="1" applyBorder="1" applyAlignment="1">
      <alignment horizontal="right" wrapText="1"/>
    </xf>
    <xf numFmtId="169" fontId="9" fillId="87" borderId="167" xfId="19" applyNumberFormat="1" applyFont="1" applyFill="1" applyBorder="1" applyAlignment="1">
      <alignment horizontal="right" wrapText="1"/>
    </xf>
    <xf numFmtId="168" fontId="9" fillId="77" borderId="167" xfId="12" applyNumberFormat="1" applyFont="1" applyFill="1" applyBorder="1" applyAlignment="1">
      <alignment horizontal="right" wrapText="1"/>
    </xf>
    <xf numFmtId="166" fontId="9" fillId="20" borderId="167" xfId="19" applyNumberFormat="1" applyFont="1" applyFill="1" applyBorder="1" applyAlignment="1">
      <alignment horizontal="right" wrapText="1"/>
    </xf>
    <xf numFmtId="0" fontId="295" fillId="20" borderId="0" xfId="0" applyFont="1" applyFill="1" applyAlignment="1">
      <alignment horizontal="left" wrapText="1" indent="2"/>
    </xf>
    <xf numFmtId="168" fontId="296" fillId="10" borderId="0" xfId="12" applyNumberFormat="1" applyFont="1" applyFill="1" applyAlignment="1">
      <alignment horizontal="right" wrapText="1"/>
    </xf>
    <xf numFmtId="166" fontId="296" fillId="87" borderId="0" xfId="19" applyNumberFormat="1" applyFont="1" applyFill="1" applyAlignment="1">
      <alignment horizontal="right" wrapText="1"/>
    </xf>
    <xf numFmtId="168" fontId="296" fillId="77" borderId="0" xfId="12" applyNumberFormat="1" applyFont="1" applyFill="1" applyAlignment="1">
      <alignment horizontal="right" wrapText="1"/>
    </xf>
    <xf numFmtId="166" fontId="296" fillId="20" borderId="0" xfId="19" applyNumberFormat="1" applyFont="1" applyFill="1" applyAlignment="1">
      <alignment horizontal="right" wrapText="1"/>
    </xf>
    <xf numFmtId="166" fontId="10" fillId="86" borderId="0" xfId="19" applyNumberFormat="1" applyFont="1" applyFill="1" applyAlignment="1">
      <alignment horizontal="right" wrapText="1"/>
    </xf>
    <xf numFmtId="0" fontId="295" fillId="20" borderId="165" xfId="0" applyFont="1" applyFill="1" applyBorder="1" applyAlignment="1">
      <alignment horizontal="left" wrapText="1" indent="1"/>
    </xf>
    <xf numFmtId="166" fontId="10" fillId="86" borderId="165" xfId="19" applyNumberFormat="1" applyFont="1" applyFill="1" applyBorder="1" applyAlignment="1">
      <alignment horizontal="right" wrapText="1"/>
    </xf>
    <xf numFmtId="166" fontId="10" fillId="87" borderId="165" xfId="19" applyNumberFormat="1" applyFont="1" applyFill="1" applyBorder="1" applyAlignment="1">
      <alignment horizontal="right" wrapText="1"/>
    </xf>
    <xf numFmtId="0" fontId="292" fillId="20" borderId="0" xfId="0" applyFont="1" applyFill="1" applyAlignment="1">
      <alignment horizontal="left" wrapText="1"/>
    </xf>
    <xf numFmtId="166" fontId="10" fillId="20" borderId="0" xfId="19" applyNumberFormat="1" applyFont="1" applyFill="1" applyBorder="1" applyAlignment="1">
      <alignment horizontal="right" wrapText="1"/>
    </xf>
    <xf numFmtId="169" fontId="9" fillId="86" borderId="0" xfId="19" applyNumberFormat="1" applyFont="1" applyFill="1" applyAlignment="1">
      <alignment horizontal="right" wrapText="1"/>
    </xf>
    <xf numFmtId="168" fontId="9" fillId="10" borderId="0" xfId="12" applyNumberFormat="1" applyFont="1" applyFill="1" applyAlignment="1">
      <alignment horizontal="right" wrapText="1"/>
    </xf>
    <xf numFmtId="169" fontId="9" fillId="87" borderId="0" xfId="19" applyNumberFormat="1" applyFont="1" applyFill="1" applyAlignment="1">
      <alignment horizontal="right" wrapText="1"/>
    </xf>
    <xf numFmtId="168" fontId="9" fillId="77" borderId="0" xfId="12" applyNumberFormat="1" applyFont="1" applyFill="1" applyAlignment="1">
      <alignment horizontal="right" wrapText="1"/>
    </xf>
    <xf numFmtId="166" fontId="9" fillId="20" borderId="0" xfId="19" applyNumberFormat="1" applyFont="1" applyFill="1" applyAlignment="1">
      <alignment horizontal="right" wrapText="1"/>
    </xf>
    <xf numFmtId="0" fontId="297" fillId="20" borderId="0" xfId="0" applyFont="1" applyFill="1" applyAlignment="1">
      <alignment horizontal="left" wrapText="1" indent="2"/>
    </xf>
    <xf numFmtId="169" fontId="296" fillId="10" borderId="0" xfId="19" applyNumberFormat="1" applyFont="1" applyFill="1" applyAlignment="1">
      <alignment horizontal="right" wrapText="1"/>
    </xf>
    <xf numFmtId="169" fontId="296" fillId="77" borderId="0" xfId="19" applyNumberFormat="1" applyFont="1" applyFill="1" applyAlignment="1">
      <alignment horizontal="right" wrapText="1"/>
    </xf>
    <xf numFmtId="169" fontId="296" fillId="20" borderId="0" xfId="19" applyNumberFormat="1" applyFont="1" applyFill="1" applyAlignment="1">
      <alignment horizontal="right" wrapText="1"/>
    </xf>
    <xf numFmtId="166" fontId="10" fillId="86" borderId="0" xfId="19" applyNumberFormat="1" applyFont="1" applyFill="1" applyBorder="1" applyAlignment="1">
      <alignment horizontal="right" wrapText="1"/>
    </xf>
    <xf numFmtId="168" fontId="10" fillId="10" borderId="0" xfId="12" applyNumberFormat="1" applyFont="1" applyFill="1" applyBorder="1" applyAlignment="1">
      <alignment horizontal="right" wrapText="1"/>
    </xf>
    <xf numFmtId="166" fontId="10" fillId="87" borderId="0" xfId="19" applyNumberFormat="1" applyFont="1" applyFill="1" applyBorder="1" applyAlignment="1">
      <alignment horizontal="right" wrapText="1"/>
    </xf>
    <xf numFmtId="168" fontId="10" fillId="77" borderId="0" xfId="12" applyNumberFormat="1" applyFont="1" applyFill="1" applyBorder="1" applyAlignment="1">
      <alignment horizontal="right" wrapText="1"/>
    </xf>
    <xf numFmtId="0" fontId="295" fillId="20" borderId="168" xfId="0" applyFont="1" applyFill="1" applyBorder="1" applyAlignment="1">
      <alignment horizontal="left" wrapText="1" indent="1"/>
    </xf>
    <xf numFmtId="169" fontId="10" fillId="87" borderId="0" xfId="19" applyNumberFormat="1" applyFont="1" applyFill="1" applyBorder="1" applyAlignment="1">
      <alignment horizontal="right" wrapText="1"/>
    </xf>
    <xf numFmtId="0" fontId="295" fillId="20" borderId="168" xfId="0" applyFont="1" applyFill="1" applyBorder="1" applyAlignment="1">
      <alignment horizontal="left" wrapText="1" indent="2"/>
    </xf>
    <xf numFmtId="169" fontId="10" fillId="86" borderId="0" xfId="19" applyNumberFormat="1" applyFont="1" applyFill="1" applyBorder="1" applyAlignment="1">
      <alignment horizontal="right" wrapText="1"/>
    </xf>
    <xf numFmtId="169" fontId="10" fillId="86" borderId="167" xfId="19" applyNumberFormat="1" applyFont="1" applyFill="1" applyBorder="1" applyAlignment="1">
      <alignment horizontal="right" wrapText="1"/>
    </xf>
    <xf numFmtId="169" fontId="10" fillId="20" borderId="167" xfId="19" applyNumberFormat="1" applyFont="1" applyFill="1" applyBorder="1" applyAlignment="1">
      <alignment horizontal="right" wrapText="1"/>
    </xf>
    <xf numFmtId="0" fontId="290" fillId="18" borderId="0" xfId="0" applyFont="1" applyFill="1"/>
    <xf numFmtId="0" fontId="292" fillId="18" borderId="172" xfId="0" applyFont="1" applyFill="1" applyBorder="1" applyAlignment="1">
      <alignment horizontal="left" wrapText="1"/>
    </xf>
    <xf numFmtId="0" fontId="292" fillId="18" borderId="0" xfId="0" applyFont="1" applyFill="1" applyAlignment="1">
      <alignment horizontal="left" wrapText="1"/>
    </xf>
    <xf numFmtId="166" fontId="10" fillId="20" borderId="167" xfId="19" applyNumberFormat="1" applyFont="1" applyFill="1" applyBorder="1" applyAlignment="1">
      <alignment horizontal="right" wrapText="1"/>
    </xf>
    <xf numFmtId="166" fontId="10" fillId="87" borderId="0" xfId="19" applyNumberFormat="1" applyFont="1" applyFill="1" applyAlignment="1">
      <alignment horizontal="right" wrapText="1"/>
    </xf>
    <xf numFmtId="0" fontId="298" fillId="20" borderId="0" xfId="0" applyFont="1" applyFill="1" applyAlignment="1">
      <alignment horizontal="left" wrapText="1" indent="1"/>
    </xf>
    <xf numFmtId="0" fontId="292" fillId="20" borderId="165" xfId="0" applyFont="1" applyFill="1" applyBorder="1" applyAlignment="1">
      <alignment horizontal="left" wrapText="1" indent="1"/>
    </xf>
    <xf numFmtId="166" fontId="10" fillId="86" borderId="173" xfId="19" applyNumberFormat="1" applyFont="1" applyFill="1" applyBorder="1" applyAlignment="1">
      <alignment horizontal="right" wrapText="1"/>
    </xf>
    <xf numFmtId="168" fontId="10" fillId="10" borderId="166" xfId="12" applyNumberFormat="1" applyFont="1" applyFill="1" applyBorder="1" applyAlignment="1">
      <alignment horizontal="right" wrapText="1"/>
    </xf>
    <xf numFmtId="166" fontId="10" fillId="87" borderId="166" xfId="19" applyNumberFormat="1" applyFont="1" applyFill="1" applyBorder="1" applyAlignment="1">
      <alignment horizontal="right" wrapText="1"/>
    </xf>
    <xf numFmtId="168" fontId="10" fillId="77" borderId="166" xfId="12" applyNumberFormat="1" applyFont="1" applyFill="1" applyBorder="1" applyAlignment="1">
      <alignment horizontal="right" wrapText="1"/>
    </xf>
    <xf numFmtId="166" fontId="10" fillId="20" borderId="166" xfId="19" applyNumberFormat="1" applyFont="1" applyFill="1" applyBorder="1" applyAlignment="1">
      <alignment horizontal="right" wrapText="1"/>
    </xf>
    <xf numFmtId="0" fontId="290" fillId="20" borderId="0" xfId="0" applyFont="1" applyFill="1"/>
    <xf numFmtId="0" fontId="290" fillId="86" borderId="0" xfId="0" applyFont="1" applyFill="1"/>
    <xf numFmtId="0" fontId="290" fillId="87" borderId="0" xfId="0" applyFont="1" applyFill="1"/>
    <xf numFmtId="166" fontId="290" fillId="20" borderId="0" xfId="0" applyNumberFormat="1" applyFont="1" applyFill="1"/>
    <xf numFmtId="0" fontId="299" fillId="0" borderId="31" xfId="0" applyFont="1" applyBorder="1"/>
    <xf numFmtId="169" fontId="290" fillId="86" borderId="31" xfId="19" applyNumberFormat="1" applyFont="1" applyFill="1" applyBorder="1"/>
    <xf numFmtId="169" fontId="290" fillId="10" borderId="31" xfId="19" applyNumberFormat="1" applyFont="1" applyFill="1" applyBorder="1"/>
    <xf numFmtId="169" fontId="290" fillId="87" borderId="31" xfId="19" applyNumberFormat="1" applyFont="1" applyFill="1" applyBorder="1"/>
    <xf numFmtId="168" fontId="290" fillId="77" borderId="31" xfId="12" applyNumberFormat="1" applyFont="1" applyFill="1" applyBorder="1"/>
    <xf numFmtId="166" fontId="290" fillId="20" borderId="31" xfId="0" applyNumberFormat="1" applyFont="1" applyFill="1" applyBorder="1"/>
    <xf numFmtId="0" fontId="290" fillId="10" borderId="0" xfId="0" applyFont="1" applyFill="1"/>
    <xf numFmtId="0" fontId="290" fillId="77" borderId="0" xfId="0" applyFont="1" applyFill="1"/>
    <xf numFmtId="165" fontId="290" fillId="87" borderId="0" xfId="0" applyNumberFormat="1" applyFont="1" applyFill="1"/>
    <xf numFmtId="0" fontId="0" fillId="18" borderId="7" xfId="0" applyFill="1" applyBorder="1" applyAlignment="1">
      <alignment horizontal="left" indent="3"/>
    </xf>
    <xf numFmtId="0" fontId="202" fillId="58" borderId="7" xfId="0" applyFont="1" applyFill="1" applyBorder="1" applyAlignment="1">
      <alignment horizontal="left" indent="3"/>
    </xf>
    <xf numFmtId="0" fontId="202" fillId="58" borderId="0" xfId="0" applyFont="1" applyFill="1" applyAlignment="1">
      <alignment horizontal="left" indent="4"/>
    </xf>
    <xf numFmtId="165" fontId="290" fillId="77" borderId="0" xfId="0" applyNumberFormat="1" applyFont="1" applyFill="1"/>
    <xf numFmtId="168" fontId="290" fillId="87" borderId="0" xfId="12" applyNumberFormat="1" applyFont="1" applyFill="1"/>
    <xf numFmtId="166" fontId="290" fillId="87" borderId="0" xfId="0" applyNumberFormat="1" applyFont="1" applyFill="1"/>
    <xf numFmtId="166" fontId="290" fillId="87" borderId="31" xfId="0" applyNumberFormat="1" applyFont="1" applyFill="1" applyBorder="1"/>
    <xf numFmtId="0" fontId="290" fillId="0" borderId="31" xfId="0" applyFont="1" applyBorder="1" applyAlignment="1">
      <alignment horizontal="center"/>
    </xf>
    <xf numFmtId="166" fontId="291" fillId="20" borderId="29" xfId="0" applyNumberFormat="1" applyFont="1" applyFill="1" applyBorder="1" applyAlignment="1">
      <alignment horizontal="center" vertical="center"/>
    </xf>
    <xf numFmtId="166" fontId="291" fillId="20" borderId="165" xfId="0" applyNumberFormat="1" applyFont="1" applyFill="1" applyBorder="1" applyAlignment="1">
      <alignment horizontal="center" vertical="center"/>
    </xf>
    <xf numFmtId="9" fontId="76" fillId="15" borderId="7" xfId="12" applyFont="1" applyFill="1" applyBorder="1"/>
    <xf numFmtId="0" fontId="290" fillId="5" borderId="0" xfId="0" applyFont="1" applyFill="1"/>
    <xf numFmtId="0" fontId="291" fillId="5" borderId="165" xfId="0" applyFont="1" applyFill="1" applyBorder="1" applyAlignment="1">
      <alignment horizontal="center" vertical="center"/>
    </xf>
    <xf numFmtId="169" fontId="290" fillId="5" borderId="31" xfId="19" applyNumberFormat="1" applyFont="1" applyFill="1" applyBorder="1"/>
    <xf numFmtId="165" fontId="290" fillId="20" borderId="0" xfId="0" applyNumberFormat="1" applyFont="1" applyFill="1"/>
    <xf numFmtId="168" fontId="290" fillId="20" borderId="0" xfId="12" applyNumberFormat="1" applyFont="1" applyFill="1"/>
    <xf numFmtId="168" fontId="294" fillId="20" borderId="167" xfId="12" applyNumberFormat="1" applyFont="1" applyFill="1" applyBorder="1" applyAlignment="1">
      <alignment horizontal="right" wrapText="1"/>
    </xf>
    <xf numFmtId="168" fontId="10" fillId="20" borderId="0" xfId="12" applyNumberFormat="1" applyFont="1" applyFill="1" applyAlignment="1">
      <alignment horizontal="right" wrapText="1"/>
    </xf>
    <xf numFmtId="168" fontId="10" fillId="20" borderId="165" xfId="12" applyNumberFormat="1" applyFont="1" applyFill="1" applyBorder="1" applyAlignment="1">
      <alignment horizontal="right" wrapText="1"/>
    </xf>
    <xf numFmtId="168" fontId="9" fillId="20" borderId="167" xfId="12" applyNumberFormat="1" applyFont="1" applyFill="1" applyBorder="1" applyAlignment="1">
      <alignment horizontal="right" wrapText="1"/>
    </xf>
    <xf numFmtId="168" fontId="296" fillId="20" borderId="0" xfId="12" applyNumberFormat="1" applyFont="1" applyFill="1" applyAlignment="1">
      <alignment horizontal="right" wrapText="1"/>
    </xf>
    <xf numFmtId="168" fontId="10" fillId="20" borderId="0" xfId="12" applyNumberFormat="1" applyFont="1" applyFill="1" applyBorder="1" applyAlignment="1">
      <alignment horizontal="right" wrapText="1"/>
    </xf>
    <xf numFmtId="168" fontId="9" fillId="20" borderId="0" xfId="12" applyNumberFormat="1" applyFont="1" applyFill="1" applyAlignment="1">
      <alignment horizontal="right" wrapText="1"/>
    </xf>
    <xf numFmtId="168" fontId="10" fillId="20" borderId="167" xfId="12" applyNumberFormat="1" applyFont="1" applyFill="1" applyBorder="1" applyAlignment="1">
      <alignment horizontal="right" wrapText="1"/>
    </xf>
    <xf numFmtId="168" fontId="9" fillId="87" borderId="166" xfId="12" applyNumberFormat="1" applyFont="1" applyFill="1" applyBorder="1" applyAlignment="1">
      <alignment horizontal="right" wrapText="1"/>
    </xf>
    <xf numFmtId="168" fontId="294" fillId="87" borderId="167" xfId="12" applyNumberFormat="1" applyFont="1" applyFill="1" applyBorder="1" applyAlignment="1">
      <alignment horizontal="right" wrapText="1"/>
    </xf>
    <xf numFmtId="168" fontId="10" fillId="87" borderId="0" xfId="12" applyNumberFormat="1" applyFont="1" applyFill="1" applyAlignment="1">
      <alignment horizontal="right" wrapText="1"/>
    </xf>
    <xf numFmtId="168" fontId="10" fillId="87" borderId="165" xfId="12" applyNumberFormat="1" applyFont="1" applyFill="1" applyBorder="1" applyAlignment="1">
      <alignment horizontal="right" wrapText="1"/>
    </xf>
    <xf numFmtId="168" fontId="9" fillId="87" borderId="167" xfId="12" applyNumberFormat="1" applyFont="1" applyFill="1" applyBorder="1" applyAlignment="1">
      <alignment horizontal="right" wrapText="1"/>
    </xf>
    <xf numFmtId="168" fontId="296" fillId="87" borderId="0" xfId="12" applyNumberFormat="1" applyFont="1" applyFill="1" applyAlignment="1">
      <alignment horizontal="right" wrapText="1"/>
    </xf>
    <xf numFmtId="168" fontId="10" fillId="87" borderId="0" xfId="12" applyNumberFormat="1" applyFont="1" applyFill="1" applyBorder="1" applyAlignment="1">
      <alignment horizontal="right" wrapText="1"/>
    </xf>
    <xf numFmtId="168" fontId="9" fillId="87" borderId="0" xfId="12" applyNumberFormat="1" applyFont="1" applyFill="1" applyAlignment="1">
      <alignment horizontal="right" wrapText="1"/>
    </xf>
    <xf numFmtId="168" fontId="10" fillId="87" borderId="167" xfId="12" applyNumberFormat="1" applyFont="1" applyFill="1" applyBorder="1" applyAlignment="1">
      <alignment horizontal="right" wrapText="1"/>
    </xf>
    <xf numFmtId="168" fontId="290" fillId="77" borderId="0" xfId="0" applyNumberFormat="1" applyFont="1" applyFill="1"/>
    <xf numFmtId="0" fontId="300" fillId="20" borderId="165" xfId="0" applyFont="1" applyFill="1" applyBorder="1" applyAlignment="1">
      <alignment horizontal="left" wrapText="1" indent="1"/>
    </xf>
    <xf numFmtId="0" fontId="300" fillId="20" borderId="0" xfId="0" applyFont="1" applyFill="1" applyAlignment="1">
      <alignment horizontal="left" wrapText="1" indent="3"/>
    </xf>
    <xf numFmtId="177" fontId="290" fillId="87" borderId="0" xfId="17" applyNumberFormat="1" applyFont="1" applyFill="1"/>
    <xf numFmtId="164" fontId="290" fillId="87" borderId="0" xfId="17" applyFont="1" applyFill="1"/>
    <xf numFmtId="168" fontId="10" fillId="87" borderId="166" xfId="12" applyNumberFormat="1" applyFont="1" applyFill="1" applyBorder="1" applyAlignment="1">
      <alignment horizontal="right" wrapText="1"/>
    </xf>
    <xf numFmtId="0" fontId="185" fillId="13" borderId="0" xfId="9" applyFont="1" applyFill="1" applyAlignment="1">
      <alignment horizontal="left" indent="6"/>
    </xf>
    <xf numFmtId="169" fontId="10" fillId="18" borderId="170" xfId="19" applyNumberFormat="1" applyFont="1" applyFill="1" applyBorder="1" applyAlignment="1">
      <alignment horizontal="right" wrapText="1"/>
    </xf>
    <xf numFmtId="169" fontId="10" fillId="18" borderId="170" xfId="19" applyNumberFormat="1" applyFont="1" applyFill="1" applyBorder="1" applyAlignment="1">
      <alignment horizontal="left" wrapText="1"/>
    </xf>
    <xf numFmtId="166" fontId="10" fillId="18" borderId="170" xfId="17" applyNumberFormat="1" applyFont="1" applyFill="1" applyBorder="1" applyAlignment="1">
      <alignment horizontal="left" wrapText="1"/>
    </xf>
    <xf numFmtId="166" fontId="9" fillId="18" borderId="0" xfId="19" applyNumberFormat="1" applyFont="1" applyFill="1" applyAlignment="1">
      <alignment horizontal="right" wrapText="1"/>
    </xf>
    <xf numFmtId="168" fontId="9" fillId="18" borderId="0" xfId="12" applyNumberFormat="1" applyFont="1" applyFill="1" applyAlignment="1">
      <alignment horizontal="right" wrapText="1"/>
    </xf>
    <xf numFmtId="166" fontId="9" fillId="18" borderId="0" xfId="17" applyNumberFormat="1" applyFont="1" applyFill="1" applyAlignment="1">
      <alignment horizontal="right" wrapText="1"/>
    </xf>
    <xf numFmtId="166" fontId="9" fillId="18" borderId="165" xfId="19" applyNumberFormat="1" applyFont="1" applyFill="1" applyBorder="1" applyAlignment="1">
      <alignment horizontal="right" wrapText="1"/>
    </xf>
    <xf numFmtId="168" fontId="9" fillId="18" borderId="165" xfId="12" applyNumberFormat="1" applyFont="1" applyFill="1" applyBorder="1" applyAlignment="1">
      <alignment horizontal="right" wrapText="1"/>
    </xf>
    <xf numFmtId="166" fontId="9" fillId="18" borderId="165" xfId="17" applyNumberFormat="1" applyFont="1" applyFill="1" applyBorder="1" applyAlignment="1">
      <alignment horizontal="right" wrapText="1"/>
    </xf>
    <xf numFmtId="166" fontId="9" fillId="18" borderId="165" xfId="12" applyNumberFormat="1" applyFont="1" applyFill="1" applyBorder="1" applyAlignment="1">
      <alignment horizontal="right" wrapText="1"/>
    </xf>
    <xf numFmtId="0" fontId="63" fillId="18" borderId="7" xfId="0" applyFont="1" applyFill="1" applyBorder="1"/>
    <xf numFmtId="0" fontId="91" fillId="18" borderId="7" xfId="0" applyFont="1" applyFill="1" applyBorder="1"/>
    <xf numFmtId="168" fontId="91" fillId="18" borderId="7" xfId="0" applyNumberFormat="1" applyFont="1" applyFill="1" applyBorder="1"/>
    <xf numFmtId="168" fontId="21" fillId="59" borderId="0" xfId="12" applyNumberFormat="1" applyFont="1" applyFill="1" applyAlignment="1">
      <alignment horizontal="right"/>
    </xf>
    <xf numFmtId="179" fontId="61" fillId="0" borderId="0" xfId="0" applyNumberFormat="1" applyFont="1"/>
    <xf numFmtId="165" fontId="61" fillId="0" borderId="0" xfId="0" applyNumberFormat="1" applyFont="1"/>
    <xf numFmtId="0" fontId="125" fillId="77" borderId="23" xfId="0" applyFont="1" applyFill="1" applyBorder="1" applyAlignment="1">
      <alignment horizontal="left" indent="1"/>
    </xf>
    <xf numFmtId="167" fontId="82" fillId="77" borderId="0" xfId="0" applyNumberFormat="1" applyFont="1" applyFill="1" applyAlignment="1">
      <alignment horizontal="right"/>
    </xf>
    <xf numFmtId="167" fontId="66" fillId="77" borderId="0" xfId="0" applyNumberFormat="1" applyFont="1" applyFill="1" applyAlignment="1">
      <alignment horizontal="right"/>
    </xf>
    <xf numFmtId="166" fontId="66" fillId="77" borderId="0" xfId="0" applyNumberFormat="1" applyFont="1" applyFill="1" applyAlignment="1">
      <alignment horizontal="right"/>
    </xf>
    <xf numFmtId="166" fontId="66" fillId="77" borderId="0" xfId="1" applyNumberFormat="1" applyFont="1" applyFill="1" applyBorder="1" applyAlignment="1">
      <alignment horizontal="right"/>
    </xf>
    <xf numFmtId="168" fontId="69" fillId="77" borderId="0" xfId="12" applyNumberFormat="1" applyFont="1" applyFill="1" applyBorder="1" applyAlignment="1" applyProtection="1"/>
    <xf numFmtId="166" fontId="291" fillId="20" borderId="29" xfId="0" applyNumberFormat="1" applyFont="1" applyFill="1" applyBorder="1" applyAlignment="1">
      <alignment horizontal="center" vertical="center" wrapText="1"/>
    </xf>
    <xf numFmtId="0" fontId="112" fillId="17" borderId="24" xfId="0" applyFont="1" applyFill="1" applyBorder="1" applyAlignment="1">
      <alignment horizontal="left"/>
    </xf>
    <xf numFmtId="0" fontId="112" fillId="68" borderId="141" xfId="0" applyFont="1" applyFill="1" applyBorder="1" applyAlignment="1">
      <alignment horizontal="left"/>
    </xf>
    <xf numFmtId="167" fontId="127" fillId="20" borderId="0" xfId="0" applyNumberFormat="1" applyFont="1" applyFill="1"/>
    <xf numFmtId="0" fontId="148" fillId="0" borderId="0" xfId="0" applyFont="1"/>
    <xf numFmtId="0" fontId="301" fillId="13" borderId="0" xfId="9" applyFont="1" applyFill="1" applyAlignment="1">
      <alignment horizontal="left" indent="3"/>
    </xf>
    <xf numFmtId="167" fontId="120" fillId="13" borderId="0" xfId="0" applyNumberFormat="1" applyFont="1" applyFill="1" applyAlignment="1">
      <alignment horizontal="right"/>
    </xf>
    <xf numFmtId="166" fontId="90" fillId="13" borderId="0" xfId="0" applyNumberFormat="1" applyFont="1" applyFill="1" applyAlignment="1">
      <alignment horizontal="right"/>
    </xf>
    <xf numFmtId="0" fontId="295" fillId="20" borderId="0" xfId="0" applyFont="1" applyFill="1" applyAlignment="1">
      <alignment horizontal="left" wrapText="1" indent="3"/>
    </xf>
    <xf numFmtId="0" fontId="295" fillId="20" borderId="0" xfId="0" applyFont="1" applyFill="1" applyAlignment="1">
      <alignment horizontal="left" wrapText="1" indent="4"/>
    </xf>
    <xf numFmtId="0" fontId="295" fillId="20" borderId="0" xfId="0" applyFont="1" applyFill="1" applyAlignment="1">
      <alignment horizontal="left" wrapText="1" indent="5"/>
    </xf>
    <xf numFmtId="165" fontId="290" fillId="0" borderId="0" xfId="0" applyNumberFormat="1" applyFont="1"/>
    <xf numFmtId="168" fontId="290" fillId="87" borderId="31" xfId="12" applyNumberFormat="1" applyFont="1" applyFill="1" applyBorder="1"/>
    <xf numFmtId="168" fontId="9" fillId="20" borderId="166" xfId="12" applyNumberFormat="1" applyFont="1" applyFill="1" applyBorder="1" applyAlignment="1">
      <alignment horizontal="right" wrapText="1"/>
    </xf>
    <xf numFmtId="168" fontId="10" fillId="20" borderId="166" xfId="12" applyNumberFormat="1" applyFont="1" applyFill="1" applyBorder="1" applyAlignment="1">
      <alignment horizontal="right" wrapText="1"/>
    </xf>
    <xf numFmtId="164" fontId="290" fillId="20" borderId="0" xfId="17" applyFont="1" applyFill="1"/>
    <xf numFmtId="17" fontId="291" fillId="5" borderId="29" xfId="0" applyNumberFormat="1" applyFont="1" applyFill="1" applyBorder="1" applyAlignment="1">
      <alignment horizontal="center" vertical="center" wrapText="1"/>
    </xf>
    <xf numFmtId="0" fontId="291" fillId="5" borderId="29" xfId="0" applyFont="1" applyFill="1" applyBorder="1" applyAlignment="1">
      <alignment horizontal="center" vertical="center"/>
    </xf>
    <xf numFmtId="169" fontId="9" fillId="5" borderId="166" xfId="19" applyNumberFormat="1" applyFont="1" applyFill="1" applyBorder="1" applyAlignment="1">
      <alignment horizontal="right" wrapText="1"/>
    </xf>
    <xf numFmtId="168" fontId="9" fillId="5" borderId="166" xfId="12" applyNumberFormat="1" applyFont="1" applyFill="1" applyBorder="1" applyAlignment="1">
      <alignment horizontal="right" wrapText="1"/>
    </xf>
    <xf numFmtId="168" fontId="294" fillId="5" borderId="167" xfId="12" applyNumberFormat="1" applyFont="1" applyFill="1" applyBorder="1" applyAlignment="1">
      <alignment horizontal="right" wrapText="1"/>
    </xf>
    <xf numFmtId="168" fontId="10" fillId="5" borderId="0" xfId="12" applyNumberFormat="1" applyFont="1" applyFill="1" applyAlignment="1">
      <alignment horizontal="right" wrapText="1"/>
    </xf>
    <xf numFmtId="169" fontId="9" fillId="5" borderId="0" xfId="19" applyNumberFormat="1" applyFont="1" applyFill="1" applyBorder="1" applyAlignment="1">
      <alignment horizontal="right" wrapText="1"/>
    </xf>
    <xf numFmtId="169" fontId="296" fillId="5" borderId="0" xfId="19" applyNumberFormat="1" applyFont="1" applyFill="1" applyAlignment="1">
      <alignment horizontal="right" wrapText="1"/>
    </xf>
    <xf numFmtId="169" fontId="9" fillId="5" borderId="167" xfId="19" applyNumberFormat="1" applyFont="1" applyFill="1" applyBorder="1" applyAlignment="1">
      <alignment horizontal="right" wrapText="1"/>
    </xf>
    <xf numFmtId="168" fontId="9" fillId="5" borderId="167" xfId="12" applyNumberFormat="1" applyFont="1" applyFill="1" applyBorder="1" applyAlignment="1">
      <alignment horizontal="right" wrapText="1"/>
    </xf>
    <xf numFmtId="169" fontId="10" fillId="5" borderId="0" xfId="19" applyNumberFormat="1" applyFont="1" applyFill="1" applyAlignment="1">
      <alignment horizontal="right" wrapText="1"/>
    </xf>
    <xf numFmtId="166" fontId="10" fillId="5" borderId="165" xfId="19" applyNumberFormat="1" applyFont="1" applyFill="1" applyBorder="1" applyAlignment="1">
      <alignment horizontal="right" wrapText="1"/>
    </xf>
    <xf numFmtId="168" fontId="10" fillId="5" borderId="165" xfId="12" applyNumberFormat="1" applyFont="1" applyFill="1" applyBorder="1" applyAlignment="1">
      <alignment horizontal="right" wrapText="1"/>
    </xf>
    <xf numFmtId="169" fontId="10" fillId="5" borderId="165" xfId="19" applyNumberFormat="1" applyFont="1" applyFill="1" applyBorder="1" applyAlignment="1">
      <alignment horizontal="right" wrapText="1"/>
    </xf>
    <xf numFmtId="169" fontId="9" fillId="5" borderId="0" xfId="19" applyNumberFormat="1" applyFont="1" applyFill="1" applyAlignment="1">
      <alignment horizontal="right" wrapText="1"/>
    </xf>
    <xf numFmtId="168" fontId="9" fillId="5" borderId="0" xfId="12" applyNumberFormat="1" applyFont="1" applyFill="1" applyAlignment="1">
      <alignment horizontal="right" wrapText="1"/>
    </xf>
    <xf numFmtId="168" fontId="296" fillId="5" borderId="0" xfId="12" applyNumberFormat="1" applyFont="1" applyFill="1" applyAlignment="1">
      <alignment horizontal="right" wrapText="1"/>
    </xf>
    <xf numFmtId="166" fontId="10" fillId="5" borderId="0" xfId="19" applyNumberFormat="1" applyFont="1" applyFill="1" applyBorder="1" applyAlignment="1">
      <alignment horizontal="right" wrapText="1"/>
    </xf>
    <xf numFmtId="168" fontId="10" fillId="5" borderId="0" xfId="12" applyNumberFormat="1" applyFont="1" applyFill="1" applyBorder="1" applyAlignment="1">
      <alignment horizontal="right" wrapText="1"/>
    </xf>
    <xf numFmtId="169" fontId="10" fillId="5" borderId="0" xfId="19" applyNumberFormat="1" applyFont="1" applyFill="1" applyBorder="1" applyAlignment="1">
      <alignment horizontal="right" wrapText="1"/>
    </xf>
    <xf numFmtId="169" fontId="10" fillId="5" borderId="167" xfId="19" applyNumberFormat="1" applyFont="1" applyFill="1" applyBorder="1" applyAlignment="1">
      <alignment horizontal="right" wrapText="1"/>
    </xf>
    <xf numFmtId="166" fontId="10" fillId="5" borderId="0" xfId="19" applyNumberFormat="1" applyFont="1" applyFill="1" applyAlignment="1">
      <alignment horizontal="right" wrapText="1"/>
    </xf>
    <xf numFmtId="166" fontId="10" fillId="5" borderId="173" xfId="19" applyNumberFormat="1" applyFont="1" applyFill="1" applyBorder="1" applyAlignment="1">
      <alignment horizontal="right" wrapText="1"/>
    </xf>
    <xf numFmtId="168" fontId="10" fillId="5" borderId="166" xfId="12" applyNumberFormat="1" applyFont="1" applyFill="1" applyBorder="1" applyAlignment="1">
      <alignment horizontal="right" wrapText="1"/>
    </xf>
    <xf numFmtId="165" fontId="290" fillId="5" borderId="0" xfId="0" applyNumberFormat="1" applyFont="1" applyFill="1"/>
    <xf numFmtId="0" fontId="291" fillId="20" borderId="29" xfId="0" applyFont="1" applyFill="1" applyBorder="1" applyAlignment="1">
      <alignment horizontal="center" vertical="center" wrapText="1"/>
    </xf>
    <xf numFmtId="0" fontId="291" fillId="20" borderId="165" xfId="0" applyFont="1" applyFill="1" applyBorder="1" applyAlignment="1">
      <alignment horizontal="center" vertical="center"/>
    </xf>
    <xf numFmtId="166" fontId="10" fillId="20" borderId="0" xfId="17" applyNumberFormat="1" applyFont="1" applyFill="1" applyAlignment="1">
      <alignment horizontal="right" wrapText="1"/>
    </xf>
    <xf numFmtId="166" fontId="9" fillId="20" borderId="167" xfId="17" applyNumberFormat="1" applyFont="1" applyFill="1" applyBorder="1" applyAlignment="1">
      <alignment horizontal="right" wrapText="1"/>
    </xf>
    <xf numFmtId="166" fontId="10" fillId="20" borderId="165" xfId="17" applyNumberFormat="1" applyFont="1" applyFill="1" applyBorder="1" applyAlignment="1">
      <alignment horizontal="right" wrapText="1"/>
    </xf>
    <xf numFmtId="166" fontId="9" fillId="20" borderId="0" xfId="17" applyNumberFormat="1" applyFont="1" applyFill="1" applyAlignment="1">
      <alignment horizontal="right" wrapText="1"/>
    </xf>
    <xf numFmtId="166" fontId="10" fillId="20" borderId="167" xfId="17" applyNumberFormat="1" applyFont="1" applyFill="1" applyBorder="1" applyAlignment="1">
      <alignment horizontal="right" wrapText="1"/>
    </xf>
    <xf numFmtId="166" fontId="10" fillId="20" borderId="173" xfId="17" applyNumberFormat="1" applyFont="1" applyFill="1" applyBorder="1" applyAlignment="1">
      <alignment horizontal="right" wrapText="1"/>
    </xf>
    <xf numFmtId="169" fontId="290" fillId="20" borderId="31" xfId="19" applyNumberFormat="1" applyFont="1" applyFill="1" applyBorder="1"/>
    <xf numFmtId="177" fontId="9" fillId="20" borderId="166" xfId="17" applyNumberFormat="1" applyFont="1" applyFill="1" applyBorder="1" applyAlignment="1">
      <alignment horizontal="right" wrapText="1"/>
    </xf>
    <xf numFmtId="177" fontId="294" fillId="20" borderId="167" xfId="17" applyNumberFormat="1" applyFont="1" applyFill="1" applyBorder="1" applyAlignment="1">
      <alignment horizontal="right" wrapText="1"/>
    </xf>
    <xf numFmtId="177" fontId="10" fillId="20" borderId="0" xfId="17" applyNumberFormat="1" applyFont="1" applyFill="1" applyAlignment="1">
      <alignment horizontal="right" wrapText="1"/>
    </xf>
    <xf numFmtId="166" fontId="9" fillId="20" borderId="167" xfId="12" applyNumberFormat="1" applyFont="1" applyFill="1" applyBorder="1" applyAlignment="1">
      <alignment horizontal="right" wrapText="1"/>
    </xf>
    <xf numFmtId="166" fontId="10" fillId="20" borderId="0" xfId="12" applyNumberFormat="1" applyFont="1" applyFill="1" applyAlignment="1">
      <alignment horizontal="right" wrapText="1"/>
    </xf>
    <xf numFmtId="166" fontId="10" fillId="20" borderId="165" xfId="12" applyNumberFormat="1" applyFont="1" applyFill="1" applyBorder="1" applyAlignment="1">
      <alignment horizontal="right" wrapText="1"/>
    </xf>
    <xf numFmtId="166" fontId="9" fillId="20" borderId="0" xfId="12" applyNumberFormat="1" applyFont="1" applyFill="1" applyAlignment="1">
      <alignment horizontal="right" wrapText="1"/>
    </xf>
    <xf numFmtId="166" fontId="296" fillId="20" borderId="0" xfId="12" applyNumberFormat="1" applyFont="1" applyFill="1" applyAlignment="1">
      <alignment horizontal="right" wrapText="1"/>
    </xf>
    <xf numFmtId="166" fontId="10" fillId="20" borderId="0" xfId="12" applyNumberFormat="1" applyFont="1" applyFill="1" applyBorder="1" applyAlignment="1">
      <alignment horizontal="right" wrapText="1"/>
    </xf>
    <xf numFmtId="166" fontId="9" fillId="18" borderId="0" xfId="19" applyNumberFormat="1" applyFont="1" applyFill="1" applyBorder="1" applyAlignment="1">
      <alignment horizontal="right" wrapText="1"/>
    </xf>
    <xf numFmtId="168" fontId="9" fillId="18" borderId="0" xfId="12" applyNumberFormat="1" applyFont="1" applyFill="1" applyBorder="1" applyAlignment="1">
      <alignment horizontal="right" wrapText="1"/>
    </xf>
    <xf numFmtId="166" fontId="9" fillId="18" borderId="0" xfId="12" applyNumberFormat="1" applyFont="1" applyFill="1" applyBorder="1" applyAlignment="1">
      <alignment horizontal="right" wrapText="1"/>
    </xf>
    <xf numFmtId="166" fontId="9" fillId="18" borderId="0" xfId="17" applyNumberFormat="1" applyFont="1" applyFill="1" applyBorder="1" applyAlignment="1">
      <alignment horizontal="right" wrapText="1"/>
    </xf>
    <xf numFmtId="177" fontId="9" fillId="18" borderId="0" xfId="17" applyNumberFormat="1" applyFont="1" applyFill="1" applyBorder="1" applyAlignment="1">
      <alignment horizontal="right" wrapText="1"/>
    </xf>
    <xf numFmtId="0" fontId="185" fillId="29" borderId="0" xfId="9" applyFont="1" applyFill="1" applyAlignment="1">
      <alignment horizontal="left" indent="4"/>
    </xf>
    <xf numFmtId="166" fontId="9" fillId="20" borderId="166" xfId="12" applyNumberFormat="1" applyFont="1" applyFill="1" applyBorder="1" applyAlignment="1">
      <alignment horizontal="right" wrapText="1"/>
    </xf>
    <xf numFmtId="166" fontId="294" fillId="20" borderId="167" xfId="12" applyNumberFormat="1" applyFont="1" applyFill="1" applyBorder="1" applyAlignment="1">
      <alignment horizontal="right" wrapText="1"/>
    </xf>
    <xf numFmtId="166" fontId="10" fillId="20" borderId="166" xfId="12" applyNumberFormat="1" applyFont="1" applyFill="1" applyBorder="1" applyAlignment="1">
      <alignment horizontal="right" wrapText="1"/>
    </xf>
    <xf numFmtId="10" fontId="290" fillId="20" borderId="0" xfId="0" applyNumberFormat="1" applyFont="1" applyFill="1"/>
    <xf numFmtId="1" fontId="0" fillId="56" borderId="10" xfId="0" applyNumberFormat="1" applyFill="1" applyBorder="1" applyAlignment="1">
      <alignment horizontal="center"/>
    </xf>
    <xf numFmtId="167" fontId="65" fillId="7" borderId="0" xfId="0" applyNumberFormat="1" applyFont="1" applyFill="1"/>
    <xf numFmtId="167" fontId="65" fillId="7" borderId="28" xfId="0" applyNumberFormat="1" applyFont="1" applyFill="1" applyBorder="1"/>
    <xf numFmtId="167" fontId="65" fillId="29" borderId="28" xfId="0" applyNumberFormat="1" applyFont="1" applyFill="1" applyBorder="1"/>
    <xf numFmtId="0" fontId="63" fillId="7" borderId="123" xfId="0" applyFont="1" applyFill="1" applyBorder="1"/>
    <xf numFmtId="0" fontId="0" fillId="7" borderId="123" xfId="0" applyFill="1" applyBorder="1"/>
    <xf numFmtId="167" fontId="65" fillId="7" borderId="0" xfId="0" applyNumberFormat="1" applyFont="1" applyFill="1" applyAlignment="1">
      <alignment horizontal="right"/>
    </xf>
    <xf numFmtId="167" fontId="62" fillId="7" borderId="120" xfId="0" applyNumberFormat="1" applyFont="1" applyFill="1" applyBorder="1"/>
    <xf numFmtId="167" fontId="302" fillId="7" borderId="0" xfId="0" applyNumberFormat="1" applyFont="1" applyFill="1"/>
    <xf numFmtId="167" fontId="65" fillId="7" borderId="164" xfId="0" applyNumberFormat="1" applyFont="1" applyFill="1" applyBorder="1" applyAlignment="1">
      <alignment horizontal="right"/>
    </xf>
    <xf numFmtId="167" fontId="65" fillId="35" borderId="164" xfId="0" applyNumberFormat="1" applyFont="1" applyFill="1" applyBorder="1" applyAlignment="1">
      <alignment horizontal="right"/>
    </xf>
    <xf numFmtId="167" fontId="65" fillId="7" borderId="158" xfId="0" applyNumberFormat="1" applyFont="1" applyFill="1" applyBorder="1" applyAlignment="1">
      <alignment horizontal="right"/>
    </xf>
    <xf numFmtId="167" fontId="65" fillId="35" borderId="158" xfId="0" applyNumberFormat="1" applyFont="1" applyFill="1" applyBorder="1" applyAlignment="1">
      <alignment horizontal="right"/>
    </xf>
    <xf numFmtId="167" fontId="65" fillId="7" borderId="31" xfId="0" applyNumberFormat="1" applyFont="1" applyFill="1" applyBorder="1" applyAlignment="1">
      <alignment horizontal="right"/>
    </xf>
    <xf numFmtId="167" fontId="65" fillId="35" borderId="164" xfId="0" applyNumberFormat="1" applyFont="1" applyFill="1" applyBorder="1"/>
    <xf numFmtId="167" fontId="65" fillId="7" borderId="163" xfId="0" applyNumberFormat="1" applyFont="1" applyFill="1" applyBorder="1" applyAlignment="1">
      <alignment horizontal="right"/>
    </xf>
    <xf numFmtId="167" fontId="65" fillId="7" borderId="123" xfId="0" applyNumberFormat="1" applyFont="1" applyFill="1" applyBorder="1"/>
    <xf numFmtId="167" fontId="67" fillId="7" borderId="31" xfId="0" applyNumberFormat="1" applyFont="1" applyFill="1" applyBorder="1"/>
    <xf numFmtId="167" fontId="69" fillId="7" borderId="0" xfId="0" applyNumberFormat="1" applyFont="1" applyFill="1" applyAlignment="1">
      <alignment horizontal="right"/>
    </xf>
    <xf numFmtId="166" fontId="0" fillId="7" borderId="123" xfId="0" applyNumberFormat="1" applyFill="1" applyBorder="1"/>
    <xf numFmtId="166" fontId="9" fillId="20" borderId="0" xfId="12" applyNumberFormat="1" applyFont="1" applyFill="1" applyBorder="1" applyAlignment="1">
      <alignment horizontal="right" wrapText="1"/>
    </xf>
    <xf numFmtId="180" fontId="290" fillId="20" borderId="0" xfId="0" applyNumberFormat="1" applyFont="1" applyFill="1"/>
    <xf numFmtId="4" fontId="274" fillId="0" borderId="0" xfId="0" applyNumberFormat="1" applyFont="1" applyAlignment="1">
      <alignment horizontal="right"/>
    </xf>
    <xf numFmtId="0" fontId="274" fillId="0" borderId="0" xfId="0" applyFont="1" applyAlignment="1">
      <alignment wrapText="1"/>
    </xf>
    <xf numFmtId="0" fontId="285" fillId="17" borderId="0" xfId="0" applyFont="1" applyFill="1" applyAlignment="1">
      <alignment vertical="top"/>
    </xf>
    <xf numFmtId="4" fontId="286" fillId="18" borderId="0" xfId="0" applyNumberFormat="1" applyFont="1" applyFill="1" applyAlignment="1">
      <alignment vertical="top" wrapText="1"/>
    </xf>
    <xf numFmtId="4" fontId="286" fillId="17" borderId="0" xfId="0" applyNumberFormat="1" applyFont="1" applyFill="1" applyAlignment="1">
      <alignment vertical="top" wrapText="1"/>
    </xf>
    <xf numFmtId="0" fontId="287" fillId="0" borderId="0" xfId="0" applyFont="1" applyAlignment="1">
      <alignment wrapText="1"/>
    </xf>
    <xf numFmtId="4" fontId="274" fillId="17" borderId="0" xfId="0" applyNumberFormat="1" applyFont="1" applyFill="1" applyAlignment="1">
      <alignment horizontal="right"/>
    </xf>
    <xf numFmtId="4" fontId="287" fillId="0" borderId="0" xfId="0" applyNumberFormat="1" applyFont="1" applyAlignment="1">
      <alignment horizontal="right"/>
    </xf>
    <xf numFmtId="4" fontId="287" fillId="17" borderId="0" xfId="0" applyNumberFormat="1" applyFont="1" applyFill="1" applyAlignment="1">
      <alignment horizontal="right"/>
    </xf>
    <xf numFmtId="4" fontId="288" fillId="0" borderId="0" xfId="0" applyNumberFormat="1" applyFont="1" applyAlignment="1">
      <alignment horizontal="left"/>
    </xf>
    <xf numFmtId="4" fontId="288" fillId="0" borderId="0" xfId="0" applyNumberFormat="1" applyFont="1" applyAlignment="1">
      <alignment horizontal="right"/>
    </xf>
    <xf numFmtId="4" fontId="288" fillId="17" borderId="0" xfId="0" applyNumberFormat="1" applyFont="1" applyFill="1" applyAlignment="1">
      <alignment horizontal="right"/>
    </xf>
    <xf numFmtId="178" fontId="288" fillId="0" borderId="0" xfId="0" applyNumberFormat="1" applyFont="1" applyAlignment="1">
      <alignment horizontal="right"/>
    </xf>
    <xf numFmtId="4" fontId="288" fillId="18" borderId="0" xfId="0" applyNumberFormat="1" applyFont="1" applyFill="1" applyAlignment="1">
      <alignment horizontal="left"/>
    </xf>
    <xf numFmtId="4" fontId="0" fillId="18" borderId="0" xfId="0" applyNumberFormat="1" applyFill="1" applyAlignment="1">
      <alignment horizontal="right"/>
    </xf>
    <xf numFmtId="4" fontId="288" fillId="18" borderId="0" xfId="0" applyNumberFormat="1" applyFont="1" applyFill="1" applyAlignment="1">
      <alignment horizontal="right"/>
    </xf>
    <xf numFmtId="0" fontId="289" fillId="0" borderId="0" xfId="0" applyFont="1" applyAlignment="1">
      <alignment wrapText="1"/>
    </xf>
    <xf numFmtId="0" fontId="289" fillId="0" borderId="0" xfId="0" applyFont="1"/>
    <xf numFmtId="0" fontId="274" fillId="0" borderId="0" xfId="0" applyFont="1"/>
    <xf numFmtId="4" fontId="289" fillId="17" borderId="0" xfId="0" applyNumberFormat="1" applyFont="1" applyFill="1" applyAlignment="1">
      <alignment horizontal="right"/>
    </xf>
    <xf numFmtId="4" fontId="289" fillId="0" borderId="0" xfId="0" applyNumberFormat="1" applyFont="1" applyAlignment="1">
      <alignment horizontal="right"/>
    </xf>
    <xf numFmtId="0" fontId="289" fillId="18" borderId="0" xfId="0" applyFont="1" applyFill="1" applyAlignment="1">
      <alignment wrapText="1"/>
    </xf>
    <xf numFmtId="0" fontId="292" fillId="18" borderId="169" xfId="0" applyFont="1" applyFill="1" applyBorder="1" applyAlignment="1">
      <alignment horizontal="left" wrapText="1"/>
    </xf>
    <xf numFmtId="0" fontId="292" fillId="18" borderId="171" xfId="0" applyFont="1" applyFill="1" applyBorder="1" applyAlignment="1">
      <alignment horizontal="left" wrapText="1"/>
    </xf>
    <xf numFmtId="168" fontId="9" fillId="18" borderId="170" xfId="12" applyNumberFormat="1" applyFont="1" applyFill="1" applyBorder="1" applyAlignment="1">
      <alignment horizontal="right" wrapText="1"/>
    </xf>
    <xf numFmtId="168" fontId="10" fillId="18" borderId="170" xfId="12" applyNumberFormat="1" applyFont="1" applyFill="1" applyBorder="1" applyAlignment="1">
      <alignment horizontal="left" wrapText="1"/>
    </xf>
    <xf numFmtId="166" fontId="9" fillId="18" borderId="170" xfId="12" applyNumberFormat="1" applyFont="1" applyFill="1" applyBorder="1" applyAlignment="1">
      <alignment horizontal="right" wrapText="1"/>
    </xf>
    <xf numFmtId="166" fontId="9" fillId="18" borderId="0" xfId="12" applyNumberFormat="1" applyFont="1" applyFill="1" applyAlignment="1">
      <alignment horizontal="right" wrapText="1"/>
    </xf>
    <xf numFmtId="166" fontId="290" fillId="20" borderId="31" xfId="0" applyNumberFormat="1" applyFont="1" applyFill="1" applyBorder="1" applyAlignment="1">
      <alignment horizontal="center"/>
    </xf>
    <xf numFmtId="166" fontId="99" fillId="29" borderId="7" xfId="0" applyNumberFormat="1" applyFont="1" applyFill="1" applyBorder="1" applyAlignment="1">
      <alignment horizontal="center"/>
    </xf>
    <xf numFmtId="166" fontId="290" fillId="0" borderId="0" xfId="0" applyNumberFormat="1" applyFont="1"/>
    <xf numFmtId="0" fontId="0" fillId="17" borderId="7" xfId="0" applyFill="1" applyBorder="1"/>
    <xf numFmtId="166" fontId="73" fillId="17" borderId="7" xfId="0" applyNumberFormat="1" applyFont="1" applyFill="1" applyBorder="1"/>
    <xf numFmtId="174" fontId="290" fillId="9" borderId="7" xfId="1" applyNumberFormat="1" applyFont="1" applyFill="1" applyBorder="1"/>
    <xf numFmtId="0" fontId="292" fillId="5" borderId="172" xfId="0" applyFont="1" applyFill="1" applyBorder="1" applyAlignment="1">
      <alignment horizontal="left" wrapText="1"/>
    </xf>
    <xf numFmtId="166" fontId="9" fillId="5" borderId="165" xfId="19" applyNumberFormat="1" applyFont="1" applyFill="1" applyBorder="1" applyAlignment="1">
      <alignment horizontal="right" wrapText="1"/>
    </xf>
    <xf numFmtId="168" fontId="9" fillId="5" borderId="165" xfId="12" applyNumberFormat="1" applyFont="1" applyFill="1" applyBorder="1" applyAlignment="1">
      <alignment horizontal="right" wrapText="1"/>
    </xf>
    <xf numFmtId="166" fontId="9" fillId="5" borderId="165" xfId="12" applyNumberFormat="1" applyFont="1" applyFill="1" applyBorder="1" applyAlignment="1">
      <alignment horizontal="right" wrapText="1"/>
    </xf>
    <xf numFmtId="166" fontId="9" fillId="5" borderId="0" xfId="19" applyNumberFormat="1" applyFont="1" applyFill="1" applyAlignment="1">
      <alignment horizontal="right" wrapText="1"/>
    </xf>
    <xf numFmtId="177" fontId="290" fillId="18" borderId="0" xfId="17" applyNumberFormat="1" applyFont="1" applyFill="1"/>
    <xf numFmtId="181" fontId="82" fillId="0" borderId="0" xfId="0" applyNumberFormat="1" applyFont="1"/>
    <xf numFmtId="0" fontId="236" fillId="72" borderId="0" xfId="0" applyFont="1" applyFill="1"/>
    <xf numFmtId="0" fontId="239" fillId="72" borderId="0" xfId="0" applyFont="1" applyFill="1"/>
    <xf numFmtId="0" fontId="239" fillId="69" borderId="0" xfId="0" applyFont="1" applyFill="1" applyAlignment="1">
      <alignment horizontal="right"/>
    </xf>
    <xf numFmtId="0" fontId="202" fillId="72" borderId="0" xfId="0" applyFont="1" applyFill="1"/>
    <xf numFmtId="166" fontId="239" fillId="72" borderId="0" xfId="0" applyNumberFormat="1" applyFont="1" applyFill="1"/>
    <xf numFmtId="166" fontId="236" fillId="72" borderId="0" xfId="0" applyNumberFormat="1" applyFont="1" applyFill="1"/>
    <xf numFmtId="166" fontId="236" fillId="58" borderId="0" xfId="0" applyNumberFormat="1" applyFont="1" applyFill="1" applyAlignment="1">
      <alignment horizontal="right"/>
    </xf>
    <xf numFmtId="166" fontId="202" fillId="72" borderId="0" xfId="0" applyNumberFormat="1" applyFont="1" applyFill="1"/>
    <xf numFmtId="0" fontId="260" fillId="72" borderId="0" xfId="0" applyFont="1" applyFill="1"/>
    <xf numFmtId="1" fontId="237" fillId="58" borderId="0" xfId="0" applyNumberFormat="1" applyFont="1" applyFill="1" applyAlignment="1">
      <alignment horizontal="right"/>
    </xf>
    <xf numFmtId="0" fontId="151" fillId="13" borderId="0" xfId="9" applyFont="1" applyFill="1" applyAlignment="1">
      <alignment horizontal="left" indent="5"/>
    </xf>
    <xf numFmtId="0" fontId="68" fillId="3" borderId="63" xfId="0" applyFont="1" applyFill="1" applyBorder="1" applyAlignment="1">
      <alignment horizontal="center"/>
    </xf>
    <xf numFmtId="0" fontId="68" fillId="3" borderId="64" xfId="0" applyFont="1" applyFill="1" applyBorder="1" applyAlignment="1">
      <alignment horizontal="center"/>
    </xf>
    <xf numFmtId="0" fontId="68" fillId="4" borderId="63" xfId="0" applyFont="1" applyFill="1" applyBorder="1" applyAlignment="1">
      <alignment horizontal="center"/>
    </xf>
    <xf numFmtId="0" fontId="68" fillId="4" borderId="64" xfId="0" applyFont="1" applyFill="1" applyBorder="1" applyAlignment="1">
      <alignment horizontal="center"/>
    </xf>
    <xf numFmtId="0" fontId="9" fillId="85" borderId="29" xfId="18" applyFont="1" applyFill="1" applyBorder="1" applyAlignment="1">
      <alignment horizontal="center" vertical="center"/>
    </xf>
    <xf numFmtId="0" fontId="9" fillId="85" borderId="165" xfId="18" applyFont="1" applyFill="1" applyBorder="1" applyAlignment="1">
      <alignment horizontal="center" vertical="center"/>
    </xf>
    <xf numFmtId="166" fontId="291" fillId="87" borderId="29" xfId="0" applyNumberFormat="1" applyFont="1" applyFill="1" applyBorder="1" applyAlignment="1">
      <alignment horizontal="center" vertical="center" wrapText="1"/>
    </xf>
    <xf numFmtId="166" fontId="291" fillId="87" borderId="165" xfId="0" applyNumberFormat="1" applyFont="1" applyFill="1" applyBorder="1" applyAlignment="1">
      <alignment horizontal="center" vertical="center" wrapText="1"/>
    </xf>
    <xf numFmtId="166" fontId="291" fillId="20" borderId="29" xfId="0" applyNumberFormat="1" applyFont="1" applyFill="1" applyBorder="1" applyAlignment="1">
      <alignment horizontal="center" vertical="center"/>
    </xf>
    <xf numFmtId="166" fontId="291" fillId="20" borderId="165" xfId="0" applyNumberFormat="1" applyFont="1" applyFill="1" applyBorder="1" applyAlignment="1">
      <alignment horizontal="center" vertical="center"/>
    </xf>
    <xf numFmtId="17" fontId="291" fillId="87" borderId="29" xfId="0" applyNumberFormat="1" applyFont="1" applyFill="1" applyBorder="1" applyAlignment="1">
      <alignment horizontal="center" vertical="center" wrapText="1"/>
    </xf>
    <xf numFmtId="0" fontId="291" fillId="87" borderId="165" xfId="0" applyFont="1" applyFill="1" applyBorder="1" applyAlignment="1">
      <alignment horizontal="center" vertical="center" wrapText="1"/>
    </xf>
    <xf numFmtId="0" fontId="291" fillId="77" borderId="29" xfId="0" applyFont="1" applyFill="1" applyBorder="1" applyAlignment="1">
      <alignment horizontal="center" vertical="center"/>
    </xf>
    <xf numFmtId="0" fontId="291" fillId="77" borderId="165" xfId="0" applyFont="1" applyFill="1" applyBorder="1" applyAlignment="1">
      <alignment horizontal="center" vertical="center"/>
    </xf>
    <xf numFmtId="17" fontId="291" fillId="5" borderId="29" xfId="0" applyNumberFormat="1" applyFont="1" applyFill="1" applyBorder="1" applyAlignment="1">
      <alignment horizontal="center" vertical="center" wrapText="1"/>
    </xf>
    <xf numFmtId="0" fontId="291" fillId="5" borderId="165" xfId="0" applyFont="1" applyFill="1" applyBorder="1" applyAlignment="1">
      <alignment horizontal="center" vertical="center" wrapText="1"/>
    </xf>
    <xf numFmtId="0" fontId="291" fillId="5" borderId="29" xfId="0" applyFont="1" applyFill="1" applyBorder="1" applyAlignment="1">
      <alignment horizontal="center" vertical="center"/>
    </xf>
    <xf numFmtId="0" fontId="291" fillId="5" borderId="165" xfId="0" applyFont="1" applyFill="1" applyBorder="1" applyAlignment="1">
      <alignment horizontal="center" vertical="center"/>
    </xf>
    <xf numFmtId="0" fontId="291" fillId="87" borderId="29" xfId="0" applyFont="1" applyFill="1" applyBorder="1" applyAlignment="1">
      <alignment horizontal="center" vertical="center"/>
    </xf>
    <xf numFmtId="0" fontId="291" fillId="87" borderId="165" xfId="0" applyFont="1" applyFill="1" applyBorder="1" applyAlignment="1">
      <alignment horizontal="center" vertical="center"/>
    </xf>
    <xf numFmtId="0" fontId="290" fillId="0" borderId="31" xfId="0" applyFont="1" applyBorder="1" applyAlignment="1">
      <alignment horizontal="center"/>
    </xf>
    <xf numFmtId="166" fontId="291" fillId="20" borderId="29" xfId="0" applyNumberFormat="1" applyFont="1" applyFill="1" applyBorder="1" applyAlignment="1">
      <alignment horizontal="center" vertical="center" wrapText="1"/>
    </xf>
    <xf numFmtId="166" fontId="291" fillId="20" borderId="165" xfId="0" applyNumberFormat="1" applyFont="1" applyFill="1" applyBorder="1" applyAlignment="1">
      <alignment horizontal="center" vertical="center" wrapText="1"/>
    </xf>
    <xf numFmtId="17" fontId="291" fillId="86" borderId="29" xfId="0" applyNumberFormat="1" applyFont="1" applyFill="1" applyBorder="1" applyAlignment="1">
      <alignment horizontal="center" vertical="center" wrapText="1"/>
    </xf>
    <xf numFmtId="0" fontId="291" fillId="86" borderId="165" xfId="0" applyFont="1" applyFill="1" applyBorder="1" applyAlignment="1">
      <alignment horizontal="center" vertical="center" wrapText="1"/>
    </xf>
    <xf numFmtId="0" fontId="291" fillId="10" borderId="29" xfId="0" applyFont="1" applyFill="1" applyBorder="1" applyAlignment="1">
      <alignment horizontal="center" vertical="center"/>
    </xf>
    <xf numFmtId="0" fontId="291" fillId="10" borderId="165" xfId="0" applyFont="1" applyFill="1" applyBorder="1" applyAlignment="1">
      <alignment horizontal="center" vertical="center"/>
    </xf>
    <xf numFmtId="169" fontId="9" fillId="87" borderId="29" xfId="19" applyNumberFormat="1" applyFont="1" applyFill="1" applyBorder="1" applyAlignment="1">
      <alignment horizontal="center" vertical="center" wrapText="1"/>
    </xf>
    <xf numFmtId="169" fontId="9" fillId="87" borderId="165" xfId="19" applyNumberFormat="1" applyFont="1" applyFill="1" applyBorder="1" applyAlignment="1">
      <alignment horizontal="center" vertical="center" wrapText="1"/>
    </xf>
    <xf numFmtId="0" fontId="290" fillId="20" borderId="31" xfId="0" applyFont="1" applyFill="1" applyBorder="1" applyAlignment="1">
      <alignment horizontal="center"/>
    </xf>
    <xf numFmtId="172" fontId="111" fillId="18" borderId="0" xfId="0" applyNumberFormat="1" applyFont="1" applyFill="1" applyAlignment="1">
      <alignment horizontal="center" textRotation="90"/>
    </xf>
    <xf numFmtId="172" fontId="112" fillId="0" borderId="41" xfId="0" applyNumberFormat="1" applyFont="1" applyBorder="1" applyAlignment="1">
      <alignment wrapText="1"/>
    </xf>
    <xf numFmtId="172" fontId="112" fillId="0" borderId="33" xfId="0" applyNumberFormat="1" applyFont="1" applyBorder="1" applyAlignment="1">
      <alignment wrapText="1"/>
    </xf>
    <xf numFmtId="167" fontId="125" fillId="0" borderId="41" xfId="0" applyNumberFormat="1" applyFont="1" applyBorder="1" applyAlignment="1">
      <alignment wrapText="1"/>
    </xf>
    <xf numFmtId="0" fontId="66" fillId="0" borderId="33" xfId="0" applyFont="1" applyBorder="1" applyAlignment="1">
      <alignment wrapText="1"/>
    </xf>
    <xf numFmtId="0" fontId="250" fillId="0" borderId="0" xfId="0" applyFont="1" applyAlignment="1">
      <alignment horizontal="center" wrapText="1"/>
    </xf>
    <xf numFmtId="0" fontId="72" fillId="13" borderId="65" xfId="0" applyFont="1" applyFill="1" applyBorder="1" applyAlignment="1">
      <alignment horizontal="center"/>
    </xf>
    <xf numFmtId="0" fontId="72" fillId="13" borderId="29" xfId="0" applyFont="1" applyFill="1" applyBorder="1" applyAlignment="1">
      <alignment horizontal="center"/>
    </xf>
  </cellXfs>
  <cellStyles count="25">
    <cellStyle name="Comma" xfId="1" builtinId="3"/>
    <cellStyle name="Comma [0]" xfId="17" builtinId="6"/>
    <cellStyle name="Comma [0] 2" xfId="23" xr:uid="{DE7A10AF-4617-470A-861E-350385CD7744}"/>
    <cellStyle name="Comma 2" xfId="19" xr:uid="{79A053F6-C9F2-4E58-9266-DCC5433054C4}"/>
    <cellStyle name="Comma 2 2" xfId="2" xr:uid="{00000000-0005-0000-0000-000001000000}"/>
    <cellStyle name="Comma 2 2 2" xfId="21" xr:uid="{27439A10-8E3E-44A8-9DD4-60DE0E5DAA07}"/>
    <cellStyle name="Comma 2 3" xfId="3" xr:uid="{00000000-0005-0000-0000-000002000000}"/>
    <cellStyle name="Comma 2 3 2" xfId="22" xr:uid="{B1312562-8841-45B6-A61D-F45F237ABEC1}"/>
    <cellStyle name="Comma 2 4" xfId="24" xr:uid="{0BBB9F92-BF8F-4B3F-8AAE-75C4F2EC6653}"/>
    <cellStyle name="Comma 3" xfId="20" xr:uid="{A941F27D-519F-4DD0-BA4B-A27D23340842}"/>
    <cellStyle name="Comma 4" xfId="4" xr:uid="{00000000-0005-0000-0000-000003000000}"/>
    <cellStyle name="Normal" xfId="0" builtinId="0"/>
    <cellStyle name="Normal 103" xfId="16" xr:uid="{51757AE0-9F2B-43B1-916D-E4DC3DD82014}"/>
    <cellStyle name="Normal 13" xfId="5" xr:uid="{00000000-0005-0000-0000-000005000000}"/>
    <cellStyle name="Normal 14" xfId="6" xr:uid="{00000000-0005-0000-0000-000006000000}"/>
    <cellStyle name="Normal 194" xfId="7" xr:uid="{00000000-0005-0000-0000-000007000000}"/>
    <cellStyle name="Normal 2" xfId="8" xr:uid="{00000000-0005-0000-0000-000008000000}"/>
    <cellStyle name="Normal 2 2" xfId="9" xr:uid="{00000000-0005-0000-0000-000009000000}"/>
    <cellStyle name="Normal 2 2 2" xfId="18" xr:uid="{3A464FC1-102A-4F46-B9D1-DDDCA042C158}"/>
    <cellStyle name="Normal 2 3" xfId="15" xr:uid="{00000000-0005-0000-0000-00000A000000}"/>
    <cellStyle name="Normal 3" xfId="14" xr:uid="{00000000-0005-0000-0000-00000B000000}"/>
    <cellStyle name="Normal 4" xfId="10" xr:uid="{00000000-0005-0000-0000-00000C000000}"/>
    <cellStyle name="Normal_RwTBOP" xfId="11" xr:uid="{00000000-0005-0000-0000-00000D000000}"/>
    <cellStyle name="Percent" xfId="12" builtinId="5"/>
    <cellStyle name="Percent 2" xfId="13" xr:uid="{00000000-0005-0000-0000-00000F00000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r:id="rId1"/>
</file>

<file path=xl/activeX/activeX2.xml><?xml version="1.0" encoding="utf-8"?>
<ax:ocx xmlns:ax="http://schemas.microsoft.com/office/2006/activeX" xmlns:r="http://schemas.openxmlformats.org/officeDocument/2006/relationships" ax:classid="{D7053240-CE69-11CD-A777-00DD01143C57}" r:id="rId1"/>
</file>

<file path=xl/activeX/activeX3.xml><?xml version="1.0" encoding="utf-8"?>
<ax:ocx xmlns:ax="http://schemas.microsoft.com/office/2006/activeX" xmlns:r="http://schemas.openxmlformats.org/officeDocument/2006/relationships" ax:classid="{D7053240-CE69-11CD-A777-00DD01143C57}" r:id="rId1"/>
</file>

<file path=xl/activeX/activeX4.xml><?xml version="1.0" encoding="utf-8"?>
<ax:ocx xmlns:ax="http://schemas.microsoft.com/office/2006/activeX" xmlns:r="http://schemas.openxmlformats.org/officeDocument/2006/relationships" ax:classid="{D7053240-CE69-11CD-A777-00DD01143C57}" r:id="rId1"/>
</file>

<file path=xl/activeX/activeX5.xml><?xml version="1.0" encoding="utf-8"?>
<ax:ocx xmlns:ax="http://schemas.microsoft.com/office/2006/activeX" xmlns:r="http://schemas.openxmlformats.org/officeDocument/2006/relationships" ax:classid="{D7053240-CE69-11CD-A777-00DD01143C57}" r:id="rId1"/>
</file>

<file path=xl/activeX/activeX6.xml><?xml version="1.0" encoding="utf-8"?>
<ax:ocx xmlns:ax="http://schemas.microsoft.com/office/2006/activeX" xmlns:r="http://schemas.openxmlformats.org/officeDocument/2006/relationships" ax:classid="{D7053240-CE69-11CD-A777-00DD01143C57}" r:id="rId1"/>
</file>

<file path=xl/activeX/activeX7.xml><?xml version="1.0" encoding="utf-8"?>
<ax:ocx xmlns:ax="http://schemas.microsoft.com/office/2006/activeX" xmlns:r="http://schemas.openxmlformats.org/officeDocument/2006/relationships" ax:classid="{D7053240-CE69-11CD-A777-00DD01143C57}"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33</xdr:col>
          <xdr:colOff>0</xdr:colOff>
          <xdr:row>0</xdr:row>
          <xdr:rowOff>0</xdr:rowOff>
        </xdr:from>
        <xdr:to>
          <xdr:col>35</xdr:col>
          <xdr:colOff>76200</xdr:colOff>
          <xdr:row>1</xdr:row>
          <xdr:rowOff>107950</xdr:rowOff>
        </xdr:to>
        <xdr:sp macro="" textlink="">
          <xdr:nvSpPr>
            <xdr:cNvPr id="1171" name="CommandButton1" hidden="1">
              <a:extLst>
                <a:ext uri="{63B3BB69-23CF-44E3-9099-C40C66FF867C}">
                  <a14:compatExt spid="_x0000_s1171"/>
                </a:ext>
                <a:ext uri="{FF2B5EF4-FFF2-40B4-BE49-F238E27FC236}">
                  <a16:creationId xmlns:a16="http://schemas.microsoft.com/office/drawing/2014/main" id="{00000000-0008-0000-0100-000093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9525">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0</xdr:colOff>
          <xdr:row>0</xdr:row>
          <xdr:rowOff>0</xdr:rowOff>
        </xdr:from>
        <xdr:to>
          <xdr:col>35</xdr:col>
          <xdr:colOff>76200</xdr:colOff>
          <xdr:row>1</xdr:row>
          <xdr:rowOff>107950</xdr:rowOff>
        </xdr:to>
        <xdr:sp macro="" textlink="">
          <xdr:nvSpPr>
            <xdr:cNvPr id="1180" name="CommandButton2" hidden="1">
              <a:extLst>
                <a:ext uri="{63B3BB69-23CF-44E3-9099-C40C66FF867C}">
                  <a14:compatExt spid="_x0000_s1180"/>
                </a:ext>
                <a:ext uri="{FF2B5EF4-FFF2-40B4-BE49-F238E27FC236}">
                  <a16:creationId xmlns:a16="http://schemas.microsoft.com/office/drawing/2014/main" id="{00000000-0008-0000-0100-00009C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9525">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0</xdr:colOff>
          <xdr:row>0</xdr:row>
          <xdr:rowOff>0</xdr:rowOff>
        </xdr:from>
        <xdr:to>
          <xdr:col>34</xdr:col>
          <xdr:colOff>241300</xdr:colOff>
          <xdr:row>1</xdr:row>
          <xdr:rowOff>107950</xdr:rowOff>
        </xdr:to>
        <xdr:sp macro="" textlink="">
          <xdr:nvSpPr>
            <xdr:cNvPr id="1181" name="CommandButton3" hidden="1">
              <a:extLst>
                <a:ext uri="{63B3BB69-23CF-44E3-9099-C40C66FF867C}">
                  <a14:compatExt spid="_x0000_s1181"/>
                </a:ext>
                <a:ext uri="{FF2B5EF4-FFF2-40B4-BE49-F238E27FC236}">
                  <a16:creationId xmlns:a16="http://schemas.microsoft.com/office/drawing/2014/main" id="{00000000-0008-0000-0100-00009D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9525">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0</xdr:colOff>
          <xdr:row>0</xdr:row>
          <xdr:rowOff>0</xdr:rowOff>
        </xdr:from>
        <xdr:to>
          <xdr:col>34</xdr:col>
          <xdr:colOff>393700</xdr:colOff>
          <xdr:row>1</xdr:row>
          <xdr:rowOff>107950</xdr:rowOff>
        </xdr:to>
        <xdr:sp macro="" textlink="">
          <xdr:nvSpPr>
            <xdr:cNvPr id="1184" name="CommandButton4" hidden="1">
              <a:extLst>
                <a:ext uri="{63B3BB69-23CF-44E3-9099-C40C66FF867C}">
                  <a14:compatExt spid="_x0000_s1184"/>
                </a:ext>
                <a:ext uri="{FF2B5EF4-FFF2-40B4-BE49-F238E27FC236}">
                  <a16:creationId xmlns:a16="http://schemas.microsoft.com/office/drawing/2014/main" id="{00000000-0008-0000-0100-0000A0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9525">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0</xdr:colOff>
          <xdr:row>0</xdr:row>
          <xdr:rowOff>0</xdr:rowOff>
        </xdr:from>
        <xdr:to>
          <xdr:col>35</xdr:col>
          <xdr:colOff>107950</xdr:colOff>
          <xdr:row>1</xdr:row>
          <xdr:rowOff>107950</xdr:rowOff>
        </xdr:to>
        <xdr:sp macro="" textlink="">
          <xdr:nvSpPr>
            <xdr:cNvPr id="1206" name="CommandButton5" hidden="1">
              <a:extLst>
                <a:ext uri="{63B3BB69-23CF-44E3-9099-C40C66FF867C}">
                  <a14:compatExt spid="_x0000_s1206"/>
                </a:ext>
                <a:ext uri="{FF2B5EF4-FFF2-40B4-BE49-F238E27FC236}">
                  <a16:creationId xmlns:a16="http://schemas.microsoft.com/office/drawing/2014/main" id="{00000000-0008-0000-0100-0000B6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9525">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285750</xdr:colOff>
          <xdr:row>0</xdr:row>
          <xdr:rowOff>0</xdr:rowOff>
        </xdr:from>
        <xdr:to>
          <xdr:col>37</xdr:col>
          <xdr:colOff>190500</xdr:colOff>
          <xdr:row>1</xdr:row>
          <xdr:rowOff>107950</xdr:rowOff>
        </xdr:to>
        <xdr:sp macro="" textlink="">
          <xdr:nvSpPr>
            <xdr:cNvPr id="1207" name="CommandButton6" hidden="1">
              <a:extLst>
                <a:ext uri="{63B3BB69-23CF-44E3-9099-C40C66FF867C}">
                  <a14:compatExt spid="_x0000_s1207"/>
                </a:ext>
                <a:ext uri="{FF2B5EF4-FFF2-40B4-BE49-F238E27FC236}">
                  <a16:creationId xmlns:a16="http://schemas.microsoft.com/office/drawing/2014/main" id="{00000000-0008-0000-0100-0000B7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9525">
                  <a:noFill/>
                  <a:miter lim="800000"/>
                  <a:headEnd/>
                  <a:tailEnd/>
                </a14:hiddenLine>
              </a:ext>
              <a:ext uri="{53640926-AAD7-44D8-BBD7-CCE9431645EC}">
                <a14:shadowObscured val="1"/>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250</xdr:col>
          <xdr:colOff>0</xdr:colOff>
          <xdr:row>0</xdr:row>
          <xdr:rowOff>88900</xdr:rowOff>
        </xdr:from>
        <xdr:to>
          <xdr:col>252</xdr:col>
          <xdr:colOff>333375</xdr:colOff>
          <xdr:row>2</xdr:row>
          <xdr:rowOff>142875</xdr:rowOff>
        </xdr:to>
        <xdr:sp macro="" textlink="">
          <xdr:nvSpPr>
            <xdr:cNvPr id="3154" name="CommandButton1" hidden="1">
              <a:extLst>
                <a:ext uri="{63B3BB69-23CF-44E3-9099-C40C66FF867C}">
                  <a14:compatExt spid="_x0000_s3154"/>
                </a:ext>
                <a:ext uri="{FF2B5EF4-FFF2-40B4-BE49-F238E27FC236}">
                  <a16:creationId xmlns:a16="http://schemas.microsoft.com/office/drawing/2014/main" id="{00000000-0008-0000-0300-0000520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9525">
                  <a:noFill/>
                  <a:miter lim="800000"/>
                  <a:headEnd/>
                  <a:tailEnd/>
                </a14:hiddenLine>
              </a:ext>
              <a:ext uri="{53640926-AAD7-44D8-BBD7-CCE9431645EC}">
                <a14:shadowObscured val="1"/>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swadiq.ishimwe\Downloads\Copy%20of%204.%20Summary%20Table%20Medium%20Term%20_%20Friday%2028.03.2025-2000-Now.xlsx" TargetMode="External"/><Relationship Id="rId1" Type="http://schemas.openxmlformats.org/officeDocument/2006/relationships/externalLinkPath" Target="/Users/swadiq.ishimwe/Downloads/Copy%20of%204.%20Summary%20Table%20Medium%20Term%20_%20Friday%2028.03.2025-2000-Now.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Without Bugesera"/>
      <sheetName val="With_Bugesera"/>
    </sheetNames>
    <sheetDataSet>
      <sheetData sheetId="0"/>
      <sheetData sheetId="1">
        <row r="61">
          <cell r="AA61">
            <v>-1128.8970177043718</v>
          </cell>
        </row>
      </sheetData>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6" Type="http://schemas.openxmlformats.org/officeDocument/2006/relationships/comments" Target="../comments1.xml"/><Relationship Id="rId1" Type="http://schemas.openxmlformats.org/officeDocument/2006/relationships/printerSettings" Target="../printerSettings/printerSettings2.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image" Target="../media/image6.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omments" Target="../comments2.xml"/><Relationship Id="rId5" Type="http://schemas.openxmlformats.org/officeDocument/2006/relationships/image" Target="../media/image7.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D150"/>
  <sheetViews>
    <sheetView topLeftCell="A5" workbookViewId="0">
      <selection activeCell="J66" sqref="J66"/>
    </sheetView>
  </sheetViews>
  <sheetFormatPr defaultRowHeight="14.5"/>
  <cols>
    <col min="1" max="1" width="6.7265625" customWidth="1"/>
    <col min="2" max="2" width="7" customWidth="1"/>
    <col min="3" max="3" width="6.1796875" customWidth="1"/>
    <col min="4" max="4" width="46" customWidth="1"/>
    <col min="7" max="7" width="6.453125" customWidth="1"/>
    <col min="8" max="8" width="8.1796875" style="876" customWidth="1"/>
    <col min="9" max="9" width="15.7265625" customWidth="1"/>
    <col min="11" max="11" width="7.81640625" customWidth="1"/>
    <col min="12" max="12" width="9.1796875" style="876"/>
    <col min="14" max="14" width="10.453125" customWidth="1"/>
    <col min="15" max="15" width="11.6328125" customWidth="1"/>
  </cols>
  <sheetData>
    <row r="1" spans="1:30">
      <c r="A1" s="92" t="s">
        <v>958</v>
      </c>
    </row>
    <row r="2" spans="1:30">
      <c r="C2" s="9" t="s">
        <v>957</v>
      </c>
    </row>
    <row r="3" spans="1:30" ht="15.5">
      <c r="A3" s="1" t="s">
        <v>928</v>
      </c>
    </row>
    <row r="4" spans="1:30" ht="15.5">
      <c r="A4" s="1"/>
    </row>
    <row r="5" spans="1:30" ht="15.5">
      <c r="A5" s="511" t="s">
        <v>924</v>
      </c>
    </row>
    <row r="6" spans="1:30" ht="15.5">
      <c r="A6" s="1" t="s">
        <v>929</v>
      </c>
    </row>
    <row r="7" spans="1:30" ht="15.5">
      <c r="A7" s="1" t="s">
        <v>930</v>
      </c>
    </row>
    <row r="8" spans="1:30" ht="15.5">
      <c r="A8" s="511" t="s">
        <v>931</v>
      </c>
    </row>
    <row r="10" spans="1:30">
      <c r="A10" s="3" t="s">
        <v>947</v>
      </c>
      <c r="B10" s="3"/>
      <c r="D10" s="814" t="s">
        <v>948</v>
      </c>
      <c r="H10" s="815" t="s">
        <v>949</v>
      </c>
    </row>
    <row r="11" spans="1:30" ht="15" thickBot="1"/>
    <row r="12" spans="1:30">
      <c r="A12" s="806" t="s">
        <v>9</v>
      </c>
      <c r="B12" s="807" t="s">
        <v>26</v>
      </c>
      <c r="C12" s="808" t="s">
        <v>37</v>
      </c>
      <c r="X12" s="4"/>
      <c r="Y12" s="4"/>
      <c r="Z12" s="4"/>
      <c r="AA12" s="4"/>
      <c r="AB12" s="4"/>
      <c r="AC12" s="4"/>
      <c r="AD12" s="5"/>
    </row>
    <row r="13" spans="1:30">
      <c r="AD13" s="6"/>
    </row>
    <row r="14" spans="1:30">
      <c r="D14" s="809" t="s">
        <v>8</v>
      </c>
      <c r="H14" s="922" t="str">
        <f>+FISCinyear!D4</f>
        <v>I. IMPORTED VALUES FROM FISCAL SOURCE FILES (paste values)</v>
      </c>
      <c r="X14" s="13"/>
      <c r="Y14" s="13"/>
      <c r="Z14" s="13"/>
      <c r="AA14" s="13"/>
      <c r="AB14" s="13"/>
      <c r="AC14" s="13"/>
      <c r="AD14" s="6"/>
    </row>
    <row r="15" spans="1:30" ht="16" thickBot="1">
      <c r="D15" s="801" t="s">
        <v>91</v>
      </c>
      <c r="H15" t="s">
        <v>950</v>
      </c>
      <c r="X15" s="13"/>
      <c r="Y15" s="13"/>
      <c r="Z15" s="13"/>
      <c r="AA15" s="13"/>
      <c r="AB15" s="13"/>
      <c r="AC15" s="13"/>
      <c r="AD15" s="6"/>
    </row>
    <row r="16" spans="1:30" ht="15" thickBot="1">
      <c r="D16" s="16" t="s">
        <v>0</v>
      </c>
      <c r="X16" s="22" t="s">
        <v>31</v>
      </c>
      <c r="Y16" s="2318" t="s">
        <v>30</v>
      </c>
      <c r="Z16" s="2318"/>
      <c r="AA16" s="2319"/>
      <c r="AB16" s="18"/>
      <c r="AC16" s="18"/>
      <c r="AD16" s="6"/>
    </row>
    <row r="17" spans="4:30" ht="17.25" customHeight="1" thickBot="1">
      <c r="D17" s="810" t="s">
        <v>1</v>
      </c>
      <c r="X17" s="24" t="s">
        <v>33</v>
      </c>
      <c r="Y17" s="25" t="s">
        <v>29</v>
      </c>
      <c r="Z17" s="19" t="s">
        <v>34</v>
      </c>
      <c r="AA17" s="26" t="s">
        <v>32</v>
      </c>
      <c r="AB17" s="24" t="s">
        <v>6</v>
      </c>
      <c r="AC17" s="24" t="s">
        <v>7</v>
      </c>
      <c r="AD17" s="6"/>
    </row>
    <row r="18" spans="4:30">
      <c r="D18" s="16" t="s">
        <v>62</v>
      </c>
      <c r="X18" s="23"/>
      <c r="Y18" s="21"/>
      <c r="Z18" s="83"/>
      <c r="AA18" s="20"/>
      <c r="AB18" s="27"/>
      <c r="AC18" s="27"/>
      <c r="AD18" s="6"/>
    </row>
    <row r="19" spans="4:30">
      <c r="D19" s="811" t="s">
        <v>90</v>
      </c>
      <c r="X19" s="31"/>
      <c r="Y19" s="32"/>
      <c r="Z19" s="16"/>
      <c r="AA19" s="33"/>
      <c r="AB19" s="31"/>
      <c r="AC19" s="31"/>
      <c r="AD19" s="6"/>
    </row>
    <row r="20" spans="4:30" ht="15" thickBot="1">
      <c r="D20" s="16" t="s">
        <v>2</v>
      </c>
      <c r="X20" s="35"/>
      <c r="Y20" s="36"/>
      <c r="Z20" s="34"/>
      <c r="AA20" s="37"/>
      <c r="AB20" s="35"/>
      <c r="AC20" s="35"/>
      <c r="AD20" s="6"/>
    </row>
    <row r="21" spans="4:30">
      <c r="D21" s="812" t="s">
        <v>3</v>
      </c>
      <c r="X21" s="13"/>
      <c r="Y21" s="13"/>
      <c r="Z21" s="13"/>
      <c r="AA21" s="13"/>
      <c r="AB21" s="13"/>
      <c r="AC21" s="13"/>
      <c r="AD21" s="6"/>
    </row>
    <row r="22" spans="4:30">
      <c r="D22" s="16" t="s">
        <v>4</v>
      </c>
      <c r="X22" s="13"/>
      <c r="Y22" s="13"/>
      <c r="Z22" s="13"/>
      <c r="AA22" s="13"/>
      <c r="AB22" s="13"/>
      <c r="AC22" s="13"/>
      <c r="AD22" s="6"/>
    </row>
    <row r="23" spans="4:30">
      <c r="D23" s="813" t="s">
        <v>5</v>
      </c>
      <c r="X23" s="17"/>
      <c r="Y23" s="17"/>
      <c r="Z23" s="17"/>
      <c r="AA23" s="17"/>
      <c r="AB23" s="17"/>
      <c r="AC23" s="17"/>
      <c r="AD23" s="6"/>
    </row>
    <row r="24" spans="4:30">
      <c r="D24" s="16" t="s">
        <v>693</v>
      </c>
      <c r="X24" s="17"/>
      <c r="Y24" s="17"/>
      <c r="Z24" s="17"/>
      <c r="AA24" s="17"/>
      <c r="AB24" s="17"/>
      <c r="AC24" s="17"/>
      <c r="AD24" s="6"/>
    </row>
    <row r="25" spans="4:30" ht="15.5">
      <c r="D25" s="798" t="s">
        <v>123</v>
      </c>
      <c r="X25" s="17"/>
      <c r="Y25" s="17"/>
      <c r="Z25" s="17"/>
      <c r="AA25" s="17"/>
      <c r="AB25" s="17"/>
      <c r="AC25" s="17"/>
      <c r="AD25" s="6"/>
    </row>
    <row r="26" spans="4:30">
      <c r="D26" s="799"/>
      <c r="X26" s="17"/>
      <c r="Y26" s="17"/>
      <c r="Z26" s="17"/>
      <c r="AA26" s="17"/>
      <c r="AB26" s="17"/>
      <c r="AC26" s="17"/>
      <c r="AD26" s="6"/>
    </row>
    <row r="27" spans="4:30" ht="15" thickBot="1">
      <c r="X27" s="17"/>
      <c r="Y27" s="17"/>
      <c r="Z27" s="17"/>
      <c r="AA27" s="17"/>
      <c r="AB27" s="17"/>
      <c r="AC27" s="17"/>
      <c r="AD27" s="6"/>
    </row>
    <row r="28" spans="4:30" ht="16" thickBot="1">
      <c r="D28" s="801" t="s">
        <v>97</v>
      </c>
      <c r="X28" s="38" t="s">
        <v>31</v>
      </c>
      <c r="Y28" s="2320" t="s">
        <v>30</v>
      </c>
      <c r="Z28" s="2320"/>
      <c r="AA28" s="2321"/>
      <c r="AB28" s="39"/>
      <c r="AC28" s="39"/>
      <c r="AD28" s="6"/>
    </row>
    <row r="29" spans="4:30" ht="20.25" customHeight="1" thickBot="1">
      <c r="D29" s="16" t="s">
        <v>932</v>
      </c>
      <c r="X29" s="41" t="s">
        <v>33</v>
      </c>
      <c r="Y29" s="42" t="s">
        <v>29</v>
      </c>
      <c r="Z29" s="40" t="s">
        <v>34</v>
      </c>
      <c r="AA29" s="43" t="s">
        <v>32</v>
      </c>
      <c r="AB29" s="41" t="s">
        <v>6</v>
      </c>
      <c r="AC29" s="41" t="s">
        <v>7</v>
      </c>
      <c r="AD29" s="6"/>
    </row>
    <row r="30" spans="4:30">
      <c r="D30" s="90" t="s">
        <v>86</v>
      </c>
      <c r="X30" s="44"/>
      <c r="Y30" s="45"/>
      <c r="Z30" s="84"/>
      <c r="AA30" s="46"/>
      <c r="AB30" s="47"/>
      <c r="AC30" s="47"/>
      <c r="AD30" s="6"/>
    </row>
    <row r="31" spans="4:30">
      <c r="D31" s="16" t="s">
        <v>208</v>
      </c>
      <c r="X31" s="31"/>
      <c r="Y31" s="32"/>
      <c r="Z31" s="16"/>
      <c r="AA31" s="33"/>
      <c r="AB31" s="31"/>
      <c r="AC31" s="31"/>
      <c r="AD31" s="6"/>
    </row>
    <row r="32" spans="4:30" ht="15" thickBot="1">
      <c r="D32" s="802" t="s">
        <v>745</v>
      </c>
      <c r="X32" s="35"/>
      <c r="Y32" s="36"/>
      <c r="Z32" s="34"/>
      <c r="AA32" s="37"/>
      <c r="AB32" s="35"/>
      <c r="AC32" s="35"/>
      <c r="AD32" s="6"/>
    </row>
    <row r="33" spans="4:30">
      <c r="D33" s="803" t="s">
        <v>114</v>
      </c>
      <c r="X33" s="13"/>
      <c r="Y33" s="13"/>
      <c r="Z33" s="13"/>
      <c r="AA33" s="13"/>
      <c r="AB33" s="13"/>
      <c r="AC33" s="13"/>
      <c r="AD33" s="6"/>
    </row>
    <row r="34" spans="4:30">
      <c r="D34" s="738" t="s">
        <v>115</v>
      </c>
      <c r="X34" s="13"/>
      <c r="Y34" s="13"/>
      <c r="Z34" s="13"/>
      <c r="AA34" s="13"/>
      <c r="AB34" s="13"/>
      <c r="AC34" s="13"/>
      <c r="AD34" s="6"/>
    </row>
    <row r="35" spans="4:30">
      <c r="D35" s="16" t="s">
        <v>941</v>
      </c>
      <c r="AD35" s="6"/>
    </row>
    <row r="36" spans="4:30" ht="15.5">
      <c r="D36" s="804" t="s">
        <v>112</v>
      </c>
      <c r="G36" s="511"/>
      <c r="AD36" s="6"/>
    </row>
    <row r="37" spans="4:30" ht="15.5">
      <c r="G37" s="511"/>
      <c r="AD37" s="6"/>
    </row>
    <row r="38" spans="4:30">
      <c r="D38" s="809" t="s">
        <v>694</v>
      </c>
      <c r="AD38" s="6"/>
    </row>
    <row r="39" spans="4:30">
      <c r="D39" s="10"/>
      <c r="AD39" s="6"/>
    </row>
    <row r="40" spans="4:30">
      <c r="H40" s="876" t="str">
        <f>+H10</f>
        <v>in-year sheet (monthly)</v>
      </c>
      <c r="AD40" s="6"/>
    </row>
    <row r="41" spans="4:30" ht="16" thickBot="1">
      <c r="D41" s="796" t="s">
        <v>935</v>
      </c>
      <c r="E41" s="11"/>
      <c r="F41" s="11"/>
      <c r="X41" s="7"/>
      <c r="Y41" s="7"/>
      <c r="Z41" s="7"/>
      <c r="AA41" s="7"/>
      <c r="AB41" s="7"/>
      <c r="AC41" s="7"/>
      <c r="AD41" s="8"/>
    </row>
    <row r="42" spans="4:30">
      <c r="D42" s="12" t="str">
        <f>+FISC!D668</f>
        <v xml:space="preserve">III.1 Fiscal working table "TOFE" GFS 1986 annual FY </v>
      </c>
      <c r="E42" s="12"/>
      <c r="F42" s="12"/>
      <c r="H42" s="876" t="str">
        <f>+FISCinyear!D462</f>
        <v>III. 1FISCAL GFS 1986 PRESENTATION - DETAILED TOFE</v>
      </c>
    </row>
    <row r="43" spans="4:30">
      <c r="D43" s="12" t="str">
        <f>+FISC!D985</f>
        <v>III.2 FISCAL  "TOFE" GFS 2014 PRESENTATION - detailed TOFE</v>
      </c>
      <c r="E43" s="12" t="s">
        <v>934</v>
      </c>
      <c r="F43" s="12"/>
      <c r="H43" s="876" t="str">
        <f>+FISCinyear!D663</f>
        <v>III.2 FISCAL  "TOFE" GFS 2014 PRESENTATION - detailed TOFE</v>
      </c>
    </row>
    <row r="44" spans="4:30">
      <c r="D44" s="12"/>
      <c r="E44" s="12"/>
      <c r="F44" s="12"/>
    </row>
    <row r="45" spans="4:30">
      <c r="D45" s="800" t="s">
        <v>942</v>
      </c>
      <c r="E45" s="797"/>
      <c r="F45" s="797"/>
    </row>
    <row r="46" spans="4:30">
      <c r="D46" s="797" t="str">
        <f>+FISC!D871</f>
        <v>IV.1 FISCAL GFS 1986 PRESENTATION - SUMMARY</v>
      </c>
      <c r="E46" s="797"/>
      <c r="F46" s="797"/>
      <c r="H46" s="876" t="str">
        <f>+FISCinyear!D624</f>
        <v>IV.1 Summary FISCAL Output (bln RWF)</v>
      </c>
    </row>
    <row r="47" spans="4:30">
      <c r="D47" s="797" t="str">
        <f>+FISC!D1286</f>
        <v>IV.2 FISCAL GFS 2014 to OUTPUT &amp;SUMMARY</v>
      </c>
      <c r="E47" s="797"/>
      <c r="F47" s="797"/>
      <c r="H47" s="876" t="str">
        <f>+FISCinyear!D972</f>
        <v>IV.2 FISCAL GFS 2014 to OUTPUT &amp;SUMMARY</v>
      </c>
    </row>
    <row r="48" spans="4:30">
      <c r="D48" s="797" t="str">
        <f>+FISC!D1462</f>
        <v>IV.3 Budget/Finance Law Presentation (GFS 1986) - Summary</v>
      </c>
      <c r="E48" s="797"/>
      <c r="F48" s="797"/>
      <c r="H48" s="923" t="str">
        <f>+FISCinyear!D1001</f>
        <v>IV.3 Budget/Finance Law Presentation (GFS 1986) - Summary</v>
      </c>
    </row>
    <row r="49" spans="1:8">
      <c r="D49" s="797" t="str">
        <f>+FISC!D1721</f>
        <v>IV.4 FISCAL GFS 1986 PRESENTATION - Program vs Actual</v>
      </c>
      <c r="E49" s="797"/>
      <c r="F49" s="797"/>
    </row>
    <row r="51" spans="1:8">
      <c r="D51" s="15" t="str">
        <f>+FISC!D1524</f>
        <v>V. SELECTED FISCAL BLOCKS FOR MACRO-FRAMEWORK Calendar Year</v>
      </c>
    </row>
    <row r="52" spans="1:8">
      <c r="D52" s="87" t="s">
        <v>936</v>
      </c>
    </row>
    <row r="53" spans="1:8">
      <c r="D53" s="82" t="str">
        <f>+FISC!D1526</f>
        <v>FISC_REAL (in bln RWF) Calendar Year basis</v>
      </c>
    </row>
    <row r="54" spans="1:8">
      <c r="D54" s="82" t="str">
        <f>+FISC!D1574</f>
        <v>FISC_MON</v>
      </c>
    </row>
    <row r="55" spans="1:8">
      <c r="D55" s="82" t="str">
        <f>+FISC!D1648</f>
        <v>FISC_BOP</v>
      </c>
    </row>
    <row r="56" spans="1:8">
      <c r="D56" s="82" t="str">
        <f>+FISC!D1656</f>
        <v>FISCAL_annual_DOMDEBT</v>
      </c>
      <c r="H56" s="876" t="str">
        <f>+FISCinyear!HR1064</f>
        <v>FISCAL_inyear_DOMDEBTproj</v>
      </c>
    </row>
    <row r="57" spans="1:8">
      <c r="D57" s="82">
        <f>+FISC!D1705</f>
        <v>0</v>
      </c>
    </row>
    <row r="60" spans="1:8">
      <c r="A60" s="92" t="s">
        <v>926</v>
      </c>
    </row>
    <row r="61" spans="1:8" ht="18.5">
      <c r="A61" s="792" t="s">
        <v>927</v>
      </c>
    </row>
    <row r="62" spans="1:8">
      <c r="A62" s="9" t="s">
        <v>962</v>
      </c>
    </row>
    <row r="63" spans="1:8">
      <c r="A63" t="s">
        <v>944</v>
      </c>
    </row>
    <row r="64" spans="1:8">
      <c r="A64" t="s">
        <v>945</v>
      </c>
    </row>
    <row r="65" spans="1:14">
      <c r="A65" s="793" t="s">
        <v>925</v>
      </c>
    </row>
    <row r="66" spans="1:14">
      <c r="A66" t="s">
        <v>2395</v>
      </c>
    </row>
    <row r="68" spans="1:14">
      <c r="A68" s="9"/>
    </row>
    <row r="69" spans="1:14">
      <c r="A69" s="9" t="s">
        <v>969</v>
      </c>
    </row>
    <row r="70" spans="1:14" ht="15" thickBot="1"/>
    <row r="71" spans="1:14">
      <c r="A71" s="778"/>
      <c r="B71" s="780"/>
      <c r="C71" s="780"/>
      <c r="D71" s="779" t="s">
        <v>916</v>
      </c>
      <c r="E71" s="780"/>
      <c r="F71" s="780"/>
      <c r="G71" s="847"/>
      <c r="H71" s="877"/>
      <c r="I71" s="847"/>
      <c r="J71" s="847"/>
      <c r="K71" s="847"/>
      <c r="L71" s="877"/>
      <c r="M71" s="847"/>
      <c r="N71" s="848"/>
    </row>
    <row r="72" spans="1:14">
      <c r="A72" s="781"/>
      <c r="B72" s="782"/>
      <c r="C72" s="782"/>
      <c r="D72" s="782"/>
      <c r="E72" s="782"/>
      <c r="F72" s="782"/>
      <c r="N72" s="849"/>
    </row>
    <row r="73" spans="1:14">
      <c r="A73" s="851" t="s">
        <v>917</v>
      </c>
      <c r="B73" s="852"/>
      <c r="C73" s="851"/>
      <c r="D73" s="851" t="s">
        <v>918</v>
      </c>
      <c r="E73" s="3"/>
      <c r="F73" s="853" t="s">
        <v>919</v>
      </c>
      <c r="G73" s="853"/>
      <c r="H73" s="878" t="s">
        <v>1003</v>
      </c>
      <c r="I73" s="853"/>
      <c r="J73" s="853" t="s">
        <v>1005</v>
      </c>
      <c r="K73" s="853"/>
      <c r="L73" s="878" t="s">
        <v>1007</v>
      </c>
      <c r="M73" s="853"/>
      <c r="N73" s="853"/>
    </row>
    <row r="74" spans="1:14">
      <c r="A74" s="788" t="str">
        <f>+FISCinyear!A5</f>
        <v>DMO_DebDisb_FISCinyear</v>
      </c>
      <c r="B74" s="789"/>
      <c r="C74" s="789"/>
      <c r="D74" s="789" t="str">
        <f>+FISCinyear!D5</f>
        <v>External Project Loans Disbursements (bln RWF)</v>
      </c>
      <c r="E74" s="789"/>
      <c r="F74" s="845" t="str">
        <f>+FISCinyear!A6</f>
        <v>DMO</v>
      </c>
      <c r="G74" s="845"/>
      <c r="H74" s="854" t="s">
        <v>1004</v>
      </c>
      <c r="I74" s="845"/>
      <c r="J74" s="845" t="s">
        <v>1006</v>
      </c>
      <c r="K74" s="845"/>
      <c r="L74" s="855" t="s">
        <v>1008</v>
      </c>
      <c r="M74" s="844"/>
      <c r="N74" s="856"/>
    </row>
    <row r="75" spans="1:14">
      <c r="A75" s="788"/>
      <c r="B75" s="789"/>
      <c r="C75" s="789"/>
      <c r="D75" s="789" t="str">
        <f>+FISCinyear!D26</f>
        <v>External Budget Loans Disbursementsn(bln RWF)</v>
      </c>
      <c r="E75" s="789"/>
      <c r="F75" s="845"/>
      <c r="G75" s="845"/>
      <c r="H75" s="854"/>
      <c r="I75" s="845"/>
      <c r="J75" s="845"/>
      <c r="K75" s="845"/>
      <c r="L75" s="855"/>
      <c r="M75" s="844"/>
      <c r="N75" s="856"/>
    </row>
    <row r="76" spans="1:14">
      <c r="A76" s="788" t="str">
        <f>+FISCinyear!A32</f>
        <v>TreBNR_ExtDeb_FISCinyear</v>
      </c>
      <c r="B76" s="789"/>
      <c r="C76" s="789"/>
      <c r="D76" s="789" t="str">
        <f>+FISCinyear!D34</f>
        <v>External Principal Repayment (bln RWF)</v>
      </c>
      <c r="E76" s="789"/>
      <c r="F76" s="845" t="str">
        <f>+FISCinyear!A34</f>
        <v>DMO</v>
      </c>
      <c r="G76" s="845"/>
      <c r="H76" s="854" t="s">
        <v>1004</v>
      </c>
      <c r="I76" s="845"/>
      <c r="J76" s="845" t="s">
        <v>1006</v>
      </c>
      <c r="K76" s="845"/>
      <c r="L76" s="924" t="s">
        <v>1009</v>
      </c>
      <c r="M76" s="844"/>
      <c r="N76" s="856"/>
    </row>
    <row r="77" spans="1:14">
      <c r="A77" s="788"/>
      <c r="B77" s="789"/>
      <c r="C77" s="789"/>
      <c r="D77" s="789" t="str">
        <f>+FISCinyear!D51</f>
        <v>External Interest Payment (bln RWF)</v>
      </c>
      <c r="E77" s="789"/>
      <c r="F77" s="845"/>
      <c r="G77" s="845"/>
      <c r="H77" s="854"/>
      <c r="I77" s="845"/>
      <c r="J77" s="845"/>
      <c r="K77" s="845"/>
      <c r="L77" s="855" t="s">
        <v>1016</v>
      </c>
      <c r="M77" s="844"/>
      <c r="N77" s="856"/>
    </row>
    <row r="78" spans="1:14">
      <c r="A78" s="788" t="str">
        <f>+FISCinyear!A75</f>
        <v>TreBNR_DomDeb_FISCinyear</v>
      </c>
      <c r="B78" s="789"/>
      <c r="C78" s="789"/>
      <c r="D78" s="789" t="str">
        <f>+FISCinyear!D77</f>
        <v>Debt Stock</v>
      </c>
      <c r="E78" s="789"/>
      <c r="F78" s="845" t="str">
        <f>+FISCinyear!A77</f>
        <v>DMO</v>
      </c>
      <c r="G78" s="845"/>
      <c r="H78" s="854" t="s">
        <v>1010</v>
      </c>
      <c r="I78" s="845"/>
      <c r="J78" s="845" t="s">
        <v>1006</v>
      </c>
      <c r="K78" s="845"/>
      <c r="L78" s="855"/>
      <c r="M78" s="844"/>
      <c r="N78" s="856"/>
    </row>
    <row r="79" spans="1:14">
      <c r="A79" s="788"/>
      <c r="B79" s="789"/>
      <c r="C79" s="789"/>
      <c r="D79" s="789" t="str">
        <f>+FISCinyear!D89</f>
        <v>Domestic Principal Repayment</v>
      </c>
      <c r="E79" s="789"/>
      <c r="F79" s="845"/>
      <c r="G79" s="845"/>
      <c r="H79" s="854"/>
      <c r="I79" s="845"/>
      <c r="J79" s="845"/>
      <c r="K79" s="845"/>
      <c r="L79" s="855"/>
      <c r="M79" s="844"/>
      <c r="N79" s="856"/>
    </row>
    <row r="80" spans="1:14">
      <c r="A80" s="788"/>
      <c r="B80" s="789"/>
      <c r="C80" s="789"/>
      <c r="D80" s="789" t="str">
        <f>+FISCinyear!D101</f>
        <v>Domestic Interest Payment</v>
      </c>
      <c r="E80" s="789"/>
      <c r="F80" s="845"/>
      <c r="G80" s="845"/>
      <c r="H80" s="854"/>
      <c r="I80" s="845"/>
      <c r="J80" s="845"/>
      <c r="K80" s="845"/>
      <c r="L80" s="855"/>
      <c r="M80" s="844"/>
      <c r="N80" s="856"/>
    </row>
    <row r="81" spans="1:14">
      <c r="A81" s="788" t="str">
        <f>+FISCinyear!A114</f>
        <v>TreBNR_DomDeb</v>
      </c>
      <c r="B81" s="789"/>
      <c r="C81" s="789"/>
      <c r="D81" s="789" t="str">
        <f>+FISCinyear!D114</f>
        <v>Interest payments</v>
      </c>
      <c r="E81" s="789"/>
      <c r="F81" s="845" t="str">
        <f>+FISCinyear!A115</f>
        <v>DMO</v>
      </c>
      <c r="G81" s="845"/>
      <c r="H81" s="854" t="s">
        <v>1010</v>
      </c>
      <c r="I81" s="845"/>
      <c r="J81" s="845" t="s">
        <v>1006</v>
      </c>
      <c r="K81" s="845"/>
      <c r="L81" s="855"/>
      <c r="M81" s="844"/>
      <c r="N81" s="856"/>
    </row>
    <row r="82" spans="1:14">
      <c r="A82" s="788"/>
      <c r="B82" s="789"/>
      <c r="C82" s="789"/>
      <c r="D82" s="789" t="str">
        <f>+FISCinyear!D121</f>
        <v>Domestic Securities Stock</v>
      </c>
      <c r="E82" s="789"/>
      <c r="F82" s="845"/>
      <c r="G82" s="845"/>
      <c r="H82" s="854"/>
      <c r="I82" s="845"/>
      <c r="J82" s="845"/>
      <c r="K82" s="845"/>
      <c r="L82" s="855"/>
      <c r="M82" s="844"/>
      <c r="N82" s="856"/>
    </row>
    <row r="83" spans="1:14">
      <c r="A83" s="788" t="str">
        <f>+FISCinyear!A130</f>
        <v>BNR_OTR_RecPyt</v>
      </c>
      <c r="B83" s="789"/>
      <c r="C83" s="789"/>
      <c r="D83" s="789" t="s">
        <v>921</v>
      </c>
      <c r="E83" s="789"/>
      <c r="F83" s="845" t="str">
        <f>+FISCinyear!A131</f>
        <v>OTR</v>
      </c>
      <c r="G83" s="845"/>
      <c r="H83" s="789" t="s">
        <v>1017</v>
      </c>
      <c r="I83" s="845"/>
      <c r="J83" s="845" t="s">
        <v>1006</v>
      </c>
      <c r="K83" s="845"/>
      <c r="L83" s="924" t="s">
        <v>1083</v>
      </c>
      <c r="M83" s="844"/>
      <c r="N83" s="856"/>
    </row>
    <row r="84" spans="1:14">
      <c r="A84" s="788"/>
      <c r="B84" s="789"/>
      <c r="C84" s="789"/>
      <c r="D84" s="789" t="s">
        <v>920</v>
      </c>
      <c r="E84" s="789"/>
      <c r="F84" s="845"/>
      <c r="G84" s="845"/>
      <c r="H84" s="789" t="s">
        <v>1018</v>
      </c>
      <c r="I84" s="845"/>
      <c r="J84" s="845" t="s">
        <v>1006</v>
      </c>
      <c r="K84" s="845"/>
      <c r="L84" s="855" t="s">
        <v>1040</v>
      </c>
      <c r="M84" s="844"/>
      <c r="N84" s="856"/>
    </row>
    <row r="85" spans="1:14">
      <c r="A85" s="788"/>
      <c r="B85" s="789"/>
      <c r="C85" s="789"/>
      <c r="D85" s="789"/>
      <c r="E85" s="789"/>
      <c r="F85" s="845"/>
      <c r="G85" s="845"/>
      <c r="H85" s="789"/>
      <c r="I85" s="845"/>
      <c r="J85" s="845"/>
      <c r="K85" s="845"/>
      <c r="L85" s="855"/>
      <c r="M85" s="844"/>
      <c r="N85" s="856"/>
    </row>
    <row r="86" spans="1:14">
      <c r="A86" s="783" t="str">
        <f>+FISCinyear!A140</f>
        <v>BNR_Forex_FISCinyear (PDT)</v>
      </c>
      <c r="B86" s="789"/>
      <c r="C86" s="789"/>
      <c r="D86" s="789" t="str">
        <f>+FISCinyear!D142</f>
        <v>PDT - Non Tax Revenue</v>
      </c>
      <c r="E86" s="789"/>
      <c r="F86" s="845" t="str">
        <f>+FISCinyear!A141</f>
        <v>BNR</v>
      </c>
      <c r="G86" s="845"/>
      <c r="H86" s="789" t="s">
        <v>1019</v>
      </c>
      <c r="I86" s="845"/>
      <c r="J86" s="845" t="s">
        <v>1006</v>
      </c>
      <c r="K86" s="845"/>
      <c r="L86" s="855"/>
      <c r="M86" s="844"/>
      <c r="N86" s="856"/>
    </row>
    <row r="87" spans="1:14">
      <c r="A87" s="788"/>
      <c r="B87" s="789"/>
      <c r="C87" s="789"/>
      <c r="D87" s="789" t="str">
        <f>+FISCinyear!D145</f>
        <v>PDT - Budgetary Disbursements</v>
      </c>
      <c r="E87" s="789"/>
      <c r="F87" s="845"/>
      <c r="G87" s="845"/>
      <c r="H87" s="789" t="s">
        <v>1020</v>
      </c>
      <c r="I87" s="845"/>
      <c r="J87" s="845" t="s">
        <v>1006</v>
      </c>
      <c r="K87" s="845"/>
      <c r="L87" s="854"/>
      <c r="M87" s="845"/>
      <c r="N87" s="849"/>
    </row>
    <row r="88" spans="1:14">
      <c r="A88" s="788"/>
      <c r="B88" s="789"/>
      <c r="C88" s="789"/>
      <c r="D88" s="789" t="str">
        <f>+FISCinyear!D149</f>
        <v>PDT - Project Disbursements</v>
      </c>
      <c r="E88" s="789"/>
      <c r="F88" s="845"/>
      <c r="G88" s="845"/>
      <c r="H88" s="789" t="s">
        <v>1024</v>
      </c>
      <c r="I88" s="845"/>
      <c r="J88" s="845" t="s">
        <v>1006</v>
      </c>
      <c r="K88" s="854" t="s">
        <v>1022</v>
      </c>
      <c r="M88" s="845"/>
      <c r="N88" s="849"/>
    </row>
    <row r="89" spans="1:14">
      <c r="A89" s="788"/>
      <c r="B89" s="789"/>
      <c r="C89" s="789"/>
      <c r="D89" s="789"/>
      <c r="E89" s="789"/>
      <c r="F89" s="845"/>
      <c r="G89" s="845"/>
      <c r="H89" s="789" t="s">
        <v>1025</v>
      </c>
      <c r="I89" s="845"/>
      <c r="J89" s="845" t="s">
        <v>1021</v>
      </c>
      <c r="K89" s="854" t="s">
        <v>1026</v>
      </c>
      <c r="M89" s="845"/>
      <c r="N89" s="849"/>
    </row>
    <row r="90" spans="1:14">
      <c r="A90" s="788"/>
      <c r="B90" s="789"/>
      <c r="C90" s="789"/>
      <c r="D90" s="789" t="str">
        <f>+FISCinyear!D153</f>
        <v>PDT - Debt Service (cash, not used in TOFE)</v>
      </c>
      <c r="E90" s="789"/>
      <c r="F90" s="845"/>
      <c r="G90" s="845"/>
      <c r="H90" s="789" t="s">
        <v>1023</v>
      </c>
      <c r="I90" s="845"/>
      <c r="J90" s="845" t="s">
        <v>1021</v>
      </c>
      <c r="K90" s="845"/>
      <c r="L90" s="854" t="s">
        <v>1027</v>
      </c>
      <c r="M90" s="845"/>
      <c r="N90" s="849"/>
    </row>
    <row r="91" spans="1:14">
      <c r="A91" s="788" t="str">
        <f>+FISCinyear!A159</f>
        <v>RRA_ Tax_FISCinyear</v>
      </c>
      <c r="B91" s="789"/>
      <c r="C91" s="789"/>
      <c r="D91" s="789" t="str">
        <f>+FISCinyear!D160</f>
        <v>Tax Revenue Collection (Central Level)</v>
      </c>
      <c r="E91" s="789"/>
      <c r="F91" s="845" t="str">
        <f>+FISCinyear!A160</f>
        <v>RRA</v>
      </c>
      <c r="G91" s="845"/>
      <c r="H91" s="854" t="s">
        <v>1028</v>
      </c>
      <c r="I91" s="845"/>
      <c r="J91" s="845" t="s">
        <v>1006</v>
      </c>
      <c r="K91" s="845"/>
      <c r="L91" s="854"/>
      <c r="M91" s="845"/>
      <c r="N91" s="849"/>
    </row>
    <row r="92" spans="1:14">
      <c r="A92" s="788"/>
      <c r="B92" s="789"/>
      <c r="C92" s="789"/>
      <c r="D92" s="789" t="str">
        <f>+FISCinyear!D208</f>
        <v>Tax Revenue Collections (Decentralized Level)</v>
      </c>
      <c r="E92" s="789"/>
      <c r="F92" s="789"/>
      <c r="G92" s="845"/>
      <c r="H92" s="854" t="s">
        <v>1028</v>
      </c>
      <c r="I92" s="845"/>
      <c r="J92" s="845" t="s">
        <v>1006</v>
      </c>
      <c r="K92" s="845"/>
      <c r="L92" s="854"/>
      <c r="M92" s="845"/>
      <c r="N92" s="849"/>
    </row>
    <row r="93" spans="1:14">
      <c r="B93" s="789"/>
      <c r="C93" s="789"/>
      <c r="D93" s="789" t="s">
        <v>1029</v>
      </c>
      <c r="E93" s="789"/>
      <c r="F93" s="789"/>
      <c r="G93" s="845"/>
      <c r="H93" s="854" t="s">
        <v>1028</v>
      </c>
      <c r="I93" s="845"/>
      <c r="J93" s="845" t="s">
        <v>1006</v>
      </c>
      <c r="K93" s="845"/>
      <c r="L93" s="854"/>
      <c r="M93" s="845"/>
      <c r="N93" s="849"/>
    </row>
    <row r="94" spans="1:14">
      <c r="A94" s="788" t="str">
        <f>+FISCinyear!A217</f>
        <v>IFMIS_EXP_Ord_FISCinyear</v>
      </c>
      <c r="B94" s="789"/>
      <c r="C94" s="789"/>
      <c r="D94" s="882" t="str">
        <f>+FISCinyear!D218</f>
        <v>IFMS - Ordonnancement</v>
      </c>
      <c r="E94" s="789"/>
      <c r="F94" s="845" t="str">
        <f>+FISCinyear!A218</f>
        <v>IFMIS</v>
      </c>
      <c r="G94" s="845"/>
      <c r="H94" s="854" t="s">
        <v>1028</v>
      </c>
      <c r="I94" s="845"/>
      <c r="J94" s="845" t="s">
        <v>1006</v>
      </c>
      <c r="K94" s="845"/>
      <c r="L94" s="854" t="s">
        <v>1033</v>
      </c>
      <c r="M94" s="845"/>
      <c r="N94" s="849"/>
    </row>
    <row r="95" spans="1:14">
      <c r="A95" s="826" t="s">
        <v>1043</v>
      </c>
      <c r="B95" s="789"/>
      <c r="C95" s="789"/>
      <c r="D95" s="789" t="s">
        <v>1042</v>
      </c>
      <c r="E95" s="789"/>
      <c r="F95" s="845" t="s">
        <v>923</v>
      </c>
      <c r="G95" s="845"/>
      <c r="H95" s="854"/>
      <c r="I95" s="845"/>
      <c r="J95" s="845"/>
      <c r="K95" s="845"/>
      <c r="L95" s="854" t="s">
        <v>1034</v>
      </c>
      <c r="M95" s="845"/>
      <c r="N95" s="849"/>
    </row>
    <row r="96" spans="1:14">
      <c r="A96" s="826"/>
      <c r="B96" s="789"/>
      <c r="C96" s="789"/>
      <c r="D96" s="789"/>
      <c r="E96" s="789"/>
      <c r="F96" s="845"/>
      <c r="G96" s="845"/>
      <c r="H96" s="854"/>
      <c r="I96" s="845"/>
      <c r="J96" s="845"/>
      <c r="K96" s="845"/>
      <c r="L96" s="854"/>
      <c r="M96" s="845"/>
      <c r="N96" s="849"/>
    </row>
    <row r="97" spans="1:14">
      <c r="A97" s="788" t="str">
        <f>+FISCinyear!A236</f>
        <v>IFMIS_EXP_Pyt_FISCinyear</v>
      </c>
      <c r="B97" s="789"/>
      <c r="C97" s="789"/>
      <c r="D97" s="789" t="str">
        <f>+FISCinyear!D238</f>
        <v>IFMIS - Payment</v>
      </c>
      <c r="E97" s="789"/>
      <c r="F97" s="845" t="str">
        <f>+FISCinyear!A237</f>
        <v>IFMIS</v>
      </c>
      <c r="G97" s="845"/>
      <c r="H97" s="854" t="s">
        <v>1030</v>
      </c>
      <c r="I97" s="845"/>
      <c r="J97" s="845" t="s">
        <v>1006</v>
      </c>
      <c r="K97" s="845"/>
      <c r="L97" s="854"/>
      <c r="M97" s="845"/>
      <c r="N97" s="849"/>
    </row>
    <row r="98" spans="1:14">
      <c r="A98" s="790"/>
      <c r="B98" s="789"/>
      <c r="C98" s="789"/>
      <c r="D98" s="791" t="str">
        <f>+FISCinyear!D249</f>
        <v>IFMIS - Float  (change in unpaid payment orders current FY)</v>
      </c>
      <c r="E98" s="789"/>
      <c r="F98" s="845"/>
      <c r="G98" s="845"/>
      <c r="H98" s="854" t="s">
        <v>1031</v>
      </c>
      <c r="I98" s="845"/>
      <c r="J98" s="845"/>
      <c r="K98" s="845"/>
      <c r="L98" s="854"/>
      <c r="M98" s="845"/>
      <c r="N98" s="849"/>
    </row>
    <row r="99" spans="1:14">
      <c r="A99" s="788"/>
      <c r="B99" s="789"/>
      <c r="C99" s="789"/>
      <c r="D99" s="791" t="str">
        <f>+FISCinyear!D259</f>
        <v>IFMS - Arrears ( change in arrears incl. payment on "old stock")</v>
      </c>
      <c r="E99" s="789"/>
      <c r="F99" s="845"/>
      <c r="G99" s="845"/>
      <c r="H99" s="854" t="s">
        <v>1036</v>
      </c>
      <c r="I99" s="845"/>
      <c r="J99" s="845"/>
      <c r="K99" s="845"/>
      <c r="L99" s="854"/>
      <c r="M99" s="845"/>
      <c r="N99" s="849"/>
    </row>
    <row r="100" spans="1:14">
      <c r="A100" s="788" t="str">
        <f>+FISCinyear!A262</f>
        <v>IFMIS_Ex_FISCinyear</v>
      </c>
      <c r="B100" s="789"/>
      <c r="C100" s="789"/>
      <c r="D100" s="789" t="str">
        <f>+FISCinyear!D264</f>
        <v>IFMS - Exceptional</v>
      </c>
      <c r="E100" s="789"/>
      <c r="F100" s="845" t="str">
        <f>+FISCinyear!A265</f>
        <v>IFMIS</v>
      </c>
      <c r="G100" s="845"/>
      <c r="H100" s="854"/>
      <c r="I100" s="845"/>
      <c r="J100" s="845" t="s">
        <v>1006</v>
      </c>
      <c r="K100" s="845"/>
      <c r="L100" s="854" t="s">
        <v>1032</v>
      </c>
      <c r="M100" s="845"/>
      <c r="N100" s="849"/>
    </row>
    <row r="101" spans="1:14">
      <c r="A101" s="788" t="str">
        <f>+FISCinyear!A271</f>
        <v>IFMIS_TaxExp_FISCinyear</v>
      </c>
      <c r="B101" s="789"/>
      <c r="C101" s="789"/>
      <c r="D101" s="789" t="str">
        <f>+FISCinyear!D273</f>
        <v>IFMS - Tax Expenditures (used in domestic capital exp)</v>
      </c>
      <c r="E101" s="789"/>
      <c r="F101" s="845" t="str">
        <f>+FISCinyear!A273</f>
        <v>IFMIS</v>
      </c>
      <c r="G101" s="845"/>
      <c r="H101" s="854"/>
      <c r="I101" s="845"/>
      <c r="J101" s="845" t="s">
        <v>1006</v>
      </c>
      <c r="K101" s="845"/>
      <c r="L101" s="854" t="str">
        <f>+L100</f>
        <v>can be part of IFMIS_EXP_Ord</v>
      </c>
      <c r="M101" s="845"/>
      <c r="N101" s="849"/>
    </row>
    <row r="102" spans="1:14">
      <c r="A102" s="788"/>
      <c r="B102" s="789"/>
      <c r="C102" s="789"/>
      <c r="D102" s="789"/>
      <c r="E102" s="789"/>
      <c r="F102" s="845"/>
      <c r="G102" s="845"/>
      <c r="H102" s="854"/>
      <c r="I102" s="845"/>
      <c r="J102" s="845"/>
      <c r="K102" s="845"/>
      <c r="L102" s="854"/>
      <c r="M102" s="845"/>
      <c r="N102" s="849"/>
    </row>
    <row r="103" spans="1:14">
      <c r="A103" s="788" t="str">
        <f>+FISCinyear!A277</f>
        <v>Privat_Rec_FISCinyear</v>
      </c>
      <c r="B103" s="789"/>
      <c r="C103" s="789"/>
      <c r="D103" s="789" t="str">
        <f>+FISCinyear!D277</f>
        <v>Privatization</v>
      </c>
      <c r="E103" s="789"/>
      <c r="F103" s="845" t="str">
        <f>+FISCinyear!A278</f>
        <v>GPMU</v>
      </c>
      <c r="G103" s="845"/>
      <c r="H103" s="854"/>
      <c r="I103" s="845"/>
      <c r="J103" s="845" t="s">
        <v>1006</v>
      </c>
      <c r="K103" s="845"/>
      <c r="L103" s="854"/>
      <c r="M103" s="845"/>
      <c r="N103" s="849"/>
    </row>
    <row r="104" spans="1:14">
      <c r="A104" s="788" t="str">
        <f>+FISCinyear!A282</f>
        <v>IFMIS_DEBT_FISCinyear</v>
      </c>
      <c r="D104" s="789" t="s">
        <v>1035</v>
      </c>
      <c r="F104" s="845" t="str">
        <f>+FISCinyear!A284</f>
        <v>IFMIS</v>
      </c>
      <c r="G104" s="845"/>
      <c r="H104" s="854"/>
      <c r="I104" s="845"/>
      <c r="J104" s="845" t="s">
        <v>1006</v>
      </c>
      <c r="K104" s="845"/>
      <c r="L104" s="854" t="str">
        <f>+L100</f>
        <v>can be part of IFMIS_EXP_Ord</v>
      </c>
      <c r="M104" s="845"/>
      <c r="N104" s="849"/>
    </row>
    <row r="105" spans="1:14">
      <c r="G105" s="845"/>
      <c r="H105" s="854"/>
      <c r="I105" s="845"/>
      <c r="J105" s="845"/>
      <c r="K105" s="845"/>
      <c r="L105" s="854"/>
      <c r="M105" s="845"/>
      <c r="N105" s="849"/>
    </row>
    <row r="106" spans="1:14">
      <c r="A106" s="788" t="str">
        <f>+FISCinyear!A307</f>
        <v>MonSur_FISCinyear</v>
      </c>
      <c r="B106" s="789"/>
      <c r="C106" s="789"/>
      <c r="D106" s="789" t="str">
        <f>+FISCinyear!D307</f>
        <v>BNR - Monetary Survey</v>
      </c>
      <c r="E106" s="789"/>
      <c r="F106" s="845" t="str">
        <f>+FISCinyear!A308</f>
        <v>BNR</v>
      </c>
      <c r="G106" s="845"/>
      <c r="H106" s="854"/>
      <c r="I106" s="845"/>
      <c r="J106" s="845"/>
      <c r="K106" s="845"/>
      <c r="L106" s="854"/>
      <c r="M106" s="845"/>
      <c r="N106" s="849"/>
    </row>
    <row r="107" spans="1:14">
      <c r="G107" s="845"/>
      <c r="H107" s="854"/>
      <c r="I107" s="845"/>
      <c r="J107" s="845"/>
      <c r="K107" s="845"/>
      <c r="L107" s="854"/>
      <c r="M107" s="845"/>
      <c r="N107" s="849"/>
    </row>
    <row r="108" spans="1:14">
      <c r="A108" s="790"/>
      <c r="B108" s="789"/>
      <c r="C108" s="789"/>
      <c r="D108" s="805" t="s">
        <v>946</v>
      </c>
      <c r="E108" s="789"/>
      <c r="F108" s="845"/>
      <c r="G108" s="845"/>
      <c r="H108" s="854"/>
      <c r="I108" s="845"/>
      <c r="J108" s="845"/>
      <c r="K108" s="845"/>
      <c r="L108" s="854"/>
      <c r="M108" s="845"/>
      <c r="N108" s="849"/>
    </row>
    <row r="109" spans="1:14">
      <c r="A109" s="788" t="str">
        <f>+FISCinyear!A316</f>
        <v>out-m&gt;&gt;</v>
      </c>
      <c r="B109" s="789"/>
      <c r="C109" s="789"/>
      <c r="D109" s="789" t="str">
        <f>+FISCinyear!D316</f>
        <v xml:space="preserve">REVENUE </v>
      </c>
      <c r="E109" s="789"/>
      <c r="F109" s="845" t="str">
        <f>+FISCinyear!A317</f>
        <v>RRA</v>
      </c>
      <c r="G109" s="845"/>
      <c r="H109" s="854"/>
      <c r="I109" s="845"/>
      <c r="J109" s="845"/>
      <c r="K109" s="845"/>
      <c r="L109" s="854"/>
      <c r="M109" s="845"/>
      <c r="N109" s="849"/>
    </row>
    <row r="110" spans="1:14">
      <c r="B110" s="784"/>
      <c r="C110" s="784"/>
      <c r="D110" s="789" t="str">
        <f>+FISCinyear!D389</f>
        <v>IFMS - Ordonnancement - GFS 2014 presentation</v>
      </c>
      <c r="E110" s="784"/>
      <c r="F110" s="844" t="str">
        <f>+FISCinyear!A390</f>
        <v>IFMIS</v>
      </c>
      <c r="G110" s="845"/>
      <c r="H110" s="854"/>
      <c r="I110" s="845"/>
      <c r="J110" s="845"/>
      <c r="K110" s="845"/>
      <c r="L110" s="854"/>
      <c r="M110" s="845"/>
      <c r="N110" s="849"/>
    </row>
    <row r="111" spans="1:14">
      <c r="A111" s="826" t="str">
        <f>+FISCinyear!A389</f>
        <v>separate file</v>
      </c>
      <c r="B111" s="784"/>
      <c r="C111" s="784"/>
      <c r="D111" s="789"/>
      <c r="E111" s="784"/>
      <c r="F111" s="844"/>
      <c r="G111" s="845"/>
      <c r="H111" s="854"/>
      <c r="I111" s="845"/>
      <c r="J111" s="845"/>
      <c r="K111" s="845"/>
      <c r="L111" s="854"/>
      <c r="M111" s="845"/>
      <c r="N111" s="849"/>
    </row>
    <row r="112" spans="1:14">
      <c r="A112" s="790"/>
      <c r="B112" s="784"/>
      <c r="C112" s="784"/>
      <c r="D112" s="789" t="str">
        <f>+FISCinyear!D410</f>
        <v>IFMS - Payment - GFS 2014 presentation</v>
      </c>
      <c r="E112" s="784"/>
      <c r="F112" s="844"/>
      <c r="G112" s="845"/>
      <c r="H112" s="854"/>
      <c r="I112" s="845"/>
      <c r="J112" s="845"/>
      <c r="K112" s="845"/>
      <c r="L112" s="854"/>
      <c r="M112" s="845"/>
      <c r="N112" s="849"/>
    </row>
    <row r="113" spans="1:14">
      <c r="A113" s="783"/>
      <c r="B113" s="784"/>
      <c r="C113" s="784"/>
      <c r="D113" s="789" t="str">
        <f>+FISCinyear!D426</f>
        <v>IFMS - Float/Other accounts payable - GFS 2014 presentation</v>
      </c>
      <c r="E113" s="784"/>
      <c r="F113" s="844"/>
      <c r="G113" s="845"/>
      <c r="H113" s="854"/>
      <c r="I113" s="845"/>
      <c r="J113" s="845"/>
      <c r="K113" s="845"/>
      <c r="L113" s="854"/>
      <c r="M113" s="845"/>
      <c r="N113" s="849"/>
    </row>
    <row r="114" spans="1:14">
      <c r="A114" s="783"/>
      <c r="B114" s="784"/>
      <c r="C114" s="784"/>
      <c r="D114" s="789" t="str">
        <f>+FISCinyear!D435</f>
        <v>IFMS - Debt - GFS 2014 presentation</v>
      </c>
      <c r="E114" s="784"/>
      <c r="F114" s="844"/>
      <c r="G114" s="845"/>
      <c r="H114" s="854"/>
      <c r="I114" s="845"/>
      <c r="J114" s="845"/>
      <c r="K114" s="845"/>
      <c r="L114" s="854"/>
      <c r="M114" s="845"/>
      <c r="N114" s="849"/>
    </row>
    <row r="115" spans="1:14">
      <c r="A115" s="783"/>
      <c r="B115" s="784"/>
      <c r="C115" s="784"/>
      <c r="D115" s="789" t="str">
        <f>+FISCinyear!D443</f>
        <v>IFMS - Capital - GFS 2014 presentation</v>
      </c>
      <c r="E115" s="784"/>
      <c r="F115" s="844"/>
      <c r="G115" s="845"/>
      <c r="H115" s="854"/>
      <c r="I115" s="845"/>
      <c r="J115" s="845"/>
      <c r="K115" s="845"/>
      <c r="L115" s="854"/>
      <c r="M115" s="845"/>
      <c r="N115" s="849"/>
    </row>
    <row r="116" spans="1:14">
      <c r="A116" s="783"/>
      <c r="B116" s="784"/>
      <c r="C116" s="784"/>
      <c r="D116" s="789" t="str">
        <f>+FISCinyear!D449</f>
        <v>IFMS - Policy lending - GFS 2014 presentation</v>
      </c>
      <c r="E116" s="784"/>
      <c r="F116" s="844"/>
      <c r="G116" s="845"/>
      <c r="H116" s="854"/>
      <c r="I116" s="845"/>
      <c r="J116" s="845"/>
      <c r="K116" s="845"/>
      <c r="L116" s="854"/>
      <c r="M116" s="845"/>
      <c r="N116" s="849"/>
    </row>
    <row r="117" spans="1:14" ht="15" thickBot="1">
      <c r="A117" s="786"/>
      <c r="B117" s="787"/>
      <c r="C117" s="787"/>
      <c r="D117" s="787"/>
      <c r="E117" s="787"/>
      <c r="F117" s="846"/>
      <c r="G117" s="845"/>
      <c r="H117" s="854"/>
      <c r="I117" s="845"/>
      <c r="J117" s="845"/>
      <c r="K117" s="845"/>
      <c r="L117" s="854"/>
      <c r="M117" s="845"/>
      <c r="N117" s="850"/>
    </row>
    <row r="118" spans="1:14">
      <c r="A118" s="785"/>
      <c r="B118" s="785"/>
      <c r="C118" s="785"/>
      <c r="D118" s="785"/>
      <c r="E118" s="785"/>
      <c r="F118" s="794"/>
    </row>
    <row r="119" spans="1:14">
      <c r="A119" s="9" t="s">
        <v>963</v>
      </c>
      <c r="B119" s="144"/>
      <c r="C119" s="144"/>
      <c r="D119" s="144"/>
      <c r="E119" s="144"/>
      <c r="F119" s="144"/>
    </row>
    <row r="120" spans="1:14">
      <c r="A120" t="s">
        <v>961</v>
      </c>
      <c r="B120" s="144"/>
      <c r="C120" s="144"/>
      <c r="D120" s="144"/>
      <c r="E120" s="144"/>
      <c r="F120" s="144"/>
    </row>
    <row r="121" spans="1:14">
      <c r="A121" t="s">
        <v>970</v>
      </c>
      <c r="B121" s="144"/>
      <c r="C121" s="144"/>
      <c r="D121" s="144"/>
      <c r="E121" s="144"/>
      <c r="F121" s="144"/>
    </row>
    <row r="122" spans="1:14">
      <c r="A122" t="s">
        <v>1084</v>
      </c>
      <c r="B122" s="144"/>
      <c r="C122" s="144"/>
      <c r="D122" s="144"/>
      <c r="E122" s="144"/>
      <c r="F122" s="144"/>
    </row>
    <row r="123" spans="1:14">
      <c r="A123" t="s">
        <v>971</v>
      </c>
      <c r="B123" s="144"/>
      <c r="C123" s="144"/>
      <c r="D123" s="144"/>
      <c r="E123" s="144"/>
      <c r="F123" s="144"/>
    </row>
    <row r="124" spans="1:14">
      <c r="A124" t="s">
        <v>1085</v>
      </c>
      <c r="B124" s="144"/>
      <c r="C124" s="144"/>
      <c r="D124" s="144"/>
      <c r="E124" s="144"/>
      <c r="F124" s="144"/>
    </row>
    <row r="125" spans="1:14">
      <c r="B125" s="144"/>
      <c r="C125" s="144"/>
      <c r="D125" s="144"/>
      <c r="E125" s="144"/>
      <c r="F125" s="144"/>
    </row>
    <row r="126" spans="1:14">
      <c r="A126" s="9" t="s">
        <v>966</v>
      </c>
      <c r="B126" s="144"/>
      <c r="C126" s="144"/>
      <c r="D126" s="144"/>
      <c r="E126" s="144"/>
      <c r="F126" s="144"/>
    </row>
    <row r="127" spans="1:14">
      <c r="A127" s="827" t="s">
        <v>1086</v>
      </c>
      <c r="B127" s="144"/>
      <c r="C127" s="144"/>
      <c r="D127" s="144"/>
      <c r="E127" s="144"/>
      <c r="F127" s="144"/>
    </row>
    <row r="128" spans="1:14">
      <c r="A128" s="827" t="s">
        <v>965</v>
      </c>
      <c r="B128" s="144"/>
      <c r="C128" s="144"/>
      <c r="D128" s="144"/>
      <c r="E128" s="144"/>
      <c r="F128" s="144"/>
    </row>
    <row r="129" spans="1:11">
      <c r="A129" s="827" t="s">
        <v>1087</v>
      </c>
      <c r="B129" s="144"/>
      <c r="C129" s="144"/>
      <c r="D129" s="144"/>
      <c r="E129" s="144"/>
      <c r="F129" s="144"/>
    </row>
    <row r="130" spans="1:11">
      <c r="A130" s="827" t="s">
        <v>967</v>
      </c>
      <c r="B130" s="144"/>
      <c r="C130" s="144"/>
      <c r="D130" s="144"/>
      <c r="E130" s="144"/>
      <c r="F130" s="144"/>
    </row>
    <row r="131" spans="1:11">
      <c r="A131" s="9"/>
      <c r="B131" s="144"/>
      <c r="C131" s="144"/>
      <c r="D131" s="144"/>
      <c r="E131" s="144"/>
      <c r="F131" s="144"/>
    </row>
    <row r="132" spans="1:11">
      <c r="A132" s="9" t="s">
        <v>964</v>
      </c>
      <c r="B132" s="144"/>
      <c r="C132" s="144"/>
      <c r="D132" s="144"/>
      <c r="E132" s="144"/>
      <c r="F132" s="144"/>
    </row>
    <row r="133" spans="1:11">
      <c r="A133" s="9"/>
      <c r="B133" s="144"/>
      <c r="C133" s="144"/>
      <c r="D133" s="144"/>
      <c r="E133" s="144"/>
      <c r="F133" s="144"/>
    </row>
    <row r="134" spans="1:11">
      <c r="A134" s="9"/>
      <c r="B134" s="144"/>
      <c r="C134" s="144"/>
      <c r="D134" s="144"/>
      <c r="E134" s="144"/>
      <c r="F134" s="144"/>
    </row>
    <row r="135" spans="1:11" ht="15.5">
      <c r="B135" s="825" t="s">
        <v>951</v>
      </c>
      <c r="C135" s="816"/>
      <c r="D135" s="816"/>
      <c r="E135" s="816"/>
      <c r="F135" s="816"/>
      <c r="G135" s="816"/>
      <c r="H135" s="879"/>
      <c r="I135" s="816"/>
      <c r="J135" s="816"/>
      <c r="K135" s="817"/>
    </row>
    <row r="136" spans="1:11" ht="15.5">
      <c r="B136" s="818"/>
      <c r="C136" s="819"/>
      <c r="D136" s="819"/>
      <c r="E136" s="819"/>
      <c r="F136" s="819"/>
      <c r="G136" s="819"/>
      <c r="H136" s="880"/>
      <c r="I136" s="819"/>
      <c r="J136" s="819"/>
      <c r="K136" s="820"/>
    </row>
    <row r="137" spans="1:11">
      <c r="B137" s="821" t="s">
        <v>38</v>
      </c>
      <c r="C137" s="819"/>
      <c r="D137" s="819"/>
      <c r="E137" s="819"/>
      <c r="F137" s="819"/>
      <c r="G137" s="819"/>
      <c r="H137" s="880"/>
      <c r="I137" s="819"/>
      <c r="J137" s="819"/>
      <c r="K137" s="820"/>
    </row>
    <row r="138" spans="1:11">
      <c r="B138" s="821" t="s">
        <v>960</v>
      </c>
      <c r="C138" s="819"/>
      <c r="D138" s="819"/>
      <c r="E138" s="819"/>
      <c r="F138" s="819"/>
      <c r="G138" s="819"/>
      <c r="H138" s="880"/>
      <c r="I138" s="819"/>
      <c r="J138" s="819"/>
      <c r="K138" s="820"/>
    </row>
    <row r="139" spans="1:11">
      <c r="B139" s="821" t="s">
        <v>954</v>
      </c>
      <c r="C139" s="819"/>
      <c r="D139" s="819"/>
      <c r="E139" s="819"/>
      <c r="F139" s="819"/>
      <c r="G139" s="819"/>
      <c r="H139" s="880"/>
      <c r="I139" s="819"/>
      <c r="J139" s="819"/>
      <c r="K139" s="820"/>
    </row>
    <row r="140" spans="1:11">
      <c r="B140" s="821" t="s">
        <v>39</v>
      </c>
      <c r="C140" s="819"/>
      <c r="D140" s="819"/>
      <c r="E140" s="819"/>
      <c r="F140" s="819"/>
      <c r="G140" s="819"/>
      <c r="H140" s="880"/>
      <c r="I140" s="819"/>
      <c r="J140" s="819"/>
      <c r="K140" s="820"/>
    </row>
    <row r="141" spans="1:11">
      <c r="B141" s="821" t="s">
        <v>955</v>
      </c>
      <c r="C141" s="819"/>
      <c r="D141" s="819"/>
      <c r="E141" s="819"/>
      <c r="F141" s="819"/>
      <c r="G141" s="819"/>
      <c r="H141" s="880"/>
      <c r="I141" s="819"/>
      <c r="J141" s="819"/>
      <c r="K141" s="820"/>
    </row>
    <row r="142" spans="1:11">
      <c r="B142" s="821"/>
      <c r="C142" s="819" t="s">
        <v>956</v>
      </c>
      <c r="D142" s="819"/>
      <c r="E142" s="819"/>
      <c r="F142" s="819"/>
      <c r="G142" s="819"/>
      <c r="H142" s="880"/>
      <c r="I142" s="819"/>
      <c r="J142" s="819"/>
      <c r="K142" s="820"/>
    </row>
    <row r="143" spans="1:11">
      <c r="B143" s="821" t="s">
        <v>40</v>
      </c>
      <c r="C143" s="819"/>
      <c r="D143" s="819"/>
      <c r="E143" s="819"/>
      <c r="F143" s="819"/>
      <c r="G143" s="819"/>
      <c r="H143" s="880"/>
      <c r="I143" s="819"/>
      <c r="J143" s="819"/>
      <c r="K143" s="820"/>
    </row>
    <row r="144" spans="1:11">
      <c r="B144" s="821" t="s">
        <v>41</v>
      </c>
      <c r="C144" s="819"/>
      <c r="D144" s="819"/>
      <c r="E144" s="819"/>
      <c r="F144" s="819"/>
      <c r="G144" s="819"/>
      <c r="H144" s="880"/>
      <c r="I144" s="819"/>
      <c r="J144" s="819"/>
      <c r="K144" s="820"/>
    </row>
    <row r="145" spans="1:11">
      <c r="B145" s="821" t="s">
        <v>952</v>
      </c>
      <c r="C145" s="819"/>
      <c r="D145" s="819"/>
      <c r="E145" s="819"/>
      <c r="F145" s="819"/>
      <c r="G145" s="819"/>
      <c r="H145" s="880"/>
      <c r="I145" s="819"/>
      <c r="J145" s="819"/>
      <c r="K145" s="820"/>
    </row>
    <row r="146" spans="1:11">
      <c r="B146" s="821" t="s">
        <v>42</v>
      </c>
      <c r="C146" s="819"/>
      <c r="D146" s="819"/>
      <c r="E146" s="819"/>
      <c r="F146" s="819"/>
      <c r="G146" s="819"/>
      <c r="H146" s="880"/>
      <c r="I146" s="819"/>
      <c r="J146" s="819"/>
      <c r="K146" s="820"/>
    </row>
    <row r="147" spans="1:11">
      <c r="B147" s="821" t="s">
        <v>953</v>
      </c>
      <c r="C147" s="819"/>
      <c r="D147" s="819"/>
      <c r="E147" s="819"/>
      <c r="F147" s="819"/>
      <c r="G147" s="819"/>
      <c r="H147" s="880"/>
      <c r="I147" s="819"/>
      <c r="J147" s="819"/>
      <c r="K147" s="820"/>
    </row>
    <row r="148" spans="1:11">
      <c r="B148" s="822"/>
      <c r="C148" s="823"/>
      <c r="D148" s="823"/>
      <c r="E148" s="823"/>
      <c r="F148" s="823"/>
      <c r="G148" s="823"/>
      <c r="H148" s="881"/>
      <c r="I148" s="823"/>
      <c r="J148" s="823"/>
      <c r="K148" s="824"/>
    </row>
    <row r="150" spans="1:11">
      <c r="A150" s="92" t="s">
        <v>959</v>
      </c>
    </row>
  </sheetData>
  <mergeCells count="2">
    <mergeCell ref="Y16:AA16"/>
    <mergeCell ref="Y28:AA28"/>
  </mergeCells>
  <pageMargins left="0.45" right="0" top="0.25" bottom="0.25" header="0.3" footer="0.3"/>
  <pageSetup scale="55"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IS1907"/>
  <sheetViews>
    <sheetView topLeftCell="C1195" zoomScaleNormal="100" workbookViewId="0">
      <pane ySplit="4725" topLeftCell="A1269"/>
      <selection activeCell="AM1206" sqref="AM1206"/>
      <selection pane="bottomLeft" activeCell="AK1273" sqref="AK1273"/>
    </sheetView>
  </sheetViews>
  <sheetFormatPr defaultColWidth="9.1796875" defaultRowHeight="15.5" outlineLevelCol="1"/>
  <cols>
    <col min="1" max="1" width="9.81640625" style="93" hidden="1" customWidth="1"/>
    <col min="2" max="2" width="66.453125" style="92" hidden="1" customWidth="1"/>
    <col min="3" max="3" width="5.26953125" style="92" customWidth="1"/>
    <col min="4" max="4" width="51.36328125" style="1" customWidth="1"/>
    <col min="5" max="5" width="15.7265625" customWidth="1"/>
    <col min="6" max="6" width="5" customWidth="1"/>
    <col min="7" max="8" width="5" hidden="1" customWidth="1"/>
    <col min="9" max="9" width="8.453125" hidden="1" customWidth="1"/>
    <col min="10" max="10" width="9.26953125" hidden="1" customWidth="1" outlineLevel="1"/>
    <col min="11" max="12" width="8.453125" hidden="1" customWidth="1" outlineLevel="1"/>
    <col min="13" max="13" width="8.7265625" hidden="1" customWidth="1" outlineLevel="1"/>
    <col min="14" max="14" width="9.1796875" hidden="1" customWidth="1" outlineLevel="1"/>
    <col min="15" max="15" width="9" hidden="1" customWidth="1" outlineLevel="1"/>
    <col min="16" max="16" width="7" hidden="1" customWidth="1" outlineLevel="1"/>
    <col min="17" max="20" width="11.81640625" hidden="1" customWidth="1" outlineLevel="1"/>
    <col min="21" max="21" width="11.81640625" style="1" hidden="1" customWidth="1" outlineLevel="1"/>
    <col min="22" max="22" width="9.7265625" hidden="1" customWidth="1" collapsed="1"/>
    <col min="23" max="23" width="10.08984375" style="1" hidden="1" customWidth="1"/>
    <col min="24" max="24" width="10.81640625" hidden="1" customWidth="1"/>
    <col min="25" max="25" width="14.1796875" style="1" hidden="1" customWidth="1"/>
    <col min="26" max="26" width="12.54296875" hidden="1" customWidth="1"/>
    <col min="27" max="28" width="12.54296875" style="1" hidden="1" customWidth="1"/>
    <col min="29" max="29" width="9" style="1" hidden="1" customWidth="1"/>
    <col min="30" max="31" width="9.6328125" style="1" hidden="1" customWidth="1"/>
    <col min="32" max="44" width="9.6328125" style="1" customWidth="1"/>
    <col min="45" max="46" width="12.26953125" style="1" hidden="1" customWidth="1"/>
    <col min="47" max="47" width="20.81640625" style="1" customWidth="1"/>
    <col min="48" max="48" width="17.453125" style="1" customWidth="1"/>
    <col min="49" max="49" width="14.1796875" style="1" customWidth="1"/>
    <col min="50" max="50" width="15.1796875" style="1" customWidth="1"/>
    <col min="51" max="51" width="11.54296875" style="1" customWidth="1"/>
    <col min="52" max="53" width="10.453125" style="1" customWidth="1"/>
    <col min="54" max="55" width="10.7265625" style="1" customWidth="1"/>
    <col min="56" max="56" width="11.26953125" style="1" customWidth="1"/>
    <col min="57" max="57" width="10.7265625" style="1" customWidth="1"/>
    <col min="58" max="58" width="11.26953125" style="1" customWidth="1"/>
    <col min="59" max="59" width="10.26953125" style="1" bestFit="1" customWidth="1"/>
    <col min="60" max="60" width="11.26953125" style="1" bestFit="1" customWidth="1"/>
    <col min="61" max="16384" width="9.1796875" style="1"/>
  </cols>
  <sheetData>
    <row r="1" spans="1:46">
      <c r="A1" s="832" t="s">
        <v>9</v>
      </c>
      <c r="B1" s="833" t="s">
        <v>26</v>
      </c>
      <c r="C1" s="834" t="s">
        <v>36</v>
      </c>
    </row>
    <row r="2" spans="1:46">
      <c r="E2" s="951"/>
      <c r="F2" s="952">
        <v>1995</v>
      </c>
      <c r="G2" s="952">
        <v>1996</v>
      </c>
      <c r="H2" s="952">
        <v>1997</v>
      </c>
      <c r="I2" s="952">
        <v>1998</v>
      </c>
      <c r="J2" s="952">
        <v>1999</v>
      </c>
      <c r="K2" s="952">
        <v>2000</v>
      </c>
      <c r="L2" s="952">
        <v>2001</v>
      </c>
      <c r="M2" s="952">
        <v>2002</v>
      </c>
      <c r="N2" s="952">
        <v>2003</v>
      </c>
      <c r="O2" s="952">
        <v>2004</v>
      </c>
      <c r="P2" s="952">
        <v>2005</v>
      </c>
      <c r="Q2" s="952">
        <v>2006</v>
      </c>
      <c r="R2" s="952">
        <v>2007</v>
      </c>
      <c r="S2" s="952">
        <v>2008</v>
      </c>
      <c r="T2" s="952">
        <v>2009</v>
      </c>
      <c r="U2" s="952">
        <v>2010</v>
      </c>
      <c r="V2" s="952">
        <v>2011</v>
      </c>
      <c r="W2" s="952">
        <v>2012</v>
      </c>
      <c r="X2" s="952">
        <v>2013</v>
      </c>
      <c r="Y2" s="952">
        <v>2014</v>
      </c>
      <c r="Z2" s="952">
        <f t="shared" ref="Z2:AF2" si="0">+Y2+1</f>
        <v>2015</v>
      </c>
      <c r="AA2" s="952">
        <f t="shared" si="0"/>
        <v>2016</v>
      </c>
      <c r="AB2" s="952">
        <f t="shared" si="0"/>
        <v>2017</v>
      </c>
      <c r="AC2" s="952">
        <f t="shared" si="0"/>
        <v>2018</v>
      </c>
      <c r="AD2" s="952">
        <f t="shared" si="0"/>
        <v>2019</v>
      </c>
      <c r="AE2" s="952">
        <f t="shared" si="0"/>
        <v>2020</v>
      </c>
      <c r="AF2" s="1">
        <f t="shared" si="0"/>
        <v>2021</v>
      </c>
    </row>
    <row r="3" spans="1:46">
      <c r="D3" s="89" t="s">
        <v>98</v>
      </c>
      <c r="E3" s="953"/>
      <c r="F3" s="954"/>
      <c r="G3" s="954"/>
      <c r="H3" s="954"/>
      <c r="I3" s="954"/>
      <c r="J3" s="954"/>
      <c r="K3" s="954"/>
      <c r="L3" s="954"/>
      <c r="M3" s="954"/>
      <c r="N3" s="954"/>
      <c r="O3" s="954"/>
      <c r="P3" s="954"/>
      <c r="Q3" s="954"/>
      <c r="R3" s="954"/>
      <c r="S3" s="954"/>
      <c r="T3" s="954"/>
      <c r="U3" s="954"/>
      <c r="V3" s="954"/>
      <c r="W3" s="954"/>
      <c r="X3" s="954"/>
      <c r="Y3" s="954"/>
      <c r="Z3" s="954"/>
      <c r="AA3" s="954"/>
      <c r="AB3" s="954"/>
      <c r="AC3" s="954"/>
      <c r="AD3" s="954"/>
      <c r="AE3" s="954"/>
    </row>
    <row r="4" spans="1:46">
      <c r="D4" s="9"/>
      <c r="E4" s="67"/>
      <c r="F4" s="68"/>
      <c r="G4" s="68"/>
      <c r="H4" s="68"/>
      <c r="I4" s="68"/>
      <c r="J4" s="68"/>
      <c r="K4" s="68"/>
      <c r="L4" s="68"/>
      <c r="M4" s="68"/>
      <c r="N4" s="68"/>
      <c r="O4" s="68"/>
      <c r="P4" s="68"/>
      <c r="Q4" s="68"/>
      <c r="R4" s="68"/>
      <c r="S4" s="68"/>
      <c r="T4" s="68"/>
      <c r="U4" s="68"/>
      <c r="V4" s="68"/>
      <c r="W4" s="68"/>
      <c r="X4" s="68"/>
      <c r="Y4" s="68"/>
      <c r="Z4" s="68"/>
      <c r="AA4" s="68"/>
      <c r="AB4" s="68"/>
      <c r="AC4" s="68"/>
      <c r="AD4" s="68"/>
      <c r="AE4" s="68"/>
      <c r="AF4" s="68"/>
      <c r="AG4" s="68"/>
      <c r="AH4" s="68"/>
      <c r="AI4" s="68"/>
      <c r="AJ4" s="68"/>
      <c r="AK4" s="68"/>
      <c r="AL4" s="68"/>
      <c r="AM4" s="68"/>
      <c r="AN4" s="68"/>
      <c r="AO4" s="68"/>
      <c r="AP4" s="68"/>
      <c r="AQ4" s="68"/>
      <c r="AR4" s="68"/>
      <c r="AS4" s="68"/>
      <c r="AT4" s="68"/>
    </row>
    <row r="5" spans="1:46" ht="18.5">
      <c r="A5" s="97"/>
      <c r="D5" s="85" t="s">
        <v>91</v>
      </c>
      <c r="E5" s="86"/>
      <c r="F5" s="86"/>
      <c r="G5" s="86"/>
      <c r="H5" s="86"/>
      <c r="I5" s="69"/>
      <c r="J5" s="70"/>
      <c r="K5" s="69"/>
      <c r="L5" s="70"/>
      <c r="M5" s="69"/>
      <c r="N5" s="70"/>
      <c r="O5" s="69"/>
      <c r="P5" s="70"/>
      <c r="Q5" s="69"/>
      <c r="R5" s="70"/>
      <c r="S5" s="69"/>
      <c r="T5" s="70"/>
      <c r="U5" s="69"/>
      <c r="V5" s="70"/>
      <c r="W5" s="69"/>
      <c r="X5" s="70"/>
      <c r="Y5" s="70"/>
      <c r="Z5" s="70"/>
      <c r="AA5" s="70"/>
      <c r="AB5" s="87"/>
      <c r="AC5" s="87"/>
      <c r="AD5" s="87"/>
      <c r="AE5" s="87"/>
    </row>
    <row r="6" spans="1:46" ht="16" thickBot="1">
      <c r="A6" s="97" t="s">
        <v>43</v>
      </c>
      <c r="B6" s="92" t="s">
        <v>92</v>
      </c>
      <c r="D6" s="505" t="s">
        <v>714</v>
      </c>
      <c r="E6" s="9"/>
      <c r="F6" s="9"/>
      <c r="G6" s="9"/>
      <c r="H6" s="9"/>
      <c r="I6" s="2"/>
      <c r="J6" s="2"/>
      <c r="K6" s="2"/>
      <c r="L6" s="2"/>
      <c r="M6" s="2"/>
      <c r="N6" s="2"/>
      <c r="O6" s="2"/>
      <c r="P6" s="2"/>
      <c r="Q6" s="2"/>
      <c r="R6" s="2"/>
      <c r="S6" s="2"/>
      <c r="T6" s="2"/>
      <c r="U6" s="554">
        <v>2010</v>
      </c>
      <c r="V6" s="555" t="s">
        <v>709</v>
      </c>
      <c r="W6" s="555">
        <v>2012</v>
      </c>
      <c r="X6" s="555">
        <v>2013</v>
      </c>
      <c r="Y6" s="555">
        <v>2014</v>
      </c>
      <c r="Z6" s="555">
        <v>2015</v>
      </c>
      <c r="AA6" s="555">
        <v>2016</v>
      </c>
      <c r="AB6" s="555">
        <v>2017</v>
      </c>
      <c r="AC6" s="555">
        <v>2018</v>
      </c>
      <c r="AD6" s="555">
        <v>2019</v>
      </c>
      <c r="AE6" s="555">
        <v>2020</v>
      </c>
      <c r="AF6" s="555">
        <v>2021</v>
      </c>
      <c r="AG6" s="555">
        <v>2022</v>
      </c>
      <c r="AH6" s="555">
        <v>2023</v>
      </c>
      <c r="AI6" s="555">
        <v>2024</v>
      </c>
      <c r="AJ6" s="555">
        <v>2025</v>
      </c>
      <c r="AK6" s="555">
        <v>2026</v>
      </c>
      <c r="AL6" s="555">
        <v>2027</v>
      </c>
    </row>
    <row r="7" spans="1:46">
      <c r="A7" s="97"/>
      <c r="D7" s="135" t="s">
        <v>715</v>
      </c>
      <c r="E7" s="48"/>
      <c r="F7" s="48"/>
      <c r="G7" s="48"/>
      <c r="H7" s="48"/>
      <c r="I7" s="521" t="s">
        <v>3604</v>
      </c>
      <c r="J7" s="521" t="s">
        <v>3605</v>
      </c>
      <c r="K7" s="521" t="s">
        <v>3606</v>
      </c>
      <c r="L7" s="521" t="s">
        <v>3607</v>
      </c>
      <c r="M7" s="521" t="s">
        <v>3608</v>
      </c>
      <c r="N7" s="521" t="s">
        <v>3609</v>
      </c>
      <c r="O7" s="521" t="s">
        <v>3610</v>
      </c>
      <c r="P7" s="50" t="s">
        <v>3611</v>
      </c>
      <c r="Q7" s="51" t="s">
        <v>3612</v>
      </c>
      <c r="R7" s="51" t="s">
        <v>3613</v>
      </c>
      <c r="S7" s="51" t="s">
        <v>3614</v>
      </c>
      <c r="T7" s="51" t="s">
        <v>3615</v>
      </c>
      <c r="U7" s="520" t="s">
        <v>3616</v>
      </c>
      <c r="V7" s="521" t="s">
        <v>3617</v>
      </c>
      <c r="W7" s="116" t="s">
        <v>3618</v>
      </c>
      <c r="X7" s="116" t="s">
        <v>3619</v>
      </c>
      <c r="Y7" s="116" t="s">
        <v>3620</v>
      </c>
      <c r="Z7" s="116" t="s">
        <v>3621</v>
      </c>
      <c r="AA7" s="116" t="s">
        <v>3622</v>
      </c>
      <c r="AB7" s="116" t="s">
        <v>3623</v>
      </c>
      <c r="AC7" s="116" t="s">
        <v>3624</v>
      </c>
      <c r="AD7" s="116" t="s">
        <v>3625</v>
      </c>
      <c r="AE7" s="116" t="s">
        <v>3626</v>
      </c>
      <c r="AF7" s="116" t="s">
        <v>3627</v>
      </c>
      <c r="AG7" s="116" t="s">
        <v>3628</v>
      </c>
      <c r="AH7" s="116" t="s">
        <v>3629</v>
      </c>
      <c r="AI7" s="116" t="s">
        <v>3630</v>
      </c>
      <c r="AJ7" s="116" t="s">
        <v>3631</v>
      </c>
      <c r="AK7" s="116" t="s">
        <v>3632</v>
      </c>
      <c r="AL7" s="116" t="s">
        <v>3633</v>
      </c>
      <c r="AM7" s="116" t="s">
        <v>3634</v>
      </c>
      <c r="AN7" s="116" t="s">
        <v>3635</v>
      </c>
      <c r="AO7" s="116" t="s">
        <v>3636</v>
      </c>
      <c r="AP7" s="116" t="s">
        <v>3712</v>
      </c>
      <c r="AQ7" s="116" t="s">
        <v>3713</v>
      </c>
      <c r="AR7" s="116" t="s">
        <v>3714</v>
      </c>
      <c r="AS7" s="116" t="s">
        <v>3715</v>
      </c>
      <c r="AT7" s="116" t="s">
        <v>3716</v>
      </c>
    </row>
    <row r="8" spans="1:46">
      <c r="A8" s="97"/>
      <c r="C8" s="91" t="s">
        <v>27</v>
      </c>
      <c r="D8" s="136"/>
      <c r="E8" s="48"/>
      <c r="F8" s="48" t="s">
        <v>27</v>
      </c>
      <c r="G8" s="48"/>
      <c r="H8" s="48"/>
      <c r="I8" s="48"/>
      <c r="J8" s="48"/>
      <c r="K8" s="48"/>
      <c r="L8" s="48"/>
      <c r="M8" s="48"/>
      <c r="N8" s="48"/>
      <c r="O8" s="49"/>
      <c r="P8" s="52"/>
      <c r="Q8" s="53"/>
      <c r="R8" s="53"/>
      <c r="S8" s="53"/>
      <c r="T8" s="53"/>
      <c r="U8" s="53"/>
      <c r="V8" s="52"/>
      <c r="W8" s="53"/>
      <c r="X8" s="53"/>
      <c r="Y8" s="53"/>
      <c r="Z8" s="53"/>
      <c r="AA8" s="53"/>
      <c r="AB8" s="53"/>
      <c r="AC8" s="53"/>
      <c r="AD8" s="53"/>
      <c r="AE8" s="53"/>
      <c r="AF8" s="53"/>
      <c r="AG8" s="53"/>
      <c r="AH8" s="53"/>
      <c r="AI8" s="53"/>
      <c r="AJ8" s="53"/>
      <c r="AK8" s="53"/>
      <c r="AL8" s="1784"/>
      <c r="AM8" s="1784"/>
      <c r="AN8" s="1784"/>
      <c r="AO8" s="1784"/>
      <c r="AP8" s="1784"/>
      <c r="AQ8" s="1784"/>
      <c r="AR8" s="1784"/>
      <c r="AS8" s="1784"/>
      <c r="AT8" s="1784"/>
    </row>
    <row r="9" spans="1:46">
      <c r="A9" s="97"/>
      <c r="C9" s="91" t="s">
        <v>27</v>
      </c>
      <c r="D9" s="135" t="s">
        <v>13</v>
      </c>
      <c r="E9" s="48"/>
      <c r="F9" s="48" t="s">
        <v>27</v>
      </c>
      <c r="G9" s="48"/>
      <c r="H9" s="48"/>
      <c r="I9" s="48"/>
      <c r="J9" s="48"/>
      <c r="K9" s="48"/>
      <c r="L9" s="48"/>
      <c r="M9" s="48"/>
      <c r="N9" s="48"/>
      <c r="O9" s="49"/>
      <c r="P9" s="52"/>
      <c r="Q9" s="53"/>
      <c r="R9" s="53"/>
      <c r="S9" s="53"/>
      <c r="T9" s="53"/>
      <c r="U9" s="53"/>
      <c r="V9" s="52"/>
      <c r="W9" s="53"/>
      <c r="X9" s="53"/>
      <c r="Y9" s="53"/>
      <c r="Z9" s="53"/>
      <c r="AA9" s="53"/>
      <c r="AB9" s="53"/>
      <c r="AC9" s="53"/>
      <c r="AD9" s="53"/>
      <c r="AE9" s="53"/>
      <c r="AF9" s="53"/>
      <c r="AG9" s="53"/>
      <c r="AH9" s="53"/>
      <c r="AI9" s="53"/>
      <c r="AJ9" s="53"/>
      <c r="AK9" s="53"/>
      <c r="AL9" s="1784"/>
      <c r="AM9" s="1784"/>
      <c r="AN9" s="1784"/>
      <c r="AO9" s="1784"/>
      <c r="AP9" s="1784" t="s">
        <v>3786</v>
      </c>
      <c r="AQ9" s="1784"/>
      <c r="AR9" s="1784"/>
      <c r="AS9" s="1784"/>
      <c r="AT9" s="1784"/>
    </row>
    <row r="10" spans="1:46">
      <c r="A10" s="97"/>
      <c r="C10" s="91"/>
      <c r="D10" s="136" t="s">
        <v>14</v>
      </c>
      <c r="E10" s="137" t="s">
        <v>10</v>
      </c>
      <c r="F10" s="48"/>
      <c r="G10" s="48"/>
      <c r="H10" s="48"/>
      <c r="I10" s="48">
        <v>82.839698160812716</v>
      </c>
      <c r="J10" s="48">
        <v>85.845416417819393</v>
      </c>
      <c r="K10" s="48">
        <v>89.41538406680796</v>
      </c>
      <c r="L10" s="48">
        <v>90.825055416668931</v>
      </c>
      <c r="M10" s="48">
        <v>92.314949939256309</v>
      </c>
      <c r="N10" s="48">
        <v>94.18421006820499</v>
      </c>
      <c r="O10" s="49">
        <v>97.246459927204086</v>
      </c>
      <c r="P10" s="54">
        <v>100</v>
      </c>
      <c r="Q10" s="55">
        <v>103.08495085916576</v>
      </c>
      <c r="R10" s="55">
        <v>105.92252641223247</v>
      </c>
      <c r="S10" s="55">
        <v>106.25695215748682</v>
      </c>
      <c r="T10" s="55">
        <v>102.68345671356913</v>
      </c>
      <c r="U10" s="55">
        <v>105.87424596246761</v>
      </c>
      <c r="V10" s="54">
        <v>107.74345090445723</v>
      </c>
      <c r="W10" s="55">
        <v>108.98490372763976</v>
      </c>
      <c r="X10" s="55">
        <v>110.60928616058132</v>
      </c>
      <c r="Y10" s="55">
        <v>112.94013261607515</v>
      </c>
      <c r="Z10" s="55">
        <v>115.64267603174818</v>
      </c>
      <c r="AA10" s="55">
        <v>117.76315400194231</v>
      </c>
      <c r="AB10" s="55">
        <v>120.81067152229093</v>
      </c>
      <c r="AC10" s="55">
        <v>123.56919591301039</v>
      </c>
      <c r="AD10" s="55">
        <v>125.88286261559807</v>
      </c>
      <c r="AE10" s="55">
        <v>120.89993791715403</v>
      </c>
      <c r="AF10" s="55">
        <v>128.14292944884772</v>
      </c>
      <c r="AG10" s="55">
        <v>131.91247606018678</v>
      </c>
      <c r="AH10" s="55">
        <v>134.19740868092171</v>
      </c>
      <c r="AI10" s="55">
        <v>136.55762917934555</v>
      </c>
      <c r="AJ10" s="55">
        <v>139.13188090598797</v>
      </c>
      <c r="AK10" s="55">
        <v>141.58627730468612</v>
      </c>
      <c r="AL10" s="1785">
        <v>144.04091636043253</v>
      </c>
      <c r="AM10" s="1785">
        <v>146.49200490858868</v>
      </c>
      <c r="AN10" s="1785">
        <v>148.92495778513947</v>
      </c>
      <c r="AO10" s="1785">
        <v>151.38123836065063</v>
      </c>
      <c r="AP10" s="1785">
        <v>153.87803138186172</v>
      </c>
      <c r="AQ10" s="1785">
        <v>156.41600503720079</v>
      </c>
      <c r="AR10" s="1785">
        <v>158.99583853580239</v>
      </c>
      <c r="AS10" s="1785">
        <v>161.61822228927673</v>
      </c>
      <c r="AT10" s="1785">
        <v>164.28385809647659</v>
      </c>
    </row>
    <row r="11" spans="1:46">
      <c r="A11" s="97"/>
      <c r="B11" s="92" t="s">
        <v>44</v>
      </c>
      <c r="C11" s="91" t="s">
        <v>27</v>
      </c>
      <c r="D11" s="136" t="s">
        <v>15</v>
      </c>
      <c r="E11" s="137" t="s">
        <v>10</v>
      </c>
      <c r="F11" s="48" t="s">
        <v>27</v>
      </c>
      <c r="G11" s="48"/>
      <c r="H11" s="48"/>
      <c r="I11" s="48">
        <v>69.211043891385543</v>
      </c>
      <c r="J11" s="48">
        <v>71.636777546183254</v>
      </c>
      <c r="K11" s="48">
        <v>75.669980017045972</v>
      </c>
      <c r="L11" s="48">
        <v>78.481872193081998</v>
      </c>
      <c r="M11" s="48">
        <v>81.879226867010843</v>
      </c>
      <c r="N11" s="48">
        <v>86.832756777718458</v>
      </c>
      <c r="O11" s="49">
        <v>93.546972967517206</v>
      </c>
      <c r="P11" s="54">
        <v>100</v>
      </c>
      <c r="Q11" s="55">
        <v>107.75889950722441</v>
      </c>
      <c r="R11" s="55">
        <v>116.50922864323118</v>
      </c>
      <c r="S11" s="55">
        <v>122.98957874338782</v>
      </c>
      <c r="T11" s="55">
        <v>126.09956415753668</v>
      </c>
      <c r="U11" s="55">
        <v>135.15916522311912</v>
      </c>
      <c r="V11" s="54">
        <v>143.42984645387449</v>
      </c>
      <c r="W11" s="55">
        <v>150.94877940119051</v>
      </c>
      <c r="X11" s="55">
        <v>158.3773094264844</v>
      </c>
      <c r="Y11" s="55">
        <v>165.76324044933085</v>
      </c>
      <c r="Z11" s="55">
        <v>172.83847264711204</v>
      </c>
      <c r="AA11" s="55">
        <v>180.42180740523935</v>
      </c>
      <c r="AB11" s="55">
        <v>189.09774545113848</v>
      </c>
      <c r="AC11" s="55">
        <v>197.907410418175</v>
      </c>
      <c r="AD11" s="55">
        <v>205.21420820962294</v>
      </c>
      <c r="AE11" s="55">
        <v>201.61135114593677</v>
      </c>
      <c r="AF11" s="55">
        <v>215.73535061105576</v>
      </c>
      <c r="AG11" s="55">
        <v>224.33084797258181</v>
      </c>
      <c r="AH11" s="55">
        <v>234.34995773872052</v>
      </c>
      <c r="AI11" s="55">
        <v>244.19589453228343</v>
      </c>
      <c r="AJ11" s="55">
        <v>254.31483803271448</v>
      </c>
      <c r="AK11" s="55">
        <v>265.19004025566721</v>
      </c>
      <c r="AL11" s="1785">
        <v>276.49004396515204</v>
      </c>
      <c r="AM11" s="1785">
        <v>287.7208175145704</v>
      </c>
      <c r="AN11" s="1785">
        <v>299.2862748149069</v>
      </c>
      <c r="AO11" s="1785">
        <v>311.29659460143131</v>
      </c>
      <c r="AP11" s="1785">
        <v>323.78888697912714</v>
      </c>
      <c r="AQ11" s="1785">
        <v>336.78249344620338</v>
      </c>
      <c r="AR11" s="1785">
        <v>350.29753167270911</v>
      </c>
      <c r="AS11" s="1785">
        <v>364.35492664820987</v>
      </c>
      <c r="AT11" s="1785">
        <v>378.97644307941607</v>
      </c>
    </row>
    <row r="12" spans="1:46">
      <c r="A12" s="97"/>
      <c r="B12" s="92" t="s">
        <v>10</v>
      </c>
      <c r="C12" s="91" t="s">
        <v>27</v>
      </c>
      <c r="D12" s="135" t="s">
        <v>16</v>
      </c>
      <c r="E12" s="137"/>
      <c r="F12" s="48"/>
      <c r="G12" s="48"/>
      <c r="H12" s="48"/>
      <c r="I12" s="48"/>
      <c r="J12" s="48"/>
      <c r="K12" s="48"/>
      <c r="L12" s="48"/>
      <c r="M12" s="48"/>
      <c r="N12" s="48"/>
      <c r="O12" s="49"/>
      <c r="P12" s="56"/>
      <c r="Q12" s="57"/>
      <c r="R12" s="57"/>
      <c r="S12" s="57"/>
      <c r="T12" s="57"/>
      <c r="U12" s="57"/>
      <c r="V12" s="56"/>
      <c r="W12" s="57"/>
      <c r="X12" s="57"/>
      <c r="Y12" s="57"/>
      <c r="Z12" s="57"/>
      <c r="AA12" s="57"/>
      <c r="AB12" s="57"/>
      <c r="AC12" s="57"/>
      <c r="AD12" s="57"/>
      <c r="AE12" s="57"/>
      <c r="AF12" s="57"/>
      <c r="AG12" s="57"/>
      <c r="AH12" s="57"/>
      <c r="AI12" s="57"/>
      <c r="AJ12" s="57"/>
      <c r="AK12" s="57"/>
      <c r="AL12" s="1786"/>
      <c r="AM12" s="1786"/>
      <c r="AN12" s="1786"/>
      <c r="AO12" s="1786"/>
      <c r="AP12" s="1786"/>
      <c r="AQ12" s="1786"/>
      <c r="AR12" s="1786"/>
      <c r="AS12" s="1786"/>
      <c r="AT12" s="1786"/>
    </row>
    <row r="13" spans="1:46">
      <c r="A13" s="97"/>
      <c r="B13" s="92" t="s">
        <v>27</v>
      </c>
      <c r="C13" s="91" t="s">
        <v>27</v>
      </c>
      <c r="D13" s="136" t="s">
        <v>14</v>
      </c>
      <c r="E13" s="137" t="s">
        <v>11</v>
      </c>
      <c r="F13" s="48" t="s">
        <v>27</v>
      </c>
      <c r="G13" s="48"/>
      <c r="H13" s="48"/>
      <c r="I13" s="48">
        <v>88.904588839262601</v>
      </c>
      <c r="J13" s="48">
        <v>89.722572444049618</v>
      </c>
      <c r="K13" s="48">
        <v>91.189727458877542</v>
      </c>
      <c r="L13" s="48">
        <v>92.9458144447227</v>
      </c>
      <c r="M13" s="48">
        <v>94.398217600419684</v>
      </c>
      <c r="N13" s="48">
        <v>95.986294633289006</v>
      </c>
      <c r="O13" s="49">
        <v>97.925404645347868</v>
      </c>
      <c r="P13" s="54">
        <v>100</v>
      </c>
      <c r="Q13" s="55">
        <v>102.12400119459291</v>
      </c>
      <c r="R13" s="55">
        <v>104.464780246852</v>
      </c>
      <c r="S13" s="55">
        <v>106.51760214648505</v>
      </c>
      <c r="T13" s="55">
        <v>107.29667732531595</v>
      </c>
      <c r="U13" s="55">
        <v>108.31150202865226</v>
      </c>
      <c r="V13" s="54">
        <v>109.80281836042371</v>
      </c>
      <c r="W13" s="55">
        <v>111.19139053633171</v>
      </c>
      <c r="X13" s="55">
        <v>112.64058163890664</v>
      </c>
      <c r="Y13" s="55">
        <v>114.19402897539423</v>
      </c>
      <c r="Z13" s="55">
        <v>115.59510574525522</v>
      </c>
      <c r="AA13" s="55">
        <v>116.70289979439508</v>
      </c>
      <c r="AB13" s="55">
        <v>118.38110748776324</v>
      </c>
      <c r="AC13" s="55">
        <v>120.39770700317428</v>
      </c>
      <c r="AD13" s="55">
        <v>122.17515623943133</v>
      </c>
      <c r="AE13" s="55">
        <v>124.15119947008581</v>
      </c>
      <c r="AF13" s="55">
        <v>128.21109491246548</v>
      </c>
      <c r="AG13" s="55">
        <v>135.55680664883153</v>
      </c>
      <c r="AH13" s="55">
        <v>141.15257250710872</v>
      </c>
      <c r="AI13" s="55">
        <v>144.97343342989535</v>
      </c>
      <c r="AJ13" s="55">
        <v>148.35233341256466</v>
      </c>
      <c r="AK13" s="55">
        <v>151.26939376496756</v>
      </c>
      <c r="AL13" s="1785">
        <v>154.20480411883804</v>
      </c>
      <c r="AM13" s="1785">
        <v>157.17405438349539</v>
      </c>
      <c r="AN13" s="1785">
        <v>160.20784235507085</v>
      </c>
      <c r="AO13" s="1785">
        <v>163.34253664379818</v>
      </c>
      <c r="AP13" s="1785">
        <v>163.34253664379818</v>
      </c>
      <c r="AQ13" s="1785">
        <v>163.34253664379818</v>
      </c>
      <c r="AR13" s="1785">
        <v>163.34253664379818</v>
      </c>
      <c r="AS13" s="1785">
        <v>163.34253664379818</v>
      </c>
      <c r="AT13" s="1785">
        <v>163.34253664379818</v>
      </c>
    </row>
    <row r="14" spans="1:46">
      <c r="A14" s="97"/>
      <c r="B14" s="92" t="s">
        <v>11</v>
      </c>
      <c r="C14" s="91" t="s">
        <v>27</v>
      </c>
      <c r="D14" s="135" t="s">
        <v>17</v>
      </c>
      <c r="E14" s="137"/>
      <c r="F14" s="48"/>
      <c r="G14" s="48"/>
      <c r="H14" s="48"/>
      <c r="I14" s="48"/>
      <c r="J14" s="48"/>
      <c r="K14" s="48"/>
      <c r="L14" s="48"/>
      <c r="M14" s="48"/>
      <c r="N14" s="48"/>
      <c r="O14" s="49"/>
      <c r="P14" s="56"/>
      <c r="Q14" s="57"/>
      <c r="R14" s="57"/>
      <c r="S14" s="57"/>
      <c r="T14" s="57"/>
      <c r="U14" s="57"/>
      <c r="V14" s="56"/>
      <c r="W14" s="57"/>
      <c r="X14" s="57"/>
      <c r="Y14" s="57"/>
      <c r="Z14" s="57"/>
      <c r="AA14" s="57"/>
      <c r="AB14" s="57"/>
      <c r="AC14" s="57"/>
      <c r="AD14" s="57"/>
      <c r="AE14" s="57"/>
      <c r="AF14" s="57"/>
      <c r="AG14" s="57"/>
      <c r="AH14" s="57"/>
      <c r="AI14" s="57"/>
      <c r="AJ14" s="57"/>
      <c r="AK14" s="57"/>
      <c r="AL14" s="1786"/>
      <c r="AM14" s="1786"/>
      <c r="AN14" s="1786"/>
      <c r="AO14" s="1786"/>
      <c r="AP14" s="1786"/>
      <c r="AQ14" s="1786"/>
      <c r="AR14" s="1786"/>
      <c r="AS14" s="1786"/>
      <c r="AT14" s="1786"/>
    </row>
    <row r="15" spans="1:46">
      <c r="A15" s="97"/>
      <c r="B15" s="92" t="s">
        <v>27</v>
      </c>
      <c r="C15" s="91" t="s">
        <v>27</v>
      </c>
      <c r="D15" s="136" t="s">
        <v>18</v>
      </c>
      <c r="E15" s="137" t="s">
        <v>11</v>
      </c>
      <c r="F15" s="48" t="s">
        <v>27</v>
      </c>
      <c r="G15" s="48"/>
      <c r="H15" s="48"/>
      <c r="I15" s="48">
        <v>63.957543980267403</v>
      </c>
      <c r="J15" s="48">
        <v>67.228414986357052</v>
      </c>
      <c r="K15" s="48">
        <v>75.631619361802422</v>
      </c>
      <c r="L15" s="48">
        <v>76.107921619345376</v>
      </c>
      <c r="M15" s="48">
        <v>79.076926343066205</v>
      </c>
      <c r="N15" s="48">
        <v>83.595131045402212</v>
      </c>
      <c r="O15" s="49">
        <v>92.667131157282924</v>
      </c>
      <c r="P15" s="54">
        <v>100</v>
      </c>
      <c r="Q15" s="55">
        <v>109.39809062450894</v>
      </c>
      <c r="R15" s="55">
        <v>118.11487241770442</v>
      </c>
      <c r="S15" s="55">
        <v>121.58725155855817</v>
      </c>
      <c r="T15" s="55">
        <v>109.16116929463175</v>
      </c>
      <c r="U15" s="55">
        <v>123.01326188105114</v>
      </c>
      <c r="V15" s="54">
        <v>131.39537434963228</v>
      </c>
      <c r="W15" s="55">
        <v>135.27849312405127</v>
      </c>
      <c r="X15" s="55">
        <v>140.12352410785576</v>
      </c>
      <c r="Y15" s="55">
        <v>145.51500306612434</v>
      </c>
      <c r="Z15" s="55">
        <v>149.88274793044891</v>
      </c>
      <c r="AA15" s="55">
        <v>153.27483502498535</v>
      </c>
      <c r="AB15" s="55">
        <v>161.67931084497388</v>
      </c>
      <c r="AC15" s="55">
        <v>168.07446946790708</v>
      </c>
      <c r="AD15" s="55">
        <v>170.00930257156392</v>
      </c>
      <c r="AE15" s="55">
        <v>155.74230070845874</v>
      </c>
      <c r="AF15" s="55">
        <v>172.66535291142532</v>
      </c>
      <c r="AG15" s="55">
        <v>182.59909576846832</v>
      </c>
      <c r="AH15" s="55">
        <v>184.13472230992707</v>
      </c>
      <c r="AI15" s="55">
        <v>190.20127962950113</v>
      </c>
      <c r="AJ15" s="55">
        <v>195.82713620549339</v>
      </c>
      <c r="AK15" s="55">
        <v>202.10003369030409</v>
      </c>
      <c r="AL15" s="1785">
        <v>208.6666738191133</v>
      </c>
      <c r="AM15" s="1785">
        <v>215.62600473906556</v>
      </c>
      <c r="AN15" s="1785">
        <v>222.81771990774473</v>
      </c>
      <c r="AO15" s="1785">
        <v>230.09464129464641</v>
      </c>
      <c r="AP15" s="1785">
        <v>237.60921696188572</v>
      </c>
      <c r="AQ15" s="1785">
        <v>245.36920837258145</v>
      </c>
      <c r="AR15" s="1785">
        <v>253.38263046860169</v>
      </c>
      <c r="AS15" s="1785">
        <v>261.65775994883239</v>
      </c>
      <c r="AT15" s="1785">
        <v>270.20314381780292</v>
      </c>
    </row>
    <row r="16" spans="1:46">
      <c r="A16" s="97"/>
      <c r="B16" s="92" t="s">
        <v>11</v>
      </c>
      <c r="C16" s="91" t="s">
        <v>27</v>
      </c>
      <c r="D16" s="135" t="s">
        <v>19</v>
      </c>
      <c r="E16" s="137"/>
      <c r="F16" s="48"/>
      <c r="G16" s="48"/>
      <c r="H16" s="48"/>
      <c r="I16" s="48"/>
      <c r="J16" s="48"/>
      <c r="K16" s="48"/>
      <c r="L16" s="48"/>
      <c r="M16" s="48"/>
      <c r="N16" s="48"/>
      <c r="O16" s="49"/>
      <c r="P16" s="58"/>
      <c r="Q16" s="59"/>
      <c r="R16" s="59"/>
      <c r="S16" s="59"/>
      <c r="T16" s="59"/>
      <c r="U16" s="59"/>
      <c r="V16" s="58"/>
      <c r="W16" s="59"/>
      <c r="X16" s="59"/>
      <c r="Y16" s="59"/>
      <c r="Z16" s="59"/>
      <c r="AA16" s="59"/>
      <c r="AB16" s="59"/>
      <c r="AC16" s="59"/>
      <c r="AD16" s="59"/>
      <c r="AE16" s="59"/>
      <c r="AF16" s="59"/>
      <c r="AG16" s="59"/>
      <c r="AH16" s="59"/>
      <c r="AI16" s="59"/>
      <c r="AJ16" s="59"/>
      <c r="AK16" s="59"/>
      <c r="AL16" s="1787"/>
      <c r="AM16" s="1787"/>
      <c r="AN16" s="1787"/>
      <c r="AO16" s="1787"/>
      <c r="AP16" s="1787"/>
      <c r="AQ16" s="1787"/>
      <c r="AR16" s="1787"/>
      <c r="AS16" s="1787"/>
      <c r="AT16" s="1787"/>
    </row>
    <row r="17" spans="1:46">
      <c r="A17" s="97"/>
      <c r="C17" s="91"/>
      <c r="D17" s="136" t="s">
        <v>209</v>
      </c>
      <c r="E17" s="137" t="s">
        <v>11</v>
      </c>
      <c r="F17" s="48"/>
      <c r="G17" s="48"/>
      <c r="H17" s="48"/>
      <c r="I17" s="48">
        <v>92.238099085554879</v>
      </c>
      <c r="J17" s="48">
        <v>88.441720518046793</v>
      </c>
      <c r="K17" s="48">
        <v>84.747788825218379</v>
      </c>
      <c r="L17" s="48">
        <v>81.802543199297986</v>
      </c>
      <c r="M17" s="48">
        <v>82.316332683846511</v>
      </c>
      <c r="N17" s="48">
        <v>90.951106551273782</v>
      </c>
      <c r="O17" s="49">
        <v>98.159183492788287</v>
      </c>
      <c r="P17" s="54">
        <v>100</v>
      </c>
      <c r="Q17" s="55">
        <v>102.58254900873125</v>
      </c>
      <c r="R17" s="55">
        <v>110.25537688648271</v>
      </c>
      <c r="S17" s="55">
        <v>119.29848700636893</v>
      </c>
      <c r="T17" s="55">
        <v>109.51271204567132</v>
      </c>
      <c r="U17" s="55">
        <v>112.22685451211795</v>
      </c>
      <c r="V17" s="54">
        <v>122.06901454878701</v>
      </c>
      <c r="W17" s="55">
        <v>118.31126766060467</v>
      </c>
      <c r="X17" s="55">
        <v>117.69594486210089</v>
      </c>
      <c r="Y17" s="55">
        <v>115.57591971529597</v>
      </c>
      <c r="Z17" s="55">
        <v>102.38576095767904</v>
      </c>
      <c r="AA17" s="55">
        <v>99.906945560282949</v>
      </c>
      <c r="AB17" s="55">
        <v>103.33610763224092</v>
      </c>
      <c r="AC17" s="55">
        <v>107.49450046058911</v>
      </c>
      <c r="AD17" s="55">
        <v>104.14070892994695</v>
      </c>
      <c r="AE17" s="55">
        <v>104.48982673519185</v>
      </c>
      <c r="AF17" s="55">
        <v>115.44783840672781</v>
      </c>
      <c r="AG17" s="55">
        <v>119.34115025508873</v>
      </c>
      <c r="AH17" s="55">
        <v>117.84884568398211</v>
      </c>
      <c r="AI17" s="55">
        <v>118.08716301995914</v>
      </c>
      <c r="AJ17" s="55">
        <v>116.2664109246798</v>
      </c>
      <c r="AK17" s="55">
        <v>117.78347699979415</v>
      </c>
      <c r="AL17" s="1785">
        <v>119.30092990429966</v>
      </c>
      <c r="AM17" s="1785">
        <v>120.67750559506052</v>
      </c>
      <c r="AN17" s="1785">
        <v>122.276347688741</v>
      </c>
      <c r="AO17" s="1785">
        <v>123.83970654760654</v>
      </c>
      <c r="AP17" s="1785">
        <v>125.42305366231871</v>
      </c>
      <c r="AQ17" s="1785">
        <v>127.02664459184244</v>
      </c>
      <c r="AR17" s="1785">
        <v>128.65073816258055</v>
      </c>
      <c r="AS17" s="1785">
        <v>130.29559651014944</v>
      </c>
      <c r="AT17" s="1785">
        <v>131.9614851216889</v>
      </c>
    </row>
    <row r="18" spans="1:46">
      <c r="A18" s="97"/>
      <c r="B18" s="92" t="s">
        <v>11</v>
      </c>
      <c r="C18" s="91" t="s">
        <v>27</v>
      </c>
      <c r="D18" s="136" t="s">
        <v>20</v>
      </c>
      <c r="E18" s="137"/>
      <c r="F18" s="48"/>
      <c r="G18" s="48"/>
      <c r="H18" s="48"/>
      <c r="I18" s="48">
        <v>93.448154647509924</v>
      </c>
      <c r="J18" s="48">
        <v>92.435352321683723</v>
      </c>
      <c r="K18" s="48">
        <v>92.621455349583613</v>
      </c>
      <c r="L18" s="48">
        <v>89.480097852109992</v>
      </c>
      <c r="M18" s="48">
        <v>87.72166608158922</v>
      </c>
      <c r="N18" s="48">
        <v>90.229201273394111</v>
      </c>
      <c r="O18" s="49">
        <v>96.114245649280406</v>
      </c>
      <c r="P18" s="54">
        <v>100</v>
      </c>
      <c r="Q18" s="55">
        <v>102.16302429246502</v>
      </c>
      <c r="R18" s="55">
        <v>105.55226693137247</v>
      </c>
      <c r="S18" s="55">
        <v>111.91714416132479</v>
      </c>
      <c r="T18" s="55">
        <v>109.86751858808846</v>
      </c>
      <c r="U18" s="55">
        <v>112.14004116532391</v>
      </c>
      <c r="V18" s="54">
        <v>117.22637494733689</v>
      </c>
      <c r="W18" s="55">
        <v>120.05170073851998</v>
      </c>
      <c r="X18" s="55">
        <v>116.5939812019441</v>
      </c>
      <c r="Y18" s="55">
        <v>115.96335304544144</v>
      </c>
      <c r="Z18" s="55">
        <v>112.41544847215516</v>
      </c>
      <c r="AA18" s="55">
        <v>106.76671760326886</v>
      </c>
      <c r="AB18" s="55">
        <v>106.90419693414952</v>
      </c>
      <c r="AC18" s="55">
        <v>109.07488103988658</v>
      </c>
      <c r="AD18" s="55">
        <v>109.50800170410079</v>
      </c>
      <c r="AE18" s="55">
        <v>106.02254283176163</v>
      </c>
      <c r="AF18" s="55">
        <v>113.10363182567542</v>
      </c>
      <c r="AG18" s="55">
        <v>124.82257885786798</v>
      </c>
      <c r="AH18" s="55">
        <v>122.69434199141773</v>
      </c>
      <c r="AI18" s="55">
        <v>124.27549930684498</v>
      </c>
      <c r="AJ18" s="55">
        <v>126.46546637247096</v>
      </c>
      <c r="AK18" s="55">
        <v>127.70184570411183</v>
      </c>
      <c r="AL18" s="1785">
        <v>129.06804393306984</v>
      </c>
      <c r="AM18" s="1785">
        <v>130.58094844652479</v>
      </c>
      <c r="AN18" s="1785">
        <v>132.31112217616828</v>
      </c>
      <c r="AO18" s="1785">
        <v>134.02594096025069</v>
      </c>
      <c r="AP18" s="1785">
        <v>135.76298465947158</v>
      </c>
      <c r="AQ18" s="1785">
        <v>137.5225413199251</v>
      </c>
      <c r="AR18" s="1785">
        <v>139.30490272092783</v>
      </c>
      <c r="AS18" s="1785">
        <v>141.11036442340327</v>
      </c>
      <c r="AT18" s="1785">
        <v>142.93922581889336</v>
      </c>
    </row>
    <row r="19" spans="1:46">
      <c r="A19" s="97"/>
      <c r="C19" s="91" t="s">
        <v>27</v>
      </c>
      <c r="D19" s="135" t="s">
        <v>45</v>
      </c>
      <c r="E19" s="137"/>
      <c r="F19" s="48" t="s">
        <v>27</v>
      </c>
      <c r="G19" s="48"/>
      <c r="H19" s="48"/>
      <c r="I19" s="48"/>
      <c r="J19" s="48"/>
      <c r="K19" s="48"/>
      <c r="L19" s="48"/>
      <c r="M19" s="48"/>
      <c r="N19" s="48"/>
      <c r="O19" s="49"/>
      <c r="P19" s="54"/>
      <c r="Q19" s="55"/>
      <c r="R19" s="55"/>
      <c r="S19" s="55"/>
      <c r="T19" s="55"/>
      <c r="U19" s="55"/>
      <c r="V19" s="54"/>
      <c r="W19" s="55"/>
      <c r="X19" s="55"/>
      <c r="Y19" s="55"/>
      <c r="Z19" s="55"/>
      <c r="AA19" s="55"/>
      <c r="AB19" s="55"/>
      <c r="AC19" s="55"/>
      <c r="AD19" s="55"/>
      <c r="AE19" s="55"/>
      <c r="AF19" s="55"/>
      <c r="AG19" s="55"/>
      <c r="AH19" s="55"/>
      <c r="AI19" s="55"/>
      <c r="AJ19" s="55"/>
      <c r="AK19" s="55"/>
      <c r="AL19" s="1785"/>
      <c r="AM19" s="1785"/>
      <c r="AN19" s="1785"/>
      <c r="AO19" s="1785"/>
      <c r="AP19" s="1785"/>
      <c r="AQ19" s="1785"/>
      <c r="AR19" s="1785"/>
      <c r="AS19" s="1785"/>
      <c r="AT19" s="1785"/>
    </row>
    <row r="20" spans="1:46">
      <c r="A20" s="97"/>
      <c r="B20" s="92" t="s">
        <v>27</v>
      </c>
      <c r="C20" s="91" t="s">
        <v>27</v>
      </c>
      <c r="D20" s="136" t="s">
        <v>21</v>
      </c>
      <c r="E20" s="137" t="s">
        <v>11</v>
      </c>
      <c r="F20" s="48" t="s">
        <v>27</v>
      </c>
      <c r="G20" s="48"/>
      <c r="H20" s="48"/>
      <c r="I20" s="48">
        <v>37.295675486647319</v>
      </c>
      <c r="J20" s="48">
        <v>45.867666628160293</v>
      </c>
      <c r="K20" s="48">
        <v>73.620515764565752</v>
      </c>
      <c r="L20" s="48">
        <v>66.356471721530482</v>
      </c>
      <c r="M20" s="48">
        <v>62.519301467370703</v>
      </c>
      <c r="N20" s="48">
        <v>77.435056793643056</v>
      </c>
      <c r="O20" s="49">
        <v>98.084593467079685</v>
      </c>
      <c r="P20" s="54">
        <v>135.57786771471561</v>
      </c>
      <c r="Q20" s="55">
        <v>153.20178293209196</v>
      </c>
      <c r="R20" s="55">
        <v>168.02694598061873</v>
      </c>
      <c r="S20" s="55">
        <v>232.55689810590994</v>
      </c>
      <c r="T20" s="55">
        <v>142.77169885458702</v>
      </c>
      <c r="U20" s="55">
        <v>178.52656275550359</v>
      </c>
      <c r="V20" s="54">
        <v>231.51176675318189</v>
      </c>
      <c r="W20" s="55">
        <v>228.12097579449059</v>
      </c>
      <c r="X20" s="55">
        <v>225.87989261997996</v>
      </c>
      <c r="Y20" s="55">
        <v>212.32069526033899</v>
      </c>
      <c r="Z20" s="55">
        <v>118.9821211337963</v>
      </c>
      <c r="AA20" s="55">
        <v>100</v>
      </c>
      <c r="AB20" s="55">
        <v>123.30069799332352</v>
      </c>
      <c r="AC20" s="55">
        <v>156.53475720140057</v>
      </c>
      <c r="AD20" s="55">
        <v>129.28497919634125</v>
      </c>
      <c r="AE20" s="55">
        <v>91.704892652902686</v>
      </c>
      <c r="AF20" s="55">
        <v>183.08872268266387</v>
      </c>
      <c r="AG20" s="55">
        <v>299.51108413036587</v>
      </c>
      <c r="AH20" s="55">
        <v>189.5050149300188</v>
      </c>
      <c r="AI20" s="55">
        <v>179.50369051334349</v>
      </c>
      <c r="AJ20" s="55">
        <v>175.03540602270593</v>
      </c>
      <c r="AK20" s="55">
        <v>165.56119402627013</v>
      </c>
      <c r="AL20" s="1785">
        <v>158.55478963679971</v>
      </c>
      <c r="AM20" s="1785">
        <v>155.43712031982031</v>
      </c>
      <c r="AN20" s="1785">
        <v>153.58225992522637</v>
      </c>
      <c r="AO20" s="1785">
        <v>152.33395295193688</v>
      </c>
      <c r="AP20" s="1785">
        <v>151.09579213941049</v>
      </c>
      <c r="AQ20" s="1785">
        <v>149.86769502028909</v>
      </c>
      <c r="AR20" s="1785">
        <v>148.64957979750403</v>
      </c>
      <c r="AS20" s="1785">
        <v>147.44136533882815</v>
      </c>
      <c r="AT20" s="1785">
        <v>146.24297117147191</v>
      </c>
    </row>
    <row r="21" spans="1:46">
      <c r="A21" s="97"/>
      <c r="C21" s="91"/>
      <c r="D21" s="136" t="s">
        <v>22</v>
      </c>
      <c r="E21" s="137" t="s">
        <v>286</v>
      </c>
      <c r="F21" s="48"/>
      <c r="G21" s="48"/>
      <c r="H21" s="48"/>
      <c r="I21" s="48">
        <v>13.235742442541357</v>
      </c>
      <c r="J21" s="48">
        <v>18.179252316121879</v>
      </c>
      <c r="K21" s="48">
        <v>28.471002431143734</v>
      </c>
      <c r="L21" s="48">
        <v>24.489567028985508</v>
      </c>
      <c r="M21" s="48">
        <v>25.000525066921806</v>
      </c>
      <c r="N21" s="48">
        <v>28.908934664972708</v>
      </c>
      <c r="O21" s="49">
        <v>37.806715958759433</v>
      </c>
      <c r="P21" s="54">
        <v>53.506304810527631</v>
      </c>
      <c r="Q21" s="55">
        <v>64.401517804860205</v>
      </c>
      <c r="R21" s="55">
        <v>71.189201134010929</v>
      </c>
      <c r="S21" s="55">
        <v>96.76740195694002</v>
      </c>
      <c r="T21" s="55">
        <v>61.501470695568521</v>
      </c>
      <c r="U21" s="55">
        <v>79.144482318004066</v>
      </c>
      <c r="V21" s="54">
        <v>104.06865139751552</v>
      </c>
      <c r="W21" s="55">
        <v>105.09661699029635</v>
      </c>
      <c r="X21" s="55">
        <v>104.17181542390783</v>
      </c>
      <c r="Y21" s="55">
        <v>96.326127627203718</v>
      </c>
      <c r="Z21" s="55">
        <v>50.911922344563642</v>
      </c>
      <c r="AA21" s="55">
        <v>43.263857257879003</v>
      </c>
      <c r="AB21" s="55">
        <v>52.977644966748223</v>
      </c>
      <c r="AC21" s="55">
        <v>68.532530684693725</v>
      </c>
      <c r="AD21" s="55">
        <v>61.432334067904719</v>
      </c>
      <c r="AE21" s="55">
        <v>41.765497534872537</v>
      </c>
      <c r="AF21" s="55">
        <v>69.249978185059703</v>
      </c>
      <c r="AG21" s="55">
        <v>96.362059361733273</v>
      </c>
      <c r="AH21" s="55">
        <v>80.594907475374853</v>
      </c>
      <c r="AI21" s="55">
        <v>79.170800120772938</v>
      </c>
      <c r="AJ21" s="55">
        <v>71.99704702775</v>
      </c>
      <c r="AK21" s="55">
        <v>68.192475333416667</v>
      </c>
      <c r="AL21" s="1785">
        <v>66.941893444416664</v>
      </c>
      <c r="AM21" s="1785">
        <v>66.411212027749997</v>
      </c>
      <c r="AN21" s="1785">
        <v>66.042291388916667</v>
      </c>
      <c r="AO21" s="1785">
        <v>65.804488944416661</v>
      </c>
      <c r="AP21" s="1785">
        <v>65.567542769458811</v>
      </c>
      <c r="AQ21" s="1785">
        <v>65.331449780821956</v>
      </c>
      <c r="AR21" s="1785">
        <v>65.096206906386868</v>
      </c>
      <c r="AS21" s="1785">
        <v>64.861811085096292</v>
      </c>
      <c r="AT21" s="1785">
        <v>64.628259266915109</v>
      </c>
    </row>
    <row r="22" spans="1:46">
      <c r="A22" s="97"/>
      <c r="B22" s="92" t="s">
        <v>286</v>
      </c>
      <c r="C22" s="91" t="s">
        <v>27</v>
      </c>
      <c r="D22" s="136" t="s">
        <v>210</v>
      </c>
      <c r="E22" s="137" t="s">
        <v>46</v>
      </c>
      <c r="F22" s="48" t="s">
        <v>27</v>
      </c>
      <c r="G22" s="48"/>
      <c r="H22" s="48"/>
      <c r="I22" s="48">
        <v>66.943225580757399</v>
      </c>
      <c r="J22" s="48">
        <v>58.788758256335591</v>
      </c>
      <c r="K22" s="48">
        <v>59.027974556934062</v>
      </c>
      <c r="L22" s="48">
        <v>59.601899776210267</v>
      </c>
      <c r="M22" s="48">
        <v>62.708494776321707</v>
      </c>
      <c r="N22" s="48">
        <v>68.502411364737242</v>
      </c>
      <c r="O22" s="49">
        <v>75.373825923457119</v>
      </c>
      <c r="P22" s="54">
        <v>76.309035438994783</v>
      </c>
      <c r="Q22" s="55">
        <v>82.417949974646433</v>
      </c>
      <c r="R22" s="55">
        <v>93.91977558730116</v>
      </c>
      <c r="S22" s="55">
        <v>110.41566041375567</v>
      </c>
      <c r="T22" s="55">
        <v>92.869151481188723</v>
      </c>
      <c r="U22" s="55">
        <v>105.39202087205035</v>
      </c>
      <c r="V22" s="54">
        <v>124.97139464623541</v>
      </c>
      <c r="W22" s="55">
        <v>120.87320620204956</v>
      </c>
      <c r="X22" s="55">
        <v>120.48901091684388</v>
      </c>
      <c r="Y22" s="55">
        <v>118.59389437789241</v>
      </c>
      <c r="Z22" s="55">
        <v>98.537891530303668</v>
      </c>
      <c r="AA22" s="55">
        <v>100.00000000000001</v>
      </c>
      <c r="AB22" s="55">
        <v>103.79615781345687</v>
      </c>
      <c r="AC22" s="55">
        <v>102.50521953251798</v>
      </c>
      <c r="AD22" s="55">
        <v>99.369674858156657</v>
      </c>
      <c r="AE22" s="55">
        <v>101.09557487778936</v>
      </c>
      <c r="AF22" s="55">
        <v>128.35422614081585</v>
      </c>
      <c r="AG22" s="55">
        <v>147.40229869192726</v>
      </c>
      <c r="AH22" s="55">
        <v>137.44595372161757</v>
      </c>
      <c r="AI22" s="55">
        <v>133.14244447141138</v>
      </c>
      <c r="AJ22" s="55">
        <v>131.385905240423</v>
      </c>
      <c r="AK22" s="55">
        <v>131.43151020762602</v>
      </c>
      <c r="AL22" s="1785">
        <v>130.50071981110696</v>
      </c>
      <c r="AM22" s="1785">
        <v>130.47865279867992</v>
      </c>
      <c r="AN22" s="1785">
        <v>130.45873135169495</v>
      </c>
      <c r="AO22" s="1785">
        <v>130.54585818398544</v>
      </c>
      <c r="AP22" s="1785">
        <v>130.63304320390989</v>
      </c>
      <c r="AQ22" s="1785">
        <v>130.7202864503289</v>
      </c>
      <c r="AR22" s="1785">
        <v>130.80758796212899</v>
      </c>
      <c r="AS22" s="1785">
        <v>130.8949477782227</v>
      </c>
      <c r="AT22" s="1785">
        <v>130.98236593754854</v>
      </c>
    </row>
    <row r="23" spans="1:46">
      <c r="A23" s="97"/>
      <c r="B23" s="831" t="s">
        <v>11</v>
      </c>
      <c r="C23" s="91" t="s">
        <v>27</v>
      </c>
      <c r="D23" s="136" t="s">
        <v>211</v>
      </c>
      <c r="E23" s="137" t="s">
        <v>46</v>
      </c>
      <c r="F23" s="48" t="s">
        <v>27</v>
      </c>
      <c r="G23" s="48"/>
      <c r="H23" s="48"/>
      <c r="I23" s="48">
        <v>71.344441781553058</v>
      </c>
      <c r="J23" s="48">
        <v>70.376412307907785</v>
      </c>
      <c r="K23" s="48">
        <v>72.344672187535821</v>
      </c>
      <c r="L23" s="48">
        <v>65.034155149925027</v>
      </c>
      <c r="M23" s="48">
        <v>67.013161221229083</v>
      </c>
      <c r="N23" s="48">
        <v>77.17254259965982</v>
      </c>
      <c r="O23" s="49">
        <v>83.251758185170971</v>
      </c>
      <c r="P23" s="54">
        <v>85.721608337621134</v>
      </c>
      <c r="Q23" s="55">
        <v>97.793211068984434</v>
      </c>
      <c r="R23" s="55">
        <v>102.96338472865062</v>
      </c>
      <c r="S23" s="55">
        <v>109.13066657336225</v>
      </c>
      <c r="T23" s="55">
        <v>95.102252548605136</v>
      </c>
      <c r="U23" s="55">
        <v>128.26491065205718</v>
      </c>
      <c r="V23" s="54">
        <v>161.03366584553314</v>
      </c>
      <c r="W23" s="55">
        <v>127.86582234603942</v>
      </c>
      <c r="X23" s="55">
        <v>122.25148374233777</v>
      </c>
      <c r="Y23" s="55">
        <v>112.901492597131</v>
      </c>
      <c r="Z23" s="55">
        <v>100.17853531824635</v>
      </c>
      <c r="AA23" s="55">
        <v>100.00000000000001</v>
      </c>
      <c r="AB23" s="55">
        <v>105.38353758139085</v>
      </c>
      <c r="AC23" s="55">
        <v>107.49071019408869</v>
      </c>
      <c r="AD23" s="55">
        <v>101.66183468748265</v>
      </c>
      <c r="AE23" s="55">
        <v>98.192673325170361</v>
      </c>
      <c r="AF23" s="55">
        <v>113.38131749624391</v>
      </c>
      <c r="AG23" s="55">
        <v>119.89290127160751</v>
      </c>
      <c r="AH23" s="55">
        <v>101.2364165236681</v>
      </c>
      <c r="AI23" s="55">
        <v>105.3718085233504</v>
      </c>
      <c r="AJ23" s="55">
        <v>103.20239636462311</v>
      </c>
      <c r="AK23" s="55">
        <v>104.62508395979377</v>
      </c>
      <c r="AL23" s="1785">
        <v>104.45007527626305</v>
      </c>
      <c r="AM23" s="1785">
        <v>104.02075752279744</v>
      </c>
      <c r="AN23" s="1785">
        <v>104.02075752279744</v>
      </c>
      <c r="AO23" s="1785">
        <v>104.02075752279744</v>
      </c>
      <c r="AP23" s="1785">
        <v>104.02075752279744</v>
      </c>
      <c r="AQ23" s="1785">
        <v>104.02075752279744</v>
      </c>
      <c r="AR23" s="1785">
        <v>104.02075752279744</v>
      </c>
      <c r="AS23" s="1785">
        <v>104.02075752279744</v>
      </c>
      <c r="AT23" s="1785">
        <v>104.02075752279744</v>
      </c>
    </row>
    <row r="24" spans="1:46">
      <c r="A24" s="97"/>
      <c r="C24" s="91" t="s">
        <v>27</v>
      </c>
      <c r="D24" s="136" t="s">
        <v>212</v>
      </c>
      <c r="E24" s="137" t="s">
        <v>46</v>
      </c>
      <c r="F24" s="48" t="s">
        <v>27</v>
      </c>
      <c r="G24" s="48"/>
      <c r="H24" s="48"/>
      <c r="I24" s="48">
        <v>41.034974522832385</v>
      </c>
      <c r="J24" s="48">
        <v>41.389527389192388</v>
      </c>
      <c r="K24" s="48">
        <v>47.932397783575787</v>
      </c>
      <c r="L24" s="48">
        <v>41.794200751115149</v>
      </c>
      <c r="M24" s="48">
        <v>41.329813261364492</v>
      </c>
      <c r="N24" s="48">
        <v>48.382931427428275</v>
      </c>
      <c r="O24" s="49">
        <v>67.230659217683552</v>
      </c>
      <c r="P24" s="54">
        <v>82.840841422498428</v>
      </c>
      <c r="Q24" s="55">
        <v>130.0954771197346</v>
      </c>
      <c r="R24" s="55">
        <v>160.66499802201321</v>
      </c>
      <c r="S24" s="55">
        <v>144.28416991832543</v>
      </c>
      <c r="T24" s="55">
        <v>121.43662953128006</v>
      </c>
      <c r="U24" s="55">
        <v>185.83764607204668</v>
      </c>
      <c r="V24" s="54">
        <v>209.3567181716119</v>
      </c>
      <c r="W24" s="55">
        <v>172.09755213870946</v>
      </c>
      <c r="X24" s="55">
        <v>165.41943505741614</v>
      </c>
      <c r="Y24" s="55">
        <v>145.27295111032899</v>
      </c>
      <c r="Z24" s="55">
        <v>105.60449725020818</v>
      </c>
      <c r="AA24" s="55">
        <v>100.00000000000001</v>
      </c>
      <c r="AB24" s="55">
        <v>122.18869143666286</v>
      </c>
      <c r="AC24" s="55">
        <v>130.28732318059787</v>
      </c>
      <c r="AD24" s="55">
        <v>135.32033023870892</v>
      </c>
      <c r="AE24" s="55">
        <v>140.0100332583313</v>
      </c>
      <c r="AF24" s="55">
        <v>205.41254004336932</v>
      </c>
      <c r="AG24" s="55">
        <v>193.89512885526935</v>
      </c>
      <c r="AH24" s="55">
        <v>188.54756862650402</v>
      </c>
      <c r="AI24" s="55">
        <v>184.94947980411985</v>
      </c>
      <c r="AJ24" s="55">
        <v>183.96287156250267</v>
      </c>
      <c r="AK24" s="55">
        <v>182.81740927570507</v>
      </c>
      <c r="AL24" s="1785">
        <v>183.23813838295683</v>
      </c>
      <c r="AM24" s="1785">
        <v>184.37237576508741</v>
      </c>
      <c r="AN24" s="1785">
        <v>185.37137197859255</v>
      </c>
      <c r="AO24" s="1785">
        <v>186.23548633290818</v>
      </c>
      <c r="AP24" s="1785">
        <v>187.10362878287509</v>
      </c>
      <c r="AQ24" s="1785">
        <v>187.97581810558506</v>
      </c>
      <c r="AR24" s="1785">
        <v>188.85207316565993</v>
      </c>
      <c r="AS24" s="1785">
        <v>189.73241291565952</v>
      </c>
      <c r="AT24" s="1785">
        <v>190.61685639649161</v>
      </c>
    </row>
    <row r="25" spans="1:46">
      <c r="A25" s="97"/>
      <c r="C25" s="91" t="s">
        <v>27</v>
      </c>
      <c r="D25" s="136" t="s">
        <v>47</v>
      </c>
      <c r="E25" s="137" t="s">
        <v>213</v>
      </c>
      <c r="F25" s="48" t="s">
        <v>27</v>
      </c>
      <c r="G25" s="48"/>
      <c r="H25" s="48"/>
      <c r="I25" s="48">
        <v>135.46926998243302</v>
      </c>
      <c r="J25" s="48">
        <v>103.88442438358743</v>
      </c>
      <c r="K25" s="48">
        <v>87.204109887696816</v>
      </c>
      <c r="L25" s="48">
        <v>62.284132591442379</v>
      </c>
      <c r="M25" s="48">
        <v>61.462068268084558</v>
      </c>
      <c r="N25" s="48">
        <v>64.172862052199008</v>
      </c>
      <c r="O25" s="49">
        <v>80.479524852562903</v>
      </c>
      <c r="P25" s="54">
        <v>114.85391927818557</v>
      </c>
      <c r="Q25" s="55">
        <v>114.40885786435787</v>
      </c>
      <c r="R25" s="55">
        <v>123.61387754093731</v>
      </c>
      <c r="S25" s="55">
        <v>139.71246561892212</v>
      </c>
      <c r="T25" s="55">
        <v>143.75475766202396</v>
      </c>
      <c r="U25" s="55">
        <v>196.04909199918438</v>
      </c>
      <c r="V25" s="54">
        <v>271.10805783769371</v>
      </c>
      <c r="W25" s="55">
        <v>186.44158316080055</v>
      </c>
      <c r="X25" s="55">
        <v>139.48433732511447</v>
      </c>
      <c r="Y25" s="55">
        <v>200.35589636269529</v>
      </c>
      <c r="Z25" s="55">
        <v>159.90368585701739</v>
      </c>
      <c r="AA25" s="55">
        <v>163.83998470732166</v>
      </c>
      <c r="AB25" s="55">
        <v>150.75595340046428</v>
      </c>
      <c r="AC25" s="55">
        <v>132.71492668141036</v>
      </c>
      <c r="AD25" s="55">
        <v>130.55576145774515</v>
      </c>
      <c r="AE25" s="55">
        <v>150.83195003607503</v>
      </c>
      <c r="AF25" s="55">
        <v>204.69402922077924</v>
      </c>
      <c r="AG25" s="55">
        <v>255.46590204059228</v>
      </c>
      <c r="AH25" s="55">
        <v>205.95975240761655</v>
      </c>
      <c r="AI25" s="55">
        <v>255.44462944664033</v>
      </c>
      <c r="AJ25" s="55">
        <v>363.17839039041667</v>
      </c>
      <c r="AK25" s="55">
        <v>306.4437672270833</v>
      </c>
      <c r="AL25" s="1785">
        <v>249.87807866666665</v>
      </c>
      <c r="AM25" s="1785">
        <v>224.81656221</v>
      </c>
      <c r="AN25" s="1785">
        <v>224.81656221</v>
      </c>
      <c r="AO25" s="1785">
        <v>224.81656221</v>
      </c>
      <c r="AP25" s="1785">
        <v>224.81656221</v>
      </c>
      <c r="AQ25" s="1785">
        <v>224.81656221</v>
      </c>
      <c r="AR25" s="1785">
        <v>224.81656221</v>
      </c>
      <c r="AS25" s="1785">
        <v>224.81656221</v>
      </c>
      <c r="AT25" s="1785">
        <v>224.81656221</v>
      </c>
    </row>
    <row r="26" spans="1:46">
      <c r="A26" s="97"/>
      <c r="B26" s="96" t="s">
        <v>48</v>
      </c>
      <c r="C26" s="91" t="s">
        <v>27</v>
      </c>
      <c r="D26" s="136" t="s">
        <v>28</v>
      </c>
      <c r="E26" s="137" t="s">
        <v>48</v>
      </c>
      <c r="F26" s="48" t="s">
        <v>27</v>
      </c>
      <c r="G26" s="48"/>
      <c r="H26" s="48"/>
      <c r="I26" s="48">
        <v>238.56254959106445</v>
      </c>
      <c r="J26" s="48">
        <v>232.35666666666668</v>
      </c>
      <c r="K26" s="48">
        <v>248.11666666666667</v>
      </c>
      <c r="L26" s="48">
        <v>198.12333333333333</v>
      </c>
      <c r="M26" s="48">
        <v>179.18750000000003</v>
      </c>
      <c r="N26" s="48">
        <v>194.32583333333329</v>
      </c>
      <c r="O26" s="49">
        <v>198.15083333333331</v>
      </c>
      <c r="P26" s="54">
        <v>216.37916666666666</v>
      </c>
      <c r="Q26" s="55">
        <v>241.69999999999996</v>
      </c>
      <c r="R26" s="55">
        <v>211.9291666666667</v>
      </c>
      <c r="S26" s="55">
        <v>269.50583333333327</v>
      </c>
      <c r="T26" s="55">
        <v>313.95666666666665</v>
      </c>
      <c r="U26" s="55">
        <v>316.73722551602987</v>
      </c>
      <c r="V26" s="54">
        <v>346.16056135893092</v>
      </c>
      <c r="W26" s="55">
        <v>348.91512448919838</v>
      </c>
      <c r="X26" s="55">
        <v>265.60125730388779</v>
      </c>
      <c r="Y26" s="55">
        <v>237.85755307108354</v>
      </c>
      <c r="Z26" s="55">
        <v>340.38667780078225</v>
      </c>
      <c r="AA26" s="55">
        <v>287.42951828847487</v>
      </c>
      <c r="AB26" s="55">
        <v>362.2014608864726</v>
      </c>
      <c r="AC26" s="55">
        <v>298.26014594897151</v>
      </c>
      <c r="AD26" s="55">
        <v>268.27633410535037</v>
      </c>
      <c r="AE26" s="55">
        <v>253.93311836612119</v>
      </c>
      <c r="AF26" s="55">
        <v>267.20341444810111</v>
      </c>
      <c r="AG26" s="55">
        <v>277.94792036669793</v>
      </c>
      <c r="AH26" s="55">
        <v>290.21567267783348</v>
      </c>
      <c r="AI26" s="55">
        <v>328.02310780644808</v>
      </c>
      <c r="AJ26" s="55">
        <v>342.67</v>
      </c>
      <c r="AK26" s="55">
        <v>342.67</v>
      </c>
      <c r="AL26" s="1785">
        <v>342.67</v>
      </c>
      <c r="AM26" s="1785">
        <v>342.67</v>
      </c>
      <c r="AN26" s="1785">
        <v>342.67</v>
      </c>
      <c r="AO26" s="1785">
        <v>342.67</v>
      </c>
      <c r="AP26" s="1785">
        <v>342.67</v>
      </c>
      <c r="AQ26" s="1785">
        <v>342.67</v>
      </c>
      <c r="AR26" s="1785">
        <v>342.67</v>
      </c>
      <c r="AS26" s="1785">
        <v>342.67</v>
      </c>
      <c r="AT26" s="1785">
        <v>342.67</v>
      </c>
    </row>
    <row r="27" spans="1:46">
      <c r="A27" s="97"/>
      <c r="B27" s="92" t="s">
        <v>49</v>
      </c>
      <c r="C27" s="91" t="s">
        <v>27</v>
      </c>
      <c r="D27" s="136" t="s">
        <v>50</v>
      </c>
      <c r="E27" s="137" t="s">
        <v>51</v>
      </c>
      <c r="F27" s="48"/>
      <c r="G27" s="48"/>
      <c r="H27" s="48"/>
      <c r="I27" s="48">
        <v>75.989121187599579</v>
      </c>
      <c r="J27" s="48">
        <v>61.65533045416894</v>
      </c>
      <c r="K27" s="48">
        <v>65.571231632412761</v>
      </c>
      <c r="L27" s="48">
        <v>70.677707128061812</v>
      </c>
      <c r="M27" s="48">
        <v>66.826209680508654</v>
      </c>
      <c r="N27" s="48">
        <v>69.041137524858385</v>
      </c>
      <c r="O27" s="49">
        <v>67.98362204528226</v>
      </c>
      <c r="P27" s="54">
        <v>64.937980709311958</v>
      </c>
      <c r="Q27" s="55">
        <v>68.732838936055302</v>
      </c>
      <c r="R27" s="55">
        <v>72.750383872033851</v>
      </c>
      <c r="S27" s="55">
        <v>65.068889825817209</v>
      </c>
      <c r="T27" s="55">
        <v>40.786567711325446</v>
      </c>
      <c r="U27" s="55">
        <v>69.473906159398709</v>
      </c>
      <c r="V27" s="54">
        <v>81.47656060095035</v>
      </c>
      <c r="W27" s="55">
        <v>81.639780044740647</v>
      </c>
      <c r="X27" s="55">
        <v>96.339617147678055</v>
      </c>
      <c r="Y27" s="55">
        <v>106.56916381976055</v>
      </c>
      <c r="Z27" s="55">
        <v>87.886698373409885</v>
      </c>
      <c r="AA27" s="55">
        <v>73.277291676710433</v>
      </c>
      <c r="AB27" s="55">
        <v>69.20390794550616</v>
      </c>
      <c r="AC27" s="55">
        <v>59.950530316429905</v>
      </c>
      <c r="AD27" s="55">
        <v>40.80702111671264</v>
      </c>
      <c r="AE27" s="55">
        <v>33.567213374489363</v>
      </c>
      <c r="AF27" s="55">
        <v>47.418791932014635</v>
      </c>
      <c r="AG27" s="55">
        <v>57.556471798398867</v>
      </c>
      <c r="AH27" s="55">
        <v>58.633973133010869</v>
      </c>
      <c r="AI27" s="55">
        <v>58.652686283273674</v>
      </c>
      <c r="AJ27" s="55">
        <v>57.018861280000003</v>
      </c>
      <c r="AK27" s="55">
        <v>57.018861280000003</v>
      </c>
      <c r="AL27" s="1785">
        <v>57.018861280000003</v>
      </c>
      <c r="AM27" s="1785">
        <v>57.018861280000003</v>
      </c>
      <c r="AN27" s="1785">
        <v>57.018861280000003</v>
      </c>
      <c r="AO27" s="1785">
        <v>57.018861280000003</v>
      </c>
      <c r="AP27" s="1785">
        <v>57.018861280000003</v>
      </c>
      <c r="AQ27" s="1785">
        <v>57.018861280000003</v>
      </c>
      <c r="AR27" s="1785">
        <v>57.018861280000003</v>
      </c>
      <c r="AS27" s="1785">
        <v>57.018861280000003</v>
      </c>
      <c r="AT27" s="1785">
        <v>57.018861280000003</v>
      </c>
    </row>
    <row r="28" spans="1:46">
      <c r="A28" s="97"/>
      <c r="B28" s="92" t="s">
        <v>51</v>
      </c>
      <c r="D28" s="136" t="s">
        <v>52</v>
      </c>
      <c r="E28" s="137" t="s">
        <v>53</v>
      </c>
      <c r="F28" s="48" t="s">
        <v>27</v>
      </c>
      <c r="G28" s="48"/>
      <c r="H28" s="48"/>
      <c r="I28" s="48">
        <v>294.13892364501964</v>
      </c>
      <c r="J28" s="48">
        <v>278.87285144999998</v>
      </c>
      <c r="K28" s="48">
        <v>279.17055316666665</v>
      </c>
      <c r="L28" s="48">
        <v>271.05059244166671</v>
      </c>
      <c r="M28" s="48">
        <v>310.03546758333334</v>
      </c>
      <c r="N28" s="48">
        <v>363.50905736838803</v>
      </c>
      <c r="O28" s="49">
        <v>409.21152726389431</v>
      </c>
      <c r="P28" s="60">
        <v>444.88172288359783</v>
      </c>
      <c r="Q28" s="61">
        <v>604.33585566725594</v>
      </c>
      <c r="R28" s="61">
        <v>696.66159326217496</v>
      </c>
      <c r="S28" s="61">
        <v>871.70709605040258</v>
      </c>
      <c r="T28" s="61">
        <v>972.97946285138062</v>
      </c>
      <c r="U28" s="61">
        <v>1224.6641359966945</v>
      </c>
      <c r="V28" s="60">
        <v>1568.583645395466</v>
      </c>
      <c r="W28" s="61">
        <v>1668.8206960537145</v>
      </c>
      <c r="X28" s="61">
        <v>1411.0313448276765</v>
      </c>
      <c r="Y28" s="61">
        <v>1266.1938086012956</v>
      </c>
      <c r="Z28" s="61">
        <v>1160.114475196968</v>
      </c>
      <c r="AA28" s="61">
        <v>1248.340391113516</v>
      </c>
      <c r="AB28" s="61">
        <v>1257.1272101257061</v>
      </c>
      <c r="AC28" s="61">
        <v>1269.1405271545375</v>
      </c>
      <c r="AD28" s="61">
        <v>1392.1745391152726</v>
      </c>
      <c r="AE28" s="61">
        <v>1769.5427511074295</v>
      </c>
      <c r="AF28" s="61">
        <v>1799.7706380431484</v>
      </c>
      <c r="AG28" s="61">
        <v>1801.5283570958024</v>
      </c>
      <c r="AH28" s="61">
        <v>1943.0678661224044</v>
      </c>
      <c r="AI28" s="61">
        <v>2387.2067896746971</v>
      </c>
      <c r="AJ28" s="61">
        <v>2947.6124999999997</v>
      </c>
      <c r="AK28" s="61">
        <v>3107.0166666666669</v>
      </c>
      <c r="AL28" s="1788">
        <v>3042.8</v>
      </c>
      <c r="AM28" s="1788">
        <v>3147.8</v>
      </c>
      <c r="AN28" s="1788">
        <v>3228.65</v>
      </c>
      <c r="AO28" s="1788">
        <v>3259.85</v>
      </c>
      <c r="AP28" s="1788">
        <v>3291.3515006271973</v>
      </c>
      <c r="AQ28" s="1788">
        <v>3323.1574154273671</v>
      </c>
      <c r="AR28" s="1788">
        <v>3355.2706861012816</v>
      </c>
      <c r="AS28" s="1788">
        <v>3387.6942827767839</v>
      </c>
      <c r="AT28" s="1788">
        <v>3420.4312042834931</v>
      </c>
    </row>
    <row r="29" spans="1:46">
      <c r="A29" s="97"/>
      <c r="B29" s="92" t="s">
        <v>54</v>
      </c>
      <c r="C29" s="91" t="s">
        <v>27</v>
      </c>
      <c r="D29" s="136" t="s">
        <v>55</v>
      </c>
      <c r="E29" s="137" t="s">
        <v>48</v>
      </c>
      <c r="F29" s="48"/>
      <c r="G29" s="48"/>
      <c r="H29" s="48"/>
      <c r="I29" s="48">
        <v>5536.2287691169722</v>
      </c>
      <c r="J29" s="48">
        <v>5391.3942611819411</v>
      </c>
      <c r="K29" s="48">
        <v>5435.9025268210053</v>
      </c>
      <c r="L29" s="48">
        <v>4489.4362446415125</v>
      </c>
      <c r="M29" s="48">
        <v>4060.9963153794679</v>
      </c>
      <c r="N29" s="48">
        <v>4889.5855445369843</v>
      </c>
      <c r="O29" s="49">
        <v>8480.9384979287825</v>
      </c>
      <c r="P29" s="60">
        <v>7385.247736291486</v>
      </c>
      <c r="Q29" s="61">
        <v>8754.9030097442501</v>
      </c>
      <c r="R29" s="61">
        <v>14495.443346852533</v>
      </c>
      <c r="S29" s="61">
        <v>18466.644467930368</v>
      </c>
      <c r="T29" s="61">
        <v>13599.284720055242</v>
      </c>
      <c r="U29" s="61">
        <v>20367.248758795871</v>
      </c>
      <c r="V29" s="60">
        <v>26051.449644281845</v>
      </c>
      <c r="W29" s="61">
        <v>21109.356206897763</v>
      </c>
      <c r="X29" s="61">
        <v>22281.583486848293</v>
      </c>
      <c r="Y29" s="61">
        <v>21898.873673850303</v>
      </c>
      <c r="Z29" s="61">
        <v>16066.632439186322</v>
      </c>
      <c r="AA29" s="61">
        <v>17933.762085137085</v>
      </c>
      <c r="AB29" s="61">
        <v>20061.168945736656</v>
      </c>
      <c r="AC29" s="61">
        <v>20145.205894698043</v>
      </c>
      <c r="AD29" s="61">
        <v>18661.156832298137</v>
      </c>
      <c r="AE29" s="61">
        <v>17125.459462184779</v>
      </c>
      <c r="AF29" s="61">
        <v>32387.289099025973</v>
      </c>
      <c r="AG29" s="61">
        <v>31383.286675457992</v>
      </c>
      <c r="AH29" s="61">
        <v>25912.245867400718</v>
      </c>
      <c r="AI29" s="61">
        <v>30059.334260289226</v>
      </c>
      <c r="AJ29" s="61">
        <v>32086.491666666669</v>
      </c>
      <c r="AK29" s="61">
        <v>32089.5</v>
      </c>
      <c r="AL29" s="1788">
        <v>32089.5</v>
      </c>
      <c r="AM29" s="1788">
        <v>32089.5</v>
      </c>
      <c r="AN29" s="1788">
        <v>32089.5</v>
      </c>
      <c r="AO29" s="1788">
        <v>32089.5</v>
      </c>
      <c r="AP29" s="1788">
        <v>32089.5</v>
      </c>
      <c r="AQ29" s="1788">
        <v>32089.5</v>
      </c>
      <c r="AR29" s="1788">
        <v>32089.5</v>
      </c>
      <c r="AS29" s="1788">
        <v>32089.5</v>
      </c>
      <c r="AT29" s="1788">
        <v>32089.5</v>
      </c>
    </row>
    <row r="30" spans="1:46">
      <c r="A30" s="97"/>
      <c r="C30" s="91"/>
      <c r="D30" s="136" t="s">
        <v>3399</v>
      </c>
      <c r="E30" s="137"/>
      <c r="F30" s="48"/>
      <c r="G30" s="48"/>
      <c r="H30" s="48"/>
      <c r="I30" s="48">
        <v>135.46926998243302</v>
      </c>
      <c r="J30" s="48">
        <v>103.88442438358743</v>
      </c>
      <c r="K30" s="48">
        <v>87.204109887696816</v>
      </c>
      <c r="L30" s="48">
        <v>62.284132591442379</v>
      </c>
      <c r="M30" s="48">
        <v>61.462068268084558</v>
      </c>
      <c r="N30" s="48">
        <v>64.172862052199008</v>
      </c>
      <c r="O30" s="49">
        <v>80.479524852562903</v>
      </c>
      <c r="P30" s="52">
        <v>114.85391927818557</v>
      </c>
      <c r="Q30" s="53">
        <v>114.40885786435787</v>
      </c>
      <c r="R30" s="53">
        <v>123.61387754093731</v>
      </c>
      <c r="S30" s="53">
        <v>139.71246561892212</v>
      </c>
      <c r="T30" s="53">
        <v>143.75475766202396</v>
      </c>
      <c r="U30" s="53">
        <v>196.04909199918438</v>
      </c>
      <c r="V30" s="52">
        <v>271.10805783769371</v>
      </c>
      <c r="W30" s="53">
        <v>186.44158316080055</v>
      </c>
      <c r="X30" s="53">
        <v>139.48433732511447</v>
      </c>
      <c r="Y30" s="53">
        <v>200.35589636269529</v>
      </c>
      <c r="Z30" s="53">
        <v>159.90368585701739</v>
      </c>
      <c r="AA30" s="53">
        <v>163.83998470732166</v>
      </c>
      <c r="AB30" s="53">
        <v>150.75595340046428</v>
      </c>
      <c r="AC30" s="53">
        <v>132.71492668141036</v>
      </c>
      <c r="AD30" s="53">
        <v>130.55576145774515</v>
      </c>
      <c r="AE30" s="53">
        <v>150.83195003607503</v>
      </c>
      <c r="AF30" s="53">
        <v>204.69402922077924</v>
      </c>
      <c r="AG30" s="53">
        <v>255.46590204059228</v>
      </c>
      <c r="AH30" s="53">
        <v>216.61128708999999</v>
      </c>
      <c r="AI30" s="53">
        <v>212.78796198499998</v>
      </c>
      <c r="AJ30" s="53">
        <v>214.85588720250001</v>
      </c>
      <c r="AK30" s="53">
        <v>214.85588720250001</v>
      </c>
      <c r="AL30" s="1784">
        <v>214.85588720250001</v>
      </c>
      <c r="AM30" s="1784">
        <v>214.85588720250001</v>
      </c>
      <c r="AN30" s="1784">
        <v>215.85588720250001</v>
      </c>
      <c r="AO30" s="1784">
        <v>216.85588720250001</v>
      </c>
      <c r="AP30" s="1784">
        <v>217.86051992302924</v>
      </c>
      <c r="AQ30" s="1784">
        <v>218.86980682618722</v>
      </c>
      <c r="AR30" s="1784">
        <v>219.88376947350136</v>
      </c>
      <c r="AS30" s="1784">
        <v>220.90242952638758</v>
      </c>
      <c r="AT30" s="1784">
        <v>221.92580874661311</v>
      </c>
    </row>
    <row r="31" spans="1:46">
      <c r="A31" s="97"/>
      <c r="B31" s="92" t="s">
        <v>12</v>
      </c>
      <c r="C31" s="91" t="s">
        <v>27</v>
      </c>
      <c r="D31" s="135" t="s">
        <v>56</v>
      </c>
      <c r="E31" s="137" t="s">
        <v>12</v>
      </c>
      <c r="F31" s="48" t="s">
        <v>27</v>
      </c>
      <c r="G31" s="48"/>
      <c r="H31" s="48"/>
      <c r="I31" s="48"/>
      <c r="J31" s="48"/>
      <c r="K31" s="48"/>
      <c r="L31" s="48"/>
      <c r="M31" s="48"/>
      <c r="N31" s="48"/>
      <c r="O31" s="49"/>
      <c r="P31" s="52"/>
      <c r="Q31" s="53"/>
      <c r="R31" s="53"/>
      <c r="S31" s="53"/>
      <c r="T31" s="53"/>
      <c r="U31" s="53"/>
      <c r="V31" s="52"/>
      <c r="W31" s="53"/>
      <c r="X31" s="53"/>
      <c r="Y31" s="53"/>
      <c r="Z31" s="53"/>
      <c r="AA31" s="53"/>
      <c r="AB31" s="53"/>
      <c r="AC31" s="53"/>
      <c r="AD31" s="53"/>
      <c r="AE31" s="53"/>
      <c r="AF31" s="53"/>
      <c r="AG31" s="53"/>
      <c r="AH31" s="53"/>
      <c r="AI31" s="53"/>
      <c r="AJ31" s="53"/>
      <c r="AK31" s="53"/>
      <c r="AL31" s="1784"/>
      <c r="AM31" s="1784"/>
      <c r="AN31" s="1784"/>
      <c r="AO31" s="1784"/>
      <c r="AP31" s="1784"/>
      <c r="AQ31" s="1784"/>
      <c r="AR31" s="1784"/>
      <c r="AS31" s="1784"/>
      <c r="AT31" s="1784"/>
    </row>
    <row r="32" spans="1:46">
      <c r="A32" s="97"/>
      <c r="B32" s="92" t="s">
        <v>57</v>
      </c>
      <c r="C32" s="91" t="s">
        <v>27</v>
      </c>
      <c r="D32" s="136" t="s">
        <v>23</v>
      </c>
      <c r="E32" s="137" t="s">
        <v>57</v>
      </c>
      <c r="F32" s="48"/>
      <c r="G32" s="48"/>
      <c r="H32" s="48"/>
      <c r="I32" s="48">
        <v>1.1140033333333335</v>
      </c>
      <c r="J32" s="48">
        <v>1.0668346106248665</v>
      </c>
      <c r="K32" s="48">
        <v>0.92402059789625823</v>
      </c>
      <c r="L32" s="48">
        <v>0.89563563533889168</v>
      </c>
      <c r="M32" s="48">
        <v>0.94490556324111663</v>
      </c>
      <c r="N32" s="48">
        <v>1.1308771550912999</v>
      </c>
      <c r="O32" s="49">
        <v>1.2433377024123249</v>
      </c>
      <c r="P32" s="62">
        <v>1.2447779287439666</v>
      </c>
      <c r="Q32" s="63">
        <v>1.2556653507492419</v>
      </c>
      <c r="R32" s="63">
        <v>1.3706395810053833</v>
      </c>
      <c r="S32" s="63">
        <v>1.4705943366362251</v>
      </c>
      <c r="T32" s="63">
        <v>1.3932679345473418</v>
      </c>
      <c r="U32" s="63">
        <v>1.3267994282891082</v>
      </c>
      <c r="V32" s="62">
        <v>1.3917103069886416</v>
      </c>
      <c r="W32" s="63">
        <v>1.2856022599648</v>
      </c>
      <c r="X32" s="63">
        <v>1.32813739491185</v>
      </c>
      <c r="Y32" s="63">
        <v>1.3288431678587085</v>
      </c>
      <c r="Z32" s="63">
        <v>1.1096252266453417</v>
      </c>
      <c r="AA32" s="63">
        <v>1.1065976691605584</v>
      </c>
      <c r="AB32" s="63">
        <v>1.1292825294502833</v>
      </c>
      <c r="AC32" s="63">
        <v>1.1814900408217499</v>
      </c>
      <c r="AD32" s="63">
        <v>1.119598059398325</v>
      </c>
      <c r="AE32" s="63">
        <v>1.1412818593544169</v>
      </c>
      <c r="AF32" s="63">
        <v>1.1835265952224086</v>
      </c>
      <c r="AG32" s="63">
        <v>1.0538770743806252</v>
      </c>
      <c r="AH32" s="63">
        <v>1.0815804937547</v>
      </c>
      <c r="AI32" s="63">
        <v>1.089668465468143</v>
      </c>
      <c r="AJ32" s="63">
        <v>1.0974928687416672</v>
      </c>
      <c r="AK32" s="63">
        <v>1.1010600293477451</v>
      </c>
      <c r="AL32" s="1789">
        <v>1.0990103010203398</v>
      </c>
      <c r="AM32" s="1789">
        <v>1.098183771088167</v>
      </c>
      <c r="AN32" s="1789">
        <v>1.098171707942813</v>
      </c>
      <c r="AO32" s="1789">
        <v>1.098171707942813</v>
      </c>
      <c r="AP32" s="1789">
        <v>1.098171707942813</v>
      </c>
      <c r="AQ32" s="1789">
        <v>1.098171707942813</v>
      </c>
      <c r="AR32" s="1789">
        <v>1.098171707942813</v>
      </c>
      <c r="AS32" s="1789">
        <v>1.098171707942813</v>
      </c>
      <c r="AT32" s="1789">
        <v>1.098171707942813</v>
      </c>
    </row>
    <row r="33" spans="1:46">
      <c r="A33" s="97"/>
      <c r="D33" s="136" t="s">
        <v>24</v>
      </c>
      <c r="E33" s="137"/>
      <c r="F33" s="48"/>
      <c r="G33" s="48"/>
      <c r="H33" s="48"/>
      <c r="I33" s="48">
        <v>0.73736539531868983</v>
      </c>
      <c r="J33" s="48">
        <v>0.73142902340939997</v>
      </c>
      <c r="K33" s="48">
        <v>0.75843424653848501</v>
      </c>
      <c r="L33" s="48">
        <v>0.78557813982701796</v>
      </c>
      <c r="M33" s="48">
        <v>0.77258083183389947</v>
      </c>
      <c r="N33" s="48">
        <v>0.71415878826019885</v>
      </c>
      <c r="O33" s="49">
        <v>0.67532006880543083</v>
      </c>
      <c r="P33" s="62">
        <v>0.67724988631803573</v>
      </c>
      <c r="Q33" s="63">
        <v>0.67977254509406648</v>
      </c>
      <c r="R33" s="63">
        <v>0.65345154753525347</v>
      </c>
      <c r="S33" s="63">
        <v>0.6331839078629129</v>
      </c>
      <c r="T33" s="63">
        <v>0.64915198555482023</v>
      </c>
      <c r="U33" s="63">
        <v>0.65556366034077229</v>
      </c>
      <c r="V33" s="62">
        <v>0.63348904868052303</v>
      </c>
      <c r="W33" s="63">
        <v>0.65289773216159575</v>
      </c>
      <c r="X33" s="63">
        <v>0.65806623172956091</v>
      </c>
      <c r="Y33" s="63">
        <v>0.65833272156990119</v>
      </c>
      <c r="Z33" s="63">
        <v>0.71476398364791871</v>
      </c>
      <c r="AA33" s="63">
        <v>0.71950348987376644</v>
      </c>
      <c r="AB33" s="63">
        <v>0.72134724287066632</v>
      </c>
      <c r="AC33" s="63">
        <v>0.7064121937249993</v>
      </c>
      <c r="AD33" s="63">
        <v>0.72377806256013322</v>
      </c>
      <c r="AE33" s="63">
        <v>0.71804460571725814</v>
      </c>
      <c r="AF33" s="63">
        <v>0.70202932649103122</v>
      </c>
      <c r="AG33" s="63">
        <v>0.74784196744479881</v>
      </c>
      <c r="AH33" s="63">
        <v>0.7496331484220784</v>
      </c>
      <c r="AI33" s="63">
        <v>0.7532900606867684</v>
      </c>
      <c r="AJ33" s="63">
        <v>0.76368997222809087</v>
      </c>
      <c r="AK33" s="63">
        <v>0.76208919270548725</v>
      </c>
      <c r="AL33" s="1789">
        <v>0.76098898141582161</v>
      </c>
      <c r="AM33" s="1789">
        <v>0.75921111957476217</v>
      </c>
      <c r="AN33" s="1789">
        <v>0.75806162760258111</v>
      </c>
      <c r="AO33" s="1789">
        <v>0.75642012975693518</v>
      </c>
      <c r="AP33" s="1789">
        <v>0.75478218639166272</v>
      </c>
      <c r="AQ33" s="1789">
        <v>0.75314778980993335</v>
      </c>
      <c r="AR33" s="1789">
        <v>0.75151693233158312</v>
      </c>
      <c r="AS33" s="1789">
        <v>0.74988960629307866</v>
      </c>
      <c r="AT33" s="1789">
        <v>0.74826580404748111</v>
      </c>
    </row>
    <row r="34" spans="1:46" customFormat="1" ht="14.5">
      <c r="A34" s="97"/>
      <c r="B34" s="92"/>
      <c r="C34" s="92"/>
      <c r="D34" s="135" t="s">
        <v>25</v>
      </c>
      <c r="E34" s="137"/>
      <c r="F34" s="48"/>
      <c r="G34" s="48"/>
      <c r="H34" s="48"/>
      <c r="I34" s="48"/>
      <c r="J34" s="48"/>
      <c r="K34" s="48"/>
      <c r="L34" s="48"/>
      <c r="M34" s="48"/>
      <c r="N34" s="48" t="s">
        <v>3637</v>
      </c>
      <c r="O34" s="49"/>
      <c r="P34" s="62"/>
      <c r="Q34" s="63"/>
      <c r="R34" s="63"/>
      <c r="S34" s="63"/>
      <c r="T34" s="63"/>
      <c r="U34" s="63"/>
      <c r="V34" s="62"/>
      <c r="W34" s="63"/>
      <c r="X34" s="63"/>
      <c r="Y34" s="63"/>
      <c r="Z34" s="63"/>
      <c r="AA34" s="63"/>
      <c r="AB34" s="63"/>
      <c r="AC34" s="63"/>
      <c r="AD34" s="63"/>
      <c r="AE34" s="63"/>
      <c r="AF34" s="63"/>
      <c r="AG34" s="63"/>
      <c r="AH34" s="63"/>
      <c r="AI34" s="63"/>
      <c r="AJ34" s="63"/>
      <c r="AK34" s="63"/>
      <c r="AL34" s="1789"/>
      <c r="AM34" s="1789"/>
      <c r="AN34" s="1789"/>
      <c r="AO34" s="1789"/>
      <c r="AP34" s="1789"/>
      <c r="AQ34" s="1789"/>
      <c r="AR34" s="1789"/>
      <c r="AS34" s="1789"/>
      <c r="AT34" s="1789"/>
    </row>
    <row r="35" spans="1:46" customFormat="1" ht="14.5">
      <c r="A35" s="97"/>
      <c r="B35" s="92" t="s">
        <v>58</v>
      </c>
      <c r="C35" s="92"/>
      <c r="D35" s="136" t="s">
        <v>59</v>
      </c>
      <c r="E35" s="137" t="s">
        <v>60</v>
      </c>
      <c r="F35" s="48"/>
      <c r="G35" s="48"/>
      <c r="H35" s="48"/>
      <c r="I35" s="48">
        <v>5.5382750000000005</v>
      </c>
      <c r="J35" s="48">
        <v>5.529099999999997</v>
      </c>
      <c r="K35" s="48">
        <v>6.6493916666666664</v>
      </c>
      <c r="L35" s="48">
        <v>3.7277333333333331</v>
      </c>
      <c r="M35" s="48">
        <v>1.8819999999999988</v>
      </c>
      <c r="N35" s="48">
        <v>1.2300666666666658</v>
      </c>
      <c r="O35" s="49">
        <v>1.7917416666666668</v>
      </c>
      <c r="P35" s="62">
        <v>3.7651416666666666</v>
      </c>
      <c r="Q35" s="63">
        <v>5.2734500000000004</v>
      </c>
      <c r="R35" s="63">
        <v>5.2515333333333345</v>
      </c>
      <c r="S35" s="63">
        <v>3.0447750000000013</v>
      </c>
      <c r="T35" s="63">
        <v>1.1212166666666659</v>
      </c>
      <c r="U35" s="63">
        <v>0.51829999999999998</v>
      </c>
      <c r="V35" s="62">
        <v>0.5071</v>
      </c>
      <c r="W35" s="63">
        <v>0.68678333333333352</v>
      </c>
      <c r="X35" s="63">
        <v>5.8333333333333327E-2</v>
      </c>
      <c r="Y35" s="63">
        <v>3.2499999999999994E-2</v>
      </c>
      <c r="Z35" s="63">
        <v>5.3333333333333427E-2</v>
      </c>
      <c r="AA35" s="63">
        <v>0.31916666666666677</v>
      </c>
      <c r="AB35" s="63">
        <v>0.94666666666666832</v>
      </c>
      <c r="AC35" s="63">
        <v>1.9733333333333352</v>
      </c>
      <c r="AD35" s="63">
        <v>2.1041666666666679</v>
      </c>
      <c r="AE35" s="63">
        <v>0.36999999999999983</v>
      </c>
      <c r="AF35" s="63">
        <v>4.4166666666666674E-2</v>
      </c>
      <c r="AG35" s="63">
        <v>2.0825000000000009</v>
      </c>
      <c r="AH35" s="63">
        <v>5.2758333333333347</v>
      </c>
      <c r="AI35" s="63">
        <v>5.3512499999999976</v>
      </c>
      <c r="AJ35" s="63">
        <v>3.9283333333333328</v>
      </c>
      <c r="AK35" s="63">
        <v>3.0220833333333328</v>
      </c>
      <c r="AL35" s="1789">
        <v>2.97</v>
      </c>
      <c r="AM35" s="1789">
        <v>2.97</v>
      </c>
      <c r="AN35" s="1789">
        <v>2.97</v>
      </c>
      <c r="AO35" s="1789">
        <v>2.97</v>
      </c>
      <c r="AP35" s="1789">
        <v>2.97</v>
      </c>
      <c r="AQ35" s="1789">
        <v>2.97</v>
      </c>
      <c r="AR35" s="1789">
        <v>2.97</v>
      </c>
      <c r="AS35" s="1789">
        <v>2.97</v>
      </c>
      <c r="AT35" s="1789">
        <v>2.97</v>
      </c>
    </row>
    <row r="36" spans="1:46">
      <c r="A36" s="97"/>
      <c r="D36" s="136" t="s">
        <v>61</v>
      </c>
      <c r="E36" s="137"/>
      <c r="F36" s="48"/>
      <c r="G36" s="48"/>
      <c r="H36" s="48"/>
      <c r="I36" s="48"/>
      <c r="J36" s="48">
        <v>2.9628982083333333</v>
      </c>
      <c r="K36" s="48">
        <v>4.4050100000000008</v>
      </c>
      <c r="L36" s="48">
        <v>4.2604924999999998</v>
      </c>
      <c r="M36" s="48">
        <v>3.3165191666666667</v>
      </c>
      <c r="N36" s="48">
        <v>2.3315675000000002</v>
      </c>
      <c r="O36" s="49">
        <v>2.1055275</v>
      </c>
      <c r="P36" s="62">
        <v>2.1844708333333331</v>
      </c>
      <c r="Q36" s="63">
        <v>3.0797033333333332</v>
      </c>
      <c r="R36" s="63">
        <v>4.2777666666666665</v>
      </c>
      <c r="S36" s="63">
        <v>4.6319137500000007</v>
      </c>
      <c r="T36" s="63">
        <v>1.2278224999999998</v>
      </c>
      <c r="U36" s="63">
        <v>0.81095833333333334</v>
      </c>
      <c r="V36" s="62">
        <v>1.3906000000000001</v>
      </c>
      <c r="W36" s="63">
        <v>0.57315833333333333</v>
      </c>
      <c r="X36" s="63">
        <v>4.3454364681487306E-2</v>
      </c>
      <c r="Y36" s="63">
        <v>3.0560716236888108E-2</v>
      </c>
      <c r="Z36" s="63">
        <v>-0.22710749999999999</v>
      </c>
      <c r="AA36" s="63">
        <v>-0.64580727855477849</v>
      </c>
      <c r="AB36" s="63">
        <v>-0.81080730769230769</v>
      </c>
      <c r="AC36" s="63">
        <v>-0.7388754778554778</v>
      </c>
      <c r="AD36" s="63">
        <v>-0.66347125874125878</v>
      </c>
      <c r="AE36" s="63">
        <v>-0.67019108391608373</v>
      </c>
      <c r="AF36" s="63">
        <v>-0.71129334644522157</v>
      </c>
      <c r="AG36" s="63">
        <v>0.15758305288461563</v>
      </c>
      <c r="AH36" s="63">
        <v>3.1443640196820093</v>
      </c>
      <c r="AI36" s="63">
        <v>3.4548647164171071</v>
      </c>
      <c r="AJ36" s="63">
        <v>2.768095702820661</v>
      </c>
      <c r="AK36" s="63">
        <v>2.4677159176644246</v>
      </c>
      <c r="AL36" s="1789">
        <v>2.4614014298209268</v>
      </c>
      <c r="AM36" s="1789">
        <v>2.346610875903294</v>
      </c>
      <c r="AN36" s="1789">
        <v>2.3746861266364871</v>
      </c>
      <c r="AO36" s="1789">
        <v>2.3746861266364871</v>
      </c>
      <c r="AP36" s="1789">
        <v>2.3746861266364871</v>
      </c>
      <c r="AQ36" s="1789">
        <v>2.3746861266364871</v>
      </c>
      <c r="AR36" s="1789">
        <v>2.3746861266364871</v>
      </c>
      <c r="AS36" s="1789">
        <v>2.3746861266364871</v>
      </c>
      <c r="AT36" s="1789">
        <v>2.3746861266364871</v>
      </c>
    </row>
    <row r="37" spans="1:46" ht="16" thickBot="1">
      <c r="A37" s="97"/>
      <c r="D37" s="138" t="s">
        <v>716</v>
      </c>
      <c r="E37" s="137"/>
      <c r="F37" s="48"/>
      <c r="G37" s="48"/>
      <c r="H37" s="48"/>
      <c r="I37" s="48"/>
      <c r="J37" s="48"/>
      <c r="K37" s="48"/>
      <c r="L37" s="48"/>
      <c r="M37" s="48"/>
      <c r="N37" s="48"/>
      <c r="O37" s="49"/>
      <c r="P37" s="64"/>
      <c r="Q37" s="65"/>
      <c r="R37" s="65"/>
      <c r="S37" s="65"/>
      <c r="T37" s="65"/>
      <c r="U37" s="53"/>
      <c r="V37" s="64"/>
      <c r="W37" s="65"/>
      <c r="X37" s="65">
        <v>7.2229238599941736E-2</v>
      </c>
      <c r="Y37" s="65">
        <v>2.289100840032577E-2</v>
      </c>
      <c r="Z37" s="65">
        <v>-1.4050501855600538E-2</v>
      </c>
      <c r="AA37" s="65">
        <v>-0.24693851981351983</v>
      </c>
      <c r="AB37" s="65">
        <v>-0.19099056490384619</v>
      </c>
      <c r="AC37" s="65">
        <v>-0.18183466091200468</v>
      </c>
      <c r="AD37" s="65">
        <v>-0.17692508741258739</v>
      </c>
      <c r="AE37" s="65">
        <v>-0.13195402097902095</v>
      </c>
      <c r="AF37" s="65">
        <v>-0.11303235540501166</v>
      </c>
      <c r="AG37" s="65">
        <v>-0.13547502731643354</v>
      </c>
      <c r="AH37" s="65">
        <v>-0.18246153846153845</v>
      </c>
      <c r="AI37" s="65">
        <v>7.6117948717948733E-2</v>
      </c>
      <c r="AJ37" s="65">
        <v>0.50350000000000006</v>
      </c>
      <c r="AK37" s="65">
        <v>0.96000000000000008</v>
      </c>
      <c r="AL37" s="1790">
        <v>1.4100000000000001</v>
      </c>
      <c r="AM37" s="1790">
        <v>1.4999999999999998</v>
      </c>
      <c r="AN37" s="1790">
        <v>1.4999999999999998</v>
      </c>
      <c r="AO37" s="1790">
        <v>1.4999999999999998</v>
      </c>
      <c r="AP37" s="1790">
        <v>1.4999999999999998</v>
      </c>
      <c r="AQ37" s="1790">
        <v>1.4999999999999998</v>
      </c>
      <c r="AR37" s="1790">
        <v>1.4999999999999998</v>
      </c>
      <c r="AS37" s="1790">
        <v>1.4999999999999998</v>
      </c>
      <c r="AT37" s="1790">
        <v>1.4999999999999998</v>
      </c>
    </row>
    <row r="38" spans="1:46">
      <c r="A38" s="97"/>
      <c r="D38" s="662" t="s">
        <v>716</v>
      </c>
      <c r="E38" s="1"/>
      <c r="F38" s="1"/>
      <c r="G38" s="1"/>
      <c r="H38" s="1"/>
      <c r="Y38"/>
      <c r="AA38"/>
      <c r="AB38" s="72"/>
      <c r="AC38" s="72"/>
      <c r="AD38" s="72"/>
      <c r="AE38" s="73"/>
      <c r="AF38" s="73"/>
      <c r="AG38" s="73"/>
      <c r="AH38" s="73"/>
      <c r="AI38" s="73"/>
      <c r="AJ38" s="73"/>
      <c r="AK38" s="73"/>
    </row>
    <row r="39" spans="1:46">
      <c r="A39" s="97"/>
      <c r="D39" s="71"/>
      <c r="E39" s="1"/>
      <c r="F39" s="1"/>
      <c r="G39" s="1"/>
      <c r="H39" s="1"/>
      <c r="Y39"/>
      <c r="AA39"/>
    </row>
    <row r="40" spans="1:46" customFormat="1" ht="15" thickBot="1">
      <c r="A40" s="97"/>
      <c r="B40" s="92" t="s">
        <v>972</v>
      </c>
      <c r="C40" s="92"/>
      <c r="D40" s="88" t="s">
        <v>3376</v>
      </c>
      <c r="E40" s="9"/>
      <c r="F40" s="9"/>
      <c r="G40" s="9"/>
      <c r="H40" s="9"/>
      <c r="U40" s="554">
        <v>2010</v>
      </c>
      <c r="V40" s="555" t="s">
        <v>710</v>
      </c>
      <c r="W40" s="555">
        <v>2012</v>
      </c>
      <c r="X40" s="555">
        <v>2013</v>
      </c>
      <c r="Y40" s="555">
        <v>2014</v>
      </c>
      <c r="Z40" s="555">
        <v>2015</v>
      </c>
      <c r="AA40" s="555">
        <v>2016</v>
      </c>
      <c r="AB40" s="555">
        <v>2017</v>
      </c>
      <c r="AC40" s="555">
        <v>2018</v>
      </c>
      <c r="AD40" s="555">
        <v>2019</v>
      </c>
      <c r="AE40" s="555">
        <v>2020</v>
      </c>
      <c r="AF40" s="555">
        <v>2021</v>
      </c>
      <c r="AG40" s="555"/>
      <c r="AH40" s="555"/>
      <c r="AI40" s="555"/>
      <c r="AJ40" s="555"/>
      <c r="AK40" s="555"/>
    </row>
    <row r="41" spans="1:46" customFormat="1" ht="14.5">
      <c r="A41" s="97"/>
      <c r="B41" s="92"/>
      <c r="C41" s="92"/>
      <c r="D41" s="391" t="s">
        <v>713</v>
      </c>
      <c r="E41" s="74"/>
      <c r="F41" s="74"/>
      <c r="G41" s="74"/>
      <c r="H41" s="74"/>
      <c r="I41" s="1346">
        <v>1998</v>
      </c>
      <c r="J41" s="1346">
        <v>1999</v>
      </c>
      <c r="K41" s="1346">
        <v>2000</v>
      </c>
      <c r="L41" s="1346">
        <v>2001</v>
      </c>
      <c r="M41" s="1346">
        <v>2002</v>
      </c>
      <c r="N41" s="1346">
        <v>2003</v>
      </c>
      <c r="O41" s="1346">
        <v>2004</v>
      </c>
      <c r="P41" s="1346">
        <v>2005</v>
      </c>
      <c r="Q41" s="1346">
        <v>2006</v>
      </c>
      <c r="R41" s="1346">
        <v>2007</v>
      </c>
      <c r="S41" s="1346">
        <v>2008</v>
      </c>
      <c r="T41" s="1346">
        <v>2009</v>
      </c>
      <c r="U41" s="1347">
        <v>2010</v>
      </c>
      <c r="V41" s="1348">
        <v>2011</v>
      </c>
      <c r="W41" s="1348">
        <v>2012</v>
      </c>
      <c r="X41" s="1348">
        <v>2013</v>
      </c>
      <c r="Y41" s="1348">
        <v>2014</v>
      </c>
      <c r="Z41" s="1348">
        <v>2015</v>
      </c>
      <c r="AA41" s="1348">
        <v>2016</v>
      </c>
      <c r="AB41" s="1348">
        <v>2017</v>
      </c>
      <c r="AC41" s="1348">
        <v>2018</v>
      </c>
      <c r="AD41" s="1348">
        <v>2019</v>
      </c>
      <c r="AE41" s="1348">
        <v>2020</v>
      </c>
      <c r="AF41" s="1348">
        <v>2021</v>
      </c>
      <c r="AG41" s="1348">
        <v>2022</v>
      </c>
      <c r="AH41" s="1348">
        <v>2023</v>
      </c>
      <c r="AI41" s="1348">
        <v>2024</v>
      </c>
      <c r="AJ41" s="1348">
        <v>2025</v>
      </c>
      <c r="AK41" s="1348">
        <v>2026</v>
      </c>
      <c r="AL41" s="1349">
        <v>2027</v>
      </c>
      <c r="AM41" s="1349">
        <v>2028</v>
      </c>
      <c r="AN41" s="1349">
        <v>2029</v>
      </c>
      <c r="AO41" s="1349">
        <v>2030</v>
      </c>
      <c r="AP41" s="1349">
        <v>2031</v>
      </c>
      <c r="AQ41" s="1349">
        <v>2032</v>
      </c>
      <c r="AR41" s="1349">
        <v>2033</v>
      </c>
      <c r="AS41" s="1349">
        <v>2034</v>
      </c>
      <c r="AT41" s="1349">
        <v>2035</v>
      </c>
    </row>
    <row r="42" spans="1:46" customFormat="1" ht="14.5">
      <c r="A42" s="97"/>
      <c r="B42" s="92" t="s">
        <v>63</v>
      </c>
      <c r="C42" s="91" t="s">
        <v>27</v>
      </c>
      <c r="D42" s="392" t="s">
        <v>64</v>
      </c>
      <c r="E42" s="75"/>
      <c r="F42" s="75"/>
      <c r="G42" s="75"/>
      <c r="H42" s="75"/>
      <c r="I42" s="1350"/>
      <c r="J42" s="1350"/>
      <c r="K42" s="1350"/>
      <c r="L42" s="1350"/>
      <c r="M42" s="1350"/>
      <c r="N42" s="1350"/>
      <c r="O42" s="1350"/>
      <c r="P42" s="1351"/>
      <c r="Q42" s="1351"/>
      <c r="R42" s="1351"/>
      <c r="S42" s="1351"/>
      <c r="T42" s="1351"/>
      <c r="U42" s="1352"/>
      <c r="V42" s="1351"/>
      <c r="W42" s="1351"/>
      <c r="X42" s="1351"/>
      <c r="Y42" s="1351"/>
      <c r="Z42" s="1351"/>
      <c r="AA42" s="1351"/>
      <c r="AB42" s="1351"/>
      <c r="AC42" s="1351"/>
      <c r="AD42" s="1351"/>
      <c r="AE42" s="1351"/>
      <c r="AF42" s="1351"/>
      <c r="AG42" s="1351"/>
      <c r="AH42" s="1351"/>
      <c r="AI42" s="1351"/>
      <c r="AJ42" s="1351"/>
      <c r="AK42" s="1351"/>
      <c r="AL42" s="1352"/>
      <c r="AM42" s="1352"/>
      <c r="AN42" s="1352"/>
      <c r="AO42" s="1352"/>
      <c r="AP42" s="1352" t="s">
        <v>3786</v>
      </c>
      <c r="AQ42" s="1352"/>
      <c r="AR42" s="1352"/>
      <c r="AS42" s="1352"/>
      <c r="AT42" s="1352"/>
    </row>
    <row r="43" spans="1:46" customFormat="1" ht="14.5">
      <c r="A43" s="97"/>
      <c r="B43" s="92" t="s">
        <v>65</v>
      </c>
      <c r="C43" s="91" t="s">
        <v>27</v>
      </c>
      <c r="D43" s="391" t="s">
        <v>3377</v>
      </c>
      <c r="E43" s="75"/>
      <c r="F43" s="75"/>
      <c r="G43" s="75"/>
      <c r="H43" s="75"/>
      <c r="I43" s="1353">
        <v>5.5662594527080077E-2</v>
      </c>
      <c r="J43" s="1354">
        <v>3.9399476736078416E-2</v>
      </c>
      <c r="K43" s="1353">
        <v>5.2254700734578698E-2</v>
      </c>
      <c r="L43" s="1354">
        <v>1.6221608019731382E-2</v>
      </c>
      <c r="M43" s="1354">
        <v>1.5646426603968665E-2</v>
      </c>
      <c r="N43" s="1354">
        <v>1.9668279986080058E-2</v>
      </c>
      <c r="O43" s="1354">
        <v>4.1876729001444284E-2</v>
      </c>
      <c r="P43" s="1354">
        <v>3.5949092520521315E-2</v>
      </c>
      <c r="Q43" s="1354">
        <v>4.2681665023086103E-2</v>
      </c>
      <c r="R43" s="1354">
        <v>4.2733375108319274E-2</v>
      </c>
      <c r="S43" s="1354">
        <v>9.0173621330438738E-3</v>
      </c>
      <c r="T43" s="1354">
        <v>-3.2475604471838289E-2</v>
      </c>
      <c r="U43" s="1355">
        <v>6.6448297232417047E-2</v>
      </c>
      <c r="V43" s="1354">
        <v>6.201173018256232E-2</v>
      </c>
      <c r="W43" s="1354">
        <v>4.5132179421761336E-2</v>
      </c>
      <c r="X43" s="1354">
        <v>6.9431369036768012E-2</v>
      </c>
      <c r="Y43" s="1354">
        <v>5.572877711685148E-2</v>
      </c>
      <c r="Z43" s="1354">
        <v>5.3999498162709283E-2</v>
      </c>
      <c r="AA43" s="1354">
        <v>2.0232904004605343E-2</v>
      </c>
      <c r="AB43" s="1354">
        <v>3.2140443531539102E-2</v>
      </c>
      <c r="AC43" s="1354">
        <v>3.8301429671093373E-2</v>
      </c>
      <c r="AD43" s="1354">
        <v>3.479418615793789E-2</v>
      </c>
      <c r="AE43" s="1354">
        <v>-9.4511138763407592E-3</v>
      </c>
      <c r="AF43" s="1354">
        <v>5.7909625921863397E-2</v>
      </c>
      <c r="AG43" s="1354">
        <v>6.434299491775046E-2</v>
      </c>
      <c r="AH43" s="1354">
        <v>5.2947161195111503E-2</v>
      </c>
      <c r="AI43" s="1354">
        <v>3.3590684363657169E-2</v>
      </c>
      <c r="AJ43" s="1354">
        <v>4.5079371528173866E-2</v>
      </c>
      <c r="AK43" s="1354">
        <v>4.7093933883328415E-2</v>
      </c>
      <c r="AL43" s="1355">
        <v>4.6241024195616445E-2</v>
      </c>
      <c r="AM43" s="1355">
        <v>4.0684854909105096E-2</v>
      </c>
      <c r="AN43" s="1355">
        <v>3.9795372149849434E-2</v>
      </c>
      <c r="AO43" s="1355">
        <v>3.924146567435953E-2</v>
      </c>
      <c r="AP43" s="1355">
        <v>3.924146567435953E-2</v>
      </c>
      <c r="AQ43" s="1355">
        <v>3.924146567435953E-2</v>
      </c>
      <c r="AR43" s="1355">
        <v>3.924146567435953E-2</v>
      </c>
      <c r="AS43" s="1355">
        <v>3.924146567435953E-2</v>
      </c>
      <c r="AT43" s="1355">
        <v>3.924146567435953E-2</v>
      </c>
    </row>
    <row r="44" spans="1:46" customFormat="1" ht="14.5">
      <c r="A44" s="97"/>
      <c r="B44" s="92"/>
      <c r="C44" s="92"/>
      <c r="D44" s="391" t="s">
        <v>3378</v>
      </c>
      <c r="E44" s="74" t="s">
        <v>27</v>
      </c>
      <c r="F44" s="74"/>
      <c r="G44" s="74"/>
      <c r="H44" s="74"/>
      <c r="I44" s="1353">
        <v>9.701312141382612E-2</v>
      </c>
      <c r="J44" s="1354">
        <v>1.8581033212383576E-2</v>
      </c>
      <c r="K44" s="1353">
        <v>1.9145210625308415E-2</v>
      </c>
      <c r="L44" s="1354">
        <v>-8.5844668867953208E-2</v>
      </c>
      <c r="M44" s="1354">
        <v>0.23921092852841191</v>
      </c>
      <c r="N44" s="1354">
        <v>0.57931536627571734</v>
      </c>
      <c r="O44" s="1354">
        <v>7.9350060958403509E-2</v>
      </c>
      <c r="P44" s="1354">
        <v>5.647773552243069E-2</v>
      </c>
      <c r="Q44" s="1354">
        <v>2.24653927039371E-2</v>
      </c>
      <c r="R44" s="1354">
        <v>0.38407066187738437</v>
      </c>
      <c r="S44" s="1354">
        <v>0.121355387126383</v>
      </c>
      <c r="T44" s="1354">
        <v>-7.7988627421171894E-2</v>
      </c>
      <c r="U44" s="1355">
        <v>0.27414027185842055</v>
      </c>
      <c r="V44" s="1354">
        <v>3.8175512857474489E-2</v>
      </c>
      <c r="W44" s="1354">
        <v>-3.3489872840554248E-2</v>
      </c>
      <c r="X44" s="1354">
        <v>0.14167355111161162</v>
      </c>
      <c r="Y44" s="1354">
        <v>8.2033152870624237E-2</v>
      </c>
      <c r="Z44" s="1354">
        <v>-8.659963941425336E-2</v>
      </c>
      <c r="AA44" s="1354">
        <v>7.9003585756324921E-2</v>
      </c>
      <c r="AB44" s="1354">
        <v>4.9900643864957545E-2</v>
      </c>
      <c r="AC44" s="1354">
        <v>8.0100000674793559E-2</v>
      </c>
      <c r="AD44" s="1354">
        <v>-8.6594412292261391E-2</v>
      </c>
      <c r="AE44" s="1354">
        <v>4.6493115351659522E-2</v>
      </c>
      <c r="AF44" s="1354">
        <v>0.23088304745489341</v>
      </c>
      <c r="AG44" s="1354">
        <v>0.19835354713264283</v>
      </c>
      <c r="AH44" s="1354">
        <v>2.004723418339165E-2</v>
      </c>
      <c r="AI44" s="1354">
        <v>4.7583570482589259E-2</v>
      </c>
      <c r="AJ44" s="1354">
        <v>4.2751806897564741E-2</v>
      </c>
      <c r="AK44" s="1354">
        <v>3.9361858593508305E-2</v>
      </c>
      <c r="AL44" s="1355">
        <v>4.1612810152205484E-2</v>
      </c>
      <c r="AM44" s="1355">
        <v>4.0832379793252688E-2</v>
      </c>
      <c r="AN44" s="1355">
        <v>4.0184536781519981E-2</v>
      </c>
      <c r="AO44" s="1355">
        <v>3.9143759092754055E-2</v>
      </c>
      <c r="AP44" s="1355">
        <v>3.9143759092754055E-2</v>
      </c>
      <c r="AQ44" s="1355">
        <v>3.9143759092754055E-2</v>
      </c>
      <c r="AR44" s="1355">
        <v>3.9143759092754055E-2</v>
      </c>
      <c r="AS44" s="1355">
        <v>3.9143759092754055E-2</v>
      </c>
      <c r="AT44" s="1355">
        <v>3.9143759092754055E-2</v>
      </c>
    </row>
    <row r="45" spans="1:46" customFormat="1" ht="14.5">
      <c r="A45" s="97"/>
      <c r="B45" s="92" t="s">
        <v>66</v>
      </c>
      <c r="C45" s="91" t="s">
        <v>27</v>
      </c>
      <c r="D45" s="392" t="s">
        <v>67</v>
      </c>
      <c r="E45" s="75"/>
      <c r="F45" s="75"/>
      <c r="G45" s="75"/>
      <c r="H45" s="75"/>
      <c r="I45" s="1353"/>
      <c r="J45" s="1354"/>
      <c r="K45" s="1353"/>
      <c r="L45" s="1354"/>
      <c r="M45" s="1354"/>
      <c r="N45" s="1354"/>
      <c r="O45" s="1354"/>
      <c r="P45" s="1354"/>
      <c r="Q45" s="1354"/>
      <c r="R45" s="1354"/>
      <c r="S45" s="1354"/>
      <c r="T45" s="1354"/>
      <c r="U45" s="1355"/>
      <c r="V45" s="1354"/>
      <c r="W45" s="1354"/>
      <c r="X45" s="1354"/>
      <c r="Y45" s="1354"/>
      <c r="Z45" s="1354"/>
      <c r="AA45" s="1354"/>
      <c r="AB45" s="1354"/>
      <c r="AC45" s="1354"/>
      <c r="AD45" s="1354"/>
      <c r="AE45" s="1354"/>
      <c r="AF45" s="1354"/>
      <c r="AG45" s="1354"/>
      <c r="AH45" s="1354"/>
      <c r="AI45" s="1354"/>
      <c r="AJ45" s="1354"/>
      <c r="AK45" s="1354"/>
      <c r="AL45" s="1355"/>
      <c r="AM45" s="1355"/>
      <c r="AN45" s="1355"/>
      <c r="AO45" s="1355"/>
      <c r="AP45" s="1355"/>
      <c r="AQ45" s="1355"/>
      <c r="AR45" s="1355"/>
      <c r="AS45" s="1355"/>
      <c r="AT45" s="1355"/>
    </row>
    <row r="46" spans="1:46" customFormat="1" ht="14.5">
      <c r="A46" s="97"/>
      <c r="B46" s="94" t="s">
        <v>93</v>
      </c>
      <c r="C46" s="91" t="s">
        <v>27</v>
      </c>
      <c r="D46" s="391" t="s">
        <v>3379</v>
      </c>
      <c r="E46" s="75"/>
      <c r="F46" s="75"/>
      <c r="G46" s="75"/>
      <c r="H46" s="75"/>
      <c r="I46" s="1353">
        <v>8.7722450567612659E-2</v>
      </c>
      <c r="J46" s="1354">
        <v>-2.6684113480907535E-2</v>
      </c>
      <c r="K46" s="1353">
        <v>-5.2905004927910129E-2</v>
      </c>
      <c r="L46" s="1354">
        <v>-2.1668263487448911E-2</v>
      </c>
      <c r="M46" s="1354">
        <v>4.6525081034408826E-2</v>
      </c>
      <c r="N46" s="1354">
        <v>0.14470809606052265</v>
      </c>
      <c r="O46" s="1354">
        <v>9.0094617363126475E-2</v>
      </c>
      <c r="P46" s="1354">
        <v>2.7135080526349518E-2</v>
      </c>
      <c r="Q46" s="1354">
        <v>2.7026373239269218E-2</v>
      </c>
      <c r="R46" s="1354">
        <v>8.0183488796321853E-2</v>
      </c>
      <c r="S46" s="1354">
        <v>8.8237274458842052E-2</v>
      </c>
      <c r="T46" s="1354">
        <v>-3.6439844998344101E-2</v>
      </c>
      <c r="U46" s="1355">
        <v>1.831503432651067E-2</v>
      </c>
      <c r="V46" s="1354">
        <v>8.6192918635145249E-2</v>
      </c>
      <c r="W46" s="1354">
        <v>-2.5467540286878747E-2</v>
      </c>
      <c r="X46" s="1354">
        <v>1.8356644436912217E-2</v>
      </c>
      <c r="Y46" s="1354">
        <v>6.0717604464520149E-3</v>
      </c>
      <c r="Z46" s="1354">
        <v>-0.11039725996935722</v>
      </c>
      <c r="AA46" s="1354">
        <v>5.4816756223484853E-3</v>
      </c>
      <c r="AB46" s="1354">
        <v>2.5760277118702976E-2</v>
      </c>
      <c r="AC46" s="1354">
        <v>4.4626122198271487E-2</v>
      </c>
      <c r="AD46" s="1354">
        <v>-2.1381861786288269E-2</v>
      </c>
      <c r="AE46" s="1354">
        <v>1.9445917605835E-2</v>
      </c>
      <c r="AF46" s="1354">
        <v>5.50990784064124E-2</v>
      </c>
      <c r="AG46" s="1354">
        <v>-2.3290433513016354E-2</v>
      </c>
      <c r="AH46" s="1354">
        <v>5.034825360390989E-2</v>
      </c>
      <c r="AI46" s="1354">
        <v>1.845998445155737E-2</v>
      </c>
      <c r="AJ46" s="1354">
        <v>-7.3708921941098614E-4</v>
      </c>
      <c r="AK46" s="1354">
        <v>2.2884762246648309E-2</v>
      </c>
      <c r="AL46" s="1355">
        <v>2.1359043285122073E-2</v>
      </c>
      <c r="AM46" s="1355">
        <v>2.2303354992785428E-2</v>
      </c>
      <c r="AN46" s="1355">
        <v>2.1313915620951952E-2</v>
      </c>
      <c r="AO46" s="1355">
        <v>2.2372914419362809E-2</v>
      </c>
      <c r="AP46" s="1355">
        <v>2.2372914419362809E-2</v>
      </c>
      <c r="AQ46" s="1355">
        <v>2.2372914419362809E-2</v>
      </c>
      <c r="AR46" s="1355">
        <v>2.2372914419362809E-2</v>
      </c>
      <c r="AS46" s="1355">
        <v>2.2372914419362809E-2</v>
      </c>
      <c r="AT46" s="1355">
        <v>2.2372914419362809E-2</v>
      </c>
    </row>
    <row r="47" spans="1:46" customFormat="1" ht="14.5">
      <c r="A47" s="97"/>
      <c r="B47" s="92" t="s">
        <v>68</v>
      </c>
      <c r="C47" s="91" t="s">
        <v>27</v>
      </c>
      <c r="D47" s="391" t="s">
        <v>3380</v>
      </c>
      <c r="E47" s="75"/>
      <c r="F47" s="75"/>
      <c r="G47" s="75"/>
      <c r="H47" s="75"/>
      <c r="I47" s="1353">
        <v>0.10668205367780006</v>
      </c>
      <c r="J47" s="1354">
        <v>-1.2882429933648541E-2</v>
      </c>
      <c r="K47" s="1353">
        <v>-9.389597833046338E-3</v>
      </c>
      <c r="L47" s="1354">
        <v>-4.3913748741584241E-2</v>
      </c>
      <c r="M47" s="1354">
        <v>-1.7417769691231232E-2</v>
      </c>
      <c r="N47" s="1354">
        <v>7.6040471290938702E-2</v>
      </c>
      <c r="O47" s="1354">
        <v>9.1074651886725255E-2</v>
      </c>
      <c r="P47" s="1354">
        <v>5.5253327584300543E-2</v>
      </c>
      <c r="Q47" s="1354">
        <v>7.2933568543251837E-2</v>
      </c>
      <c r="R47" s="1354">
        <v>9.4631798637132739E-2</v>
      </c>
      <c r="S47" s="1354">
        <v>0.14523352307180343</v>
      </c>
      <c r="T47" s="1354">
        <v>-4.1564738372914557E-2</v>
      </c>
      <c r="U47" s="1355">
        <v>7.9719243808377416E-2</v>
      </c>
      <c r="V47" s="1354">
        <v>0.10280280863476327</v>
      </c>
      <c r="W47" s="1354">
        <v>-7.4367520989913026E-3</v>
      </c>
      <c r="X47" s="1354">
        <v>-1.3796800672290745E-2</v>
      </c>
      <c r="Y47" s="1354">
        <v>-2.4268866479499961E-2</v>
      </c>
      <c r="Z47" s="1354">
        <v>-7.9702420444928507E-2</v>
      </c>
      <c r="AA47" s="1354">
        <v>-4.1311041173060968E-2</v>
      </c>
      <c r="AB47" s="1354">
        <v>3.9339997217664201E-2</v>
      </c>
      <c r="AC47" s="1354">
        <v>2.0537038049668124E-2</v>
      </c>
      <c r="AD47" s="1354">
        <v>-1.5217441747726075E-2</v>
      </c>
      <c r="AE47" s="1354">
        <v>1.5528069218196614E-2</v>
      </c>
      <c r="AF47" s="1354">
        <v>0.12012046126199914</v>
      </c>
      <c r="AG47" s="1354">
        <v>6.7103621315209375E-2</v>
      </c>
      <c r="AH47" s="1354">
        <v>-3.3633160161528008E-2</v>
      </c>
      <c r="AI47" s="1354">
        <v>1.7048942129016521E-2</v>
      </c>
      <c r="AJ47" s="1354">
        <v>7.6897302488784765E-3</v>
      </c>
      <c r="AK47" s="1354">
        <v>3.7058803506912251E-3</v>
      </c>
      <c r="AL47" s="1355">
        <v>1.2223935230392991E-2</v>
      </c>
      <c r="AM47" s="1355">
        <v>9.035859235912878E-3</v>
      </c>
      <c r="AN47" s="1355">
        <v>1.0946871081862075E-2</v>
      </c>
      <c r="AO47" s="1355">
        <v>1.1622352996372069E-2</v>
      </c>
      <c r="AP47" s="1355">
        <v>1.1622352996372069E-2</v>
      </c>
      <c r="AQ47" s="1355">
        <v>1.1622352996372069E-2</v>
      </c>
      <c r="AR47" s="1355">
        <v>1.1622352996372069E-2</v>
      </c>
      <c r="AS47" s="1355">
        <v>1.1622352996372069E-2</v>
      </c>
      <c r="AT47" s="1355">
        <v>1.1622352996372069E-2</v>
      </c>
    </row>
    <row r="48" spans="1:46" customFormat="1" ht="14.5">
      <c r="A48" s="97"/>
      <c r="B48" s="94" t="s">
        <v>94</v>
      </c>
      <c r="C48" s="91" t="s">
        <v>27</v>
      </c>
      <c r="D48" s="391" t="s">
        <v>3381</v>
      </c>
      <c r="E48" s="75" t="s">
        <v>27</v>
      </c>
      <c r="F48" s="75"/>
      <c r="G48" s="75"/>
      <c r="H48" s="75"/>
      <c r="I48" s="1353">
        <v>4.2071411795534808E-2</v>
      </c>
      <c r="J48" s="1354">
        <v>2.3385106829805283E-2</v>
      </c>
      <c r="K48" s="1353">
        <v>2.0133317310484585E-3</v>
      </c>
      <c r="L48" s="1354">
        <v>-3.3916088724983987E-2</v>
      </c>
      <c r="M48" s="1354">
        <v>-1.9651652297330468E-2</v>
      </c>
      <c r="N48" s="1354">
        <v>2.8585129578736598E-2</v>
      </c>
      <c r="O48" s="1354">
        <v>6.5223279080733901E-2</v>
      </c>
      <c r="P48" s="1354">
        <v>4.0428495531231234E-2</v>
      </c>
      <c r="Q48" s="1354">
        <v>2.1630242924650246E-2</v>
      </c>
      <c r="R48" s="1354">
        <v>3.317484640240255E-2</v>
      </c>
      <c r="S48" s="1354">
        <v>6.0300715607468691E-2</v>
      </c>
      <c r="T48" s="1354">
        <v>-1.8313776576373862E-2</v>
      </c>
      <c r="U48" s="1355">
        <v>2.0684207729816061E-2</v>
      </c>
      <c r="V48" s="1354">
        <v>4.5356981584431487E-2</v>
      </c>
      <c r="W48" s="1354">
        <v>2.4101451507413305E-2</v>
      </c>
      <c r="X48" s="1354">
        <v>-2.8801920466807934E-2</v>
      </c>
      <c r="Y48" s="1354">
        <v>-5.4087539511186314E-3</v>
      </c>
      <c r="Z48" s="1354">
        <v>-3.0595049902498003E-2</v>
      </c>
      <c r="AA48" s="1354">
        <v>-5.0248706433666641E-2</v>
      </c>
      <c r="AB48" s="1354">
        <v>1.2876609299868249E-3</v>
      </c>
      <c r="AC48" s="1354">
        <v>2.0304947494943937E-2</v>
      </c>
      <c r="AD48" s="1354">
        <v>3.9708561685786398E-3</v>
      </c>
      <c r="AE48" s="1354">
        <v>-3.1828348779088758E-2</v>
      </c>
      <c r="AF48" s="1354">
        <v>6.6788522561189528E-2</v>
      </c>
      <c r="AG48" s="1354">
        <v>0.10361247329577145</v>
      </c>
      <c r="AH48" s="1354">
        <v>-1.7050095310669842E-2</v>
      </c>
      <c r="AI48" s="1354">
        <v>1.2886961939433584E-2</v>
      </c>
      <c r="AJ48" s="1354">
        <v>1.7621872998625381E-2</v>
      </c>
      <c r="AK48" s="1354">
        <v>9.7764185520768498E-3</v>
      </c>
      <c r="AL48" s="1355">
        <v>1.0698343641199405E-2</v>
      </c>
      <c r="AM48" s="1355">
        <v>1.1721759060976245E-2</v>
      </c>
      <c r="AN48" s="1355">
        <v>1.3249817452137999E-2</v>
      </c>
      <c r="AO48" s="1355">
        <v>1.296050366649586E-2</v>
      </c>
      <c r="AP48" s="1355">
        <v>1.296050366649586E-2</v>
      </c>
      <c r="AQ48" s="1355">
        <v>1.296050366649586E-2</v>
      </c>
      <c r="AR48" s="1355">
        <v>1.296050366649586E-2</v>
      </c>
      <c r="AS48" s="1355">
        <v>1.296050366649586E-2</v>
      </c>
      <c r="AT48" s="1355">
        <v>1.296050366649586E-2</v>
      </c>
    </row>
    <row r="49" spans="1:49" customFormat="1" ht="14.5">
      <c r="A49" s="97"/>
      <c r="B49" s="94" t="s">
        <v>95</v>
      </c>
      <c r="C49" s="91" t="s">
        <v>27</v>
      </c>
      <c r="D49" s="391" t="s">
        <v>3382</v>
      </c>
      <c r="E49" s="74"/>
      <c r="F49" s="74"/>
      <c r="G49" s="74"/>
      <c r="H49" s="74"/>
      <c r="I49" s="1353">
        <v>0.31653192372789202</v>
      </c>
      <c r="J49" s="1354">
        <v>9.1839443367436359E-3</v>
      </c>
      <c r="K49" s="1353">
        <v>0.56612614952787899</v>
      </c>
      <c r="L49" s="1354">
        <v>-0.1398417710014675</v>
      </c>
      <c r="M49" s="1354">
        <v>2.0864314886887766E-2</v>
      </c>
      <c r="N49" s="1354">
        <v>0.15633310050844165</v>
      </c>
      <c r="O49" s="1354">
        <v>0.30778655100589558</v>
      </c>
      <c r="P49" s="1354">
        <v>0.41525925893414611</v>
      </c>
      <c r="Q49" s="1354">
        <v>0.20362484445363693</v>
      </c>
      <c r="R49" s="1354">
        <v>0.10539632543626908</v>
      </c>
      <c r="S49" s="1354">
        <v>0.35929888825103001</v>
      </c>
      <c r="T49" s="1354">
        <v>-0.3644401993665623</v>
      </c>
      <c r="U49" s="1355">
        <v>0.2868713775930371</v>
      </c>
      <c r="V49" s="1354">
        <v>0.31491985732328959</v>
      </c>
      <c r="W49" s="1354">
        <v>9.8777641391187641E-3</v>
      </c>
      <c r="X49" s="1354">
        <v>-8.799536967720966E-3</v>
      </c>
      <c r="Y49" s="1354">
        <v>-7.5314880179226454E-2</v>
      </c>
      <c r="Z49" s="1354">
        <v>-0.47146300179739115</v>
      </c>
      <c r="AA49" s="1354">
        <v>-0.15022149497565174</v>
      </c>
      <c r="AB49" s="1354">
        <v>0.22452431023357705</v>
      </c>
      <c r="AC49" s="1354">
        <v>0.29361225338930469</v>
      </c>
      <c r="AD49" s="1354">
        <v>-0.10360330409299749</v>
      </c>
      <c r="AE49" s="1354">
        <v>-0.32013819483552891</v>
      </c>
      <c r="AF49" s="1354">
        <v>0.65806664046654073</v>
      </c>
      <c r="AG49" s="1354">
        <v>0.39151032082957182</v>
      </c>
      <c r="AH49" s="1354">
        <v>-0.16362406522644093</v>
      </c>
      <c r="AI49" s="1354">
        <v>-1.7669942173915147E-2</v>
      </c>
      <c r="AJ49" s="1354">
        <v>-9.0611097552122377E-2</v>
      </c>
      <c r="AK49" s="1354">
        <v>-5.2843440827051252E-2</v>
      </c>
      <c r="AL49" s="1355">
        <v>-1.8339001229761412E-2</v>
      </c>
      <c r="AM49" s="1355">
        <v>-7.9274933731491096E-3</v>
      </c>
      <c r="AN49" s="1355">
        <v>-5.5550957070197192E-3</v>
      </c>
      <c r="AO49" s="1355">
        <v>-3.6007600508530134E-3</v>
      </c>
      <c r="AP49" s="1355">
        <v>-3.6007600508530134E-3</v>
      </c>
      <c r="AQ49" s="1355">
        <v>-3.6007600508530134E-3</v>
      </c>
      <c r="AR49" s="1355">
        <v>-3.6007600508530134E-3</v>
      </c>
      <c r="AS49" s="1355">
        <v>-3.6007600508530134E-3</v>
      </c>
      <c r="AT49" s="1355">
        <v>-3.6007600508530134E-3</v>
      </c>
    </row>
    <row r="50" spans="1:49" customFormat="1" ht="14.5">
      <c r="A50" s="97"/>
      <c r="B50" s="92" t="s">
        <v>69</v>
      </c>
      <c r="C50" s="91" t="s">
        <v>27</v>
      </c>
      <c r="D50" s="392" t="s">
        <v>70</v>
      </c>
      <c r="E50" s="75"/>
      <c r="F50" s="75"/>
      <c r="G50" s="75"/>
      <c r="H50" s="75"/>
      <c r="I50" s="1353"/>
      <c r="J50" s="1354"/>
      <c r="K50" s="1353"/>
      <c r="L50" s="1354"/>
      <c r="M50" s="1354"/>
      <c r="N50" s="1354"/>
      <c r="O50" s="1354"/>
      <c r="P50" s="1354"/>
      <c r="Q50" s="1354"/>
      <c r="R50" s="1354"/>
      <c r="S50" s="1354"/>
      <c r="T50" s="1354"/>
      <c r="U50" s="1355"/>
      <c r="V50" s="1354"/>
      <c r="W50" s="1354"/>
      <c r="X50" s="1354"/>
      <c r="Y50" s="1354"/>
      <c r="Z50" s="1354"/>
      <c r="AA50" s="1354"/>
      <c r="AB50" s="1354"/>
      <c r="AC50" s="1354"/>
      <c r="AD50" s="1354"/>
      <c r="AE50" s="1354"/>
      <c r="AF50" s="1354"/>
      <c r="AG50" s="1354"/>
      <c r="AH50" s="1354"/>
      <c r="AI50" s="1354"/>
      <c r="AJ50" s="1354"/>
      <c r="AK50" s="1354"/>
      <c r="AL50" s="1355"/>
      <c r="AM50" s="1355"/>
      <c r="AN50" s="1355"/>
      <c r="AO50" s="1355"/>
      <c r="AP50" s="1355"/>
      <c r="AQ50" s="1355"/>
      <c r="AR50" s="1355"/>
      <c r="AS50" s="1355"/>
      <c r="AT50" s="1355"/>
    </row>
    <row r="51" spans="1:49" customFormat="1" ht="14.5">
      <c r="A51" s="97"/>
      <c r="B51" s="92" t="s">
        <v>71</v>
      </c>
      <c r="C51" s="91" t="s">
        <v>27</v>
      </c>
      <c r="D51" s="391" t="s">
        <v>3383</v>
      </c>
      <c r="E51" s="75"/>
      <c r="F51" s="75"/>
      <c r="G51" s="75"/>
      <c r="H51" s="75"/>
      <c r="I51" s="1353">
        <v>9.5644908060171507E-2</v>
      </c>
      <c r="J51" s="1354">
        <v>1.4867551367259757E-2</v>
      </c>
      <c r="K51" s="1353">
        <v>0.16766438244433549</v>
      </c>
      <c r="L51" s="1354">
        <v>0.28144538196077123</v>
      </c>
      <c r="M51" s="1354">
        <v>-2.9924427803861963E-2</v>
      </c>
      <c r="N51" s="1354">
        <v>-0.16082210805273534</v>
      </c>
      <c r="O51" s="1354">
        <v>0.2603822052579175</v>
      </c>
      <c r="P51" s="1354">
        <v>0.2634900889884273</v>
      </c>
      <c r="Q51" s="1354">
        <v>7.8932181001992022E-2</v>
      </c>
      <c r="R51" s="1354">
        <v>0.14947288809512743</v>
      </c>
      <c r="S51" s="1354">
        <v>0.10232541480024858</v>
      </c>
      <c r="T51" s="1354">
        <v>-0.10339260496160234</v>
      </c>
      <c r="U51" s="1355">
        <v>7.3540578216314753E-2</v>
      </c>
      <c r="V51" s="1354">
        <v>0.10251373174937718</v>
      </c>
      <c r="W51" s="1354">
        <v>5.8068492314670629E-2</v>
      </c>
      <c r="X51" s="1354">
        <v>-8.6542282905386642E-3</v>
      </c>
      <c r="Y51" s="1354">
        <v>1.0327318046939198E-2</v>
      </c>
      <c r="Z51" s="1354">
        <v>2.890749484454341E-3</v>
      </c>
      <c r="AA51" s="1354">
        <v>-1.0900585494347479E-2</v>
      </c>
      <c r="AB51" s="1354">
        <v>-4.5818238738411642E-2</v>
      </c>
      <c r="AC51" s="1354">
        <v>9.3210781320115732E-2</v>
      </c>
      <c r="AD51" s="1354">
        <v>2.3758304467313019E-2</v>
      </c>
      <c r="AE51" s="1354">
        <v>-8.9879939629256236E-2</v>
      </c>
      <c r="AF51" s="1354">
        <v>9.5567846755420363E-2</v>
      </c>
      <c r="AG51" s="1354">
        <v>7.1528740600574472E-2</v>
      </c>
      <c r="AH51" s="1354">
        <v>2.1655658151009147E-3</v>
      </c>
      <c r="AI51" s="1354">
        <v>1.4374330141660254E-2</v>
      </c>
      <c r="AJ51" s="1354">
        <v>1.3174910376173042E-2</v>
      </c>
      <c r="AK51" s="1354">
        <v>1.4760020527206203E-2</v>
      </c>
      <c r="AL51" s="1355">
        <v>1.4875149246305532E-2</v>
      </c>
      <c r="AM51" s="1355">
        <v>1.3608797739925137E-2</v>
      </c>
      <c r="AN51" s="1355">
        <v>1.385723745503971E-2</v>
      </c>
      <c r="AO51" s="1355">
        <v>1.2652548770479371E-2</v>
      </c>
      <c r="AP51" s="1355">
        <v>1.2652548770479371E-2</v>
      </c>
      <c r="AQ51" s="1355">
        <v>1.2652548770479371E-2</v>
      </c>
      <c r="AR51" s="1355">
        <v>1.2652548770479371E-2</v>
      </c>
      <c r="AS51" s="1355">
        <v>1.2652548770479371E-2</v>
      </c>
      <c r="AT51" s="1355">
        <v>1.2652548770479371E-2</v>
      </c>
    </row>
    <row r="52" spans="1:49" customFormat="1" ht="14.5">
      <c r="A52" s="97"/>
      <c r="B52" s="92"/>
      <c r="C52" s="92"/>
      <c r="D52" s="391" t="s">
        <v>3384</v>
      </c>
      <c r="E52" s="75"/>
      <c r="F52" s="75"/>
      <c r="G52" s="75"/>
      <c r="H52" s="75"/>
      <c r="I52" s="1353">
        <v>0.188425287693753</v>
      </c>
      <c r="J52" s="1354">
        <v>-7.9222005360023565E-2</v>
      </c>
      <c r="K52" s="1353">
        <v>1.76005577187856E-2</v>
      </c>
      <c r="L52" s="1354">
        <v>-0.12137280712036956</v>
      </c>
      <c r="M52" s="1354">
        <v>5.4699883764100843E-2</v>
      </c>
      <c r="N52" s="1354">
        <v>0.14864407330779603</v>
      </c>
      <c r="O52" s="1354">
        <v>0.17356314383112795</v>
      </c>
      <c r="P52" s="1354">
        <v>8.9210662420569201E-2</v>
      </c>
      <c r="Q52" s="1354">
        <v>0.29764766850332164</v>
      </c>
      <c r="R52" s="1354">
        <v>0.23549387322063139</v>
      </c>
      <c r="S52" s="1354">
        <v>5.7574621192276715E-2</v>
      </c>
      <c r="T52" s="1354">
        <v>-6.7659558550446336E-2</v>
      </c>
      <c r="U52" s="1355">
        <v>0.26308793995048957</v>
      </c>
      <c r="V52" s="1354">
        <v>0.21977189409117681</v>
      </c>
      <c r="W52" s="1354">
        <v>-4.7826659507407839E-2</v>
      </c>
      <c r="X52" s="1354">
        <v>-0.11611964088630558</v>
      </c>
      <c r="Y52" s="1354">
        <v>-5.3095693968123199E-2</v>
      </c>
      <c r="Z52" s="1354">
        <v>-0.13289594366792562</v>
      </c>
      <c r="AA52" s="1354">
        <v>1.2428738223563161E-2</v>
      </c>
      <c r="AB52" s="1354">
        <v>6.3778156732457625E-2</v>
      </c>
      <c r="AC52" s="1354">
        <v>4.5575817666491155E-3</v>
      </c>
      <c r="AD52" s="1354">
        <v>3.3117442922997009E-2</v>
      </c>
      <c r="AE52" s="1354">
        <v>0.1136533056906646</v>
      </c>
      <c r="AF52" s="1354">
        <v>0.20311665558854217</v>
      </c>
      <c r="AG52" s="1354">
        <v>4.1108552526338417E-2</v>
      </c>
      <c r="AH52" s="1354">
        <v>3.4251008737772676E-2</v>
      </c>
      <c r="AI52" s="1354">
        <v>0.11599034098580231</v>
      </c>
      <c r="AJ52" s="1354">
        <v>0.15317744945948294</v>
      </c>
      <c r="AK52" s="1354">
        <v>1.5766667293212477E-2</v>
      </c>
      <c r="AL52" s="1355">
        <v>-1.9585360042817173E-2</v>
      </c>
      <c r="AM52" s="1355">
        <v>1.583990812670184E-2</v>
      </c>
      <c r="AN52" s="1355">
        <v>1.4497267483688292E-2</v>
      </c>
      <c r="AO52" s="1355">
        <v>5.6469092192373968E-3</v>
      </c>
      <c r="AP52" s="1355">
        <v>5.6469092192373968E-3</v>
      </c>
      <c r="AQ52" s="1355">
        <v>5.6469092192373968E-3</v>
      </c>
      <c r="AR52" s="1355">
        <v>5.6469092192373968E-3</v>
      </c>
      <c r="AS52" s="1355">
        <v>5.6469092192373968E-3</v>
      </c>
      <c r="AT52" s="1355">
        <v>5.6469092192373968E-3</v>
      </c>
    </row>
    <row r="53" spans="1:49" customFormat="1" ht="15" thickBot="1">
      <c r="A53" s="97"/>
      <c r="B53" s="92"/>
      <c r="C53" s="92"/>
      <c r="D53" s="391" t="s">
        <v>712</v>
      </c>
      <c r="E53" s="75"/>
      <c r="F53" s="75"/>
      <c r="G53" s="75"/>
      <c r="H53" s="75"/>
      <c r="I53" s="1353"/>
      <c r="J53" s="1353"/>
      <c r="K53" s="1353"/>
      <c r="L53" s="1353"/>
      <c r="M53" s="1353"/>
      <c r="N53" s="1353"/>
      <c r="O53" s="1353"/>
      <c r="P53" s="1353"/>
      <c r="Q53" s="1353"/>
      <c r="R53" s="1353"/>
      <c r="S53" s="1353"/>
      <c r="T53" s="1353"/>
      <c r="U53" s="1356"/>
      <c r="V53" s="1357"/>
      <c r="W53" s="1357"/>
      <c r="X53" s="1357"/>
      <c r="Y53" s="1357"/>
      <c r="Z53" s="1357"/>
      <c r="AA53" s="1357"/>
      <c r="AB53" s="1357"/>
      <c r="AC53" s="1357"/>
      <c r="AD53" s="1357"/>
      <c r="AE53" s="1357"/>
      <c r="AF53" s="1357"/>
      <c r="AG53" s="1357"/>
      <c r="AH53" s="1357"/>
      <c r="AI53" s="1357"/>
      <c r="AJ53" s="1357"/>
      <c r="AK53" s="1357"/>
      <c r="AL53" s="1358"/>
      <c r="AM53" s="1358"/>
      <c r="AN53" s="1358"/>
      <c r="AO53" s="1358"/>
      <c r="AP53" s="1358"/>
      <c r="AQ53" s="1358"/>
      <c r="AR53" s="1358"/>
      <c r="AS53" s="1358"/>
      <c r="AT53" s="1358"/>
    </row>
    <row r="54" spans="1:49" customFormat="1" ht="21" customHeight="1">
      <c r="A54" s="97"/>
      <c r="B54" s="92"/>
      <c r="C54" s="92"/>
      <c r="D54" s="955" t="s">
        <v>1113</v>
      </c>
      <c r="P54" s="29"/>
      <c r="Q54" s="29"/>
      <c r="R54" s="29"/>
      <c r="S54" s="29"/>
      <c r="T54" s="29"/>
      <c r="U54" s="29"/>
      <c r="V54" s="29"/>
      <c r="W54" s="29"/>
      <c r="X54" s="29"/>
      <c r="Y54" s="29"/>
      <c r="Z54" s="29"/>
      <c r="AA54" s="29"/>
      <c r="AB54" s="29"/>
      <c r="AC54" s="29"/>
      <c r="AD54" s="29"/>
      <c r="AE54" s="957"/>
    </row>
    <row r="55" spans="1:49">
      <c r="A55" s="97"/>
      <c r="D55" s="640" t="s">
        <v>3385</v>
      </c>
      <c r="E55" s="9"/>
      <c r="F55" s="9"/>
      <c r="G55" s="9"/>
      <c r="H55" s="9"/>
      <c r="I55" s="2"/>
      <c r="J55" s="2"/>
      <c r="K55" s="2"/>
      <c r="L55" s="2"/>
      <c r="M55" s="2"/>
      <c r="N55" s="2"/>
      <c r="O55" s="2"/>
      <c r="P55" s="2"/>
      <c r="Q55" s="2"/>
      <c r="R55" s="2"/>
      <c r="S55" s="2"/>
      <c r="T55" s="2"/>
      <c r="U55" s="554">
        <v>2010</v>
      </c>
      <c r="V55" s="555">
        <v>2011</v>
      </c>
      <c r="W55" s="555">
        <v>2012</v>
      </c>
      <c r="X55" s="555">
        <v>2013</v>
      </c>
      <c r="Y55" s="555" t="s">
        <v>711</v>
      </c>
      <c r="Z55" s="555">
        <v>2015</v>
      </c>
      <c r="AA55" s="555">
        <v>2016</v>
      </c>
      <c r="AB55" s="555">
        <v>2017</v>
      </c>
      <c r="AC55" s="14">
        <v>2018</v>
      </c>
      <c r="AD55" s="14">
        <v>2019</v>
      </c>
      <c r="AE55" s="14">
        <v>2020</v>
      </c>
      <c r="AF55" s="555">
        <v>2021</v>
      </c>
      <c r="AG55" s="555">
        <v>2022</v>
      </c>
      <c r="AH55" s="555">
        <v>2023</v>
      </c>
      <c r="AI55" s="555">
        <v>2024</v>
      </c>
      <c r="AJ55" s="555">
        <v>2025</v>
      </c>
      <c r="AK55" s="555">
        <v>2026</v>
      </c>
      <c r="AL55" s="555">
        <v>2027</v>
      </c>
      <c r="AM55" s="555">
        <v>2028</v>
      </c>
      <c r="AN55" s="555">
        <v>2029</v>
      </c>
      <c r="AO55" s="555">
        <v>2030</v>
      </c>
      <c r="AP55" s="555">
        <v>2031</v>
      </c>
      <c r="AQ55" s="555">
        <v>2032</v>
      </c>
      <c r="AR55" s="555">
        <v>2033</v>
      </c>
      <c r="AS55" s="555">
        <v>2034</v>
      </c>
      <c r="AT55" s="555">
        <v>2035</v>
      </c>
    </row>
    <row r="56" spans="1:49">
      <c r="A56" s="97"/>
      <c r="B56" s="831" t="s">
        <v>96</v>
      </c>
      <c r="D56" s="76" t="s">
        <v>3641</v>
      </c>
      <c r="E56" s="76"/>
      <c r="F56" s="76"/>
      <c r="G56" s="76"/>
      <c r="H56" s="76"/>
      <c r="I56" s="1054">
        <v>1998</v>
      </c>
      <c r="J56" s="1054">
        <v>1999</v>
      </c>
      <c r="K56" s="1054">
        <v>2000</v>
      </c>
      <c r="L56" s="1054">
        <v>2001</v>
      </c>
      <c r="M56" s="1054">
        <v>2002</v>
      </c>
      <c r="N56" s="1054">
        <v>2003</v>
      </c>
      <c r="O56" s="1054">
        <v>2004</v>
      </c>
      <c r="P56" s="1054">
        <v>2005</v>
      </c>
      <c r="Q56" s="1054">
        <v>2006</v>
      </c>
      <c r="R56" s="1054">
        <v>2007</v>
      </c>
      <c r="S56" s="1054">
        <v>2008</v>
      </c>
      <c r="T56" s="1054">
        <v>2009</v>
      </c>
      <c r="U56" s="1054">
        <v>2010</v>
      </c>
      <c r="V56" s="1054">
        <v>2011</v>
      </c>
      <c r="W56" s="1054">
        <v>2012</v>
      </c>
      <c r="X56" s="1054">
        <v>2013</v>
      </c>
      <c r="Y56" s="1054">
        <v>2014</v>
      </c>
      <c r="Z56" s="1054">
        <v>2015</v>
      </c>
      <c r="AA56" s="1054">
        <v>2016</v>
      </c>
      <c r="AB56" s="1054">
        <v>2017</v>
      </c>
      <c r="AC56" s="1054">
        <v>2018</v>
      </c>
      <c r="AD56" s="1054">
        <v>2019</v>
      </c>
      <c r="AE56" s="1054">
        <v>2020</v>
      </c>
      <c r="AF56" s="1054">
        <v>2021</v>
      </c>
      <c r="AG56" s="1054">
        <v>2022</v>
      </c>
      <c r="AH56" s="1054">
        <v>2023</v>
      </c>
      <c r="AI56" s="1054">
        <v>2024</v>
      </c>
      <c r="AJ56" s="1054">
        <v>2025</v>
      </c>
      <c r="AK56" s="1054">
        <v>2026</v>
      </c>
      <c r="AL56" s="1054">
        <v>2027</v>
      </c>
      <c r="AM56" s="1054">
        <v>2028</v>
      </c>
      <c r="AN56" s="1054">
        <v>2029</v>
      </c>
      <c r="AO56" s="1054">
        <v>2030</v>
      </c>
      <c r="AP56" s="1054">
        <v>2031</v>
      </c>
      <c r="AQ56" s="1054">
        <v>2032</v>
      </c>
      <c r="AR56" s="1054">
        <v>2033</v>
      </c>
      <c r="AS56" s="1054">
        <v>2034</v>
      </c>
      <c r="AT56" s="1054">
        <v>2035</v>
      </c>
    </row>
    <row r="57" spans="1:49">
      <c r="A57" s="97"/>
      <c r="D57" s="585" t="s">
        <v>72</v>
      </c>
      <c r="E57" s="76"/>
      <c r="F57" s="76"/>
      <c r="G57" s="76"/>
      <c r="H57" s="76"/>
      <c r="I57" s="1643">
        <v>49.14</v>
      </c>
      <c r="J57" s="1643">
        <v>34.4</v>
      </c>
      <c r="K57" s="1643">
        <v>31.16</v>
      </c>
      <c r="L57" s="1643">
        <v>44.26</v>
      </c>
      <c r="M57" s="1643">
        <v>33.17</v>
      </c>
      <c r="N57" s="1643">
        <v>29.373014416758831</v>
      </c>
      <c r="O57" s="1643">
        <v>47.857085863704235</v>
      </c>
      <c r="P57" s="1643">
        <v>59.1</v>
      </c>
      <c r="Q57" s="1643">
        <v>53.239639639639641</v>
      </c>
      <c r="R57" s="1643">
        <v>88.66384859846525</v>
      </c>
      <c r="S57" s="1643">
        <v>106.4</v>
      </c>
      <c r="T57" s="1643">
        <v>88.8</v>
      </c>
      <c r="U57" s="1643">
        <v>61.713554450000004</v>
      </c>
      <c r="V57" s="1619">
        <v>98.139999999999986</v>
      </c>
      <c r="W57" s="1619">
        <v>96.902381599999998</v>
      </c>
      <c r="X57" s="1619">
        <v>523.63</v>
      </c>
      <c r="Y57" s="1619">
        <v>153.47291621700001</v>
      </c>
      <c r="Z57" s="1611">
        <v>139.994</v>
      </c>
      <c r="AA57" s="1412">
        <v>171.95044235404123</v>
      </c>
      <c r="AB57" s="1412">
        <v>189.824337335</v>
      </c>
      <c r="AC57" s="1412">
        <v>204.910263929</v>
      </c>
      <c r="AD57" s="2245">
        <v>316.33289424084347</v>
      </c>
      <c r="AE57" s="2245">
        <v>425.04532305078999</v>
      </c>
      <c r="AF57" s="2245">
        <v>364.64251143299987</v>
      </c>
      <c r="AG57" s="2245">
        <v>377.63994049899998</v>
      </c>
      <c r="AH57" s="2245">
        <v>411.18697621000001</v>
      </c>
      <c r="AI57" s="2245">
        <v>555.77324822800006</v>
      </c>
      <c r="AJ57" s="2245">
        <v>385.01593942134724</v>
      </c>
      <c r="AK57" s="2245">
        <v>405.05336364320431</v>
      </c>
      <c r="AL57" s="2245">
        <v>450.00184660521779</v>
      </c>
      <c r="AM57" s="2245">
        <v>467.9530265635218</v>
      </c>
      <c r="AN57" s="2245">
        <v>481.10241054793403</v>
      </c>
      <c r="AO57" s="2245">
        <v>552.9779803358565</v>
      </c>
      <c r="AP57" s="2245">
        <v>386.91422639362497</v>
      </c>
      <c r="AQ57" s="2245">
        <v>90.090908357936271</v>
      </c>
      <c r="AR57" s="2245">
        <v>13.056600003443153</v>
      </c>
      <c r="AS57" s="2245">
        <v>7.2531442014767258</v>
      </c>
      <c r="AT57" s="2245">
        <v>0</v>
      </c>
    </row>
    <row r="58" spans="1:49">
      <c r="A58" s="97"/>
      <c r="D58" s="77" t="s">
        <v>819</v>
      </c>
      <c r="E58" s="76"/>
      <c r="F58" s="76"/>
      <c r="G58" s="76"/>
      <c r="H58" s="76"/>
      <c r="I58" s="1422"/>
      <c r="J58" s="1422"/>
      <c r="K58" s="1422"/>
      <c r="L58" s="1422"/>
      <c r="M58" s="1422"/>
      <c r="N58" s="1422"/>
      <c r="O58" s="1422"/>
      <c r="P58" s="1422"/>
      <c r="Q58" s="1422"/>
      <c r="R58" s="1422"/>
      <c r="S58" s="1422"/>
      <c r="T58" s="1422"/>
      <c r="U58" s="1422"/>
      <c r="V58" s="1422"/>
      <c r="W58" s="1422"/>
      <c r="X58" s="1422"/>
      <c r="Y58" s="1644"/>
      <c r="Z58" s="1612">
        <v>65.081999999999994</v>
      </c>
      <c r="AA58" s="1413">
        <v>86.498429746041211</v>
      </c>
      <c r="AB58" s="1413">
        <v>109.587681769</v>
      </c>
      <c r="AC58" s="1413">
        <v>120.77545997</v>
      </c>
      <c r="AD58" s="2246">
        <v>167.89027127700001</v>
      </c>
      <c r="AE58" s="2246">
        <v>163.87630605079002</v>
      </c>
      <c r="AF58" s="2246">
        <v>142.07597618199998</v>
      </c>
      <c r="AG58" s="2246">
        <v>180.73451071899996</v>
      </c>
      <c r="AH58" s="2246">
        <v>199.92798899699997</v>
      </c>
      <c r="AI58" s="2246">
        <v>289.47324822800005</v>
      </c>
      <c r="AJ58" s="2247">
        <v>174.27263442670747</v>
      </c>
      <c r="AK58" s="2247">
        <v>205.02534517747461</v>
      </c>
      <c r="AL58" s="2247">
        <v>229.84702708869148</v>
      </c>
      <c r="AM58" s="2247">
        <v>221.99293142520577</v>
      </c>
      <c r="AN58" s="2247">
        <v>232.67744665759727</v>
      </c>
      <c r="AO58" s="2247">
        <v>269.31066352504894</v>
      </c>
      <c r="AP58" s="2247">
        <v>231.99568569128095</v>
      </c>
      <c r="AQ58" s="2247">
        <v>48.430775793568301</v>
      </c>
      <c r="AR58" s="2247">
        <v>6.5283000017215764</v>
      </c>
      <c r="AS58" s="2247">
        <v>7.2531442014767258</v>
      </c>
      <c r="AT58" s="2247">
        <v>0</v>
      </c>
    </row>
    <row r="59" spans="1:49">
      <c r="A59" s="97"/>
      <c r="D59" s="1659" t="s">
        <v>3700</v>
      </c>
      <c r="E59" s="76"/>
      <c r="F59" s="76"/>
      <c r="G59" s="76"/>
      <c r="H59" s="76"/>
      <c r="I59" s="1422"/>
      <c r="J59" s="1422"/>
      <c r="K59" s="1422"/>
      <c r="L59" s="1422"/>
      <c r="M59" s="1422"/>
      <c r="N59" s="1422"/>
      <c r="O59" s="1422"/>
      <c r="P59" s="1422"/>
      <c r="Q59" s="1422"/>
      <c r="R59" s="1422"/>
      <c r="S59" s="1422"/>
      <c r="T59" s="1422"/>
      <c r="U59" s="1422"/>
      <c r="V59" s="1422"/>
      <c r="W59" s="1422"/>
      <c r="X59" s="1422"/>
      <c r="Y59" s="1644"/>
      <c r="Z59" s="1613"/>
      <c r="AA59" s="1414"/>
      <c r="AB59" s="1414"/>
      <c r="AC59" s="1414"/>
      <c r="AD59" s="2248">
        <v>0</v>
      </c>
      <c r="AE59" s="2248">
        <v>0</v>
      </c>
      <c r="AF59" s="2248">
        <v>0</v>
      </c>
      <c r="AG59" s="2248">
        <v>14.5046751997487</v>
      </c>
      <c r="AH59" s="2248">
        <v>0</v>
      </c>
      <c r="AI59" s="2248">
        <v>0</v>
      </c>
      <c r="AJ59" s="2249">
        <v>0</v>
      </c>
      <c r="AK59" s="2249">
        <v>0</v>
      </c>
      <c r="AL59" s="2263">
        <v>0</v>
      </c>
      <c r="AM59" s="2263">
        <v>0</v>
      </c>
      <c r="AN59" s="2249">
        <v>0</v>
      </c>
      <c r="AO59" s="2249">
        <v>0</v>
      </c>
      <c r="AP59" s="2249">
        <v>0</v>
      </c>
      <c r="AQ59" s="2249">
        <v>0</v>
      </c>
      <c r="AR59" s="2249">
        <v>0</v>
      </c>
      <c r="AS59" s="2249">
        <v>0</v>
      </c>
      <c r="AT59" s="2249">
        <v>0</v>
      </c>
      <c r="AV59" s="1241"/>
      <c r="AW59" s="1241"/>
    </row>
    <row r="60" spans="1:49">
      <c r="A60" s="97"/>
      <c r="D60" s="77"/>
      <c r="E60" s="76"/>
      <c r="F60" s="76"/>
      <c r="G60" s="76"/>
      <c r="H60" s="76"/>
      <c r="I60" s="1422"/>
      <c r="J60" s="1422"/>
      <c r="K60" s="1422"/>
      <c r="L60" s="1422"/>
      <c r="M60" s="1422"/>
      <c r="N60" s="1422"/>
      <c r="O60" s="1422"/>
      <c r="P60" s="1422"/>
      <c r="Q60" s="1422"/>
      <c r="R60" s="1422"/>
      <c r="S60" s="1422"/>
      <c r="T60" s="1422"/>
      <c r="U60" s="1422"/>
      <c r="V60" s="1422"/>
      <c r="W60" s="1422"/>
      <c r="X60" s="1422"/>
      <c r="Y60" s="1644"/>
      <c r="Z60" s="1613"/>
      <c r="AA60" s="1414"/>
      <c r="AB60" s="1414"/>
      <c r="AC60" s="1414"/>
      <c r="AD60" s="1871"/>
      <c r="AE60" s="1871"/>
      <c r="AF60" s="1871"/>
      <c r="AG60" s="1871"/>
      <c r="AH60" s="1871"/>
      <c r="AI60" s="1871"/>
      <c r="AJ60" s="2250"/>
      <c r="AK60" s="2250"/>
      <c r="AL60" s="2250"/>
      <c r="AM60" s="2250"/>
      <c r="AN60" s="2250"/>
      <c r="AO60" s="2250"/>
      <c r="AP60" s="2245"/>
      <c r="AQ60" s="2245"/>
      <c r="AR60" s="2245"/>
      <c r="AS60" s="2245"/>
      <c r="AT60" s="2245"/>
    </row>
    <row r="61" spans="1:49">
      <c r="A61" s="97"/>
      <c r="D61" s="77" t="s">
        <v>820</v>
      </c>
      <c r="E61" s="76"/>
      <c r="F61" s="76"/>
      <c r="G61" s="76"/>
      <c r="H61" s="76"/>
      <c r="I61" s="1422"/>
      <c r="J61" s="1422"/>
      <c r="K61" s="1422"/>
      <c r="L61" s="1422"/>
      <c r="M61" s="1422"/>
      <c r="N61" s="1422"/>
      <c r="O61" s="1422"/>
      <c r="P61" s="1422"/>
      <c r="Q61" s="1422"/>
      <c r="R61" s="1422"/>
      <c r="S61" s="1422"/>
      <c r="T61" s="1422"/>
      <c r="U61" s="1422"/>
      <c r="V61" s="1422"/>
      <c r="W61" s="1422"/>
      <c r="X61" s="1422"/>
      <c r="Y61" s="1422"/>
      <c r="Z61" s="1614">
        <v>74.912000000000006</v>
      </c>
      <c r="AA61" s="1412">
        <v>85.452012608000004</v>
      </c>
      <c r="AB61" s="1412">
        <v>80.236655565999982</v>
      </c>
      <c r="AC61" s="1412">
        <v>84.134803958999981</v>
      </c>
      <c r="AD61" s="2246">
        <v>148.44262296384346</v>
      </c>
      <c r="AE61" s="2246">
        <v>261.169017</v>
      </c>
      <c r="AF61" s="2246">
        <v>222.56653525099986</v>
      </c>
      <c r="AG61" s="2246">
        <v>196.90542977999999</v>
      </c>
      <c r="AH61" s="2246">
        <v>211.25898721300001</v>
      </c>
      <c r="AI61" s="2246">
        <v>266.3</v>
      </c>
      <c r="AJ61" s="2247">
        <v>210.74330499463977</v>
      </c>
      <c r="AK61" s="2247">
        <v>200.02801846572973</v>
      </c>
      <c r="AL61" s="2247">
        <v>220.15481951652629</v>
      </c>
      <c r="AM61" s="2247">
        <v>245.96009513831603</v>
      </c>
      <c r="AN61" s="2247">
        <v>248.42496389033673</v>
      </c>
      <c r="AO61" s="2247">
        <v>283.66731681080751</v>
      </c>
      <c r="AP61" s="2247">
        <v>154.91854070234399</v>
      </c>
      <c r="AQ61" s="2247">
        <v>41.66013256436797</v>
      </c>
      <c r="AR61" s="2247">
        <v>6.5283000017215764</v>
      </c>
      <c r="AS61" s="2247">
        <v>0</v>
      </c>
      <c r="AT61" s="2247">
        <v>0</v>
      </c>
    </row>
    <row r="62" spans="1:49">
      <c r="A62" s="97"/>
      <c r="D62" s="1659" t="s">
        <v>3700</v>
      </c>
      <c r="E62" s="76"/>
      <c r="F62" s="76"/>
      <c r="G62" s="76"/>
      <c r="H62" s="76"/>
      <c r="I62" s="1422"/>
      <c r="J62" s="1422"/>
      <c r="K62" s="1422"/>
      <c r="L62" s="1422"/>
      <c r="M62" s="1422"/>
      <c r="N62" s="1422"/>
      <c r="O62" s="1422"/>
      <c r="P62" s="1422"/>
      <c r="Q62" s="1422"/>
      <c r="R62" s="1422"/>
      <c r="S62" s="1422"/>
      <c r="T62" s="1422"/>
      <c r="U62" s="1422"/>
      <c r="V62" s="1422"/>
      <c r="W62" s="1422"/>
      <c r="X62" s="1422"/>
      <c r="Y62" s="1422"/>
      <c r="Z62" s="1415"/>
      <c r="AA62" s="1415"/>
      <c r="AB62" s="1415"/>
      <c r="AC62" s="1415"/>
      <c r="AD62" s="2248">
        <v>0</v>
      </c>
      <c r="AE62" s="2248">
        <v>0</v>
      </c>
      <c r="AF62" s="2248">
        <v>11.223390284000001</v>
      </c>
      <c r="AG62" s="2248">
        <v>0</v>
      </c>
      <c r="AH62" s="2248">
        <v>0</v>
      </c>
      <c r="AI62" s="2248">
        <v>0</v>
      </c>
      <c r="AJ62" s="2249">
        <v>0</v>
      </c>
      <c r="AK62" s="2263">
        <v>0</v>
      </c>
      <c r="AL62" s="2263">
        <v>0</v>
      </c>
      <c r="AM62" s="2263">
        <v>0</v>
      </c>
      <c r="AN62" s="2263">
        <v>0</v>
      </c>
      <c r="AO62" s="2249">
        <v>0</v>
      </c>
      <c r="AP62" s="2249">
        <v>0</v>
      </c>
      <c r="AQ62" s="2249">
        <v>0</v>
      </c>
      <c r="AR62" s="2249">
        <v>0</v>
      </c>
      <c r="AS62" s="2249">
        <v>0</v>
      </c>
      <c r="AT62" s="2249">
        <v>0</v>
      </c>
    </row>
    <row r="63" spans="1:49">
      <c r="A63" s="97"/>
      <c r="D63" s="77"/>
      <c r="E63" s="76"/>
      <c r="F63" s="76"/>
      <c r="G63" s="76"/>
      <c r="H63" s="76"/>
      <c r="I63" s="1422"/>
      <c r="J63" s="1422"/>
      <c r="K63" s="1422"/>
      <c r="L63" s="1422"/>
      <c r="M63" s="1422"/>
      <c r="N63" s="1422"/>
      <c r="O63" s="1422"/>
      <c r="P63" s="1422"/>
      <c r="Q63" s="1422"/>
      <c r="R63" s="1422"/>
      <c r="S63" s="1422"/>
      <c r="T63" s="1422"/>
      <c r="U63" s="1422"/>
      <c r="V63" s="1422"/>
      <c r="W63" s="1422"/>
      <c r="X63" s="1422"/>
      <c r="Y63" s="1422"/>
      <c r="Z63" s="1415"/>
      <c r="AA63" s="1415"/>
      <c r="AB63" s="1415"/>
      <c r="AC63" s="1415"/>
      <c r="AD63" s="2245"/>
      <c r="AE63" s="2245"/>
      <c r="AF63" s="2245"/>
      <c r="AG63" s="2245"/>
      <c r="AH63" s="2245"/>
      <c r="AI63" s="2245"/>
      <c r="AJ63" s="2245"/>
      <c r="AK63" s="2245"/>
      <c r="AL63" s="2245"/>
      <c r="AM63" s="2245"/>
      <c r="AN63" s="2245"/>
      <c r="AO63" s="2245"/>
      <c r="AP63" s="2245"/>
      <c r="AQ63" s="2245"/>
      <c r="AR63" s="2245"/>
      <c r="AS63" s="2245"/>
      <c r="AT63" s="2245"/>
    </row>
    <row r="64" spans="1:49">
      <c r="A64" s="97"/>
      <c r="D64" s="585" t="s">
        <v>77</v>
      </c>
      <c r="E64" s="76"/>
      <c r="F64" s="76"/>
      <c r="G64" s="76"/>
      <c r="H64" s="76"/>
      <c r="I64" s="1619">
        <v>37.909999999999997</v>
      </c>
      <c r="J64" s="1619">
        <v>46.57</v>
      </c>
      <c r="K64" s="1619">
        <v>16.12</v>
      </c>
      <c r="L64" s="1619">
        <v>36.83</v>
      </c>
      <c r="M64" s="1619">
        <v>50.73</v>
      </c>
      <c r="N64" s="1619">
        <v>10.54</v>
      </c>
      <c r="O64" s="1619">
        <v>60.75</v>
      </c>
      <c r="P64" s="1619">
        <v>30.877824579999999</v>
      </c>
      <c r="Q64" s="1619">
        <v>14.83270177</v>
      </c>
      <c r="R64" s="1619">
        <v>0</v>
      </c>
      <c r="S64" s="1619">
        <v>5.8000000000000007</v>
      </c>
      <c r="T64" s="1619">
        <v>0</v>
      </c>
      <c r="U64" s="1619">
        <v>0</v>
      </c>
      <c r="V64" s="1619">
        <v>124.06</v>
      </c>
      <c r="W64" s="1619">
        <v>13.42</v>
      </c>
      <c r="X64" s="1619">
        <v>14.201000000000001</v>
      </c>
      <c r="Y64" s="1619">
        <v>154.44183030599999</v>
      </c>
      <c r="Z64" s="1611">
        <v>232.09710524999997</v>
      </c>
      <c r="AA64" s="1412">
        <v>214.76999999999998</v>
      </c>
      <c r="AB64" s="1412">
        <v>216.12709705</v>
      </c>
      <c r="AC64" s="1412">
        <v>293.94076388999997</v>
      </c>
      <c r="AD64" s="2251">
        <v>352.75580508999997</v>
      </c>
      <c r="AE64" s="2251">
        <v>661.13510754540403</v>
      </c>
      <c r="AF64" s="2251">
        <v>801.22137322999993</v>
      </c>
      <c r="AG64" s="2251">
        <v>146.78212608999999</v>
      </c>
      <c r="AH64" s="2251">
        <v>714.51491736799994</v>
      </c>
      <c r="AI64" s="2251">
        <v>916.22348218299339</v>
      </c>
      <c r="AJ64" s="2251">
        <v>937.28050485542497</v>
      </c>
      <c r="AK64" s="2251">
        <v>824.17678000000001</v>
      </c>
      <c r="AL64" s="2251">
        <v>624.70987579759537</v>
      </c>
      <c r="AM64" s="2251">
        <v>403.43977647953153</v>
      </c>
      <c r="AN64" s="2251">
        <v>219.16328031182556</v>
      </c>
      <c r="AO64" s="2251">
        <v>272.20321793259563</v>
      </c>
      <c r="AP64" s="2251">
        <v>257.29660283773239</v>
      </c>
      <c r="AQ64" s="2251">
        <v>270.04044472917712</v>
      </c>
      <c r="AR64" s="2251">
        <v>256.27038298227205</v>
      </c>
      <c r="AS64" s="2251">
        <v>266.32399627517532</v>
      </c>
      <c r="AT64" s="2251">
        <v>261.65084828281744</v>
      </c>
    </row>
    <row r="65" spans="1:49">
      <c r="A65" s="97"/>
      <c r="D65" s="77" t="s">
        <v>819</v>
      </c>
      <c r="E65" s="76"/>
      <c r="F65" s="76"/>
      <c r="G65" s="76"/>
      <c r="H65" s="76"/>
      <c r="I65" s="1422"/>
      <c r="J65" s="1422"/>
      <c r="K65" s="1422"/>
      <c r="L65" s="1422"/>
      <c r="M65" s="1422"/>
      <c r="N65" s="1422"/>
      <c r="O65" s="1422"/>
      <c r="P65" s="1422"/>
      <c r="Q65" s="1422"/>
      <c r="R65" s="1422"/>
      <c r="S65" s="1422"/>
      <c r="T65" s="1422"/>
      <c r="U65" s="1422"/>
      <c r="V65" s="1422"/>
      <c r="W65" s="1422"/>
      <c r="X65" s="1422"/>
      <c r="Y65" s="1644"/>
      <c r="Z65" s="1615">
        <v>66.24091</v>
      </c>
      <c r="AA65" s="1413">
        <v>21.1</v>
      </c>
      <c r="AB65" s="1413">
        <v>31.35</v>
      </c>
      <c r="AC65" s="1413">
        <v>67.840763890000005</v>
      </c>
      <c r="AD65" s="2246">
        <v>70.325946090000002</v>
      </c>
      <c r="AE65" s="2246">
        <v>414.9</v>
      </c>
      <c r="AF65" s="2246">
        <v>105.56034799999999</v>
      </c>
      <c r="AG65" s="2246">
        <v>138.10702508999998</v>
      </c>
      <c r="AH65" s="2246">
        <v>470.85470106000002</v>
      </c>
      <c r="AI65" s="2246">
        <v>371.18527279</v>
      </c>
      <c r="AJ65" s="2247">
        <v>80.400000000000006</v>
      </c>
      <c r="AK65" s="2247">
        <v>165</v>
      </c>
      <c r="AL65" s="2247">
        <v>192.9275237975954</v>
      </c>
      <c r="AM65" s="2247">
        <v>79.2922477397655</v>
      </c>
      <c r="AN65" s="2247">
        <v>28.904373186400282</v>
      </c>
      <c r="AO65" s="2247">
        <v>0</v>
      </c>
      <c r="AP65" s="2247">
        <v>36.065540308721928</v>
      </c>
      <c r="AQ65" s="2247">
        <v>21.656637831707403</v>
      </c>
      <c r="AR65" s="2247">
        <v>19.24072604680978</v>
      </c>
      <c r="AS65" s="2247">
        <v>25.654301395746373</v>
      </c>
      <c r="AT65" s="2247">
        <v>22.183888424754517</v>
      </c>
    </row>
    <row r="66" spans="1:49">
      <c r="A66" s="97"/>
      <c r="D66" s="1659" t="s">
        <v>3642</v>
      </c>
      <c r="E66" s="76"/>
      <c r="F66" s="76"/>
      <c r="G66" s="76"/>
      <c r="H66" s="76"/>
      <c r="I66" s="1422"/>
      <c r="J66" s="1422"/>
      <c r="K66" s="1422"/>
      <c r="L66" s="1422"/>
      <c r="M66" s="1422"/>
      <c r="N66" s="1422"/>
      <c r="O66" s="1422"/>
      <c r="P66" s="1422"/>
      <c r="Q66" s="1422"/>
      <c r="R66" s="1422"/>
      <c r="S66" s="1422"/>
      <c r="T66" s="1422"/>
      <c r="U66" s="1422"/>
      <c r="V66" s="1422"/>
      <c r="W66" s="1422"/>
      <c r="X66" s="1422"/>
      <c r="Y66" s="1644"/>
      <c r="Z66" s="1617"/>
      <c r="AA66" s="1414"/>
      <c r="AB66" s="1414"/>
      <c r="AC66" s="1414"/>
      <c r="AD66" s="2245">
        <v>0</v>
      </c>
      <c r="AE66" s="2245">
        <v>0</v>
      </c>
      <c r="AF66" s="2245">
        <v>0</v>
      </c>
      <c r="AG66" s="2245">
        <v>0</v>
      </c>
      <c r="AH66" s="2245">
        <v>0</v>
      </c>
      <c r="AI66" s="2245">
        <v>0</v>
      </c>
      <c r="AJ66" s="2245">
        <v>0</v>
      </c>
      <c r="AK66" s="2245">
        <v>0</v>
      </c>
      <c r="AL66" s="2245">
        <v>0</v>
      </c>
      <c r="AM66" s="2245">
        <v>0</v>
      </c>
      <c r="AN66" s="2245">
        <v>0</v>
      </c>
      <c r="AO66" s="2245">
        <v>0</v>
      </c>
      <c r="AP66" s="2245">
        <v>0</v>
      </c>
      <c r="AQ66" s="2245"/>
      <c r="AR66" s="2245"/>
      <c r="AS66" s="2245"/>
      <c r="AT66" s="2245"/>
    </row>
    <row r="67" spans="1:49">
      <c r="A67" s="97"/>
      <c r="D67" s="1659" t="s">
        <v>3643</v>
      </c>
      <c r="E67" s="76"/>
      <c r="F67" s="76"/>
      <c r="G67" s="76"/>
      <c r="H67" s="76"/>
      <c r="I67" s="1422"/>
      <c r="J67" s="1422"/>
      <c r="K67" s="1422"/>
      <c r="L67" s="1422"/>
      <c r="M67" s="1422"/>
      <c r="N67" s="1422"/>
      <c r="O67" s="1422"/>
      <c r="P67" s="1422"/>
      <c r="Q67" s="1422"/>
      <c r="R67" s="1422"/>
      <c r="S67" s="1422"/>
      <c r="T67" s="1422"/>
      <c r="U67" s="1422"/>
      <c r="V67" s="1422"/>
      <c r="W67" s="1422"/>
      <c r="X67" s="1422"/>
      <c r="Y67" s="1644"/>
      <c r="Z67" s="1617"/>
      <c r="AA67" s="1414"/>
      <c r="AB67" s="1414"/>
      <c r="AC67" s="1414"/>
      <c r="AD67" s="2245"/>
      <c r="AE67" s="2245"/>
      <c r="AF67" s="2245">
        <v>0</v>
      </c>
      <c r="AG67" s="2245"/>
      <c r="AH67" s="2245">
        <v>98.273850999999993</v>
      </c>
      <c r="AI67" s="2245">
        <v>93.63919512999999</v>
      </c>
      <c r="AJ67" s="2245"/>
      <c r="AK67" s="2245"/>
      <c r="AL67" s="2245"/>
      <c r="AM67" s="2245"/>
      <c r="AN67" s="2245"/>
      <c r="AO67" s="2245"/>
      <c r="AP67" s="2245"/>
      <c r="AQ67" s="2245"/>
      <c r="AR67" s="2245"/>
      <c r="AS67" s="2245"/>
      <c r="AT67" s="2245"/>
    </row>
    <row r="68" spans="1:49">
      <c r="A68" s="97"/>
      <c r="D68" s="1659" t="s">
        <v>3700</v>
      </c>
      <c r="E68" s="76"/>
      <c r="F68" s="76"/>
      <c r="G68" s="76"/>
      <c r="H68" s="76"/>
      <c r="I68" s="1422"/>
      <c r="J68" s="1422"/>
      <c r="K68" s="1422"/>
      <c r="L68" s="1422"/>
      <c r="M68" s="1422"/>
      <c r="N68" s="1422"/>
      <c r="O68" s="1422"/>
      <c r="P68" s="1422"/>
      <c r="Q68" s="1422"/>
      <c r="R68" s="1422"/>
      <c r="S68" s="1422"/>
      <c r="T68" s="1422"/>
      <c r="U68" s="1422"/>
      <c r="V68" s="1422"/>
      <c r="W68" s="1422"/>
      <c r="X68" s="1422"/>
      <c r="Y68" s="1644"/>
      <c r="Z68" s="1617"/>
      <c r="AA68" s="1414"/>
      <c r="AB68" s="1414"/>
      <c r="AC68" s="1414"/>
      <c r="AD68" s="2245"/>
      <c r="AE68" s="2245"/>
      <c r="AF68" s="2245"/>
      <c r="AG68" s="2245"/>
      <c r="AH68" s="2245"/>
      <c r="AI68" s="2245"/>
      <c r="AJ68" s="2245"/>
      <c r="AK68" s="2245"/>
      <c r="AL68" s="2245">
        <v>115.03837300000001</v>
      </c>
      <c r="AM68" s="2245">
        <v>13.332259000000001</v>
      </c>
      <c r="AN68" s="2245">
        <v>14.909769186400279</v>
      </c>
      <c r="AO68" s="2245">
        <v>0</v>
      </c>
      <c r="AP68" s="2245"/>
      <c r="AQ68" s="2245"/>
      <c r="AR68" s="2245"/>
      <c r="AS68" s="2245"/>
      <c r="AT68" s="2245"/>
    </row>
    <row r="69" spans="1:49">
      <c r="A69" s="97"/>
      <c r="D69" s="1659" t="s">
        <v>3710</v>
      </c>
      <c r="E69" s="76"/>
      <c r="F69" s="76"/>
      <c r="G69" s="76"/>
      <c r="H69" s="76"/>
      <c r="I69" s="1422"/>
      <c r="J69" s="1422"/>
      <c r="K69" s="1422"/>
      <c r="L69" s="1422"/>
      <c r="M69" s="1422"/>
      <c r="N69" s="1422"/>
      <c r="O69" s="1422"/>
      <c r="P69" s="1422"/>
      <c r="Q69" s="1422"/>
      <c r="R69" s="1422"/>
      <c r="S69" s="1422"/>
      <c r="T69" s="1422"/>
      <c r="U69" s="1422"/>
      <c r="V69" s="1422"/>
      <c r="W69" s="1422"/>
      <c r="X69" s="1422"/>
      <c r="Y69" s="1644"/>
      <c r="Z69" s="1617"/>
      <c r="AA69" s="1414"/>
      <c r="AB69" s="1414"/>
      <c r="AC69" s="1414" t="s">
        <v>3401</v>
      </c>
      <c r="AD69" s="2245"/>
      <c r="AE69" s="2245"/>
      <c r="AF69" s="2245"/>
      <c r="AG69" s="2245"/>
      <c r="AH69" s="2245">
        <v>159.68085006000001</v>
      </c>
      <c r="AI69" s="2245"/>
      <c r="AJ69" s="2245"/>
      <c r="AK69" s="2245"/>
      <c r="AL69" s="2245">
        <v>22.656444000000004</v>
      </c>
      <c r="AM69" s="2245">
        <v>16.375080000000001</v>
      </c>
      <c r="AN69" s="2245">
        <v>13.994604000000002</v>
      </c>
      <c r="AO69" s="2245">
        <v>0</v>
      </c>
      <c r="AP69" s="2245"/>
      <c r="AQ69" s="2245"/>
      <c r="AR69" s="2245"/>
      <c r="AS69" s="2245"/>
      <c r="AT69" s="2245"/>
    </row>
    <row r="70" spans="1:49">
      <c r="A70" s="97"/>
      <c r="D70" s="77" t="s">
        <v>804</v>
      </c>
      <c r="E70" s="76"/>
      <c r="F70" s="76"/>
      <c r="G70" s="76"/>
      <c r="H70" s="76"/>
      <c r="I70" s="1422"/>
      <c r="J70" s="1422"/>
      <c r="K70" s="1422"/>
      <c r="L70" s="1422"/>
      <c r="M70" s="1422"/>
      <c r="N70" s="1422"/>
      <c r="O70" s="1422"/>
      <c r="P70" s="1422"/>
      <c r="Q70" s="1422"/>
      <c r="R70" s="1422"/>
      <c r="S70" s="1422"/>
      <c r="T70" s="1422"/>
      <c r="U70" s="1422"/>
      <c r="V70" s="1422"/>
      <c r="W70" s="1422"/>
      <c r="X70" s="1422"/>
      <c r="Y70" s="1645"/>
      <c r="Z70" s="1616">
        <v>0</v>
      </c>
      <c r="AA70" s="1416">
        <v>0</v>
      </c>
      <c r="AB70" s="1416">
        <v>0</v>
      </c>
      <c r="AC70" s="1416">
        <v>0</v>
      </c>
      <c r="AD70" s="1872">
        <v>0</v>
      </c>
      <c r="AE70" s="1872">
        <v>0</v>
      </c>
      <c r="AF70" s="1872">
        <v>0</v>
      </c>
      <c r="AG70" s="1872">
        <v>0</v>
      </c>
      <c r="AH70" s="1872">
        <v>0</v>
      </c>
      <c r="AI70" s="1872">
        <v>0</v>
      </c>
      <c r="AJ70" s="1872">
        <v>0</v>
      </c>
      <c r="AK70" s="1872">
        <v>0</v>
      </c>
      <c r="AL70" s="1872">
        <v>36</v>
      </c>
      <c r="AM70" s="1872">
        <v>10</v>
      </c>
      <c r="AN70" s="1872">
        <v>40</v>
      </c>
      <c r="AO70" s="1872">
        <v>40</v>
      </c>
      <c r="AP70" s="1872">
        <v>30</v>
      </c>
      <c r="AQ70" s="1872">
        <v>36.666666666666664</v>
      </c>
      <c r="AR70" s="1872">
        <v>35.55555555555555</v>
      </c>
      <c r="AS70" s="1872">
        <v>34.074074074074069</v>
      </c>
      <c r="AT70" s="1872">
        <v>35.432098765432094</v>
      </c>
    </row>
    <row r="71" spans="1:49">
      <c r="A71" s="97"/>
      <c r="D71" s="77"/>
      <c r="E71" s="76"/>
      <c r="F71" s="76"/>
      <c r="G71" s="76"/>
      <c r="H71" s="76"/>
      <c r="I71" s="1422"/>
      <c r="J71" s="1422"/>
      <c r="K71" s="1422"/>
      <c r="L71" s="1422"/>
      <c r="M71" s="1422"/>
      <c r="N71" s="1422"/>
      <c r="O71" s="1422"/>
      <c r="P71" s="1422"/>
      <c r="Q71" s="1422"/>
      <c r="R71" s="1422"/>
      <c r="S71" s="1422"/>
      <c r="T71" s="1422"/>
      <c r="U71" s="1422"/>
      <c r="V71" s="1422"/>
      <c r="W71" s="1422"/>
      <c r="X71" s="1422"/>
      <c r="Y71" s="1645"/>
      <c r="Z71" s="1617"/>
      <c r="AA71" s="1415"/>
      <c r="AB71" s="1415"/>
      <c r="AC71" s="1415"/>
      <c r="AD71" s="1611"/>
      <c r="AE71" s="1611"/>
      <c r="AF71" s="1611"/>
      <c r="AG71" s="1611"/>
      <c r="AH71" s="1611"/>
      <c r="AI71" s="1611"/>
      <c r="AJ71" s="2245"/>
      <c r="AK71" s="2245"/>
      <c r="AL71" s="2245"/>
      <c r="AM71" s="2245"/>
      <c r="AN71" s="2245"/>
      <c r="AO71" s="2245"/>
      <c r="AP71" s="2245"/>
      <c r="AQ71" s="2245"/>
      <c r="AR71" s="2245"/>
      <c r="AS71" s="2245"/>
      <c r="AT71" s="2245"/>
    </row>
    <row r="72" spans="1:49">
      <c r="A72" s="97"/>
      <c r="D72" s="77" t="s">
        <v>820</v>
      </c>
      <c r="E72" s="76"/>
      <c r="F72" s="76"/>
      <c r="G72" s="76"/>
      <c r="H72" s="76"/>
      <c r="I72" s="1422"/>
      <c r="J72" s="1422"/>
      <c r="K72" s="1422"/>
      <c r="L72" s="1422"/>
      <c r="M72" s="1422"/>
      <c r="N72" s="1422"/>
      <c r="O72" s="1422"/>
      <c r="P72" s="1422"/>
      <c r="Q72" s="1422"/>
      <c r="R72" s="1422"/>
      <c r="S72" s="1422"/>
      <c r="T72" s="1422"/>
      <c r="U72" s="1422"/>
      <c r="V72" s="1422"/>
      <c r="W72" s="1422"/>
      <c r="X72" s="1422"/>
      <c r="Y72" s="1422"/>
      <c r="Z72" s="1617">
        <v>165.85619524999998</v>
      </c>
      <c r="AA72" s="1417">
        <v>193.67</v>
      </c>
      <c r="AB72" s="1417">
        <v>184.77709705000001</v>
      </c>
      <c r="AC72" s="1417">
        <v>226.1</v>
      </c>
      <c r="AD72" s="2246">
        <v>282.42985899999996</v>
      </c>
      <c r="AE72" s="2246">
        <v>246.23510754540402</v>
      </c>
      <c r="AF72" s="2246">
        <v>695.66102522999995</v>
      </c>
      <c r="AG72" s="2246">
        <v>8.6751009999999997</v>
      </c>
      <c r="AH72" s="2246">
        <v>243.66021630799997</v>
      </c>
      <c r="AI72" s="2246">
        <v>545.03820939299339</v>
      </c>
      <c r="AJ72" s="2247">
        <v>856.88050485542499</v>
      </c>
      <c r="AK72" s="2247">
        <v>623.17678000000001</v>
      </c>
      <c r="AL72" s="2247">
        <v>395.782352</v>
      </c>
      <c r="AM72" s="2247">
        <v>274.14752873976602</v>
      </c>
      <c r="AN72" s="2247">
        <v>110.25890712542528</v>
      </c>
      <c r="AO72" s="2247">
        <v>192.20321793259563</v>
      </c>
      <c r="AP72" s="2247">
        <v>151.23106252901044</v>
      </c>
      <c r="AQ72" s="2247">
        <v>171.71714023080304</v>
      </c>
      <c r="AR72" s="2247">
        <v>161.47410137990676</v>
      </c>
      <c r="AS72" s="2247">
        <v>166.59562080535488</v>
      </c>
      <c r="AT72" s="2247">
        <v>164.03486109263082</v>
      </c>
    </row>
    <row r="73" spans="1:49">
      <c r="A73" s="97"/>
      <c r="D73" s="1659" t="s">
        <v>3644</v>
      </c>
      <c r="E73" s="76"/>
      <c r="F73" s="76"/>
      <c r="G73" s="76"/>
      <c r="H73" s="76"/>
      <c r="I73" s="1422"/>
      <c r="J73" s="1422"/>
      <c r="K73" s="1422"/>
      <c r="L73" s="1422"/>
      <c r="M73" s="1422"/>
      <c r="N73" s="1422"/>
      <c r="O73" s="1422"/>
      <c r="P73" s="1422"/>
      <c r="Q73" s="1422"/>
      <c r="R73" s="1422"/>
      <c r="S73" s="1422"/>
      <c r="T73" s="1422"/>
      <c r="U73" s="1422"/>
      <c r="V73" s="1422"/>
      <c r="W73" s="1422"/>
      <c r="X73" s="1422"/>
      <c r="Y73" s="1422"/>
      <c r="Z73" s="1617"/>
      <c r="AA73" s="1417"/>
      <c r="AB73" s="1417"/>
      <c r="AC73" s="1417"/>
      <c r="AD73" s="2245"/>
      <c r="AE73" s="2245"/>
      <c r="AF73" s="2245">
        <v>45.5334</v>
      </c>
      <c r="AG73" s="2245"/>
      <c r="AH73" s="2245"/>
      <c r="AI73" s="2245"/>
      <c r="AJ73" s="2245"/>
      <c r="AK73" s="2245"/>
      <c r="AL73" s="2245"/>
      <c r="AM73" s="2245"/>
      <c r="AN73" s="2245"/>
      <c r="AO73" s="2245"/>
      <c r="AP73" s="2245"/>
      <c r="AQ73" s="2245"/>
      <c r="AR73" s="2245"/>
      <c r="AS73" s="2245"/>
      <c r="AT73" s="2245"/>
    </row>
    <row r="74" spans="1:49">
      <c r="A74" s="97"/>
      <c r="D74" s="1659" t="s">
        <v>3643</v>
      </c>
      <c r="E74" s="76"/>
      <c r="F74" s="76"/>
      <c r="G74" s="76"/>
      <c r="H74" s="76"/>
      <c r="I74" s="1422"/>
      <c r="J74" s="1422"/>
      <c r="K74" s="1422"/>
      <c r="L74" s="1422"/>
      <c r="M74" s="1422"/>
      <c r="N74" s="1422"/>
      <c r="O74" s="1422"/>
      <c r="P74" s="1422"/>
      <c r="Q74" s="1422"/>
      <c r="R74" s="1422"/>
      <c r="S74" s="1422"/>
      <c r="T74" s="1422"/>
      <c r="U74" s="1422"/>
      <c r="V74" s="1422"/>
      <c r="W74" s="1422"/>
      <c r="X74" s="1422"/>
      <c r="Y74" s="1422"/>
      <c r="Z74" s="1617"/>
      <c r="AA74" s="1417"/>
      <c r="AB74" s="1417"/>
      <c r="AC74" s="1417"/>
      <c r="AD74" s="2245"/>
      <c r="AE74" s="2245"/>
      <c r="AF74" s="2245"/>
      <c r="AG74" s="2245"/>
      <c r="AH74" s="2245">
        <v>67.091385987999999</v>
      </c>
      <c r="AI74" s="2245">
        <v>115.36865818623295</v>
      </c>
      <c r="AJ74" s="2245"/>
      <c r="AK74" s="2245"/>
      <c r="AL74" s="2245"/>
      <c r="AM74" s="2245"/>
      <c r="AN74" s="2245"/>
      <c r="AO74" s="2245"/>
      <c r="AP74" s="2245"/>
      <c r="AQ74" s="2245"/>
      <c r="AR74" s="2245"/>
      <c r="AS74" s="2245"/>
      <c r="AT74" s="2245"/>
      <c r="AV74" s="1241"/>
      <c r="AW74" s="1241"/>
    </row>
    <row r="75" spans="1:49">
      <c r="A75" s="97"/>
      <c r="D75" s="1659" t="s">
        <v>3700</v>
      </c>
      <c r="E75" s="76"/>
      <c r="F75" s="76"/>
      <c r="G75" s="76"/>
      <c r="H75" s="76"/>
      <c r="I75" s="1422"/>
      <c r="J75" s="1422"/>
      <c r="K75" s="1422"/>
      <c r="L75" s="1422"/>
      <c r="M75" s="1422"/>
      <c r="N75" s="1422"/>
      <c r="O75" s="1422"/>
      <c r="P75" s="1422"/>
      <c r="Q75" s="1422"/>
      <c r="R75" s="1422"/>
      <c r="S75" s="1422"/>
      <c r="T75" s="1422"/>
      <c r="U75" s="1422"/>
      <c r="V75" s="1422"/>
      <c r="W75" s="1422"/>
      <c r="X75" s="1422"/>
      <c r="Y75" s="1422"/>
      <c r="Z75" s="1617"/>
      <c r="AA75" s="1417"/>
      <c r="AB75" s="1417"/>
      <c r="AC75" s="1417"/>
      <c r="AD75" s="2245">
        <v>0</v>
      </c>
      <c r="AE75" s="2245">
        <v>0</v>
      </c>
      <c r="AF75" s="2245">
        <v>620</v>
      </c>
      <c r="AG75" s="2245">
        <v>0</v>
      </c>
      <c r="AH75" s="2245">
        <v>0</v>
      </c>
      <c r="AI75" s="2245">
        <v>0</v>
      </c>
      <c r="AJ75" s="2245">
        <v>443.230615</v>
      </c>
      <c r="AK75" s="2245">
        <v>225.15416999999999</v>
      </c>
      <c r="AL75" s="2245">
        <v>28.797685999999999</v>
      </c>
      <c r="AM75" s="2245">
        <v>0</v>
      </c>
      <c r="AN75" s="2245">
        <v>0</v>
      </c>
      <c r="AO75" s="2245"/>
      <c r="AP75" s="2245"/>
      <c r="AQ75" s="2245"/>
      <c r="AR75" s="2245"/>
      <c r="AS75" s="2245"/>
      <c r="AT75" s="2245"/>
    </row>
    <row r="76" spans="1:49">
      <c r="A76" s="97"/>
      <c r="D76" s="1659" t="s">
        <v>3710</v>
      </c>
      <c r="E76" s="76"/>
      <c r="F76" s="76"/>
      <c r="G76" s="76"/>
      <c r="H76" s="76"/>
      <c r="I76" s="1422"/>
      <c r="J76" s="1422"/>
      <c r="K76" s="1422"/>
      <c r="L76" s="1422"/>
      <c r="M76" s="1422"/>
      <c r="N76" s="1422"/>
      <c r="O76" s="1422"/>
      <c r="P76" s="1422"/>
      <c r="Q76" s="1422"/>
      <c r="R76" s="1422"/>
      <c r="S76" s="1422"/>
      <c r="T76" s="1422"/>
      <c r="U76" s="1422"/>
      <c r="V76" s="1422"/>
      <c r="W76" s="1422"/>
      <c r="X76" s="1422"/>
      <c r="Y76" s="1422"/>
      <c r="Z76" s="1617"/>
      <c r="AA76" s="1417"/>
      <c r="AB76" s="1417"/>
      <c r="AC76" s="1417"/>
      <c r="AD76" s="2245"/>
      <c r="AE76" s="2245"/>
      <c r="AF76" s="2245"/>
      <c r="AG76" s="2245"/>
      <c r="AH76" s="2245"/>
      <c r="AI76" s="2245"/>
      <c r="AJ76" s="2245">
        <v>206.769385</v>
      </c>
      <c r="AK76" s="2245">
        <v>34.02261</v>
      </c>
      <c r="AL76" s="2245">
        <v>33.984666000000004</v>
      </c>
      <c r="AM76" s="2245">
        <v>24.562619999999999</v>
      </c>
      <c r="AN76" s="2245">
        <v>19.378402269999981</v>
      </c>
      <c r="AO76" s="2245"/>
      <c r="AP76" s="2245"/>
      <c r="AQ76" s="2245"/>
      <c r="AR76" s="2245"/>
      <c r="AS76" s="2245"/>
      <c r="AT76" s="2245"/>
      <c r="AU76" s="1241"/>
    </row>
    <row r="77" spans="1:49">
      <c r="A77" s="97"/>
      <c r="D77" s="77" t="s">
        <v>804</v>
      </c>
      <c r="E77" s="76"/>
      <c r="F77" s="76"/>
      <c r="G77" s="76"/>
      <c r="H77" s="76"/>
      <c r="I77" s="1422"/>
      <c r="J77" s="1422"/>
      <c r="K77" s="1422"/>
      <c r="L77" s="1422"/>
      <c r="M77" s="1422"/>
      <c r="N77" s="1422"/>
      <c r="O77" s="1422"/>
      <c r="P77" s="1422"/>
      <c r="Q77" s="1422"/>
      <c r="R77" s="1422"/>
      <c r="S77" s="1422"/>
      <c r="T77" s="1422"/>
      <c r="U77" s="1422"/>
      <c r="V77" s="1422"/>
      <c r="W77" s="1422"/>
      <c r="X77" s="1422"/>
      <c r="Y77" s="1422"/>
      <c r="Z77" s="1618">
        <v>0</v>
      </c>
      <c r="AA77" s="1418">
        <v>0</v>
      </c>
      <c r="AB77" s="1418">
        <v>0</v>
      </c>
      <c r="AC77" s="1418">
        <v>0</v>
      </c>
      <c r="AD77" s="1792">
        <v>0</v>
      </c>
      <c r="AE77" s="1792">
        <v>0</v>
      </c>
      <c r="AF77" s="1792">
        <v>0</v>
      </c>
      <c r="AG77" s="1792">
        <v>0</v>
      </c>
      <c r="AH77" s="1792">
        <v>0</v>
      </c>
      <c r="AI77" s="1792">
        <v>0</v>
      </c>
      <c r="AJ77" s="1792">
        <v>0</v>
      </c>
      <c r="AK77" s="1792">
        <v>36</v>
      </c>
      <c r="AL77" s="1792">
        <v>0</v>
      </c>
      <c r="AM77" s="1792">
        <v>40</v>
      </c>
      <c r="AN77" s="1792">
        <v>40</v>
      </c>
      <c r="AO77" s="1792">
        <v>40</v>
      </c>
      <c r="AP77" s="1792">
        <v>40</v>
      </c>
      <c r="AQ77" s="1792">
        <v>40</v>
      </c>
      <c r="AR77" s="1792">
        <v>40</v>
      </c>
      <c r="AS77" s="1792">
        <v>40</v>
      </c>
      <c r="AT77" s="1792">
        <v>40</v>
      </c>
    </row>
    <row r="78" spans="1:49">
      <c r="A78" s="97"/>
      <c r="D78" s="77"/>
      <c r="E78" s="76"/>
      <c r="F78" s="76"/>
      <c r="G78" s="76"/>
      <c r="H78" s="76"/>
      <c r="I78" s="1422"/>
      <c r="J78" s="1422"/>
      <c r="K78" s="1422"/>
      <c r="L78" s="1422"/>
      <c r="M78" s="1422"/>
      <c r="N78" s="1422"/>
      <c r="O78" s="1422"/>
      <c r="P78" s="1422"/>
      <c r="Q78" s="1422"/>
      <c r="R78" s="1422"/>
      <c r="S78" s="1422"/>
      <c r="T78" s="1422"/>
      <c r="U78" s="1422"/>
      <c r="V78" s="1422"/>
      <c r="W78" s="1422">
        <v>-0.12935571701668014</v>
      </c>
      <c r="X78" s="1422"/>
      <c r="Y78" s="1422"/>
      <c r="Z78" s="1416"/>
      <c r="AA78" s="1416"/>
      <c r="AB78" s="1416"/>
      <c r="AC78" s="1416"/>
      <c r="AD78" s="2252"/>
      <c r="AE78" s="2252"/>
      <c r="AF78" s="2252"/>
      <c r="AG78" s="2252"/>
      <c r="AH78" s="2252"/>
      <c r="AI78" s="2252"/>
      <c r="AJ78" s="2252">
        <v>0.12</v>
      </c>
      <c r="AK78" s="2252"/>
      <c r="AL78" s="2252"/>
      <c r="AM78" s="2252"/>
      <c r="AN78" s="2252"/>
      <c r="AO78" s="2252"/>
      <c r="AP78" s="2252"/>
      <c r="AQ78" s="2252"/>
      <c r="AR78" s="2252"/>
      <c r="AS78" s="2252"/>
      <c r="AT78" s="2252"/>
    </row>
    <row r="79" spans="1:49">
      <c r="A79" s="97"/>
      <c r="D79" s="585" t="s">
        <v>78</v>
      </c>
      <c r="E79" s="76"/>
      <c r="F79" s="76"/>
      <c r="G79" s="76"/>
      <c r="H79" s="78"/>
      <c r="I79" s="1643">
        <v>67.290000000000006</v>
      </c>
      <c r="J79" s="1643">
        <v>70.7</v>
      </c>
      <c r="K79" s="1643">
        <v>62.67</v>
      </c>
      <c r="L79" s="1643">
        <v>48.650000000000006</v>
      </c>
      <c r="M79" s="1643">
        <v>41.7</v>
      </c>
      <c r="N79" s="1643">
        <v>41.085039152555076</v>
      </c>
      <c r="O79" s="1643">
        <v>60.560966838432989</v>
      </c>
      <c r="P79" s="1643">
        <v>93.47245323419348</v>
      </c>
      <c r="Q79" s="1643">
        <v>173.4754530955488</v>
      </c>
      <c r="R79" s="1643">
        <v>92.035332679024464</v>
      </c>
      <c r="S79" s="1643">
        <v>210.06</v>
      </c>
      <c r="T79" s="1643">
        <v>200</v>
      </c>
      <c r="U79" s="1619">
        <v>285.63538512376999</v>
      </c>
      <c r="V79" s="1619">
        <v>196.66470376775041</v>
      </c>
      <c r="W79" s="1619">
        <v>171.22500000000005</v>
      </c>
      <c r="X79" s="1619">
        <v>234.51730418943535</v>
      </c>
      <c r="Y79" s="1619">
        <v>337.05042794714655</v>
      </c>
      <c r="Z79" s="1611">
        <v>299.89999999999998</v>
      </c>
      <c r="AA79" s="1412">
        <v>190</v>
      </c>
      <c r="AB79" s="1412">
        <v>189.7065008928451</v>
      </c>
      <c r="AC79" s="1412">
        <v>244.50650089284514</v>
      </c>
      <c r="AD79" s="2251">
        <v>260.22586970684239</v>
      </c>
      <c r="AE79" s="2251">
        <v>284.62491194684236</v>
      </c>
      <c r="AF79" s="2251">
        <v>379.60275521611425</v>
      </c>
      <c r="AG79" s="2251">
        <v>321.80388100000005</v>
      </c>
      <c r="AH79" s="2251">
        <v>397.6</v>
      </c>
      <c r="AI79" s="2251">
        <v>383.04947054244599</v>
      </c>
      <c r="AJ79" s="2251">
        <v>293.52835108489199</v>
      </c>
      <c r="AK79" s="2251">
        <v>293.52835108489199</v>
      </c>
      <c r="AL79" s="2251">
        <v>293.52835108489199</v>
      </c>
      <c r="AM79" s="2251">
        <v>293.52835108489199</v>
      </c>
      <c r="AN79" s="2251">
        <v>293.52835108489199</v>
      </c>
      <c r="AO79" s="2251">
        <v>293.52835108489199</v>
      </c>
      <c r="AP79" s="2251">
        <v>293.52835108489199</v>
      </c>
      <c r="AQ79" s="2251">
        <v>293.52835108489199</v>
      </c>
      <c r="AR79" s="2251">
        <v>293.52835108489199</v>
      </c>
      <c r="AS79" s="2251">
        <v>293.52835108489199</v>
      </c>
      <c r="AT79" s="2251">
        <v>293.52835108489199</v>
      </c>
    </row>
    <row r="80" spans="1:49">
      <c r="A80" s="97"/>
      <c r="D80" s="77" t="s">
        <v>819</v>
      </c>
      <c r="E80" s="76"/>
      <c r="F80" s="76"/>
      <c r="G80" s="76"/>
      <c r="H80" s="78"/>
      <c r="I80" s="1646"/>
      <c r="J80" s="1646"/>
      <c r="K80" s="1646"/>
      <c r="L80" s="1646"/>
      <c r="M80" s="1646"/>
      <c r="N80" s="1646"/>
      <c r="O80" s="1646"/>
      <c r="P80" s="1646"/>
      <c r="Q80" s="1646"/>
      <c r="R80" s="1646"/>
      <c r="S80" s="1646"/>
      <c r="T80" s="1646"/>
      <c r="U80" s="1646"/>
      <c r="V80" s="1646"/>
      <c r="W80" s="1646"/>
      <c r="X80" s="1646"/>
      <c r="Y80" s="1644"/>
      <c r="Z80" s="1613">
        <v>163.69999999999999</v>
      </c>
      <c r="AA80" s="1414">
        <v>101.1</v>
      </c>
      <c r="AB80" s="1414">
        <v>90.2</v>
      </c>
      <c r="AC80" s="1414">
        <v>99.506500892845111</v>
      </c>
      <c r="AD80" s="2246">
        <v>119.40000000000002</v>
      </c>
      <c r="AE80" s="2246">
        <v>140.82586970684235</v>
      </c>
      <c r="AF80" s="2246">
        <v>159.54049176000001</v>
      </c>
      <c r="AG80" s="2246">
        <v>150.04066900000001</v>
      </c>
      <c r="AH80" s="2246">
        <v>204.7</v>
      </c>
      <c r="AI80" s="2246">
        <v>209.3</v>
      </c>
      <c r="AJ80" s="2247">
        <v>146.764175542446</v>
      </c>
      <c r="AK80" s="2247">
        <v>146.764175542446</v>
      </c>
      <c r="AL80" s="2247">
        <v>146.764175542446</v>
      </c>
      <c r="AM80" s="2247">
        <v>146.764175542446</v>
      </c>
      <c r="AN80" s="2247">
        <v>146.764175542446</v>
      </c>
      <c r="AO80" s="2247">
        <v>146.764175542446</v>
      </c>
      <c r="AP80" s="2247">
        <v>146.764175542446</v>
      </c>
      <c r="AQ80" s="2247">
        <v>146.764175542446</v>
      </c>
      <c r="AR80" s="2247">
        <v>146.764175542446</v>
      </c>
      <c r="AS80" s="2247">
        <v>146.764175542446</v>
      </c>
      <c r="AT80" s="2247">
        <v>146.764175542446</v>
      </c>
    </row>
    <row r="81" spans="1:46">
      <c r="A81" s="97"/>
      <c r="D81" s="77" t="s">
        <v>537</v>
      </c>
      <c r="E81" s="76"/>
      <c r="F81" s="76"/>
      <c r="G81" s="76"/>
      <c r="H81" s="78"/>
      <c r="I81" s="1646"/>
      <c r="J81" s="1646"/>
      <c r="K81" s="1646"/>
      <c r="L81" s="1646"/>
      <c r="M81" s="1646"/>
      <c r="N81" s="1646"/>
      <c r="O81" s="1646"/>
      <c r="P81" s="1646"/>
      <c r="Q81" s="1646"/>
      <c r="R81" s="1646"/>
      <c r="S81" s="1646"/>
      <c r="T81" s="1646"/>
      <c r="U81" s="1646"/>
      <c r="V81" s="1646"/>
      <c r="W81" s="1646"/>
      <c r="X81" s="1646"/>
      <c r="Y81" s="1644"/>
      <c r="Z81" s="1613"/>
      <c r="AA81" s="1414"/>
      <c r="AB81" s="1414"/>
      <c r="AC81" s="1414"/>
      <c r="AD81" s="2253">
        <v>0</v>
      </c>
      <c r="AE81" s="2253">
        <v>0</v>
      </c>
      <c r="AF81" s="2253">
        <v>0</v>
      </c>
      <c r="AG81" s="2253">
        <v>0</v>
      </c>
      <c r="AH81" s="2253">
        <v>149.6</v>
      </c>
      <c r="AI81" s="2253">
        <v>135</v>
      </c>
      <c r="AJ81" s="2254">
        <v>96.132087771222999</v>
      </c>
      <c r="AK81" s="2254">
        <v>96.132087771222999</v>
      </c>
      <c r="AL81" s="2254">
        <v>96.132087771222999</v>
      </c>
      <c r="AM81" s="2254">
        <v>96.132087771222999</v>
      </c>
      <c r="AN81" s="2254">
        <v>96.132087771222999</v>
      </c>
      <c r="AO81" s="2254">
        <v>96.132087771222999</v>
      </c>
      <c r="AP81" s="2254">
        <v>96.132087771222999</v>
      </c>
      <c r="AQ81" s="2254">
        <v>96.132087771222999</v>
      </c>
      <c r="AR81" s="2254">
        <v>96.132087771222999</v>
      </c>
      <c r="AS81" s="2254">
        <v>96.132087771222999</v>
      </c>
      <c r="AT81" s="2254">
        <v>96.132087771222999</v>
      </c>
    </row>
    <row r="82" spans="1:46">
      <c r="A82" s="97"/>
      <c r="D82" s="77" t="s">
        <v>540</v>
      </c>
      <c r="E82" s="76"/>
      <c r="F82" s="76"/>
      <c r="G82" s="76"/>
      <c r="H82" s="78"/>
      <c r="I82" s="1646"/>
      <c r="J82" s="1646"/>
      <c r="K82" s="1646"/>
      <c r="L82" s="1646"/>
      <c r="M82" s="1646"/>
      <c r="N82" s="1646"/>
      <c r="O82" s="1646"/>
      <c r="P82" s="1646"/>
      <c r="Q82" s="1646"/>
      <c r="R82" s="1646"/>
      <c r="S82" s="1646"/>
      <c r="T82" s="1646"/>
      <c r="U82" s="1646"/>
      <c r="V82" s="1646"/>
      <c r="W82" s="1646"/>
      <c r="X82" s="1646"/>
      <c r="Y82" s="1644"/>
      <c r="Z82" s="1612">
        <v>163.69999999999999</v>
      </c>
      <c r="AA82" s="1413">
        <v>101.1</v>
      </c>
      <c r="AB82" s="1413">
        <v>90.2</v>
      </c>
      <c r="AC82" s="1413">
        <v>99.506500892845111</v>
      </c>
      <c r="AD82" s="2255">
        <v>119.40000000000002</v>
      </c>
      <c r="AE82" s="2255">
        <v>140.82586970684235</v>
      </c>
      <c r="AF82" s="2255">
        <v>159.54049176000001</v>
      </c>
      <c r="AG82" s="2255">
        <v>150.04066900000001</v>
      </c>
      <c r="AH82" s="2255">
        <v>55.1</v>
      </c>
      <c r="AI82" s="2255">
        <v>74.3</v>
      </c>
      <c r="AJ82" s="2256">
        <v>50.632087771222999</v>
      </c>
      <c r="AK82" s="2256">
        <v>50.632087771222999</v>
      </c>
      <c r="AL82" s="2256">
        <v>50.632087771222999</v>
      </c>
      <c r="AM82" s="2256">
        <v>50.632087771222999</v>
      </c>
      <c r="AN82" s="2256">
        <v>50.632087771222999</v>
      </c>
      <c r="AO82" s="2256">
        <v>50.632087771222999</v>
      </c>
      <c r="AP82" s="2256">
        <v>50.632087771222999</v>
      </c>
      <c r="AQ82" s="2256">
        <v>50.632087771222999</v>
      </c>
      <c r="AR82" s="2256">
        <v>50.632087771222999</v>
      </c>
      <c r="AS82" s="2256">
        <v>50.632087771222999</v>
      </c>
      <c r="AT82" s="2256">
        <v>50.632087771222999</v>
      </c>
    </row>
    <row r="83" spans="1:46">
      <c r="A83" s="97"/>
      <c r="D83" s="1659" t="s">
        <v>3645</v>
      </c>
      <c r="E83" s="76"/>
      <c r="F83" s="76"/>
      <c r="G83" s="76"/>
      <c r="H83" s="78"/>
      <c r="I83" s="1646"/>
      <c r="J83" s="1646"/>
      <c r="K83" s="1646"/>
      <c r="L83" s="1646"/>
      <c r="M83" s="1646"/>
      <c r="N83" s="1646"/>
      <c r="O83" s="1646"/>
      <c r="P83" s="1646"/>
      <c r="Q83" s="1646"/>
      <c r="R83" s="1646"/>
      <c r="S83" s="1646"/>
      <c r="T83" s="1646"/>
      <c r="U83" s="1646"/>
      <c r="V83" s="1646"/>
      <c r="W83" s="1646"/>
      <c r="X83" s="1646"/>
      <c r="Y83" s="1644"/>
      <c r="Z83" s="1613"/>
      <c r="AA83" s="1414"/>
      <c r="AB83" s="1414"/>
      <c r="AC83" s="1414"/>
      <c r="AD83" s="2250"/>
      <c r="AE83" s="2250"/>
      <c r="AF83" s="2250">
        <v>3.7581959999999999</v>
      </c>
      <c r="AG83" s="2250">
        <v>15</v>
      </c>
      <c r="AH83" s="2250"/>
      <c r="AI83" s="2250"/>
      <c r="AJ83" s="2250"/>
      <c r="AK83" s="2250"/>
      <c r="AL83" s="2250"/>
      <c r="AM83" s="2250"/>
      <c r="AN83" s="2250"/>
      <c r="AO83" s="2250"/>
      <c r="AP83" s="2245"/>
      <c r="AQ83" s="2245"/>
      <c r="AR83" s="2245"/>
      <c r="AS83" s="2245"/>
      <c r="AT83" s="2245"/>
    </row>
    <row r="84" spans="1:46">
      <c r="A84" s="97"/>
      <c r="D84" s="77"/>
      <c r="E84" s="76"/>
      <c r="F84" s="76"/>
      <c r="G84" s="76"/>
      <c r="H84" s="78"/>
      <c r="I84" s="1646"/>
      <c r="J84" s="1646"/>
      <c r="K84" s="1646"/>
      <c r="L84" s="1646"/>
      <c r="M84" s="1646"/>
      <c r="N84" s="1646"/>
      <c r="O84" s="1646"/>
      <c r="P84" s="1646"/>
      <c r="Q84" s="1646"/>
      <c r="R84" s="1646"/>
      <c r="S84" s="1646"/>
      <c r="T84" s="1646"/>
      <c r="U84" s="1646"/>
      <c r="V84" s="1646"/>
      <c r="W84" s="1646"/>
      <c r="X84" s="1646"/>
      <c r="Y84" s="1644"/>
      <c r="Z84" s="1613"/>
      <c r="AA84" s="1414"/>
      <c r="AB84" s="1414"/>
      <c r="AC84" s="1414"/>
      <c r="AD84" s="2257"/>
      <c r="AE84" s="2257"/>
      <c r="AF84" s="2257"/>
      <c r="AG84" s="2257"/>
      <c r="AH84" s="2257"/>
      <c r="AI84" s="2257"/>
      <c r="AJ84" s="2257"/>
      <c r="AK84" s="2250"/>
      <c r="AL84" s="2250"/>
      <c r="AM84" s="2250"/>
      <c r="AN84" s="2250"/>
      <c r="AO84" s="2250"/>
      <c r="AP84" s="2245"/>
      <c r="AQ84" s="2245"/>
      <c r="AR84" s="2245"/>
      <c r="AS84" s="2245"/>
      <c r="AT84" s="2245"/>
    </row>
    <row r="85" spans="1:46">
      <c r="A85" s="97"/>
      <c r="D85" s="77" t="s">
        <v>820</v>
      </c>
      <c r="E85" s="76"/>
      <c r="F85" s="76"/>
      <c r="G85" s="76"/>
      <c r="H85" s="76"/>
      <c r="I85" s="1422"/>
      <c r="J85" s="1422"/>
      <c r="K85" s="1422"/>
      <c r="L85" s="1422"/>
      <c r="M85" s="1422"/>
      <c r="N85" s="1422"/>
      <c r="O85" s="1422"/>
      <c r="P85" s="1422"/>
      <c r="Q85" s="1422"/>
      <c r="R85" s="1422"/>
      <c r="S85" s="1422"/>
      <c r="T85" s="1422"/>
      <c r="U85" s="1422"/>
      <c r="V85" s="1422"/>
      <c r="W85" s="1422"/>
      <c r="X85" s="1422"/>
      <c r="Y85" s="1422"/>
      <c r="Z85" s="1613">
        <v>136.19999999999999</v>
      </c>
      <c r="AA85" s="1414">
        <v>88.9</v>
      </c>
      <c r="AB85" s="1414">
        <v>99.506500892845111</v>
      </c>
      <c r="AC85" s="1414">
        <v>145.00000000000003</v>
      </c>
      <c r="AD85" s="2246">
        <v>140.82586970684235</v>
      </c>
      <c r="AE85" s="2246">
        <v>143.79904224000001</v>
      </c>
      <c r="AF85" s="2246">
        <v>220.06226345611421</v>
      </c>
      <c r="AG85" s="2246">
        <v>171.76321200000001</v>
      </c>
      <c r="AH85" s="2246">
        <v>192.9</v>
      </c>
      <c r="AI85" s="2246">
        <v>173.74947054244598</v>
      </c>
      <c r="AJ85" s="2247">
        <v>146.764175542446</v>
      </c>
      <c r="AK85" s="2247">
        <v>146.764175542446</v>
      </c>
      <c r="AL85" s="2247">
        <v>146.764175542446</v>
      </c>
      <c r="AM85" s="2247">
        <v>146.764175542446</v>
      </c>
      <c r="AN85" s="2247">
        <v>146.764175542446</v>
      </c>
      <c r="AO85" s="2247">
        <v>146.764175542446</v>
      </c>
      <c r="AP85" s="2247">
        <v>146.764175542446</v>
      </c>
      <c r="AQ85" s="2247">
        <v>146.764175542446</v>
      </c>
      <c r="AR85" s="2247">
        <v>146.764175542446</v>
      </c>
      <c r="AS85" s="2247">
        <v>146.764175542446</v>
      </c>
      <c r="AT85" s="2247">
        <v>146.764175542446</v>
      </c>
    </row>
    <row r="86" spans="1:46">
      <c r="A86" s="97"/>
      <c r="D86" s="77" t="s">
        <v>537</v>
      </c>
      <c r="E86" s="76"/>
      <c r="F86" s="76"/>
      <c r="G86" s="76"/>
      <c r="H86" s="76"/>
      <c r="I86" s="1422"/>
      <c r="J86" s="1422"/>
      <c r="K86" s="1422"/>
      <c r="L86" s="1422"/>
      <c r="M86" s="1422"/>
      <c r="N86" s="1422"/>
      <c r="O86" s="1422"/>
      <c r="P86" s="1422"/>
      <c r="Q86" s="1422"/>
      <c r="R86" s="1422"/>
      <c r="S86" s="1422"/>
      <c r="T86" s="1422"/>
      <c r="U86" s="1422"/>
      <c r="V86" s="1422"/>
      <c r="W86" s="1422"/>
      <c r="X86" s="1422"/>
      <c r="Y86" s="1422"/>
      <c r="Z86" s="1415"/>
      <c r="AA86" s="1415"/>
      <c r="AB86" s="1415"/>
      <c r="AC86" s="1415"/>
      <c r="AD86" s="2253">
        <v>0</v>
      </c>
      <c r="AE86" s="2253">
        <v>0</v>
      </c>
      <c r="AF86" s="2253">
        <v>0</v>
      </c>
      <c r="AG86" s="2253">
        <v>82</v>
      </c>
      <c r="AH86" s="2253">
        <v>118.7</v>
      </c>
      <c r="AI86" s="2253">
        <v>109.632087771223</v>
      </c>
      <c r="AJ86" s="2254">
        <v>96.132087771222999</v>
      </c>
      <c r="AK86" s="2254">
        <v>96.132087771222999</v>
      </c>
      <c r="AL86" s="2254">
        <v>96.132087771222999</v>
      </c>
      <c r="AM86" s="2254">
        <v>96.132087771222999</v>
      </c>
      <c r="AN86" s="2254">
        <v>96.132087771222999</v>
      </c>
      <c r="AO86" s="2254">
        <v>96.132087771222999</v>
      </c>
      <c r="AP86" s="2254">
        <v>96.132087771222999</v>
      </c>
      <c r="AQ86" s="2254">
        <v>96.132087771222999</v>
      </c>
      <c r="AR86" s="2254">
        <v>96.132087771222999</v>
      </c>
      <c r="AS86" s="2254">
        <v>96.132087771222999</v>
      </c>
      <c r="AT86" s="2254">
        <v>96.132087771222999</v>
      </c>
    </row>
    <row r="87" spans="1:46">
      <c r="A87" s="97"/>
      <c r="D87" s="77" t="s">
        <v>540</v>
      </c>
      <c r="E87" s="76"/>
      <c r="F87" s="76"/>
      <c r="G87" s="76"/>
      <c r="H87" s="76"/>
      <c r="I87" s="1422"/>
      <c r="J87" s="1422"/>
      <c r="K87" s="1422"/>
      <c r="L87" s="1422"/>
      <c r="M87" s="1422"/>
      <c r="N87" s="1422"/>
      <c r="O87" s="1422"/>
      <c r="P87" s="1422"/>
      <c r="Q87" s="1422"/>
      <c r="R87" s="1422"/>
      <c r="S87" s="1422"/>
      <c r="T87" s="1422"/>
      <c r="U87" s="1422"/>
      <c r="V87" s="1422"/>
      <c r="W87" s="1422"/>
      <c r="X87" s="1422"/>
      <c r="Y87" s="1422"/>
      <c r="Z87" s="1614">
        <v>136.19999999999999</v>
      </c>
      <c r="AA87" s="1412">
        <v>88.9</v>
      </c>
      <c r="AB87" s="1412">
        <v>99.506500892845111</v>
      </c>
      <c r="AC87" s="1412">
        <v>145.00000000000003</v>
      </c>
      <c r="AD87" s="2253">
        <v>140.82586970684235</v>
      </c>
      <c r="AE87" s="2253">
        <v>143.79904224000001</v>
      </c>
      <c r="AF87" s="2253">
        <v>220.06226345611421</v>
      </c>
      <c r="AG87" s="2253">
        <v>89.763211999999996</v>
      </c>
      <c r="AH87" s="2253">
        <v>74.2</v>
      </c>
      <c r="AI87" s="2253">
        <v>64.117382771222992</v>
      </c>
      <c r="AJ87" s="2258">
        <v>50.632087771222999</v>
      </c>
      <c r="AK87" s="2258">
        <v>50.632087771222999</v>
      </c>
      <c r="AL87" s="2258">
        <v>50.632087771222999</v>
      </c>
      <c r="AM87" s="2258">
        <v>50.632087771222999</v>
      </c>
      <c r="AN87" s="2258">
        <v>50.632087771222999</v>
      </c>
      <c r="AO87" s="2258">
        <v>50.632087771222999</v>
      </c>
      <c r="AP87" s="2258">
        <v>50.632087771222999</v>
      </c>
      <c r="AQ87" s="2258">
        <v>50.632087771222999</v>
      </c>
      <c r="AR87" s="2258">
        <v>50.632087771222999</v>
      </c>
      <c r="AS87" s="2258">
        <v>50.632087771222999</v>
      </c>
      <c r="AT87" s="2258">
        <v>50.632087771222999</v>
      </c>
    </row>
    <row r="88" spans="1:46">
      <c r="A88" s="97"/>
      <c r="D88" s="1659" t="s">
        <v>3645</v>
      </c>
      <c r="E88" s="76"/>
      <c r="F88" s="76"/>
      <c r="G88" s="76"/>
      <c r="H88" s="76"/>
      <c r="I88" s="1422"/>
      <c r="J88" s="1422"/>
      <c r="K88" s="1422"/>
      <c r="L88" s="1422"/>
      <c r="M88" s="1422"/>
      <c r="N88" s="1422"/>
      <c r="O88" s="1422"/>
      <c r="P88" s="1422"/>
      <c r="Q88" s="1422"/>
      <c r="R88" s="1422"/>
      <c r="S88" s="1422"/>
      <c r="T88" s="1422"/>
      <c r="U88" s="1422"/>
      <c r="V88" s="1422"/>
      <c r="W88" s="1422"/>
      <c r="X88" s="1422"/>
      <c r="Y88" s="1422"/>
      <c r="Z88" s="1415"/>
      <c r="AA88" s="1415"/>
      <c r="AB88" s="1415"/>
      <c r="AC88" s="1415"/>
      <c r="AD88" s="2259"/>
      <c r="AE88" s="2259"/>
      <c r="AF88" s="2259">
        <v>85.021594456114201</v>
      </c>
      <c r="AG88" s="2259"/>
      <c r="AH88" s="2259"/>
      <c r="AI88" s="2259"/>
      <c r="AJ88" s="2245"/>
      <c r="AK88" s="2245"/>
      <c r="AL88" s="2245"/>
      <c r="AM88" s="2245"/>
      <c r="AN88" s="2245"/>
      <c r="AO88" s="2245"/>
      <c r="AP88" s="2245"/>
      <c r="AQ88" s="2245"/>
      <c r="AR88" s="2245"/>
      <c r="AS88" s="2245"/>
      <c r="AT88" s="2245"/>
    </row>
    <row r="89" spans="1:46">
      <c r="A89" s="97"/>
      <c r="D89" s="77"/>
      <c r="E89" s="76"/>
      <c r="F89" s="76"/>
      <c r="G89" s="76"/>
      <c r="H89" s="76"/>
      <c r="I89" s="1422"/>
      <c r="J89" s="1422"/>
      <c r="K89" s="1422"/>
      <c r="L89" s="1422"/>
      <c r="M89" s="1422"/>
      <c r="N89" s="1422"/>
      <c r="O89" s="1422"/>
      <c r="P89" s="1422"/>
      <c r="Q89" s="1422"/>
      <c r="R89" s="1422"/>
      <c r="S89" s="1422"/>
      <c r="T89" s="1422"/>
      <c r="U89" s="1422"/>
      <c r="V89" s="1422"/>
      <c r="W89" s="1422"/>
      <c r="X89" s="1422"/>
      <c r="Y89" s="1422"/>
      <c r="Z89" s="1415"/>
      <c r="AA89" s="1415"/>
      <c r="AB89" s="1415"/>
      <c r="AC89" s="1415"/>
      <c r="AD89" s="2260"/>
      <c r="AE89" s="2260"/>
      <c r="AF89" s="2260"/>
      <c r="AG89" s="2260"/>
      <c r="AH89" s="2260"/>
      <c r="AI89" s="2260"/>
      <c r="AJ89" s="2260"/>
      <c r="AK89" s="2260"/>
      <c r="AL89" s="2260"/>
      <c r="AM89" s="2260"/>
      <c r="AN89" s="2260"/>
      <c r="AO89" s="2260"/>
      <c r="AP89" s="2260"/>
      <c r="AQ89" s="2260"/>
      <c r="AR89" s="2260"/>
      <c r="AS89" s="2260"/>
      <c r="AT89" s="2260"/>
    </row>
    <row r="90" spans="1:46">
      <c r="A90" s="97"/>
      <c r="D90" s="585" t="s">
        <v>247</v>
      </c>
      <c r="E90" s="76"/>
      <c r="F90" s="76"/>
      <c r="G90" s="76"/>
      <c r="H90" s="76"/>
      <c r="I90" s="1643">
        <v>11.11</v>
      </c>
      <c r="J90" s="1643">
        <v>44.7</v>
      </c>
      <c r="K90" s="1643">
        <v>102.6</v>
      </c>
      <c r="L90" s="1643">
        <v>78.2</v>
      </c>
      <c r="M90" s="1643">
        <v>83.41</v>
      </c>
      <c r="N90" s="1643">
        <v>89.42</v>
      </c>
      <c r="O90" s="1643">
        <v>163.07999999999998</v>
      </c>
      <c r="P90" s="1643">
        <v>200.11795501</v>
      </c>
      <c r="Q90" s="1643">
        <v>128.35198775999999</v>
      </c>
      <c r="R90" s="1643">
        <v>259.27449473672294</v>
      </c>
      <c r="S90" s="1643">
        <v>339.76</v>
      </c>
      <c r="T90" s="1643">
        <v>415.83635679346759</v>
      </c>
      <c r="U90" s="1619">
        <v>402.91773147620796</v>
      </c>
      <c r="V90" s="1619">
        <v>545.72030421138993</v>
      </c>
      <c r="W90" s="1619">
        <v>343.32065754690097</v>
      </c>
      <c r="X90" s="1619">
        <v>468.82099999999997</v>
      </c>
      <c r="Y90" s="1619">
        <v>276.88646037000001</v>
      </c>
      <c r="Z90" s="1619">
        <v>218.97307069166828</v>
      </c>
      <c r="AA90" s="1412">
        <v>234.62480401081805</v>
      </c>
      <c r="AB90" s="1412">
        <v>253.30383447999998</v>
      </c>
      <c r="AC90" s="1412">
        <v>93.558754190000002</v>
      </c>
      <c r="AD90" s="2261">
        <v>166.387925</v>
      </c>
      <c r="AE90" s="2261">
        <v>187.46990300480002</v>
      </c>
      <c r="AF90" s="2261">
        <v>266.45961888871886</v>
      </c>
      <c r="AG90" s="2261">
        <v>411.72971467999992</v>
      </c>
      <c r="AH90" s="2261">
        <v>281.02025793799999</v>
      </c>
      <c r="AI90" s="2261">
        <v>207.12339478124099</v>
      </c>
      <c r="AJ90" s="2261">
        <v>88.567314812365282</v>
      </c>
      <c r="AK90" s="2261">
        <v>81.381827004857399</v>
      </c>
      <c r="AL90" s="2261">
        <v>77.041223657796991</v>
      </c>
      <c r="AM90" s="2261">
        <v>78.041223657796976</v>
      </c>
      <c r="AN90" s="2261">
        <v>75.041223657796976</v>
      </c>
      <c r="AO90" s="2261">
        <v>74.041223657796976</v>
      </c>
      <c r="AP90" s="2261">
        <v>76.041223657796991</v>
      </c>
      <c r="AQ90" s="2261">
        <v>75.791223657796976</v>
      </c>
      <c r="AR90" s="2261">
        <v>75.228723657796991</v>
      </c>
      <c r="AS90" s="2261">
        <v>75.275598657796991</v>
      </c>
      <c r="AT90" s="2261">
        <v>75.584192407796991</v>
      </c>
    </row>
    <row r="91" spans="1:46">
      <c r="A91" s="97"/>
      <c r="D91" s="77" t="s">
        <v>819</v>
      </c>
      <c r="E91" s="76"/>
      <c r="F91" s="76"/>
      <c r="G91" s="76"/>
      <c r="H91" s="76"/>
      <c r="I91" s="1422"/>
      <c r="J91" s="1422"/>
      <c r="K91" s="1422"/>
      <c r="L91" s="1422"/>
      <c r="M91" s="1422"/>
      <c r="N91" s="1422"/>
      <c r="O91" s="1422"/>
      <c r="P91" s="1422"/>
      <c r="Q91" s="1422"/>
      <c r="R91" s="1422"/>
      <c r="S91" s="1422"/>
      <c r="T91" s="1422"/>
      <c r="U91" s="1422"/>
      <c r="V91" s="1422"/>
      <c r="W91" s="1422"/>
      <c r="X91" s="1422"/>
      <c r="Y91" s="1644"/>
      <c r="Z91" s="1615">
        <v>81.353717709999998</v>
      </c>
      <c r="AA91" s="1419">
        <v>122.90516680081805</v>
      </c>
      <c r="AB91" s="1419">
        <v>115.530135</v>
      </c>
      <c r="AC91" s="1419">
        <v>93.558754190000002</v>
      </c>
      <c r="AD91" s="2246">
        <v>65.502488999999997</v>
      </c>
      <c r="AE91" s="2246">
        <v>81.600000000000009</v>
      </c>
      <c r="AF91" s="2246">
        <v>149.20318337</v>
      </c>
      <c r="AG91" s="2246">
        <v>329.21766964999995</v>
      </c>
      <c r="AH91" s="2246">
        <v>198.98325256000001</v>
      </c>
      <c r="AI91" s="2246">
        <v>118.66739314</v>
      </c>
      <c r="AJ91" s="2247">
        <v>43.976099636406367</v>
      </c>
      <c r="AK91" s="2247">
        <v>52.861215175958918</v>
      </c>
      <c r="AL91" s="2247">
        <v>48.520611828898495</v>
      </c>
      <c r="AM91" s="2247">
        <v>49.520611828898488</v>
      </c>
      <c r="AN91" s="2247">
        <v>46.520611828898488</v>
      </c>
      <c r="AO91" s="2247">
        <v>45.520611828898488</v>
      </c>
      <c r="AP91" s="2247">
        <v>47.520611828898495</v>
      </c>
      <c r="AQ91" s="2247">
        <v>47.270611828898488</v>
      </c>
      <c r="AR91" s="2247">
        <v>46.708111828898495</v>
      </c>
      <c r="AS91" s="2247">
        <v>46.754986828898495</v>
      </c>
      <c r="AT91" s="2247">
        <v>47.063580578898495</v>
      </c>
    </row>
    <row r="92" spans="1:46">
      <c r="A92" s="97"/>
      <c r="D92" s="77" t="s">
        <v>537</v>
      </c>
      <c r="E92" s="76"/>
      <c r="F92" s="76"/>
      <c r="G92" s="76"/>
      <c r="H92" s="76"/>
      <c r="I92" s="1422"/>
      <c r="J92" s="1422"/>
      <c r="K92" s="1422"/>
      <c r="L92" s="1422"/>
      <c r="M92" s="1422"/>
      <c r="N92" s="1422"/>
      <c r="O92" s="1422"/>
      <c r="P92" s="1422"/>
      <c r="Q92" s="1422"/>
      <c r="R92" s="1422"/>
      <c r="S92" s="1422"/>
      <c r="T92" s="1422"/>
      <c r="U92" s="1422"/>
      <c r="V92" s="1422"/>
      <c r="W92" s="1422"/>
      <c r="X92" s="1422"/>
      <c r="Y92" s="1644"/>
      <c r="Z92" s="1617"/>
      <c r="AA92" s="1417"/>
      <c r="AB92" s="1417"/>
      <c r="AC92" s="1417">
        <v>8.4</v>
      </c>
      <c r="AD92" s="2253">
        <v>8.4</v>
      </c>
      <c r="AE92" s="2253">
        <v>8.4</v>
      </c>
      <c r="AF92" s="2253">
        <v>4.122541</v>
      </c>
      <c r="AG92" s="2253">
        <v>174.71050403999999</v>
      </c>
      <c r="AH92" s="2253">
        <v>125.79620364</v>
      </c>
      <c r="AI92" s="2253">
        <v>63.498606179999996</v>
      </c>
      <c r="AJ92" s="2254">
        <v>0</v>
      </c>
      <c r="AK92" s="2254">
        <v>20</v>
      </c>
      <c r="AL92" s="2254">
        <v>0</v>
      </c>
      <c r="AM92" s="2254">
        <v>0</v>
      </c>
      <c r="AN92" s="2254">
        <v>0</v>
      </c>
      <c r="AO92" s="2254">
        <v>0</v>
      </c>
      <c r="AP92" s="2254">
        <v>0</v>
      </c>
      <c r="AQ92" s="2254">
        <v>0</v>
      </c>
      <c r="AR92" s="2254">
        <v>0</v>
      </c>
      <c r="AS92" s="2254">
        <v>0</v>
      </c>
      <c r="AT92" s="2254">
        <v>0</v>
      </c>
    </row>
    <row r="93" spans="1:46">
      <c r="A93" s="97"/>
      <c r="D93" s="77" t="s">
        <v>3088</v>
      </c>
      <c r="E93" s="76"/>
      <c r="F93" s="76"/>
      <c r="G93" s="76"/>
      <c r="H93" s="76"/>
      <c r="I93" s="1422"/>
      <c r="J93" s="1422"/>
      <c r="K93" s="1422"/>
      <c r="L93" s="1422"/>
      <c r="M93" s="1422"/>
      <c r="N93" s="1422"/>
      <c r="O93" s="1422"/>
      <c r="P93" s="1422"/>
      <c r="Q93" s="1422"/>
      <c r="R93" s="1422"/>
      <c r="S93" s="1422"/>
      <c r="T93" s="1422"/>
      <c r="U93" s="1422"/>
      <c r="V93" s="1422"/>
      <c r="W93" s="1422"/>
      <c r="X93" s="1422"/>
      <c r="Y93" s="1644"/>
      <c r="Z93" s="1617"/>
      <c r="AA93" s="1417"/>
      <c r="AB93" s="1417"/>
      <c r="AC93" s="1417"/>
      <c r="AD93" s="1611"/>
      <c r="AE93" s="1611"/>
      <c r="AF93" s="1611"/>
      <c r="AG93" s="1611"/>
      <c r="AH93" s="1611"/>
      <c r="AI93" s="1611"/>
      <c r="AJ93" s="1611"/>
      <c r="AK93" s="1611"/>
      <c r="AL93" s="1611"/>
      <c r="AM93" s="1611"/>
      <c r="AN93" s="1611"/>
      <c r="AO93" s="1611"/>
      <c r="AP93" s="2245"/>
      <c r="AQ93" s="2245"/>
      <c r="AR93" s="2245"/>
      <c r="AS93" s="2245"/>
      <c r="AT93" s="2245"/>
    </row>
    <row r="94" spans="1:46">
      <c r="A94" s="97"/>
      <c r="D94" s="77" t="s">
        <v>540</v>
      </c>
      <c r="E94" s="76"/>
      <c r="F94" s="76"/>
      <c r="G94" s="76"/>
      <c r="H94" s="76"/>
      <c r="I94" s="1422"/>
      <c r="J94" s="1422"/>
      <c r="K94" s="1422"/>
      <c r="L94" s="1422"/>
      <c r="M94" s="1422"/>
      <c r="N94" s="1422"/>
      <c r="O94" s="1422"/>
      <c r="P94" s="1422"/>
      <c r="Q94" s="1422"/>
      <c r="R94" s="1422"/>
      <c r="S94" s="1422"/>
      <c r="T94" s="1422"/>
      <c r="U94" s="1422"/>
      <c r="V94" s="1422"/>
      <c r="W94" s="1422"/>
      <c r="X94" s="1422"/>
      <c r="Y94" s="1644"/>
      <c r="Z94" s="1617"/>
      <c r="AA94" s="1417"/>
      <c r="AB94" s="1417"/>
      <c r="AC94" s="1417">
        <v>85.158754189999996</v>
      </c>
      <c r="AD94" s="2255">
        <v>57.102488999999998</v>
      </c>
      <c r="AE94" s="2255">
        <v>73.2</v>
      </c>
      <c r="AF94" s="2255">
        <v>145.08064236999999</v>
      </c>
      <c r="AG94" s="2255">
        <v>154.50716560999999</v>
      </c>
      <c r="AH94" s="2255">
        <v>73.187048920000009</v>
      </c>
      <c r="AI94" s="2255">
        <v>55.168786960000006</v>
      </c>
      <c r="AJ94" s="2256">
        <v>43.976099636406367</v>
      </c>
      <c r="AK94" s="2256">
        <v>32.861215175958918</v>
      </c>
      <c r="AL94" s="2256">
        <v>48.520611828898495</v>
      </c>
      <c r="AM94" s="2256">
        <v>49.520611828898488</v>
      </c>
      <c r="AN94" s="2256">
        <v>46.520611828898488</v>
      </c>
      <c r="AO94" s="2256">
        <v>45.520611828898488</v>
      </c>
      <c r="AP94" s="2256">
        <v>47.520611828898495</v>
      </c>
      <c r="AQ94" s="2256">
        <v>47.270611828898488</v>
      </c>
      <c r="AR94" s="2256">
        <v>46.708111828898495</v>
      </c>
      <c r="AS94" s="2256">
        <v>46.754986828898495</v>
      </c>
      <c r="AT94" s="2256">
        <v>47.063580578898495</v>
      </c>
    </row>
    <row r="95" spans="1:46">
      <c r="A95" s="97"/>
      <c r="D95" s="652" t="s">
        <v>3646</v>
      </c>
      <c r="E95" s="76"/>
      <c r="F95" s="76"/>
      <c r="G95" s="76"/>
      <c r="H95" s="76"/>
      <c r="I95" s="1422"/>
      <c r="J95" s="1422"/>
      <c r="K95" s="1422"/>
      <c r="L95" s="1422"/>
      <c r="M95" s="1422"/>
      <c r="N95" s="1422"/>
      <c r="O95" s="1422"/>
      <c r="P95" s="1422"/>
      <c r="Q95" s="1422"/>
      <c r="R95" s="1422"/>
      <c r="S95" s="1422"/>
      <c r="T95" s="1422"/>
      <c r="U95" s="1422"/>
      <c r="V95" s="1422"/>
      <c r="W95" s="1422"/>
      <c r="X95" s="1054"/>
      <c r="Y95" s="1422"/>
      <c r="Z95" s="1620">
        <v>50.381146000000001</v>
      </c>
      <c r="AA95" s="1420">
        <v>38.037735849999997</v>
      </c>
      <c r="AB95" s="1420">
        <v>34.040134999999999</v>
      </c>
      <c r="AC95" s="1420">
        <v>39.15065336</v>
      </c>
      <c r="AD95" s="2262">
        <v>51.633848999999998</v>
      </c>
      <c r="AE95" s="2262">
        <v>32.691671999999997</v>
      </c>
      <c r="AF95" s="2262">
        <v>25.550632710000002</v>
      </c>
      <c r="AG95" s="2262">
        <v>28.095688029999998</v>
      </c>
      <c r="AH95" s="2262">
        <v>33.517831000000001</v>
      </c>
      <c r="AI95" s="2262">
        <v>21.165306620000003</v>
      </c>
      <c r="AJ95" s="2262">
        <v>21.165306620000003</v>
      </c>
      <c r="AK95" s="2262">
        <v>40.159830098823683</v>
      </c>
      <c r="AL95" s="2262">
        <v>32.861215175958918</v>
      </c>
      <c r="AM95" s="2262">
        <v>28.520611828898488</v>
      </c>
      <c r="AN95" s="2262">
        <v>0</v>
      </c>
      <c r="AO95" s="2262">
        <v>0</v>
      </c>
      <c r="AP95" s="2245">
        <v>0</v>
      </c>
      <c r="AQ95" s="2245">
        <v>0</v>
      </c>
      <c r="AR95" s="2245">
        <v>0</v>
      </c>
      <c r="AS95" s="2245">
        <v>0</v>
      </c>
      <c r="AT95" s="2245">
        <v>0</v>
      </c>
    </row>
    <row r="96" spans="1:46">
      <c r="A96" s="97"/>
      <c r="D96" s="1650" t="s">
        <v>3190</v>
      </c>
      <c r="E96" s="76"/>
      <c r="F96" s="76"/>
      <c r="G96" s="76"/>
      <c r="H96" s="76"/>
      <c r="I96" s="1422"/>
      <c r="J96" s="1422"/>
      <c r="K96" s="1422"/>
      <c r="L96" s="1422"/>
      <c r="M96" s="1422"/>
      <c r="N96" s="1422"/>
      <c r="O96" s="1422"/>
      <c r="P96" s="1422"/>
      <c r="Q96" s="1422"/>
      <c r="R96" s="1422"/>
      <c r="S96" s="1422"/>
      <c r="T96" s="1422"/>
      <c r="U96" s="1422"/>
      <c r="V96" s="1422"/>
      <c r="W96" s="1422"/>
      <c r="X96" s="1054"/>
      <c r="Y96" s="1422"/>
      <c r="Z96" s="1620"/>
      <c r="AA96" s="1420"/>
      <c r="AB96" s="1420"/>
      <c r="AC96" s="1420"/>
      <c r="AD96" s="2262"/>
      <c r="AE96" s="2262"/>
      <c r="AF96" s="2262">
        <v>76.068161000000003</v>
      </c>
      <c r="AG96" s="2262">
        <v>120.08401958</v>
      </c>
      <c r="AH96" s="2262">
        <v>0.9</v>
      </c>
      <c r="AI96" s="2262">
        <v>8.3199819900000005</v>
      </c>
      <c r="AJ96" s="2262">
        <v>8.3199819900000005</v>
      </c>
      <c r="AK96" s="2262">
        <v>0</v>
      </c>
      <c r="AL96" s="2262">
        <v>0</v>
      </c>
      <c r="AM96" s="2262">
        <v>0</v>
      </c>
      <c r="AN96" s="2262">
        <v>0</v>
      </c>
      <c r="AO96" s="2262">
        <v>0</v>
      </c>
      <c r="AP96" s="2245">
        <v>0</v>
      </c>
      <c r="AQ96" s="2245">
        <v>0</v>
      </c>
      <c r="AR96" s="2245">
        <v>0</v>
      </c>
      <c r="AS96" s="2245">
        <v>0</v>
      </c>
      <c r="AT96" s="2245">
        <v>0</v>
      </c>
    </row>
    <row r="97" spans="1:46">
      <c r="A97" s="97"/>
      <c r="D97" s="77" t="s">
        <v>3088</v>
      </c>
      <c r="E97" s="76"/>
      <c r="F97" s="76"/>
      <c r="G97" s="76"/>
      <c r="H97" s="76"/>
      <c r="I97" s="1422"/>
      <c r="J97" s="1422"/>
      <c r="K97" s="1422"/>
      <c r="L97" s="1422"/>
      <c r="M97" s="1422"/>
      <c r="N97" s="1422"/>
      <c r="O97" s="1422"/>
      <c r="P97" s="1422"/>
      <c r="Q97" s="1422"/>
      <c r="R97" s="1422"/>
      <c r="S97" s="1422"/>
      <c r="T97" s="1422"/>
      <c r="U97" s="1422"/>
      <c r="V97" s="1422"/>
      <c r="W97" s="1422"/>
      <c r="X97" s="1054"/>
      <c r="Y97" s="1422"/>
      <c r="Z97" s="1616">
        <v>0</v>
      </c>
      <c r="AA97" s="1421">
        <v>0</v>
      </c>
      <c r="AB97" s="1421">
        <v>0</v>
      </c>
      <c r="AC97" s="1421">
        <v>0</v>
      </c>
      <c r="AD97" s="1872">
        <v>0</v>
      </c>
      <c r="AE97" s="1872">
        <v>0</v>
      </c>
      <c r="AF97" s="1872">
        <v>0</v>
      </c>
      <c r="AG97" s="1872">
        <v>0</v>
      </c>
      <c r="AH97" s="1872">
        <v>0</v>
      </c>
      <c r="AI97" s="1872">
        <v>0</v>
      </c>
      <c r="AJ97" s="1872">
        <v>0</v>
      </c>
      <c r="AK97" s="1872">
        <v>0</v>
      </c>
      <c r="AL97" s="1872">
        <v>20</v>
      </c>
      <c r="AM97" s="1872">
        <v>30</v>
      </c>
      <c r="AN97" s="1872">
        <v>30</v>
      </c>
      <c r="AO97" s="1872">
        <v>50</v>
      </c>
      <c r="AP97" s="1872">
        <v>40</v>
      </c>
      <c r="AQ97" s="1872">
        <v>45</v>
      </c>
      <c r="AR97" s="1872">
        <v>42.5</v>
      </c>
      <c r="AS97" s="1872">
        <v>43.75</v>
      </c>
      <c r="AT97" s="1872">
        <v>43.125</v>
      </c>
    </row>
    <row r="98" spans="1:46">
      <c r="A98" s="97"/>
      <c r="D98" s="77"/>
      <c r="E98" s="76"/>
      <c r="F98" s="76"/>
      <c r="G98" s="76"/>
      <c r="H98" s="76"/>
      <c r="I98" s="1422"/>
      <c r="J98" s="1422"/>
      <c r="K98" s="1422"/>
      <c r="L98" s="1422"/>
      <c r="M98" s="1422"/>
      <c r="N98" s="1422"/>
      <c r="O98" s="1422"/>
      <c r="P98" s="1422"/>
      <c r="Q98" s="1422"/>
      <c r="R98" s="1422"/>
      <c r="S98" s="1422"/>
      <c r="T98" s="1422"/>
      <c r="U98" s="1422"/>
      <c r="V98" s="1422"/>
      <c r="W98" s="1422"/>
      <c r="X98" s="1054"/>
      <c r="Y98" s="1422"/>
      <c r="Z98" s="1616"/>
      <c r="AA98" s="1421"/>
      <c r="AB98" s="1421"/>
      <c r="AC98" s="1421"/>
      <c r="AD98" s="2252"/>
      <c r="AE98" s="2252"/>
      <c r="AF98" s="2252"/>
      <c r="AG98" s="2252"/>
      <c r="AH98" s="2252"/>
      <c r="AI98" s="2252"/>
      <c r="AJ98" s="2252"/>
      <c r="AK98" s="2252"/>
      <c r="AL98" s="2252"/>
      <c r="AM98" s="2252"/>
      <c r="AN98" s="2252"/>
      <c r="AO98" s="2252"/>
      <c r="AP98" s="2245"/>
      <c r="AQ98" s="2245"/>
      <c r="AR98" s="2245"/>
      <c r="AS98" s="2245"/>
      <c r="AT98" s="2245"/>
    </row>
    <row r="99" spans="1:46">
      <c r="A99" s="97"/>
      <c r="D99" s="77" t="s">
        <v>820</v>
      </c>
      <c r="E99" s="76"/>
      <c r="F99" s="76"/>
      <c r="G99" s="76"/>
      <c r="H99" s="76"/>
      <c r="I99" s="1422"/>
      <c r="J99" s="1422"/>
      <c r="K99" s="1422"/>
      <c r="L99" s="1422"/>
      <c r="M99" s="1422"/>
      <c r="N99" s="1422"/>
      <c r="O99" s="1422"/>
      <c r="P99" s="1422"/>
      <c r="Q99" s="1422"/>
      <c r="R99" s="1422"/>
      <c r="S99" s="1422"/>
      <c r="T99" s="1422"/>
      <c r="U99" s="1422"/>
      <c r="V99" s="1422"/>
      <c r="W99" s="1422"/>
      <c r="X99" s="1422"/>
      <c r="Y99" s="1645"/>
      <c r="Z99" s="1617">
        <v>137.6193529816683</v>
      </c>
      <c r="AA99" s="1417">
        <v>111.71963721</v>
      </c>
      <c r="AB99" s="1417">
        <v>137.77369947999998</v>
      </c>
      <c r="AC99" s="1417">
        <v>0</v>
      </c>
      <c r="AD99" s="2246">
        <v>100.885436</v>
      </c>
      <c r="AE99" s="2246">
        <v>105.86990300479999</v>
      </c>
      <c r="AF99" s="2246">
        <v>117.25643551871889</v>
      </c>
      <c r="AG99" s="2246">
        <v>82.512045029999996</v>
      </c>
      <c r="AH99" s="2246">
        <v>82.037005378000003</v>
      </c>
      <c r="AI99" s="2246">
        <v>88.456001641240988</v>
      </c>
      <c r="AJ99" s="2247">
        <v>44.591215175958922</v>
      </c>
      <c r="AK99" s="2247">
        <v>28.520611828898488</v>
      </c>
      <c r="AL99" s="2247">
        <v>28.520611828898488</v>
      </c>
      <c r="AM99" s="2247">
        <v>28.520611828898488</v>
      </c>
      <c r="AN99" s="2247">
        <v>28.520611828898488</v>
      </c>
      <c r="AO99" s="2247">
        <v>28.520611828898488</v>
      </c>
      <c r="AP99" s="2247">
        <v>28.520611828898488</v>
      </c>
      <c r="AQ99" s="2247">
        <v>28.520611828898488</v>
      </c>
      <c r="AR99" s="2247">
        <v>28.520611828898488</v>
      </c>
      <c r="AS99" s="2247">
        <v>28.520611828898488</v>
      </c>
      <c r="AT99" s="2247">
        <v>28.520611828898488</v>
      </c>
    </row>
    <row r="100" spans="1:46">
      <c r="A100" s="97"/>
      <c r="D100" s="77" t="s">
        <v>537</v>
      </c>
      <c r="E100" s="76"/>
      <c r="F100" s="76"/>
      <c r="G100" s="76"/>
      <c r="H100" s="76"/>
      <c r="I100" s="1422"/>
      <c r="J100" s="1422"/>
      <c r="K100" s="1422"/>
      <c r="L100" s="1422"/>
      <c r="M100" s="1422"/>
      <c r="N100" s="1422"/>
      <c r="O100" s="1422"/>
      <c r="P100" s="1422"/>
      <c r="Q100" s="1422"/>
      <c r="R100" s="1422"/>
      <c r="S100" s="1422"/>
      <c r="T100" s="1422"/>
      <c r="U100" s="1422"/>
      <c r="V100" s="1422"/>
      <c r="W100" s="1422"/>
      <c r="X100" s="1422"/>
      <c r="Y100" s="1645"/>
      <c r="Z100" s="1617"/>
      <c r="AA100" s="1417"/>
      <c r="AB100" s="1417"/>
      <c r="AC100" s="1417"/>
      <c r="AD100" s="2253">
        <v>19.28</v>
      </c>
      <c r="AE100" s="2253">
        <v>5.1026580347999992</v>
      </c>
      <c r="AF100" s="2253">
        <v>35.623042779999999</v>
      </c>
      <c r="AG100" s="2253">
        <v>17.286341010000001</v>
      </c>
      <c r="AH100" s="2253">
        <v>18.557606738</v>
      </c>
      <c r="AI100" s="2253">
        <v>26.102441079999998</v>
      </c>
      <c r="AJ100" s="2254">
        <v>0</v>
      </c>
      <c r="AK100" s="2254">
        <v>0</v>
      </c>
      <c r="AL100" s="2254">
        <v>0</v>
      </c>
      <c r="AM100" s="2254">
        <v>0</v>
      </c>
      <c r="AN100" s="2254">
        <v>0</v>
      </c>
      <c r="AO100" s="2254">
        <v>0</v>
      </c>
      <c r="AP100" s="2254">
        <v>0</v>
      </c>
      <c r="AQ100" s="2254">
        <v>0</v>
      </c>
      <c r="AR100" s="2254">
        <v>0</v>
      </c>
      <c r="AS100" s="2254">
        <v>0</v>
      </c>
      <c r="AT100" s="2254">
        <v>0</v>
      </c>
    </row>
    <row r="101" spans="1:46">
      <c r="A101" s="97"/>
      <c r="D101" s="77" t="s">
        <v>3088</v>
      </c>
      <c r="E101" s="76"/>
      <c r="F101" s="76"/>
      <c r="G101" s="76"/>
      <c r="H101" s="76"/>
      <c r="I101" s="1422"/>
      <c r="J101" s="1422"/>
      <c r="K101" s="1422"/>
      <c r="L101" s="1422"/>
      <c r="M101" s="1422"/>
      <c r="N101" s="1422"/>
      <c r="O101" s="1422"/>
      <c r="P101" s="1422"/>
      <c r="Q101" s="1422"/>
      <c r="R101" s="1422"/>
      <c r="S101" s="1422"/>
      <c r="T101" s="1422"/>
      <c r="U101" s="1422"/>
      <c r="V101" s="1422"/>
      <c r="W101" s="1422"/>
      <c r="X101" s="1422"/>
      <c r="Y101" s="1645"/>
      <c r="Z101" s="1617"/>
      <c r="AA101" s="1417"/>
      <c r="AB101" s="1417"/>
      <c r="AC101" s="1417"/>
      <c r="AD101" s="1611"/>
      <c r="AE101" s="1611"/>
      <c r="AF101" s="1611"/>
      <c r="AG101" s="1611"/>
      <c r="AH101" s="1611"/>
      <c r="AI101" s="1611"/>
      <c r="AJ101" s="1611"/>
      <c r="AK101" s="1611"/>
      <c r="AL101" s="1611"/>
      <c r="AM101" s="1611"/>
      <c r="AN101" s="1611"/>
      <c r="AO101" s="1611"/>
      <c r="AP101" s="2245"/>
      <c r="AQ101" s="2245"/>
      <c r="AR101" s="2245"/>
      <c r="AS101" s="2245"/>
      <c r="AT101" s="2245"/>
    </row>
    <row r="102" spans="1:46">
      <c r="A102" s="97"/>
      <c r="D102" s="77" t="s">
        <v>540</v>
      </c>
      <c r="E102" s="76"/>
      <c r="F102" s="76"/>
      <c r="G102" s="76"/>
      <c r="H102" s="76"/>
      <c r="I102" s="1422"/>
      <c r="J102" s="1422"/>
      <c r="K102" s="1422"/>
      <c r="L102" s="1422"/>
      <c r="M102" s="1422"/>
      <c r="N102" s="1422"/>
      <c r="O102" s="1422"/>
      <c r="P102" s="1422"/>
      <c r="Q102" s="1422"/>
      <c r="R102" s="1422"/>
      <c r="S102" s="1422"/>
      <c r="T102" s="1422"/>
      <c r="U102" s="1422"/>
      <c r="V102" s="1422"/>
      <c r="W102" s="1422"/>
      <c r="X102" s="1422"/>
      <c r="Y102" s="1645"/>
      <c r="Z102" s="1617"/>
      <c r="AA102" s="1417"/>
      <c r="AB102" s="1417"/>
      <c r="AC102" s="1417"/>
      <c r="AD102" s="2255">
        <v>81.605435999999997</v>
      </c>
      <c r="AE102" s="2255">
        <v>100.76724496999999</v>
      </c>
      <c r="AF102" s="2255">
        <v>81.633392738718896</v>
      </c>
      <c r="AG102" s="2255">
        <v>65.225704019999995</v>
      </c>
      <c r="AH102" s="2255">
        <v>63.479398639999999</v>
      </c>
      <c r="AI102" s="2255">
        <v>62.35356056124099</v>
      </c>
      <c r="AJ102" s="2256">
        <v>44.591215175958922</v>
      </c>
      <c r="AK102" s="2256">
        <v>28.520611828898488</v>
      </c>
      <c r="AL102" s="2256">
        <v>28.520611828898488</v>
      </c>
      <c r="AM102" s="2256">
        <v>28.520611828898488</v>
      </c>
      <c r="AN102" s="2256">
        <v>28.520611828898488</v>
      </c>
      <c r="AO102" s="2256">
        <v>28.520611828898488</v>
      </c>
      <c r="AP102" s="2256">
        <v>28.520611828898488</v>
      </c>
      <c r="AQ102" s="2256">
        <v>28.520611828898488</v>
      </c>
      <c r="AR102" s="2256">
        <v>28.520611828898488</v>
      </c>
      <c r="AS102" s="2256">
        <v>28.520611828898488</v>
      </c>
      <c r="AT102" s="2256">
        <v>28.520611828898488</v>
      </c>
    </row>
    <row r="103" spans="1:46">
      <c r="A103" s="97"/>
      <c r="D103" s="652" t="s">
        <v>3646</v>
      </c>
      <c r="E103" s="76"/>
      <c r="F103" s="76"/>
      <c r="G103" s="76"/>
      <c r="H103" s="76"/>
      <c r="I103" s="1422"/>
      <c r="J103" s="1422"/>
      <c r="K103" s="1422"/>
      <c r="L103" s="1422"/>
      <c r="M103" s="1422"/>
      <c r="N103" s="1422"/>
      <c r="O103" s="1422"/>
      <c r="P103" s="1422"/>
      <c r="Q103" s="1422"/>
      <c r="R103" s="1422"/>
      <c r="S103" s="1422"/>
      <c r="T103" s="1422"/>
      <c r="U103" s="1422"/>
      <c r="V103" s="1422"/>
      <c r="W103" s="1422"/>
      <c r="X103" s="1054"/>
      <c r="Y103" s="1422"/>
      <c r="Z103" s="1621">
        <v>55.499079000000002</v>
      </c>
      <c r="AA103" s="1420">
        <v>32.02984721</v>
      </c>
      <c r="AB103" s="1420">
        <v>44.102846529999972</v>
      </c>
      <c r="AC103" s="1420">
        <v>34.4</v>
      </c>
      <c r="AD103" s="2262">
        <v>34.505436000000003</v>
      </c>
      <c r="AE103" s="2262">
        <v>47.627397170000002</v>
      </c>
      <c r="AF103" s="2262">
        <v>81.633392738718896</v>
      </c>
      <c r="AG103" s="2262">
        <v>43.086162020000003</v>
      </c>
      <c r="AH103" s="2262">
        <v>48.363949250000005</v>
      </c>
      <c r="AI103" s="2262">
        <v>40.159830098823683</v>
      </c>
      <c r="AJ103" s="2262">
        <v>40.159830098823683</v>
      </c>
      <c r="AK103" s="2262">
        <v>32.861215175958918</v>
      </c>
      <c r="AL103" s="2262">
        <v>28.520611828898488</v>
      </c>
      <c r="AM103" s="2262">
        <v>0</v>
      </c>
      <c r="AN103" s="2262">
        <v>0</v>
      </c>
      <c r="AO103" s="2262">
        <v>0</v>
      </c>
      <c r="AP103" s="2245">
        <v>0</v>
      </c>
      <c r="AQ103" s="2245">
        <v>0</v>
      </c>
      <c r="AR103" s="2245">
        <v>0</v>
      </c>
      <c r="AS103" s="2245">
        <v>0</v>
      </c>
      <c r="AT103" s="2245">
        <v>0</v>
      </c>
    </row>
    <row r="104" spans="1:46">
      <c r="A104" s="97"/>
      <c r="D104" s="1650" t="s">
        <v>3190</v>
      </c>
      <c r="E104" s="76"/>
      <c r="F104" s="76"/>
      <c r="G104" s="76"/>
      <c r="H104" s="76"/>
      <c r="I104" s="1422"/>
      <c r="J104" s="1422"/>
      <c r="K104" s="1422"/>
      <c r="L104" s="1422"/>
      <c r="M104" s="1422"/>
      <c r="N104" s="1422"/>
      <c r="O104" s="1422"/>
      <c r="P104" s="1422"/>
      <c r="Q104" s="1422"/>
      <c r="R104" s="1422"/>
      <c r="S104" s="1422"/>
      <c r="T104" s="1422"/>
      <c r="U104" s="1422"/>
      <c r="V104" s="1422"/>
      <c r="W104" s="1422"/>
      <c r="X104" s="1054"/>
      <c r="Y104" s="1422"/>
      <c r="Z104" s="1621"/>
      <c r="AA104" s="1420"/>
      <c r="AB104" s="1420"/>
      <c r="AC104" s="1420"/>
      <c r="AD104" s="2262"/>
      <c r="AE104" s="2262">
        <v>37.737883799999999</v>
      </c>
      <c r="AF104" s="2262">
        <v>0</v>
      </c>
      <c r="AG104" s="2262">
        <v>8.8795419999999989</v>
      </c>
      <c r="AH104" s="2262">
        <v>8.9054483899999983</v>
      </c>
      <c r="AI104" s="2262">
        <v>0</v>
      </c>
      <c r="AJ104" s="2262">
        <v>0</v>
      </c>
      <c r="AK104" s="2262">
        <v>0</v>
      </c>
      <c r="AL104" s="2262">
        <v>0</v>
      </c>
      <c r="AM104" s="2262">
        <v>0</v>
      </c>
      <c r="AN104" s="2262">
        <v>0</v>
      </c>
      <c r="AO104" s="2262">
        <v>0</v>
      </c>
      <c r="AP104" s="2245">
        <v>0</v>
      </c>
      <c r="AQ104" s="2245">
        <v>0</v>
      </c>
      <c r="AR104" s="2245">
        <v>0</v>
      </c>
      <c r="AS104" s="2245">
        <v>0</v>
      </c>
      <c r="AT104" s="2245">
        <v>0</v>
      </c>
    </row>
    <row r="105" spans="1:46">
      <c r="A105" s="97"/>
      <c r="D105" s="77" t="s">
        <v>3088</v>
      </c>
      <c r="E105" s="76"/>
      <c r="F105" s="76"/>
      <c r="G105" s="76"/>
      <c r="H105" s="76"/>
      <c r="I105" s="1422"/>
      <c r="J105" s="1422"/>
      <c r="K105" s="1422"/>
      <c r="L105" s="1422"/>
      <c r="M105" s="1422"/>
      <c r="N105" s="1422"/>
      <c r="O105" s="1422"/>
      <c r="P105" s="1422"/>
      <c r="Q105" s="1422"/>
      <c r="R105" s="1422"/>
      <c r="S105" s="1422"/>
      <c r="T105" s="1422"/>
      <c r="U105" s="1422"/>
      <c r="V105" s="1422"/>
      <c r="W105" s="1422"/>
      <c r="X105" s="1054"/>
      <c r="Y105" s="1422"/>
      <c r="Z105" s="1791">
        <v>0</v>
      </c>
      <c r="AA105" s="1792">
        <v>0</v>
      </c>
      <c r="AB105" s="1792">
        <v>0</v>
      </c>
      <c r="AC105" s="1792">
        <v>0</v>
      </c>
      <c r="AD105" s="1792">
        <v>0</v>
      </c>
      <c r="AE105" s="1792">
        <v>0</v>
      </c>
      <c r="AF105" s="1792">
        <v>0</v>
      </c>
      <c r="AG105" s="1792">
        <v>0</v>
      </c>
      <c r="AH105" s="1792">
        <v>0</v>
      </c>
      <c r="AI105" s="1792">
        <v>0</v>
      </c>
      <c r="AJ105" s="1792">
        <v>0</v>
      </c>
      <c r="AK105" s="1792">
        <v>20</v>
      </c>
      <c r="AL105" s="1792">
        <v>30</v>
      </c>
      <c r="AM105" s="1792">
        <v>40</v>
      </c>
      <c r="AN105" s="1792">
        <v>40</v>
      </c>
      <c r="AO105" s="1792">
        <v>40</v>
      </c>
      <c r="AP105" s="1792">
        <v>40</v>
      </c>
      <c r="AQ105" s="1792">
        <v>40</v>
      </c>
      <c r="AR105" s="1792">
        <v>40</v>
      </c>
      <c r="AS105" s="1792">
        <v>40</v>
      </c>
      <c r="AT105" s="1792">
        <v>40</v>
      </c>
    </row>
    <row r="106" spans="1:46">
      <c r="A106" s="97"/>
      <c r="D106" s="79" t="s">
        <v>717</v>
      </c>
      <c r="E106" s="76"/>
      <c r="F106" s="76"/>
      <c r="G106" s="76"/>
      <c r="H106" s="76"/>
      <c r="I106" s="1422"/>
      <c r="J106" s="1422"/>
      <c r="K106" s="1422"/>
      <c r="L106" s="1422"/>
      <c r="M106" s="1422"/>
      <c r="N106" s="1422"/>
      <c r="O106" s="1422"/>
      <c r="P106" s="1422"/>
      <c r="Q106" s="1422"/>
      <c r="R106" s="1422"/>
      <c r="S106" s="1422"/>
      <c r="T106" s="1422"/>
      <c r="U106" s="1422"/>
      <c r="V106" s="1422"/>
      <c r="W106" s="1422"/>
      <c r="X106" s="1422"/>
      <c r="Y106" s="1422"/>
      <c r="Z106" s="1422"/>
      <c r="AA106" s="1422"/>
      <c r="AB106" s="1422"/>
      <c r="AC106" s="1422"/>
      <c r="AD106" s="1422"/>
      <c r="AE106" s="1422"/>
      <c r="AF106" s="1422"/>
      <c r="AG106" s="1422"/>
      <c r="AH106" s="1422"/>
      <c r="AI106" s="1422"/>
      <c r="AJ106" s="1422"/>
      <c r="AK106" s="1422"/>
      <c r="AL106" s="1422"/>
      <c r="AM106" s="1422"/>
      <c r="AN106" s="1422"/>
      <c r="AO106" s="1422"/>
      <c r="AP106" s="1422"/>
      <c r="AQ106" s="1422"/>
      <c r="AR106" s="1422"/>
      <c r="AS106" s="1422"/>
      <c r="AT106" s="1422"/>
    </row>
    <row r="107" spans="1:46" ht="20.25" customHeight="1">
      <c r="A107" s="97"/>
      <c r="D107" s="958" t="s">
        <v>1115</v>
      </c>
      <c r="I107" s="2"/>
      <c r="J107" s="2"/>
      <c r="K107" s="2"/>
      <c r="L107" s="2"/>
      <c r="M107" s="2"/>
      <c r="N107" s="2"/>
      <c r="O107" s="2"/>
      <c r="P107" s="2"/>
      <c r="Q107" s="2"/>
      <c r="R107" s="2"/>
      <c r="S107" s="2"/>
      <c r="T107" s="2"/>
      <c r="U107" s="2"/>
      <c r="V107" s="2"/>
      <c r="W107" s="2"/>
      <c r="X107" s="2"/>
      <c r="Y107" s="2"/>
      <c r="Z107" s="2"/>
      <c r="AA107" s="2"/>
      <c r="AB107"/>
      <c r="AC107"/>
      <c r="AD107"/>
      <c r="AE107"/>
      <c r="AF107"/>
      <c r="AH107"/>
      <c r="AI107"/>
    </row>
    <row r="108" spans="1:46">
      <c r="A108" s="97"/>
      <c r="D108" s="66" t="s">
        <v>3386</v>
      </c>
      <c r="I108" s="2"/>
      <c r="J108" s="2"/>
      <c r="K108" s="2"/>
      <c r="L108" s="2"/>
      <c r="M108" s="2"/>
      <c r="N108" s="2"/>
      <c r="O108" s="2"/>
      <c r="P108" s="2"/>
      <c r="Q108" s="2"/>
      <c r="R108" s="2"/>
      <c r="S108" s="2"/>
      <c r="T108" s="2"/>
      <c r="U108" s="554">
        <v>2010</v>
      </c>
      <c r="V108" s="555" t="s">
        <v>754</v>
      </c>
      <c r="W108" s="555">
        <v>2012</v>
      </c>
      <c r="X108" s="555">
        <v>2013</v>
      </c>
      <c r="Y108" s="555">
        <v>2014</v>
      </c>
      <c r="Z108" s="555">
        <v>2015</v>
      </c>
      <c r="AA108" s="555">
        <v>2016</v>
      </c>
      <c r="AB108" s="1653">
        <v>2017</v>
      </c>
      <c r="AC108" s="1653">
        <v>2018</v>
      </c>
      <c r="AD108" s="1653">
        <v>2019</v>
      </c>
      <c r="AE108" s="1653">
        <v>2020</v>
      </c>
      <c r="AF108" s="1653">
        <v>2021</v>
      </c>
      <c r="AG108" s="1653">
        <v>2022</v>
      </c>
      <c r="AH108" s="1653">
        <v>2023</v>
      </c>
      <c r="AI108" s="1653">
        <v>2024</v>
      </c>
      <c r="AJ108" s="1653">
        <v>2025</v>
      </c>
      <c r="AK108" s="1653">
        <v>2026</v>
      </c>
      <c r="AL108" s="1653">
        <v>2027</v>
      </c>
      <c r="AM108" s="1653">
        <v>2028</v>
      </c>
      <c r="AN108" s="1653">
        <v>2029</v>
      </c>
      <c r="AO108" s="1653">
        <v>2030</v>
      </c>
      <c r="AP108" s="1653">
        <v>2031</v>
      </c>
      <c r="AQ108" s="1653">
        <v>2032</v>
      </c>
      <c r="AR108" s="1653">
        <v>2033</v>
      </c>
      <c r="AS108" s="1653">
        <v>2034</v>
      </c>
      <c r="AT108" s="1653">
        <v>2035</v>
      </c>
    </row>
    <row r="109" spans="1:46">
      <c r="A109" s="97"/>
      <c r="D109" s="2307" t="s">
        <v>1266</v>
      </c>
      <c r="E109" s="2307"/>
      <c r="F109" s="2308">
        <v>1995</v>
      </c>
      <c r="G109" s="2308">
        <v>1996</v>
      </c>
      <c r="H109" s="2308">
        <v>1997</v>
      </c>
      <c r="I109" s="2308">
        <v>1998</v>
      </c>
      <c r="J109" s="2308">
        <v>1999</v>
      </c>
      <c r="K109" s="2308">
        <v>2000</v>
      </c>
      <c r="L109" s="2308">
        <v>2001</v>
      </c>
      <c r="M109" s="2308">
        <v>2002</v>
      </c>
      <c r="N109" s="2308">
        <v>2003</v>
      </c>
      <c r="O109" s="2308">
        <v>2004</v>
      </c>
      <c r="P109" s="2308">
        <v>2005</v>
      </c>
      <c r="Q109" s="2308">
        <v>2006</v>
      </c>
      <c r="R109" s="2308">
        <v>2007</v>
      </c>
      <c r="S109" s="2308">
        <v>2008</v>
      </c>
      <c r="T109" s="2308">
        <v>2009</v>
      </c>
      <c r="U109" s="2308">
        <v>2010</v>
      </c>
      <c r="V109" s="2308">
        <v>2011</v>
      </c>
      <c r="W109" s="2308">
        <v>2012</v>
      </c>
      <c r="X109" s="2308">
        <v>2013</v>
      </c>
      <c r="Y109" s="2308">
        <v>2014</v>
      </c>
      <c r="Z109" s="2309">
        <v>2015</v>
      </c>
      <c r="AA109" s="2309">
        <v>2016</v>
      </c>
      <c r="AB109" s="2309">
        <v>2017</v>
      </c>
      <c r="AC109" s="2309">
        <v>2018</v>
      </c>
      <c r="AD109" s="2309">
        <v>2019</v>
      </c>
      <c r="AE109" s="2309">
        <v>2020</v>
      </c>
      <c r="AF109" s="2309">
        <v>2021</v>
      </c>
      <c r="AG109" s="2309">
        <v>2022</v>
      </c>
      <c r="AH109" s="2309">
        <v>2023</v>
      </c>
      <c r="AI109" s="2309">
        <v>2024</v>
      </c>
      <c r="AJ109" s="2309">
        <v>2025</v>
      </c>
      <c r="AK109" s="2309">
        <v>2026</v>
      </c>
      <c r="AL109" s="2309">
        <v>2027</v>
      </c>
      <c r="AM109" s="2309">
        <v>2028</v>
      </c>
      <c r="AN109" s="2309">
        <v>2029</v>
      </c>
      <c r="AO109" s="2309">
        <v>2030</v>
      </c>
      <c r="AP109" s="2309">
        <v>2031</v>
      </c>
      <c r="AQ109" s="2309">
        <v>2032</v>
      </c>
      <c r="AR109" s="2309">
        <v>2033</v>
      </c>
      <c r="AS109" s="2309">
        <v>2034</v>
      </c>
      <c r="AT109" s="2309">
        <v>2035</v>
      </c>
    </row>
    <row r="110" spans="1:46">
      <c r="A110" s="97"/>
      <c r="D110" s="2307" t="s">
        <v>79</v>
      </c>
      <c r="E110" s="2310"/>
      <c r="F110" s="2308"/>
      <c r="G110" s="2308"/>
      <c r="H110" s="2308"/>
      <c r="I110" s="2311">
        <v>20.61</v>
      </c>
      <c r="J110" s="2311">
        <v>24.015999999999998</v>
      </c>
      <c r="K110" s="2311">
        <v>22.995999999999999</v>
      </c>
      <c r="L110" s="2311">
        <v>22.896999999999998</v>
      </c>
      <c r="M110" s="2311">
        <v>30.8</v>
      </c>
      <c r="N110" s="2311">
        <v>32.200000000000003</v>
      </c>
      <c r="O110" s="2311">
        <v>37.299999999999997</v>
      </c>
      <c r="P110" s="2311">
        <v>36.299999999999997</v>
      </c>
      <c r="Q110" s="2311">
        <v>22.9</v>
      </c>
      <c r="R110" s="2311">
        <v>8.3000000000000007</v>
      </c>
      <c r="S110" s="2311">
        <v>7.45</v>
      </c>
      <c r="T110" s="2311">
        <v>7.45</v>
      </c>
      <c r="U110" s="2311">
        <v>9.81</v>
      </c>
      <c r="V110" s="2312">
        <v>14.9946760169026</v>
      </c>
      <c r="W110" s="2312">
        <v>17.337852180040802</v>
      </c>
      <c r="X110" s="2312">
        <v>14.4563127565233</v>
      </c>
      <c r="Y110" s="2312">
        <v>20.777599796844399</v>
      </c>
      <c r="Z110" s="2313">
        <v>21.643828818071594</v>
      </c>
      <c r="AA110" s="2313">
        <v>27.255022288474549</v>
      </c>
      <c r="AB110" s="2313">
        <v>27.93125983254329</v>
      </c>
      <c r="AC110" s="2313">
        <v>30.584356460501134</v>
      </c>
      <c r="AD110" s="2313">
        <v>42.041134992949537</v>
      </c>
      <c r="AE110" s="2313">
        <v>110.55921025047813</v>
      </c>
      <c r="AF110" s="2313">
        <v>517.20801018060513</v>
      </c>
      <c r="AG110" s="2313">
        <v>94.79678047544941</v>
      </c>
      <c r="AH110" s="2313">
        <v>155.57942422934116</v>
      </c>
      <c r="AI110" s="2313">
        <v>118.33918976182902</v>
      </c>
      <c r="AJ110" s="2313">
        <v>175.37452786301947</v>
      </c>
      <c r="AK110" s="2313">
        <v>268.25910368171179</v>
      </c>
      <c r="AL110" s="2313">
        <v>319.58420407430208</v>
      </c>
      <c r="AM110" s="2313">
        <v>393.20467469383226</v>
      </c>
      <c r="AN110" s="2313">
        <v>489.66572350305967</v>
      </c>
      <c r="AO110" s="2313">
        <v>541.60823037447096</v>
      </c>
      <c r="AP110" s="2313">
        <v>1184.9988278828573</v>
      </c>
      <c r="AQ110" s="2313">
        <v>569.12840633746509</v>
      </c>
      <c r="AR110" s="2313">
        <v>581.10183744052506</v>
      </c>
      <c r="AS110" s="2313">
        <v>579.63423297504642</v>
      </c>
      <c r="AT110" s="2313">
        <v>1216.9472901840468</v>
      </c>
    </row>
    <row r="111" spans="1:46">
      <c r="A111" s="97"/>
      <c r="D111" s="2310" t="s">
        <v>73</v>
      </c>
      <c r="E111" s="2310"/>
      <c r="F111" s="2308"/>
      <c r="G111" s="2308"/>
      <c r="H111" s="2308"/>
      <c r="I111" s="2311"/>
      <c r="J111" s="2311"/>
      <c r="K111" s="2311"/>
      <c r="L111" s="2311"/>
      <c r="M111" s="2311"/>
      <c r="N111" s="2311"/>
      <c r="O111" s="2311"/>
      <c r="P111" s="2311"/>
      <c r="Q111" s="2311"/>
      <c r="R111" s="2311"/>
      <c r="S111" s="2311"/>
      <c r="T111" s="2311"/>
      <c r="U111" s="2311"/>
      <c r="V111" s="2314"/>
      <c r="W111" s="2314"/>
      <c r="X111" s="2314"/>
      <c r="Y111" s="2314"/>
      <c r="Z111" s="1654">
        <v>4.8517982425348425</v>
      </c>
      <c r="AA111" s="1654">
        <v>5.6771899050611117</v>
      </c>
      <c r="AB111" s="1654">
        <v>6.3085268501358218</v>
      </c>
      <c r="AC111" s="1654">
        <v>6.5639972323022358</v>
      </c>
      <c r="AD111" s="1654">
        <v>7.8831462909904353</v>
      </c>
      <c r="AE111" s="1654">
        <v>33.700800604696191</v>
      </c>
      <c r="AF111" s="1654">
        <v>43.328848745371801</v>
      </c>
      <c r="AG111" s="1654">
        <v>31.838229554479295</v>
      </c>
      <c r="AH111" s="1654">
        <v>32.398282047670612</v>
      </c>
      <c r="AI111" s="1654">
        <v>38.126406776011706</v>
      </c>
      <c r="AJ111" s="1654">
        <v>43.178862463252223</v>
      </c>
      <c r="AK111" s="1654">
        <v>53.881145237637774</v>
      </c>
      <c r="AL111" s="1654">
        <v>68.727297566267055</v>
      </c>
      <c r="AM111" s="1654">
        <v>85.160455456820713</v>
      </c>
      <c r="AN111" s="1654">
        <v>107.70794492920466</v>
      </c>
      <c r="AO111" s="1654">
        <v>124.79980134000118</v>
      </c>
      <c r="AP111" s="1654">
        <v>137.54446149231762</v>
      </c>
      <c r="AQ111" s="1654">
        <v>136.68578924409096</v>
      </c>
      <c r="AR111" s="1654">
        <v>136.89848278695308</v>
      </c>
      <c r="AS111" s="1654">
        <v>132.94071984251161</v>
      </c>
      <c r="AT111" s="1654">
        <v>130.70851917351163</v>
      </c>
    </row>
    <row r="112" spans="1:46">
      <c r="A112" s="97"/>
      <c r="D112" s="2310" t="s">
        <v>3781</v>
      </c>
      <c r="E112" s="2310"/>
      <c r="F112" s="2308"/>
      <c r="G112" s="2308"/>
      <c r="H112" s="2308"/>
      <c r="I112" s="2311"/>
      <c r="J112" s="2311"/>
      <c r="K112" s="2311"/>
      <c r="L112" s="2311"/>
      <c r="M112" s="2311"/>
      <c r="N112" s="2311"/>
      <c r="O112" s="2311"/>
      <c r="P112" s="2311"/>
      <c r="Q112" s="2311"/>
      <c r="R112" s="2311"/>
      <c r="S112" s="2311"/>
      <c r="T112" s="2311"/>
      <c r="U112" s="2311"/>
      <c r="V112" s="2314"/>
      <c r="W112" s="2314"/>
      <c r="X112" s="2314"/>
      <c r="Y112" s="2314"/>
      <c r="Z112" s="1654"/>
      <c r="AA112" s="1654">
        <v>0</v>
      </c>
      <c r="AB112" s="1654">
        <v>0</v>
      </c>
      <c r="AC112" s="1654">
        <v>0</v>
      </c>
      <c r="AD112" s="1654">
        <v>0</v>
      </c>
      <c r="AE112" s="1654">
        <v>10</v>
      </c>
      <c r="AF112" s="1654">
        <v>22.5</v>
      </c>
      <c r="AG112" s="1654">
        <v>0</v>
      </c>
      <c r="AH112" s="1654">
        <v>0</v>
      </c>
      <c r="AI112" s="1654">
        <v>0</v>
      </c>
      <c r="AJ112" s="1654">
        <v>0</v>
      </c>
      <c r="AK112" s="1654">
        <v>0</v>
      </c>
      <c r="AL112" s="1654">
        <v>0</v>
      </c>
      <c r="AM112" s="1654">
        <v>9.3814237499999997</v>
      </c>
      <c r="AN112" s="1654">
        <v>15.374592874999999</v>
      </c>
      <c r="AO112" s="1654">
        <v>15.930103666666668</v>
      </c>
      <c r="AP112" s="1654">
        <v>15.930103666666668</v>
      </c>
      <c r="AQ112" s="1654">
        <v>15.930103666666668</v>
      </c>
      <c r="AR112" s="1654">
        <v>15.930103666666668</v>
      </c>
      <c r="AS112" s="1654">
        <v>6.5486799166666678</v>
      </c>
      <c r="AT112" s="1654">
        <v>0.55551079166666717</v>
      </c>
    </row>
    <row r="113" spans="1:46">
      <c r="A113" s="97"/>
      <c r="D113" s="2310" t="s">
        <v>3782</v>
      </c>
      <c r="E113" s="2310"/>
      <c r="F113" s="2308"/>
      <c r="G113" s="2308"/>
      <c r="H113" s="2308"/>
      <c r="I113" s="2311"/>
      <c r="J113" s="2311"/>
      <c r="K113" s="2311"/>
      <c r="L113" s="2311"/>
      <c r="M113" s="2311"/>
      <c r="N113" s="2311"/>
      <c r="O113" s="2311"/>
      <c r="P113" s="2311"/>
      <c r="Q113" s="2311"/>
      <c r="R113" s="2311"/>
      <c r="S113" s="2311"/>
      <c r="T113" s="2311"/>
      <c r="U113" s="2311"/>
      <c r="V113" s="2314"/>
      <c r="W113" s="2314"/>
      <c r="X113" s="2314"/>
      <c r="Y113" s="2314"/>
      <c r="Z113" s="1654"/>
      <c r="AA113" s="1654">
        <v>0</v>
      </c>
      <c r="AB113" s="1654">
        <v>0</v>
      </c>
      <c r="AC113" s="1654">
        <v>0</v>
      </c>
      <c r="AD113" s="1654">
        <v>0</v>
      </c>
      <c r="AE113" s="1654">
        <v>4.292084796743886</v>
      </c>
      <c r="AF113" s="1654">
        <v>4.639608677369357</v>
      </c>
      <c r="AG113" s="1654">
        <v>5.0152710624258097</v>
      </c>
      <c r="AH113" s="1654">
        <v>0</v>
      </c>
      <c r="AI113" s="1654">
        <v>0</v>
      </c>
      <c r="AJ113" s="1654">
        <v>0</v>
      </c>
      <c r="AK113" s="1654">
        <v>0</v>
      </c>
      <c r="AL113" s="1654">
        <v>0</v>
      </c>
      <c r="AM113" s="1654">
        <v>1.4176087500000003</v>
      </c>
      <c r="AN113" s="1654">
        <v>3.7776550000000011</v>
      </c>
      <c r="AO113" s="1654">
        <v>5.4833925000000008</v>
      </c>
      <c r="AP113" s="1654">
        <v>6.8739344279166668</v>
      </c>
      <c r="AQ113" s="1654">
        <v>6.8739344279166668</v>
      </c>
      <c r="AR113" s="1654">
        <v>6.8739344279166668</v>
      </c>
      <c r="AS113" s="1654">
        <v>5.4563256779166665</v>
      </c>
      <c r="AT113" s="1654">
        <v>3.0962794279166661</v>
      </c>
    </row>
    <row r="114" spans="1:46">
      <c r="A114" s="97"/>
      <c r="D114" s="2310" t="s">
        <v>3783</v>
      </c>
      <c r="E114" s="2310"/>
      <c r="F114" s="2308"/>
      <c r="G114" s="2308"/>
      <c r="H114" s="2308"/>
      <c r="I114" s="2311"/>
      <c r="J114" s="2311"/>
      <c r="K114" s="2311"/>
      <c r="L114" s="2311"/>
      <c r="M114" s="2311"/>
      <c r="N114" s="2311"/>
      <c r="O114" s="2311"/>
      <c r="P114" s="2311"/>
      <c r="Q114" s="2311"/>
      <c r="R114" s="2311"/>
      <c r="S114" s="2311"/>
      <c r="T114" s="2311"/>
      <c r="U114" s="2311"/>
      <c r="V114" s="2314"/>
      <c r="W114" s="2314"/>
      <c r="X114" s="2314"/>
      <c r="Y114" s="2314"/>
      <c r="Z114" s="1654"/>
      <c r="AA114" s="1654">
        <v>0</v>
      </c>
      <c r="AB114" s="1654">
        <v>0</v>
      </c>
      <c r="AC114" s="1654">
        <v>0</v>
      </c>
      <c r="AD114" s="1654">
        <v>0</v>
      </c>
      <c r="AE114" s="1654">
        <v>0</v>
      </c>
      <c r="AF114" s="1654">
        <v>0</v>
      </c>
      <c r="AG114" s="1654">
        <v>0</v>
      </c>
      <c r="AH114" s="1654">
        <v>0</v>
      </c>
      <c r="AI114" s="1654">
        <v>0</v>
      </c>
      <c r="AJ114" s="1654">
        <v>0</v>
      </c>
      <c r="AK114" s="1654">
        <v>0</v>
      </c>
      <c r="AL114" s="1654">
        <v>0</v>
      </c>
      <c r="AM114" s="1654">
        <v>0</v>
      </c>
      <c r="AN114" s="1654">
        <v>0</v>
      </c>
      <c r="AO114" s="1654">
        <v>0</v>
      </c>
      <c r="AP114" s="1654">
        <v>0</v>
      </c>
      <c r="AQ114" s="1654">
        <v>0</v>
      </c>
      <c r="AR114" s="1654">
        <v>0</v>
      </c>
      <c r="AS114" s="1654">
        <v>0</v>
      </c>
      <c r="AT114" s="1654">
        <v>0</v>
      </c>
    </row>
    <row r="115" spans="1:46">
      <c r="A115" s="97"/>
      <c r="D115" s="2310" t="s">
        <v>3784</v>
      </c>
      <c r="E115" s="2310"/>
      <c r="F115" s="2308"/>
      <c r="G115" s="2308"/>
      <c r="H115" s="2308"/>
      <c r="I115" s="2311"/>
      <c r="J115" s="2311"/>
      <c r="K115" s="2311"/>
      <c r="L115" s="2311"/>
      <c r="M115" s="2311"/>
      <c r="N115" s="2311"/>
      <c r="O115" s="2311"/>
      <c r="P115" s="2311"/>
      <c r="Q115" s="2311"/>
      <c r="R115" s="2311"/>
      <c r="S115" s="2311"/>
      <c r="T115" s="2311"/>
      <c r="U115" s="2311"/>
      <c r="V115" s="2314"/>
      <c r="W115" s="2314"/>
      <c r="X115" s="2314"/>
      <c r="Y115" s="2314"/>
      <c r="Z115" s="1654"/>
      <c r="AA115" s="1654"/>
      <c r="AB115" s="1654"/>
      <c r="AC115" s="1654"/>
      <c r="AD115" s="1654"/>
      <c r="AE115" s="1654"/>
      <c r="AF115" s="1654"/>
      <c r="AG115" s="1654"/>
      <c r="AH115" s="1654"/>
      <c r="AI115" s="1654">
        <v>0</v>
      </c>
      <c r="AJ115" s="1654">
        <v>0</v>
      </c>
      <c r="AK115" s="1654">
        <v>0</v>
      </c>
      <c r="AL115" s="1654">
        <v>0</v>
      </c>
      <c r="AM115" s="1654">
        <v>0</v>
      </c>
      <c r="AN115" s="1654">
        <v>0</v>
      </c>
      <c r="AO115" s="1654">
        <v>0</v>
      </c>
      <c r="AP115" s="1654">
        <v>0</v>
      </c>
      <c r="AQ115" s="1654">
        <v>0</v>
      </c>
      <c r="AR115" s="1654">
        <v>0</v>
      </c>
      <c r="AS115" s="1654">
        <v>0</v>
      </c>
      <c r="AT115" s="1654">
        <v>0</v>
      </c>
    </row>
    <row r="116" spans="1:46">
      <c r="A116" s="97"/>
      <c r="D116" s="2310" t="s">
        <v>74</v>
      </c>
      <c r="E116" s="2310"/>
      <c r="F116" s="2308"/>
      <c r="G116" s="2308"/>
      <c r="H116" s="2308"/>
      <c r="I116" s="2311"/>
      <c r="J116" s="2311"/>
      <c r="K116" s="2311"/>
      <c r="L116" s="2311"/>
      <c r="M116" s="2311"/>
      <c r="N116" s="2311"/>
      <c r="O116" s="2311"/>
      <c r="P116" s="2311"/>
      <c r="Q116" s="2311"/>
      <c r="R116" s="2311"/>
      <c r="S116" s="2311"/>
      <c r="T116" s="2311"/>
      <c r="U116" s="2311"/>
      <c r="V116" s="2314"/>
      <c r="W116" s="2314"/>
      <c r="X116" s="2314"/>
      <c r="Y116" s="2314"/>
      <c r="Z116" s="1654">
        <v>6.3993614412218074</v>
      </c>
      <c r="AA116" s="1654">
        <v>7.8034569389108182</v>
      </c>
      <c r="AB116" s="1654">
        <v>7.4412272151358225</v>
      </c>
      <c r="AC116" s="1654">
        <v>8.8919233337008521</v>
      </c>
      <c r="AD116" s="1654">
        <v>7.8831462909904353</v>
      </c>
      <c r="AE116" s="1654">
        <v>20.90837209019805</v>
      </c>
      <c r="AF116" s="1654">
        <v>43.472386638805105</v>
      </c>
      <c r="AG116" s="1654">
        <v>18.533685195302713</v>
      </c>
      <c r="AH116" s="1654">
        <v>77.484805457670547</v>
      </c>
      <c r="AI116" s="1654">
        <v>16.155277246115581</v>
      </c>
      <c r="AJ116" s="1654">
        <v>28.934558128252217</v>
      </c>
      <c r="AK116" s="1654">
        <v>70.055960230637766</v>
      </c>
      <c r="AL116" s="1654">
        <v>89.391809226267057</v>
      </c>
      <c r="AM116" s="1654">
        <v>108.85972666682071</v>
      </c>
      <c r="AN116" s="1654">
        <v>128.72263407120462</v>
      </c>
      <c r="AO116" s="1654">
        <v>154.06941842600119</v>
      </c>
      <c r="AP116" s="1654">
        <v>145.25036186031767</v>
      </c>
      <c r="AQ116" s="1654">
        <v>146.98292248009096</v>
      </c>
      <c r="AR116" s="1654">
        <v>144.48355924295308</v>
      </c>
      <c r="AS116" s="1654">
        <v>155.86500864251161</v>
      </c>
      <c r="AT116" s="1654">
        <v>154.47955271151162</v>
      </c>
    </row>
    <row r="117" spans="1:46">
      <c r="A117" s="97"/>
      <c r="D117" s="2310" t="s">
        <v>3781</v>
      </c>
      <c r="E117" s="2310"/>
      <c r="F117" s="2308"/>
      <c r="G117" s="2308"/>
      <c r="H117" s="2308"/>
      <c r="I117" s="2311"/>
      <c r="J117" s="2311"/>
      <c r="K117" s="2311"/>
      <c r="L117" s="2311"/>
      <c r="M117" s="2311"/>
      <c r="N117" s="2311"/>
      <c r="O117" s="2311"/>
      <c r="P117" s="2311"/>
      <c r="Q117" s="2311"/>
      <c r="R117" s="2311"/>
      <c r="S117" s="2311"/>
      <c r="T117" s="2311"/>
      <c r="U117" s="2311"/>
      <c r="V117" s="2314"/>
      <c r="W117" s="2314"/>
      <c r="X117" s="2314"/>
      <c r="Y117" s="2314"/>
      <c r="Z117" s="1654"/>
      <c r="AA117" s="1654">
        <v>0</v>
      </c>
      <c r="AB117" s="1654">
        <v>0</v>
      </c>
      <c r="AC117" s="1654">
        <v>0</v>
      </c>
      <c r="AD117" s="1654">
        <v>0</v>
      </c>
      <c r="AE117" s="1654">
        <v>10</v>
      </c>
      <c r="AF117" s="1654">
        <v>22.5</v>
      </c>
      <c r="AG117" s="1654">
        <v>0</v>
      </c>
      <c r="AH117" s="1654">
        <v>0</v>
      </c>
      <c r="AI117" s="1654">
        <v>0</v>
      </c>
      <c r="AJ117" s="1654">
        <v>0</v>
      </c>
      <c r="AK117" s="1654">
        <v>0</v>
      </c>
      <c r="AL117" s="1654">
        <v>0</v>
      </c>
      <c r="AM117" s="1654">
        <v>9.3814237499999997</v>
      </c>
      <c r="AN117" s="1654">
        <v>15.374592874999999</v>
      </c>
      <c r="AO117" s="1654">
        <v>15.930103666666668</v>
      </c>
      <c r="AP117" s="1654">
        <v>15.930103666666668</v>
      </c>
      <c r="AQ117" s="1654">
        <v>15.930103666666668</v>
      </c>
      <c r="AR117" s="1654">
        <v>15.930103666666668</v>
      </c>
      <c r="AS117" s="1654">
        <v>6.5486799166666678</v>
      </c>
      <c r="AT117" s="1654">
        <v>0.55551079166666717</v>
      </c>
    </row>
    <row r="118" spans="1:46">
      <c r="A118" s="97"/>
      <c r="D118" s="2310" t="s">
        <v>3782</v>
      </c>
      <c r="E118" s="2310"/>
      <c r="F118" s="2308"/>
      <c r="G118" s="2308"/>
      <c r="H118" s="2308"/>
      <c r="I118" s="2311"/>
      <c r="J118" s="2311"/>
      <c r="K118" s="2311"/>
      <c r="L118" s="2311"/>
      <c r="M118" s="2311"/>
      <c r="N118" s="2311"/>
      <c r="O118" s="2311"/>
      <c r="P118" s="2311"/>
      <c r="Q118" s="2311"/>
      <c r="R118" s="2311"/>
      <c r="S118" s="2311"/>
      <c r="T118" s="2311"/>
      <c r="U118" s="2311"/>
      <c r="V118" s="2314"/>
      <c r="W118" s="2314"/>
      <c r="X118" s="2314"/>
      <c r="Y118" s="2314"/>
      <c r="Z118" s="1654"/>
      <c r="AA118" s="1654">
        <v>0</v>
      </c>
      <c r="AB118" s="1654">
        <v>0</v>
      </c>
      <c r="AC118" s="1654">
        <v>0</v>
      </c>
      <c r="AD118" s="1654">
        <v>0</v>
      </c>
      <c r="AE118" s="1654">
        <v>4.4248711703226062</v>
      </c>
      <c r="AF118" s="1654">
        <v>4.7831465708026588</v>
      </c>
      <c r="AG118" s="1654">
        <v>5.1704310102492377</v>
      </c>
      <c r="AH118" s="1654">
        <v>0</v>
      </c>
      <c r="AI118" s="1654">
        <v>0</v>
      </c>
      <c r="AJ118" s="1654">
        <v>0</v>
      </c>
      <c r="AK118" s="1654">
        <v>0</v>
      </c>
      <c r="AL118" s="1654">
        <v>0</v>
      </c>
      <c r="AM118" s="1654">
        <v>1.4176087500000003</v>
      </c>
      <c r="AN118" s="1654">
        <v>3.7776550000000011</v>
      </c>
      <c r="AO118" s="1654">
        <v>5.4833925000000008</v>
      </c>
      <c r="AP118" s="1654">
        <v>6.8739344279166668</v>
      </c>
      <c r="AQ118" s="1654">
        <v>6.8739344279166668</v>
      </c>
      <c r="AR118" s="1654">
        <v>6.8739344279166668</v>
      </c>
      <c r="AS118" s="1654">
        <v>5.4563256779166665</v>
      </c>
      <c r="AT118" s="1654">
        <v>3.0962794279166661</v>
      </c>
    </row>
    <row r="119" spans="1:46">
      <c r="A119" s="97"/>
      <c r="D119" s="2310" t="s">
        <v>3783</v>
      </c>
      <c r="E119" s="2310"/>
      <c r="F119" s="2308"/>
      <c r="G119" s="2308"/>
      <c r="H119" s="2308"/>
      <c r="I119" s="2311"/>
      <c r="J119" s="2311"/>
      <c r="K119" s="2311"/>
      <c r="L119" s="2311"/>
      <c r="M119" s="2311"/>
      <c r="N119" s="2311"/>
      <c r="O119" s="2311"/>
      <c r="P119" s="2311"/>
      <c r="Q119" s="2311"/>
      <c r="R119" s="2311"/>
      <c r="S119" s="2311"/>
      <c r="T119" s="2311"/>
      <c r="U119" s="2311"/>
      <c r="V119" s="2314"/>
      <c r="W119" s="2314"/>
      <c r="X119" s="2314"/>
      <c r="Y119" s="2314"/>
      <c r="Z119" s="1654"/>
      <c r="AA119" s="1654">
        <v>0</v>
      </c>
      <c r="AB119" s="1654">
        <v>0</v>
      </c>
      <c r="AC119" s="1654">
        <v>0</v>
      </c>
      <c r="AD119" s="1654">
        <v>0</v>
      </c>
      <c r="AE119" s="1654">
        <v>0</v>
      </c>
      <c r="AF119" s="1654">
        <v>0</v>
      </c>
      <c r="AG119" s="1654">
        <v>0</v>
      </c>
      <c r="AH119" s="1654">
        <v>60.399999999999942</v>
      </c>
      <c r="AI119" s="1654">
        <v>0</v>
      </c>
      <c r="AJ119" s="1654">
        <v>0</v>
      </c>
      <c r="AK119" s="1654">
        <v>0</v>
      </c>
      <c r="AL119" s="1654">
        <v>0</v>
      </c>
      <c r="AM119" s="1654">
        <v>0</v>
      </c>
      <c r="AN119" s="1654">
        <v>0</v>
      </c>
      <c r="AO119" s="1654">
        <v>0</v>
      </c>
      <c r="AP119" s="1654">
        <v>0</v>
      </c>
      <c r="AQ119" s="1654">
        <v>0</v>
      </c>
      <c r="AR119" s="1654">
        <v>0</v>
      </c>
      <c r="AS119" s="1654">
        <v>0</v>
      </c>
      <c r="AT119" s="1654">
        <v>0</v>
      </c>
    </row>
    <row r="120" spans="1:46">
      <c r="A120" s="97"/>
      <c r="D120" s="2310" t="s">
        <v>3784</v>
      </c>
      <c r="E120" s="2310"/>
      <c r="F120" s="2308"/>
      <c r="G120" s="2308"/>
      <c r="H120" s="2308"/>
      <c r="I120" s="2311"/>
      <c r="J120" s="2311"/>
      <c r="K120" s="2311"/>
      <c r="L120" s="2311"/>
      <c r="M120" s="2311"/>
      <c r="N120" s="2311"/>
      <c r="O120" s="2311"/>
      <c r="P120" s="2311"/>
      <c r="Q120" s="2311"/>
      <c r="R120" s="2311"/>
      <c r="S120" s="2311"/>
      <c r="T120" s="2311"/>
      <c r="U120" s="2311"/>
      <c r="V120" s="2314"/>
      <c r="W120" s="2314"/>
      <c r="X120" s="2314"/>
      <c r="Y120" s="2314"/>
      <c r="Z120" s="1654"/>
      <c r="AA120" s="1654"/>
      <c r="AB120" s="1654"/>
      <c r="AC120" s="1654"/>
      <c r="AD120" s="1654"/>
      <c r="AE120" s="1654"/>
      <c r="AF120" s="1654"/>
      <c r="AG120" s="1654"/>
      <c r="AH120" s="1654"/>
      <c r="AI120" s="1654">
        <v>0</v>
      </c>
      <c r="AJ120" s="1654">
        <v>0</v>
      </c>
      <c r="AK120" s="1654">
        <v>0</v>
      </c>
      <c r="AL120" s="1654">
        <v>0</v>
      </c>
      <c r="AM120" s="1654">
        <v>0</v>
      </c>
      <c r="AN120" s="1654">
        <v>0</v>
      </c>
      <c r="AO120" s="1654">
        <v>0</v>
      </c>
      <c r="AP120" s="1654">
        <v>0</v>
      </c>
      <c r="AQ120" s="1654">
        <v>0</v>
      </c>
      <c r="AR120" s="1654">
        <v>0</v>
      </c>
      <c r="AS120" s="1654">
        <v>0</v>
      </c>
      <c r="AT120" s="1654">
        <v>0</v>
      </c>
    </row>
    <row r="121" spans="1:46">
      <c r="A121" s="97"/>
      <c r="D121" s="2310" t="s">
        <v>75</v>
      </c>
      <c r="E121" s="2310"/>
      <c r="F121" s="2308"/>
      <c r="G121" s="2308"/>
      <c r="H121" s="2308"/>
      <c r="I121" s="2311"/>
      <c r="J121" s="2311"/>
      <c r="K121" s="2311"/>
      <c r="L121" s="2311"/>
      <c r="M121" s="2311"/>
      <c r="N121" s="2311"/>
      <c r="O121" s="2311"/>
      <c r="P121" s="2311"/>
      <c r="Q121" s="2311"/>
      <c r="R121" s="2311"/>
      <c r="S121" s="2311"/>
      <c r="T121" s="2311"/>
      <c r="U121" s="2311"/>
      <c r="V121" s="2314"/>
      <c r="W121" s="2314"/>
      <c r="X121" s="2314"/>
      <c r="Y121" s="2314"/>
      <c r="Z121" s="1654">
        <v>5.0235030796304452</v>
      </c>
      <c r="AA121" s="1654">
        <v>7.4221066495608197</v>
      </c>
      <c r="AB121" s="1654">
        <v>6.7388271561358231</v>
      </c>
      <c r="AC121" s="1654">
        <v>6.7975531411912016</v>
      </c>
      <c r="AD121" s="1654">
        <v>13.071989597899977</v>
      </c>
      <c r="AE121" s="1654">
        <v>27.90445396612272</v>
      </c>
      <c r="AF121" s="1654">
        <v>390.40075705478426</v>
      </c>
      <c r="AG121" s="1654">
        <v>28.9195513693337</v>
      </c>
      <c r="AH121" s="1654">
        <v>31.658352865999998</v>
      </c>
      <c r="AI121" s="1654">
        <v>40.963089030850867</v>
      </c>
      <c r="AJ121" s="1654">
        <v>46.132098981757508</v>
      </c>
      <c r="AK121" s="1654">
        <v>61.030018092718116</v>
      </c>
      <c r="AL121" s="1654">
        <v>69.510171647883979</v>
      </c>
      <c r="AM121" s="1654">
        <v>88.170677100095432</v>
      </c>
      <c r="AN121" s="1654">
        <v>113.3686712653252</v>
      </c>
      <c r="AO121" s="1654">
        <v>126.97762198073428</v>
      </c>
      <c r="AP121" s="1654">
        <v>756.25089897311113</v>
      </c>
      <c r="AQ121" s="1654">
        <v>136.74717851214155</v>
      </c>
      <c r="AR121" s="1654">
        <v>138.67910337930948</v>
      </c>
      <c r="AS121" s="1654">
        <v>135.0516232045116</v>
      </c>
      <c r="AT121" s="1654">
        <v>779.05064723551175</v>
      </c>
    </row>
    <row r="122" spans="1:46">
      <c r="A122" s="97"/>
      <c r="D122" s="2310" t="s">
        <v>3781</v>
      </c>
      <c r="E122" s="2310"/>
      <c r="F122" s="2308"/>
      <c r="G122" s="2308"/>
      <c r="H122" s="2308"/>
      <c r="I122" s="2311"/>
      <c r="J122" s="2311"/>
      <c r="K122" s="2311"/>
      <c r="L122" s="2311"/>
      <c r="M122" s="2311"/>
      <c r="N122" s="2311"/>
      <c r="O122" s="2311"/>
      <c r="P122" s="2311"/>
      <c r="Q122" s="2311"/>
      <c r="R122" s="2311"/>
      <c r="S122" s="2311"/>
      <c r="T122" s="2311"/>
      <c r="U122" s="2311"/>
      <c r="V122" s="2314"/>
      <c r="W122" s="2314"/>
      <c r="X122" s="2314"/>
      <c r="Y122" s="2314"/>
      <c r="Z122" s="1654"/>
      <c r="AA122" s="1654">
        <v>0</v>
      </c>
      <c r="AB122" s="1654">
        <v>0</v>
      </c>
      <c r="AC122" s="1654">
        <v>0</v>
      </c>
      <c r="AD122" s="1654">
        <v>0</v>
      </c>
      <c r="AE122" s="1654">
        <v>10</v>
      </c>
      <c r="AF122" s="1654">
        <v>22.5</v>
      </c>
      <c r="AG122" s="1654">
        <v>0</v>
      </c>
      <c r="AH122" s="1654">
        <v>0</v>
      </c>
      <c r="AI122" s="1654">
        <v>0</v>
      </c>
      <c r="AJ122" s="1654">
        <v>0</v>
      </c>
      <c r="AK122" s="1654">
        <v>0</v>
      </c>
      <c r="AL122" s="1654">
        <v>0</v>
      </c>
      <c r="AM122" s="1654">
        <v>9.3814237499999997</v>
      </c>
      <c r="AN122" s="1654">
        <v>15.374592874999999</v>
      </c>
      <c r="AO122" s="1654">
        <v>15.930103666666668</v>
      </c>
      <c r="AP122" s="1654">
        <v>15.930103666666668</v>
      </c>
      <c r="AQ122" s="1654">
        <v>15.930103666666668</v>
      </c>
      <c r="AR122" s="1654">
        <v>15.930103666666668</v>
      </c>
      <c r="AS122" s="1654">
        <v>6.5486799166666678</v>
      </c>
      <c r="AT122" s="1654">
        <v>0.55551079166666717</v>
      </c>
    </row>
    <row r="123" spans="1:46">
      <c r="A123" s="97"/>
      <c r="D123" s="2310" t="s">
        <v>3782</v>
      </c>
      <c r="E123" s="2310"/>
      <c r="F123" s="2308"/>
      <c r="G123" s="2308"/>
      <c r="H123" s="2308"/>
      <c r="I123" s="2311"/>
      <c r="J123" s="2311"/>
      <c r="K123" s="2311"/>
      <c r="L123" s="2311"/>
      <c r="M123" s="2311"/>
      <c r="N123" s="2311"/>
      <c r="O123" s="2311"/>
      <c r="P123" s="2311"/>
      <c r="Q123" s="2311"/>
      <c r="R123" s="2311"/>
      <c r="S123" s="2311"/>
      <c r="T123" s="2311"/>
      <c r="U123" s="2311"/>
      <c r="V123" s="2314"/>
      <c r="W123" s="2314"/>
      <c r="X123" s="2314"/>
      <c r="Y123" s="2314"/>
      <c r="Z123" s="1654"/>
      <c r="AA123" s="1654">
        <v>0</v>
      </c>
      <c r="AB123" s="1654">
        <v>0</v>
      </c>
      <c r="AC123" s="1654">
        <v>0</v>
      </c>
      <c r="AD123" s="1654">
        <v>4.2299221017329645</v>
      </c>
      <c r="AE123" s="1654">
        <v>4.5617656225511194</v>
      </c>
      <c r="AF123" s="1654">
        <v>4.9311251681508574</v>
      </c>
      <c r="AG123" s="1654">
        <v>0</v>
      </c>
      <c r="AH123" s="1654">
        <v>0</v>
      </c>
      <c r="AI123" s="1654">
        <v>0</v>
      </c>
      <c r="AJ123" s="1654">
        <v>0</v>
      </c>
      <c r="AK123" s="1654">
        <v>0</v>
      </c>
      <c r="AL123" s="1654">
        <v>0</v>
      </c>
      <c r="AM123" s="1654">
        <v>1.4176087500000003</v>
      </c>
      <c r="AN123" s="1654">
        <v>3.7776550000000011</v>
      </c>
      <c r="AO123" s="1654">
        <v>5.4833925000000008</v>
      </c>
      <c r="AP123" s="1654">
        <v>6.8739344279166668</v>
      </c>
      <c r="AQ123" s="1654">
        <v>6.8739344279166668</v>
      </c>
      <c r="AR123" s="1654">
        <v>6.8739344279166668</v>
      </c>
      <c r="AS123" s="1654">
        <v>5.4563256779166665</v>
      </c>
      <c r="AT123" s="1654">
        <v>3.0962794279166661</v>
      </c>
    </row>
    <row r="124" spans="1:46">
      <c r="A124" s="97"/>
      <c r="D124" s="2310" t="s">
        <v>3783</v>
      </c>
      <c r="E124" s="2310"/>
      <c r="F124" s="2308"/>
      <c r="G124" s="2308"/>
      <c r="H124" s="2308"/>
      <c r="I124" s="2311"/>
      <c r="J124" s="2311"/>
      <c r="K124" s="2311"/>
      <c r="L124" s="2311"/>
      <c r="M124" s="2311"/>
      <c r="N124" s="2311"/>
      <c r="O124" s="2311"/>
      <c r="P124" s="2311"/>
      <c r="Q124" s="2311"/>
      <c r="R124" s="2311"/>
      <c r="S124" s="2311"/>
      <c r="T124" s="2311"/>
      <c r="U124" s="2311"/>
      <c r="V124" s="2314"/>
      <c r="W124" s="2314"/>
      <c r="X124" s="2314"/>
      <c r="Y124" s="2314"/>
      <c r="Z124" s="1654"/>
      <c r="AA124" s="1654">
        <v>0</v>
      </c>
      <c r="AB124" s="1654">
        <v>0</v>
      </c>
      <c r="AC124" s="1654">
        <v>0</v>
      </c>
      <c r="AD124" s="1654">
        <v>0</v>
      </c>
      <c r="AE124" s="1654">
        <v>0</v>
      </c>
      <c r="AF124" s="1654">
        <v>339.60000000000008</v>
      </c>
      <c r="AG124" s="1654">
        <v>0</v>
      </c>
      <c r="AH124" s="1654">
        <v>0</v>
      </c>
      <c r="AI124" s="1654">
        <v>0</v>
      </c>
      <c r="AJ124" s="1654">
        <v>0</v>
      </c>
      <c r="AK124" s="1654">
        <v>0</v>
      </c>
      <c r="AL124" s="1654">
        <v>0</v>
      </c>
      <c r="AM124" s="1654">
        <v>0</v>
      </c>
      <c r="AN124" s="1654">
        <v>0</v>
      </c>
      <c r="AO124" s="1654">
        <v>0</v>
      </c>
      <c r="AP124" s="1654">
        <v>620</v>
      </c>
      <c r="AQ124" s="1654">
        <v>0</v>
      </c>
      <c r="AR124" s="1654">
        <v>0</v>
      </c>
      <c r="AS124" s="1654">
        <v>0</v>
      </c>
      <c r="AT124" s="1654">
        <v>0</v>
      </c>
    </row>
    <row r="125" spans="1:46">
      <c r="A125" s="97"/>
      <c r="D125" s="2310" t="s">
        <v>3784</v>
      </c>
      <c r="E125" s="2310"/>
      <c r="F125" s="2308"/>
      <c r="G125" s="2308"/>
      <c r="H125" s="2308"/>
      <c r="I125" s="2311"/>
      <c r="J125" s="2311"/>
      <c r="K125" s="2311"/>
      <c r="L125" s="2311"/>
      <c r="M125" s="2311"/>
      <c r="N125" s="2311"/>
      <c r="O125" s="2311"/>
      <c r="P125" s="2311"/>
      <c r="Q125" s="2311"/>
      <c r="R125" s="2311"/>
      <c r="S125" s="2311"/>
      <c r="T125" s="2311"/>
      <c r="U125" s="2311"/>
      <c r="V125" s="2314"/>
      <c r="W125" s="2314"/>
      <c r="X125" s="2314"/>
      <c r="Y125" s="2314"/>
      <c r="Z125" s="1654"/>
      <c r="AA125" s="1654"/>
      <c r="AB125" s="1654"/>
      <c r="AC125" s="1654"/>
      <c r="AD125" s="1654"/>
      <c r="AE125" s="1654"/>
      <c r="AF125" s="1654"/>
      <c r="AG125" s="1654"/>
      <c r="AH125" s="1654"/>
      <c r="AI125" s="1654">
        <v>0</v>
      </c>
      <c r="AJ125" s="1654">
        <v>0</v>
      </c>
      <c r="AK125" s="1654">
        <v>0</v>
      </c>
      <c r="AL125" s="1654">
        <v>0</v>
      </c>
      <c r="AM125" s="1654">
        <v>0</v>
      </c>
      <c r="AN125" s="1654">
        <v>0</v>
      </c>
      <c r="AO125" s="1654">
        <v>0</v>
      </c>
      <c r="AP125" s="1654">
        <v>0</v>
      </c>
      <c r="AQ125" s="1654">
        <v>0</v>
      </c>
      <c r="AR125" s="1654">
        <v>0</v>
      </c>
      <c r="AS125" s="1654">
        <v>0</v>
      </c>
      <c r="AT125" s="1654">
        <v>650</v>
      </c>
    </row>
    <row r="126" spans="1:46" customFormat="1" ht="14.5">
      <c r="A126" s="97"/>
      <c r="B126" s="92"/>
      <c r="C126" s="92"/>
      <c r="D126" s="2310" t="s">
        <v>76</v>
      </c>
      <c r="E126" s="2310"/>
      <c r="F126" s="2308"/>
      <c r="G126" s="2308"/>
      <c r="H126" s="2308"/>
      <c r="I126" s="2311"/>
      <c r="J126" s="2311"/>
      <c r="K126" s="2311"/>
      <c r="L126" s="2311"/>
      <c r="M126" s="2311"/>
      <c r="N126" s="2311"/>
      <c r="O126" s="2311"/>
      <c r="P126" s="2311"/>
      <c r="Q126" s="2311"/>
      <c r="R126" s="2311"/>
      <c r="S126" s="2311"/>
      <c r="T126" s="2311"/>
      <c r="U126" s="2311"/>
      <c r="V126" s="2314"/>
      <c r="W126" s="2314"/>
      <c r="X126" s="2314"/>
      <c r="Y126" s="2314"/>
      <c r="Z126" s="1654">
        <v>5.3691660546844986</v>
      </c>
      <c r="AA126" s="1654">
        <v>6.3522687949418009</v>
      </c>
      <c r="AB126" s="1654">
        <v>7.4426786111358227</v>
      </c>
      <c r="AC126" s="1654">
        <v>8.330882753306847</v>
      </c>
      <c r="AD126" s="1654">
        <v>13.202852813068692</v>
      </c>
      <c r="AE126" s="1654">
        <v>28.045583589461174</v>
      </c>
      <c r="AF126" s="1654">
        <v>40.00601774164398</v>
      </c>
      <c r="AG126" s="1654">
        <v>15.505314356333699</v>
      </c>
      <c r="AH126" s="1654">
        <v>14.037983857999999</v>
      </c>
      <c r="AI126" s="1654">
        <v>23.094416708850858</v>
      </c>
      <c r="AJ126" s="1654">
        <v>57.129008289757515</v>
      </c>
      <c r="AK126" s="1654">
        <v>83.291980120718122</v>
      </c>
      <c r="AL126" s="1654">
        <v>91.954925633883988</v>
      </c>
      <c r="AM126" s="1654">
        <v>111.01381547009542</v>
      </c>
      <c r="AN126" s="1654">
        <v>139.86647323732518</v>
      </c>
      <c r="AO126" s="1654">
        <v>135.76138862773428</v>
      </c>
      <c r="AP126" s="1654">
        <v>145.95310555711103</v>
      </c>
      <c r="AQ126" s="1654">
        <v>148.7125161011416</v>
      </c>
      <c r="AR126" s="1654">
        <v>161.04069203130945</v>
      </c>
      <c r="AS126" s="1654">
        <v>155.77688128551162</v>
      </c>
      <c r="AT126" s="1654">
        <v>152.70857106351164</v>
      </c>
    </row>
    <row r="127" spans="1:46" customFormat="1" ht="14.5">
      <c r="A127" s="97"/>
      <c r="B127" s="92"/>
      <c r="C127" s="92"/>
      <c r="D127" s="2310" t="s">
        <v>3781</v>
      </c>
      <c r="E127" s="2310"/>
      <c r="F127" s="2308"/>
      <c r="G127" s="2308"/>
      <c r="H127" s="2308"/>
      <c r="I127" s="2311"/>
      <c r="J127" s="2311"/>
      <c r="K127" s="2311"/>
      <c r="L127" s="2311"/>
      <c r="M127" s="2311"/>
      <c r="N127" s="2311"/>
      <c r="O127" s="2311"/>
      <c r="P127" s="2311"/>
      <c r="Q127" s="2311"/>
      <c r="R127" s="2311"/>
      <c r="S127" s="2311"/>
      <c r="T127" s="2311"/>
      <c r="U127" s="2311"/>
      <c r="V127" s="2314"/>
      <c r="W127" s="2314"/>
      <c r="X127" s="2314"/>
      <c r="Y127" s="2314"/>
      <c r="Z127" s="1654"/>
      <c r="AA127" s="1654">
        <v>0</v>
      </c>
      <c r="AB127" s="1654">
        <v>0</v>
      </c>
      <c r="AC127" s="1654">
        <v>0</v>
      </c>
      <c r="AD127" s="1654">
        <v>0</v>
      </c>
      <c r="AE127" s="1654">
        <v>10</v>
      </c>
      <c r="AF127" s="1654">
        <v>22.5</v>
      </c>
      <c r="AG127" s="1654">
        <v>0</v>
      </c>
      <c r="AH127" s="1654">
        <v>0</v>
      </c>
      <c r="AI127" s="1654">
        <v>0</v>
      </c>
      <c r="AJ127" s="1654">
        <v>0</v>
      </c>
      <c r="AK127" s="1654">
        <v>0</v>
      </c>
      <c r="AL127" s="1654">
        <v>0</v>
      </c>
      <c r="AM127" s="1654">
        <v>9.3814237499999997</v>
      </c>
      <c r="AN127" s="1654">
        <v>15.374592874999999</v>
      </c>
      <c r="AO127" s="1654">
        <v>15.930103666666668</v>
      </c>
      <c r="AP127" s="1654">
        <v>15.930103666666668</v>
      </c>
      <c r="AQ127" s="1654">
        <v>15.930103666666668</v>
      </c>
      <c r="AR127" s="1654">
        <v>15.930103666666668</v>
      </c>
      <c r="AS127" s="1654">
        <v>6.5486799166666678</v>
      </c>
      <c r="AT127" s="1654">
        <v>0.55551079166666717</v>
      </c>
    </row>
    <row r="128" spans="1:46" customFormat="1" ht="14.5">
      <c r="A128" s="97"/>
      <c r="B128" s="92"/>
      <c r="C128" s="92"/>
      <c r="D128" s="2310" t="s">
        <v>3782</v>
      </c>
      <c r="E128" s="2310"/>
      <c r="F128" s="2308"/>
      <c r="G128" s="2308"/>
      <c r="H128" s="2308"/>
      <c r="I128" s="2311"/>
      <c r="J128" s="2311"/>
      <c r="K128" s="2311"/>
      <c r="L128" s="2311"/>
      <c r="M128" s="2311"/>
      <c r="N128" s="2311"/>
      <c r="O128" s="2311"/>
      <c r="P128" s="2311"/>
      <c r="Q128" s="2311"/>
      <c r="R128" s="2311"/>
      <c r="S128" s="2311"/>
      <c r="T128" s="2311"/>
      <c r="U128" s="2311"/>
      <c r="V128" s="2314"/>
      <c r="W128" s="2314"/>
      <c r="X128" s="2314"/>
      <c r="Y128" s="2314"/>
      <c r="Z128" s="1654"/>
      <c r="AA128" s="1654">
        <v>0</v>
      </c>
      <c r="AB128" s="1654">
        <v>0</v>
      </c>
      <c r="AC128" s="1654">
        <v>0</v>
      </c>
      <c r="AD128" s="1654">
        <v>4.3607853169016799</v>
      </c>
      <c r="AE128" s="1654">
        <v>4.7028952458895708</v>
      </c>
      <c r="AF128" s="1654">
        <v>5.0836818530107415</v>
      </c>
      <c r="AG128" s="1654">
        <v>0</v>
      </c>
      <c r="AH128" s="1654">
        <v>0</v>
      </c>
      <c r="AI128" s="1654">
        <v>0</v>
      </c>
      <c r="AJ128" s="1654">
        <v>0</v>
      </c>
      <c r="AK128" s="1654">
        <v>0</v>
      </c>
      <c r="AL128" s="1654">
        <v>0</v>
      </c>
      <c r="AM128" s="1654">
        <v>1.4176087500000003</v>
      </c>
      <c r="AN128" s="1654">
        <v>3.7776550000000011</v>
      </c>
      <c r="AO128" s="1654">
        <v>5.4833925000000008</v>
      </c>
      <c r="AP128" s="1654">
        <v>6.8739344279166668</v>
      </c>
      <c r="AQ128" s="1654">
        <v>6.8739344279166668</v>
      </c>
      <c r="AR128" s="1654">
        <v>6.8739344279166668</v>
      </c>
      <c r="AS128" s="1654">
        <v>5.4563256779166665</v>
      </c>
      <c r="AT128" s="1654">
        <v>3.0962794279166661</v>
      </c>
    </row>
    <row r="129" spans="1:46" customFormat="1" ht="14.5">
      <c r="A129" s="97"/>
      <c r="B129" s="92"/>
      <c r="C129" s="92"/>
      <c r="D129" s="2310" t="s">
        <v>3783</v>
      </c>
      <c r="E129" s="2310"/>
      <c r="F129" s="2308"/>
      <c r="G129" s="2308"/>
      <c r="H129" s="2308"/>
      <c r="I129" s="2311"/>
      <c r="J129" s="2311"/>
      <c r="K129" s="2311"/>
      <c r="L129" s="2311"/>
      <c r="M129" s="2311"/>
      <c r="N129" s="2311"/>
      <c r="O129" s="2311"/>
      <c r="P129" s="2311"/>
      <c r="Q129" s="2311"/>
      <c r="R129" s="2311"/>
      <c r="S129" s="2311"/>
      <c r="T129" s="2311"/>
      <c r="U129" s="2311"/>
      <c r="V129" s="2314"/>
      <c r="W129" s="2314"/>
      <c r="X129" s="2314"/>
      <c r="Y129" s="2314"/>
      <c r="Z129" s="1654"/>
      <c r="AA129" s="1654">
        <v>0</v>
      </c>
      <c r="AB129" s="1654">
        <v>0</v>
      </c>
      <c r="AC129" s="1654">
        <v>0</v>
      </c>
      <c r="AD129" s="1654">
        <v>0</v>
      </c>
      <c r="AE129" s="1654">
        <v>0</v>
      </c>
      <c r="AF129" s="1654">
        <v>0</v>
      </c>
      <c r="AG129" s="1654">
        <v>0</v>
      </c>
      <c r="AH129" s="1654">
        <v>0</v>
      </c>
      <c r="AI129" s="1654">
        <v>0</v>
      </c>
      <c r="AJ129" s="1654">
        <v>0</v>
      </c>
      <c r="AK129" s="1654">
        <v>0</v>
      </c>
      <c r="AL129" s="1654">
        <v>0</v>
      </c>
      <c r="AM129" s="1654">
        <v>0</v>
      </c>
      <c r="AN129" s="1654">
        <v>0</v>
      </c>
      <c r="AO129" s="1654">
        <v>0</v>
      </c>
      <c r="AP129" s="1654">
        <v>0</v>
      </c>
      <c r="AQ129" s="1654">
        <v>0</v>
      </c>
      <c r="AR129" s="1654">
        <v>0</v>
      </c>
      <c r="AS129" s="1654">
        <v>0</v>
      </c>
      <c r="AT129" s="1654">
        <v>0</v>
      </c>
    </row>
    <row r="130" spans="1:46" customFormat="1" ht="14.5">
      <c r="A130" s="97"/>
      <c r="B130" s="92"/>
      <c r="C130" s="92"/>
      <c r="D130" s="2310" t="s">
        <v>3784</v>
      </c>
      <c r="E130" s="2310"/>
      <c r="F130" s="2308"/>
      <c r="G130" s="2308"/>
      <c r="H130" s="2308"/>
      <c r="I130" s="2311"/>
      <c r="J130" s="2311"/>
      <c r="K130" s="2311"/>
      <c r="L130" s="2311"/>
      <c r="M130" s="2311"/>
      <c r="N130" s="2311"/>
      <c r="O130" s="2311"/>
      <c r="P130" s="2311"/>
      <c r="Q130" s="2311"/>
      <c r="R130" s="2311"/>
      <c r="S130" s="2311"/>
      <c r="T130" s="2311"/>
      <c r="U130" s="2311"/>
      <c r="V130" s="2314"/>
      <c r="W130" s="2314"/>
      <c r="X130" s="2314"/>
      <c r="Y130" s="2314"/>
      <c r="Z130" s="1654"/>
      <c r="AA130" s="1654"/>
      <c r="AB130" s="1654"/>
      <c r="AC130" s="1654"/>
      <c r="AD130" s="1654"/>
      <c r="AE130" s="1654"/>
      <c r="AF130" s="1654"/>
      <c r="AG130" s="1654"/>
      <c r="AH130" s="1654"/>
      <c r="AI130" s="1654">
        <v>0</v>
      </c>
      <c r="AJ130" s="1654">
        <v>0</v>
      </c>
      <c r="AK130" s="1654">
        <v>0</v>
      </c>
      <c r="AL130" s="1654">
        <v>0</v>
      </c>
      <c r="AM130" s="1654">
        <v>0</v>
      </c>
      <c r="AN130" s="1654">
        <v>0</v>
      </c>
      <c r="AO130" s="1654">
        <v>0</v>
      </c>
      <c r="AP130" s="1654">
        <v>0</v>
      </c>
      <c r="AQ130" s="1654">
        <v>0</v>
      </c>
      <c r="AR130" s="1654">
        <v>0</v>
      </c>
      <c r="AS130" s="1654">
        <v>0</v>
      </c>
      <c r="AT130" s="1654">
        <v>0</v>
      </c>
    </row>
    <row r="131" spans="1:46" customFormat="1" ht="14.5">
      <c r="A131" s="97"/>
      <c r="B131" s="92"/>
      <c r="C131" s="92" t="s">
        <v>27</v>
      </c>
      <c r="D131" s="2310" t="s">
        <v>80</v>
      </c>
      <c r="E131" s="2315" t="s">
        <v>1267</v>
      </c>
      <c r="F131" s="2308"/>
      <c r="G131" s="2308"/>
      <c r="H131" s="2308"/>
      <c r="I131" s="2311"/>
      <c r="J131" s="2311"/>
      <c r="K131" s="2311"/>
      <c r="L131" s="2311"/>
      <c r="M131" s="2311"/>
      <c r="N131" s="2311"/>
      <c r="O131" s="2311"/>
      <c r="P131" s="2311"/>
      <c r="Q131" s="2311"/>
      <c r="R131" s="2311"/>
      <c r="S131" s="2311"/>
      <c r="T131" s="2311"/>
      <c r="U131" s="2311"/>
      <c r="V131" s="2314"/>
      <c r="W131" s="2314"/>
      <c r="X131" s="2314"/>
      <c r="Y131" s="2314"/>
      <c r="Z131" s="1654">
        <v>2.3359519999999998</v>
      </c>
      <c r="AA131" s="1654">
        <v>1.8429387041158216</v>
      </c>
      <c r="AB131" s="1654">
        <v>1.6055905376766626</v>
      </c>
      <c r="AC131" s="1654">
        <v>1.1169325479489829</v>
      </c>
      <c r="AD131" s="1654">
        <v>7.5440416619844172E-2</v>
      </c>
      <c r="AE131" s="1654">
        <v>22.56338028169014</v>
      </c>
      <c r="AF131" s="1654">
        <v>37.622928722063968</v>
      </c>
      <c r="AG131" s="1654">
        <v>46.699942677515594</v>
      </c>
      <c r="AH131" s="1654">
        <v>46.930666401195914</v>
      </c>
      <c r="AI131" s="1654">
        <v>31.900062478047364</v>
      </c>
      <c r="AJ131" s="1654">
        <v>26.227920659429127</v>
      </c>
      <c r="AK131" s="1654">
        <v>44.666687739206544</v>
      </c>
      <c r="AL131" s="1654">
        <v>51.85357602232898</v>
      </c>
      <c r="AM131" s="1654">
        <v>91.041869932983133</v>
      </c>
      <c r="AN131" s="1654">
        <v>100.96804430276032</v>
      </c>
      <c r="AO131" s="1654">
        <v>0</v>
      </c>
      <c r="AP131" s="1654">
        <v>0</v>
      </c>
      <c r="AQ131" s="1654">
        <v>0</v>
      </c>
      <c r="AR131" s="1654">
        <v>0</v>
      </c>
      <c r="AS131" s="1654">
        <v>0</v>
      </c>
      <c r="AT131" s="1654">
        <v>0</v>
      </c>
    </row>
    <row r="132" spans="1:46" customFormat="1" ht="14.5">
      <c r="A132" s="97"/>
      <c r="B132" s="92"/>
      <c r="C132" s="92"/>
      <c r="D132" s="2307" t="s">
        <v>1268</v>
      </c>
      <c r="E132" s="2310"/>
      <c r="F132" s="2308"/>
      <c r="G132" s="2308"/>
      <c r="H132" s="2308"/>
      <c r="I132" s="2311">
        <v>23.61</v>
      </c>
      <c r="J132" s="2311">
        <v>13.299999999999999</v>
      </c>
      <c r="K132" s="2311">
        <v>17.423999999999999</v>
      </c>
      <c r="L132" s="2311">
        <v>13.975000000000001</v>
      </c>
      <c r="M132" s="2311">
        <v>13.2</v>
      </c>
      <c r="N132" s="2311">
        <v>15.355599999999999</v>
      </c>
      <c r="O132" s="2311">
        <v>20.284299999999998</v>
      </c>
      <c r="P132" s="2311">
        <v>17.01617741935484</v>
      </c>
      <c r="Q132" s="2311">
        <v>12.144556469089734</v>
      </c>
      <c r="R132" s="2311">
        <v>6.1791785835762871</v>
      </c>
      <c r="S132" s="2311">
        <v>6.93</v>
      </c>
      <c r="T132" s="2311">
        <v>7.2682661853888897</v>
      </c>
      <c r="U132" s="2311">
        <v>7.83</v>
      </c>
      <c r="V132" s="2312">
        <v>8.1141288803596598</v>
      </c>
      <c r="W132" s="2312">
        <v>9.1999999999999993</v>
      </c>
      <c r="X132" s="2312">
        <v>32.334940488410602</v>
      </c>
      <c r="Y132" s="2312">
        <v>38.952314913680297</v>
      </c>
      <c r="Z132" s="2313">
        <v>42.593214676234005</v>
      </c>
      <c r="AA132" s="2313">
        <v>43.484013155342566</v>
      </c>
      <c r="AB132" s="2313">
        <v>47.003065977766866</v>
      </c>
      <c r="AC132" s="2313">
        <v>72.90926695107062</v>
      </c>
      <c r="AD132" s="2313">
        <v>74.829686698271502</v>
      </c>
      <c r="AE132" s="2313">
        <v>73.562245361468229</v>
      </c>
      <c r="AF132" s="2313">
        <v>68.583448535830087</v>
      </c>
      <c r="AG132" s="2313">
        <v>99.056846849611688</v>
      </c>
      <c r="AH132" s="2313">
        <v>118.73605389166306</v>
      </c>
      <c r="AI132" s="2313">
        <v>165.27685138986197</v>
      </c>
      <c r="AJ132" s="2313">
        <v>171.15268546144804</v>
      </c>
      <c r="AK132" s="2313">
        <v>250.67113756516159</v>
      </c>
      <c r="AL132" s="2313">
        <v>284.78892409868297</v>
      </c>
      <c r="AM132" s="2313">
        <v>311.39283454402948</v>
      </c>
      <c r="AN132" s="2313">
        <v>319.07958432390342</v>
      </c>
      <c r="AO132" s="2313">
        <v>316.65775088404985</v>
      </c>
      <c r="AP132" s="2313">
        <v>306.09269141389257</v>
      </c>
      <c r="AQ132" s="2313">
        <v>257.96382948810106</v>
      </c>
      <c r="AR132" s="2313">
        <v>242.40485446942117</v>
      </c>
      <c r="AS132" s="2313">
        <v>227.58096241775385</v>
      </c>
      <c r="AT132" s="2313">
        <v>217.02478649925385</v>
      </c>
    </row>
    <row r="133" spans="1:46" customFormat="1" ht="14.5">
      <c r="A133" s="97"/>
      <c r="B133" s="92"/>
      <c r="C133" s="92"/>
      <c r="D133" s="2310" t="s">
        <v>73</v>
      </c>
      <c r="E133" s="2310"/>
      <c r="F133" s="2308"/>
      <c r="G133" s="2308"/>
      <c r="H133" s="2308"/>
      <c r="I133" s="2308"/>
      <c r="J133" s="2308"/>
      <c r="K133" s="2308"/>
      <c r="L133" s="2308"/>
      <c r="M133" s="2308"/>
      <c r="N133" s="2308"/>
      <c r="O133" s="2308"/>
      <c r="P133" s="2308"/>
      <c r="Q133" s="2308"/>
      <c r="R133" s="2308"/>
      <c r="S133" s="2308"/>
      <c r="T133" s="2308"/>
      <c r="U133" s="2308"/>
      <c r="V133" s="2314"/>
      <c r="W133" s="2314"/>
      <c r="X133" s="2314"/>
      <c r="Y133" s="2314"/>
      <c r="Z133" s="1654">
        <v>18.149438683403716</v>
      </c>
      <c r="AA133" s="1654">
        <v>5.1500999282578128</v>
      </c>
      <c r="AB133" s="1654">
        <v>6.8147203896917166</v>
      </c>
      <c r="AC133" s="1654">
        <v>11.78897573558204</v>
      </c>
      <c r="AD133" s="1654">
        <v>18.462677517400873</v>
      </c>
      <c r="AE133" s="1654">
        <v>15.348891100539719</v>
      </c>
      <c r="AF133" s="1654">
        <v>11.122639288074643</v>
      </c>
      <c r="AG133" s="1654">
        <v>34.614224297881094</v>
      </c>
      <c r="AH133" s="1654">
        <v>35.440142143138353</v>
      </c>
      <c r="AI133" s="1654">
        <v>39.810592235093132</v>
      </c>
      <c r="AJ133" s="1654">
        <v>49.475813804420575</v>
      </c>
      <c r="AK133" s="1654">
        <v>63.397328699511085</v>
      </c>
      <c r="AL133" s="1654">
        <v>72.397315942103887</v>
      </c>
      <c r="AM133" s="1654">
        <v>80.097349596880434</v>
      </c>
      <c r="AN133" s="1654">
        <v>82.679869544439924</v>
      </c>
      <c r="AO133" s="1654">
        <v>83.469352268877898</v>
      </c>
      <c r="AP133" s="1654">
        <v>81.764862383811263</v>
      </c>
      <c r="AQ133" s="1654">
        <v>62.033760646829307</v>
      </c>
      <c r="AR133" s="1654">
        <v>58.797064264102296</v>
      </c>
      <c r="AS133" s="1654">
        <v>55.451140628688471</v>
      </c>
      <c r="AT133" s="1654">
        <v>53.082805401063482</v>
      </c>
    </row>
    <row r="134" spans="1:46" customFormat="1" ht="14.5">
      <c r="A134" s="97"/>
      <c r="B134" s="92"/>
      <c r="C134" s="92"/>
      <c r="D134" s="2310" t="s">
        <v>3781</v>
      </c>
      <c r="E134" s="2310"/>
      <c r="F134" s="2308"/>
      <c r="G134" s="2308"/>
      <c r="H134" s="2308"/>
      <c r="I134" s="2308"/>
      <c r="J134" s="2308"/>
      <c r="K134" s="2308"/>
      <c r="L134" s="2308"/>
      <c r="M134" s="2308"/>
      <c r="N134" s="2308"/>
      <c r="O134" s="2308"/>
      <c r="P134" s="2308"/>
      <c r="Q134" s="2308"/>
      <c r="R134" s="2308"/>
      <c r="S134" s="2308"/>
      <c r="T134" s="2308"/>
      <c r="U134" s="2308"/>
      <c r="V134" s="2314"/>
      <c r="W134" s="2314"/>
      <c r="X134" s="2314"/>
      <c r="Y134" s="2314"/>
      <c r="Z134" s="1654"/>
      <c r="AA134" s="1654">
        <v>0</v>
      </c>
      <c r="AB134" s="1654">
        <v>2.6</v>
      </c>
      <c r="AC134" s="1654">
        <v>2.6</v>
      </c>
      <c r="AD134" s="1654">
        <v>2.9205655555555556</v>
      </c>
      <c r="AE134" s="1654">
        <v>2.711545525</v>
      </c>
      <c r="AF134" s="1654">
        <v>2.1386912513914358</v>
      </c>
      <c r="AG134" s="1654">
        <v>0</v>
      </c>
      <c r="AH134" s="1654">
        <v>0</v>
      </c>
      <c r="AI134" s="1654">
        <v>0</v>
      </c>
      <c r="AJ134" s="1654">
        <v>0</v>
      </c>
      <c r="AK134" s="1654">
        <v>0</v>
      </c>
      <c r="AL134" s="1654">
        <v>6.191739675</v>
      </c>
      <c r="AM134" s="1654">
        <v>10.147231297499999</v>
      </c>
      <c r="AN134" s="1654">
        <v>10.147231297499999</v>
      </c>
      <c r="AO134" s="1654">
        <v>7.7907065912499993</v>
      </c>
      <c r="AP134" s="1654">
        <v>6.0383951879166675</v>
      </c>
      <c r="AQ134" s="1654">
        <v>4.2860837845833339</v>
      </c>
      <c r="AR134" s="1654">
        <v>2.5337723812499999</v>
      </c>
      <c r="AS134" s="1654">
        <v>0.78146097791666658</v>
      </c>
      <c r="AT134" s="1654">
        <v>6.1106187083333138E-2</v>
      </c>
    </row>
    <row r="135" spans="1:46" customFormat="1" ht="14.5">
      <c r="A135" s="97"/>
      <c r="B135" s="92"/>
      <c r="C135" s="92"/>
      <c r="D135" s="2310" t="s">
        <v>3782</v>
      </c>
      <c r="E135" s="2310"/>
      <c r="F135" s="2308"/>
      <c r="G135" s="2308"/>
      <c r="H135" s="2308"/>
      <c r="I135" s="2308"/>
      <c r="J135" s="2308"/>
      <c r="K135" s="2308"/>
      <c r="L135" s="2308"/>
      <c r="M135" s="2308"/>
      <c r="N135" s="2308"/>
      <c r="O135" s="2308"/>
      <c r="P135" s="2308"/>
      <c r="Q135" s="2308"/>
      <c r="R135" s="2308"/>
      <c r="S135" s="2308"/>
      <c r="T135" s="2308"/>
      <c r="U135" s="2308"/>
      <c r="V135" s="2314"/>
      <c r="W135" s="2314"/>
      <c r="X135" s="2314"/>
      <c r="Y135" s="2314"/>
      <c r="Z135" s="1654"/>
      <c r="AA135" s="1654">
        <v>0</v>
      </c>
      <c r="AB135" s="1654">
        <v>0</v>
      </c>
      <c r="AC135" s="1654">
        <v>1.985830165392088</v>
      </c>
      <c r="AD135" s="1654">
        <v>1.8671371589293664</v>
      </c>
      <c r="AE135" s="1654">
        <v>1.5288356756546602</v>
      </c>
      <c r="AF135" s="1654">
        <v>0.93065014789240974</v>
      </c>
      <c r="AG135" s="1654">
        <v>0.31512015792037995</v>
      </c>
      <c r="AH135" s="1654">
        <v>0</v>
      </c>
      <c r="AI135" s="1654">
        <v>0</v>
      </c>
      <c r="AJ135" s="1654">
        <v>0</v>
      </c>
      <c r="AK135" s="1654">
        <v>0</v>
      </c>
      <c r="AL135" s="1654">
        <v>0.85056525000000005</v>
      </c>
      <c r="AM135" s="1654">
        <v>2.2665930000000003</v>
      </c>
      <c r="AN135" s="1654">
        <v>2.2665930000000003</v>
      </c>
      <c r="AO135" s="1654">
        <v>3.6048342817500005</v>
      </c>
      <c r="AP135" s="1654">
        <v>3.0564950317500004</v>
      </c>
      <c r="AQ135" s="1654">
        <v>2.3691015889583338</v>
      </c>
      <c r="AR135" s="1654">
        <v>1.6817081461666672</v>
      </c>
      <c r="AS135" s="1654">
        <v>0.99431470337500061</v>
      </c>
      <c r="AT135" s="1654">
        <v>0.44868213558333403</v>
      </c>
    </row>
    <row r="136" spans="1:46" customFormat="1" ht="14.5">
      <c r="A136" s="97"/>
      <c r="B136" s="92"/>
      <c r="C136" s="92"/>
      <c r="D136" s="2310" t="s">
        <v>3785</v>
      </c>
      <c r="E136" s="2310"/>
      <c r="F136" s="2308"/>
      <c r="G136" s="2308"/>
      <c r="H136" s="2308"/>
      <c r="I136" s="2308"/>
      <c r="J136" s="2308"/>
      <c r="K136" s="2308"/>
      <c r="L136" s="2308"/>
      <c r="M136" s="2308"/>
      <c r="N136" s="2308"/>
      <c r="O136" s="2308"/>
      <c r="P136" s="2308"/>
      <c r="Q136" s="2308"/>
      <c r="R136" s="2308"/>
      <c r="S136" s="2308"/>
      <c r="T136" s="2308"/>
      <c r="U136" s="2308"/>
      <c r="V136" s="2314"/>
      <c r="W136" s="2314"/>
      <c r="X136" s="2314"/>
      <c r="Y136" s="2314"/>
      <c r="Z136" s="1654"/>
      <c r="AA136" s="1654">
        <v>0</v>
      </c>
      <c r="AB136" s="1654">
        <v>0</v>
      </c>
      <c r="AC136" s="1654">
        <v>0</v>
      </c>
      <c r="AD136" s="1654">
        <v>6.625</v>
      </c>
      <c r="AE136" s="1654">
        <v>0</v>
      </c>
      <c r="AF136" s="1654">
        <v>0</v>
      </c>
      <c r="AG136" s="1654">
        <v>0</v>
      </c>
      <c r="AH136" s="1654">
        <v>0</v>
      </c>
      <c r="AI136" s="1654">
        <v>0</v>
      </c>
      <c r="AJ136" s="1654">
        <v>0</v>
      </c>
      <c r="AK136" s="1654">
        <v>19.5</v>
      </c>
      <c r="AL136" s="1654">
        <v>19.5</v>
      </c>
      <c r="AM136" s="1654">
        <v>19.5</v>
      </c>
      <c r="AN136" s="1654">
        <v>19.5</v>
      </c>
      <c r="AO136" s="1654">
        <v>19.5</v>
      </c>
      <c r="AP136" s="1654">
        <v>19.5</v>
      </c>
      <c r="AQ136" s="1654">
        <v>19.5</v>
      </c>
      <c r="AR136" s="1654">
        <v>19.5</v>
      </c>
      <c r="AS136" s="1654">
        <v>19.5</v>
      </c>
      <c r="AT136" s="1654">
        <v>19.5</v>
      </c>
    </row>
    <row r="137" spans="1:46" customFormat="1" ht="14.5">
      <c r="A137" s="97"/>
      <c r="B137" s="92"/>
      <c r="C137" s="92"/>
      <c r="D137" s="2310" t="s">
        <v>3228</v>
      </c>
      <c r="E137" s="2310"/>
      <c r="F137" s="2308"/>
      <c r="G137" s="2308"/>
      <c r="H137" s="2308"/>
      <c r="I137" s="2308"/>
      <c r="J137" s="2308"/>
      <c r="K137" s="2308"/>
      <c r="L137" s="2308"/>
      <c r="M137" s="2308"/>
      <c r="N137" s="2308"/>
      <c r="O137" s="2308"/>
      <c r="P137" s="2308"/>
      <c r="Q137" s="2308"/>
      <c r="R137" s="2308"/>
      <c r="S137" s="2308"/>
      <c r="T137" s="2308"/>
      <c r="U137" s="2308"/>
      <c r="V137" s="2314"/>
      <c r="W137" s="2314"/>
      <c r="X137" s="2314"/>
      <c r="Y137" s="2314"/>
      <c r="Z137" s="1654"/>
      <c r="AA137" s="1654">
        <v>0</v>
      </c>
      <c r="AB137" s="1654">
        <v>0</v>
      </c>
      <c r="AC137" s="1654">
        <v>0</v>
      </c>
      <c r="AD137" s="1654">
        <v>0</v>
      </c>
      <c r="AE137" s="1654">
        <v>0</v>
      </c>
      <c r="AF137" s="1654">
        <v>0</v>
      </c>
      <c r="AG137" s="1654">
        <v>17.239444444444445</v>
      </c>
      <c r="AH137" s="1654">
        <v>17.239444444444445</v>
      </c>
      <c r="AI137" s="1654">
        <v>17.0505</v>
      </c>
      <c r="AJ137" s="1654">
        <v>17.05</v>
      </c>
      <c r="AK137" s="1654">
        <v>17.05</v>
      </c>
      <c r="AL137" s="1654">
        <v>17.05</v>
      </c>
      <c r="AM137" s="1654">
        <v>17.05</v>
      </c>
      <c r="AN137" s="1654">
        <v>17.05</v>
      </c>
      <c r="AO137" s="1654">
        <v>17.05</v>
      </c>
      <c r="AP137" s="1654">
        <v>17.05</v>
      </c>
      <c r="AQ137" s="1654">
        <v>0</v>
      </c>
      <c r="AR137" s="1654">
        <v>0</v>
      </c>
      <c r="AS137" s="1654">
        <v>0</v>
      </c>
      <c r="AT137" s="1654">
        <v>0</v>
      </c>
    </row>
    <row r="138" spans="1:46" customFormat="1" ht="14.5">
      <c r="A138" s="97"/>
      <c r="B138" s="92"/>
      <c r="C138" s="92"/>
      <c r="D138" s="2310" t="s">
        <v>3362</v>
      </c>
      <c r="E138" s="2310"/>
      <c r="F138" s="2308"/>
      <c r="G138" s="2308"/>
      <c r="H138" s="2308"/>
      <c r="I138" s="2308"/>
      <c r="J138" s="2308"/>
      <c r="K138" s="2308"/>
      <c r="L138" s="2308"/>
      <c r="M138" s="2308"/>
      <c r="N138" s="2308"/>
      <c r="O138" s="2308"/>
      <c r="P138" s="2308"/>
      <c r="Q138" s="2308"/>
      <c r="R138" s="2308"/>
      <c r="S138" s="2308"/>
      <c r="T138" s="2308"/>
      <c r="U138" s="2308"/>
      <c r="V138" s="2314"/>
      <c r="W138" s="2314"/>
      <c r="X138" s="2314"/>
      <c r="Y138" s="2314"/>
      <c r="Z138" s="1654"/>
      <c r="AA138" s="1654">
        <v>0</v>
      </c>
      <c r="AB138" s="1654">
        <v>0</v>
      </c>
      <c r="AC138" s="1654">
        <v>0</v>
      </c>
      <c r="AD138" s="1654">
        <v>0</v>
      </c>
      <c r="AE138" s="1654">
        <v>0</v>
      </c>
      <c r="AF138" s="1654">
        <v>0</v>
      </c>
      <c r="AG138" s="1654">
        <v>0</v>
      </c>
      <c r="AH138" s="1654">
        <v>0.75</v>
      </c>
      <c r="AI138" s="1654">
        <v>0</v>
      </c>
      <c r="AJ138" s="1654">
        <v>1.5</v>
      </c>
      <c r="AK138" s="1654">
        <v>1.5</v>
      </c>
      <c r="AL138" s="1654">
        <v>1.5</v>
      </c>
      <c r="AM138" s="1654">
        <v>1.5</v>
      </c>
      <c r="AN138" s="1654">
        <v>1.5</v>
      </c>
      <c r="AO138" s="1654">
        <v>1.5</v>
      </c>
      <c r="AP138" s="1654">
        <v>1.5</v>
      </c>
      <c r="AQ138" s="1654">
        <v>1.5</v>
      </c>
      <c r="AR138" s="1654">
        <v>1.5</v>
      </c>
      <c r="AS138" s="1654">
        <v>1.5</v>
      </c>
      <c r="AT138" s="1654">
        <v>1.5</v>
      </c>
    </row>
    <row r="139" spans="1:46" customFormat="1" ht="14.5">
      <c r="A139" s="97"/>
      <c r="B139" s="92"/>
      <c r="C139" s="92"/>
      <c r="D139" s="2310" t="s">
        <v>74</v>
      </c>
      <c r="E139" s="2310"/>
      <c r="F139" s="2308"/>
      <c r="G139" s="2308"/>
      <c r="H139" s="2308"/>
      <c r="I139" s="2308"/>
      <c r="J139" s="2308"/>
      <c r="K139" s="2308"/>
      <c r="L139" s="2308"/>
      <c r="M139" s="2308"/>
      <c r="N139" s="2308"/>
      <c r="O139" s="2308"/>
      <c r="P139" s="2308"/>
      <c r="Q139" s="2308"/>
      <c r="R139" s="2308"/>
      <c r="S139" s="2308"/>
      <c r="T139" s="2308"/>
      <c r="U139" s="2308"/>
      <c r="V139" s="2310"/>
      <c r="W139" s="2310"/>
      <c r="X139" s="2310"/>
      <c r="Y139" s="2310"/>
      <c r="Z139" s="1654">
        <v>3.0558673162833996</v>
      </c>
      <c r="AA139" s="1654">
        <v>15.74761470302704</v>
      </c>
      <c r="AB139" s="1654">
        <v>16.490348077691717</v>
      </c>
      <c r="AC139" s="1654">
        <v>25.038975735582042</v>
      </c>
      <c r="AD139" s="1654">
        <v>18.430192864623091</v>
      </c>
      <c r="AE139" s="1654">
        <v>22.884719774335245</v>
      </c>
      <c r="AF139" s="1654">
        <v>23.670234638035712</v>
      </c>
      <c r="AG139" s="1654">
        <v>14.380038460198541</v>
      </c>
      <c r="AH139" s="1654">
        <v>15.541379931249462</v>
      </c>
      <c r="AI139" s="1654">
        <v>40.917488091748368</v>
      </c>
      <c r="AJ139" s="1654">
        <v>38.948908310539238</v>
      </c>
      <c r="AK139" s="1654">
        <v>60.665775886511085</v>
      </c>
      <c r="AL139" s="1654">
        <v>68.327869190103883</v>
      </c>
      <c r="AM139" s="1654">
        <v>74.138540730880408</v>
      </c>
      <c r="AN139" s="1654">
        <v>75.82578681643993</v>
      </c>
      <c r="AO139" s="1654">
        <v>74.616001615877849</v>
      </c>
      <c r="AP139" s="1654">
        <v>71.561132635811248</v>
      </c>
      <c r="AQ139" s="1654">
        <v>67.614779258829302</v>
      </c>
      <c r="AR139" s="1654">
        <v>62.912053484102266</v>
      </c>
      <c r="AS139" s="1654">
        <v>58.967310931688466</v>
      </c>
      <c r="AT139" s="1654">
        <v>56.053002797063463</v>
      </c>
    </row>
    <row r="140" spans="1:46" customFormat="1" ht="14.5">
      <c r="A140" s="97"/>
      <c r="B140" s="92"/>
      <c r="C140" s="92"/>
      <c r="D140" s="2310" t="s">
        <v>3781</v>
      </c>
      <c r="E140" s="2310"/>
      <c r="F140" s="2308"/>
      <c r="G140" s="2308"/>
      <c r="H140" s="2308"/>
      <c r="I140" s="2308"/>
      <c r="J140" s="2308"/>
      <c r="K140" s="2308"/>
      <c r="L140" s="2308"/>
      <c r="M140" s="2308"/>
      <c r="N140" s="2308"/>
      <c r="O140" s="2308"/>
      <c r="P140" s="2308"/>
      <c r="Q140" s="2308"/>
      <c r="R140" s="2308"/>
      <c r="S140" s="2308"/>
      <c r="T140" s="2308"/>
      <c r="U140" s="2308"/>
      <c r="V140" s="2310"/>
      <c r="W140" s="2310"/>
      <c r="X140" s="2310"/>
      <c r="Y140" s="2310"/>
      <c r="Z140" s="1654"/>
      <c r="AA140" s="1654">
        <v>0</v>
      </c>
      <c r="AB140" s="1654">
        <v>2.6</v>
      </c>
      <c r="AC140" s="1654">
        <v>2.6</v>
      </c>
      <c r="AD140" s="1654">
        <v>2.8880809027777778</v>
      </c>
      <c r="AE140" s="1654">
        <v>2.6818803</v>
      </c>
      <c r="AF140" s="1654">
        <v>1.5798244947858078</v>
      </c>
      <c r="AG140" s="1654">
        <v>0</v>
      </c>
      <c r="AH140" s="1654">
        <v>0</v>
      </c>
      <c r="AI140" s="1654">
        <v>0</v>
      </c>
      <c r="AJ140" s="1654">
        <v>0</v>
      </c>
      <c r="AK140" s="1654">
        <v>0</v>
      </c>
      <c r="AL140" s="1654">
        <v>6.191739675</v>
      </c>
      <c r="AM140" s="1654">
        <v>10.147231297499999</v>
      </c>
      <c r="AN140" s="1654">
        <v>9.4819118074999995</v>
      </c>
      <c r="AO140" s="1654">
        <v>7.7907065912499993</v>
      </c>
      <c r="AP140" s="1654">
        <v>6.0383951879166675</v>
      </c>
      <c r="AQ140" s="1654">
        <v>4.2860837845833339</v>
      </c>
      <c r="AR140" s="1654">
        <v>2.5337723812499999</v>
      </c>
      <c r="AS140" s="1654">
        <v>0.78146097791666658</v>
      </c>
      <c r="AT140" s="1654">
        <v>6.1106187083333138E-2</v>
      </c>
    </row>
    <row r="141" spans="1:46" customFormat="1" ht="14.5">
      <c r="A141" s="97"/>
      <c r="B141" s="92"/>
      <c r="C141" s="92"/>
      <c r="D141" s="2310" t="s">
        <v>3782</v>
      </c>
      <c r="E141" s="2310"/>
      <c r="F141" s="2308"/>
      <c r="G141" s="2308"/>
      <c r="H141" s="2308"/>
      <c r="I141" s="2308"/>
      <c r="J141" s="2308"/>
      <c r="K141" s="2308"/>
      <c r="L141" s="2308"/>
      <c r="M141" s="2308"/>
      <c r="N141" s="2308"/>
      <c r="O141" s="2308"/>
      <c r="P141" s="2308"/>
      <c r="Q141" s="2308"/>
      <c r="R141" s="2308"/>
      <c r="S141" s="2308"/>
      <c r="T141" s="2308"/>
      <c r="U141" s="2308"/>
      <c r="V141" s="2310"/>
      <c r="W141" s="2310"/>
      <c r="X141" s="2310"/>
      <c r="Y141" s="2310"/>
      <c r="Z141" s="1654"/>
      <c r="AA141" s="1654">
        <v>0</v>
      </c>
      <c r="AB141" s="1654">
        <v>0</v>
      </c>
      <c r="AC141" s="1654">
        <v>1.985830165392088</v>
      </c>
      <c r="AD141" s="1654">
        <v>1.8671371589293664</v>
      </c>
      <c r="AE141" s="1654">
        <v>1.3960493020759404</v>
      </c>
      <c r="AF141" s="1654">
        <v>0.78711225445910771</v>
      </c>
      <c r="AG141" s="1654">
        <v>0.15996020912671877</v>
      </c>
      <c r="AH141" s="1654">
        <v>0</v>
      </c>
      <c r="AI141" s="1654">
        <v>0</v>
      </c>
      <c r="AJ141" s="1654">
        <v>0</v>
      </c>
      <c r="AK141" s="1654">
        <v>0</v>
      </c>
      <c r="AL141" s="1654">
        <v>0</v>
      </c>
      <c r="AM141" s="1654">
        <v>2.2665930000000005E-6</v>
      </c>
      <c r="AN141" s="1654">
        <v>3.148274625000001E-6</v>
      </c>
      <c r="AO141" s="1654">
        <v>3.6048342817500006E-6</v>
      </c>
      <c r="AP141" s="1654">
        <v>3.0564950317500004E-6</v>
      </c>
      <c r="AQ141" s="1654">
        <v>2.3691015889583337E-6</v>
      </c>
      <c r="AR141" s="1654">
        <v>1.6817081461666671E-6</v>
      </c>
      <c r="AS141" s="1654">
        <v>9.9431470337500057E-7</v>
      </c>
      <c r="AT141" s="1654">
        <v>4.4868213558333405E-7</v>
      </c>
    </row>
    <row r="142" spans="1:46" customFormat="1" ht="14.5">
      <c r="A142" s="97"/>
      <c r="B142" s="92"/>
      <c r="C142" s="92"/>
      <c r="D142" s="2310" t="s">
        <v>3785</v>
      </c>
      <c r="E142" s="2310"/>
      <c r="F142" s="2308"/>
      <c r="G142" s="2308"/>
      <c r="H142" s="2308"/>
      <c r="I142" s="2308"/>
      <c r="J142" s="2308"/>
      <c r="K142" s="2308"/>
      <c r="L142" s="2308"/>
      <c r="M142" s="2308"/>
      <c r="N142" s="2308"/>
      <c r="O142" s="2308"/>
      <c r="P142" s="2308"/>
      <c r="Q142" s="2308"/>
      <c r="R142" s="2308"/>
      <c r="S142" s="2308"/>
      <c r="T142" s="2308"/>
      <c r="U142" s="2308"/>
      <c r="V142" s="2310"/>
      <c r="W142" s="2310"/>
      <c r="X142" s="2310"/>
      <c r="Y142" s="2310"/>
      <c r="Z142" s="1654"/>
      <c r="AA142" s="1654">
        <v>0</v>
      </c>
      <c r="AB142" s="1654">
        <v>0</v>
      </c>
      <c r="AC142" s="1654">
        <v>13.25</v>
      </c>
      <c r="AD142" s="1654">
        <v>6.625</v>
      </c>
      <c r="AE142" s="1654">
        <v>13.25</v>
      </c>
      <c r="AF142" s="1654">
        <v>13.25</v>
      </c>
      <c r="AG142" s="1654">
        <v>2.0229805555555536</v>
      </c>
      <c r="AH142" s="1654">
        <v>2.0229805555555536</v>
      </c>
      <c r="AI142" s="1654">
        <v>0</v>
      </c>
      <c r="AJ142" s="1654">
        <v>0</v>
      </c>
      <c r="AK142" s="1654">
        <v>19.5</v>
      </c>
      <c r="AL142" s="1654">
        <v>19.5</v>
      </c>
      <c r="AM142" s="1654">
        <v>19.5</v>
      </c>
      <c r="AN142" s="1654">
        <v>19.5</v>
      </c>
      <c r="AO142" s="1654">
        <v>19.5</v>
      </c>
      <c r="AP142" s="1654">
        <v>19.5</v>
      </c>
      <c r="AQ142" s="1654">
        <v>19.5</v>
      </c>
      <c r="AR142" s="1654">
        <v>19.5</v>
      </c>
      <c r="AS142" s="1654">
        <v>19.5</v>
      </c>
      <c r="AT142" s="1654">
        <v>19.5</v>
      </c>
    </row>
    <row r="143" spans="1:46" customFormat="1" ht="14.5">
      <c r="A143" s="97"/>
      <c r="B143" s="92"/>
      <c r="C143" s="92"/>
      <c r="D143" s="2310" t="s">
        <v>3228</v>
      </c>
      <c r="E143" s="2310"/>
      <c r="F143" s="2308"/>
      <c r="G143" s="2308"/>
      <c r="H143" s="2308"/>
      <c r="I143" s="2308"/>
      <c r="J143" s="2308"/>
      <c r="K143" s="2308"/>
      <c r="L143" s="2308"/>
      <c r="M143" s="2308"/>
      <c r="N143" s="2308"/>
      <c r="O143" s="2308"/>
      <c r="P143" s="2308"/>
      <c r="Q143" s="2308"/>
      <c r="R143" s="2308"/>
      <c r="S143" s="2308"/>
      <c r="T143" s="2308"/>
      <c r="U143" s="2308"/>
      <c r="V143" s="2310"/>
      <c r="W143" s="2310"/>
      <c r="X143" s="2310"/>
      <c r="Y143" s="2310"/>
      <c r="Z143" s="1654"/>
      <c r="AA143" s="1654">
        <v>0</v>
      </c>
      <c r="AB143" s="1654">
        <v>0</v>
      </c>
      <c r="AC143" s="1654">
        <v>0</v>
      </c>
      <c r="AD143" s="1654">
        <v>0</v>
      </c>
      <c r="AE143" s="1654">
        <v>0</v>
      </c>
      <c r="AF143" s="1654">
        <v>0</v>
      </c>
      <c r="AG143" s="1654">
        <v>0</v>
      </c>
      <c r="AH143" s="1654">
        <v>0</v>
      </c>
      <c r="AI143" s="1654">
        <v>7.5000000000000002E-4</v>
      </c>
      <c r="AJ143" s="1654">
        <v>0</v>
      </c>
      <c r="AK143" s="1654">
        <v>0</v>
      </c>
      <c r="AL143" s="1654">
        <v>0</v>
      </c>
      <c r="AM143" s="1654">
        <v>0</v>
      </c>
      <c r="AN143" s="1654">
        <v>0</v>
      </c>
      <c r="AO143" s="1654">
        <v>0</v>
      </c>
      <c r="AP143" s="1654">
        <v>0</v>
      </c>
      <c r="AQ143" s="1654">
        <v>0</v>
      </c>
      <c r="AR143" s="1654">
        <v>0</v>
      </c>
      <c r="AS143" s="1654">
        <v>0</v>
      </c>
      <c r="AT143" s="1654">
        <v>0</v>
      </c>
    </row>
    <row r="144" spans="1:46" customFormat="1" ht="14.5">
      <c r="A144" s="97"/>
      <c r="B144" s="92"/>
      <c r="C144" s="92"/>
      <c r="D144" s="2310" t="s">
        <v>3362</v>
      </c>
      <c r="E144" s="2310"/>
      <c r="F144" s="2308"/>
      <c r="G144" s="2308"/>
      <c r="H144" s="2308"/>
      <c r="I144" s="2308"/>
      <c r="J144" s="2308"/>
      <c r="K144" s="2308"/>
      <c r="L144" s="2308"/>
      <c r="M144" s="2308"/>
      <c r="N144" s="2308"/>
      <c r="O144" s="2308"/>
      <c r="P144" s="2308"/>
      <c r="Q144" s="2308"/>
      <c r="R144" s="2308"/>
      <c r="S144" s="2308"/>
      <c r="T144" s="2308"/>
      <c r="U144" s="2308"/>
      <c r="V144" s="2310"/>
      <c r="W144" s="2310"/>
      <c r="X144" s="2310"/>
      <c r="Y144" s="2310"/>
      <c r="Z144" s="1654"/>
      <c r="AA144" s="1654">
        <v>0</v>
      </c>
      <c r="AB144" s="1654">
        <v>0</v>
      </c>
      <c r="AC144" s="1654">
        <v>0</v>
      </c>
      <c r="AD144" s="1654">
        <v>0</v>
      </c>
      <c r="AE144" s="1654">
        <v>0</v>
      </c>
      <c r="AF144" s="1654">
        <v>0</v>
      </c>
      <c r="AG144" s="1654">
        <v>0</v>
      </c>
      <c r="AH144" s="1654">
        <v>0.75</v>
      </c>
      <c r="AI144" s="1654">
        <v>0</v>
      </c>
      <c r="AJ144" s="1654">
        <v>1.52</v>
      </c>
      <c r="AK144" s="1654">
        <v>1.5</v>
      </c>
      <c r="AL144" s="1654">
        <v>1.5</v>
      </c>
      <c r="AM144" s="1654">
        <v>1.5</v>
      </c>
      <c r="AN144" s="1654">
        <v>1.5</v>
      </c>
      <c r="AO144" s="1654">
        <v>1.5</v>
      </c>
      <c r="AP144" s="1654">
        <v>1.5</v>
      </c>
      <c r="AQ144" s="1654">
        <v>1.5</v>
      </c>
      <c r="AR144" s="1654">
        <v>1.5</v>
      </c>
      <c r="AS144" s="1654">
        <v>1.5</v>
      </c>
      <c r="AT144" s="1654">
        <v>1.5</v>
      </c>
    </row>
    <row r="145" spans="1:46" customFormat="1" ht="14.5">
      <c r="A145" s="97"/>
      <c r="B145" s="92"/>
      <c r="C145" s="92"/>
      <c r="D145" s="2310" t="s">
        <v>75</v>
      </c>
      <c r="E145" s="2310"/>
      <c r="F145" s="2308"/>
      <c r="G145" s="2308"/>
      <c r="H145" s="2308"/>
      <c r="I145" s="2308"/>
      <c r="J145" s="2308"/>
      <c r="K145" s="2308"/>
      <c r="L145" s="2308"/>
      <c r="M145" s="2308"/>
      <c r="N145" s="2308"/>
      <c r="O145" s="2308"/>
      <c r="P145" s="2308"/>
      <c r="Q145" s="2308"/>
      <c r="R145" s="2308"/>
      <c r="S145" s="2308"/>
      <c r="T145" s="2308"/>
      <c r="U145" s="2308"/>
      <c r="V145" s="2310"/>
      <c r="W145" s="2310"/>
      <c r="X145" s="2310"/>
      <c r="Y145" s="2310"/>
      <c r="Z145" s="1654">
        <v>18.848985554244805</v>
      </c>
      <c r="AA145" s="1654">
        <v>6.5593611199106849</v>
      </c>
      <c r="AB145" s="1654">
        <v>7.2712633756917189</v>
      </c>
      <c r="AC145" s="1654">
        <v>12.393475305289096</v>
      </c>
      <c r="AD145" s="1654">
        <v>19.087970393485904</v>
      </c>
      <c r="AE145" s="1654">
        <v>17.85482159159676</v>
      </c>
      <c r="AF145" s="1654">
        <v>21.674000574119852</v>
      </c>
      <c r="AG145" s="1654">
        <v>35.031252750210463</v>
      </c>
      <c r="AH145" s="1654">
        <v>39.662094234951368</v>
      </c>
      <c r="AI145" s="1654">
        <v>46.602377199302751</v>
      </c>
      <c r="AJ145" s="1654">
        <v>42.600089919744121</v>
      </c>
      <c r="AK145" s="1654">
        <v>64.799279515569694</v>
      </c>
      <c r="AL145" s="1654">
        <v>74.405916570237594</v>
      </c>
      <c r="AM145" s="1654">
        <v>81.958003366134307</v>
      </c>
      <c r="AN145" s="1654">
        <v>84.265014054011758</v>
      </c>
      <c r="AO145" s="1654">
        <v>83.956696331147029</v>
      </c>
      <c r="AP145" s="1654">
        <v>81.730714460635028</v>
      </c>
      <c r="AQ145" s="1654">
        <v>61.678782171221236</v>
      </c>
      <c r="AR145" s="1654">
        <v>58.366131049108304</v>
      </c>
      <c r="AS145" s="1654">
        <v>54.900622878688466</v>
      </c>
      <c r="AT145" s="1654">
        <v>52.569402812063473</v>
      </c>
    </row>
    <row r="146" spans="1:46" customFormat="1" ht="14.5">
      <c r="A146" s="97"/>
      <c r="B146" s="92"/>
      <c r="C146" s="92"/>
      <c r="D146" s="2310" t="s">
        <v>3781</v>
      </c>
      <c r="E146" s="2310"/>
      <c r="F146" s="2308"/>
      <c r="G146" s="2308"/>
      <c r="H146" s="2308"/>
      <c r="I146" s="2308"/>
      <c r="J146" s="2308"/>
      <c r="K146" s="2308"/>
      <c r="L146" s="2308"/>
      <c r="M146" s="2308"/>
      <c r="N146" s="2308"/>
      <c r="O146" s="2308"/>
      <c r="P146" s="2308"/>
      <c r="Q146" s="2308"/>
      <c r="R146" s="2308"/>
      <c r="S146" s="2308"/>
      <c r="T146" s="2308"/>
      <c r="U146" s="2308"/>
      <c r="V146" s="2310"/>
      <c r="W146" s="2310"/>
      <c r="X146" s="2310"/>
      <c r="Y146" s="2310"/>
      <c r="Z146" s="1654"/>
      <c r="AA146" s="1654">
        <v>0</v>
      </c>
      <c r="AB146" s="1654">
        <v>2.6</v>
      </c>
      <c r="AC146" s="1654">
        <v>2.6</v>
      </c>
      <c r="AD146" s="1654">
        <v>2.9331900000000006</v>
      </c>
      <c r="AE146" s="1654">
        <v>2.6257652015069444</v>
      </c>
      <c r="AF146" s="1654">
        <v>1.0722448214980238</v>
      </c>
      <c r="AG146" s="1654">
        <v>0</v>
      </c>
      <c r="AH146" s="1654">
        <v>0</v>
      </c>
      <c r="AI146" s="1654">
        <v>0</v>
      </c>
      <c r="AJ146" s="1654">
        <v>0</v>
      </c>
      <c r="AK146" s="1654">
        <v>0</v>
      </c>
      <c r="AL146" s="1654">
        <v>6.191739675</v>
      </c>
      <c r="AM146" s="1654">
        <v>10.147231297499999</v>
      </c>
      <c r="AN146" s="1654">
        <v>9.4819118074999995</v>
      </c>
      <c r="AO146" s="1654">
        <v>7.7907065912499993</v>
      </c>
      <c r="AP146" s="1654">
        <v>6.0383951879166675</v>
      </c>
      <c r="AQ146" s="1654">
        <v>4.2860837845833339</v>
      </c>
      <c r="AR146" s="1654">
        <v>2.5337723812499999</v>
      </c>
      <c r="AS146" s="1654">
        <v>0.78146097791666658</v>
      </c>
      <c r="AT146" s="1654">
        <v>6.1106187083333138E-2</v>
      </c>
    </row>
    <row r="147" spans="1:46" customFormat="1" ht="14.5">
      <c r="A147" s="97"/>
      <c r="B147" s="92"/>
      <c r="C147" s="92"/>
      <c r="D147" s="2310" t="s">
        <v>3782</v>
      </c>
      <c r="E147" s="2310"/>
      <c r="F147" s="2308"/>
      <c r="G147" s="2308"/>
      <c r="H147" s="2308"/>
      <c r="I147" s="2308"/>
      <c r="J147" s="2308"/>
      <c r="K147" s="2308"/>
      <c r="L147" s="2308"/>
      <c r="M147" s="2308"/>
      <c r="N147" s="2308"/>
      <c r="O147" s="2308"/>
      <c r="P147" s="2308"/>
      <c r="Q147" s="2308"/>
      <c r="R147" s="2308"/>
      <c r="S147" s="2308"/>
      <c r="T147" s="2308"/>
      <c r="U147" s="2308"/>
      <c r="V147" s="2310"/>
      <c r="W147" s="2310"/>
      <c r="X147" s="2310"/>
      <c r="Y147" s="2310"/>
      <c r="Z147" s="1654"/>
      <c r="AA147" s="1654">
        <v>0</v>
      </c>
      <c r="AB147" s="1654">
        <v>0</v>
      </c>
      <c r="AC147" s="1654">
        <v>1.9084690307425856</v>
      </c>
      <c r="AD147" s="1654">
        <v>1.8671371589293664</v>
      </c>
      <c r="AE147" s="1654">
        <v>1.2591548498474274</v>
      </c>
      <c r="AF147" s="1654">
        <v>0.63913365711091041</v>
      </c>
      <c r="AG147" s="1654">
        <v>0</v>
      </c>
      <c r="AH147" s="1654">
        <v>0</v>
      </c>
      <c r="AI147" s="1654">
        <v>0</v>
      </c>
      <c r="AJ147" s="1654">
        <v>0</v>
      </c>
      <c r="AK147" s="1654">
        <v>0</v>
      </c>
      <c r="AL147" s="1654">
        <v>0.85056525000000005</v>
      </c>
      <c r="AM147" s="1654">
        <v>2.2665930000000003</v>
      </c>
      <c r="AN147" s="1654">
        <v>3.1482746250000009</v>
      </c>
      <c r="AO147" s="1654">
        <v>3.6048342817500005</v>
      </c>
      <c r="AP147" s="1654">
        <v>3.0564950317500004</v>
      </c>
      <c r="AQ147" s="1654">
        <v>2.3691015889583338</v>
      </c>
      <c r="AR147" s="1654">
        <v>1.6817081461666672</v>
      </c>
      <c r="AS147" s="1654">
        <v>0.99431470337500061</v>
      </c>
      <c r="AT147" s="1654">
        <v>0.44868213558333403</v>
      </c>
    </row>
    <row r="148" spans="1:46" customFormat="1" ht="14.5">
      <c r="A148" s="97"/>
      <c r="B148" s="92"/>
      <c r="C148" s="92"/>
      <c r="D148" s="2310" t="s">
        <v>3785</v>
      </c>
      <c r="E148" s="2310"/>
      <c r="F148" s="2308"/>
      <c r="G148" s="2308"/>
      <c r="H148" s="2308"/>
      <c r="I148" s="2308"/>
      <c r="J148" s="2308"/>
      <c r="K148" s="2308"/>
      <c r="L148" s="2308"/>
      <c r="M148" s="2308"/>
      <c r="N148" s="2308"/>
      <c r="O148" s="2308"/>
      <c r="P148" s="2308"/>
      <c r="Q148" s="2308"/>
      <c r="R148" s="2308"/>
      <c r="S148" s="2308"/>
      <c r="T148" s="2308"/>
      <c r="U148" s="2308"/>
      <c r="V148" s="2310"/>
      <c r="W148" s="2310"/>
      <c r="X148" s="2310"/>
      <c r="Y148" s="2310"/>
      <c r="Z148" s="1654"/>
      <c r="AA148" s="1654">
        <v>0</v>
      </c>
      <c r="AB148" s="1654">
        <v>0</v>
      </c>
      <c r="AC148" s="1654">
        <v>0</v>
      </c>
      <c r="AD148" s="1654">
        <v>6.625</v>
      </c>
      <c r="AE148" s="1654">
        <v>6.625</v>
      </c>
      <c r="AF148" s="1654">
        <v>5.9438283800000002</v>
      </c>
      <c r="AG148" s="1654">
        <v>0</v>
      </c>
      <c r="AH148" s="1654">
        <v>0</v>
      </c>
      <c r="AI148" s="1654">
        <v>0</v>
      </c>
      <c r="AJ148" s="1654">
        <v>0</v>
      </c>
      <c r="AK148" s="1654">
        <v>19.5</v>
      </c>
      <c r="AL148" s="1654">
        <v>19.5</v>
      </c>
      <c r="AM148" s="1654">
        <v>19.5</v>
      </c>
      <c r="AN148" s="1654">
        <v>19.5</v>
      </c>
      <c r="AO148" s="1654">
        <v>19.5</v>
      </c>
      <c r="AP148" s="1654">
        <v>19.5</v>
      </c>
      <c r="AQ148" s="1654">
        <v>19.5</v>
      </c>
      <c r="AR148" s="1654">
        <v>19.5</v>
      </c>
      <c r="AS148" s="1654">
        <v>19.5</v>
      </c>
      <c r="AT148" s="1654">
        <v>19.5</v>
      </c>
    </row>
    <row r="149" spans="1:46" customFormat="1" ht="14.5">
      <c r="A149" s="97"/>
      <c r="B149" s="92"/>
      <c r="C149" s="92"/>
      <c r="D149" s="2310" t="s">
        <v>3228</v>
      </c>
      <c r="E149" s="2310"/>
      <c r="F149" s="2308"/>
      <c r="G149" s="2308"/>
      <c r="H149" s="2308"/>
      <c r="I149" s="2308"/>
      <c r="J149" s="2308"/>
      <c r="K149" s="2308"/>
      <c r="L149" s="2308"/>
      <c r="M149" s="2308"/>
      <c r="N149" s="2308"/>
      <c r="O149" s="2308"/>
      <c r="P149" s="2308"/>
      <c r="Q149" s="2308"/>
      <c r="R149" s="2308"/>
      <c r="S149" s="2308"/>
      <c r="T149" s="2308"/>
      <c r="U149" s="2308"/>
      <c r="V149" s="2310"/>
      <c r="W149" s="2310"/>
      <c r="X149" s="2310"/>
      <c r="Y149" s="2310"/>
      <c r="Z149" s="1654"/>
      <c r="AA149" s="1654">
        <v>0</v>
      </c>
      <c r="AB149" s="1654">
        <v>0</v>
      </c>
      <c r="AC149" s="1654">
        <v>0</v>
      </c>
      <c r="AD149" s="1654">
        <v>0</v>
      </c>
      <c r="AE149" s="1654">
        <v>0</v>
      </c>
      <c r="AF149" s="1654">
        <v>0</v>
      </c>
      <c r="AG149" s="1654">
        <v>17.239444444444445</v>
      </c>
      <c r="AH149" s="1654">
        <v>17.05</v>
      </c>
      <c r="AI149" s="1654">
        <v>17.05</v>
      </c>
      <c r="AJ149" s="1654">
        <v>17.05</v>
      </c>
      <c r="AK149" s="1654">
        <v>17.05</v>
      </c>
      <c r="AL149" s="1654">
        <v>17.05</v>
      </c>
      <c r="AM149" s="1654">
        <v>17.05</v>
      </c>
      <c r="AN149" s="1654">
        <v>17.05</v>
      </c>
      <c r="AO149" s="1654">
        <v>17.05</v>
      </c>
      <c r="AP149" s="1654">
        <v>17.05</v>
      </c>
      <c r="AQ149" s="1654">
        <v>0</v>
      </c>
      <c r="AR149" s="1654">
        <v>0</v>
      </c>
      <c r="AS149" s="1654">
        <v>0</v>
      </c>
      <c r="AT149" s="1654">
        <v>0</v>
      </c>
    </row>
    <row r="150" spans="1:46" customFormat="1" ht="14.5">
      <c r="A150" s="97"/>
      <c r="B150" s="92"/>
      <c r="C150" s="92"/>
      <c r="D150" s="2310" t="s">
        <v>3362</v>
      </c>
      <c r="E150" s="2310"/>
      <c r="F150" s="2308"/>
      <c r="G150" s="2308"/>
      <c r="H150" s="2308"/>
      <c r="I150" s="2308"/>
      <c r="J150" s="2308"/>
      <c r="K150" s="2308"/>
      <c r="L150" s="2308"/>
      <c r="M150" s="2308"/>
      <c r="N150" s="2308"/>
      <c r="O150" s="2308"/>
      <c r="P150" s="2308"/>
      <c r="Q150" s="2308"/>
      <c r="R150" s="2308"/>
      <c r="S150" s="2308"/>
      <c r="T150" s="2308"/>
      <c r="U150" s="2308"/>
      <c r="V150" s="2310"/>
      <c r="W150" s="2310"/>
      <c r="X150" s="2310"/>
      <c r="Y150" s="2310"/>
      <c r="Z150" s="1654"/>
      <c r="AA150" s="1654">
        <v>0</v>
      </c>
      <c r="AB150" s="1654">
        <v>0</v>
      </c>
      <c r="AC150" s="1654">
        <v>0</v>
      </c>
      <c r="AD150" s="1654">
        <v>0</v>
      </c>
      <c r="AE150" s="1654">
        <v>0</v>
      </c>
      <c r="AF150" s="1654">
        <v>0</v>
      </c>
      <c r="AG150" s="1654">
        <v>0.75</v>
      </c>
      <c r="AH150" s="1654">
        <v>2.5</v>
      </c>
      <c r="AI150" s="1654">
        <v>1.5</v>
      </c>
      <c r="AJ150" s="1654">
        <v>1.5</v>
      </c>
      <c r="AK150" s="1654">
        <v>1.5</v>
      </c>
      <c r="AL150" s="1654">
        <v>1.5</v>
      </c>
      <c r="AM150" s="1654">
        <v>1.5</v>
      </c>
      <c r="AN150" s="1654">
        <v>1.5</v>
      </c>
      <c r="AO150" s="1654">
        <v>1.5</v>
      </c>
      <c r="AP150" s="1654">
        <v>1.5</v>
      </c>
      <c r="AQ150" s="1654">
        <v>1.5</v>
      </c>
      <c r="AR150" s="1654">
        <v>1.5</v>
      </c>
      <c r="AS150" s="1654">
        <v>1.5</v>
      </c>
      <c r="AT150" s="1654">
        <v>1.5</v>
      </c>
    </row>
    <row r="151" spans="1:46">
      <c r="A151" s="97"/>
      <c r="D151" s="2310" t="s">
        <v>76</v>
      </c>
      <c r="E151" s="2310"/>
      <c r="F151" s="2308"/>
      <c r="G151" s="2308"/>
      <c r="H151" s="2308"/>
      <c r="I151" s="2308"/>
      <c r="J151" s="2308"/>
      <c r="K151" s="2308"/>
      <c r="L151" s="2308"/>
      <c r="M151" s="2308"/>
      <c r="N151" s="2308"/>
      <c r="O151" s="2308"/>
      <c r="P151" s="2308"/>
      <c r="Q151" s="2308"/>
      <c r="R151" s="2308"/>
      <c r="S151" s="2308"/>
      <c r="T151" s="2308"/>
      <c r="U151" s="2308"/>
      <c r="V151" s="2310"/>
      <c r="W151" s="2310"/>
      <c r="X151" s="2310"/>
      <c r="Y151" s="2310"/>
      <c r="Z151" s="1654">
        <v>2.5389231223020881</v>
      </c>
      <c r="AA151" s="1654">
        <v>16.026937404147024</v>
      </c>
      <c r="AB151" s="1654">
        <v>16.426734134691717</v>
      </c>
      <c r="AC151" s="1654">
        <v>23.687840174617438</v>
      </c>
      <c r="AD151" s="1654">
        <v>18.84884592276163</v>
      </c>
      <c r="AE151" s="1654">
        <v>17.473812894996502</v>
      </c>
      <c r="AF151" s="1654">
        <v>12.116574035599882</v>
      </c>
      <c r="AG151" s="1654">
        <v>15.031331341321586</v>
      </c>
      <c r="AH151" s="1654">
        <v>28.092437582323885</v>
      </c>
      <c r="AI151" s="1654">
        <v>37.946393863717731</v>
      </c>
      <c r="AJ151" s="1654">
        <v>40.127873426744117</v>
      </c>
      <c r="AK151" s="1654">
        <v>61.808753463569708</v>
      </c>
      <c r="AL151" s="1654">
        <v>69.657822396237577</v>
      </c>
      <c r="AM151" s="1654">
        <v>75.198940850134306</v>
      </c>
      <c r="AN151" s="1654">
        <v>76.308913909011792</v>
      </c>
      <c r="AO151" s="1654">
        <v>74.615700668147042</v>
      </c>
      <c r="AP151" s="1654">
        <v>71.035981933635028</v>
      </c>
      <c r="AQ151" s="1654">
        <v>66.636507411221245</v>
      </c>
      <c r="AR151" s="1654">
        <v>62.329605672108293</v>
      </c>
      <c r="AS151" s="1654">
        <v>58.26188797868847</v>
      </c>
      <c r="AT151" s="1654">
        <v>55.319575489063453</v>
      </c>
    </row>
    <row r="152" spans="1:46">
      <c r="A152" s="97"/>
      <c r="D152" s="2310" t="s">
        <v>3781</v>
      </c>
      <c r="E152" s="2310"/>
      <c r="F152" s="2308"/>
      <c r="G152" s="2308"/>
      <c r="H152" s="2308"/>
      <c r="I152" s="2308"/>
      <c r="J152" s="2308"/>
      <c r="K152" s="2308"/>
      <c r="L152" s="2308"/>
      <c r="M152" s="2308"/>
      <c r="N152" s="2308"/>
      <c r="O152" s="2308"/>
      <c r="P152" s="2308"/>
      <c r="Q152" s="2308"/>
      <c r="R152" s="2308"/>
      <c r="S152" s="2308"/>
      <c r="T152" s="2308"/>
      <c r="U152" s="2308"/>
      <c r="V152" s="2310"/>
      <c r="W152" s="2310"/>
      <c r="X152" s="2310"/>
      <c r="Y152" s="2310"/>
      <c r="Z152" s="1654"/>
      <c r="AA152" s="1654">
        <v>0</v>
      </c>
      <c r="AB152" s="1654">
        <v>2.6</v>
      </c>
      <c r="AC152" s="1654">
        <v>2.8255823555555559</v>
      </c>
      <c r="AD152" s="1654">
        <v>2.8249287444444442</v>
      </c>
      <c r="AE152" s="1654">
        <v>2.3858861282451387</v>
      </c>
      <c r="AF152" s="1654">
        <v>0.54137224628238845</v>
      </c>
      <c r="AG152" s="1654">
        <v>0</v>
      </c>
      <c r="AH152" s="1654">
        <v>0</v>
      </c>
      <c r="AI152" s="1654">
        <v>0</v>
      </c>
      <c r="AJ152" s="1654">
        <v>0</v>
      </c>
      <c r="AK152" s="1654">
        <v>0</v>
      </c>
      <c r="AL152" s="1654">
        <v>6.191739675</v>
      </c>
      <c r="AM152" s="1654">
        <v>10.147231297499999</v>
      </c>
      <c r="AN152" s="1654">
        <v>9.4819118074999995</v>
      </c>
      <c r="AO152" s="1654">
        <v>7.7907065912499993</v>
      </c>
      <c r="AP152" s="1654">
        <v>6.0383951879166675</v>
      </c>
      <c r="AQ152" s="1654">
        <v>4.2860837845833339</v>
      </c>
      <c r="AR152" s="1654">
        <v>2.5337723812499999</v>
      </c>
      <c r="AS152" s="1654">
        <v>0.78146097791666658</v>
      </c>
      <c r="AT152" s="1654">
        <v>6.1106187083333138E-2</v>
      </c>
    </row>
    <row r="153" spans="1:46">
      <c r="A153" s="97"/>
      <c r="D153" s="2310" t="s">
        <v>3782</v>
      </c>
      <c r="E153" s="2310"/>
      <c r="F153" s="2308"/>
      <c r="G153" s="2308"/>
      <c r="H153" s="2308"/>
      <c r="I153" s="2308"/>
      <c r="J153" s="2308"/>
      <c r="K153" s="2308"/>
      <c r="L153" s="2308"/>
      <c r="M153" s="2308"/>
      <c r="N153" s="2308"/>
      <c r="O153" s="2308"/>
      <c r="P153" s="2308"/>
      <c r="Q153" s="2308"/>
      <c r="R153" s="2308"/>
      <c r="S153" s="2308"/>
      <c r="T153" s="2308"/>
      <c r="U153" s="2308"/>
      <c r="V153" s="2310"/>
      <c r="W153" s="2310"/>
      <c r="X153" s="2310"/>
      <c r="Y153" s="2310"/>
      <c r="Z153" s="1654"/>
      <c r="AA153" s="1654">
        <v>0</v>
      </c>
      <c r="AB153" s="1654">
        <v>0</v>
      </c>
      <c r="AC153" s="1654">
        <v>1.9084690307425856</v>
      </c>
      <c r="AD153" s="1654">
        <v>1.7362739437606505</v>
      </c>
      <c r="AE153" s="1654">
        <v>1.1180252265089754</v>
      </c>
      <c r="AF153" s="1654">
        <v>0.48657697225102636</v>
      </c>
      <c r="AG153" s="1654">
        <v>0</v>
      </c>
      <c r="AH153" s="1654">
        <v>0</v>
      </c>
      <c r="AI153" s="1654">
        <v>0</v>
      </c>
      <c r="AJ153" s="1654">
        <v>0</v>
      </c>
      <c r="AK153" s="1654">
        <v>0</v>
      </c>
      <c r="AL153" s="1654">
        <v>0.85056525000000005</v>
      </c>
      <c r="AM153" s="1654">
        <v>2.2665930000000003</v>
      </c>
      <c r="AN153" s="1654">
        <v>3.1482746250000009</v>
      </c>
      <c r="AO153" s="1654">
        <v>3.6048342817500005</v>
      </c>
      <c r="AP153" s="1654">
        <v>3.0564950317500004</v>
      </c>
      <c r="AQ153" s="1654">
        <v>2.3691015889583338</v>
      </c>
      <c r="AR153" s="1654">
        <v>1.6817081461666672</v>
      </c>
      <c r="AS153" s="1654">
        <v>0.99431470337500061</v>
      </c>
      <c r="AT153" s="1654">
        <v>0.44868213558333403</v>
      </c>
    </row>
    <row r="154" spans="1:46">
      <c r="A154" s="97"/>
      <c r="D154" s="2310" t="s">
        <v>3785</v>
      </c>
      <c r="E154" s="2310"/>
      <c r="F154" s="2308"/>
      <c r="G154" s="2308"/>
      <c r="H154" s="2308"/>
      <c r="I154" s="2308"/>
      <c r="J154" s="2308"/>
      <c r="K154" s="2308"/>
      <c r="L154" s="2308"/>
      <c r="M154" s="2308"/>
      <c r="N154" s="2308"/>
      <c r="O154" s="2308"/>
      <c r="P154" s="2308"/>
      <c r="Q154" s="2308"/>
      <c r="R154" s="2308"/>
      <c r="S154" s="2308"/>
      <c r="T154" s="2308"/>
      <c r="U154" s="2308"/>
      <c r="V154" s="2310"/>
      <c r="W154" s="2310"/>
      <c r="X154" s="2310"/>
      <c r="Y154" s="2310"/>
      <c r="Z154" s="1654"/>
      <c r="AA154" s="1654">
        <v>0</v>
      </c>
      <c r="AB154" s="1654">
        <v>0</v>
      </c>
      <c r="AC154" s="1654">
        <v>13.25</v>
      </c>
      <c r="AD154" s="1654">
        <v>6.625</v>
      </c>
      <c r="AE154" s="1654">
        <v>6.625</v>
      </c>
      <c r="AF154" s="1654">
        <v>2.0229805555555536</v>
      </c>
      <c r="AG154" s="1654">
        <v>2.0229805555555536</v>
      </c>
      <c r="AH154" s="1654">
        <v>0</v>
      </c>
      <c r="AI154" s="1654">
        <v>0</v>
      </c>
      <c r="AJ154" s="1654">
        <v>0</v>
      </c>
      <c r="AK154" s="1654">
        <v>19.5</v>
      </c>
      <c r="AL154" s="1654">
        <v>19.5</v>
      </c>
      <c r="AM154" s="1654">
        <v>19.5</v>
      </c>
      <c r="AN154" s="1654">
        <v>19.5</v>
      </c>
      <c r="AO154" s="1654">
        <v>19.5</v>
      </c>
      <c r="AP154" s="1654">
        <v>19.5</v>
      </c>
      <c r="AQ154" s="1654">
        <v>19.5</v>
      </c>
      <c r="AR154" s="1654">
        <v>19.5</v>
      </c>
      <c r="AS154" s="1654">
        <v>19.5</v>
      </c>
      <c r="AT154" s="1654">
        <v>19.5</v>
      </c>
    </row>
    <row r="155" spans="1:46">
      <c r="A155" s="97"/>
      <c r="D155" s="2310" t="s">
        <v>3228</v>
      </c>
      <c r="E155" s="2310"/>
      <c r="F155" s="2308"/>
      <c r="G155" s="2308"/>
      <c r="H155" s="2308"/>
      <c r="I155" s="2308"/>
      <c r="J155" s="2308"/>
      <c r="K155" s="2308"/>
      <c r="L155" s="2308"/>
      <c r="M155" s="2308"/>
      <c r="N155" s="2308"/>
      <c r="O155" s="2308"/>
      <c r="P155" s="2308"/>
      <c r="Q155" s="2308"/>
      <c r="R155" s="2308"/>
      <c r="S155" s="2308"/>
      <c r="T155" s="2308"/>
      <c r="U155" s="2308"/>
      <c r="V155" s="2310"/>
      <c r="W155" s="2310"/>
      <c r="X155" s="2310"/>
      <c r="Y155" s="2310"/>
      <c r="Z155" s="1654"/>
      <c r="AA155" s="1654">
        <v>0</v>
      </c>
      <c r="AB155" s="1654">
        <v>0</v>
      </c>
      <c r="AC155" s="1654">
        <v>0</v>
      </c>
      <c r="AD155" s="1654">
        <v>0</v>
      </c>
      <c r="AE155" s="1654">
        <v>0</v>
      </c>
      <c r="AF155" s="1654">
        <v>0</v>
      </c>
      <c r="AG155" s="1654">
        <v>0</v>
      </c>
      <c r="AH155" s="1654">
        <v>0</v>
      </c>
      <c r="AI155" s="1654">
        <v>0</v>
      </c>
      <c r="AJ155" s="1654">
        <v>0</v>
      </c>
      <c r="AK155" s="1654">
        <v>0</v>
      </c>
      <c r="AL155" s="1654">
        <v>0</v>
      </c>
      <c r="AM155" s="1654">
        <v>0</v>
      </c>
      <c r="AN155" s="1654">
        <v>0</v>
      </c>
      <c r="AO155" s="1654">
        <v>0</v>
      </c>
      <c r="AP155" s="1654">
        <v>0</v>
      </c>
      <c r="AQ155" s="1654">
        <v>0</v>
      </c>
      <c r="AR155" s="1654">
        <v>0</v>
      </c>
      <c r="AS155" s="1654">
        <v>0</v>
      </c>
      <c r="AT155" s="1654">
        <v>0</v>
      </c>
    </row>
    <row r="156" spans="1:46">
      <c r="A156" s="97"/>
      <c r="D156" s="2310" t="s">
        <v>3362</v>
      </c>
      <c r="E156" s="2310"/>
      <c r="F156" s="2308"/>
      <c r="G156" s="2308"/>
      <c r="H156" s="2308"/>
      <c r="I156" s="2308"/>
      <c r="J156" s="2308"/>
      <c r="K156" s="2308"/>
      <c r="L156" s="2308"/>
      <c r="M156" s="2308"/>
      <c r="N156" s="2308"/>
      <c r="O156" s="2308"/>
      <c r="P156" s="2308"/>
      <c r="Q156" s="2308"/>
      <c r="R156" s="2308"/>
      <c r="S156" s="2308"/>
      <c r="T156" s="2308"/>
      <c r="U156" s="2308"/>
      <c r="V156" s="2310"/>
      <c r="W156" s="2310"/>
      <c r="X156" s="2310"/>
      <c r="Y156" s="2310"/>
      <c r="Z156" s="1654"/>
      <c r="AA156" s="1654">
        <v>0</v>
      </c>
      <c r="AB156" s="1654">
        <v>0</v>
      </c>
      <c r="AC156" s="1654">
        <v>0</v>
      </c>
      <c r="AD156" s="1654">
        <v>0</v>
      </c>
      <c r="AE156" s="1654">
        <v>0</v>
      </c>
      <c r="AF156" s="1654">
        <v>0</v>
      </c>
      <c r="AG156" s="1654">
        <v>0.75</v>
      </c>
      <c r="AH156" s="1654">
        <v>2.5</v>
      </c>
      <c r="AI156" s="1654">
        <v>1.5</v>
      </c>
      <c r="AJ156" s="1654">
        <v>1.5</v>
      </c>
      <c r="AK156" s="1654">
        <v>1.5</v>
      </c>
      <c r="AL156" s="1654">
        <v>1.5</v>
      </c>
      <c r="AM156" s="1654">
        <v>1.5</v>
      </c>
      <c r="AN156" s="1654">
        <v>1.5</v>
      </c>
      <c r="AO156" s="1654">
        <v>1.5</v>
      </c>
      <c r="AP156" s="1654">
        <v>1.5</v>
      </c>
      <c r="AQ156" s="1654">
        <v>1.5</v>
      </c>
      <c r="AR156" s="1654">
        <v>1.5</v>
      </c>
      <c r="AS156" s="1654">
        <v>1.5</v>
      </c>
      <c r="AT156" s="1654">
        <v>1.5</v>
      </c>
    </row>
    <row r="157" spans="1:46">
      <c r="A157" s="97"/>
      <c r="D157" s="2310" t="s">
        <v>80</v>
      </c>
      <c r="E157" s="2315" t="s">
        <v>1267</v>
      </c>
      <c r="F157" s="2308"/>
      <c r="G157" s="2308"/>
      <c r="H157" s="2308"/>
      <c r="I157" s="2308"/>
      <c r="J157" s="2308"/>
      <c r="K157" s="2308"/>
      <c r="L157" s="2308"/>
      <c r="M157" s="2308"/>
      <c r="N157" s="2308"/>
      <c r="O157" s="2308"/>
      <c r="P157" s="2308"/>
      <c r="Q157" s="2308"/>
      <c r="R157" s="2308"/>
      <c r="S157" s="2308"/>
      <c r="T157" s="2308"/>
      <c r="U157" s="2308"/>
      <c r="V157" s="2310"/>
      <c r="W157" s="2310"/>
      <c r="X157" s="2310"/>
      <c r="Y157" s="2310"/>
      <c r="Z157" s="1654">
        <v>0</v>
      </c>
      <c r="AA157" s="1654">
        <v>0.26527148013788343</v>
      </c>
      <c r="AB157" s="1654">
        <v>6.9808284246811431E-2</v>
      </c>
      <c r="AC157" s="1654">
        <v>0.16753988219234742</v>
      </c>
      <c r="AD157" s="1654">
        <v>6.9808284246811431E-2</v>
      </c>
      <c r="AE157" s="1654">
        <v>0.29319479383660796</v>
      </c>
      <c r="AF157" s="1654">
        <v>0.29319479383660796</v>
      </c>
      <c r="AG157" s="1654">
        <v>0.29577464788732394</v>
      </c>
      <c r="AH157" s="1654">
        <v>0.30352727743501473</v>
      </c>
      <c r="AI157" s="1654">
        <v>0</v>
      </c>
      <c r="AJ157" s="1654">
        <v>10.292134617229802</v>
      </c>
      <c r="AK157" s="1654">
        <v>13.777914843174756</v>
      </c>
      <c r="AL157" s="1654">
        <v>13.797834471222865</v>
      </c>
      <c r="AM157" s="1654">
        <v>13.830145172111152</v>
      </c>
      <c r="AN157" s="1654">
        <v>13.837925068408097</v>
      </c>
      <c r="AO157" s="1654">
        <v>0</v>
      </c>
      <c r="AP157" s="1654">
        <v>0</v>
      </c>
      <c r="AQ157" s="1654">
        <v>0</v>
      </c>
      <c r="AR157" s="1654">
        <v>0</v>
      </c>
      <c r="AS157" s="1654">
        <v>0</v>
      </c>
      <c r="AT157" s="1654">
        <v>0</v>
      </c>
    </row>
    <row r="158" spans="1:46">
      <c r="A158" s="97"/>
      <c r="D158" s="2307" t="s">
        <v>1269</v>
      </c>
      <c r="E158" s="2310"/>
      <c r="F158" s="2308"/>
      <c r="G158" s="2308"/>
      <c r="H158" s="2308"/>
      <c r="I158" s="2308"/>
      <c r="J158" s="2308"/>
      <c r="K158" s="2308"/>
      <c r="L158" s="2308"/>
      <c r="M158" s="2308"/>
      <c r="N158" s="2316">
        <v>1459.0600000000002</v>
      </c>
      <c r="O158" s="2316">
        <v>1671.8300000000002</v>
      </c>
      <c r="P158" s="2316">
        <v>1486.74</v>
      </c>
      <c r="Q158" s="2316">
        <v>479.47999999999996</v>
      </c>
      <c r="R158" s="2316">
        <v>569.77</v>
      </c>
      <c r="S158" s="2316">
        <v>665.65</v>
      </c>
      <c r="T158" s="2316">
        <v>736.52</v>
      </c>
      <c r="U158" s="2316">
        <v>777.3</v>
      </c>
      <c r="V158" s="2316">
        <v>984.74090899769249</v>
      </c>
      <c r="W158" s="2316">
        <v>1062.2469999999998</v>
      </c>
      <c r="X158" s="2316">
        <v>1544.36</v>
      </c>
      <c r="Y158" s="2316">
        <v>1761.0825392678689</v>
      </c>
      <c r="Z158" s="2316">
        <v>2065.06952</v>
      </c>
      <c r="AA158" s="2316">
        <v>2459.3708481448743</v>
      </c>
      <c r="AB158" s="2316">
        <v>3164.359033550003</v>
      </c>
      <c r="AC158" s="2316">
        <v>3593.798101002054</v>
      </c>
      <c r="AD158" s="2316">
        <v>4218.0876605854355</v>
      </c>
      <c r="AE158" s="2316">
        <v>5316.0802803037441</v>
      </c>
      <c r="AF158" s="2316">
        <v>6508.2064574576798</v>
      </c>
      <c r="AG158" s="2316">
        <v>6805.8630940622261</v>
      </c>
      <c r="AH158" s="2316">
        <v>7775.9855634108835</v>
      </c>
      <c r="AI158" s="2316">
        <v>9129.6431040600473</v>
      </c>
      <c r="AJ158" s="2316">
        <v>10276.565020473801</v>
      </c>
      <c r="AK158" s="2316">
        <v>11263.304536606294</v>
      </c>
      <c r="AL158" s="2316">
        <v>12047.669364434805</v>
      </c>
      <c r="AM158" s="2316">
        <v>12560.765237284024</v>
      </c>
      <c r="AN158" s="2316">
        <v>12821.610150829725</v>
      </c>
      <c r="AO158" s="2316">
        <v>13168.148031559705</v>
      </c>
      <c r="AP158" s="2316">
        <v>13315.887113455874</v>
      </c>
      <c r="AQ158" s="2316">
        <v>13175.417140815189</v>
      </c>
      <c r="AR158" s="2316">
        <v>12909.869724066046</v>
      </c>
      <c r="AS158" s="2316">
        <v>12644.369634273318</v>
      </c>
      <c r="AT158" s="2316">
        <v>11720.190010077757</v>
      </c>
    </row>
    <row r="159" spans="1:46">
      <c r="A159" s="97"/>
      <c r="D159" s="2310" t="s">
        <v>1270</v>
      </c>
      <c r="E159" s="2310"/>
      <c r="F159" s="2308"/>
      <c r="G159" s="2308"/>
      <c r="H159" s="2308"/>
      <c r="I159" s="2308"/>
      <c r="J159" s="2308"/>
      <c r="K159" s="2308"/>
      <c r="L159" s="2308"/>
      <c r="M159" s="2308"/>
      <c r="N159" s="1655">
        <v>1310.4100000000001</v>
      </c>
      <c r="O159" s="1655">
        <v>1518.16</v>
      </c>
      <c r="P159" s="1655">
        <v>1402.81</v>
      </c>
      <c r="Q159" s="1655">
        <v>390.03</v>
      </c>
      <c r="R159" s="1655">
        <v>485.66</v>
      </c>
      <c r="S159" s="1655">
        <v>580.52</v>
      </c>
      <c r="T159" s="1655">
        <v>628.26</v>
      </c>
      <c r="U159" s="1655">
        <v>651.03</v>
      </c>
      <c r="V159" s="1655">
        <v>833.0761018724719</v>
      </c>
      <c r="W159" s="1655">
        <v>890.66999999999985</v>
      </c>
      <c r="X159" s="1655">
        <v>927.73599999999988</v>
      </c>
      <c r="Y159" s="1655">
        <v>1108.5725392678689</v>
      </c>
      <c r="Z159" s="1655">
        <v>1370.1395200000002</v>
      </c>
      <c r="AA159" s="1655">
        <v>1750.0208481448742</v>
      </c>
      <c r="AB159" s="1655">
        <v>2280.0990335500032</v>
      </c>
      <c r="AC159" s="1655">
        <v>2682.1181010020541</v>
      </c>
      <c r="AD159" s="1655">
        <v>3202.167660585435</v>
      </c>
      <c r="AE159" s="1655">
        <v>4185.7402803037439</v>
      </c>
      <c r="AF159" s="1655">
        <v>5014.2346173146798</v>
      </c>
      <c r="AG159" s="1655">
        <v>5343.5434653900274</v>
      </c>
      <c r="AH159" s="1655">
        <v>6403.1615909145048</v>
      </c>
      <c r="AI159" s="1655">
        <v>7794.3924677844607</v>
      </c>
      <c r="AJ159" s="1655">
        <v>8985.1021421902533</v>
      </c>
      <c r="AK159" s="1655">
        <v>10029.25873803534</v>
      </c>
      <c r="AL159" s="1655">
        <v>10883.868315700976</v>
      </c>
      <c r="AM159" s="1655">
        <v>11510.820278310999</v>
      </c>
      <c r="AN159" s="1655">
        <v>11956.231761098128</v>
      </c>
      <c r="AO159" s="1655">
        <v>12492.484691443771</v>
      </c>
      <c r="AP159" s="1655">
        <v>12828.003339115599</v>
      </c>
      <c r="AQ159" s="1655">
        <v>12873.560647224052</v>
      </c>
      <c r="AR159" s="1655">
        <v>12788.568395849856</v>
      </c>
      <c r="AS159" s="1655">
        <v>12670.716929146913</v>
      </c>
      <c r="AT159" s="1655">
        <v>12523.995419160134</v>
      </c>
    </row>
    <row r="160" spans="1:46">
      <c r="A160" s="97"/>
      <c r="D160" s="2310" t="s">
        <v>81</v>
      </c>
      <c r="E160" s="2310"/>
      <c r="F160" s="2308"/>
      <c r="G160" s="2308"/>
      <c r="H160" s="2308"/>
      <c r="I160" s="2308"/>
      <c r="J160" s="2308"/>
      <c r="K160" s="2308"/>
      <c r="L160" s="2308"/>
      <c r="M160" s="2308"/>
      <c r="N160" s="1655">
        <v>148.65</v>
      </c>
      <c r="O160" s="1655">
        <v>153.66999999999999</v>
      </c>
      <c r="P160" s="1655">
        <v>83.93</v>
      </c>
      <c r="Q160" s="1655">
        <v>89.45</v>
      </c>
      <c r="R160" s="1655">
        <v>84.11</v>
      </c>
      <c r="S160" s="1655">
        <v>85.13</v>
      </c>
      <c r="T160" s="1655">
        <v>108.26</v>
      </c>
      <c r="U160" s="1655">
        <v>126.27</v>
      </c>
      <c r="V160" s="1655">
        <v>151.66480712522059</v>
      </c>
      <c r="W160" s="1655">
        <v>171.577</v>
      </c>
      <c r="X160" s="1655">
        <v>216.62399999999997</v>
      </c>
      <c r="Y160" s="1655">
        <v>252.51</v>
      </c>
      <c r="Z160" s="1655">
        <v>294.93</v>
      </c>
      <c r="AA160" s="1655">
        <v>309.35000000000002</v>
      </c>
      <c r="AB160" s="1655">
        <v>354.26</v>
      </c>
      <c r="AC160" s="1655">
        <v>381.68</v>
      </c>
      <c r="AD160" s="1655">
        <v>485.92</v>
      </c>
      <c r="AE160" s="1655">
        <v>640.34</v>
      </c>
      <c r="AF160" s="1655">
        <v>813.40684014299984</v>
      </c>
      <c r="AG160" s="1655">
        <v>781.75462867219778</v>
      </c>
      <c r="AH160" s="1655">
        <v>752.65897249637862</v>
      </c>
      <c r="AI160" s="1655">
        <v>715.08563627558669</v>
      </c>
      <c r="AJ160" s="1655">
        <v>671.29787828354654</v>
      </c>
      <c r="AK160" s="1655">
        <v>613.88079857095317</v>
      </c>
      <c r="AL160" s="1655">
        <v>543.63604873382724</v>
      </c>
      <c r="AM160" s="1655">
        <v>467.30565397302507</v>
      </c>
      <c r="AN160" s="1655">
        <v>344.23745623159715</v>
      </c>
      <c r="AO160" s="1655">
        <v>218.24282128260234</v>
      </c>
      <c r="AP160" s="1655">
        <v>94.183670173607496</v>
      </c>
      <c r="AQ160" s="1655">
        <v>-28.123195908863636</v>
      </c>
      <c r="AR160" s="1655">
        <v>-144.95794661714439</v>
      </c>
      <c r="AS160" s="1655">
        <v>-266.4118500402613</v>
      </c>
      <c r="AT160" s="1655">
        <v>-391.64792108237822</v>
      </c>
    </row>
    <row r="161" spans="1:46">
      <c r="A161" s="97"/>
      <c r="D161" s="2310" t="s">
        <v>82</v>
      </c>
      <c r="E161" s="2310"/>
      <c r="F161" s="2308"/>
      <c r="G161" s="2308"/>
      <c r="H161" s="2308"/>
      <c r="I161" s="2308"/>
      <c r="J161" s="2308"/>
      <c r="K161" s="2308"/>
      <c r="L161" s="2308"/>
      <c r="M161" s="2308"/>
      <c r="N161" s="1655"/>
      <c r="O161" s="1655"/>
      <c r="P161" s="1655"/>
      <c r="Q161" s="1655"/>
      <c r="R161" s="1655"/>
      <c r="S161" s="1655"/>
      <c r="T161" s="1655"/>
      <c r="U161" s="1655"/>
      <c r="V161" s="1655">
        <v>0</v>
      </c>
      <c r="W161" s="1655">
        <v>0</v>
      </c>
      <c r="X161" s="1655">
        <v>400</v>
      </c>
      <c r="Y161" s="1655">
        <v>400</v>
      </c>
      <c r="Z161" s="1655">
        <v>400</v>
      </c>
      <c r="AA161" s="1655">
        <v>400</v>
      </c>
      <c r="AB161" s="1655">
        <v>530</v>
      </c>
      <c r="AC161" s="1655">
        <v>530</v>
      </c>
      <c r="AD161" s="1655">
        <v>530</v>
      </c>
      <c r="AE161" s="1655">
        <v>490</v>
      </c>
      <c r="AF161" s="1655">
        <v>680.56500000000005</v>
      </c>
      <c r="AG161" s="1655">
        <v>680.56500000000005</v>
      </c>
      <c r="AH161" s="1655">
        <v>620.16500000000008</v>
      </c>
      <c r="AI161" s="1655">
        <v>620.16500000000008</v>
      </c>
      <c r="AJ161" s="1655">
        <v>620.16500000000008</v>
      </c>
      <c r="AK161" s="1655">
        <v>620.16500000000008</v>
      </c>
      <c r="AL161" s="1655">
        <v>620.16500000000008</v>
      </c>
      <c r="AM161" s="1655">
        <v>582.63930500000004</v>
      </c>
      <c r="AN161" s="1655">
        <v>521.14093350000007</v>
      </c>
      <c r="AO161" s="1655">
        <v>457.4205188333334</v>
      </c>
      <c r="AP161" s="1655">
        <v>393.70010416666673</v>
      </c>
      <c r="AQ161" s="1655">
        <v>329.97968950000006</v>
      </c>
      <c r="AR161" s="1655">
        <v>266.25927483333339</v>
      </c>
      <c r="AS161" s="1655">
        <v>240.06455516666671</v>
      </c>
      <c r="AT161" s="1655">
        <v>-412.15748799999983</v>
      </c>
    </row>
    <row r="162" spans="1:46">
      <c r="A162" s="97"/>
      <c r="D162" s="2307" t="s">
        <v>1271</v>
      </c>
      <c r="E162" s="2310"/>
      <c r="F162" s="2308"/>
      <c r="G162" s="2308"/>
      <c r="H162" s="2308"/>
      <c r="I162" s="2308"/>
      <c r="J162" s="2308"/>
      <c r="K162" s="2308"/>
      <c r="L162" s="2308"/>
      <c r="M162" s="2308"/>
      <c r="N162" s="1655">
        <v>0</v>
      </c>
      <c r="O162" s="1655">
        <v>0</v>
      </c>
      <c r="P162" s="1655">
        <v>0</v>
      </c>
      <c r="Q162" s="1655">
        <v>0</v>
      </c>
      <c r="R162" s="1655">
        <v>0</v>
      </c>
      <c r="S162" s="1655">
        <v>0</v>
      </c>
      <c r="T162" s="1655">
        <v>13</v>
      </c>
      <c r="U162" s="1655">
        <v>23</v>
      </c>
      <c r="V162" s="1655">
        <v>128</v>
      </c>
      <c r="W162" s="1655">
        <v>103.1</v>
      </c>
      <c r="X162" s="1655">
        <v>46.7</v>
      </c>
      <c r="Y162" s="1655">
        <v>75.2</v>
      </c>
      <c r="Z162" s="1655">
        <v>62.957609132009061</v>
      </c>
      <c r="AA162" s="1655">
        <v>353.10748654108153</v>
      </c>
      <c r="AB162" s="1655">
        <v>39.754518411490551</v>
      </c>
      <c r="AC162" s="1655">
        <v>79.745206200200883</v>
      </c>
      <c r="AD162" s="1655">
        <v>22.081738779327818</v>
      </c>
      <c r="AE162" s="1655">
        <v>22.478645709414739</v>
      </c>
      <c r="AF162" s="1655">
        <v>9.096069197545571</v>
      </c>
      <c r="AG162" s="1655">
        <v>108.68462181476009</v>
      </c>
      <c r="AH162" s="1655">
        <v>0</v>
      </c>
      <c r="AI162" s="1655">
        <v>82.88</v>
      </c>
      <c r="AJ162" s="1655">
        <v>117.82</v>
      </c>
      <c r="AK162" s="1655">
        <v>117.82</v>
      </c>
      <c r="AL162" s="1655">
        <v>82.792817910000025</v>
      </c>
      <c r="AM162" s="1655">
        <v>0</v>
      </c>
      <c r="AN162" s="1655">
        <v>0</v>
      </c>
      <c r="AO162" s="1655">
        <v>0</v>
      </c>
      <c r="AP162" s="1655">
        <v>0</v>
      </c>
      <c r="AQ162" s="1655">
        <v>0</v>
      </c>
      <c r="AR162" s="1655">
        <v>0</v>
      </c>
      <c r="AS162" s="1655">
        <v>0</v>
      </c>
      <c r="AT162" s="1655">
        <v>0</v>
      </c>
    </row>
    <row r="163" spans="1:46">
      <c r="A163" s="97"/>
      <c r="D163" s="92" t="s">
        <v>718</v>
      </c>
      <c r="E163" s="92"/>
      <c r="F163" s="92"/>
      <c r="G163" s="92"/>
      <c r="H163" s="92"/>
      <c r="I163" s="92"/>
      <c r="J163" s="92"/>
      <c r="K163" s="92"/>
      <c r="L163" s="92"/>
      <c r="M163" s="92"/>
      <c r="N163" s="92"/>
      <c r="O163" s="92"/>
      <c r="P163" s="92"/>
      <c r="Q163" s="92"/>
      <c r="R163" s="92"/>
      <c r="S163" s="92"/>
      <c r="T163" s="92"/>
      <c r="U163" s="92"/>
      <c r="V163" s="92"/>
      <c r="W163" s="92"/>
      <c r="X163" s="92"/>
      <c r="Y163" s="92"/>
      <c r="Z163" s="92"/>
      <c r="AA163" s="92"/>
      <c r="AB163" s="92"/>
      <c r="AC163" s="92"/>
      <c r="AD163" s="92"/>
      <c r="AE163" s="92"/>
      <c r="AF163" s="92"/>
      <c r="AG163" s="92"/>
      <c r="AH163" s="92"/>
      <c r="AI163" s="92"/>
      <c r="AJ163" s="92"/>
      <c r="AK163" s="92"/>
    </row>
    <row r="164" spans="1:46">
      <c r="D164"/>
      <c r="E164" s="2"/>
      <c r="F164" s="2"/>
      <c r="G164" s="2"/>
      <c r="H164" s="2"/>
      <c r="I164" s="2"/>
      <c r="J164" s="2"/>
      <c r="K164" s="2"/>
      <c r="L164" s="2"/>
      <c r="M164" s="2"/>
      <c r="N164" s="2"/>
      <c r="O164" s="2"/>
      <c r="P164" s="2"/>
      <c r="Q164" s="2"/>
      <c r="R164" s="2"/>
      <c r="S164" s="2"/>
      <c r="T164" s="2"/>
      <c r="U164" s="2"/>
      <c r="V164" s="2"/>
      <c r="W164" s="2"/>
      <c r="X164" s="2"/>
      <c r="Y164" s="2"/>
      <c r="Z164" s="2"/>
      <c r="AA164" s="2"/>
      <c r="AB164" s="2"/>
      <c r="AC164" s="2"/>
      <c r="AD164" s="2"/>
      <c r="AE164" s="2"/>
    </row>
    <row r="165" spans="1:46">
      <c r="D165" s="14" t="s">
        <v>852</v>
      </c>
      <c r="U165"/>
      <c r="V165" s="555" t="s">
        <v>755</v>
      </c>
      <c r="W165" s="92">
        <v>2012</v>
      </c>
      <c r="X165" s="92">
        <v>2013</v>
      </c>
      <c r="Y165" s="92">
        <v>2014</v>
      </c>
      <c r="Z165" s="92">
        <v>2015</v>
      </c>
      <c r="AA165" s="92">
        <v>2016</v>
      </c>
      <c r="AB165" s="92">
        <v>2017</v>
      </c>
      <c r="AC165" s="92">
        <v>2018</v>
      </c>
      <c r="AD165" s="92">
        <v>2019</v>
      </c>
      <c r="AE165" s="92">
        <v>2020</v>
      </c>
      <c r="AF165" s="92">
        <v>2021</v>
      </c>
      <c r="AG165" s="92">
        <v>2022</v>
      </c>
      <c r="AH165" s="92">
        <v>2023</v>
      </c>
      <c r="AI165" s="92">
        <v>2024</v>
      </c>
      <c r="AJ165" s="92">
        <v>2025</v>
      </c>
      <c r="AK165" s="92">
        <v>2026</v>
      </c>
      <c r="AL165" s="92">
        <v>2027</v>
      </c>
      <c r="AM165" s="92">
        <v>2028</v>
      </c>
      <c r="AN165" s="92">
        <v>2029</v>
      </c>
      <c r="AO165" s="92">
        <v>2030</v>
      </c>
      <c r="AP165" s="92">
        <v>2031</v>
      </c>
      <c r="AQ165" s="92">
        <v>2032</v>
      </c>
      <c r="AR165" s="92">
        <v>2033</v>
      </c>
      <c r="AS165" s="92">
        <v>2034</v>
      </c>
      <c r="AT165" s="92">
        <v>2035</v>
      </c>
    </row>
    <row r="166" spans="1:46">
      <c r="D166" s="721" t="s">
        <v>123</v>
      </c>
      <c r="E166" s="722"/>
      <c r="F166" s="722"/>
      <c r="G166" s="722"/>
      <c r="H166" s="722"/>
      <c r="I166" s="722"/>
      <c r="J166" s="722"/>
      <c r="K166" s="722"/>
      <c r="L166" s="722"/>
      <c r="M166" s="722"/>
      <c r="N166" s="722"/>
      <c r="O166" s="722"/>
      <c r="P166" s="722"/>
      <c r="Q166" s="722"/>
      <c r="R166" s="722"/>
      <c r="S166" s="722"/>
      <c r="T166" s="722"/>
      <c r="U166" s="722"/>
      <c r="V166" s="723"/>
      <c r="W166" s="723"/>
      <c r="X166" s="723"/>
      <c r="Y166" s="723">
        <v>2014</v>
      </c>
      <c r="Z166" s="723">
        <v>2015</v>
      </c>
      <c r="AA166" s="1002">
        <v>2016</v>
      </c>
      <c r="AB166" s="1003">
        <v>2017</v>
      </c>
      <c r="AC166" s="1003">
        <v>2018</v>
      </c>
      <c r="AD166" s="1002">
        <v>2019</v>
      </c>
      <c r="AE166" s="1002">
        <v>2020</v>
      </c>
      <c r="AF166" s="1002">
        <v>2021</v>
      </c>
      <c r="AG166" s="723">
        <v>2022</v>
      </c>
      <c r="AH166" s="1002">
        <v>2023</v>
      </c>
      <c r="AI166" s="1002">
        <v>2024</v>
      </c>
      <c r="AJ166" s="1002">
        <v>2025</v>
      </c>
      <c r="AK166" s="1002">
        <v>2026</v>
      </c>
      <c r="AL166" s="1002">
        <v>2027</v>
      </c>
      <c r="AM166" s="1002">
        <v>2028</v>
      </c>
      <c r="AN166" s="1002">
        <v>2029</v>
      </c>
      <c r="AO166" s="1002">
        <v>2030</v>
      </c>
      <c r="AP166" s="1002">
        <v>2031</v>
      </c>
      <c r="AQ166" s="1002">
        <v>2032</v>
      </c>
      <c r="AR166" s="1002">
        <v>2033</v>
      </c>
      <c r="AS166" s="1002">
        <v>2034</v>
      </c>
      <c r="AT166" s="1002">
        <v>2035</v>
      </c>
    </row>
    <row r="167" spans="1:46">
      <c r="D167" s="722" t="s">
        <v>1194</v>
      </c>
      <c r="E167" s="722"/>
      <c r="F167" s="722"/>
      <c r="G167" s="722"/>
      <c r="H167" s="722"/>
      <c r="I167" s="722"/>
      <c r="J167" s="722"/>
      <c r="K167" s="722"/>
      <c r="L167" s="722"/>
      <c r="M167" s="722"/>
      <c r="N167" s="722"/>
      <c r="O167" s="722"/>
      <c r="P167" s="722"/>
      <c r="Q167" s="722"/>
      <c r="R167" s="722"/>
      <c r="S167" s="722"/>
      <c r="T167" s="722"/>
      <c r="U167" s="722"/>
      <c r="V167" s="722"/>
      <c r="W167" s="722"/>
      <c r="X167" s="722"/>
      <c r="Y167" s="722"/>
      <c r="Z167" s="722"/>
      <c r="AA167" s="1004">
        <v>22.862403845500001</v>
      </c>
      <c r="AB167" s="1005">
        <v>29.826331313137533</v>
      </c>
      <c r="AC167" s="1005">
        <v>26.893016229137533</v>
      </c>
      <c r="AD167" s="1004">
        <v>22.5</v>
      </c>
      <c r="AE167" s="1004">
        <v>35.074203804500002</v>
      </c>
      <c r="AF167" s="1004">
        <v>43.529146034999997</v>
      </c>
      <c r="AG167" s="1004">
        <v>91.999534747840002</v>
      </c>
      <c r="AH167" s="1004">
        <v>120.11767343802001</v>
      </c>
      <c r="AI167" s="1004">
        <v>106.57308092068</v>
      </c>
      <c r="AJ167" s="1004">
        <v>70</v>
      </c>
      <c r="AK167" s="1004">
        <v>126.66202</v>
      </c>
      <c r="AL167" s="1004">
        <v>116.4695</v>
      </c>
      <c r="AM167" s="1004">
        <v>133.28469999999999</v>
      </c>
      <c r="AN167" s="1004">
        <v>122.9782</v>
      </c>
      <c r="AO167" s="1004">
        <v>80</v>
      </c>
      <c r="AP167" s="1004">
        <v>138.53050000000002</v>
      </c>
      <c r="AQ167" s="1004">
        <v>119.1927</v>
      </c>
      <c r="AR167" s="1004">
        <v>72.563199999999995</v>
      </c>
      <c r="AS167" s="1004">
        <v>80</v>
      </c>
      <c r="AT167" s="1004">
        <v>85</v>
      </c>
    </row>
    <row r="168" spans="1:46">
      <c r="D168" s="725" t="s">
        <v>819</v>
      </c>
      <c r="E168" s="722"/>
      <c r="F168" s="722"/>
      <c r="G168" s="722"/>
      <c r="H168" s="722"/>
      <c r="I168" s="722"/>
      <c r="J168" s="722"/>
      <c r="K168" s="722"/>
      <c r="L168" s="722"/>
      <c r="M168" s="722"/>
      <c r="N168" s="722"/>
      <c r="O168" s="722"/>
      <c r="P168" s="722"/>
      <c r="Q168" s="722"/>
      <c r="R168" s="722"/>
      <c r="S168" s="722"/>
      <c r="T168" s="722"/>
      <c r="U168" s="722"/>
      <c r="V168" s="722"/>
      <c r="W168" s="722"/>
      <c r="X168" s="722"/>
      <c r="Y168" s="725"/>
      <c r="Z168" s="726"/>
      <c r="AA168" s="1006">
        <v>12.429088761500001</v>
      </c>
      <c r="AB168" s="1007">
        <v>10.433315084</v>
      </c>
      <c r="AC168" s="1007">
        <v>19.393016229137533</v>
      </c>
      <c r="AD168" s="1006">
        <v>7.5</v>
      </c>
      <c r="AE168" s="1006">
        <v>15</v>
      </c>
      <c r="AF168" s="1006">
        <v>20.074203804500002</v>
      </c>
      <c r="AG168" s="1006">
        <v>23.454942230499999</v>
      </c>
      <c r="AH168" s="1006">
        <v>68.544592517340007</v>
      </c>
      <c r="AI168" s="1006">
        <v>51.573080920679999</v>
      </c>
      <c r="AJ168" s="1006">
        <v>10</v>
      </c>
      <c r="AK168" s="1006">
        <v>64.283619999999999</v>
      </c>
      <c r="AL168" s="1006">
        <v>21.4695</v>
      </c>
      <c r="AM168" s="1006">
        <v>63.284700000000001</v>
      </c>
      <c r="AN168" s="1006">
        <v>20</v>
      </c>
      <c r="AO168" s="1006">
        <v>40</v>
      </c>
      <c r="AP168" s="1006">
        <v>108.5305</v>
      </c>
      <c r="AQ168" s="1006">
        <v>119.1927</v>
      </c>
      <c r="AR168" s="1006">
        <v>32.563200000000002</v>
      </c>
      <c r="AS168" s="1006">
        <v>30</v>
      </c>
      <c r="AT168" s="1006">
        <v>85</v>
      </c>
    </row>
    <row r="169" spans="1:46">
      <c r="D169" s="725" t="s">
        <v>850</v>
      </c>
      <c r="E169" s="722"/>
      <c r="F169" s="722"/>
      <c r="G169" s="722"/>
      <c r="H169" s="722"/>
      <c r="I169" s="722"/>
      <c r="J169" s="722"/>
      <c r="K169" s="722"/>
      <c r="L169" s="722"/>
      <c r="M169" s="722"/>
      <c r="N169" s="722"/>
      <c r="O169" s="722"/>
      <c r="P169" s="722"/>
      <c r="Q169" s="722"/>
      <c r="R169" s="722"/>
      <c r="S169" s="722"/>
      <c r="T169" s="722"/>
      <c r="U169" s="722"/>
      <c r="V169" s="722"/>
      <c r="W169" s="722"/>
      <c r="X169" s="722"/>
      <c r="Y169" s="725"/>
      <c r="Z169" s="1145"/>
      <c r="AA169" s="1008">
        <v>9.572381195500002</v>
      </c>
      <c r="AB169" s="1009">
        <v>2.1779593529999999</v>
      </c>
      <c r="AC169" s="1009">
        <v>11.788916226137534</v>
      </c>
      <c r="AD169" s="1008">
        <v>0</v>
      </c>
      <c r="AE169" s="1008">
        <v>0</v>
      </c>
      <c r="AF169" s="1008">
        <v>0</v>
      </c>
      <c r="AG169" s="1008">
        <v>0</v>
      </c>
      <c r="AH169" s="1008">
        <v>0</v>
      </c>
      <c r="AI169" s="1008">
        <v>0</v>
      </c>
      <c r="AJ169" s="1008">
        <v>0</v>
      </c>
      <c r="AK169" s="1008">
        <v>0</v>
      </c>
      <c r="AL169" s="1008">
        <v>0</v>
      </c>
      <c r="AM169" s="1008">
        <v>0</v>
      </c>
      <c r="AN169" s="1008">
        <v>0</v>
      </c>
      <c r="AO169" s="1008">
        <v>0</v>
      </c>
      <c r="AP169" s="1008">
        <v>0</v>
      </c>
      <c r="AQ169" s="1008">
        <v>0</v>
      </c>
      <c r="AR169" s="1008">
        <v>0</v>
      </c>
      <c r="AS169" s="1008">
        <v>0</v>
      </c>
      <c r="AT169" s="1008">
        <v>0</v>
      </c>
    </row>
    <row r="170" spans="1:46">
      <c r="D170" s="725" t="s">
        <v>820</v>
      </c>
      <c r="E170" s="722"/>
      <c r="F170" s="722"/>
      <c r="G170" s="722"/>
      <c r="H170" s="722"/>
      <c r="I170" s="722"/>
      <c r="J170" s="722"/>
      <c r="K170" s="722"/>
      <c r="L170" s="722"/>
      <c r="M170" s="722"/>
      <c r="N170" s="722"/>
      <c r="O170" s="722"/>
      <c r="P170" s="722"/>
      <c r="Q170" s="722"/>
      <c r="R170" s="722"/>
      <c r="S170" s="722"/>
      <c r="T170" s="722"/>
      <c r="U170" s="722"/>
      <c r="V170" s="722"/>
      <c r="W170" s="722"/>
      <c r="X170" s="722"/>
      <c r="Y170" s="726"/>
      <c r="Z170" s="727">
        <v>12.429088761500001</v>
      </c>
      <c r="AA170" s="1010">
        <v>10.433315084</v>
      </c>
      <c r="AB170" s="1011">
        <v>19.393016229137533</v>
      </c>
      <c r="AC170" s="1011">
        <v>7.5</v>
      </c>
      <c r="AD170" s="1010">
        <v>15</v>
      </c>
      <c r="AE170" s="1010">
        <v>20.074203804500002</v>
      </c>
      <c r="AF170" s="1010">
        <v>23.454942230499999</v>
      </c>
      <c r="AG170" s="1010">
        <v>68.544592517340007</v>
      </c>
      <c r="AH170" s="1010">
        <v>51.573080920679999</v>
      </c>
      <c r="AI170" s="1010">
        <v>55</v>
      </c>
      <c r="AJ170" s="1010">
        <v>60</v>
      </c>
      <c r="AK170" s="1010">
        <v>62.378399999999999</v>
      </c>
      <c r="AL170" s="1010">
        <v>95</v>
      </c>
      <c r="AM170" s="1010">
        <v>70</v>
      </c>
      <c r="AN170" s="1010">
        <v>102.9782</v>
      </c>
      <c r="AO170" s="1010">
        <v>40</v>
      </c>
      <c r="AP170" s="1010">
        <v>30</v>
      </c>
      <c r="AQ170" s="1010">
        <v>0</v>
      </c>
      <c r="AR170" s="1010">
        <v>40</v>
      </c>
      <c r="AS170" s="1010">
        <v>50</v>
      </c>
      <c r="AT170" s="1010">
        <v>0</v>
      </c>
    </row>
    <row r="171" spans="1:46">
      <c r="D171" s="725" t="s">
        <v>850</v>
      </c>
      <c r="E171" s="722"/>
      <c r="F171" s="722"/>
      <c r="G171" s="722"/>
      <c r="H171" s="722"/>
      <c r="I171" s="722"/>
      <c r="J171" s="722"/>
      <c r="K171" s="722"/>
      <c r="L171" s="722"/>
      <c r="M171" s="722"/>
      <c r="N171" s="722"/>
      <c r="O171" s="722"/>
      <c r="P171" s="722"/>
      <c r="Q171" s="722"/>
      <c r="R171" s="722"/>
      <c r="S171" s="722"/>
      <c r="T171" s="722"/>
      <c r="U171" s="722"/>
      <c r="V171" s="722"/>
      <c r="W171" s="722"/>
      <c r="X171" s="722"/>
      <c r="Y171" s="729"/>
      <c r="Z171" s="730">
        <v>9.572381195500002</v>
      </c>
      <c r="AA171" s="1012">
        <v>2.1779593529999999</v>
      </c>
      <c r="AB171" s="1013">
        <v>11.788916226137534</v>
      </c>
      <c r="AC171" s="1013">
        <v>0</v>
      </c>
      <c r="AD171" s="1012">
        <v>0</v>
      </c>
      <c r="AE171" s="1012">
        <v>0</v>
      </c>
      <c r="AF171" s="1012">
        <v>0</v>
      </c>
      <c r="AG171" s="1012">
        <v>0</v>
      </c>
      <c r="AH171" s="1012">
        <v>0</v>
      </c>
      <c r="AI171" s="1012">
        <v>0</v>
      </c>
      <c r="AJ171" s="1012">
        <v>0</v>
      </c>
      <c r="AK171" s="1012">
        <v>0</v>
      </c>
      <c r="AL171" s="1012">
        <v>0</v>
      </c>
      <c r="AM171" s="1012">
        <v>0</v>
      </c>
      <c r="AN171" s="1012">
        <v>0</v>
      </c>
      <c r="AO171" s="1012">
        <v>0</v>
      </c>
      <c r="AP171" s="1012">
        <v>0</v>
      </c>
      <c r="AQ171" s="1012">
        <v>0</v>
      </c>
      <c r="AR171" s="1012">
        <v>0</v>
      </c>
      <c r="AS171" s="1012">
        <v>0</v>
      </c>
      <c r="AT171" s="1012">
        <v>0</v>
      </c>
    </row>
    <row r="172" spans="1:46">
      <c r="D172" s="725" t="s">
        <v>124</v>
      </c>
      <c r="E172" s="722"/>
      <c r="F172" s="722"/>
      <c r="G172" s="722"/>
      <c r="H172" s="722"/>
      <c r="I172" s="722"/>
      <c r="J172" s="722"/>
      <c r="K172" s="722"/>
      <c r="L172" s="722"/>
      <c r="M172" s="722"/>
      <c r="N172" s="722"/>
      <c r="O172" s="722"/>
      <c r="P172" s="722"/>
      <c r="Q172" s="722"/>
      <c r="R172" s="722"/>
      <c r="S172" s="722"/>
      <c r="T172" s="722"/>
      <c r="U172" s="722"/>
      <c r="V172" s="722"/>
      <c r="W172" s="722"/>
      <c r="X172" s="722"/>
      <c r="Y172" s="722"/>
      <c r="Z172" s="722"/>
      <c r="AA172" s="1014"/>
      <c r="AB172" s="1015"/>
      <c r="AC172" s="1015"/>
      <c r="AD172" s="1014"/>
      <c r="AE172" s="1016"/>
      <c r="AF172" s="1014"/>
      <c r="AG172" s="722"/>
      <c r="AH172" s="1014"/>
      <c r="AI172" s="1014"/>
      <c r="AJ172" s="1014"/>
      <c r="AK172" s="1014"/>
      <c r="AL172" s="1014"/>
      <c r="AM172" s="1014"/>
      <c r="AN172" s="1014"/>
      <c r="AO172" s="1014"/>
      <c r="AP172" s="1014"/>
      <c r="AQ172" s="1014"/>
      <c r="AR172" s="1014"/>
      <c r="AS172" s="1014"/>
      <c r="AT172" s="1014"/>
    </row>
    <row r="173" spans="1:46">
      <c r="D173" s="725" t="s">
        <v>125</v>
      </c>
      <c r="E173" s="722"/>
      <c r="F173" s="722"/>
      <c r="G173" s="722"/>
      <c r="H173" s="722"/>
      <c r="I173" s="722"/>
      <c r="J173" s="722"/>
      <c r="K173" s="722"/>
      <c r="L173" s="722"/>
      <c r="M173" s="722"/>
      <c r="N173" s="722"/>
      <c r="O173" s="722"/>
      <c r="P173" s="722"/>
      <c r="Q173" s="722"/>
      <c r="R173" s="722"/>
      <c r="S173" s="722"/>
      <c r="T173" s="722"/>
      <c r="U173" s="722"/>
      <c r="V173" s="722"/>
      <c r="W173" s="722"/>
      <c r="X173" s="722"/>
      <c r="Y173" s="722"/>
      <c r="Z173" s="722"/>
      <c r="AA173" s="1014"/>
      <c r="AB173" s="1015"/>
      <c r="AC173" s="1015"/>
      <c r="AD173" s="1014"/>
      <c r="AE173" s="1016"/>
      <c r="AF173" s="1014"/>
      <c r="AG173" s="722"/>
      <c r="AH173" s="1014"/>
      <c r="AI173" s="1014"/>
      <c r="AJ173" s="1014"/>
      <c r="AK173" s="1014"/>
      <c r="AL173" s="1014"/>
      <c r="AM173" s="1014"/>
      <c r="AN173" s="1014"/>
      <c r="AO173" s="1014"/>
      <c r="AP173" s="1014"/>
      <c r="AQ173" s="1014"/>
      <c r="AR173" s="1014"/>
      <c r="AS173" s="1014"/>
      <c r="AT173" s="1014"/>
    </row>
    <row r="174" spans="1:46">
      <c r="D174" s="725" t="s">
        <v>126</v>
      </c>
      <c r="E174" s="722"/>
      <c r="F174" s="722"/>
      <c r="G174" s="722"/>
      <c r="H174" s="722"/>
      <c r="I174" s="722"/>
      <c r="J174" s="722"/>
      <c r="K174" s="722"/>
      <c r="L174" s="722"/>
      <c r="M174" s="722"/>
      <c r="N174" s="722"/>
      <c r="O174" s="722"/>
      <c r="P174" s="722"/>
      <c r="Q174" s="722"/>
      <c r="R174" s="722"/>
      <c r="S174" s="722"/>
      <c r="T174" s="722"/>
      <c r="U174" s="722"/>
      <c r="V174" s="722"/>
      <c r="W174" s="722"/>
      <c r="X174" s="722"/>
      <c r="Y174" s="722"/>
      <c r="Z174" s="722"/>
      <c r="AA174" s="1014"/>
      <c r="AB174" s="1015"/>
      <c r="AC174" s="1015"/>
      <c r="AD174" s="1014"/>
      <c r="AE174" s="1016"/>
      <c r="AF174" s="1014"/>
      <c r="AG174" s="722"/>
      <c r="AH174" s="1014"/>
      <c r="AI174" s="1014"/>
      <c r="AJ174" s="1014"/>
      <c r="AK174" s="1014"/>
      <c r="AL174" s="1014"/>
      <c r="AM174" s="1014"/>
      <c r="AN174" s="1014"/>
      <c r="AO174" s="1014"/>
      <c r="AP174" s="1014"/>
      <c r="AQ174" s="1014"/>
      <c r="AR174" s="1014"/>
      <c r="AS174" s="1014"/>
      <c r="AT174" s="1014"/>
    </row>
    <row r="175" spans="1:46">
      <c r="D175" s="722" t="s">
        <v>851</v>
      </c>
      <c r="E175" s="722"/>
      <c r="F175" s="722"/>
      <c r="G175" s="722"/>
      <c r="H175" s="722"/>
      <c r="I175" s="722"/>
      <c r="J175" s="722"/>
      <c r="K175" s="722"/>
      <c r="L175" s="722"/>
      <c r="M175" s="722"/>
      <c r="N175" s="722"/>
      <c r="O175" s="722"/>
      <c r="P175" s="722"/>
      <c r="Q175" s="722"/>
      <c r="R175" s="722"/>
      <c r="S175" s="722"/>
      <c r="T175" s="722"/>
      <c r="U175" s="722"/>
      <c r="V175" s="722"/>
      <c r="W175" s="725"/>
      <c r="X175" s="725"/>
      <c r="Y175" s="722"/>
      <c r="Z175" s="722"/>
      <c r="AA175" s="1004">
        <v>33.210230725228548</v>
      </c>
      <c r="AB175" s="1005">
        <v>49.081311275147328</v>
      </c>
      <c r="AC175" s="1005">
        <v>64.877978925762903</v>
      </c>
      <c r="AD175" s="1004">
        <v>78.143728777742126</v>
      </c>
      <c r="AE175" s="1004">
        <v>93.799640633950688</v>
      </c>
      <c r="AF175" s="1004">
        <v>129.80447387705269</v>
      </c>
      <c r="AG175" s="1004">
        <v>192.71794059932614</v>
      </c>
      <c r="AH175" s="1004">
        <v>232.59608332762346</v>
      </c>
      <c r="AI175" s="1004">
        <v>246.24392374033576</v>
      </c>
      <c r="AJ175" s="1004">
        <v>282.52703096159996</v>
      </c>
      <c r="AK175" s="1004">
        <v>271.62628368239996</v>
      </c>
      <c r="AL175" s="1004">
        <v>264.31777726300004</v>
      </c>
      <c r="AM175" s="1004">
        <v>254.23453987299999</v>
      </c>
      <c r="AN175" s="1004">
        <v>245.43024586999999</v>
      </c>
      <c r="AO175" s="1004">
        <v>233.90587733400002</v>
      </c>
      <c r="AP175" s="1004">
        <v>224.11721983799998</v>
      </c>
      <c r="AQ175" s="1004">
        <v>210.53541219800002</v>
      </c>
      <c r="AR175" s="1004">
        <v>205.04737923499999</v>
      </c>
      <c r="AS175" s="1004">
        <v>199.820661153</v>
      </c>
      <c r="AT175" s="1004">
        <v>190.50309788599998</v>
      </c>
    </row>
    <row r="176" spans="1:46">
      <c r="D176" s="725" t="s">
        <v>819</v>
      </c>
      <c r="E176" s="722"/>
      <c r="F176" s="722"/>
      <c r="G176" s="722"/>
      <c r="H176" s="722"/>
      <c r="I176" s="722"/>
      <c r="J176" s="722"/>
      <c r="K176" s="722"/>
      <c r="L176" s="722"/>
      <c r="M176" s="722"/>
      <c r="N176" s="722"/>
      <c r="O176" s="722"/>
      <c r="P176" s="722"/>
      <c r="Q176" s="722"/>
      <c r="R176" s="722"/>
      <c r="S176" s="722"/>
      <c r="T176" s="722"/>
      <c r="U176" s="722"/>
      <c r="V176" s="725"/>
      <c r="W176" s="725"/>
      <c r="X176" s="725"/>
      <c r="Y176" s="725"/>
      <c r="Z176" s="726"/>
      <c r="AA176" s="1017">
        <v>13.2</v>
      </c>
      <c r="AB176" s="1007">
        <v>20.010230725228549</v>
      </c>
      <c r="AC176" s="1007">
        <v>29.071080549918776</v>
      </c>
      <c r="AD176" s="1006">
        <v>35.806898375844121</v>
      </c>
      <c r="AE176" s="1006">
        <v>42.336830401897998</v>
      </c>
      <c r="AF176" s="1006">
        <v>51.462810232052689</v>
      </c>
      <c r="AG176" s="1006">
        <v>78.341663644999997</v>
      </c>
      <c r="AH176" s="1006">
        <v>114.37627695432616</v>
      </c>
      <c r="AI176" s="1006">
        <v>119.8829467332973</v>
      </c>
      <c r="AJ176" s="1006">
        <v>137.60987236099999</v>
      </c>
      <c r="AK176" s="1006">
        <v>131.3848138754</v>
      </c>
      <c r="AL176" s="1006">
        <v>125.539656831</v>
      </c>
      <c r="AM176" s="1006">
        <v>121.656783445</v>
      </c>
      <c r="AN176" s="1006">
        <v>115.410382314</v>
      </c>
      <c r="AO176" s="1006">
        <v>109.82464082600001</v>
      </c>
      <c r="AP176" s="1006">
        <v>106.567312112</v>
      </c>
      <c r="AQ176" s="1006">
        <v>99.737151595</v>
      </c>
      <c r="AR176" s="1006">
        <v>93.88129782</v>
      </c>
      <c r="AS176" s="1006">
        <v>90.697000908999996</v>
      </c>
      <c r="AT176" s="1006">
        <v>87.261285709999996</v>
      </c>
    </row>
    <row r="177" spans="4:46">
      <c r="D177" s="725"/>
      <c r="E177" s="722"/>
      <c r="F177" s="722"/>
      <c r="G177" s="722"/>
      <c r="H177" s="722"/>
      <c r="I177" s="722"/>
      <c r="J177" s="722"/>
      <c r="K177" s="722"/>
      <c r="L177" s="722"/>
      <c r="M177" s="722"/>
      <c r="N177" s="722"/>
      <c r="O177" s="722"/>
      <c r="P177" s="722"/>
      <c r="Q177" s="722"/>
      <c r="R177" s="722"/>
      <c r="S177" s="722"/>
      <c r="T177" s="722"/>
      <c r="U177" s="722"/>
      <c r="V177" s="725"/>
      <c r="W177" s="725"/>
      <c r="X177" s="725"/>
      <c r="Y177" s="722"/>
      <c r="Z177" s="726"/>
      <c r="AA177" s="1016"/>
      <c r="AB177" s="1011"/>
      <c r="AC177" s="1011"/>
      <c r="AD177" s="1010"/>
      <c r="AE177" s="1010"/>
      <c r="AF177" s="1010"/>
      <c r="AG177" s="1010"/>
      <c r="AH177" s="1010"/>
      <c r="AI177" s="1010"/>
      <c r="AJ177" s="1010"/>
      <c r="AK177" s="1010"/>
      <c r="AL177" s="1010"/>
      <c r="AM177" s="1010"/>
      <c r="AN177" s="1010"/>
      <c r="AO177" s="1010"/>
      <c r="AP177" s="1010"/>
      <c r="AQ177" s="1010"/>
      <c r="AR177" s="1010"/>
      <c r="AS177" s="1010"/>
      <c r="AT177" s="1010"/>
    </row>
    <row r="178" spans="4:46">
      <c r="D178" s="725" t="s">
        <v>820</v>
      </c>
      <c r="E178" s="722"/>
      <c r="F178" s="722"/>
      <c r="G178" s="722"/>
      <c r="H178" s="722"/>
      <c r="I178" s="722"/>
      <c r="J178" s="722"/>
      <c r="K178" s="722"/>
      <c r="L178" s="722"/>
      <c r="M178" s="722"/>
      <c r="N178" s="722"/>
      <c r="O178" s="722"/>
      <c r="P178" s="722"/>
      <c r="Q178" s="722"/>
      <c r="R178" s="722"/>
      <c r="S178" s="722"/>
      <c r="T178" s="722"/>
      <c r="U178" s="722"/>
      <c r="V178" s="725"/>
      <c r="W178" s="725"/>
      <c r="X178" s="725"/>
      <c r="Y178" s="725"/>
      <c r="Z178" s="731">
        <v>13.2</v>
      </c>
      <c r="AA178" s="1010">
        <v>20.010230725228549</v>
      </c>
      <c r="AB178" s="1011">
        <v>29.071080549918776</v>
      </c>
      <c r="AC178" s="1011">
        <v>35.806898375844121</v>
      </c>
      <c r="AD178" s="1010">
        <v>42.336830401897998</v>
      </c>
      <c r="AE178" s="1010">
        <v>51.462810232052689</v>
      </c>
      <c r="AF178" s="1010">
        <v>78.341663644999997</v>
      </c>
      <c r="AG178" s="1010">
        <v>114.37627695432616</v>
      </c>
      <c r="AH178" s="1010">
        <v>118.2198063732973</v>
      </c>
      <c r="AI178" s="1010">
        <v>126.36097700703846</v>
      </c>
      <c r="AJ178" s="1010">
        <v>144.9171586006</v>
      </c>
      <c r="AK178" s="1010">
        <v>140.24146980699999</v>
      </c>
      <c r="AL178" s="1010">
        <v>138.77812043200001</v>
      </c>
      <c r="AM178" s="1010">
        <v>132.57775642799999</v>
      </c>
      <c r="AN178" s="1010">
        <v>130.01986355599999</v>
      </c>
      <c r="AO178" s="1010">
        <v>124.081236508</v>
      </c>
      <c r="AP178" s="1010">
        <v>117.549907726</v>
      </c>
      <c r="AQ178" s="1010">
        <v>110.798260603</v>
      </c>
      <c r="AR178" s="1010">
        <v>111.16608141499999</v>
      </c>
      <c r="AS178" s="1010">
        <v>109.12366024400001</v>
      </c>
      <c r="AT178" s="1010">
        <v>103.241812176</v>
      </c>
    </row>
    <row r="179" spans="4:46">
      <c r="D179" s="725"/>
      <c r="E179" s="722"/>
      <c r="F179" s="722"/>
      <c r="G179" s="722"/>
      <c r="H179" s="722"/>
      <c r="I179" s="722"/>
      <c r="J179" s="722"/>
      <c r="K179" s="722"/>
      <c r="L179" s="722"/>
      <c r="M179" s="722"/>
      <c r="N179" s="722"/>
      <c r="O179" s="722"/>
      <c r="P179" s="722"/>
      <c r="Q179" s="722"/>
      <c r="R179" s="722"/>
      <c r="S179" s="722"/>
      <c r="T179" s="722"/>
      <c r="U179" s="722"/>
      <c r="V179" s="725"/>
      <c r="W179" s="725"/>
      <c r="X179" s="725"/>
      <c r="Y179" s="722"/>
      <c r="Z179" s="732"/>
      <c r="AA179" s="1018"/>
      <c r="AB179" s="1019"/>
      <c r="AC179" s="1020"/>
      <c r="AD179" s="1018"/>
      <c r="AE179" s="1018"/>
      <c r="AF179" s="1018"/>
      <c r="AG179" s="1018"/>
      <c r="AH179" s="1018"/>
      <c r="AI179" s="1018"/>
      <c r="AJ179" s="1018"/>
      <c r="AK179" s="1018"/>
      <c r="AL179" s="1018"/>
      <c r="AM179" s="1018"/>
      <c r="AN179" s="1018"/>
      <c r="AO179" s="1018"/>
      <c r="AP179" s="1018"/>
      <c r="AQ179" s="1018"/>
      <c r="AR179" s="1018"/>
      <c r="AS179" s="1018"/>
      <c r="AT179" s="1018"/>
    </row>
    <row r="180" spans="4:46">
      <c r="D180" s="722" t="s">
        <v>1195</v>
      </c>
      <c r="E180" s="722"/>
      <c r="F180" s="722"/>
      <c r="G180" s="722"/>
      <c r="H180" s="722"/>
      <c r="I180" s="722"/>
      <c r="J180" s="722"/>
      <c r="K180" s="722"/>
      <c r="L180" s="722"/>
      <c r="M180" s="722"/>
      <c r="N180" s="722"/>
      <c r="O180" s="724">
        <v>140.02100000000002</v>
      </c>
      <c r="P180" s="724">
        <v>144.0685</v>
      </c>
      <c r="Q180" s="724">
        <v>142.8065</v>
      </c>
      <c r="R180" s="724">
        <v>163.78841499999999</v>
      </c>
      <c r="S180" s="724">
        <v>167.13120499999999</v>
      </c>
      <c r="T180" s="724">
        <v>165.89079000000004</v>
      </c>
      <c r="U180" s="724">
        <v>198.32750000000001</v>
      </c>
      <c r="V180" s="728">
        <v>200.65</v>
      </c>
      <c r="W180" s="728">
        <v>213.64999999999998</v>
      </c>
      <c r="X180" s="728">
        <v>278.54648340599999</v>
      </c>
      <c r="Y180" s="724">
        <v>284.56549991399999</v>
      </c>
      <c r="Z180" s="724">
        <v>391.08053316100006</v>
      </c>
      <c r="AA180" s="1004">
        <v>461.401055638</v>
      </c>
      <c r="AB180" s="1005">
        <v>513.69313697600012</v>
      </c>
      <c r="AC180" s="1005">
        <v>579.30934982954716</v>
      </c>
      <c r="AD180" s="1004">
        <v>639.08166552099988</v>
      </c>
      <c r="AE180" s="1004">
        <v>759.93651836200002</v>
      </c>
      <c r="AF180" s="1004">
        <v>1085.0161812029999</v>
      </c>
      <c r="AG180" s="724">
        <v>1268.7847383619999</v>
      </c>
      <c r="AH180" s="1004">
        <v>1583.2339001849998</v>
      </c>
      <c r="AI180" s="1004">
        <v>1772.7497912029999</v>
      </c>
      <c r="AJ180" s="1004">
        <v>1000.038663148</v>
      </c>
      <c r="AK180" s="1004">
        <v>1001.3557001849999</v>
      </c>
      <c r="AL180" s="1004">
        <v>1001.3557001849999</v>
      </c>
      <c r="AM180" s="1004">
        <v>1000.038663148</v>
      </c>
      <c r="AN180" s="1004">
        <v>1000.038663148</v>
      </c>
      <c r="AO180" s="1004">
        <v>1000.038663148</v>
      </c>
      <c r="AP180" s="1004">
        <v>1000.038663148</v>
      </c>
      <c r="AQ180" s="1004">
        <v>998.72162611099998</v>
      </c>
      <c r="AR180" s="1004">
        <v>998.72162611099998</v>
      </c>
      <c r="AS180" s="1004">
        <v>998.72162611099998</v>
      </c>
      <c r="AT180" s="1004">
        <v>998.72162611099998</v>
      </c>
    </row>
    <row r="181" spans="4:46">
      <c r="D181" s="725" t="s">
        <v>127</v>
      </c>
      <c r="E181" s="722"/>
      <c r="F181" s="722"/>
      <c r="G181" s="722"/>
      <c r="H181" s="722"/>
      <c r="I181" s="722"/>
      <c r="J181" s="722"/>
      <c r="K181" s="722"/>
      <c r="L181" s="722"/>
      <c r="M181" s="722"/>
      <c r="N181" s="722"/>
      <c r="O181" s="722"/>
      <c r="P181" s="722"/>
      <c r="Q181" s="722"/>
      <c r="R181" s="722"/>
      <c r="S181" s="722"/>
      <c r="T181" s="722"/>
      <c r="U181" s="722"/>
      <c r="V181" s="725"/>
      <c r="W181" s="725"/>
      <c r="X181" s="725"/>
      <c r="Y181" s="728">
        <v>38.572805901000002</v>
      </c>
      <c r="Z181" s="728">
        <v>38.572805901000002</v>
      </c>
      <c r="AA181" s="1010">
        <v>36.75406898</v>
      </c>
      <c r="AB181" s="1011">
        <v>37.525743448999997</v>
      </c>
      <c r="AC181" s="1011">
        <v>37.525743449000004</v>
      </c>
      <c r="AD181" s="1010">
        <v>34.530849130999997</v>
      </c>
      <c r="AE181" s="1010">
        <v>33.033401972</v>
      </c>
      <c r="AF181" s="1010">
        <v>31.535954813</v>
      </c>
      <c r="AG181" s="728">
        <v>33.033401972</v>
      </c>
      <c r="AH181" s="1010">
        <v>30.168883794999999</v>
      </c>
      <c r="AI181" s="1010">
        <v>31.535954813</v>
      </c>
      <c r="AJ181" s="1010">
        <v>28.851846758000001</v>
      </c>
      <c r="AK181" s="1010">
        <v>30.168883794999999</v>
      </c>
      <c r="AL181" s="1010">
        <v>30.168883794999999</v>
      </c>
      <c r="AM181" s="1010">
        <v>28.851846758000001</v>
      </c>
      <c r="AN181" s="1010">
        <v>28.851846758000001</v>
      </c>
      <c r="AO181" s="1010">
        <v>28.851846758000001</v>
      </c>
      <c r="AP181" s="1010">
        <v>28.851846758000001</v>
      </c>
      <c r="AQ181" s="1010">
        <v>27.534809720999998</v>
      </c>
      <c r="AR181" s="1010">
        <v>27.534809720999998</v>
      </c>
      <c r="AS181" s="1010">
        <v>27.534809720999998</v>
      </c>
      <c r="AT181" s="1010">
        <v>27.534809720999998</v>
      </c>
    </row>
    <row r="182" spans="4:46">
      <c r="D182" s="725" t="s">
        <v>845</v>
      </c>
      <c r="E182" s="722"/>
      <c r="F182" s="722"/>
      <c r="G182" s="722"/>
      <c r="H182" s="722"/>
      <c r="I182" s="722"/>
      <c r="J182" s="722"/>
      <c r="K182" s="722"/>
      <c r="L182" s="722"/>
      <c r="M182" s="722"/>
      <c r="N182" s="722"/>
      <c r="O182" s="722"/>
      <c r="P182" s="722"/>
      <c r="Q182" s="722"/>
      <c r="R182" s="722"/>
      <c r="S182" s="722"/>
      <c r="T182" s="722"/>
      <c r="U182" s="722"/>
      <c r="V182" s="725"/>
      <c r="W182" s="725"/>
      <c r="X182" s="725"/>
      <c r="Y182" s="728">
        <v>157.67567736599997</v>
      </c>
      <c r="Z182" s="728">
        <v>237.86625264200003</v>
      </c>
      <c r="AA182" s="1010">
        <v>269.88347443100002</v>
      </c>
      <c r="AB182" s="1011">
        <v>266.98330000600004</v>
      </c>
      <c r="AC182" s="1011">
        <v>321.77100000000002</v>
      </c>
      <c r="AD182" s="1010">
        <v>363.45785000000001</v>
      </c>
      <c r="AE182" s="1010">
        <v>474.95660000000009</v>
      </c>
      <c r="AF182" s="1010">
        <v>594.65599999999995</v>
      </c>
      <c r="AG182" s="728">
        <v>687.80632000000014</v>
      </c>
      <c r="AH182" s="1010">
        <v>821.88</v>
      </c>
      <c r="AI182" s="1010">
        <v>808.90668499999992</v>
      </c>
      <c r="AJ182" s="1010">
        <v>555.57022100000006</v>
      </c>
      <c r="AK182" s="1010">
        <v>555.57022100000006</v>
      </c>
      <c r="AL182" s="1010">
        <v>555.57022100000006</v>
      </c>
      <c r="AM182" s="1010">
        <v>555.57022100000006</v>
      </c>
      <c r="AN182" s="1010">
        <v>555.57022100000006</v>
      </c>
      <c r="AO182" s="1010">
        <v>555.57022100000006</v>
      </c>
      <c r="AP182" s="1010">
        <v>555.57022100000006</v>
      </c>
      <c r="AQ182" s="1010">
        <v>555.57022100000006</v>
      </c>
      <c r="AR182" s="1010">
        <v>555.57022100000006</v>
      </c>
      <c r="AS182" s="1010">
        <v>555.57022100000006</v>
      </c>
      <c r="AT182" s="1010">
        <v>555.57022100000006</v>
      </c>
    </row>
    <row r="183" spans="4:46">
      <c r="D183" s="725" t="s">
        <v>846</v>
      </c>
      <c r="E183" s="722"/>
      <c r="F183" s="722"/>
      <c r="G183" s="722"/>
      <c r="H183" s="722"/>
      <c r="I183" s="722"/>
      <c r="J183" s="722"/>
      <c r="K183" s="722"/>
      <c r="L183" s="722"/>
      <c r="M183" s="722"/>
      <c r="N183" s="722"/>
      <c r="O183" s="722"/>
      <c r="P183" s="722"/>
      <c r="Q183" s="722"/>
      <c r="R183" s="722"/>
      <c r="S183" s="722"/>
      <c r="T183" s="722"/>
      <c r="U183" s="722"/>
      <c r="V183" s="725"/>
      <c r="W183" s="725"/>
      <c r="X183" s="725"/>
      <c r="Y183" s="728">
        <v>33.701999999999998</v>
      </c>
      <c r="Z183" s="728">
        <v>63.930300000000003</v>
      </c>
      <c r="AA183" s="1010">
        <v>123.1871</v>
      </c>
      <c r="AB183" s="1011">
        <v>181.96360000000004</v>
      </c>
      <c r="AC183" s="1011">
        <v>216.29670000000002</v>
      </c>
      <c r="AD183" s="1010">
        <v>239.82594999999998</v>
      </c>
      <c r="AE183" s="1010">
        <v>250.67949999999999</v>
      </c>
      <c r="AF183" s="1010">
        <v>457.55721</v>
      </c>
      <c r="AG183" s="728">
        <v>546.67799999999988</v>
      </c>
      <c r="AH183" s="1010">
        <v>729.91800000000001</v>
      </c>
      <c r="AI183" s="1010">
        <v>931.04013499999996</v>
      </c>
      <c r="AJ183" s="1010">
        <v>414.34957899999995</v>
      </c>
      <c r="AK183" s="1010">
        <v>414.34957899999995</v>
      </c>
      <c r="AL183" s="1010">
        <v>414.34957899999995</v>
      </c>
      <c r="AM183" s="1010">
        <v>414.34957899999995</v>
      </c>
      <c r="AN183" s="1010">
        <v>414.34957899999995</v>
      </c>
      <c r="AO183" s="1010">
        <v>414.34957899999995</v>
      </c>
      <c r="AP183" s="1010">
        <v>414.34957899999995</v>
      </c>
      <c r="AQ183" s="1010">
        <v>414.34957899999995</v>
      </c>
      <c r="AR183" s="1010">
        <v>414.34957899999995</v>
      </c>
      <c r="AS183" s="1010">
        <v>414.34957899999995</v>
      </c>
      <c r="AT183" s="1010">
        <v>414.34957899999995</v>
      </c>
    </row>
    <row r="184" spans="4:46">
      <c r="D184" s="725" t="s">
        <v>1196</v>
      </c>
      <c r="E184" s="722"/>
      <c r="F184" s="722"/>
      <c r="G184" s="722"/>
      <c r="H184" s="722"/>
      <c r="I184" s="722"/>
      <c r="J184" s="722"/>
      <c r="K184" s="722"/>
      <c r="L184" s="722"/>
      <c r="M184" s="722"/>
      <c r="N184" s="722"/>
      <c r="O184" s="722"/>
      <c r="P184" s="722"/>
      <c r="Q184" s="722"/>
      <c r="R184" s="722"/>
      <c r="S184" s="722"/>
      <c r="T184" s="722"/>
      <c r="U184" s="722"/>
      <c r="V184" s="725"/>
      <c r="W184" s="725"/>
      <c r="X184" s="725"/>
      <c r="Y184" s="728">
        <v>54.615016647000004</v>
      </c>
      <c r="Z184" s="728">
        <v>50.711174618000001</v>
      </c>
      <c r="AA184" s="1010">
        <v>31.576412226999999</v>
      </c>
      <c r="AB184" s="1011">
        <v>27.220493520999998</v>
      </c>
      <c r="AC184" s="1011">
        <v>3.7159063805471728</v>
      </c>
      <c r="AD184" s="1010">
        <v>1.26701639</v>
      </c>
      <c r="AE184" s="1010">
        <v>1.26701639</v>
      </c>
      <c r="AF184" s="1010">
        <v>1.26701639</v>
      </c>
      <c r="AG184" s="728">
        <v>1.26701639</v>
      </c>
      <c r="AH184" s="1010">
        <v>1.26701639</v>
      </c>
      <c r="AI184" s="1010">
        <v>1.26701639</v>
      </c>
      <c r="AJ184" s="1010">
        <v>1.26701639</v>
      </c>
      <c r="AK184" s="1010">
        <v>1.26701639</v>
      </c>
      <c r="AL184" s="1010">
        <v>1.26701639</v>
      </c>
      <c r="AM184" s="1010">
        <v>1.26701639</v>
      </c>
      <c r="AN184" s="1010">
        <v>1.26701639</v>
      </c>
      <c r="AO184" s="1010">
        <v>1.26701639</v>
      </c>
      <c r="AP184" s="1010">
        <v>1.26701639</v>
      </c>
      <c r="AQ184" s="1010">
        <v>1.26701639</v>
      </c>
      <c r="AR184" s="1010">
        <v>1.26701639</v>
      </c>
      <c r="AS184" s="1010">
        <v>1.26701639</v>
      </c>
      <c r="AT184" s="1010">
        <v>1.26701639</v>
      </c>
    </row>
    <row r="185" spans="4:46">
      <c r="D185" s="722" t="s">
        <v>128</v>
      </c>
      <c r="E185" s="722"/>
      <c r="F185" s="722"/>
      <c r="G185" s="722"/>
      <c r="H185" s="722"/>
      <c r="I185" s="722"/>
      <c r="J185" s="722"/>
      <c r="K185" s="722"/>
      <c r="L185" s="722"/>
      <c r="M185" s="722"/>
      <c r="N185" s="722"/>
      <c r="O185" s="722"/>
      <c r="P185" s="722"/>
      <c r="Q185" s="722"/>
      <c r="R185" s="722"/>
      <c r="S185" s="722"/>
      <c r="T185" s="722"/>
      <c r="U185" s="722"/>
      <c r="V185" s="722"/>
      <c r="W185" s="722"/>
      <c r="X185" s="722"/>
      <c r="Y185" s="722"/>
      <c r="Z185" s="722"/>
      <c r="AA185" s="1014"/>
      <c r="AB185" s="1021"/>
      <c r="AC185" s="1021"/>
      <c r="AD185" s="1022"/>
      <c r="AE185" s="1022"/>
      <c r="AF185" s="1004"/>
      <c r="AG185" s="724"/>
      <c r="AH185" s="1004"/>
      <c r="AI185" s="1004"/>
      <c r="AJ185" s="1004"/>
      <c r="AK185" s="1004"/>
      <c r="AL185" s="1004"/>
      <c r="AM185" s="1004"/>
      <c r="AN185" s="1004"/>
      <c r="AO185" s="1004"/>
      <c r="AP185" s="1004"/>
      <c r="AQ185" s="1004"/>
      <c r="AR185" s="1004"/>
      <c r="AS185" s="1004"/>
      <c r="AT185" s="1004"/>
    </row>
    <row r="186" spans="4:46">
      <c r="D186" s="725" t="s">
        <v>129</v>
      </c>
      <c r="E186" s="722"/>
      <c r="F186" s="722"/>
      <c r="G186" s="722"/>
      <c r="H186" s="722"/>
      <c r="I186" s="722"/>
      <c r="J186" s="722"/>
      <c r="K186" s="722"/>
      <c r="L186" s="722"/>
      <c r="M186" s="722"/>
      <c r="N186" s="722"/>
      <c r="O186" s="722"/>
      <c r="P186" s="722"/>
      <c r="Q186" s="722"/>
      <c r="R186" s="722"/>
      <c r="S186" s="722"/>
      <c r="T186" s="722"/>
      <c r="U186" s="722"/>
      <c r="V186" s="722"/>
      <c r="W186" s="722"/>
      <c r="X186" s="722"/>
      <c r="Y186" s="722"/>
      <c r="Z186" s="722"/>
      <c r="AA186" s="1014"/>
      <c r="AB186" s="1011">
        <v>5.4542782431526264</v>
      </c>
      <c r="AC186" s="1011">
        <v>48.828782233560958</v>
      </c>
      <c r="AD186" s="1010">
        <v>61.965777422769982</v>
      </c>
      <c r="AE186" s="1010">
        <v>27.034666387142671</v>
      </c>
      <c r="AF186" s="1010">
        <v>72.779038400942824</v>
      </c>
      <c r="AG186" s="1010">
        <v>72.779038400942824</v>
      </c>
      <c r="AH186" s="1010">
        <v>72.779038400942824</v>
      </c>
      <c r="AI186" s="1010">
        <v>72.779038400942824</v>
      </c>
      <c r="AJ186" s="1010">
        <v>72.779038400942824</v>
      </c>
      <c r="AK186" s="1010">
        <v>72.779038400942824</v>
      </c>
      <c r="AL186" s="1010">
        <v>72.779038400942824</v>
      </c>
      <c r="AM186" s="1010">
        <v>72.779038400942824</v>
      </c>
      <c r="AN186" s="1010">
        <v>72.779038400942824</v>
      </c>
      <c r="AO186" s="1010">
        <v>72.779038400942824</v>
      </c>
      <c r="AP186" s="1010">
        <v>72.779038400942824</v>
      </c>
      <c r="AQ186" s="1010">
        <v>72.779038400942824</v>
      </c>
      <c r="AR186" s="1010">
        <v>72.779038400942824</v>
      </c>
      <c r="AS186" s="1010">
        <v>72.779038400942824</v>
      </c>
      <c r="AT186" s="1010">
        <v>72.779038400942824</v>
      </c>
    </row>
    <row r="187" spans="4:46">
      <c r="D187" s="725" t="s">
        <v>130</v>
      </c>
      <c r="E187" s="722"/>
      <c r="F187" s="722"/>
      <c r="G187" s="722"/>
      <c r="H187" s="722"/>
      <c r="I187" s="722"/>
      <c r="J187" s="722"/>
      <c r="K187" s="722"/>
      <c r="L187" s="722"/>
      <c r="M187" s="722"/>
      <c r="N187" s="722"/>
      <c r="O187" s="722"/>
      <c r="P187" s="722"/>
      <c r="Q187" s="722"/>
      <c r="R187" s="722"/>
      <c r="S187" s="722"/>
      <c r="T187" s="722"/>
      <c r="U187" s="722"/>
      <c r="V187" s="722"/>
      <c r="W187" s="722"/>
      <c r="X187" s="722"/>
      <c r="Y187" s="722"/>
      <c r="Z187" s="722"/>
      <c r="AA187" s="1014"/>
      <c r="AB187" s="1011">
        <v>7.4840532532670574</v>
      </c>
      <c r="AC187" s="1011">
        <v>3.2867031079575884</v>
      </c>
      <c r="AD187" s="1010">
        <v>7.0382012711150077</v>
      </c>
      <c r="AE187" s="1010">
        <v>0</v>
      </c>
      <c r="AF187" s="1010">
        <v>0</v>
      </c>
      <c r="AG187" s="1010">
        <v>0</v>
      </c>
      <c r="AH187" s="1010">
        <v>0</v>
      </c>
      <c r="AI187" s="1010">
        <v>0</v>
      </c>
      <c r="AJ187" s="1010">
        <v>0</v>
      </c>
      <c r="AK187" s="1010">
        <v>0</v>
      </c>
      <c r="AL187" s="1010">
        <v>0</v>
      </c>
      <c r="AM187" s="1010">
        <v>0</v>
      </c>
      <c r="AN187" s="1010">
        <v>0</v>
      </c>
      <c r="AO187" s="1010">
        <v>0</v>
      </c>
      <c r="AP187" s="1010">
        <v>0</v>
      </c>
      <c r="AQ187" s="1010">
        <v>0</v>
      </c>
      <c r="AR187" s="1010">
        <v>0</v>
      </c>
      <c r="AS187" s="1010">
        <v>0</v>
      </c>
      <c r="AT187" s="1010">
        <v>0</v>
      </c>
    </row>
    <row r="188" spans="4:46">
      <c r="D188" s="725" t="s">
        <v>131</v>
      </c>
      <c r="E188" s="722"/>
      <c r="F188" s="722"/>
      <c r="G188" s="722"/>
      <c r="H188" s="722"/>
      <c r="I188" s="722"/>
      <c r="J188" s="722"/>
      <c r="K188" s="722"/>
      <c r="L188" s="722"/>
      <c r="M188" s="722"/>
      <c r="N188" s="722"/>
      <c r="O188" s="722"/>
      <c r="P188" s="722"/>
      <c r="Q188" s="722"/>
      <c r="R188" s="722"/>
      <c r="S188" s="722"/>
      <c r="T188" s="722"/>
      <c r="U188" s="722"/>
      <c r="V188" s="722"/>
      <c r="W188" s="722"/>
      <c r="X188" s="722"/>
      <c r="Y188" s="722"/>
      <c r="Z188" s="722"/>
      <c r="AA188" s="1014"/>
      <c r="AB188" s="1011">
        <v>60.463190668310872</v>
      </c>
      <c r="AC188" s="1011">
        <v>42.487868107385125</v>
      </c>
      <c r="AD188" s="1010">
        <v>66.82720865843001</v>
      </c>
      <c r="AE188" s="1010">
        <v>34.465333612857314</v>
      </c>
      <c r="AF188" s="1010">
        <v>42.020961599057159</v>
      </c>
      <c r="AG188" s="1010">
        <v>57.020961599057159</v>
      </c>
      <c r="AH188" s="1010">
        <v>145.57596159905717</v>
      </c>
      <c r="AI188" s="1010">
        <v>77.020961599057159</v>
      </c>
      <c r="AJ188" s="1010">
        <v>77.020961599057159</v>
      </c>
      <c r="AK188" s="1010">
        <v>136.30458159905714</v>
      </c>
      <c r="AL188" s="1010">
        <v>95.868861599057155</v>
      </c>
      <c r="AM188" s="1010">
        <v>170.30566159905715</v>
      </c>
      <c r="AN188" s="1010">
        <v>102.02096159905716</v>
      </c>
      <c r="AO188" s="1010">
        <v>114.99916159905716</v>
      </c>
      <c r="AP188" s="1010">
        <v>52.020961599057159</v>
      </c>
      <c r="AQ188" s="1010">
        <v>154.99916159905715</v>
      </c>
      <c r="AR188" s="1010">
        <v>52.020961599057159</v>
      </c>
      <c r="AS188" s="1010">
        <v>120.55146159905716</v>
      </c>
      <c r="AT188" s="1010">
        <v>160.55146159905715</v>
      </c>
    </row>
    <row r="189" spans="4:46">
      <c r="D189" s="725" t="s">
        <v>130</v>
      </c>
      <c r="E189" s="722"/>
      <c r="F189" s="722"/>
      <c r="G189" s="722"/>
      <c r="H189" s="722"/>
      <c r="I189" s="722"/>
      <c r="J189" s="722"/>
      <c r="K189" s="722"/>
      <c r="L189" s="722"/>
      <c r="M189" s="722"/>
      <c r="N189" s="722"/>
      <c r="O189" s="722"/>
      <c r="P189" s="722"/>
      <c r="Q189" s="722"/>
      <c r="R189" s="722"/>
      <c r="S189" s="722"/>
      <c r="T189" s="722"/>
      <c r="U189" s="722"/>
      <c r="V189" s="722"/>
      <c r="W189" s="722"/>
      <c r="X189" s="722"/>
      <c r="Y189" s="722"/>
      <c r="Z189" s="722"/>
      <c r="AA189" s="1014"/>
      <c r="AB189" s="1011">
        <v>54.767224566615958</v>
      </c>
      <c r="AC189" s="1011">
        <v>29.269686868769561</v>
      </c>
      <c r="AD189" s="1010">
        <v>52.058818708390078</v>
      </c>
      <c r="AE189" s="1010">
        <v>18.608067796610168</v>
      </c>
      <c r="AF189" s="1010">
        <v>18.608067796610168</v>
      </c>
      <c r="AG189" s="1010">
        <v>27.912101694915251</v>
      </c>
      <c r="AH189" s="1010">
        <v>82.840016485875708</v>
      </c>
      <c r="AI189" s="1010">
        <v>40.317480225988696</v>
      </c>
      <c r="AJ189" s="1010">
        <v>40.317480225988696</v>
      </c>
      <c r="AK189" s="1010">
        <v>77.089267565604516</v>
      </c>
      <c r="AL189" s="1010">
        <v>52.008246926779655</v>
      </c>
      <c r="AM189" s="1010">
        <v>98.179080958870045</v>
      </c>
      <c r="AN189" s="1010">
        <v>55.824203389830501</v>
      </c>
      <c r="AO189" s="1010">
        <v>63.874177572429375</v>
      </c>
      <c r="AP189" s="1010">
        <v>24.810757062146891</v>
      </c>
      <c r="AQ189" s="1010">
        <v>88.684934634576251</v>
      </c>
      <c r="AR189" s="1010">
        <v>24.810757062146891</v>
      </c>
      <c r="AS189" s="1010">
        <v>67.318096733333334</v>
      </c>
      <c r="AT189" s="1010">
        <v>92.128853795480211</v>
      </c>
    </row>
    <row r="190" spans="4:46">
      <c r="D190" s="725" t="s">
        <v>847</v>
      </c>
      <c r="E190" s="722"/>
      <c r="F190" s="722"/>
      <c r="G190" s="722"/>
      <c r="H190" s="722"/>
      <c r="I190" s="722"/>
      <c r="J190" s="722"/>
      <c r="K190" s="722"/>
      <c r="L190" s="722"/>
      <c r="M190" s="722"/>
      <c r="N190" s="722"/>
      <c r="O190" s="722"/>
      <c r="P190" s="722"/>
      <c r="Q190" s="722"/>
      <c r="R190" s="722"/>
      <c r="S190" s="722"/>
      <c r="T190" s="722"/>
      <c r="U190" s="722"/>
      <c r="V190" s="722"/>
      <c r="W190" s="722"/>
      <c r="X190" s="722"/>
      <c r="Y190" s="722"/>
      <c r="Z190" s="722"/>
      <c r="AA190" s="1014"/>
      <c r="AB190" s="1011">
        <v>0</v>
      </c>
      <c r="AC190" s="1011">
        <v>0</v>
      </c>
      <c r="AD190" s="1010">
        <v>0</v>
      </c>
      <c r="AE190" s="1010">
        <v>0</v>
      </c>
      <c r="AF190" s="1010">
        <v>0</v>
      </c>
      <c r="AG190" s="1010">
        <v>0</v>
      </c>
      <c r="AH190" s="1010">
        <v>0</v>
      </c>
      <c r="AI190" s="1010">
        <v>0</v>
      </c>
      <c r="AJ190" s="1010">
        <v>0</v>
      </c>
      <c r="AK190" s="1010">
        <v>0</v>
      </c>
      <c r="AL190" s="1010">
        <v>0</v>
      </c>
      <c r="AM190" s="1010">
        <v>0</v>
      </c>
      <c r="AN190" s="1010">
        <v>0</v>
      </c>
      <c r="AO190" s="1010">
        <v>0</v>
      </c>
      <c r="AP190" s="1010">
        <v>0</v>
      </c>
      <c r="AQ190" s="1010">
        <v>0</v>
      </c>
      <c r="AR190" s="1010">
        <v>0</v>
      </c>
      <c r="AS190" s="1010">
        <v>0</v>
      </c>
      <c r="AT190" s="1010">
        <v>0</v>
      </c>
    </row>
    <row r="191" spans="4:46">
      <c r="D191" s="725" t="s">
        <v>848</v>
      </c>
      <c r="E191" s="722"/>
      <c r="F191" s="722"/>
      <c r="G191" s="722"/>
      <c r="H191" s="722"/>
      <c r="I191" s="722"/>
      <c r="J191" s="722"/>
      <c r="K191" s="722"/>
      <c r="L191" s="722"/>
      <c r="M191" s="722"/>
      <c r="N191" s="722"/>
      <c r="O191" s="722"/>
      <c r="P191" s="722"/>
      <c r="Q191" s="722"/>
      <c r="R191" s="722"/>
      <c r="S191" s="722"/>
      <c r="T191" s="722"/>
      <c r="U191" s="722"/>
      <c r="V191" s="722"/>
      <c r="W191" s="722"/>
      <c r="X191" s="722"/>
      <c r="Y191" s="722"/>
      <c r="Z191" s="722"/>
      <c r="AA191" s="1014"/>
      <c r="AB191" s="1023">
        <v>3.3254754867570981</v>
      </c>
      <c r="AC191" s="1023">
        <v>10.376804839694437</v>
      </c>
      <c r="AD191" s="1024">
        <v>18.000135529848254</v>
      </c>
      <c r="AE191" s="1024">
        <v>25.62049799095599</v>
      </c>
      <c r="AF191" s="1024">
        <v>25.48680375</v>
      </c>
      <c r="AG191" s="1024">
        <v>42</v>
      </c>
      <c r="AH191" s="1024">
        <v>17.745075</v>
      </c>
      <c r="AI191" s="1024">
        <v>0</v>
      </c>
      <c r="AJ191" s="1024">
        <v>0</v>
      </c>
      <c r="AK191" s="1024">
        <v>14.78</v>
      </c>
      <c r="AL191" s="1024">
        <v>15.5</v>
      </c>
      <c r="AM191" s="1024">
        <v>15.5</v>
      </c>
      <c r="AN191" s="1024">
        <v>15.5</v>
      </c>
      <c r="AO191" s="1024">
        <v>15.5</v>
      </c>
      <c r="AP191" s="1024">
        <v>15.5</v>
      </c>
      <c r="AQ191" s="1024">
        <v>15.5</v>
      </c>
      <c r="AR191" s="1024">
        <v>15.5</v>
      </c>
      <c r="AS191" s="1024">
        <v>15.5</v>
      </c>
      <c r="AT191" s="1024">
        <v>15.5</v>
      </c>
    </row>
    <row r="192" spans="4:46">
      <c r="D192" s="722" t="s">
        <v>849</v>
      </c>
      <c r="E192" s="722"/>
      <c r="F192" s="722"/>
      <c r="G192" s="722"/>
      <c r="H192" s="722"/>
      <c r="I192" s="722"/>
      <c r="J192" s="722"/>
      <c r="K192" s="722"/>
      <c r="L192" s="722"/>
      <c r="M192" s="722"/>
      <c r="N192" s="722"/>
      <c r="O192" s="722"/>
      <c r="P192" s="722"/>
      <c r="Q192" s="722"/>
      <c r="R192" s="722"/>
      <c r="S192" s="722"/>
      <c r="T192" s="722"/>
      <c r="U192" s="722"/>
      <c r="V192" s="722"/>
      <c r="W192" s="722"/>
      <c r="X192" s="722"/>
      <c r="Y192" s="733">
        <v>21.78</v>
      </c>
      <c r="Z192" s="734">
        <v>21.869908928919699</v>
      </c>
      <c r="AA192" s="1004">
        <v>25851.85400997</v>
      </c>
      <c r="AB192" s="1005">
        <v>34055.337669619352</v>
      </c>
      <c r="AC192" s="1005">
        <v>27711.41576224663</v>
      </c>
      <c r="AD192" s="1004">
        <v>26971.091693616021</v>
      </c>
      <c r="AE192" s="1004">
        <v>24019.34197956137</v>
      </c>
      <c r="AF192" s="1004">
        <v>22794.367442057715</v>
      </c>
      <c r="AG192" s="1004">
        <v>21663.178523462597</v>
      </c>
      <c r="AH192" s="1004">
        <v>0</v>
      </c>
      <c r="AI192" s="1004">
        <v>0</v>
      </c>
      <c r="AJ192" s="1004">
        <v>0</v>
      </c>
      <c r="AK192" s="1004">
        <v>0</v>
      </c>
      <c r="AL192" s="1004">
        <v>0</v>
      </c>
      <c r="AM192" s="1004">
        <v>0</v>
      </c>
      <c r="AN192" s="1004">
        <v>0</v>
      </c>
      <c r="AO192" s="1004">
        <v>0</v>
      </c>
      <c r="AP192" s="1004">
        <v>0</v>
      </c>
      <c r="AQ192" s="1004">
        <v>0</v>
      </c>
      <c r="AR192" s="1004">
        <v>0</v>
      </c>
      <c r="AS192" s="1004">
        <v>0</v>
      </c>
      <c r="AT192" s="1004">
        <v>0</v>
      </c>
    </row>
    <row r="193" spans="1:47">
      <c r="D193" s="735" t="s">
        <v>1197</v>
      </c>
      <c r="E193" s="722"/>
      <c r="F193" s="722"/>
      <c r="G193" s="722"/>
      <c r="H193" s="722"/>
      <c r="I193" s="722"/>
      <c r="J193" s="722"/>
      <c r="K193" s="722"/>
      <c r="L193" s="722"/>
      <c r="M193" s="722"/>
      <c r="N193" s="722"/>
      <c r="O193" s="722"/>
      <c r="P193" s="722"/>
      <c r="Q193" s="722"/>
      <c r="R193" s="722"/>
      <c r="S193" s="722"/>
      <c r="T193" s="722"/>
      <c r="U193" s="722" t="s">
        <v>3787</v>
      </c>
      <c r="V193" s="722"/>
      <c r="W193" s="722"/>
      <c r="X193" s="722"/>
      <c r="Y193" s="736"/>
      <c r="Z193" s="736">
        <v>807.199344</v>
      </c>
      <c r="AA193" s="1025">
        <v>807.199344</v>
      </c>
      <c r="AB193" s="1026">
        <v>1063.5886093447609</v>
      </c>
      <c r="AC193" s="1026">
        <v>1035.3043912175649</v>
      </c>
      <c r="AD193" s="1025">
        <v>1067.6760724936912</v>
      </c>
      <c r="AE193" s="1025">
        <v>1022.4802897933092</v>
      </c>
      <c r="AF193" s="1026">
        <v>1065.4269301918023</v>
      </c>
      <c r="AG193" s="1025">
        <v>1143.5239206534422</v>
      </c>
      <c r="AH193" s="1026">
        <v>1069.5834150807664</v>
      </c>
      <c r="AI193" s="1026">
        <v>0</v>
      </c>
      <c r="AJ193" s="1025">
        <v>0</v>
      </c>
      <c r="AK193" s="1025">
        <v>0</v>
      </c>
      <c r="AL193" s="1025">
        <v>0</v>
      </c>
      <c r="AM193" s="1025">
        <v>0</v>
      </c>
      <c r="AN193" s="1025">
        <v>0</v>
      </c>
      <c r="AO193" s="1025">
        <v>0</v>
      </c>
      <c r="AP193" s="1025">
        <v>0</v>
      </c>
      <c r="AQ193" s="1025">
        <v>0</v>
      </c>
      <c r="AR193" s="1025">
        <v>0</v>
      </c>
      <c r="AS193" s="1025">
        <v>0</v>
      </c>
      <c r="AT193" s="1025">
        <v>0</v>
      </c>
    </row>
    <row r="194" spans="1:47">
      <c r="D194" s="14"/>
      <c r="U194"/>
      <c r="W194"/>
      <c r="Y194"/>
      <c r="AA194"/>
      <c r="AB194"/>
      <c r="AC194"/>
      <c r="AD194"/>
      <c r="AE194"/>
    </row>
    <row r="195" spans="1:47">
      <c r="D195" s="14"/>
      <c r="U195"/>
      <c r="W195"/>
      <c r="Y195"/>
      <c r="AA195"/>
      <c r="AB195"/>
      <c r="AC195"/>
      <c r="AD195"/>
      <c r="AE195"/>
    </row>
    <row r="196" spans="1:47">
      <c r="D196" s="85" t="s">
        <v>97</v>
      </c>
      <c r="E196" s="69"/>
      <c r="F196" s="69"/>
      <c r="G196" s="69"/>
      <c r="H196" s="69"/>
      <c r="I196" s="69"/>
      <c r="J196" s="69"/>
      <c r="K196" s="69"/>
      <c r="L196" s="69"/>
      <c r="M196" s="69"/>
      <c r="N196" s="69"/>
      <c r="O196" s="69"/>
      <c r="P196" s="69"/>
      <c r="Q196" s="69"/>
      <c r="R196" s="69"/>
      <c r="S196" s="69"/>
      <c r="T196" s="69"/>
      <c r="U196" s="69"/>
      <c r="V196" s="69"/>
      <c r="W196" s="69"/>
      <c r="X196" s="69"/>
      <c r="Y196" s="69"/>
      <c r="Z196" s="69"/>
      <c r="AA196" s="69"/>
      <c r="AB196" s="69"/>
      <c r="AC196" s="69"/>
      <c r="AD196" s="69"/>
      <c r="AE196" s="69"/>
    </row>
    <row r="198" spans="1:47" customFormat="1" ht="14.5">
      <c r="A198" s="93"/>
      <c r="B198" s="92"/>
      <c r="C198" s="92"/>
      <c r="D198" s="66" t="s">
        <v>3387</v>
      </c>
      <c r="E198" s="9"/>
      <c r="F198" s="9"/>
      <c r="G198" s="9"/>
      <c r="H198" s="9"/>
      <c r="I198" s="9"/>
      <c r="J198" s="9"/>
      <c r="K198" s="9"/>
      <c r="L198" s="9"/>
      <c r="M198" s="9"/>
      <c r="N198" s="9"/>
      <c r="O198" s="9"/>
      <c r="P198" s="9"/>
      <c r="Q198" s="9"/>
      <c r="R198" s="9"/>
      <c r="S198" s="9"/>
      <c r="T198" s="9"/>
      <c r="U198" s="14">
        <v>2010</v>
      </c>
      <c r="V198" s="555" t="s">
        <v>756</v>
      </c>
      <c r="W198" s="555">
        <v>2012</v>
      </c>
      <c r="X198" s="555">
        <v>2013</v>
      </c>
      <c r="Y198" s="555">
        <v>2014</v>
      </c>
      <c r="Z198" s="555">
        <v>2015</v>
      </c>
      <c r="AA198" s="555">
        <v>2016</v>
      </c>
      <c r="AB198" s="555">
        <v>2017</v>
      </c>
      <c r="AC198" s="555">
        <v>2018</v>
      </c>
      <c r="AD198" s="555">
        <v>2019</v>
      </c>
      <c r="AE198" s="555">
        <v>2020</v>
      </c>
      <c r="AF198" s="555">
        <v>2021</v>
      </c>
      <c r="AG198" s="555">
        <v>2022</v>
      </c>
      <c r="AH198" s="555">
        <v>2023</v>
      </c>
      <c r="AI198" s="555">
        <v>2024</v>
      </c>
      <c r="AJ198" s="555">
        <v>2025</v>
      </c>
      <c r="AK198" s="555">
        <v>2026</v>
      </c>
      <c r="AL198" s="555">
        <v>2027</v>
      </c>
      <c r="AM198" s="555">
        <v>2028</v>
      </c>
      <c r="AN198" s="555">
        <v>2029</v>
      </c>
      <c r="AO198" s="555">
        <v>2030</v>
      </c>
      <c r="AP198" s="555">
        <v>2031</v>
      </c>
      <c r="AQ198" s="555">
        <v>2032</v>
      </c>
      <c r="AR198" s="555">
        <v>2033</v>
      </c>
      <c r="AS198" s="555">
        <v>2034</v>
      </c>
      <c r="AT198" s="555">
        <v>2035</v>
      </c>
    </row>
    <row r="199" spans="1:47" customFormat="1" ht="15" thickBot="1">
      <c r="A199" s="93"/>
      <c r="B199" s="92"/>
      <c r="C199" s="92"/>
      <c r="D199" s="1255" t="s">
        <v>86</v>
      </c>
      <c r="E199" s="1256"/>
      <c r="F199" s="1255"/>
      <c r="G199" s="1255"/>
      <c r="H199" s="1255"/>
      <c r="I199" s="1255">
        <v>1998</v>
      </c>
      <c r="J199" s="1255">
        <v>1999</v>
      </c>
      <c r="K199" s="1255">
        <v>2000</v>
      </c>
      <c r="L199" s="1255">
        <v>2001</v>
      </c>
      <c r="M199" s="1255">
        <v>2002</v>
      </c>
      <c r="N199" s="1255">
        <v>2003</v>
      </c>
      <c r="O199" s="1255">
        <v>2004</v>
      </c>
      <c r="P199" s="1257">
        <v>2005</v>
      </c>
      <c r="Q199" s="1255">
        <v>2006</v>
      </c>
      <c r="R199" s="1255">
        <v>2007</v>
      </c>
      <c r="S199" s="1255">
        <v>2008</v>
      </c>
      <c r="T199" s="1255">
        <v>2009</v>
      </c>
      <c r="U199" s="1255">
        <v>2010</v>
      </c>
      <c r="V199" s="1257">
        <v>2011</v>
      </c>
      <c r="W199" s="1258">
        <v>2012</v>
      </c>
      <c r="X199" s="1258">
        <v>2013</v>
      </c>
      <c r="Y199" s="1258">
        <v>2014</v>
      </c>
      <c r="Z199" s="1258">
        <v>2015</v>
      </c>
      <c r="AA199" s="1258">
        <v>2016</v>
      </c>
      <c r="AB199" s="1258">
        <v>2017</v>
      </c>
      <c r="AC199" s="1257">
        <v>2018</v>
      </c>
      <c r="AD199" s="1257">
        <v>2019</v>
      </c>
      <c r="AE199" s="1259">
        <v>2020</v>
      </c>
      <c r="AF199" s="1259">
        <v>2021</v>
      </c>
      <c r="AG199" s="1259">
        <v>2022</v>
      </c>
      <c r="AH199" s="1259">
        <v>2023</v>
      </c>
      <c r="AI199" s="1259">
        <v>2024</v>
      </c>
      <c r="AJ199" s="1259">
        <v>2025</v>
      </c>
      <c r="AK199" s="1259">
        <v>2026</v>
      </c>
      <c r="AL199" s="912">
        <v>2027</v>
      </c>
      <c r="AM199" s="912">
        <v>2028</v>
      </c>
      <c r="AN199" s="912">
        <v>2029</v>
      </c>
      <c r="AO199" s="912">
        <v>2030</v>
      </c>
      <c r="AP199" s="912">
        <v>2031</v>
      </c>
      <c r="AQ199" s="912">
        <v>2032</v>
      </c>
      <c r="AR199" s="912">
        <v>2033</v>
      </c>
      <c r="AS199" s="912">
        <v>2034</v>
      </c>
      <c r="AT199" s="912">
        <v>2035</v>
      </c>
    </row>
    <row r="200" spans="1:47" customFormat="1" ht="14.5">
      <c r="A200" s="93"/>
      <c r="B200" s="92"/>
      <c r="C200" s="92"/>
      <c r="D200" s="1260" t="s">
        <v>87</v>
      </c>
      <c r="E200" s="1261"/>
      <c r="F200" s="1260"/>
      <c r="G200" s="1260"/>
      <c r="H200" s="1260"/>
      <c r="I200" s="1262"/>
      <c r="J200" s="1262"/>
      <c r="K200" s="1262">
        <v>8.4000000000000005E-2</v>
      </c>
      <c r="L200" s="1262">
        <v>8.5000000000000006E-2</v>
      </c>
      <c r="M200" s="1262">
        <v>0.13200000000000001</v>
      </c>
      <c r="N200" s="1262">
        <v>2.1999999999999999E-2</v>
      </c>
      <c r="O200" s="1262">
        <v>7.3999999999999996E-2</v>
      </c>
      <c r="P200" s="1262">
        <v>9.4E-2</v>
      </c>
      <c r="Q200" s="1262">
        <v>9.1999999999999998E-2</v>
      </c>
      <c r="R200" s="1262">
        <v>7.5999999999999998E-2</v>
      </c>
      <c r="S200" s="1262">
        <v>0.112</v>
      </c>
      <c r="T200" s="1262">
        <v>6.2E-2</v>
      </c>
      <c r="U200" s="1262">
        <v>7.2999999999999995E-2</v>
      </c>
      <c r="V200" s="1262">
        <v>0.08</v>
      </c>
      <c r="W200" s="1262">
        <v>8.5999999999999993E-2</v>
      </c>
      <c r="X200" s="1263">
        <v>4.7E-2</v>
      </c>
      <c r="Y200" s="1263">
        <v>6.2E-2</v>
      </c>
      <c r="Z200" s="1264">
        <v>8.8999999999999996E-2</v>
      </c>
      <c r="AA200" s="1265">
        <v>0.06</v>
      </c>
      <c r="AB200" s="1265">
        <v>3.9E-2</v>
      </c>
      <c r="AC200" s="1265">
        <v>8.5000000000000006E-2</v>
      </c>
      <c r="AD200" s="1265">
        <v>9.4E-2</v>
      </c>
      <c r="AE200" s="1265">
        <v>-3.4000000000000002E-2</v>
      </c>
      <c r="AF200" s="1265">
        <v>0.109</v>
      </c>
      <c r="AG200" s="1265">
        <v>8.2000000000000003E-2</v>
      </c>
      <c r="AH200" s="1266">
        <v>8.2000000000000003E-2</v>
      </c>
      <c r="AI200" s="1266">
        <v>8.8999999999999996E-2</v>
      </c>
      <c r="AJ200" s="1266">
        <v>7.1410682648699611E-2</v>
      </c>
      <c r="AK200" s="1266">
        <v>7.4632282562129615E-2</v>
      </c>
      <c r="AL200" s="1052">
        <v>7.385220410245516E-2</v>
      </c>
      <c r="AM200" s="1052">
        <v>6.9615567954076668E-2</v>
      </c>
      <c r="AN200" s="1052">
        <v>6.9701041232851549E-2</v>
      </c>
      <c r="AO200" s="1052">
        <v>7.0361794225299701E-2</v>
      </c>
      <c r="AP200" s="1052">
        <v>5.1986961035478833E-2</v>
      </c>
      <c r="AQ200" s="1052">
        <v>4.0735677496983931E-2</v>
      </c>
      <c r="AR200" s="1052">
        <v>0.15667359496775465</v>
      </c>
      <c r="AS200" s="1052">
        <v>-1.4945791408635993</v>
      </c>
      <c r="AT200" s="1052">
        <v>-0.88021741032603351</v>
      </c>
      <c r="AU200" s="1143"/>
    </row>
    <row r="201" spans="1:47" customFormat="1" ht="14.5">
      <c r="A201" s="93"/>
      <c r="B201" s="95"/>
      <c r="C201" s="92"/>
      <c r="D201" s="1260" t="s">
        <v>1182</v>
      </c>
      <c r="E201" s="1261"/>
      <c r="F201" s="1260"/>
      <c r="G201" s="1260"/>
      <c r="H201" s="1260"/>
      <c r="I201" s="1262"/>
      <c r="J201" s="1262"/>
      <c r="K201" s="1262">
        <v>8.4000000000000075E-2</v>
      </c>
      <c r="L201" s="1262">
        <v>8.4999999999999964E-2</v>
      </c>
      <c r="M201" s="1262">
        <v>0.13200000000000012</v>
      </c>
      <c r="N201" s="1262">
        <v>2.200000000000002E-2</v>
      </c>
      <c r="O201" s="1262">
        <v>7.4000000000000066E-2</v>
      </c>
      <c r="P201" s="1262">
        <v>9.4000000000000083E-2</v>
      </c>
      <c r="Q201" s="1262">
        <v>9.2000000000000082E-2</v>
      </c>
      <c r="R201" s="1262">
        <v>7.6000000000000068E-2</v>
      </c>
      <c r="S201" s="1262">
        <v>0.1120000000000001</v>
      </c>
      <c r="T201" s="1262">
        <v>6.2000000000000055E-2</v>
      </c>
      <c r="U201" s="1262">
        <v>7.2999999999999954E-2</v>
      </c>
      <c r="V201" s="1262">
        <v>8.0000000000000071E-2</v>
      </c>
      <c r="W201" s="1262">
        <v>0.13767239293491418</v>
      </c>
      <c r="X201" s="1263">
        <v>7.5499787324542655E-2</v>
      </c>
      <c r="Y201" s="1263">
        <v>0.11192406565157209</v>
      </c>
      <c r="Z201" s="1263">
        <v>9.3722212342166156E-2</v>
      </c>
      <c r="AA201" s="1267">
        <v>0.11300813008130084</v>
      </c>
      <c r="AB201" s="1267">
        <v>0.12406632578524479</v>
      </c>
      <c r="AC201" s="1262">
        <v>7.8617572587472706E-2</v>
      </c>
      <c r="AD201" s="1262">
        <v>0.12152011968474774</v>
      </c>
      <c r="AE201" s="1262">
        <v>3.0815303715826081E-2</v>
      </c>
      <c r="AF201" s="1262">
        <v>0.14157098477393104</v>
      </c>
      <c r="AG201" s="1262">
        <v>0.25262910804980376</v>
      </c>
      <c r="AH201" s="1262">
        <v>0.21184509835491916</v>
      </c>
      <c r="AI201" s="1262">
        <v>0.12987208812975015</v>
      </c>
      <c r="AJ201" s="1262">
        <v>0.13288932652816587</v>
      </c>
      <c r="AK201" s="1262">
        <v>0.12889746848229189</v>
      </c>
      <c r="AL201" s="913">
        <v>0.12798407563851666</v>
      </c>
      <c r="AM201" s="913">
        <v>0.12362995292961831</v>
      </c>
      <c r="AN201" s="913">
        <v>0.12368746029918287</v>
      </c>
      <c r="AO201" s="913">
        <v>0.12338807589941081</v>
      </c>
      <c r="AP201" s="913">
        <v>1.0528432565809931E-2</v>
      </c>
      <c r="AQ201" s="913">
        <v>9.986215709145374E-2</v>
      </c>
      <c r="AR201" s="913">
        <v>0.22489530584342821</v>
      </c>
      <c r="AS201" s="913">
        <v>-1.519422591296443</v>
      </c>
      <c r="AT201" s="913">
        <v>-0.87364369884439885</v>
      </c>
      <c r="AU201" s="1143"/>
    </row>
    <row r="202" spans="1:47" customFormat="1" ht="14.5">
      <c r="A202" s="93"/>
      <c r="B202" s="95"/>
      <c r="C202" s="92"/>
      <c r="D202" s="1268" t="s">
        <v>743</v>
      </c>
      <c r="E202" s="1269"/>
      <c r="F202" s="1268"/>
      <c r="G202" s="1268"/>
      <c r="H202" s="1268"/>
      <c r="I202" s="1270"/>
      <c r="J202" s="1270"/>
      <c r="K202" s="1270"/>
      <c r="L202" s="1270"/>
      <c r="M202" s="1270"/>
      <c r="N202" s="1270"/>
      <c r="O202" s="1270"/>
      <c r="P202" s="1270"/>
      <c r="Q202" s="1270"/>
      <c r="R202" s="1270"/>
      <c r="S202" s="1270"/>
      <c r="T202" s="1270"/>
      <c r="U202" s="1270"/>
      <c r="V202" s="1270"/>
      <c r="W202" s="1270">
        <v>0.11174235225576234</v>
      </c>
      <c r="X202" s="1271">
        <v>2.1702839575848509E-2</v>
      </c>
      <c r="Y202" s="1271">
        <v>5.3596414785964663E-2</v>
      </c>
      <c r="Z202" s="1272">
        <v>3.7325757114230473E-2</v>
      </c>
      <c r="AA202" s="1271">
        <v>1.7309947499795086E-2</v>
      </c>
      <c r="AB202" s="1271">
        <v>6.4308457517180839E-2</v>
      </c>
      <c r="AC202" s="1270">
        <v>4.1471379750886328E-2</v>
      </c>
      <c r="AD202" s="1270">
        <v>7.1593482780814899E-2</v>
      </c>
      <c r="AE202" s="1270">
        <v>-1.7161216026550186E-2</v>
      </c>
      <c r="AF202" s="1270">
        <v>8.9503798529638745E-2</v>
      </c>
      <c r="AG202" s="1270">
        <v>0.20093611844717585</v>
      </c>
      <c r="AH202" s="1270">
        <v>7.1664385484423443E-2</v>
      </c>
      <c r="AI202" s="1270">
        <v>-2.1970683787725376E-3</v>
      </c>
      <c r="AJ202" s="1270">
        <v>4.0350617126546195E-2</v>
      </c>
      <c r="AK202" s="1270">
        <v>5.146605445308805E-2</v>
      </c>
      <c r="AL202" s="914">
        <v>6.1710705225186846E-2</v>
      </c>
      <c r="AM202" s="914">
        <v>6.5199127029458293E-2</v>
      </c>
      <c r="AN202" s="914">
        <v>7.2795107050098951E-2</v>
      </c>
      <c r="AO202" s="914">
        <v>7.2390531083811327E-2</v>
      </c>
      <c r="AP202" s="914">
        <v>-3.759196898494277E-2</v>
      </c>
      <c r="AQ202" s="914">
        <v>4.748776865852733E-2</v>
      </c>
      <c r="AR202" s="914">
        <v>0.16656695794612197</v>
      </c>
      <c r="AS202" s="914">
        <v>-1.4946881821870885</v>
      </c>
      <c r="AT202" s="914">
        <v>-0.87966066556609412</v>
      </c>
      <c r="AU202" s="1143"/>
    </row>
    <row r="203" spans="1:47" customFormat="1" ht="14.5">
      <c r="A203" s="93"/>
      <c r="B203" s="95"/>
      <c r="C203" s="92"/>
      <c r="D203" s="1260" t="s">
        <v>88</v>
      </c>
      <c r="E203" s="1273" t="s">
        <v>292</v>
      </c>
      <c r="F203" s="1260"/>
      <c r="G203" s="1260"/>
      <c r="H203" s="1260"/>
      <c r="I203" s="1262"/>
      <c r="J203" s="1262"/>
      <c r="K203" s="1262"/>
      <c r="L203" s="1262"/>
      <c r="M203" s="1262"/>
      <c r="N203" s="1262"/>
      <c r="O203" s="1262"/>
      <c r="P203" s="1262"/>
      <c r="Q203" s="1262"/>
      <c r="R203" s="1262"/>
      <c r="S203" s="1262"/>
      <c r="T203" s="1262"/>
      <c r="U203" s="1262"/>
      <c r="V203" s="1262"/>
      <c r="W203" s="1262">
        <v>3.8461538461538547E-2</v>
      </c>
      <c r="X203" s="1263">
        <v>3.7037037037036979E-2</v>
      </c>
      <c r="Y203" s="1263">
        <v>4.7619047619047672E-2</v>
      </c>
      <c r="Z203" s="1263">
        <v>0</v>
      </c>
      <c r="AA203" s="1262">
        <v>5.032250200946109E-2</v>
      </c>
      <c r="AB203" s="1262">
        <v>8.1665449233016663E-2</v>
      </c>
      <c r="AC203" s="1274">
        <v>-6.0332874583912677E-3</v>
      </c>
      <c r="AD203" s="1274">
        <v>2.4711601980004216E-2</v>
      </c>
      <c r="AE203" s="1274">
        <v>6.6805832133319587E-2</v>
      </c>
      <c r="AF203" s="1274">
        <v>2.9755903780936954E-2</v>
      </c>
      <c r="AG203" s="1274">
        <v>0.15811302088738532</v>
      </c>
      <c r="AH203" s="1274">
        <v>0.11948848666316647</v>
      </c>
      <c r="AI203" s="1274">
        <v>3.7620768715626474E-2</v>
      </c>
      <c r="AJ203" s="1274">
        <v>5.7381025665602881E-2</v>
      </c>
      <c r="AK203" s="2013">
        <v>5.0496515692589838E-2</v>
      </c>
      <c r="AL203" s="2014">
        <v>5.040905194333134E-2</v>
      </c>
      <c r="AM203" s="2014">
        <v>5.0498876973956497E-2</v>
      </c>
      <c r="AN203" s="2014">
        <v>5.0468698248728128E-2</v>
      </c>
      <c r="AO203" s="2014">
        <v>4.9540521681727512E-2</v>
      </c>
      <c r="AP203" s="2014">
        <v>-3.9409736056862377E-2</v>
      </c>
      <c r="AQ203" s="2014">
        <v>5.681219628856371E-2</v>
      </c>
      <c r="AR203" s="2014">
        <v>5.8980952943405995E-2</v>
      </c>
      <c r="AS203" s="2014">
        <v>5.0231496600248837E-2</v>
      </c>
      <c r="AT203" s="2014">
        <v>5.4880358652518391E-2</v>
      </c>
      <c r="AU203" s="1143"/>
    </row>
    <row r="204" spans="1:47" customFormat="1" ht="14.5">
      <c r="A204" s="93"/>
      <c r="B204" s="95"/>
      <c r="C204" s="92"/>
      <c r="D204" s="1261" t="s">
        <v>1183</v>
      </c>
      <c r="E204" s="1273"/>
      <c r="F204" s="1261"/>
      <c r="G204" s="1261"/>
      <c r="H204" s="1261"/>
      <c r="I204" s="1275"/>
      <c r="J204" s="1275"/>
      <c r="K204" s="1275"/>
      <c r="L204" s="1275"/>
      <c r="M204" s="1275"/>
      <c r="N204" s="1275"/>
      <c r="O204" s="1275"/>
      <c r="P204" s="1275"/>
      <c r="Q204" s="1275"/>
      <c r="R204" s="1275"/>
      <c r="S204" s="1275"/>
      <c r="T204" s="1275"/>
      <c r="U204" s="1275"/>
      <c r="V204" s="1275"/>
      <c r="W204" s="1276"/>
      <c r="X204" s="1277"/>
      <c r="Y204" s="1277"/>
      <c r="Z204" s="1277">
        <v>3.9933586689979261E-2</v>
      </c>
      <c r="AA204" s="1278">
        <v>4.9345919978154518E-2</v>
      </c>
      <c r="AB204" s="1278">
        <v>5.8974804513554302E-2</v>
      </c>
      <c r="AC204" s="1276">
        <v>-1.4511209847146711E-3</v>
      </c>
      <c r="AD204" s="1276">
        <v>2.5255519810797988E-2</v>
      </c>
      <c r="AE204" s="1276">
        <v>0.10031617914014679</v>
      </c>
      <c r="AF204" s="1276">
        <v>-3.0548321856871063E-2</v>
      </c>
      <c r="AG204" s="1276">
        <v>0.1353588218848174</v>
      </c>
      <c r="AH204" s="1276">
        <v>0.16038617467812988</v>
      </c>
      <c r="AI204" s="1276">
        <v>2.3132686896803145E-2</v>
      </c>
      <c r="AJ204" s="1276">
        <v>4.6677139179486904E-2</v>
      </c>
      <c r="AK204" s="1276">
        <v>1.9768081702696172E-2</v>
      </c>
      <c r="AL204" s="915">
        <v>1.8613176536838694E-2</v>
      </c>
      <c r="AM204" s="915">
        <v>2.5936955615388113E-2</v>
      </c>
      <c r="AN204" s="915">
        <v>4.1710033094798593E-2</v>
      </c>
      <c r="AO204" s="915">
        <v>-7.119565490916302E-3</v>
      </c>
      <c r="AP204" s="915">
        <v>4.7863023315068309E-2</v>
      </c>
      <c r="AQ204" s="915">
        <v>4.9392492698310031E-2</v>
      </c>
      <c r="AR204" s="915">
        <v>5.1575108684232873E-2</v>
      </c>
      <c r="AS204" s="915">
        <v>4.2142946799032188E-2</v>
      </c>
      <c r="AT204" s="915">
        <v>4.7251499755431636E-2</v>
      </c>
      <c r="AU204" s="1143"/>
    </row>
    <row r="205" spans="1:47" customFormat="1" ht="14.5">
      <c r="A205" s="93"/>
      <c r="B205" s="95"/>
      <c r="C205" s="92"/>
      <c r="D205" s="1261" t="s">
        <v>1184</v>
      </c>
      <c r="E205" s="1273"/>
      <c r="F205" s="1261"/>
      <c r="G205" s="1261"/>
      <c r="H205" s="1261"/>
      <c r="I205" s="1279"/>
      <c r="J205" s="1279">
        <v>221</v>
      </c>
      <c r="K205" s="1279">
        <v>244</v>
      </c>
      <c r="L205" s="1279">
        <v>269</v>
      </c>
      <c r="M205" s="1279">
        <v>275</v>
      </c>
      <c r="N205" s="1279">
        <v>373</v>
      </c>
      <c r="O205" s="1279">
        <v>452</v>
      </c>
      <c r="P205" s="1279">
        <v>535</v>
      </c>
      <c r="Q205" s="1279">
        <v>493</v>
      </c>
      <c r="R205" s="1279">
        <v>539</v>
      </c>
      <c r="S205" s="1279">
        <v>647</v>
      </c>
      <c r="T205" s="1279">
        <v>765</v>
      </c>
      <c r="U205" s="1279">
        <v>804</v>
      </c>
      <c r="V205" s="1279">
        <v>918</v>
      </c>
      <c r="W205" s="1279">
        <v>1079</v>
      </c>
      <c r="X205" s="1279">
        <v>1192</v>
      </c>
      <c r="Y205" s="1279">
        <v>1301</v>
      </c>
      <c r="Z205" s="1279">
        <v>1386</v>
      </c>
      <c r="AA205" s="1279">
        <v>1617</v>
      </c>
      <c r="AB205" s="1279">
        <v>1889.2279999999998</v>
      </c>
      <c r="AC205" s="1279">
        <v>1905.0519999999999</v>
      </c>
      <c r="AD205" s="1280">
        <v>2078.0969999999998</v>
      </c>
      <c r="AE205" s="1280">
        <v>2422.4630000000002</v>
      </c>
      <c r="AF205" s="1280">
        <v>2503.058</v>
      </c>
      <c r="AG205" s="1280">
        <v>3205.826</v>
      </c>
      <c r="AH205" s="1280">
        <v>4225.8180000000002</v>
      </c>
      <c r="AI205" s="1280">
        <v>4360.067</v>
      </c>
      <c r="AJ205" s="1280">
        <v>4802.4276369777108</v>
      </c>
      <c r="AK205" s="1280">
        <v>5160.6198675076303</v>
      </c>
      <c r="AL205" s="916">
        <v>5544.2454431408214</v>
      </c>
      <c r="AM205" s="916">
        <v>5999.6628101021615</v>
      </c>
      <c r="AN205" s="916">
        <v>6595.3952055565278</v>
      </c>
      <c r="AO205" s="916">
        <v>6907.2434558868963</v>
      </c>
      <c r="AP205" s="916">
        <v>7679.9446318845276</v>
      </c>
      <c r="AQ205" s="916">
        <v>8557.1855256903418</v>
      </c>
      <c r="AR205" s="916">
        <v>9560.6061929414573</v>
      </c>
      <c r="AS205" s="916">
        <v>10593.219260407473</v>
      </c>
      <c r="AT205" s="916">
        <v>11802.337284340676</v>
      </c>
      <c r="AU205" s="1143"/>
    </row>
    <row r="206" spans="1:47" customFormat="1" ht="14.5">
      <c r="A206" s="93"/>
      <c r="B206" s="95"/>
      <c r="C206" s="92"/>
      <c r="D206" s="1261" t="s">
        <v>1185</v>
      </c>
      <c r="E206" s="1273"/>
      <c r="F206" s="1261"/>
      <c r="G206" s="1261"/>
      <c r="H206" s="1261"/>
      <c r="I206" s="1279"/>
      <c r="J206" s="1279">
        <v>350.35</v>
      </c>
      <c r="K206" s="1279">
        <v>400.70000000000005</v>
      </c>
      <c r="L206" s="1279">
        <v>410.54999999999995</v>
      </c>
      <c r="M206" s="1279">
        <v>457</v>
      </c>
      <c r="N206" s="1279">
        <v>522.20000000000005</v>
      </c>
      <c r="O206" s="1279">
        <v>596.25</v>
      </c>
      <c r="P206" s="1279">
        <v>722.75</v>
      </c>
      <c r="Q206" s="1279">
        <v>902.8</v>
      </c>
      <c r="R206" s="1279">
        <v>1116.55</v>
      </c>
      <c r="S206" s="1279">
        <v>1507.8000000000002</v>
      </c>
      <c r="T206" s="1279">
        <v>1708.9</v>
      </c>
      <c r="U206" s="1279">
        <v>1908.6</v>
      </c>
      <c r="V206" s="1279">
        <v>2126.9</v>
      </c>
      <c r="W206" s="1280">
        <v>2499</v>
      </c>
      <c r="X206" s="1281">
        <v>2633.521312142836</v>
      </c>
      <c r="Y206" s="1280">
        <v>2936.1799275014337</v>
      </c>
      <c r="Z206" s="1282">
        <v>3207.6511626038209</v>
      </c>
      <c r="AA206" s="1280">
        <v>3383.4659224306561</v>
      </c>
      <c r="AB206" s="1280">
        <v>3531.3786879604322</v>
      </c>
      <c r="AC206" s="1283">
        <v>3887.7865454282737</v>
      </c>
      <c r="AD206" s="1283">
        <v>4369.7002578811735</v>
      </c>
      <c r="AE206" s="1280">
        <v>4488.2827652475826</v>
      </c>
      <c r="AF206" s="1280">
        <v>5212.0127704636252</v>
      </c>
      <c r="AG206" s="1280">
        <v>6321.3385370686401</v>
      </c>
      <c r="AH206" s="1280">
        <v>7091.9826901101596</v>
      </c>
      <c r="AI206" s="1280">
        <v>7709.9603761493208</v>
      </c>
      <c r="AJ206" s="1280">
        <v>8185.4953534313372</v>
      </c>
      <c r="AK206" s="1280">
        <v>9011.4413297030587</v>
      </c>
      <c r="AL206" s="916">
        <v>10595.773552023093</v>
      </c>
      <c r="AM206" s="916">
        <v>12058.214131852224</v>
      </c>
      <c r="AN206" s="916">
        <v>13438.159854668258</v>
      </c>
      <c r="AO206" s="916">
        <v>16002.232316634632</v>
      </c>
      <c r="AP206" s="916">
        <v>14598.3695749815</v>
      </c>
      <c r="AQ206" s="916">
        <v>16220.97665139508</v>
      </c>
      <c r="AR206" s="916">
        <v>23227.014572447806</v>
      </c>
      <c r="AS206" s="916">
        <v>-59358.204805414098</v>
      </c>
      <c r="AT206" s="916">
        <v>-38798.887510042798</v>
      </c>
      <c r="AU206" s="1143"/>
    </row>
    <row r="207" spans="1:47" customFormat="1" ht="14.5">
      <c r="A207" s="93"/>
      <c r="B207" s="95"/>
      <c r="C207" s="92"/>
      <c r="D207" s="1260" t="s">
        <v>99</v>
      </c>
      <c r="E207" s="1273"/>
      <c r="F207" s="1260"/>
      <c r="G207" s="1260"/>
      <c r="H207" s="1260"/>
      <c r="I207" s="1284"/>
      <c r="J207" s="1284">
        <v>720</v>
      </c>
      <c r="K207" s="1284">
        <v>806</v>
      </c>
      <c r="L207" s="1284">
        <v>871</v>
      </c>
      <c r="M207" s="1284">
        <v>934</v>
      </c>
      <c r="N207" s="1284">
        <v>1149</v>
      </c>
      <c r="O207" s="1284">
        <v>1372</v>
      </c>
      <c r="P207" s="1284">
        <v>1636</v>
      </c>
      <c r="Q207" s="1284">
        <v>1831</v>
      </c>
      <c r="R207" s="1284">
        <v>2225</v>
      </c>
      <c r="S207" s="1284">
        <v>2831</v>
      </c>
      <c r="T207" s="1284">
        <v>3223</v>
      </c>
      <c r="U207" s="1284">
        <v>3569</v>
      </c>
      <c r="V207" s="1285">
        <v>4133</v>
      </c>
      <c r="W207" s="1286">
        <v>4702</v>
      </c>
      <c r="X207" s="1287">
        <v>5057</v>
      </c>
      <c r="Y207" s="1286">
        <v>5623</v>
      </c>
      <c r="Z207" s="1287">
        <v>6150</v>
      </c>
      <c r="AA207" s="1286">
        <v>6845</v>
      </c>
      <c r="AB207" s="1286">
        <v>7694.2340000000004</v>
      </c>
      <c r="AC207" s="1296">
        <v>8299.1360000000004</v>
      </c>
      <c r="AD207" s="1296">
        <v>9307.6479999999992</v>
      </c>
      <c r="AE207" s="1429">
        <v>9594.4660000000003</v>
      </c>
      <c r="AF207" s="1430">
        <v>10952.763999999999</v>
      </c>
      <c r="AG207" s="1288">
        <v>13719.751</v>
      </c>
      <c r="AH207" s="1430">
        <v>16626.213</v>
      </c>
      <c r="AI207" s="1430">
        <v>18785.493999999999</v>
      </c>
      <c r="AJ207" s="1296">
        <v>21281.885646158898</v>
      </c>
      <c r="AK207" s="1296">
        <v>24025.066830478405</v>
      </c>
      <c r="AL207" s="1144">
        <v>27099.892800930771</v>
      </c>
      <c r="AM207" s="1144">
        <v>30450.251272307542</v>
      </c>
      <c r="AN207" s="1144">
        <v>34216.565517651223</v>
      </c>
      <c r="AO207" s="1144">
        <v>38438.481700760334</v>
      </c>
      <c r="AP207" s="1144">
        <v>38843.178663278908</v>
      </c>
      <c r="AQ207" s="1144">
        <v>42722.142272882673</v>
      </c>
      <c r="AR207" s="1144">
        <v>52330.151525629073</v>
      </c>
      <c r="AS207" s="1144">
        <v>-27181.462908377765</v>
      </c>
      <c r="AT207" s="1144">
        <v>-3434.5491131007834</v>
      </c>
      <c r="AU207" s="1143"/>
    </row>
    <row r="208" spans="1:47" customFormat="1" ht="14.5">
      <c r="A208" s="93"/>
      <c r="B208" s="95"/>
      <c r="C208" s="92"/>
      <c r="D208" s="1260" t="s">
        <v>1256</v>
      </c>
      <c r="E208" s="1273"/>
      <c r="F208" s="1260"/>
      <c r="G208" s="1260"/>
      <c r="H208" s="1260"/>
      <c r="I208" s="1284"/>
      <c r="J208" s="1284">
        <v>0</v>
      </c>
      <c r="K208" s="1284">
        <v>0</v>
      </c>
      <c r="L208" s="1284">
        <v>0</v>
      </c>
      <c r="M208" s="1284">
        <v>0</v>
      </c>
      <c r="N208" s="1284">
        <v>0</v>
      </c>
      <c r="O208" s="1284">
        <v>0</v>
      </c>
      <c r="P208" s="1284">
        <v>0</v>
      </c>
      <c r="Q208" s="1284">
        <v>0</v>
      </c>
      <c r="R208" s="1284">
        <v>2031</v>
      </c>
      <c r="S208" s="1284">
        <v>2466</v>
      </c>
      <c r="T208" s="1284">
        <v>3097</v>
      </c>
      <c r="U208" s="1284">
        <v>3373</v>
      </c>
      <c r="V208" s="1284">
        <v>3822</v>
      </c>
      <c r="W208" s="1284">
        <v>4425</v>
      </c>
      <c r="X208" s="1284">
        <v>4908</v>
      </c>
      <c r="Y208" s="1284">
        <v>5337</v>
      </c>
      <c r="Z208" s="1284">
        <v>5835</v>
      </c>
      <c r="AA208" s="1284">
        <v>6553</v>
      </c>
      <c r="AB208" s="1284">
        <v>7234</v>
      </c>
      <c r="AC208" s="1284">
        <v>8016</v>
      </c>
      <c r="AD208" s="1284">
        <v>8718</v>
      </c>
      <c r="AE208" s="1285">
        <v>9386</v>
      </c>
      <c r="AF208" s="1284">
        <v>10271</v>
      </c>
      <c r="AG208" s="1284">
        <v>11998</v>
      </c>
      <c r="AH208" s="1284">
        <v>15291</v>
      </c>
      <c r="AI208" s="1284">
        <v>17747</v>
      </c>
      <c r="AJ208" s="1894">
        <v>20033.689823079447</v>
      </c>
      <c r="AK208" s="1895">
        <v>22653.476238318653</v>
      </c>
      <c r="AL208" s="1144">
        <v>25562.479815704588</v>
      </c>
      <c r="AM208" s="1144">
        <v>28775.072036619156</v>
      </c>
      <c r="AN208" s="1144">
        <v>32333.408394979382</v>
      </c>
      <c r="AO208" s="1144">
        <v>36327.523609205775</v>
      </c>
      <c r="AP208" s="1144">
        <v>38640.830182019621</v>
      </c>
      <c r="AQ208" s="1144">
        <v>40782.660468080794</v>
      </c>
      <c r="AR208" s="1144">
        <v>47526.146899255873</v>
      </c>
      <c r="AS208" s="1144">
        <v>12574.344308625654</v>
      </c>
      <c r="AT208" s="1144">
        <v>12574.344308625654</v>
      </c>
      <c r="AU208" s="1143"/>
    </row>
    <row r="209" spans="1:47" customFormat="1" ht="14.5">
      <c r="A209" s="93"/>
      <c r="B209" s="95"/>
      <c r="C209" s="92"/>
      <c r="D209" s="1268" t="s">
        <v>744</v>
      </c>
      <c r="E209" s="1289"/>
      <c r="F209" s="1268"/>
      <c r="G209" s="1268"/>
      <c r="H209" s="1268"/>
      <c r="I209" s="1290"/>
      <c r="J209" s="1290">
        <v>2156.0635131392978</v>
      </c>
      <c r="K209" s="1290">
        <v>2068.2777135848492</v>
      </c>
      <c r="L209" s="1290">
        <v>1966.175942234607</v>
      </c>
      <c r="M209" s="1290">
        <v>1964.8049923156443</v>
      </c>
      <c r="N209" s="1290">
        <v>2137.0582112881634</v>
      </c>
      <c r="O209" s="1290">
        <v>2375.9675060294071</v>
      </c>
      <c r="P209" s="1290">
        <v>2932.8318365261321</v>
      </c>
      <c r="Q209" s="1290">
        <v>3318.7705384045148</v>
      </c>
      <c r="R209" s="1290">
        <v>4067.9763417465783</v>
      </c>
      <c r="S209" s="1290">
        <v>5176.9351246307197</v>
      </c>
      <c r="T209" s="1290">
        <v>5671.4867228872536</v>
      </c>
      <c r="U209" s="1290">
        <v>6120.4096021373589</v>
      </c>
      <c r="V209" s="1291">
        <v>6884.9688092358401</v>
      </c>
      <c r="W209" s="1292">
        <v>7654.3114191874074</v>
      </c>
      <c r="X209" s="1293">
        <v>7820.4317119816169</v>
      </c>
      <c r="Y209" s="1292">
        <v>8239.5788138222961</v>
      </c>
      <c r="Z209" s="1293">
        <v>8547.1273313505862</v>
      </c>
      <c r="AA209" s="1292">
        <v>8695.0776567303292</v>
      </c>
      <c r="AB209" s="1292">
        <v>9254.2446888267605</v>
      </c>
      <c r="AC209" s="1292">
        <v>9638.0309846247183</v>
      </c>
      <c r="AD209" s="1292">
        <v>10328.051189963408</v>
      </c>
      <c r="AE209" s="1292">
        <v>10150.809272359176</v>
      </c>
      <c r="AF209" s="1292">
        <v>11059.3452603852</v>
      </c>
      <c r="AG209" s="1292">
        <v>13281.567169574173</v>
      </c>
      <c r="AH209" s="1292">
        <v>14233.3825190518</v>
      </c>
      <c r="AI209" s="1292">
        <v>14202.110804396218</v>
      </c>
      <c r="AJ209" s="1292">
        <v>14775.174739853195</v>
      </c>
      <c r="AK209" s="1292">
        <v>15535.594687568371</v>
      </c>
      <c r="AL209" s="918">
        <v>16494.307191830881</v>
      </c>
      <c r="AM209" s="918">
        <v>17569.721621693971</v>
      </c>
      <c r="AN209" s="918">
        <v>18848.711387985622</v>
      </c>
      <c r="AO209" s="918">
        <v>20213.179615607383</v>
      </c>
      <c r="AP209" s="918">
        <v>19453.326394410393</v>
      </c>
      <c r="AQ209" s="918">
        <v>20377.121457866975</v>
      </c>
      <c r="AR209" s="918">
        <v>23771.276590802521</v>
      </c>
      <c r="AS209" s="918">
        <v>-11759.36960497059</v>
      </c>
      <c r="AT209" s="918">
        <v>-1415.1147116244636</v>
      </c>
      <c r="AU209" s="1143"/>
    </row>
    <row r="210" spans="1:47">
      <c r="A210" s="97"/>
      <c r="D210" s="1294" t="s">
        <v>2380</v>
      </c>
      <c r="E210" s="1289"/>
      <c r="F210" s="1268"/>
      <c r="G210" s="1268"/>
      <c r="H210" s="1268"/>
      <c r="I210" s="1290"/>
      <c r="J210" s="1295">
        <v>2144.6914938712453</v>
      </c>
      <c r="K210" s="1295">
        <v>2048.6737135848493</v>
      </c>
      <c r="L210" s="1295">
        <v>1943.6909422346071</v>
      </c>
      <c r="M210" s="1295">
        <v>1945.7549923156444</v>
      </c>
      <c r="N210" s="1295">
        <v>2106.5256191269441</v>
      </c>
      <c r="O210" s="1295">
        <v>2342.3127341325903</v>
      </c>
      <c r="P210" s="1295">
        <v>2903.6592331324223</v>
      </c>
      <c r="Q210" s="1295">
        <v>3289.3272065882393</v>
      </c>
      <c r="R210" s="1295">
        <v>4050.7581886468229</v>
      </c>
      <c r="S210" s="1295">
        <v>5139.9285623130627</v>
      </c>
      <c r="T210" s="1295">
        <v>5634.6937182312786</v>
      </c>
      <c r="U210" s="1295">
        <v>6081.6145951580065</v>
      </c>
      <c r="V210" s="1295">
        <v>6834.8352645259711</v>
      </c>
      <c r="W210" s="1295">
        <v>7535.0243596818746</v>
      </c>
      <c r="X210" s="1295">
        <v>7649.0014299886534</v>
      </c>
      <c r="Y210" s="1295">
        <v>8056.6969563571265</v>
      </c>
      <c r="Z210" s="1295">
        <v>8422.752709901406</v>
      </c>
      <c r="AA210" s="1295">
        <v>8388.9696200664403</v>
      </c>
      <c r="AB210" s="1295">
        <v>8978.0234921087813</v>
      </c>
      <c r="AC210" s="1295">
        <v>9309.848236729762</v>
      </c>
      <c r="AD210" s="1295">
        <v>10004.207626490643</v>
      </c>
      <c r="AE210" s="1295">
        <v>9951.3374531509126</v>
      </c>
      <c r="AF210" s="1295">
        <v>10878.96006844835</v>
      </c>
      <c r="AG210" s="1295">
        <v>13032.234615862351</v>
      </c>
      <c r="AH210" s="1295">
        <v>13955.848297515202</v>
      </c>
      <c r="AI210" s="1295">
        <v>13868.736613728201</v>
      </c>
      <c r="AJ210" s="1295">
        <v>14388.820532272293</v>
      </c>
      <c r="AK210" s="1296">
        <v>15033.703260349952</v>
      </c>
      <c r="AL210" s="1089">
        <v>15933.306408992337</v>
      </c>
      <c r="AM210" s="1089">
        <v>16940.03053872176</v>
      </c>
      <c r="AN210" s="1089">
        <v>18178.859437374791</v>
      </c>
      <c r="AO210" s="1089">
        <v>19516.879254671363</v>
      </c>
      <c r="AP210" s="1089">
        <v>18768.516504196439</v>
      </c>
      <c r="AQ210" s="1089">
        <v>19745.31380600046</v>
      </c>
      <c r="AR210" s="1089">
        <v>23157.05771434505</v>
      </c>
      <c r="AS210" s="1089">
        <v>-12435.035375752208</v>
      </c>
      <c r="AT210" s="1089">
        <v>-2128.9090624903374</v>
      </c>
      <c r="AU210" s="1143"/>
    </row>
    <row r="211" spans="1:47">
      <c r="A211" s="97"/>
      <c r="D211" s="1294" t="s">
        <v>1160</v>
      </c>
      <c r="E211" s="1289"/>
      <c r="F211" s="1268"/>
      <c r="G211" s="1268"/>
      <c r="H211" s="1268"/>
      <c r="I211" s="1290"/>
      <c r="J211" s="1295">
        <v>285.95886584949938</v>
      </c>
      <c r="K211" s="1295">
        <v>266.06152124478564</v>
      </c>
      <c r="L211" s="1295">
        <v>246.0368281309629</v>
      </c>
      <c r="M211" s="1295">
        <v>240.21666571798079</v>
      </c>
      <c r="N211" s="1295">
        <v>253.79826736469204</v>
      </c>
      <c r="O211" s="1295">
        <v>272.361945829371</v>
      </c>
      <c r="P211" s="1295">
        <v>329.96127649232068</v>
      </c>
      <c r="Q211" s="1295">
        <v>365.48080073202658</v>
      </c>
      <c r="R211" s="1295">
        <v>440.29980311378512</v>
      </c>
      <c r="S211" s="1295">
        <v>541.04511182242766</v>
      </c>
      <c r="T211" s="1295">
        <v>580.89625961147203</v>
      </c>
      <c r="U211" s="1295">
        <v>608.16145951580063</v>
      </c>
      <c r="V211" s="1295">
        <v>670.08188867901686</v>
      </c>
      <c r="W211" s="1295">
        <v>717.62136758874999</v>
      </c>
      <c r="X211" s="1295">
        <v>714.85994672791162</v>
      </c>
      <c r="Y211" s="1295">
        <v>732.42699603246604</v>
      </c>
      <c r="Z211" s="1295">
        <v>745.37634600897388</v>
      </c>
      <c r="AA211" s="1295">
        <v>729.47561913621223</v>
      </c>
      <c r="AB211" s="1295">
        <v>760.84944848379496</v>
      </c>
      <c r="AC211" s="1295">
        <v>769.40894518427785</v>
      </c>
      <c r="AD211" s="1295">
        <v>806.79093762021307</v>
      </c>
      <c r="AE211" s="1295">
        <v>783.56987820085931</v>
      </c>
      <c r="AF211" s="1295">
        <v>836.84308218833462</v>
      </c>
      <c r="AG211" s="1295">
        <v>979.86726435055266</v>
      </c>
      <c r="AH211" s="1295">
        <v>1026.1653159937648</v>
      </c>
      <c r="AI211" s="1295">
        <v>1005.0857197158604</v>
      </c>
      <c r="AJ211" s="1295">
        <v>1020.1245116363134</v>
      </c>
      <c r="AK211" s="1296">
        <v>1042.6933048842241</v>
      </c>
      <c r="AL211" s="1089">
        <v>1081.1181564166882</v>
      </c>
      <c r="AM211" s="1089">
        <v>1124.5642181253509</v>
      </c>
      <c r="AN211" s="1089">
        <v>1180.8028025478875</v>
      </c>
      <c r="AO211" s="1089">
        <v>1240.5351486182865</v>
      </c>
      <c r="AP211" s="1089">
        <v>1167.5389378385635</v>
      </c>
      <c r="AQ211" s="1089">
        <v>1202.2917164543996</v>
      </c>
      <c r="AR211" s="1089">
        <v>1380.3922740158</v>
      </c>
      <c r="AS211" s="1089">
        <v>-725.79867398694228</v>
      </c>
      <c r="AT211" s="1089">
        <v>-121.69214655940556</v>
      </c>
      <c r="AU211" s="1143"/>
    </row>
    <row r="212" spans="1:47" customFormat="1" ht="14.5">
      <c r="A212" s="93"/>
      <c r="B212" s="95"/>
      <c r="C212" s="92"/>
      <c r="D212" s="1260" t="s">
        <v>1186</v>
      </c>
      <c r="E212" s="1297" t="s">
        <v>292</v>
      </c>
      <c r="F212" s="1298"/>
      <c r="G212" s="1298"/>
      <c r="H212" s="1298"/>
      <c r="I212" s="1299"/>
      <c r="J212" s="1299">
        <v>-5.9021725104933316E-2</v>
      </c>
      <c r="K212" s="1299">
        <v>0.14119489507326066</v>
      </c>
      <c r="L212" s="1299">
        <v>-0.10155494511280116</v>
      </c>
      <c r="M212" s="1299">
        <v>0.12488994928949569</v>
      </c>
      <c r="N212" s="1299">
        <v>7.5285504912388612E-2</v>
      </c>
      <c r="O212" s="1299">
        <v>0.10245782930883829</v>
      </c>
      <c r="P212" s="1299">
        <v>5.6075951070651664E-2</v>
      </c>
      <c r="Q212" s="1299">
        <v>0.12138244260886166</v>
      </c>
      <c r="R212" s="1299">
        <v>6.5793237144370575E-2</v>
      </c>
      <c r="S212" s="1299">
        <v>0.22322678116126582</v>
      </c>
      <c r="T212" s="1299">
        <v>5.736903261746007E-2</v>
      </c>
      <c r="U212" s="1299">
        <v>2.2675069879221077E-3</v>
      </c>
      <c r="V212" s="1299">
        <v>8.3355391639918092E-2</v>
      </c>
      <c r="W212" s="1262">
        <v>3.8845157048789547E-2</v>
      </c>
      <c r="X212" s="1263">
        <v>3.6000000000000004E-2</v>
      </c>
      <c r="Y212" s="1262">
        <v>2.1000000000000001E-2</v>
      </c>
      <c r="Z212" s="1263">
        <v>4.4999999999999998E-2</v>
      </c>
      <c r="AA212" s="1262">
        <v>7.2834999999999997E-2</v>
      </c>
      <c r="AB212" s="1262">
        <v>6.6540877038754331E-3</v>
      </c>
      <c r="AC212" s="1262">
        <v>1.0999999999999999E-2</v>
      </c>
      <c r="AD212" s="1262">
        <v>6.7309999999999995E-2</v>
      </c>
      <c r="AE212" s="1262">
        <v>3.74308209199119E-2</v>
      </c>
      <c r="AF212" s="1262">
        <v>1.8628873248091482E-2</v>
      </c>
      <c r="AG212" s="1262">
        <v>0.21631732425985128</v>
      </c>
      <c r="AH212" s="1262">
        <v>6.4478216181379056E-2</v>
      </c>
      <c r="AI212" s="1262">
        <v>6.7787993314077033E-2</v>
      </c>
      <c r="AJ212" s="1262">
        <v>5.1999999999999998E-2</v>
      </c>
      <c r="AK212" s="1262">
        <v>3.9E-2</v>
      </c>
      <c r="AL212" s="913">
        <v>0.05</v>
      </c>
      <c r="AM212" s="913">
        <v>0.05</v>
      </c>
      <c r="AN212" s="913">
        <v>0.05</v>
      </c>
      <c r="AO212" s="913">
        <v>0.05</v>
      </c>
      <c r="AP212" s="913">
        <v>0.05</v>
      </c>
      <c r="AQ212" s="913">
        <v>0.05</v>
      </c>
      <c r="AR212" s="913">
        <v>0.05</v>
      </c>
      <c r="AS212" s="913">
        <v>0.05</v>
      </c>
      <c r="AT212" s="913">
        <v>0.05</v>
      </c>
      <c r="AU212" s="1143"/>
    </row>
    <row r="213" spans="1:47" customFormat="1" ht="14.5">
      <c r="A213" s="93"/>
      <c r="B213" s="95"/>
      <c r="C213" s="92"/>
      <c r="D213" s="1260" t="s">
        <v>1187</v>
      </c>
      <c r="E213" s="1297" t="s">
        <v>292</v>
      </c>
      <c r="F213" s="1298"/>
      <c r="G213" s="1298"/>
      <c r="H213" s="1298"/>
      <c r="I213" s="1300"/>
      <c r="J213" s="1300">
        <v>-0.10228761707806999</v>
      </c>
      <c r="K213" s="1300">
        <v>2.1214788865460354E-2</v>
      </c>
      <c r="L213" s="1300">
        <v>1.1494230477025358E-2</v>
      </c>
      <c r="M213" s="1300">
        <v>-1.2501792998073302E-2</v>
      </c>
      <c r="N213" s="1300">
        <v>0.11744236377675076</v>
      </c>
      <c r="O213" s="1300">
        <v>0.11937808306006037</v>
      </c>
      <c r="P213" s="1300">
        <v>9.132697764056763E-2</v>
      </c>
      <c r="Q213" s="1300">
        <v>8.8313394380501897E-2</v>
      </c>
      <c r="R213" s="1300">
        <v>9.0809741086125495E-2</v>
      </c>
      <c r="S213" s="1300">
        <v>0.15441509649830398</v>
      </c>
      <c r="T213" s="1300">
        <v>0.10340221174350983</v>
      </c>
      <c r="U213" s="1300">
        <v>2.3073277314962892E-2</v>
      </c>
      <c r="V213" s="1300">
        <v>5.6675699845492297E-2</v>
      </c>
      <c r="W213" s="1262">
        <v>6.2863849450282228E-2</v>
      </c>
      <c r="X213" s="1263">
        <v>4.2000000000000003E-2</v>
      </c>
      <c r="Y213" s="1262">
        <v>1.784010267913394E-2</v>
      </c>
      <c r="Z213" s="1263">
        <v>2.5072988767667947E-2</v>
      </c>
      <c r="AA213" s="1262">
        <v>5.7234630000000002E-2</v>
      </c>
      <c r="AB213" s="1262">
        <v>4.8367798851274957E-2</v>
      </c>
      <c r="AC213" s="1301">
        <v>1.4E-2</v>
      </c>
      <c r="AD213" s="1300">
        <v>2.4299999999999999E-2</v>
      </c>
      <c r="AE213" s="1300">
        <v>7.7156235546899099E-2</v>
      </c>
      <c r="AF213" s="1300">
        <v>8.1775706194855413E-3</v>
      </c>
      <c r="AG213" s="1300">
        <v>0.13892335864190652</v>
      </c>
      <c r="AH213" s="1300">
        <v>0.14030353524911621</v>
      </c>
      <c r="AI213" s="1300">
        <v>4.7622148458877703E-2</v>
      </c>
      <c r="AJ213" s="1300">
        <v>6.5000000000000002E-2</v>
      </c>
      <c r="AK213" s="1300">
        <v>4.1000000000000002E-2</v>
      </c>
      <c r="AL213" s="919">
        <v>4.4499999999999998E-2</v>
      </c>
      <c r="AM213" s="919">
        <v>0.05</v>
      </c>
      <c r="AN213" s="919">
        <v>0.05</v>
      </c>
      <c r="AO213" s="919">
        <v>0.05</v>
      </c>
      <c r="AP213" s="919">
        <v>0.05</v>
      </c>
      <c r="AQ213" s="919">
        <v>0.05</v>
      </c>
      <c r="AR213" s="919">
        <v>0.05</v>
      </c>
      <c r="AS213" s="919">
        <v>0.05</v>
      </c>
      <c r="AT213" s="919">
        <v>0.05</v>
      </c>
      <c r="AU213" s="1143"/>
    </row>
    <row r="214" spans="1:47" customFormat="1" ht="14.5">
      <c r="A214" s="93"/>
      <c r="B214" s="95"/>
      <c r="C214" s="92"/>
      <c r="D214" s="1260" t="s">
        <v>1188</v>
      </c>
      <c r="E214" s="1302"/>
      <c r="F214" s="1260"/>
      <c r="G214" s="1260"/>
      <c r="H214" s="1260"/>
      <c r="I214" s="1303"/>
      <c r="J214" s="1303">
        <v>36</v>
      </c>
      <c r="K214" s="1303">
        <v>35</v>
      </c>
      <c r="L214" s="1303">
        <v>40</v>
      </c>
      <c r="M214" s="1303">
        <v>39</v>
      </c>
      <c r="N214" s="1303">
        <v>45</v>
      </c>
      <c r="O214" s="1303">
        <v>53</v>
      </c>
      <c r="P214" s="1303">
        <v>57</v>
      </c>
      <c r="Q214" s="1303">
        <v>50</v>
      </c>
      <c r="R214" s="1303">
        <v>53</v>
      </c>
      <c r="S214" s="1303">
        <v>64</v>
      </c>
      <c r="T214" s="1303">
        <v>70</v>
      </c>
      <c r="U214" s="1303">
        <v>71</v>
      </c>
      <c r="V214" s="1303">
        <v>77</v>
      </c>
      <c r="W214" s="1286">
        <v>80</v>
      </c>
      <c r="X214" s="1286">
        <v>83</v>
      </c>
      <c r="Y214" s="1286">
        <v>85</v>
      </c>
      <c r="Z214" s="1304">
        <v>82</v>
      </c>
      <c r="AA214" s="1286">
        <v>95</v>
      </c>
      <c r="AB214" s="1286">
        <v>100</v>
      </c>
      <c r="AC214" s="1305">
        <v>103.05200000000001</v>
      </c>
      <c r="AD214" s="1303">
        <v>102.63</v>
      </c>
      <c r="AE214" s="1303">
        <v>104.309</v>
      </c>
      <c r="AF214" s="1303">
        <v>107.501</v>
      </c>
      <c r="AG214" s="1303">
        <v>129.43899999999999</v>
      </c>
      <c r="AH214" s="1303">
        <v>152.148</v>
      </c>
      <c r="AI214" s="1303">
        <v>165.887</v>
      </c>
      <c r="AJ214" s="1303">
        <v>160.89883893064291</v>
      </c>
      <c r="AK214" s="1303">
        <v>168.39786996717419</v>
      </c>
      <c r="AL214" s="920">
        <v>176.45056696762748</v>
      </c>
      <c r="AM214" s="920">
        <v>185.54147192145223</v>
      </c>
      <c r="AN214" s="920">
        <v>195.0227560278235</v>
      </c>
      <c r="AO214" s="920">
        <v>205.08590084576713</v>
      </c>
      <c r="AP214" s="920">
        <v>215.86304060385106</v>
      </c>
      <c r="AQ214" s="920">
        <v>226.81379306429676</v>
      </c>
      <c r="AR214" s="920">
        <v>237.72424203186011</v>
      </c>
      <c r="AS214" s="920">
        <v>251.84768936225507</v>
      </c>
      <c r="AT214" s="920">
        <v>265.29142061162952</v>
      </c>
      <c r="AU214" s="1143"/>
    </row>
    <row r="215" spans="1:47" customFormat="1" ht="14.5">
      <c r="A215" s="93"/>
      <c r="B215" s="95"/>
      <c r="C215" s="92"/>
      <c r="D215" s="1260" t="s">
        <v>113</v>
      </c>
      <c r="E215" s="1302"/>
      <c r="F215" s="1260"/>
      <c r="G215" s="1260"/>
      <c r="H215" s="1260"/>
      <c r="I215" s="1303"/>
      <c r="J215" s="1303">
        <v>36</v>
      </c>
      <c r="K215" s="1303">
        <v>35</v>
      </c>
      <c r="L215" s="1303">
        <v>40</v>
      </c>
      <c r="M215" s="1303">
        <v>39</v>
      </c>
      <c r="N215" s="1303">
        <v>45</v>
      </c>
      <c r="O215" s="1303">
        <v>53</v>
      </c>
      <c r="P215" s="1303">
        <v>57</v>
      </c>
      <c r="Q215" s="1303">
        <v>50</v>
      </c>
      <c r="R215" s="1303">
        <v>53</v>
      </c>
      <c r="S215" s="1303">
        <v>64</v>
      </c>
      <c r="T215" s="1303">
        <v>70</v>
      </c>
      <c r="U215" s="1303">
        <v>71</v>
      </c>
      <c r="V215" s="1303">
        <v>77</v>
      </c>
      <c r="W215" s="1286">
        <v>80</v>
      </c>
      <c r="X215" s="1286">
        <v>83</v>
      </c>
      <c r="Y215" s="1286">
        <v>85</v>
      </c>
      <c r="Z215" s="1304">
        <v>88.059857393214742</v>
      </c>
      <c r="AA215" s="1286">
        <v>94.930597379738316</v>
      </c>
      <c r="AB215" s="1286">
        <v>100</v>
      </c>
      <c r="AC215" s="1305">
        <v>101.75323962534691</v>
      </c>
      <c r="AD215" s="1303">
        <v>102.69015740454836</v>
      </c>
      <c r="AE215" s="1303">
        <v>109.92159765164945</v>
      </c>
      <c r="AF215" s="1303">
        <v>116.34620704131083</v>
      </c>
      <c r="AG215" s="1303">
        <v>137.33905323382893</v>
      </c>
      <c r="AH215" s="1303">
        <v>152.19495054803116</v>
      </c>
      <c r="AI215" s="1303">
        <v>151.12069975696949</v>
      </c>
      <c r="AJ215" s="1303">
        <v>161.00885773645342</v>
      </c>
      <c r="AK215" s="1303">
        <v>168.64249964686991</v>
      </c>
      <c r="AL215" s="920">
        <v>176.78567436416458</v>
      </c>
      <c r="AM215" s="920">
        <v>185.93127109080814</v>
      </c>
      <c r="AN215" s="920">
        <v>195.46081776210795</v>
      </c>
      <c r="AO215" s="920">
        <v>205.58972422292157</v>
      </c>
      <c r="AP215" s="920">
        <v>216.46530487402671</v>
      </c>
      <c r="AQ215" s="920">
        <v>227.46813400005394</v>
      </c>
      <c r="AR215" s="920">
        <v>238.35143036012701</v>
      </c>
      <c r="AS215" s="920">
        <v>252.81876905502457</v>
      </c>
      <c r="AT215" s="920">
        <v>266.42775421750099</v>
      </c>
      <c r="AU215" s="1143"/>
    </row>
    <row r="216" spans="1:47" customFormat="1" ht="14.5">
      <c r="A216" s="93"/>
      <c r="B216" s="95"/>
      <c r="C216" s="92"/>
      <c r="D216" s="1260" t="s">
        <v>120</v>
      </c>
      <c r="E216" s="1261" t="s">
        <v>293</v>
      </c>
      <c r="F216" s="1260"/>
      <c r="G216" s="1260"/>
      <c r="H216" s="1260"/>
      <c r="I216" s="1306"/>
      <c r="J216" s="1306">
        <v>2095</v>
      </c>
      <c r="K216" s="1306">
        <v>2323</v>
      </c>
      <c r="L216" s="1306">
        <v>2439</v>
      </c>
      <c r="M216" s="1306">
        <v>2772</v>
      </c>
      <c r="N216" s="1306">
        <v>2704</v>
      </c>
      <c r="O216" s="1306">
        <v>2897</v>
      </c>
      <c r="P216" s="1306">
        <v>3152</v>
      </c>
      <c r="Q216" s="1306">
        <v>3471</v>
      </c>
      <c r="R216" s="1306">
        <v>3552</v>
      </c>
      <c r="S216" s="1306">
        <v>3801</v>
      </c>
      <c r="T216" s="1306">
        <v>4187</v>
      </c>
      <c r="U216" s="1306">
        <v>4448</v>
      </c>
      <c r="V216" s="1306">
        <v>4826</v>
      </c>
      <c r="W216" s="1306">
        <v>5206</v>
      </c>
      <c r="X216" s="1306">
        <v>5389</v>
      </c>
      <c r="Y216" s="1306">
        <v>5846</v>
      </c>
      <c r="Z216" s="1307">
        <v>6482</v>
      </c>
      <c r="AA216" s="1306">
        <v>6805</v>
      </c>
      <c r="AB216" s="1306">
        <v>6831.2089999999998</v>
      </c>
      <c r="AC216" s="1308">
        <v>7437.18</v>
      </c>
      <c r="AD216" s="1306">
        <v>7775.7219999999998</v>
      </c>
      <c r="AE216" s="1306">
        <v>7882.9699999999993</v>
      </c>
      <c r="AF216" s="1306">
        <v>8467.6970000000001</v>
      </c>
      <c r="AG216" s="1306">
        <v>9466.3160000000007</v>
      </c>
      <c r="AH216" s="1306">
        <v>10239.819200184156</v>
      </c>
      <c r="AI216" s="1306">
        <v>10866.367785642944</v>
      </c>
      <c r="AJ216" s="1306">
        <v>11587.596024627726</v>
      </c>
      <c r="AK216" s="1306">
        <v>12587.626504073975</v>
      </c>
      <c r="AL216" s="917">
        <v>13517.062546788127</v>
      </c>
      <c r="AM216" s="917">
        <v>14391.096309109533</v>
      </c>
      <c r="AN216" s="917">
        <v>15455.605670138957</v>
      </c>
      <c r="AO216" s="917">
        <v>16646.038462566768</v>
      </c>
      <c r="AP216" s="917">
        <v>17360.216795376247</v>
      </c>
      <c r="AQ216" s="917">
        <v>16895.380811925759</v>
      </c>
      <c r="AR216" s="917">
        <v>18625.20595200239</v>
      </c>
      <c r="AS216" s="917">
        <v>-15503.867956484464</v>
      </c>
      <c r="AT216" s="917">
        <v>-4963.5005723180202</v>
      </c>
      <c r="AU216" s="1143"/>
    </row>
    <row r="217" spans="1:47" customFormat="1" ht="14.5">
      <c r="A217" s="93"/>
      <c r="B217" s="95"/>
      <c r="C217" s="92"/>
      <c r="D217" s="1260" t="s">
        <v>89</v>
      </c>
      <c r="E217" s="1261"/>
      <c r="F217" s="1260"/>
      <c r="G217" s="1260"/>
      <c r="H217" s="1260"/>
      <c r="I217" s="1306"/>
      <c r="J217" s="1306">
        <v>266</v>
      </c>
      <c r="K217" s="1306">
        <v>277</v>
      </c>
      <c r="L217" s="1306">
        <v>303</v>
      </c>
      <c r="M217" s="1306">
        <v>345</v>
      </c>
      <c r="N217" s="1306">
        <v>386</v>
      </c>
      <c r="O217" s="1306">
        <v>423</v>
      </c>
      <c r="P217" s="1306">
        <v>463</v>
      </c>
      <c r="Q217" s="1306">
        <v>507</v>
      </c>
      <c r="R217" s="1306">
        <v>513</v>
      </c>
      <c r="S217" s="1306">
        <v>525</v>
      </c>
      <c r="T217" s="1306">
        <v>586</v>
      </c>
      <c r="U217" s="1306">
        <v>647</v>
      </c>
      <c r="V217" s="1306">
        <v>672</v>
      </c>
      <c r="W217" s="1306">
        <v>778</v>
      </c>
      <c r="X217" s="1306">
        <v>777</v>
      </c>
      <c r="Y217" s="1306">
        <v>938</v>
      </c>
      <c r="Z217" s="1307">
        <v>985</v>
      </c>
      <c r="AA217" s="1306">
        <v>1076</v>
      </c>
      <c r="AB217" s="1306">
        <v>1154.711</v>
      </c>
      <c r="AC217" s="1308">
        <v>1212.7049999999999</v>
      </c>
      <c r="AD217" s="1306">
        <v>1426.078</v>
      </c>
      <c r="AE217" s="1306">
        <v>1452.5650000000001</v>
      </c>
      <c r="AF217" s="1306">
        <v>1651.9960000000001</v>
      </c>
      <c r="AG217" s="1306">
        <v>1826.8230000000001</v>
      </c>
      <c r="AH217" s="1306">
        <v>1848.3102001841557</v>
      </c>
      <c r="AI217" s="1306">
        <v>2122.1837856429452</v>
      </c>
      <c r="AJ217" s="1306">
        <v>2060.1857854370314</v>
      </c>
      <c r="AK217" s="1306">
        <v>2257.2232939126852</v>
      </c>
      <c r="AL217" s="917">
        <v>2602.228003655559</v>
      </c>
      <c r="AM217" s="917">
        <v>2898.2282889634107</v>
      </c>
      <c r="AN217" s="917">
        <v>3152.4225503130128</v>
      </c>
      <c r="AO217" s="917">
        <v>3205.3607129482111</v>
      </c>
      <c r="AP217" s="917">
        <v>3023.2890132270154</v>
      </c>
      <c r="AQ217" s="917">
        <v>2852.8309367099714</v>
      </c>
      <c r="AR217" s="917">
        <v>2693.5695544160808</v>
      </c>
      <c r="AS217" s="917">
        <v>2539.0854089392233</v>
      </c>
      <c r="AT217" s="917">
        <v>2396.0245374353267</v>
      </c>
      <c r="AU217" s="1143"/>
    </row>
    <row r="218" spans="1:47" customFormat="1" ht="14.5">
      <c r="A218" s="93"/>
      <c r="B218" s="95"/>
      <c r="C218" s="92"/>
      <c r="D218" s="1260" t="s">
        <v>1189</v>
      </c>
      <c r="E218" s="1309"/>
      <c r="F218" s="1298"/>
      <c r="G218" s="1298"/>
      <c r="H218" s="1298"/>
      <c r="I218" s="1306"/>
      <c r="J218" s="1306">
        <v>1829</v>
      </c>
      <c r="K218" s="1306">
        <v>2046</v>
      </c>
      <c r="L218" s="1306">
        <v>2136</v>
      </c>
      <c r="M218" s="1306">
        <v>2427</v>
      </c>
      <c r="N218" s="1306">
        <v>2318</v>
      </c>
      <c r="O218" s="1306">
        <v>2474</v>
      </c>
      <c r="P218" s="1306">
        <v>2689</v>
      </c>
      <c r="Q218" s="1306">
        <v>2964</v>
      </c>
      <c r="R218" s="1306">
        <v>3039</v>
      </c>
      <c r="S218" s="1306">
        <v>3276</v>
      </c>
      <c r="T218" s="1306">
        <v>3601</v>
      </c>
      <c r="U218" s="1306">
        <v>3801</v>
      </c>
      <c r="V218" s="1306">
        <v>4154</v>
      </c>
      <c r="W218" s="1306">
        <v>4427</v>
      </c>
      <c r="X218" s="1306">
        <v>4612</v>
      </c>
      <c r="Y218" s="1306">
        <v>4908</v>
      </c>
      <c r="Z218" s="1307">
        <v>5497</v>
      </c>
      <c r="AA218" s="1306">
        <v>5729</v>
      </c>
      <c r="AB218" s="1306">
        <v>5676.4979999999996</v>
      </c>
      <c r="AC218" s="1308">
        <v>6224.4750000000004</v>
      </c>
      <c r="AD218" s="1306">
        <v>6349.6440000000002</v>
      </c>
      <c r="AE218" s="1306">
        <v>6430.4049999999997</v>
      </c>
      <c r="AF218" s="1306">
        <v>6815.701</v>
      </c>
      <c r="AG218" s="1306">
        <v>7639.4930000000004</v>
      </c>
      <c r="AH218" s="1306">
        <v>8391.509</v>
      </c>
      <c r="AI218" s="1306">
        <v>8744.1839999999993</v>
      </c>
      <c r="AJ218" s="1306">
        <v>9527.4102391906945</v>
      </c>
      <c r="AK218" s="1306">
        <v>10330.403210161288</v>
      </c>
      <c r="AL218" s="917">
        <v>10914.834543132569</v>
      </c>
      <c r="AM218" s="917">
        <v>11492.868020146121</v>
      </c>
      <c r="AN218" s="917">
        <v>12303.183119825944</v>
      </c>
      <c r="AO218" s="917">
        <v>13440.677749618559</v>
      </c>
      <c r="AP218" s="917">
        <v>14336.927782149232</v>
      </c>
      <c r="AQ218" s="917">
        <v>14042.549875215787</v>
      </c>
      <c r="AR218" s="917">
        <v>15931.636397586311</v>
      </c>
      <c r="AS218" s="917">
        <v>-18042.953365423688</v>
      </c>
      <c r="AT218" s="917">
        <v>-7359.5251097533474</v>
      </c>
      <c r="AU218" s="1143"/>
    </row>
    <row r="219" spans="1:47" customFormat="1" ht="14.5">
      <c r="A219" s="93"/>
      <c r="B219" s="95"/>
      <c r="C219" s="92"/>
      <c r="D219" s="1260" t="s">
        <v>1190</v>
      </c>
      <c r="E219" s="1261"/>
      <c r="F219" s="1260"/>
      <c r="G219" s="1260"/>
      <c r="H219" s="1260"/>
      <c r="I219" s="1307"/>
      <c r="J219" s="1307">
        <v>241</v>
      </c>
      <c r="K219" s="1307">
        <v>282</v>
      </c>
      <c r="L219" s="1307">
        <v>282</v>
      </c>
      <c r="M219" s="1307">
        <v>304</v>
      </c>
      <c r="N219" s="1307">
        <v>334</v>
      </c>
      <c r="O219" s="1307">
        <v>373</v>
      </c>
      <c r="P219" s="1307">
        <v>433</v>
      </c>
      <c r="Q219" s="1307">
        <v>539</v>
      </c>
      <c r="R219" s="1307">
        <v>688</v>
      </c>
      <c r="S219" s="1307">
        <v>913</v>
      </c>
      <c r="T219" s="1307">
        <v>938</v>
      </c>
      <c r="U219" s="1307">
        <v>1003</v>
      </c>
      <c r="V219" s="1307">
        <v>1098</v>
      </c>
      <c r="W219" s="1307">
        <v>1338</v>
      </c>
      <c r="X219" s="1307">
        <v>1434</v>
      </c>
      <c r="Y219" s="1307">
        <v>1504</v>
      </c>
      <c r="Z219" s="1307">
        <v>1787</v>
      </c>
      <c r="AA219" s="1307">
        <v>1948</v>
      </c>
      <c r="AB219" s="1307">
        <v>1747.643</v>
      </c>
      <c r="AC219" s="1310">
        <v>1849.4269999999999</v>
      </c>
      <c r="AD219" s="1310">
        <v>2440.7240000000002</v>
      </c>
      <c r="AE219" s="1310">
        <v>2330.6190000000001</v>
      </c>
      <c r="AF219" s="1310">
        <v>2712.5079999999998</v>
      </c>
      <c r="AG219" s="1310">
        <v>2603.7739999999999</v>
      </c>
      <c r="AH219" s="1310">
        <v>2913.7170000000001</v>
      </c>
      <c r="AI219" s="1310">
        <v>3296.8739999999998</v>
      </c>
      <c r="AJ219" s="1310">
        <v>3391.6696205426388</v>
      </c>
      <c r="AK219" s="1310">
        <v>3840.5123370342667</v>
      </c>
      <c r="AL219" s="1053">
        <v>3774.1245358791657</v>
      </c>
      <c r="AM219" s="1053">
        <v>3570.1486636412778</v>
      </c>
      <c r="AN219" s="1053">
        <v>3661.004982582027</v>
      </c>
      <c r="AO219" s="1053">
        <v>3668.5838726156958</v>
      </c>
      <c r="AP219" s="1053">
        <v>3760.695922868053</v>
      </c>
      <c r="AQ219" s="1053">
        <v>3869.9339337201031</v>
      </c>
      <c r="AR219" s="1053">
        <v>4098.3951710264528</v>
      </c>
      <c r="AS219" s="1053">
        <v>5013.6895741619037</v>
      </c>
      <c r="AT219" s="1053">
        <v>4956.6859779584693</v>
      </c>
      <c r="AU219" s="1143"/>
    </row>
    <row r="220" spans="1:47" customFormat="1" ht="14.5">
      <c r="A220" s="93"/>
      <c r="B220" s="95"/>
      <c r="C220" s="92"/>
      <c r="D220" s="1311" t="s">
        <v>1191</v>
      </c>
      <c r="E220" s="1261"/>
      <c r="F220" s="1260"/>
      <c r="G220" s="1260"/>
      <c r="H220" s="1260"/>
      <c r="I220" s="1312"/>
      <c r="J220" s="1312">
        <v>238.88888888888889</v>
      </c>
      <c r="K220" s="1312">
        <v>282.85714285714289</v>
      </c>
      <c r="L220" s="1312">
        <v>277.5</v>
      </c>
      <c r="M220" s="1312">
        <v>302.56410256410254</v>
      </c>
      <c r="N220" s="1312">
        <v>335.55555555555554</v>
      </c>
      <c r="O220" s="1312">
        <v>371.69811320754718</v>
      </c>
      <c r="P220" s="1312">
        <v>435.08771929824564</v>
      </c>
      <c r="Q220" s="1312">
        <v>538</v>
      </c>
      <c r="R220" s="1312">
        <v>684.90566037735846</v>
      </c>
      <c r="S220" s="1312">
        <v>912.5</v>
      </c>
      <c r="T220" s="1312">
        <v>934.28571428571433</v>
      </c>
      <c r="U220" s="1312">
        <v>913.38028169014081</v>
      </c>
      <c r="V220" s="1312">
        <v>928.06818181818164</v>
      </c>
      <c r="W220" s="1312">
        <v>1158.15625</v>
      </c>
      <c r="X220" s="1312">
        <v>1226.1317280512492</v>
      </c>
      <c r="Y220" s="1312">
        <v>1257.5211129616496</v>
      </c>
      <c r="Z220" s="1307">
        <v>1610.0928517273562</v>
      </c>
      <c r="AA220" s="1306">
        <v>1831.4842386121754</v>
      </c>
      <c r="AB220" s="1306">
        <v>1629.6267499999999</v>
      </c>
      <c r="AC220" s="1313">
        <v>1703.2152947077072</v>
      </c>
      <c r="AD220" s="1306">
        <v>2260.6218790766275</v>
      </c>
      <c r="AE220" s="1306">
        <v>2131.2551533918513</v>
      </c>
      <c r="AF220" s="1306">
        <v>2478.1586491144126</v>
      </c>
      <c r="AG220" s="1306">
        <v>2378.2902457130458</v>
      </c>
      <c r="AH220" s="1306">
        <v>2690.5630815336363</v>
      </c>
      <c r="AI220" s="1306">
        <v>3082.8161561740194</v>
      </c>
      <c r="AJ220" s="1306">
        <v>3186.4401523805154</v>
      </c>
      <c r="AK220" s="1306">
        <v>3638.9493883876858</v>
      </c>
      <c r="AL220" s="917">
        <v>3569.7277043257809</v>
      </c>
      <c r="AM220" s="917">
        <v>3365.1791852223873</v>
      </c>
      <c r="AN220" s="917">
        <v>3456.4301730471166</v>
      </c>
      <c r="AO220" s="917">
        <v>3532.8253342207718</v>
      </c>
      <c r="AP220" s="917">
        <v>3631.7581215619175</v>
      </c>
      <c r="AQ220" s="917">
        <v>3747.2329646713451</v>
      </c>
      <c r="AR220" s="917">
        <v>3981.2968157644391</v>
      </c>
      <c r="AS220" s="917">
        <v>4903.2920725292433</v>
      </c>
      <c r="AT220" s="917">
        <v>4851.9275208244044</v>
      </c>
      <c r="AU220" s="1143"/>
    </row>
    <row r="221" spans="1:47" customFormat="1" ht="14.5">
      <c r="A221" s="93"/>
      <c r="B221" s="95"/>
      <c r="C221" s="92"/>
      <c r="D221" s="1260" t="s">
        <v>3647</v>
      </c>
      <c r="E221" s="1261"/>
      <c r="F221" s="1260"/>
      <c r="G221" s="1260"/>
      <c r="H221" s="1260"/>
      <c r="I221" s="1306"/>
      <c r="J221" s="1306">
        <v>238.88888888888889</v>
      </c>
      <c r="K221" s="1306">
        <v>282.85714285714289</v>
      </c>
      <c r="L221" s="1306">
        <v>277.5</v>
      </c>
      <c r="M221" s="1306">
        <v>302.56410256410254</v>
      </c>
      <c r="N221" s="1306">
        <v>335.55555555555554</v>
      </c>
      <c r="O221" s="1306">
        <v>371.69811320754718</v>
      </c>
      <c r="P221" s="1306">
        <v>435.08771929824564</v>
      </c>
      <c r="Q221" s="1306">
        <v>538</v>
      </c>
      <c r="R221" s="1306">
        <v>684.90566037735846</v>
      </c>
      <c r="S221" s="1306">
        <v>912.5</v>
      </c>
      <c r="T221" s="1306">
        <v>934.28571428571433</v>
      </c>
      <c r="U221" s="1306">
        <v>1000</v>
      </c>
      <c r="V221" s="1306">
        <v>1101.2987012987012</v>
      </c>
      <c r="W221" s="1306">
        <v>1330</v>
      </c>
      <c r="X221" s="1306">
        <v>1442.1686746987953</v>
      </c>
      <c r="Y221" s="1306">
        <v>1497.6470588235295</v>
      </c>
      <c r="Z221" s="1306">
        <v>1663.4211215508578</v>
      </c>
      <c r="AA221" s="1306">
        <v>1677.0856410102047</v>
      </c>
      <c r="AB221" s="1314">
        <v>1732.818</v>
      </c>
      <c r="AC221" s="1314">
        <v>1787.2666675891007</v>
      </c>
      <c r="AD221" s="1314">
        <v>2427.9989598557927</v>
      </c>
      <c r="AE221" s="1306">
        <v>2260.7071469671841</v>
      </c>
      <c r="AF221" s="1306">
        <v>2445.5219301773936</v>
      </c>
      <c r="AG221" s="1306">
        <v>2513.8390218172262</v>
      </c>
      <c r="AH221" s="1306">
        <v>2834.3350201645767</v>
      </c>
      <c r="AI221" s="1306">
        <v>3035.3961724861356</v>
      </c>
      <c r="AJ221" s="1306">
        <v>3136.9964140591719</v>
      </c>
      <c r="AK221" s="1306">
        <v>3063.3407525495954</v>
      </c>
      <c r="AL221" s="917">
        <v>3224.9894015009231</v>
      </c>
      <c r="AM221" s="917">
        <v>3520.4586160007616</v>
      </c>
      <c r="AN221" s="917">
        <v>3634.3521849510207</v>
      </c>
      <c r="AO221" s="917">
        <v>3668.5838726156958</v>
      </c>
      <c r="AP221" s="917">
        <v>3760.695922868053</v>
      </c>
      <c r="AQ221" s="917">
        <v>3869.9339337201031</v>
      </c>
      <c r="AR221" s="917">
        <v>4098.3951710264528</v>
      </c>
      <c r="AS221" s="917">
        <v>5013.6895741619037</v>
      </c>
      <c r="AT221" s="917">
        <v>4956.6859779584693</v>
      </c>
      <c r="AU221" s="1143"/>
    </row>
    <row r="222" spans="1:47" customFormat="1" ht="14.5">
      <c r="A222" s="93"/>
      <c r="B222" s="95"/>
      <c r="C222" s="92"/>
      <c r="D222" s="1260" t="s">
        <v>3648</v>
      </c>
      <c r="E222" s="1261"/>
      <c r="F222" s="1260"/>
      <c r="G222" s="1260"/>
      <c r="H222" s="1260"/>
      <c r="I222" s="1306"/>
      <c r="J222" s="1306">
        <v>257.52980851386059</v>
      </c>
      <c r="K222" s="1306">
        <v>254.0440367802731</v>
      </c>
      <c r="L222" s="1306">
        <v>250.5689203077398</v>
      </c>
      <c r="M222" s="1306">
        <v>248.2301810420193</v>
      </c>
      <c r="N222" s="1306">
        <v>280.84925143995889</v>
      </c>
      <c r="O222" s="1306">
        <v>341.1556841747763</v>
      </c>
      <c r="P222" s="1306">
        <v>444.58575517022052</v>
      </c>
      <c r="Q222" s="1306">
        <v>487.5746995252947</v>
      </c>
      <c r="R222" s="1306">
        <v>663.67434249618339</v>
      </c>
      <c r="S222" s="1306">
        <v>1067.9371645299682</v>
      </c>
      <c r="T222" s="1306">
        <v>1150.8384476476153</v>
      </c>
      <c r="U222" s="1306">
        <v>1217.565373358791</v>
      </c>
      <c r="V222" s="1306">
        <v>1412.6430075567362</v>
      </c>
      <c r="W222" s="1306">
        <v>1732.0687686123779</v>
      </c>
      <c r="X222" s="1306">
        <v>1851.1087125256072</v>
      </c>
      <c r="Y222" s="1306">
        <v>1865.3714796364548</v>
      </c>
      <c r="Z222" s="1306">
        <v>1895.6629508737576</v>
      </c>
      <c r="AA222" s="1306">
        <v>2023.8525042063611</v>
      </c>
      <c r="AB222" s="1306">
        <v>2084.1479181947689</v>
      </c>
      <c r="AC222" s="1306">
        <v>2138.9528796734317</v>
      </c>
      <c r="AD222" s="1306">
        <v>2765.0389692480085</v>
      </c>
      <c r="AE222" s="1306">
        <v>2494.8586710452573</v>
      </c>
      <c r="AF222" s="1306">
        <v>2654.5429244129391</v>
      </c>
      <c r="AG222" s="1306">
        <v>3149.9648389297063</v>
      </c>
      <c r="AH222" s="1306">
        <v>3691.7493901110429</v>
      </c>
      <c r="AI222" s="1306">
        <v>3806.7820416432301</v>
      </c>
      <c r="AJ222" s="1306">
        <v>3503.1974740847813</v>
      </c>
      <c r="AK222" s="1306">
        <v>3333.7289577097486</v>
      </c>
      <c r="AL222" s="917">
        <v>3460.7361006339229</v>
      </c>
      <c r="AM222" s="917">
        <v>3765.4820979577125</v>
      </c>
      <c r="AN222" s="917">
        <v>3900.6212392245052</v>
      </c>
      <c r="AO222" s="917">
        <v>3951.9175610976513</v>
      </c>
      <c r="AP222" s="917">
        <v>4060.3046829945283</v>
      </c>
      <c r="AQ222" s="917">
        <v>4180.9176338882953</v>
      </c>
      <c r="AR222" s="917">
        <v>4420.1978646274938</v>
      </c>
      <c r="AS222" s="917">
        <v>5452.4484261675807</v>
      </c>
      <c r="AT222" s="917">
        <v>5406.6529862147981</v>
      </c>
      <c r="AU222" s="1143"/>
    </row>
    <row r="223" spans="1:47" customFormat="1" ht="14.5">
      <c r="A223" s="93"/>
      <c r="B223" s="95"/>
      <c r="C223" s="92"/>
      <c r="D223" s="1260" t="s">
        <v>810</v>
      </c>
      <c r="E223" s="1261"/>
      <c r="F223" s="1260"/>
      <c r="G223" s="1260"/>
      <c r="H223" s="1260"/>
      <c r="I223" s="1306"/>
      <c r="J223" s="1306">
        <v>0</v>
      </c>
      <c r="K223" s="1306">
        <v>0</v>
      </c>
      <c r="L223" s="1306">
        <v>0</v>
      </c>
      <c r="M223" s="1306">
        <v>0</v>
      </c>
      <c r="N223" s="1306">
        <v>0</v>
      </c>
      <c r="O223" s="1306">
        <v>0</v>
      </c>
      <c r="P223" s="1306">
        <v>0</v>
      </c>
      <c r="Q223" s="1306">
        <v>0</v>
      </c>
      <c r="R223" s="1306">
        <v>0</v>
      </c>
      <c r="S223" s="1306">
        <v>0</v>
      </c>
      <c r="T223" s="1306">
        <v>0</v>
      </c>
      <c r="U223" s="1306">
        <v>105.46516966417695</v>
      </c>
      <c r="V223" s="1306">
        <v>222.20391411612519</v>
      </c>
      <c r="W223" s="1306">
        <v>223.79337778664163</v>
      </c>
      <c r="X223" s="1306">
        <v>277.29618676554981</v>
      </c>
      <c r="Y223" s="1306">
        <v>299.08521389768771</v>
      </c>
      <c r="Z223" s="1306">
        <v>213.64185671897036</v>
      </c>
      <c r="AA223" s="1306">
        <v>150.00752205770499</v>
      </c>
      <c r="AB223" s="1306">
        <v>141.94411747261017</v>
      </c>
      <c r="AC223" s="1306">
        <v>174.97701296257225</v>
      </c>
      <c r="AD223" s="1306">
        <v>205.10275334987054</v>
      </c>
      <c r="AE223" s="1306">
        <v>220.02515105873263</v>
      </c>
      <c r="AF223" s="1306">
        <v>254.3771573359071</v>
      </c>
      <c r="AG223" s="1306">
        <v>282.55487322819522</v>
      </c>
      <c r="AH223" s="1306">
        <v>290.64979156863939</v>
      </c>
      <c r="AI223" s="1306">
        <v>268.44781111240144</v>
      </c>
      <c r="AJ223" s="1306">
        <v>229.40982266077387</v>
      </c>
      <c r="AK223" s="1306">
        <v>219.80674324984366</v>
      </c>
      <c r="AL223" s="917">
        <v>219.93165106121347</v>
      </c>
      <c r="AM223" s="917">
        <v>219.89514156944958</v>
      </c>
      <c r="AN223" s="917">
        <v>220.27089495942081</v>
      </c>
      <c r="AO223" s="917">
        <v>146.7698896992348</v>
      </c>
      <c r="AP223" s="917">
        <v>139.78084733260457</v>
      </c>
      <c r="AQ223" s="917">
        <v>133.12461650724242</v>
      </c>
      <c r="AR223" s="917">
        <v>126.78534905451657</v>
      </c>
      <c r="AS223" s="917">
        <v>120.74795148049196</v>
      </c>
      <c r="AT223" s="917">
        <v>114.99804902903999</v>
      </c>
      <c r="AU223" s="1143"/>
    </row>
    <row r="224" spans="1:47" customFormat="1" ht="14.5">
      <c r="A224" s="93"/>
      <c r="B224" s="95"/>
      <c r="C224" s="92"/>
      <c r="D224" s="1260" t="s">
        <v>811</v>
      </c>
      <c r="E224" s="1261"/>
      <c r="F224" s="1260"/>
      <c r="G224" s="1260"/>
      <c r="H224" s="1260"/>
      <c r="I224" s="1306"/>
      <c r="J224" s="1306">
        <v>257.52980851386059</v>
      </c>
      <c r="K224" s="1306">
        <v>254.0440367802731</v>
      </c>
      <c r="L224" s="1306">
        <v>250.5689203077398</v>
      </c>
      <c r="M224" s="1306">
        <v>248.2301810420193</v>
      </c>
      <c r="N224" s="1306">
        <v>280.84925143995889</v>
      </c>
      <c r="O224" s="1306">
        <v>341.1556841747763</v>
      </c>
      <c r="P224" s="1306">
        <v>444.58575517022052</v>
      </c>
      <c r="Q224" s="1306">
        <v>487.5746995252947</v>
      </c>
      <c r="R224" s="1306">
        <v>663.67434249618339</v>
      </c>
      <c r="S224" s="1306">
        <v>1067.9371645299682</v>
      </c>
      <c r="T224" s="1306">
        <v>1150.8384476476153</v>
      </c>
      <c r="U224" s="1306">
        <v>1112.100203694614</v>
      </c>
      <c r="V224" s="1306">
        <v>1190.439093440611</v>
      </c>
      <c r="W224" s="1306">
        <v>1508.2753908257362</v>
      </c>
      <c r="X224" s="1306">
        <v>1573.8125257600575</v>
      </c>
      <c r="Y224" s="1306">
        <v>1566.286265738767</v>
      </c>
      <c r="Z224" s="1306">
        <v>1682.0210941547873</v>
      </c>
      <c r="AA224" s="1306">
        <v>1873.8449821486561</v>
      </c>
      <c r="AB224" s="1306">
        <v>1942.2038007221586</v>
      </c>
      <c r="AC224" s="1306">
        <v>1963.9758667108595</v>
      </c>
      <c r="AD224" s="1306">
        <v>2559.936215898138</v>
      </c>
      <c r="AE224" s="1306">
        <v>2274.8335199865246</v>
      </c>
      <c r="AF224" s="1306">
        <v>2400.1657670770319</v>
      </c>
      <c r="AG224" s="1306">
        <v>2867.4099657015108</v>
      </c>
      <c r="AH224" s="1306">
        <v>3401.0995985424033</v>
      </c>
      <c r="AI224" s="1306">
        <v>3538.3342305308288</v>
      </c>
      <c r="AJ224" s="1306">
        <v>3273.7876514240074</v>
      </c>
      <c r="AK224" s="1306">
        <v>3113.9222144599048</v>
      </c>
      <c r="AL224" s="917">
        <v>3240.8044495727095</v>
      </c>
      <c r="AM224" s="917">
        <v>3545.5869563882629</v>
      </c>
      <c r="AN224" s="917">
        <v>3680.3503442650845</v>
      </c>
      <c r="AO224" s="917">
        <v>3805.1476713984166</v>
      </c>
      <c r="AP224" s="917">
        <v>3920.5238356619238</v>
      </c>
      <c r="AQ224" s="917">
        <v>4047.7930173810528</v>
      </c>
      <c r="AR224" s="917">
        <v>4293.4125155729771</v>
      </c>
      <c r="AS224" s="917">
        <v>5331.7004746870889</v>
      </c>
      <c r="AT224" s="917">
        <v>5291.6549371857582</v>
      </c>
      <c r="AU224" s="1143"/>
    </row>
    <row r="225" spans="1:47" customFormat="1" ht="14.5">
      <c r="A225" s="93"/>
      <c r="B225" s="95"/>
      <c r="C225" s="92"/>
      <c r="D225" s="1298" t="s">
        <v>121</v>
      </c>
      <c r="E225" s="1261"/>
      <c r="F225" s="1260"/>
      <c r="G225" s="1260"/>
      <c r="H225" s="1260"/>
      <c r="I225" s="1306"/>
      <c r="J225" s="1306">
        <v>39</v>
      </c>
      <c r="K225" s="1306">
        <v>43</v>
      </c>
      <c r="L225" s="1306">
        <v>63</v>
      </c>
      <c r="M225" s="1306">
        <v>58</v>
      </c>
      <c r="N225" s="1306">
        <v>89</v>
      </c>
      <c r="O225" s="1306">
        <v>143</v>
      </c>
      <c r="P225" s="1306">
        <v>175</v>
      </c>
      <c r="Q225" s="1306">
        <v>199</v>
      </c>
      <c r="R225" s="1306">
        <v>304</v>
      </c>
      <c r="S225" s="1306">
        <v>319</v>
      </c>
      <c r="T225" s="1306">
        <v>334</v>
      </c>
      <c r="U225" s="1306">
        <v>384</v>
      </c>
      <c r="V225" s="1306">
        <v>523</v>
      </c>
      <c r="W225" s="1306">
        <v>564</v>
      </c>
      <c r="X225" s="1306">
        <v>682</v>
      </c>
      <c r="Y225" s="1306">
        <v>780</v>
      </c>
      <c r="Z225" s="1307">
        <v>814</v>
      </c>
      <c r="AA225" s="1306">
        <v>1056</v>
      </c>
      <c r="AB225" s="1306">
        <v>1579.502</v>
      </c>
      <c r="AC225" s="1308">
        <v>1751.7829999999999</v>
      </c>
      <c r="AD225" s="1306">
        <v>2031.4359999999999</v>
      </c>
      <c r="AE225" s="1306">
        <v>1854.7639999999999</v>
      </c>
      <c r="AF225" s="1306">
        <v>2136.0619999999999</v>
      </c>
      <c r="AG225" s="1306">
        <v>3083.9340000000002</v>
      </c>
      <c r="AH225" s="1306">
        <v>4157.5060000000003</v>
      </c>
      <c r="AI225" s="1306">
        <v>5731.08</v>
      </c>
      <c r="AJ225" s="1306">
        <v>7457.34838061544</v>
      </c>
      <c r="AK225" s="1306">
        <v>9199.453894893275</v>
      </c>
      <c r="AL225" s="917">
        <v>10822.884351155582</v>
      </c>
      <c r="AM225" s="917">
        <v>12908.9495966295</v>
      </c>
      <c r="AN225" s="917">
        <v>15048.13514269808</v>
      </c>
      <c r="AO225" s="917">
        <v>16511.288337825801</v>
      </c>
      <c r="AP225" s="917">
        <v>17949.98073806757</v>
      </c>
      <c r="AQ225" s="917">
        <v>19865.41912610142</v>
      </c>
      <c r="AR225" s="917">
        <v>22085.628382271647</v>
      </c>
      <c r="AS225" s="917">
        <v>24920.339321700882</v>
      </c>
      <c r="AT225" s="917">
        <v>27668.226093884874</v>
      </c>
      <c r="AU225" s="1143"/>
    </row>
    <row r="226" spans="1:47" customFormat="1" ht="15" thickBot="1">
      <c r="A226" s="93"/>
      <c r="B226" s="95"/>
      <c r="C226" s="92"/>
      <c r="D226" s="1298" t="s">
        <v>122</v>
      </c>
      <c r="E226" s="1261"/>
      <c r="F226" s="1260"/>
      <c r="G226" s="1260"/>
      <c r="H226" s="1260"/>
      <c r="I226" s="1306"/>
      <c r="J226" s="1306">
        <v>158</v>
      </c>
      <c r="K226" s="1306">
        <v>178</v>
      </c>
      <c r="L226" s="1306">
        <v>191</v>
      </c>
      <c r="M226" s="1306">
        <v>200</v>
      </c>
      <c r="N226" s="1306">
        <v>248</v>
      </c>
      <c r="O226" s="1306">
        <v>317</v>
      </c>
      <c r="P226" s="1306">
        <v>385</v>
      </c>
      <c r="Q226" s="1306">
        <v>409</v>
      </c>
      <c r="R226" s="1306">
        <v>497</v>
      </c>
      <c r="S226" s="1306">
        <v>746</v>
      </c>
      <c r="T226" s="1306">
        <v>853</v>
      </c>
      <c r="U226" s="1306">
        <v>948</v>
      </c>
      <c r="V226" s="1306">
        <v>1118</v>
      </c>
      <c r="W226" s="1306">
        <v>1342</v>
      </c>
      <c r="X226" s="1306">
        <v>1477</v>
      </c>
      <c r="Y226" s="1306">
        <v>1689</v>
      </c>
      <c r="Z226" s="1315">
        <v>1966</v>
      </c>
      <c r="AA226" s="1316">
        <v>2332</v>
      </c>
      <c r="AB226" s="1316">
        <v>2550.3989999999999</v>
      </c>
      <c r="AC226" s="1317">
        <v>2877.8180000000002</v>
      </c>
      <c r="AD226" s="1316">
        <v>3364.7350000000001</v>
      </c>
      <c r="AE226" s="1316">
        <v>3441.7759999999998</v>
      </c>
      <c r="AF226" s="1316">
        <v>3810.6129999999998</v>
      </c>
      <c r="AG226" s="1316">
        <v>5305.0190000000002</v>
      </c>
      <c r="AH226" s="1316">
        <v>6634.0540000000001</v>
      </c>
      <c r="AI226" s="1316">
        <v>7351.2020000000002</v>
      </c>
      <c r="AJ226" s="1316">
        <v>9359.3920802008215</v>
      </c>
      <c r="AK226" s="1316">
        <v>11838.919556618639</v>
      </c>
      <c r="AL226" s="99">
        <v>13219.07600543616</v>
      </c>
      <c r="AM226" s="99">
        <v>14606.436098201859</v>
      </c>
      <c r="AN226" s="99">
        <v>16721.731274324356</v>
      </c>
      <c r="AO226" s="99">
        <v>18091.089510262096</v>
      </c>
      <c r="AP226" s="99">
        <v>19107.641349463189</v>
      </c>
      <c r="AQ226" s="99">
        <v>17982.712406779869</v>
      </c>
      <c r="AR226" s="99">
        <v>16398.132997457196</v>
      </c>
      <c r="AS226" s="99">
        <v>26042.48690142934</v>
      </c>
      <c r="AT226" s="99">
        <v>28887.681664727585</v>
      </c>
      <c r="AU226" s="1143"/>
    </row>
    <row r="227" spans="1:47" customFormat="1" ht="14.5">
      <c r="A227" s="93"/>
      <c r="B227" s="95"/>
      <c r="C227" s="92"/>
      <c r="D227" s="1298" t="s">
        <v>105</v>
      </c>
      <c r="E227" s="1261"/>
      <c r="F227" s="1260"/>
      <c r="G227" s="1260"/>
      <c r="H227" s="1260"/>
      <c r="I227" s="1318"/>
      <c r="J227" s="1318"/>
      <c r="K227" s="1318"/>
      <c r="L227" s="1318"/>
      <c r="M227" s="1318"/>
      <c r="N227" s="1318"/>
      <c r="O227" s="1318"/>
      <c r="P227" s="1318"/>
      <c r="Q227" s="1318"/>
      <c r="R227" s="1318"/>
      <c r="S227" s="1318"/>
      <c r="T227" s="1318"/>
      <c r="U227" s="1318"/>
      <c r="V227" s="1318">
        <v>0.25</v>
      </c>
      <c r="W227" s="1276">
        <v>0.25</v>
      </c>
      <c r="X227" s="1276">
        <v>0.25</v>
      </c>
      <c r="Y227" s="1276">
        <v>0.25</v>
      </c>
      <c r="Z227" s="1319">
        <v>0.255</v>
      </c>
      <c r="AA227" s="1319">
        <v>0.26</v>
      </c>
      <c r="AB227" s="1319">
        <v>0.26500000000000001</v>
      </c>
      <c r="AC227" s="1320">
        <v>0.27</v>
      </c>
      <c r="AD227" s="1320">
        <v>0.27500000000000002</v>
      </c>
      <c r="AE227" s="1320">
        <v>0.28000000000000003</v>
      </c>
      <c r="AF227" s="1320">
        <v>0.28500000000000003</v>
      </c>
      <c r="AG227" s="1320">
        <v>0.29000000000000004</v>
      </c>
      <c r="AH227" s="1320">
        <v>0.29500000000000004</v>
      </c>
      <c r="AI227" s="1320">
        <v>0.29500000000000004</v>
      </c>
      <c r="AJ227" s="1320">
        <v>0.29500000000000004</v>
      </c>
      <c r="AK227" s="1320">
        <v>0.29500000000000004</v>
      </c>
      <c r="AL227" s="98">
        <v>0.29500000000000004</v>
      </c>
      <c r="AM227" s="98">
        <v>0.29500000000000004</v>
      </c>
      <c r="AN227" s="98">
        <v>0.29500000000000004</v>
      </c>
      <c r="AO227" s="98">
        <v>0.29500000000000004</v>
      </c>
      <c r="AP227" s="98">
        <v>0.29500000000000004</v>
      </c>
      <c r="AQ227" s="98">
        <v>0.29500000000000004</v>
      </c>
      <c r="AR227" s="98">
        <v>0.29500000000000004</v>
      </c>
      <c r="AS227" s="98">
        <v>0.29500000000000004</v>
      </c>
      <c r="AT227" s="98">
        <v>0.29500000000000004</v>
      </c>
      <c r="AU227" s="1143"/>
    </row>
    <row r="228" spans="1:47" customFormat="1" ht="15" thickBot="1">
      <c r="A228" s="93"/>
      <c r="B228" s="95"/>
      <c r="C228" s="92"/>
      <c r="D228" s="1298" t="s">
        <v>106</v>
      </c>
      <c r="E228" s="1261"/>
      <c r="F228" s="1260"/>
      <c r="G228" s="1260"/>
      <c r="H228" s="1260"/>
      <c r="I228" s="1318"/>
      <c r="J228" s="1318"/>
      <c r="K228" s="1318"/>
      <c r="L228" s="1318"/>
      <c r="M228" s="1318"/>
      <c r="N228" s="1318"/>
      <c r="O228" s="1318"/>
      <c r="P228" s="1318"/>
      <c r="Q228" s="1318"/>
      <c r="R228" s="1318"/>
      <c r="S228" s="1318"/>
      <c r="T228" s="1318"/>
      <c r="U228" s="1318"/>
      <c r="V228" s="1318">
        <v>9.740716864266763E-2</v>
      </c>
      <c r="W228" s="1275">
        <v>9.0623732764243528E-2</v>
      </c>
      <c r="X228" s="1275">
        <v>9.2757702557118182E-2</v>
      </c>
      <c r="Y228" s="1321">
        <v>8.5316705466904355E-2</v>
      </c>
      <c r="Z228" s="1319">
        <v>0.10494432755675528</v>
      </c>
      <c r="AA228" s="1319">
        <v>0.11901469072767738</v>
      </c>
      <c r="AB228" s="1319">
        <v>9.9999924800114603E-2</v>
      </c>
      <c r="AC228" s="1320">
        <v>9.6026377714741568E-2</v>
      </c>
      <c r="AD228" s="1320">
        <v>9.6026377714741568E-2</v>
      </c>
      <c r="AE228" s="1320">
        <v>9.6026377714741568E-2</v>
      </c>
      <c r="AF228" s="1320">
        <v>9.6026377714741568E-2</v>
      </c>
      <c r="AG228" s="1320">
        <v>9.6026377714741568E-2</v>
      </c>
      <c r="AH228" s="1320">
        <v>9.6026377714741568E-2</v>
      </c>
      <c r="AI228" s="1320">
        <v>9.6026377714741568E-2</v>
      </c>
      <c r="AJ228" s="1320">
        <v>9.6026377714741568E-2</v>
      </c>
      <c r="AK228" s="1320">
        <v>9.6026377714741568E-2</v>
      </c>
      <c r="AL228" s="98">
        <v>9.6026377714741568E-2</v>
      </c>
      <c r="AM228" s="98">
        <v>9.6026377714741568E-2</v>
      </c>
      <c r="AN228" s="98">
        <v>9.6026377714741568E-2</v>
      </c>
      <c r="AO228" s="98">
        <v>9.6026377714741568E-2</v>
      </c>
      <c r="AP228" s="98">
        <v>9.6026377714741568E-2</v>
      </c>
      <c r="AQ228" s="98">
        <v>9.6026377714741568E-2</v>
      </c>
      <c r="AR228" s="98">
        <v>9.6026377714741568E-2</v>
      </c>
      <c r="AS228" s="98">
        <v>9.6026377714741568E-2</v>
      </c>
      <c r="AT228" s="98">
        <v>9.6026377714741568E-2</v>
      </c>
      <c r="AU228" s="1143"/>
    </row>
    <row r="229" spans="1:47" customFormat="1" ht="14.5">
      <c r="A229" s="93"/>
      <c r="B229" s="95"/>
      <c r="C229" s="92"/>
      <c r="D229" s="1298" t="s">
        <v>107</v>
      </c>
      <c r="E229" s="1261"/>
      <c r="F229" s="1260"/>
      <c r="G229" s="1260"/>
      <c r="H229" s="1260"/>
      <c r="I229" s="1318"/>
      <c r="J229" s="1318"/>
      <c r="K229" s="1318"/>
      <c r="L229" s="1318"/>
      <c r="M229" s="1318"/>
      <c r="N229" s="1318"/>
      <c r="O229" s="1318"/>
      <c r="P229" s="1318"/>
      <c r="Q229" s="1318"/>
      <c r="R229" s="1318"/>
      <c r="S229" s="1318"/>
      <c r="T229" s="1318"/>
      <c r="U229" s="1318"/>
      <c r="V229" s="1318">
        <v>0.37247024952341623</v>
      </c>
      <c r="W229" s="1275">
        <v>0.35687475397494978</v>
      </c>
      <c r="X229" s="1275">
        <v>0.34085870293801351</v>
      </c>
      <c r="Y229" s="1278">
        <v>0.49374250383194079</v>
      </c>
      <c r="Z229" s="1319">
        <v>0.49374250383194079</v>
      </c>
      <c r="AA229" s="1319">
        <v>0.49374250383194079</v>
      </c>
      <c r="AB229" s="1319">
        <v>0.49374250383194079</v>
      </c>
      <c r="AC229" s="1320">
        <v>0.49374250383194079</v>
      </c>
      <c r="AD229" s="1320">
        <v>0.49374250383194079</v>
      </c>
      <c r="AE229" s="1320">
        <v>0.49374250383194079</v>
      </c>
      <c r="AF229" s="1320">
        <v>0.49374250383194079</v>
      </c>
      <c r="AG229" s="1320">
        <v>0.49374250383194079</v>
      </c>
      <c r="AH229" s="1320">
        <v>0.49374250383194079</v>
      </c>
      <c r="AI229" s="1320">
        <v>0.49374250383194079</v>
      </c>
      <c r="AJ229" s="1320">
        <v>0.49374250383194079</v>
      </c>
      <c r="AK229" s="1320">
        <v>0.49374250383194079</v>
      </c>
      <c r="AL229" s="98">
        <v>0.49374250383194079</v>
      </c>
      <c r="AM229" s="98">
        <v>0.49374250383194079</v>
      </c>
      <c r="AN229" s="98">
        <v>0.49374250383194079</v>
      </c>
      <c r="AO229" s="98">
        <v>0.49374250383194079</v>
      </c>
      <c r="AP229" s="98">
        <v>0.49374250383194079</v>
      </c>
      <c r="AQ229" s="98">
        <v>0.49374250383194079</v>
      </c>
      <c r="AR229" s="98">
        <v>0.49374250383194079</v>
      </c>
      <c r="AS229" s="98">
        <v>0.49374250383194079</v>
      </c>
      <c r="AT229" s="98">
        <v>0.49374250383194079</v>
      </c>
      <c r="AU229" s="1143"/>
    </row>
    <row r="230" spans="1:47" customFormat="1" ht="15" thickBot="1">
      <c r="A230" s="93"/>
      <c r="B230" s="95"/>
      <c r="C230" s="92"/>
      <c r="D230" s="1298" t="s">
        <v>108</v>
      </c>
      <c r="E230" s="1261"/>
      <c r="F230" s="1260"/>
      <c r="G230" s="1260"/>
      <c r="H230" s="1260"/>
      <c r="I230" s="1322"/>
      <c r="J230" s="1322"/>
      <c r="K230" s="1322"/>
      <c r="L230" s="1322"/>
      <c r="M230" s="1322"/>
      <c r="N230" s="1322"/>
      <c r="O230" s="1322"/>
      <c r="P230" s="1322"/>
      <c r="Q230" s="1322"/>
      <c r="R230" s="1322"/>
      <c r="S230" s="1322"/>
      <c r="T230" s="1322"/>
      <c r="U230" s="1322"/>
      <c r="V230" s="1322">
        <v>0.37247024952341623</v>
      </c>
      <c r="W230" s="1275">
        <v>0.35687475397494978</v>
      </c>
      <c r="X230" s="1275">
        <v>0.34085870293801351</v>
      </c>
      <c r="Y230" s="1323">
        <v>0.43987968523209275</v>
      </c>
      <c r="Z230" s="1319">
        <v>0.43987968523209275</v>
      </c>
      <c r="AA230" s="1319">
        <v>0.43987968523209275</v>
      </c>
      <c r="AB230" s="1319">
        <v>0.43987968523209275</v>
      </c>
      <c r="AC230" s="1320">
        <v>0.43987968523209275</v>
      </c>
      <c r="AD230" s="1320">
        <v>0.43987968523209275</v>
      </c>
      <c r="AE230" s="1320">
        <v>0.43987968523209275</v>
      </c>
      <c r="AF230" s="1320">
        <v>0.43987968523209275</v>
      </c>
      <c r="AG230" s="1320">
        <v>0.43987968523209275</v>
      </c>
      <c r="AH230" s="1320">
        <v>0.43987968523209275</v>
      </c>
      <c r="AI230" s="1320">
        <v>0.43987968523209275</v>
      </c>
      <c r="AJ230" s="1320">
        <v>0.43987968523209275</v>
      </c>
      <c r="AK230" s="1320">
        <v>0.43987968523209275</v>
      </c>
      <c r="AL230" s="98">
        <v>0.43987968523209275</v>
      </c>
      <c r="AM230" s="98">
        <v>0.43987968523209275</v>
      </c>
      <c r="AN230" s="98">
        <v>0.43987968523209275</v>
      </c>
      <c r="AO230" s="98">
        <v>0.43987968523209275</v>
      </c>
      <c r="AP230" s="98">
        <v>0.43987968523209275</v>
      </c>
      <c r="AQ230" s="98">
        <v>0.43987968523209275</v>
      </c>
      <c r="AR230" s="98">
        <v>0.43987968523209275</v>
      </c>
      <c r="AS230" s="98">
        <v>0.43987968523209275</v>
      </c>
      <c r="AT230" s="98">
        <v>0.43987968523209275</v>
      </c>
      <c r="AU230" s="1143"/>
    </row>
    <row r="231" spans="1:47" customFormat="1" ht="14.5">
      <c r="A231" s="93"/>
      <c r="B231" s="95"/>
      <c r="C231" s="92"/>
      <c r="D231" s="1298" t="s">
        <v>109</v>
      </c>
      <c r="E231" s="1261"/>
      <c r="F231" s="1260"/>
      <c r="G231" s="1260"/>
      <c r="H231" s="1260"/>
      <c r="I231" s="1322"/>
      <c r="J231" s="1322"/>
      <c r="K231" s="1322"/>
      <c r="L231" s="1322"/>
      <c r="M231" s="1322"/>
      <c r="N231" s="1322"/>
      <c r="O231" s="1322"/>
      <c r="P231" s="1322"/>
      <c r="Q231" s="1322"/>
      <c r="R231" s="1322"/>
      <c r="S231" s="1322"/>
      <c r="T231" s="1322"/>
      <c r="U231" s="1322"/>
      <c r="V231" s="1322">
        <v>0.25</v>
      </c>
      <c r="W231" s="1275">
        <v>0.25</v>
      </c>
      <c r="X231" s="1276">
        <v>0.25</v>
      </c>
      <c r="Y231" s="1276">
        <v>0.25</v>
      </c>
      <c r="Z231" s="1319">
        <v>0.25</v>
      </c>
      <c r="AA231" s="1319">
        <v>0.25</v>
      </c>
      <c r="AB231" s="1319">
        <v>0.25</v>
      </c>
      <c r="AC231" s="1320">
        <v>0.25</v>
      </c>
      <c r="AD231" s="1320">
        <v>0.25</v>
      </c>
      <c r="AE231" s="1320">
        <v>0.25</v>
      </c>
      <c r="AF231" s="1320">
        <v>0.25</v>
      </c>
      <c r="AG231" s="1320">
        <v>0.28000000000000003</v>
      </c>
      <c r="AH231" s="1320">
        <v>0.28000000000000003</v>
      </c>
      <c r="AI231" s="1320">
        <v>0.28000000000000003</v>
      </c>
      <c r="AJ231" s="1320">
        <v>0.28000000000000003</v>
      </c>
      <c r="AK231" s="1320">
        <v>0.28000000000000003</v>
      </c>
      <c r="AL231" s="98">
        <v>0.28000000000000003</v>
      </c>
      <c r="AM231" s="98">
        <v>0.28000000000000003</v>
      </c>
      <c r="AN231" s="98">
        <v>0.28000000000000003</v>
      </c>
      <c r="AO231" s="98">
        <v>0.28000000000000003</v>
      </c>
      <c r="AP231" s="98">
        <v>0.28000000000000003</v>
      </c>
      <c r="AQ231" s="98">
        <v>0.28000000000000003</v>
      </c>
      <c r="AR231" s="98">
        <v>0.28000000000000003</v>
      </c>
      <c r="AS231" s="98">
        <v>0.28000000000000003</v>
      </c>
      <c r="AT231" s="98">
        <v>0.28000000000000003</v>
      </c>
      <c r="AU231" s="1143"/>
    </row>
    <row r="232" spans="1:47" customFormat="1" ht="14.5">
      <c r="A232" s="93"/>
      <c r="B232" s="95"/>
      <c r="C232" s="92"/>
      <c r="D232" s="1298" t="s">
        <v>111</v>
      </c>
      <c r="E232" s="1261"/>
      <c r="F232" s="1260"/>
      <c r="G232" s="1260"/>
      <c r="H232" s="1260"/>
      <c r="I232" s="1322"/>
      <c r="J232" s="1322"/>
      <c r="K232" s="1322"/>
      <c r="L232" s="1322"/>
      <c r="M232" s="1322"/>
      <c r="N232" s="1322"/>
      <c r="O232" s="1322"/>
      <c r="P232" s="1322"/>
      <c r="Q232" s="1322"/>
      <c r="R232" s="1322"/>
      <c r="S232" s="1322"/>
      <c r="T232" s="1322"/>
      <c r="U232" s="1322"/>
      <c r="V232" s="1322">
        <v>5.01917773388382E-2</v>
      </c>
      <c r="W232" s="1275">
        <v>4.7235140430077441E-2</v>
      </c>
      <c r="X232" s="1276">
        <v>4.9178610317371738E-2</v>
      </c>
      <c r="Y232" s="1276">
        <v>4.4722692811003072E-2</v>
      </c>
      <c r="Z232" s="1319">
        <v>3.3002847640052624E-2</v>
      </c>
      <c r="AA232" s="1319">
        <v>2.6037328560916218E-2</v>
      </c>
      <c r="AB232" s="1319">
        <v>5.2638965405902113E-2</v>
      </c>
      <c r="AC232" s="1320">
        <v>5.8338491422881986E-2</v>
      </c>
      <c r="AD232" s="1320">
        <v>5.0492913764671576E-2</v>
      </c>
      <c r="AE232" s="1320">
        <v>3.4356068322427213E-2</v>
      </c>
      <c r="AF232" s="1320">
        <v>3.592088833237192E-2</v>
      </c>
      <c r="AG232" s="1320">
        <v>5.745246215862209E-2</v>
      </c>
      <c r="AH232" s="1320">
        <v>4.7772868635965103E-2</v>
      </c>
      <c r="AI232" s="1320">
        <v>4.7772868635965103E-2</v>
      </c>
      <c r="AJ232" s="1320">
        <v>4.7772868635965103E-2</v>
      </c>
      <c r="AK232" s="1320">
        <v>4.7772868635965103E-2</v>
      </c>
      <c r="AL232" s="98">
        <v>4.7772868635965103E-2</v>
      </c>
      <c r="AM232" s="98">
        <v>4.7772868635965103E-2</v>
      </c>
      <c r="AN232" s="98">
        <v>4.7772868635965103E-2</v>
      </c>
      <c r="AO232" s="98">
        <v>4.7772868635965103E-2</v>
      </c>
      <c r="AP232" s="98">
        <v>4.7772868635965103E-2</v>
      </c>
      <c r="AQ232" s="98">
        <v>4.7772868635965103E-2</v>
      </c>
      <c r="AR232" s="98">
        <v>4.7772868635965103E-2</v>
      </c>
      <c r="AS232" s="98">
        <v>4.7772868635965103E-2</v>
      </c>
      <c r="AT232" s="98">
        <v>4.7772868635965103E-2</v>
      </c>
      <c r="AU232" s="1143"/>
    </row>
    <row r="233" spans="1:47" customFormat="1" ht="14.5">
      <c r="A233" s="93"/>
      <c r="B233" s="95"/>
      <c r="C233" s="92"/>
      <c r="D233" s="1324" t="s">
        <v>110</v>
      </c>
      <c r="E233" s="1325"/>
      <c r="F233" s="1324"/>
      <c r="G233" s="1324"/>
      <c r="H233" s="1324"/>
      <c r="I233" s="1326"/>
      <c r="J233" s="1326"/>
      <c r="K233" s="1326"/>
      <c r="L233" s="1326"/>
      <c r="M233" s="1326"/>
      <c r="N233" s="1326"/>
      <c r="O233" s="1326"/>
      <c r="P233" s="1326"/>
      <c r="Q233" s="1326"/>
      <c r="R233" s="1326"/>
      <c r="S233" s="1326"/>
      <c r="T233" s="1326"/>
      <c r="U233" s="1326"/>
      <c r="V233" s="1326">
        <v>6.4101322835642099E-2</v>
      </c>
      <c r="W233" s="1327">
        <v>6.1544553450082889E-2</v>
      </c>
      <c r="X233" s="1328">
        <v>5.9139976788698617E-2</v>
      </c>
      <c r="Y233" s="1328">
        <v>6.7459435207595675E-2</v>
      </c>
      <c r="Z233" s="1329">
        <v>7.7394571293086162E-2</v>
      </c>
      <c r="AA233" s="1329">
        <v>6.0661236442505526E-2</v>
      </c>
      <c r="AB233" s="1329">
        <v>5.3669834829862817E-2</v>
      </c>
      <c r="AC233" s="1330">
        <v>5.6537624138436521E-2</v>
      </c>
      <c r="AD233" s="1330">
        <v>6.5319749804501878E-2</v>
      </c>
      <c r="AE233" s="1330">
        <v>7.1319455943269175E-2</v>
      </c>
      <c r="AF233" s="1330">
        <v>7.0654022809863187E-2</v>
      </c>
      <c r="AG233" s="1330">
        <v>6.6937980668059505E-2</v>
      </c>
      <c r="AH233" s="1330">
        <v>6.3916870399123277E-2</v>
      </c>
      <c r="AI233" s="1330">
        <v>6.3916870399123277E-2</v>
      </c>
      <c r="AJ233" s="1330">
        <v>6.3916870399123277E-2</v>
      </c>
      <c r="AK233" s="1330">
        <v>6.3916870399123277E-2</v>
      </c>
      <c r="AL233" s="173">
        <v>6.3916870399123277E-2</v>
      </c>
      <c r="AM233" s="173">
        <v>6.3916870399123277E-2</v>
      </c>
      <c r="AN233" s="173">
        <v>6.3916870399123277E-2</v>
      </c>
      <c r="AO233" s="173">
        <v>6.3916870399123277E-2</v>
      </c>
      <c r="AP233" s="173">
        <v>6.3916870399123277E-2</v>
      </c>
      <c r="AQ233" s="173">
        <v>6.3916870399123277E-2</v>
      </c>
      <c r="AR233" s="173">
        <v>6.3916870399123277E-2</v>
      </c>
      <c r="AS233" s="173">
        <v>6.3916870399123277E-2</v>
      </c>
      <c r="AT233" s="173">
        <v>6.3916870399123277E-2</v>
      </c>
      <c r="AU233" s="1143"/>
    </row>
    <row r="234" spans="1:47" customFormat="1" ht="14.5">
      <c r="A234" s="93"/>
      <c r="C234" s="92"/>
      <c r="D234" s="662" t="s">
        <v>1116</v>
      </c>
      <c r="E234" s="87"/>
      <c r="F234" s="87"/>
      <c r="G234" s="87"/>
      <c r="H234" s="87"/>
      <c r="I234" s="87"/>
      <c r="J234" s="87"/>
      <c r="K234" s="87"/>
      <c r="L234" s="87"/>
      <c r="M234" s="87"/>
      <c r="N234" s="87"/>
      <c r="O234" s="87"/>
      <c r="P234" s="87"/>
      <c r="Q234" s="87"/>
      <c r="R234" s="87"/>
      <c r="S234" s="87"/>
      <c r="T234" s="87"/>
      <c r="U234" s="87"/>
    </row>
    <row r="235" spans="1:47" customFormat="1" ht="14.5">
      <c r="A235" s="93"/>
      <c r="C235" s="92"/>
    </row>
    <row r="236" spans="1:47" customFormat="1" ht="14.5">
      <c r="A236" s="93"/>
      <c r="C236" s="92"/>
      <c r="D236" s="66" t="s">
        <v>3388</v>
      </c>
      <c r="E236" s="959"/>
      <c r="F236" s="959">
        <v>1995</v>
      </c>
      <c r="G236" s="959">
        <v>1996</v>
      </c>
      <c r="H236" s="959">
        <v>1997</v>
      </c>
      <c r="I236" s="959">
        <v>1998</v>
      </c>
      <c r="J236" s="959">
        <v>1999</v>
      </c>
      <c r="K236" s="959">
        <v>2000</v>
      </c>
      <c r="L236" s="959">
        <v>2001</v>
      </c>
      <c r="M236" s="959">
        <v>2002</v>
      </c>
      <c r="N236" s="959">
        <v>2003</v>
      </c>
      <c r="O236" s="959">
        <v>2004</v>
      </c>
      <c r="P236" s="959">
        <v>2005</v>
      </c>
      <c r="Q236" s="959">
        <v>2006</v>
      </c>
      <c r="R236" s="959">
        <v>2007</v>
      </c>
      <c r="S236" s="959">
        <v>2008</v>
      </c>
      <c r="T236" s="959">
        <v>2009</v>
      </c>
      <c r="U236" s="960">
        <v>2010</v>
      </c>
      <c r="V236" s="961" t="s">
        <v>757</v>
      </c>
      <c r="W236" s="962">
        <v>2012</v>
      </c>
      <c r="X236" s="962">
        <v>2013</v>
      </c>
      <c r="Y236" s="962">
        <v>2014</v>
      </c>
      <c r="Z236" s="962">
        <v>2015</v>
      </c>
      <c r="AA236" s="962">
        <v>2016</v>
      </c>
      <c r="AB236" s="962">
        <v>2017</v>
      </c>
      <c r="AC236" s="962">
        <v>2018</v>
      </c>
      <c r="AD236" s="962">
        <v>2019</v>
      </c>
      <c r="AE236" s="962">
        <v>2020</v>
      </c>
      <c r="AF236" s="962">
        <v>2021</v>
      </c>
      <c r="AG236" s="962">
        <v>2022</v>
      </c>
      <c r="AH236" s="962">
        <v>2023</v>
      </c>
      <c r="AI236" s="962">
        <v>2024</v>
      </c>
      <c r="AJ236" s="962">
        <v>2025</v>
      </c>
      <c r="AK236" s="962">
        <v>2026</v>
      </c>
      <c r="AL236" s="962">
        <v>2027</v>
      </c>
      <c r="AM236" s="962">
        <v>2028</v>
      </c>
      <c r="AN236" s="962">
        <v>2029</v>
      </c>
      <c r="AO236" s="962">
        <v>2030</v>
      </c>
      <c r="AP236" s="962">
        <v>2031</v>
      </c>
      <c r="AQ236" s="962">
        <v>2032</v>
      </c>
      <c r="AR236" s="962">
        <v>2033</v>
      </c>
      <c r="AS236" s="962">
        <v>2034</v>
      </c>
      <c r="AT236" s="962">
        <v>2035</v>
      </c>
    </row>
    <row r="237" spans="1:47" customFormat="1" ht="14.5">
      <c r="A237" s="93"/>
      <c r="C237" s="92"/>
      <c r="D237" s="1331" t="s">
        <v>745</v>
      </c>
      <c r="E237" s="1331"/>
      <c r="F237" s="1331"/>
      <c r="G237" s="1331"/>
      <c r="H237" s="1331"/>
      <c r="I237" s="1332">
        <v>2018</v>
      </c>
      <c r="J237" s="1332">
        <v>2019</v>
      </c>
      <c r="K237" s="1332">
        <v>2020</v>
      </c>
      <c r="L237" s="1332">
        <v>2021</v>
      </c>
      <c r="M237" s="1332">
        <v>2022</v>
      </c>
      <c r="N237" s="1332">
        <v>2023</v>
      </c>
      <c r="O237" s="1332">
        <v>2024</v>
      </c>
      <c r="P237" s="1332">
        <v>2025</v>
      </c>
      <c r="Q237" s="1332">
        <v>2026</v>
      </c>
      <c r="R237" s="1332">
        <v>2027</v>
      </c>
      <c r="S237" s="1332">
        <v>2028</v>
      </c>
      <c r="T237" s="1332">
        <v>2029</v>
      </c>
      <c r="U237" s="1332">
        <v>2030</v>
      </c>
      <c r="V237" s="1332">
        <v>2031</v>
      </c>
      <c r="W237" s="1332">
        <v>2032</v>
      </c>
      <c r="X237" s="1333">
        <v>2033</v>
      </c>
      <c r="Y237" s="1333">
        <v>2034</v>
      </c>
      <c r="Z237" s="1333">
        <v>2035</v>
      </c>
      <c r="AA237" s="1333">
        <v>2016</v>
      </c>
      <c r="AB237" s="1333">
        <v>2017</v>
      </c>
      <c r="AC237" s="1333">
        <v>2018</v>
      </c>
      <c r="AD237" s="1333">
        <v>2019</v>
      </c>
      <c r="AE237" s="1333">
        <v>2020</v>
      </c>
      <c r="AF237" s="1333">
        <v>2021</v>
      </c>
      <c r="AG237" s="1333">
        <v>2022</v>
      </c>
      <c r="AH237" s="1333">
        <v>2023</v>
      </c>
      <c r="AI237" s="1333">
        <v>2024</v>
      </c>
      <c r="AJ237" s="1333">
        <v>2025</v>
      </c>
      <c r="AK237" s="1333">
        <v>2026</v>
      </c>
      <c r="AL237" s="1333">
        <v>2027</v>
      </c>
      <c r="AM237" s="1333">
        <v>2028</v>
      </c>
      <c r="AN237" s="1333">
        <v>2029</v>
      </c>
      <c r="AO237" s="1333">
        <v>2030</v>
      </c>
      <c r="AP237" s="1333">
        <v>2031</v>
      </c>
      <c r="AQ237" s="1333">
        <v>2032</v>
      </c>
      <c r="AR237" s="1333">
        <v>2033</v>
      </c>
      <c r="AS237" s="1333">
        <v>2034</v>
      </c>
      <c r="AT237" s="1333">
        <v>2035</v>
      </c>
    </row>
    <row r="238" spans="1:47" customFormat="1" ht="14.5">
      <c r="A238" s="93"/>
      <c r="C238" s="92"/>
      <c r="D238" s="1334" t="s">
        <v>1192</v>
      </c>
      <c r="E238" s="1334"/>
      <c r="F238" s="1334"/>
      <c r="G238" s="1334"/>
      <c r="H238" s="1334"/>
      <c r="I238" s="1335">
        <v>2466.2717773100003</v>
      </c>
      <c r="J238" s="1335">
        <v>2659.2781329723011</v>
      </c>
      <c r="K238" s="1335">
        <v>2541.6763749889669</v>
      </c>
      <c r="L238" s="1335">
        <v>2895.0730804107761</v>
      </c>
      <c r="M238" s="1335">
        <v>3612.757414311814</v>
      </c>
      <c r="N238" s="1335">
        <v>3857.3152703487262</v>
      </c>
      <c r="O238" s="1335">
        <v>4102.1873290917329</v>
      </c>
      <c r="P238" s="1335">
        <v>4106.3846643395955</v>
      </c>
      <c r="Q238" s="1335">
        <v>4211.5533918094079</v>
      </c>
      <c r="R238" s="1335">
        <v>4329.5759814965331</v>
      </c>
      <c r="S238" s="1335">
        <v>4478.5109713860829</v>
      </c>
      <c r="T238" s="1335">
        <v>4658.6803720389398</v>
      </c>
      <c r="U238" s="1335">
        <v>4788.4695476876668</v>
      </c>
      <c r="V238" s="1335">
        <v>5462.8435009060213</v>
      </c>
      <c r="W238" s="1335">
        <v>5791.1031475445834</v>
      </c>
      <c r="X238" s="1336">
        <v>6137.8861801587173</v>
      </c>
      <c r="Y238" s="1336">
        <v>6527.8323610303796</v>
      </c>
      <c r="Z238" s="1336">
        <v>7213.5021881690354</v>
      </c>
      <c r="AA238" s="1336">
        <v>2223.2957901254381</v>
      </c>
      <c r="AB238" s="1336">
        <v>2211.8280389140896</v>
      </c>
      <c r="AC238" s="1336">
        <v>2466.2717773100003</v>
      </c>
      <c r="AD238" s="1336">
        <v>2659.2781329723011</v>
      </c>
      <c r="AE238" s="1336">
        <v>2541.6763749889669</v>
      </c>
      <c r="AF238" s="1336">
        <v>2895.0730804107761</v>
      </c>
      <c r="AG238" s="1336">
        <v>3612.757414311814</v>
      </c>
      <c r="AH238" s="1336">
        <v>3857.3152703487262</v>
      </c>
      <c r="AI238" s="2299">
        <v>4102.1873290917329</v>
      </c>
      <c r="AJ238" s="2299">
        <v>4060.2066221040764</v>
      </c>
      <c r="AK238" s="2299">
        <v>4146.2301184521411</v>
      </c>
      <c r="AL238" s="2299">
        <v>4319.125970473795</v>
      </c>
      <c r="AM238" s="2299">
        <v>4563.4673421691896</v>
      </c>
      <c r="AN238" s="2299">
        <v>4820.3035752234809</v>
      </c>
      <c r="AO238" s="2299">
        <v>5040.6150042787813</v>
      </c>
      <c r="AP238" s="2299">
        <v>6322.8077963258766</v>
      </c>
      <c r="AQ238" s="2299">
        <v>7070.4301593620867</v>
      </c>
      <c r="AR238" s="2299">
        <v>7871.0878660743347</v>
      </c>
      <c r="AS238" s="2299">
        <v>8795.6161082707567</v>
      </c>
      <c r="AT238" s="2299">
        <v>9780.6475595178108</v>
      </c>
      <c r="AU238" s="1143"/>
    </row>
    <row r="239" spans="1:47" customFormat="1" ht="14.5">
      <c r="A239" s="93"/>
      <c r="C239" s="92"/>
      <c r="D239" s="1337" t="s">
        <v>750</v>
      </c>
      <c r="E239" s="1334"/>
      <c r="F239" s="1334"/>
      <c r="G239" s="1334"/>
      <c r="H239" s="1334"/>
      <c r="I239" s="1335">
        <v>583.66328862000023</v>
      </c>
      <c r="J239" s="1335">
        <v>692.50290825245929</v>
      </c>
      <c r="K239" s="1335">
        <v>660.03759621833512</v>
      </c>
      <c r="L239" s="1335">
        <v>736.64741839121643</v>
      </c>
      <c r="M239" s="1335">
        <v>735.01219711327371</v>
      </c>
      <c r="N239" s="1335">
        <v>905.86657896759789</v>
      </c>
      <c r="O239" s="1335">
        <v>957.29556174401796</v>
      </c>
      <c r="P239" s="1335">
        <v>958.41290813404612</v>
      </c>
      <c r="Q239" s="1335">
        <v>992.09052570898154</v>
      </c>
      <c r="R239" s="1335">
        <v>1016.4595040703555</v>
      </c>
      <c r="S239" s="1335">
        <v>1055.3771608374821</v>
      </c>
      <c r="T239" s="1335">
        <v>1103.9133352076137</v>
      </c>
      <c r="U239" s="1335">
        <v>1130.3275968614735</v>
      </c>
      <c r="V239" s="1335">
        <v>1382.9746786485703</v>
      </c>
      <c r="W239" s="1335">
        <v>1437.5757883815145</v>
      </c>
      <c r="X239" s="1336">
        <v>1495.0890743026775</v>
      </c>
      <c r="Y239" s="1336">
        <v>1584.3958281676432</v>
      </c>
      <c r="Z239" s="1336">
        <v>1958.7879038328513</v>
      </c>
      <c r="AA239" s="1336">
        <v>707.92285204093946</v>
      </c>
      <c r="AB239" s="1336">
        <v>504.12933454341874</v>
      </c>
      <c r="AC239" s="1336">
        <v>583.66328862000023</v>
      </c>
      <c r="AD239" s="1336">
        <v>692.50290825245929</v>
      </c>
      <c r="AE239" s="1336">
        <v>660.03759621833512</v>
      </c>
      <c r="AF239" s="1336">
        <v>736.64741839121643</v>
      </c>
      <c r="AG239" s="1336">
        <v>735.01219711327371</v>
      </c>
      <c r="AH239" s="1336">
        <v>905.86657896759789</v>
      </c>
      <c r="AI239" s="2299">
        <v>957.29556174401796</v>
      </c>
      <c r="AJ239" s="2299">
        <v>944.94031902512654</v>
      </c>
      <c r="AK239" s="2299">
        <v>973.61947180378763</v>
      </c>
      <c r="AL239" s="2299">
        <v>1034.2433258560857</v>
      </c>
      <c r="AM239" s="2299">
        <v>1080.5439334112668</v>
      </c>
      <c r="AN239" s="2299">
        <v>1133.4923359613733</v>
      </c>
      <c r="AO239" s="2299">
        <v>1191.9218349815355</v>
      </c>
      <c r="AP239" s="2299">
        <v>1985.4949401788117</v>
      </c>
      <c r="AQ239" s="2299">
        <v>2529.7940528207</v>
      </c>
      <c r="AR239" s="2299">
        <v>3120.0927203026936</v>
      </c>
      <c r="AS239" s="2299">
        <v>3832.8100446969388</v>
      </c>
      <c r="AT239" s="2299">
        <v>4648.165998942457</v>
      </c>
      <c r="AU239" s="1143"/>
    </row>
    <row r="240" spans="1:47" customFormat="1" ht="14.5">
      <c r="A240" s="93"/>
      <c r="C240" s="92"/>
      <c r="D240" s="1337" t="s">
        <v>751</v>
      </c>
      <c r="E240" s="1334"/>
      <c r="F240" s="1334"/>
      <c r="G240" s="1334"/>
      <c r="H240" s="1334"/>
      <c r="I240" s="1335">
        <v>630.33869826</v>
      </c>
      <c r="J240" s="1335">
        <v>730.6378808008235</v>
      </c>
      <c r="K240" s="1335">
        <v>761.88800757285867</v>
      </c>
      <c r="L240" s="1335">
        <v>881.12950620895617</v>
      </c>
      <c r="M240" s="1335">
        <v>1044.1650999636963</v>
      </c>
      <c r="N240" s="1335">
        <v>1046.453347897957</v>
      </c>
      <c r="O240" s="1335">
        <v>1116.7703239986474</v>
      </c>
      <c r="P240" s="1335">
        <v>1170.5005024080856</v>
      </c>
      <c r="Q240" s="1335">
        <v>1228.6284580568606</v>
      </c>
      <c r="R240" s="1335">
        <v>1275.417598708465</v>
      </c>
      <c r="S240" s="1335">
        <v>1333.996477715767</v>
      </c>
      <c r="T240" s="1335">
        <v>1404.2096322110501</v>
      </c>
      <c r="U240" s="1335">
        <v>1461.7231084475568</v>
      </c>
      <c r="V240" s="1335">
        <v>1651.2599430064772</v>
      </c>
      <c r="W240" s="1335">
        <v>1752.2814083452654</v>
      </c>
      <c r="X240" s="1336">
        <v>1858.4155765836056</v>
      </c>
      <c r="Y240" s="1336">
        <v>1967.690664353451</v>
      </c>
      <c r="Z240" s="1336">
        <v>2077.0899989670661</v>
      </c>
      <c r="AA240" s="1336">
        <v>565.95643140037657</v>
      </c>
      <c r="AB240" s="1336">
        <v>563.63784518901537</v>
      </c>
      <c r="AC240" s="1336">
        <v>630.33869826</v>
      </c>
      <c r="AD240" s="1336">
        <v>730.6378808008235</v>
      </c>
      <c r="AE240" s="1336">
        <v>761.88800757285867</v>
      </c>
      <c r="AF240" s="1336">
        <v>881.12950620895617</v>
      </c>
      <c r="AG240" s="1336">
        <v>1044.1650999636963</v>
      </c>
      <c r="AH240" s="1336">
        <v>1046.453347897957</v>
      </c>
      <c r="AI240" s="2299">
        <v>1116.7703239986474</v>
      </c>
      <c r="AJ240" s="2299">
        <v>1154.2272566882568</v>
      </c>
      <c r="AK240" s="2299">
        <v>1220.2072746797385</v>
      </c>
      <c r="AL240" s="2299">
        <v>1301.2993592746557</v>
      </c>
      <c r="AM240" s="2299">
        <v>1413.591829376388</v>
      </c>
      <c r="AN240" s="2299">
        <v>1501.3830506958548</v>
      </c>
      <c r="AO240" s="2299">
        <v>1553.9868121847169</v>
      </c>
      <c r="AP240" s="2299">
        <v>1812.180692339273</v>
      </c>
      <c r="AQ240" s="2299">
        <v>1890.0970925626541</v>
      </c>
      <c r="AR240" s="2299">
        <v>1970.2064984768131</v>
      </c>
      <c r="AS240" s="2299">
        <v>2049.4721137974884</v>
      </c>
      <c r="AT240" s="2299">
        <v>2099.1463714426</v>
      </c>
      <c r="AU240" s="1143"/>
    </row>
    <row r="241" spans="1:50" customFormat="1" ht="14.5">
      <c r="A241" s="93"/>
      <c r="C241" s="92"/>
      <c r="D241" s="1337" t="s">
        <v>752</v>
      </c>
      <c r="E241" s="1334"/>
      <c r="F241" s="1334"/>
      <c r="G241" s="1334"/>
      <c r="H241" s="1334"/>
      <c r="I241" s="1335">
        <v>562.26818792999995</v>
      </c>
      <c r="J241" s="1335">
        <v>521.493398091936</v>
      </c>
      <c r="K241" s="1335">
        <v>348.74189688909951</v>
      </c>
      <c r="L241" s="1335">
        <v>397.26150612744345</v>
      </c>
      <c r="M241" s="1335">
        <v>763.05873521715762</v>
      </c>
      <c r="N241" s="1335">
        <v>679.96951332810363</v>
      </c>
      <c r="O241" s="1335">
        <v>740.13166217804962</v>
      </c>
      <c r="P241" s="1335">
        <v>687.47453721956333</v>
      </c>
      <c r="Q241" s="1335">
        <v>667.29168530863797</v>
      </c>
      <c r="R241" s="1335">
        <v>670.69483029762068</v>
      </c>
      <c r="S241" s="1335">
        <v>678.72103807376072</v>
      </c>
      <c r="T241" s="1335">
        <v>694.89140152120353</v>
      </c>
      <c r="U241" s="1335">
        <v>712.89048440629585</v>
      </c>
      <c r="V241" s="1335">
        <v>764.56818192134563</v>
      </c>
      <c r="W241" s="1335">
        <v>816.92362474994479</v>
      </c>
      <c r="X241" s="1336">
        <v>872.18507082328745</v>
      </c>
      <c r="Y241" s="1336">
        <v>929.694076050322</v>
      </c>
      <c r="Z241" s="1336">
        <v>991.53813465913413</v>
      </c>
      <c r="AA241" s="1336">
        <v>226.39659381096908</v>
      </c>
      <c r="AB241" s="1336">
        <v>487.13386603290525</v>
      </c>
      <c r="AC241" s="1336">
        <v>562.26818792999995</v>
      </c>
      <c r="AD241" s="1336">
        <v>521.493398091936</v>
      </c>
      <c r="AE241" s="1336">
        <v>348.74189688909951</v>
      </c>
      <c r="AF241" s="1336">
        <v>397.26150612744345</v>
      </c>
      <c r="AG241" s="1336">
        <v>763.05873521715762</v>
      </c>
      <c r="AH241" s="1336">
        <v>679.96951332810363</v>
      </c>
      <c r="AI241" s="2299">
        <v>740.13166217804962</v>
      </c>
      <c r="AJ241" s="2299">
        <v>687.71763001242698</v>
      </c>
      <c r="AK241" s="2299">
        <v>668.03285270916047</v>
      </c>
      <c r="AL241" s="2299">
        <v>677.81959645075165</v>
      </c>
      <c r="AM241" s="2299">
        <v>692.72260821267071</v>
      </c>
      <c r="AN241" s="2299">
        <v>709.86808375928968</v>
      </c>
      <c r="AO241" s="2299">
        <v>733.96202370225978</v>
      </c>
      <c r="AP241" s="2299">
        <v>753.44930323323877</v>
      </c>
      <c r="AQ241" s="2299">
        <v>773.28762801815662</v>
      </c>
      <c r="AR241" s="2299">
        <v>792.76525580241423</v>
      </c>
      <c r="AS241" s="2299">
        <v>811.4281615945323</v>
      </c>
      <c r="AT241" s="2299">
        <v>830.6656971848663</v>
      </c>
      <c r="AU241" s="1143"/>
    </row>
    <row r="242" spans="1:50" customFormat="1" ht="14.5">
      <c r="A242" s="93"/>
      <c r="C242" s="92"/>
      <c r="D242" s="1337" t="s">
        <v>753</v>
      </c>
      <c r="E242" s="1338" t="s">
        <v>1193</v>
      </c>
      <c r="F242" s="1334"/>
      <c r="G242" s="1334"/>
      <c r="H242" s="1334"/>
      <c r="I242" s="1335">
        <v>690.00160249999999</v>
      </c>
      <c r="J242" s="1335">
        <v>714.64394582708269</v>
      </c>
      <c r="K242" s="1335">
        <v>771.00887430867351</v>
      </c>
      <c r="L242" s="1335">
        <v>880.03464968315984</v>
      </c>
      <c r="M242" s="1335">
        <v>1070.5213820176864</v>
      </c>
      <c r="N242" s="1335">
        <v>1225.025830155068</v>
      </c>
      <c r="O242" s="1335">
        <v>1287.9897811710182</v>
      </c>
      <c r="P242" s="1335">
        <v>1289.9967165779001</v>
      </c>
      <c r="Q242" s="1335">
        <v>1323.542722734928</v>
      </c>
      <c r="R242" s="1335">
        <v>1367.0040484200917</v>
      </c>
      <c r="S242" s="1335">
        <v>1410.416294759073</v>
      </c>
      <c r="T242" s="1335">
        <v>1455.6660030990729</v>
      </c>
      <c r="U242" s="1335">
        <v>1483.5283579723405</v>
      </c>
      <c r="V242" s="1335">
        <v>1664.0406973296283</v>
      </c>
      <c r="W242" s="1335">
        <v>1784.3223260678583</v>
      </c>
      <c r="X242" s="1336">
        <v>1912.1964584491466</v>
      </c>
      <c r="Y242" s="1336">
        <v>2046.0517924589626</v>
      </c>
      <c r="Z242" s="1336">
        <v>2186.0861507099844</v>
      </c>
      <c r="AA242" s="1336">
        <v>723.01991287315275</v>
      </c>
      <c r="AB242" s="1336">
        <v>656.92699314875006</v>
      </c>
      <c r="AC242" s="1336">
        <v>690.00160249999999</v>
      </c>
      <c r="AD242" s="1336">
        <v>714.64394582708269</v>
      </c>
      <c r="AE242" s="1336">
        <v>771.00887430867351</v>
      </c>
      <c r="AF242" s="1336">
        <v>880.03464968315984</v>
      </c>
      <c r="AG242" s="1336">
        <v>1070.5213820176864</v>
      </c>
      <c r="AH242" s="1336">
        <v>1225.025830155068</v>
      </c>
      <c r="AI242" s="2299">
        <v>1287.9897811710182</v>
      </c>
      <c r="AJ242" s="2299">
        <v>1273.3214163782659</v>
      </c>
      <c r="AK242" s="2299">
        <v>1284.3705192594543</v>
      </c>
      <c r="AL242" s="2299">
        <v>1305.7636888923021</v>
      </c>
      <c r="AM242" s="2299">
        <v>1376.6089711688639</v>
      </c>
      <c r="AN242" s="2299">
        <v>1475.560104806963</v>
      </c>
      <c r="AO242" s="2299">
        <v>1560.7443334102695</v>
      </c>
      <c r="AP242" s="2299">
        <v>1771.6828605745527</v>
      </c>
      <c r="AQ242" s="2299">
        <v>1877.2513859605763</v>
      </c>
      <c r="AR242" s="2299">
        <v>1988.0233914924142</v>
      </c>
      <c r="AS242" s="2299">
        <v>2101.9057881817976</v>
      </c>
      <c r="AT242" s="2299">
        <v>2202.6694919478882</v>
      </c>
      <c r="AU242" s="1143"/>
    </row>
    <row r="243" spans="1:50" customFormat="1" ht="14.5">
      <c r="A243" s="93"/>
      <c r="C243" s="92"/>
      <c r="D243" s="1334" t="s">
        <v>746</v>
      </c>
      <c r="E243" s="1334">
        <v>0.8</v>
      </c>
      <c r="F243" s="1334"/>
      <c r="G243" s="1334"/>
      <c r="H243" s="1334"/>
      <c r="I243" s="1335">
        <v>725339.51312000002</v>
      </c>
      <c r="J243" s="1335">
        <v>745532.51297000004</v>
      </c>
      <c r="K243" s="1335">
        <v>627416.92625999998</v>
      </c>
      <c r="L243" s="1335">
        <v>633888.96921999997</v>
      </c>
      <c r="M243" s="1335">
        <v>790079.92506000004</v>
      </c>
      <c r="N243" s="1335">
        <v>734498.31530999998</v>
      </c>
      <c r="O243" s="1335">
        <v>848594.80564000004</v>
      </c>
      <c r="P243" s="1335">
        <v>866758.9863058707</v>
      </c>
      <c r="Q243" s="1335">
        <v>888250.94442372746</v>
      </c>
      <c r="R243" s="1335">
        <v>909459.5472821336</v>
      </c>
      <c r="S243" s="1335">
        <v>927697.36814078118</v>
      </c>
      <c r="T243" s="1335">
        <v>955105.23300002213</v>
      </c>
      <c r="U243" s="1335">
        <v>983385.31126446568</v>
      </c>
      <c r="V243" s="1335">
        <v>1058482.6217608401</v>
      </c>
      <c r="W243" s="1335">
        <v>1135051.5332028521</v>
      </c>
      <c r="X243" s="1336">
        <v>1216212.2823850026</v>
      </c>
      <c r="Y243" s="1336">
        <v>1301090.2202881954</v>
      </c>
      <c r="Z243" s="1336">
        <v>1392654.488106295</v>
      </c>
      <c r="AA243" s="1336">
        <v>267183</v>
      </c>
      <c r="AB243" s="1336">
        <v>662918.34925999993</v>
      </c>
      <c r="AC243" s="1336">
        <v>725339.51312000002</v>
      </c>
      <c r="AD243" s="1336">
        <v>745532.51297000004</v>
      </c>
      <c r="AE243" s="1336">
        <v>627416.92625999998</v>
      </c>
      <c r="AF243" s="1336">
        <v>633888.96921999997</v>
      </c>
      <c r="AG243" s="1336">
        <v>790079.92506000004</v>
      </c>
      <c r="AH243" s="1336">
        <v>734498.31530999998</v>
      </c>
      <c r="AI243" s="2299">
        <v>848594.80564000004</v>
      </c>
      <c r="AJ243" s="2299">
        <v>867065.474548436</v>
      </c>
      <c r="AK243" s="2299">
        <v>889237.53343417775</v>
      </c>
      <c r="AL243" s="2299">
        <v>919120.70211352292</v>
      </c>
      <c r="AM243" s="2299">
        <v>946835.15677419293</v>
      </c>
      <c r="AN243" s="2299">
        <v>975690.18706228398</v>
      </c>
      <c r="AO243" s="2299">
        <v>1012452.1071926511</v>
      </c>
      <c r="AP243" s="2299">
        <v>1043089.4362436868</v>
      </c>
      <c r="AQ243" s="2299">
        <v>1074422.7259402254</v>
      </c>
      <c r="AR243" s="2299">
        <v>1105465.8849467216</v>
      </c>
      <c r="AS243" s="2299">
        <v>1135579.1896644619</v>
      </c>
      <c r="AT243" s="2299">
        <v>1166702.7932295692</v>
      </c>
      <c r="AU243" s="1143"/>
    </row>
    <row r="244" spans="1:50" customFormat="1" ht="14.5">
      <c r="A244" s="93"/>
      <c r="C244" s="92"/>
      <c r="D244" s="1334" t="s">
        <v>747</v>
      </c>
      <c r="E244" s="1334"/>
      <c r="F244" s="1334"/>
      <c r="G244" s="1334"/>
      <c r="H244" s="1334"/>
      <c r="I244" s="1335">
        <v>235978.05922999998</v>
      </c>
      <c r="J244" s="1335">
        <v>244454.18565</v>
      </c>
      <c r="K244" s="1335">
        <v>219358.74724</v>
      </c>
      <c r="L244" s="1335">
        <v>243464.97689000005</v>
      </c>
      <c r="M244" s="1335">
        <v>284032.83514000004</v>
      </c>
      <c r="N244" s="1335">
        <v>255846.70896999998</v>
      </c>
      <c r="O244" s="1335">
        <v>315306.20034000004</v>
      </c>
      <c r="P244" s="1335">
        <v>322055.33284703386</v>
      </c>
      <c r="Q244" s="1335">
        <v>330040.94341991149</v>
      </c>
      <c r="R244" s="1335">
        <v>337921.26973979827</v>
      </c>
      <c r="S244" s="1335">
        <v>344697.7641976978</v>
      </c>
      <c r="T244" s="1335">
        <v>354881.50521374354</v>
      </c>
      <c r="U244" s="1335">
        <v>365389.32822139742</v>
      </c>
      <c r="V244" s="1335">
        <v>393292.68972089054</v>
      </c>
      <c r="W244" s="1335">
        <v>421742.84328121389</v>
      </c>
      <c r="X244" s="1336">
        <v>451899.15259549447</v>
      </c>
      <c r="Y244" s="1336">
        <v>483436.63068878331</v>
      </c>
      <c r="Z244" s="1336">
        <v>517458.4997607547</v>
      </c>
      <c r="AA244" s="1336">
        <v>96164.3</v>
      </c>
      <c r="AB244" s="1336">
        <v>212618.04809</v>
      </c>
      <c r="AC244" s="1336">
        <v>235978.05922999998</v>
      </c>
      <c r="AD244" s="1336">
        <v>244454.18565</v>
      </c>
      <c r="AE244" s="1336">
        <v>219358.74724</v>
      </c>
      <c r="AF244" s="1336">
        <v>243464.97689000005</v>
      </c>
      <c r="AG244" s="1336">
        <v>284032.83514000004</v>
      </c>
      <c r="AH244" s="1336">
        <v>255846.70896999998</v>
      </c>
      <c r="AI244" s="2299">
        <v>315306.20034000004</v>
      </c>
      <c r="AJ244" s="2299">
        <v>322169.21245432092</v>
      </c>
      <c r="AK244" s="2299">
        <v>330407.52312333969</v>
      </c>
      <c r="AL244" s="2299">
        <v>341510.99477763224</v>
      </c>
      <c r="AM244" s="2299">
        <v>351808.65313645353</v>
      </c>
      <c r="AN244" s="2299">
        <v>362530.10688606946</v>
      </c>
      <c r="AO244" s="2299">
        <v>376189.46618979122</v>
      </c>
      <c r="AP244" s="2299">
        <v>387573.1557285962</v>
      </c>
      <c r="AQ244" s="2299">
        <v>399215.43830292451</v>
      </c>
      <c r="AR244" s="2299">
        <v>410749.91912679275</v>
      </c>
      <c r="AS244" s="2299">
        <v>421938.900755157</v>
      </c>
      <c r="AT244" s="2299">
        <v>433503.27177861758</v>
      </c>
      <c r="AU244" s="1143"/>
    </row>
    <row r="245" spans="1:50" customFormat="1" ht="14.5">
      <c r="A245" s="93"/>
      <c r="C245" s="92"/>
      <c r="D245" s="1334" t="s">
        <v>748</v>
      </c>
      <c r="E245" s="1334"/>
      <c r="F245" s="1334"/>
      <c r="G245" s="1334"/>
      <c r="H245" s="1334"/>
      <c r="I245" s="1335">
        <v>258448.87561999998</v>
      </c>
      <c r="J245" s="1335">
        <v>288132.82489000005</v>
      </c>
      <c r="K245" s="1335">
        <v>274121.12283000001</v>
      </c>
      <c r="L245" s="1335">
        <v>275028.38418999995</v>
      </c>
      <c r="M245" s="1335">
        <v>363333.67709999997</v>
      </c>
      <c r="N245" s="1335">
        <v>333014.70965000003</v>
      </c>
      <c r="O245" s="1335">
        <v>379184.60544000001</v>
      </c>
      <c r="P245" s="1335">
        <v>387301.05587447388</v>
      </c>
      <c r="Q245" s="1335">
        <v>396904.48451307637</v>
      </c>
      <c r="R245" s="1335">
        <v>406381.29918758199</v>
      </c>
      <c r="S245" s="1335">
        <v>414530.65487584373</v>
      </c>
      <c r="T245" s="1335">
        <v>426777.53684298712</v>
      </c>
      <c r="U245" s="1335">
        <v>439414.15710891952</v>
      </c>
      <c r="V245" s="1335">
        <v>472970.50680716784</v>
      </c>
      <c r="W245" s="1335">
        <v>507184.42407503596</v>
      </c>
      <c r="X245" s="1336">
        <v>543450.15001550817</v>
      </c>
      <c r="Y245" s="1336">
        <v>581376.85800438153</v>
      </c>
      <c r="Z245" s="1336">
        <v>622291.27385308954</v>
      </c>
      <c r="AA245" s="1336">
        <v>139253.29999999999</v>
      </c>
      <c r="AB245" s="1336">
        <v>248752.63436</v>
      </c>
      <c r="AC245" s="1336">
        <v>258448.87561999998</v>
      </c>
      <c r="AD245" s="1336">
        <v>288132.82489000005</v>
      </c>
      <c r="AE245" s="1336">
        <v>274121.12283000001</v>
      </c>
      <c r="AF245" s="1336">
        <v>275028.38418999995</v>
      </c>
      <c r="AG245" s="1336">
        <v>363333.67709999997</v>
      </c>
      <c r="AH245" s="1336">
        <v>333014.70965000003</v>
      </c>
      <c r="AI245" s="2299">
        <v>379184.60544000001</v>
      </c>
      <c r="AJ245" s="2299">
        <v>387438.00653992308</v>
      </c>
      <c r="AK245" s="2299">
        <v>397345.33020547591</v>
      </c>
      <c r="AL245" s="2299">
        <v>410698.27256343508</v>
      </c>
      <c r="AM245" s="2299">
        <v>423082.15057641122</v>
      </c>
      <c r="AN245" s="2299">
        <v>435975.68138997443</v>
      </c>
      <c r="AO245" s="2299">
        <v>452402.31290740054</v>
      </c>
      <c r="AP245" s="2299">
        <v>466092.24295498175</v>
      </c>
      <c r="AQ245" s="2299">
        <v>480093.15482924035</v>
      </c>
      <c r="AR245" s="2299">
        <v>493964.42521795293</v>
      </c>
      <c r="AS245" s="2299">
        <v>507420.20115718833</v>
      </c>
      <c r="AT245" s="2299">
        <v>521327.41725051042</v>
      </c>
      <c r="AU245" s="1143"/>
    </row>
    <row r="246" spans="1:50" customFormat="1" ht="14.5">
      <c r="A246" s="93"/>
      <c r="C246" s="92"/>
      <c r="D246" s="1334" t="s">
        <v>749</v>
      </c>
      <c r="E246" s="1334"/>
      <c r="F246" s="1334"/>
      <c r="G246" s="1334"/>
      <c r="H246" s="1334"/>
      <c r="I246" s="1335">
        <v>230912.57827000003</v>
      </c>
      <c r="J246" s="1335">
        <v>212945.50242999999</v>
      </c>
      <c r="K246" s="1335">
        <v>133937.05619</v>
      </c>
      <c r="L246" s="1335">
        <v>115395.60814</v>
      </c>
      <c r="M246" s="1335">
        <v>142713.41282</v>
      </c>
      <c r="N246" s="1335">
        <v>145636.89669000002</v>
      </c>
      <c r="O246" s="1335">
        <v>154103.99986000001</v>
      </c>
      <c r="P246" s="1335">
        <v>157402.59758436299</v>
      </c>
      <c r="Q246" s="1335">
        <v>161305.51649073957</v>
      </c>
      <c r="R246" s="1335">
        <v>165156.97835475332</v>
      </c>
      <c r="S246" s="1335">
        <v>168468.94906723968</v>
      </c>
      <c r="T246" s="1335">
        <v>173446.19094329135</v>
      </c>
      <c r="U246" s="1335">
        <v>178581.82593414874</v>
      </c>
      <c r="V246" s="1335">
        <v>192219.42523278171</v>
      </c>
      <c r="W246" s="1335">
        <v>206124.26584660218</v>
      </c>
      <c r="X246" s="1336">
        <v>220862.97977399989</v>
      </c>
      <c r="Y246" s="1336">
        <v>236276.73159503055</v>
      </c>
      <c r="Z246" s="1336">
        <v>252904.71449245058</v>
      </c>
      <c r="AA246" s="1336">
        <v>31765.4</v>
      </c>
      <c r="AB246" s="1336">
        <v>201547.66681</v>
      </c>
      <c r="AC246" s="1336">
        <v>230912.57827000003</v>
      </c>
      <c r="AD246" s="1336">
        <v>212945.50242999999</v>
      </c>
      <c r="AE246" s="1336">
        <v>133937.05619</v>
      </c>
      <c r="AF246" s="1336">
        <v>115395.60814</v>
      </c>
      <c r="AG246" s="1336">
        <v>142713.41282</v>
      </c>
      <c r="AH246" s="1336">
        <v>145636.89669000002</v>
      </c>
      <c r="AI246" s="2299">
        <v>154103.99986000001</v>
      </c>
      <c r="AJ246" s="2299">
        <v>157458.255554192</v>
      </c>
      <c r="AK246" s="2299">
        <v>161484.68010536203</v>
      </c>
      <c r="AL246" s="2299">
        <v>166911.43477245554</v>
      </c>
      <c r="AM246" s="2299">
        <v>171944.35306132818</v>
      </c>
      <c r="AN246" s="2299">
        <v>177184.39878624</v>
      </c>
      <c r="AO246" s="2299">
        <v>183860.32809545944</v>
      </c>
      <c r="AP246" s="2299">
        <v>189424.03756010882</v>
      </c>
      <c r="AQ246" s="2299">
        <v>195114.13280806062</v>
      </c>
      <c r="AR246" s="2299">
        <v>200751.54060197601</v>
      </c>
      <c r="AS246" s="2299">
        <v>206220.08775211667</v>
      </c>
      <c r="AT246" s="2299">
        <v>211872.1042004411</v>
      </c>
      <c r="AU246" s="1143"/>
    </row>
    <row r="247" spans="1:50" ht="21.75" customHeight="1">
      <c r="B247" s="1"/>
      <c r="D247" s="964" t="s">
        <v>1117</v>
      </c>
      <c r="E247" s="2"/>
      <c r="F247" s="2"/>
      <c r="G247" s="2"/>
      <c r="H247" s="2"/>
      <c r="I247" s="2"/>
      <c r="J247" s="2"/>
      <c r="K247" s="2"/>
      <c r="L247" s="2"/>
      <c r="M247" s="2"/>
      <c r="N247" s="2"/>
      <c r="O247" s="2"/>
      <c r="P247" s="2"/>
      <c r="Q247" s="2"/>
      <c r="R247" s="2"/>
      <c r="S247" s="2"/>
      <c r="T247" s="2"/>
      <c r="U247" s="2"/>
      <c r="W247"/>
      <c r="Y247"/>
      <c r="Z247" s="2"/>
      <c r="AA247" s="2"/>
      <c r="AB247" s="2"/>
      <c r="AC247" s="2"/>
      <c r="AD247" s="2"/>
      <c r="AE247" s="1870">
        <v>4.9613060532174291E-2</v>
      </c>
      <c r="AF247" s="1870">
        <v>4.3657812342187574E-2</v>
      </c>
      <c r="AG247" s="1870">
        <v>4.955740107474349E-2</v>
      </c>
      <c r="AH247" s="1870">
        <v>4.8411306042885016E-2</v>
      </c>
      <c r="AI247" s="1870">
        <v>4.2955990220048701E-2</v>
      </c>
      <c r="AJ247" s="1870">
        <v>3.7939735423811793E-2</v>
      </c>
      <c r="AK247" s="2"/>
      <c r="AL247" s="1">
        <v>0</v>
      </c>
    </row>
    <row r="248" spans="1:50">
      <c r="A248" s="97"/>
      <c r="D248" s="963" t="s">
        <v>3389</v>
      </c>
      <c r="E248" s="9"/>
      <c r="F248" s="9"/>
      <c r="G248" s="9"/>
      <c r="H248" s="9"/>
      <c r="I248" s="100">
        <v>1998</v>
      </c>
      <c r="J248" s="100">
        <v>1999</v>
      </c>
      <c r="K248" s="100">
        <v>2000</v>
      </c>
      <c r="L248" s="100">
        <v>2001</v>
      </c>
      <c r="M248" s="100">
        <v>2002</v>
      </c>
      <c r="N248" s="100">
        <v>2003</v>
      </c>
      <c r="O248" s="100">
        <v>2004</v>
      </c>
      <c r="P248" s="100">
        <v>2005</v>
      </c>
      <c r="Q248" s="100">
        <v>2006</v>
      </c>
      <c r="R248" s="555">
        <v>2007</v>
      </c>
      <c r="S248" s="555">
        <v>2008</v>
      </c>
      <c r="T248" s="555">
        <v>2009</v>
      </c>
      <c r="U248" s="554">
        <v>2010</v>
      </c>
      <c r="V248" s="555" t="s">
        <v>758</v>
      </c>
      <c r="W248" s="555">
        <v>2012</v>
      </c>
      <c r="X248" s="555">
        <v>2013</v>
      </c>
      <c r="Y248" s="555">
        <v>2014</v>
      </c>
      <c r="Z248" s="555">
        <v>2015</v>
      </c>
      <c r="AA248" s="555">
        <v>2016</v>
      </c>
      <c r="AB248" s="555">
        <v>2017</v>
      </c>
      <c r="AC248" s="555">
        <v>2018</v>
      </c>
      <c r="AD248" s="555">
        <v>2019</v>
      </c>
      <c r="AE248" s="555">
        <v>2020</v>
      </c>
      <c r="AF248" s="555">
        <v>2021</v>
      </c>
      <c r="AG248" s="555">
        <v>2022</v>
      </c>
      <c r="AH248" s="555">
        <v>2023</v>
      </c>
      <c r="AI248" s="555">
        <v>2024</v>
      </c>
      <c r="AJ248" s="555">
        <v>2025</v>
      </c>
      <c r="AK248" s="555">
        <v>2026</v>
      </c>
      <c r="AL248" s="555">
        <v>2027</v>
      </c>
      <c r="AM248" s="555">
        <v>2028</v>
      </c>
      <c r="AN248" s="555">
        <v>2029</v>
      </c>
      <c r="AO248" s="555">
        <v>2030</v>
      </c>
    </row>
    <row r="249" spans="1:50" customFormat="1">
      <c r="A249" s="97"/>
      <c r="B249" s="92"/>
      <c r="C249" s="92"/>
      <c r="D249" s="1163" t="s">
        <v>115</v>
      </c>
      <c r="E249" s="1164" t="s">
        <v>100</v>
      </c>
      <c r="F249" s="1165"/>
      <c r="G249" s="1165"/>
      <c r="H249" s="1165"/>
      <c r="I249" s="1166" t="s">
        <v>3175</v>
      </c>
      <c r="J249" s="1166">
        <v>1999</v>
      </c>
      <c r="K249" s="1166">
        <v>2000</v>
      </c>
      <c r="L249" s="1166">
        <v>2001</v>
      </c>
      <c r="M249" s="1166">
        <v>2002</v>
      </c>
      <c r="N249" s="1166">
        <v>2003</v>
      </c>
      <c r="O249" s="1166">
        <v>2004</v>
      </c>
      <c r="P249" s="1166">
        <v>2005</v>
      </c>
      <c r="Q249" s="1166">
        <v>2006</v>
      </c>
      <c r="R249" s="1166">
        <v>2007</v>
      </c>
      <c r="S249" s="1166">
        <v>2008</v>
      </c>
      <c r="T249" s="1166">
        <v>2009</v>
      </c>
      <c r="U249" s="1166">
        <v>2010</v>
      </c>
      <c r="V249" s="1166">
        <v>2011</v>
      </c>
      <c r="W249" s="1166">
        <v>2012</v>
      </c>
      <c r="X249" s="1166">
        <v>2013</v>
      </c>
      <c r="Y249" s="1166">
        <v>2014</v>
      </c>
      <c r="Z249" s="1166">
        <v>2015</v>
      </c>
      <c r="AA249" s="1166">
        <v>2016</v>
      </c>
      <c r="AB249" s="1166">
        <v>2017</v>
      </c>
      <c r="AC249" s="1166">
        <v>2018</v>
      </c>
      <c r="AD249" s="1166">
        <v>2019</v>
      </c>
      <c r="AE249" s="1166">
        <v>2020</v>
      </c>
      <c r="AF249" s="1166">
        <v>2021</v>
      </c>
      <c r="AG249" s="1166">
        <v>2022</v>
      </c>
      <c r="AH249" s="1166">
        <v>2023</v>
      </c>
      <c r="AI249" s="1166">
        <v>2024</v>
      </c>
      <c r="AJ249" s="1166">
        <v>2025</v>
      </c>
      <c r="AK249" s="1166">
        <v>2026</v>
      </c>
      <c r="AL249" s="590">
        <v>2027</v>
      </c>
      <c r="AM249" s="1166">
        <v>2028</v>
      </c>
      <c r="AN249" s="1166">
        <v>2029</v>
      </c>
      <c r="AO249" s="1166">
        <v>2030</v>
      </c>
      <c r="AP249" s="1166">
        <v>2031</v>
      </c>
      <c r="AQ249" s="1166">
        <v>2032</v>
      </c>
      <c r="AR249" s="1166">
        <v>2033</v>
      </c>
      <c r="AS249" s="1166">
        <v>2034</v>
      </c>
      <c r="AT249" s="1166">
        <v>2035</v>
      </c>
      <c r="AV249" s="1040"/>
      <c r="AW249" s="1040"/>
      <c r="AX249" s="1040"/>
    </row>
    <row r="250" spans="1:50" customFormat="1">
      <c r="A250" s="97"/>
      <c r="B250" s="92"/>
      <c r="C250" s="92"/>
      <c r="D250" s="1167" t="s">
        <v>830</v>
      </c>
      <c r="E250" s="1165"/>
      <c r="F250" s="1165"/>
      <c r="G250" s="1165"/>
      <c r="H250" s="1165"/>
      <c r="I250" s="1168">
        <v>312.31409166666703</v>
      </c>
      <c r="J250" s="1168">
        <v>333.94192500000003</v>
      </c>
      <c r="K250" s="1168">
        <v>389.696216666667</v>
      </c>
      <c r="L250" s="1168">
        <v>442.99189166666702</v>
      </c>
      <c r="M250" s="1168">
        <v>475.36524166666698</v>
      </c>
      <c r="N250" s="1168">
        <v>537.65498475000004</v>
      </c>
      <c r="O250" s="1168">
        <v>577.44897458333298</v>
      </c>
      <c r="P250" s="1168">
        <v>557.82264077499997</v>
      </c>
      <c r="Q250" s="1168">
        <v>551.71033333333298</v>
      </c>
      <c r="R250" s="1168">
        <v>546.95500000000004</v>
      </c>
      <c r="S250" s="1168">
        <v>546.84865308253995</v>
      </c>
      <c r="T250" s="1168">
        <v>568.28132683333297</v>
      </c>
      <c r="U250" s="1168">
        <v>583.13090659057195</v>
      </c>
      <c r="V250" s="1168">
        <v>600.29320604267491</v>
      </c>
      <c r="W250" s="1168">
        <v>614.29431630039051</v>
      </c>
      <c r="X250" s="1168">
        <v>646.63949334820143</v>
      </c>
      <c r="Y250" s="1168">
        <v>682.43779531147175</v>
      </c>
      <c r="Z250" s="1169">
        <v>719.54</v>
      </c>
      <c r="AA250" s="1169">
        <v>787.2270116761639</v>
      </c>
      <c r="AB250" s="1168">
        <v>831.42755121763093</v>
      </c>
      <c r="AC250" s="1168">
        <v>861.08210413925633</v>
      </c>
      <c r="AD250" s="1168">
        <v>901.2008004999999</v>
      </c>
      <c r="AE250" s="1168">
        <v>945.1922248333334</v>
      </c>
      <c r="AF250" s="1168">
        <v>990.36278749999985</v>
      </c>
      <c r="AG250" s="1168">
        <v>1032.9918769999999</v>
      </c>
      <c r="AH250" s="1168">
        <v>1168.1139727499999</v>
      </c>
      <c r="AI250" s="1168">
        <v>1322.7254919166669</v>
      </c>
      <c r="AJ250" s="1168">
        <v>1440.3813166929999</v>
      </c>
      <c r="AK250" s="1168">
        <v>1553.1929771672822</v>
      </c>
      <c r="AL250" s="591">
        <v>1662.1773980247513</v>
      </c>
      <c r="AM250" s="591">
        <v>1766.101223407451</v>
      </c>
      <c r="AN250" s="591">
        <v>1856.2387507842996</v>
      </c>
      <c r="AO250" s="591">
        <v>1924.459475672455</v>
      </c>
      <c r="AP250" s="591">
        <v>2001.7222575775313</v>
      </c>
      <c r="AQ250" s="591">
        <v>2101.8083704564078</v>
      </c>
      <c r="AR250" s="591">
        <v>2249.7511926487286</v>
      </c>
      <c r="AS250" s="591">
        <v>2362.238752281165</v>
      </c>
      <c r="AT250" s="591">
        <v>2480.3506898952237</v>
      </c>
      <c r="AU250" s="1143"/>
      <c r="AV250" s="1931"/>
      <c r="AW250" s="1931"/>
      <c r="AX250" s="1931"/>
    </row>
    <row r="251" spans="1:50" customFormat="1">
      <c r="A251" s="97"/>
      <c r="B251" s="92"/>
      <c r="C251" s="92"/>
      <c r="D251" s="1167" t="s">
        <v>831</v>
      </c>
      <c r="E251" s="1165"/>
      <c r="F251" s="1165"/>
      <c r="G251" s="1165"/>
      <c r="H251" s="1165"/>
      <c r="I251" s="1170">
        <v>320.33839999999998</v>
      </c>
      <c r="J251" s="1168">
        <v>349.53019999999998</v>
      </c>
      <c r="K251" s="1168">
        <v>430.48599999999999</v>
      </c>
      <c r="L251" s="1168">
        <v>457.9</v>
      </c>
      <c r="M251" s="1168">
        <v>511.85379999999998</v>
      </c>
      <c r="N251" s="1168">
        <v>580.28</v>
      </c>
      <c r="O251" s="1168">
        <v>566.86</v>
      </c>
      <c r="P251" s="1168">
        <v>553.71870000000001</v>
      </c>
      <c r="Q251" s="1168">
        <v>548.65</v>
      </c>
      <c r="R251" s="1168">
        <v>544.22027800000001</v>
      </c>
      <c r="S251" s="1171">
        <v>558.89750000000004</v>
      </c>
      <c r="T251" s="1168">
        <v>571.24</v>
      </c>
      <c r="U251" s="1168">
        <v>594.45000000000005</v>
      </c>
      <c r="V251" s="1168">
        <v>604.14</v>
      </c>
      <c r="W251" s="1168">
        <v>631.41</v>
      </c>
      <c r="X251" s="1168">
        <v>670.08</v>
      </c>
      <c r="Y251" s="1168">
        <v>694.37</v>
      </c>
      <c r="Z251" s="1169">
        <v>747.40679999999998</v>
      </c>
      <c r="AA251" s="1169">
        <v>819.78899999999999</v>
      </c>
      <c r="AB251" s="1168">
        <v>844.99699999999996</v>
      </c>
      <c r="AC251" s="1172">
        <v>879.10087399999998</v>
      </c>
      <c r="AD251" s="1170">
        <v>922.51743799999997</v>
      </c>
      <c r="AE251" s="1170">
        <v>972.47503600000005</v>
      </c>
      <c r="AF251" s="1170">
        <v>1009.6</v>
      </c>
      <c r="AG251" s="1170">
        <v>1070.712397</v>
      </c>
      <c r="AH251" s="1170">
        <v>1263.9309539999999</v>
      </c>
      <c r="AI251" s="1170">
        <v>1382.9873419999999</v>
      </c>
      <c r="AJ251" s="1170">
        <v>1497.7752913859999</v>
      </c>
      <c r="AK251" s="1170">
        <v>1608.6106629485641</v>
      </c>
      <c r="AL251" s="591">
        <v>1715.7441331009386</v>
      </c>
      <c r="AM251" s="591">
        <v>1816.4583137139637</v>
      </c>
      <c r="AN251" s="591">
        <v>1896.0191878546354</v>
      </c>
      <c r="AO251" s="591">
        <v>1952.8997634902746</v>
      </c>
      <c r="AP251" s="591">
        <v>2050.5447516647882</v>
      </c>
      <c r="AQ251" s="591">
        <v>2153.0719892480279</v>
      </c>
      <c r="AR251" s="591">
        <v>2304.6231729572341</v>
      </c>
      <c r="AS251" s="591">
        <v>2419.8543316050959</v>
      </c>
      <c r="AT251" s="591">
        <v>2540.847048185351</v>
      </c>
      <c r="AU251" s="1143"/>
      <c r="AV251" s="1931"/>
      <c r="AW251" s="1931"/>
      <c r="AX251" s="1931"/>
    </row>
    <row r="252" spans="1:50" customFormat="1">
      <c r="A252" s="97"/>
      <c r="B252" s="92"/>
      <c r="C252" s="92"/>
      <c r="D252" s="1167" t="s">
        <v>102</v>
      </c>
      <c r="E252" s="1165"/>
      <c r="F252" s="1165"/>
      <c r="G252" s="1165"/>
      <c r="H252" s="1165"/>
      <c r="I252" s="1170"/>
      <c r="J252" s="1168"/>
      <c r="K252" s="1168"/>
      <c r="L252" s="1168"/>
      <c r="M252" s="1168"/>
      <c r="N252" s="1168"/>
      <c r="O252" s="1168"/>
      <c r="P252" s="1168"/>
      <c r="Q252" s="1168"/>
      <c r="R252" s="1168"/>
      <c r="S252" s="1171"/>
      <c r="T252" s="1168"/>
      <c r="U252" s="1168"/>
      <c r="V252" s="1168">
        <v>604.14</v>
      </c>
      <c r="W252" s="1168">
        <v>604.14</v>
      </c>
      <c r="X252" s="1168">
        <v>604.1</v>
      </c>
      <c r="Y252" s="1168">
        <v>670.1</v>
      </c>
      <c r="Z252" s="1168">
        <v>694.37</v>
      </c>
      <c r="AA252" s="1168">
        <v>807.2</v>
      </c>
      <c r="AB252" s="1168">
        <v>844.99699999999996</v>
      </c>
      <c r="AC252" s="1168">
        <v>879.10087399999998</v>
      </c>
      <c r="AD252" s="1168">
        <v>922.51743799999997</v>
      </c>
      <c r="AE252" s="1168">
        <v>937.07716100000005</v>
      </c>
      <c r="AF252" s="1168">
        <v>987.13989600000002</v>
      </c>
      <c r="AG252" s="1168">
        <v>1024.4824060000001</v>
      </c>
      <c r="AH252" s="1168">
        <v>1164.5544950000001</v>
      </c>
      <c r="AI252" s="1168">
        <v>1164.5544950000001</v>
      </c>
      <c r="AJ252" s="1168">
        <v>1164.5544950000001</v>
      </c>
      <c r="AK252" s="1168">
        <v>1164.5544950000001</v>
      </c>
      <c r="AL252" s="1168">
        <v>1164.5544950000001</v>
      </c>
      <c r="AM252" s="1168">
        <v>1164.5544950000001</v>
      </c>
      <c r="AN252" s="1168">
        <v>1164.5544950000001</v>
      </c>
      <c r="AO252" s="1168">
        <v>1164.5544950000001</v>
      </c>
      <c r="AP252" s="1168">
        <v>1164.5544950000001</v>
      </c>
      <c r="AQ252" s="1168">
        <v>1164.5544950000001</v>
      </c>
      <c r="AR252" s="1168">
        <v>1164.5544950000001</v>
      </c>
      <c r="AS252" s="1168">
        <v>1164.5544950000001</v>
      </c>
      <c r="AT252" s="1168">
        <v>1164.5544950000001</v>
      </c>
      <c r="AU252" s="1143"/>
      <c r="AV252" s="1931"/>
      <c r="AW252" s="1931"/>
      <c r="AX252" s="1931"/>
    </row>
    <row r="253" spans="1:50" customFormat="1">
      <c r="A253" s="97"/>
      <c r="B253" s="92"/>
      <c r="C253" s="92"/>
      <c r="D253" s="1173" t="s">
        <v>832</v>
      </c>
      <c r="E253" s="1165"/>
      <c r="F253" s="1165"/>
      <c r="G253" s="1165"/>
      <c r="H253" s="1165"/>
      <c r="I253" s="1170"/>
      <c r="J253" s="1168"/>
      <c r="K253" s="1168"/>
      <c r="L253" s="1168"/>
      <c r="M253" s="1168"/>
      <c r="N253" s="1168"/>
      <c r="O253" s="1168"/>
      <c r="P253" s="1168"/>
      <c r="Q253" s="1168"/>
      <c r="R253" s="1168"/>
      <c r="S253" s="1171"/>
      <c r="T253" s="1168"/>
      <c r="U253" s="1168"/>
      <c r="V253" s="1174">
        <v>595.00815743287831</v>
      </c>
      <c r="W253" s="1174">
        <v>604.02286436978932</v>
      </c>
      <c r="X253" s="1174">
        <v>629.03578330305425</v>
      </c>
      <c r="Y253" s="1174">
        <v>667.12013173404773</v>
      </c>
      <c r="Z253" s="1174">
        <v>688.8</v>
      </c>
      <c r="AA253" s="1174">
        <v>749.6392051420986</v>
      </c>
      <c r="AB253" s="1174">
        <v>817.95751141666676</v>
      </c>
      <c r="AC253" s="1174">
        <v>846.28291674999991</v>
      </c>
      <c r="AD253" s="1174">
        <v>880.72263841666665</v>
      </c>
      <c r="AE253" s="1174">
        <v>921.71570749999989</v>
      </c>
      <c r="AF253" s="1174">
        <v>969.96516758333337</v>
      </c>
      <c r="AG253" s="1174">
        <v>1008.0094528181818</v>
      </c>
      <c r="AH253" s="1174">
        <v>1081.0623201800001</v>
      </c>
      <c r="AI253" s="1174">
        <v>1256.9432939166666</v>
      </c>
      <c r="AJ253" s="1174">
        <v>1381.5534043048333</v>
      </c>
      <c r="AK253" s="1174">
        <v>1496.787146930141</v>
      </c>
      <c r="AL253" s="592">
        <v>1607.6851875960167</v>
      </c>
      <c r="AM253" s="592">
        <v>1714.1393107161011</v>
      </c>
      <c r="AN253" s="592">
        <v>1811.1699870958753</v>
      </c>
      <c r="AO253" s="592">
        <v>1890.3491132283773</v>
      </c>
      <c r="AP253" s="592">
        <v>1963.0908666249932</v>
      </c>
      <c r="AQ253" s="592">
        <v>2051.7653140169696</v>
      </c>
      <c r="AR253" s="592">
        <v>2196.1856880618539</v>
      </c>
      <c r="AS253" s="592">
        <v>2305.9949724649468</v>
      </c>
      <c r="AT253" s="592">
        <v>2421.2947210881944</v>
      </c>
      <c r="AU253" s="1143"/>
    </row>
    <row r="254" spans="1:50">
      <c r="D254" s="1163" t="s">
        <v>833</v>
      </c>
      <c r="E254" s="1166" t="s">
        <v>834</v>
      </c>
      <c r="F254" s="1165"/>
      <c r="G254" s="1165"/>
      <c r="H254" s="1165"/>
      <c r="I254" s="1168">
        <v>1169.4015942600829</v>
      </c>
      <c r="J254" s="1168">
        <v>1186.6615942600829</v>
      </c>
      <c r="K254" s="1168">
        <v>1200.700194260083</v>
      </c>
      <c r="L254" s="1168">
        <v>1198.8781942600831</v>
      </c>
      <c r="M254" s="1168">
        <v>1185.6181942600831</v>
      </c>
      <c r="N254" s="1168">
        <v>1172.7981942600832</v>
      </c>
      <c r="O254" s="1168">
        <v>1208.4931942600831</v>
      </c>
      <c r="P254" s="1168">
        <v>1100.5552628315118</v>
      </c>
      <c r="Q254" s="1168">
        <v>981.39626283151165</v>
      </c>
      <c r="R254" s="1168">
        <v>899.87561632175561</v>
      </c>
      <c r="S254" s="1168">
        <v>789.20526816999995</v>
      </c>
      <c r="T254" s="1168">
        <v>734.9</v>
      </c>
      <c r="U254" s="1168">
        <v>813</v>
      </c>
      <c r="V254" s="1168">
        <v>1049.79</v>
      </c>
      <c r="W254" s="1168">
        <v>843.45</v>
      </c>
      <c r="X254" s="1168">
        <v>1070.3800000000001</v>
      </c>
      <c r="Y254" s="1168">
        <v>950.78992467992578</v>
      </c>
      <c r="Z254" s="1168">
        <v>922.25545713525753</v>
      </c>
      <c r="AA254" s="1168">
        <v>1001.4782706281737</v>
      </c>
      <c r="AB254" s="1168">
        <v>1165.5980080402653</v>
      </c>
      <c r="AC254" s="1168">
        <v>1319.089728493643</v>
      </c>
      <c r="AD254" s="1168">
        <v>1440.415720358448</v>
      </c>
      <c r="AE254" s="1168">
        <v>1722.1086335583839</v>
      </c>
      <c r="AF254" s="1168">
        <v>1888.7181755150552</v>
      </c>
      <c r="AG254" s="1168">
        <v>1746.5639654866159</v>
      </c>
      <c r="AH254" s="1168">
        <v>1853.1125870345604</v>
      </c>
      <c r="AI254" s="1168">
        <v>2412.5872591572861</v>
      </c>
      <c r="AJ254" s="1168">
        <v>2588.6218684004034</v>
      </c>
      <c r="AK254" s="1168">
        <v>2615.5216053352424</v>
      </c>
      <c r="AL254" s="591">
        <v>2669.9803865774388</v>
      </c>
      <c r="AM254" s="591">
        <v>2684.6326790652233</v>
      </c>
      <c r="AN254" s="591">
        <v>2579.0595830205471</v>
      </c>
      <c r="AO254" s="591">
        <v>2571.0118755083308</v>
      </c>
      <c r="AP254" s="591">
        <v>1321.9641679961148</v>
      </c>
      <c r="AQ254" s="591">
        <v>-619.58353951610115</v>
      </c>
      <c r="AR254" s="591">
        <v>-1394.2312470283159</v>
      </c>
      <c r="AS254" s="591">
        <v>-1205.1789545405315</v>
      </c>
      <c r="AT254" s="591">
        <v>-1016.1266620527472</v>
      </c>
      <c r="AU254" s="1143"/>
      <c r="AV254"/>
      <c r="AW254"/>
      <c r="AX254"/>
    </row>
    <row r="255" spans="1:50">
      <c r="D255" s="2021" t="s">
        <v>3661</v>
      </c>
      <c r="E255" s="1166">
        <v>0</v>
      </c>
      <c r="F255" s="1165">
        <v>0</v>
      </c>
      <c r="G255" s="1165">
        <v>0</v>
      </c>
      <c r="H255" s="1165">
        <v>0</v>
      </c>
      <c r="I255" s="1170">
        <v>0</v>
      </c>
      <c r="J255" s="1168">
        <v>0</v>
      </c>
      <c r="K255" s="1168">
        <v>0</v>
      </c>
      <c r="L255" s="1168">
        <v>0</v>
      </c>
      <c r="M255" s="1168">
        <v>0</v>
      </c>
      <c r="N255" s="1168">
        <v>0</v>
      </c>
      <c r="O255" s="1168">
        <v>0</v>
      </c>
      <c r="P255" s="1168">
        <v>0</v>
      </c>
      <c r="Q255" s="1168">
        <v>0</v>
      </c>
      <c r="R255" s="1168">
        <v>0</v>
      </c>
      <c r="S255" s="1171">
        <v>0</v>
      </c>
      <c r="T255" s="1168">
        <v>0</v>
      </c>
      <c r="U255" s="1168">
        <v>0</v>
      </c>
      <c r="V255" s="1168">
        <v>0</v>
      </c>
      <c r="W255" s="1168">
        <v>0</v>
      </c>
      <c r="X255" s="1168">
        <v>0</v>
      </c>
      <c r="Y255" s="1168">
        <v>0</v>
      </c>
      <c r="Z255" s="1168">
        <v>0</v>
      </c>
      <c r="AA255" s="1168">
        <v>0</v>
      </c>
      <c r="AB255" s="1168">
        <v>0</v>
      </c>
      <c r="AC255" s="1168">
        <v>0</v>
      </c>
      <c r="AD255" s="1168">
        <v>0</v>
      </c>
      <c r="AE255" s="1168">
        <v>0</v>
      </c>
      <c r="AF255" s="1168">
        <v>1868.3072558359484</v>
      </c>
      <c r="AG255" s="1168">
        <v>1726.8925447325325</v>
      </c>
      <c r="AH255" s="1168">
        <v>1834.314846347216</v>
      </c>
      <c r="AI255" s="1168">
        <v>2406.9842956458529</v>
      </c>
      <c r="AJ255" s="1168">
        <v>2583.0189048889702</v>
      </c>
      <c r="AK255" s="1168">
        <v>2609.9186418238091</v>
      </c>
      <c r="AL255" s="591">
        <v>2664.3774230660056</v>
      </c>
      <c r="AM255" s="591">
        <v>2679.0297155537901</v>
      </c>
      <c r="AN255" s="591">
        <v>2573.4566195091138</v>
      </c>
      <c r="AO255" s="591">
        <v>2521.4089119968985</v>
      </c>
      <c r="AP255" s="591">
        <v>2483.6612044846834</v>
      </c>
      <c r="AQ255" s="591">
        <v>2445.9134969724682</v>
      </c>
      <c r="AR255" s="591">
        <v>2617.4134969724673</v>
      </c>
      <c r="AS255" s="591">
        <v>2617.4134969724673</v>
      </c>
      <c r="AT255" s="591">
        <v>2617.4134969724673</v>
      </c>
      <c r="AU255" s="1143"/>
      <c r="AV255"/>
      <c r="AW255"/>
      <c r="AX255"/>
    </row>
    <row r="256" spans="1:50">
      <c r="D256" s="1175" t="s">
        <v>866</v>
      </c>
      <c r="E256" s="1166"/>
      <c r="F256" s="1165"/>
      <c r="G256" s="1165"/>
      <c r="H256" s="1165"/>
      <c r="I256" s="1170"/>
      <c r="J256" s="1168"/>
      <c r="K256" s="1168"/>
      <c r="L256" s="1168"/>
      <c r="M256" s="1168"/>
      <c r="N256" s="1168"/>
      <c r="O256" s="1168"/>
      <c r="P256" s="1168"/>
      <c r="Q256" s="1168"/>
      <c r="R256" s="1168"/>
      <c r="S256" s="1171"/>
      <c r="T256" s="1168"/>
      <c r="U256" s="1168"/>
      <c r="V256" s="1168"/>
      <c r="W256" s="1168"/>
      <c r="X256" s="1168"/>
      <c r="Y256" s="1168"/>
      <c r="Z256" s="1168"/>
      <c r="AA256" s="1168">
        <v>728.87723538726073</v>
      </c>
      <c r="AB256" s="1176">
        <v>737.93207155862012</v>
      </c>
      <c r="AC256" s="1176">
        <v>749.30837457832922</v>
      </c>
      <c r="AD256" s="1168">
        <v>981.34999999999991</v>
      </c>
      <c r="AE256" s="1203"/>
      <c r="AF256" s="1203"/>
      <c r="AG256" s="1203"/>
      <c r="AH256" s="1203"/>
      <c r="AI256" s="1203"/>
      <c r="AJ256" s="1203"/>
      <c r="AK256" s="1203"/>
      <c r="AL256" s="591"/>
      <c r="AM256" s="591"/>
      <c r="AN256" s="591"/>
      <c r="AO256" s="591"/>
      <c r="AP256" s="591"/>
      <c r="AQ256" s="591"/>
      <c r="AR256" s="591"/>
      <c r="AS256" s="591"/>
      <c r="AT256" s="591"/>
      <c r="AU256" s="1143"/>
    </row>
    <row r="257" spans="4:47">
      <c r="D257" s="1175" t="s">
        <v>1211</v>
      </c>
      <c r="E257" s="1166"/>
      <c r="F257" s="1165"/>
      <c r="G257" s="1165"/>
      <c r="H257" s="1165"/>
      <c r="I257" s="1170"/>
      <c r="J257" s="1168"/>
      <c r="K257" s="1168"/>
      <c r="L257" s="1168"/>
      <c r="M257" s="1168"/>
      <c r="N257" s="1168"/>
      <c r="O257" s="1168"/>
      <c r="P257" s="1168"/>
      <c r="Q257" s="1168"/>
      <c r="R257" s="1168"/>
      <c r="S257" s="1171"/>
      <c r="T257" s="1168"/>
      <c r="U257" s="1168"/>
      <c r="V257" s="1168"/>
      <c r="W257" s="1168">
        <v>719.29000000000008</v>
      </c>
      <c r="X257" s="1168">
        <v>947.31000000000017</v>
      </c>
      <c r="Y257" s="1168">
        <v>843.49842303094897</v>
      </c>
      <c r="Z257" s="1168">
        <v>814.95110828534075</v>
      </c>
      <c r="AA257" s="1168">
        <v>789.40267407796387</v>
      </c>
      <c r="AB257" s="1168">
        <v>863.28322478749374</v>
      </c>
      <c r="AC257" s="1176">
        <v>1012.8881030719722</v>
      </c>
      <c r="AD257" s="1168">
        <v>1102.1798561196049</v>
      </c>
      <c r="AE257" s="1168"/>
      <c r="AF257" s="1168"/>
      <c r="AG257" s="1168"/>
      <c r="AH257" s="1168"/>
      <c r="AI257" s="1168"/>
      <c r="AJ257" s="1993"/>
      <c r="AK257" s="1993"/>
      <c r="AL257" s="1993"/>
      <c r="AM257" s="1993"/>
      <c r="AN257" s="1993"/>
      <c r="AO257" s="1993"/>
      <c r="AP257" s="1993"/>
      <c r="AQ257" s="1993"/>
      <c r="AR257" s="1993"/>
      <c r="AS257" s="1993"/>
      <c r="AT257" s="1993"/>
      <c r="AU257" s="1143"/>
    </row>
    <row r="258" spans="4:47">
      <c r="D258" s="1163" t="s">
        <v>1212</v>
      </c>
      <c r="E258" s="1166"/>
      <c r="F258" s="1165"/>
      <c r="G258" s="1165"/>
      <c r="H258" s="1165"/>
      <c r="I258" s="1170"/>
      <c r="J258" s="1168"/>
      <c r="K258" s="1168"/>
      <c r="L258" s="1168"/>
      <c r="M258" s="1168"/>
      <c r="N258" s="1168"/>
      <c r="O258" s="1168"/>
      <c r="P258" s="1168"/>
      <c r="Q258" s="1168"/>
      <c r="R258" s="1168"/>
      <c r="S258" s="1171"/>
      <c r="T258" s="1168"/>
      <c r="U258" s="1168"/>
      <c r="V258" s="1168"/>
      <c r="W258" s="1168"/>
      <c r="X258" s="1168"/>
      <c r="Y258" s="1168">
        <v>107.29150164897678</v>
      </c>
      <c r="Z258" s="1168">
        <v>107.30434884991681</v>
      </c>
      <c r="AA258" s="1168">
        <v>212.07559655020987</v>
      </c>
      <c r="AB258" s="1168">
        <v>291.63215187875431</v>
      </c>
      <c r="AC258" s="1176">
        <v>306.20162542167071</v>
      </c>
      <c r="AD258" s="1168">
        <v>338.23586423884308</v>
      </c>
      <c r="AE258" s="1168"/>
      <c r="AF258" s="1168"/>
      <c r="AG258" s="1168"/>
      <c r="AH258" s="1168"/>
      <c r="AI258" s="1168"/>
      <c r="AJ258" s="1168"/>
      <c r="AK258" s="1168"/>
      <c r="AL258" s="593"/>
      <c r="AM258" s="593"/>
      <c r="AN258" s="593"/>
      <c r="AO258" s="593"/>
      <c r="AP258" s="593"/>
      <c r="AQ258" s="593"/>
      <c r="AR258" s="593"/>
      <c r="AS258" s="593"/>
      <c r="AT258" s="593"/>
      <c r="AU258" s="1143"/>
    </row>
    <row r="259" spans="4:47">
      <c r="D259" s="1175" t="s">
        <v>1213</v>
      </c>
      <c r="E259" s="1166"/>
      <c r="F259" s="1165"/>
      <c r="G259" s="1165"/>
      <c r="H259" s="1165"/>
      <c r="I259" s="1170"/>
      <c r="J259" s="1168"/>
      <c r="K259" s="1168"/>
      <c r="L259" s="1168"/>
      <c r="M259" s="1168"/>
      <c r="N259" s="1168"/>
      <c r="O259" s="1168"/>
      <c r="P259" s="1168"/>
      <c r="Q259" s="1168"/>
      <c r="R259" s="1168"/>
      <c r="S259" s="1171"/>
      <c r="T259" s="1168"/>
      <c r="U259" s="1168"/>
      <c r="V259" s="1168"/>
      <c r="W259" s="1168"/>
      <c r="X259" s="1168"/>
      <c r="Y259" s="1168">
        <v>0</v>
      </c>
      <c r="Z259" s="1168">
        <v>0</v>
      </c>
      <c r="AA259" s="1168">
        <v>0</v>
      </c>
      <c r="AB259" s="1168">
        <v>10.682631374017321</v>
      </c>
      <c r="AC259" s="1176">
        <v>-0.97291759776324005</v>
      </c>
      <c r="AD259" s="1168">
        <v>-7.0683685332646728</v>
      </c>
      <c r="AE259" s="1168"/>
      <c r="AF259" s="1168"/>
      <c r="AG259" s="1168"/>
      <c r="AH259" s="1168"/>
      <c r="AI259" s="1168"/>
      <c r="AJ259" s="1168"/>
      <c r="AK259" s="1168"/>
      <c r="AL259" s="593"/>
      <c r="AM259" s="593"/>
      <c r="AN259" s="593"/>
      <c r="AO259" s="593"/>
      <c r="AP259" s="593"/>
      <c r="AQ259" s="593"/>
      <c r="AR259" s="593"/>
      <c r="AS259" s="593"/>
      <c r="AT259" s="593"/>
      <c r="AU259" s="1143"/>
    </row>
    <row r="260" spans="4:47">
      <c r="D260" s="1177" t="s">
        <v>1214</v>
      </c>
      <c r="E260" s="1178" t="s">
        <v>775</v>
      </c>
      <c r="F260" s="1165"/>
      <c r="G260" s="1165"/>
      <c r="H260" s="1165"/>
      <c r="I260" s="1179"/>
      <c r="J260" s="1179"/>
      <c r="K260" s="1179"/>
      <c r="L260" s="1179"/>
      <c r="M260" s="1179"/>
      <c r="N260" s="1179"/>
      <c r="O260" s="1179"/>
      <c r="P260" s="1179"/>
      <c r="Q260" s="1179"/>
      <c r="R260" s="1179"/>
      <c r="S260" s="1179"/>
      <c r="T260" s="1179"/>
      <c r="U260" s="1179"/>
      <c r="V260" s="1180">
        <v>177.60783924255963</v>
      </c>
      <c r="W260" s="1180">
        <v>156.3168147479451</v>
      </c>
      <c r="X260" s="1180">
        <v>163.56255969436484</v>
      </c>
      <c r="Y260" s="1180">
        <v>150.64014862393245</v>
      </c>
      <c r="Z260" s="1180">
        <v>44.821641975962763</v>
      </c>
      <c r="AA260" s="1180">
        <v>97.086741197973708</v>
      </c>
      <c r="AB260" s="1180">
        <v>63.702467062757989</v>
      </c>
      <c r="AC260" s="1180">
        <v>189.79092786186294</v>
      </c>
      <c r="AD260" s="1168">
        <v>131.47865803481906</v>
      </c>
      <c r="AE260" s="1168">
        <v>131.47865803481906</v>
      </c>
      <c r="AF260" s="1168">
        <v>131.47865803481906</v>
      </c>
      <c r="AG260" s="1168">
        <v>131.47865803481906</v>
      </c>
      <c r="AH260" s="1168">
        <v>131.47865803481906</v>
      </c>
      <c r="AI260" s="1168">
        <v>131.47865803481906</v>
      </c>
      <c r="AJ260" s="1168">
        <v>131.47865803481906</v>
      </c>
      <c r="AK260" s="1168">
        <v>131.47865803481906</v>
      </c>
      <c r="AL260" s="593">
        <v>131.47865803481906</v>
      </c>
      <c r="AM260" s="593">
        <v>131.47865803481906</v>
      </c>
      <c r="AN260" s="593">
        <v>131.47865803481906</v>
      </c>
      <c r="AO260" s="593">
        <v>131.47865803481906</v>
      </c>
      <c r="AP260" s="593">
        <v>131.47865803481906</v>
      </c>
      <c r="AQ260" s="593">
        <v>131.47865803481906</v>
      </c>
      <c r="AR260" s="593">
        <v>131.47865803481906</v>
      </c>
      <c r="AS260" s="593">
        <v>131.47865803481906</v>
      </c>
      <c r="AT260" s="593">
        <v>131.47865803481906</v>
      </c>
      <c r="AU260" s="1143"/>
    </row>
    <row r="261" spans="4:47">
      <c r="D261" s="1181" t="s">
        <v>1215</v>
      </c>
      <c r="E261" s="1178"/>
      <c r="F261" s="1165"/>
      <c r="G261" s="1165"/>
      <c r="H261" s="1165"/>
      <c r="I261" s="1179"/>
      <c r="J261" s="1179"/>
      <c r="K261" s="1179"/>
      <c r="L261" s="1179"/>
      <c r="M261" s="1179"/>
      <c r="N261" s="1179"/>
      <c r="O261" s="1179"/>
      <c r="P261" s="1179"/>
      <c r="Q261" s="1179"/>
      <c r="R261" s="1179"/>
      <c r="S261" s="1179"/>
      <c r="T261" s="1179"/>
      <c r="U261" s="1179"/>
      <c r="V261" s="1180"/>
      <c r="W261" s="1180"/>
      <c r="X261" s="1180"/>
      <c r="Y261" s="1180"/>
      <c r="Z261" s="1180"/>
      <c r="AA261" s="1180">
        <v>286</v>
      </c>
      <c r="AB261" s="1182">
        <v>303</v>
      </c>
      <c r="AC261" s="1182">
        <v>364.94705619114501</v>
      </c>
      <c r="AD261" s="1168"/>
      <c r="AE261" s="1168"/>
      <c r="AF261" s="1168"/>
      <c r="AG261" s="1168"/>
      <c r="AH261" s="1168"/>
      <c r="AI261" s="1168"/>
      <c r="AJ261" s="1168"/>
      <c r="AK261" s="1168"/>
      <c r="AL261" s="593"/>
      <c r="AM261" s="593"/>
      <c r="AN261" s="593"/>
      <c r="AO261" s="593"/>
      <c r="AP261" s="593"/>
      <c r="AQ261" s="593"/>
      <c r="AR261" s="593"/>
      <c r="AS261" s="593"/>
      <c r="AT261" s="593"/>
      <c r="AU261" s="1143"/>
    </row>
    <row r="262" spans="4:47">
      <c r="D262" s="1181" t="s">
        <v>1216</v>
      </c>
      <c r="E262" s="1178"/>
      <c r="F262" s="1165"/>
      <c r="G262" s="1165"/>
      <c r="H262" s="1165"/>
      <c r="I262" s="1179"/>
      <c r="J262" s="1179"/>
      <c r="K262" s="1179"/>
      <c r="L262" s="1179"/>
      <c r="M262" s="1179"/>
      <c r="N262" s="1179"/>
      <c r="O262" s="1179"/>
      <c r="P262" s="1179"/>
      <c r="Q262" s="1179"/>
      <c r="R262" s="1179"/>
      <c r="S262" s="1179"/>
      <c r="T262" s="1179"/>
      <c r="U262" s="1179"/>
      <c r="V262" s="1180"/>
      <c r="W262" s="1180"/>
      <c r="X262" s="1180"/>
      <c r="Y262" s="1180"/>
      <c r="Z262" s="1180"/>
      <c r="AA262" s="1180">
        <v>282.89999999999998</v>
      </c>
      <c r="AB262" s="1183">
        <v>306.60000000000002</v>
      </c>
      <c r="AC262" s="1184">
        <v>384.04593899308793</v>
      </c>
      <c r="AD262" s="1168"/>
      <c r="AE262" s="1168"/>
      <c r="AF262" s="1168"/>
      <c r="AG262" s="1168"/>
      <c r="AH262" s="1168"/>
      <c r="AI262" s="1168"/>
      <c r="AJ262" s="1168"/>
      <c r="AK262" s="1168"/>
      <c r="AL262" s="594"/>
      <c r="AM262" s="594"/>
      <c r="AN262" s="594"/>
      <c r="AO262" s="594"/>
      <c r="AP262" s="594"/>
      <c r="AQ262" s="594"/>
      <c r="AR262" s="594"/>
      <c r="AS262" s="594"/>
      <c r="AT262" s="594"/>
      <c r="AU262" s="1143"/>
    </row>
    <row r="263" spans="4:47">
      <c r="D263" s="1185" t="s">
        <v>1217</v>
      </c>
      <c r="E263" s="1179"/>
      <c r="F263" s="1179"/>
      <c r="G263" s="1179"/>
      <c r="H263" s="1179"/>
      <c r="I263" s="1179"/>
      <c r="J263" s="1179"/>
      <c r="K263" s="1179"/>
      <c r="L263" s="1179"/>
      <c r="M263" s="1179"/>
      <c r="N263" s="1179"/>
      <c r="O263" s="1179"/>
      <c r="P263" s="1179"/>
      <c r="Q263" s="1179"/>
      <c r="R263" s="1179"/>
      <c r="S263" s="1179"/>
      <c r="T263" s="1179"/>
      <c r="U263" s="1179"/>
      <c r="V263" s="1180">
        <v>-212.36129999999997</v>
      </c>
      <c r="W263" s="1180">
        <v>-137.10000000000002</v>
      </c>
      <c r="X263" s="1180">
        <v>-187.29999999999998</v>
      </c>
      <c r="Y263" s="1180">
        <v>-21.154050000000012</v>
      </c>
      <c r="Z263" s="1180">
        <v>39.5</v>
      </c>
      <c r="AA263" s="1180">
        <v>24.95483328557242</v>
      </c>
      <c r="AB263" s="1180">
        <v>69.326811193815672</v>
      </c>
      <c r="AC263" s="1180">
        <v>8.5038848876610587</v>
      </c>
      <c r="AD263" s="1180">
        <v>69.937966863994632</v>
      </c>
      <c r="AE263" s="1180">
        <v>164.43522521415065</v>
      </c>
      <c r="AF263" s="1180">
        <v>540.63624196060971</v>
      </c>
      <c r="AG263" s="1180">
        <v>1081.3418178136449</v>
      </c>
      <c r="AH263" s="1180">
        <v>1250.4644920297519</v>
      </c>
      <c r="AI263" s="1180">
        <v>1287.1901501348225</v>
      </c>
      <c r="AJ263" s="1180">
        <v>1137.3278158736193</v>
      </c>
      <c r="AK263" s="1180">
        <v>666.36442800010775</v>
      </c>
      <c r="AL263" s="595">
        <v>814.99008050965676</v>
      </c>
      <c r="AM263" s="595">
        <v>723.88232560065819</v>
      </c>
      <c r="AN263" s="595">
        <v>647.99652102472055</v>
      </c>
      <c r="AO263" s="595">
        <v>620.60983041874681</v>
      </c>
      <c r="AP263" s="595">
        <v>593.22313981277307</v>
      </c>
      <c r="AQ263" s="595">
        <v>565.83644920679933</v>
      </c>
      <c r="AR263" s="595">
        <v>538.44975860082559</v>
      </c>
      <c r="AS263" s="595">
        <v>511.06306799485185</v>
      </c>
      <c r="AT263" s="595">
        <v>483.67637738887811</v>
      </c>
      <c r="AU263" s="1143"/>
    </row>
    <row r="264" spans="4:47">
      <c r="D264" s="1186" t="s">
        <v>835</v>
      </c>
      <c r="E264" s="1179"/>
      <c r="F264" s="1179"/>
      <c r="G264" s="1179"/>
      <c r="H264" s="1179"/>
      <c r="I264" s="1179"/>
      <c r="J264" s="1179"/>
      <c r="K264" s="1179"/>
      <c r="L264" s="1179"/>
      <c r="M264" s="1179"/>
      <c r="N264" s="1179"/>
      <c r="O264" s="1179"/>
      <c r="P264" s="1179"/>
      <c r="Q264" s="1179"/>
      <c r="R264" s="1179"/>
      <c r="S264" s="1179"/>
      <c r="T264" s="1179"/>
      <c r="U264" s="1179"/>
      <c r="V264" s="1187">
        <v>-48.199999999999982</v>
      </c>
      <c r="W264" s="1187">
        <v>-52.3</v>
      </c>
      <c r="X264" s="1187">
        <v>-164.00000000000006</v>
      </c>
      <c r="Y264" s="1188">
        <v>-18.254796372852411</v>
      </c>
      <c r="Z264" s="1188">
        <v>125</v>
      </c>
      <c r="AA264" s="1188">
        <v>124.30000000000001</v>
      </c>
      <c r="AB264" s="1189">
        <v>141.70573959091658</v>
      </c>
      <c r="AC264" s="1189">
        <v>190.53650127644062</v>
      </c>
      <c r="AD264" s="1189">
        <v>177.69853280575646</v>
      </c>
      <c r="AE264" s="1189"/>
      <c r="AF264" s="1189"/>
      <c r="AG264" s="1189"/>
      <c r="AH264" s="1189"/>
      <c r="AI264" s="1189"/>
      <c r="AJ264" s="1189"/>
      <c r="AK264" s="1189"/>
      <c r="AL264" s="596"/>
      <c r="AM264" s="596"/>
      <c r="AN264" s="596"/>
      <c r="AO264" s="596"/>
      <c r="AP264" s="596"/>
      <c r="AQ264" s="596"/>
      <c r="AR264" s="596"/>
      <c r="AS264" s="596"/>
      <c r="AT264" s="596"/>
      <c r="AU264" s="1143"/>
    </row>
    <row r="265" spans="4:47">
      <c r="D265" s="1181" t="s">
        <v>1218</v>
      </c>
      <c r="E265" s="1179"/>
      <c r="F265" s="1190"/>
      <c r="G265" s="1179"/>
      <c r="H265" s="1179"/>
      <c r="I265" s="1179"/>
      <c r="J265" s="1179"/>
      <c r="K265" s="1179"/>
      <c r="L265" s="1179"/>
      <c r="M265" s="1179"/>
      <c r="N265" s="1179"/>
      <c r="O265" s="1179"/>
      <c r="P265" s="1179"/>
      <c r="Q265" s="1179"/>
      <c r="R265" s="1179"/>
      <c r="S265" s="1179"/>
      <c r="T265" s="1179"/>
      <c r="U265" s="1179"/>
      <c r="V265" s="1191">
        <v>300.36129999999997</v>
      </c>
      <c r="W265" s="1191">
        <v>201.6</v>
      </c>
      <c r="X265" s="1191">
        <v>342.2</v>
      </c>
      <c r="Y265" s="1191">
        <v>205.4</v>
      </c>
      <c r="Z265" s="1191">
        <v>229.9</v>
      </c>
      <c r="AA265" s="1191">
        <v>237.94894853970001</v>
      </c>
      <c r="AB265" s="1191">
        <v>265.3422867006667</v>
      </c>
      <c r="AC265" s="1191">
        <v>317.31929287066669</v>
      </c>
      <c r="AD265" s="1179">
        <v>402.32962967266673</v>
      </c>
      <c r="AE265" s="1179">
        <v>771.69356843133301</v>
      </c>
      <c r="AF265" s="1179">
        <v>658.18528380433315</v>
      </c>
      <c r="AG265" s="1179">
        <v>563.2329518043332</v>
      </c>
      <c r="AH265" s="1179">
        <v>778.64318398299997</v>
      </c>
      <c r="AI265" s="1179">
        <v>1228.686116286</v>
      </c>
      <c r="AJ265" s="1179">
        <v>780.58370698547128</v>
      </c>
      <c r="AK265" s="1179">
        <v>897.68089471454846</v>
      </c>
      <c r="AL265" s="597">
        <v>1029.3552422049995</v>
      </c>
      <c r="AM265" s="597">
        <v>1147.5629971139981</v>
      </c>
      <c r="AN265" s="597">
        <v>1250.5488016899358</v>
      </c>
      <c r="AO265" s="597">
        <v>1305.0354922959095</v>
      </c>
      <c r="AP265" s="597">
        <v>1359.5221829018833</v>
      </c>
      <c r="AQ265" s="597">
        <v>1414.0088735078571</v>
      </c>
      <c r="AR265" s="597">
        <v>1468.4955641138308</v>
      </c>
      <c r="AS265" s="597">
        <v>1522.9822547198046</v>
      </c>
      <c r="AT265" s="597">
        <v>1577.4689453257783</v>
      </c>
      <c r="AU265" s="1143"/>
    </row>
    <row r="266" spans="4:47">
      <c r="D266" s="1192" t="s">
        <v>835</v>
      </c>
      <c r="E266" s="1179"/>
      <c r="F266" s="1190"/>
      <c r="G266" s="1179"/>
      <c r="H266" s="1179"/>
      <c r="I266" s="1179"/>
      <c r="J266" s="1179"/>
      <c r="K266" s="1179"/>
      <c r="L266" s="1179"/>
      <c r="M266" s="1179"/>
      <c r="N266" s="1179"/>
      <c r="O266" s="1179"/>
      <c r="P266" s="1179"/>
      <c r="Q266" s="1179"/>
      <c r="R266" s="1179"/>
      <c r="S266" s="1179"/>
      <c r="T266" s="1179"/>
      <c r="U266" s="1179"/>
      <c r="V266" s="1193">
        <v>174.89999999999998</v>
      </c>
      <c r="W266" s="1193">
        <v>153.9</v>
      </c>
      <c r="X266" s="1193">
        <v>273.20000000000005</v>
      </c>
      <c r="Y266" s="1193">
        <v>185.4</v>
      </c>
      <c r="Z266" s="1193">
        <v>136</v>
      </c>
      <c r="AA266" s="1193">
        <v>168.5</v>
      </c>
      <c r="AB266" s="1193">
        <v>184.93604999999999</v>
      </c>
      <c r="AC266" s="1193">
        <v>203.07276176600001</v>
      </c>
      <c r="AD266" s="1179">
        <v>251.201523522</v>
      </c>
      <c r="AE266" s="1179"/>
      <c r="AF266" s="1179"/>
      <c r="AG266" s="1179"/>
      <c r="AH266" s="1179"/>
      <c r="AI266" s="1179"/>
      <c r="AJ266" s="1179"/>
      <c r="AK266" s="1179"/>
      <c r="AL266" s="597"/>
      <c r="AM266" s="597"/>
      <c r="AN266" s="597"/>
      <c r="AO266" s="597"/>
      <c r="AP266" s="597"/>
      <c r="AQ266" s="597"/>
      <c r="AR266" s="597"/>
      <c r="AS266" s="597"/>
      <c r="AT266" s="597"/>
      <c r="AU266" s="1143"/>
    </row>
    <row r="267" spans="4:47">
      <c r="D267" s="1192" t="s">
        <v>836</v>
      </c>
      <c r="E267" s="1194" t="s">
        <v>837</v>
      </c>
      <c r="F267" s="1195"/>
      <c r="G267" s="1195"/>
      <c r="H267" s="1195"/>
      <c r="I267" s="1195"/>
      <c r="J267" s="1195"/>
      <c r="K267" s="1195"/>
      <c r="L267" s="1195"/>
      <c r="M267" s="1195"/>
      <c r="N267" s="1195"/>
      <c r="O267" s="1195"/>
      <c r="P267" s="1195"/>
      <c r="Q267" s="1195"/>
      <c r="R267" s="1195"/>
      <c r="S267" s="1195"/>
      <c r="T267" s="1195"/>
      <c r="U267" s="1195"/>
      <c r="V267" s="1196">
        <v>0</v>
      </c>
      <c r="W267" s="1196">
        <v>0</v>
      </c>
      <c r="X267" s="1196">
        <v>0</v>
      </c>
      <c r="Y267" s="1196">
        <v>0</v>
      </c>
      <c r="Z267" s="1196">
        <v>0</v>
      </c>
      <c r="AA267" s="1196">
        <v>0</v>
      </c>
      <c r="AB267" s="1196">
        <v>0</v>
      </c>
      <c r="AC267" s="1196">
        <v>0</v>
      </c>
      <c r="AD267" s="1195">
        <v>0</v>
      </c>
      <c r="AE267" s="1195"/>
      <c r="AF267" s="1195"/>
      <c r="AG267" s="1195"/>
      <c r="AH267" s="1195"/>
      <c r="AI267" s="1195"/>
      <c r="AJ267" s="1195"/>
      <c r="AK267" s="1195"/>
      <c r="AL267" s="598"/>
      <c r="AM267" s="598"/>
      <c r="AN267" s="598"/>
      <c r="AO267" s="598"/>
      <c r="AP267" s="598"/>
      <c r="AQ267" s="598"/>
      <c r="AR267" s="598"/>
      <c r="AS267" s="598"/>
      <c r="AT267" s="598"/>
      <c r="AU267" s="1143"/>
    </row>
    <row r="268" spans="4:47">
      <c r="D268" s="1192" t="s">
        <v>838</v>
      </c>
      <c r="E268" s="1194" t="s">
        <v>645</v>
      </c>
      <c r="F268" s="1195"/>
      <c r="G268" s="1195"/>
      <c r="H268" s="1195"/>
      <c r="I268" s="1195"/>
      <c r="J268" s="1195"/>
      <c r="K268" s="1195"/>
      <c r="L268" s="1195"/>
      <c r="M268" s="1195"/>
      <c r="N268" s="1195"/>
      <c r="O268" s="1195"/>
      <c r="P268" s="1195"/>
      <c r="Q268" s="1195"/>
      <c r="R268" s="1195"/>
      <c r="S268" s="1195"/>
      <c r="T268" s="1195"/>
      <c r="U268" s="1195"/>
      <c r="V268" s="1196">
        <v>85.7</v>
      </c>
      <c r="W268" s="1196">
        <v>67.900000000000006</v>
      </c>
      <c r="X268" s="1196">
        <v>155.19999999999999</v>
      </c>
      <c r="Y268" s="1196">
        <v>183.773</v>
      </c>
      <c r="Z268" s="1196">
        <v>265.5</v>
      </c>
      <c r="AA268" s="1196">
        <v>246.97804182527241</v>
      </c>
      <c r="AB268" s="1196">
        <v>342.05975651247417</v>
      </c>
      <c r="AC268" s="1196">
        <v>355.86267094492115</v>
      </c>
      <c r="AD268" s="1196">
        <v>491.84765719687704</v>
      </c>
      <c r="AE268" s="1196"/>
      <c r="AF268" s="1196"/>
      <c r="AG268" s="1196"/>
      <c r="AH268" s="1196"/>
      <c r="AI268" s="1196"/>
      <c r="AJ268" s="2166"/>
      <c r="AK268" s="2166"/>
      <c r="AL268" s="2166"/>
      <c r="AM268" s="2166"/>
      <c r="AN268" s="2166"/>
      <c r="AO268" s="1196"/>
      <c r="AP268" s="1196"/>
      <c r="AQ268" s="1196"/>
      <c r="AR268" s="1196"/>
      <c r="AS268" s="1196"/>
      <c r="AT268" s="1196"/>
      <c r="AU268" s="1196"/>
    </row>
    <row r="269" spans="4:47">
      <c r="D269" s="1192" t="s">
        <v>839</v>
      </c>
      <c r="E269" s="1194" t="s">
        <v>645</v>
      </c>
      <c r="F269" s="1195"/>
      <c r="G269" s="1195"/>
      <c r="H269" s="1195"/>
      <c r="I269" s="1195"/>
      <c r="J269" s="1195"/>
      <c r="K269" s="1195"/>
      <c r="L269" s="1195"/>
      <c r="M269" s="1195"/>
      <c r="N269" s="1195"/>
      <c r="O269" s="1195"/>
      <c r="P269" s="1195"/>
      <c r="Q269" s="1195"/>
      <c r="R269" s="1195"/>
      <c r="S269" s="1195"/>
      <c r="T269" s="1195"/>
      <c r="U269" s="1195"/>
      <c r="V269" s="1197">
        <v>-96.114930000000001</v>
      </c>
      <c r="W269" s="1197">
        <v>-58.8</v>
      </c>
      <c r="X269" s="1197">
        <v>-40.6</v>
      </c>
      <c r="Y269" s="1197">
        <v>-66.2</v>
      </c>
      <c r="Z269" s="1197">
        <v>-39.200000000000003</v>
      </c>
      <c r="AA269" s="1197">
        <v>-42.8</v>
      </c>
      <c r="AB269" s="1197">
        <v>-95.164787118999996</v>
      </c>
      <c r="AC269" s="1197">
        <v>-122.04208282</v>
      </c>
      <c r="AD269" s="1197">
        <v>-63.781639370000001</v>
      </c>
      <c r="AE269" s="1197"/>
      <c r="AF269" s="1197"/>
      <c r="AG269" s="1197"/>
      <c r="AH269" s="1197"/>
      <c r="AI269" s="1197"/>
      <c r="AJ269" s="1197"/>
      <c r="AK269" s="1197"/>
      <c r="AL269" s="1197"/>
      <c r="AM269" s="1197"/>
      <c r="AN269" s="1197"/>
      <c r="AO269" s="1197"/>
      <c r="AP269" s="1197"/>
      <c r="AQ269" s="1197"/>
      <c r="AR269" s="1197"/>
      <c r="AS269" s="1197"/>
      <c r="AT269" s="1197"/>
      <c r="AU269" s="1197"/>
    </row>
    <row r="270" spans="4:47">
      <c r="D270" s="1192"/>
      <c r="E270" s="1198"/>
      <c r="F270" s="1195"/>
      <c r="G270" s="1195"/>
      <c r="H270" s="1195"/>
      <c r="I270" s="1195"/>
      <c r="J270" s="1195"/>
      <c r="K270" s="1195"/>
      <c r="L270" s="1195"/>
      <c r="M270" s="1195"/>
      <c r="N270" s="1195"/>
      <c r="O270" s="1195"/>
      <c r="P270" s="1195"/>
      <c r="Q270" s="1195"/>
      <c r="R270" s="1195"/>
      <c r="S270" s="1195"/>
      <c r="T270" s="1195"/>
      <c r="U270" s="1195"/>
      <c r="V270" s="1197"/>
      <c r="W270" s="1197"/>
      <c r="X270" s="1197"/>
      <c r="Y270" s="1197"/>
      <c r="Z270" s="1197"/>
      <c r="AA270" s="1197"/>
      <c r="AB270" s="1197"/>
      <c r="AC270" s="1195"/>
      <c r="AD270" s="1195"/>
      <c r="AE270" s="1195"/>
      <c r="AF270" s="1195"/>
      <c r="AG270" s="1195"/>
      <c r="AH270" s="1195"/>
      <c r="AI270" s="1195"/>
      <c r="AJ270" s="1195"/>
      <c r="AK270" s="1195"/>
      <c r="AL270" s="1195"/>
      <c r="AM270" s="1195"/>
      <c r="AN270" s="1195"/>
      <c r="AO270" s="1195"/>
      <c r="AP270" s="1195"/>
      <c r="AQ270" s="1195"/>
      <c r="AR270" s="1195"/>
      <c r="AS270" s="1195"/>
      <c r="AT270" s="1195"/>
      <c r="AU270" s="1195"/>
    </row>
    <row r="271" spans="4:47" ht="16" thickBot="1">
      <c r="D271" s="92" t="s">
        <v>730</v>
      </c>
      <c r="U271"/>
      <c r="V271" s="555" t="s">
        <v>729</v>
      </c>
      <c r="W271" s="92">
        <v>2012</v>
      </c>
      <c r="X271" s="92">
        <v>2013</v>
      </c>
      <c r="Y271" s="92">
        <v>2014</v>
      </c>
      <c r="Z271" s="92">
        <v>2015</v>
      </c>
      <c r="AA271" s="92">
        <v>2016</v>
      </c>
      <c r="AB271"/>
      <c r="AC271" s="29"/>
      <c r="AD271"/>
      <c r="AE271"/>
    </row>
    <row r="272" spans="4:47">
      <c r="D272" s="1448" t="s">
        <v>318</v>
      </c>
      <c r="E272" s="1449"/>
      <c r="F272" s="1449"/>
      <c r="G272" s="1449"/>
      <c r="H272" s="1449"/>
      <c r="I272" s="1449"/>
      <c r="J272" s="1450"/>
      <c r="K272" s="1450"/>
      <c r="L272" s="1450"/>
      <c r="M272" s="1450"/>
      <c r="N272" s="1450"/>
      <c r="O272" s="1450"/>
      <c r="P272" s="1450"/>
      <c r="Q272" s="1450"/>
      <c r="R272" s="1450"/>
      <c r="S272" s="1450"/>
      <c r="T272" s="1450"/>
      <c r="U272" s="1450"/>
      <c r="V272" s="1450">
        <v>2011</v>
      </c>
      <c r="W272" s="1450">
        <v>2012</v>
      </c>
      <c r="X272" s="1450">
        <v>2013</v>
      </c>
      <c r="Y272" s="1450">
        <v>2014</v>
      </c>
      <c r="Z272" s="1450">
        <v>2015</v>
      </c>
      <c r="AA272" s="1450">
        <v>2016</v>
      </c>
      <c r="AB272" s="1449">
        <v>2017</v>
      </c>
      <c r="AC272" s="1449">
        <v>2018</v>
      </c>
      <c r="AD272" s="1449">
        <v>2019</v>
      </c>
      <c r="AE272" s="1451">
        <v>2020</v>
      </c>
      <c r="AF272" s="1">
        <v>2021</v>
      </c>
      <c r="AG272" s="1">
        <v>2022</v>
      </c>
      <c r="AH272" s="1">
        <v>2023</v>
      </c>
      <c r="AI272" s="1">
        <v>2024</v>
      </c>
      <c r="AJ272" s="1">
        <v>2025</v>
      </c>
      <c r="AK272" s="1">
        <v>2026</v>
      </c>
      <c r="AL272" s="1">
        <v>2027</v>
      </c>
      <c r="AM272" s="1">
        <v>2028</v>
      </c>
      <c r="AN272" s="1">
        <v>2029</v>
      </c>
      <c r="AO272" s="1">
        <v>2030</v>
      </c>
      <c r="AP272" s="1">
        <v>2030</v>
      </c>
      <c r="AQ272" s="1">
        <v>2030</v>
      </c>
      <c r="AR272" s="1">
        <v>2030</v>
      </c>
      <c r="AS272" s="1">
        <v>2030</v>
      </c>
      <c r="AT272" s="1">
        <v>2030</v>
      </c>
    </row>
    <row r="273" spans="3:46">
      <c r="D273" s="1452" t="s">
        <v>3089</v>
      </c>
      <c r="E273" s="1453"/>
      <c r="F273" s="1453"/>
      <c r="G273" s="1453"/>
      <c r="H273" s="1453"/>
      <c r="I273" s="1453"/>
      <c r="J273" s="1454"/>
      <c r="K273" s="1454"/>
      <c r="L273" s="1454"/>
      <c r="M273" s="1454"/>
      <c r="N273" s="1454"/>
      <c r="O273" s="1454"/>
      <c r="P273" s="1454"/>
      <c r="Q273" s="1454"/>
      <c r="R273" s="1454"/>
      <c r="S273" s="1454"/>
      <c r="T273" s="1454"/>
      <c r="U273" s="1454"/>
      <c r="V273" s="1454">
        <v>0</v>
      </c>
      <c r="W273" s="1454">
        <v>0</v>
      </c>
      <c r="X273" s="1454">
        <v>0</v>
      </c>
      <c r="Y273" s="1454">
        <v>-8.5493992177389649E-3</v>
      </c>
      <c r="Z273" s="1454">
        <v>-1.034811081972575E-2</v>
      </c>
      <c r="AA273" s="1454">
        <v>-9.5320572555819931E-3</v>
      </c>
      <c r="AB273" s="1453">
        <v>-7.8032051387898881E-3</v>
      </c>
      <c r="AC273" s="1453">
        <v>-9.5996570142265463E-3</v>
      </c>
      <c r="AD273" s="1453">
        <v>-9.911801311527255E-3</v>
      </c>
      <c r="AE273" s="1455">
        <v>-1.0357205261725351E-2</v>
      </c>
      <c r="AF273" s="1">
        <v>-9.9336629428524812E-3</v>
      </c>
      <c r="AG273" s="1">
        <v>-9.6046061873178764E-3</v>
      </c>
      <c r="AH273" s="1">
        <v>-1.0497394108942399E-2</v>
      </c>
      <c r="AI273" s="1">
        <v>-1.1039527281381344E-2</v>
      </c>
      <c r="AJ273" s="1">
        <v>9.9677914619439485E-3</v>
      </c>
      <c r="AK273" s="1">
        <v>1.12449115122787E-2</v>
      </c>
      <c r="AL273" s="1">
        <v>-8.9011360508192998E-4</v>
      </c>
      <c r="AM273" s="1">
        <v>-1.1833986137414557E-2</v>
      </c>
      <c r="AN273" s="1">
        <v>-1.0991875870084877E-2</v>
      </c>
      <c r="AO273" s="1">
        <v>-7.6851650090752951E-3</v>
      </c>
      <c r="AP273" s="1">
        <v>-6.5771956786815546E-3</v>
      </c>
      <c r="AQ273" s="1">
        <v>-9.4186204024139016E-3</v>
      </c>
      <c r="AR273" s="1">
        <v>-1.9535058899087486E-2</v>
      </c>
      <c r="AS273" s="1">
        <v>-8.4461855660050815E-3</v>
      </c>
      <c r="AT273" s="1">
        <v>-3.8531955758324661E-3</v>
      </c>
    </row>
    <row r="274" spans="3:46">
      <c r="D274" s="1452" t="s">
        <v>3090</v>
      </c>
      <c r="E274" s="1453"/>
      <c r="F274" s="1453"/>
      <c r="G274" s="1453"/>
      <c r="H274" s="1453"/>
      <c r="I274" s="1453"/>
      <c r="J274" s="1454"/>
      <c r="K274" s="1454"/>
      <c r="L274" s="1454"/>
      <c r="M274" s="1454"/>
      <c r="N274" s="1454"/>
      <c r="O274" s="1454"/>
      <c r="P274" s="1454"/>
      <c r="Q274" s="1454"/>
      <c r="R274" s="1454"/>
      <c r="S274" s="1454"/>
      <c r="T274" s="1454"/>
      <c r="U274" s="1454"/>
      <c r="V274" s="1454">
        <v>0</v>
      </c>
      <c r="W274" s="1454">
        <v>0</v>
      </c>
      <c r="X274" s="1454">
        <v>0</v>
      </c>
      <c r="Y274" s="1454">
        <v>-7.5122337412179101E-3</v>
      </c>
      <c r="Z274" s="1454">
        <v>-9.1341718971134998E-3</v>
      </c>
      <c r="AA274" s="1454">
        <v>-8.2287454281982884E-3</v>
      </c>
      <c r="AB274" s="1453">
        <v>-6.4037263725904153E-3</v>
      </c>
      <c r="AC274" s="1453">
        <v>-7.824933172085307E-3</v>
      </c>
      <c r="AD274" s="1453">
        <v>-8.0173484834114191E-3</v>
      </c>
      <c r="AE274" s="1455">
        <v>-8.6217266873970192E-3</v>
      </c>
      <c r="AF274" s="1">
        <v>-8.2256035197703654E-3</v>
      </c>
      <c r="AG274" s="1">
        <v>-7.7892239006303546E-3</v>
      </c>
      <c r="AH274" s="1">
        <v>-8.3017058456373895E-3</v>
      </c>
      <c r="AI274" s="1">
        <v>-8.2269599325758593E-3</v>
      </c>
      <c r="AJ274" s="1">
        <v>7.0518053095778152E-3</v>
      </c>
      <c r="AK274" s="1">
        <v>7.6652948154234532E-3</v>
      </c>
      <c r="AL274" s="1">
        <v>-6.0042666273960336E-4</v>
      </c>
      <c r="AM274" s="1">
        <v>-7.8129619802435879E-3</v>
      </c>
      <c r="AN274" s="1">
        <v>-7.1350059076090095E-3</v>
      </c>
      <c r="AO274" s="1">
        <v>-5.0550926521624288E-3</v>
      </c>
      <c r="AP274" s="1">
        <v>-4.0096188169106133E-3</v>
      </c>
      <c r="AQ274" s="1">
        <v>-4.6578395485292389E-3</v>
      </c>
      <c r="AR274" s="1">
        <v>-5.7985430907257756E-3</v>
      </c>
      <c r="AS274" s="1">
        <v>-3.9328950669615514E-3</v>
      </c>
      <c r="AT274" s="1">
        <v>-1.7741810422275352E-3</v>
      </c>
    </row>
    <row r="275" spans="3:46">
      <c r="D275" s="1456" t="s">
        <v>220</v>
      </c>
      <c r="E275" s="1453"/>
      <c r="F275" s="1453"/>
      <c r="G275" s="1453"/>
      <c r="H275" s="1453"/>
      <c r="I275" s="1453"/>
      <c r="J275" s="1454"/>
      <c r="K275" s="1454"/>
      <c r="L275" s="1454"/>
      <c r="M275" s="1454"/>
      <c r="N275" s="1454"/>
      <c r="O275" s="1454"/>
      <c r="P275" s="1454"/>
      <c r="Q275" s="1454"/>
      <c r="R275" s="1454"/>
      <c r="S275" s="1454"/>
      <c r="T275" s="1454"/>
      <c r="U275" s="1454"/>
      <c r="V275" s="1454">
        <v>8.1022905058313305E-2</v>
      </c>
      <c r="W275" s="1454">
        <v>7.1064382391547526E-2</v>
      </c>
      <c r="X275" s="1454">
        <v>8.6510216053104133E-2</v>
      </c>
      <c r="Y275" s="1454">
        <v>9.9573011422281033E-2</v>
      </c>
      <c r="Z275" s="1454">
        <v>0.10798860501221753</v>
      </c>
      <c r="AA275" s="1454">
        <v>0.11184603502839222</v>
      </c>
      <c r="AB275" s="1453">
        <v>0.1131853373125371</v>
      </c>
      <c r="AC275" s="1453">
        <v>0.11026431814228878</v>
      </c>
      <c r="AD275" s="1453">
        <v>0.1062500586504293</v>
      </c>
      <c r="AE275" s="1455">
        <v>0.11005090544603011</v>
      </c>
      <c r="AF275" s="1">
        <v>0.10608878526649726</v>
      </c>
      <c r="AG275" s="1">
        <v>0.10757614733657771</v>
      </c>
      <c r="AH275" s="1">
        <v>0.1061556161346509</v>
      </c>
      <c r="AI275" s="1">
        <v>9.5425906350023446E-2</v>
      </c>
      <c r="AJ275" s="1">
        <v>9.8612114160540401E-2</v>
      </c>
      <c r="AK275" s="1">
        <v>0.10057074969598426</v>
      </c>
      <c r="AL275" s="1">
        <v>8.0570114594448364E-2</v>
      </c>
      <c r="AM275" s="1">
        <v>6.2183470339493264E-2</v>
      </c>
      <c r="AN275" s="1">
        <v>6.1942360291505953E-2</v>
      </c>
      <c r="AO275" s="1">
        <v>5.9037269844913122E-2</v>
      </c>
      <c r="AP275" s="1">
        <v>5.5071003815034741E-2</v>
      </c>
      <c r="AQ275" s="1">
        <v>5.9417604107714704E-2</v>
      </c>
      <c r="AR275" s="1">
        <v>6.3120212622408953E-2</v>
      </c>
      <c r="AS275" s="1">
        <v>6.7252767283190101E-2</v>
      </c>
      <c r="AT275" s="1">
        <v>3.1544024063674479E-2</v>
      </c>
    </row>
    <row r="276" spans="3:46">
      <c r="D276" s="1456" t="s">
        <v>221</v>
      </c>
      <c r="E276" s="1453"/>
      <c r="F276" s="1453"/>
      <c r="G276" s="1453"/>
      <c r="H276" s="1453"/>
      <c r="I276" s="1453"/>
      <c r="J276" s="1454"/>
      <c r="K276" s="1454"/>
      <c r="L276" s="1454"/>
      <c r="M276" s="1454"/>
      <c r="N276" s="1454"/>
      <c r="O276" s="1454"/>
      <c r="P276" s="1454"/>
      <c r="Q276" s="1454"/>
      <c r="R276" s="1454"/>
      <c r="S276" s="1454"/>
      <c r="T276" s="1454"/>
      <c r="U276" s="1454"/>
      <c r="V276" s="1454">
        <v>9.9145082538590973E-2</v>
      </c>
      <c r="W276" s="1454">
        <v>8.5040272137804421E-2</v>
      </c>
      <c r="X276" s="1454">
        <v>0.10437120244062663</v>
      </c>
      <c r="Y276" s="1454">
        <v>0.11775172361485951</v>
      </c>
      <c r="Z276" s="1454">
        <v>0.12300039332639771</v>
      </c>
      <c r="AA276" s="1454">
        <v>0.12452647548749225</v>
      </c>
      <c r="AB276" s="1453">
        <v>0.14515414187525363</v>
      </c>
      <c r="AC276" s="1453">
        <v>0.14282629370841157</v>
      </c>
      <c r="AD276" s="1453">
        <v>0.13216880679612633</v>
      </c>
      <c r="AE276" s="1455">
        <v>0.12755227719374709</v>
      </c>
      <c r="AF276" s="1">
        <v>0.12296155143193223</v>
      </c>
      <c r="AG276" s="1">
        <v>0.13638162053568184</v>
      </c>
      <c r="AH276" s="1">
        <v>0.1288735033776838</v>
      </c>
      <c r="AI276" s="1">
        <v>0.11643321309296176</v>
      </c>
      <c r="AJ276" s="1">
        <v>0.11844104063889359</v>
      </c>
      <c r="AK276" s="1">
        <v>0.1195055887724259</v>
      </c>
      <c r="AL276" s="1">
        <v>9.5339099183433085E-2</v>
      </c>
      <c r="AM276" s="1">
        <v>7.3290723708907532E-2</v>
      </c>
      <c r="AN276" s="1">
        <v>7.280146855298178E-2</v>
      </c>
      <c r="AO276" s="1">
        <v>6.9363927049761881E-2</v>
      </c>
      <c r="AP276" s="1">
        <v>6.4032917369420475E-2</v>
      </c>
      <c r="AQ276" s="1">
        <v>6.9175925917209946E-2</v>
      </c>
      <c r="AR276" s="1">
        <v>7.3575137042417457E-2</v>
      </c>
      <c r="AS276" s="1">
        <v>7.8421569509624464E-2</v>
      </c>
      <c r="AT276" s="1">
        <v>3.657090986866314E-2</v>
      </c>
    </row>
    <row r="277" spans="3:46">
      <c r="D277" s="1456" t="s">
        <v>222</v>
      </c>
      <c r="E277" s="1453"/>
      <c r="F277" s="1453"/>
      <c r="G277" s="1453"/>
      <c r="H277" s="1453"/>
      <c r="I277" s="1453"/>
      <c r="J277" s="1454"/>
      <c r="K277" s="1454"/>
      <c r="L277" s="1454"/>
      <c r="M277" s="1454"/>
      <c r="N277" s="1454"/>
      <c r="O277" s="1454"/>
      <c r="P277" s="1454"/>
      <c r="Q277" s="1454"/>
      <c r="R277" s="1454"/>
      <c r="S277" s="1454"/>
      <c r="T277" s="1454"/>
      <c r="U277" s="1454"/>
      <c r="V277" s="1454">
        <v>0</v>
      </c>
      <c r="W277" s="1454">
        <v>0</v>
      </c>
      <c r="X277" s="1454">
        <v>0</v>
      </c>
      <c r="Y277" s="1454">
        <v>0</v>
      </c>
      <c r="Z277" s="1454">
        <v>0</v>
      </c>
      <c r="AA277" s="1454">
        <v>0</v>
      </c>
      <c r="AB277" s="1453">
        <v>0</v>
      </c>
      <c r="AC277" s="1453">
        <v>0</v>
      </c>
      <c r="AD277" s="1453">
        <v>0</v>
      </c>
      <c r="AE277" s="1455">
        <v>0</v>
      </c>
      <c r="AF277" s="1">
        <v>0</v>
      </c>
      <c r="AG277" s="1">
        <v>0</v>
      </c>
      <c r="AH277" s="1">
        <v>0</v>
      </c>
      <c r="AI277" s="1">
        <v>0</v>
      </c>
      <c r="AJ277" s="1">
        <v>0</v>
      </c>
      <c r="AK277" s="1">
        <v>0</v>
      </c>
      <c r="AL277" s="1">
        <v>0</v>
      </c>
      <c r="AM277" s="1">
        <v>0</v>
      </c>
      <c r="AN277" s="1">
        <v>0</v>
      </c>
      <c r="AO277" s="1">
        <v>0</v>
      </c>
      <c r="AP277" s="1">
        <v>0</v>
      </c>
      <c r="AQ277" s="1">
        <v>0</v>
      </c>
      <c r="AR277" s="1">
        <v>0</v>
      </c>
      <c r="AS277" s="1">
        <v>0</v>
      </c>
      <c r="AT277" s="1">
        <v>0</v>
      </c>
    </row>
    <row r="278" spans="3:46">
      <c r="D278" s="1456" t="s">
        <v>223</v>
      </c>
      <c r="E278" s="1453"/>
      <c r="F278" s="1453"/>
      <c r="G278" s="1453"/>
      <c r="H278" s="1453"/>
      <c r="I278" s="1453"/>
      <c r="J278" s="1454"/>
      <c r="K278" s="1454"/>
      <c r="L278" s="1454"/>
      <c r="M278" s="1454"/>
      <c r="N278" s="1454"/>
      <c r="O278" s="1454"/>
      <c r="P278" s="1454"/>
      <c r="Q278" s="1454"/>
      <c r="R278" s="1454"/>
      <c r="S278" s="1454"/>
      <c r="T278" s="1454"/>
      <c r="U278" s="1454"/>
      <c r="V278" s="1454">
        <v>7.0330405769461521E-2</v>
      </c>
      <c r="W278" s="1454">
        <v>6.5849412779480809E-2</v>
      </c>
      <c r="X278" s="1454">
        <v>7.9244122746903456E-2</v>
      </c>
      <c r="Y278" s="1454">
        <v>8.9568706263369768E-2</v>
      </c>
      <c r="Z278" s="1454">
        <v>8.4930311600239949E-2</v>
      </c>
      <c r="AA278" s="1454">
        <v>8.1363504504708112E-2</v>
      </c>
      <c r="AB278" s="1453">
        <v>8.1530356162495862E-2</v>
      </c>
      <c r="AC278" s="1453">
        <v>8.1386128255921411E-2</v>
      </c>
      <c r="AD278" s="1453">
        <v>7.5605173074864737E-2</v>
      </c>
      <c r="AE278" s="1455">
        <v>7.8185968523780375E-2</v>
      </c>
      <c r="AF278" s="1">
        <v>7.8948745094097217E-2</v>
      </c>
      <c r="AG278" s="1">
        <v>7.8140028097453199E-2</v>
      </c>
      <c r="AH278" s="1">
        <v>7.0861979543506259E-2</v>
      </c>
      <c r="AI278" s="1">
        <v>5.9920926273783766E-2</v>
      </c>
      <c r="AJ278" s="1">
        <v>5.4589242106717659E-2</v>
      </c>
      <c r="AK278" s="1">
        <v>4.9668743051838993E-2</v>
      </c>
      <c r="AL278" s="1">
        <v>3.9304077780787365E-2</v>
      </c>
      <c r="AM278" s="1">
        <v>3.0181682649617719E-2</v>
      </c>
      <c r="AN278" s="1">
        <v>2.8876297957400748E-2</v>
      </c>
      <c r="AO278" s="1">
        <v>2.761456595043886E-2</v>
      </c>
      <c r="AP278" s="1">
        <v>2.7233982000637764E-2</v>
      </c>
      <c r="AQ278" s="1">
        <v>2.9859365402253341E-2</v>
      </c>
      <c r="AR278" s="1">
        <v>3.2206609281754679E-2</v>
      </c>
      <c r="AS278" s="1">
        <v>3.4882990844837189E-2</v>
      </c>
      <c r="AT278" s="1">
        <v>1.6929550024139657E-2</v>
      </c>
    </row>
    <row r="279" spans="3:46">
      <c r="D279" s="1456" t="s">
        <v>224</v>
      </c>
      <c r="E279" s="1453"/>
      <c r="F279" s="1453"/>
      <c r="G279" s="1453"/>
      <c r="H279" s="1453"/>
      <c r="I279" s="1453"/>
      <c r="J279" s="1454"/>
      <c r="K279" s="1454"/>
      <c r="L279" s="1454"/>
      <c r="M279" s="1454"/>
      <c r="N279" s="1454"/>
      <c r="O279" s="1454"/>
      <c r="P279" s="1454"/>
      <c r="Q279" s="1454"/>
      <c r="R279" s="1454"/>
      <c r="S279" s="1454"/>
      <c r="T279" s="1454"/>
      <c r="U279" s="1454"/>
      <c r="V279" s="1454">
        <v>-7.2668450702094165E-5</v>
      </c>
      <c r="W279" s="1454">
        <v>-6.2717974966027606E-5</v>
      </c>
      <c r="X279" s="1454">
        <v>6.1045357194378834E-5</v>
      </c>
      <c r="Y279" s="1454">
        <v>1.4997398503035106E-4</v>
      </c>
      <c r="Z279" s="1454">
        <v>1.2819492049176987E-4</v>
      </c>
      <c r="AA279" s="1454">
        <v>1.0391655345807364E-4</v>
      </c>
      <c r="AB279" s="1453">
        <v>1.0196252290837219E-4</v>
      </c>
      <c r="AC279" s="1453">
        <v>1.0195407321257124E-4</v>
      </c>
      <c r="AD279" s="1453">
        <v>8.7818315615105548E-5</v>
      </c>
      <c r="AE279" s="1455">
        <v>8.1380978151555748E-5</v>
      </c>
      <c r="AF279" s="1">
        <v>6.8030715163072396E-5</v>
      </c>
      <c r="AG279" s="1">
        <v>4.6716061232266414E-5</v>
      </c>
      <c r="AH279" s="1">
        <v>3.2055202619349335E-5</v>
      </c>
      <c r="AI279" s="1">
        <v>2.7113268104025074E-5</v>
      </c>
      <c r="AJ279" s="1">
        <v>2.4163355567872169E-5</v>
      </c>
      <c r="AK279" s="1">
        <v>2.1257514589361543E-5</v>
      </c>
      <c r="AL279" s="1">
        <v>2.2070643137405162E-5</v>
      </c>
      <c r="AM279" s="1">
        <v>2.2295275727755338E-5</v>
      </c>
      <c r="AN279" s="1">
        <v>2.0075541789869255E-5</v>
      </c>
      <c r="AO279" s="1">
        <v>2.3897242833982674E-5</v>
      </c>
      <c r="AP279" s="1">
        <v>4.298942203442764E-5</v>
      </c>
      <c r="AQ279" s="1">
        <v>1.197158199658993E-4</v>
      </c>
      <c r="AR279" s="1">
        <v>4.5579673206874797E-4</v>
      </c>
      <c r="AS279" s="1">
        <v>2.1594919180176302E-3</v>
      </c>
      <c r="AT279" s="1">
        <v>1.4630800885789398E-3</v>
      </c>
    </row>
    <row r="280" spans="3:46" ht="16" thickBot="1">
      <c r="D280" s="1457" t="s">
        <v>104</v>
      </c>
      <c r="E280" s="1458"/>
      <c r="F280" s="1458"/>
      <c r="G280" s="1458"/>
      <c r="H280" s="1458"/>
      <c r="I280" s="1458"/>
      <c r="J280" s="1459"/>
      <c r="K280" s="1459"/>
      <c r="L280" s="1459"/>
      <c r="M280" s="1459"/>
      <c r="N280" s="1459"/>
      <c r="O280" s="1459"/>
      <c r="P280" s="1459"/>
      <c r="Q280" s="1459"/>
      <c r="R280" s="1459"/>
      <c r="S280" s="1459"/>
      <c r="T280" s="1459"/>
      <c r="U280" s="1459"/>
      <c r="V280" s="1459">
        <v>1.1520323844554674</v>
      </c>
      <c r="W280" s="1459">
        <v>1.0791953852273644</v>
      </c>
      <c r="X280" s="1459">
        <v>1.0916925199539118</v>
      </c>
      <c r="Y280" s="1459">
        <v>1.1116942018733014</v>
      </c>
      <c r="Z280" s="1459">
        <v>1.2714966303257085</v>
      </c>
      <c r="AA280" s="1459">
        <v>1.374646233704452</v>
      </c>
      <c r="AB280" s="1458">
        <v>1.3882600621411563</v>
      </c>
      <c r="AC280" s="1458">
        <v>1.3548293856117462</v>
      </c>
      <c r="AD280" s="1458">
        <v>1.4053278939685752</v>
      </c>
      <c r="AE280" s="1460">
        <v>1.4075531393149905</v>
      </c>
      <c r="AF280" s="1">
        <v>1.3437678476086281</v>
      </c>
      <c r="AG280" s="1">
        <v>1.3767098624844738</v>
      </c>
      <c r="AH280" s="1">
        <v>1.4980616801634201</v>
      </c>
      <c r="AI280" s="1">
        <v>1.5925305612602587</v>
      </c>
      <c r="AJ280" s="1">
        <v>1.8064386013596141</v>
      </c>
      <c r="AK280" s="1">
        <v>2.024829772539626</v>
      </c>
      <c r="AL280" s="1">
        <v>2.0499174422515694</v>
      </c>
      <c r="AM280" s="1">
        <v>2.060304955869678</v>
      </c>
      <c r="AN280" s="1">
        <v>2.1450935429079356</v>
      </c>
      <c r="AO280" s="1">
        <v>2.137903233781405</v>
      </c>
      <c r="AP280" s="1">
        <v>2.0221429173943459</v>
      </c>
      <c r="AQ280" s="1">
        <v>1.9899151675618247</v>
      </c>
      <c r="AR280" s="1">
        <v>1.9598527764972484</v>
      </c>
      <c r="AS280" s="1">
        <v>1.9279530124677871</v>
      </c>
      <c r="AT280" s="1">
        <v>1.8632523616219103</v>
      </c>
    </row>
    <row r="281" spans="3:46">
      <c r="D281" s="92"/>
      <c r="E281" s="92"/>
      <c r="F281" s="92"/>
      <c r="G281" s="92"/>
      <c r="H281" s="92"/>
      <c r="I281" s="92"/>
      <c r="J281" s="92"/>
      <c r="K281" s="92"/>
      <c r="L281" s="92"/>
      <c r="M281" s="92"/>
      <c r="N281" s="92"/>
      <c r="O281" s="92"/>
      <c r="P281" s="92"/>
      <c r="Q281" s="92"/>
      <c r="R281" s="92"/>
      <c r="S281" s="92"/>
      <c r="T281" s="92"/>
      <c r="U281" s="92"/>
      <c r="V281" s="1869"/>
      <c r="W281" s="1869"/>
      <c r="X281" s="1869"/>
      <c r="Y281" s="1869"/>
      <c r="Z281" s="1869"/>
      <c r="AA281" s="1869"/>
      <c r="AB281" s="1869"/>
      <c r="AC281" s="1869"/>
      <c r="AD281" s="1869"/>
      <c r="AE281" s="1869"/>
      <c r="AF281" s="1869"/>
      <c r="AG281" s="1869"/>
      <c r="AH281" s="1869"/>
      <c r="AI281" s="1869"/>
      <c r="AJ281" s="1869"/>
      <c r="AK281" s="1869"/>
      <c r="AL281" s="1869"/>
      <c r="AM281" s="1869"/>
      <c r="AN281" s="1869"/>
      <c r="AO281" s="1869"/>
      <c r="AP281" s="1869"/>
      <c r="AQ281" s="1869"/>
      <c r="AR281" s="1869"/>
      <c r="AS281" s="1869"/>
      <c r="AT281" s="1869"/>
    </row>
    <row r="282" spans="3:46">
      <c r="D282" s="92" t="s">
        <v>863</v>
      </c>
      <c r="E282" s="2"/>
      <c r="F282" s="2"/>
      <c r="G282" s="2"/>
      <c r="H282" s="2"/>
      <c r="I282" s="2"/>
      <c r="J282" s="2"/>
      <c r="K282" s="2"/>
      <c r="L282" s="2"/>
      <c r="M282" s="2"/>
      <c r="N282" s="2"/>
      <c r="O282" s="2"/>
      <c r="P282" s="2"/>
      <c r="Q282" s="2"/>
      <c r="R282" s="2"/>
      <c r="S282" s="2"/>
      <c r="T282" s="2"/>
      <c r="U282" s="2"/>
      <c r="V282" s="2"/>
      <c r="W282" s="2"/>
      <c r="X282" s="2"/>
      <c r="Y282" s="2"/>
      <c r="Z282" s="2"/>
      <c r="AA282" s="2"/>
      <c r="AB282" s="150"/>
      <c r="AC282" s="2"/>
      <c r="AD282" s="151" t="s">
        <v>664</v>
      </c>
      <c r="AE282" s="2"/>
      <c r="AF282" s="1869"/>
      <c r="AG282" s="1869"/>
      <c r="AH282" s="1869"/>
      <c r="AI282" s="1869"/>
      <c r="AJ282" s="2003">
        <f>AJ402*(1.01)</f>
        <v>20234.026721310242</v>
      </c>
      <c r="AK282" s="1869"/>
      <c r="AL282" s="1869"/>
      <c r="AM282" s="1869"/>
      <c r="AN282" s="1869"/>
      <c r="AO282" s="1869"/>
      <c r="AP282" s="1869"/>
      <c r="AQ282" s="1869"/>
      <c r="AR282" s="1869"/>
      <c r="AS282" s="1869"/>
      <c r="AT282" s="1869"/>
    </row>
    <row r="283" spans="3:46" ht="18.5">
      <c r="C283" s="91"/>
      <c r="D283" s="167" t="s">
        <v>134</v>
      </c>
      <c r="E283" s="30"/>
      <c r="F283" s="30"/>
      <c r="G283" s="30"/>
      <c r="H283" s="30"/>
      <c r="I283" s="142" t="s">
        <v>1156</v>
      </c>
      <c r="J283" s="142" t="s">
        <v>1152</v>
      </c>
      <c r="K283" s="142" t="s">
        <v>1151</v>
      </c>
      <c r="L283" s="147" t="s">
        <v>1150</v>
      </c>
      <c r="M283" s="142" t="s">
        <v>1149</v>
      </c>
      <c r="N283" s="147" t="s">
        <v>1148</v>
      </c>
      <c r="O283" s="142" t="s">
        <v>1147</v>
      </c>
      <c r="P283" s="147" t="s">
        <v>1146</v>
      </c>
      <c r="Q283" s="142" t="s">
        <v>1145</v>
      </c>
      <c r="R283" s="147" t="s">
        <v>204</v>
      </c>
      <c r="S283" s="142" t="s">
        <v>205</v>
      </c>
      <c r="T283" s="142" t="s">
        <v>206</v>
      </c>
      <c r="U283" s="147" t="s">
        <v>207</v>
      </c>
      <c r="V283" s="142" t="s">
        <v>194</v>
      </c>
      <c r="W283" s="142" t="s">
        <v>195</v>
      </c>
      <c r="X283" s="142" t="s">
        <v>196</v>
      </c>
      <c r="Y283" s="142" t="s">
        <v>197</v>
      </c>
      <c r="Z283" s="142" t="s">
        <v>198</v>
      </c>
      <c r="AA283" s="142" t="s">
        <v>199</v>
      </c>
      <c r="AB283" s="142" t="s">
        <v>200</v>
      </c>
      <c r="AC283" s="142" t="s">
        <v>201</v>
      </c>
      <c r="AD283" s="142" t="s">
        <v>202</v>
      </c>
      <c r="AE283" s="142" t="s">
        <v>203</v>
      </c>
      <c r="AF283" s="142" t="s">
        <v>1114</v>
      </c>
      <c r="AG283" s="142" t="s">
        <v>1140</v>
      </c>
      <c r="AH283" s="142" t="s">
        <v>1141</v>
      </c>
      <c r="AI283" s="142" t="s">
        <v>1142</v>
      </c>
      <c r="AJ283" s="142" t="s">
        <v>1143</v>
      </c>
      <c r="AK283" s="142" t="s">
        <v>1144</v>
      </c>
      <c r="AL283" s="142" t="s">
        <v>3289</v>
      </c>
      <c r="AM283" s="142" t="s">
        <v>3400</v>
      </c>
      <c r="AN283" s="142" t="s">
        <v>3582</v>
      </c>
      <c r="AO283" s="142" t="s">
        <v>3583</v>
      </c>
      <c r="AP283" s="142" t="s">
        <v>3717</v>
      </c>
      <c r="AQ283" s="142" t="s">
        <v>3718</v>
      </c>
      <c r="AR283" s="142" t="s">
        <v>3719</v>
      </c>
      <c r="AS283" s="142" t="s">
        <v>3720</v>
      </c>
      <c r="AT283" s="142" t="s">
        <v>3721</v>
      </c>
    </row>
    <row r="284" spans="3:46" hidden="1">
      <c r="C284" s="91"/>
      <c r="D284" s="174" t="s">
        <v>237</v>
      </c>
      <c r="E284" s="175"/>
      <c r="F284" s="175"/>
      <c r="G284" s="175"/>
      <c r="H284" s="175"/>
      <c r="I284" s="176"/>
      <c r="J284" s="176"/>
      <c r="K284" s="176">
        <f t="shared" ref="K284:V284" si="1">+(J207+K207)/2</f>
        <v>763</v>
      </c>
      <c r="L284" s="176">
        <f t="shared" si="1"/>
        <v>838.5</v>
      </c>
      <c r="M284" s="176">
        <f t="shared" si="1"/>
        <v>902.5</v>
      </c>
      <c r="N284" s="176">
        <f t="shared" si="1"/>
        <v>1041.5</v>
      </c>
      <c r="O284" s="176">
        <f t="shared" si="1"/>
        <v>1260.5</v>
      </c>
      <c r="P284" s="176">
        <f t="shared" si="1"/>
        <v>1504</v>
      </c>
      <c r="Q284" s="176">
        <f t="shared" si="1"/>
        <v>1733.5</v>
      </c>
      <c r="R284" s="176">
        <f t="shared" si="1"/>
        <v>2028</v>
      </c>
      <c r="S284" s="176">
        <f t="shared" si="1"/>
        <v>2528</v>
      </c>
      <c r="T284" s="176">
        <f t="shared" si="1"/>
        <v>3027</v>
      </c>
      <c r="U284" s="176">
        <f t="shared" si="1"/>
        <v>3396</v>
      </c>
      <c r="V284" s="176">
        <f t="shared" si="1"/>
        <v>3851</v>
      </c>
      <c r="W284" s="176">
        <f t="shared" ref="W284:AK284" si="2">W208</f>
        <v>4425</v>
      </c>
      <c r="X284" s="176">
        <f t="shared" si="2"/>
        <v>4908</v>
      </c>
      <c r="Y284" s="176">
        <f t="shared" si="2"/>
        <v>5337</v>
      </c>
      <c r="Z284" s="176">
        <f t="shared" si="2"/>
        <v>5835</v>
      </c>
      <c r="AA284" s="176">
        <f t="shared" si="2"/>
        <v>6553</v>
      </c>
      <c r="AB284" s="176">
        <f t="shared" si="2"/>
        <v>7234</v>
      </c>
      <c r="AC284" s="176">
        <f t="shared" si="2"/>
        <v>8016</v>
      </c>
      <c r="AD284" s="176">
        <f t="shared" si="2"/>
        <v>8718</v>
      </c>
      <c r="AE284" s="176">
        <f t="shared" si="2"/>
        <v>9386</v>
      </c>
      <c r="AF284" s="176">
        <f>AF208</f>
        <v>10271</v>
      </c>
      <c r="AG284" s="176">
        <f>AG208</f>
        <v>11998</v>
      </c>
      <c r="AH284" s="176">
        <f t="shared" si="2"/>
        <v>15291</v>
      </c>
      <c r="AI284" s="176">
        <f t="shared" si="2"/>
        <v>17747</v>
      </c>
      <c r="AJ284" s="176"/>
      <c r="AK284" s="176">
        <f t="shared" si="2"/>
        <v>22653.476238318653</v>
      </c>
      <c r="AL284" s="176">
        <f t="shared" ref="AL284:AM284" si="3">AL208</f>
        <v>25562.479815704588</v>
      </c>
      <c r="AM284" s="176">
        <f t="shared" si="3"/>
        <v>28775.072036619156</v>
      </c>
      <c r="AN284" s="176">
        <f>AM284*(1+13%)</f>
        <v>32515.831401379644</v>
      </c>
      <c r="AO284" s="176">
        <f>AN284*(1+13%)</f>
        <v>36742.889483558996</v>
      </c>
      <c r="AP284" s="176"/>
      <c r="AQ284" s="176"/>
      <c r="AR284" s="176"/>
      <c r="AS284" s="176"/>
      <c r="AT284" s="176"/>
    </row>
    <row r="285" spans="3:46" hidden="1">
      <c r="C285" s="91"/>
      <c r="D285" s="178" t="s">
        <v>261</v>
      </c>
      <c r="E285" s="175"/>
      <c r="F285" s="175"/>
      <c r="G285" s="175"/>
      <c r="H285" s="175"/>
      <c r="I285" s="175"/>
      <c r="J285" s="175"/>
      <c r="K285" s="175"/>
      <c r="L285" s="179">
        <f t="shared" ref="L285:V285" si="4">+L284/K284-1</f>
        <v>9.8951507208387968E-2</v>
      </c>
      <c r="M285" s="179">
        <f t="shared" si="4"/>
        <v>7.6326774001192588E-2</v>
      </c>
      <c r="N285" s="179">
        <f t="shared" si="4"/>
        <v>0.15401662049861486</v>
      </c>
      <c r="O285" s="179">
        <f t="shared" si="4"/>
        <v>0.21027364378300528</v>
      </c>
      <c r="P285" s="179">
        <f t="shared" si="4"/>
        <v>0.19317731059103527</v>
      </c>
      <c r="Q285" s="179">
        <f t="shared" si="4"/>
        <v>0.15259308510638303</v>
      </c>
      <c r="R285" s="179">
        <f t="shared" si="4"/>
        <v>0.16988751081626763</v>
      </c>
      <c r="S285" s="179">
        <f t="shared" si="4"/>
        <v>0.24654832347140032</v>
      </c>
      <c r="T285" s="179">
        <f t="shared" si="4"/>
        <v>0.19738924050632911</v>
      </c>
      <c r="U285" s="179">
        <f t="shared" si="4"/>
        <v>0.12190287413280476</v>
      </c>
      <c r="V285" s="179">
        <f t="shared" si="4"/>
        <v>0.13398115429917556</v>
      </c>
      <c r="W285" s="179">
        <f t="shared" ref="W285:AK285" si="5">+W284/V284-1</f>
        <v>0.14905219423526361</v>
      </c>
      <c r="X285" s="179">
        <f t="shared" si="5"/>
        <v>0.10915254237288141</v>
      </c>
      <c r="Y285" s="179">
        <f t="shared" si="5"/>
        <v>8.7408312958435097E-2</v>
      </c>
      <c r="Z285" s="179">
        <f t="shared" si="5"/>
        <v>9.3310848791455792E-2</v>
      </c>
      <c r="AA285" s="179">
        <f t="shared" si="5"/>
        <v>0.12305055698371903</v>
      </c>
      <c r="AB285" s="179">
        <f t="shared" si="5"/>
        <v>0.1039218678467877</v>
      </c>
      <c r="AC285" s="179">
        <f t="shared" si="5"/>
        <v>0.10810063588609342</v>
      </c>
      <c r="AD285" s="179">
        <f t="shared" si="5"/>
        <v>8.7574850299401152E-2</v>
      </c>
      <c r="AE285" s="179">
        <f t="shared" si="5"/>
        <v>7.6623078687772406E-2</v>
      </c>
      <c r="AF285" s="179">
        <f>+AF284/AE284-1</f>
        <v>9.4289367142552649E-2</v>
      </c>
      <c r="AG285" s="179">
        <f>+AG284/AF284-1</f>
        <v>0.16814331613280098</v>
      </c>
      <c r="AH285" s="179">
        <f t="shared" si="5"/>
        <v>0.27446241040173369</v>
      </c>
      <c r="AI285" s="179">
        <f t="shared" si="5"/>
        <v>0.1606173566150022</v>
      </c>
      <c r="AJ285" s="179"/>
      <c r="AK285" s="179" t="e">
        <f t="shared" si="5"/>
        <v>#DIV/0!</v>
      </c>
      <c r="AL285" s="179">
        <f t="shared" ref="AL285" si="6">+AL284/AK284-1</f>
        <v>0.12841312065233135</v>
      </c>
      <c r="AM285" s="179">
        <f t="shared" ref="AM285" si="7">+AM284/AL284-1</f>
        <v>0.12567607853682783</v>
      </c>
      <c r="AN285" s="179">
        <v>0.12623937883853364</v>
      </c>
      <c r="AO285" s="179">
        <v>0.12623937883853364</v>
      </c>
      <c r="AP285" s="179"/>
      <c r="AQ285" s="179"/>
      <c r="AR285" s="179"/>
      <c r="AS285" s="179"/>
      <c r="AT285" s="179"/>
    </row>
    <row r="286" spans="3:46" hidden="1">
      <c r="C286" s="91"/>
      <c r="D286" s="175" t="s">
        <v>324</v>
      </c>
      <c r="E286" s="175"/>
      <c r="F286" s="175"/>
      <c r="G286" s="175"/>
      <c r="H286" s="175"/>
      <c r="I286" s="175"/>
      <c r="J286" s="175"/>
      <c r="K286" s="175"/>
      <c r="L286" s="175"/>
      <c r="M286" s="175"/>
      <c r="N286" s="175"/>
      <c r="O286" s="175"/>
      <c r="P286" s="175"/>
      <c r="Q286" s="175"/>
      <c r="R286" s="175"/>
      <c r="S286" s="175"/>
      <c r="T286" s="175"/>
      <c r="U286" s="175"/>
      <c r="V286" s="176">
        <f>+V206</f>
        <v>2126.9</v>
      </c>
      <c r="W286" s="176">
        <f t="shared" ref="W286:AK286" si="8">+(V206+W206)/2</f>
        <v>2312.9499999999998</v>
      </c>
      <c r="X286" s="176">
        <f t="shared" si="8"/>
        <v>2566.260656071418</v>
      </c>
      <c r="Y286" s="176">
        <f t="shared" si="8"/>
        <v>2784.8506198221348</v>
      </c>
      <c r="Z286" s="176">
        <f t="shared" si="8"/>
        <v>3071.9155450526273</v>
      </c>
      <c r="AA286" s="176">
        <f t="shared" si="8"/>
        <v>3295.5585425172385</v>
      </c>
      <c r="AB286" s="176">
        <f t="shared" si="8"/>
        <v>3457.4223051955441</v>
      </c>
      <c r="AC286" s="176">
        <f t="shared" si="8"/>
        <v>3709.582616694353</v>
      </c>
      <c r="AD286" s="176">
        <f t="shared" si="8"/>
        <v>4128.7434016547231</v>
      </c>
      <c r="AE286" s="176">
        <f t="shared" si="8"/>
        <v>4428.991511564378</v>
      </c>
      <c r="AF286" s="176">
        <f>+(AE206+AF206)/2</f>
        <v>4850.1477678556039</v>
      </c>
      <c r="AG286" s="176">
        <f>+(AF206+AG206)/2</f>
        <v>5766.6756537661331</v>
      </c>
      <c r="AH286" s="176">
        <f t="shared" si="8"/>
        <v>6706.6606135893999</v>
      </c>
      <c r="AI286" s="176">
        <f t="shared" si="8"/>
        <v>7400.9715331297402</v>
      </c>
      <c r="AJ286" s="176"/>
      <c r="AK286" s="176">
        <f t="shared" si="8"/>
        <v>8598.4683415671971</v>
      </c>
      <c r="AL286" s="176">
        <f t="shared" ref="AL286" si="9">+(AK206+AL206)/2</f>
        <v>9803.6074408630757</v>
      </c>
      <c r="AM286" s="176">
        <f t="shared" ref="AM286" si="10">+(AL206+AM206)/2</f>
        <v>11326.993841937659</v>
      </c>
      <c r="AN286" s="176">
        <f t="shared" ref="AN286" si="11">+(AM206+AN206)/2</f>
        <v>12748.186993260242</v>
      </c>
      <c r="AO286" s="176">
        <f t="shared" ref="AO286" si="12">+(AN206+AO206)/2</f>
        <v>14720.196085651445</v>
      </c>
      <c r="AP286" s="176"/>
      <c r="AQ286" s="176"/>
      <c r="AR286" s="176"/>
      <c r="AS286" s="176"/>
      <c r="AT286" s="176"/>
    </row>
    <row r="287" spans="3:46" hidden="1">
      <c r="C287" s="91"/>
      <c r="D287" s="175" t="s">
        <v>343</v>
      </c>
      <c r="E287" s="175"/>
      <c r="F287" s="175"/>
      <c r="G287" s="175"/>
      <c r="H287" s="175"/>
      <c r="J287" s="176">
        <f t="shared" ref="J287:AI287" si="13">+(J$284-J679-J686-(J717+J744))</f>
        <v>-76.579461220000013</v>
      </c>
      <c r="K287" s="176">
        <f t="shared" si="13"/>
        <v>681.30583877999993</v>
      </c>
      <c r="L287" s="176">
        <f t="shared" si="13"/>
        <v>749.6318</v>
      </c>
      <c r="M287" s="176">
        <f t="shared" si="13"/>
        <v>802.91450000000009</v>
      </c>
      <c r="N287" s="176">
        <f t="shared" si="13"/>
        <v>927.25700000000006</v>
      </c>
      <c r="O287" s="176">
        <f t="shared" si="13"/>
        <v>1126.1914000000002</v>
      </c>
      <c r="P287" s="176">
        <f t="shared" si="13"/>
        <v>1349.956242172</v>
      </c>
      <c r="Q287" s="176">
        <f t="shared" si="13"/>
        <v>1556.3183921719999</v>
      </c>
      <c r="R287" s="176">
        <f t="shared" si="13"/>
        <v>1812.5</v>
      </c>
      <c r="S287" s="176">
        <f t="shared" si="13"/>
        <v>2282.5</v>
      </c>
      <c r="T287" s="176">
        <f t="shared" si="13"/>
        <v>2704.8999999999996</v>
      </c>
      <c r="U287" s="176">
        <f t="shared" si="13"/>
        <v>3010.4124309392264</v>
      </c>
      <c r="V287" s="176">
        <f t="shared" si="13"/>
        <v>3387.8331257182322</v>
      </c>
      <c r="W287" s="176">
        <f t="shared" si="13"/>
        <v>3882.5</v>
      </c>
      <c r="X287" s="176">
        <f t="shared" si="13"/>
        <v>4279.6163900375823</v>
      </c>
      <c r="Y287" s="176">
        <f t="shared" si="13"/>
        <v>4591.444780990656</v>
      </c>
      <c r="Z287" s="176">
        <f t="shared" si="13"/>
        <v>5029.2431980420006</v>
      </c>
      <c r="AA287" s="176">
        <f t="shared" si="13"/>
        <v>5604.3097176671436</v>
      </c>
      <c r="AB287" s="176">
        <f t="shared" si="13"/>
        <v>6165.4486393776806</v>
      </c>
      <c r="AC287" s="176">
        <f t="shared" si="13"/>
        <v>6860.5856071330472</v>
      </c>
      <c r="AD287" s="176">
        <f t="shared" si="13"/>
        <v>7418.111668229978</v>
      </c>
      <c r="AE287" s="176">
        <f t="shared" si="13"/>
        <v>8022.4971303457105</v>
      </c>
      <c r="AF287" s="176">
        <f t="shared" si="13"/>
        <v>8793.0285597398179</v>
      </c>
      <c r="AG287" s="176">
        <f t="shared" si="13"/>
        <v>7695.5142923442436</v>
      </c>
      <c r="AH287" s="176">
        <f t="shared" si="13"/>
        <v>8160.5986348914375</v>
      </c>
      <c r="AI287" s="176">
        <f t="shared" si="13"/>
        <v>9441.4241132778607</v>
      </c>
      <c r="AJ287" s="176"/>
      <c r="AK287" s="176">
        <f>+(AK$284-AK679-AK686-(AK717+AK744))</f>
        <v>21679.310460437024</v>
      </c>
      <c r="AL287" s="176">
        <f>+(AL$284-AL679-AL686-(AL717+AL744))</f>
        <v>24585.559285937121</v>
      </c>
      <c r="AM287" s="176">
        <f>+(AM$284-AM679-AM686-(AM717+AM744))</f>
        <v>27795.122250199198</v>
      </c>
      <c r="AN287" s="176">
        <f>+(AN$284-AN679-AN686-(AN717+AN744))</f>
        <v>31532.87083886073</v>
      </c>
      <c r="AO287" s="176">
        <f>+(AO$284-AO679-AO686-(AO717+AO744))</f>
        <v>35756.47945034346</v>
      </c>
      <c r="AP287" s="176"/>
      <c r="AQ287" s="176"/>
      <c r="AR287" s="176"/>
      <c r="AS287" s="176"/>
      <c r="AT287" s="176"/>
    </row>
    <row r="288" spans="3:46" hidden="1">
      <c r="C288" s="91"/>
      <c r="D288" s="174" t="s">
        <v>278</v>
      </c>
      <c r="E288" s="175"/>
      <c r="F288" s="175"/>
      <c r="G288" s="175"/>
      <c r="H288" s="175"/>
      <c r="I288" s="175"/>
      <c r="J288" s="175"/>
      <c r="K288" s="175"/>
      <c r="L288" s="175"/>
      <c r="M288" s="175"/>
      <c r="N288" s="175"/>
      <c r="O288" s="175"/>
      <c r="P288" s="175"/>
      <c r="Q288" s="175"/>
      <c r="R288" s="175"/>
      <c r="S288" s="175"/>
      <c r="T288" s="175"/>
      <c r="U288" s="175"/>
      <c r="V288" s="175"/>
      <c r="W288" s="175"/>
      <c r="X288" s="175"/>
      <c r="Y288" s="970">
        <f t="shared" ref="Y288:AK288" si="14">+Y287/X287-1</f>
        <v>7.286363134765339E-2</v>
      </c>
      <c r="Z288" s="970">
        <f t="shared" si="14"/>
        <v>9.5350905419554044E-2</v>
      </c>
      <c r="AA288" s="970">
        <f t="shared" si="14"/>
        <v>0.11434454389659066</v>
      </c>
      <c r="AB288" s="970">
        <f t="shared" si="14"/>
        <v>0.10012632241604891</v>
      </c>
      <c r="AC288" s="970">
        <f t="shared" si="14"/>
        <v>0.11274718328130162</v>
      </c>
      <c r="AD288" s="970">
        <f t="shared" si="14"/>
        <v>8.1265083335927413E-2</v>
      </c>
      <c r="AE288" s="970">
        <f t="shared" si="14"/>
        <v>8.1474300893065843E-2</v>
      </c>
      <c r="AF288" s="970">
        <f>+AF287/AE287-1</f>
        <v>9.6046332815690638E-2</v>
      </c>
      <c r="AG288" s="970">
        <f>+AG287/AF287-1</f>
        <v>-0.12481641108510733</v>
      </c>
      <c r="AH288" s="970">
        <f t="shared" si="14"/>
        <v>6.0435771396055493E-2</v>
      </c>
      <c r="AI288" s="970">
        <f t="shared" si="14"/>
        <v>0.15695239230491365</v>
      </c>
      <c r="AJ288" s="970"/>
      <c r="AK288" s="970" t="e">
        <f t="shared" si="14"/>
        <v>#DIV/0!</v>
      </c>
      <c r="AL288" s="970">
        <f t="shared" ref="AL288" si="15">+AL287/AK287-1</f>
        <v>0.13405633130277672</v>
      </c>
      <c r="AM288" s="970">
        <f t="shared" ref="AM288" si="16">+AM287/AL287-1</f>
        <v>0.13054667282260857</v>
      </c>
      <c r="AN288" s="970">
        <f t="shared" ref="AN288" si="17">+AN287/AM287-1</f>
        <v>0.13447498287706749</v>
      </c>
      <c r="AO288" s="970">
        <f t="shared" ref="AO288" si="18">+AO287/AN287-1</f>
        <v>0.13394304099573473</v>
      </c>
      <c r="AP288" s="970"/>
      <c r="AQ288" s="970"/>
      <c r="AR288" s="970"/>
      <c r="AS288" s="970"/>
      <c r="AT288" s="970"/>
    </row>
    <row r="289" spans="1:46" hidden="1">
      <c r="C289" s="92" t="s">
        <v>27</v>
      </c>
      <c r="D289" s="181" t="s">
        <v>132</v>
      </c>
      <c r="E289" s="181"/>
      <c r="F289" s="181"/>
      <c r="G289" s="181"/>
      <c r="H289" s="181"/>
      <c r="I289" s="181"/>
      <c r="J289" s="181"/>
      <c r="K289" s="181"/>
      <c r="L289" s="181"/>
      <c r="M289" s="181"/>
      <c r="N289" s="181"/>
      <c r="O289" s="181"/>
      <c r="P289" s="181"/>
      <c r="Q289" s="181"/>
      <c r="R289" s="181"/>
      <c r="S289" s="181"/>
      <c r="T289" s="181"/>
      <c r="U289" s="181"/>
      <c r="V289" s="181"/>
      <c r="W289" s="181"/>
      <c r="X289" s="181"/>
      <c r="Y289" s="182">
        <v>105.3</v>
      </c>
      <c r="Z289" s="556">
        <v>159.31</v>
      </c>
      <c r="AA289" s="557">
        <v>164.43</v>
      </c>
      <c r="AB289" s="558">
        <f>+AB290+AB291</f>
        <v>175.1</v>
      </c>
      <c r="AC289" s="558">
        <f t="shared" ref="AC289:AK289" si="19">+AC290+AC291</f>
        <v>165.5</v>
      </c>
      <c r="AD289" s="558">
        <f t="shared" si="19"/>
        <v>157.38596526999999</v>
      </c>
      <c r="AE289" s="558">
        <f t="shared" si="19"/>
        <v>138.47062149999999</v>
      </c>
      <c r="AF289" s="558">
        <f>+AF290+AF291</f>
        <v>139.47062149999999</v>
      </c>
      <c r="AG289" s="558">
        <f>+AG290+AG291</f>
        <v>140.47062149999999</v>
      </c>
      <c r="AH289" s="1047">
        <f t="shared" si="19"/>
        <v>140.47062149999999</v>
      </c>
      <c r="AI289" s="1047">
        <f t="shared" si="19"/>
        <v>140.47062149999999</v>
      </c>
      <c r="AJ289" s="1047"/>
      <c r="AK289" s="1047">
        <f t="shared" si="19"/>
        <v>0</v>
      </c>
      <c r="AL289" s="1047">
        <f t="shared" ref="AL289:AM289" si="20">+AL290+AL291</f>
        <v>0</v>
      </c>
      <c r="AM289" s="1047">
        <f t="shared" si="20"/>
        <v>0</v>
      </c>
      <c r="AN289" s="1047">
        <f t="shared" ref="AN289:AO289" si="21">+AN290+AN291</f>
        <v>0</v>
      </c>
      <c r="AO289" s="1047">
        <f t="shared" si="21"/>
        <v>0</v>
      </c>
      <c r="AP289" s="1047"/>
      <c r="AQ289" s="1047"/>
      <c r="AR289" s="1047"/>
      <c r="AS289" s="1047"/>
      <c r="AT289" s="1047"/>
    </row>
    <row r="290" spans="1:46" hidden="1">
      <c r="D290" s="183" t="s">
        <v>117</v>
      </c>
      <c r="E290" s="181"/>
      <c r="F290" s="181"/>
      <c r="G290" s="181"/>
      <c r="H290" s="181"/>
      <c r="I290" s="181"/>
      <c r="J290" s="181"/>
      <c r="K290" s="181"/>
      <c r="L290" s="181"/>
      <c r="M290" s="181"/>
      <c r="N290" s="181"/>
      <c r="O290" s="181"/>
      <c r="P290" s="181"/>
      <c r="Q290" s="181"/>
      <c r="R290" s="181"/>
      <c r="S290" s="181"/>
      <c r="T290" s="181"/>
      <c r="U290" s="181"/>
      <c r="V290" s="181"/>
      <c r="W290" s="181"/>
      <c r="X290" s="181"/>
      <c r="Y290" s="184">
        <f>+Y289/2</f>
        <v>52.65</v>
      </c>
      <c r="Z290" s="559">
        <v>83.26</v>
      </c>
      <c r="AA290" s="184">
        <v>84.98</v>
      </c>
      <c r="AB290" s="1099">
        <v>75.599999999999994</v>
      </c>
      <c r="AC290" s="560">
        <v>51.8</v>
      </c>
      <c r="AD290" s="560">
        <v>58.285965269999998</v>
      </c>
      <c r="AE290" s="186">
        <f>34.9+49.59</f>
        <v>84.490000000000009</v>
      </c>
      <c r="AF290" s="186">
        <f>34.9+49.59</f>
        <v>84.490000000000009</v>
      </c>
      <c r="AG290" s="186">
        <f>34.9+49.59</f>
        <v>84.490000000000009</v>
      </c>
      <c r="AH290" s="230">
        <f t="shared" ref="AH290:AK291" si="22">+AG290</f>
        <v>84.490000000000009</v>
      </c>
      <c r="AI290" s="230">
        <f>+AH290</f>
        <v>84.490000000000009</v>
      </c>
      <c r="AJ290" s="177"/>
      <c r="AK290" s="177">
        <f t="shared" si="22"/>
        <v>0</v>
      </c>
      <c r="AL290" s="177">
        <f t="shared" ref="AL290:AL291" si="23">+AK290</f>
        <v>0</v>
      </c>
      <c r="AM290" s="177">
        <f t="shared" ref="AM290:AM291" si="24">+AL290</f>
        <v>0</v>
      </c>
      <c r="AN290" s="177">
        <f t="shared" ref="AN290:AN291" si="25">+AM290</f>
        <v>0</v>
      </c>
      <c r="AO290" s="177">
        <f t="shared" ref="AO290:AO291" si="26">+AN290</f>
        <v>0</v>
      </c>
      <c r="AP290" s="177"/>
      <c r="AQ290" s="177"/>
      <c r="AR290" s="177"/>
      <c r="AS290" s="177"/>
      <c r="AT290" s="177"/>
    </row>
    <row r="291" spans="1:46" hidden="1">
      <c r="C291" s="92" t="s">
        <v>27</v>
      </c>
      <c r="D291" s="183" t="s">
        <v>118</v>
      </c>
      <c r="E291" s="181"/>
      <c r="F291" s="181"/>
      <c r="G291" s="181"/>
      <c r="H291" s="181"/>
      <c r="I291" s="181"/>
      <c r="J291" s="181"/>
      <c r="K291" s="181"/>
      <c r="L291" s="181"/>
      <c r="M291" s="181"/>
      <c r="N291" s="181"/>
      <c r="O291" s="181"/>
      <c r="P291" s="181"/>
      <c r="Q291" s="181"/>
      <c r="R291" s="181"/>
      <c r="S291" s="181"/>
      <c r="T291" s="181"/>
      <c r="U291" s="181"/>
      <c r="V291" s="181"/>
      <c r="W291" s="181"/>
      <c r="X291" s="181"/>
      <c r="Y291" s="184">
        <f>+Y289-Y290</f>
        <v>52.65</v>
      </c>
      <c r="Z291" s="561">
        <f>+Z289-Z290</f>
        <v>76.05</v>
      </c>
      <c r="AA291" s="1098">
        <v>85.8</v>
      </c>
      <c r="AB291" s="1146">
        <f>(39.1+39.1+10+7+4.3)</f>
        <v>99.5</v>
      </c>
      <c r="AC291" s="562">
        <v>113.7</v>
      </c>
      <c r="AD291" s="1228">
        <v>99.1</v>
      </c>
      <c r="AE291" s="1228">
        <v>53.980621499999998</v>
      </c>
      <c r="AF291" s="1228">
        <v>54.980621499999998</v>
      </c>
      <c r="AG291" s="1228">
        <v>55.980621499999998</v>
      </c>
      <c r="AH291" s="623">
        <f t="shared" si="22"/>
        <v>55.980621499999998</v>
      </c>
      <c r="AI291" s="623">
        <f t="shared" si="22"/>
        <v>55.980621499999998</v>
      </c>
      <c r="AJ291" s="623"/>
      <c r="AK291" s="623">
        <f t="shared" si="22"/>
        <v>0</v>
      </c>
      <c r="AL291" s="623">
        <f t="shared" si="23"/>
        <v>0</v>
      </c>
      <c r="AM291" s="623">
        <f t="shared" si="24"/>
        <v>0</v>
      </c>
      <c r="AN291" s="623">
        <f t="shared" si="25"/>
        <v>0</v>
      </c>
      <c r="AO291" s="623">
        <f t="shared" si="26"/>
        <v>0</v>
      </c>
      <c r="AP291" s="623"/>
      <c r="AQ291" s="623"/>
      <c r="AR291" s="623"/>
      <c r="AS291" s="623"/>
      <c r="AT291" s="623"/>
    </row>
    <row r="292" spans="1:46" hidden="1">
      <c r="D292" s="183" t="s">
        <v>216</v>
      </c>
      <c r="E292" s="181"/>
      <c r="F292" s="181"/>
      <c r="G292" s="181"/>
      <c r="H292" s="181"/>
      <c r="I292" s="181"/>
      <c r="J292" s="181"/>
      <c r="K292" s="181"/>
      <c r="L292" s="181"/>
      <c r="M292" s="181"/>
      <c r="N292" s="181"/>
      <c r="O292" s="181"/>
      <c r="P292" s="181"/>
      <c r="Q292" s="181"/>
      <c r="R292" s="181"/>
      <c r="S292" s="181"/>
      <c r="T292" s="181"/>
      <c r="U292" s="181"/>
      <c r="V292" s="181"/>
      <c r="W292" s="181"/>
      <c r="X292" s="181"/>
      <c r="Y292" s="184"/>
      <c r="Z292" s="184">
        <f>+(Y291*Y250+Z290*Z250)/1000</f>
        <v>95.839250323148988</v>
      </c>
      <c r="AA292" s="184">
        <f>+(Z291*Z250+AA290*AA250)/1000</f>
        <v>121.6195684522404</v>
      </c>
      <c r="AB292" s="184">
        <f t="shared" ref="AB292:AI292" si="27">+(AA291+AB290)*AB253/1000</f>
        <v>132.01834234264999</v>
      </c>
      <c r="AC292" s="184">
        <f t="shared" si="27"/>
        <v>128.04260530427499</v>
      </c>
      <c r="AD292" s="185">
        <f t="shared" si="27"/>
        <v>151.47193310323161</v>
      </c>
      <c r="AE292" s="185">
        <f t="shared" si="27"/>
        <v>169.21778673992497</v>
      </c>
      <c r="AF292" s="185">
        <f>+(AE291+AF290)*AF253/1000</f>
        <v>134.31167958861582</v>
      </c>
      <c r="AG292" s="185">
        <f>+(AF291+AG290)*AG253/1000</f>
        <v>140.58770486242673</v>
      </c>
      <c r="AH292" s="965">
        <f t="shared" si="27"/>
        <v>151.85749599591659</v>
      </c>
      <c r="AI292" s="965">
        <f t="shared" si="27"/>
        <v>176.56360568673131</v>
      </c>
      <c r="AJ292" s="965"/>
      <c r="AK292" s="965">
        <f>+(AJ291+AK290)*AK253/1000</f>
        <v>0</v>
      </c>
      <c r="AL292" s="965">
        <f t="shared" ref="AL292:AM292" si="28">+(AK291+AL290)*AL253/1000</f>
        <v>0</v>
      </c>
      <c r="AM292" s="965">
        <f t="shared" si="28"/>
        <v>0</v>
      </c>
      <c r="AN292" s="965">
        <f>+(AM291+AN290)*AN254/1000</f>
        <v>0</v>
      </c>
      <c r="AO292" s="965">
        <f>+(AN291+AO290)*AO254/1000</f>
        <v>0</v>
      </c>
      <c r="AP292" s="965"/>
      <c r="AQ292" s="965"/>
      <c r="AR292" s="965"/>
      <c r="AS292" s="965"/>
      <c r="AT292" s="965"/>
    </row>
    <row r="293" spans="1:46" hidden="1">
      <c r="D293" s="183" t="s">
        <v>217</v>
      </c>
      <c r="E293" s="181"/>
      <c r="F293" s="181"/>
      <c r="G293" s="181"/>
      <c r="H293" s="181"/>
      <c r="I293" s="181"/>
      <c r="J293" s="181"/>
      <c r="K293" s="181"/>
      <c r="L293" s="181"/>
      <c r="M293" s="181"/>
      <c r="N293" s="181"/>
      <c r="O293" s="181"/>
      <c r="P293" s="181"/>
      <c r="Q293" s="181"/>
      <c r="R293" s="181"/>
      <c r="S293" s="181"/>
      <c r="T293" s="181"/>
      <c r="U293" s="181"/>
      <c r="V293" s="181"/>
      <c r="W293" s="181"/>
      <c r="X293" s="181"/>
      <c r="Y293" s="184"/>
      <c r="Z293" s="184">
        <v>26.3</v>
      </c>
      <c r="AA293" s="184">
        <v>0</v>
      </c>
      <c r="AB293" s="177">
        <v>0</v>
      </c>
      <c r="AC293" s="177">
        <f>+AB293</f>
        <v>0</v>
      </c>
      <c r="AD293" s="177">
        <f t="shared" ref="AD293:AK293" si="29">+AC293</f>
        <v>0</v>
      </c>
      <c r="AE293" s="177">
        <f>+AD293</f>
        <v>0</v>
      </c>
      <c r="AF293" s="177">
        <f>+AE293</f>
        <v>0</v>
      </c>
      <c r="AG293" s="177">
        <f>+AF293</f>
        <v>0</v>
      </c>
      <c r="AH293" s="177">
        <f t="shared" si="29"/>
        <v>0</v>
      </c>
      <c r="AI293" s="177">
        <f t="shared" si="29"/>
        <v>0</v>
      </c>
      <c r="AJ293" s="177"/>
      <c r="AK293" s="177">
        <f t="shared" si="29"/>
        <v>0</v>
      </c>
      <c r="AL293" s="177">
        <f t="shared" ref="AL293" si="30">+AK293</f>
        <v>0</v>
      </c>
      <c r="AM293" s="177">
        <f t="shared" ref="AM293" si="31">+AL293</f>
        <v>0</v>
      </c>
      <c r="AN293" s="177">
        <f t="shared" ref="AN293" si="32">+AM293</f>
        <v>0</v>
      </c>
      <c r="AO293" s="177">
        <f t="shared" ref="AO293" si="33">+AN293</f>
        <v>0</v>
      </c>
      <c r="AP293" s="177"/>
      <c r="AQ293" s="177"/>
      <c r="AR293" s="177"/>
      <c r="AS293" s="177"/>
      <c r="AT293" s="177"/>
    </row>
    <row r="294" spans="1:46" hidden="1">
      <c r="D294" s="181" t="s">
        <v>279</v>
      </c>
      <c r="E294" s="181"/>
      <c r="F294" s="181"/>
      <c r="G294" s="181"/>
      <c r="H294" s="181"/>
      <c r="I294" s="181"/>
      <c r="J294" s="181"/>
      <c r="K294" s="181"/>
      <c r="L294" s="181"/>
      <c r="M294" s="181"/>
      <c r="N294" s="181"/>
      <c r="O294" s="181"/>
      <c r="P294" s="181"/>
      <c r="Q294" s="181"/>
      <c r="R294" s="181"/>
      <c r="S294" s="181"/>
      <c r="T294" s="181"/>
      <c r="U294" s="181"/>
      <c r="V294" s="181"/>
      <c r="W294" s="181"/>
      <c r="X294" s="181"/>
      <c r="Y294" s="184"/>
      <c r="Z294" s="184">
        <f t="shared" ref="Z294:AK294" si="34">+Z292-Z293</f>
        <v>69.539250323148991</v>
      </c>
      <c r="AA294" s="184">
        <f t="shared" si="34"/>
        <v>121.6195684522404</v>
      </c>
      <c r="AB294" s="184">
        <f t="shared" si="34"/>
        <v>132.01834234264999</v>
      </c>
      <c r="AC294" s="185">
        <f t="shared" si="34"/>
        <v>128.04260530427499</v>
      </c>
      <c r="AD294" s="185">
        <f t="shared" si="34"/>
        <v>151.47193310323161</v>
      </c>
      <c r="AE294" s="185">
        <f t="shared" si="34"/>
        <v>169.21778673992497</v>
      </c>
      <c r="AF294" s="185">
        <f>+AF292-AF293</f>
        <v>134.31167958861582</v>
      </c>
      <c r="AG294" s="185">
        <f>+AG292-AG293</f>
        <v>140.58770486242673</v>
      </c>
      <c r="AH294" s="966">
        <f t="shared" si="34"/>
        <v>151.85749599591659</v>
      </c>
      <c r="AI294" s="966">
        <f t="shared" si="34"/>
        <v>176.56360568673131</v>
      </c>
      <c r="AJ294" s="185"/>
      <c r="AK294" s="185">
        <f t="shared" si="34"/>
        <v>0</v>
      </c>
      <c r="AL294" s="185">
        <f t="shared" ref="AL294" si="35">+AL292-AL293</f>
        <v>0</v>
      </c>
      <c r="AM294" s="185">
        <f>+AM292-AM293</f>
        <v>0</v>
      </c>
      <c r="AN294" s="185">
        <f t="shared" ref="AN294:AO294" si="36">+AN292-AN293</f>
        <v>0</v>
      </c>
      <c r="AO294" s="185">
        <f t="shared" si="36"/>
        <v>0</v>
      </c>
      <c r="AP294" s="185"/>
      <c r="AQ294" s="185"/>
      <c r="AR294" s="185"/>
      <c r="AS294" s="185"/>
      <c r="AT294" s="185"/>
    </row>
    <row r="295" spans="1:46" hidden="1">
      <c r="D295" s="183" t="str">
        <f>+D290</f>
        <v xml:space="preserve">     Jan-June </v>
      </c>
      <c r="E295" s="181"/>
      <c r="F295" s="181"/>
      <c r="G295" s="181"/>
      <c r="H295" s="181"/>
      <c r="I295" s="181"/>
      <c r="J295" s="181"/>
      <c r="K295" s="181"/>
      <c r="L295" s="181"/>
      <c r="M295" s="181"/>
      <c r="N295" s="181"/>
      <c r="O295" s="181"/>
      <c r="P295" s="181"/>
      <c r="Q295" s="181"/>
      <c r="R295" s="181"/>
      <c r="S295" s="181"/>
      <c r="T295" s="181"/>
      <c r="U295" s="181"/>
      <c r="V295" s="181"/>
      <c r="W295" s="181"/>
      <c r="X295" s="181"/>
      <c r="Y295" s="184"/>
      <c r="Z295" s="186">
        <f>+Z294*0.522</f>
        <v>36.299488668683772</v>
      </c>
      <c r="AA295" s="186">
        <f t="shared" ref="AA295:AI295" si="37">+AA294*0.5</f>
        <v>60.8097842261202</v>
      </c>
      <c r="AB295" s="186">
        <f t="shared" si="37"/>
        <v>66.009171171324994</v>
      </c>
      <c r="AC295" s="186">
        <f t="shared" si="37"/>
        <v>64.021302652137493</v>
      </c>
      <c r="AD295" s="186">
        <f t="shared" si="37"/>
        <v>75.735966551615803</v>
      </c>
      <c r="AE295" s="186">
        <f t="shared" si="37"/>
        <v>84.608893369962487</v>
      </c>
      <c r="AF295" s="186">
        <f>+AF294*0.5</f>
        <v>67.155839794307909</v>
      </c>
      <c r="AG295" s="186">
        <f>+AG294*0.5</f>
        <v>70.293852431213367</v>
      </c>
      <c r="AH295" s="186">
        <f t="shared" si="37"/>
        <v>75.928747997958297</v>
      </c>
      <c r="AI295" s="186">
        <f t="shared" si="37"/>
        <v>88.281802843365654</v>
      </c>
      <c r="AJ295" s="186"/>
      <c r="AK295" s="186">
        <f>+AK294*0.5</f>
        <v>0</v>
      </c>
      <c r="AL295" s="186">
        <f t="shared" ref="AL295:AM295" si="38">+AL294*0.5</f>
        <v>0</v>
      </c>
      <c r="AM295" s="186">
        <f t="shared" si="38"/>
        <v>0</v>
      </c>
      <c r="AN295" s="186">
        <f t="shared" ref="AN295:AO295" si="39">+AN294*0.5</f>
        <v>0</v>
      </c>
      <c r="AO295" s="186">
        <f t="shared" si="39"/>
        <v>0</v>
      </c>
      <c r="AP295" s="186"/>
      <c r="AQ295" s="186"/>
      <c r="AR295" s="186"/>
      <c r="AS295" s="186"/>
      <c r="AT295" s="186"/>
    </row>
    <row r="296" spans="1:46" hidden="1">
      <c r="D296" s="183" t="str">
        <f>+D291</f>
        <v xml:space="preserve">     July-Dec </v>
      </c>
      <c r="E296" s="181"/>
      <c r="F296" s="181"/>
      <c r="G296" s="181"/>
      <c r="H296" s="181"/>
      <c r="I296" s="181"/>
      <c r="J296" s="181"/>
      <c r="K296" s="181"/>
      <c r="L296" s="181"/>
      <c r="M296" s="181"/>
      <c r="N296" s="181"/>
      <c r="O296" s="181"/>
      <c r="P296" s="181"/>
      <c r="Q296" s="181"/>
      <c r="R296" s="181"/>
      <c r="S296" s="181"/>
      <c r="T296" s="181"/>
      <c r="U296" s="181"/>
      <c r="V296" s="181"/>
      <c r="W296" s="181"/>
      <c r="X296" s="181"/>
      <c r="Y296" s="187">
        <f t="shared" ref="Y296:AK296" si="40">+Z294-Z295</f>
        <v>33.239761654465219</v>
      </c>
      <c r="Z296" s="187">
        <f t="shared" si="40"/>
        <v>60.8097842261202</v>
      </c>
      <c r="AA296" s="187">
        <f t="shared" si="40"/>
        <v>66.009171171324994</v>
      </c>
      <c r="AB296" s="187">
        <f t="shared" si="40"/>
        <v>64.021302652137493</v>
      </c>
      <c r="AC296" s="187">
        <f t="shared" si="40"/>
        <v>75.735966551615803</v>
      </c>
      <c r="AD296" s="187">
        <f t="shared" si="40"/>
        <v>84.608893369962487</v>
      </c>
      <c r="AE296" s="187">
        <f t="shared" si="40"/>
        <v>67.155839794307909</v>
      </c>
      <c r="AF296" s="187">
        <f>+AG294-AG295</f>
        <v>70.293852431213367</v>
      </c>
      <c r="AG296" s="187">
        <f>+AH294-AH295</f>
        <v>75.928747997958297</v>
      </c>
      <c r="AH296" s="187">
        <f t="shared" si="40"/>
        <v>88.281802843365654</v>
      </c>
      <c r="AI296" s="187">
        <f>+AJ294-AJ295</f>
        <v>0</v>
      </c>
      <c r="AJ296" s="187"/>
      <c r="AK296" s="187">
        <f t="shared" si="40"/>
        <v>0</v>
      </c>
      <c r="AL296" s="187">
        <f t="shared" ref="AL296" si="41">+AM294-AM295</f>
        <v>0</v>
      </c>
      <c r="AM296" s="187">
        <f t="shared" ref="AM296" si="42">+AN294-AN295</f>
        <v>0</v>
      </c>
      <c r="AN296" s="187">
        <f t="shared" ref="AN296" si="43">+AO294-AO295</f>
        <v>0</v>
      </c>
      <c r="AO296" s="187" t="e">
        <f>+#REF!-#REF!</f>
        <v>#REF!</v>
      </c>
      <c r="AP296" s="187"/>
      <c r="AQ296" s="187"/>
      <c r="AR296" s="187"/>
      <c r="AS296" s="187"/>
      <c r="AT296" s="187"/>
    </row>
    <row r="297" spans="1:46" hidden="1">
      <c r="C297" s="92" t="s">
        <v>27</v>
      </c>
      <c r="D297" s="188" t="s">
        <v>319</v>
      </c>
      <c r="E297" s="189"/>
      <c r="F297" s="189"/>
      <c r="G297" s="189"/>
      <c r="H297" s="189"/>
      <c r="I297" s="189"/>
      <c r="J297" s="189"/>
      <c r="K297" s="189"/>
      <c r="L297" s="189"/>
      <c r="M297" s="189"/>
      <c r="N297" s="189"/>
      <c r="O297" s="189"/>
      <c r="P297" s="189"/>
      <c r="Q297" s="189"/>
      <c r="R297" s="189"/>
      <c r="S297" s="189"/>
      <c r="T297" s="189"/>
      <c r="U297" s="189"/>
      <c r="V297" s="634" t="str">
        <f t="shared" ref="V297:AK297" si="44">+V283</f>
        <v>2010/11</v>
      </c>
      <c r="W297" s="634" t="str">
        <f t="shared" si="44"/>
        <v>2011/12</v>
      </c>
      <c r="X297" s="634" t="str">
        <f t="shared" si="44"/>
        <v>2012/13</v>
      </c>
      <c r="Y297" s="634" t="str">
        <f t="shared" si="44"/>
        <v>2013/14</v>
      </c>
      <c r="Z297" s="634" t="str">
        <f t="shared" si="44"/>
        <v>2014/15</v>
      </c>
      <c r="AA297" s="634" t="str">
        <f t="shared" si="44"/>
        <v>2015/16</v>
      </c>
      <c r="AB297" s="634" t="str">
        <f t="shared" si="44"/>
        <v>2016/17</v>
      </c>
      <c r="AC297" s="634" t="str">
        <f t="shared" si="44"/>
        <v>2017/18</v>
      </c>
      <c r="AD297" s="634" t="str">
        <f t="shared" si="44"/>
        <v>2018/19</v>
      </c>
      <c r="AE297" s="634" t="str">
        <f t="shared" si="44"/>
        <v>2019/20</v>
      </c>
      <c r="AF297" s="634" t="str">
        <f>+AF283</f>
        <v>2020/21</v>
      </c>
      <c r="AG297" s="634" t="str">
        <f>+AG283</f>
        <v>2021/22</v>
      </c>
      <c r="AH297" s="634" t="str">
        <f t="shared" si="44"/>
        <v>2022/23</v>
      </c>
      <c r="AI297" s="634" t="str">
        <f t="shared" si="44"/>
        <v>2023/24</v>
      </c>
      <c r="AJ297" s="634"/>
      <c r="AK297" s="634" t="str">
        <f t="shared" si="44"/>
        <v>2025/26</v>
      </c>
      <c r="AL297" s="634" t="str">
        <f t="shared" ref="AL297:AM297" si="45">+AL283</f>
        <v>2026/27</v>
      </c>
      <c r="AM297" s="634" t="str">
        <f t="shared" si="45"/>
        <v>2027/28</v>
      </c>
      <c r="AN297" s="634" t="str">
        <f t="shared" ref="AN297:AO297" si="46">+AN283</f>
        <v>2028/29</v>
      </c>
      <c r="AO297" s="634" t="str">
        <f t="shared" si="46"/>
        <v>2029/30</v>
      </c>
      <c r="AP297" s="634"/>
      <c r="AQ297" s="634"/>
      <c r="AR297" s="634"/>
      <c r="AS297" s="634"/>
      <c r="AT297" s="634"/>
    </row>
    <row r="298" spans="1:46" hidden="1">
      <c r="D298" s="190" t="s">
        <v>245</v>
      </c>
      <c r="E298" s="191" t="s">
        <v>225</v>
      </c>
      <c r="F298" s="175"/>
      <c r="G298" s="175"/>
      <c r="H298" s="175"/>
      <c r="I298" s="175"/>
      <c r="J298" s="175"/>
      <c r="K298" s="175"/>
      <c r="L298" s="175"/>
      <c r="M298" s="175"/>
      <c r="N298" s="175"/>
      <c r="O298" s="175"/>
      <c r="P298" s="175"/>
      <c r="Q298" s="175"/>
      <c r="R298" s="175"/>
      <c r="S298" s="175"/>
      <c r="T298" s="175"/>
      <c r="U298" s="175"/>
      <c r="V298" s="179">
        <f t="shared" ref="V298:AI298" si="47">+V676/V$284</f>
        <v>4.6967153985977665E-2</v>
      </c>
      <c r="W298" s="179">
        <f t="shared" si="47"/>
        <v>5.1638418079096048E-2</v>
      </c>
      <c r="X298" s="179">
        <f t="shared" si="47"/>
        <v>5.7464945729421353E-2</v>
      </c>
      <c r="Y298" s="179">
        <f t="shared" si="47"/>
        <v>5.828511436612329E-2</v>
      </c>
      <c r="Z298" s="179">
        <f t="shared" si="47"/>
        <v>6.4387317909168809E-2</v>
      </c>
      <c r="AA298" s="179">
        <f t="shared" si="47"/>
        <v>6.198060501926636E-2</v>
      </c>
      <c r="AB298" s="179">
        <f t="shared" si="47"/>
        <v>6.4747511058824439E-2</v>
      </c>
      <c r="AC298" s="179">
        <f t="shared" si="47"/>
        <v>6.72024577586956E-2</v>
      </c>
      <c r="AD298" s="179">
        <f t="shared" si="47"/>
        <v>7.0782680140851109E-2</v>
      </c>
      <c r="AE298" s="179">
        <f t="shared" si="47"/>
        <v>6.6135292557196579E-2</v>
      </c>
      <c r="AF298" s="179">
        <f t="shared" si="47"/>
        <v>6.335253120322637E-2</v>
      </c>
      <c r="AG298" s="179">
        <f t="shared" si="47"/>
        <v>0.33011040727741864</v>
      </c>
      <c r="AH298" s="179">
        <f t="shared" si="47"/>
        <v>0.30629054546466172</v>
      </c>
      <c r="AI298" s="179">
        <f t="shared" si="47"/>
        <v>0.28108513765975618</v>
      </c>
      <c r="AJ298" s="179"/>
      <c r="AK298" s="179">
        <f>+AK676/AK$284</f>
        <v>0</v>
      </c>
      <c r="AL298" s="179">
        <f>+AL676/AL$284</f>
        <v>0</v>
      </c>
      <c r="AM298" s="179">
        <f>+AM676/AM$284</f>
        <v>0</v>
      </c>
      <c r="AN298" s="179">
        <v>0.26100000000000001</v>
      </c>
      <c r="AO298" s="179">
        <v>0.26100000000000001</v>
      </c>
      <c r="AP298" s="179"/>
      <c r="AQ298" s="179"/>
      <c r="AR298" s="179"/>
      <c r="AS298" s="179"/>
      <c r="AT298" s="179"/>
    </row>
    <row r="299" spans="1:46" hidden="1">
      <c r="D299" s="175" t="s">
        <v>219</v>
      </c>
      <c r="E299" s="198" t="s">
        <v>303</v>
      </c>
      <c r="F299" s="175"/>
      <c r="G299" s="175"/>
      <c r="H299" s="175"/>
      <c r="I299" s="175"/>
      <c r="J299" s="175"/>
      <c r="K299" s="175"/>
      <c r="L299" s="175"/>
      <c r="M299" s="175"/>
      <c r="N299" s="175"/>
      <c r="O299" s="175"/>
      <c r="P299" s="175"/>
      <c r="Q299" s="175"/>
      <c r="R299" s="175"/>
      <c r="S299" s="175"/>
      <c r="T299" s="175"/>
      <c r="U299" s="175"/>
      <c r="V299" s="179">
        <f t="shared" ref="V299:AC299" si="48">+(V676-V677)/V$286</f>
        <v>8.5039498801071978E-2</v>
      </c>
      <c r="W299" s="179">
        <f t="shared" si="48"/>
        <v>9.8791586502086082E-2</v>
      </c>
      <c r="X299" s="179">
        <f t="shared" si="48"/>
        <v>0.10990230200222928</v>
      </c>
      <c r="Y299" s="179">
        <f t="shared" si="48"/>
        <v>0.11169994295488191</v>
      </c>
      <c r="Z299" s="179">
        <f t="shared" si="48"/>
        <v>0.11800454624601008</v>
      </c>
      <c r="AA299" s="179">
        <f t="shared" si="48"/>
        <v>0.11910490899801401</v>
      </c>
      <c r="AB299" s="179">
        <f t="shared" si="48"/>
        <v>0.13042750181320789</v>
      </c>
      <c r="AC299" s="179">
        <f t="shared" si="48"/>
        <v>0.14014077611452039</v>
      </c>
      <c r="AD299" s="179">
        <f t="shared" ref="AD299:AK299" si="49">+AC299*AD300</f>
        <v>0.13634296108181687</v>
      </c>
      <c r="AE299" s="179">
        <f t="shared" si="49"/>
        <v>0.12055444618854247</v>
      </c>
      <c r="AF299" s="179">
        <f>+AE299*AF300</f>
        <v>0.22714868750845174</v>
      </c>
      <c r="AG299" s="179">
        <f>+AF299*AG300</f>
        <v>0.65514224451187653</v>
      </c>
      <c r="AH299" s="179">
        <f t="shared" si="49"/>
        <v>0.66778648983095579</v>
      </c>
      <c r="AI299" s="179">
        <f t="shared" si="49"/>
        <v>0.64574953566653426</v>
      </c>
      <c r="AJ299" s="179"/>
      <c r="AK299" s="179">
        <f t="shared" si="49"/>
        <v>0</v>
      </c>
      <c r="AL299" s="179">
        <f t="shared" ref="AL299" si="50">+AK299*AL300</f>
        <v>0</v>
      </c>
      <c r="AM299" s="179">
        <f t="shared" ref="AM299" si="51">+AL299*AM300</f>
        <v>0</v>
      </c>
      <c r="AN299" s="179">
        <f t="shared" ref="AN299" si="52">+AM299*AN300</f>
        <v>0</v>
      </c>
      <c r="AO299" s="179">
        <f t="shared" ref="AO299" si="53">+AN299*AO300</f>
        <v>0</v>
      </c>
      <c r="AP299" s="179"/>
      <c r="AQ299" s="179"/>
      <c r="AR299" s="179"/>
      <c r="AS299" s="179"/>
      <c r="AT299" s="179"/>
    </row>
    <row r="300" spans="1:46" s="144" customFormat="1" ht="12" hidden="1">
      <c r="A300" s="143"/>
      <c r="D300" s="178" t="s">
        <v>300</v>
      </c>
      <c r="E300" s="178"/>
      <c r="F300" s="178"/>
      <c r="G300" s="178"/>
      <c r="H300" s="178"/>
      <c r="I300" s="178"/>
      <c r="J300" s="178"/>
      <c r="K300" s="178"/>
      <c r="L300" s="178"/>
      <c r="M300" s="178"/>
      <c r="N300" s="178"/>
      <c r="O300" s="178"/>
      <c r="P300" s="178"/>
      <c r="Q300" s="178"/>
      <c r="R300" s="178"/>
      <c r="S300" s="178"/>
      <c r="T300" s="178"/>
      <c r="U300" s="178"/>
      <c r="V300" s="179"/>
      <c r="W300" s="179"/>
      <c r="X300" s="179"/>
      <c r="Y300" s="179"/>
      <c r="Z300" s="254">
        <f>+Z299/Y299</f>
        <v>1.0564423143320203</v>
      </c>
      <c r="AA300" s="254">
        <f>+AA299/Z299</f>
        <v>1.0093247488084904</v>
      </c>
      <c r="AB300" s="254">
        <f>+AB299/AA299</f>
        <v>1.0950640314529998</v>
      </c>
      <c r="AC300" s="254">
        <f>+AC299/AB299</f>
        <v>1.0744725933279271</v>
      </c>
      <c r="AD300" s="254">
        <v>0.97289999999999999</v>
      </c>
      <c r="AE300" s="254">
        <v>0.88419999999999999</v>
      </c>
      <c r="AF300" s="254">
        <v>1.8842000000000001</v>
      </c>
      <c r="AG300" s="254">
        <v>2.8841999999999999</v>
      </c>
      <c r="AH300" s="254">
        <v>1.0193000000000001</v>
      </c>
      <c r="AI300" s="254">
        <v>0.96699999999999997</v>
      </c>
      <c r="AJ300" s="254"/>
      <c r="AK300" s="254">
        <v>1.07</v>
      </c>
      <c r="AL300" s="254">
        <v>2.0699999999999998</v>
      </c>
      <c r="AM300" s="254">
        <v>3.07</v>
      </c>
      <c r="AN300" s="254">
        <v>4.07</v>
      </c>
      <c r="AO300" s="254">
        <v>5.07</v>
      </c>
      <c r="AP300" s="254"/>
      <c r="AQ300" s="254"/>
      <c r="AR300" s="254"/>
      <c r="AS300" s="254"/>
      <c r="AT300" s="254"/>
    </row>
    <row r="301" spans="1:46" s="144" customFormat="1" ht="14.5" hidden="1">
      <c r="A301" s="143"/>
      <c r="D301" s="175" t="s">
        <v>301</v>
      </c>
      <c r="E301" s="198" t="s">
        <v>303</v>
      </c>
      <c r="F301" s="178"/>
      <c r="G301" s="178"/>
      <c r="H301" s="178"/>
      <c r="I301" s="178"/>
      <c r="J301" s="178"/>
      <c r="K301" s="178"/>
      <c r="L301" s="178"/>
      <c r="M301" s="178"/>
      <c r="N301" s="178"/>
      <c r="O301" s="178"/>
      <c r="P301" s="178"/>
      <c r="Q301" s="178"/>
      <c r="R301" s="178"/>
      <c r="S301" s="178"/>
      <c r="T301" s="178"/>
      <c r="U301" s="178"/>
      <c r="V301" s="179">
        <f t="shared" ref="V301:AC301" si="54">+V677/V284</f>
        <v>0</v>
      </c>
      <c r="W301" s="179">
        <f t="shared" si="54"/>
        <v>0</v>
      </c>
      <c r="X301" s="179">
        <f t="shared" si="54"/>
        <v>0</v>
      </c>
      <c r="Y301" s="179">
        <f t="shared" si="54"/>
        <v>0</v>
      </c>
      <c r="Z301" s="179">
        <f t="shared" si="54"/>
        <v>2.2622107969151668E-3</v>
      </c>
      <c r="AA301" s="179">
        <f t="shared" si="54"/>
        <v>2.0817494868165839E-3</v>
      </c>
      <c r="AB301" s="193">
        <f t="shared" si="54"/>
        <v>2.4109124992561181E-3</v>
      </c>
      <c r="AC301" s="193">
        <f t="shared" si="54"/>
        <v>2.3491909218093785E-3</v>
      </c>
      <c r="AD301" s="193">
        <f t="shared" ref="AD301:AK301" si="55">+AC301*AD302</f>
        <v>4.6936834617751387E-3</v>
      </c>
      <c r="AE301" s="193">
        <f t="shared" si="55"/>
        <v>3.3043531570896975E-3</v>
      </c>
      <c r="AF301" s="193">
        <f>+AE301*AF302</f>
        <v>5.6306177796808443E-3</v>
      </c>
      <c r="AG301" s="193">
        <f>+AF301*AG302</f>
        <v>1.5225190476257004E-2</v>
      </c>
      <c r="AH301" s="193">
        <f t="shared" si="55"/>
        <v>1.3398167619106163E-2</v>
      </c>
      <c r="AI301" s="193">
        <f t="shared" si="55"/>
        <v>1.1790387504813423E-2</v>
      </c>
      <c r="AJ301" s="193"/>
      <c r="AK301" s="193">
        <f t="shared" si="55"/>
        <v>0</v>
      </c>
      <c r="AL301" s="193">
        <f t="shared" ref="AL301" si="56">+AK301*AL302</f>
        <v>0</v>
      </c>
      <c r="AM301" s="193">
        <f t="shared" ref="AM301" si="57">+AL301*AM302</f>
        <v>0</v>
      </c>
      <c r="AN301" s="193">
        <f t="shared" ref="AN301" si="58">+AM301*AN302</f>
        <v>0</v>
      </c>
      <c r="AO301" s="193">
        <f t="shared" ref="AO301" si="59">+AN301*AO302</f>
        <v>0</v>
      </c>
      <c r="AP301" s="193"/>
      <c r="AQ301" s="193"/>
      <c r="AR301" s="193"/>
      <c r="AS301" s="193"/>
      <c r="AT301" s="193"/>
    </row>
    <row r="302" spans="1:46" hidden="1">
      <c r="D302" s="178" t="s">
        <v>302</v>
      </c>
      <c r="E302" s="175"/>
      <c r="F302" s="175"/>
      <c r="G302" s="175"/>
      <c r="H302" s="175"/>
      <c r="I302" s="175"/>
      <c r="J302" s="175"/>
      <c r="K302" s="175"/>
      <c r="L302" s="175"/>
      <c r="M302" s="175"/>
      <c r="N302" s="175"/>
      <c r="O302" s="175"/>
      <c r="P302" s="175"/>
      <c r="Q302" s="175"/>
      <c r="R302" s="175"/>
      <c r="S302" s="175"/>
      <c r="T302" s="175"/>
      <c r="U302" s="175"/>
      <c r="V302" s="194"/>
      <c r="W302" s="175"/>
      <c r="X302" s="175"/>
      <c r="Y302" s="195"/>
      <c r="Z302" s="195"/>
      <c r="AA302" s="195"/>
      <c r="AB302" s="192">
        <f>+AB301/AA301</f>
        <v>1.1581184549457442</v>
      </c>
      <c r="AC302" s="192">
        <f>+AC301/AB301</f>
        <v>0.97439908023796651</v>
      </c>
      <c r="AD302" s="192">
        <v>1.998</v>
      </c>
      <c r="AE302" s="192">
        <v>0.70399999999999996</v>
      </c>
      <c r="AF302" s="192">
        <v>1.704</v>
      </c>
      <c r="AG302" s="192">
        <v>2.7040000000000002</v>
      </c>
      <c r="AH302" s="1048">
        <v>0.88</v>
      </c>
      <c r="AI302" s="1048">
        <f>+AH302</f>
        <v>0.88</v>
      </c>
      <c r="AJ302" s="1048"/>
      <c r="AK302" s="1048">
        <f>+AJ302</f>
        <v>0</v>
      </c>
      <c r="AL302" s="1048">
        <f t="shared" ref="AL302:AM302" si="60">+AK302</f>
        <v>0</v>
      </c>
      <c r="AM302" s="1048">
        <f t="shared" si="60"/>
        <v>0</v>
      </c>
      <c r="AN302" s="1048">
        <f t="shared" ref="AN302" si="61">+AM302</f>
        <v>0</v>
      </c>
      <c r="AO302" s="1048">
        <f t="shared" ref="AO302" si="62">+AN302</f>
        <v>0</v>
      </c>
      <c r="AP302" s="1048"/>
      <c r="AQ302" s="1048"/>
      <c r="AR302" s="1048"/>
      <c r="AS302" s="1048"/>
      <c r="AT302" s="1048"/>
    </row>
    <row r="303" spans="1:46" hidden="1">
      <c r="D303" s="178"/>
      <c r="E303" s="175"/>
      <c r="F303" s="175"/>
      <c r="G303" s="175"/>
      <c r="H303" s="175"/>
      <c r="I303" s="175"/>
      <c r="J303" s="175"/>
      <c r="K303" s="175"/>
      <c r="L303" s="175"/>
      <c r="M303" s="175"/>
      <c r="N303" s="175"/>
      <c r="O303" s="175"/>
      <c r="P303" s="175"/>
      <c r="Q303" s="175"/>
      <c r="R303" s="175"/>
      <c r="S303" s="175"/>
      <c r="T303" s="175"/>
      <c r="U303" s="175"/>
      <c r="V303" s="194"/>
      <c r="W303" s="175"/>
      <c r="X303" s="175"/>
      <c r="Y303" s="195"/>
      <c r="Z303" s="195"/>
      <c r="AA303" s="195"/>
      <c r="AB303" s="196"/>
      <c r="AC303" s="197"/>
      <c r="AD303" s="196"/>
      <c r="AE303" s="196"/>
      <c r="AF303" s="196"/>
      <c r="AG303" s="196"/>
      <c r="AH303" s="195"/>
      <c r="AI303" s="195"/>
      <c r="AJ303" s="195"/>
      <c r="AK303" s="195"/>
      <c r="AL303" s="195"/>
      <c r="AM303" s="195"/>
      <c r="AN303" s="195"/>
      <c r="AO303" s="195"/>
      <c r="AP303" s="195"/>
      <c r="AQ303" s="195"/>
      <c r="AR303" s="195"/>
      <c r="AS303" s="195"/>
      <c r="AT303" s="195"/>
    </row>
    <row r="304" spans="1:46" hidden="1">
      <c r="D304" s="190" t="s">
        <v>321</v>
      </c>
      <c r="E304" s="198" t="s">
        <v>323</v>
      </c>
      <c r="F304" s="175"/>
      <c r="G304" s="175"/>
      <c r="H304" s="175"/>
      <c r="I304" s="175"/>
      <c r="J304" s="175"/>
      <c r="K304" s="175"/>
      <c r="L304" s="175"/>
      <c r="M304" s="175"/>
      <c r="N304" s="175"/>
      <c r="O304" s="175"/>
      <c r="P304" s="175"/>
      <c r="Q304" s="175"/>
      <c r="R304" s="175"/>
      <c r="S304" s="175"/>
      <c r="T304" s="175"/>
      <c r="U304" s="175"/>
      <c r="V304" s="179">
        <f>+V273</f>
        <v>0</v>
      </c>
      <c r="W304" s="179">
        <f>+(V273+W273)/2</f>
        <v>0</v>
      </c>
      <c r="X304" s="179">
        <f>+(W273+X273)/2</f>
        <v>0</v>
      </c>
      <c r="Y304" s="179">
        <f>+(X273+Y273)/2</f>
        <v>-4.2746996088694825E-3</v>
      </c>
      <c r="Z304" s="180">
        <f>+Y304</f>
        <v>-4.2746996088694825E-3</v>
      </c>
      <c r="AA304" s="180">
        <f>+Z304</f>
        <v>-4.2746996088694825E-3</v>
      </c>
      <c r="AB304" s="180"/>
      <c r="AC304" s="180"/>
      <c r="AD304" s="180"/>
      <c r="AE304" s="180"/>
      <c r="AF304" s="180"/>
      <c r="AG304" s="180"/>
      <c r="AH304" s="180"/>
      <c r="AI304" s="180"/>
      <c r="AJ304" s="180"/>
      <c r="AK304" s="180"/>
      <c r="AL304" s="180"/>
      <c r="AM304" s="180"/>
      <c r="AN304" s="180"/>
      <c r="AO304" s="180"/>
      <c r="AP304" s="180"/>
      <c r="AQ304" s="180"/>
      <c r="AR304" s="180"/>
      <c r="AS304" s="180"/>
      <c r="AT304" s="180"/>
    </row>
    <row r="305" spans="4:46" hidden="1">
      <c r="D305" s="175" t="s">
        <v>218</v>
      </c>
      <c r="E305" s="198" t="s">
        <v>303</v>
      </c>
      <c r="F305" s="175"/>
      <c r="G305" s="175"/>
      <c r="H305" s="175"/>
      <c r="I305" s="175"/>
      <c r="J305" s="175"/>
      <c r="K305" s="175"/>
      <c r="L305" s="175"/>
      <c r="M305" s="175"/>
      <c r="N305" s="175"/>
      <c r="O305" s="175"/>
      <c r="P305" s="175"/>
      <c r="Q305" s="175"/>
      <c r="R305" s="175"/>
      <c r="S305" s="175"/>
      <c r="T305" s="175"/>
      <c r="U305" s="199"/>
      <c r="V305" s="179">
        <f>+(V679-V682-V683)/V286</f>
        <v>7.0851351157459233E-2</v>
      </c>
      <c r="W305" s="179">
        <f>+(W679-W682-W683)/W286</f>
        <v>7.691061163704363E-2</v>
      </c>
      <c r="X305" s="179">
        <f>+(X679-X682-X683)/X286</f>
        <v>8.0008452260822566E-2</v>
      </c>
      <c r="Y305" s="179">
        <f>+(Y679-Y682-Y683)/Y286</f>
        <v>9.5708301152097913E-2</v>
      </c>
      <c r="Z305" s="179">
        <f>+(Z679-Z682-Z683)/Z286</f>
        <v>9.491286683892379E-2</v>
      </c>
      <c r="AA305" s="179">
        <f>+(AA679-AA682-AA683-AA684)/AA286</f>
        <v>8.6382320819668526E-2</v>
      </c>
      <c r="AB305" s="179">
        <f>+(AB679-AB682-AB683-AB684)/AB286</f>
        <v>9.1546447391134794E-2</v>
      </c>
      <c r="AC305" s="686">
        <f>+AB305*AC306</f>
        <v>9.9181421103555434E-2</v>
      </c>
      <c r="AD305" s="180">
        <f t="shared" ref="AD305:AK305" si="63">+AC305*AD306</f>
        <v>0.10587616702804542</v>
      </c>
      <c r="AE305" s="180">
        <f t="shared" si="63"/>
        <v>8.6701993179266384E-2</v>
      </c>
      <c r="AF305" s="180">
        <f>+AE305*AF306</f>
        <v>0.15770225539376762</v>
      </c>
      <c r="AG305" s="180">
        <f>+AF305*AG306</f>
        <v>0.44454688772949158</v>
      </c>
      <c r="AH305" s="180">
        <f t="shared" si="63"/>
        <v>0.51567438976621016</v>
      </c>
      <c r="AI305" s="180">
        <f t="shared" si="63"/>
        <v>0.51490087818156083</v>
      </c>
      <c r="AJ305" s="180"/>
      <c r="AK305" s="180">
        <f t="shared" si="63"/>
        <v>0</v>
      </c>
      <c r="AL305" s="180">
        <f t="shared" ref="AL305" si="64">+AK305*AL306</f>
        <v>0</v>
      </c>
      <c r="AM305" s="180">
        <f t="shared" ref="AM305" si="65">+AL305*AM306</f>
        <v>0</v>
      </c>
      <c r="AN305" s="180">
        <f t="shared" ref="AN305" si="66">+AM305*AN306</f>
        <v>0</v>
      </c>
      <c r="AO305" s="180">
        <f t="shared" ref="AO305" si="67">+AN305*AO306</f>
        <v>0</v>
      </c>
      <c r="AP305" s="180"/>
      <c r="AQ305" s="180"/>
      <c r="AR305" s="180"/>
      <c r="AS305" s="180"/>
      <c r="AT305" s="180"/>
    </row>
    <row r="306" spans="4:46" hidden="1">
      <c r="D306" s="178" t="s">
        <v>277</v>
      </c>
      <c r="E306" s="198" t="s">
        <v>280</v>
      </c>
      <c r="F306" s="175"/>
      <c r="G306" s="175"/>
      <c r="H306" s="175"/>
      <c r="I306" s="175"/>
      <c r="J306" s="175"/>
      <c r="K306" s="175"/>
      <c r="L306" s="175"/>
      <c r="M306" s="175"/>
      <c r="N306" s="175"/>
      <c r="O306" s="175"/>
      <c r="P306" s="175"/>
      <c r="Q306" s="175"/>
      <c r="R306" s="175"/>
      <c r="S306" s="175"/>
      <c r="T306" s="175"/>
      <c r="U306" s="199"/>
      <c r="V306" s="192" t="e">
        <f t="shared" ref="V306:AA306" si="68">+V305/U305</f>
        <v>#DIV/0!</v>
      </c>
      <c r="W306" s="192">
        <f t="shared" si="68"/>
        <v>1.0855207470372494</v>
      </c>
      <c r="X306" s="192">
        <f t="shared" si="68"/>
        <v>1.0402784551811688</v>
      </c>
      <c r="Y306" s="192">
        <f t="shared" si="68"/>
        <v>1.1962273790785856</v>
      </c>
      <c r="Z306" s="192">
        <f t="shared" si="68"/>
        <v>0.99168897260113276</v>
      </c>
      <c r="AA306" s="192">
        <f t="shared" si="68"/>
        <v>0.91012234375206036</v>
      </c>
      <c r="AB306" s="192">
        <f>+AB305/AA305</f>
        <v>1.0597822161116379</v>
      </c>
      <c r="AC306" s="988">
        <v>1.0833999999999999</v>
      </c>
      <c r="AD306" s="192">
        <v>1.0674999999999999</v>
      </c>
      <c r="AE306" s="988">
        <v>0.81889999999999996</v>
      </c>
      <c r="AF306" s="988">
        <v>1.8189</v>
      </c>
      <c r="AG306" s="988">
        <v>2.8189000000000002</v>
      </c>
      <c r="AH306" s="1048">
        <v>1.1599999999999999</v>
      </c>
      <c r="AI306" s="1048">
        <v>0.99850000000000005</v>
      </c>
      <c r="AJ306" s="1048"/>
      <c r="AK306" s="1048">
        <v>1.1000000000000001</v>
      </c>
      <c r="AL306" s="1048">
        <v>2.1</v>
      </c>
      <c r="AM306" s="1048">
        <v>3.1</v>
      </c>
      <c r="AN306" s="1048">
        <v>4.0999999999999996</v>
      </c>
      <c r="AO306" s="1048">
        <v>5.0999999999999996</v>
      </c>
      <c r="AP306" s="1048"/>
      <c r="AQ306" s="1048"/>
      <c r="AR306" s="1048"/>
      <c r="AS306" s="1048"/>
      <c r="AT306" s="1048"/>
    </row>
    <row r="307" spans="4:46" hidden="1">
      <c r="D307" s="175" t="s">
        <v>316</v>
      </c>
      <c r="E307" s="191" t="s">
        <v>225</v>
      </c>
      <c r="F307" s="175"/>
      <c r="G307" s="175"/>
      <c r="H307" s="175"/>
      <c r="I307" s="175"/>
      <c r="J307" s="175"/>
      <c r="K307" s="175"/>
      <c r="L307" s="175"/>
      <c r="M307" s="175"/>
      <c r="N307" s="175"/>
      <c r="O307" s="175"/>
      <c r="P307" s="175"/>
      <c r="Q307" s="175"/>
      <c r="R307" s="175"/>
      <c r="S307" s="175"/>
      <c r="T307" s="175"/>
      <c r="U307" s="199"/>
      <c r="V307" s="179">
        <f t="shared" ref="V307:AI307" si="69">+(V679-V682-V683)/V$284</f>
        <v>3.91310669376266E-2</v>
      </c>
      <c r="W307" s="179">
        <f t="shared" si="69"/>
        <v>4.0201220155005657E-2</v>
      </c>
      <c r="X307" s="179">
        <f t="shared" si="69"/>
        <v>4.1834259003691372E-2</v>
      </c>
      <c r="Y307" s="179">
        <f t="shared" si="69"/>
        <v>4.9940663628544768E-2</v>
      </c>
      <c r="Z307" s="179">
        <f t="shared" si="69"/>
        <v>4.9968176704027423E-2</v>
      </c>
      <c r="AA307" s="179">
        <f t="shared" si="69"/>
        <v>5.0455986384972278E-2</v>
      </c>
      <c r="AB307" s="179">
        <f t="shared" si="69"/>
        <v>5.1330296971180522E-2</v>
      </c>
      <c r="AC307" s="179">
        <f t="shared" si="69"/>
        <v>5.3411880669873651E-2</v>
      </c>
      <c r="AD307" s="179">
        <f t="shared" si="69"/>
        <v>5.5234405311743028E-2</v>
      </c>
      <c r="AE307" s="179">
        <f t="shared" si="69"/>
        <v>5.1804995307921903E-2</v>
      </c>
      <c r="AF307" s="179">
        <f t="shared" si="69"/>
        <v>4.9033902576715291E-2</v>
      </c>
      <c r="AG307" s="179">
        <f t="shared" si="69"/>
        <v>0.12992231633633597</v>
      </c>
      <c r="AH307" s="179">
        <f t="shared" si="69"/>
        <v>0.23477596685966637</v>
      </c>
      <c r="AI307" s="179">
        <f t="shared" si="69"/>
        <v>0.22242868496119822</v>
      </c>
      <c r="AJ307" s="179"/>
      <c r="AK307" s="179">
        <f>+(AK679-AK682-AK683)/AK$284</f>
        <v>0</v>
      </c>
      <c r="AL307" s="179">
        <f>+(AL679-AL682-AL683)/AL$284</f>
        <v>0</v>
      </c>
      <c r="AM307" s="179">
        <f>+(AM679-AM682-AM683)/AM$284</f>
        <v>0</v>
      </c>
      <c r="AN307" s="179">
        <v>0.28100000000000003</v>
      </c>
      <c r="AO307" s="179">
        <v>0.28100000000000003</v>
      </c>
      <c r="AP307" s="179"/>
      <c r="AQ307" s="179"/>
      <c r="AR307" s="179"/>
      <c r="AS307" s="179"/>
      <c r="AT307" s="179"/>
    </row>
    <row r="308" spans="4:46" hidden="1">
      <c r="D308" s="175" t="s">
        <v>322</v>
      </c>
      <c r="E308" s="191" t="s">
        <v>317</v>
      </c>
      <c r="F308" s="175"/>
      <c r="G308" s="175"/>
      <c r="H308" s="175"/>
      <c r="I308" s="175"/>
      <c r="J308" s="175"/>
      <c r="K308" s="175"/>
      <c r="L308" s="175"/>
      <c r="M308" s="175"/>
      <c r="N308" s="175"/>
      <c r="O308" s="175"/>
      <c r="P308" s="175"/>
      <c r="Q308" s="175"/>
      <c r="R308" s="175"/>
      <c r="S308" s="175"/>
      <c r="T308" s="175"/>
      <c r="U308" s="199"/>
      <c r="V308" s="179">
        <f>+(V679-V682-V683)/(V$284-V679-V686-(V717+V744))</f>
        <v>4.448086230482573E-2</v>
      </c>
      <c r="W308" s="179">
        <f>+(W679-W682-W683)/(W$284-W679-W686-(W717+W744))</f>
        <v>4.5818518785808122E-2</v>
      </c>
      <c r="X308" s="179">
        <f>+(X679-X682-X683)/(X$284-X679-X686-(X717+X744))</f>
        <v>4.7976856913643645E-2</v>
      </c>
      <c r="Y308" s="179">
        <f>+(Y679-Y682-Y683)/(Y$284-Y679-Y686-(Y717+Y744))</f>
        <v>5.804998960001341E-2</v>
      </c>
      <c r="Z308" s="179">
        <f>+(Z679-Z682-Z683)/(Z$284-Z679-Z686-(Z717+Z744))</f>
        <v>5.7973794383519302E-2</v>
      </c>
      <c r="AA308" s="179">
        <f t="shared" ref="AA308:AH308" si="70">+(AA679-AA682-AA683-AA684)/(AA$284-AA679-AA686-(AA717+AA744))</f>
        <v>5.0796263882829033E-2</v>
      </c>
      <c r="AB308" s="179">
        <f t="shared" si="70"/>
        <v>5.1336852787969671E-2</v>
      </c>
      <c r="AC308" s="179">
        <f t="shared" si="70"/>
        <v>5.3995812857659344E-2</v>
      </c>
      <c r="AD308" s="179">
        <f t="shared" si="70"/>
        <v>5.6595216620262942E-2</v>
      </c>
      <c r="AE308" s="179">
        <f t="shared" si="70"/>
        <v>5.3225569357891876E-2</v>
      </c>
      <c r="AF308" s="179">
        <f t="shared" si="70"/>
        <v>3.8343274319781732E-2</v>
      </c>
      <c r="AG308" s="179">
        <f t="shared" si="70"/>
        <v>0.33902537602951754</v>
      </c>
      <c r="AH308" s="179">
        <f t="shared" si="70"/>
        <v>0.42379894833876958</v>
      </c>
      <c r="AI308" s="179">
        <f>+(AI679-AI682-AI683)/(AI$284-AI679-AI686-(AI717+AI744))</f>
        <v>0.41809814119619265</v>
      </c>
      <c r="AJ308" s="179"/>
      <c r="AK308" s="179">
        <f>+(AK679-AK682-AK683)/(AK$284-AK679-AK686-(AK717+AK744))</f>
        <v>0</v>
      </c>
      <c r="AL308" s="179">
        <f>+(AL679-AL682-AL683)/(AL$284-AL679-AL686-(AL717+AL744))</f>
        <v>0</v>
      </c>
      <c r="AM308" s="179">
        <f>+(AM679-AM682-AM683)/(AM$284-AM679-AM686-(AM717+AM744))</f>
        <v>0</v>
      </c>
      <c r="AN308" s="179">
        <f>+(AN679-AN682-AN683)/(AN$284-AN679-AN686-(AN717+AN744))</f>
        <v>0</v>
      </c>
      <c r="AO308" s="179">
        <f>+(AO679-AO682-AO683)/(AO$284-AO679-AO686-(AO717+AO744))</f>
        <v>0</v>
      </c>
      <c r="AP308" s="179"/>
      <c r="AQ308" s="179"/>
      <c r="AR308" s="179"/>
      <c r="AS308" s="179"/>
      <c r="AT308" s="179"/>
    </row>
    <row r="309" spans="4:46" hidden="1">
      <c r="D309" s="175"/>
      <c r="E309" s="253" t="s">
        <v>320</v>
      </c>
      <c r="F309" s="200"/>
      <c r="G309" s="200"/>
      <c r="H309" s="200"/>
      <c r="I309" s="200"/>
      <c r="J309" s="200"/>
      <c r="K309" s="200"/>
      <c r="L309" s="200"/>
      <c r="M309" s="200"/>
      <c r="N309" s="200"/>
      <c r="O309" s="200"/>
      <c r="P309" s="200"/>
      <c r="Q309" s="200"/>
      <c r="R309" s="200"/>
      <c r="S309" s="200"/>
      <c r="T309" s="200"/>
      <c r="U309" s="200"/>
      <c r="V309" s="180"/>
      <c r="W309" s="180"/>
      <c r="X309" s="180"/>
      <c r="Y309" s="180"/>
      <c r="Z309" s="201"/>
      <c r="AA309" s="201"/>
      <c r="AB309" s="195"/>
      <c r="AC309" s="202"/>
      <c r="AD309" s="175"/>
      <c r="AE309" s="175"/>
      <c r="AF309" s="175"/>
      <c r="AG309" s="175"/>
      <c r="AH309" s="201"/>
      <c r="AI309" s="201"/>
      <c r="AJ309" s="201"/>
      <c r="AK309" s="201"/>
      <c r="AL309" s="201"/>
      <c r="AM309" s="201"/>
      <c r="AN309" s="201"/>
      <c r="AO309" s="201"/>
      <c r="AP309" s="201"/>
      <c r="AQ309" s="201"/>
      <c r="AR309" s="201"/>
      <c r="AS309" s="201"/>
      <c r="AT309" s="201"/>
    </row>
    <row r="310" spans="4:46" hidden="1">
      <c r="D310" s="190" t="str">
        <f>+D277</f>
        <v>effective excise tax rate (incl. any VAT) on energy goods imports cif</v>
      </c>
      <c r="E310" s="198" t="s">
        <v>246</v>
      </c>
      <c r="F310" s="175"/>
      <c r="G310" s="175"/>
      <c r="H310" s="175"/>
      <c r="I310" s="175"/>
      <c r="J310" s="175"/>
      <c r="K310" s="175"/>
      <c r="L310" s="175"/>
      <c r="M310" s="175"/>
      <c r="N310" s="175"/>
      <c r="O310" s="175"/>
      <c r="P310" s="175"/>
      <c r="Q310" s="175"/>
      <c r="R310" s="175"/>
      <c r="S310" s="175"/>
      <c r="T310" s="175"/>
      <c r="U310" s="175"/>
      <c r="V310" s="179">
        <f>+V277</f>
        <v>0</v>
      </c>
      <c r="W310" s="179">
        <f>+(V277+W277)/2</f>
        <v>0</v>
      </c>
      <c r="X310" s="179">
        <f>+(W277+X277)/2</f>
        <v>0</v>
      </c>
      <c r="Y310" s="179">
        <f>+(X277+Y277)/2</f>
        <v>0</v>
      </c>
      <c r="Z310" s="203">
        <f t="shared" ref="Z310:AK310" si="71">+Z318/Z311</f>
        <v>0.33747785458908464</v>
      </c>
      <c r="AA310" s="180">
        <f t="shared" si="71"/>
        <v>0.30433128967409773</v>
      </c>
      <c r="AB310" s="180">
        <f t="shared" si="71"/>
        <v>0.24097958441907286</v>
      </c>
      <c r="AC310" s="180">
        <f t="shared" si="71"/>
        <v>0.21913678956602223</v>
      </c>
      <c r="AD310" s="180">
        <f t="shared" si="71"/>
        <v>0.21897154268236627</v>
      </c>
      <c r="AE310" s="180">
        <f t="shared" si="71"/>
        <v>0.25897105068829662</v>
      </c>
      <c r="AF310" s="180">
        <f>+AF318/AF311</f>
        <v>0.28446536523697097</v>
      </c>
      <c r="AG310" s="180">
        <f>+AG318/AG311</f>
        <v>0.20300477597478753</v>
      </c>
      <c r="AH310" s="180">
        <f t="shared" si="71"/>
        <v>0.15961024201930862</v>
      </c>
      <c r="AI310" s="180">
        <f t="shared" si="71"/>
        <v>0.14521408065018465</v>
      </c>
      <c r="AJ310" s="203"/>
      <c r="AK310" s="203">
        <f t="shared" si="71"/>
        <v>7.6987848943525797E-2</v>
      </c>
      <c r="AL310" s="203">
        <f t="shared" ref="AL310:AM310" si="72">+AL318/AL311</f>
        <v>7.4750705404021844E-2</v>
      </c>
      <c r="AM310" s="203">
        <f t="shared" si="72"/>
        <v>7.1424306000058307E-2</v>
      </c>
      <c r="AN310" s="203">
        <f>+AN318/AN311</f>
        <v>6.8423662377067568E-2</v>
      </c>
      <c r="AO310" s="203">
        <f t="shared" ref="AO310" si="73">+AO318/AO311</f>
        <v>6.6212871519930772E-2</v>
      </c>
      <c r="AP310" s="203"/>
      <c r="AQ310" s="203"/>
      <c r="AR310" s="203"/>
      <c r="AS310" s="203"/>
      <c r="AT310" s="203"/>
    </row>
    <row r="311" spans="4:46" hidden="1">
      <c r="D311" s="175" t="s">
        <v>255</v>
      </c>
      <c r="E311" s="191"/>
      <c r="F311" s="175"/>
      <c r="G311" s="175"/>
      <c r="H311" s="175"/>
      <c r="I311" s="175"/>
      <c r="J311" s="175"/>
      <c r="K311" s="175"/>
      <c r="L311" s="175"/>
      <c r="M311" s="175"/>
      <c r="N311" s="175"/>
      <c r="O311" s="175"/>
      <c r="P311" s="175"/>
      <c r="Q311" s="175"/>
      <c r="R311" s="175"/>
      <c r="S311" s="175"/>
      <c r="T311" s="175"/>
      <c r="U311" s="175"/>
      <c r="V311" s="179"/>
      <c r="W311" s="176">
        <f t="shared" ref="W311:AK311" si="74">+(V241+W241)*W253/1000/2</f>
        <v>477.62860552147293</v>
      </c>
      <c r="X311" s="176">
        <f t="shared" si="74"/>
        <v>531.25490570195416</v>
      </c>
      <c r="Y311" s="176">
        <f t="shared" si="74"/>
        <v>601.03492691557801</v>
      </c>
      <c r="Z311" s="176">
        <f t="shared" si="74"/>
        <v>661.67237336833659</v>
      </c>
      <c r="AA311" s="176">
        <f t="shared" si="74"/>
        <v>456.50581088264295</v>
      </c>
      <c r="AB311" s="176">
        <f t="shared" si="74"/>
        <v>291.81879962694262</v>
      </c>
      <c r="AC311" s="176">
        <f t="shared" si="74"/>
        <v>444.04551553558412</v>
      </c>
      <c r="AD311" s="176">
        <f t="shared" si="74"/>
        <v>477.24668172793531</v>
      </c>
      <c r="AE311" s="176">
        <f t="shared" si="74"/>
        <v>401.05477030245817</v>
      </c>
      <c r="AF311" s="176">
        <f>+(AE241+AF241)*AF253/1000/2</f>
        <v>361.79865791233902</v>
      </c>
      <c r="AG311" s="176">
        <f>+(AF241+AG241)*AG253/1000/2</f>
        <v>584.80688578581601</v>
      </c>
      <c r="AH311" s="176">
        <f t="shared" si="74"/>
        <v>780.00173322881108</v>
      </c>
      <c r="AI311" s="176">
        <f t="shared" si="74"/>
        <v>892.49332461781717</v>
      </c>
      <c r="AJ311" s="176"/>
      <c r="AK311" s="176">
        <f t="shared" si="74"/>
        <v>1014.6349484910032</v>
      </c>
      <c r="AL311" s="176">
        <f t="shared" ref="AL311" si="75">+(AK241+AL241)*AL253/1000/2</f>
        <v>1081.853523602106</v>
      </c>
      <c r="AM311" s="176">
        <f t="shared" ref="AM311" si="76">+(AL241+AM241)*AM253/1000/2</f>
        <v>1174.6501350045423</v>
      </c>
      <c r="AN311" s="176">
        <f t="shared" ref="AN311" si="77">+(AM241+AN241)*AN253/1000/2</f>
        <v>1270.165082739825</v>
      </c>
      <c r="AO311" s="176">
        <f t="shared" ref="AO311" si="78">+(AN241+AO241)*AO253/1000/2</f>
        <v>1364.6714816461865</v>
      </c>
      <c r="AP311" s="176"/>
      <c r="AQ311" s="176"/>
      <c r="AR311" s="176"/>
      <c r="AS311" s="176"/>
      <c r="AT311" s="176"/>
    </row>
    <row r="312" spans="4:46" hidden="1">
      <c r="D312" s="175" t="s">
        <v>281</v>
      </c>
      <c r="E312" s="204" t="s">
        <v>253</v>
      </c>
      <c r="F312" s="175"/>
      <c r="G312" s="175"/>
      <c r="H312" s="175"/>
      <c r="I312" s="175"/>
      <c r="J312" s="175"/>
      <c r="K312" s="175"/>
      <c r="L312" s="175"/>
      <c r="M312" s="175"/>
      <c r="N312" s="175"/>
      <c r="O312" s="175"/>
      <c r="P312" s="175"/>
      <c r="Q312" s="175"/>
      <c r="R312" s="175"/>
      <c r="S312" s="175"/>
      <c r="T312" s="175"/>
      <c r="U312" s="175"/>
      <c r="V312" s="179"/>
      <c r="W312" s="205">
        <v>183</v>
      </c>
      <c r="X312" s="205">
        <v>183</v>
      </c>
      <c r="Y312" s="205">
        <v>183</v>
      </c>
      <c r="Z312" s="205">
        <v>183</v>
      </c>
      <c r="AA312" s="205">
        <v>183</v>
      </c>
      <c r="AB312" s="205">
        <v>183</v>
      </c>
      <c r="AC312" s="205">
        <v>183</v>
      </c>
      <c r="AD312" s="205">
        <v>183</v>
      </c>
      <c r="AE312" s="205">
        <v>183</v>
      </c>
      <c r="AF312" s="205">
        <v>184</v>
      </c>
      <c r="AG312" s="205">
        <v>185</v>
      </c>
      <c r="AH312" s="205">
        <v>183</v>
      </c>
      <c r="AI312" s="205">
        <v>183</v>
      </c>
      <c r="AJ312" s="205"/>
      <c r="AK312" s="205">
        <v>183</v>
      </c>
      <c r="AL312" s="205">
        <v>184</v>
      </c>
      <c r="AM312" s="205">
        <v>185</v>
      </c>
      <c r="AN312" s="205">
        <v>186</v>
      </c>
      <c r="AO312" s="205">
        <v>187</v>
      </c>
      <c r="AP312" s="205"/>
      <c r="AQ312" s="205"/>
      <c r="AR312" s="205"/>
      <c r="AS312" s="205"/>
      <c r="AT312" s="205"/>
    </row>
    <row r="313" spans="4:46" hidden="1">
      <c r="D313" s="175" t="s">
        <v>248</v>
      </c>
      <c r="E313" s="206">
        <v>0.76439999999999997</v>
      </c>
      <c r="F313" s="175"/>
      <c r="G313" s="175"/>
      <c r="H313" s="175"/>
      <c r="I313" s="175"/>
      <c r="J313" s="175"/>
      <c r="K313" s="175"/>
      <c r="L313" s="175"/>
      <c r="M313" s="175"/>
      <c r="N313" s="175"/>
      <c r="O313" s="175"/>
      <c r="P313" s="175"/>
      <c r="Q313" s="175"/>
      <c r="R313" s="175"/>
      <c r="S313" s="175"/>
      <c r="T313" s="175"/>
      <c r="U313" s="175"/>
      <c r="V313" s="179"/>
      <c r="W313" s="207">
        <f t="shared" ref="W313:AK313" si="79">+((V244+W244)/2)/$E313/1000</f>
        <v>533.12109694015203</v>
      </c>
      <c r="X313" s="207">
        <f t="shared" si="79"/>
        <v>571.45604125896682</v>
      </c>
      <c r="Y313" s="207">
        <f t="shared" si="79"/>
        <v>611.81042862655534</v>
      </c>
      <c r="Z313" s="207">
        <f t="shared" si="79"/>
        <v>654.69330877128334</v>
      </c>
      <c r="AA313" s="207">
        <f t="shared" si="79"/>
        <v>401.37545771896566</v>
      </c>
      <c r="AB313" s="207">
        <f t="shared" si="79"/>
        <v>201.97694145081107</v>
      </c>
      <c r="AC313" s="207">
        <f t="shared" si="79"/>
        <v>293.43021148613286</v>
      </c>
      <c r="AD313" s="207">
        <f t="shared" si="79"/>
        <v>314.25447728937729</v>
      </c>
      <c r="AE313" s="207">
        <f t="shared" si="79"/>
        <v>303.38365573652538</v>
      </c>
      <c r="AF313" s="207">
        <f>+((AE244+AF244)/2)/$E313/1000</f>
        <v>302.73660657378338</v>
      </c>
      <c r="AG313" s="207">
        <f>+((AF244+AG244)/2)/$E313/1000</f>
        <v>345.04043173076934</v>
      </c>
      <c r="AH313" s="207">
        <f t="shared" si="79"/>
        <v>353.13941922422816</v>
      </c>
      <c r="AI313" s="207">
        <f t="shared" si="79"/>
        <v>373.59557123888021</v>
      </c>
      <c r="AJ313" s="207"/>
      <c r="AK313" s="207">
        <f t="shared" si="79"/>
        <v>426.85553085927569</v>
      </c>
      <c r="AL313" s="207">
        <f t="shared" ref="AL313" si="80">+((AK244+AL244)/2)/$E313/1000</f>
        <v>439.50714148415221</v>
      </c>
      <c r="AM313" s="207">
        <f t="shared" ref="AM313" si="81">+((AL244+AM244)/2)/$E313/1000</f>
        <v>453.50578748959043</v>
      </c>
      <c r="AN313" s="207">
        <f t="shared" ref="AN313" si="82">+((AM244+AN244)/2)/$E313/1000</f>
        <v>467.25455260499933</v>
      </c>
      <c r="AO313" s="207">
        <f t="shared" ref="AO313" si="83">+((AN244+AO244)/2)/$E313/1000</f>
        <v>483.20223251953217</v>
      </c>
      <c r="AP313" s="207"/>
      <c r="AQ313" s="207"/>
      <c r="AR313" s="207"/>
      <c r="AS313" s="207"/>
      <c r="AT313" s="207"/>
    </row>
    <row r="314" spans="4:46" hidden="1">
      <c r="D314" s="175" t="s">
        <v>282</v>
      </c>
      <c r="E314" s="206"/>
      <c r="F314" s="175"/>
      <c r="G314" s="175"/>
      <c r="H314" s="175"/>
      <c r="I314" s="175"/>
      <c r="J314" s="175"/>
      <c r="K314" s="175"/>
      <c r="L314" s="175"/>
      <c r="M314" s="175"/>
      <c r="N314" s="175"/>
      <c r="O314" s="175"/>
      <c r="P314" s="175"/>
      <c r="Q314" s="175"/>
      <c r="R314" s="175"/>
      <c r="S314" s="175"/>
      <c r="T314" s="175"/>
      <c r="U314" s="175"/>
      <c r="V314" s="179"/>
      <c r="W314" s="205">
        <v>150</v>
      </c>
      <c r="X314" s="205">
        <v>150</v>
      </c>
      <c r="Y314" s="205">
        <v>150</v>
      </c>
      <c r="Z314" s="205">
        <v>150</v>
      </c>
      <c r="AA314" s="205">
        <v>150</v>
      </c>
      <c r="AB314" s="205">
        <f t="shared" ref="AB314:AK314" si="84">+AA314</f>
        <v>150</v>
      </c>
      <c r="AC314" s="205">
        <f t="shared" si="84"/>
        <v>150</v>
      </c>
      <c r="AD314" s="205">
        <f t="shared" si="84"/>
        <v>150</v>
      </c>
      <c r="AE314" s="205">
        <f t="shared" si="84"/>
        <v>150</v>
      </c>
      <c r="AF314" s="205">
        <f>+AE314</f>
        <v>150</v>
      </c>
      <c r="AG314" s="205">
        <f>+AF314</f>
        <v>150</v>
      </c>
      <c r="AH314" s="205">
        <f t="shared" si="84"/>
        <v>150</v>
      </c>
      <c r="AI314" s="205">
        <f t="shared" si="84"/>
        <v>150</v>
      </c>
      <c r="AJ314" s="205"/>
      <c r="AK314" s="205">
        <f t="shared" si="84"/>
        <v>0</v>
      </c>
      <c r="AL314" s="205">
        <f t="shared" ref="AL314" si="85">+AK314</f>
        <v>0</v>
      </c>
      <c r="AM314" s="205">
        <f t="shared" ref="AM314" si="86">+AL314</f>
        <v>0</v>
      </c>
      <c r="AN314" s="205">
        <f t="shared" ref="AN314" si="87">+AM314</f>
        <v>0</v>
      </c>
      <c r="AO314" s="205">
        <f t="shared" ref="AO314" si="88">+AN314</f>
        <v>0</v>
      </c>
      <c r="AP314" s="205"/>
      <c r="AQ314" s="205"/>
      <c r="AR314" s="205"/>
      <c r="AS314" s="205"/>
      <c r="AT314" s="205"/>
    </row>
    <row r="315" spans="4:46" hidden="1">
      <c r="D315" s="175" t="s">
        <v>249</v>
      </c>
      <c r="E315" s="206">
        <v>0.87229999999999996</v>
      </c>
      <c r="F315" s="175"/>
      <c r="G315" s="175"/>
      <c r="H315" s="175"/>
      <c r="I315" s="175"/>
      <c r="J315" s="175"/>
      <c r="K315" s="175"/>
      <c r="L315" s="175"/>
      <c r="M315" s="175"/>
      <c r="N315" s="175"/>
      <c r="O315" s="175"/>
      <c r="P315" s="175"/>
      <c r="Q315" s="175"/>
      <c r="R315" s="175"/>
      <c r="S315" s="175"/>
      <c r="T315" s="175"/>
      <c r="U315" s="175"/>
      <c r="V315" s="179"/>
      <c r="W315" s="207">
        <f t="shared" ref="W315:AK315" si="89">+((V245+W245)/2)/$E315/1000</f>
        <v>561.82215458110966</v>
      </c>
      <c r="X315" s="207">
        <f t="shared" si="89"/>
        <v>602.22089538607372</v>
      </c>
      <c r="Y315" s="207">
        <f t="shared" si="89"/>
        <v>644.74779778739526</v>
      </c>
      <c r="Z315" s="207">
        <f t="shared" si="89"/>
        <v>689.93931666712774</v>
      </c>
      <c r="AA315" s="207">
        <f t="shared" si="89"/>
        <v>436.51528938042503</v>
      </c>
      <c r="AB315" s="207">
        <f t="shared" si="89"/>
        <v>222.40395182849934</v>
      </c>
      <c r="AC315" s="207">
        <f t="shared" si="89"/>
        <v>290.72653329129884</v>
      </c>
      <c r="AD315" s="207">
        <f t="shared" si="89"/>
        <v>313.29915196033477</v>
      </c>
      <c r="AE315" s="207">
        <f t="shared" si="89"/>
        <v>322.28244165997938</v>
      </c>
      <c r="AF315" s="207">
        <f>+((AE245+AF245)/2)/$E315/1000</f>
        <v>314.7710117046887</v>
      </c>
      <c r="AG315" s="207">
        <f>+((AF245+AG245)/2)/$E315/1000</f>
        <v>365.90740644846949</v>
      </c>
      <c r="AH315" s="207">
        <f t="shared" si="89"/>
        <v>399.14501132064663</v>
      </c>
      <c r="AI315" s="207">
        <f t="shared" si="89"/>
        <v>408.23072056058703</v>
      </c>
      <c r="AJ315" s="207"/>
      <c r="AK315" s="207">
        <f t="shared" si="89"/>
        <v>449.83568539802764</v>
      </c>
      <c r="AL315" s="207">
        <f t="shared" ref="AL315" si="90">+((AK245+AL245)/2)/$E315/1000</f>
        <v>463.16840695225903</v>
      </c>
      <c r="AM315" s="207">
        <f t="shared" ref="AM315" si="91">+((AL245+AM245)/2)/$E315/1000</f>
        <v>477.92068275813727</v>
      </c>
      <c r="AN315" s="207">
        <f t="shared" ref="AN315" si="92">+((AM245+AN245)/2)/$E315/1000</f>
        <v>492.40962510970178</v>
      </c>
      <c r="AO315" s="207">
        <f t="shared" ref="AO315" si="93">+((AN245+AO245)/2)/$E315/1000</f>
        <v>509.21586283238281</v>
      </c>
      <c r="AP315" s="207"/>
      <c r="AQ315" s="207"/>
      <c r="AR315" s="207"/>
      <c r="AS315" s="207"/>
      <c r="AT315" s="207"/>
    </row>
    <row r="316" spans="4:46" hidden="1">
      <c r="D316" s="175" t="s">
        <v>800</v>
      </c>
      <c r="E316" s="206"/>
      <c r="F316" s="175"/>
      <c r="G316" s="175"/>
      <c r="H316" s="175"/>
      <c r="I316" s="175"/>
      <c r="J316" s="175"/>
      <c r="K316" s="175"/>
      <c r="L316" s="175"/>
      <c r="M316" s="175"/>
      <c r="N316" s="175"/>
      <c r="O316" s="175"/>
      <c r="P316" s="175"/>
      <c r="Q316" s="175"/>
      <c r="R316" s="175"/>
      <c r="S316" s="175"/>
      <c r="T316" s="175"/>
      <c r="U316" s="175"/>
      <c r="V316" s="179"/>
      <c r="W316" s="179"/>
      <c r="X316" s="179"/>
      <c r="Y316" s="208"/>
      <c r="Z316" s="208"/>
      <c r="AA316" s="208"/>
      <c r="AB316" s="195"/>
      <c r="AC316" s="202"/>
      <c r="AD316" s="209"/>
      <c r="AE316" s="175"/>
      <c r="AF316" s="175"/>
      <c r="AG316" s="175"/>
      <c r="AH316" s="208"/>
      <c r="AI316" s="208"/>
      <c r="AJ316" s="208"/>
      <c r="AK316" s="208"/>
      <c r="AL316" s="208"/>
      <c r="AM316" s="208"/>
      <c r="AN316" s="208"/>
      <c r="AO316" s="208"/>
      <c r="AP316" s="208"/>
      <c r="AQ316" s="208"/>
      <c r="AR316" s="208"/>
      <c r="AS316" s="208"/>
      <c r="AT316" s="208"/>
    </row>
    <row r="317" spans="4:46" hidden="1">
      <c r="D317" s="175" t="s">
        <v>799</v>
      </c>
      <c r="E317" s="206">
        <v>0.81299999999999994</v>
      </c>
      <c r="F317" s="175"/>
      <c r="G317" s="175"/>
      <c r="H317" s="175"/>
      <c r="I317" s="175"/>
      <c r="J317" s="175"/>
      <c r="K317" s="175"/>
      <c r="L317" s="175"/>
      <c r="M317" s="175"/>
      <c r="N317" s="175"/>
      <c r="O317" s="175"/>
      <c r="P317" s="175"/>
      <c r="Q317" s="175"/>
      <c r="R317" s="175"/>
      <c r="S317" s="175"/>
      <c r="T317" s="175"/>
      <c r="U317" s="175"/>
      <c r="V317" s="179"/>
      <c r="W317" s="179"/>
      <c r="X317" s="179"/>
      <c r="Y317" s="208"/>
      <c r="Z317" s="207">
        <f t="shared" ref="Z317:AK317" si="94">+((Y246+Z246)/2)/$E317/1000</f>
        <v>300.84959783977928</v>
      </c>
      <c r="AA317" s="207">
        <f t="shared" si="94"/>
        <v>175.07387115156865</v>
      </c>
      <c r="AB317" s="207">
        <f t="shared" si="94"/>
        <v>143.48897097785976</v>
      </c>
      <c r="AC317" s="207">
        <f t="shared" si="94"/>
        <v>265.96571038130384</v>
      </c>
      <c r="AD317" s="207">
        <f t="shared" si="94"/>
        <v>272.97544938499385</v>
      </c>
      <c r="AE317" s="207">
        <f t="shared" si="94"/>
        <v>213.33490690036905</v>
      </c>
      <c r="AF317" s="207">
        <f>+((AE246+AF246)/2)/$E317/1000</f>
        <v>153.34112197416974</v>
      </c>
      <c r="AG317" s="207">
        <f>+((AF246+AG246)/2)/$E317/1000</f>
        <v>158.73863527675277</v>
      </c>
      <c r="AH317" s="207">
        <f t="shared" si="94"/>
        <v>177.33721372078725</v>
      </c>
      <c r="AI317" s="207">
        <f t="shared" si="94"/>
        <v>184.34249480319809</v>
      </c>
      <c r="AJ317" s="207"/>
      <c r="AK317" s="207">
        <f t="shared" si="94"/>
        <v>196.15186694929525</v>
      </c>
      <c r="AL317" s="207">
        <f t="shared" ref="AL317" si="95">+((AK246+AL246)/2)/$E317/1000</f>
        <v>201.9656303061609</v>
      </c>
      <c r="AM317" s="207">
        <f t="shared" ref="AM317" si="96">+((AL246+AM246)/2)/$E317/1000</f>
        <v>208.39839350171201</v>
      </c>
      <c r="AN317" s="207">
        <f t="shared" ref="AN317" si="97">+((AM246+AN246)/2)/$E317/1000</f>
        <v>214.71632954954995</v>
      </c>
      <c r="AO317" s="207">
        <f t="shared" ref="AO317" si="98">+((AN246+AO246)/2)/$E317/1000</f>
        <v>222.04472747951993</v>
      </c>
      <c r="AP317" s="207"/>
      <c r="AQ317" s="207"/>
      <c r="AR317" s="207"/>
      <c r="AS317" s="207"/>
      <c r="AT317" s="207"/>
    </row>
    <row r="318" spans="4:46" hidden="1">
      <c r="D318" s="175" t="s">
        <v>254</v>
      </c>
      <c r="E318" s="206"/>
      <c r="F318" s="175"/>
      <c r="G318" s="175"/>
      <c r="H318" s="175"/>
      <c r="I318" s="175"/>
      <c r="J318" s="175"/>
      <c r="K318" s="175"/>
      <c r="L318" s="175"/>
      <c r="M318" s="175"/>
      <c r="N318" s="175"/>
      <c r="O318" s="175"/>
      <c r="P318" s="175"/>
      <c r="Q318" s="175"/>
      <c r="R318" s="175"/>
      <c r="S318" s="175"/>
      <c r="T318" s="175"/>
      <c r="U318" s="175"/>
      <c r="V318" s="207"/>
      <c r="W318" s="210"/>
      <c r="X318" s="210"/>
      <c r="Y318" s="210"/>
      <c r="Z318" s="210">
        <f>+(Z312*Z313+Z314*Z315+Z316*Z317)/1000</f>
        <v>223.29977300521401</v>
      </c>
      <c r="AA318" s="211">
        <f t="shared" ref="AA318:AK318" si="99">+(AA312*AA313+AA314*AA315+AA316*AA317)/1000</f>
        <v>138.92900216963449</v>
      </c>
      <c r="AB318" s="211">
        <f t="shared" si="99"/>
        <v>70.322373059773327</v>
      </c>
      <c r="AC318" s="211">
        <f t="shared" si="99"/>
        <v>97.30670869565715</v>
      </c>
      <c r="AD318" s="211">
        <f t="shared" si="99"/>
        <v>104.50344213800625</v>
      </c>
      <c r="AE318" s="211">
        <f t="shared" si="99"/>
        <v>103.86157524878105</v>
      </c>
      <c r="AF318" s="211">
        <f>+(AF312*AF313+AF314*AF315+AF316*AF317)/1000</f>
        <v>102.91918736527944</v>
      </c>
      <c r="AG318" s="211">
        <f>+(AG312*AG313+AG314*AG315+AG316*AG317)/1000</f>
        <v>118.71859083746274</v>
      </c>
      <c r="AH318" s="210">
        <f t="shared" si="99"/>
        <v>124.49626541613074</v>
      </c>
      <c r="AI318" s="210">
        <f t="shared" si="99"/>
        <v>129.60259762080312</v>
      </c>
      <c r="AJ318" s="210"/>
      <c r="AK318" s="210">
        <f t="shared" si="99"/>
        <v>78.11456214724744</v>
      </c>
      <c r="AL318" s="210">
        <f t="shared" ref="AL318:AM318" si="100">+(AL312*AL313+AL314*AL315+AL316*AL317)/1000</f>
        <v>80.869314033084009</v>
      </c>
      <c r="AM318" s="210">
        <f t="shared" si="100"/>
        <v>83.898570685574228</v>
      </c>
      <c r="AN318" s="210">
        <f t="shared" ref="AN318:AO318" si="101">+(AN312*AN313+AN314*AN315+AN316*AN317)/1000</f>
        <v>86.909346784529873</v>
      </c>
      <c r="AO318" s="210">
        <f t="shared" si="101"/>
        <v>90.358817481152514</v>
      </c>
      <c r="AP318" s="210"/>
      <c r="AQ318" s="210"/>
      <c r="AR318" s="210"/>
      <c r="AS318" s="210"/>
      <c r="AT318" s="210"/>
    </row>
    <row r="319" spans="4:46" hidden="1">
      <c r="D319" s="175" t="s">
        <v>283</v>
      </c>
      <c r="E319" s="206"/>
      <c r="F319" s="175"/>
      <c r="G319" s="175"/>
      <c r="H319" s="175"/>
      <c r="I319" s="175"/>
      <c r="J319" s="175"/>
      <c r="K319" s="175"/>
      <c r="L319" s="175"/>
      <c r="M319" s="175"/>
      <c r="N319" s="175"/>
      <c r="O319" s="175"/>
      <c r="P319" s="175"/>
      <c r="Q319" s="175"/>
      <c r="R319" s="175"/>
      <c r="S319" s="175"/>
      <c r="T319" s="175"/>
      <c r="U319" s="175"/>
      <c r="V319" s="207"/>
      <c r="W319" s="212"/>
      <c r="X319" s="212"/>
      <c r="Y319" s="212"/>
      <c r="Z319" s="212">
        <f>+(Z318-Z683)/Z318</f>
        <v>0.81609924061122463</v>
      </c>
      <c r="AA319" s="213">
        <f t="shared" ref="AA319:AK319" si="102">+Z319</f>
        <v>0.81609924061122463</v>
      </c>
      <c r="AB319" s="213">
        <f t="shared" si="102"/>
        <v>0.81609924061122463</v>
      </c>
      <c r="AC319" s="213">
        <f t="shared" si="102"/>
        <v>0.81609924061122463</v>
      </c>
      <c r="AD319" s="213">
        <f t="shared" si="102"/>
        <v>0.81609924061122463</v>
      </c>
      <c r="AE319" s="213">
        <f t="shared" si="102"/>
        <v>0.81609924061122463</v>
      </c>
      <c r="AF319" s="213">
        <f>+AE319</f>
        <v>0.81609924061122463</v>
      </c>
      <c r="AG319" s="213">
        <f>+AF319</f>
        <v>0.81609924061122463</v>
      </c>
      <c r="AH319" s="180">
        <f t="shared" si="102"/>
        <v>0.81609924061122463</v>
      </c>
      <c r="AI319" s="180">
        <f t="shared" si="102"/>
        <v>0.81609924061122463</v>
      </c>
      <c r="AJ319" s="180"/>
      <c r="AK319" s="180">
        <f t="shared" si="102"/>
        <v>0</v>
      </c>
      <c r="AL319" s="180">
        <f t="shared" ref="AL319" si="103">+AK319</f>
        <v>0</v>
      </c>
      <c r="AM319" s="180">
        <f t="shared" ref="AM319" si="104">+AL319</f>
        <v>0</v>
      </c>
      <c r="AN319" s="180">
        <f t="shared" ref="AN319" si="105">+AM319</f>
        <v>0</v>
      </c>
      <c r="AO319" s="180">
        <f t="shared" ref="AO319" si="106">+AN319</f>
        <v>0</v>
      </c>
      <c r="AP319" s="180"/>
      <c r="AQ319" s="180"/>
      <c r="AR319" s="180"/>
      <c r="AS319" s="180"/>
      <c r="AT319" s="180"/>
    </row>
    <row r="320" spans="4:46" hidden="1">
      <c r="D320" s="175" t="s">
        <v>792</v>
      </c>
      <c r="E320" s="191" t="s">
        <v>225</v>
      </c>
      <c r="F320" s="175"/>
      <c r="G320" s="175"/>
      <c r="H320" s="175"/>
      <c r="I320" s="175"/>
      <c r="J320" s="175"/>
      <c r="K320" s="175"/>
      <c r="L320" s="175"/>
      <c r="M320" s="175"/>
      <c r="N320" s="175"/>
      <c r="O320" s="175"/>
      <c r="P320" s="175"/>
      <c r="Q320" s="175"/>
      <c r="R320" s="175"/>
      <c r="S320" s="175"/>
      <c r="T320" s="175"/>
      <c r="U320" s="175"/>
      <c r="V320" s="179">
        <f t="shared" ref="V320:AI320" si="107">+V683/V284</f>
        <v>1.0905966226175021E-2</v>
      </c>
      <c r="W320" s="179">
        <f t="shared" si="107"/>
        <v>8.1091994451977373E-3</v>
      </c>
      <c r="X320" s="179">
        <f t="shared" si="107"/>
        <v>6.9086264993887527E-3</v>
      </c>
      <c r="Y320" s="179">
        <f t="shared" si="107"/>
        <v>6.932785819186809E-3</v>
      </c>
      <c r="Z320" s="179">
        <f t="shared" si="107"/>
        <v>7.0377031408740374E-3</v>
      </c>
      <c r="AA320" s="214">
        <f t="shared" si="107"/>
        <v>1.0764202582481305E-2</v>
      </c>
      <c r="AB320" s="214">
        <f t="shared" si="107"/>
        <v>6.7958459641968482E-3</v>
      </c>
      <c r="AC320" s="214">
        <f t="shared" si="107"/>
        <v>5.6655258994154373E-3</v>
      </c>
      <c r="AD320" s="214">
        <f t="shared" si="107"/>
        <v>6.6067089500498315E-3</v>
      </c>
      <c r="AE320" s="214">
        <f t="shared" si="107"/>
        <v>5.5654735013891407E-3</v>
      </c>
      <c r="AF320" s="214">
        <f t="shared" si="107"/>
        <v>5.4771332397308015E-3</v>
      </c>
      <c r="AG320" s="214">
        <f t="shared" si="107"/>
        <v>1.8196731962472667E-3</v>
      </c>
      <c r="AH320" s="179">
        <f t="shared" si="107"/>
        <v>1.4972832222283025E-3</v>
      </c>
      <c r="AI320" s="179">
        <f t="shared" si="107"/>
        <v>1.3429884555825541E-3</v>
      </c>
      <c r="AJ320" s="179"/>
      <c r="AK320" s="179">
        <f>+AK683/AK284</f>
        <v>3.4482373179934135E-3</v>
      </c>
      <c r="AL320" s="179">
        <f>+AL683/AL284</f>
        <v>3.1635942450075234E-3</v>
      </c>
      <c r="AM320" s="179">
        <f>+AM683/AM284</f>
        <v>2.9156684848192531E-3</v>
      </c>
      <c r="AN320" s="179">
        <v>5.057587735938885E-3</v>
      </c>
      <c r="AO320" s="179">
        <v>5.057587735938885E-3</v>
      </c>
      <c r="AP320" s="179"/>
      <c r="AQ320" s="179"/>
      <c r="AR320" s="179"/>
      <c r="AS320" s="179"/>
      <c r="AT320" s="179"/>
    </row>
    <row r="321" spans="4:46" hidden="1">
      <c r="D321" s="624" t="s">
        <v>790</v>
      </c>
      <c r="E321" s="235"/>
      <c r="F321" s="178"/>
      <c r="G321" s="178"/>
      <c r="H321" s="178"/>
      <c r="I321" s="178"/>
      <c r="J321" s="178"/>
      <c r="K321" s="178"/>
      <c r="L321" s="178"/>
      <c r="M321" s="178"/>
      <c r="N321" s="178"/>
      <c r="O321" s="178"/>
      <c r="P321" s="178"/>
      <c r="Q321" s="178"/>
      <c r="R321" s="178"/>
      <c r="S321" s="178"/>
      <c r="T321" s="178"/>
      <c r="U321" s="178"/>
      <c r="V321" s="215"/>
      <c r="W321" s="176"/>
      <c r="X321" s="176"/>
      <c r="Y321" s="176"/>
      <c r="Z321" s="176"/>
      <c r="AA321" s="625">
        <v>32.700000000000003</v>
      </c>
      <c r="AB321" s="625">
        <f t="shared" ref="AB321:AK321" si="108">+AA321</f>
        <v>32.700000000000003</v>
      </c>
      <c r="AC321" s="625">
        <f t="shared" si="108"/>
        <v>32.700000000000003</v>
      </c>
      <c r="AD321" s="625">
        <f t="shared" si="108"/>
        <v>32.700000000000003</v>
      </c>
      <c r="AE321" s="625">
        <f t="shared" si="108"/>
        <v>32.700000000000003</v>
      </c>
      <c r="AF321" s="625">
        <f>+AE321</f>
        <v>32.700000000000003</v>
      </c>
      <c r="AG321" s="625">
        <f>+AF321</f>
        <v>32.700000000000003</v>
      </c>
      <c r="AH321" s="625">
        <f t="shared" si="108"/>
        <v>32.700000000000003</v>
      </c>
      <c r="AI321" s="625">
        <f t="shared" si="108"/>
        <v>32.700000000000003</v>
      </c>
      <c r="AJ321" s="625"/>
      <c r="AK321" s="625">
        <f t="shared" si="108"/>
        <v>0</v>
      </c>
      <c r="AL321" s="625">
        <f t="shared" ref="AL321" si="109">+AK321</f>
        <v>0</v>
      </c>
      <c r="AM321" s="625">
        <f t="shared" ref="AM321" si="110">+AL321</f>
        <v>0</v>
      </c>
      <c r="AN321" s="625">
        <f t="shared" ref="AN321" si="111">+AM321</f>
        <v>0</v>
      </c>
      <c r="AO321" s="625">
        <f t="shared" ref="AO321" si="112">+AN321</f>
        <v>0</v>
      </c>
      <c r="AP321" s="625"/>
      <c r="AQ321" s="625"/>
      <c r="AR321" s="625"/>
      <c r="AS321" s="625"/>
      <c r="AT321" s="625"/>
    </row>
    <row r="322" spans="4:46" hidden="1">
      <c r="D322" s="624" t="s">
        <v>793</v>
      </c>
      <c r="E322" s="235"/>
      <c r="F322" s="178"/>
      <c r="G322" s="178"/>
      <c r="H322" s="178"/>
      <c r="I322" s="178"/>
      <c r="J322" s="178"/>
      <c r="K322" s="178"/>
      <c r="L322" s="178"/>
      <c r="M322" s="178"/>
      <c r="N322" s="178"/>
      <c r="O322" s="178"/>
      <c r="P322" s="178"/>
      <c r="Q322" s="178"/>
      <c r="R322" s="178"/>
      <c r="S322" s="178"/>
      <c r="T322" s="178"/>
      <c r="U322" s="178"/>
      <c r="V322" s="215"/>
      <c r="W322" s="176"/>
      <c r="X322" s="176"/>
      <c r="Y322" s="176"/>
      <c r="Z322" s="176"/>
      <c r="AA322" s="625">
        <f>+(AA$313+AA$315)*AA321/1000</f>
        <v>27.399027430150078</v>
      </c>
      <c r="AB322" s="625">
        <f t="shared" ref="AB322:AK322" si="113">+(AB313+AB315)*AB321/1000</f>
        <v>13.87725521023345</v>
      </c>
      <c r="AC322" s="625">
        <f t="shared" si="113"/>
        <v>19.101925554222017</v>
      </c>
      <c r="AD322" s="625">
        <f t="shared" si="113"/>
        <v>20.521003676465586</v>
      </c>
      <c r="AE322" s="625">
        <f t="shared" si="113"/>
        <v>20.459281384865704</v>
      </c>
      <c r="AF322" s="625">
        <f>+(AF313+AF315)*AF321/1000</f>
        <v>20.192499117706038</v>
      </c>
      <c r="AG322" s="625">
        <f>+(AG313+AG315)*AG321/1000</f>
        <v>23.247994308461113</v>
      </c>
      <c r="AH322" s="625">
        <f t="shared" si="113"/>
        <v>24.599700878817405</v>
      </c>
      <c r="AI322" s="625">
        <f t="shared" si="113"/>
        <v>25.565719741842582</v>
      </c>
      <c r="AJ322" s="625"/>
      <c r="AK322" s="625">
        <f t="shared" si="113"/>
        <v>0</v>
      </c>
      <c r="AL322" s="625">
        <f t="shared" ref="AL322:AM322" si="114">+(AL313+AL315)*AL321/1000</f>
        <v>0</v>
      </c>
      <c r="AM322" s="625">
        <f t="shared" si="114"/>
        <v>0</v>
      </c>
      <c r="AN322" s="625">
        <f t="shared" ref="AN322:AO322" si="115">+(AN313+AN315)*AN321/1000</f>
        <v>0</v>
      </c>
      <c r="AO322" s="625">
        <f t="shared" si="115"/>
        <v>0</v>
      </c>
      <c r="AP322" s="625"/>
      <c r="AQ322" s="625"/>
      <c r="AR322" s="625"/>
      <c r="AS322" s="625"/>
      <c r="AT322" s="625"/>
    </row>
    <row r="323" spans="4:46" hidden="1">
      <c r="D323" s="178" t="s">
        <v>794</v>
      </c>
      <c r="E323" s="235" t="s">
        <v>340</v>
      </c>
      <c r="F323" s="178"/>
      <c r="G323" s="178"/>
      <c r="H323" s="178"/>
      <c r="I323" s="178"/>
      <c r="J323" s="178"/>
      <c r="K323" s="178"/>
      <c r="L323" s="178"/>
      <c r="M323" s="178"/>
      <c r="N323" s="178"/>
      <c r="O323" s="178"/>
      <c r="P323" s="178"/>
      <c r="Q323" s="178"/>
      <c r="R323" s="178"/>
      <c r="S323" s="178"/>
      <c r="T323" s="178"/>
      <c r="U323" s="178"/>
      <c r="V323" s="215"/>
      <c r="W323" s="176"/>
      <c r="X323" s="176"/>
      <c r="Y323" s="176"/>
      <c r="Z323" s="176"/>
      <c r="AA323" s="229">
        <v>9.6999999999999993</v>
      </c>
      <c r="AB323" s="229">
        <v>9.6999999999999993</v>
      </c>
      <c r="AC323" s="229">
        <v>11.3</v>
      </c>
      <c r="AD323" s="229">
        <v>12.1</v>
      </c>
      <c r="AE323" s="229">
        <f t="shared" ref="AE323:AK323" si="116">+AE322</f>
        <v>20.459281384865704</v>
      </c>
      <c r="AF323" s="229">
        <f>+AF322</f>
        <v>20.192499117706038</v>
      </c>
      <c r="AG323" s="229">
        <f>+AG322</f>
        <v>23.247994308461113</v>
      </c>
      <c r="AH323" s="229">
        <f t="shared" si="116"/>
        <v>24.599700878817405</v>
      </c>
      <c r="AI323" s="229">
        <f t="shared" si="116"/>
        <v>25.565719741842582</v>
      </c>
      <c r="AJ323" s="229"/>
      <c r="AK323" s="229">
        <f t="shared" si="116"/>
        <v>0</v>
      </c>
      <c r="AL323" s="229">
        <f t="shared" ref="AL323:AM323" si="117">+AL322</f>
        <v>0</v>
      </c>
      <c r="AM323" s="229">
        <f t="shared" si="117"/>
        <v>0</v>
      </c>
      <c r="AN323" s="229">
        <f t="shared" ref="AN323:AO323" si="118">+AN322</f>
        <v>0</v>
      </c>
      <c r="AO323" s="229">
        <f t="shared" si="118"/>
        <v>0</v>
      </c>
      <c r="AP323" s="229"/>
      <c r="AQ323" s="229"/>
      <c r="AR323" s="229"/>
      <c r="AS323" s="229"/>
      <c r="AT323" s="229"/>
    </row>
    <row r="324" spans="4:46" hidden="1">
      <c r="D324" s="624" t="s">
        <v>797</v>
      </c>
      <c r="E324" s="235"/>
      <c r="F324" s="178"/>
      <c r="G324" s="178"/>
      <c r="H324" s="178"/>
      <c r="I324" s="178"/>
      <c r="J324" s="178"/>
      <c r="K324" s="178"/>
      <c r="L324" s="178"/>
      <c r="M324" s="178"/>
      <c r="N324" s="178"/>
      <c r="O324" s="178"/>
      <c r="P324" s="178"/>
      <c r="Q324" s="178"/>
      <c r="R324" s="178"/>
      <c r="S324" s="178"/>
      <c r="T324" s="178"/>
      <c r="U324" s="178"/>
      <c r="V324" s="215"/>
      <c r="W324" s="176"/>
      <c r="X324" s="176"/>
      <c r="Y324" s="625">
        <v>62.37</v>
      </c>
      <c r="Z324" s="625">
        <v>62.37</v>
      </c>
      <c r="AA324" s="625">
        <f>83+(115-83)*(4/12)*0</f>
        <v>83</v>
      </c>
      <c r="AB324" s="625">
        <v>115</v>
      </c>
      <c r="AC324" s="625">
        <f t="shared" ref="AC324:AK324" si="119">+AB324</f>
        <v>115</v>
      </c>
      <c r="AD324" s="625">
        <f t="shared" si="119"/>
        <v>115</v>
      </c>
      <c r="AE324" s="625">
        <f t="shared" si="119"/>
        <v>115</v>
      </c>
      <c r="AF324" s="625">
        <f>+AE324</f>
        <v>115</v>
      </c>
      <c r="AG324" s="625">
        <f>+AF324</f>
        <v>115</v>
      </c>
      <c r="AH324" s="625">
        <f t="shared" si="119"/>
        <v>115</v>
      </c>
      <c r="AI324" s="625">
        <f t="shared" si="119"/>
        <v>115</v>
      </c>
      <c r="AJ324" s="625"/>
      <c r="AK324" s="625">
        <f t="shared" si="119"/>
        <v>0</v>
      </c>
      <c r="AL324" s="625">
        <f t="shared" ref="AL324" si="120">+AK324</f>
        <v>0</v>
      </c>
      <c r="AM324" s="625">
        <f t="shared" ref="AM324" si="121">+AL324</f>
        <v>0</v>
      </c>
      <c r="AN324" s="625">
        <f t="shared" ref="AN324" si="122">+AM324</f>
        <v>0</v>
      </c>
      <c r="AO324" s="625">
        <f t="shared" ref="AO324" si="123">+AN324</f>
        <v>0</v>
      </c>
      <c r="AP324" s="625"/>
      <c r="AQ324" s="625"/>
      <c r="AR324" s="625"/>
      <c r="AS324" s="625"/>
      <c r="AT324" s="625"/>
    </row>
    <row r="325" spans="4:46" hidden="1">
      <c r="D325" s="624" t="s">
        <v>795</v>
      </c>
      <c r="E325" s="235"/>
      <c r="F325" s="178"/>
      <c r="G325" s="178"/>
      <c r="H325" s="178"/>
      <c r="I325" s="178"/>
      <c r="J325" s="178"/>
      <c r="K325" s="178"/>
      <c r="L325" s="178"/>
      <c r="M325" s="178"/>
      <c r="N325" s="178"/>
      <c r="O325" s="178"/>
      <c r="P325" s="178"/>
      <c r="Q325" s="178"/>
      <c r="R325" s="178"/>
      <c r="S325" s="178"/>
      <c r="T325" s="178"/>
      <c r="U325" s="178"/>
      <c r="V325" s="215"/>
      <c r="W325" s="176"/>
      <c r="X325" s="176"/>
      <c r="Y325" s="625"/>
      <c r="Z325" s="625">
        <f t="shared" ref="Z325:AK325" si="124">+(Z$313+Z$315+Z$317)*Z324/1000</f>
        <v>102.62872626586073</v>
      </c>
      <c r="AA325" s="625">
        <f t="shared" si="124"/>
        <v>84.076063314829639</v>
      </c>
      <c r="AB325" s="625">
        <f t="shared" si="124"/>
        <v>65.305034389574558</v>
      </c>
      <c r="AC325" s="625">
        <f t="shared" si="124"/>
        <v>97.764082343254572</v>
      </c>
      <c r="AD325" s="625">
        <f t="shared" si="124"/>
        <v>103.56084404299119</v>
      </c>
      <c r="AE325" s="625">
        <f t="shared" si="124"/>
        <v>96.485115494140487</v>
      </c>
      <c r="AF325" s="625">
        <f>+(AF$313+AF$315+AF$317)*AF324/1000</f>
        <v>88.647605129053815</v>
      </c>
      <c r="AG325" s="625">
        <f>+(AG$313+AG$315+AG$317)*AG324/1000</f>
        <v>100.01394444743903</v>
      </c>
      <c r="AH325" s="625">
        <f t="shared" si="124"/>
        <v>106.90648909055115</v>
      </c>
      <c r="AI325" s="625">
        <f t="shared" si="124"/>
        <v>111.10941045930652</v>
      </c>
      <c r="AJ325" s="625"/>
      <c r="AK325" s="625">
        <f t="shared" si="124"/>
        <v>0</v>
      </c>
      <c r="AL325" s="625">
        <f t="shared" ref="AL325:AM325" si="125">+(AL$313+AL$315+AL$317)*AL324/1000</f>
        <v>0</v>
      </c>
      <c r="AM325" s="625">
        <f t="shared" si="125"/>
        <v>0</v>
      </c>
      <c r="AN325" s="625">
        <f t="shared" ref="AN325:AO325" si="126">+(AN$313+AN$315+AN$317)*AN324/1000</f>
        <v>0</v>
      </c>
      <c r="AO325" s="625">
        <f t="shared" si="126"/>
        <v>0</v>
      </c>
      <c r="AP325" s="625"/>
      <c r="AQ325" s="625"/>
      <c r="AR325" s="625"/>
      <c r="AS325" s="625"/>
      <c r="AT325" s="625"/>
    </row>
    <row r="326" spans="4:46" hidden="1">
      <c r="D326" s="178" t="s">
        <v>796</v>
      </c>
      <c r="E326" s="204" t="s">
        <v>337</v>
      </c>
      <c r="F326" s="178"/>
      <c r="G326" s="178"/>
      <c r="H326" s="178"/>
      <c r="I326" s="178"/>
      <c r="J326" s="178"/>
      <c r="K326" s="178"/>
      <c r="L326" s="178"/>
      <c r="M326" s="178"/>
      <c r="N326" s="178"/>
      <c r="O326" s="178"/>
      <c r="P326" s="178"/>
      <c r="Q326" s="178"/>
      <c r="R326" s="178"/>
      <c r="S326" s="178"/>
      <c r="T326" s="178"/>
      <c r="U326" s="178"/>
      <c r="V326" s="215"/>
      <c r="W326" s="176"/>
      <c r="X326" s="176"/>
      <c r="Y326" s="176"/>
      <c r="Z326" s="176"/>
      <c r="AA326" s="229">
        <v>5.3</v>
      </c>
      <c r="AB326" s="229">
        <v>6</v>
      </c>
      <c r="AC326" s="229">
        <v>6.9</v>
      </c>
      <c r="AD326" s="229">
        <f t="shared" ref="AD326:AK326" si="127">+AC326</f>
        <v>6.9</v>
      </c>
      <c r="AE326" s="229">
        <f t="shared" si="127"/>
        <v>6.9</v>
      </c>
      <c r="AF326" s="229">
        <f>+AE326</f>
        <v>6.9</v>
      </c>
      <c r="AG326" s="229">
        <f>+AF326</f>
        <v>6.9</v>
      </c>
      <c r="AH326" s="229">
        <f t="shared" si="127"/>
        <v>6.9</v>
      </c>
      <c r="AI326" s="229">
        <f t="shared" si="127"/>
        <v>6.9</v>
      </c>
      <c r="AJ326" s="229"/>
      <c r="AK326" s="229">
        <f t="shared" si="127"/>
        <v>0</v>
      </c>
      <c r="AL326" s="229">
        <f t="shared" ref="AL326" si="128">+AK326</f>
        <v>0</v>
      </c>
      <c r="AM326" s="229">
        <f t="shared" ref="AM326" si="129">+AL326</f>
        <v>0</v>
      </c>
      <c r="AN326" s="229">
        <f t="shared" ref="AN326" si="130">+AM326</f>
        <v>0</v>
      </c>
      <c r="AO326" s="229">
        <f t="shared" ref="AO326" si="131">+AN326</f>
        <v>0</v>
      </c>
      <c r="AP326" s="229"/>
      <c r="AQ326" s="229"/>
      <c r="AR326" s="229"/>
      <c r="AS326" s="229"/>
      <c r="AT326" s="229"/>
    </row>
    <row r="327" spans="4:46" hidden="1">
      <c r="D327" s="178" t="s">
        <v>801</v>
      </c>
      <c r="E327" s="204"/>
      <c r="F327" s="178"/>
      <c r="G327" s="178"/>
      <c r="H327" s="178"/>
      <c r="I327" s="178"/>
      <c r="J327" s="178"/>
      <c r="K327" s="178"/>
      <c r="L327" s="178"/>
      <c r="M327" s="178"/>
      <c r="N327" s="178"/>
      <c r="O327" s="178"/>
      <c r="P327" s="178"/>
      <c r="Q327" s="178"/>
      <c r="R327" s="178"/>
      <c r="S327" s="178"/>
      <c r="T327" s="178"/>
      <c r="U327" s="178"/>
      <c r="V327" s="215"/>
      <c r="W327" s="176"/>
      <c r="X327" s="176"/>
      <c r="Y327" s="176"/>
      <c r="Z327" s="176"/>
      <c r="AA327" s="229">
        <f>+(AA$313+AA$315+AA$317)*(AA324-Z324)/1000</f>
        <v>20.897460074517294</v>
      </c>
      <c r="AB327" s="229"/>
      <c r="AC327" s="229"/>
      <c r="AD327" s="229"/>
      <c r="AE327" s="229"/>
      <c r="AF327" s="229"/>
      <c r="AG327" s="229"/>
      <c r="AH327" s="176"/>
      <c r="AI327" s="176"/>
      <c r="AJ327" s="176"/>
      <c r="AK327" s="176"/>
      <c r="AL327" s="176"/>
      <c r="AM327" s="176"/>
      <c r="AN327" s="176"/>
      <c r="AO327" s="176"/>
      <c r="AP327" s="176"/>
      <c r="AQ327" s="176"/>
      <c r="AR327" s="176"/>
      <c r="AS327" s="176"/>
      <c r="AT327" s="176"/>
    </row>
    <row r="328" spans="4:46" hidden="1">
      <c r="D328" s="624" t="s">
        <v>1139</v>
      </c>
      <c r="E328" s="235"/>
      <c r="F328" s="178"/>
      <c r="G328" s="178"/>
      <c r="H328" s="178"/>
      <c r="I328" s="178"/>
      <c r="J328" s="178"/>
      <c r="K328" s="178"/>
      <c r="L328" s="178"/>
      <c r="M328" s="178"/>
      <c r="N328" s="178"/>
      <c r="O328" s="178"/>
      <c r="P328" s="178"/>
      <c r="Q328" s="178"/>
      <c r="R328" s="178"/>
      <c r="S328" s="178"/>
      <c r="T328" s="178"/>
      <c r="U328" s="178"/>
      <c r="V328" s="215"/>
      <c r="W328" s="176"/>
      <c r="X328" s="176"/>
      <c r="Y328" s="176"/>
      <c r="Z328" s="176"/>
      <c r="AA328" s="626">
        <f t="shared" ref="AA328:AK328" si="132">+(AA321*AA313+AA321*AA315+AA321*AA317)/1000</f>
        <v>33.123943016806379</v>
      </c>
      <c r="AB328" s="626">
        <f t="shared" si="132"/>
        <v>18.569344561209466</v>
      </c>
      <c r="AC328" s="626">
        <f t="shared" si="132"/>
        <v>27.799004283690657</v>
      </c>
      <c r="AD328" s="626">
        <f t="shared" si="132"/>
        <v>29.447300871354884</v>
      </c>
      <c r="AE328" s="626">
        <f t="shared" si="132"/>
        <v>27.435332840507776</v>
      </c>
      <c r="AF328" s="626">
        <f>+(AF321*AF313+AF321*AF315+AF321*AF317)/1000</f>
        <v>25.206753806261389</v>
      </c>
      <c r="AG328" s="626">
        <f>+(AG321*AG313+AG321*AG315+AG321*AG317)/1000</f>
        <v>28.438747682010931</v>
      </c>
      <c r="AH328" s="626">
        <f t="shared" si="132"/>
        <v>30.398627767487149</v>
      </c>
      <c r="AI328" s="626">
        <f t="shared" si="132"/>
        <v>31.593719321907159</v>
      </c>
      <c r="AJ328" s="626"/>
      <c r="AK328" s="626">
        <f t="shared" si="132"/>
        <v>0</v>
      </c>
      <c r="AL328" s="626">
        <f t="shared" ref="AL328:AM328" si="133">+(AL321*AL313+AL321*AL315+AL321*AL317)/1000</f>
        <v>0</v>
      </c>
      <c r="AM328" s="626">
        <f t="shared" si="133"/>
        <v>0</v>
      </c>
      <c r="AN328" s="626">
        <f t="shared" ref="AN328:AO328" si="134">+(AN321*AN313+AN321*AN315+AN321*AN317)/1000</f>
        <v>0</v>
      </c>
      <c r="AO328" s="626">
        <f t="shared" si="134"/>
        <v>0</v>
      </c>
      <c r="AP328" s="626"/>
      <c r="AQ328" s="626"/>
      <c r="AR328" s="626"/>
      <c r="AS328" s="626"/>
      <c r="AT328" s="626"/>
    </row>
    <row r="329" spans="4:46" hidden="1">
      <c r="D329" s="175" t="s">
        <v>798</v>
      </c>
      <c r="E329" s="191"/>
      <c r="F329" s="175"/>
      <c r="G329" s="175"/>
      <c r="H329" s="175"/>
      <c r="I329" s="175"/>
      <c r="J329" s="175"/>
      <c r="K329" s="175"/>
      <c r="L329" s="175"/>
      <c r="M329" s="175"/>
      <c r="N329" s="175"/>
      <c r="O329" s="175"/>
      <c r="P329" s="175"/>
      <c r="Q329" s="175"/>
      <c r="R329" s="175"/>
      <c r="S329" s="175"/>
      <c r="T329" s="175"/>
      <c r="U329" s="175"/>
      <c r="V329" s="179"/>
      <c r="W329" s="179"/>
      <c r="X329" s="179"/>
      <c r="Y329" s="179"/>
      <c r="Z329" s="179"/>
      <c r="AA329" s="214">
        <f t="shared" ref="AA329:AK329" si="135">+(AA318+AA322+AA325)/AA284</f>
        <v>3.8212130766765481E-2</v>
      </c>
      <c r="AB329" s="214">
        <f t="shared" si="135"/>
        <v>2.066694258495733E-2</v>
      </c>
      <c r="AC329" s="214">
        <f t="shared" si="135"/>
        <v>2.6718153267606504E-2</v>
      </c>
      <c r="AD329" s="214">
        <f t="shared" si="135"/>
        <v>2.6219923131161161E-2</v>
      </c>
      <c r="AE329" s="214">
        <f t="shared" si="135"/>
        <v>2.3525034320028473E-2</v>
      </c>
      <c r="AF329" s="214">
        <f>+(AF318+AF322+AF325)/AF284</f>
        <v>2.0617202960961863E-2</v>
      </c>
      <c r="AG329" s="214">
        <f>+(AG318+AG322+AG325)/AG284</f>
        <v>2.0168405533702524E-2</v>
      </c>
      <c r="AH329" s="956">
        <f t="shared" si="135"/>
        <v>1.6742034882316348E-2</v>
      </c>
      <c r="AI329" s="956">
        <f t="shared" si="135"/>
        <v>1.5004098034707401E-2</v>
      </c>
      <c r="AJ329" s="956"/>
      <c r="AK329" s="956">
        <f t="shared" si="135"/>
        <v>3.4482373179934135E-3</v>
      </c>
      <c r="AL329" s="956">
        <f t="shared" ref="AL329:AM329" si="136">+(AL318+AL322+AL325)/AL284</f>
        <v>3.1635942450075234E-3</v>
      </c>
      <c r="AM329" s="956">
        <f t="shared" si="136"/>
        <v>2.9156684848192531E-3</v>
      </c>
      <c r="AN329" s="956">
        <v>1.1061786655228129E-2</v>
      </c>
      <c r="AO329" s="956">
        <v>1.1061786655228129E-2</v>
      </c>
      <c r="AP329" s="956"/>
      <c r="AQ329" s="956"/>
      <c r="AR329" s="956"/>
      <c r="AS329" s="956"/>
      <c r="AT329" s="956"/>
    </row>
    <row r="330" spans="4:46" hidden="1">
      <c r="D330" s="175"/>
      <c r="E330" s="191"/>
      <c r="F330" s="175"/>
      <c r="G330" s="175"/>
      <c r="H330" s="175"/>
      <c r="I330" s="175"/>
      <c r="J330" s="175"/>
      <c r="K330" s="175"/>
      <c r="L330" s="175"/>
      <c r="M330" s="175"/>
      <c r="N330" s="175"/>
      <c r="O330" s="175"/>
      <c r="P330" s="175"/>
      <c r="Q330" s="175"/>
      <c r="R330" s="175"/>
      <c r="S330" s="175"/>
      <c r="T330" s="175"/>
      <c r="U330" s="175"/>
      <c r="V330" s="179"/>
      <c r="W330" s="179"/>
      <c r="X330" s="179"/>
      <c r="Y330" s="179"/>
      <c r="Z330" s="179"/>
      <c r="AA330" s="179"/>
      <c r="AB330" s="627"/>
      <c r="AC330" s="627"/>
      <c r="AD330" s="216"/>
      <c r="AE330" s="216"/>
      <c r="AF330" s="216"/>
      <c r="AG330" s="216"/>
      <c r="AH330" s="179"/>
      <c r="AI330" s="179"/>
      <c r="AJ330" s="179"/>
      <c r="AK330" s="179"/>
      <c r="AL330" s="179"/>
      <c r="AM330" s="179"/>
      <c r="AN330" s="179"/>
      <c r="AO330" s="179"/>
      <c r="AP330" s="179"/>
      <c r="AQ330" s="179"/>
      <c r="AR330" s="179"/>
      <c r="AS330" s="179"/>
      <c r="AT330" s="179"/>
    </row>
    <row r="331" spans="4:46" hidden="1">
      <c r="D331" s="190" t="str">
        <f>+D276</f>
        <v>effective import tax rate (incl. tariff, VAT) on non fuel goods imports cif</v>
      </c>
      <c r="E331" s="198" t="s">
        <v>303</v>
      </c>
      <c r="F331" s="175"/>
      <c r="G331" s="175"/>
      <c r="H331" s="175"/>
      <c r="I331" s="175"/>
      <c r="J331" s="175"/>
      <c r="K331" s="175"/>
      <c r="L331" s="175"/>
      <c r="M331" s="175"/>
      <c r="N331" s="175"/>
      <c r="O331" s="175"/>
      <c r="P331" s="175"/>
      <c r="Q331" s="175"/>
      <c r="R331" s="175"/>
      <c r="S331" s="175"/>
      <c r="T331" s="175"/>
      <c r="U331" s="175"/>
      <c r="V331" s="179">
        <f>+V276</f>
        <v>9.9145082538590973E-2</v>
      </c>
      <c r="W331" s="179">
        <f>+W276</f>
        <v>8.5040272137804421E-2</v>
      </c>
      <c r="X331" s="179">
        <f>+X276</f>
        <v>0.10437120244062663</v>
      </c>
      <c r="Y331" s="179">
        <f>+Y276</f>
        <v>0.11775172361485951</v>
      </c>
      <c r="Z331" s="180">
        <f>+(Z682+Z686)/Z335</f>
        <v>4.0096727686188757E-2</v>
      </c>
      <c r="AA331" s="180">
        <f>+(AA682+AA686)/AA335</f>
        <v>6.2643545759127658E-2</v>
      </c>
      <c r="AB331" s="180">
        <f>+(AB682+AB686)/AB335</f>
        <v>0.14143737771629417</v>
      </c>
      <c r="AC331" s="216">
        <f t="shared" ref="AC331:AK331" si="137">+AB331*AC332</f>
        <v>0.15246949317816513</v>
      </c>
      <c r="AD331" s="216">
        <f t="shared" si="137"/>
        <v>0.1198410216380378</v>
      </c>
      <c r="AE331" s="216">
        <f t="shared" si="137"/>
        <v>0.1202005447029519</v>
      </c>
      <c r="AF331" s="216">
        <f>+AE331*AF332</f>
        <v>0.24076169104001266</v>
      </c>
      <c r="AG331" s="216">
        <f>+AF331*AG332</f>
        <v>0.72300735819315809</v>
      </c>
      <c r="AH331" s="216">
        <f t="shared" si="137"/>
        <v>0.82422838834020018</v>
      </c>
      <c r="AI331" s="216">
        <f t="shared" si="137"/>
        <v>0.83659181416530315</v>
      </c>
      <c r="AJ331" s="216"/>
      <c r="AK331" s="216">
        <f t="shared" si="137"/>
        <v>0</v>
      </c>
      <c r="AL331" s="216">
        <f t="shared" ref="AL331" si="138">+AK331*AL332</f>
        <v>0</v>
      </c>
      <c r="AM331" s="216">
        <f t="shared" ref="AM331" si="139">+AL331*AM332</f>
        <v>0</v>
      </c>
      <c r="AN331" s="216">
        <f t="shared" ref="AN331" si="140">+AM331*AN332</f>
        <v>0</v>
      </c>
      <c r="AO331" s="216">
        <f t="shared" ref="AO331" si="141">+AN331*AO332</f>
        <v>0</v>
      </c>
      <c r="AP331" s="216"/>
      <c r="AQ331" s="216"/>
      <c r="AR331" s="216"/>
      <c r="AS331" s="216"/>
      <c r="AT331" s="216"/>
    </row>
    <row r="332" spans="4:46" hidden="1">
      <c r="D332" s="178" t="s">
        <v>305</v>
      </c>
      <c r="E332" s="198"/>
      <c r="F332" s="175"/>
      <c r="G332" s="175"/>
      <c r="H332" s="175"/>
      <c r="I332" s="175"/>
      <c r="J332" s="175"/>
      <c r="K332" s="175"/>
      <c r="L332" s="175"/>
      <c r="M332" s="175"/>
      <c r="N332" s="175"/>
      <c r="O332" s="175"/>
      <c r="P332" s="175"/>
      <c r="Q332" s="175"/>
      <c r="R332" s="175"/>
      <c r="S332" s="175"/>
      <c r="T332" s="175"/>
      <c r="U332" s="175"/>
      <c r="V332" s="179"/>
      <c r="W332" s="179"/>
      <c r="X332" s="179"/>
      <c r="Y332" s="179"/>
      <c r="Z332" s="180"/>
      <c r="AA332" s="192">
        <f>+AA331/Z331</f>
        <v>1.5623106765569079</v>
      </c>
      <c r="AB332" s="192">
        <f>+AB331/AA331</f>
        <v>2.25781245302012</v>
      </c>
      <c r="AC332" s="1044">
        <v>1.0780000000000001</v>
      </c>
      <c r="AD332" s="1126">
        <v>0.78600000000000003</v>
      </c>
      <c r="AE332" s="1044">
        <v>1.0029999999999999</v>
      </c>
      <c r="AF332" s="1044">
        <v>2.0030000000000001</v>
      </c>
      <c r="AG332" s="1044">
        <v>3.0030000000000001</v>
      </c>
      <c r="AH332" s="1049">
        <v>1.1399999999999999</v>
      </c>
      <c r="AI332" s="1049">
        <v>1.0149999999999999</v>
      </c>
      <c r="AJ332" s="1049"/>
      <c r="AK332" s="1049">
        <f>AJ332</f>
        <v>0</v>
      </c>
      <c r="AL332" s="1049">
        <f t="shared" ref="AL332:AM332" si="142">AK332</f>
        <v>0</v>
      </c>
      <c r="AM332" s="1049">
        <f t="shared" si="142"/>
        <v>0</v>
      </c>
      <c r="AN332" s="1049">
        <f t="shared" ref="AN332" si="143">AM332</f>
        <v>0</v>
      </c>
      <c r="AO332" s="1049">
        <f t="shared" ref="AO332" si="144">AN332</f>
        <v>0</v>
      </c>
      <c r="AP332" s="1049"/>
      <c r="AQ332" s="1049"/>
      <c r="AR332" s="1049"/>
      <c r="AS332" s="1049"/>
      <c r="AT332" s="1049"/>
    </row>
    <row r="333" spans="4:46" hidden="1">
      <c r="D333" s="175" t="s">
        <v>789</v>
      </c>
      <c r="E333" s="191" t="s">
        <v>225</v>
      </c>
      <c r="F333" s="175"/>
      <c r="G333" s="175"/>
      <c r="H333" s="175"/>
      <c r="I333" s="175"/>
      <c r="J333" s="175"/>
      <c r="K333" s="175"/>
      <c r="L333" s="175"/>
      <c r="M333" s="175"/>
      <c r="N333" s="175"/>
      <c r="O333" s="175"/>
      <c r="P333" s="175"/>
      <c r="Q333" s="175"/>
      <c r="R333" s="175"/>
      <c r="S333" s="175"/>
      <c r="T333" s="175"/>
      <c r="U333" s="175"/>
      <c r="V333" s="179">
        <f t="shared" ref="V333:AI333" si="145">+(V686+V682)/V$284</f>
        <v>2.340823300083095E-2</v>
      </c>
      <c r="W333" s="179">
        <f t="shared" si="145"/>
        <v>2.5926868535389835E-2</v>
      </c>
      <c r="X333" s="179">
        <f t="shared" si="145"/>
        <v>2.6620523209718819E-2</v>
      </c>
      <c r="Y333" s="179">
        <f t="shared" si="145"/>
        <v>2.7435191925576162E-2</v>
      </c>
      <c r="Z333" s="179">
        <f t="shared" si="145"/>
        <v>2.797386342125107E-2</v>
      </c>
      <c r="AA333" s="214">
        <f t="shared" si="145"/>
        <v>2.9448977084866972E-2</v>
      </c>
      <c r="AB333" s="214">
        <f t="shared" si="145"/>
        <v>2.975879625114736E-2</v>
      </c>
      <c r="AC333" s="214">
        <f t="shared" si="145"/>
        <v>3.0017993841905875E-2</v>
      </c>
      <c r="AD333" s="214">
        <f t="shared" si="145"/>
        <v>3.0118896865912508E-2</v>
      </c>
      <c r="AE333" s="214">
        <f t="shared" si="145"/>
        <v>2.6534915872084952E-2</v>
      </c>
      <c r="AF333" s="214">
        <f t="shared" si="145"/>
        <v>2.4271884743823191E-2</v>
      </c>
      <c r="AG333" s="214">
        <f t="shared" si="145"/>
        <v>0.16241274056612415</v>
      </c>
      <c r="AH333" s="956">
        <f t="shared" si="145"/>
        <v>0.17560497215532442</v>
      </c>
      <c r="AI333" s="956">
        <f t="shared" si="145"/>
        <v>0.19373690104581887</v>
      </c>
      <c r="AJ333" s="179"/>
      <c r="AK333" s="179">
        <f>+(AK686+AK682)/AK$284</f>
        <v>0</v>
      </c>
      <c r="AL333" s="179">
        <f>+(AL686+AL682)/AL$284</f>
        <v>0</v>
      </c>
      <c r="AM333" s="179">
        <f>+(AM686+AM682)/AM$284</f>
        <v>0</v>
      </c>
      <c r="AN333" s="179">
        <v>0.15258534838170604</v>
      </c>
      <c r="AO333" s="179">
        <v>0.15258534838170604</v>
      </c>
      <c r="AP333" s="179"/>
      <c r="AQ333" s="179"/>
      <c r="AR333" s="179"/>
      <c r="AS333" s="179"/>
      <c r="AT333" s="179"/>
    </row>
    <row r="334" spans="4:46" hidden="1">
      <c r="D334" s="175" t="s">
        <v>257</v>
      </c>
      <c r="E334" s="204" t="s">
        <v>284</v>
      </c>
      <c r="F334" s="175"/>
      <c r="G334" s="175"/>
      <c r="H334" s="175"/>
      <c r="I334" s="175"/>
      <c r="J334" s="175"/>
      <c r="K334" s="175"/>
      <c r="L334" s="175"/>
      <c r="M334" s="175"/>
      <c r="N334" s="175"/>
      <c r="O334" s="175"/>
      <c r="P334" s="175"/>
      <c r="Q334" s="175"/>
      <c r="R334" s="175"/>
      <c r="S334" s="175"/>
      <c r="T334" s="175"/>
      <c r="U334" s="175"/>
      <c r="V334" s="215">
        <f t="shared" ref="V334:AA334" si="146">+V682/(V682+V686)</f>
        <v>0.58111757837415745</v>
      </c>
      <c r="W334" s="215">
        <f t="shared" si="146"/>
        <v>0.59991769380967241</v>
      </c>
      <c r="X334" s="215">
        <f t="shared" si="146"/>
        <v>0.58039920613104778</v>
      </c>
      <c r="Y334" s="215">
        <f t="shared" si="146"/>
        <v>0.61846598668639663</v>
      </c>
      <c r="Z334" s="215">
        <f t="shared" si="146"/>
        <v>0.61123704856811145</v>
      </c>
      <c r="AA334" s="215">
        <f t="shared" si="146"/>
        <v>0.56531527673074311</v>
      </c>
      <c r="AB334" s="217">
        <f t="shared" ref="AB334:AK334" si="147">+AA334</f>
        <v>0.56531527673074311</v>
      </c>
      <c r="AC334" s="218">
        <f t="shared" si="147"/>
        <v>0.56531527673074311</v>
      </c>
      <c r="AD334" s="218">
        <f t="shared" si="147"/>
        <v>0.56531527673074311</v>
      </c>
      <c r="AE334" s="218">
        <f t="shared" si="147"/>
        <v>0.56531527673074311</v>
      </c>
      <c r="AF334" s="218">
        <f>+AE334</f>
        <v>0.56531527673074311</v>
      </c>
      <c r="AG334" s="218">
        <f>+AF334</f>
        <v>0.56531527673074311</v>
      </c>
      <c r="AH334" s="218">
        <f t="shared" si="147"/>
        <v>0.56531527673074311</v>
      </c>
      <c r="AI334" s="218">
        <f t="shared" si="147"/>
        <v>0.56531527673074311</v>
      </c>
      <c r="AJ334" s="218"/>
      <c r="AK334" s="218">
        <f t="shared" si="147"/>
        <v>0</v>
      </c>
      <c r="AL334" s="218">
        <f t="shared" ref="AL334" si="148">+AK334</f>
        <v>0</v>
      </c>
      <c r="AM334" s="218">
        <f t="shared" ref="AM334" si="149">+AL334</f>
        <v>0</v>
      </c>
      <c r="AN334" s="218">
        <f t="shared" ref="AN334" si="150">+AM334</f>
        <v>0</v>
      </c>
      <c r="AO334" s="218">
        <f t="shared" ref="AO334" si="151">+AN334</f>
        <v>0</v>
      </c>
      <c r="AP334" s="218"/>
      <c r="AQ334" s="218"/>
      <c r="AR334" s="218"/>
      <c r="AS334" s="218"/>
      <c r="AT334" s="218"/>
    </row>
    <row r="335" spans="4:46" hidden="1">
      <c r="D335" s="175" t="s">
        <v>252</v>
      </c>
      <c r="E335" s="191"/>
      <c r="F335" s="175"/>
      <c r="G335" s="175"/>
      <c r="H335" s="175"/>
      <c r="I335" s="175"/>
      <c r="J335" s="176">
        <f t="shared" ref="J335:V335" si="152">+(I238-I241+J238-J241)*J253/1000/2</f>
        <v>0</v>
      </c>
      <c r="K335" s="176">
        <f t="shared" si="152"/>
        <v>0</v>
      </c>
      <c r="L335" s="176">
        <f t="shared" si="152"/>
        <v>0</v>
      </c>
      <c r="M335" s="176">
        <f t="shared" si="152"/>
        <v>0</v>
      </c>
      <c r="N335" s="176">
        <f t="shared" si="152"/>
        <v>0</v>
      </c>
      <c r="O335" s="176">
        <f t="shared" si="152"/>
        <v>0</v>
      </c>
      <c r="P335" s="176">
        <f t="shared" si="152"/>
        <v>0</v>
      </c>
      <c r="Q335" s="176">
        <f t="shared" si="152"/>
        <v>0</v>
      </c>
      <c r="R335" s="176">
        <f t="shared" si="152"/>
        <v>0</v>
      </c>
      <c r="S335" s="176">
        <f t="shared" si="152"/>
        <v>0</v>
      </c>
      <c r="T335" s="176">
        <f t="shared" si="152"/>
        <v>0</v>
      </c>
      <c r="U335" s="176">
        <f t="shared" si="152"/>
        <v>0</v>
      </c>
      <c r="V335" s="176">
        <f t="shared" si="152"/>
        <v>2610.2574647882525</v>
      </c>
      <c r="W335" s="176">
        <f t="shared" ref="W335:AK335" si="153">+(V238-V241+W238-W241)*W253/1000/2</f>
        <v>2921.1919395094892</v>
      </c>
      <c r="X335" s="176">
        <f t="shared" si="153"/>
        <v>3220.625667180856</v>
      </c>
      <c r="Y335" s="176">
        <f t="shared" si="153"/>
        <v>3623.7429839366423</v>
      </c>
      <c r="Z335" s="176">
        <f t="shared" si="153"/>
        <v>4070.8432453759415</v>
      </c>
      <c r="AA335" s="176">
        <f t="shared" si="153"/>
        <v>3080.5910568849736</v>
      </c>
      <c r="AB335" s="176">
        <f t="shared" si="153"/>
        <v>1522.0526253860223</v>
      </c>
      <c r="AC335" s="176">
        <f t="shared" si="153"/>
        <v>1535.4524631252966</v>
      </c>
      <c r="AD335" s="176">
        <f t="shared" si="153"/>
        <v>1779.8472384321335</v>
      </c>
      <c r="AE335" s="176">
        <f t="shared" si="153"/>
        <v>1995.8459616879588</v>
      </c>
      <c r="AF335" s="176">
        <f>+(AE238-AE241+AF238-AF241)*AF253/1000/2</f>
        <v>2274.9301403953646</v>
      </c>
      <c r="AG335" s="176">
        <f>+(AF238-AF241+AG238-AG241)*AG253/1000/2</f>
        <v>2695.1704422235816</v>
      </c>
      <c r="AH335" s="176">
        <f t="shared" si="153"/>
        <v>3257.8053209673722</v>
      </c>
      <c r="AI335" s="176">
        <f t="shared" si="153"/>
        <v>4109.8283830216633</v>
      </c>
      <c r="AJ335" s="176"/>
      <c r="AK335" s="176">
        <f t="shared" si="153"/>
        <v>5127.009569188911</v>
      </c>
      <c r="AL335" s="176">
        <f t="shared" ref="AL335" si="154">+(AK238-AK241+AL238-AL241)*AL253/1000/2</f>
        <v>5722.960272343882</v>
      </c>
      <c r="AM335" s="176">
        <f t="shared" ref="AM335" si="155">+(AL238-AL241+AM238-AM241)*AM253/1000/2</f>
        <v>6438.3510541481046</v>
      </c>
      <c r="AN335" s="176">
        <f>+(AM238-AM241+AN238-AN241)*AW254/1000/2</f>
        <v>0</v>
      </c>
      <c r="AO335" s="176">
        <f>+(AN238-AN241+AO238-AO241)*AX254/1000/2</f>
        <v>0</v>
      </c>
      <c r="AP335" s="176"/>
      <c r="AQ335" s="176"/>
      <c r="AR335" s="176"/>
      <c r="AS335" s="176"/>
      <c r="AT335" s="176"/>
    </row>
    <row r="336" spans="4:46" hidden="1">
      <c r="D336" s="178" t="s">
        <v>809</v>
      </c>
      <c r="E336" s="204" t="s">
        <v>339</v>
      </c>
      <c r="F336" s="178"/>
      <c r="G336" s="178"/>
      <c r="H336" s="178"/>
      <c r="I336" s="178"/>
      <c r="J336" s="178"/>
      <c r="K336" s="178"/>
      <c r="L336" s="178"/>
      <c r="M336" s="178"/>
      <c r="N336" s="178"/>
      <c r="O336" s="178"/>
      <c r="P336" s="178"/>
      <c r="Q336" s="178"/>
      <c r="R336" s="178"/>
      <c r="S336" s="178"/>
      <c r="T336" s="178"/>
      <c r="U336" s="178"/>
      <c r="V336" s="215"/>
      <c r="W336" s="176"/>
      <c r="X336" s="176"/>
      <c r="Y336" s="176"/>
      <c r="Z336" s="176"/>
      <c r="AA336" s="229">
        <v>9.1</v>
      </c>
      <c r="AB336" s="600">
        <v>10.7</v>
      </c>
      <c r="AC336" s="229">
        <v>11.3</v>
      </c>
      <c r="AD336" s="600">
        <f>10.7</f>
        <v>10.7</v>
      </c>
      <c r="AE336" s="229">
        <f t="shared" ref="AE336:AK336" si="156">+AD336</f>
        <v>10.7</v>
      </c>
      <c r="AF336" s="229">
        <f>+AE336</f>
        <v>10.7</v>
      </c>
      <c r="AG336" s="229">
        <f>+AF336</f>
        <v>10.7</v>
      </c>
      <c r="AH336" s="231">
        <f t="shared" si="156"/>
        <v>10.7</v>
      </c>
      <c r="AI336" s="231">
        <f t="shared" si="156"/>
        <v>10.7</v>
      </c>
      <c r="AJ336" s="231"/>
      <c r="AK336" s="231">
        <f t="shared" si="156"/>
        <v>0</v>
      </c>
      <c r="AL336" s="231">
        <f t="shared" ref="AL336" si="157">+AK336</f>
        <v>0</v>
      </c>
      <c r="AM336" s="231">
        <f t="shared" ref="AM336" si="158">+AL336</f>
        <v>0</v>
      </c>
      <c r="AN336" s="231">
        <f t="shared" ref="AN336" si="159">+AM336</f>
        <v>0</v>
      </c>
      <c r="AO336" s="231">
        <f t="shared" ref="AO336" si="160">+AN336</f>
        <v>0</v>
      </c>
      <c r="AP336" s="231"/>
      <c r="AQ336" s="231"/>
      <c r="AR336" s="231"/>
      <c r="AS336" s="231"/>
      <c r="AT336" s="231"/>
    </row>
    <row r="337" spans="4:46" hidden="1">
      <c r="D337" s="178" t="s">
        <v>289</v>
      </c>
      <c r="E337" s="267" t="s">
        <v>338</v>
      </c>
      <c r="F337" s="178"/>
      <c r="G337" s="178"/>
      <c r="H337" s="178"/>
      <c r="I337" s="178"/>
      <c r="J337" s="178"/>
      <c r="K337" s="178"/>
      <c r="L337" s="178"/>
      <c r="M337" s="178"/>
      <c r="N337" s="178"/>
      <c r="O337" s="178"/>
      <c r="P337" s="178"/>
      <c r="Q337" s="178"/>
      <c r="R337" s="178"/>
      <c r="S337" s="178"/>
      <c r="T337" s="178"/>
      <c r="U337" s="178"/>
      <c r="V337" s="215"/>
      <c r="W337" s="176"/>
      <c r="X337" s="176"/>
      <c r="Y337" s="176"/>
      <c r="Z337" s="176"/>
      <c r="AA337" s="176">
        <v>5</v>
      </c>
      <c r="AB337" s="219">
        <v>5.7</v>
      </c>
      <c r="AC337" s="176">
        <v>6.5</v>
      </c>
      <c r="AD337" s="176"/>
      <c r="AE337" s="176"/>
      <c r="AF337" s="176"/>
      <c r="AG337" s="176"/>
      <c r="AH337" s="176"/>
      <c r="AI337" s="176"/>
      <c r="AJ337" s="176"/>
      <c r="AK337" s="176"/>
      <c r="AL337" s="176"/>
      <c r="AM337" s="176"/>
      <c r="AN337" s="176"/>
      <c r="AO337" s="176"/>
      <c r="AP337" s="176"/>
      <c r="AQ337" s="176"/>
      <c r="AR337" s="176"/>
      <c r="AS337" s="176"/>
      <c r="AT337" s="176"/>
    </row>
    <row r="338" spans="4:46" hidden="1">
      <c r="D338" s="190" t="s">
        <v>226</v>
      </c>
      <c r="E338" s="191" t="s">
        <v>225</v>
      </c>
      <c r="F338" s="175"/>
      <c r="G338" s="175"/>
      <c r="H338" s="175"/>
      <c r="I338" s="175"/>
      <c r="J338" s="175"/>
      <c r="K338" s="175"/>
      <c r="L338" s="175"/>
      <c r="M338" s="175"/>
      <c r="N338" s="175"/>
      <c r="O338" s="175"/>
      <c r="P338" s="175"/>
      <c r="Q338" s="175"/>
      <c r="R338" s="175"/>
      <c r="S338" s="175"/>
      <c r="T338" s="175"/>
      <c r="U338" s="175"/>
      <c r="V338" s="179">
        <f t="shared" ref="V338:AD338" si="161">+(V691-V692)/V284</f>
        <v>5.3551630072708389E-3</v>
      </c>
      <c r="W338" s="179">
        <f t="shared" si="161"/>
        <v>7.8418079096045212E-3</v>
      </c>
      <c r="X338" s="179">
        <f t="shared" si="161"/>
        <v>4.6047269763651181E-3</v>
      </c>
      <c r="Y338" s="179">
        <f t="shared" si="161"/>
        <v>3.6629552008619064E-3</v>
      </c>
      <c r="Z338" s="179">
        <f t="shared" si="161"/>
        <v>7.2322193658954561E-3</v>
      </c>
      <c r="AA338" s="179">
        <f t="shared" si="161"/>
        <v>6.8243187410179989E-3</v>
      </c>
      <c r="AB338" s="179">
        <f t="shared" si="161"/>
        <v>7.3178600931049533E-3</v>
      </c>
      <c r="AC338" s="179">
        <f t="shared" si="161"/>
        <v>7.3063088151813036E-3</v>
      </c>
      <c r="AD338" s="179">
        <f t="shared" si="161"/>
        <v>1.1514619593381513E-2</v>
      </c>
      <c r="AE338" s="179">
        <f t="shared" ref="AE338:AK338" si="162">+AD338*AE339</f>
        <v>8.5208184991023197E-3</v>
      </c>
      <c r="AF338" s="179">
        <f>+AE338*AF339</f>
        <v>1.4826224188438037E-2</v>
      </c>
      <c r="AG338" s="179">
        <f>+AF338*AG339</f>
        <v>4.0623854276320225E-2</v>
      </c>
      <c r="AH338" s="179">
        <f t="shared" si="162"/>
        <v>5.2811010559216297E-2</v>
      </c>
      <c r="AI338" s="179">
        <f t="shared" si="162"/>
        <v>7.3935414782902817E-2</v>
      </c>
      <c r="AJ338" s="179"/>
      <c r="AK338" s="179">
        <f t="shared" si="162"/>
        <v>0</v>
      </c>
      <c r="AL338" s="179">
        <f t="shared" ref="AL338" si="163">+AK338*AL339</f>
        <v>0</v>
      </c>
      <c r="AM338" s="179">
        <f t="shared" ref="AM338" si="164">+AL338*AM339</f>
        <v>0</v>
      </c>
      <c r="AN338" s="179">
        <f t="shared" ref="AN338" si="165">+AM338*AN339</f>
        <v>0</v>
      </c>
      <c r="AO338" s="179">
        <f t="shared" ref="AO338" si="166">+AN338*AO339</f>
        <v>0</v>
      </c>
      <c r="AP338" s="179"/>
      <c r="AQ338" s="179"/>
      <c r="AR338" s="179"/>
      <c r="AS338" s="179"/>
      <c r="AT338" s="179"/>
    </row>
    <row r="339" spans="4:46" hidden="1">
      <c r="D339" s="178" t="s">
        <v>276</v>
      </c>
      <c r="E339" s="191"/>
      <c r="F339" s="175"/>
      <c r="G339" s="175"/>
      <c r="H339" s="175"/>
      <c r="I339" s="175"/>
      <c r="J339" s="175"/>
      <c r="K339" s="175"/>
      <c r="L339" s="175"/>
      <c r="M339" s="175"/>
      <c r="N339" s="175"/>
      <c r="O339" s="175"/>
      <c r="P339" s="175"/>
      <c r="Q339" s="175"/>
      <c r="R339" s="175"/>
      <c r="S339" s="175"/>
      <c r="T339" s="175"/>
      <c r="U339" s="175"/>
      <c r="V339" s="179"/>
      <c r="W339" s="179"/>
      <c r="X339" s="179"/>
      <c r="Y339" s="179"/>
      <c r="Z339" s="249">
        <f>+Z338/Y338</f>
        <v>1.9744220088178226</v>
      </c>
      <c r="AA339" s="249">
        <f>+AA338/Z338</f>
        <v>0.94359952260284452</v>
      </c>
      <c r="AB339" s="192">
        <f>+AB338/AA338</f>
        <v>1.0723209701681273</v>
      </c>
      <c r="AC339" s="192">
        <f>+AC338/AB338</f>
        <v>0.99842149511241218</v>
      </c>
      <c r="AD339" s="192">
        <f>+AD338/AC338</f>
        <v>1.5759831516368477</v>
      </c>
      <c r="AE339" s="622">
        <v>0.74</v>
      </c>
      <c r="AF339" s="622">
        <v>1.74</v>
      </c>
      <c r="AG339" s="622">
        <v>2.74</v>
      </c>
      <c r="AH339" s="1093">
        <v>1.3</v>
      </c>
      <c r="AI339" s="1093">
        <v>1.4</v>
      </c>
      <c r="AJ339" s="1093"/>
      <c r="AK339" s="1093">
        <v>1</v>
      </c>
      <c r="AL339" s="1093">
        <v>2</v>
      </c>
      <c r="AM339" s="1093">
        <v>3</v>
      </c>
      <c r="AN339" s="1093">
        <v>4</v>
      </c>
      <c r="AO339" s="1093">
        <v>5</v>
      </c>
      <c r="AP339" s="1093"/>
      <c r="AQ339" s="1093"/>
      <c r="AR339" s="1093"/>
      <c r="AS339" s="1093"/>
      <c r="AT339" s="1093"/>
    </row>
    <row r="340" spans="4:46" hidden="1">
      <c r="D340" s="178" t="s">
        <v>731</v>
      </c>
      <c r="E340" s="191" t="s">
        <v>732</v>
      </c>
      <c r="F340" s="175"/>
      <c r="G340" s="175"/>
      <c r="H340" s="175"/>
      <c r="I340" s="175"/>
      <c r="J340" s="175"/>
      <c r="K340" s="175"/>
      <c r="L340" s="175"/>
      <c r="M340" s="175"/>
      <c r="N340" s="175"/>
      <c r="O340" s="175"/>
      <c r="P340" s="175"/>
      <c r="Q340" s="175"/>
      <c r="R340" s="175"/>
      <c r="S340" s="175"/>
      <c r="T340" s="175"/>
      <c r="U340" s="175"/>
      <c r="V340" s="179"/>
      <c r="W340" s="179"/>
      <c r="X340" s="179"/>
      <c r="Y340" s="179"/>
      <c r="Z340" s="249"/>
      <c r="AA340" s="249">
        <v>29.4</v>
      </c>
      <c r="AB340" s="249">
        <v>34.200000000000003</v>
      </c>
      <c r="AC340" s="1139">
        <v>45.9</v>
      </c>
      <c r="AD340" s="1139">
        <v>50.6</v>
      </c>
      <c r="AE340" s="220">
        <f t="shared" ref="AE340:AK340" si="167">+AD340*(1+AE285)</f>
        <v>54.477127781601283</v>
      </c>
      <c r="AF340" s="220">
        <f t="shared" si="167"/>
        <v>59.613741683872441</v>
      </c>
      <c r="AG340" s="220">
        <f t="shared" si="167"/>
        <v>69.637393897682941</v>
      </c>
      <c r="AH340" s="220">
        <f t="shared" si="167"/>
        <v>88.750240880935976</v>
      </c>
      <c r="AI340" s="220">
        <f t="shared" si="167"/>
        <v>103.00506997017662</v>
      </c>
      <c r="AJ340" s="220"/>
      <c r="AK340" s="220" t="e">
        <f t="shared" si="167"/>
        <v>#DIV/0!</v>
      </c>
      <c r="AL340" s="220" t="e">
        <f t="shared" ref="AL340" si="168">+AK340*(1+AL285)</f>
        <v>#DIV/0!</v>
      </c>
      <c r="AM340" s="220" t="e">
        <f t="shared" ref="AM340" si="169">+AL340*(1+AM285)</f>
        <v>#DIV/0!</v>
      </c>
      <c r="AN340" s="220" t="e">
        <f t="shared" ref="AN340" si="170">+AM340*(1+AN285)</f>
        <v>#DIV/0!</v>
      </c>
      <c r="AO340" s="220" t="e">
        <f t="shared" ref="AO340" si="171">+AN340*(1+AO285)</f>
        <v>#DIV/0!</v>
      </c>
      <c r="AP340" s="220"/>
      <c r="AQ340" s="220"/>
      <c r="AR340" s="220"/>
      <c r="AS340" s="220"/>
      <c r="AT340" s="220"/>
    </row>
    <row r="341" spans="4:46" hidden="1">
      <c r="D341" s="191" t="s">
        <v>227</v>
      </c>
      <c r="E341" s="175"/>
      <c r="F341" s="175"/>
      <c r="G341" s="175"/>
      <c r="H341" s="175"/>
      <c r="I341" s="175"/>
      <c r="J341" s="175"/>
      <c r="K341" s="175"/>
      <c r="L341" s="175"/>
      <c r="M341" s="175"/>
      <c r="N341" s="175"/>
      <c r="O341" s="175"/>
      <c r="P341" s="175"/>
      <c r="Q341" s="175"/>
      <c r="R341" s="175"/>
      <c r="S341" s="175"/>
      <c r="T341" s="175"/>
      <c r="U341" s="175"/>
      <c r="V341" s="179" t="str">
        <f>+IF(ABS(V298+V307+V320+V333+V338+V692/V284-V922)&gt;0.002,"check","")</f>
        <v/>
      </c>
      <c r="W341" s="630">
        <f t="shared" ref="W341:AI341" si="172">+IF(ABS(W298+W307+W320+W333+W338+W692/W284-W922)&gt;0.002,"check",W922)</f>
        <v>0.13371751412429381</v>
      </c>
      <c r="X341" s="630">
        <f t="shared" si="172"/>
        <v>0.15004514335827571</v>
      </c>
      <c r="Y341" s="630">
        <f t="shared" si="172"/>
        <v>0.16152734308407188</v>
      </c>
      <c r="Z341" s="630">
        <f t="shared" si="172"/>
        <v>0.17185206545981146</v>
      </c>
      <c r="AA341" s="630">
        <f t="shared" si="172"/>
        <v>0.17822527057814064</v>
      </c>
      <c r="AB341" s="630">
        <f t="shared" si="172"/>
        <v>0.17771355343453654</v>
      </c>
      <c r="AC341" s="630">
        <f t="shared" si="172"/>
        <v>0.18232332284460279</v>
      </c>
      <c r="AD341" s="630">
        <f t="shared" si="172"/>
        <v>0.1915809865540174</v>
      </c>
      <c r="AE341" s="630">
        <f t="shared" si="172"/>
        <v>0.17578826913670575</v>
      </c>
      <c r="AF341" s="630" t="str">
        <f t="shared" si="172"/>
        <v>check</v>
      </c>
      <c r="AG341" s="630" t="str">
        <f t="shared" si="172"/>
        <v>check</v>
      </c>
      <c r="AH341" s="970" t="str">
        <f t="shared" si="172"/>
        <v>check</v>
      </c>
      <c r="AI341" s="970" t="str">
        <f t="shared" si="172"/>
        <v>check</v>
      </c>
      <c r="AJ341" s="970"/>
      <c r="AK341" s="970" t="e">
        <f>+IF(ABS(AK298+AK307+AK320+AK333+AK338+AK692/AK284-AK922)&gt;0.002,"check",AK922)</f>
        <v>#DIV/0!</v>
      </c>
      <c r="AL341" s="970" t="e">
        <f>+IF(ABS(AL298+AL307+AL320+AL333+AL338+AL692/AL284-AL922)&gt;0.002,"check",AL922)</f>
        <v>#DIV/0!</v>
      </c>
      <c r="AM341" s="970" t="e">
        <f>+IF(ABS(AM298+AM307+AM320+AM333+AM338+AM692/AM284-AM922)&gt;0.002,"check",AM922)</f>
        <v>#DIV/0!</v>
      </c>
      <c r="AN341" s="970" t="str">
        <f>+IF(ABS(AN298+AN307+AN320+AN333+AN338+AN692/AN284-AN922)&gt;0.002,"check",AN922)</f>
        <v>check</v>
      </c>
      <c r="AO341" s="970" t="str">
        <f>+IF(ABS(AO298+AO307+AO320+AO333+AO338+AO692/AO284-AO922)&gt;0.002,"check",AO922)</f>
        <v>check</v>
      </c>
      <c r="AP341" s="970"/>
      <c r="AQ341" s="970"/>
      <c r="AR341" s="970"/>
      <c r="AS341" s="970"/>
      <c r="AT341" s="970"/>
    </row>
    <row r="342" spans="4:46" hidden="1">
      <c r="D342" s="1425" t="s">
        <v>2389</v>
      </c>
      <c r="E342" s="1"/>
      <c r="F342" s="1"/>
      <c r="G342" s="175"/>
      <c r="H342" s="175"/>
      <c r="I342" s="175"/>
      <c r="J342" s="175"/>
      <c r="K342" s="175"/>
      <c r="L342" s="175"/>
      <c r="M342" s="175"/>
      <c r="N342" s="175"/>
      <c r="O342" s="175"/>
      <c r="P342" s="175"/>
      <c r="Q342" s="175"/>
      <c r="R342" s="175"/>
      <c r="S342" s="175"/>
      <c r="T342" s="175"/>
      <c r="U342" s="175"/>
      <c r="V342" s="179"/>
      <c r="W342" s="630"/>
      <c r="X342" s="630"/>
      <c r="Y342" s="630"/>
      <c r="Z342" s="630"/>
      <c r="AA342" s="630"/>
      <c r="AB342" s="630"/>
      <c r="AC342" s="630"/>
      <c r="AD342" s="630"/>
      <c r="AE342" s="1426">
        <v>10.988728999999999</v>
      </c>
      <c r="AF342" s="1426">
        <v>11.988728999999999</v>
      </c>
      <c r="AG342" s="1426">
        <v>12.988728999999999</v>
      </c>
      <c r="AH342" s="970"/>
      <c r="AI342" s="970"/>
      <c r="AJ342" s="970"/>
      <c r="AK342" s="970"/>
      <c r="AL342" s="970"/>
      <c r="AM342" s="970"/>
      <c r="AN342" s="970"/>
      <c r="AO342" s="970"/>
      <c r="AP342" s="970"/>
      <c r="AQ342" s="970"/>
      <c r="AR342" s="970"/>
      <c r="AS342" s="970"/>
      <c r="AT342" s="970"/>
    </row>
    <row r="343" spans="4:46" hidden="1">
      <c r="D343" s="221" t="s">
        <v>228</v>
      </c>
      <c r="E343" s="175"/>
      <c r="F343" s="175"/>
      <c r="G343" s="175"/>
      <c r="H343" s="175"/>
      <c r="I343" s="175"/>
      <c r="J343" s="175"/>
      <c r="K343" s="175"/>
      <c r="L343" s="175"/>
      <c r="M343" s="175"/>
      <c r="N343" s="175"/>
      <c r="O343" s="175"/>
      <c r="P343" s="175"/>
      <c r="Q343" s="175"/>
      <c r="R343" s="175"/>
      <c r="S343" s="175"/>
      <c r="T343" s="175"/>
      <c r="U343" s="175"/>
      <c r="V343" s="222"/>
      <c r="W343" s="222"/>
      <c r="X343" s="222"/>
      <c r="Y343" s="222"/>
      <c r="Z343" s="222"/>
      <c r="AA343" s="222"/>
      <c r="AB343" s="222"/>
      <c r="AC343" s="222"/>
      <c r="AD343" s="222"/>
      <c r="AE343" s="222"/>
      <c r="AF343" s="222"/>
      <c r="AG343" s="222"/>
      <c r="AH343" s="222"/>
      <c r="AI343" s="222"/>
      <c r="AJ343" s="222"/>
      <c r="AK343" s="222"/>
      <c r="AL343" s="222"/>
      <c r="AM343" s="222"/>
      <c r="AN343" s="222"/>
      <c r="AO343" s="222"/>
      <c r="AP343" s="222"/>
      <c r="AQ343" s="222"/>
      <c r="AR343" s="222"/>
      <c r="AS343" s="222"/>
      <c r="AT343" s="222"/>
    </row>
    <row r="344" spans="4:46" hidden="1">
      <c r="D344" s="178" t="s">
        <v>332</v>
      </c>
      <c r="E344" s="198" t="s">
        <v>333</v>
      </c>
      <c r="F344" s="175"/>
      <c r="G344" s="175"/>
      <c r="H344" s="175"/>
      <c r="I344" s="175"/>
      <c r="J344" s="175"/>
      <c r="K344" s="175"/>
      <c r="L344" s="175"/>
      <c r="M344" s="175"/>
      <c r="N344" s="175"/>
      <c r="O344" s="175"/>
      <c r="P344" s="175"/>
      <c r="Q344" s="175"/>
      <c r="R344" s="175"/>
      <c r="S344" s="175"/>
      <c r="T344" s="175"/>
      <c r="U344" s="175"/>
      <c r="V344" s="176">
        <f t="shared" ref="V344:AA344" si="173">+V717+V744</f>
        <v>180.32915428176796</v>
      </c>
      <c r="W344" s="176">
        <f t="shared" si="173"/>
        <v>214</v>
      </c>
      <c r="X344" s="176">
        <f t="shared" si="173"/>
        <v>258.5</v>
      </c>
      <c r="Y344" s="176">
        <f t="shared" si="173"/>
        <v>295.60000000000002</v>
      </c>
      <c r="Z344" s="176">
        <f t="shared" si="173"/>
        <v>309.89999999999998</v>
      </c>
      <c r="AA344" s="176">
        <f t="shared" si="173"/>
        <v>354.53523719200001</v>
      </c>
      <c r="AB344" s="264"/>
      <c r="AC344" s="264"/>
      <c r="AD344" s="264"/>
      <c r="AE344" s="264"/>
      <c r="AF344" s="264"/>
      <c r="AG344" s="264"/>
      <c r="AH344" s="176"/>
      <c r="AI344" s="176"/>
      <c r="AJ344" s="176"/>
      <c r="AK344" s="176"/>
      <c r="AL344" s="176"/>
      <c r="AM344" s="176"/>
      <c r="AN344" s="176"/>
      <c r="AO344" s="176"/>
      <c r="AP344" s="176"/>
      <c r="AQ344" s="176"/>
      <c r="AR344" s="176"/>
      <c r="AS344" s="176"/>
      <c r="AT344" s="176"/>
    </row>
    <row r="345" spans="4:46" hidden="1">
      <c r="D345" s="190" t="s">
        <v>229</v>
      </c>
      <c r="E345" s="191" t="s">
        <v>225</v>
      </c>
      <c r="F345" s="175"/>
      <c r="G345" s="175"/>
      <c r="H345" s="175"/>
      <c r="I345" s="175"/>
      <c r="J345" s="175"/>
      <c r="K345" s="175"/>
      <c r="L345" s="175"/>
      <c r="M345" s="175"/>
      <c r="N345" s="175"/>
      <c r="O345" s="175"/>
      <c r="P345" s="175"/>
      <c r="Q345" s="175"/>
      <c r="R345" s="175"/>
      <c r="S345" s="175"/>
      <c r="T345" s="175"/>
      <c r="U345" s="175"/>
      <c r="V345" s="179">
        <f t="shared" ref="V345:AI345" si="174">+V717/V284</f>
        <v>3.1684526097117631E-2</v>
      </c>
      <c r="W345" s="179">
        <f t="shared" si="174"/>
        <v>3.2723163841807915E-2</v>
      </c>
      <c r="X345" s="179">
        <f t="shared" si="174"/>
        <v>3.441320293398533E-2</v>
      </c>
      <c r="Y345" s="179">
        <f t="shared" si="174"/>
        <v>3.5201811778902005E-2</v>
      </c>
      <c r="Z345" s="179">
        <f t="shared" si="174"/>
        <v>3.4944301628106259E-2</v>
      </c>
      <c r="AA345" s="179">
        <f t="shared" si="174"/>
        <v>3.6980808361361209E-2</v>
      </c>
      <c r="AB345" s="179">
        <f t="shared" si="174"/>
        <v>4.3971759821260711E-2</v>
      </c>
      <c r="AC345" s="179">
        <f t="shared" si="174"/>
        <v>4.0455397582210582E-2</v>
      </c>
      <c r="AD345" s="179">
        <f t="shared" si="174"/>
        <v>4.1999456807983476E-2</v>
      </c>
      <c r="AE345" s="179">
        <f t="shared" si="174"/>
        <v>4.5101440750429926E-2</v>
      </c>
      <c r="AF345" s="179">
        <f t="shared" si="174"/>
        <v>4.7857697351371575E-2</v>
      </c>
      <c r="AG345" s="179">
        <f t="shared" si="174"/>
        <v>4.7365933145076949E-2</v>
      </c>
      <c r="AH345" s="179">
        <f t="shared" si="174"/>
        <v>4.0008725308999155E-2</v>
      </c>
      <c r="AI345" s="179">
        <f t="shared" si="174"/>
        <v>3.7109175202801804E-2</v>
      </c>
      <c r="AJ345" s="179"/>
      <c r="AK345" s="179">
        <f>+AK717/AK284</f>
        <v>2.9071764765627128E-2</v>
      </c>
      <c r="AL345" s="179">
        <f>+AL717/AL284</f>
        <v>2.576340547052559E-2</v>
      </c>
      <c r="AM345" s="179">
        <f>+AM717/AM284</f>
        <v>2.2887050690473306E-2</v>
      </c>
      <c r="AN345" s="179">
        <v>3.2030546130764961E-2</v>
      </c>
      <c r="AO345" s="179">
        <v>3.2030546130764961E-2</v>
      </c>
      <c r="AP345" s="179"/>
      <c r="AQ345" s="179"/>
      <c r="AR345" s="179"/>
      <c r="AS345" s="179"/>
      <c r="AT345" s="179"/>
    </row>
    <row r="346" spans="4:46" hidden="1">
      <c r="D346" s="175" t="s">
        <v>287</v>
      </c>
      <c r="E346" s="191"/>
      <c r="F346" s="175"/>
      <c r="G346" s="175"/>
      <c r="H346" s="175"/>
      <c r="I346" s="175"/>
      <c r="J346" s="175"/>
      <c r="K346" s="175"/>
      <c r="L346" s="175"/>
      <c r="M346" s="175"/>
      <c r="N346" s="175"/>
      <c r="O346" s="175"/>
      <c r="P346" s="175"/>
      <c r="Q346" s="175"/>
      <c r="R346" s="175"/>
      <c r="S346" s="175"/>
      <c r="T346" s="175"/>
      <c r="U346" s="175"/>
      <c r="V346" s="179">
        <f t="shared" ref="V346:AI346" si="175">+(V717+V744)/V$284</f>
        <v>4.6826578624193184E-2</v>
      </c>
      <c r="W346" s="179">
        <f t="shared" si="175"/>
        <v>4.8361581920903958E-2</v>
      </c>
      <c r="X346" s="179">
        <f t="shared" si="175"/>
        <v>5.2669111654441728E-2</v>
      </c>
      <c r="Y346" s="179">
        <f t="shared" si="175"/>
        <v>5.5386921491474617E-2</v>
      </c>
      <c r="Z346" s="179">
        <f t="shared" si="175"/>
        <v>5.3110539845758351E-2</v>
      </c>
      <c r="AA346" s="179">
        <f t="shared" si="175"/>
        <v>5.410273724889364E-2</v>
      </c>
      <c r="AB346" s="179">
        <f t="shared" si="175"/>
        <v>5.9827441325269556E-2</v>
      </c>
      <c r="AC346" s="179">
        <f t="shared" si="175"/>
        <v>5.504312165304559E-2</v>
      </c>
      <c r="AD346" s="179">
        <f t="shared" si="175"/>
        <v>5.7143949846144286E-2</v>
      </c>
      <c r="AE346" s="179">
        <f t="shared" si="175"/>
        <v>6.1364471450533468E-2</v>
      </c>
      <c r="AF346" s="179">
        <f t="shared" si="175"/>
        <v>6.5114600641189443E-2</v>
      </c>
      <c r="AG346" s="179">
        <f t="shared" si="175"/>
        <v>6.4445512246329842E-2</v>
      </c>
      <c r="AH346" s="179">
        <f t="shared" si="175"/>
        <v>5.4435384793620173E-2</v>
      </c>
      <c r="AI346" s="179">
        <f t="shared" si="175"/>
        <v>5.0490292203436288E-2</v>
      </c>
      <c r="AJ346" s="179"/>
      <c r="AK346" s="179">
        <f>+(AK717+AK744)/AK$284</f>
        <v>3.9554689368985298E-2</v>
      </c>
      <c r="AL346" s="179">
        <f>+(AL717+AL744)/AL$284</f>
        <v>3.50533759711327E-2</v>
      </c>
      <c r="AM346" s="179">
        <f>+(AM717+AM744)/AM$284</f>
        <v>3.1139842659440403E-2</v>
      </c>
      <c r="AN346" s="179">
        <v>4.3580371289304892E-2</v>
      </c>
      <c r="AO346" s="179">
        <v>4.3580371289304892E-2</v>
      </c>
      <c r="AP346" s="179"/>
      <c r="AQ346" s="179"/>
      <c r="AR346" s="179"/>
      <c r="AS346" s="179"/>
      <c r="AT346" s="179"/>
    </row>
    <row r="347" spans="4:46" hidden="1">
      <c r="D347" s="175" t="s">
        <v>288</v>
      </c>
      <c r="E347" s="175"/>
      <c r="F347" s="175"/>
      <c r="G347" s="175"/>
      <c r="H347" s="175"/>
      <c r="I347" s="175"/>
      <c r="J347" s="175"/>
      <c r="K347" s="175"/>
      <c r="L347" s="175"/>
      <c r="M347" s="175"/>
      <c r="N347" s="175"/>
      <c r="O347" s="175"/>
      <c r="P347" s="175"/>
      <c r="Q347" s="175"/>
      <c r="R347" s="175"/>
      <c r="S347" s="175"/>
      <c r="T347" s="175"/>
      <c r="U347" s="175"/>
      <c r="V347" s="179">
        <f t="shared" ref="V347:AK347" si="176">+(V717+V744)/V674</f>
        <v>0.38888495526975647</v>
      </c>
      <c r="W347" s="179">
        <f t="shared" si="176"/>
        <v>0.38420107719928187</v>
      </c>
      <c r="X347" s="179">
        <f t="shared" si="176"/>
        <v>0.39652009449046177</v>
      </c>
      <c r="Y347" s="179">
        <f t="shared" si="176"/>
        <v>0.38842459267771867</v>
      </c>
      <c r="Z347" s="179">
        <f t="shared" si="176"/>
        <v>0.35557062867708988</v>
      </c>
      <c r="AA347" s="179">
        <f t="shared" si="176"/>
        <v>0.3544239658474268</v>
      </c>
      <c r="AB347" s="179">
        <f t="shared" si="176"/>
        <v>0.39197065387537106</v>
      </c>
      <c r="AC347" s="179">
        <f t="shared" si="176"/>
        <v>0.35216811220289118</v>
      </c>
      <c r="AD347" s="179">
        <f t="shared" si="176"/>
        <v>0.35113066768599682</v>
      </c>
      <c r="AE347" s="179">
        <f t="shared" si="176"/>
        <v>0.40898556698029664</v>
      </c>
      <c r="AF347" s="179">
        <f>+(AF717+AF744)/AF674</f>
        <v>0.45811653484970222</v>
      </c>
      <c r="AG347" s="179">
        <f>+(AG717+AG744)/AG674</f>
        <v>0.10323420032264394</v>
      </c>
      <c r="AH347" s="179">
        <f t="shared" si="176"/>
        <v>7.5797482766915392E-2</v>
      </c>
      <c r="AI347" s="179">
        <f t="shared" si="176"/>
        <v>7.2274186451012787E-2</v>
      </c>
      <c r="AJ347" s="179"/>
      <c r="AK347" s="179">
        <f t="shared" si="176"/>
        <v>11.470988137209426</v>
      </c>
      <c r="AL347" s="179">
        <f t="shared" ref="AL347:AM347" si="177">+(AL717+AL744)/AL674</f>
        <v>11.080237621006717</v>
      </c>
      <c r="AM347" s="179">
        <f t="shared" si="177"/>
        <v>10.680172599036345</v>
      </c>
      <c r="AN347" s="179">
        <f t="shared" ref="AN347:AO347" si="178">+(AN717+AN744)/AN674</f>
        <v>10.310182378380086</v>
      </c>
      <c r="AO347" s="179">
        <f t="shared" si="178"/>
        <v>9.9165885600626265</v>
      </c>
      <c r="AP347" s="179"/>
      <c r="AQ347" s="179"/>
      <c r="AR347" s="179"/>
      <c r="AS347" s="179"/>
      <c r="AT347" s="179"/>
    </row>
    <row r="348" spans="4:46" hidden="1">
      <c r="D348" s="175" t="s">
        <v>266</v>
      </c>
      <c r="E348" s="175"/>
      <c r="F348" s="175"/>
      <c r="G348" s="175"/>
      <c r="H348" s="175"/>
      <c r="I348" s="175"/>
      <c r="J348" s="175"/>
      <c r="K348" s="175"/>
      <c r="L348" s="175"/>
      <c r="M348" s="175"/>
      <c r="N348" s="175"/>
      <c r="O348" s="175"/>
      <c r="P348" s="175"/>
      <c r="Q348" s="175"/>
      <c r="R348" s="175"/>
      <c r="S348" s="175"/>
      <c r="T348" s="175"/>
      <c r="U348" s="175"/>
      <c r="V348" s="179">
        <f t="shared" ref="V348:AA348" si="179">+(V717+V744)/(U717+U744)-1</f>
        <v>0.1414135640785783</v>
      </c>
      <c r="W348" s="179">
        <f t="shared" si="179"/>
        <v>0.18671881345165442</v>
      </c>
      <c r="X348" s="179">
        <f t="shared" si="179"/>
        <v>0.2079439252336448</v>
      </c>
      <c r="Y348" s="179">
        <f t="shared" si="179"/>
        <v>0.1435203094777564</v>
      </c>
      <c r="Z348" s="179">
        <f t="shared" si="179"/>
        <v>4.8376184032476122E-2</v>
      </c>
      <c r="AA348" s="179">
        <f t="shared" si="179"/>
        <v>0.14403109774766065</v>
      </c>
      <c r="AB348" s="179">
        <f>+(AB717)/(AA717)-1</f>
        <v>0.31261022636579594</v>
      </c>
      <c r="AC348" s="179">
        <f>+(AC717)/(AB717)-1</f>
        <v>1.9487324776054304E-2</v>
      </c>
      <c r="AD348" s="179">
        <f>+(AD717)/(AC717)-1</f>
        <v>0.12908426762525638</v>
      </c>
      <c r="AE348" s="203">
        <f t="shared" ref="AE348:AK348" si="180">+(1+AE353)*(1+AE354)-1</f>
        <v>0.15614000000000017</v>
      </c>
      <c r="AF348" s="203">
        <f>+(1+AF353)*(1+AF354)-1</f>
        <v>0.15614000000000017</v>
      </c>
      <c r="AG348" s="203">
        <f>+(1+AG353)*(1+AG354)-1</f>
        <v>0.15614000000000017</v>
      </c>
      <c r="AH348" s="203">
        <f t="shared" si="180"/>
        <v>7.6503999999999905E-2</v>
      </c>
      <c r="AI348" s="203">
        <f t="shared" si="180"/>
        <v>7.6503999999999905E-2</v>
      </c>
      <c r="AJ348" s="203"/>
      <c r="AK348" s="203">
        <f t="shared" si="180"/>
        <v>0</v>
      </c>
      <c r="AL348" s="203">
        <f t="shared" ref="AL348:AM348" si="181">+(1+AL353)*(1+AL354)-1</f>
        <v>0</v>
      </c>
      <c r="AM348" s="203">
        <f t="shared" si="181"/>
        <v>0</v>
      </c>
      <c r="AN348" s="203">
        <f t="shared" ref="AN348:AO348" si="182">+(1+AN353)*(1+AN354)-1</f>
        <v>0</v>
      </c>
      <c r="AO348" s="203">
        <f t="shared" si="182"/>
        <v>0</v>
      </c>
      <c r="AP348" s="203"/>
      <c r="AQ348" s="203"/>
      <c r="AR348" s="203"/>
      <c r="AS348" s="203"/>
      <c r="AT348" s="203"/>
    </row>
    <row r="349" spans="4:46" hidden="1">
      <c r="D349" s="183" t="s">
        <v>344</v>
      </c>
      <c r="E349" s="179"/>
      <c r="F349" s="179"/>
      <c r="G349" s="179"/>
      <c r="H349" s="179"/>
      <c r="I349" s="179"/>
      <c r="J349" s="179"/>
      <c r="K349" s="179"/>
      <c r="L349" s="179"/>
      <c r="M349" s="179"/>
      <c r="N349" s="179"/>
      <c r="O349" s="179"/>
      <c r="P349" s="179"/>
      <c r="Q349" s="179"/>
      <c r="R349" s="179"/>
      <c r="S349" s="179"/>
      <c r="T349" s="179"/>
      <c r="U349" s="179"/>
      <c r="V349" s="179"/>
      <c r="W349" s="179"/>
      <c r="X349" s="179"/>
      <c r="Y349" s="179"/>
      <c r="Z349" s="179"/>
      <c r="AA349" s="179"/>
      <c r="AB349" s="179"/>
      <c r="AC349" s="179"/>
      <c r="AD349" s="203"/>
      <c r="AE349" s="203"/>
      <c r="AF349" s="203"/>
      <c r="AG349" s="203"/>
      <c r="AH349" s="179"/>
      <c r="AI349" s="179"/>
      <c r="AJ349" s="179"/>
      <c r="AK349" s="179"/>
      <c r="AL349" s="179"/>
      <c r="AM349" s="179"/>
      <c r="AN349" s="179"/>
      <c r="AO349" s="179"/>
      <c r="AP349" s="179"/>
      <c r="AQ349" s="179"/>
      <c r="AR349" s="179"/>
      <c r="AS349" s="179"/>
      <c r="AT349" s="179"/>
    </row>
    <row r="350" spans="4:46" hidden="1">
      <c r="D350" s="183" t="s">
        <v>345</v>
      </c>
      <c r="E350" s="258" t="s">
        <v>346</v>
      </c>
      <c r="F350" s="251"/>
      <c r="G350" s="251"/>
      <c r="H350" s="251"/>
      <c r="I350" s="251"/>
      <c r="J350" s="251"/>
      <c r="K350" s="251"/>
      <c r="L350" s="251"/>
      <c r="M350" s="251"/>
      <c r="N350" s="251"/>
      <c r="O350" s="251"/>
      <c r="P350" s="251"/>
      <c r="Q350" s="251"/>
      <c r="R350" s="251"/>
      <c r="S350" s="251"/>
      <c r="T350" s="251"/>
      <c r="U350" s="251"/>
      <c r="V350" s="205">
        <v>88680</v>
      </c>
      <c r="W350" s="205">
        <v>94047</v>
      </c>
      <c r="X350" s="205">
        <v>98116</v>
      </c>
      <c r="Y350" s="205"/>
      <c r="Z350" s="205"/>
      <c r="AA350" s="205"/>
      <c r="AB350" s="205"/>
      <c r="AC350" s="205"/>
      <c r="AD350" s="205"/>
      <c r="AE350" s="205"/>
      <c r="AF350" s="205"/>
      <c r="AG350" s="205"/>
      <c r="AH350" s="205"/>
      <c r="AI350" s="205"/>
      <c r="AJ350" s="205"/>
      <c r="AK350" s="205"/>
      <c r="AL350" s="205"/>
      <c r="AM350" s="205"/>
      <c r="AN350" s="205"/>
      <c r="AO350" s="205"/>
      <c r="AP350" s="205"/>
      <c r="AQ350" s="205"/>
      <c r="AR350" s="205"/>
      <c r="AS350" s="205"/>
      <c r="AT350" s="205"/>
    </row>
    <row r="351" spans="4:46" hidden="1">
      <c r="D351" s="183" t="s">
        <v>312</v>
      </c>
      <c r="E351" s="259"/>
      <c r="F351" s="251"/>
      <c r="G351" s="251"/>
      <c r="H351" s="251"/>
      <c r="I351" s="251"/>
      <c r="J351" s="251"/>
      <c r="K351" s="251"/>
      <c r="L351" s="251"/>
      <c r="M351" s="251"/>
      <c r="N351" s="251"/>
      <c r="O351" s="251"/>
      <c r="P351" s="251"/>
      <c r="Q351" s="251"/>
      <c r="R351" s="251"/>
      <c r="S351" s="251"/>
      <c r="T351" s="251"/>
      <c r="U351" s="251"/>
      <c r="V351" s="205">
        <v>54692</v>
      </c>
      <c r="W351" s="205">
        <v>57220</v>
      </c>
      <c r="X351" s="205">
        <v>60975</v>
      </c>
      <c r="Y351" s="205"/>
      <c r="Z351" s="205"/>
      <c r="AA351" s="205"/>
      <c r="AB351" s="205"/>
      <c r="AC351" s="205"/>
      <c r="AD351" s="205"/>
      <c r="AE351" s="205"/>
      <c r="AF351" s="205"/>
      <c r="AG351" s="205"/>
      <c r="AH351" s="205"/>
      <c r="AI351" s="205"/>
      <c r="AJ351" s="205"/>
      <c r="AK351" s="205"/>
      <c r="AL351" s="205"/>
      <c r="AM351" s="205"/>
      <c r="AN351" s="205"/>
      <c r="AO351" s="205"/>
      <c r="AP351" s="205"/>
      <c r="AQ351" s="205"/>
      <c r="AR351" s="205"/>
      <c r="AS351" s="205"/>
      <c r="AT351" s="205"/>
    </row>
    <row r="352" spans="4:46" hidden="1">
      <c r="D352" s="183" t="s">
        <v>313</v>
      </c>
      <c r="E352" s="260" t="s">
        <v>330</v>
      </c>
      <c r="F352" s="251"/>
      <c r="G352" s="251"/>
      <c r="H352" s="251"/>
      <c r="I352" s="251"/>
      <c r="J352" s="251"/>
      <c r="K352" s="251"/>
      <c r="L352" s="251"/>
      <c r="M352" s="251"/>
      <c r="N352" s="251"/>
      <c r="O352" s="251"/>
      <c r="P352" s="251"/>
      <c r="Q352" s="251"/>
      <c r="R352" s="251"/>
      <c r="S352" s="251"/>
      <c r="T352" s="251"/>
      <c r="U352" s="252"/>
      <c r="V352" s="205">
        <v>15155</v>
      </c>
      <c r="W352" s="205">
        <v>15948</v>
      </c>
      <c r="X352" s="205">
        <v>16053</v>
      </c>
      <c r="Y352" s="205"/>
      <c r="Z352" s="205"/>
      <c r="AA352" s="205"/>
      <c r="AB352" s="205"/>
      <c r="AC352" s="205"/>
      <c r="AD352" s="205"/>
      <c r="AE352" s="205"/>
      <c r="AF352" s="205"/>
      <c r="AG352" s="205"/>
      <c r="AH352" s="205"/>
      <c r="AI352" s="205"/>
      <c r="AJ352" s="205"/>
      <c r="AK352" s="205"/>
      <c r="AL352" s="205"/>
      <c r="AM352" s="205"/>
      <c r="AN352" s="205"/>
      <c r="AO352" s="205"/>
      <c r="AP352" s="205"/>
      <c r="AQ352" s="205"/>
      <c r="AR352" s="205"/>
      <c r="AS352" s="205"/>
      <c r="AT352" s="205"/>
    </row>
    <row r="353" spans="4:46" hidden="1">
      <c r="D353" s="183" t="s">
        <v>311</v>
      </c>
      <c r="E353" s="261">
        <v>5.5E-2</v>
      </c>
      <c r="F353" s="223"/>
      <c r="G353" s="223"/>
      <c r="H353" s="223"/>
      <c r="I353" s="223"/>
      <c r="J353" s="223"/>
      <c r="K353" s="223"/>
      <c r="L353" s="223"/>
      <c r="M353" s="223"/>
      <c r="N353" s="223"/>
      <c r="O353" s="223"/>
      <c r="P353" s="223"/>
      <c r="Q353" s="223"/>
      <c r="R353" s="223"/>
      <c r="S353" s="223"/>
      <c r="T353" s="223"/>
      <c r="U353" s="224"/>
      <c r="V353" s="224">
        <f>+E353</f>
        <v>5.5E-2</v>
      </c>
      <c r="W353" s="224">
        <f t="shared" ref="W353:AB353" si="183">+(1+W348)/(1+W354)-1</f>
        <v>9.5018346567943279E-2</v>
      </c>
      <c r="X353" s="224">
        <f t="shared" si="183"/>
        <v>7.872738308830729E-2</v>
      </c>
      <c r="Y353" s="224">
        <f t="shared" si="183"/>
        <v>0.10539311383996108</v>
      </c>
      <c r="Z353" s="224">
        <f t="shared" si="183"/>
        <v>4.8376184032476122E-2</v>
      </c>
      <c r="AA353" s="224">
        <f t="shared" si="183"/>
        <v>0.1000299016804429</v>
      </c>
      <c r="AB353" s="224">
        <f t="shared" si="183"/>
        <v>0.25010497749123428</v>
      </c>
      <c r="AC353" s="224">
        <v>0.08</v>
      </c>
      <c r="AD353" s="224">
        <v>0.1</v>
      </c>
      <c r="AE353" s="224">
        <v>0.08</v>
      </c>
      <c r="AF353" s="224">
        <v>0.08</v>
      </c>
      <c r="AG353" s="224">
        <v>0.08</v>
      </c>
      <c r="AH353" s="224">
        <v>3.5099999999999999E-2</v>
      </c>
      <c r="AI353" s="224">
        <f t="shared" ref="AI353:AK354" si="184">AH353</f>
        <v>3.5099999999999999E-2</v>
      </c>
      <c r="AJ353" s="224"/>
      <c r="AK353" s="224">
        <f t="shared" si="184"/>
        <v>0</v>
      </c>
      <c r="AL353" s="224">
        <f t="shared" ref="AL353:AL354" si="185">AK353</f>
        <v>0</v>
      </c>
      <c r="AM353" s="224">
        <f t="shared" ref="AM353:AM354" si="186">AL353</f>
        <v>0</v>
      </c>
      <c r="AN353" s="224">
        <f t="shared" ref="AN353:AN354" si="187">AM353</f>
        <v>0</v>
      </c>
      <c r="AO353" s="224">
        <f t="shared" ref="AO353:AO354" si="188">AN353</f>
        <v>0</v>
      </c>
      <c r="AP353" s="224"/>
      <c r="AQ353" s="224"/>
      <c r="AR353" s="224"/>
      <c r="AS353" s="224"/>
      <c r="AT353" s="224"/>
    </row>
    <row r="354" spans="4:46" hidden="1">
      <c r="D354" s="183" t="s">
        <v>314</v>
      </c>
      <c r="E354" s="262" t="s">
        <v>271</v>
      </c>
      <c r="F354" s="225"/>
      <c r="G354" s="225"/>
      <c r="H354" s="225"/>
      <c r="I354" s="225"/>
      <c r="J354" s="225"/>
      <c r="K354" s="225"/>
      <c r="L354" s="225"/>
      <c r="M354" s="225"/>
      <c r="N354" s="225"/>
      <c r="O354" s="225"/>
      <c r="P354" s="225"/>
      <c r="Q354" s="225"/>
      <c r="R354" s="225"/>
      <c r="S354" s="225"/>
      <c r="T354" s="225"/>
      <c r="U354" s="225"/>
      <c r="V354" s="226">
        <f>+(1+V348)/(1+V353)-1</f>
        <v>8.1908591543676135E-2</v>
      </c>
      <c r="W354" s="226">
        <f>+W355*$E355+W356*$E356+W357*$E357</f>
        <v>8.3743315508021401E-2</v>
      </c>
      <c r="X354" s="226">
        <f>+X355*$E355+X356*$E356+X357*$E357</f>
        <v>0.11978609625668449</v>
      </c>
      <c r="Y354" s="226">
        <f>+Y355*$E355+Y356*$E356+Y357*$E357</f>
        <v>3.4491978609625669E-2</v>
      </c>
      <c r="Z354" s="226">
        <v>0</v>
      </c>
      <c r="AA354" s="226">
        <v>0.04</v>
      </c>
      <c r="AB354" s="226">
        <v>0.05</v>
      </c>
      <c r="AC354" s="226">
        <v>0.05</v>
      </c>
      <c r="AD354" s="226">
        <v>0.05</v>
      </c>
      <c r="AE354" s="227">
        <v>7.0499999999999993E-2</v>
      </c>
      <c r="AF354" s="227">
        <v>7.0499999999999993E-2</v>
      </c>
      <c r="AG354" s="227">
        <v>7.0499999999999993E-2</v>
      </c>
      <c r="AH354" s="227">
        <v>0.04</v>
      </c>
      <c r="AI354" s="227">
        <f t="shared" si="184"/>
        <v>0.04</v>
      </c>
      <c r="AJ354" s="227"/>
      <c r="AK354" s="227">
        <f t="shared" si="184"/>
        <v>0</v>
      </c>
      <c r="AL354" s="227">
        <f t="shared" si="185"/>
        <v>0</v>
      </c>
      <c r="AM354" s="227">
        <f t="shared" si="186"/>
        <v>0</v>
      </c>
      <c r="AN354" s="227">
        <f t="shared" si="187"/>
        <v>0</v>
      </c>
      <c r="AO354" s="227">
        <f t="shared" si="188"/>
        <v>0</v>
      </c>
      <c r="AP354" s="227"/>
      <c r="AQ354" s="227"/>
      <c r="AR354" s="227"/>
      <c r="AS354" s="227"/>
      <c r="AT354" s="227"/>
    </row>
    <row r="355" spans="4:46" hidden="1">
      <c r="D355" s="183" t="s">
        <v>336</v>
      </c>
      <c r="E355" s="266">
        <f>115/187</f>
        <v>0.61497326203208558</v>
      </c>
      <c r="F355" s="251"/>
      <c r="G355" s="251"/>
      <c r="H355" s="251"/>
      <c r="I355" s="251"/>
      <c r="J355" s="251"/>
      <c r="K355" s="251"/>
      <c r="L355" s="251"/>
      <c r="M355" s="251"/>
      <c r="N355" s="251"/>
      <c r="O355" s="251"/>
      <c r="P355" s="251"/>
      <c r="Q355" s="251"/>
      <c r="R355" s="251"/>
      <c r="S355" s="251"/>
      <c r="T355" s="251"/>
      <c r="U355" s="251"/>
      <c r="V355" s="265"/>
      <c r="W355" s="265">
        <v>0.06</v>
      </c>
      <c r="X355" s="265">
        <v>0.05</v>
      </c>
      <c r="Y355" s="265">
        <v>0.02</v>
      </c>
      <c r="Z355" s="265"/>
      <c r="AA355" s="265"/>
      <c r="AB355" s="265"/>
      <c r="AC355" s="265"/>
      <c r="AD355" s="265"/>
      <c r="AE355" s="216"/>
      <c r="AF355" s="216"/>
      <c r="AG355" s="216"/>
      <c r="AH355" s="265"/>
      <c r="AI355" s="265"/>
      <c r="AJ355" s="265"/>
      <c r="AK355" s="265"/>
      <c r="AL355" s="265"/>
      <c r="AM355" s="265"/>
      <c r="AN355" s="265"/>
      <c r="AO355" s="265"/>
      <c r="AP355" s="265"/>
      <c r="AQ355" s="265"/>
      <c r="AR355" s="265"/>
      <c r="AS355" s="265"/>
      <c r="AT355" s="265"/>
    </row>
    <row r="356" spans="4:46" hidden="1">
      <c r="D356" s="183" t="s">
        <v>334</v>
      </c>
      <c r="E356" s="266">
        <f>55/187</f>
        <v>0.29411764705882354</v>
      </c>
      <c r="F356" s="251"/>
      <c r="G356" s="251"/>
      <c r="H356" s="251"/>
      <c r="I356" s="251"/>
      <c r="J356" s="251"/>
      <c r="K356" s="251"/>
      <c r="L356" s="251"/>
      <c r="M356" s="251"/>
      <c r="N356" s="251"/>
      <c r="O356" s="251"/>
      <c r="P356" s="251"/>
      <c r="Q356" s="251"/>
      <c r="R356" s="251"/>
      <c r="S356" s="251"/>
      <c r="T356" s="251"/>
      <c r="U356" s="251"/>
      <c r="V356" s="265"/>
      <c r="W356" s="265">
        <v>0.15</v>
      </c>
      <c r="X356" s="265">
        <v>0.27800000000000002</v>
      </c>
      <c r="Y356" s="265">
        <v>0.06</v>
      </c>
      <c r="Z356" s="265"/>
      <c r="AA356" s="265"/>
      <c r="AB356" s="265"/>
      <c r="AC356" s="265"/>
      <c r="AD356" s="265"/>
      <c r="AE356" s="216"/>
      <c r="AF356" s="216"/>
      <c r="AG356" s="216"/>
      <c r="AH356" s="265"/>
      <c r="AI356" s="265"/>
      <c r="AJ356" s="265"/>
      <c r="AK356" s="265"/>
      <c r="AL356" s="265"/>
      <c r="AM356" s="265"/>
      <c r="AN356" s="265"/>
      <c r="AO356" s="265"/>
      <c r="AP356" s="265"/>
      <c r="AQ356" s="265"/>
      <c r="AR356" s="265"/>
      <c r="AS356" s="265"/>
      <c r="AT356" s="265"/>
    </row>
    <row r="357" spans="4:46" hidden="1">
      <c r="D357" s="183" t="s">
        <v>335</v>
      </c>
      <c r="E357" s="266">
        <f>1-E355-E356</f>
        <v>9.0909090909090884E-2</v>
      </c>
      <c r="F357" s="251"/>
      <c r="G357" s="251"/>
      <c r="H357" s="251"/>
      <c r="I357" s="251"/>
      <c r="J357" s="251"/>
      <c r="K357" s="251"/>
      <c r="L357" s="251"/>
      <c r="M357" s="251"/>
      <c r="N357" s="251"/>
      <c r="O357" s="251"/>
      <c r="P357" s="251"/>
      <c r="Q357" s="251"/>
      <c r="R357" s="251"/>
      <c r="S357" s="251"/>
      <c r="T357" s="251"/>
      <c r="U357" s="251"/>
      <c r="V357" s="265"/>
      <c r="W357" s="265">
        <v>0.03</v>
      </c>
      <c r="X357" s="265">
        <v>0.08</v>
      </c>
      <c r="Y357" s="265">
        <v>0.05</v>
      </c>
      <c r="Z357" s="265"/>
      <c r="AA357" s="265"/>
      <c r="AB357" s="265"/>
      <c r="AC357" s="265"/>
      <c r="AD357" s="265"/>
      <c r="AE357" s="216"/>
      <c r="AF357" s="216"/>
      <c r="AG357" s="216"/>
      <c r="AH357" s="265"/>
      <c r="AI357" s="265"/>
      <c r="AJ357" s="265"/>
      <c r="AK357" s="265"/>
      <c r="AL357" s="265"/>
      <c r="AM357" s="265"/>
      <c r="AN357" s="265"/>
      <c r="AO357" s="265"/>
      <c r="AP357" s="265"/>
      <c r="AQ357" s="265"/>
      <c r="AR357" s="265"/>
      <c r="AS357" s="265"/>
      <c r="AT357" s="265"/>
    </row>
    <row r="358" spans="4:46" hidden="1">
      <c r="D358" s="190" t="s">
        <v>230</v>
      </c>
      <c r="E358" s="191" t="s">
        <v>225</v>
      </c>
      <c r="F358" s="175"/>
      <c r="G358" s="175"/>
      <c r="H358" s="175"/>
      <c r="I358" s="175"/>
      <c r="J358" s="175"/>
      <c r="K358" s="175"/>
      <c r="L358" s="175"/>
      <c r="M358" s="175"/>
      <c r="N358" s="175"/>
      <c r="O358" s="175"/>
      <c r="P358" s="175"/>
      <c r="Q358" s="175"/>
      <c r="R358" s="175"/>
      <c r="S358" s="175"/>
      <c r="T358" s="175"/>
      <c r="U358" s="175"/>
      <c r="V358" s="179">
        <f t="shared" ref="V358:AB358" si="189">+V721/V$284</f>
        <v>3.2221049078161514E-2</v>
      </c>
      <c r="W358" s="179">
        <f t="shared" si="189"/>
        <v>3.3785310734463274E-2</v>
      </c>
      <c r="X358" s="179">
        <f t="shared" si="189"/>
        <v>2.5081499592502037E-2</v>
      </c>
      <c r="Y358" s="179">
        <f t="shared" si="189"/>
        <v>2.6703407270001873E-2</v>
      </c>
      <c r="Z358" s="179">
        <f t="shared" si="189"/>
        <v>2.7335047129391603E-2</v>
      </c>
      <c r="AA358" s="179">
        <f t="shared" si="189"/>
        <v>2.7563163865405159E-2</v>
      </c>
      <c r="AB358" s="179">
        <f t="shared" si="189"/>
        <v>3.0294701839231407E-2</v>
      </c>
      <c r="AC358" s="228">
        <f t="shared" ref="AC358:AK358" si="190">+AB358*(1+AC360*AC$285)/(1+AC$285)</f>
        <v>3.1624630179703656E-2</v>
      </c>
      <c r="AD358" s="228">
        <f t="shared" si="190"/>
        <v>3.1021106869137244E-2</v>
      </c>
      <c r="AE358" s="228">
        <f t="shared" si="190"/>
        <v>3.7174153001247053E-2</v>
      </c>
      <c r="AF358" s="228">
        <f>+AE358*(1+AF360*AF$285)/(1+AF$285)</f>
        <v>4.9304324154291E-2</v>
      </c>
      <c r="AG358" s="228">
        <f>+AF358*(1+AG360*AG$285)/(1+AG$285)</f>
        <v>8.3277169139107016E-2</v>
      </c>
      <c r="AH358" s="228">
        <f t="shared" si="190"/>
        <v>7.6533913239647852E-2</v>
      </c>
      <c r="AI358" s="228">
        <f t="shared" si="190"/>
        <v>8.3852637419698201E-2</v>
      </c>
      <c r="AJ358" s="228"/>
      <c r="AK358" s="228" t="e">
        <f t="shared" si="190"/>
        <v>#DIV/0!</v>
      </c>
      <c r="AL358" s="228" t="e">
        <f t="shared" ref="AL358" si="191">+AK358*(1+AL360*AL$285)/(1+AL$285)</f>
        <v>#DIV/0!</v>
      </c>
      <c r="AM358" s="228" t="e">
        <f t="shared" ref="AM358" si="192">+AL358*(1+AM360*AM$285)/(1+AM$285)</f>
        <v>#DIV/0!</v>
      </c>
      <c r="AN358" s="228" t="e">
        <f t="shared" ref="AN358" si="193">+AM358*(1+AN360*AN$285)/(1+AN$285)</f>
        <v>#DIV/0!</v>
      </c>
      <c r="AO358" s="228" t="e">
        <f t="shared" ref="AO358" si="194">+AN358*(1+AO360*AO$285)/(1+AO$285)</f>
        <v>#DIV/0!</v>
      </c>
      <c r="AP358" s="228"/>
      <c r="AQ358" s="228"/>
      <c r="AR358" s="228"/>
      <c r="AS358" s="228"/>
      <c r="AT358" s="228"/>
    </row>
    <row r="359" spans="4:46" hidden="1">
      <c r="D359" s="175" t="s">
        <v>265</v>
      </c>
      <c r="E359" s="175"/>
      <c r="F359" s="175"/>
      <c r="G359" s="175"/>
      <c r="H359" s="175"/>
      <c r="I359" s="175"/>
      <c r="J359" s="175"/>
      <c r="K359" s="175"/>
      <c r="L359" s="175"/>
      <c r="M359" s="175"/>
      <c r="N359" s="175"/>
      <c r="O359" s="175"/>
      <c r="P359" s="175"/>
      <c r="Q359" s="175"/>
      <c r="R359" s="175"/>
      <c r="S359" s="175"/>
      <c r="T359" s="175"/>
      <c r="U359" s="175"/>
      <c r="V359" s="179"/>
      <c r="W359" s="179">
        <f t="shared" ref="W359:AB359" si="195">+W721/V721-1</f>
        <v>0.2048361720992824</v>
      </c>
      <c r="X359" s="179">
        <f t="shared" si="195"/>
        <v>-0.17658862876254189</v>
      </c>
      <c r="Y359" s="179">
        <f t="shared" si="195"/>
        <v>0.15772611372867584</v>
      </c>
      <c r="Z359" s="179">
        <f t="shared" si="195"/>
        <v>0.11917191977080188</v>
      </c>
      <c r="AA359" s="179">
        <f t="shared" si="195"/>
        <v>0.13242265084639504</v>
      </c>
      <c r="AB359" s="180">
        <f t="shared" si="195"/>
        <v>0.21332166378042405</v>
      </c>
      <c r="AC359" s="180">
        <f t="shared" ref="AC359:AO359" si="196">+AC360*AC$285</f>
        <v>0.15674592203483545</v>
      </c>
      <c r="AD359" s="180">
        <f t="shared" si="196"/>
        <v>6.6819610778443075E-2</v>
      </c>
      <c r="AE359" s="180">
        <f>+AE360*AE$285</f>
        <v>0.29017159899059408</v>
      </c>
      <c r="AF359" s="180">
        <f>+AF360*AF$285</f>
        <v>0.4513632005113995</v>
      </c>
      <c r="AG359" s="180">
        <f>+AG360*AG$285</f>
        <v>0.97304537046051931</v>
      </c>
      <c r="AH359" s="180">
        <f t="shared" si="196"/>
        <v>0.17126454409068181</v>
      </c>
      <c r="AI359" s="180">
        <f t="shared" si="196"/>
        <v>0.27160395003596871</v>
      </c>
      <c r="AJ359" s="180"/>
      <c r="AK359" s="180" t="e">
        <f t="shared" si="196"/>
        <v>#DIV/0!</v>
      </c>
      <c r="AL359" s="180">
        <f t="shared" si="196"/>
        <v>0.15383891854149295</v>
      </c>
      <c r="AM359" s="180">
        <f t="shared" si="196"/>
        <v>0.27623602062394759</v>
      </c>
      <c r="AN359" s="180">
        <f t="shared" si="196"/>
        <v>0.40371353352563061</v>
      </c>
      <c r="AO359" s="180">
        <f t="shared" si="196"/>
        <v>0.52995291236416431</v>
      </c>
      <c r="AP359" s="180"/>
      <c r="AQ359" s="180"/>
      <c r="AR359" s="180"/>
      <c r="AS359" s="180"/>
      <c r="AT359" s="180"/>
    </row>
    <row r="360" spans="4:46" hidden="1">
      <c r="D360" s="175" t="s">
        <v>260</v>
      </c>
      <c r="E360" s="175"/>
      <c r="F360" s="175"/>
      <c r="G360" s="175"/>
      <c r="H360" s="175"/>
      <c r="I360" s="175"/>
      <c r="J360" s="175"/>
      <c r="K360" s="175"/>
      <c r="L360" s="175"/>
      <c r="M360" s="175"/>
      <c r="N360" s="175"/>
      <c r="O360" s="175"/>
      <c r="P360" s="175"/>
      <c r="Q360" s="175"/>
      <c r="R360" s="175"/>
      <c r="S360" s="175"/>
      <c r="T360" s="175"/>
      <c r="U360" s="175"/>
      <c r="V360" s="179"/>
      <c r="W360" s="229">
        <f t="shared" ref="W360:AB360" si="197">+(W721/V721-1)/W$285</f>
        <v>1.3742580117671364</v>
      </c>
      <c r="X360" s="229">
        <f t="shared" si="197"/>
        <v>-1.617815077172355</v>
      </c>
      <c r="Y360" s="229">
        <f t="shared" si="197"/>
        <v>1.8044749794413566</v>
      </c>
      <c r="Z360" s="229">
        <f t="shared" si="197"/>
        <v>1.2771496703147995</v>
      </c>
      <c r="AA360" s="229">
        <f t="shared" si="197"/>
        <v>1.0761645789536414</v>
      </c>
      <c r="AB360" s="220">
        <f t="shared" si="197"/>
        <v>2.0527119864216141</v>
      </c>
      <c r="AC360" s="220">
        <v>1.45</v>
      </c>
      <c r="AD360" s="220">
        <v>0.76300000000000001</v>
      </c>
      <c r="AE360" s="231">
        <v>3.7869999999999999</v>
      </c>
      <c r="AF360" s="231">
        <v>4.7869999999999999</v>
      </c>
      <c r="AG360" s="231">
        <v>5.7869999999999999</v>
      </c>
      <c r="AH360" s="231">
        <v>0.624</v>
      </c>
      <c r="AI360" s="231">
        <v>1.6910000000000001</v>
      </c>
      <c r="AJ360" s="231"/>
      <c r="AK360" s="231">
        <v>0.19800000000000001</v>
      </c>
      <c r="AL360" s="231">
        <v>1.198</v>
      </c>
      <c r="AM360" s="231">
        <v>2.198</v>
      </c>
      <c r="AN360" s="231">
        <v>3.198</v>
      </c>
      <c r="AO360" s="231">
        <v>4.1980000000000004</v>
      </c>
      <c r="AP360" s="231"/>
      <c r="AQ360" s="231"/>
      <c r="AR360" s="231"/>
      <c r="AS360" s="231"/>
      <c r="AT360" s="231"/>
    </row>
    <row r="361" spans="4:46" hidden="1">
      <c r="D361" s="190" t="s">
        <v>231</v>
      </c>
      <c r="E361" s="175"/>
      <c r="F361" s="175"/>
      <c r="G361" s="175"/>
      <c r="H361" s="175"/>
      <c r="I361" s="175"/>
      <c r="J361" s="175"/>
      <c r="K361" s="175"/>
      <c r="L361" s="175"/>
      <c r="M361" s="175"/>
      <c r="N361" s="175"/>
      <c r="O361" s="175"/>
      <c r="P361" s="175"/>
      <c r="Q361" s="175"/>
      <c r="R361" s="175"/>
      <c r="S361" s="175"/>
      <c r="T361" s="175"/>
      <c r="U361" s="175"/>
      <c r="V361" s="179">
        <f t="shared" ref="V361:AI361" si="198">+V736/V$284</f>
        <v>5.1197366917683715E-2</v>
      </c>
      <c r="W361" s="179">
        <f t="shared" si="198"/>
        <v>5.0983050847457627E-2</v>
      </c>
      <c r="X361" s="179">
        <f t="shared" si="198"/>
        <v>4.7025264873675636E-2</v>
      </c>
      <c r="Y361" s="179">
        <f t="shared" si="198"/>
        <v>5.3733597909687084E-2</v>
      </c>
      <c r="Z361" s="179">
        <f t="shared" si="198"/>
        <v>5.2116538131962299E-2</v>
      </c>
      <c r="AA361" s="179">
        <f t="shared" si="198"/>
        <v>4.710282610502755E-2</v>
      </c>
      <c r="AB361" s="179">
        <f t="shared" si="198"/>
        <v>4.9889883212582239E-2</v>
      </c>
      <c r="AC361" s="179">
        <f t="shared" si="198"/>
        <v>4.5320413011457082E-2</v>
      </c>
      <c r="AD361" s="179">
        <f t="shared" si="198"/>
        <v>4.6711516095434731E-2</v>
      </c>
      <c r="AE361" s="179">
        <f t="shared" si="198"/>
        <v>4.5212008393398319E-2</v>
      </c>
      <c r="AF361" s="179">
        <f t="shared" si="198"/>
        <v>4.4523863574660281E-2</v>
      </c>
      <c r="AG361" s="179">
        <f t="shared" si="198"/>
        <v>6.1676805298141672E-2</v>
      </c>
      <c r="AH361" s="179">
        <f t="shared" si="198"/>
        <v>5.5166668157043873E-2</v>
      </c>
      <c r="AI361" s="179">
        <f t="shared" si="198"/>
        <v>5.21646151983143E-2</v>
      </c>
      <c r="AJ361" s="179"/>
      <c r="AK361" s="179" t="e">
        <f>+AK736/AK$284</f>
        <v>#DIV/0!</v>
      </c>
      <c r="AL361" s="179" t="e">
        <f>+AL736/AL$284</f>
        <v>#DIV/0!</v>
      </c>
      <c r="AM361" s="179" t="e">
        <f>+AM736/AM$284</f>
        <v>#DIV/0!</v>
      </c>
      <c r="AN361" s="179">
        <v>5.0977669134097528E-2</v>
      </c>
      <c r="AO361" s="179">
        <v>5.0977669134097528E-2</v>
      </c>
      <c r="AP361" s="179"/>
      <c r="AQ361" s="179"/>
      <c r="AR361" s="179"/>
      <c r="AS361" s="179"/>
      <c r="AT361" s="179"/>
    </row>
    <row r="362" spans="4:46" hidden="1">
      <c r="D362" s="175" t="s">
        <v>263</v>
      </c>
      <c r="E362" s="191" t="s">
        <v>225</v>
      </c>
      <c r="F362" s="175"/>
      <c r="G362" s="175"/>
      <c r="H362" s="175"/>
      <c r="I362" s="175"/>
      <c r="J362" s="175"/>
      <c r="K362" s="175"/>
      <c r="L362" s="175"/>
      <c r="M362" s="175"/>
      <c r="N362" s="175"/>
      <c r="O362" s="175"/>
      <c r="P362" s="175"/>
      <c r="Q362" s="175"/>
      <c r="R362" s="175"/>
      <c r="S362" s="175"/>
      <c r="T362" s="175"/>
      <c r="U362" s="175"/>
      <c r="V362" s="179">
        <f t="shared" ref="V362:AC362" si="199">+V737/V$284</f>
        <v>3.6055314390608162E-2</v>
      </c>
      <c r="W362" s="179">
        <f t="shared" si="199"/>
        <v>3.5344632768361584E-2</v>
      </c>
      <c r="X362" s="179">
        <f t="shared" si="199"/>
        <v>2.8769356153219239E-2</v>
      </c>
      <c r="Y362" s="179">
        <f t="shared" si="199"/>
        <v>3.3548488197114472E-2</v>
      </c>
      <c r="Z362" s="179">
        <f t="shared" si="199"/>
        <v>2.8637532133676102E-2</v>
      </c>
      <c r="AA362" s="179">
        <f t="shared" si="199"/>
        <v>3.2378506694528547E-2</v>
      </c>
      <c r="AB362" s="179">
        <f t="shared" si="199"/>
        <v>2.7414367714680667E-2</v>
      </c>
      <c r="AC362" s="179">
        <f t="shared" si="199"/>
        <v>2.4013242050347623E-2</v>
      </c>
      <c r="AD362" s="228">
        <f t="shared" ref="AD362:AK362" si="200">+AC362*(1+AD364*AD$285)/(1+AD$285)</f>
        <v>2.3674858615398642E-2</v>
      </c>
      <c r="AE362" s="228">
        <f t="shared" si="200"/>
        <v>2.2313430649437669E-2</v>
      </c>
      <c r="AF362" s="228">
        <f>+AE362*(1+AF364*AF$285)/(1+AF$285)</f>
        <v>2.2682576607567589E-2</v>
      </c>
      <c r="AG362" s="228">
        <f>+AF362*(1+AG364*AG$285)/(1+AG$285)</f>
        <v>2.6574391016895217E-2</v>
      </c>
      <c r="AH362" s="228">
        <f t="shared" si="200"/>
        <v>2.4285215171793238E-2</v>
      </c>
      <c r="AI362" s="228">
        <f t="shared" si="200"/>
        <v>2.3891999126825349E-2</v>
      </c>
      <c r="AJ362" s="228"/>
      <c r="AK362" s="228" t="e">
        <f t="shared" si="200"/>
        <v>#DIV/0!</v>
      </c>
      <c r="AL362" s="228" t="e">
        <f t="shared" ref="AL362" si="201">+AK362*(1+AL364*AL$285)/(1+AL$285)</f>
        <v>#DIV/0!</v>
      </c>
      <c r="AM362" s="228" t="e">
        <f t="shared" ref="AM362" si="202">+AL362*(1+AM364*AM$285)/(1+AM$285)</f>
        <v>#DIV/0!</v>
      </c>
      <c r="AN362" s="228" t="e">
        <f t="shared" ref="AN362" si="203">+AM362*(1+AN364*AN$285)/(1+AN$285)</f>
        <v>#DIV/0!</v>
      </c>
      <c r="AO362" s="228" t="e">
        <f t="shared" ref="AO362" si="204">+AN362*(1+AO364*AO$285)/(1+AO$285)</f>
        <v>#DIV/0!</v>
      </c>
      <c r="AP362" s="228"/>
      <c r="AQ362" s="228"/>
      <c r="AR362" s="228"/>
      <c r="AS362" s="228"/>
      <c r="AT362" s="228"/>
    </row>
    <row r="363" spans="4:46" hidden="1">
      <c r="D363" s="175" t="s">
        <v>264</v>
      </c>
      <c r="E363" s="175"/>
      <c r="F363" s="175"/>
      <c r="G363" s="175"/>
      <c r="H363" s="175"/>
      <c r="I363" s="175"/>
      <c r="J363" s="175"/>
      <c r="K363" s="175"/>
      <c r="L363" s="175"/>
      <c r="M363" s="175"/>
      <c r="N363" s="175"/>
      <c r="O363" s="175"/>
      <c r="P363" s="175"/>
      <c r="Q363" s="175"/>
      <c r="R363" s="175"/>
      <c r="S363" s="175"/>
      <c r="T363" s="175"/>
      <c r="U363" s="175"/>
      <c r="V363" s="179"/>
      <c r="W363" s="179">
        <f t="shared" ref="W363:AC363" si="205">+W737/V737-1</f>
        <v>0.12640337557296322</v>
      </c>
      <c r="X363" s="179">
        <f t="shared" si="205"/>
        <v>-9.7186700767263323E-2</v>
      </c>
      <c r="Y363" s="179">
        <f t="shared" si="205"/>
        <v>0.26804731946175586</v>
      </c>
      <c r="Z363" s="179">
        <f t="shared" si="205"/>
        <v>-6.6732176412796496E-2</v>
      </c>
      <c r="AA363" s="179">
        <f t="shared" si="205"/>
        <v>0.26975675864300119</v>
      </c>
      <c r="AB363" s="179">
        <f t="shared" si="205"/>
        <v>-6.5326875666474771E-2</v>
      </c>
      <c r="AC363" s="179">
        <f t="shared" si="205"/>
        <v>-2.9374338937335986E-2</v>
      </c>
      <c r="AD363" s="228">
        <f t="shared" ref="AD363:AK363" si="206">+AD364*AD285</f>
        <v>7.2249251497005951E-2</v>
      </c>
      <c r="AE363" s="228">
        <f t="shared" si="206"/>
        <v>1.4711631108052303E-2</v>
      </c>
      <c r="AF363" s="228">
        <f>+AF364*AF285</f>
        <v>0.11239292563392275</v>
      </c>
      <c r="AG363" s="228">
        <f>+AG364*AG285</f>
        <v>0.36857014896309975</v>
      </c>
      <c r="AH363" s="228">
        <f t="shared" si="206"/>
        <v>0.16467744624104022</v>
      </c>
      <c r="AI363" s="228">
        <f>+AI364*AI285</f>
        <v>0.14182512589104695</v>
      </c>
      <c r="AJ363" s="228"/>
      <c r="AK363" s="228" t="e">
        <f t="shared" si="206"/>
        <v>#DIV/0!</v>
      </c>
      <c r="AL363" s="228">
        <f t="shared" ref="AL363:AM363" si="207">+AL364*AL285</f>
        <v>0.23114361717419643</v>
      </c>
      <c r="AM363" s="228">
        <f t="shared" si="207"/>
        <v>0.35189301990311789</v>
      </c>
      <c r="AN363" s="228">
        <f t="shared" ref="AN363:AO363" si="208">+AN364*AN285</f>
        <v>0.47970963958642782</v>
      </c>
      <c r="AO363" s="228">
        <f t="shared" si="208"/>
        <v>0.60594901842496152</v>
      </c>
      <c r="AP363" s="228"/>
      <c r="AQ363" s="228"/>
      <c r="AR363" s="228"/>
      <c r="AS363" s="228"/>
      <c r="AT363" s="228"/>
    </row>
    <row r="364" spans="4:46" hidden="1">
      <c r="D364" s="175" t="s">
        <v>262</v>
      </c>
      <c r="E364" s="175"/>
      <c r="F364" s="175"/>
      <c r="G364" s="175"/>
      <c r="H364" s="175"/>
      <c r="I364" s="175"/>
      <c r="J364" s="175"/>
      <c r="K364" s="175"/>
      <c r="L364" s="175"/>
      <c r="M364" s="175"/>
      <c r="N364" s="175"/>
      <c r="O364" s="175"/>
      <c r="P364" s="175"/>
      <c r="Q364" s="175"/>
      <c r="R364" s="175"/>
      <c r="S364" s="175"/>
      <c r="T364" s="175"/>
      <c r="U364" s="175"/>
      <c r="V364" s="229"/>
      <c r="W364" s="229">
        <f t="shared" ref="W364:AC364" si="209">+(W737/V737-1)/W$285</f>
        <v>0.84804773402697076</v>
      </c>
      <c r="X364" s="229">
        <f t="shared" si="209"/>
        <v>-0.8903750536131263</v>
      </c>
      <c r="Y364" s="229">
        <f t="shared" si="209"/>
        <v>3.0666112911848473</v>
      </c>
      <c r="Z364" s="229">
        <f t="shared" si="209"/>
        <v>-0.71515989059256069</v>
      </c>
      <c r="AA364" s="229">
        <f t="shared" si="209"/>
        <v>2.1922432962143605</v>
      </c>
      <c r="AB364" s="229">
        <f t="shared" si="209"/>
        <v>-0.62861529551014583</v>
      </c>
      <c r="AC364" s="229">
        <f t="shared" si="209"/>
        <v>-0.27173141671699308</v>
      </c>
      <c r="AD364" s="231">
        <v>0.82499999999999996</v>
      </c>
      <c r="AE364" s="231">
        <v>0.192</v>
      </c>
      <c r="AF364" s="231">
        <v>1.1919999999999999</v>
      </c>
      <c r="AG364" s="231">
        <v>2.1920000000000002</v>
      </c>
      <c r="AH364" s="231">
        <v>0.6</v>
      </c>
      <c r="AI364" s="231">
        <v>0.88300000000000001</v>
      </c>
      <c r="AJ364" s="231"/>
      <c r="AK364" s="231">
        <v>0.8</v>
      </c>
      <c r="AL364" s="231">
        <v>1.8</v>
      </c>
      <c r="AM364" s="231">
        <v>2.8</v>
      </c>
      <c r="AN364" s="231">
        <v>3.8</v>
      </c>
      <c r="AO364" s="231">
        <v>4.8</v>
      </c>
      <c r="AP364" s="231"/>
      <c r="AQ364" s="231"/>
      <c r="AR364" s="231"/>
      <c r="AS364" s="231"/>
      <c r="AT364" s="231"/>
    </row>
    <row r="365" spans="4:46" hidden="1">
      <c r="D365" s="175" t="s">
        <v>268</v>
      </c>
      <c r="E365" s="206" t="s">
        <v>733</v>
      </c>
      <c r="F365" s="175"/>
      <c r="G365" s="175"/>
      <c r="H365" s="175"/>
      <c r="I365" s="175"/>
      <c r="J365" s="175"/>
      <c r="K365" s="175"/>
      <c r="L365" s="175"/>
      <c r="M365" s="175"/>
      <c r="N365" s="175"/>
      <c r="O365" s="175"/>
      <c r="P365" s="175"/>
      <c r="Q365" s="175"/>
      <c r="R365" s="175"/>
      <c r="S365" s="175"/>
      <c r="T365" s="175"/>
      <c r="U365" s="175"/>
      <c r="V365" s="229"/>
      <c r="W365" s="229"/>
      <c r="X365" s="229"/>
      <c r="Y365" s="229"/>
      <c r="Z365" s="229">
        <v>31</v>
      </c>
      <c r="AA365" s="229">
        <f>+AA738</f>
        <v>40.388465097000008</v>
      </c>
      <c r="AB365" s="249">
        <f>+AB738</f>
        <v>47.887879111819991</v>
      </c>
      <c r="AC365" s="249"/>
      <c r="AD365" s="231"/>
      <c r="AE365" s="231"/>
      <c r="AF365" s="231"/>
      <c r="AG365" s="231"/>
      <c r="AH365" s="229"/>
      <c r="AI365" s="229"/>
      <c r="AJ365" s="229"/>
      <c r="AK365" s="229"/>
      <c r="AL365" s="229"/>
      <c r="AM365" s="229"/>
      <c r="AN365" s="229"/>
      <c r="AO365" s="229"/>
      <c r="AP365" s="229"/>
      <c r="AQ365" s="229"/>
      <c r="AR365" s="229"/>
      <c r="AS365" s="229"/>
      <c r="AT365" s="229"/>
    </row>
    <row r="366" spans="4:46" hidden="1">
      <c r="D366" s="190" t="s">
        <v>235</v>
      </c>
      <c r="E366" s="191" t="s">
        <v>225</v>
      </c>
      <c r="F366" s="175"/>
      <c r="G366" s="175"/>
      <c r="H366" s="175"/>
      <c r="I366" s="175"/>
      <c r="J366" s="175"/>
      <c r="K366" s="175"/>
      <c r="L366" s="175"/>
      <c r="M366" s="175"/>
      <c r="N366" s="175"/>
      <c r="O366" s="175"/>
      <c r="P366" s="175"/>
      <c r="Q366" s="175"/>
      <c r="R366" s="175"/>
      <c r="S366" s="175"/>
      <c r="T366" s="175"/>
      <c r="U366" s="175"/>
      <c r="V366" s="179">
        <f t="shared" ref="V366:AI366" si="210">+(V746-V749)/V$284</f>
        <v>1.7692620098675668E-2</v>
      </c>
      <c r="W366" s="179">
        <f t="shared" si="210"/>
        <v>1.712994350282486E-2</v>
      </c>
      <c r="X366" s="179">
        <f t="shared" si="210"/>
        <v>5.9494702526487371E-3</v>
      </c>
      <c r="Y366" s="179">
        <f t="shared" si="210"/>
        <v>5.7178519214914764E-3</v>
      </c>
      <c r="Z366" s="179">
        <f t="shared" si="210"/>
        <v>5.439588688946017E-3</v>
      </c>
      <c r="AA366" s="179">
        <f t="shared" si="210"/>
        <v>4.7848715040439494E-3</v>
      </c>
      <c r="AB366" s="179">
        <f t="shared" si="210"/>
        <v>4.3133012134365482E-3</v>
      </c>
      <c r="AC366" s="179">
        <f t="shared" si="210"/>
        <v>4.4995613754990008E-3</v>
      </c>
      <c r="AD366" s="179">
        <f t="shared" si="210"/>
        <v>2.8787301116081662E-3</v>
      </c>
      <c r="AE366" s="179">
        <f t="shared" si="210"/>
        <v>4.9105050074579161E-3</v>
      </c>
      <c r="AF366" s="179">
        <f t="shared" si="210"/>
        <v>4.7775774563111988E-3</v>
      </c>
      <c r="AG366" s="179">
        <f t="shared" si="210"/>
        <v>4.0081680280046675E-3</v>
      </c>
      <c r="AH366" s="179">
        <f t="shared" si="210"/>
        <v>4.1565947175952354E-3</v>
      </c>
      <c r="AI366" s="179">
        <f t="shared" si="210"/>
        <v>3.5813652914153779E-3</v>
      </c>
      <c r="AJ366" s="179"/>
      <c r="AK366" s="179">
        <f>+(AK746-AK749)/AK$284</f>
        <v>0</v>
      </c>
      <c r="AL366" s="179">
        <f>+(AL746-AL749)/AL$284</f>
        <v>0</v>
      </c>
      <c r="AM366" s="179">
        <f>+(AM746-AM749)/AM$284</f>
        <v>0</v>
      </c>
      <c r="AN366" s="179">
        <v>2.3018078703827089E-3</v>
      </c>
      <c r="AO366" s="179">
        <v>2.3018078703827089E-3</v>
      </c>
      <c r="AP366" s="179"/>
      <c r="AQ366" s="179"/>
      <c r="AR366" s="179"/>
      <c r="AS366" s="179"/>
      <c r="AT366" s="179"/>
    </row>
    <row r="367" spans="4:46" hidden="1">
      <c r="D367" s="175" t="s">
        <v>269</v>
      </c>
      <c r="E367" s="175"/>
      <c r="F367" s="175"/>
      <c r="G367" s="175"/>
      <c r="H367" s="175"/>
      <c r="I367" s="175"/>
      <c r="J367" s="175"/>
      <c r="K367" s="175"/>
      <c r="L367" s="175"/>
      <c r="M367" s="175"/>
      <c r="N367" s="175"/>
      <c r="O367" s="175"/>
      <c r="P367" s="175"/>
      <c r="Q367" s="175"/>
      <c r="R367" s="175"/>
      <c r="S367" s="175"/>
      <c r="T367" s="175"/>
      <c r="U367" s="175"/>
      <c r="V367" s="229"/>
      <c r="W367" s="229"/>
      <c r="X367" s="233">
        <f>+X747</f>
        <v>35.5</v>
      </c>
      <c r="Y367" s="233">
        <f>+Y747</f>
        <v>25.258811314000003</v>
      </c>
      <c r="Z367" s="233">
        <f>+Z747</f>
        <v>26.8</v>
      </c>
      <c r="AA367" s="233">
        <f>+AA747</f>
        <v>26.979326674999996</v>
      </c>
      <c r="AB367" s="230">
        <f>28.3*0+27.9</f>
        <v>27.9</v>
      </c>
      <c r="AC367" s="234">
        <f>43.9*0+31.1*0+22.7</f>
        <v>22.7</v>
      </c>
      <c r="AD367" s="234">
        <f>43.8*0+25.4+8.4</f>
        <v>33.799999999999997</v>
      </c>
      <c r="AE367" s="230">
        <f>37.95+0.5</f>
        <v>38.450000000000003</v>
      </c>
      <c r="AF367" s="230">
        <f>37.95+0.5</f>
        <v>38.450000000000003</v>
      </c>
      <c r="AG367" s="230">
        <f>37.95+0.5</f>
        <v>38.450000000000003</v>
      </c>
      <c r="AH367" s="230">
        <v>51.308078391956101</v>
      </c>
      <c r="AI367" s="230">
        <f>+AH367</f>
        <v>51.308078391956101</v>
      </c>
      <c r="AJ367" s="230"/>
      <c r="AK367" s="230">
        <f>+AJ367</f>
        <v>0</v>
      </c>
      <c r="AL367" s="230">
        <f t="shared" ref="AL367:AM367" si="211">+AK367</f>
        <v>0</v>
      </c>
      <c r="AM367" s="230">
        <f t="shared" si="211"/>
        <v>0</v>
      </c>
      <c r="AN367" s="230">
        <f t="shared" ref="AN367" si="212">+AM367</f>
        <v>0</v>
      </c>
      <c r="AO367" s="230">
        <f t="shared" ref="AO367" si="213">+AN367</f>
        <v>0</v>
      </c>
      <c r="AP367" s="230"/>
      <c r="AQ367" s="230"/>
      <c r="AR367" s="230"/>
      <c r="AS367" s="230"/>
      <c r="AT367" s="230"/>
    </row>
    <row r="368" spans="4:46" hidden="1">
      <c r="D368" s="175" t="s">
        <v>294</v>
      </c>
      <c r="E368" s="198" t="s">
        <v>308</v>
      </c>
      <c r="F368" s="175"/>
      <c r="G368" s="175"/>
      <c r="H368" s="175"/>
      <c r="I368" s="175"/>
      <c r="J368" s="175"/>
      <c r="K368" s="175"/>
      <c r="L368" s="175"/>
      <c r="M368" s="175"/>
      <c r="N368" s="175"/>
      <c r="O368" s="175"/>
      <c r="P368" s="175"/>
      <c r="Q368" s="175"/>
      <c r="R368" s="175"/>
      <c r="S368" s="175"/>
      <c r="T368" s="175"/>
      <c r="U368" s="175"/>
      <c r="V368" s="229"/>
      <c r="W368" s="229"/>
      <c r="X368" s="233"/>
      <c r="Y368" s="233"/>
      <c r="Z368" s="249">
        <v>3</v>
      </c>
      <c r="AA368" s="249">
        <v>3</v>
      </c>
      <c r="AB368" s="249">
        <v>3.4</v>
      </c>
      <c r="AC368" s="249">
        <v>3.8</v>
      </c>
      <c r="AD368" s="249">
        <v>6.7</v>
      </c>
      <c r="AE368" s="249">
        <v>7.64</v>
      </c>
      <c r="AF368" s="249">
        <v>8.64</v>
      </c>
      <c r="AG368" s="249">
        <v>9.64</v>
      </c>
      <c r="AH368" s="249">
        <v>12.250411434792628</v>
      </c>
      <c r="AI368" s="249">
        <f>AH368</f>
        <v>12.250411434792628</v>
      </c>
      <c r="AJ368" s="249"/>
      <c r="AK368" s="249">
        <f>AJ368</f>
        <v>0</v>
      </c>
      <c r="AL368" s="249">
        <f t="shared" ref="AL368:AM368" si="214">AK368</f>
        <v>0</v>
      </c>
      <c r="AM368" s="249">
        <f t="shared" si="214"/>
        <v>0</v>
      </c>
      <c r="AN368" s="249">
        <f t="shared" ref="AN368" si="215">AM368</f>
        <v>0</v>
      </c>
      <c r="AO368" s="249">
        <f t="shared" ref="AO368" si="216">AN368</f>
        <v>0</v>
      </c>
      <c r="AP368" s="249"/>
      <c r="AQ368" s="249"/>
      <c r="AR368" s="249"/>
      <c r="AS368" s="249"/>
      <c r="AT368" s="249"/>
    </row>
    <row r="369" spans="4:46" hidden="1">
      <c r="D369" s="235" t="s">
        <v>233</v>
      </c>
      <c r="E369" s="191"/>
      <c r="F369" s="175"/>
      <c r="G369" s="175"/>
      <c r="H369" s="175"/>
      <c r="I369" s="175"/>
      <c r="J369" s="175"/>
      <c r="K369" s="175"/>
      <c r="L369" s="175"/>
      <c r="M369" s="175"/>
      <c r="N369" s="175"/>
      <c r="O369" s="175"/>
      <c r="P369" s="175"/>
      <c r="Q369" s="175"/>
      <c r="R369" s="175"/>
      <c r="S369" s="175"/>
      <c r="T369" s="175"/>
      <c r="U369" s="175"/>
      <c r="V369" s="179">
        <f t="shared" ref="V369:AA369" si="217">+V345+V358+V361+V366</f>
        <v>0.13279556219163852</v>
      </c>
      <c r="W369" s="179">
        <f t="shared" si="217"/>
        <v>0.13462146892655369</v>
      </c>
      <c r="X369" s="179">
        <f t="shared" si="217"/>
        <v>0.11246943765281174</v>
      </c>
      <c r="Y369" s="179">
        <f t="shared" si="217"/>
        <v>0.12135666888008244</v>
      </c>
      <c r="Z369" s="179">
        <f t="shared" si="217"/>
        <v>0.11983547557840618</v>
      </c>
      <c r="AA369" s="179">
        <f t="shared" si="217"/>
        <v>0.11643166983583787</v>
      </c>
      <c r="AB369" s="230"/>
      <c r="AC369" s="232"/>
      <c r="AD369" s="232"/>
      <c r="AE369" s="232"/>
      <c r="AF369" s="232"/>
      <c r="AG369" s="232"/>
      <c r="AH369" s="179"/>
      <c r="AI369" s="179"/>
      <c r="AJ369" s="179"/>
      <c r="AK369" s="179"/>
      <c r="AL369" s="179"/>
      <c r="AM369" s="179"/>
      <c r="AN369" s="179"/>
      <c r="AO369" s="179"/>
      <c r="AP369" s="179"/>
      <c r="AQ369" s="179"/>
      <c r="AR369" s="179"/>
      <c r="AS369" s="179"/>
      <c r="AT369" s="179"/>
    </row>
    <row r="370" spans="4:46" hidden="1">
      <c r="D370" s="190" t="s">
        <v>232</v>
      </c>
      <c r="E370" s="191" t="s">
        <v>225</v>
      </c>
      <c r="F370" s="175"/>
      <c r="G370" s="175"/>
      <c r="H370" s="175"/>
      <c r="I370" s="175"/>
      <c r="J370" s="175"/>
      <c r="K370" s="175"/>
      <c r="L370" s="175"/>
      <c r="M370" s="175"/>
      <c r="N370" s="175"/>
      <c r="O370" s="175"/>
      <c r="P370" s="175"/>
      <c r="Q370" s="175"/>
      <c r="R370" s="175"/>
      <c r="S370" s="175"/>
      <c r="T370" s="175"/>
      <c r="U370" s="175"/>
      <c r="V370" s="179">
        <f t="shared" ref="V370:AG370" si="218">+V754/V$284</f>
        <v>5.6831981303557516E-2</v>
      </c>
      <c r="W370" s="179">
        <f t="shared" si="218"/>
        <v>5.2338983050847457E-2</v>
      </c>
      <c r="X370" s="179">
        <f t="shared" si="218"/>
        <v>4.8777506112469442E-2</v>
      </c>
      <c r="Y370" s="179">
        <f t="shared" si="218"/>
        <v>5.9987472223908565E-2</v>
      </c>
      <c r="Z370" s="179">
        <f t="shared" si="218"/>
        <v>6.6580976863753208E-2</v>
      </c>
      <c r="AA370" s="179">
        <f t="shared" si="218"/>
        <v>6.8194341111704554E-2</v>
      </c>
      <c r="AB370" s="179">
        <f t="shared" si="218"/>
        <v>5.5429513074647496E-2</v>
      </c>
      <c r="AC370" s="179">
        <f t="shared" si="218"/>
        <v>5.7779376856412178E-2</v>
      </c>
      <c r="AD370" s="179">
        <f t="shared" si="218"/>
        <v>7.1542240109887606E-2</v>
      </c>
      <c r="AE370" s="179">
        <f t="shared" si="218"/>
        <v>7.9594966333031536E-2</v>
      </c>
      <c r="AF370" s="179">
        <f t="shared" si="218"/>
        <v>5.3109770969197979E-2</v>
      </c>
      <c r="AG370" s="179">
        <f t="shared" si="218"/>
        <v>4.5465115654661811E-2</v>
      </c>
      <c r="AH370" s="228">
        <f>+AG370*(1+AH372*AH$285)/(1+AH$285)</f>
        <v>4.8402463621128392E-2</v>
      </c>
      <c r="AI370" s="228">
        <f>+AH370*(1+AI372*AI$285)/(1+AI$285)</f>
        <v>4.7062784231333026E-2</v>
      </c>
      <c r="AJ370" s="228"/>
      <c r="AK370" s="228" t="e">
        <f>+AJ370*(1+AK372*AK$285)/(1+AK$285)</f>
        <v>#DIV/0!</v>
      </c>
      <c r="AL370" s="228" t="e">
        <f t="shared" ref="AL370:AM370" si="219">+AK370*(1+AL372*AL$285)/(1+AL$285)</f>
        <v>#DIV/0!</v>
      </c>
      <c r="AM370" s="228" t="e">
        <f t="shared" si="219"/>
        <v>#DIV/0!</v>
      </c>
      <c r="AN370" s="228" t="e">
        <f t="shared" ref="AN370" si="220">+AM370*(1+AN372*AN$285)/(1+AN$285)</f>
        <v>#DIV/0!</v>
      </c>
      <c r="AO370" s="228" t="e">
        <f t="shared" ref="AO370" si="221">+AN370*(1+AO372*AO$285)/(1+AO$285)</f>
        <v>#DIV/0!</v>
      </c>
      <c r="AP370" s="228"/>
      <c r="AQ370" s="228"/>
      <c r="AR370" s="228"/>
      <c r="AS370" s="228"/>
      <c r="AT370" s="228"/>
    </row>
    <row r="371" spans="4:46" hidden="1">
      <c r="D371" s="175" t="s">
        <v>273</v>
      </c>
      <c r="E371" s="175"/>
      <c r="F371" s="175"/>
      <c r="G371" s="175"/>
      <c r="H371" s="175"/>
      <c r="I371" s="175"/>
      <c r="J371" s="175"/>
      <c r="K371" s="175"/>
      <c r="L371" s="175"/>
      <c r="M371" s="175"/>
      <c r="N371" s="175"/>
      <c r="O371" s="175"/>
      <c r="P371" s="175"/>
      <c r="Q371" s="175"/>
      <c r="R371" s="175"/>
      <c r="S371" s="175"/>
      <c r="T371" s="175"/>
      <c r="U371" s="175"/>
      <c r="V371" s="179">
        <f t="shared" ref="V371:AC371" si="222">+V754/U754-1</f>
        <v>0.37388549905838042</v>
      </c>
      <c r="W371" s="179">
        <f t="shared" si="222"/>
        <v>5.8210921723644615E-2</v>
      </c>
      <c r="X371" s="179">
        <f t="shared" si="222"/>
        <v>3.3678756476684057E-2</v>
      </c>
      <c r="Y371" s="179">
        <f t="shared" si="222"/>
        <v>0.33731470032999167</v>
      </c>
      <c r="Z371" s="179">
        <f t="shared" si="222"/>
        <v>0.21348177593757156</v>
      </c>
      <c r="AA371" s="179">
        <f t="shared" si="222"/>
        <v>0.15026387980694977</v>
      </c>
      <c r="AB371" s="641">
        <f t="shared" si="222"/>
        <v>-0.10271364735423083</v>
      </c>
      <c r="AC371" s="641">
        <f t="shared" si="222"/>
        <v>0.15507715446587</v>
      </c>
      <c r="AD371" s="641">
        <f>+AD754/AC754-1</f>
        <v>0.34663171032381923</v>
      </c>
      <c r="AE371" s="641">
        <f>+AE754/AD754-1</f>
        <v>0.19780674423800404</v>
      </c>
      <c r="AF371" s="641">
        <f>+AF754/AE754-1</f>
        <v>-0.26983501167898472</v>
      </c>
      <c r="AG371" s="641">
        <f>+AG754/AF754-1</f>
        <v>0</v>
      </c>
      <c r="AH371" s="228">
        <f>+AH372*AH$285</f>
        <v>0.35680113352225379</v>
      </c>
      <c r="AI371" s="228">
        <f>+AI372*AI$285</f>
        <v>0.12849388529200176</v>
      </c>
      <c r="AJ371" s="228"/>
      <c r="AK371" s="228" t="e">
        <f>+AK372*AK$285</f>
        <v>#DIV/0!</v>
      </c>
      <c r="AL371" s="228">
        <f t="shared" ref="AL371:AO371" si="223">+AL372*AL$285</f>
        <v>0.16693705684803076</v>
      </c>
      <c r="AM371" s="228">
        <f t="shared" si="223"/>
        <v>0.28905498063470397</v>
      </c>
      <c r="AN371" s="228">
        <f t="shared" si="223"/>
        <v>0.41658995016716099</v>
      </c>
      <c r="AO371" s="228">
        <f t="shared" si="223"/>
        <v>0.54282932900569469</v>
      </c>
      <c r="AP371" s="228"/>
      <c r="AQ371" s="228"/>
      <c r="AR371" s="228"/>
      <c r="AS371" s="228"/>
      <c r="AT371" s="228"/>
    </row>
    <row r="372" spans="4:46" hidden="1">
      <c r="D372" s="175" t="s">
        <v>272</v>
      </c>
      <c r="E372" s="175"/>
      <c r="F372" s="175"/>
      <c r="G372" s="175"/>
      <c r="H372" s="175"/>
      <c r="I372" s="175"/>
      <c r="J372" s="175"/>
      <c r="K372" s="175"/>
      <c r="L372" s="175"/>
      <c r="M372" s="175"/>
      <c r="N372" s="175"/>
      <c r="O372" s="175"/>
      <c r="P372" s="175"/>
      <c r="Q372" s="175"/>
      <c r="R372" s="175"/>
      <c r="S372" s="175"/>
      <c r="T372" s="175"/>
      <c r="U372" s="175"/>
      <c r="V372" s="229"/>
      <c r="W372" s="229">
        <f t="shared" ref="W372:AF372" si="224">+(W754/V754-1)/W$285</f>
        <v>0.39054052187762256</v>
      </c>
      <c r="X372" s="229">
        <f t="shared" si="224"/>
        <v>0.3085476136839066</v>
      </c>
      <c r="Y372" s="229">
        <f t="shared" si="224"/>
        <v>3.8590688792997696</v>
      </c>
      <c r="Z372" s="229">
        <f t="shared" si="224"/>
        <v>2.2878558999574707</v>
      </c>
      <c r="AA372" s="229">
        <f t="shared" si="224"/>
        <v>1.2211556248935254</v>
      </c>
      <c r="AB372" s="229">
        <f t="shared" si="224"/>
        <v>-0.98837376081097628</v>
      </c>
      <c r="AC372" s="229">
        <f t="shared" si="224"/>
        <v>1.4345628330001328</v>
      </c>
      <c r="AD372" s="229">
        <f t="shared" si="224"/>
        <v>3.9581193589113055</v>
      </c>
      <c r="AE372" s="229">
        <f t="shared" si="224"/>
        <v>2.5815556830343107</v>
      </c>
      <c r="AF372" s="229">
        <f t="shared" si="224"/>
        <v>-2.8617756153886473</v>
      </c>
      <c r="AG372" s="229">
        <v>-2.8928036257763021</v>
      </c>
      <c r="AH372" s="1091">
        <v>1.3</v>
      </c>
      <c r="AI372" s="1091">
        <v>0.8</v>
      </c>
      <c r="AJ372" s="1091"/>
      <c r="AK372" s="1091">
        <v>0.3</v>
      </c>
      <c r="AL372" s="1091">
        <v>1.3</v>
      </c>
      <c r="AM372" s="1091">
        <v>2.2999999999999998</v>
      </c>
      <c r="AN372" s="1091">
        <v>3.3</v>
      </c>
      <c r="AO372" s="1091">
        <v>4.3</v>
      </c>
      <c r="AP372" s="1091"/>
      <c r="AQ372" s="1091"/>
      <c r="AR372" s="1091"/>
      <c r="AS372" s="1091"/>
      <c r="AT372" s="1091"/>
    </row>
    <row r="373" spans="4:46" hidden="1">
      <c r="D373" s="175" t="s">
        <v>236</v>
      </c>
      <c r="E373" s="178" t="s">
        <v>285</v>
      </c>
      <c r="F373" s="175"/>
      <c r="G373" s="175"/>
      <c r="H373" s="175"/>
      <c r="I373" s="175"/>
      <c r="J373" s="175"/>
      <c r="K373" s="175"/>
      <c r="L373" s="175"/>
      <c r="M373" s="175"/>
      <c r="N373" s="175"/>
      <c r="O373" s="175"/>
      <c r="P373" s="175"/>
      <c r="Q373" s="175"/>
      <c r="R373" s="175"/>
      <c r="S373" s="175"/>
      <c r="T373" s="175"/>
      <c r="U373" s="175"/>
      <c r="V373" s="229">
        <f t="shared" ref="V373:AK373" si="225">+V215</f>
        <v>77</v>
      </c>
      <c r="W373" s="229">
        <f t="shared" si="225"/>
        <v>80</v>
      </c>
      <c r="X373" s="229">
        <f t="shared" si="225"/>
        <v>83</v>
      </c>
      <c r="Y373" s="229">
        <f t="shared" si="225"/>
        <v>85</v>
      </c>
      <c r="Z373" s="229">
        <f t="shared" si="225"/>
        <v>88.059857393214742</v>
      </c>
      <c r="AA373" s="229">
        <f t="shared" si="225"/>
        <v>94.930597379738316</v>
      </c>
      <c r="AB373" s="229">
        <f t="shared" si="225"/>
        <v>100</v>
      </c>
      <c r="AC373" s="229">
        <f t="shared" si="225"/>
        <v>101.75323962534691</v>
      </c>
      <c r="AD373" s="229">
        <f t="shared" si="225"/>
        <v>102.69015740454836</v>
      </c>
      <c r="AE373" s="229">
        <f t="shared" si="225"/>
        <v>109.92159765164945</v>
      </c>
      <c r="AF373" s="229">
        <f>+AF215</f>
        <v>116.34620704131083</v>
      </c>
      <c r="AG373" s="229">
        <f>+AG215</f>
        <v>137.33905323382893</v>
      </c>
      <c r="AH373" s="229">
        <f t="shared" si="225"/>
        <v>152.19495054803116</v>
      </c>
      <c r="AI373" s="229">
        <f t="shared" si="225"/>
        <v>151.12069975696949</v>
      </c>
      <c r="AJ373" s="229"/>
      <c r="AK373" s="229">
        <f t="shared" si="225"/>
        <v>168.64249964686991</v>
      </c>
      <c r="AL373" s="229">
        <f t="shared" ref="AL373:AM373" si="226">+AL215</f>
        <v>176.78567436416458</v>
      </c>
      <c r="AM373" s="229">
        <f t="shared" si="226"/>
        <v>185.93127109080814</v>
      </c>
      <c r="AN373" s="229">
        <f t="shared" ref="AN373:AO373" si="227">+AN215</f>
        <v>195.46081776210795</v>
      </c>
      <c r="AO373" s="229">
        <f t="shared" si="227"/>
        <v>205.58972422292157</v>
      </c>
      <c r="AP373" s="229"/>
      <c r="AQ373" s="229"/>
      <c r="AR373" s="229"/>
      <c r="AS373" s="229"/>
      <c r="AT373" s="229"/>
    </row>
    <row r="374" spans="4:46" hidden="1">
      <c r="D374" s="175" t="s">
        <v>309</v>
      </c>
      <c r="E374" s="178" t="s">
        <v>777</v>
      </c>
      <c r="F374" s="175"/>
      <c r="G374" s="175"/>
      <c r="H374" s="175"/>
      <c r="I374" s="175"/>
      <c r="J374" s="175"/>
      <c r="K374" s="175"/>
      <c r="L374" s="175"/>
      <c r="M374" s="175"/>
      <c r="N374" s="175"/>
      <c r="O374" s="175"/>
      <c r="P374" s="175"/>
      <c r="Q374" s="175"/>
      <c r="R374" s="175"/>
      <c r="S374" s="175"/>
      <c r="T374" s="175"/>
      <c r="U374" s="175"/>
      <c r="V374" s="229"/>
      <c r="W374" s="229"/>
      <c r="X374" s="229"/>
      <c r="Y374" s="229"/>
      <c r="Z374" s="229"/>
      <c r="AA374" s="194">
        <v>70.106999999999999</v>
      </c>
      <c r="AB374" s="194">
        <v>59.3</v>
      </c>
      <c r="AC374" s="194">
        <v>59.3</v>
      </c>
      <c r="AD374" s="229"/>
      <c r="AE374" s="229"/>
      <c r="AF374" s="229"/>
      <c r="AG374" s="229"/>
      <c r="AH374" s="229"/>
      <c r="AI374" s="229"/>
      <c r="AJ374" s="229"/>
      <c r="AK374" s="229"/>
      <c r="AL374" s="229"/>
      <c r="AM374" s="229"/>
      <c r="AN374" s="229"/>
      <c r="AO374" s="229"/>
      <c r="AP374" s="229"/>
      <c r="AQ374" s="229"/>
      <c r="AR374" s="229"/>
      <c r="AS374" s="229"/>
      <c r="AT374" s="229"/>
    </row>
    <row r="375" spans="4:46" hidden="1">
      <c r="D375" s="175" t="s">
        <v>234</v>
      </c>
      <c r="E375" s="191" t="s">
        <v>225</v>
      </c>
      <c r="F375" s="175"/>
      <c r="G375" s="175"/>
      <c r="H375" s="175"/>
      <c r="I375" s="175"/>
      <c r="J375" s="175"/>
      <c r="K375" s="175"/>
      <c r="L375" s="175"/>
      <c r="M375" s="175"/>
      <c r="N375" s="175"/>
      <c r="O375" s="175"/>
      <c r="P375" s="175"/>
      <c r="Q375" s="175"/>
      <c r="R375" s="175"/>
      <c r="S375" s="175"/>
      <c r="T375" s="175"/>
      <c r="U375" s="175"/>
      <c r="V375" s="179">
        <f t="shared" ref="V375:AI375" si="228">+V762/V$284</f>
        <v>5.705846005842638E-2</v>
      </c>
      <c r="W375" s="179">
        <f t="shared" si="228"/>
        <v>5.6790960451977401E-2</v>
      </c>
      <c r="X375" s="179">
        <f t="shared" si="228"/>
        <v>6.6238793806030968E-2</v>
      </c>
      <c r="Y375" s="179">
        <f t="shared" si="228"/>
        <v>7.3425750063729991E-2</v>
      </c>
      <c r="Z375" s="179">
        <f t="shared" si="228"/>
        <v>6.5347043701799487E-2</v>
      </c>
      <c r="AA375" s="179">
        <f t="shared" si="228"/>
        <v>4.1478409177725162E-2</v>
      </c>
      <c r="AB375" s="179">
        <f t="shared" si="228"/>
        <v>4.7177763824692978E-2</v>
      </c>
      <c r="AC375" s="179">
        <f t="shared" si="228"/>
        <v>4.8285979978313374E-2</v>
      </c>
      <c r="AD375" s="179">
        <f t="shared" si="228"/>
        <v>5.1388391400984362E-2</v>
      </c>
      <c r="AE375" s="179">
        <f t="shared" si="228"/>
        <v>5.8349209063245019E-2</v>
      </c>
      <c r="AF375" s="179">
        <f t="shared" si="228"/>
        <v>5.7923132770304961E-2</v>
      </c>
      <c r="AG375" s="179">
        <f t="shared" si="228"/>
        <v>6.4977372987223878E-2</v>
      </c>
      <c r="AH375" s="179">
        <f t="shared" si="228"/>
        <v>5.4671496295543826E-2</v>
      </c>
      <c r="AI375" s="179">
        <f t="shared" si="228"/>
        <v>6.3950787073801182E-2</v>
      </c>
      <c r="AJ375" s="179"/>
      <c r="AK375" s="179">
        <f>+AK762/AK$284</f>
        <v>4.6865506365056514E-2</v>
      </c>
      <c r="AL375" s="179">
        <f>+AL762/AL$284</f>
        <v>4.5496561124682637E-2</v>
      </c>
      <c r="AM375" s="179">
        <f>+AM762/AM$284</f>
        <v>4.3824436819251453E-2</v>
      </c>
      <c r="AN375" s="179">
        <v>5.1726720245220133E-2</v>
      </c>
      <c r="AO375" s="179">
        <v>5.1726720245220133E-2</v>
      </c>
      <c r="AP375" s="179"/>
      <c r="AQ375" s="179"/>
      <c r="AR375" s="179"/>
      <c r="AS375" s="179"/>
      <c r="AT375" s="179"/>
    </row>
    <row r="376" spans="4:46" hidden="1">
      <c r="D376" s="236" t="s">
        <v>238</v>
      </c>
      <c r="E376" s="237"/>
      <c r="F376" s="237"/>
      <c r="G376" s="237"/>
      <c r="H376" s="237"/>
      <c r="I376" s="237"/>
      <c r="J376" s="237"/>
      <c r="K376" s="237"/>
      <c r="L376" s="237"/>
      <c r="M376" s="237"/>
      <c r="N376" s="237"/>
      <c r="O376" s="237"/>
      <c r="P376" s="237"/>
      <c r="Q376" s="237"/>
      <c r="R376" s="237"/>
      <c r="S376" s="237"/>
      <c r="T376" s="237"/>
      <c r="U376" s="237"/>
      <c r="V376" s="238" t="str">
        <f t="shared" ref="V376:AA376" si="229">+IF(ABS(V370+V375-V933)&gt;0.002,"check","")</f>
        <v/>
      </c>
      <c r="W376" s="238" t="str">
        <f t="shared" si="229"/>
        <v/>
      </c>
      <c r="X376" s="238" t="str">
        <f t="shared" si="229"/>
        <v/>
      </c>
      <c r="Y376" s="238" t="str">
        <f t="shared" si="229"/>
        <v/>
      </c>
      <c r="Z376" s="238" t="str">
        <f t="shared" si="229"/>
        <v/>
      </c>
      <c r="AA376" s="238" t="str">
        <f t="shared" si="229"/>
        <v/>
      </c>
      <c r="AB376" s="239"/>
      <c r="AC376" s="240"/>
      <c r="AD376" s="237"/>
      <c r="AE376" s="238" t="str">
        <f>+IF(ABS(AE370+AE375-AE933)&gt;0.002,"check","")</f>
        <v/>
      </c>
      <c r="AF376" s="238" t="str">
        <f>+IF(ABS(AF370+AF375-AF933)&gt;0.002,"check","")</f>
        <v/>
      </c>
      <c r="AG376" s="238" t="str">
        <f>+IF(ABS(AG370+AG375-AG933)&gt;0.002,"check","")</f>
        <v/>
      </c>
      <c r="AH376" s="238" t="str">
        <f>+IF(ABS(AH370+AH375-AH933)&gt;0.002,"check","")</f>
        <v/>
      </c>
      <c r="AI376" s="238" t="str">
        <f>+IF(ABS(AI370+AI375-AI933)&gt;0.002,"check","")</f>
        <v/>
      </c>
      <c r="AJ376" s="238"/>
      <c r="AK376" s="238" t="e">
        <f>+IF(ABS(AK370+AK375-AK933)&gt;0.002,"check","")</f>
        <v>#DIV/0!</v>
      </c>
      <c r="AL376" s="238" t="e">
        <f>+IF(ABS(AL370+AL375-AL933)&gt;0.002,"check","")</f>
        <v>#DIV/0!</v>
      </c>
      <c r="AM376" s="238" t="e">
        <f>+IF(ABS(AM370+AM375-AM933)&gt;0.002,"check","")</f>
        <v>#DIV/0!</v>
      </c>
      <c r="AN376" s="238" t="e">
        <f>+IF(ABS(AN370+AN375-AN933)&gt;0.002,"check","")</f>
        <v>#DIV/0!</v>
      </c>
      <c r="AO376" s="238" t="e">
        <f>+IF(ABS(AO370+AO375-AO933)&gt;0.002,"check","")</f>
        <v>#DIV/0!</v>
      </c>
      <c r="AP376" s="238"/>
      <c r="AQ376" s="238"/>
      <c r="AR376" s="238"/>
      <c r="AS376" s="238"/>
      <c r="AT376" s="238"/>
    </row>
    <row r="377" spans="4:46" hidden="1">
      <c r="D377" s="241" t="s">
        <v>167</v>
      </c>
      <c r="E377" s="175"/>
      <c r="F377" s="175"/>
      <c r="G377" s="175"/>
      <c r="H377" s="175"/>
      <c r="I377" s="175"/>
      <c r="J377" s="175"/>
      <c r="K377" s="175"/>
      <c r="L377" s="175"/>
      <c r="M377" s="175"/>
      <c r="N377" s="175"/>
      <c r="O377" s="175"/>
      <c r="P377" s="175"/>
      <c r="Q377" s="175"/>
      <c r="R377" s="175"/>
      <c r="S377" s="175"/>
      <c r="T377" s="175"/>
      <c r="U377" s="175"/>
      <c r="V377" s="179"/>
      <c r="W377" s="179"/>
      <c r="X377" s="179"/>
      <c r="Y377" s="179"/>
      <c r="Z377" s="179"/>
      <c r="AA377" s="179"/>
      <c r="AB377" s="195"/>
      <c r="AC377" s="202"/>
      <c r="AD377" s="175"/>
      <c r="AE377" s="175"/>
      <c r="AF377" s="175"/>
      <c r="AG377" s="175"/>
      <c r="AH377" s="179"/>
      <c r="AI377" s="179"/>
      <c r="AJ377" s="179"/>
      <c r="AK377" s="179"/>
      <c r="AL377" s="179"/>
      <c r="AM377" s="179"/>
      <c r="AN377" s="179"/>
      <c r="AO377" s="179"/>
      <c r="AP377" s="179"/>
      <c r="AQ377" s="179"/>
      <c r="AR377" s="179"/>
      <c r="AS377" s="179"/>
      <c r="AT377" s="179"/>
    </row>
    <row r="378" spans="4:46" hidden="1">
      <c r="D378" s="175" t="s">
        <v>299</v>
      </c>
      <c r="E378" s="175"/>
      <c r="F378" s="175"/>
      <c r="G378" s="175"/>
      <c r="H378" s="175"/>
      <c r="I378" s="175"/>
      <c r="J378" s="175"/>
      <c r="K378" s="175"/>
      <c r="L378" s="175"/>
      <c r="M378" s="175"/>
      <c r="N378" s="175"/>
      <c r="O378" s="175"/>
      <c r="P378" s="175"/>
      <c r="Q378" s="175"/>
      <c r="R378" s="175"/>
      <c r="S378" s="175"/>
      <c r="T378" s="175"/>
      <c r="U378" s="175"/>
      <c r="V378" s="179"/>
      <c r="W378" s="179"/>
      <c r="X378" s="229">
        <v>27</v>
      </c>
      <c r="Y378" s="229">
        <v>31.426778254999999</v>
      </c>
      <c r="Z378" s="229">
        <v>33.637466740000001</v>
      </c>
      <c r="AA378" s="229">
        <v>33.6</v>
      </c>
      <c r="AB378" s="229">
        <f>73.55</f>
        <v>73.55</v>
      </c>
      <c r="AC378" s="229">
        <f>78.45+8.85</f>
        <v>87.3</v>
      </c>
      <c r="AD378" s="229">
        <f>98+9</f>
        <v>107</v>
      </c>
      <c r="AE378" s="229">
        <f>121.844578902926+18</f>
        <v>139.844578902926</v>
      </c>
      <c r="AF378" s="229">
        <f>121.844578902926+18</f>
        <v>139.844578902926</v>
      </c>
      <c r="AG378" s="229">
        <f>121.844578902926+18</f>
        <v>139.844578902926</v>
      </c>
      <c r="AH378" s="220">
        <f>+AH379*AH$284</f>
        <v>183.49199999999999</v>
      </c>
      <c r="AI378" s="220">
        <f>+AI379*AI$284</f>
        <v>212.964</v>
      </c>
      <c r="AJ378" s="220"/>
      <c r="AK378" s="220">
        <f>+AK379*AK$284</f>
        <v>0</v>
      </c>
      <c r="AL378" s="220">
        <f t="shared" ref="AL378:AO378" si="230">+AL379*AL$284</f>
        <v>0</v>
      </c>
      <c r="AM378" s="220">
        <f t="shared" si="230"/>
        <v>0</v>
      </c>
      <c r="AN378" s="220">
        <f t="shared" si="230"/>
        <v>0</v>
      </c>
      <c r="AO378" s="220">
        <f t="shared" si="230"/>
        <v>0</v>
      </c>
      <c r="AP378" s="220"/>
      <c r="AQ378" s="220"/>
      <c r="AR378" s="220"/>
      <c r="AS378" s="220"/>
      <c r="AT378" s="220"/>
    </row>
    <row r="379" spans="4:46" hidden="1">
      <c r="D379" s="178" t="s">
        <v>296</v>
      </c>
      <c r="E379" s="175"/>
      <c r="F379" s="175"/>
      <c r="G379" s="175"/>
      <c r="H379" s="175"/>
      <c r="I379" s="175"/>
      <c r="J379" s="175"/>
      <c r="K379" s="175"/>
      <c r="L379" s="175"/>
      <c r="M379" s="175"/>
      <c r="N379" s="175"/>
      <c r="O379" s="175"/>
      <c r="P379" s="175"/>
      <c r="Q379" s="175"/>
      <c r="R379" s="175"/>
      <c r="S379" s="175"/>
      <c r="T379" s="175"/>
      <c r="U379" s="175"/>
      <c r="V379" s="179"/>
      <c r="W379" s="179"/>
      <c r="X379" s="179">
        <f t="shared" ref="X379:AD379" si="231">+X378/X$284</f>
        <v>5.5012224938875308E-3</v>
      </c>
      <c r="Y379" s="179">
        <f t="shared" si="231"/>
        <v>5.8884725979014424E-3</v>
      </c>
      <c r="Z379" s="179">
        <f t="shared" si="231"/>
        <v>5.7647757909168812E-3</v>
      </c>
      <c r="AA379" s="179">
        <f t="shared" si="231"/>
        <v>5.1274225545551661E-3</v>
      </c>
      <c r="AB379" s="179">
        <f t="shared" si="231"/>
        <v>1.0167265689798175E-2</v>
      </c>
      <c r="AC379" s="179">
        <f t="shared" si="231"/>
        <v>1.0890718562874251E-2</v>
      </c>
      <c r="AD379" s="179">
        <f t="shared" si="231"/>
        <v>1.2273457214957558E-2</v>
      </c>
      <c r="AE379" s="203">
        <f t="shared" ref="AE379:AG381" si="232">+AD379</f>
        <v>1.2273457214957558E-2</v>
      </c>
      <c r="AF379" s="203">
        <f t="shared" si="232"/>
        <v>1.2273457214957558E-2</v>
      </c>
      <c r="AG379" s="203">
        <f t="shared" si="232"/>
        <v>1.2273457214957558E-2</v>
      </c>
      <c r="AH379" s="203">
        <v>1.2E-2</v>
      </c>
      <c r="AI379" s="203">
        <f t="shared" ref="AI379:AK381" si="233">+AH379</f>
        <v>1.2E-2</v>
      </c>
      <c r="AJ379" s="203"/>
      <c r="AK379" s="203">
        <f t="shared" si="233"/>
        <v>0</v>
      </c>
      <c r="AL379" s="203">
        <f t="shared" ref="AL379:AL381" si="234">+AK379</f>
        <v>0</v>
      </c>
      <c r="AM379" s="203">
        <f t="shared" ref="AM379:AM381" si="235">+AL379</f>
        <v>0</v>
      </c>
      <c r="AN379" s="203">
        <f t="shared" ref="AN379:AN381" si="236">+AM379</f>
        <v>0</v>
      </c>
      <c r="AO379" s="203">
        <f t="shared" ref="AO379:AO381" si="237">+AN379</f>
        <v>0</v>
      </c>
      <c r="AP379" s="203"/>
      <c r="AQ379" s="203"/>
      <c r="AR379" s="203"/>
      <c r="AS379" s="203"/>
      <c r="AT379" s="203"/>
    </row>
    <row r="380" spans="4:46" hidden="1">
      <c r="D380" s="175" t="s">
        <v>295</v>
      </c>
      <c r="E380" s="175"/>
      <c r="F380" s="175"/>
      <c r="G380" s="175"/>
      <c r="H380" s="175"/>
      <c r="I380" s="175"/>
      <c r="J380" s="175"/>
      <c r="K380" s="175"/>
      <c r="L380" s="175"/>
      <c r="M380" s="175"/>
      <c r="N380" s="175"/>
      <c r="O380" s="175"/>
      <c r="P380" s="175"/>
      <c r="Q380" s="175"/>
      <c r="R380" s="175"/>
      <c r="S380" s="175"/>
      <c r="T380" s="175"/>
      <c r="U380" s="175"/>
      <c r="V380" s="179"/>
      <c r="W380" s="229">
        <v>0</v>
      </c>
      <c r="X380" s="229">
        <v>0</v>
      </c>
      <c r="Y380" s="229">
        <v>0</v>
      </c>
      <c r="Z380" s="229">
        <v>2.8</v>
      </c>
      <c r="AA380" s="229">
        <v>6.8112400538358004</v>
      </c>
      <c r="AB380" s="229">
        <f>0*13.22+7</f>
        <v>7</v>
      </c>
      <c r="AC380" s="229">
        <v>7.99</v>
      </c>
      <c r="AD380" s="249">
        <f>8.65*0</f>
        <v>0</v>
      </c>
      <c r="AE380" s="220">
        <f t="shared" si="232"/>
        <v>0</v>
      </c>
      <c r="AF380" s="220">
        <f t="shared" si="232"/>
        <v>0</v>
      </c>
      <c r="AG380" s="220">
        <f t="shared" si="232"/>
        <v>0</v>
      </c>
      <c r="AH380" s="220">
        <f>+AG380</f>
        <v>0</v>
      </c>
      <c r="AI380" s="220">
        <f t="shared" si="233"/>
        <v>0</v>
      </c>
      <c r="AJ380" s="220"/>
      <c r="AK380" s="220">
        <f t="shared" si="233"/>
        <v>0</v>
      </c>
      <c r="AL380" s="220">
        <f t="shared" si="234"/>
        <v>0</v>
      </c>
      <c r="AM380" s="220">
        <f t="shared" si="235"/>
        <v>0</v>
      </c>
      <c r="AN380" s="220">
        <f t="shared" si="236"/>
        <v>0</v>
      </c>
      <c r="AO380" s="220">
        <f t="shared" si="237"/>
        <v>0</v>
      </c>
      <c r="AP380" s="220"/>
      <c r="AQ380" s="220"/>
      <c r="AR380" s="220"/>
      <c r="AS380" s="220"/>
      <c r="AT380" s="220"/>
    </row>
    <row r="381" spans="4:46" hidden="1">
      <c r="D381" s="175" t="s">
        <v>297</v>
      </c>
      <c r="E381" s="175"/>
      <c r="F381" s="175"/>
      <c r="G381" s="175"/>
      <c r="H381" s="175"/>
      <c r="I381" s="175"/>
      <c r="J381" s="175"/>
      <c r="K381" s="175"/>
      <c r="L381" s="175"/>
      <c r="M381" s="175"/>
      <c r="N381" s="175"/>
      <c r="O381" s="175"/>
      <c r="P381" s="175"/>
      <c r="Q381" s="175"/>
      <c r="R381" s="175"/>
      <c r="S381" s="175"/>
      <c r="T381" s="175"/>
      <c r="U381" s="175"/>
      <c r="V381" s="179"/>
      <c r="W381" s="179"/>
      <c r="X381" s="229">
        <v>-5.0999999999999996</v>
      </c>
      <c r="Y381" s="229">
        <v>0</v>
      </c>
      <c r="Z381" s="229">
        <v>-4.0382462570694404</v>
      </c>
      <c r="AA381" s="229">
        <v>-4</v>
      </c>
      <c r="AB381" s="229">
        <f>-AB382</f>
        <v>-11.551405159833335</v>
      </c>
      <c r="AC381" s="994">
        <v>0</v>
      </c>
      <c r="AD381" s="229">
        <v>0</v>
      </c>
      <c r="AE381" s="220">
        <f t="shared" si="232"/>
        <v>0</v>
      </c>
      <c r="AF381" s="220">
        <f t="shared" si="232"/>
        <v>0</v>
      </c>
      <c r="AG381" s="220">
        <f t="shared" si="232"/>
        <v>0</v>
      </c>
      <c r="AH381" s="220">
        <f>+AG381</f>
        <v>0</v>
      </c>
      <c r="AI381" s="220">
        <f t="shared" si="233"/>
        <v>0</v>
      </c>
      <c r="AJ381" s="220"/>
      <c r="AK381" s="220">
        <f t="shared" si="233"/>
        <v>0</v>
      </c>
      <c r="AL381" s="220">
        <f t="shared" si="234"/>
        <v>0</v>
      </c>
      <c r="AM381" s="220">
        <f t="shared" si="235"/>
        <v>0</v>
      </c>
      <c r="AN381" s="220">
        <f t="shared" si="236"/>
        <v>0</v>
      </c>
      <c r="AO381" s="220">
        <f t="shared" si="237"/>
        <v>0</v>
      </c>
      <c r="AP381" s="220"/>
      <c r="AQ381" s="220"/>
      <c r="AR381" s="220"/>
      <c r="AS381" s="220"/>
      <c r="AT381" s="220"/>
    </row>
    <row r="382" spans="4:46" hidden="1">
      <c r="D382" s="175" t="s">
        <v>856</v>
      </c>
      <c r="E382" s="175"/>
      <c r="F382" s="175"/>
      <c r="G382" s="175"/>
      <c r="H382" s="175"/>
      <c r="I382" s="175"/>
      <c r="J382" s="175"/>
      <c r="K382" s="175"/>
      <c r="L382" s="175"/>
      <c r="M382" s="175"/>
      <c r="N382" s="175"/>
      <c r="O382" s="175"/>
      <c r="P382" s="175"/>
      <c r="Q382" s="175"/>
      <c r="R382" s="175"/>
      <c r="S382" s="175"/>
      <c r="T382" s="175"/>
      <c r="U382" s="175"/>
      <c r="V382" s="179"/>
      <c r="W382" s="179"/>
      <c r="X382" s="229"/>
      <c r="Y382" s="229"/>
      <c r="Z382" s="229"/>
      <c r="AA382" s="229"/>
      <c r="AB382" s="229">
        <f>0*20.5+14*AB253/1000+0.1</f>
        <v>11.551405159833335</v>
      </c>
      <c r="AC382" s="994">
        <f>(25-14)*AC253/1000</f>
        <v>9.3091120842499979</v>
      </c>
      <c r="AD382" s="229"/>
      <c r="AE382" s="220"/>
      <c r="AF382" s="220"/>
      <c r="AG382" s="220"/>
      <c r="AH382" s="229"/>
      <c r="AI382" s="229"/>
      <c r="AJ382" s="229"/>
      <c r="AK382" s="229"/>
      <c r="AL382" s="229"/>
      <c r="AM382" s="229"/>
      <c r="AN382" s="229"/>
      <c r="AO382" s="229"/>
      <c r="AP382" s="229"/>
      <c r="AQ382" s="229"/>
      <c r="AR382" s="229"/>
      <c r="AS382" s="229"/>
      <c r="AT382" s="229"/>
    </row>
    <row r="383" spans="4:46" hidden="1">
      <c r="D383" s="175" t="s">
        <v>298</v>
      </c>
      <c r="E383" s="175"/>
      <c r="F383" s="175"/>
      <c r="G383" s="175"/>
      <c r="H383" s="175"/>
      <c r="I383" s="175"/>
      <c r="J383" s="175"/>
      <c r="K383" s="175"/>
      <c r="L383" s="175"/>
      <c r="M383" s="175"/>
      <c r="N383" s="175"/>
      <c r="O383" s="175"/>
      <c r="P383" s="175"/>
      <c r="Q383" s="175"/>
      <c r="R383" s="175"/>
      <c r="S383" s="175"/>
      <c r="T383" s="175"/>
      <c r="U383" s="175"/>
      <c r="V383" s="179"/>
      <c r="W383" s="179"/>
      <c r="X383" s="179"/>
      <c r="Y383" s="229">
        <v>0</v>
      </c>
      <c r="Z383" s="229">
        <v>29.4</v>
      </c>
      <c r="AA383" s="229">
        <v>29.4</v>
      </c>
      <c r="AB383" s="229">
        <f>0*22+35.3*0+45.3*0+28.6*0+31.25</f>
        <v>31.25</v>
      </c>
      <c r="AC383" s="994">
        <f>39.8*0+44.75*0+30.15+13.61</f>
        <v>43.76</v>
      </c>
      <c r="AD383" s="220">
        <v>49.674370664146352</v>
      </c>
      <c r="AE383" s="220">
        <v>104.3094574815253</v>
      </c>
      <c r="AF383" s="220">
        <v>105.309457481525</v>
      </c>
      <c r="AG383" s="220">
        <v>106.309457481525</v>
      </c>
      <c r="AH383" s="231">
        <v>81.716719257679429</v>
      </c>
      <c r="AI383" s="231">
        <f>+AH383</f>
        <v>81.716719257679429</v>
      </c>
      <c r="AJ383" s="231"/>
      <c r="AK383" s="231">
        <f>+AJ383</f>
        <v>0</v>
      </c>
      <c r="AL383" s="231">
        <f t="shared" ref="AL383:AM383" si="238">+AK383</f>
        <v>0</v>
      </c>
      <c r="AM383" s="231">
        <f t="shared" si="238"/>
        <v>0</v>
      </c>
      <c r="AN383" s="231">
        <f t="shared" ref="AN383" si="239">+AM383</f>
        <v>0</v>
      </c>
      <c r="AO383" s="231">
        <f t="shared" ref="AO383" si="240">+AN383</f>
        <v>0</v>
      </c>
      <c r="AP383" s="231"/>
      <c r="AQ383" s="231"/>
      <c r="AR383" s="231"/>
      <c r="AS383" s="231"/>
      <c r="AT383" s="231"/>
    </row>
    <row r="384" spans="4:46" hidden="1">
      <c r="D384" s="241" t="s">
        <v>191</v>
      </c>
      <c r="E384" s="175"/>
      <c r="F384" s="175"/>
      <c r="G384" s="175"/>
      <c r="H384" s="175"/>
      <c r="I384" s="175"/>
      <c r="J384" s="175"/>
      <c r="K384" s="175"/>
      <c r="L384" s="175"/>
      <c r="M384" s="175"/>
      <c r="N384" s="175"/>
      <c r="O384" s="175"/>
      <c r="P384" s="175"/>
      <c r="Q384" s="175"/>
      <c r="R384" s="175"/>
      <c r="S384" s="175"/>
      <c r="T384" s="175"/>
      <c r="U384" s="175"/>
      <c r="V384" s="179"/>
      <c r="W384" s="179"/>
      <c r="X384" s="179"/>
      <c r="Y384" s="229"/>
      <c r="Z384" s="229"/>
      <c r="AA384" s="229"/>
      <c r="AB384" s="229"/>
      <c r="AC384" s="229"/>
      <c r="AD384" s="175"/>
      <c r="AE384" s="175"/>
      <c r="AF384" s="175"/>
      <c r="AG384" s="175"/>
      <c r="AH384" s="229"/>
      <c r="AI384" s="229"/>
      <c r="AJ384" s="229"/>
      <c r="AK384" s="229"/>
      <c r="AL384" s="229"/>
      <c r="AM384" s="229"/>
      <c r="AN384" s="229"/>
      <c r="AO384" s="229"/>
      <c r="AP384" s="229"/>
      <c r="AQ384" s="229"/>
      <c r="AR384" s="229"/>
      <c r="AS384" s="229"/>
      <c r="AT384" s="229"/>
    </row>
    <row r="385" spans="4:46" hidden="1">
      <c r="D385" s="243" t="s">
        <v>274</v>
      </c>
      <c r="E385" s="198" t="s">
        <v>760</v>
      </c>
      <c r="F385" s="175"/>
      <c r="G385" s="175"/>
      <c r="H385" s="175"/>
      <c r="I385" s="175"/>
      <c r="J385" s="175"/>
      <c r="K385" s="175"/>
      <c r="L385" s="175"/>
      <c r="M385" s="175"/>
      <c r="N385" s="175"/>
      <c r="O385" s="175"/>
      <c r="P385" s="175"/>
      <c r="Q385" s="175"/>
      <c r="R385" s="175"/>
      <c r="S385" s="175"/>
      <c r="T385" s="175"/>
      <c r="U385" s="179"/>
      <c r="V385" s="179">
        <f t="shared" ref="V385:AC385" si="241">+V828/V284</f>
        <v>1.5056712542196831E-2</v>
      </c>
      <c r="W385" s="179">
        <f t="shared" si="241"/>
        <v>-8.6327683615819214E-3</v>
      </c>
      <c r="X385" s="179">
        <f t="shared" si="241"/>
        <v>-2.4449292878079534E-2</v>
      </c>
      <c r="Y385" s="179">
        <f t="shared" si="241"/>
        <v>2.246059145234169E-2</v>
      </c>
      <c r="Z385" s="179">
        <f t="shared" si="241"/>
        <v>1.5938303341902309E-3</v>
      </c>
      <c r="AA385" s="179">
        <f t="shared" si="241"/>
        <v>7.1855398906035929E-3</v>
      </c>
      <c r="AB385" s="179">
        <f t="shared" si="241"/>
        <v>3.3952541787922036E-3</v>
      </c>
      <c r="AC385" s="179">
        <f t="shared" si="241"/>
        <v>5.3589863688804987E-3</v>
      </c>
      <c r="AD385" s="175"/>
      <c r="AE385" s="175"/>
      <c r="AF385" s="175"/>
      <c r="AG385" s="175"/>
      <c r="AH385" s="179"/>
      <c r="AI385" s="179"/>
      <c r="AJ385" s="179"/>
      <c r="AK385" s="179"/>
      <c r="AL385" s="179"/>
      <c r="AM385" s="179"/>
      <c r="AN385" s="179"/>
      <c r="AO385" s="179"/>
      <c r="AP385" s="179"/>
      <c r="AQ385" s="179"/>
      <c r="AR385" s="179"/>
      <c r="AS385" s="179"/>
      <c r="AT385" s="179"/>
    </row>
    <row r="386" spans="4:46" hidden="1">
      <c r="D386" s="243" t="s">
        <v>759</v>
      </c>
      <c r="E386" s="198" t="s">
        <v>761</v>
      </c>
      <c r="F386" s="175"/>
      <c r="G386" s="175"/>
      <c r="H386" s="175"/>
      <c r="I386" s="175"/>
      <c r="J386" s="175"/>
      <c r="K386" s="175"/>
      <c r="L386" s="175"/>
      <c r="M386" s="175"/>
      <c r="N386" s="175"/>
      <c r="O386" s="175"/>
      <c r="P386" s="175"/>
      <c r="Q386" s="175"/>
      <c r="R386" s="175"/>
      <c r="S386" s="175"/>
      <c r="T386" s="175"/>
      <c r="U386" s="175"/>
      <c r="V386" s="179"/>
      <c r="W386" s="244"/>
      <c r="X386" s="242">
        <f>+FISCinyear!CJ1095</f>
        <v>316.52938726960036</v>
      </c>
      <c r="Y386" s="242">
        <f>+X386+Y828</f>
        <v>436.40156385074795</v>
      </c>
      <c r="Z386" s="242">
        <f>+Y386+Z828</f>
        <v>445.70156385074796</v>
      </c>
      <c r="AA386" s="242">
        <f>+Z386+AA828</f>
        <v>492.78840675387329</v>
      </c>
      <c r="AB386" s="245">
        <f>+AA386+AB828</f>
        <v>517.34967548325608</v>
      </c>
      <c r="AC386" s="245">
        <f>+AB386+AC828</f>
        <v>560.30731021620215</v>
      </c>
      <c r="AD386" s="175"/>
      <c r="AE386" s="175"/>
      <c r="AF386" s="175"/>
      <c r="AG386" s="175"/>
      <c r="AH386" s="242"/>
      <c r="AI386" s="242"/>
      <c r="AJ386" s="242"/>
      <c r="AK386" s="242"/>
      <c r="AL386" s="242"/>
      <c r="AM386" s="242"/>
      <c r="AN386" s="242"/>
      <c r="AO386" s="242"/>
      <c r="AP386" s="242"/>
      <c r="AQ386" s="242"/>
      <c r="AR386" s="242"/>
      <c r="AS386" s="242"/>
      <c r="AT386" s="242"/>
    </row>
    <row r="387" spans="4:46" hidden="1">
      <c r="D387" s="243" t="s">
        <v>275</v>
      </c>
      <c r="E387" s="175"/>
      <c r="F387" s="175"/>
      <c r="G387" s="175"/>
      <c r="H387" s="175"/>
      <c r="I387" s="175"/>
      <c r="J387" s="175"/>
      <c r="K387" s="175"/>
      <c r="L387" s="175"/>
      <c r="M387" s="175"/>
      <c r="N387" s="175"/>
      <c r="O387" s="175"/>
      <c r="P387" s="175"/>
      <c r="Q387" s="175"/>
      <c r="R387" s="175"/>
      <c r="S387" s="175"/>
      <c r="T387" s="175"/>
      <c r="U387" s="175"/>
      <c r="V387" s="179"/>
      <c r="W387" s="179"/>
      <c r="X387" s="179">
        <f t="shared" ref="X387:AC387" si="242">+X386/X284</f>
        <v>6.4492540193480108E-2</v>
      </c>
      <c r="Y387" s="179">
        <f t="shared" si="242"/>
        <v>8.1769076981590402E-2</v>
      </c>
      <c r="Z387" s="179">
        <f t="shared" si="242"/>
        <v>7.6384158329177027E-2</v>
      </c>
      <c r="AA387" s="179">
        <f t="shared" si="242"/>
        <v>7.5200428315866513E-2</v>
      </c>
      <c r="AB387" s="203">
        <f t="shared" si="242"/>
        <v>7.1516405236833849E-2</v>
      </c>
      <c r="AC387" s="203">
        <f t="shared" si="242"/>
        <v>6.9898616543937392E-2</v>
      </c>
      <c r="AD387" s="175"/>
      <c r="AE387" s="175"/>
      <c r="AF387" s="175"/>
      <c r="AG387" s="175"/>
      <c r="AH387" s="179"/>
      <c r="AI387" s="179"/>
      <c r="AJ387" s="179"/>
      <c r="AK387" s="179"/>
      <c r="AL387" s="179"/>
      <c r="AM387" s="179"/>
      <c r="AN387" s="179"/>
      <c r="AO387" s="179"/>
      <c r="AP387" s="179"/>
      <c r="AQ387" s="179"/>
      <c r="AR387" s="179"/>
      <c r="AS387" s="179"/>
      <c r="AT387" s="179"/>
    </row>
    <row r="388" spans="4:46" hidden="1">
      <c r="D388" s="246" t="s">
        <v>290</v>
      </c>
      <c r="E388" s="198" t="s">
        <v>764</v>
      </c>
      <c r="F388" s="175"/>
      <c r="G388" s="175"/>
      <c r="H388" s="175"/>
      <c r="I388" s="175"/>
      <c r="J388" s="175"/>
      <c r="K388" s="175"/>
      <c r="L388" s="175"/>
      <c r="M388" s="175"/>
      <c r="N388" s="175"/>
      <c r="O388" s="175"/>
      <c r="P388" s="175"/>
      <c r="Q388" s="175"/>
      <c r="R388" s="175"/>
      <c r="S388" s="175"/>
      <c r="T388" s="175"/>
      <c r="U388" s="175"/>
      <c r="V388" s="566" t="s">
        <v>763</v>
      </c>
      <c r="W388" s="564">
        <f>+W262-V262</f>
        <v>0</v>
      </c>
      <c r="X388" s="564">
        <f>+X262-W262</f>
        <v>0</v>
      </c>
      <c r="Y388" s="564">
        <f>+Y262-X262</f>
        <v>0</v>
      </c>
      <c r="Z388" s="564">
        <f>+Z262-Y262</f>
        <v>0</v>
      </c>
      <c r="AA388" s="564">
        <f>+AA262-Z262</f>
        <v>282.89999999999998</v>
      </c>
      <c r="AB388" s="203"/>
      <c r="AC388" s="203"/>
      <c r="AD388" s="175"/>
      <c r="AE388" s="175"/>
      <c r="AF388" s="175"/>
      <c r="AG388" s="175"/>
      <c r="AH388" s="564"/>
      <c r="AI388" s="564"/>
      <c r="AJ388" s="564"/>
      <c r="AK388" s="564"/>
      <c r="AL388" s="564"/>
      <c r="AM388" s="564"/>
      <c r="AN388" s="564"/>
      <c r="AO388" s="564"/>
      <c r="AP388" s="564"/>
      <c r="AQ388" s="564"/>
      <c r="AR388" s="564"/>
      <c r="AS388" s="564"/>
      <c r="AT388" s="564"/>
    </row>
    <row r="389" spans="4:46" hidden="1">
      <c r="D389" s="246" t="s">
        <v>291</v>
      </c>
      <c r="E389" s="198" t="s">
        <v>765</v>
      </c>
      <c r="F389" s="175"/>
      <c r="G389" s="175"/>
      <c r="H389" s="175"/>
      <c r="I389" s="175"/>
      <c r="J389" s="175"/>
      <c r="K389" s="175"/>
      <c r="L389" s="175"/>
      <c r="M389" s="175"/>
      <c r="N389" s="175"/>
      <c r="O389" s="175"/>
      <c r="P389" s="175"/>
      <c r="Q389" s="175"/>
      <c r="R389" s="175"/>
      <c r="S389" s="175"/>
      <c r="T389" s="175"/>
      <c r="U389" s="175"/>
      <c r="V389" s="179"/>
      <c r="W389" s="194">
        <f t="shared" ref="W389:AC389" si="243">+W829</f>
        <v>-15.4</v>
      </c>
      <c r="X389" s="194">
        <f t="shared" si="243"/>
        <v>-144.29712944561436</v>
      </c>
      <c r="Y389" s="194">
        <f t="shared" si="243"/>
        <v>150.64964507114763</v>
      </c>
      <c r="Z389" s="194">
        <f t="shared" si="243"/>
        <v>0</v>
      </c>
      <c r="AA389" s="194">
        <f t="shared" si="243"/>
        <v>-0.63051649636508955</v>
      </c>
      <c r="AB389" s="194">
        <f t="shared" si="243"/>
        <v>16.564485398969001</v>
      </c>
      <c r="AC389" s="194">
        <f t="shared" si="243"/>
        <v>48.83076168552401</v>
      </c>
      <c r="AD389" s="175"/>
      <c r="AE389" s="175"/>
      <c r="AF389" s="175"/>
      <c r="AG389" s="175"/>
      <c r="AH389" s="194"/>
      <c r="AI389" s="194"/>
      <c r="AJ389" s="194"/>
      <c r="AK389" s="194"/>
      <c r="AL389" s="194"/>
      <c r="AM389" s="194"/>
      <c r="AN389" s="194"/>
      <c r="AO389" s="194"/>
      <c r="AP389" s="194"/>
      <c r="AQ389" s="194"/>
      <c r="AR389" s="194"/>
      <c r="AS389" s="194"/>
      <c r="AT389" s="194"/>
    </row>
    <row r="390" spans="4:46" hidden="1">
      <c r="D390" s="246" t="s">
        <v>353</v>
      </c>
      <c r="E390" s="198" t="s">
        <v>766</v>
      </c>
      <c r="F390" s="175"/>
      <c r="G390" s="175"/>
      <c r="H390" s="175"/>
      <c r="I390" s="175"/>
      <c r="J390" s="175"/>
      <c r="K390" s="175"/>
      <c r="L390" s="175"/>
      <c r="M390" s="175"/>
      <c r="N390" s="175"/>
      <c r="O390" s="175"/>
      <c r="P390" s="175"/>
      <c r="Q390" s="175"/>
      <c r="R390" s="175"/>
      <c r="S390" s="175"/>
      <c r="T390" s="175"/>
      <c r="U390" s="175"/>
      <c r="V390" s="566" t="s">
        <v>762</v>
      </c>
      <c r="W390" s="564">
        <f>-(W264-V264)</f>
        <v>4.1000000000000156</v>
      </c>
      <c r="X390" s="564">
        <f>-(X264-W264)</f>
        <v>111.70000000000006</v>
      </c>
      <c r="Y390" s="564">
        <f>-(Y264-X264)</f>
        <v>-145.74520362714765</v>
      </c>
      <c r="Z390" s="564">
        <f>-(Z264-Y264)</f>
        <v>-143.25479637285241</v>
      </c>
      <c r="AA390" s="564">
        <f>-(AA264-Z264)</f>
        <v>0.69999999999998863</v>
      </c>
      <c r="AB390" s="203"/>
      <c r="AC390" s="203"/>
      <c r="AD390" s="175"/>
      <c r="AE390" s="175"/>
      <c r="AF390" s="175"/>
      <c r="AG390" s="175"/>
      <c r="AH390" s="564"/>
      <c r="AI390" s="564"/>
      <c r="AJ390" s="564"/>
      <c r="AK390" s="564"/>
      <c r="AL390" s="564"/>
      <c r="AM390" s="564"/>
      <c r="AN390" s="564"/>
      <c r="AO390" s="564"/>
      <c r="AP390" s="564"/>
      <c r="AQ390" s="564"/>
      <c r="AR390" s="564"/>
      <c r="AS390" s="564"/>
      <c r="AT390" s="564"/>
    </row>
    <row r="391" spans="4:46" hidden="1">
      <c r="D391" s="246" t="s">
        <v>767</v>
      </c>
      <c r="E391" s="175"/>
      <c r="F391" s="175"/>
      <c r="G391" s="175"/>
      <c r="H391" s="175"/>
      <c r="I391" s="175"/>
      <c r="J391" s="175"/>
      <c r="K391" s="175"/>
      <c r="L391" s="175"/>
      <c r="M391" s="175"/>
      <c r="N391" s="175"/>
      <c r="O391" s="175"/>
      <c r="P391" s="175"/>
      <c r="Q391" s="175"/>
      <c r="R391" s="175"/>
      <c r="S391" s="175"/>
      <c r="T391" s="175"/>
      <c r="U391" s="175"/>
      <c r="V391" s="179"/>
      <c r="W391" s="194">
        <f>+W832+W833+W834+W837</f>
        <v>0</v>
      </c>
      <c r="X391" s="194">
        <f>+X832+X833+X840+X834+X837</f>
        <v>-141.30000000000001</v>
      </c>
      <c r="Y391" s="194">
        <f>+Y832+Y833+Y840+Y834+Y837</f>
        <v>72.073477222999998</v>
      </c>
      <c r="Z391" s="194">
        <f>+Z832+Z833+Z840+Z834+Z837</f>
        <v>54.3</v>
      </c>
      <c r="AA391" s="290">
        <f t="shared" ref="AA391:AK391" si="244">+SUM(AA832:AA842)</f>
        <v>12.067335386</v>
      </c>
      <c r="AB391" s="290">
        <f t="shared" si="244"/>
        <v>-1.6612621749999974</v>
      </c>
      <c r="AC391" s="290">
        <f t="shared" si="244"/>
        <v>-12.313759441000009</v>
      </c>
      <c r="AD391" s="290">
        <f t="shared" si="244"/>
        <v>-23.998066952000002</v>
      </c>
      <c r="AE391" s="290">
        <f t="shared" si="244"/>
        <v>-12.764345525976657</v>
      </c>
      <c r="AF391" s="290">
        <f>+SUM(AF832:AF842)</f>
        <v>-46.763258612229748</v>
      </c>
      <c r="AG391" s="290">
        <f>+SUM(AG832:AG842)</f>
        <v>20.362304118326986</v>
      </c>
      <c r="AH391" s="290">
        <f t="shared" si="244"/>
        <v>-52.958574296896778</v>
      </c>
      <c r="AI391" s="290">
        <f t="shared" si="244"/>
        <v>-49.73526764379055</v>
      </c>
      <c r="AJ391" s="290"/>
      <c r="AK391" s="290" t="e">
        <f t="shared" si="244"/>
        <v>#DIV/0!</v>
      </c>
      <c r="AL391" s="290" t="e">
        <f t="shared" ref="AL391:AM391" si="245">+SUM(AL832:AL842)</f>
        <v>#DIV/0!</v>
      </c>
      <c r="AM391" s="290" t="e">
        <f t="shared" si="245"/>
        <v>#DIV/0!</v>
      </c>
      <c r="AN391" s="290" t="e">
        <f t="shared" ref="AN391:AO391" si="246">+SUM(AN832:AN842)</f>
        <v>#DIV/0!</v>
      </c>
      <c r="AO391" s="290" t="e">
        <f t="shared" si="246"/>
        <v>#DIV/0!</v>
      </c>
      <c r="AP391" s="290"/>
      <c r="AQ391" s="290"/>
      <c r="AR391" s="290"/>
      <c r="AS391" s="290"/>
      <c r="AT391" s="290"/>
    </row>
    <row r="392" spans="4:46" hidden="1">
      <c r="D392" s="175" t="s">
        <v>773</v>
      </c>
      <c r="E392" s="175"/>
      <c r="F392" s="175"/>
      <c r="G392" s="175"/>
      <c r="H392" s="175"/>
      <c r="I392" s="175"/>
      <c r="J392" s="175"/>
      <c r="K392" s="175"/>
      <c r="L392" s="175"/>
      <c r="M392" s="175"/>
      <c r="N392" s="175"/>
      <c r="O392" s="175"/>
      <c r="P392" s="175"/>
      <c r="Q392" s="175"/>
      <c r="R392" s="175"/>
      <c r="S392" s="175"/>
      <c r="T392" s="175"/>
      <c r="U392" s="175"/>
      <c r="V392" s="175"/>
      <c r="W392" s="175"/>
      <c r="X392" s="175"/>
      <c r="Y392" s="195"/>
      <c r="Z392" s="194">
        <f>+Z391</f>
        <v>54.3</v>
      </c>
      <c r="AA392" s="230">
        <v>64</v>
      </c>
      <c r="AB392" s="230"/>
      <c r="AC392" s="230"/>
      <c r="AD392" s="175"/>
      <c r="AE392" s="175"/>
      <c r="AF392" s="175"/>
      <c r="AG392" s="175"/>
      <c r="AH392" s="194"/>
      <c r="AI392" s="194"/>
      <c r="AJ392" s="194"/>
      <c r="AK392" s="194"/>
      <c r="AL392" s="194"/>
      <c r="AM392" s="194"/>
      <c r="AN392" s="194"/>
      <c r="AO392" s="194"/>
      <c r="AP392" s="194"/>
      <c r="AQ392" s="194"/>
      <c r="AR392" s="194"/>
      <c r="AS392" s="194"/>
      <c r="AT392" s="194"/>
    </row>
    <row r="393" spans="4:46" hidden="1">
      <c r="D393" s="175" t="s">
        <v>640</v>
      </c>
      <c r="E393" s="198" t="s">
        <v>769</v>
      </c>
      <c r="F393" s="175"/>
      <c r="G393" s="175"/>
      <c r="H393" s="175"/>
      <c r="I393" s="175"/>
      <c r="J393" s="175"/>
      <c r="K393" s="175"/>
      <c r="L393" s="175"/>
      <c r="M393" s="175"/>
      <c r="N393" s="175"/>
      <c r="O393" s="175"/>
      <c r="P393" s="175"/>
      <c r="Q393" s="175"/>
      <c r="R393" s="175"/>
      <c r="S393" s="175"/>
      <c r="T393" s="175"/>
      <c r="U393" s="175"/>
      <c r="V393" s="175"/>
      <c r="W393" s="175"/>
      <c r="X393" s="175"/>
      <c r="Y393" s="195"/>
      <c r="Z393" s="567"/>
      <c r="AA393" s="601">
        <v>30</v>
      </c>
      <c r="AB393" s="587"/>
      <c r="AC393" s="588"/>
      <c r="AD393" s="175"/>
      <c r="AE393" s="175"/>
      <c r="AF393" s="175"/>
      <c r="AG393" s="175"/>
      <c r="AH393" s="567"/>
      <c r="AI393" s="567"/>
      <c r="AJ393" s="567"/>
      <c r="AK393" s="567"/>
      <c r="AL393" s="567"/>
      <c r="AM393" s="567"/>
      <c r="AN393" s="567"/>
      <c r="AO393" s="567"/>
      <c r="AP393" s="567"/>
      <c r="AQ393" s="567"/>
      <c r="AR393" s="567"/>
      <c r="AS393" s="567"/>
      <c r="AT393" s="567"/>
    </row>
    <row r="394" spans="4:46" ht="16" hidden="1" thickBot="1">
      <c r="D394" s="175" t="s">
        <v>641</v>
      </c>
      <c r="E394" s="198" t="s">
        <v>768</v>
      </c>
      <c r="F394" s="175"/>
      <c r="G394" s="175"/>
      <c r="H394" s="175"/>
      <c r="I394" s="175"/>
      <c r="J394" s="175"/>
      <c r="K394" s="175"/>
      <c r="L394" s="175"/>
      <c r="M394" s="175"/>
      <c r="N394" s="175"/>
      <c r="O394" s="175"/>
      <c r="P394" s="175"/>
      <c r="Q394" s="175"/>
      <c r="R394" s="175"/>
      <c r="S394" s="175"/>
      <c r="T394" s="175"/>
      <c r="U394" s="175"/>
      <c r="V394" s="175"/>
      <c r="W394" s="175"/>
      <c r="X394" s="175"/>
      <c r="Y394" s="195"/>
      <c r="Z394" s="567"/>
      <c r="AA394" s="602">
        <v>30</v>
      </c>
      <c r="AB394" s="587"/>
      <c r="AC394" s="588"/>
      <c r="AD394" s="175"/>
      <c r="AE394" s="175"/>
      <c r="AF394" s="175"/>
      <c r="AG394" s="175"/>
      <c r="AH394" s="567"/>
      <c r="AI394" s="567"/>
    </row>
    <row r="395" spans="4:46" hidden="1">
      <c r="D395" s="175"/>
      <c r="E395" s="198" t="s">
        <v>771</v>
      </c>
      <c r="F395" s="175"/>
      <c r="G395" s="175"/>
      <c r="H395" s="175"/>
      <c r="I395" s="175"/>
      <c r="J395" s="175"/>
      <c r="K395" s="175"/>
      <c r="L395" s="175"/>
      <c r="M395" s="175"/>
      <c r="N395" s="175"/>
      <c r="O395" s="175"/>
      <c r="P395" s="175"/>
      <c r="Q395" s="175"/>
      <c r="R395" s="175"/>
      <c r="S395" s="175"/>
      <c r="T395" s="175"/>
      <c r="U395" s="175"/>
      <c r="V395" s="175"/>
      <c r="W395" s="175"/>
      <c r="X395" s="175"/>
      <c r="Y395" s="195"/>
      <c r="Z395" s="195"/>
      <c r="AA395" s="195"/>
      <c r="AB395" s="195"/>
      <c r="AC395" s="202"/>
      <c r="AD395" s="175"/>
      <c r="AE395" s="175"/>
      <c r="AF395" s="175"/>
      <c r="AG395" s="175"/>
      <c r="AH395" s="195"/>
      <c r="AI395" s="195"/>
      <c r="AJ395" s="195"/>
      <c r="AK395" s="195"/>
      <c r="AL395" s="195"/>
      <c r="AM395" s="195"/>
      <c r="AN395" s="195"/>
      <c r="AO395" s="195"/>
      <c r="AP395" s="195"/>
      <c r="AQ395" s="195"/>
      <c r="AR395" s="195"/>
      <c r="AS395" s="195"/>
      <c r="AT395" s="195"/>
    </row>
    <row r="396" spans="4:46" hidden="1">
      <c r="D396" s="190" t="s">
        <v>258</v>
      </c>
      <c r="E396" s="175"/>
      <c r="F396" s="175"/>
      <c r="G396" s="175"/>
      <c r="H396" s="175"/>
      <c r="I396" s="175"/>
      <c r="J396" s="175"/>
      <c r="K396" s="175"/>
      <c r="L396" s="175"/>
      <c r="M396" s="175"/>
      <c r="N396" s="175"/>
      <c r="O396" s="175"/>
      <c r="P396" s="175"/>
      <c r="Q396" s="175"/>
      <c r="R396" s="175"/>
      <c r="S396" s="175"/>
      <c r="T396" s="175"/>
      <c r="U396" s="175"/>
      <c r="V396" s="175"/>
      <c r="W396" s="175"/>
      <c r="X396" s="175"/>
      <c r="Y396" s="195"/>
      <c r="Z396" s="195"/>
      <c r="AA396" s="195"/>
      <c r="AB396" s="195"/>
      <c r="AC396" s="202"/>
      <c r="AD396" s="175"/>
      <c r="AE396" s="175"/>
      <c r="AF396" s="175"/>
      <c r="AG396" s="175"/>
      <c r="AH396" s="195"/>
      <c r="AI396" s="195"/>
      <c r="AJ396" s="195"/>
      <c r="AK396" s="195"/>
      <c r="AL396" s="195"/>
      <c r="AM396" s="195"/>
      <c r="AN396" s="195"/>
      <c r="AO396" s="195"/>
      <c r="AP396" s="195"/>
      <c r="AQ396" s="195"/>
      <c r="AR396" s="195"/>
      <c r="AS396" s="195"/>
      <c r="AT396" s="195"/>
    </row>
    <row r="397" spans="4:46" hidden="1">
      <c r="D397" s="178" t="s">
        <v>259</v>
      </c>
      <c r="E397" s="175"/>
      <c r="F397" s="175"/>
      <c r="G397" s="175"/>
      <c r="H397" s="175"/>
      <c r="I397" s="175"/>
      <c r="J397" s="175"/>
      <c r="K397" s="175"/>
      <c r="L397" s="175"/>
      <c r="M397" s="175"/>
      <c r="N397" s="175"/>
      <c r="O397" s="175"/>
      <c r="P397" s="175"/>
      <c r="Q397" s="175"/>
      <c r="R397" s="175"/>
      <c r="S397" s="175"/>
      <c r="T397" s="175"/>
      <c r="U397" s="175"/>
      <c r="V397" s="175"/>
      <c r="W397" s="175"/>
      <c r="X397" s="175"/>
      <c r="Y397" s="195"/>
      <c r="Z397" s="195"/>
      <c r="AA397" s="195"/>
      <c r="AB397" s="195"/>
      <c r="AC397" s="218"/>
      <c r="AD397" s="175"/>
      <c r="AE397" s="175"/>
      <c r="AF397" s="175"/>
      <c r="AG397" s="175"/>
      <c r="AH397" s="195"/>
      <c r="AI397" s="195"/>
      <c r="AJ397" s="195"/>
      <c r="AK397" s="195"/>
      <c r="AL397" s="195"/>
      <c r="AM397" s="195"/>
      <c r="AN397" s="195"/>
      <c r="AO397" s="195"/>
      <c r="AP397" s="195"/>
      <c r="AQ397" s="195"/>
      <c r="AR397" s="195"/>
      <c r="AS397" s="195"/>
      <c r="AT397" s="195"/>
    </row>
    <row r="398" spans="4:46" hidden="1">
      <c r="D398" s="178" t="s">
        <v>735</v>
      </c>
      <c r="E398" s="175"/>
      <c r="F398" s="175"/>
      <c r="G398" s="175"/>
      <c r="H398" s="175"/>
      <c r="I398" s="175"/>
      <c r="J398" s="175"/>
      <c r="K398" s="175"/>
      <c r="L398" s="175"/>
      <c r="M398" s="175"/>
      <c r="N398" s="175"/>
      <c r="O398" s="175"/>
      <c r="P398" s="175"/>
      <c r="Q398" s="175"/>
      <c r="R398" s="175"/>
      <c r="S398" s="175"/>
      <c r="T398" s="175"/>
      <c r="U398" s="175"/>
      <c r="V398" s="175"/>
      <c r="W398" s="175"/>
      <c r="X398" s="175"/>
      <c r="Y398" s="195"/>
      <c r="Z398" s="195"/>
      <c r="AA398" s="195"/>
      <c r="AB398" s="195"/>
      <c r="AC398" s="218">
        <v>0.06</v>
      </c>
      <c r="AD398" s="218">
        <v>0.06</v>
      </c>
      <c r="AE398" s="218">
        <v>0.06</v>
      </c>
      <c r="AF398" s="218">
        <v>1.06</v>
      </c>
      <c r="AG398" s="218">
        <v>2.06</v>
      </c>
      <c r="AH398" s="218">
        <v>0.06</v>
      </c>
      <c r="AI398" s="218">
        <v>0.06</v>
      </c>
      <c r="AJ398" s="218"/>
      <c r="AK398" s="218">
        <v>0.06</v>
      </c>
      <c r="AL398" s="218">
        <v>1.06</v>
      </c>
      <c r="AM398" s="218">
        <v>2.06</v>
      </c>
      <c r="AN398" s="218">
        <v>3.06</v>
      </c>
      <c r="AO398" s="218">
        <v>4.0599999999999996</v>
      </c>
      <c r="AP398" s="218"/>
      <c r="AQ398" s="218"/>
      <c r="AR398" s="218"/>
      <c r="AS398" s="218"/>
      <c r="AT398" s="218"/>
    </row>
    <row r="399" spans="4:46" hidden="1">
      <c r="D399" s="247" t="s">
        <v>734</v>
      </c>
      <c r="E399" s="237"/>
      <c r="F399" s="237"/>
      <c r="G399" s="237"/>
      <c r="H399" s="237"/>
      <c r="I399" s="237"/>
      <c r="J399" s="237"/>
      <c r="K399" s="237"/>
      <c r="L399" s="237"/>
      <c r="M399" s="237"/>
      <c r="N399" s="237"/>
      <c r="O399" s="237"/>
      <c r="P399" s="237"/>
      <c r="Q399" s="237"/>
      <c r="R399" s="237"/>
      <c r="S399" s="237"/>
      <c r="T399" s="237"/>
      <c r="U399" s="237"/>
      <c r="V399" s="237"/>
      <c r="W399" s="237"/>
      <c r="X399" s="237"/>
      <c r="Y399" s="237"/>
      <c r="Z399" s="237"/>
      <c r="AA399" s="1610"/>
      <c r="AB399" s="1610"/>
      <c r="AC399" s="1610"/>
      <c r="AD399" s="1610"/>
      <c r="AE399" s="1610"/>
      <c r="AF399" s="237"/>
      <c r="AG399" s="237"/>
      <c r="AH399" s="237"/>
      <c r="AI399" s="237"/>
      <c r="AJ399" s="237"/>
      <c r="AK399" s="237"/>
      <c r="AL399" s="237"/>
      <c r="AM399" s="237"/>
      <c r="AN399" s="237"/>
      <c r="AO399" s="237"/>
      <c r="AP399" s="237"/>
      <c r="AQ399" s="237"/>
      <c r="AR399" s="237"/>
      <c r="AS399" s="237"/>
      <c r="AT399" s="237"/>
    </row>
    <row r="400" spans="4:46">
      <c r="D400" s="92" t="s">
        <v>864</v>
      </c>
      <c r="E400" s="1"/>
      <c r="F400" s="1"/>
      <c r="G400" s="1"/>
      <c r="H400" s="1"/>
      <c r="I400" s="1"/>
      <c r="J400" s="1"/>
      <c r="K400" s="1"/>
      <c r="L400" s="1"/>
      <c r="M400" s="1"/>
      <c r="N400" s="1"/>
      <c r="O400" s="1"/>
      <c r="P400" s="1"/>
      <c r="Q400" s="1"/>
      <c r="R400" s="1"/>
      <c r="S400" s="1"/>
      <c r="T400" s="1"/>
      <c r="V400" s="1"/>
      <c r="W400" s="1">
        <f t="shared" ref="W400:AC400" si="247">W402/V402-1</f>
        <v>0.15777080062794346</v>
      </c>
      <c r="X400" s="1">
        <f t="shared" si="247"/>
        <v>0.10915254237288141</v>
      </c>
      <c r="Y400" s="1">
        <f t="shared" si="247"/>
        <v>8.7408312958435097E-2</v>
      </c>
      <c r="Z400" s="1">
        <f t="shared" si="247"/>
        <v>9.3310848791455792E-2</v>
      </c>
      <c r="AA400" s="1">
        <f t="shared" si="247"/>
        <v>0.12305055698371903</v>
      </c>
      <c r="AB400" s="1">
        <f t="shared" si="247"/>
        <v>0.1039218678467877</v>
      </c>
      <c r="AC400" s="1">
        <f t="shared" si="247"/>
        <v>0.10810063588609342</v>
      </c>
      <c r="AG400" s="1041"/>
      <c r="AH400" s="1040">
        <f t="shared" ref="AH400:AI400" si="248">AH402/AG402-1</f>
        <v>0.27446241040173369</v>
      </c>
      <c r="AI400" s="1040">
        <f t="shared" si="248"/>
        <v>0.1606173566150022</v>
      </c>
      <c r="AJ400" s="1040">
        <f>AJ402/AI402-1</f>
        <v>0.12884937302526889</v>
      </c>
      <c r="AK400" s="1899"/>
      <c r="AL400" s="1040"/>
    </row>
    <row r="401" spans="3:49" ht="18.5">
      <c r="C401" s="91"/>
      <c r="D401" s="167" t="s">
        <v>2403</v>
      </c>
      <c r="E401" s="30"/>
      <c r="F401" s="30"/>
      <c r="G401" s="30"/>
      <c r="H401" s="30"/>
      <c r="I401" s="142" t="s">
        <v>1156</v>
      </c>
      <c r="J401" s="142" t="s">
        <v>1152</v>
      </c>
      <c r="K401" s="142" t="s">
        <v>1151</v>
      </c>
      <c r="L401" s="147" t="s">
        <v>1150</v>
      </c>
      <c r="M401" s="142" t="s">
        <v>1149</v>
      </c>
      <c r="N401" s="147" t="s">
        <v>1148</v>
      </c>
      <c r="O401" s="142" t="s">
        <v>1147</v>
      </c>
      <c r="P401" s="147" t="s">
        <v>1146</v>
      </c>
      <c r="Q401" s="142" t="s">
        <v>1145</v>
      </c>
      <c r="R401" s="147" t="s">
        <v>204</v>
      </c>
      <c r="S401" s="142" t="s">
        <v>205</v>
      </c>
      <c r="T401" s="142" t="s">
        <v>206</v>
      </c>
      <c r="U401" s="147" t="s">
        <v>207</v>
      </c>
      <c r="V401" s="142" t="s">
        <v>194</v>
      </c>
      <c r="W401" s="142" t="s">
        <v>195</v>
      </c>
      <c r="X401" s="142" t="s">
        <v>196</v>
      </c>
      <c r="Y401" s="142" t="s">
        <v>197</v>
      </c>
      <c r="Z401" s="142" t="s">
        <v>198</v>
      </c>
      <c r="AA401" s="142" t="s">
        <v>199</v>
      </c>
      <c r="AB401" s="142" t="s">
        <v>200</v>
      </c>
      <c r="AC401" s="142" t="s">
        <v>201</v>
      </c>
      <c r="AD401" s="142" t="s">
        <v>202</v>
      </c>
      <c r="AE401" s="142" t="s">
        <v>203</v>
      </c>
      <c r="AF401" s="142" t="s">
        <v>1114</v>
      </c>
      <c r="AG401" s="142" t="s">
        <v>1140</v>
      </c>
      <c r="AH401" s="142" t="s">
        <v>1141</v>
      </c>
      <c r="AI401" s="142" t="s">
        <v>1142</v>
      </c>
      <c r="AJ401" s="142" t="s">
        <v>1143</v>
      </c>
      <c r="AK401" s="142" t="s">
        <v>1144</v>
      </c>
      <c r="AL401" s="142" t="s">
        <v>3289</v>
      </c>
      <c r="AM401" s="142" t="s">
        <v>3400</v>
      </c>
      <c r="AN401" s="142" t="s">
        <v>3582</v>
      </c>
      <c r="AO401" s="142" t="s">
        <v>3583</v>
      </c>
      <c r="AP401" s="142" t="s">
        <v>3717</v>
      </c>
      <c r="AQ401" s="142" t="s">
        <v>3718</v>
      </c>
      <c r="AR401" s="142" t="s">
        <v>3719</v>
      </c>
      <c r="AS401" s="142" t="s">
        <v>3720</v>
      </c>
      <c r="AT401" s="142" t="s">
        <v>3721</v>
      </c>
    </row>
    <row r="402" spans="3:49">
      <c r="C402" s="91"/>
      <c r="D402" s="174" t="s">
        <v>237</v>
      </c>
      <c r="E402" s="175"/>
      <c r="F402" s="175"/>
      <c r="G402" s="175"/>
      <c r="H402" s="175"/>
      <c r="I402" s="176"/>
      <c r="J402" s="176"/>
      <c r="K402" s="176">
        <f t="shared" ref="K402:Q402" si="249">+(J207+K207)/2</f>
        <v>763</v>
      </c>
      <c r="L402" s="176">
        <f t="shared" si="249"/>
        <v>838.5</v>
      </c>
      <c r="M402" s="176">
        <f t="shared" si="249"/>
        <v>902.5</v>
      </c>
      <c r="N402" s="176">
        <f t="shared" si="249"/>
        <v>1041.5</v>
      </c>
      <c r="O402" s="176">
        <f t="shared" si="249"/>
        <v>1260.5</v>
      </c>
      <c r="P402" s="176">
        <f t="shared" si="249"/>
        <v>1504</v>
      </c>
      <c r="Q402" s="176">
        <f t="shared" si="249"/>
        <v>1733.5</v>
      </c>
      <c r="R402" s="176">
        <f t="shared" ref="R402:AF402" si="250">R208</f>
        <v>2031</v>
      </c>
      <c r="S402" s="176">
        <f t="shared" si="250"/>
        <v>2466</v>
      </c>
      <c r="T402" s="176">
        <f t="shared" si="250"/>
        <v>3097</v>
      </c>
      <c r="U402" s="176">
        <f t="shared" si="250"/>
        <v>3373</v>
      </c>
      <c r="V402" s="176">
        <f t="shared" si="250"/>
        <v>3822</v>
      </c>
      <c r="W402" s="176">
        <f t="shared" si="250"/>
        <v>4425</v>
      </c>
      <c r="X402" s="176">
        <f t="shared" si="250"/>
        <v>4908</v>
      </c>
      <c r="Y402" s="176">
        <f t="shared" si="250"/>
        <v>5337</v>
      </c>
      <c r="Z402" s="176">
        <f t="shared" si="250"/>
        <v>5835</v>
      </c>
      <c r="AA402" s="176">
        <f t="shared" si="250"/>
        <v>6553</v>
      </c>
      <c r="AB402" s="176">
        <f t="shared" si="250"/>
        <v>7234</v>
      </c>
      <c r="AC402" s="176">
        <f t="shared" si="250"/>
        <v>8016</v>
      </c>
      <c r="AD402" s="176">
        <f t="shared" si="250"/>
        <v>8718</v>
      </c>
      <c r="AE402" s="176">
        <f t="shared" si="250"/>
        <v>9386</v>
      </c>
      <c r="AF402" s="176">
        <f t="shared" si="250"/>
        <v>10271</v>
      </c>
      <c r="AG402" s="229">
        <f t="shared" ref="AG402:AS402" si="251">AG208</f>
        <v>11998</v>
      </c>
      <c r="AH402" s="229">
        <f t="shared" si="251"/>
        <v>15291</v>
      </c>
      <c r="AI402" s="229">
        <f t="shared" si="251"/>
        <v>17747</v>
      </c>
      <c r="AJ402" s="176">
        <f>AJ208</f>
        <v>20033.689823079447</v>
      </c>
      <c r="AK402" s="176">
        <f t="shared" si="251"/>
        <v>22653.476238318653</v>
      </c>
      <c r="AL402" s="176">
        <f t="shared" si="251"/>
        <v>25562.479815704588</v>
      </c>
      <c r="AM402" s="176">
        <f t="shared" si="251"/>
        <v>28775.072036619156</v>
      </c>
      <c r="AN402" s="176">
        <f t="shared" si="251"/>
        <v>32333.408394979382</v>
      </c>
      <c r="AO402" s="176">
        <f t="shared" si="251"/>
        <v>36327.523609205775</v>
      </c>
      <c r="AP402" s="176">
        <f t="shared" si="251"/>
        <v>38640.830182019621</v>
      </c>
      <c r="AQ402" s="176">
        <f t="shared" si="251"/>
        <v>40782.660468080794</v>
      </c>
      <c r="AR402" s="176">
        <f t="shared" si="251"/>
        <v>47526.146899255873</v>
      </c>
      <c r="AS402" s="176">
        <f t="shared" si="251"/>
        <v>12574.344308625654</v>
      </c>
      <c r="AT402" s="176">
        <f>AT208</f>
        <v>12574.344308625654</v>
      </c>
    </row>
    <row r="403" spans="3:49">
      <c r="C403" s="91"/>
      <c r="D403" s="178" t="s">
        <v>261</v>
      </c>
      <c r="E403" s="175"/>
      <c r="F403" s="175"/>
      <c r="G403" s="175"/>
      <c r="H403" s="175"/>
      <c r="I403" s="175"/>
      <c r="J403" s="175"/>
      <c r="K403" s="175"/>
      <c r="L403" s="179">
        <f t="shared" ref="L403:V403" si="252">+L402/K402-1</f>
        <v>9.8951507208387968E-2</v>
      </c>
      <c r="M403" s="179">
        <f t="shared" si="252"/>
        <v>7.6326774001192588E-2</v>
      </c>
      <c r="N403" s="179">
        <f t="shared" si="252"/>
        <v>0.15401662049861486</v>
      </c>
      <c r="O403" s="179">
        <f t="shared" si="252"/>
        <v>0.21027364378300528</v>
      </c>
      <c r="P403" s="179">
        <f t="shared" si="252"/>
        <v>0.19317731059103527</v>
      </c>
      <c r="Q403" s="179">
        <f t="shared" si="252"/>
        <v>0.15259308510638303</v>
      </c>
      <c r="R403" s="179">
        <f t="shared" si="252"/>
        <v>0.1716181136429189</v>
      </c>
      <c r="S403" s="179">
        <f t="shared" si="252"/>
        <v>0.21418020679468253</v>
      </c>
      <c r="T403" s="179">
        <f t="shared" si="252"/>
        <v>0.25587996755879971</v>
      </c>
      <c r="U403" s="179">
        <f>+U402/T402-1</f>
        <v>8.9118501775912184E-2</v>
      </c>
      <c r="V403" s="179">
        <f t="shared" si="252"/>
        <v>0.13311592054550836</v>
      </c>
      <c r="W403" s="179">
        <f>+W402/V402-1</f>
        <v>0.15777080062794346</v>
      </c>
      <c r="X403" s="179">
        <f t="shared" ref="X403:AE403" si="253">+X402/W402-1</f>
        <v>0.10915254237288141</v>
      </c>
      <c r="Y403" s="179">
        <f t="shared" si="253"/>
        <v>8.7408312958435097E-2</v>
      </c>
      <c r="Z403" s="179">
        <f t="shared" si="253"/>
        <v>9.3310848791455792E-2</v>
      </c>
      <c r="AA403" s="179">
        <f t="shared" si="253"/>
        <v>0.12305055698371903</v>
      </c>
      <c r="AB403" s="179">
        <f t="shared" si="253"/>
        <v>0.1039218678467877</v>
      </c>
      <c r="AC403" s="179">
        <f t="shared" si="253"/>
        <v>0.10810063588609342</v>
      </c>
      <c r="AD403" s="179">
        <f t="shared" si="253"/>
        <v>8.7574850299401152E-2</v>
      </c>
      <c r="AE403" s="179">
        <f t="shared" si="253"/>
        <v>7.6623078687772406E-2</v>
      </c>
      <c r="AF403" s="179">
        <f t="shared" ref="AF403:AM403" si="254">+AF402/AE402-1</f>
        <v>9.4289367142552649E-2</v>
      </c>
      <c r="AG403" s="179">
        <f t="shared" si="254"/>
        <v>0.16814331613280098</v>
      </c>
      <c r="AH403" s="179">
        <f t="shared" si="254"/>
        <v>0.27446241040173369</v>
      </c>
      <c r="AI403" s="179">
        <f>+AI402/AH402-1</f>
        <v>0.1606173566150022</v>
      </c>
      <c r="AJ403" s="179">
        <f t="shared" si="254"/>
        <v>0.12884937302526889</v>
      </c>
      <c r="AK403" s="179">
        <f t="shared" si="254"/>
        <v>0.1307690414683933</v>
      </c>
      <c r="AL403" s="179">
        <f t="shared" si="254"/>
        <v>0.12841312065233135</v>
      </c>
      <c r="AM403" s="179">
        <f t="shared" si="254"/>
        <v>0.12567607853682783</v>
      </c>
      <c r="AN403" s="179">
        <f>+AN402/AM402-1</f>
        <v>0.12366038054854855</v>
      </c>
      <c r="AO403" s="179">
        <f t="shared" ref="AO403" si="255">+AO402/AN402-1</f>
        <v>0.12352904975049217</v>
      </c>
      <c r="AP403" s="179">
        <f t="shared" ref="AP403" si="256">+AP402/AO402-1</f>
        <v>6.3679170584246325E-2</v>
      </c>
      <c r="AQ403" s="179">
        <f t="shared" ref="AQ403" si="257">+AQ402/AP402-1</f>
        <v>5.5429199527338602E-2</v>
      </c>
      <c r="AR403" s="179">
        <f t="shared" ref="AR403" si="258">+AR402/AQ402-1</f>
        <v>0.16535180279503781</v>
      </c>
      <c r="AS403" s="179">
        <f t="shared" ref="AS403" si="259">+AS402/AR402-1</f>
        <v>-0.73542260147282135</v>
      </c>
      <c r="AT403" s="179">
        <f t="shared" ref="AT403" si="260">+AT402/AS402-1</f>
        <v>0</v>
      </c>
    </row>
    <row r="404" spans="3:49">
      <c r="C404" s="91"/>
      <c r="D404" s="175" t="s">
        <v>324</v>
      </c>
      <c r="E404" s="175"/>
      <c r="F404" s="175"/>
      <c r="G404" s="175"/>
      <c r="H404" s="175"/>
      <c r="I404" s="175"/>
      <c r="J404" s="175"/>
      <c r="K404" s="176">
        <f t="shared" ref="K404:V404" si="261">+(J206+K206)/2</f>
        <v>375.52500000000003</v>
      </c>
      <c r="L404" s="176">
        <f t="shared" si="261"/>
        <v>405.625</v>
      </c>
      <c r="M404" s="176">
        <f t="shared" si="261"/>
        <v>433.77499999999998</v>
      </c>
      <c r="N404" s="176">
        <f t="shared" si="261"/>
        <v>489.6</v>
      </c>
      <c r="O404" s="176">
        <f t="shared" si="261"/>
        <v>559.22500000000002</v>
      </c>
      <c r="P404" s="176">
        <f t="shared" si="261"/>
        <v>659.5</v>
      </c>
      <c r="Q404" s="176">
        <f t="shared" si="261"/>
        <v>812.77499999999998</v>
      </c>
      <c r="R404" s="176">
        <f t="shared" si="261"/>
        <v>1009.675</v>
      </c>
      <c r="S404" s="176">
        <f t="shared" si="261"/>
        <v>1312.1750000000002</v>
      </c>
      <c r="T404" s="176">
        <f t="shared" si="261"/>
        <v>1608.3500000000001</v>
      </c>
      <c r="U404" s="176">
        <f t="shared" si="261"/>
        <v>1808.75</v>
      </c>
      <c r="V404" s="176">
        <f t="shared" si="261"/>
        <v>2017.75</v>
      </c>
      <c r="W404" s="176">
        <f t="shared" ref="W404:AL404" si="262">+(V206+W206)/2</f>
        <v>2312.9499999999998</v>
      </c>
      <c r="X404" s="176">
        <f t="shared" si="262"/>
        <v>2566.260656071418</v>
      </c>
      <c r="Y404" s="176">
        <f t="shared" si="262"/>
        <v>2784.8506198221348</v>
      </c>
      <c r="Z404" s="176">
        <f t="shared" si="262"/>
        <v>3071.9155450526273</v>
      </c>
      <c r="AA404" s="176">
        <f t="shared" si="262"/>
        <v>3295.5585425172385</v>
      </c>
      <c r="AB404" s="176">
        <f t="shared" si="262"/>
        <v>3457.4223051955441</v>
      </c>
      <c r="AC404" s="176">
        <f t="shared" si="262"/>
        <v>3709.582616694353</v>
      </c>
      <c r="AD404" s="176">
        <f t="shared" si="262"/>
        <v>4128.7434016547231</v>
      </c>
      <c r="AE404" s="176">
        <f t="shared" si="262"/>
        <v>4428.991511564378</v>
      </c>
      <c r="AF404" s="176">
        <f t="shared" si="262"/>
        <v>4850.1477678556039</v>
      </c>
      <c r="AG404" s="176">
        <f t="shared" si="262"/>
        <v>5766.6756537661331</v>
      </c>
      <c r="AH404" s="176">
        <f t="shared" si="262"/>
        <v>6706.6606135893999</v>
      </c>
      <c r="AI404" s="176">
        <f t="shared" si="262"/>
        <v>7400.9715331297402</v>
      </c>
      <c r="AJ404" s="176">
        <f t="shared" si="262"/>
        <v>7947.7278647903295</v>
      </c>
      <c r="AK404" s="176">
        <f t="shared" si="262"/>
        <v>8598.4683415671971</v>
      </c>
      <c r="AL404" s="176">
        <f t="shared" si="262"/>
        <v>9803.6074408630757</v>
      </c>
      <c r="AM404" s="176">
        <f>+(AL206+AM206)/2</f>
        <v>11326.993841937659</v>
      </c>
      <c r="AN404" s="176">
        <f t="shared" ref="AN404:AO404" si="263">+(AM206+AN206)/2</f>
        <v>12748.186993260242</v>
      </c>
      <c r="AO404" s="176">
        <f t="shared" si="263"/>
        <v>14720.196085651445</v>
      </c>
      <c r="AP404" s="176">
        <f t="shared" ref="AP404" si="264">+(AO206+AP206)/2</f>
        <v>15300.300945808067</v>
      </c>
      <c r="AQ404" s="176">
        <f t="shared" ref="AQ404" si="265">+(AP206+AQ206)/2</f>
        <v>15409.67311318829</v>
      </c>
      <c r="AR404" s="176">
        <f t="shared" ref="AR404" si="266">+(AQ206+AR206)/2</f>
        <v>19723.995611921444</v>
      </c>
      <c r="AS404" s="176">
        <f t="shared" ref="AS404" si="267">+(AR206+AS206)/2</f>
        <v>-18065.595116483146</v>
      </c>
      <c r="AT404" s="176">
        <f t="shared" ref="AT404" si="268">+(AS206+AT206)/2</f>
        <v>-49078.546157728444</v>
      </c>
      <c r="AU404" s="1424"/>
      <c r="AV404" s="1424"/>
      <c r="AW404" s="1424"/>
    </row>
    <row r="405" spans="3:49">
      <c r="C405" s="91"/>
      <c r="D405" s="175" t="s">
        <v>343</v>
      </c>
      <c r="E405" s="175"/>
      <c r="F405" s="175"/>
      <c r="G405" s="175"/>
      <c r="H405" s="176">
        <f t="shared" ref="H405:M405" si="269">+(H$402-H679-H686-(H717+H744))</f>
        <v>0</v>
      </c>
      <c r="I405" s="176">
        <f t="shared" si="269"/>
        <v>0</v>
      </c>
      <c r="J405" s="176">
        <f t="shared" si="269"/>
        <v>-76.579461220000013</v>
      </c>
      <c r="K405" s="176">
        <f t="shared" si="269"/>
        <v>681.30583877999993</v>
      </c>
      <c r="L405" s="176">
        <f t="shared" si="269"/>
        <v>749.6318</v>
      </c>
      <c r="M405" s="176">
        <f t="shared" si="269"/>
        <v>802.91450000000009</v>
      </c>
      <c r="N405" s="176">
        <f t="shared" ref="N405:AT405" si="270">+(N$402-N1003-N1019-(N1077+N1113+1183))</f>
        <v>-141.5</v>
      </c>
      <c r="O405" s="176">
        <f t="shared" si="270"/>
        <v>77.5</v>
      </c>
      <c r="P405" s="176">
        <f t="shared" si="270"/>
        <v>321</v>
      </c>
      <c r="Q405" s="176">
        <f t="shared" si="270"/>
        <v>550.5</v>
      </c>
      <c r="R405" s="176">
        <f t="shared" si="270"/>
        <v>848</v>
      </c>
      <c r="S405" s="176">
        <f t="shared" si="270"/>
        <v>1283</v>
      </c>
      <c r="T405" s="176">
        <f t="shared" si="270"/>
        <v>1914</v>
      </c>
      <c r="U405" s="176">
        <f t="shared" si="270"/>
        <v>2190</v>
      </c>
      <c r="V405" s="176">
        <f t="shared" si="270"/>
        <v>2452.7550531294783</v>
      </c>
      <c r="W405" s="176">
        <f t="shared" si="270"/>
        <v>3021.3364312588383</v>
      </c>
      <c r="X405" s="176">
        <f t="shared" si="270"/>
        <v>3460.4840415201274</v>
      </c>
      <c r="Y405" s="176">
        <f t="shared" si="270"/>
        <v>3525.4666911272866</v>
      </c>
      <c r="Z405" s="176">
        <f t="shared" si="270"/>
        <v>3963.3345096283588</v>
      </c>
      <c r="AA405" s="176">
        <f t="shared" si="270"/>
        <v>4547.0994854900273</v>
      </c>
      <c r="AB405" s="176">
        <f t="shared" si="270"/>
        <v>5186.7126399567405</v>
      </c>
      <c r="AC405" s="176">
        <f t="shared" si="270"/>
        <v>5874.7573358008003</v>
      </c>
      <c r="AD405" s="176">
        <f t="shared" si="270"/>
        <v>6485.2273805698751</v>
      </c>
      <c r="AE405" s="176">
        <f t="shared" si="270"/>
        <v>7089.7931659075402</v>
      </c>
      <c r="AF405" s="176">
        <f t="shared" si="270"/>
        <v>7867.6215574949401</v>
      </c>
      <c r="AG405" s="176">
        <f t="shared" si="270"/>
        <v>9466.1013829584481</v>
      </c>
      <c r="AH405" s="176">
        <f t="shared" si="270"/>
        <v>12460.902595121386</v>
      </c>
      <c r="AI405" s="176">
        <f t="shared" si="270"/>
        <v>14670.391479826132</v>
      </c>
      <c r="AJ405" s="176">
        <f t="shared" si="270"/>
        <v>16539.098644291662</v>
      </c>
      <c r="AK405" s="176">
        <f t="shared" si="270"/>
        <v>18688.529644226815</v>
      </c>
      <c r="AL405" s="176">
        <f t="shared" si="270"/>
        <v>21107.453197534174</v>
      </c>
      <c r="AM405" s="176">
        <f t="shared" si="270"/>
        <v>23815.85004814389</v>
      </c>
      <c r="AN405" s="176">
        <f t="shared" si="270"/>
        <v>26847.854524325689</v>
      </c>
      <c r="AO405" s="176">
        <f t="shared" si="270"/>
        <v>30326.790983801286</v>
      </c>
      <c r="AP405" s="176">
        <f t="shared" si="270"/>
        <v>32258.022755947728</v>
      </c>
      <c r="AQ405" s="176">
        <f t="shared" si="270"/>
        <v>34001.033748537957</v>
      </c>
      <c r="AR405" s="176">
        <f t="shared" si="270"/>
        <v>39859.646620527608</v>
      </c>
      <c r="AS405" s="176">
        <f t="shared" si="270"/>
        <v>22490.094239362043</v>
      </c>
      <c r="AT405" s="176">
        <f t="shared" si="270"/>
        <v>34051.785577413044</v>
      </c>
    </row>
    <row r="406" spans="3:49">
      <c r="C406" s="91"/>
      <c r="D406" s="175" t="s">
        <v>2401</v>
      </c>
      <c r="E406" s="175"/>
      <c r="F406" s="175"/>
      <c r="G406" s="175"/>
      <c r="H406" s="175"/>
      <c r="I406" s="175"/>
      <c r="J406" s="176">
        <f t="shared" ref="J406:S406" si="271">J217+J218</f>
        <v>2095</v>
      </c>
      <c r="K406" s="176">
        <f t="shared" si="271"/>
        <v>2323</v>
      </c>
      <c r="L406" s="176">
        <f t="shared" si="271"/>
        <v>2439</v>
      </c>
      <c r="M406" s="176">
        <f t="shared" si="271"/>
        <v>2772</v>
      </c>
      <c r="N406" s="176">
        <f t="shared" si="271"/>
        <v>2704</v>
      </c>
      <c r="O406" s="176">
        <f t="shared" si="271"/>
        <v>2897</v>
      </c>
      <c r="P406" s="176">
        <f t="shared" si="271"/>
        <v>3152</v>
      </c>
      <c r="Q406" s="176">
        <f t="shared" si="271"/>
        <v>3471</v>
      </c>
      <c r="R406" s="176">
        <f t="shared" si="271"/>
        <v>3552</v>
      </c>
      <c r="S406" s="176">
        <f t="shared" si="271"/>
        <v>3801</v>
      </c>
      <c r="T406" s="176">
        <f>T217+T218</f>
        <v>4187</v>
      </c>
      <c r="U406" s="176">
        <f t="shared" ref="U406:AJ406" si="272">U217+U218</f>
        <v>4448</v>
      </c>
      <c r="V406" s="176">
        <f t="shared" si="272"/>
        <v>4826</v>
      </c>
      <c r="W406" s="176">
        <f t="shared" si="272"/>
        <v>5205</v>
      </c>
      <c r="X406" s="176">
        <f t="shared" si="272"/>
        <v>5389</v>
      </c>
      <c r="Y406" s="176">
        <f t="shared" si="272"/>
        <v>5846</v>
      </c>
      <c r="Z406" s="176">
        <f t="shared" si="272"/>
        <v>6482</v>
      </c>
      <c r="AA406" s="176">
        <f t="shared" si="272"/>
        <v>6805</v>
      </c>
      <c r="AB406" s="176">
        <f t="shared" si="272"/>
        <v>6831.2089999999998</v>
      </c>
      <c r="AC406" s="176">
        <f t="shared" si="272"/>
        <v>7437.18</v>
      </c>
      <c r="AD406" s="176">
        <f t="shared" si="272"/>
        <v>7775.7219999999998</v>
      </c>
      <c r="AE406" s="176">
        <f>AE217+AE218</f>
        <v>7882.9699999999993</v>
      </c>
      <c r="AF406" s="176">
        <f t="shared" si="272"/>
        <v>8467.6970000000001</v>
      </c>
      <c r="AG406" s="176">
        <f t="shared" si="272"/>
        <v>9466.3160000000007</v>
      </c>
      <c r="AH406" s="176">
        <f t="shared" si="272"/>
        <v>10239.819200184156</v>
      </c>
      <c r="AI406" s="176">
        <f>AI217+AI218</f>
        <v>10866.367785642944</v>
      </c>
      <c r="AJ406" s="176">
        <f t="shared" si="272"/>
        <v>11587.596024627726</v>
      </c>
      <c r="AK406" s="176">
        <f>AK217+AK218</f>
        <v>12587.626504073975</v>
      </c>
      <c r="AL406" s="176">
        <f>AL217+AL218</f>
        <v>13517.062546788127</v>
      </c>
      <c r="AM406" s="176">
        <f>AM217+AM218</f>
        <v>14391.096309109533</v>
      </c>
      <c r="AN406" s="176">
        <f t="shared" ref="AN406:AT406" si="273">AN217+AN218</f>
        <v>15455.605670138957</v>
      </c>
      <c r="AO406" s="176">
        <f>AN406*(1+8%)</f>
        <v>16692.054123750077</v>
      </c>
      <c r="AP406" s="176">
        <f t="shared" si="273"/>
        <v>17360.216795376247</v>
      </c>
      <c r="AQ406" s="176">
        <f t="shared" si="273"/>
        <v>16895.380811925759</v>
      </c>
      <c r="AR406" s="176">
        <f t="shared" si="273"/>
        <v>18625.20595200239</v>
      </c>
      <c r="AS406" s="176">
        <f t="shared" si="273"/>
        <v>-15503.867956484464</v>
      </c>
      <c r="AT406" s="176">
        <f t="shared" si="273"/>
        <v>-4963.5005723180202</v>
      </c>
    </row>
    <row r="407" spans="3:49">
      <c r="C407" s="91"/>
      <c r="D407" s="175" t="s">
        <v>252</v>
      </c>
      <c r="E407" s="175"/>
      <c r="F407" s="175"/>
      <c r="G407" s="175"/>
      <c r="H407" s="175"/>
      <c r="I407" s="175"/>
      <c r="J407" s="176">
        <f>J335</f>
        <v>0</v>
      </c>
      <c r="K407" s="176">
        <f>K335</f>
        <v>0</v>
      </c>
      <c r="L407" s="176">
        <f>L335</f>
        <v>0</v>
      </c>
      <c r="M407" s="176">
        <f>M335</f>
        <v>0</v>
      </c>
      <c r="N407" s="176">
        <f>+(M238-M241+N238-N241)*N253/1000/2</f>
        <v>0</v>
      </c>
      <c r="O407" s="176">
        <f>+(N238-N241+O238-O241)*O253/1000/2</f>
        <v>0</v>
      </c>
      <c r="P407" s="176">
        <f>+(O238-O241+P238-P241)*P253/1000/2</f>
        <v>0</v>
      </c>
      <c r="Q407" s="176">
        <f t="shared" ref="Q407:AL407" si="274">+(P238-P241+Q238-Q241)*Q253/1000/2</f>
        <v>0</v>
      </c>
      <c r="R407" s="176">
        <f t="shared" si="274"/>
        <v>0</v>
      </c>
      <c r="S407" s="176">
        <f t="shared" si="274"/>
        <v>0</v>
      </c>
      <c r="T407" s="176">
        <f t="shared" si="274"/>
        <v>0</v>
      </c>
      <c r="U407" s="176">
        <f t="shared" si="274"/>
        <v>0</v>
      </c>
      <c r="V407" s="176">
        <f t="shared" si="274"/>
        <v>2610.2574647882525</v>
      </c>
      <c r="W407" s="176">
        <f t="shared" si="274"/>
        <v>2921.1919395094892</v>
      </c>
      <c r="X407" s="176">
        <f t="shared" si="274"/>
        <v>3220.625667180856</v>
      </c>
      <c r="Y407" s="176">
        <f t="shared" si="274"/>
        <v>3623.7429839366423</v>
      </c>
      <c r="Z407" s="176">
        <f t="shared" si="274"/>
        <v>4070.8432453759415</v>
      </c>
      <c r="AA407" s="176">
        <f t="shared" si="274"/>
        <v>3080.5910568849736</v>
      </c>
      <c r="AB407" s="176">
        <f t="shared" si="274"/>
        <v>1522.0526253860223</v>
      </c>
      <c r="AC407" s="176">
        <f t="shared" si="274"/>
        <v>1535.4524631252966</v>
      </c>
      <c r="AD407" s="176">
        <f t="shared" si="274"/>
        <v>1779.8472384321335</v>
      </c>
      <c r="AE407" s="176">
        <f t="shared" si="274"/>
        <v>1995.8459616879588</v>
      </c>
      <c r="AF407" s="176">
        <f t="shared" si="274"/>
        <v>2274.9301403953646</v>
      </c>
      <c r="AG407" s="176">
        <f t="shared" si="274"/>
        <v>2695.1704422235816</v>
      </c>
      <c r="AH407" s="176">
        <f t="shared" si="274"/>
        <v>3257.8053209673722</v>
      </c>
      <c r="AI407" s="176">
        <f t="shared" si="274"/>
        <v>4109.8283830216633</v>
      </c>
      <c r="AJ407" s="176">
        <f>+(AI238-AI241+AJ238-AJ241)*AJ253/1000/2</f>
        <v>4652.0665500458745</v>
      </c>
      <c r="AK407" s="176">
        <f t="shared" si="274"/>
        <v>5127.009569188911</v>
      </c>
      <c r="AL407" s="176">
        <f t="shared" si="274"/>
        <v>5722.960272343882</v>
      </c>
      <c r="AM407" s="176">
        <f>+(AL238-AL241+AM238-AM241)*AM253/1000/2</f>
        <v>6438.3510541481046</v>
      </c>
      <c r="AN407" s="176">
        <f t="shared" ref="AN407:AO407" si="275">+(AM238-AM241+AN238-AN241)*AN253/1000/2</f>
        <v>7227.6370429425415</v>
      </c>
      <c r="AO407" s="176">
        <f t="shared" si="275"/>
        <v>7955.6178645434811</v>
      </c>
      <c r="AP407" s="176">
        <f t="shared" ref="AP407" si="276">+(AO238-AO241+AP238-AP241)*AP253/1000/2</f>
        <v>9693.7539613217796</v>
      </c>
      <c r="AQ407" s="176">
        <f t="shared" ref="AQ407" si="277">+(AP238-AP241+AQ238-AQ241)*AQ253/1000/2</f>
        <v>12173.637600342892</v>
      </c>
      <c r="AR407" s="176">
        <f t="shared" ref="AR407" si="278">+(AQ238-AQ241+AR238-AR241)*AR253/1000/2</f>
        <v>14687.502557593474</v>
      </c>
      <c r="AS407" s="176">
        <f t="shared" ref="AS407" si="279">+(AR238-AR241+AS238-AS241)*AS253/1000/2</f>
        <v>17367.0368085113</v>
      </c>
      <c r="AT407" s="176">
        <f t="shared" ref="AT407" si="280">+(AS238-AS241+AT238-AT241)*AT253/1000/2</f>
        <v>20501.307982282488</v>
      </c>
    </row>
    <row r="408" spans="3:49">
      <c r="C408" s="91"/>
      <c r="D408" s="175" t="s">
        <v>2462</v>
      </c>
      <c r="E408" s="175"/>
      <c r="F408" s="175"/>
      <c r="G408" s="175"/>
      <c r="H408" s="175"/>
      <c r="I408" s="175"/>
      <c r="J408" s="176"/>
      <c r="K408" s="176"/>
      <c r="L408" s="176"/>
      <c r="M408" s="176">
        <f>(L225+M225)/2</f>
        <v>60.5</v>
      </c>
      <c r="N408" s="176">
        <f t="shared" ref="N408:AM408" si="281">(M225+N225)/2</f>
        <v>73.5</v>
      </c>
      <c r="O408" s="176">
        <f t="shared" si="281"/>
        <v>116</v>
      </c>
      <c r="P408" s="176">
        <f t="shared" si="281"/>
        <v>159</v>
      </c>
      <c r="Q408" s="176">
        <f t="shared" si="281"/>
        <v>187</v>
      </c>
      <c r="R408" s="176">
        <f t="shared" si="281"/>
        <v>251.5</v>
      </c>
      <c r="S408" s="176">
        <f t="shared" si="281"/>
        <v>311.5</v>
      </c>
      <c r="T408" s="176">
        <f t="shared" si="281"/>
        <v>326.5</v>
      </c>
      <c r="U408" s="176">
        <f t="shared" si="281"/>
        <v>359</v>
      </c>
      <c r="V408" s="176">
        <f t="shared" si="281"/>
        <v>453.5</v>
      </c>
      <c r="W408" s="176">
        <f t="shared" si="281"/>
        <v>543.5</v>
      </c>
      <c r="X408" s="176">
        <f t="shared" si="281"/>
        <v>623</v>
      </c>
      <c r="Y408" s="176">
        <f t="shared" si="281"/>
        <v>731</v>
      </c>
      <c r="Z408" s="176">
        <f t="shared" si="281"/>
        <v>797</v>
      </c>
      <c r="AA408" s="176">
        <f t="shared" si="281"/>
        <v>935</v>
      </c>
      <c r="AB408" s="176">
        <f t="shared" si="281"/>
        <v>1317.751</v>
      </c>
      <c r="AC408" s="176">
        <f t="shared" si="281"/>
        <v>1665.6424999999999</v>
      </c>
      <c r="AD408" s="176">
        <f t="shared" si="281"/>
        <v>1891.6095</v>
      </c>
      <c r="AE408" s="176">
        <f t="shared" si="281"/>
        <v>1943.1</v>
      </c>
      <c r="AF408" s="176">
        <f t="shared" si="281"/>
        <v>1995.413</v>
      </c>
      <c r="AG408" s="176">
        <f t="shared" si="281"/>
        <v>2609.998</v>
      </c>
      <c r="AH408" s="176">
        <f t="shared" si="281"/>
        <v>3620.7200000000003</v>
      </c>
      <c r="AI408" s="176">
        <f t="shared" si="281"/>
        <v>4944.2929999999997</v>
      </c>
      <c r="AJ408" s="176">
        <f t="shared" si="281"/>
        <v>6594.2141903077199</v>
      </c>
      <c r="AK408" s="176">
        <f t="shared" si="281"/>
        <v>8328.4011377543575</v>
      </c>
      <c r="AL408" s="176">
        <f t="shared" si="281"/>
        <v>10011.169123024429</v>
      </c>
      <c r="AM408" s="176">
        <f t="shared" si="281"/>
        <v>11865.916973892541</v>
      </c>
      <c r="AN408" s="176">
        <f t="shared" ref="AN408" si="282">(AM225+AN225)/2</f>
        <v>13978.54236966379</v>
      </c>
      <c r="AO408" s="176">
        <f>(AN225+AO225)/2</f>
        <v>15779.711740261941</v>
      </c>
      <c r="AP408" s="176">
        <f t="shared" ref="AP408:AT408" si="283">(AO225+AP225)/2</f>
        <v>17230.634537946687</v>
      </c>
      <c r="AQ408" s="176">
        <f t="shared" si="283"/>
        <v>18907.699932084495</v>
      </c>
      <c r="AR408" s="176">
        <f t="shared" si="283"/>
        <v>20975.523754186535</v>
      </c>
      <c r="AS408" s="176">
        <f t="shared" si="283"/>
        <v>23502.983851986264</v>
      </c>
      <c r="AT408" s="176">
        <f t="shared" si="283"/>
        <v>26294.282707792878</v>
      </c>
    </row>
    <row r="409" spans="3:49">
      <c r="C409" s="91"/>
      <c r="D409" s="174" t="s">
        <v>278</v>
      </c>
      <c r="E409" s="175"/>
      <c r="F409" s="175"/>
      <c r="G409" s="175"/>
      <c r="H409" s="175"/>
      <c r="I409" s="175"/>
      <c r="J409" s="175"/>
      <c r="K409" s="175"/>
      <c r="L409" s="175"/>
      <c r="M409" s="175"/>
      <c r="N409" s="175"/>
      <c r="O409" s="970">
        <f t="shared" ref="O409:X409" si="284">+O405/N405-1</f>
        <v>-1.547703180212014</v>
      </c>
      <c r="P409" s="970">
        <f t="shared" si="284"/>
        <v>3.1419354838709674</v>
      </c>
      <c r="Q409" s="970">
        <f t="shared" si="284"/>
        <v>0.7149532710280373</v>
      </c>
      <c r="R409" s="970">
        <f t="shared" si="284"/>
        <v>0.54041780199818357</v>
      </c>
      <c r="S409" s="970">
        <f t="shared" si="284"/>
        <v>0.51297169811320753</v>
      </c>
      <c r="T409" s="970">
        <f t="shared" si="284"/>
        <v>0.49181605611847234</v>
      </c>
      <c r="U409" s="970">
        <f t="shared" si="284"/>
        <v>0.14420062695924774</v>
      </c>
      <c r="V409" s="970">
        <f t="shared" si="284"/>
        <v>0.1199794763148303</v>
      </c>
      <c r="W409" s="970">
        <f t="shared" si="284"/>
        <v>0.23181335511016687</v>
      </c>
      <c r="X409" s="970">
        <f t="shared" si="284"/>
        <v>0.14534879522778543</v>
      </c>
      <c r="Y409" s="970">
        <f>+Y405/X405-1</f>
        <v>1.8778485560827285E-2</v>
      </c>
      <c r="Z409" s="970">
        <f t="shared" ref="Z409:AM409" si="285">+Z405/Y405-1</f>
        <v>0.12420137725398894</v>
      </c>
      <c r="AA409" s="970">
        <f t="shared" si="285"/>
        <v>0.14729137155682781</v>
      </c>
      <c r="AB409" s="970">
        <f t="shared" si="285"/>
        <v>0.14066398954052883</v>
      </c>
      <c r="AC409" s="970">
        <f t="shared" si="285"/>
        <v>0.13265525653832988</v>
      </c>
      <c r="AD409" s="970">
        <f t="shared" si="285"/>
        <v>0.10391408697834503</v>
      </c>
      <c r="AE409" s="970">
        <f t="shared" si="285"/>
        <v>9.3221987427762443E-2</v>
      </c>
      <c r="AF409" s="970">
        <f t="shared" si="285"/>
        <v>0.10971101319679089</v>
      </c>
      <c r="AG409" s="970">
        <f t="shared" si="285"/>
        <v>0.20317192607475465</v>
      </c>
      <c r="AH409" s="970">
        <f t="shared" si="285"/>
        <v>0.31637113221229529</v>
      </c>
      <c r="AI409" s="970">
        <f t="shared" si="285"/>
        <v>0.17731371125313111</v>
      </c>
      <c r="AJ409" s="970">
        <f t="shared" si="285"/>
        <v>0.12737950224677141</v>
      </c>
      <c r="AK409" s="970">
        <f t="shared" si="285"/>
        <v>0.12996058891498374</v>
      </c>
      <c r="AL409" s="970">
        <f t="shared" si="285"/>
        <v>0.12943359372601049</v>
      </c>
      <c r="AM409" s="970">
        <f t="shared" si="285"/>
        <v>0.1283147154354991</v>
      </c>
      <c r="AN409" s="970">
        <f t="shared" ref="AN409" si="286">+AN405/AM405-1</f>
        <v>0.12731036137918994</v>
      </c>
      <c r="AO409" s="970">
        <f t="shared" ref="AO409" si="287">+AO405/AN405-1</f>
        <v>0.12957968229168859</v>
      </c>
      <c r="AP409" s="970">
        <f t="shared" ref="AP409" si="288">+AP405/AO405-1</f>
        <v>6.3680716274200799E-2</v>
      </c>
      <c r="AQ409" s="970">
        <f t="shared" ref="AQ409" si="289">+AQ405/AP405-1</f>
        <v>5.4033410720093045E-2</v>
      </c>
      <c r="AR409" s="970">
        <f t="shared" ref="AR409" si="290">+AR405/AQ405-1</f>
        <v>0.17230690441115115</v>
      </c>
      <c r="AS409" s="970">
        <f t="shared" ref="AS409" si="291">+AS405/AR405-1</f>
        <v>-0.43576784677815716</v>
      </c>
      <c r="AT409" s="970">
        <f t="shared" ref="AT409" si="292">+AT405/AS405-1</f>
        <v>0.51407927485762994</v>
      </c>
    </row>
    <row r="410" spans="3:49">
      <c r="C410" s="92" t="s">
        <v>27</v>
      </c>
      <c r="D410" s="181" t="s">
        <v>132</v>
      </c>
      <c r="E410" s="181"/>
      <c r="F410" s="181"/>
      <c r="G410" s="181"/>
      <c r="H410" s="181"/>
      <c r="I410" s="181"/>
      <c r="J410" s="181"/>
      <c r="K410" s="181"/>
      <c r="L410" s="181"/>
      <c r="M410" s="181"/>
      <c r="N410" s="181"/>
      <c r="O410" s="181"/>
      <c r="P410" s="181"/>
      <c r="Q410" s="181"/>
      <c r="R410" s="181"/>
      <c r="S410" s="181"/>
      <c r="T410" s="181"/>
      <c r="U410" s="181"/>
      <c r="V410" s="181"/>
      <c r="W410" s="181"/>
      <c r="X410" s="181"/>
      <c r="Y410" s="182">
        <v>105.3</v>
      </c>
      <c r="Z410" s="182">
        <v>159.31</v>
      </c>
      <c r="AA410" s="182">
        <v>164.43</v>
      </c>
      <c r="AB410" s="182">
        <f t="shared" ref="AB410:AK410" si="293">AB411+AB412</f>
        <v>175.1</v>
      </c>
      <c r="AC410" s="182">
        <f t="shared" si="293"/>
        <v>165.5</v>
      </c>
      <c r="AD410" s="182">
        <f t="shared" si="293"/>
        <v>157.38596526999999</v>
      </c>
      <c r="AE410" s="182">
        <f t="shared" si="293"/>
        <v>211.45</v>
      </c>
      <c r="AF410" s="1641">
        <f t="shared" si="293"/>
        <v>173.64198012</v>
      </c>
      <c r="AG410" s="1641">
        <f t="shared" si="293"/>
        <v>171.106168</v>
      </c>
      <c r="AH410" s="1641">
        <f>AH411+AH412</f>
        <v>188.92539241999998</v>
      </c>
      <c r="AI410" s="1641">
        <f t="shared" si="293"/>
        <v>152</v>
      </c>
      <c r="AJ410" s="1641">
        <f t="shared" si="293"/>
        <v>141.89079649999999</v>
      </c>
      <c r="AK410" s="1641">
        <f t="shared" si="293"/>
        <v>131.78159299999999</v>
      </c>
      <c r="AL410" s="1641">
        <f>AL411+AL412</f>
        <v>131.78159299999999</v>
      </c>
      <c r="AM410" s="1641">
        <f>AM411+AM412</f>
        <v>131.78159299999999</v>
      </c>
      <c r="AN410" s="1641">
        <f t="shared" ref="AN410:AO410" si="294">AN411+AN412</f>
        <v>131.78159299999999</v>
      </c>
      <c r="AO410" s="1641">
        <f t="shared" si="294"/>
        <v>131.78159299999999</v>
      </c>
      <c r="AP410" s="1641">
        <f t="shared" ref="AP410:AT410" si="295">AP411+AP412</f>
        <v>152</v>
      </c>
      <c r="AQ410" s="1641">
        <f t="shared" si="295"/>
        <v>152</v>
      </c>
      <c r="AR410" s="1641">
        <f t="shared" si="295"/>
        <v>152</v>
      </c>
      <c r="AS410" s="1641">
        <f t="shared" si="295"/>
        <v>152</v>
      </c>
      <c r="AT410" s="1641">
        <f t="shared" si="295"/>
        <v>152</v>
      </c>
    </row>
    <row r="411" spans="3:49">
      <c r="D411" s="183" t="s">
        <v>117</v>
      </c>
      <c r="E411" s="181"/>
      <c r="F411" s="181"/>
      <c r="G411" s="181"/>
      <c r="H411" s="181"/>
      <c r="I411" s="181"/>
      <c r="J411" s="181"/>
      <c r="K411" s="181"/>
      <c r="L411" s="181"/>
      <c r="M411" s="181"/>
      <c r="N411" s="181"/>
      <c r="O411" s="181"/>
      <c r="P411" s="181"/>
      <c r="Q411" s="181"/>
      <c r="R411" s="181"/>
      <c r="S411" s="181"/>
      <c r="T411" s="181"/>
      <c r="U411" s="181"/>
      <c r="V411" s="181"/>
      <c r="W411" s="181"/>
      <c r="X411" s="181"/>
      <c r="Y411" s="184">
        <f>+Y289/2</f>
        <v>52.65</v>
      </c>
      <c r="Z411" s="559">
        <v>83.26</v>
      </c>
      <c r="AA411" s="184">
        <v>84.98</v>
      </c>
      <c r="AB411" s="1099">
        <v>75.599999999999994</v>
      </c>
      <c r="AC411" s="560">
        <v>51.8</v>
      </c>
      <c r="AD411" s="560">
        <v>58.285965269999998</v>
      </c>
      <c r="AE411" s="186">
        <f>34.9+49.59</f>
        <v>84.490000000000009</v>
      </c>
      <c r="AF411" s="230">
        <v>88.088896120000001</v>
      </c>
      <c r="AG411" s="230">
        <v>85.553083999999998</v>
      </c>
      <c r="AH411" s="230">
        <v>85.553083999999998</v>
      </c>
      <c r="AI411" s="230">
        <v>76</v>
      </c>
      <c r="AJ411" s="230">
        <v>76</v>
      </c>
      <c r="AK411" s="230">
        <v>65.890796499999993</v>
      </c>
      <c r="AL411" s="230">
        <v>65.890796499999993</v>
      </c>
      <c r="AM411" s="230">
        <v>65.890796499999993</v>
      </c>
      <c r="AN411" s="230">
        <v>65.890796499999993</v>
      </c>
      <c r="AO411" s="230">
        <v>65.890796499999993</v>
      </c>
      <c r="AP411" s="230">
        <v>76</v>
      </c>
      <c r="AQ411" s="230">
        <v>76</v>
      </c>
      <c r="AR411" s="230">
        <v>76</v>
      </c>
      <c r="AS411" s="230">
        <v>76</v>
      </c>
      <c r="AT411" s="230">
        <v>76</v>
      </c>
    </row>
    <row r="412" spans="3:49">
      <c r="C412" s="92" t="s">
        <v>27</v>
      </c>
      <c r="D412" s="183" t="s">
        <v>118</v>
      </c>
      <c r="E412" s="181"/>
      <c r="F412" s="181"/>
      <c r="G412" s="181"/>
      <c r="H412" s="181"/>
      <c r="I412" s="181"/>
      <c r="J412" s="181"/>
      <c r="K412" s="181"/>
      <c r="L412" s="181"/>
      <c r="M412" s="181"/>
      <c r="N412" s="181"/>
      <c r="O412" s="181"/>
      <c r="P412" s="181"/>
      <c r="Q412" s="181"/>
      <c r="R412" s="181"/>
      <c r="S412" s="181"/>
      <c r="T412" s="181"/>
      <c r="U412" s="181"/>
      <c r="V412" s="181"/>
      <c r="W412" s="181"/>
      <c r="X412" s="181"/>
      <c r="Y412" s="184">
        <f>Y410-Y411</f>
        <v>52.65</v>
      </c>
      <c r="Z412" s="184">
        <f>Z410-Z411</f>
        <v>76.05</v>
      </c>
      <c r="AA412" s="1098">
        <v>85.8</v>
      </c>
      <c r="AB412" s="1146">
        <f>(39.1+39.1+10+7+4.3)</f>
        <v>99.5</v>
      </c>
      <c r="AC412" s="562">
        <v>113.7</v>
      </c>
      <c r="AD412" s="1228">
        <v>99.1</v>
      </c>
      <c r="AE412" s="1228">
        <v>126.96</v>
      </c>
      <c r="AF412" s="623">
        <v>85.553083999999998</v>
      </c>
      <c r="AG412" s="230">
        <v>85.553083999999998</v>
      </c>
      <c r="AH412" s="230">
        <v>103.37230842</v>
      </c>
      <c r="AI412" s="230">
        <v>76</v>
      </c>
      <c r="AJ412" s="230">
        <v>65.890796499999993</v>
      </c>
      <c r="AK412" s="230">
        <v>65.890796499999993</v>
      </c>
      <c r="AL412" s="230">
        <v>65.890796499999993</v>
      </c>
      <c r="AM412" s="230">
        <v>65.890796499999993</v>
      </c>
      <c r="AN412" s="230">
        <v>65.890796499999993</v>
      </c>
      <c r="AO412" s="230">
        <v>65.890796499999993</v>
      </c>
      <c r="AP412" s="230">
        <v>76</v>
      </c>
      <c r="AQ412" s="230">
        <v>76</v>
      </c>
      <c r="AR412" s="230">
        <v>76</v>
      </c>
      <c r="AS412" s="230">
        <v>76</v>
      </c>
      <c r="AT412" s="230">
        <v>76</v>
      </c>
    </row>
    <row r="413" spans="3:49">
      <c r="D413" s="183" t="s">
        <v>216</v>
      </c>
      <c r="E413" s="181"/>
      <c r="F413" s="181"/>
      <c r="G413" s="181"/>
      <c r="H413" s="181"/>
      <c r="I413" s="181"/>
      <c r="J413" s="181"/>
      <c r="K413" s="181"/>
      <c r="L413" s="181"/>
      <c r="M413" s="181"/>
      <c r="N413" s="181"/>
      <c r="O413" s="181"/>
      <c r="P413" s="181"/>
      <c r="Q413" s="181"/>
      <c r="R413" s="181"/>
      <c r="S413" s="181"/>
      <c r="T413" s="181"/>
      <c r="U413" s="181"/>
      <c r="V413" s="181"/>
      <c r="W413" s="181"/>
      <c r="X413" s="181"/>
      <c r="Y413" s="184"/>
      <c r="Z413" s="184">
        <f>+(Y412*Y250+Z411*Z250)/1000</f>
        <v>95.839250323148988</v>
      </c>
      <c r="AA413" s="184">
        <f>+(Z412*Z250+AA411*AA250)/1000</f>
        <v>121.6195684522404</v>
      </c>
      <c r="AB413" s="184">
        <f>+(AA412+AB411)*AB253/1000</f>
        <v>132.01834234264999</v>
      </c>
      <c r="AC413" s="184">
        <f t="shared" ref="AC413:AL413" si="296">+(AB412+AC411)*AC253/1000</f>
        <v>128.04260530427499</v>
      </c>
      <c r="AD413" s="1642">
        <f t="shared" si="296"/>
        <v>151.47193310323161</v>
      </c>
      <c r="AE413" s="1642">
        <f t="shared" si="296"/>
        <v>169.21778673992497</v>
      </c>
      <c r="AF413" s="1642">
        <f t="shared" si="296"/>
        <v>208.58993856364663</v>
      </c>
      <c r="AG413" s="1642">
        <f t="shared" si="296"/>
        <v>172.4766347794959</v>
      </c>
      <c r="AH413" s="1642">
        <f t="shared" si="296"/>
        <v>184.97643097518889</v>
      </c>
      <c r="AI413" s="1642">
        <f t="shared" si="296"/>
        <v>225.460820182871</v>
      </c>
      <c r="AJ413" s="1642">
        <f>+(AI412+AJ411)*AJ253/1000</f>
        <v>209.99611745433467</v>
      </c>
      <c r="AK413" s="1642">
        <f t="shared" si="296"/>
        <v>197.24899460437902</v>
      </c>
      <c r="AL413" s="1642">
        <f t="shared" si="296"/>
        <v>211.8633150639069</v>
      </c>
      <c r="AM413" s="1642">
        <f>+(AL412+AM411)*AM253/1000</f>
        <v>225.89200899008975</v>
      </c>
      <c r="AN413" s="1642">
        <f t="shared" ref="AN413:AO413" si="297">+(AM412+AN411)*AN253/1000</f>
        <v>238.67886609328386</v>
      </c>
      <c r="AO413" s="1642">
        <f t="shared" si="297"/>
        <v>249.11321746737292</v>
      </c>
      <c r="AP413" s="1642">
        <f t="shared" ref="AP413" si="298">+(AO412+AP411)*AP253/1000</f>
        <v>278.54452666729554</v>
      </c>
      <c r="AQ413" s="1642">
        <f t="shared" ref="AQ413" si="299">+(AP412+AQ411)*AQ253/1000</f>
        <v>311.86832773057938</v>
      </c>
      <c r="AR413" s="1642">
        <f t="shared" ref="AR413" si="300">+(AQ412+AR411)*AR253/1000</f>
        <v>333.82022458540177</v>
      </c>
      <c r="AS413" s="1642">
        <f t="shared" ref="AS413" si="301">+(AR412+AS411)*AS253/1000</f>
        <v>350.51123581467192</v>
      </c>
      <c r="AT413" s="1642">
        <f t="shared" ref="AT413" si="302">+(AS412+AT411)*AT253/1000</f>
        <v>368.03679760540558</v>
      </c>
    </row>
    <row r="414" spans="3:49">
      <c r="D414" s="183" t="s">
        <v>217</v>
      </c>
      <c r="E414" s="181"/>
      <c r="F414" s="181"/>
      <c r="G414" s="181"/>
      <c r="H414" s="181"/>
      <c r="I414" s="181"/>
      <c r="J414" s="181"/>
      <c r="K414" s="181"/>
      <c r="L414" s="181"/>
      <c r="M414" s="181"/>
      <c r="N414" s="181"/>
      <c r="O414" s="181"/>
      <c r="P414" s="181"/>
      <c r="Q414" s="181"/>
      <c r="R414" s="181"/>
      <c r="S414" s="181"/>
      <c r="T414" s="181"/>
      <c r="U414" s="181"/>
      <c r="V414" s="181"/>
      <c r="W414" s="181"/>
      <c r="X414" s="181"/>
      <c r="Y414" s="184"/>
      <c r="Z414" s="184">
        <v>26.3</v>
      </c>
      <c r="AA414" s="184">
        <v>0</v>
      </c>
      <c r="AB414" s="177">
        <v>0</v>
      </c>
      <c r="AC414" s="177">
        <f>AB414</f>
        <v>0</v>
      </c>
      <c r="AD414" s="177">
        <f t="shared" ref="AD414:AM414" si="303">AC414</f>
        <v>0</v>
      </c>
      <c r="AE414" s="177">
        <f t="shared" si="303"/>
        <v>0</v>
      </c>
      <c r="AF414" s="177">
        <f t="shared" si="303"/>
        <v>0</v>
      </c>
      <c r="AG414" s="177">
        <f t="shared" si="303"/>
        <v>0</v>
      </c>
      <c r="AH414" s="177">
        <f t="shared" si="303"/>
        <v>0</v>
      </c>
      <c r="AI414" s="177">
        <f t="shared" si="303"/>
        <v>0</v>
      </c>
      <c r="AJ414" s="177">
        <f t="shared" si="303"/>
        <v>0</v>
      </c>
      <c r="AK414" s="177">
        <f t="shared" si="303"/>
        <v>0</v>
      </c>
      <c r="AL414" s="177">
        <f t="shared" si="303"/>
        <v>0</v>
      </c>
      <c r="AM414" s="177">
        <f t="shared" si="303"/>
        <v>0</v>
      </c>
      <c r="AN414" s="177">
        <f t="shared" ref="AN414" si="304">AM414</f>
        <v>0</v>
      </c>
      <c r="AO414" s="177">
        <f t="shared" ref="AO414" si="305">AN414</f>
        <v>0</v>
      </c>
      <c r="AP414" s="177">
        <f t="shared" ref="AP414" si="306">AO414</f>
        <v>0</v>
      </c>
      <c r="AQ414" s="177">
        <f t="shared" ref="AQ414" si="307">AP414</f>
        <v>0</v>
      </c>
      <c r="AR414" s="177">
        <f t="shared" ref="AR414" si="308">AQ414</f>
        <v>0</v>
      </c>
      <c r="AS414" s="177">
        <f t="shared" ref="AS414" si="309">AR414</f>
        <v>0</v>
      </c>
      <c r="AT414" s="177">
        <f t="shared" ref="AT414" si="310">AS414</f>
        <v>0</v>
      </c>
    </row>
    <row r="415" spans="3:49">
      <c r="D415" s="181" t="s">
        <v>3091</v>
      </c>
      <c r="E415" s="181"/>
      <c r="F415" s="181"/>
      <c r="G415" s="181"/>
      <c r="H415" s="181"/>
      <c r="I415" s="181"/>
      <c r="J415" s="181"/>
      <c r="K415" s="181"/>
      <c r="L415" s="181"/>
      <c r="M415" s="181"/>
      <c r="N415" s="181"/>
      <c r="O415" s="181"/>
      <c r="P415" s="181"/>
      <c r="Q415" s="181"/>
      <c r="R415" s="181"/>
      <c r="S415" s="181"/>
      <c r="T415" s="181"/>
      <c r="U415" s="181"/>
      <c r="V415" s="181"/>
      <c r="W415" s="181"/>
      <c r="X415" s="181"/>
      <c r="Y415" s="184"/>
      <c r="Z415" s="184">
        <f>Z413-Z414</f>
        <v>69.539250323148991</v>
      </c>
      <c r="AA415" s="184">
        <f t="shared" ref="AA415:AK415" si="311">AA413-AA414</f>
        <v>121.6195684522404</v>
      </c>
      <c r="AB415" s="184">
        <f t="shared" si="311"/>
        <v>132.01834234264999</v>
      </c>
      <c r="AC415" s="1642">
        <f t="shared" si="311"/>
        <v>128.04260530427499</v>
      </c>
      <c r="AD415" s="1642">
        <f t="shared" si="311"/>
        <v>151.47193310323161</v>
      </c>
      <c r="AE415" s="1642">
        <f t="shared" si="311"/>
        <v>169.21778673992497</v>
      </c>
      <c r="AF415" s="1642">
        <f t="shared" si="311"/>
        <v>208.58993856364663</v>
      </c>
      <c r="AG415" s="1642">
        <f t="shared" si="311"/>
        <v>172.4766347794959</v>
      </c>
      <c r="AH415" s="1642">
        <f t="shared" si="311"/>
        <v>184.97643097518889</v>
      </c>
      <c r="AI415" s="1642">
        <f t="shared" si="311"/>
        <v>225.460820182871</v>
      </c>
      <c r="AJ415" s="1642">
        <f>AJ413-AJ414</f>
        <v>209.99611745433467</v>
      </c>
      <c r="AK415" s="1642">
        <f t="shared" si="311"/>
        <v>197.24899460437902</v>
      </c>
      <c r="AL415" s="1642">
        <f>AL413-AL414</f>
        <v>211.8633150639069</v>
      </c>
      <c r="AM415" s="1642">
        <f>AM413-AM414</f>
        <v>225.89200899008975</v>
      </c>
      <c r="AN415" s="1642">
        <f t="shared" ref="AN415:AO415" si="312">AN413-AN414</f>
        <v>238.67886609328386</v>
      </c>
      <c r="AO415" s="1642">
        <f t="shared" si="312"/>
        <v>249.11321746737292</v>
      </c>
      <c r="AP415" s="1642">
        <f t="shared" ref="AP415:AT415" si="313">AP413-AP414</f>
        <v>278.54452666729554</v>
      </c>
      <c r="AQ415" s="1642">
        <f t="shared" si="313"/>
        <v>311.86832773057938</v>
      </c>
      <c r="AR415" s="1642">
        <f t="shared" si="313"/>
        <v>333.82022458540177</v>
      </c>
      <c r="AS415" s="1642">
        <f t="shared" si="313"/>
        <v>350.51123581467192</v>
      </c>
      <c r="AT415" s="1642">
        <f t="shared" si="313"/>
        <v>368.03679760540558</v>
      </c>
    </row>
    <row r="416" spans="3:49">
      <c r="D416" s="183" t="str">
        <f>+D411</f>
        <v xml:space="preserve">     Jan-June </v>
      </c>
      <c r="E416" s="181"/>
      <c r="F416" s="181"/>
      <c r="G416" s="181"/>
      <c r="H416" s="181"/>
      <c r="I416" s="181"/>
      <c r="J416" s="181"/>
      <c r="K416" s="181"/>
      <c r="L416" s="181"/>
      <c r="M416" s="181"/>
      <c r="N416" s="181"/>
      <c r="O416" s="181"/>
      <c r="P416" s="181"/>
      <c r="Q416" s="181"/>
      <c r="R416" s="181"/>
      <c r="S416" s="181"/>
      <c r="T416" s="181"/>
      <c r="U416" s="181"/>
      <c r="V416" s="181"/>
      <c r="W416" s="181"/>
      <c r="X416" s="181"/>
      <c r="Y416" s="184"/>
      <c r="Z416" s="186">
        <f>+Z415*0.522</f>
        <v>36.299488668683772</v>
      </c>
      <c r="AA416" s="186">
        <f t="shared" ref="AA416:AG416" si="314">+AA415*0.5</f>
        <v>60.8097842261202</v>
      </c>
      <c r="AB416" s="186">
        <f t="shared" si="314"/>
        <v>66.009171171324994</v>
      </c>
      <c r="AC416" s="186">
        <f t="shared" si="314"/>
        <v>64.021302652137493</v>
      </c>
      <c r="AD416" s="186">
        <f t="shared" si="314"/>
        <v>75.735966551615803</v>
      </c>
      <c r="AE416" s="186">
        <f t="shared" si="314"/>
        <v>84.608893369962487</v>
      </c>
      <c r="AF416" s="186">
        <f t="shared" si="314"/>
        <v>104.29496928182331</v>
      </c>
      <c r="AG416" s="186">
        <f t="shared" si="314"/>
        <v>86.238317389747948</v>
      </c>
      <c r="AH416" s="186">
        <f>+AH415*0.5</f>
        <v>92.488215487594445</v>
      </c>
      <c r="AI416" s="186">
        <f>AI411*AI253/1000</f>
        <v>95.527690337666655</v>
      </c>
      <c r="AJ416" s="1927">
        <f t="shared" ref="AJ416:AO416" si="315">AJ411*AJ253/1000</f>
        <v>104.99805872716733</v>
      </c>
      <c r="AK416" s="1927">
        <f>AK411*AK253/1000</f>
        <v>98.624497302189511</v>
      </c>
      <c r="AL416" s="1927">
        <f t="shared" si="315"/>
        <v>105.93165753195345</v>
      </c>
      <c r="AM416" s="1927">
        <f t="shared" si="315"/>
        <v>112.94600449504487</v>
      </c>
      <c r="AN416" s="1927">
        <f t="shared" si="315"/>
        <v>119.33943304664193</v>
      </c>
      <c r="AO416" s="1927">
        <f t="shared" si="315"/>
        <v>124.55660873368646</v>
      </c>
      <c r="AP416" s="1927">
        <f>AP411*AP253/1000</f>
        <v>149.19490586349949</v>
      </c>
      <c r="AQ416" s="1927">
        <f t="shared" ref="AQ416:AT416" si="316">AQ411*AQ253/1000</f>
        <v>155.93416386528969</v>
      </c>
      <c r="AR416" s="1927">
        <f t="shared" si="316"/>
        <v>166.91011229270089</v>
      </c>
      <c r="AS416" s="1927">
        <f t="shared" si="316"/>
        <v>175.25561790733596</v>
      </c>
      <c r="AT416" s="1927">
        <f t="shared" si="316"/>
        <v>184.01839880270279</v>
      </c>
    </row>
    <row r="417" spans="1:46">
      <c r="D417" s="183" t="str">
        <f>+D412</f>
        <v xml:space="preserve">     July-Dec </v>
      </c>
      <c r="E417" s="181"/>
      <c r="F417" s="181"/>
      <c r="G417" s="181"/>
      <c r="H417" s="181"/>
      <c r="I417" s="181"/>
      <c r="J417" s="181"/>
      <c r="K417" s="181"/>
      <c r="L417" s="181"/>
      <c r="M417" s="181"/>
      <c r="N417" s="181"/>
      <c r="O417" s="181"/>
      <c r="P417" s="181"/>
      <c r="Q417" s="181"/>
      <c r="R417" s="181"/>
      <c r="S417" s="181"/>
      <c r="T417" s="181"/>
      <c r="U417" s="181"/>
      <c r="V417" s="181"/>
      <c r="W417" s="181"/>
      <c r="X417" s="181"/>
      <c r="Y417" s="187">
        <f>Z415-Z416</f>
        <v>33.239761654465219</v>
      </c>
      <c r="Z417" s="187">
        <f t="shared" ref="Z417:AG417" si="317">AA415-AA416</f>
        <v>60.8097842261202</v>
      </c>
      <c r="AA417" s="187">
        <f t="shared" si="317"/>
        <v>66.009171171324994</v>
      </c>
      <c r="AB417" s="187">
        <f t="shared" si="317"/>
        <v>64.021302652137493</v>
      </c>
      <c r="AC417" s="187">
        <f t="shared" si="317"/>
        <v>75.735966551615803</v>
      </c>
      <c r="AD417" s="187">
        <f t="shared" si="317"/>
        <v>84.608893369962487</v>
      </c>
      <c r="AE417" s="187">
        <f t="shared" si="317"/>
        <v>104.29496928182331</v>
      </c>
      <c r="AF417" s="187">
        <f t="shared" si="317"/>
        <v>86.238317389747948</v>
      </c>
      <c r="AG417" s="187">
        <f t="shared" si="317"/>
        <v>92.488215487594445</v>
      </c>
      <c r="AH417" s="1926">
        <f>AH412*AI253/1000</f>
        <v>129.93312984520435</v>
      </c>
      <c r="AI417" s="1926">
        <f t="shared" ref="AI417:AO417" si="318">AI412*AJ253/1000</f>
        <v>104.99805872716733</v>
      </c>
      <c r="AJ417" s="1926">
        <f t="shared" si="318"/>
        <v>98.624497302189511</v>
      </c>
      <c r="AK417" s="1926">
        <f t="shared" si="318"/>
        <v>105.93165753195345</v>
      </c>
      <c r="AL417" s="1926">
        <f t="shared" si="318"/>
        <v>112.94600449504487</v>
      </c>
      <c r="AM417" s="1926">
        <f t="shared" si="318"/>
        <v>119.33943304664193</v>
      </c>
      <c r="AN417" s="1926">
        <f t="shared" si="318"/>
        <v>124.55660873368646</v>
      </c>
      <c r="AO417" s="1926">
        <f t="shared" si="318"/>
        <v>129.34962080379606</v>
      </c>
      <c r="AP417" s="1926">
        <f t="shared" ref="AP417" si="319">AP412*AQ253/1000</f>
        <v>155.93416386528969</v>
      </c>
      <c r="AQ417" s="1926">
        <f t="shared" ref="AQ417" si="320">AQ412*AR253/1000</f>
        <v>166.91011229270089</v>
      </c>
      <c r="AR417" s="1926">
        <f t="shared" ref="AR417" si="321">AR412*AS253/1000</f>
        <v>175.25561790733596</v>
      </c>
      <c r="AS417" s="1926">
        <f t="shared" ref="AS417" si="322">AS412*AT253/1000</f>
        <v>184.01839880270279</v>
      </c>
      <c r="AT417" s="1926">
        <f t="shared" ref="AT417" si="323">AT412*AU253/1000</f>
        <v>0</v>
      </c>
    </row>
    <row r="418" spans="1:46">
      <c r="C418" s="92" t="s">
        <v>27</v>
      </c>
      <c r="D418" s="188" t="s">
        <v>319</v>
      </c>
      <c r="E418" s="189"/>
      <c r="F418" s="189"/>
      <c r="G418" s="189"/>
      <c r="H418" s="189"/>
      <c r="I418" s="189"/>
      <c r="J418" s="189"/>
      <c r="K418" s="189"/>
      <c r="L418" s="189"/>
      <c r="M418" s="189"/>
      <c r="N418" s="189"/>
      <c r="O418" s="189"/>
      <c r="P418" s="189"/>
      <c r="Q418" s="189"/>
      <c r="R418" s="189"/>
      <c r="S418" s="189"/>
      <c r="T418" s="189"/>
      <c r="U418" s="189"/>
      <c r="V418" s="634" t="str">
        <f t="shared" ref="V418:AT418" si="324">+V283</f>
        <v>2010/11</v>
      </c>
      <c r="W418" s="634" t="str">
        <f t="shared" si="324"/>
        <v>2011/12</v>
      </c>
      <c r="X418" s="634" t="str">
        <f t="shared" si="324"/>
        <v>2012/13</v>
      </c>
      <c r="Y418" s="634" t="str">
        <f t="shared" si="324"/>
        <v>2013/14</v>
      </c>
      <c r="Z418" s="634" t="str">
        <f t="shared" si="324"/>
        <v>2014/15</v>
      </c>
      <c r="AA418" s="634" t="str">
        <f t="shared" si="324"/>
        <v>2015/16</v>
      </c>
      <c r="AB418" s="634" t="str">
        <f t="shared" si="324"/>
        <v>2016/17</v>
      </c>
      <c r="AC418" s="634" t="str">
        <f t="shared" si="324"/>
        <v>2017/18</v>
      </c>
      <c r="AD418" s="634" t="str">
        <f t="shared" si="324"/>
        <v>2018/19</v>
      </c>
      <c r="AE418" s="634" t="str">
        <f t="shared" si="324"/>
        <v>2019/20</v>
      </c>
      <c r="AF418" s="634" t="str">
        <f t="shared" si="324"/>
        <v>2020/21</v>
      </c>
      <c r="AG418" s="634" t="str">
        <f t="shared" si="324"/>
        <v>2021/22</v>
      </c>
      <c r="AH418" s="634" t="str">
        <f t="shared" si="324"/>
        <v>2022/23</v>
      </c>
      <c r="AI418" s="634" t="str">
        <f t="shared" si="324"/>
        <v>2023/24</v>
      </c>
      <c r="AJ418" s="634" t="str">
        <f t="shared" si="324"/>
        <v>2024/25</v>
      </c>
      <c r="AK418" s="634" t="str">
        <f t="shared" si="324"/>
        <v>2025/26</v>
      </c>
      <c r="AL418" s="634" t="str">
        <f t="shared" si="324"/>
        <v>2026/27</v>
      </c>
      <c r="AM418" s="634" t="str">
        <f t="shared" si="324"/>
        <v>2027/28</v>
      </c>
      <c r="AN418" s="634" t="str">
        <f t="shared" si="324"/>
        <v>2028/29</v>
      </c>
      <c r="AO418" s="634" t="str">
        <f t="shared" si="324"/>
        <v>2029/30</v>
      </c>
      <c r="AP418" s="634" t="str">
        <f t="shared" si="324"/>
        <v>2030/31</v>
      </c>
      <c r="AQ418" s="634" t="str">
        <f t="shared" si="324"/>
        <v>2031/32</v>
      </c>
      <c r="AR418" s="634" t="str">
        <f t="shared" si="324"/>
        <v>2032/33</v>
      </c>
      <c r="AS418" s="634" t="str">
        <f t="shared" si="324"/>
        <v>2033/34</v>
      </c>
      <c r="AT418" s="634" t="str">
        <f t="shared" si="324"/>
        <v>2034/35</v>
      </c>
    </row>
    <row r="419" spans="1:46">
      <c r="D419" s="190" t="s">
        <v>3105</v>
      </c>
      <c r="E419" s="191" t="s">
        <v>225</v>
      </c>
      <c r="F419" s="175"/>
      <c r="G419" s="175"/>
      <c r="H419" s="175"/>
      <c r="I419" s="175"/>
      <c r="J419" s="175"/>
      <c r="K419" s="175"/>
      <c r="L419" s="175"/>
      <c r="M419" s="175"/>
      <c r="N419" s="175"/>
      <c r="O419" s="175"/>
      <c r="P419" s="175"/>
      <c r="Q419" s="175"/>
      <c r="R419" s="175"/>
      <c r="S419" s="175"/>
      <c r="T419" s="175"/>
      <c r="U419" s="175"/>
      <c r="V419" s="179">
        <f t="shared" ref="V419:AT419" si="325">+V991/V$402</f>
        <v>4.7331240188383049E-2</v>
      </c>
      <c r="W419" s="179">
        <f t="shared" si="325"/>
        <v>5.1638418079096041E-2</v>
      </c>
      <c r="X419" s="179">
        <f t="shared" si="325"/>
        <v>5.7464945729421353E-2</v>
      </c>
      <c r="Y419" s="179">
        <f t="shared" si="325"/>
        <v>4.3929683378677163E-2</v>
      </c>
      <c r="Z419" s="179">
        <f t="shared" si="325"/>
        <v>4.5697945646615258E-2</v>
      </c>
      <c r="AA419" s="179">
        <f t="shared" si="325"/>
        <v>4.9904029641095665E-2</v>
      </c>
      <c r="AB419" s="179">
        <f t="shared" si="325"/>
        <v>4.7220540120433779E-2</v>
      </c>
      <c r="AC419" s="179">
        <f t="shared" si="325"/>
        <v>4.6570996224116659E-2</v>
      </c>
      <c r="AD419" s="179">
        <f t="shared" si="325"/>
        <v>3.6809040971798358E-2</v>
      </c>
      <c r="AE419" s="179">
        <f t="shared" si="325"/>
        <v>5.3454078278725482E-2</v>
      </c>
      <c r="AF419" s="179">
        <f t="shared" si="325"/>
        <v>5.3838331487963118E-2</v>
      </c>
      <c r="AG419" s="179">
        <f t="shared" si="325"/>
        <v>5.4436148375688109E-2</v>
      </c>
      <c r="AH419" s="179">
        <f t="shared" si="325"/>
        <v>4.8790361971035569E-2</v>
      </c>
      <c r="AI419" s="179">
        <f t="shared" si="325"/>
        <v>4.7654794842282057E-2</v>
      </c>
      <c r="AJ419" s="179">
        <f t="shared" si="325"/>
        <v>3.2063891157010423E-2</v>
      </c>
      <c r="AK419" s="179">
        <f t="shared" si="325"/>
        <v>3.1220214120152558E-2</v>
      </c>
      <c r="AL419" s="179">
        <f t="shared" si="325"/>
        <v>3.1795921408517287E-2</v>
      </c>
      <c r="AM419" s="179">
        <f t="shared" si="325"/>
        <v>3.1904036784140798E-2</v>
      </c>
      <c r="AN419" s="179">
        <f t="shared" si="325"/>
        <v>3.2641704264841816E-2</v>
      </c>
      <c r="AO419" s="179">
        <f t="shared" si="325"/>
        <v>3.2898158175269164E-2</v>
      </c>
      <c r="AP419" s="179">
        <f t="shared" si="325"/>
        <v>3.3753910557531623E-2</v>
      </c>
      <c r="AQ419" s="179">
        <f t="shared" si="325"/>
        <v>3.4141446312589523E-2</v>
      </c>
      <c r="AR419" s="179">
        <f t="shared" si="325"/>
        <v>3.7499573964925668E-2</v>
      </c>
      <c r="AS419" s="179">
        <f t="shared" si="325"/>
        <v>-0.13500556628912402</v>
      </c>
      <c r="AT419" s="179">
        <f t="shared" si="325"/>
        <v>-0.38142732229158033</v>
      </c>
    </row>
    <row r="420" spans="1:46">
      <c r="D420" s="175" t="s">
        <v>3106</v>
      </c>
      <c r="E420" s="198" t="s">
        <v>303</v>
      </c>
      <c r="F420" s="175"/>
      <c r="G420" s="175"/>
      <c r="H420" s="175"/>
      <c r="I420" s="175"/>
      <c r="J420" s="175"/>
      <c r="K420" s="175"/>
      <c r="L420" s="175"/>
      <c r="M420" s="175"/>
      <c r="N420" s="175"/>
      <c r="O420" s="175"/>
      <c r="P420" s="175"/>
      <c r="Q420" s="175"/>
      <c r="R420" s="175"/>
      <c r="S420" s="175"/>
      <c r="T420" s="175"/>
      <c r="U420" s="175"/>
      <c r="V420" s="179">
        <f t="shared" ref="V420:AH420" si="326">V991/V404</f>
        <v>8.9654317928385574E-2</v>
      </c>
      <c r="W420" s="179">
        <f t="shared" si="326"/>
        <v>9.8791586502086082E-2</v>
      </c>
      <c r="X420" s="179">
        <f t="shared" si="326"/>
        <v>0.10990230200222928</v>
      </c>
      <c r="Y420" s="179">
        <f t="shared" si="326"/>
        <v>8.4188616266596822E-2</v>
      </c>
      <c r="Z420" s="179">
        <f t="shared" si="326"/>
        <v>8.6801706927601058E-2</v>
      </c>
      <c r="AA420" s="179">
        <f t="shared" si="326"/>
        <v>9.9230859357853238E-2</v>
      </c>
      <c r="AB420" s="179">
        <f t="shared" si="326"/>
        <v>9.8800018359891439E-2</v>
      </c>
      <c r="AC420" s="179">
        <f t="shared" si="326"/>
        <v>0.10063480027442609</v>
      </c>
      <c r="AD420" s="179">
        <f t="shared" si="326"/>
        <v>7.7723701372075307E-2</v>
      </c>
      <c r="AE420" s="179">
        <f t="shared" si="326"/>
        <v>0.11328086256523515</v>
      </c>
      <c r="AF420" s="179">
        <f t="shared" si="326"/>
        <v>0.1140116815363247</v>
      </c>
      <c r="AG420" s="179">
        <f t="shared" si="326"/>
        <v>0.11325847809473374</v>
      </c>
      <c r="AH420" s="179">
        <f t="shared" si="326"/>
        <v>0.11124067071284492</v>
      </c>
      <c r="AI420" s="179">
        <f>AH420*AI421</f>
        <v>8.5318611560901578E-2</v>
      </c>
      <c r="AJ420" s="179">
        <f t="shared" ref="AJ420:AM420" si="327">AI420*AJ421</f>
        <v>8.0822854140020675E-2</v>
      </c>
      <c r="AK420" s="179">
        <f t="shared" si="327"/>
        <v>8.2252600187766756E-2</v>
      </c>
      <c r="AL420" s="179">
        <f t="shared" si="327"/>
        <v>8.2906481530374082E-2</v>
      </c>
      <c r="AM420" s="179">
        <f t="shared" si="327"/>
        <v>8.1048949927349262E-2</v>
      </c>
      <c r="AN420" s="179">
        <f t="shared" ref="AN420" si="328">AM420*AN421</f>
        <v>8.2789619830745564E-2</v>
      </c>
      <c r="AO420" s="179">
        <f t="shared" ref="AO420" si="329">AN420*AO421</f>
        <v>8.1188362631691588E-2</v>
      </c>
      <c r="AP420" s="179">
        <f t="shared" ref="AP420" si="330">AO420*AP421</f>
        <v>8.5245324941794778E-2</v>
      </c>
      <c r="AQ420" s="179">
        <f t="shared" ref="AQ420" si="331">AP420*AQ421</f>
        <v>9.0357465900031783E-2</v>
      </c>
      <c r="AR420" s="179">
        <f t="shared" ref="AR420" si="332">AQ420*AR421</f>
        <v>9.0357465900031783E-2</v>
      </c>
      <c r="AS420" s="179">
        <f t="shared" ref="AS420" si="333">AR420*AS421</f>
        <v>9.3969031363463074E-2</v>
      </c>
      <c r="AT420" s="179">
        <f t="shared" ref="AT420" si="334">AS420*AT421</f>
        <v>9.7724950201203031E-2</v>
      </c>
    </row>
    <row r="421" spans="1:46" s="144" customFormat="1" ht="15.75" customHeight="1">
      <c r="A421" s="143"/>
      <c r="D421" s="178" t="s">
        <v>2398</v>
      </c>
      <c r="E421" s="178"/>
      <c r="F421" s="178"/>
      <c r="G421" s="178"/>
      <c r="H421" s="178"/>
      <c r="I421" s="178"/>
      <c r="J421" s="178"/>
      <c r="K421" s="178"/>
      <c r="L421" s="178"/>
      <c r="M421" s="178"/>
      <c r="N421" s="178"/>
      <c r="O421" s="178"/>
      <c r="P421" s="178"/>
      <c r="Q421" s="178"/>
      <c r="R421" s="178"/>
      <c r="S421" s="178"/>
      <c r="T421" s="178"/>
      <c r="U421" s="178"/>
      <c r="V421" s="254"/>
      <c r="W421" s="254">
        <f t="shared" ref="W421:AF421" si="335">+W420/V420</f>
        <v>1.1019166592846004</v>
      </c>
      <c r="X421" s="254">
        <f t="shared" si="335"/>
        <v>1.1124662118864603</v>
      </c>
      <c r="Y421" s="254">
        <f t="shared" si="335"/>
        <v>0.76603141820349785</v>
      </c>
      <c r="Z421" s="254">
        <f t="shared" si="335"/>
        <v>1.0310385272603777</v>
      </c>
      <c r="AA421" s="254">
        <f t="shared" si="335"/>
        <v>1.1431901845043093</v>
      </c>
      <c r="AB421" s="254">
        <f t="shared" si="335"/>
        <v>0.9956581954368845</v>
      </c>
      <c r="AC421" s="254">
        <f t="shared" si="335"/>
        <v>1.0185706637001952</v>
      </c>
      <c r="AD421" s="254">
        <f t="shared" si="335"/>
        <v>0.77233423388456723</v>
      </c>
      <c r="AE421" s="254">
        <f t="shared" si="335"/>
        <v>1.4574815733870192</v>
      </c>
      <c r="AF421" s="254">
        <f t="shared" si="335"/>
        <v>1.0064513895334146</v>
      </c>
      <c r="AG421" s="254">
        <f>+AG420/AF420</f>
        <v>0.99339362921902896</v>
      </c>
      <c r="AH421" s="254">
        <f>+AH420/AG420</f>
        <v>0.9821840500081499</v>
      </c>
      <c r="AI421" s="254">
        <v>0.76697318538416426</v>
      </c>
      <c r="AJ421" s="1601">
        <v>0.94730625195802942</v>
      </c>
      <c r="AK421" s="1601">
        <v>1.01768987327853</v>
      </c>
      <c r="AL421" s="1601">
        <v>1.0079496738232547</v>
      </c>
      <c r="AM421" s="1601">
        <v>0.97759485665370704</v>
      </c>
      <c r="AN421" s="1601">
        <v>1.0214767730483443</v>
      </c>
      <c r="AO421" s="1601">
        <v>0.98065872023174439</v>
      </c>
      <c r="AP421" s="1601">
        <v>1.04996975155796</v>
      </c>
      <c r="AQ421" s="1601">
        <v>1.05996975155796</v>
      </c>
      <c r="AR421" s="1601">
        <v>1</v>
      </c>
      <c r="AS421" s="1601">
        <v>1.039969751557962</v>
      </c>
      <c r="AT421" s="1601">
        <v>1.039969751557962</v>
      </c>
    </row>
    <row r="422" spans="1:46" s="144" customFormat="1" ht="15.75" customHeight="1">
      <c r="A422" s="143"/>
      <c r="D422" s="178"/>
      <c r="E422" s="178"/>
      <c r="F422" s="178"/>
      <c r="G422" s="178"/>
      <c r="H422" s="178"/>
      <c r="I422" s="178"/>
      <c r="J422" s="178"/>
      <c r="K422" s="178"/>
      <c r="L422" s="178"/>
      <c r="M422" s="178"/>
      <c r="N422" s="178"/>
      <c r="O422" s="178"/>
      <c r="P422" s="178"/>
      <c r="Q422" s="178"/>
      <c r="R422" s="178"/>
      <c r="S422" s="178"/>
      <c r="T422" s="178"/>
      <c r="U422" s="178"/>
      <c r="V422" s="179"/>
      <c r="W422" s="179"/>
      <c r="X422" s="179"/>
      <c r="Y422" s="179"/>
      <c r="Z422" s="254"/>
      <c r="AA422" s="254"/>
      <c r="AB422" s="254"/>
      <c r="AC422" s="254"/>
      <c r="AD422" s="254"/>
      <c r="AE422" s="254"/>
      <c r="AF422" s="254"/>
      <c r="AG422" s="254"/>
      <c r="AH422" s="254"/>
      <c r="AI422" s="254"/>
      <c r="AJ422" s="254"/>
      <c r="AK422" s="254"/>
      <c r="AL422" s="254"/>
      <c r="AM422" s="254"/>
      <c r="AN422" s="254"/>
      <c r="AO422" s="254"/>
      <c r="AP422" s="254"/>
      <c r="AQ422" s="254"/>
      <c r="AR422" s="254"/>
      <c r="AS422" s="254"/>
      <c r="AT422" s="254"/>
    </row>
    <row r="423" spans="1:46" s="144" customFormat="1" ht="15.75" customHeight="1">
      <c r="A423" s="143"/>
      <c r="D423" s="175" t="s">
        <v>301</v>
      </c>
      <c r="E423" s="198" t="s">
        <v>303</v>
      </c>
      <c r="F423" s="178"/>
      <c r="G423" s="178"/>
      <c r="H423" s="178"/>
      <c r="I423" s="178"/>
      <c r="J423" s="178"/>
      <c r="K423" s="178"/>
      <c r="L423" s="178"/>
      <c r="M423" s="178"/>
      <c r="N423" s="178"/>
      <c r="O423" s="178"/>
      <c r="P423" s="178"/>
      <c r="Q423" s="178"/>
      <c r="R423" s="178"/>
      <c r="S423" s="178"/>
      <c r="T423" s="178"/>
      <c r="U423" s="178"/>
      <c r="V423" s="179">
        <f t="shared" ref="V423:AT423" si="336">+V677/V402</f>
        <v>0</v>
      </c>
      <c r="W423" s="179">
        <f t="shared" si="336"/>
        <v>0</v>
      </c>
      <c r="X423" s="179">
        <f t="shared" si="336"/>
        <v>0</v>
      </c>
      <c r="Y423" s="179">
        <f t="shared" si="336"/>
        <v>0</v>
      </c>
      <c r="Z423" s="179">
        <f t="shared" si="336"/>
        <v>2.2622107969151668E-3</v>
      </c>
      <c r="AA423" s="179">
        <f t="shared" si="336"/>
        <v>2.0817494868165839E-3</v>
      </c>
      <c r="AB423" s="179">
        <f t="shared" si="336"/>
        <v>2.4109124992561181E-3</v>
      </c>
      <c r="AC423" s="193">
        <f t="shared" si="336"/>
        <v>2.3491909218093785E-3</v>
      </c>
      <c r="AD423" s="193">
        <f t="shared" si="336"/>
        <v>2.2217019015829324E-3</v>
      </c>
      <c r="AE423" s="193">
        <f t="shared" si="336"/>
        <v>3.4192607243247498E-3</v>
      </c>
      <c r="AF423" s="193">
        <f t="shared" si="336"/>
        <v>3.7459601624225103E-3</v>
      </c>
      <c r="AG423" s="193">
        <f t="shared" si="336"/>
        <v>1.5225190476257006E-2</v>
      </c>
      <c r="AH423" s="193">
        <f t="shared" si="336"/>
        <v>1.3398167619106161E-2</v>
      </c>
      <c r="AI423" s="193">
        <f t="shared" si="336"/>
        <v>1.1790387504813423E-2</v>
      </c>
      <c r="AJ423" s="193">
        <f t="shared" si="336"/>
        <v>0</v>
      </c>
      <c r="AK423" s="193">
        <f t="shared" si="336"/>
        <v>0</v>
      </c>
      <c r="AL423" s="193">
        <f t="shared" si="336"/>
        <v>0</v>
      </c>
      <c r="AM423" s="193">
        <f t="shared" si="336"/>
        <v>0</v>
      </c>
      <c r="AN423" s="193">
        <f t="shared" si="336"/>
        <v>0</v>
      </c>
      <c r="AO423" s="193">
        <f t="shared" si="336"/>
        <v>0</v>
      </c>
      <c r="AP423" s="193">
        <f t="shared" si="336"/>
        <v>0</v>
      </c>
      <c r="AQ423" s="193">
        <f t="shared" si="336"/>
        <v>0</v>
      </c>
      <c r="AR423" s="193">
        <f t="shared" si="336"/>
        <v>0</v>
      </c>
      <c r="AS423" s="193">
        <f t="shared" si="336"/>
        <v>0</v>
      </c>
      <c r="AT423" s="193">
        <f t="shared" si="336"/>
        <v>0</v>
      </c>
    </row>
    <row r="424" spans="1:46">
      <c r="D424" s="178" t="s">
        <v>302</v>
      </c>
      <c r="E424" s="175"/>
      <c r="F424" s="175"/>
      <c r="G424" s="175"/>
      <c r="H424" s="175"/>
      <c r="I424" s="175"/>
      <c r="J424" s="175"/>
      <c r="K424" s="175"/>
      <c r="L424" s="175"/>
      <c r="M424" s="175"/>
      <c r="N424" s="175"/>
      <c r="O424" s="175"/>
      <c r="P424" s="175"/>
      <c r="Q424" s="175"/>
      <c r="R424" s="175"/>
      <c r="S424" s="175"/>
      <c r="T424" s="175"/>
      <c r="U424" s="175"/>
      <c r="V424" s="194"/>
      <c r="W424" s="175"/>
      <c r="X424" s="175"/>
      <c r="Y424" s="195"/>
      <c r="Z424" s="195"/>
      <c r="AA424" s="195"/>
      <c r="AB424" s="192">
        <f>+AB301/AA301</f>
        <v>1.1581184549457442</v>
      </c>
      <c r="AC424" s="192">
        <f>+AC301/AB301</f>
        <v>0.97439908023796651</v>
      </c>
      <c r="AD424" s="192">
        <v>1.998</v>
      </c>
      <c r="AE424" s="192">
        <v>0.70399999999999996</v>
      </c>
      <c r="AF424" s="1048">
        <v>1.079</v>
      </c>
      <c r="AG424" s="1048">
        <v>1.1839999999999999</v>
      </c>
      <c r="AH424" s="1048">
        <v>0.88</v>
      </c>
      <c r="AI424" s="1048">
        <f t="shared" ref="AI424:AN424" si="337">+AH302</f>
        <v>0.88</v>
      </c>
      <c r="AJ424" s="1048">
        <f t="shared" si="337"/>
        <v>0.88</v>
      </c>
      <c r="AK424" s="1048">
        <f t="shared" si="337"/>
        <v>0</v>
      </c>
      <c r="AL424" s="1048">
        <f t="shared" si="337"/>
        <v>0</v>
      </c>
      <c r="AM424" s="1048">
        <f t="shared" si="337"/>
        <v>0</v>
      </c>
      <c r="AN424" s="1048">
        <f t="shared" si="337"/>
        <v>0</v>
      </c>
      <c r="AO424" s="1048">
        <f t="shared" ref="AO424" si="338">+AN302</f>
        <v>0</v>
      </c>
      <c r="AP424" s="1048">
        <f t="shared" ref="AP424" si="339">+AO302</f>
        <v>0</v>
      </c>
      <c r="AQ424" s="1048">
        <f t="shared" ref="AQ424" si="340">+AP302</f>
        <v>0</v>
      </c>
      <c r="AR424" s="1048">
        <f t="shared" ref="AR424" si="341">+AQ302</f>
        <v>0</v>
      </c>
      <c r="AS424" s="1048">
        <f t="shared" ref="AS424" si="342">+AR302</f>
        <v>0</v>
      </c>
      <c r="AT424" s="1048">
        <f t="shared" ref="AT424" si="343">+AS302</f>
        <v>0</v>
      </c>
    </row>
    <row r="425" spans="1:46">
      <c r="D425" s="178"/>
      <c r="E425" s="175"/>
      <c r="F425" s="175"/>
      <c r="G425" s="175"/>
      <c r="H425" s="175"/>
      <c r="I425" s="175"/>
      <c r="J425" s="175"/>
      <c r="K425" s="175"/>
      <c r="L425" s="175"/>
      <c r="M425" s="175"/>
      <c r="N425" s="175"/>
      <c r="O425" s="175"/>
      <c r="P425" s="175"/>
      <c r="Q425" s="175"/>
      <c r="R425" s="175"/>
      <c r="S425" s="175"/>
      <c r="T425" s="175"/>
      <c r="U425" s="175"/>
      <c r="V425" s="194"/>
      <c r="W425" s="175"/>
      <c r="X425" s="175"/>
      <c r="Y425" s="195"/>
      <c r="Z425" s="195"/>
      <c r="AA425" s="195"/>
      <c r="AB425" s="192"/>
      <c r="AC425" s="192"/>
      <c r="AD425" s="192"/>
      <c r="AE425" s="192"/>
      <c r="AF425" s="1048"/>
      <c r="AG425" s="1048"/>
      <c r="AH425" s="1048"/>
      <c r="AI425" s="1048"/>
      <c r="AJ425" s="1048"/>
      <c r="AK425" s="1048"/>
      <c r="AL425" s="1048"/>
      <c r="AM425" s="1048"/>
      <c r="AN425" s="1048"/>
      <c r="AO425" s="1048"/>
      <c r="AP425" s="1048"/>
      <c r="AQ425" s="1048"/>
      <c r="AR425" s="1048"/>
      <c r="AS425" s="1048"/>
      <c r="AT425" s="1048"/>
    </row>
    <row r="426" spans="1:46">
      <c r="D426" s="190" t="s">
        <v>2396</v>
      </c>
      <c r="E426" s="175"/>
      <c r="F426" s="175"/>
      <c r="G426" s="175"/>
      <c r="H426" s="175"/>
      <c r="I426" s="175"/>
      <c r="J426" s="175"/>
      <c r="K426" s="175"/>
      <c r="L426" s="175"/>
      <c r="M426" s="175"/>
      <c r="N426" s="175"/>
      <c r="O426" s="175"/>
      <c r="P426" s="175"/>
      <c r="Q426" s="175"/>
      <c r="R426" s="175"/>
      <c r="S426" s="175"/>
      <c r="T426" s="175"/>
      <c r="U426" s="175"/>
      <c r="V426" s="1600">
        <f t="shared" ref="V426:AT426" si="344">V993/V402</f>
        <v>0</v>
      </c>
      <c r="W426" s="1600">
        <f t="shared" si="344"/>
        <v>0</v>
      </c>
      <c r="X426" s="1600">
        <f t="shared" si="344"/>
        <v>0</v>
      </c>
      <c r="Y426" s="1600">
        <f t="shared" si="344"/>
        <v>9.6930518707138841E-3</v>
      </c>
      <c r="Z426" s="1600">
        <f t="shared" si="344"/>
        <v>1.1165714285861182E-2</v>
      </c>
      <c r="AA426" s="1600">
        <f t="shared" si="344"/>
        <v>1.1706684706092881E-2</v>
      </c>
      <c r="AB426" s="1600">
        <f t="shared" si="344"/>
        <v>1.0992463987666502E-2</v>
      </c>
      <c r="AC426" s="1600">
        <f t="shared" si="344"/>
        <v>1.2239691677949818E-2</v>
      </c>
      <c r="AD426" s="1600">
        <f t="shared" si="344"/>
        <v>1.9637168290382364E-2</v>
      </c>
      <c r="AE426" s="1600">
        <f t="shared" si="344"/>
        <v>1.4655420223312008E-2</v>
      </c>
      <c r="AF426" s="1600">
        <f t="shared" si="344"/>
        <v>1.417817361582707E-2</v>
      </c>
      <c r="AG426" s="1600">
        <f t="shared" si="344"/>
        <v>1.6134132222837515E-2</v>
      </c>
      <c r="AH426" s="1600">
        <f t="shared" si="344"/>
        <v>1.78067349778868E-2</v>
      </c>
      <c r="AI426" s="1600">
        <f t="shared" si="344"/>
        <v>2.0122396628671203E-2</v>
      </c>
      <c r="AJ426" s="1600">
        <f t="shared" si="344"/>
        <v>3.6417746219590125E-2</v>
      </c>
      <c r="AK426" s="1600">
        <f t="shared" si="344"/>
        <v>3.9881324160417141E-2</v>
      </c>
      <c r="AL426" s="1600">
        <f t="shared" si="344"/>
        <v>4.3903016233004348E-2</v>
      </c>
      <c r="AM426" s="1600">
        <f t="shared" si="344"/>
        <v>4.546709096556633E-2</v>
      </c>
      <c r="AN426" s="1600">
        <f t="shared" si="344"/>
        <v>4.5395460178357099E-2</v>
      </c>
      <c r="AO426" s="1600">
        <f t="shared" si="344"/>
        <v>4.6703430468732279E-2</v>
      </c>
      <c r="AP426" s="1600">
        <f t="shared" si="344"/>
        <v>4.7441398143635148E-2</v>
      </c>
      <c r="AQ426" s="1600">
        <f t="shared" si="344"/>
        <v>4.751302381988326E-2</v>
      </c>
      <c r="AR426" s="1600">
        <f t="shared" si="344"/>
        <v>4.6445869337200504E-2</v>
      </c>
      <c r="AS426" s="1600">
        <f t="shared" si="344"/>
        <v>-0.1671416574198635</v>
      </c>
      <c r="AT426" s="1600">
        <f t="shared" si="344"/>
        <v>-0.47201640825544594</v>
      </c>
    </row>
    <row r="427" spans="1:46">
      <c r="D427" s="175" t="s">
        <v>2397</v>
      </c>
      <c r="E427" s="175"/>
      <c r="F427" s="175"/>
      <c r="G427" s="175"/>
      <c r="H427" s="175"/>
      <c r="I427" s="175"/>
      <c r="J427" s="175"/>
      <c r="K427" s="175"/>
      <c r="L427" s="175"/>
      <c r="M427" s="175"/>
      <c r="N427" s="175"/>
      <c r="O427" s="175"/>
      <c r="P427" s="175"/>
      <c r="Q427" s="175"/>
      <c r="R427" s="175"/>
      <c r="S427" s="175"/>
      <c r="T427" s="175"/>
      <c r="U427" s="175"/>
      <c r="V427" s="1600">
        <f t="shared" ref="V427:AH427" si="345">V993/V404</f>
        <v>0</v>
      </c>
      <c r="W427" s="1600">
        <f t="shared" si="345"/>
        <v>0</v>
      </c>
      <c r="X427" s="1600">
        <f t="shared" si="345"/>
        <v>0</v>
      </c>
      <c r="Y427" s="1600">
        <f t="shared" si="345"/>
        <v>1.8576155383624868E-2</v>
      </c>
      <c r="Z427" s="1600">
        <f t="shared" si="345"/>
        <v>2.1208897804149699E-2</v>
      </c>
      <c r="AA427" s="1600">
        <f t="shared" si="345"/>
        <v>2.3277967570386551E-2</v>
      </c>
      <c r="AB427" s="1600">
        <f t="shared" si="345"/>
        <v>2.2999644668018657E-2</v>
      </c>
      <c r="AC427" s="1600">
        <f t="shared" si="345"/>
        <v>2.6448627414012299E-2</v>
      </c>
      <c r="AD427" s="1600">
        <f t="shared" si="345"/>
        <v>4.1464633788319459E-2</v>
      </c>
      <c r="AE427" s="1600">
        <f t="shared" si="345"/>
        <v>3.105803518856147E-2</v>
      </c>
      <c r="AF427" s="1600">
        <f t="shared" si="345"/>
        <v>3.0024656603925406E-2</v>
      </c>
      <c r="AG427" s="1600">
        <f t="shared" si="345"/>
        <v>3.3568268796803573E-2</v>
      </c>
      <c r="AH427" s="1600">
        <f t="shared" si="345"/>
        <v>4.0598861375980899E-2</v>
      </c>
      <c r="AI427" s="1600">
        <f t="shared" ref="AI427:AM427" si="346">AH427*AI428</f>
        <v>8.438468209259499E-2</v>
      </c>
      <c r="AJ427" s="254">
        <f t="shared" si="346"/>
        <v>9.1797535626635327E-2</v>
      </c>
      <c r="AK427" s="254">
        <f t="shared" si="346"/>
        <v>0.10507111189247295</v>
      </c>
      <c r="AL427" s="254">
        <f t="shared" si="346"/>
        <v>0.11447520446676757</v>
      </c>
      <c r="AM427" s="254">
        <f t="shared" si="346"/>
        <v>0.11550450508639798</v>
      </c>
      <c r="AN427" s="254">
        <f t="shared" ref="AN427" si="347">AM427*AN428</f>
        <v>0.11513715275755212</v>
      </c>
      <c r="AO427" s="254">
        <f t="shared" ref="AO427" si="348">AN427*AO428</f>
        <v>0.11525797367859505</v>
      </c>
      <c r="AP427" s="254">
        <f t="shared" ref="AP427" si="349">AO427*AP428</f>
        <v>0.11981300340161183</v>
      </c>
      <c r="AQ427" s="254">
        <f t="shared" ref="AQ427" si="350">AP427*AQ428</f>
        <v>0.12574617930082871</v>
      </c>
      <c r="AR427" s="254">
        <f t="shared" ref="AR427" si="351">AQ427*AR428</f>
        <v>0.11191409957773756</v>
      </c>
      <c r="AS427" s="254">
        <f t="shared" ref="AS427" si="352">AR427*AS428</f>
        <v>0.11633697839237635</v>
      </c>
      <c r="AT427" s="254">
        <f t="shared" ref="AT427" si="353">AS427*AT428</f>
        <v>0.12093465070562513</v>
      </c>
    </row>
    <row r="428" spans="1:46">
      <c r="D428" s="178" t="s">
        <v>2400</v>
      </c>
      <c r="E428" s="175"/>
      <c r="F428" s="175"/>
      <c r="G428" s="175"/>
      <c r="H428" s="175"/>
      <c r="I428" s="175"/>
      <c r="J428" s="175"/>
      <c r="K428" s="175"/>
      <c r="L428" s="175"/>
      <c r="M428" s="175"/>
      <c r="N428" s="175"/>
      <c r="O428" s="175"/>
      <c r="P428" s="175"/>
      <c r="Q428" s="175"/>
      <c r="R428" s="175"/>
      <c r="S428" s="175"/>
      <c r="T428" s="175"/>
      <c r="U428" s="175"/>
      <c r="V428" s="254" t="e">
        <f t="shared" ref="V428:AH428" si="354">+V427/U427</f>
        <v>#DIV/0!</v>
      </c>
      <c r="W428" s="254" t="e">
        <f t="shared" si="354"/>
        <v>#DIV/0!</v>
      </c>
      <c r="X428" s="254" t="e">
        <f t="shared" si="354"/>
        <v>#DIV/0!</v>
      </c>
      <c r="Y428" s="254" t="e">
        <f t="shared" si="354"/>
        <v>#DIV/0!</v>
      </c>
      <c r="Z428" s="254">
        <f t="shared" si="354"/>
        <v>1.1417269809686039</v>
      </c>
      <c r="AA428" s="254">
        <f t="shared" si="354"/>
        <v>1.0975566851867249</v>
      </c>
      <c r="AB428" s="254">
        <f t="shared" si="354"/>
        <v>0.98804350502137628</v>
      </c>
      <c r="AC428" s="254">
        <f t="shared" si="354"/>
        <v>1.149958088299925</v>
      </c>
      <c r="AD428" s="254">
        <f t="shared" si="354"/>
        <v>1.5677423686021523</v>
      </c>
      <c r="AE428" s="254">
        <f t="shared" si="354"/>
        <v>0.74902470734736082</v>
      </c>
      <c r="AF428" s="254">
        <f t="shared" si="354"/>
        <v>0.96672749649608702</v>
      </c>
      <c r="AG428" s="254">
        <f t="shared" si="354"/>
        <v>1.118023404551274</v>
      </c>
      <c r="AH428" s="254">
        <f t="shared" si="354"/>
        <v>1.2094416194572057</v>
      </c>
      <c r="AI428" s="254">
        <v>2.0784987369748911</v>
      </c>
      <c r="AJ428" s="1601">
        <v>1.0878459614969722</v>
      </c>
      <c r="AK428" s="1601">
        <v>1.144596215739655</v>
      </c>
      <c r="AL428" s="1601">
        <v>1.0895021705292176</v>
      </c>
      <c r="AM428" s="1601">
        <v>1.0089914722094182</v>
      </c>
      <c r="AN428" s="1601">
        <v>0.99681958440866814</v>
      </c>
      <c r="AO428" s="1601">
        <v>1.0010493651974992</v>
      </c>
      <c r="AP428" s="1601">
        <v>1.0395203002242499</v>
      </c>
      <c r="AQ428" s="1601">
        <v>1.0495203002242499</v>
      </c>
      <c r="AR428" s="1601">
        <v>0.89</v>
      </c>
      <c r="AS428" s="1601">
        <v>1.0395203002242499</v>
      </c>
      <c r="AT428" s="1601">
        <v>1.0395203002242499</v>
      </c>
    </row>
    <row r="429" spans="1:46">
      <c r="D429" s="178"/>
      <c r="E429" s="175"/>
      <c r="F429" s="175"/>
      <c r="G429" s="175"/>
      <c r="H429" s="175"/>
      <c r="I429" s="175"/>
      <c r="J429" s="175"/>
      <c r="K429" s="175"/>
      <c r="L429" s="175"/>
      <c r="M429" s="175"/>
      <c r="N429" s="175"/>
      <c r="O429" s="175"/>
      <c r="P429" s="175"/>
      <c r="Q429" s="175"/>
      <c r="R429" s="175"/>
      <c r="S429" s="175"/>
      <c r="T429" s="175"/>
      <c r="U429" s="175"/>
      <c r="V429" s="194"/>
      <c r="W429" s="194"/>
      <c r="X429" s="194"/>
      <c r="Y429" s="194"/>
      <c r="Z429" s="194"/>
      <c r="AA429" s="194"/>
      <c r="AB429" s="194"/>
      <c r="AC429" s="194"/>
      <c r="AD429" s="194"/>
      <c r="AE429" s="194"/>
      <c r="AF429" s="194"/>
      <c r="AG429" s="194"/>
      <c r="AH429" s="194"/>
      <c r="AI429" s="194"/>
      <c r="AJ429" s="194"/>
      <c r="AK429" s="194"/>
      <c r="AL429" s="194"/>
      <c r="AM429" s="194"/>
      <c r="AN429" s="194"/>
      <c r="AO429" s="194"/>
      <c r="AP429" s="194"/>
      <c r="AQ429" s="194"/>
      <c r="AR429" s="194"/>
      <c r="AS429" s="194"/>
      <c r="AT429" s="194"/>
    </row>
    <row r="430" spans="1:46">
      <c r="D430" s="190" t="s">
        <v>3107</v>
      </c>
      <c r="E430" s="175"/>
      <c r="F430" s="175"/>
      <c r="G430" s="175"/>
      <c r="H430" s="175"/>
      <c r="I430" s="175"/>
      <c r="J430" s="175"/>
      <c r="K430" s="175"/>
      <c r="L430" s="175"/>
      <c r="M430" s="175"/>
      <c r="N430" s="175"/>
      <c r="O430" s="175"/>
      <c r="P430" s="175"/>
      <c r="Q430" s="175"/>
      <c r="R430" s="175"/>
      <c r="S430" s="175"/>
      <c r="T430" s="175"/>
      <c r="U430" s="175"/>
      <c r="V430" s="194">
        <f t="shared" ref="V430:AT430" si="355">V994/V402</f>
        <v>0</v>
      </c>
      <c r="W430" s="194">
        <f t="shared" si="355"/>
        <v>0</v>
      </c>
      <c r="X430" s="194">
        <f t="shared" si="355"/>
        <v>0</v>
      </c>
      <c r="Y430" s="194">
        <f t="shared" si="355"/>
        <v>3.1861397863968522E-4</v>
      </c>
      <c r="Z430" s="194">
        <f t="shared" si="355"/>
        <v>4.7626536932305057E-4</v>
      </c>
      <c r="AA430" s="194">
        <f t="shared" si="355"/>
        <v>4.9626945166917561E-4</v>
      </c>
      <c r="AB430" s="194">
        <f t="shared" si="355"/>
        <v>0</v>
      </c>
      <c r="AC430" s="194">
        <f t="shared" si="355"/>
        <v>0</v>
      </c>
      <c r="AD430" s="194">
        <f t="shared" si="355"/>
        <v>1.1846272123939962E-2</v>
      </c>
      <c r="AE430" s="194">
        <f t="shared" si="355"/>
        <v>3.6899827509056043E-5</v>
      </c>
      <c r="AF430" s="194">
        <f t="shared" si="355"/>
        <v>3.8507288866212124E-4</v>
      </c>
      <c r="AG430" s="194">
        <f t="shared" si="355"/>
        <v>5.7131350760835026E-4</v>
      </c>
      <c r="AH430" s="194">
        <f t="shared" si="355"/>
        <v>2.88137851481719E-4</v>
      </c>
      <c r="AI430" s="194">
        <f t="shared" si="355"/>
        <v>2.6020863960105934E-4</v>
      </c>
      <c r="AJ430" s="194">
        <f t="shared" si="355"/>
        <v>0</v>
      </c>
      <c r="AK430" s="194">
        <f t="shared" si="355"/>
        <v>0</v>
      </c>
      <c r="AL430" s="194">
        <f t="shared" si="355"/>
        <v>0</v>
      </c>
      <c r="AM430" s="194">
        <f t="shared" si="355"/>
        <v>0</v>
      </c>
      <c r="AN430" s="194">
        <f t="shared" si="355"/>
        <v>0</v>
      </c>
      <c r="AO430" s="194">
        <f t="shared" si="355"/>
        <v>0</v>
      </c>
      <c r="AP430" s="194">
        <f t="shared" si="355"/>
        <v>0</v>
      </c>
      <c r="AQ430" s="194">
        <f t="shared" si="355"/>
        <v>0</v>
      </c>
      <c r="AR430" s="194">
        <f t="shared" si="355"/>
        <v>0</v>
      </c>
      <c r="AS430" s="194">
        <f t="shared" si="355"/>
        <v>0</v>
      </c>
      <c r="AT430" s="194">
        <f t="shared" si="355"/>
        <v>0</v>
      </c>
    </row>
    <row r="431" spans="1:46">
      <c r="D431" s="175" t="s">
        <v>3108</v>
      </c>
      <c r="E431" s="175"/>
      <c r="F431" s="175"/>
      <c r="G431" s="175"/>
      <c r="H431" s="175"/>
      <c r="I431" s="175"/>
      <c r="J431" s="175"/>
      <c r="K431" s="175"/>
      <c r="L431" s="175"/>
      <c r="M431" s="175"/>
      <c r="N431" s="175"/>
      <c r="O431" s="175"/>
      <c r="P431" s="175"/>
      <c r="Q431" s="175"/>
      <c r="R431" s="175"/>
      <c r="S431" s="175"/>
      <c r="T431" s="175"/>
      <c r="U431" s="175"/>
      <c r="V431" s="194">
        <f t="shared" ref="V431:AE431" si="356">V994/V404</f>
        <v>0</v>
      </c>
      <c r="W431" s="194">
        <f t="shared" si="356"/>
        <v>0</v>
      </c>
      <c r="X431" s="194">
        <f t="shared" si="356"/>
        <v>0</v>
      </c>
      <c r="Y431" s="194">
        <f t="shared" si="356"/>
        <v>6.106046736929126E-4</v>
      </c>
      <c r="Z431" s="194">
        <f t="shared" si="356"/>
        <v>9.0465001047168798E-4</v>
      </c>
      <c r="AA431" s="194">
        <f t="shared" si="356"/>
        <v>9.8679895223590828E-4</v>
      </c>
      <c r="AB431" s="194">
        <f t="shared" si="356"/>
        <v>0</v>
      </c>
      <c r="AC431" s="194">
        <f t="shared" si="356"/>
        <v>0</v>
      </c>
      <c r="AD431" s="194">
        <f t="shared" si="356"/>
        <v>2.5013857808435753E-2</v>
      </c>
      <c r="AE431" s="194">
        <f t="shared" si="356"/>
        <v>7.8198790875006109E-5</v>
      </c>
      <c r="AF431" s="194">
        <f>AE431*AF432</f>
        <v>7.8198790875006112E-6</v>
      </c>
      <c r="AG431" s="194">
        <f t="shared" ref="AG431:AM431" si="357">AF431*AG432</f>
        <v>7.8198790875006112E-6</v>
      </c>
      <c r="AH431" s="194">
        <f t="shared" si="357"/>
        <v>0</v>
      </c>
      <c r="AI431" s="194">
        <f t="shared" si="357"/>
        <v>0</v>
      </c>
      <c r="AJ431" s="194">
        <f t="shared" si="357"/>
        <v>0</v>
      </c>
      <c r="AK431" s="194">
        <f t="shared" si="357"/>
        <v>0</v>
      </c>
      <c r="AL431" s="194">
        <f t="shared" si="357"/>
        <v>0</v>
      </c>
      <c r="AM431" s="194">
        <f t="shared" si="357"/>
        <v>0</v>
      </c>
      <c r="AN431" s="194">
        <f t="shared" ref="AN431" si="358">AM431*AN432</f>
        <v>0</v>
      </c>
      <c r="AO431" s="194">
        <f t="shared" ref="AO431" si="359">AN431*AO432</f>
        <v>0</v>
      </c>
      <c r="AP431" s="194">
        <f t="shared" ref="AP431" si="360">AO431*AP432</f>
        <v>0</v>
      </c>
      <c r="AQ431" s="194">
        <f t="shared" ref="AQ431" si="361">AP431*AQ432</f>
        <v>0</v>
      </c>
      <c r="AR431" s="194">
        <f t="shared" ref="AR431" si="362">AQ431*AR432</f>
        <v>0</v>
      </c>
      <c r="AS431" s="194">
        <f t="shared" ref="AS431" si="363">AR431*AS432</f>
        <v>0</v>
      </c>
      <c r="AT431" s="194">
        <f t="shared" ref="AT431" si="364">AS431*AT432</f>
        <v>0</v>
      </c>
    </row>
    <row r="432" spans="1:46">
      <c r="D432" s="178" t="s">
        <v>3109</v>
      </c>
      <c r="E432" s="175"/>
      <c r="F432" s="175"/>
      <c r="G432" s="175"/>
      <c r="H432" s="175"/>
      <c r="I432" s="175"/>
      <c r="J432" s="175"/>
      <c r="K432" s="175"/>
      <c r="L432" s="175"/>
      <c r="M432" s="175"/>
      <c r="N432" s="175"/>
      <c r="O432" s="175"/>
      <c r="P432" s="175"/>
      <c r="Q432" s="175"/>
      <c r="R432" s="175"/>
      <c r="S432" s="175"/>
      <c r="T432" s="175"/>
      <c r="U432" s="175"/>
      <c r="V432" s="254" t="e">
        <f t="shared" ref="V432:AE432" si="365">+V431/U431</f>
        <v>#DIV/0!</v>
      </c>
      <c r="W432" s="254" t="e">
        <f t="shared" si="365"/>
        <v>#DIV/0!</v>
      </c>
      <c r="X432" s="254" t="e">
        <f t="shared" si="365"/>
        <v>#DIV/0!</v>
      </c>
      <c r="Y432" s="254" t="e">
        <f t="shared" si="365"/>
        <v>#DIV/0!</v>
      </c>
      <c r="Z432" s="254">
        <f t="shared" si="365"/>
        <v>1.4815641763768379</v>
      </c>
      <c r="AA432" s="254">
        <f t="shared" si="365"/>
        <v>1.0908074291862193</v>
      </c>
      <c r="AB432" s="254">
        <f t="shared" si="365"/>
        <v>0</v>
      </c>
      <c r="AC432" s="254" t="e">
        <f t="shared" si="365"/>
        <v>#DIV/0!</v>
      </c>
      <c r="AD432" s="254" t="e">
        <f t="shared" si="365"/>
        <v>#DIV/0!</v>
      </c>
      <c r="AE432" s="254">
        <f t="shared" si="365"/>
        <v>3.1262187333868231E-3</v>
      </c>
      <c r="AF432" s="1601">
        <v>0.1</v>
      </c>
      <c r="AG432" s="1601">
        <v>1</v>
      </c>
      <c r="AH432" s="1601">
        <v>0</v>
      </c>
      <c r="AI432" s="1601">
        <v>0</v>
      </c>
      <c r="AJ432" s="1601">
        <v>0</v>
      </c>
      <c r="AK432" s="1601">
        <v>0</v>
      </c>
      <c r="AL432" s="1601">
        <v>1</v>
      </c>
      <c r="AM432" s="1601">
        <v>1</v>
      </c>
      <c r="AN432" s="1601">
        <v>1</v>
      </c>
      <c r="AO432" s="1601">
        <v>1</v>
      </c>
      <c r="AP432" s="1601">
        <v>1</v>
      </c>
      <c r="AQ432" s="1601">
        <v>1</v>
      </c>
      <c r="AR432" s="1601">
        <v>1</v>
      </c>
      <c r="AS432" s="1601">
        <v>1</v>
      </c>
      <c r="AT432" s="1601">
        <v>1</v>
      </c>
    </row>
    <row r="433" spans="4:46">
      <c r="D433" s="178"/>
      <c r="E433" s="175"/>
      <c r="F433" s="175"/>
      <c r="G433" s="175"/>
      <c r="H433" s="175"/>
      <c r="I433" s="175"/>
      <c r="J433" s="175"/>
      <c r="K433" s="175"/>
      <c r="L433" s="175"/>
      <c r="M433" s="175"/>
      <c r="N433" s="175"/>
      <c r="O433" s="175"/>
      <c r="P433" s="175"/>
      <c r="Q433" s="175"/>
      <c r="R433" s="175"/>
      <c r="S433" s="175"/>
      <c r="T433" s="175"/>
      <c r="U433" s="175"/>
      <c r="V433" s="194"/>
      <c r="W433" s="194"/>
      <c r="X433" s="194"/>
      <c r="Y433" s="194"/>
      <c r="Z433" s="194"/>
      <c r="AA433" s="194"/>
      <c r="AB433" s="194"/>
      <c r="AC433" s="194"/>
      <c r="AD433" s="194"/>
      <c r="AE433" s="194"/>
      <c r="AF433" s="194"/>
      <c r="AG433" s="194"/>
      <c r="AH433" s="194"/>
      <c r="AI433" s="194"/>
      <c r="AJ433" s="194"/>
      <c r="AK433" s="194"/>
      <c r="AL433" s="194"/>
      <c r="AM433" s="194"/>
      <c r="AN433" s="194"/>
      <c r="AO433" s="194"/>
      <c r="AP433" s="194"/>
      <c r="AQ433" s="194"/>
      <c r="AR433" s="194"/>
      <c r="AS433" s="194"/>
      <c r="AT433" s="194"/>
    </row>
    <row r="434" spans="4:46">
      <c r="D434" s="190" t="s">
        <v>2421</v>
      </c>
      <c r="E434" s="175"/>
      <c r="F434" s="175"/>
      <c r="G434" s="175"/>
      <c r="H434" s="175"/>
      <c r="I434" s="175"/>
      <c r="J434" s="175"/>
      <c r="K434" s="175"/>
      <c r="L434" s="175"/>
      <c r="M434" s="175"/>
      <c r="N434" s="175"/>
      <c r="O434" s="175"/>
      <c r="P434" s="175"/>
      <c r="Q434" s="175"/>
      <c r="R434" s="175"/>
      <c r="S434" s="175"/>
      <c r="T434" s="175"/>
      <c r="U434" s="175"/>
      <c r="V434" s="194">
        <f t="shared" ref="V434:AT434" si="366">V997/V402</f>
        <v>0</v>
      </c>
      <c r="W434" s="194">
        <f t="shared" si="366"/>
        <v>0</v>
      </c>
      <c r="X434" s="194">
        <f t="shared" si="366"/>
        <v>0</v>
      </c>
      <c r="Y434" s="194">
        <f t="shared" si="366"/>
        <v>2.8105677346824055E-7</v>
      </c>
      <c r="Z434" s="194">
        <f t="shared" si="366"/>
        <v>1.2633908363324765E-4</v>
      </c>
      <c r="AA434" s="194">
        <f t="shared" si="366"/>
        <v>6.682367144715839E-7</v>
      </c>
      <c r="AB434" s="194">
        <f t="shared" si="366"/>
        <v>0</v>
      </c>
      <c r="AC434" s="194">
        <f t="shared" si="366"/>
        <v>0</v>
      </c>
      <c r="AD434" s="194">
        <f t="shared" si="366"/>
        <v>2.2217019015829324E-3</v>
      </c>
      <c r="AE434" s="194">
        <f t="shared" si="366"/>
        <v>4.1164812121796782E-4</v>
      </c>
      <c r="AF434" s="194">
        <f t="shared" si="366"/>
        <v>1.8117223341446794E-3</v>
      </c>
      <c r="AG434" s="194">
        <f t="shared" si="366"/>
        <v>1.3478202187867409E-3</v>
      </c>
      <c r="AH434" s="194">
        <f t="shared" si="366"/>
        <v>1.4764269973266324E-3</v>
      </c>
      <c r="AI434" s="194">
        <f t="shared" si="366"/>
        <v>1.3764459847861611E-3</v>
      </c>
      <c r="AJ434" s="194">
        <f t="shared" si="366"/>
        <v>1.795542049505614E-3</v>
      </c>
      <c r="AK434" s="194">
        <f t="shared" si="366"/>
        <v>1.6757699130130039E-3</v>
      </c>
      <c r="AL434" s="194">
        <f t="shared" si="366"/>
        <v>1.6917023101329751E-3</v>
      </c>
      <c r="AM434" s="194">
        <f t="shared" si="366"/>
        <v>1.6438382470141872E-3</v>
      </c>
      <c r="AN434" s="194">
        <f t="shared" si="366"/>
        <v>1.5568892075479288E-3</v>
      </c>
      <c r="AO434" s="194">
        <f t="shared" si="366"/>
        <v>1.5632667637862185E-3</v>
      </c>
      <c r="AP434" s="194">
        <f t="shared" si="366"/>
        <v>1.61664671803277E-3</v>
      </c>
      <c r="AQ434" s="194">
        <f t="shared" si="366"/>
        <v>1.6849177478057671E-3</v>
      </c>
      <c r="AR434" s="194">
        <f t="shared" si="366"/>
        <v>1.5904291889719778E-3</v>
      </c>
      <c r="AS434" s="194">
        <f t="shared" si="366"/>
        <v>6.612326365018145E-3</v>
      </c>
      <c r="AT434" s="194">
        <f t="shared" si="366"/>
        <v>7.2735590015199601E-3</v>
      </c>
    </row>
    <row r="435" spans="4:46">
      <c r="D435" s="175" t="s">
        <v>2409</v>
      </c>
      <c r="E435" s="175"/>
      <c r="F435" s="175"/>
      <c r="G435" s="175"/>
      <c r="H435" s="175"/>
      <c r="I435" s="175"/>
      <c r="J435" s="175"/>
      <c r="K435" s="175"/>
      <c r="L435" s="175"/>
      <c r="M435" s="175"/>
      <c r="N435" s="175"/>
      <c r="O435" s="175"/>
      <c r="P435" s="175"/>
      <c r="Q435" s="175"/>
      <c r="R435" s="175"/>
      <c r="S435" s="175"/>
      <c r="T435" s="175"/>
      <c r="U435" s="175"/>
      <c r="V435" s="194">
        <f t="shared" ref="V435:AH435" si="367">V997/V404</f>
        <v>0</v>
      </c>
      <c r="W435" s="194">
        <f t="shared" si="367"/>
        <v>0</v>
      </c>
      <c r="X435" s="194">
        <f t="shared" si="367"/>
        <v>0</v>
      </c>
      <c r="Y435" s="194">
        <f t="shared" si="367"/>
        <v>5.3862853157122056E-7</v>
      </c>
      <c r="Z435" s="194">
        <f t="shared" si="367"/>
        <v>2.3997682950211791E-4</v>
      </c>
      <c r="AA435" s="194">
        <f t="shared" si="367"/>
        <v>1.3287444703038176E-6</v>
      </c>
      <c r="AB435" s="194">
        <f t="shared" si="367"/>
        <v>0</v>
      </c>
      <c r="AC435" s="194">
        <f t="shared" si="367"/>
        <v>0</v>
      </c>
      <c r="AD435" s="194">
        <f t="shared" si="367"/>
        <v>4.6912087513690855E-3</v>
      </c>
      <c r="AE435" s="194">
        <f t="shared" si="367"/>
        <v>8.7237224448577142E-4</v>
      </c>
      <c r="AF435" s="194">
        <f t="shared" si="367"/>
        <v>3.8366253946582837E-3</v>
      </c>
      <c r="AG435" s="194">
        <f t="shared" si="367"/>
        <v>2.8042407716206779E-3</v>
      </c>
      <c r="AH435" s="194">
        <f t="shared" si="367"/>
        <v>3.3662125634293656E-3</v>
      </c>
      <c r="AI435" s="194">
        <f t="shared" ref="AI435:AM435" si="368">AH435*AI436</f>
        <v>5.7120172918189724E-3</v>
      </c>
      <c r="AJ435" s="194">
        <f t="shared" si="368"/>
        <v>5.9062258797408177E-3</v>
      </c>
      <c r="AK435" s="194">
        <f t="shared" si="368"/>
        <v>6.101985710876512E-3</v>
      </c>
      <c r="AL435" s="194">
        <f t="shared" si="368"/>
        <v>7.3345868244735673E-3</v>
      </c>
      <c r="AM435" s="194">
        <f t="shared" si="368"/>
        <v>7.8480079021867166E-3</v>
      </c>
      <c r="AN435" s="194">
        <f t="shared" ref="AN435" si="369">AM435*AN436</f>
        <v>7.8480079021867166E-3</v>
      </c>
      <c r="AO435" s="194">
        <f t="shared" ref="AO435" si="370">AN435*AO436</f>
        <v>7.8480079021867166E-3</v>
      </c>
      <c r="AP435" s="194">
        <f t="shared" ref="AP435" si="371">AO435*AP436</f>
        <v>7.8480079021867166E-3</v>
      </c>
      <c r="AQ435" s="194">
        <f t="shared" ref="AQ435" si="372">AP435*AQ436</f>
        <v>7.8480079021867166E-3</v>
      </c>
      <c r="AR435" s="194">
        <f t="shared" ref="AR435" si="373">AQ435*AR436</f>
        <v>7.8480079021867166E-3</v>
      </c>
      <c r="AS435" s="194">
        <f t="shared" ref="AS435" si="374">AR435*AS436</f>
        <v>7.8480079021867166E-3</v>
      </c>
      <c r="AT435" s="194">
        <f t="shared" ref="AT435" si="375">AS435*AT436</f>
        <v>7.8480079021867166E-3</v>
      </c>
    </row>
    <row r="436" spans="4:46">
      <c r="D436" s="178" t="s">
        <v>2420</v>
      </c>
      <c r="E436" s="175"/>
      <c r="F436" s="175"/>
      <c r="G436" s="175"/>
      <c r="H436" s="175"/>
      <c r="I436" s="175"/>
      <c r="J436" s="175"/>
      <c r="K436" s="175"/>
      <c r="L436" s="175"/>
      <c r="M436" s="175"/>
      <c r="N436" s="175"/>
      <c r="O436" s="175"/>
      <c r="P436" s="175"/>
      <c r="Q436" s="175"/>
      <c r="R436" s="175"/>
      <c r="S436" s="175"/>
      <c r="T436" s="175"/>
      <c r="U436" s="175"/>
      <c r="V436" s="254" t="e">
        <f>+V435/U435</f>
        <v>#DIV/0!</v>
      </c>
      <c r="W436" s="254" t="e">
        <f>+W435/V435</f>
        <v>#DIV/0!</v>
      </c>
      <c r="X436" s="254" t="e">
        <f>+X435/W435</f>
        <v>#DIV/0!</v>
      </c>
      <c r="Y436" s="254" t="e">
        <f>+Y435/X435</f>
        <v>#DIV/0!</v>
      </c>
      <c r="Z436" s="254">
        <f t="shared" ref="Z436:AE436" si="376">+Z435/Y435</f>
        <v>445.53308158794925</v>
      </c>
      <c r="AA436" s="254">
        <f t="shared" si="376"/>
        <v>5.5369698527169301E-3</v>
      </c>
      <c r="AB436" s="254">
        <f t="shared" si="376"/>
        <v>0</v>
      </c>
      <c r="AC436" s="254" t="e">
        <f>+AC435/AB435</f>
        <v>#DIV/0!</v>
      </c>
      <c r="AD436" s="254" t="e">
        <f>+AD435/AC435</f>
        <v>#DIV/0!</v>
      </c>
      <c r="AE436" s="254">
        <f t="shared" si="376"/>
        <v>0.18595894804962104</v>
      </c>
      <c r="AF436" s="254">
        <f t="shared" ref="AF436" si="377">+AF435/AE435</f>
        <v>4.3979223535703165</v>
      </c>
      <c r="AG436" s="254">
        <f t="shared" ref="AG436:AH436" si="378">+AG435/AF435</f>
        <v>0.73091336347953328</v>
      </c>
      <c r="AH436" s="254">
        <f t="shared" si="378"/>
        <v>1.2004006922286858</v>
      </c>
      <c r="AI436" s="254">
        <v>1.6968676767101698</v>
      </c>
      <c r="AJ436" s="1601">
        <v>1.034</v>
      </c>
      <c r="AK436" s="1601">
        <v>1.0331446570316889</v>
      </c>
      <c r="AL436" s="1601">
        <v>1.202</v>
      </c>
      <c r="AM436" s="1601">
        <v>1.07</v>
      </c>
      <c r="AN436" s="1601">
        <v>1</v>
      </c>
      <c r="AO436" s="1601">
        <v>1</v>
      </c>
      <c r="AP436" s="1601">
        <v>1</v>
      </c>
      <c r="AQ436" s="1601">
        <v>1</v>
      </c>
      <c r="AR436" s="1601">
        <v>1</v>
      </c>
      <c r="AS436" s="1601">
        <v>1</v>
      </c>
      <c r="AT436" s="1601">
        <v>1</v>
      </c>
    </row>
    <row r="437" spans="4:46">
      <c r="D437" s="178"/>
      <c r="E437" s="175"/>
      <c r="F437" s="175"/>
      <c r="G437" s="175"/>
      <c r="H437" s="175"/>
      <c r="I437" s="175"/>
      <c r="J437" s="175"/>
      <c r="K437" s="175"/>
      <c r="L437" s="175"/>
      <c r="M437" s="175"/>
      <c r="N437" s="175"/>
      <c r="O437" s="175"/>
      <c r="P437" s="175"/>
      <c r="Q437" s="175"/>
      <c r="R437" s="175"/>
      <c r="S437" s="175"/>
      <c r="T437" s="175"/>
      <c r="U437" s="175"/>
      <c r="V437" s="194"/>
      <c r="W437" s="194"/>
      <c r="X437" s="194"/>
      <c r="Y437" s="194"/>
      <c r="Z437" s="194"/>
      <c r="AA437" s="194"/>
      <c r="AB437" s="194"/>
      <c r="AC437" s="194"/>
      <c r="AD437" s="194"/>
      <c r="AE437" s="194"/>
      <c r="AF437" s="194"/>
      <c r="AG437" s="194"/>
      <c r="AH437" s="194"/>
      <c r="AI437" s="194"/>
      <c r="AJ437" s="194"/>
      <c r="AK437" s="194"/>
      <c r="AL437" s="194"/>
      <c r="AM437" s="194"/>
      <c r="AN437" s="194"/>
      <c r="AO437" s="194"/>
      <c r="AP437" s="194"/>
      <c r="AQ437" s="194"/>
      <c r="AR437" s="194"/>
      <c r="AS437" s="194"/>
      <c r="AT437" s="194"/>
    </row>
    <row r="438" spans="4:46">
      <c r="D438" s="190" t="s">
        <v>2404</v>
      </c>
      <c r="E438" s="175"/>
      <c r="F438" s="175"/>
      <c r="G438" s="175"/>
      <c r="H438" s="175"/>
      <c r="I438" s="175"/>
      <c r="J438" s="175"/>
      <c r="K438" s="175"/>
      <c r="L438" s="175"/>
      <c r="M438" s="175"/>
      <c r="N438" s="175"/>
      <c r="O438" s="175"/>
      <c r="P438" s="175"/>
      <c r="Q438" s="175"/>
      <c r="R438" s="175"/>
      <c r="S438" s="175"/>
      <c r="T438" s="175"/>
      <c r="U438" s="175"/>
      <c r="V438" s="194">
        <f t="shared" ref="V438:AT438" si="379">V999/V402</f>
        <v>0</v>
      </c>
      <c r="W438" s="194">
        <f t="shared" si="379"/>
        <v>0</v>
      </c>
      <c r="X438" s="194">
        <f t="shared" si="379"/>
        <v>0</v>
      </c>
      <c r="Y438" s="194">
        <f t="shared" si="379"/>
        <v>0</v>
      </c>
      <c r="Z438" s="194">
        <f t="shared" si="379"/>
        <v>0</v>
      </c>
      <c r="AA438" s="194">
        <f t="shared" si="379"/>
        <v>0</v>
      </c>
      <c r="AB438" s="194">
        <f t="shared" si="379"/>
        <v>0</v>
      </c>
      <c r="AC438" s="194">
        <f t="shared" si="379"/>
        <v>0</v>
      </c>
      <c r="AD438" s="194">
        <f t="shared" si="379"/>
        <v>0</v>
      </c>
      <c r="AE438" s="194">
        <f t="shared" si="379"/>
        <v>0</v>
      </c>
      <c r="AF438" s="194">
        <f t="shared" si="379"/>
        <v>0</v>
      </c>
      <c r="AG438" s="194">
        <f t="shared" si="379"/>
        <v>0</v>
      </c>
      <c r="AH438" s="194">
        <f t="shared" si="379"/>
        <v>0</v>
      </c>
      <c r="AI438" s="194">
        <f t="shared" si="379"/>
        <v>0</v>
      </c>
      <c r="AJ438" s="194">
        <f t="shared" si="379"/>
        <v>0</v>
      </c>
      <c r="AK438" s="194">
        <f t="shared" si="379"/>
        <v>0</v>
      </c>
      <c r="AL438" s="194">
        <f t="shared" si="379"/>
        <v>0</v>
      </c>
      <c r="AM438" s="194">
        <f t="shared" si="379"/>
        <v>0</v>
      </c>
      <c r="AN438" s="194">
        <f t="shared" si="379"/>
        <v>0</v>
      </c>
      <c r="AO438" s="194">
        <f t="shared" si="379"/>
        <v>0</v>
      </c>
      <c r="AP438" s="194">
        <f t="shared" si="379"/>
        <v>0</v>
      </c>
      <c r="AQ438" s="194">
        <f t="shared" si="379"/>
        <v>0</v>
      </c>
      <c r="AR438" s="194">
        <f t="shared" si="379"/>
        <v>0</v>
      </c>
      <c r="AS438" s="194">
        <f t="shared" si="379"/>
        <v>0</v>
      </c>
      <c r="AT438" s="194">
        <f t="shared" si="379"/>
        <v>0</v>
      </c>
    </row>
    <row r="439" spans="4:46">
      <c r="D439" s="175" t="s">
        <v>3110</v>
      </c>
      <c r="E439" s="175"/>
      <c r="F439" s="175"/>
      <c r="G439" s="175"/>
      <c r="H439" s="175"/>
      <c r="I439" s="175"/>
      <c r="J439" s="175"/>
      <c r="K439" s="175"/>
      <c r="L439" s="175"/>
      <c r="M439" s="175"/>
      <c r="N439" s="175"/>
      <c r="O439" s="175"/>
      <c r="P439" s="175"/>
      <c r="Q439" s="175"/>
      <c r="R439" s="175"/>
      <c r="S439" s="175"/>
      <c r="T439" s="175"/>
      <c r="U439" s="175"/>
      <c r="V439" s="194">
        <f t="shared" ref="V439:AH439" si="380">V999/V404</f>
        <v>0</v>
      </c>
      <c r="W439" s="194">
        <f t="shared" si="380"/>
        <v>0</v>
      </c>
      <c r="X439" s="194">
        <f t="shared" si="380"/>
        <v>0</v>
      </c>
      <c r="Y439" s="194">
        <f t="shared" si="380"/>
        <v>0</v>
      </c>
      <c r="Z439" s="194">
        <f t="shared" si="380"/>
        <v>0</v>
      </c>
      <c r="AA439" s="194">
        <f t="shared" si="380"/>
        <v>0</v>
      </c>
      <c r="AB439" s="194">
        <f t="shared" si="380"/>
        <v>0</v>
      </c>
      <c r="AC439" s="194">
        <f t="shared" si="380"/>
        <v>0</v>
      </c>
      <c r="AD439" s="194">
        <f t="shared" si="380"/>
        <v>0</v>
      </c>
      <c r="AE439" s="194">
        <f t="shared" si="380"/>
        <v>0</v>
      </c>
      <c r="AF439" s="194">
        <f t="shared" si="380"/>
        <v>0</v>
      </c>
      <c r="AG439" s="194">
        <f t="shared" si="380"/>
        <v>0</v>
      </c>
      <c r="AH439" s="194">
        <f t="shared" si="380"/>
        <v>0</v>
      </c>
      <c r="AI439" s="194">
        <f t="shared" ref="AI439:AM439" si="381">AH439*AI440</f>
        <v>0</v>
      </c>
      <c r="AJ439" s="194">
        <f t="shared" si="381"/>
        <v>0</v>
      </c>
      <c r="AK439" s="194">
        <f t="shared" si="381"/>
        <v>0</v>
      </c>
      <c r="AL439" s="194">
        <f t="shared" si="381"/>
        <v>0</v>
      </c>
      <c r="AM439" s="194">
        <f t="shared" si="381"/>
        <v>0</v>
      </c>
      <c r="AN439" s="194">
        <f t="shared" ref="AN439" si="382">AM439*AN440</f>
        <v>0</v>
      </c>
      <c r="AO439" s="194">
        <f t="shared" ref="AO439" si="383">AN439*AO440</f>
        <v>0</v>
      </c>
      <c r="AP439" s="194">
        <f t="shared" ref="AP439" si="384">AO439*AP440</f>
        <v>0</v>
      </c>
      <c r="AQ439" s="194">
        <f t="shared" ref="AQ439" si="385">AP439*AQ440</f>
        <v>0</v>
      </c>
      <c r="AR439" s="194">
        <f t="shared" ref="AR439" si="386">AQ439*AR440</f>
        <v>0</v>
      </c>
      <c r="AS439" s="194">
        <f t="shared" ref="AS439" si="387">AR439*AS440</f>
        <v>0</v>
      </c>
      <c r="AT439" s="194">
        <f t="shared" ref="AT439" si="388">AS439*AT440</f>
        <v>0</v>
      </c>
    </row>
    <row r="440" spans="4:46">
      <c r="D440" s="178" t="s">
        <v>3111</v>
      </c>
      <c r="E440" s="175"/>
      <c r="F440" s="175"/>
      <c r="G440" s="175"/>
      <c r="H440" s="175"/>
      <c r="I440" s="175"/>
      <c r="J440" s="175"/>
      <c r="K440" s="175"/>
      <c r="L440" s="175"/>
      <c r="M440" s="175"/>
      <c r="N440" s="175"/>
      <c r="O440" s="175"/>
      <c r="P440" s="175"/>
      <c r="Q440" s="175"/>
      <c r="R440" s="175"/>
      <c r="S440" s="175"/>
      <c r="T440" s="175"/>
      <c r="U440" s="175"/>
      <c r="V440" s="254" t="e">
        <f t="shared" ref="V440:AE440" si="389">+V439/U439</f>
        <v>#DIV/0!</v>
      </c>
      <c r="W440" s="254" t="e">
        <f t="shared" si="389"/>
        <v>#DIV/0!</v>
      </c>
      <c r="X440" s="254" t="e">
        <f t="shared" si="389"/>
        <v>#DIV/0!</v>
      </c>
      <c r="Y440" s="254" t="e">
        <f t="shared" si="389"/>
        <v>#DIV/0!</v>
      </c>
      <c r="Z440" s="254" t="e">
        <f t="shared" si="389"/>
        <v>#DIV/0!</v>
      </c>
      <c r="AA440" s="254" t="e">
        <f t="shared" si="389"/>
        <v>#DIV/0!</v>
      </c>
      <c r="AB440" s="254" t="e">
        <f t="shared" si="389"/>
        <v>#DIV/0!</v>
      </c>
      <c r="AC440" s="254" t="e">
        <f t="shared" si="389"/>
        <v>#DIV/0!</v>
      </c>
      <c r="AD440" s="254" t="e">
        <f t="shared" si="389"/>
        <v>#DIV/0!</v>
      </c>
      <c r="AE440" s="254" t="e">
        <f t="shared" si="389"/>
        <v>#DIV/0!</v>
      </c>
      <c r="AF440" s="1601">
        <v>1</v>
      </c>
      <c r="AG440" s="1601">
        <v>1</v>
      </c>
      <c r="AH440" s="1601">
        <v>1</v>
      </c>
      <c r="AI440" s="1601">
        <v>1</v>
      </c>
      <c r="AJ440" s="1601">
        <v>1</v>
      </c>
      <c r="AK440" s="1601">
        <v>1</v>
      </c>
      <c r="AL440" s="1601">
        <v>1</v>
      </c>
      <c r="AM440" s="1601">
        <v>1</v>
      </c>
      <c r="AN440" s="1601">
        <v>1</v>
      </c>
      <c r="AO440" s="1601">
        <v>1</v>
      </c>
      <c r="AP440" s="1601">
        <v>1</v>
      </c>
      <c r="AQ440" s="1601">
        <v>1</v>
      </c>
      <c r="AR440" s="1601">
        <v>1</v>
      </c>
      <c r="AS440" s="1601">
        <v>1</v>
      </c>
      <c r="AT440" s="1601">
        <v>1</v>
      </c>
    </row>
    <row r="441" spans="4:46">
      <c r="D441" s="178"/>
      <c r="E441" s="175"/>
      <c r="F441" s="175"/>
      <c r="G441" s="175"/>
      <c r="H441" s="175"/>
      <c r="I441" s="175"/>
      <c r="J441" s="175"/>
      <c r="K441" s="175"/>
      <c r="L441" s="175"/>
      <c r="M441" s="175"/>
      <c r="N441" s="175"/>
      <c r="O441" s="175"/>
      <c r="P441" s="175"/>
      <c r="Q441" s="175"/>
      <c r="R441" s="175"/>
      <c r="S441" s="175"/>
      <c r="T441" s="175"/>
      <c r="U441" s="175"/>
      <c r="V441" s="194"/>
      <c r="W441" s="194"/>
      <c r="X441" s="194"/>
      <c r="Y441" s="194"/>
      <c r="Z441" s="194"/>
      <c r="AA441" s="194"/>
      <c r="AB441" s="194"/>
      <c r="AC441" s="194"/>
      <c r="AD441" s="194"/>
      <c r="AE441" s="194"/>
      <c r="AF441" s="194"/>
      <c r="AG441" s="194"/>
      <c r="AH441" s="194"/>
      <c r="AI441" s="194"/>
      <c r="AJ441" s="194"/>
      <c r="AK441" s="194"/>
      <c r="AL441" s="194"/>
      <c r="AM441" s="194"/>
      <c r="AN441" s="194"/>
      <c r="AO441" s="194"/>
      <c r="AP441" s="194"/>
      <c r="AQ441" s="194"/>
      <c r="AR441" s="194"/>
      <c r="AS441" s="194"/>
      <c r="AT441" s="194"/>
    </row>
    <row r="442" spans="4:46">
      <c r="D442" s="190" t="s">
        <v>2405</v>
      </c>
      <c r="E442" s="175"/>
      <c r="F442" s="175"/>
      <c r="G442" s="175"/>
      <c r="H442" s="175"/>
      <c r="I442" s="175"/>
      <c r="J442" s="175"/>
      <c r="K442" s="175"/>
      <c r="L442" s="175"/>
      <c r="M442" s="175"/>
      <c r="N442" s="175"/>
      <c r="O442" s="175"/>
      <c r="P442" s="175"/>
      <c r="Q442" s="175"/>
      <c r="R442" s="175"/>
      <c r="S442" s="175"/>
      <c r="T442" s="175"/>
      <c r="U442" s="175"/>
      <c r="V442" s="194">
        <f t="shared" ref="V442:AT442" si="390">V1000/V402</f>
        <v>0</v>
      </c>
      <c r="W442" s="194">
        <f t="shared" si="390"/>
        <v>0</v>
      </c>
      <c r="X442" s="194">
        <f t="shared" si="390"/>
        <v>0</v>
      </c>
      <c r="Y442" s="194">
        <f t="shared" si="390"/>
        <v>0</v>
      </c>
      <c r="Z442" s="194">
        <f t="shared" si="390"/>
        <v>0</v>
      </c>
      <c r="AA442" s="194">
        <f t="shared" si="390"/>
        <v>0</v>
      </c>
      <c r="AB442" s="194">
        <f t="shared" si="390"/>
        <v>0</v>
      </c>
      <c r="AC442" s="194">
        <f t="shared" si="390"/>
        <v>0</v>
      </c>
      <c r="AD442" s="194">
        <f t="shared" si="390"/>
        <v>0</v>
      </c>
      <c r="AE442" s="194">
        <f t="shared" si="390"/>
        <v>0</v>
      </c>
      <c r="AF442" s="194">
        <f t="shared" si="390"/>
        <v>0</v>
      </c>
      <c r="AG442" s="194">
        <f t="shared" si="390"/>
        <v>0</v>
      </c>
      <c r="AH442" s="194">
        <f t="shared" si="390"/>
        <v>0</v>
      </c>
      <c r="AI442" s="194">
        <f t="shared" si="390"/>
        <v>0</v>
      </c>
      <c r="AJ442" s="194">
        <f t="shared" si="390"/>
        <v>0</v>
      </c>
      <c r="AK442" s="194">
        <f t="shared" si="390"/>
        <v>0</v>
      </c>
      <c r="AL442" s="194">
        <f t="shared" si="390"/>
        <v>0</v>
      </c>
      <c r="AM442" s="194">
        <f t="shared" si="390"/>
        <v>0</v>
      </c>
      <c r="AN442" s="194">
        <f t="shared" si="390"/>
        <v>0</v>
      </c>
      <c r="AO442" s="194">
        <f t="shared" si="390"/>
        <v>0</v>
      </c>
      <c r="AP442" s="194">
        <f t="shared" si="390"/>
        <v>0</v>
      </c>
      <c r="AQ442" s="194">
        <f t="shared" si="390"/>
        <v>0</v>
      </c>
      <c r="AR442" s="194">
        <f t="shared" si="390"/>
        <v>0</v>
      </c>
      <c r="AS442" s="194">
        <f t="shared" si="390"/>
        <v>0</v>
      </c>
      <c r="AT442" s="194">
        <f t="shared" si="390"/>
        <v>0</v>
      </c>
    </row>
    <row r="443" spans="4:46">
      <c r="D443" s="175" t="s">
        <v>2410</v>
      </c>
      <c r="E443" s="175"/>
      <c r="F443" s="175"/>
      <c r="G443" s="175"/>
      <c r="H443" s="175"/>
      <c r="I443" s="175"/>
      <c r="J443" s="175"/>
      <c r="K443" s="175"/>
      <c r="L443" s="175"/>
      <c r="M443" s="175"/>
      <c r="N443" s="175"/>
      <c r="O443" s="175"/>
      <c r="P443" s="175"/>
      <c r="Q443" s="175"/>
      <c r="R443" s="175"/>
      <c r="S443" s="175"/>
      <c r="T443" s="175"/>
      <c r="U443" s="175"/>
      <c r="V443" s="194">
        <f t="shared" ref="V443:AE443" si="391">V1000/V404</f>
        <v>0</v>
      </c>
      <c r="W443" s="194">
        <f t="shared" si="391"/>
        <v>0</v>
      </c>
      <c r="X443" s="194">
        <f t="shared" si="391"/>
        <v>0</v>
      </c>
      <c r="Y443" s="194">
        <f t="shared" si="391"/>
        <v>0</v>
      </c>
      <c r="Z443" s="194">
        <f t="shared" si="391"/>
        <v>0</v>
      </c>
      <c r="AA443" s="194">
        <f t="shared" si="391"/>
        <v>0</v>
      </c>
      <c r="AB443" s="194">
        <f t="shared" si="391"/>
        <v>0</v>
      </c>
      <c r="AC443" s="194">
        <f t="shared" si="391"/>
        <v>0</v>
      </c>
      <c r="AD443" s="194">
        <f t="shared" si="391"/>
        <v>0</v>
      </c>
      <c r="AE443" s="194">
        <f t="shared" si="391"/>
        <v>0</v>
      </c>
      <c r="AF443" s="194">
        <f t="shared" ref="AF443:AM443" si="392">AE443*AF444</f>
        <v>0</v>
      </c>
      <c r="AG443" s="194">
        <f t="shared" si="392"/>
        <v>0</v>
      </c>
      <c r="AH443" s="194">
        <f t="shared" si="392"/>
        <v>0</v>
      </c>
      <c r="AI443" s="194">
        <f t="shared" si="392"/>
        <v>0</v>
      </c>
      <c r="AJ443" s="194">
        <f t="shared" si="392"/>
        <v>0</v>
      </c>
      <c r="AK443" s="194">
        <f t="shared" si="392"/>
        <v>0</v>
      </c>
      <c r="AL443" s="194">
        <f t="shared" si="392"/>
        <v>0</v>
      </c>
      <c r="AM443" s="194">
        <f t="shared" si="392"/>
        <v>0</v>
      </c>
      <c r="AN443" s="194">
        <f t="shared" ref="AN443" si="393">AM443*AN444</f>
        <v>0</v>
      </c>
      <c r="AO443" s="194">
        <f t="shared" ref="AO443" si="394">AN443*AO444</f>
        <v>0</v>
      </c>
      <c r="AP443" s="194">
        <f t="shared" ref="AP443" si="395">AO443*AP444</f>
        <v>0</v>
      </c>
      <c r="AQ443" s="194">
        <f t="shared" ref="AQ443" si="396">AP443*AQ444</f>
        <v>0</v>
      </c>
      <c r="AR443" s="194">
        <f t="shared" ref="AR443" si="397">AQ443*AR444</f>
        <v>0</v>
      </c>
      <c r="AS443" s="194">
        <f t="shared" ref="AS443" si="398">AR443*AS444</f>
        <v>0</v>
      </c>
      <c r="AT443" s="194">
        <f t="shared" ref="AT443" si="399">AS443*AT444</f>
        <v>0</v>
      </c>
    </row>
    <row r="444" spans="4:46">
      <c r="D444" s="178" t="s">
        <v>2422</v>
      </c>
      <c r="E444" s="175"/>
      <c r="F444" s="175"/>
      <c r="G444" s="175"/>
      <c r="H444" s="175"/>
      <c r="I444" s="175"/>
      <c r="J444" s="175"/>
      <c r="K444" s="175"/>
      <c r="L444" s="175"/>
      <c r="M444" s="175"/>
      <c r="N444" s="175"/>
      <c r="O444" s="175"/>
      <c r="P444" s="175"/>
      <c r="Q444" s="175"/>
      <c r="R444" s="175"/>
      <c r="S444" s="175"/>
      <c r="T444" s="175"/>
      <c r="U444" s="175"/>
      <c r="V444" s="254" t="e">
        <f t="shared" ref="V444:AE444" si="400">+V443/U443</f>
        <v>#DIV/0!</v>
      </c>
      <c r="W444" s="254" t="e">
        <f t="shared" si="400"/>
        <v>#DIV/0!</v>
      </c>
      <c r="X444" s="254" t="e">
        <f t="shared" si="400"/>
        <v>#DIV/0!</v>
      </c>
      <c r="Y444" s="254" t="e">
        <f t="shared" si="400"/>
        <v>#DIV/0!</v>
      </c>
      <c r="Z444" s="254" t="e">
        <f t="shared" si="400"/>
        <v>#DIV/0!</v>
      </c>
      <c r="AA444" s="254" t="e">
        <f t="shared" si="400"/>
        <v>#DIV/0!</v>
      </c>
      <c r="AB444" s="254" t="e">
        <f t="shared" si="400"/>
        <v>#DIV/0!</v>
      </c>
      <c r="AC444" s="254" t="e">
        <f t="shared" si="400"/>
        <v>#DIV/0!</v>
      </c>
      <c r="AD444" s="254" t="e">
        <f t="shared" si="400"/>
        <v>#DIV/0!</v>
      </c>
      <c r="AE444" s="254" t="e">
        <f t="shared" si="400"/>
        <v>#DIV/0!</v>
      </c>
      <c r="AF444" s="1601">
        <v>1</v>
      </c>
      <c r="AG444" s="1601">
        <v>1</v>
      </c>
      <c r="AH444" s="1601">
        <v>1</v>
      </c>
      <c r="AI444" s="1601">
        <v>1</v>
      </c>
      <c r="AJ444" s="1601">
        <v>1</v>
      </c>
      <c r="AK444" s="1601">
        <v>1</v>
      </c>
      <c r="AL444" s="1601">
        <v>1</v>
      </c>
      <c r="AM444" s="1601">
        <v>1</v>
      </c>
      <c r="AN444" s="1601">
        <v>1</v>
      </c>
      <c r="AO444" s="1601">
        <v>1</v>
      </c>
      <c r="AP444" s="1601">
        <v>1</v>
      </c>
      <c r="AQ444" s="1601">
        <v>1</v>
      </c>
      <c r="AR444" s="1601">
        <v>1</v>
      </c>
      <c r="AS444" s="1601">
        <v>1</v>
      </c>
      <c r="AT444" s="1601">
        <v>1</v>
      </c>
    </row>
    <row r="445" spans="4:46">
      <c r="D445" s="178"/>
      <c r="E445" s="175"/>
      <c r="F445" s="175"/>
      <c r="G445" s="175"/>
      <c r="H445" s="175"/>
      <c r="I445" s="175"/>
      <c r="J445" s="175"/>
      <c r="K445" s="175"/>
      <c r="L445" s="175"/>
      <c r="M445" s="175"/>
      <c r="N445" s="175"/>
      <c r="O445" s="175"/>
      <c r="P445" s="175"/>
      <c r="Q445" s="175"/>
      <c r="R445" s="175"/>
      <c r="S445" s="175"/>
      <c r="T445" s="175"/>
      <c r="U445" s="175"/>
      <c r="V445" s="194"/>
      <c r="W445" s="194"/>
      <c r="X445" s="194"/>
      <c r="Y445" s="194"/>
      <c r="Z445" s="194"/>
      <c r="AA445" s="194"/>
      <c r="AB445" s="194"/>
      <c r="AC445" s="194"/>
      <c r="AD445" s="194"/>
      <c r="AE445" s="194"/>
      <c r="AF445" s="194"/>
      <c r="AG445" s="194"/>
      <c r="AH445" s="194"/>
      <c r="AI445" s="194"/>
      <c r="AJ445" s="194"/>
      <c r="AK445" s="194"/>
      <c r="AL445" s="194"/>
      <c r="AM445" s="194"/>
      <c r="AN445" s="194"/>
      <c r="AO445" s="194"/>
      <c r="AP445" s="194"/>
      <c r="AQ445" s="194"/>
      <c r="AR445" s="194"/>
      <c r="AS445" s="194"/>
      <c r="AT445" s="194"/>
    </row>
    <row r="446" spans="4:46">
      <c r="D446" s="190" t="s">
        <v>2406</v>
      </c>
      <c r="E446" s="175"/>
      <c r="F446" s="175"/>
      <c r="G446" s="175"/>
      <c r="H446" s="175"/>
      <c r="I446" s="175"/>
      <c r="J446" s="175"/>
      <c r="K446" s="175"/>
      <c r="L446" s="175"/>
      <c r="M446" s="175"/>
      <c r="N446" s="175"/>
      <c r="O446" s="175"/>
      <c r="P446" s="175"/>
      <c r="Q446" s="175"/>
      <c r="R446" s="175"/>
      <c r="S446" s="175"/>
      <c r="T446" s="175"/>
      <c r="U446" s="175"/>
      <c r="V446" s="194">
        <f t="shared" ref="V446:AT446" si="401">V1017/V402</f>
        <v>0</v>
      </c>
      <c r="W446" s="194">
        <f t="shared" si="401"/>
        <v>0</v>
      </c>
      <c r="X446" s="194">
        <f t="shared" si="401"/>
        <v>0</v>
      </c>
      <c r="Y446" s="194">
        <f t="shared" si="401"/>
        <v>0</v>
      </c>
      <c r="Z446" s="194">
        <f t="shared" si="401"/>
        <v>0</v>
      </c>
      <c r="AA446" s="194">
        <f t="shared" si="401"/>
        <v>0</v>
      </c>
      <c r="AB446" s="194">
        <f t="shared" si="401"/>
        <v>0</v>
      </c>
      <c r="AC446" s="194">
        <f t="shared" si="401"/>
        <v>0</v>
      </c>
      <c r="AD446" s="194">
        <f t="shared" si="401"/>
        <v>0</v>
      </c>
      <c r="AE446" s="194">
        <f t="shared" si="401"/>
        <v>0</v>
      </c>
      <c r="AF446" s="194">
        <f t="shared" si="401"/>
        <v>0</v>
      </c>
      <c r="AG446" s="194">
        <f t="shared" si="401"/>
        <v>0</v>
      </c>
      <c r="AH446" s="194">
        <f t="shared" si="401"/>
        <v>0</v>
      </c>
      <c r="AI446" s="194">
        <f t="shared" si="401"/>
        <v>8.7208675814977757E-6</v>
      </c>
      <c r="AJ446" s="194">
        <f t="shared" si="401"/>
        <v>0</v>
      </c>
      <c r="AK446" s="194">
        <f t="shared" si="401"/>
        <v>0</v>
      </c>
      <c r="AL446" s="194">
        <f t="shared" si="401"/>
        <v>0</v>
      </c>
      <c r="AM446" s="194">
        <f t="shared" si="401"/>
        <v>0</v>
      </c>
      <c r="AN446" s="194">
        <f t="shared" si="401"/>
        <v>0</v>
      </c>
      <c r="AO446" s="194">
        <f t="shared" si="401"/>
        <v>0</v>
      </c>
      <c r="AP446" s="194">
        <f t="shared" si="401"/>
        <v>0</v>
      </c>
      <c r="AQ446" s="194">
        <f t="shared" si="401"/>
        <v>0</v>
      </c>
      <c r="AR446" s="194">
        <f t="shared" si="401"/>
        <v>0</v>
      </c>
      <c r="AS446" s="194">
        <f t="shared" si="401"/>
        <v>0</v>
      </c>
      <c r="AT446" s="194">
        <f t="shared" si="401"/>
        <v>0</v>
      </c>
    </row>
    <row r="447" spans="4:46">
      <c r="D447" s="175" t="s">
        <v>2411</v>
      </c>
      <c r="E447" s="175"/>
      <c r="F447" s="175"/>
      <c r="G447" s="175"/>
      <c r="H447" s="175"/>
      <c r="I447" s="175"/>
      <c r="J447" s="175"/>
      <c r="K447" s="175"/>
      <c r="L447" s="175"/>
      <c r="M447" s="175"/>
      <c r="N447" s="175"/>
      <c r="O447" s="175"/>
      <c r="P447" s="175"/>
      <c r="Q447" s="175"/>
      <c r="R447" s="175"/>
      <c r="S447" s="175"/>
      <c r="T447" s="175"/>
      <c r="U447" s="175"/>
      <c r="V447" s="194">
        <f t="shared" ref="V447:AE447" si="402">V1017/V404</f>
        <v>0</v>
      </c>
      <c r="W447" s="194">
        <f t="shared" si="402"/>
        <v>0</v>
      </c>
      <c r="X447" s="194">
        <f t="shared" si="402"/>
        <v>0</v>
      </c>
      <c r="Y447" s="194">
        <f t="shared" si="402"/>
        <v>0</v>
      </c>
      <c r="Z447" s="194">
        <f t="shared" si="402"/>
        <v>0</v>
      </c>
      <c r="AA447" s="194">
        <f t="shared" si="402"/>
        <v>0</v>
      </c>
      <c r="AB447" s="194">
        <f t="shared" si="402"/>
        <v>0</v>
      </c>
      <c r="AC447" s="194">
        <f t="shared" si="402"/>
        <v>0</v>
      </c>
      <c r="AD447" s="194">
        <f t="shared" si="402"/>
        <v>0</v>
      </c>
      <c r="AE447" s="194">
        <f t="shared" si="402"/>
        <v>0</v>
      </c>
      <c r="AF447" s="194">
        <f t="shared" ref="AF447:AM447" si="403">AE447*AF448</f>
        <v>0</v>
      </c>
      <c r="AG447" s="194">
        <f t="shared" si="403"/>
        <v>0</v>
      </c>
      <c r="AH447" s="194">
        <f t="shared" si="403"/>
        <v>0</v>
      </c>
      <c r="AI447" s="194">
        <f t="shared" si="403"/>
        <v>0</v>
      </c>
      <c r="AJ447" s="194">
        <f t="shared" si="403"/>
        <v>0</v>
      </c>
      <c r="AK447" s="194">
        <f t="shared" si="403"/>
        <v>0</v>
      </c>
      <c r="AL447" s="194">
        <f t="shared" si="403"/>
        <v>0</v>
      </c>
      <c r="AM447" s="194">
        <f t="shared" si="403"/>
        <v>0</v>
      </c>
      <c r="AN447" s="194">
        <f t="shared" ref="AN447" si="404">AM447*AN448</f>
        <v>0</v>
      </c>
      <c r="AO447" s="194">
        <f t="shared" ref="AO447" si="405">AN447*AO448</f>
        <v>0</v>
      </c>
      <c r="AP447" s="194">
        <f t="shared" ref="AP447" si="406">AO447*AP448</f>
        <v>0</v>
      </c>
      <c r="AQ447" s="194">
        <f t="shared" ref="AQ447" si="407">AP447*AQ448</f>
        <v>0</v>
      </c>
      <c r="AR447" s="194">
        <f t="shared" ref="AR447" si="408">AQ447*AR448</f>
        <v>0</v>
      </c>
      <c r="AS447" s="194">
        <f t="shared" ref="AS447" si="409">AR447*AS448</f>
        <v>0</v>
      </c>
      <c r="AT447" s="194">
        <f t="shared" ref="AT447" si="410">AS447*AT448</f>
        <v>0</v>
      </c>
    </row>
    <row r="448" spans="4:46">
      <c r="D448" s="178" t="s">
        <v>2423</v>
      </c>
      <c r="E448" s="175"/>
      <c r="F448" s="175"/>
      <c r="G448" s="175"/>
      <c r="H448" s="175"/>
      <c r="I448" s="175"/>
      <c r="J448" s="175"/>
      <c r="K448" s="175"/>
      <c r="L448" s="175"/>
      <c r="M448" s="175"/>
      <c r="N448" s="175"/>
      <c r="O448" s="175"/>
      <c r="P448" s="175"/>
      <c r="Q448" s="175"/>
      <c r="R448" s="175"/>
      <c r="S448" s="175"/>
      <c r="T448" s="175"/>
      <c r="U448" s="175"/>
      <c r="V448" s="254" t="e">
        <f t="shared" ref="V448:AE448" si="411">+V447/U447</f>
        <v>#DIV/0!</v>
      </c>
      <c r="W448" s="254" t="e">
        <f t="shared" si="411"/>
        <v>#DIV/0!</v>
      </c>
      <c r="X448" s="254" t="e">
        <f t="shared" si="411"/>
        <v>#DIV/0!</v>
      </c>
      <c r="Y448" s="254" t="e">
        <f t="shared" si="411"/>
        <v>#DIV/0!</v>
      </c>
      <c r="Z448" s="254" t="e">
        <f t="shared" si="411"/>
        <v>#DIV/0!</v>
      </c>
      <c r="AA448" s="254" t="e">
        <f t="shared" si="411"/>
        <v>#DIV/0!</v>
      </c>
      <c r="AB448" s="254" t="e">
        <f t="shared" si="411"/>
        <v>#DIV/0!</v>
      </c>
      <c r="AC448" s="254" t="e">
        <f t="shared" si="411"/>
        <v>#DIV/0!</v>
      </c>
      <c r="AD448" s="254" t="e">
        <f t="shared" si="411"/>
        <v>#DIV/0!</v>
      </c>
      <c r="AE448" s="254" t="e">
        <f t="shared" si="411"/>
        <v>#DIV/0!</v>
      </c>
      <c r="AF448" s="1601">
        <v>1</v>
      </c>
      <c r="AG448" s="1601">
        <v>1</v>
      </c>
      <c r="AH448" s="1601">
        <v>1</v>
      </c>
      <c r="AI448" s="1601">
        <v>1</v>
      </c>
      <c r="AJ448" s="1601">
        <v>1</v>
      </c>
      <c r="AK448" s="1601">
        <v>1</v>
      </c>
      <c r="AL448" s="1601">
        <v>1</v>
      </c>
      <c r="AM448" s="1601">
        <v>1</v>
      </c>
      <c r="AN448" s="1601">
        <v>1</v>
      </c>
      <c r="AO448" s="1601">
        <v>1</v>
      </c>
      <c r="AP448" s="1601">
        <v>1</v>
      </c>
      <c r="AQ448" s="1601">
        <v>1</v>
      </c>
      <c r="AR448" s="1601">
        <v>1</v>
      </c>
      <c r="AS448" s="1601">
        <v>1</v>
      </c>
      <c r="AT448" s="1601">
        <v>1</v>
      </c>
    </row>
    <row r="449" spans="4:46">
      <c r="D449" s="178"/>
      <c r="E449" s="175"/>
      <c r="F449" s="175"/>
      <c r="G449" s="175"/>
      <c r="H449" s="175"/>
      <c r="I449" s="175"/>
      <c r="J449" s="175"/>
      <c r="K449" s="175"/>
      <c r="L449" s="175"/>
      <c r="M449" s="175"/>
      <c r="N449" s="175"/>
      <c r="O449" s="175"/>
      <c r="P449" s="175"/>
      <c r="Q449" s="175"/>
      <c r="R449" s="175"/>
      <c r="S449" s="175"/>
      <c r="T449" s="175"/>
      <c r="U449" s="175"/>
      <c r="V449" s="194"/>
      <c r="W449" s="194"/>
      <c r="X449" s="194"/>
      <c r="Y449" s="194"/>
      <c r="Z449" s="194"/>
      <c r="AA449" s="194"/>
      <c r="AB449" s="194"/>
      <c r="AC449" s="194"/>
      <c r="AD449" s="194"/>
      <c r="AE449" s="194"/>
      <c r="AF449" s="194"/>
      <c r="AG449" s="194"/>
      <c r="AH449" s="194"/>
      <c r="AI449" s="194"/>
      <c r="AJ449" s="194"/>
      <c r="AK449" s="194"/>
      <c r="AL449" s="194"/>
      <c r="AM449" s="194"/>
      <c r="AN449" s="194"/>
      <c r="AO449" s="194"/>
      <c r="AP449" s="194"/>
      <c r="AQ449" s="194"/>
      <c r="AR449" s="194"/>
      <c r="AS449" s="194"/>
      <c r="AT449" s="194"/>
    </row>
    <row r="450" spans="4:46">
      <c r="D450" s="190" t="s">
        <v>2407</v>
      </c>
      <c r="E450" s="175"/>
      <c r="F450" s="175"/>
      <c r="G450" s="175"/>
      <c r="H450" s="175"/>
      <c r="I450" s="175"/>
      <c r="J450" s="175"/>
      <c r="K450" s="175"/>
      <c r="L450" s="175"/>
      <c r="M450" s="175"/>
      <c r="N450" s="175"/>
      <c r="O450" s="175"/>
      <c r="P450" s="175"/>
      <c r="Q450" s="175"/>
      <c r="R450" s="175"/>
      <c r="S450" s="175"/>
      <c r="T450" s="175"/>
      <c r="U450" s="175"/>
      <c r="V450" s="194">
        <f t="shared" ref="V450:AT450" si="412">V1001/V402</f>
        <v>0</v>
      </c>
      <c r="W450" s="194">
        <f t="shared" si="412"/>
        <v>0</v>
      </c>
      <c r="X450" s="194">
        <f t="shared" si="412"/>
        <v>0</v>
      </c>
      <c r="Y450" s="194">
        <f t="shared" si="412"/>
        <v>0</v>
      </c>
      <c r="Z450" s="194">
        <f t="shared" si="412"/>
        <v>0</v>
      </c>
      <c r="AA450" s="194">
        <f t="shared" si="412"/>
        <v>0</v>
      </c>
      <c r="AB450" s="194">
        <f t="shared" si="412"/>
        <v>0</v>
      </c>
      <c r="AC450" s="194">
        <f t="shared" si="412"/>
        <v>0</v>
      </c>
      <c r="AD450" s="194">
        <f t="shared" si="412"/>
        <v>0</v>
      </c>
      <c r="AE450" s="194">
        <f t="shared" si="412"/>
        <v>0</v>
      </c>
      <c r="AF450" s="194">
        <f t="shared" si="412"/>
        <v>0</v>
      </c>
      <c r="AG450" s="194">
        <f t="shared" si="412"/>
        <v>0</v>
      </c>
      <c r="AH450" s="194">
        <f t="shared" si="412"/>
        <v>0</v>
      </c>
      <c r="AI450" s="194">
        <f t="shared" si="412"/>
        <v>0</v>
      </c>
      <c r="AJ450" s="194">
        <f t="shared" si="412"/>
        <v>0</v>
      </c>
      <c r="AK450" s="194">
        <f t="shared" si="412"/>
        <v>0</v>
      </c>
      <c r="AL450" s="194">
        <f t="shared" si="412"/>
        <v>0</v>
      </c>
      <c r="AM450" s="194">
        <f t="shared" si="412"/>
        <v>0</v>
      </c>
      <c r="AN450" s="194">
        <f t="shared" si="412"/>
        <v>0</v>
      </c>
      <c r="AO450" s="194">
        <f t="shared" si="412"/>
        <v>0</v>
      </c>
      <c r="AP450" s="194">
        <f t="shared" si="412"/>
        <v>0</v>
      </c>
      <c r="AQ450" s="194">
        <f t="shared" si="412"/>
        <v>0</v>
      </c>
      <c r="AR450" s="194">
        <f t="shared" si="412"/>
        <v>0</v>
      </c>
      <c r="AS450" s="194">
        <f t="shared" si="412"/>
        <v>0</v>
      </c>
      <c r="AT450" s="194">
        <f t="shared" si="412"/>
        <v>0</v>
      </c>
    </row>
    <row r="451" spans="4:46">
      <c r="D451" s="175" t="s">
        <v>2412</v>
      </c>
      <c r="E451" s="175"/>
      <c r="F451" s="175"/>
      <c r="G451" s="175"/>
      <c r="H451" s="175"/>
      <c r="I451" s="175"/>
      <c r="J451" s="175"/>
      <c r="K451" s="175"/>
      <c r="L451" s="175"/>
      <c r="M451" s="175"/>
      <c r="N451" s="175"/>
      <c r="O451" s="175"/>
      <c r="P451" s="175"/>
      <c r="Q451" s="175"/>
      <c r="R451" s="175"/>
      <c r="S451" s="175"/>
      <c r="T451" s="175"/>
      <c r="U451" s="175"/>
      <c r="V451" s="194">
        <f t="shared" ref="V451:AE451" si="413">V1001/V404</f>
        <v>0</v>
      </c>
      <c r="W451" s="194">
        <f t="shared" si="413"/>
        <v>0</v>
      </c>
      <c r="X451" s="194">
        <f t="shared" si="413"/>
        <v>0</v>
      </c>
      <c r="Y451" s="194">
        <f t="shared" si="413"/>
        <v>0</v>
      </c>
      <c r="Z451" s="194">
        <f t="shared" si="413"/>
        <v>0</v>
      </c>
      <c r="AA451" s="194">
        <f t="shared" si="413"/>
        <v>0</v>
      </c>
      <c r="AB451" s="194">
        <f t="shared" si="413"/>
        <v>0</v>
      </c>
      <c r="AC451" s="194">
        <f t="shared" si="413"/>
        <v>0</v>
      </c>
      <c r="AD451" s="194">
        <f t="shared" si="413"/>
        <v>0</v>
      </c>
      <c r="AE451" s="194">
        <f t="shared" si="413"/>
        <v>0</v>
      </c>
      <c r="AF451" s="194">
        <f t="shared" ref="AF451:AM451" si="414">AE451*AF452</f>
        <v>0</v>
      </c>
      <c r="AG451" s="194">
        <f t="shared" si="414"/>
        <v>0</v>
      </c>
      <c r="AH451" s="194">
        <f t="shared" si="414"/>
        <v>0</v>
      </c>
      <c r="AI451" s="194">
        <f t="shared" si="414"/>
        <v>0</v>
      </c>
      <c r="AJ451" s="194">
        <f t="shared" si="414"/>
        <v>0</v>
      </c>
      <c r="AK451" s="194">
        <f t="shared" si="414"/>
        <v>0</v>
      </c>
      <c r="AL451" s="194">
        <f t="shared" si="414"/>
        <v>0</v>
      </c>
      <c r="AM451" s="194">
        <f t="shared" si="414"/>
        <v>0</v>
      </c>
      <c r="AN451" s="194">
        <f t="shared" ref="AN451" si="415">AM451*AN452</f>
        <v>0</v>
      </c>
      <c r="AO451" s="194">
        <f t="shared" ref="AO451" si="416">AN451*AO452</f>
        <v>0</v>
      </c>
      <c r="AP451" s="194">
        <f t="shared" ref="AP451" si="417">AO451*AP452</f>
        <v>0</v>
      </c>
      <c r="AQ451" s="194">
        <f t="shared" ref="AQ451" si="418">AP451*AQ452</f>
        <v>0</v>
      </c>
      <c r="AR451" s="194">
        <f t="shared" ref="AR451" si="419">AQ451*AR452</f>
        <v>0</v>
      </c>
      <c r="AS451" s="194">
        <f t="shared" ref="AS451" si="420">AR451*AS452</f>
        <v>0</v>
      </c>
      <c r="AT451" s="194">
        <f t="shared" ref="AT451" si="421">AS451*AT452</f>
        <v>0</v>
      </c>
    </row>
    <row r="452" spans="4:46">
      <c r="D452" s="178" t="s">
        <v>2424</v>
      </c>
      <c r="E452" s="175"/>
      <c r="F452" s="175"/>
      <c r="G452" s="175"/>
      <c r="H452" s="175"/>
      <c r="I452" s="175"/>
      <c r="J452" s="175"/>
      <c r="K452" s="175"/>
      <c r="L452" s="175"/>
      <c r="M452" s="175"/>
      <c r="N452" s="175"/>
      <c r="O452" s="175"/>
      <c r="P452" s="175"/>
      <c r="Q452" s="175"/>
      <c r="R452" s="175"/>
      <c r="S452" s="175"/>
      <c r="T452" s="175"/>
      <c r="U452" s="175"/>
      <c r="V452" s="254" t="e">
        <f t="shared" ref="V452:AE452" si="422">+V451/U451</f>
        <v>#DIV/0!</v>
      </c>
      <c r="W452" s="254" t="e">
        <f t="shared" si="422"/>
        <v>#DIV/0!</v>
      </c>
      <c r="X452" s="254" t="e">
        <f t="shared" si="422"/>
        <v>#DIV/0!</v>
      </c>
      <c r="Y452" s="254" t="e">
        <f t="shared" si="422"/>
        <v>#DIV/0!</v>
      </c>
      <c r="Z452" s="254" t="e">
        <f t="shared" si="422"/>
        <v>#DIV/0!</v>
      </c>
      <c r="AA452" s="254" t="e">
        <f t="shared" si="422"/>
        <v>#DIV/0!</v>
      </c>
      <c r="AB452" s="254" t="e">
        <f t="shared" si="422"/>
        <v>#DIV/0!</v>
      </c>
      <c r="AC452" s="254" t="e">
        <f t="shared" si="422"/>
        <v>#DIV/0!</v>
      </c>
      <c r="AD452" s="254" t="e">
        <f t="shared" si="422"/>
        <v>#DIV/0!</v>
      </c>
      <c r="AE452" s="254" t="e">
        <f t="shared" si="422"/>
        <v>#DIV/0!</v>
      </c>
      <c r="AF452" s="1601">
        <v>1</v>
      </c>
      <c r="AG452" s="1601">
        <v>1</v>
      </c>
      <c r="AH452" s="1601">
        <v>1</v>
      </c>
      <c r="AI452" s="1601">
        <v>1</v>
      </c>
      <c r="AJ452" s="1601">
        <v>1</v>
      </c>
      <c r="AK452" s="1601">
        <v>1</v>
      </c>
      <c r="AL452" s="1601">
        <v>1</v>
      </c>
      <c r="AM452" s="1601">
        <v>1</v>
      </c>
      <c r="AN452" s="1601">
        <v>1</v>
      </c>
      <c r="AO452" s="1601">
        <v>1</v>
      </c>
      <c r="AP452" s="1601">
        <v>1</v>
      </c>
      <c r="AQ452" s="1601">
        <v>1</v>
      </c>
      <c r="AR452" s="1601">
        <v>1</v>
      </c>
      <c r="AS452" s="1601">
        <v>1</v>
      </c>
      <c r="AT452" s="1601">
        <v>1</v>
      </c>
    </row>
    <row r="453" spans="4:46">
      <c r="D453" s="178"/>
      <c r="E453" s="175"/>
      <c r="F453" s="175"/>
      <c r="G453" s="175"/>
      <c r="H453" s="175"/>
      <c r="I453" s="175"/>
      <c r="J453" s="175"/>
      <c r="K453" s="175"/>
      <c r="L453" s="175"/>
      <c r="M453" s="175"/>
      <c r="N453" s="175"/>
      <c r="O453" s="175"/>
      <c r="P453" s="175"/>
      <c r="Q453" s="175"/>
      <c r="R453" s="175"/>
      <c r="S453" s="175"/>
      <c r="T453" s="175"/>
      <c r="U453" s="175"/>
      <c r="V453" s="194"/>
      <c r="W453" s="194"/>
      <c r="X453" s="194"/>
      <c r="Y453" s="194"/>
      <c r="Z453" s="194"/>
      <c r="AA453" s="194"/>
      <c r="AB453" s="194"/>
      <c r="AC453" s="194"/>
      <c r="AD453" s="194"/>
      <c r="AE453" s="194"/>
      <c r="AF453" s="194"/>
      <c r="AG453" s="194"/>
      <c r="AH453" s="194"/>
      <c r="AI453" s="194"/>
      <c r="AJ453" s="194"/>
      <c r="AK453" s="194"/>
      <c r="AL453" s="194"/>
      <c r="AM453" s="194"/>
      <c r="AN453" s="194"/>
      <c r="AO453" s="194"/>
      <c r="AP453" s="194"/>
      <c r="AQ453" s="194"/>
      <c r="AR453" s="194"/>
      <c r="AS453" s="194"/>
      <c r="AT453" s="194"/>
    </row>
    <row r="454" spans="4:46">
      <c r="D454" s="190" t="s">
        <v>2408</v>
      </c>
      <c r="E454" s="175"/>
      <c r="F454" s="175"/>
      <c r="G454" s="175"/>
      <c r="H454" s="175"/>
      <c r="I454" s="175"/>
      <c r="J454" s="175"/>
      <c r="K454" s="175"/>
      <c r="L454" s="175"/>
      <c r="M454" s="175"/>
      <c r="N454" s="175"/>
      <c r="O454" s="175"/>
      <c r="P454" s="175"/>
      <c r="Q454" s="175"/>
      <c r="R454" s="175"/>
      <c r="S454" s="175"/>
      <c r="T454" s="175"/>
      <c r="U454" s="175"/>
      <c r="V454" s="194">
        <f t="shared" ref="V454:AT454" si="423">V1002/V402</f>
        <v>0</v>
      </c>
      <c r="W454" s="194">
        <f t="shared" si="423"/>
        <v>0</v>
      </c>
      <c r="X454" s="194">
        <f t="shared" si="423"/>
        <v>0</v>
      </c>
      <c r="Y454" s="194">
        <f t="shared" si="423"/>
        <v>1.959996795952782E-4</v>
      </c>
      <c r="Z454" s="194">
        <f t="shared" si="423"/>
        <v>1.2635446598114824E-4</v>
      </c>
      <c r="AA454" s="194">
        <f t="shared" si="423"/>
        <v>1.2126949102676426E-4</v>
      </c>
      <c r="AB454" s="194">
        <f t="shared" si="423"/>
        <v>8.4294410715161523E-5</v>
      </c>
      <c r="AC454" s="194">
        <f t="shared" si="423"/>
        <v>6.1941552719022688E-6</v>
      </c>
      <c r="AD454" s="194">
        <f t="shared" si="423"/>
        <v>4.1333470979582472E-7</v>
      </c>
      <c r="AE454" s="194">
        <f t="shared" si="423"/>
        <v>8.3011801939058164E-5</v>
      </c>
      <c r="AF454" s="194">
        <f t="shared" si="423"/>
        <v>8.1343095638032809E-5</v>
      </c>
      <c r="AG454" s="194">
        <f t="shared" si="423"/>
        <v>7.8010236913103061E-5</v>
      </c>
      <c r="AH454" s="194">
        <f t="shared" si="423"/>
        <v>0</v>
      </c>
      <c r="AI454" s="194">
        <f t="shared" si="423"/>
        <v>3.4224582546083849E-4</v>
      </c>
      <c r="AJ454" s="194">
        <f t="shared" si="423"/>
        <v>3.6331681885954422E-4</v>
      </c>
      <c r="AK454" s="194">
        <f t="shared" si="423"/>
        <v>4.3125162021773026E-4</v>
      </c>
      <c r="AL454" s="194">
        <f t="shared" si="423"/>
        <v>4.440971780093036E-4</v>
      </c>
      <c r="AM454" s="194">
        <f t="shared" si="423"/>
        <v>4.7128347725359165E-4</v>
      </c>
      <c r="AN454" s="194">
        <f t="shared" si="423"/>
        <v>3.9437665442600719E-4</v>
      </c>
      <c r="AO454" s="194">
        <f t="shared" si="423"/>
        <v>3.7879889862958048E-4</v>
      </c>
      <c r="AP454" s="194">
        <f t="shared" si="423"/>
        <v>3.6332950253303663E-4</v>
      </c>
      <c r="AQ454" s="194">
        <f t="shared" si="423"/>
        <v>3.4031512033014043E-4</v>
      </c>
      <c r="AR454" s="194">
        <f t="shared" si="423"/>
        <v>3.6689508816333596E-4</v>
      </c>
      <c r="AS454" s="194">
        <f t="shared" si="423"/>
        <v>-1.2467023112232975E-3</v>
      </c>
      <c r="AT454" s="194">
        <f t="shared" si="423"/>
        <v>-3.3244393531247389E-3</v>
      </c>
    </row>
    <row r="455" spans="4:46">
      <c r="D455" s="175" t="s">
        <v>2413</v>
      </c>
      <c r="E455" s="175"/>
      <c r="F455" s="175"/>
      <c r="G455" s="175"/>
      <c r="H455" s="175"/>
      <c r="I455" s="175"/>
      <c r="J455" s="175"/>
      <c r="K455" s="175"/>
      <c r="L455" s="175"/>
      <c r="M455" s="175"/>
      <c r="N455" s="175"/>
      <c r="O455" s="175"/>
      <c r="P455" s="175"/>
      <c r="Q455" s="175"/>
      <c r="R455" s="175"/>
      <c r="S455" s="175"/>
      <c r="T455" s="175"/>
      <c r="U455" s="175"/>
      <c r="V455" s="194">
        <f t="shared" ref="V455:AE455" si="424">V1002/V404</f>
        <v>0</v>
      </c>
      <c r="W455" s="194">
        <f t="shared" si="424"/>
        <v>0</v>
      </c>
      <c r="X455" s="194">
        <f t="shared" si="424"/>
        <v>0</v>
      </c>
      <c r="Y455" s="194">
        <f t="shared" si="424"/>
        <v>3.7562168776823286E-4</v>
      </c>
      <c r="Z455" s="194">
        <f t="shared" si="424"/>
        <v>2.4000604775329822E-4</v>
      </c>
      <c r="AA455" s="194">
        <f t="shared" si="424"/>
        <v>2.4113635502022928E-4</v>
      </c>
      <c r="AB455" s="194">
        <f t="shared" si="424"/>
        <v>1.763700564426683E-4</v>
      </c>
      <c r="AC455" s="194">
        <f t="shared" si="424"/>
        <v>1.3384888217913395E-5</v>
      </c>
      <c r="AD455" s="194">
        <f t="shared" si="424"/>
        <v>8.727720881263301E-7</v>
      </c>
      <c r="AE455" s="194">
        <f t="shared" si="424"/>
        <v>1.7592013237451303E-4</v>
      </c>
      <c r="AF455" s="194">
        <f t="shared" ref="AF455:AL455" si="425">AE455*AF456</f>
        <v>1.7592013237451303E-4</v>
      </c>
      <c r="AG455" s="194">
        <f t="shared" si="425"/>
        <v>1.8119773634574842E-4</v>
      </c>
      <c r="AH455" s="194">
        <f t="shared" si="425"/>
        <v>1.8119773634574842E-4</v>
      </c>
      <c r="AI455" s="194">
        <f t="shared" si="425"/>
        <v>9.5810445185892982E-4</v>
      </c>
      <c r="AJ455" s="194">
        <f>AI455*AJ456</f>
        <v>9.1580594861397763E-4</v>
      </c>
      <c r="AK455" s="194">
        <f t="shared" si="425"/>
        <v>1.1361730884221835E-3</v>
      </c>
      <c r="AL455" s="194">
        <f t="shared" si="425"/>
        <v>1.1579640675692723E-3</v>
      </c>
      <c r="AM455" s="194">
        <f>AL455*AM456</f>
        <v>1.1972475836819743E-3</v>
      </c>
      <c r="AN455" s="194">
        <f t="shared" ref="AN455" si="426">AM455*AN456</f>
        <v>1.0002631304155858E-3</v>
      </c>
      <c r="AO455" s="194">
        <f t="shared" ref="AO455" si="427">AN455*AO456</f>
        <v>9.3482626542730875E-4</v>
      </c>
      <c r="AP455" s="194">
        <f t="shared" ref="AP455" si="428">AO455*AP456</f>
        <v>9.1758676232725988E-4</v>
      </c>
      <c r="AQ455" s="194">
        <f t="shared" ref="AQ455" si="429">AP455*AQ456</f>
        <v>9.0066517976295966E-4</v>
      </c>
      <c r="AR455" s="194">
        <f t="shared" ref="AR455" si="430">AQ455*AR456</f>
        <v>8.8405565483531739E-4</v>
      </c>
      <c r="AS455" s="194">
        <f t="shared" ref="AS455" si="431">AR455*AS456</f>
        <v>8.6775243276529708E-4</v>
      </c>
      <c r="AT455" s="194">
        <f t="shared" ref="AT455" si="432">AS455*AT456</f>
        <v>8.5174986490003251E-4</v>
      </c>
    </row>
    <row r="456" spans="4:46">
      <c r="D456" s="178" t="s">
        <v>2425</v>
      </c>
      <c r="E456" s="175"/>
      <c r="F456" s="175"/>
      <c r="G456" s="175"/>
      <c r="H456" s="175"/>
      <c r="I456" s="175"/>
      <c r="J456" s="175"/>
      <c r="K456" s="175"/>
      <c r="L456" s="175"/>
      <c r="M456" s="175"/>
      <c r="N456" s="175"/>
      <c r="O456" s="175"/>
      <c r="P456" s="175"/>
      <c r="Q456" s="175"/>
      <c r="R456" s="175"/>
      <c r="S456" s="175"/>
      <c r="T456" s="175"/>
      <c r="U456" s="175"/>
      <c r="V456" s="254" t="e">
        <f t="shared" ref="V456:AE456" si="433">+V455/U455</f>
        <v>#DIV/0!</v>
      </c>
      <c r="W456" s="254" t="e">
        <f t="shared" si="433"/>
        <v>#DIV/0!</v>
      </c>
      <c r="X456" s="254" t="e">
        <f t="shared" si="433"/>
        <v>#DIV/0!</v>
      </c>
      <c r="Y456" s="254" t="e">
        <f t="shared" si="433"/>
        <v>#DIV/0!</v>
      </c>
      <c r="Z456" s="254">
        <f t="shared" si="433"/>
        <v>0.63895684293231603</v>
      </c>
      <c r="AA456" s="254">
        <f t="shared" si="433"/>
        <v>1.0047094949377813</v>
      </c>
      <c r="AB456" s="254">
        <f t="shared" si="433"/>
        <v>0.73141213579293074</v>
      </c>
      <c r="AC456" s="254">
        <f t="shared" si="433"/>
        <v>7.5890933460489945E-2</v>
      </c>
      <c r="AD456" s="254">
        <f t="shared" si="433"/>
        <v>6.5205780871466168E-2</v>
      </c>
      <c r="AE456" s="254">
        <f t="shared" si="433"/>
        <v>201.56480112944368</v>
      </c>
      <c r="AF456" s="1601">
        <v>1</v>
      </c>
      <c r="AG456" s="1601">
        <v>1.03</v>
      </c>
      <c r="AH456" s="1601">
        <v>1</v>
      </c>
      <c r="AI456" s="1601">
        <v>5.287618218534166</v>
      </c>
      <c r="AJ456" s="1601">
        <v>0.95585188737732729</v>
      </c>
      <c r="AK456" s="1601">
        <v>1.2406264560103804</v>
      </c>
      <c r="AL456" s="1601">
        <v>1.0191792776726918</v>
      </c>
      <c r="AM456" s="1601">
        <v>1.0339246417163561</v>
      </c>
      <c r="AN456" s="1601">
        <v>0.83546890722419398</v>
      </c>
      <c r="AO456" s="1601">
        <v>0.93458034891170128</v>
      </c>
      <c r="AP456" s="1601">
        <v>0.98155860213002388</v>
      </c>
      <c r="AQ456" s="1601">
        <v>0.98155860213002388</v>
      </c>
      <c r="AR456" s="1601">
        <v>0.98155860213002388</v>
      </c>
      <c r="AS456" s="1601">
        <v>0.98155860213002388</v>
      </c>
      <c r="AT456" s="1601">
        <v>0.98155860213002388</v>
      </c>
    </row>
    <row r="457" spans="4:46">
      <c r="D457" s="178"/>
      <c r="E457" s="175"/>
      <c r="F457" s="175"/>
      <c r="G457" s="175"/>
      <c r="H457" s="175"/>
      <c r="I457" s="175"/>
      <c r="J457" s="175"/>
      <c r="K457" s="175"/>
      <c r="L457" s="175"/>
      <c r="M457" s="175"/>
      <c r="N457" s="175"/>
      <c r="O457" s="175"/>
      <c r="P457" s="175"/>
      <c r="Q457" s="175"/>
      <c r="R457" s="175"/>
      <c r="S457" s="175"/>
      <c r="T457" s="175"/>
      <c r="U457" s="175"/>
      <c r="V457" s="194"/>
      <c r="W457" s="194"/>
      <c r="X457" s="194"/>
      <c r="Y457" s="194"/>
      <c r="Z457" s="194"/>
      <c r="AA457" s="194"/>
      <c r="AB457" s="194"/>
      <c r="AC457" s="194"/>
      <c r="AD457" s="194"/>
      <c r="AE457" s="194"/>
      <c r="AF457" s="194"/>
      <c r="AG457" s="194"/>
      <c r="AH457" s="194"/>
      <c r="AI457" s="194"/>
      <c r="AJ457" s="194"/>
      <c r="AK457" s="194"/>
      <c r="AL457" s="194"/>
      <c r="AM457" s="194"/>
      <c r="AN457" s="194"/>
      <c r="AO457" s="194"/>
      <c r="AP457" s="194"/>
      <c r="AQ457" s="194"/>
      <c r="AR457" s="194"/>
      <c r="AS457" s="194"/>
      <c r="AT457" s="194"/>
    </row>
    <row r="458" spans="4:46">
      <c r="D458" s="190" t="s">
        <v>2414</v>
      </c>
      <c r="E458" s="175"/>
      <c r="F458" s="175"/>
      <c r="G458" s="175"/>
      <c r="H458" s="175"/>
      <c r="I458" s="175"/>
      <c r="J458" s="175"/>
      <c r="K458" s="175"/>
      <c r="L458" s="175"/>
      <c r="M458" s="175"/>
      <c r="N458" s="175"/>
      <c r="O458" s="175"/>
      <c r="P458" s="175"/>
      <c r="Q458" s="175"/>
      <c r="R458" s="175"/>
      <c r="S458" s="175"/>
      <c r="T458" s="175"/>
      <c r="U458" s="175"/>
      <c r="V458" s="194">
        <f t="shared" ref="V458:AT458" si="434">V1004/V402</f>
        <v>0</v>
      </c>
      <c r="W458" s="194">
        <f t="shared" si="434"/>
        <v>0</v>
      </c>
      <c r="X458" s="194">
        <f t="shared" si="434"/>
        <v>0</v>
      </c>
      <c r="Y458" s="194">
        <f t="shared" si="434"/>
        <v>4.8178779164362008E-2</v>
      </c>
      <c r="Z458" s="194">
        <f t="shared" si="434"/>
        <v>7.2418201220702652E-2</v>
      </c>
      <c r="AA458" s="194">
        <f t="shared" si="434"/>
        <v>4.778666628110214E-2</v>
      </c>
      <c r="AB458" s="194">
        <f t="shared" si="434"/>
        <v>5.0933218050759302E-2</v>
      </c>
      <c r="AC458" s="194">
        <f t="shared" si="434"/>
        <v>5.3300361301623411E-2</v>
      </c>
      <c r="AD458" s="194">
        <f t="shared" si="434"/>
        <v>5.260262639259889E-2</v>
      </c>
      <c r="AE458" s="194">
        <f t="shared" si="434"/>
        <v>5.1567358297327844E-2</v>
      </c>
      <c r="AF458" s="194">
        <f t="shared" si="434"/>
        <v>5.1117898868663192E-2</v>
      </c>
      <c r="AG458" s="194">
        <f t="shared" si="434"/>
        <v>4.9459721948474727E-2</v>
      </c>
      <c r="AH458" s="194">
        <f t="shared" si="434"/>
        <v>4.512103112467384E-2</v>
      </c>
      <c r="AI458" s="194">
        <f t="shared" si="434"/>
        <v>4.4678879888735486E-2</v>
      </c>
      <c r="AJ458" s="194">
        <f t="shared" si="434"/>
        <v>5.0047326331200855E-2</v>
      </c>
      <c r="AK458" s="194">
        <f t="shared" si="434"/>
        <v>5.4641104778650106E-2</v>
      </c>
      <c r="AL458" s="194">
        <f t="shared" si="434"/>
        <v>5.9895925363684502E-2</v>
      </c>
      <c r="AM458" s="194">
        <f t="shared" si="434"/>
        <v>6.1242440514582462E-2</v>
      </c>
      <c r="AN458" s="194">
        <f t="shared" si="434"/>
        <v>6.3412629584197855E-2</v>
      </c>
      <c r="AO458" s="194">
        <f t="shared" si="434"/>
        <v>6.3625779467910357E-2</v>
      </c>
      <c r="AP458" s="194">
        <f t="shared" si="434"/>
        <v>6.3691806833910625E-2</v>
      </c>
      <c r="AQ458" s="194">
        <f t="shared" si="434"/>
        <v>6.3652730723352119E-2</v>
      </c>
      <c r="AR458" s="194">
        <f t="shared" si="434"/>
        <v>6.2248692091591694E-2</v>
      </c>
      <c r="AS458" s="194">
        <f t="shared" si="434"/>
        <v>-0.99215766386058868</v>
      </c>
      <c r="AT458" s="194">
        <f t="shared" si="434"/>
        <v>-1.9267719306575775</v>
      </c>
    </row>
    <row r="459" spans="4:46">
      <c r="D459" s="175" t="s">
        <v>2416</v>
      </c>
      <c r="E459" s="175"/>
      <c r="F459" s="175"/>
      <c r="G459" s="175"/>
      <c r="H459" s="175"/>
      <c r="I459" s="175"/>
      <c r="J459" s="175"/>
      <c r="K459" s="175"/>
      <c r="L459" s="175"/>
      <c r="M459" s="175"/>
      <c r="N459" s="175"/>
      <c r="O459" s="175"/>
      <c r="P459" s="175"/>
      <c r="Q459" s="175"/>
      <c r="R459" s="175"/>
      <c r="S459" s="175"/>
      <c r="T459" s="175"/>
      <c r="U459" s="175"/>
      <c r="V459" s="194">
        <f t="shared" ref="V459:AG459" si="435">V1004/V404</f>
        <v>0</v>
      </c>
      <c r="W459" s="194">
        <f t="shared" si="435"/>
        <v>0</v>
      </c>
      <c r="X459" s="194">
        <f t="shared" si="435"/>
        <v>0</v>
      </c>
      <c r="Y459" s="194">
        <f t="shared" si="435"/>
        <v>9.2331754733983765E-2</v>
      </c>
      <c r="Z459" s="194">
        <f t="shared" si="435"/>
        <v>0.13755593144588249</v>
      </c>
      <c r="AA459" s="194">
        <f t="shared" si="435"/>
        <v>9.5020622483274947E-2</v>
      </c>
      <c r="AB459" s="194">
        <f t="shared" si="435"/>
        <v>0.10656809231129027</v>
      </c>
      <c r="AC459" s="194">
        <f t="shared" si="435"/>
        <v>0.11517621801197278</v>
      </c>
      <c r="AD459" s="194">
        <f t="shared" si="435"/>
        <v>0.11107246255770775</v>
      </c>
      <c r="AE459" s="194">
        <f t="shared" si="435"/>
        <v>0.10928249099483146</v>
      </c>
      <c r="AF459" s="194">
        <f t="shared" si="435"/>
        <v>0.10825070995974459</v>
      </c>
      <c r="AG459" s="194">
        <f t="shared" si="435"/>
        <v>0.1029046507150523</v>
      </c>
      <c r="AH459" s="194">
        <f t="shared" ref="AH459:AM459" si="436">AG459*AH460</f>
        <v>0.1029046507150523</v>
      </c>
      <c r="AI459" s="194">
        <f t="shared" si="436"/>
        <v>0.1029046507150523</v>
      </c>
      <c r="AJ459" s="194">
        <f t="shared" si="436"/>
        <v>0.1029046507150523</v>
      </c>
      <c r="AK459" s="194">
        <f t="shared" si="436"/>
        <v>0.1029046507150523</v>
      </c>
      <c r="AL459" s="194">
        <f t="shared" si="436"/>
        <v>0.1029046507150523</v>
      </c>
      <c r="AM459" s="194">
        <f t="shared" si="436"/>
        <v>0.1029046507150523</v>
      </c>
      <c r="AN459" s="194">
        <f t="shared" ref="AN459" si="437">AM459*AN460</f>
        <v>0.1029046507150523</v>
      </c>
      <c r="AO459" s="194">
        <f t="shared" ref="AO459" si="438">AN459*AO460</f>
        <v>0.1029046507150523</v>
      </c>
      <c r="AP459" s="194">
        <f t="shared" ref="AP459" si="439">AO459*AP460</f>
        <v>0.1029046507150523</v>
      </c>
      <c r="AQ459" s="194">
        <f t="shared" ref="AQ459" si="440">AP459*AQ460</f>
        <v>0.1029046507150523</v>
      </c>
      <c r="AR459" s="194">
        <f t="shared" ref="AR459" si="441">AQ459*AR460</f>
        <v>0.1029046507150523</v>
      </c>
      <c r="AS459" s="194">
        <f t="shared" ref="AS459" si="442">AR459*AS460</f>
        <v>0.1029046507150523</v>
      </c>
      <c r="AT459" s="194">
        <f t="shared" ref="AT459" si="443">AS459*AT460</f>
        <v>0.1029046507150523</v>
      </c>
    </row>
    <row r="460" spans="4:46">
      <c r="D460" s="178" t="s">
        <v>2419</v>
      </c>
      <c r="E460" s="175"/>
      <c r="F460" s="175"/>
      <c r="G460" s="175"/>
      <c r="H460" s="175"/>
      <c r="I460" s="175"/>
      <c r="J460" s="175"/>
      <c r="K460" s="175"/>
      <c r="L460" s="175"/>
      <c r="M460" s="175"/>
      <c r="N460" s="175"/>
      <c r="O460" s="175"/>
      <c r="P460" s="175"/>
      <c r="Q460" s="175"/>
      <c r="R460" s="175"/>
      <c r="S460" s="175"/>
      <c r="T460" s="175"/>
      <c r="U460" s="175"/>
      <c r="V460" s="254" t="e">
        <f t="shared" ref="V460:AG460" si="444">+V459/U459</f>
        <v>#DIV/0!</v>
      </c>
      <c r="W460" s="254" t="e">
        <f t="shared" si="444"/>
        <v>#DIV/0!</v>
      </c>
      <c r="X460" s="254" t="e">
        <f t="shared" si="444"/>
        <v>#DIV/0!</v>
      </c>
      <c r="Y460" s="254" t="e">
        <f t="shared" si="444"/>
        <v>#DIV/0!</v>
      </c>
      <c r="Z460" s="254">
        <f t="shared" si="444"/>
        <v>1.4898009015662457</v>
      </c>
      <c r="AA460" s="254">
        <f t="shared" si="444"/>
        <v>0.69077808193722379</v>
      </c>
      <c r="AB460" s="254">
        <f t="shared" si="444"/>
        <v>1.1215259332788297</v>
      </c>
      <c r="AC460" s="254">
        <f t="shared" si="444"/>
        <v>1.0807758261782314</v>
      </c>
      <c r="AD460" s="254">
        <f t="shared" si="444"/>
        <v>0.96436976725665335</v>
      </c>
      <c r="AE460" s="254">
        <f t="shared" si="444"/>
        <v>0.98388465041957351</v>
      </c>
      <c r="AF460" s="254">
        <f t="shared" si="444"/>
        <v>0.99055858787904394</v>
      </c>
      <c r="AG460" s="254">
        <f t="shared" si="444"/>
        <v>0.95061409531004148</v>
      </c>
      <c r="AH460" s="1601">
        <v>1</v>
      </c>
      <c r="AI460" s="1601">
        <v>1</v>
      </c>
      <c r="AJ460" s="1601">
        <v>1</v>
      </c>
      <c r="AK460" s="1601">
        <v>1</v>
      </c>
      <c r="AL460" s="1601">
        <v>1</v>
      </c>
      <c r="AM460" s="1601">
        <v>1</v>
      </c>
      <c r="AN460" s="1601">
        <v>1</v>
      </c>
      <c r="AO460" s="1601">
        <v>1</v>
      </c>
      <c r="AP460" s="1601">
        <v>1</v>
      </c>
      <c r="AQ460" s="1601">
        <v>1</v>
      </c>
      <c r="AR460" s="1601">
        <v>1</v>
      </c>
      <c r="AS460" s="1601">
        <v>1</v>
      </c>
      <c r="AT460" s="1601">
        <v>1</v>
      </c>
    </row>
    <row r="461" spans="4:46">
      <c r="D461" s="178"/>
      <c r="E461" s="175"/>
      <c r="F461" s="175"/>
      <c r="G461" s="175"/>
      <c r="H461" s="175"/>
      <c r="I461" s="175"/>
      <c r="J461" s="175"/>
      <c r="K461" s="175"/>
      <c r="L461" s="175"/>
      <c r="M461" s="175"/>
      <c r="N461" s="175"/>
      <c r="O461" s="175"/>
      <c r="P461" s="175"/>
      <c r="Q461" s="175"/>
      <c r="R461" s="175"/>
      <c r="S461" s="175"/>
      <c r="T461" s="175"/>
      <c r="U461" s="175"/>
      <c r="V461" s="194"/>
      <c r="W461" s="194"/>
      <c r="X461" s="194"/>
      <c r="Y461" s="194"/>
      <c r="Z461" s="194"/>
      <c r="AA461" s="194"/>
      <c r="AB461" s="194"/>
      <c r="AC461" s="194"/>
      <c r="AD461" s="194"/>
      <c r="AE461" s="194"/>
      <c r="AF461" s="194"/>
      <c r="AG461" s="194"/>
      <c r="AH461" s="194"/>
      <c r="AI461" s="194"/>
      <c r="AJ461" s="194"/>
      <c r="AK461" s="194"/>
      <c r="AL461" s="194"/>
      <c r="AM461" s="194"/>
      <c r="AN461" s="194"/>
      <c r="AO461" s="194"/>
      <c r="AP461" s="194"/>
      <c r="AQ461" s="194"/>
      <c r="AR461" s="194"/>
      <c r="AS461" s="194"/>
      <c r="AT461" s="194"/>
    </row>
    <row r="462" spans="4:46">
      <c r="D462" s="190" t="s">
        <v>3179</v>
      </c>
      <c r="E462" s="175"/>
      <c r="F462" s="175"/>
      <c r="G462" s="175"/>
      <c r="H462" s="175"/>
      <c r="I462" s="175"/>
      <c r="J462" s="175"/>
      <c r="K462" s="175"/>
      <c r="L462" s="175"/>
      <c r="M462" s="175"/>
      <c r="N462" s="175"/>
      <c r="O462" s="175"/>
      <c r="P462" s="175"/>
      <c r="Q462" s="175"/>
      <c r="R462" s="175"/>
      <c r="S462" s="175"/>
      <c r="T462" s="175"/>
      <c r="U462" s="175"/>
      <c r="V462" s="1633">
        <f t="shared" ref="V462:AT462" si="445">V1005/V402</f>
        <v>0</v>
      </c>
      <c r="W462" s="1633">
        <f t="shared" si="445"/>
        <v>0</v>
      </c>
      <c r="X462" s="1633">
        <f t="shared" si="445"/>
        <v>0</v>
      </c>
      <c r="Y462" s="1633">
        <f t="shared" si="445"/>
        <v>4.8178550942327154E-2</v>
      </c>
      <c r="Z462" s="1633">
        <f t="shared" si="445"/>
        <v>4.815695698179949E-2</v>
      </c>
      <c r="AA462" s="1633">
        <f t="shared" si="445"/>
        <v>4.7786621679446188E-2</v>
      </c>
      <c r="AB462" s="1633">
        <f t="shared" si="445"/>
        <v>5.0933218050759302E-2</v>
      </c>
      <c r="AC462" s="1633">
        <f t="shared" si="445"/>
        <v>5.3300361301623411E-2</v>
      </c>
      <c r="AD462" s="1633">
        <f t="shared" si="445"/>
        <v>5.260262639259889E-2</v>
      </c>
      <c r="AE462" s="1633">
        <f t="shared" si="445"/>
        <v>5.1567358297327844E-2</v>
      </c>
      <c r="AF462" s="1633">
        <f t="shared" si="445"/>
        <v>5.1117898868663192E-2</v>
      </c>
      <c r="AG462" s="1633">
        <f t="shared" si="445"/>
        <v>4.9459721948474727E-2</v>
      </c>
      <c r="AH462" s="1633">
        <f t="shared" si="445"/>
        <v>4.5105607002169548E-2</v>
      </c>
      <c r="AI462" s="1633">
        <f t="shared" si="445"/>
        <v>4.4670147751643643E-2</v>
      </c>
      <c r="AJ462" s="1633">
        <f t="shared" si="445"/>
        <v>5.0047326331200855E-2</v>
      </c>
      <c r="AK462" s="1633">
        <f t="shared" si="445"/>
        <v>5.4641104778650106E-2</v>
      </c>
      <c r="AL462" s="1633">
        <f t="shared" si="445"/>
        <v>5.9895925363684502E-2</v>
      </c>
      <c r="AM462" s="1633">
        <f t="shared" si="445"/>
        <v>6.1242440514582462E-2</v>
      </c>
      <c r="AN462" s="1633">
        <f t="shared" si="445"/>
        <v>6.3412629584197855E-2</v>
      </c>
      <c r="AO462" s="1633">
        <f t="shared" si="445"/>
        <v>6.3625779467910357E-2</v>
      </c>
      <c r="AP462" s="1633">
        <f t="shared" si="445"/>
        <v>6.3691806833910625E-2</v>
      </c>
      <c r="AQ462" s="1633">
        <f t="shared" si="445"/>
        <v>6.3652730723352119E-2</v>
      </c>
      <c r="AR462" s="1633">
        <f t="shared" si="445"/>
        <v>6.2248692091591694E-2</v>
      </c>
      <c r="AS462" s="1633">
        <f t="shared" si="445"/>
        <v>-0.99215766386058868</v>
      </c>
      <c r="AT462" s="1633">
        <f t="shared" si="445"/>
        <v>-1.9267719306575775</v>
      </c>
    </row>
    <row r="463" spans="4:46">
      <c r="D463" s="175" t="s">
        <v>2439</v>
      </c>
      <c r="E463" s="175"/>
      <c r="F463" s="175"/>
      <c r="G463" s="175"/>
      <c r="H463" s="175"/>
      <c r="I463" s="175"/>
      <c r="J463" s="175"/>
      <c r="K463" s="175"/>
      <c r="L463" s="175"/>
      <c r="M463" s="175"/>
      <c r="N463" s="175"/>
      <c r="O463" s="175"/>
      <c r="P463" s="175"/>
      <c r="Q463" s="175"/>
      <c r="R463" s="175"/>
      <c r="S463" s="175"/>
      <c r="T463" s="175"/>
      <c r="U463" s="175"/>
      <c r="V463" s="1633">
        <f t="shared" ref="V463:AH463" si="446">V1005/V406</f>
        <v>0</v>
      </c>
      <c r="W463" s="1633">
        <f t="shared" si="446"/>
        <v>0</v>
      </c>
      <c r="X463" s="1633">
        <f t="shared" si="446"/>
        <v>0</v>
      </c>
      <c r="Y463" s="1633">
        <f t="shared" si="446"/>
        <v>4.3983736978994194E-2</v>
      </c>
      <c r="Z463" s="1633">
        <f t="shared" si="446"/>
        <v>4.3350176487010179E-2</v>
      </c>
      <c r="AA463" s="1633">
        <f t="shared" si="446"/>
        <v>4.6017006886908282E-2</v>
      </c>
      <c r="AB463" s="1633">
        <f t="shared" si="446"/>
        <v>5.3936411457941452E-2</v>
      </c>
      <c r="AC463" s="1633">
        <f t="shared" si="446"/>
        <v>5.7448615764821243E-2</v>
      </c>
      <c r="AD463" s="1633">
        <f t="shared" si="446"/>
        <v>5.8977120952970946E-2</v>
      </c>
      <c r="AE463" s="1633">
        <f t="shared" si="446"/>
        <v>6.1399602558264106E-2</v>
      </c>
      <c r="AF463" s="1633">
        <f t="shared" si="446"/>
        <v>6.2004100911976376E-2</v>
      </c>
      <c r="AG463" s="1633">
        <f t="shared" si="446"/>
        <v>6.268729502985107E-2</v>
      </c>
      <c r="AH463" s="1633">
        <f t="shared" si="446"/>
        <v>6.7355665484579122E-2</v>
      </c>
      <c r="AI463" s="1633">
        <f t="shared" ref="AI463:AM463" si="447">AH463*AI464</f>
        <v>7.3065947900278941E-2</v>
      </c>
      <c r="AJ463" s="1633">
        <f t="shared" si="447"/>
        <v>8.652636923679137E-2</v>
      </c>
      <c r="AK463" s="1633">
        <f t="shared" si="447"/>
        <v>9.8335533576406439E-2</v>
      </c>
      <c r="AL463" s="1633">
        <f>AK463*AL464</f>
        <v>0.1132707922192714</v>
      </c>
      <c r="AM463" s="1633">
        <f t="shared" si="447"/>
        <v>0.12245457883496826</v>
      </c>
      <c r="AN463" s="1633">
        <f t="shared" ref="AN463" si="448">AM463*AN464</f>
        <v>0.13266037536832337</v>
      </c>
      <c r="AO463" s="1633">
        <f t="shared" ref="AO463" si="449">AN463*AO464</f>
        <v>0.13847109460817852</v>
      </c>
      <c r="AP463" s="1633">
        <f t="shared" ref="AP463" si="450">AO463*AP464</f>
        <v>0.1417669099910453</v>
      </c>
      <c r="AQ463" s="1633">
        <f t="shared" ref="AQ463" si="451">AP463*AQ464</f>
        <v>0.15364718521906795</v>
      </c>
      <c r="AR463" s="1633">
        <f t="shared" ref="AR463" si="452">AQ463*AR464</f>
        <v>0.15884068569526197</v>
      </c>
      <c r="AS463" s="1633">
        <f t="shared" ref="AS463" si="453">AR463*AS464</f>
        <v>0.80468513462840519</v>
      </c>
      <c r="AT463" s="1633">
        <f t="shared" ref="AT463" si="454">AS463*AT464</f>
        <v>4.8812110137360225</v>
      </c>
    </row>
    <row r="464" spans="4:46">
      <c r="D464" s="178" t="s">
        <v>2441</v>
      </c>
      <c r="E464" s="175"/>
      <c r="F464" s="175"/>
      <c r="G464" s="175"/>
      <c r="H464" s="175"/>
      <c r="I464" s="175"/>
      <c r="J464" s="175"/>
      <c r="K464" s="175"/>
      <c r="L464" s="175"/>
      <c r="M464" s="175"/>
      <c r="N464" s="175"/>
      <c r="O464" s="175"/>
      <c r="P464" s="175"/>
      <c r="Q464" s="175"/>
      <c r="R464" s="175"/>
      <c r="S464" s="175"/>
      <c r="T464" s="175"/>
      <c r="U464" s="175"/>
      <c r="V464" s="254" t="e">
        <f t="shared" ref="V464:AH464" si="455">+V463/U463</f>
        <v>#DIV/0!</v>
      </c>
      <c r="W464" s="254" t="e">
        <f t="shared" si="455"/>
        <v>#DIV/0!</v>
      </c>
      <c r="X464" s="254" t="e">
        <f t="shared" si="455"/>
        <v>#DIV/0!</v>
      </c>
      <c r="Y464" s="254" t="e">
        <f t="shared" si="455"/>
        <v>#DIV/0!</v>
      </c>
      <c r="Z464" s="254">
        <f t="shared" si="455"/>
        <v>0.9855955738302411</v>
      </c>
      <c r="AA464" s="254">
        <f t="shared" si="455"/>
        <v>1.0615183285516083</v>
      </c>
      <c r="AB464" s="254">
        <f t="shared" si="455"/>
        <v>1.172097341978281</v>
      </c>
      <c r="AC464" s="254">
        <f t="shared" si="455"/>
        <v>1.0651175006260574</v>
      </c>
      <c r="AD464" s="254">
        <f t="shared" si="455"/>
        <v>1.026606475505119</v>
      </c>
      <c r="AE464" s="254">
        <f t="shared" si="455"/>
        <v>1.0410749383176041</v>
      </c>
      <c r="AF464" s="254">
        <f t="shared" si="455"/>
        <v>1.0098453137891021</v>
      </c>
      <c r="AG464" s="254">
        <f t="shared" si="455"/>
        <v>1.0110185311588435</v>
      </c>
      <c r="AH464" s="254">
        <f t="shared" si="455"/>
        <v>1.074470759226491</v>
      </c>
      <c r="AI464" s="254">
        <v>1.0847780565245424</v>
      </c>
      <c r="AJ464" s="1601">
        <v>1.1842229071589316</v>
      </c>
      <c r="AK464" s="1601">
        <v>1.1364805254603676</v>
      </c>
      <c r="AL464" s="1601">
        <v>1.151880587816817</v>
      </c>
      <c r="AM464" s="1601">
        <v>1.0810781529444831</v>
      </c>
      <c r="AN464" s="1601">
        <v>1.0833435272935725</v>
      </c>
      <c r="AO464" s="1601">
        <v>1.0438014684017141</v>
      </c>
      <c r="AP464" s="1601">
        <v>1.02380146840171</v>
      </c>
      <c r="AQ464" s="1601">
        <v>1.0838014684017101</v>
      </c>
      <c r="AR464" s="1601">
        <v>1.0338014684017101</v>
      </c>
      <c r="AS464" s="1601">
        <v>5.0659887994452797</v>
      </c>
      <c r="AT464" s="1601">
        <v>6.0659887994452797</v>
      </c>
    </row>
    <row r="465" spans="4:46">
      <c r="D465" s="178" t="s">
        <v>3181</v>
      </c>
      <c r="E465" s="198" t="s">
        <v>3180</v>
      </c>
      <c r="F465" s="175"/>
      <c r="G465" s="175"/>
      <c r="H465" s="175"/>
      <c r="I465" s="175"/>
      <c r="J465" s="175"/>
      <c r="K465" s="175"/>
      <c r="L465" s="175"/>
      <c r="M465" s="175"/>
      <c r="N465" s="175"/>
      <c r="O465" s="175"/>
      <c r="P465" s="254">
        <v>25.958434333500005</v>
      </c>
      <c r="Q465" s="254">
        <v>27.541747262799998</v>
      </c>
      <c r="R465" s="254">
        <v>33.640732064700003</v>
      </c>
      <c r="S465" s="254">
        <v>41.80451915171016</v>
      </c>
      <c r="T465" s="254">
        <v>56.942232134760914</v>
      </c>
      <c r="U465" s="254">
        <v>51.707134696499999</v>
      </c>
      <c r="V465" s="254">
        <v>52.384905286200002</v>
      </c>
      <c r="W465" s="254">
        <v>68.826393269100009</v>
      </c>
      <c r="X465" s="254">
        <v>75.831203879100002</v>
      </c>
      <c r="Y465" s="254">
        <v>90.556791256799997</v>
      </c>
      <c r="Z465" s="254">
        <v>99.770691104999983</v>
      </c>
      <c r="AA465" s="254">
        <v>109.0940597974967</v>
      </c>
      <c r="AB465" s="254">
        <v>124.06875504760001</v>
      </c>
      <c r="AC465" s="254">
        <v>130.79726678519998</v>
      </c>
      <c r="AD465" s="254">
        <v>150.84872275807999</v>
      </c>
      <c r="AE465" s="254">
        <v>149.61858961419998</v>
      </c>
      <c r="AF465" s="254">
        <v>163.81196480119999</v>
      </c>
      <c r="AG465" s="254">
        <v>184.96896510985832</v>
      </c>
      <c r="AH465" s="622">
        <v>220.75580991684987</v>
      </c>
      <c r="AI465" s="622">
        <v>250.106498034688</v>
      </c>
      <c r="AJ465" s="622">
        <v>284.01479453761317</v>
      </c>
      <c r="AK465" s="622">
        <v>332.60088186264056</v>
      </c>
      <c r="AL465" s="622">
        <v>377.60088186264056</v>
      </c>
      <c r="AM465" s="622">
        <v>0</v>
      </c>
      <c r="AN465" s="622">
        <v>0</v>
      </c>
      <c r="AO465" s="622">
        <v>0</v>
      </c>
      <c r="AP465" s="622">
        <v>1</v>
      </c>
      <c r="AQ465" s="622">
        <v>2</v>
      </c>
      <c r="AR465" s="622">
        <v>3</v>
      </c>
      <c r="AS465" s="622">
        <v>4</v>
      </c>
      <c r="AT465" s="622">
        <v>5</v>
      </c>
    </row>
    <row r="466" spans="4:46">
      <c r="D466" s="178" t="s">
        <v>843</v>
      </c>
      <c r="E466" s="175"/>
      <c r="F466" s="175"/>
      <c r="G466" s="175"/>
      <c r="H466" s="175"/>
      <c r="I466" s="175"/>
      <c r="J466" s="175"/>
      <c r="K466" s="175"/>
      <c r="L466" s="175"/>
      <c r="M466" s="175"/>
      <c r="N466" s="175"/>
      <c r="O466" s="175"/>
      <c r="P466" s="175">
        <v>7.6334944059999996</v>
      </c>
      <c r="Q466" s="175">
        <v>8.8330258990000008</v>
      </c>
      <c r="R466" s="175">
        <v>8.7751200350000005</v>
      </c>
      <c r="S466" s="175">
        <v>5.3642594690000003</v>
      </c>
      <c r="T466" s="175">
        <v>15.577398727799999</v>
      </c>
      <c r="U466" s="175">
        <v>24.572148364299998</v>
      </c>
      <c r="V466" s="254">
        <v>49.961983223600001</v>
      </c>
      <c r="W466" s="254">
        <v>43.035833838799988</v>
      </c>
      <c r="X466" s="254">
        <v>40.547804104199997</v>
      </c>
      <c r="Y466" s="254">
        <v>43.976230896800004</v>
      </c>
      <c r="Z466" s="254">
        <v>47.3288579349</v>
      </c>
      <c r="AA466" s="254">
        <v>50.127208389000003</v>
      </c>
      <c r="AB466" s="254">
        <v>49.161149705</v>
      </c>
      <c r="AC466" s="254">
        <v>52.827136257400326</v>
      </c>
      <c r="AD466" s="254">
        <v>57.800472857066289</v>
      </c>
      <c r="AE466" s="254">
        <v>54.344695545999997</v>
      </c>
      <c r="AF466" s="254">
        <v>58.580782839555837</v>
      </c>
      <c r="AG466" s="254">
        <v>67.249351283942914</v>
      </c>
      <c r="AH466" s="622">
        <v>81.702529438082891</v>
      </c>
      <c r="AI466" s="622">
        <v>83.207012060862795</v>
      </c>
      <c r="AJ466" s="622">
        <v>86.027738296946566</v>
      </c>
      <c r="AK466" s="622">
        <v>88.562752641968373</v>
      </c>
      <c r="AL466" s="622">
        <v>94.435611875135379</v>
      </c>
      <c r="AM466" s="622">
        <f>+AM562*(1-AM563)</f>
        <v>78.445163591011905</v>
      </c>
      <c r="AN466" s="622">
        <f t="shared" ref="AN466" si="456">+AN562*(1-AN563)</f>
        <v>81.260239243535437</v>
      </c>
      <c r="AO466" s="622">
        <f>+AO562*(1-AO563)</f>
        <v>84.485494344877608</v>
      </c>
      <c r="AP466" s="622">
        <f t="shared" ref="AP466:AT466" si="457">+AP562*(1-AP563)</f>
        <v>0</v>
      </c>
      <c r="AQ466" s="622">
        <f t="shared" si="457"/>
        <v>0</v>
      </c>
      <c r="AR466" s="622">
        <f t="shared" si="457"/>
        <v>0</v>
      </c>
      <c r="AS466" s="622">
        <f t="shared" si="457"/>
        <v>0</v>
      </c>
      <c r="AT466" s="622">
        <f t="shared" si="457"/>
        <v>0</v>
      </c>
    </row>
    <row r="467" spans="4:46">
      <c r="D467" s="190" t="s">
        <v>2415</v>
      </c>
      <c r="E467" s="175"/>
      <c r="F467" s="175"/>
      <c r="G467" s="175"/>
      <c r="H467" s="175"/>
      <c r="I467" s="175"/>
      <c r="J467" s="175"/>
      <c r="K467" s="175"/>
      <c r="L467" s="175"/>
      <c r="M467" s="175"/>
      <c r="N467" s="175"/>
      <c r="O467" s="175"/>
      <c r="P467" s="175"/>
      <c r="Q467" s="175"/>
      <c r="R467" s="175"/>
      <c r="S467" s="175"/>
      <c r="T467" s="175"/>
      <c r="U467" s="175"/>
      <c r="V467" s="1633">
        <f t="shared" ref="V467:AT467" si="458">V1006/V402</f>
        <v>0</v>
      </c>
      <c r="W467" s="1633">
        <f t="shared" si="458"/>
        <v>0</v>
      </c>
      <c r="X467" s="1633">
        <f t="shared" si="458"/>
        <v>0</v>
      </c>
      <c r="Y467" s="1633">
        <f t="shared" si="458"/>
        <v>2.282220348510399E-7</v>
      </c>
      <c r="Z467" s="1633">
        <f t="shared" si="458"/>
        <v>4.4611653813196232E-8</v>
      </c>
      <c r="AA467" s="1633">
        <f t="shared" si="458"/>
        <v>4.4601655952531566E-8</v>
      </c>
      <c r="AB467" s="1633">
        <f t="shared" si="458"/>
        <v>0</v>
      </c>
      <c r="AC467" s="1633">
        <f t="shared" si="458"/>
        <v>0</v>
      </c>
      <c r="AD467" s="1633">
        <f t="shared" si="458"/>
        <v>0</v>
      </c>
      <c r="AE467" s="1633">
        <f t="shared" si="458"/>
        <v>0</v>
      </c>
      <c r="AF467" s="1633">
        <f t="shared" si="458"/>
        <v>0</v>
      </c>
      <c r="AG467" s="1633">
        <f t="shared" si="458"/>
        <v>0</v>
      </c>
      <c r="AH467" s="1633">
        <f t="shared" si="458"/>
        <v>0</v>
      </c>
      <c r="AI467" s="1633">
        <f t="shared" si="458"/>
        <v>0</v>
      </c>
      <c r="AJ467" s="1633">
        <f t="shared" si="458"/>
        <v>0</v>
      </c>
      <c r="AK467" s="1633">
        <f t="shared" si="458"/>
        <v>0</v>
      </c>
      <c r="AL467" s="1633">
        <f t="shared" si="458"/>
        <v>0</v>
      </c>
      <c r="AM467" s="1633">
        <f t="shared" si="458"/>
        <v>0</v>
      </c>
      <c r="AN467" s="1633">
        <f t="shared" si="458"/>
        <v>0</v>
      </c>
      <c r="AO467" s="1633">
        <f t="shared" si="458"/>
        <v>0</v>
      </c>
      <c r="AP467" s="1633">
        <f t="shared" si="458"/>
        <v>0</v>
      </c>
      <c r="AQ467" s="1633">
        <f t="shared" si="458"/>
        <v>0</v>
      </c>
      <c r="AR467" s="1633">
        <f t="shared" si="458"/>
        <v>0</v>
      </c>
      <c r="AS467" s="1633">
        <f t="shared" si="458"/>
        <v>0</v>
      </c>
      <c r="AT467" s="1633">
        <f t="shared" si="458"/>
        <v>0</v>
      </c>
    </row>
    <row r="468" spans="4:46">
      <c r="D468" s="175" t="s">
        <v>2417</v>
      </c>
      <c r="E468" s="175"/>
      <c r="F468" s="175"/>
      <c r="G468" s="175"/>
      <c r="H468" s="175"/>
      <c r="I468" s="175"/>
      <c r="J468" s="175"/>
      <c r="K468" s="175"/>
      <c r="L468" s="175"/>
      <c r="M468" s="175"/>
      <c r="N468" s="175"/>
      <c r="O468" s="175"/>
      <c r="P468" s="175"/>
      <c r="Q468" s="175"/>
      <c r="R468" s="175"/>
      <c r="S468" s="175"/>
      <c r="T468" s="175"/>
      <c r="U468" s="175"/>
      <c r="V468" s="1633">
        <f t="shared" ref="V468:AG468" si="459">V1006/V404</f>
        <v>0</v>
      </c>
      <c r="W468" s="1633">
        <f t="shared" si="459"/>
        <v>0</v>
      </c>
      <c r="X468" s="1633">
        <f t="shared" si="459"/>
        <v>0</v>
      </c>
      <c r="Y468" s="1633">
        <f t="shared" si="459"/>
        <v>4.3737390843527307E-7</v>
      </c>
      <c r="Z468" s="1633">
        <f t="shared" si="459"/>
        <v>8.4738332217248652E-8</v>
      </c>
      <c r="AA468" s="1633">
        <f t="shared" si="459"/>
        <v>8.8687440288556345E-8</v>
      </c>
      <c r="AB468" s="1633">
        <f t="shared" si="459"/>
        <v>0</v>
      </c>
      <c r="AC468" s="1633">
        <f t="shared" si="459"/>
        <v>0</v>
      </c>
      <c r="AD468" s="1633">
        <f t="shared" si="459"/>
        <v>0</v>
      </c>
      <c r="AE468" s="1633">
        <f t="shared" si="459"/>
        <v>0</v>
      </c>
      <c r="AF468" s="1633">
        <f t="shared" si="459"/>
        <v>0</v>
      </c>
      <c r="AG468" s="1633">
        <f t="shared" si="459"/>
        <v>0</v>
      </c>
      <c r="AH468" s="1633">
        <f t="shared" ref="AH468:AM468" si="460">AG468*AH469</f>
        <v>0</v>
      </c>
      <c r="AI468" s="1633">
        <f t="shared" si="460"/>
        <v>0</v>
      </c>
      <c r="AJ468" s="1633">
        <f t="shared" si="460"/>
        <v>0</v>
      </c>
      <c r="AK468" s="1633">
        <f t="shared" si="460"/>
        <v>0</v>
      </c>
      <c r="AL468" s="1633">
        <f t="shared" si="460"/>
        <v>0</v>
      </c>
      <c r="AM468" s="1633">
        <f t="shared" si="460"/>
        <v>0</v>
      </c>
      <c r="AN468" s="1633">
        <f t="shared" ref="AN468" si="461">AM468*AN469</f>
        <v>0</v>
      </c>
      <c r="AO468" s="1633">
        <f t="shared" ref="AO468" si="462">AN468*AO469</f>
        <v>0</v>
      </c>
      <c r="AP468" s="1633">
        <f t="shared" ref="AP468" si="463">AO468*AP469</f>
        <v>0</v>
      </c>
      <c r="AQ468" s="1633">
        <f t="shared" ref="AQ468" si="464">AP468*AQ469</f>
        <v>0</v>
      </c>
      <c r="AR468" s="1633">
        <f t="shared" ref="AR468" si="465">AQ468*AR469</f>
        <v>0</v>
      </c>
      <c r="AS468" s="1633">
        <f t="shared" ref="AS468" si="466">AR468*AS469</f>
        <v>0</v>
      </c>
      <c r="AT468" s="1633">
        <f t="shared" ref="AT468" si="467">AS468*AT469</f>
        <v>0</v>
      </c>
    </row>
    <row r="469" spans="4:46">
      <c r="D469" s="178" t="s">
        <v>2426</v>
      </c>
      <c r="E469" s="175"/>
      <c r="F469" s="175"/>
      <c r="G469" s="175"/>
      <c r="H469" s="175"/>
      <c r="I469" s="175"/>
      <c r="J469" s="175"/>
      <c r="K469" s="175"/>
      <c r="L469" s="175"/>
      <c r="M469" s="175"/>
      <c r="N469" s="175"/>
      <c r="O469" s="175"/>
      <c r="P469" s="175"/>
      <c r="Q469" s="175"/>
      <c r="R469" s="175"/>
      <c r="S469" s="175"/>
      <c r="T469" s="175"/>
      <c r="U469" s="175"/>
      <c r="V469" s="254" t="e">
        <f t="shared" ref="V469:AG469" si="468">+V468/U468</f>
        <v>#DIV/0!</v>
      </c>
      <c r="W469" s="254" t="e">
        <f t="shared" si="468"/>
        <v>#DIV/0!</v>
      </c>
      <c r="X469" s="254" t="e">
        <f t="shared" si="468"/>
        <v>#DIV/0!</v>
      </c>
      <c r="Y469" s="254" t="e">
        <f t="shared" si="468"/>
        <v>#DIV/0!</v>
      </c>
      <c r="Z469" s="254">
        <f t="shared" si="468"/>
        <v>0.19374345516037811</v>
      </c>
      <c r="AA469" s="254">
        <f t="shared" si="468"/>
        <v>1.0466035614340761</v>
      </c>
      <c r="AB469" s="254">
        <f t="shared" si="468"/>
        <v>0</v>
      </c>
      <c r="AC469" s="254" t="e">
        <f t="shared" si="468"/>
        <v>#DIV/0!</v>
      </c>
      <c r="AD469" s="254" t="e">
        <f t="shared" si="468"/>
        <v>#DIV/0!</v>
      </c>
      <c r="AE469" s="254" t="e">
        <f t="shared" si="468"/>
        <v>#DIV/0!</v>
      </c>
      <c r="AF469" s="254" t="e">
        <f t="shared" si="468"/>
        <v>#DIV/0!</v>
      </c>
      <c r="AG469" s="254" t="e">
        <f t="shared" si="468"/>
        <v>#DIV/0!</v>
      </c>
      <c r="AH469" s="1601">
        <v>1</v>
      </c>
      <c r="AI469" s="1601">
        <v>1</v>
      </c>
      <c r="AJ469" s="1601">
        <v>1</v>
      </c>
      <c r="AK469" s="1601">
        <v>1</v>
      </c>
      <c r="AL469" s="1601">
        <v>1</v>
      </c>
      <c r="AM469" s="1601">
        <v>1</v>
      </c>
      <c r="AN469" s="1601">
        <v>1</v>
      </c>
      <c r="AO469" s="1601">
        <v>1</v>
      </c>
      <c r="AP469" s="1601">
        <v>1</v>
      </c>
      <c r="AQ469" s="1601">
        <v>1</v>
      </c>
      <c r="AR469" s="1601">
        <v>1</v>
      </c>
      <c r="AS469" s="1601">
        <v>1</v>
      </c>
      <c r="AT469" s="1601">
        <v>1</v>
      </c>
    </row>
    <row r="470" spans="4:46">
      <c r="D470" s="178"/>
      <c r="E470" s="175"/>
      <c r="F470" s="175"/>
      <c r="G470" s="175"/>
      <c r="H470" s="175"/>
      <c r="I470" s="175"/>
      <c r="J470" s="175"/>
      <c r="K470" s="175"/>
      <c r="L470" s="175"/>
      <c r="M470" s="175"/>
      <c r="N470" s="175"/>
      <c r="O470" s="175"/>
      <c r="P470" s="175"/>
      <c r="Q470" s="175"/>
      <c r="R470" s="175"/>
      <c r="S470" s="175"/>
      <c r="T470" s="175"/>
      <c r="U470" s="175"/>
      <c r="V470" s="194"/>
      <c r="W470" s="194"/>
      <c r="X470" s="194"/>
      <c r="Y470" s="194"/>
      <c r="Z470" s="194"/>
      <c r="AA470" s="194"/>
      <c r="AB470" s="194"/>
      <c r="AC470" s="194"/>
      <c r="AD470" s="194"/>
      <c r="AE470" s="194"/>
      <c r="AF470" s="194"/>
      <c r="AG470" s="194"/>
      <c r="AH470" s="194"/>
      <c r="AI470" s="194"/>
      <c r="AJ470" s="194"/>
      <c r="AK470" s="194"/>
      <c r="AL470" s="194"/>
      <c r="AM470" s="194"/>
      <c r="AN470" s="194"/>
      <c r="AO470" s="194"/>
      <c r="AP470" s="194"/>
      <c r="AQ470" s="194"/>
      <c r="AR470" s="194"/>
      <c r="AS470" s="194"/>
      <c r="AT470" s="194"/>
    </row>
    <row r="471" spans="4:46">
      <c r="D471" s="190" t="s">
        <v>2428</v>
      </c>
      <c r="E471" s="175"/>
      <c r="F471" s="175"/>
      <c r="G471" s="175"/>
      <c r="H471" s="175"/>
      <c r="I471" s="175"/>
      <c r="J471" s="175"/>
      <c r="K471" s="175"/>
      <c r="L471" s="175"/>
      <c r="M471" s="175"/>
      <c r="N471" s="175"/>
      <c r="O471" s="175"/>
      <c r="P471" s="175"/>
      <c r="Q471" s="175"/>
      <c r="R471" s="175"/>
      <c r="S471" s="175"/>
      <c r="T471" s="175"/>
      <c r="U471" s="175"/>
      <c r="V471" s="194">
        <f t="shared" ref="V471:AT471" si="469">V1007/V402</f>
        <v>0</v>
      </c>
      <c r="W471" s="194">
        <f t="shared" si="469"/>
        <v>0</v>
      </c>
      <c r="X471" s="194">
        <f t="shared" si="469"/>
        <v>0</v>
      </c>
      <c r="Y471" s="194">
        <f t="shared" si="469"/>
        <v>0</v>
      </c>
      <c r="Z471" s="194">
        <f t="shared" si="469"/>
        <v>0</v>
      </c>
      <c r="AA471" s="194">
        <f t="shared" si="469"/>
        <v>0</v>
      </c>
      <c r="AB471" s="194">
        <f t="shared" si="469"/>
        <v>0</v>
      </c>
      <c r="AC471" s="194">
        <f t="shared" si="469"/>
        <v>0</v>
      </c>
      <c r="AD471" s="194">
        <f t="shared" si="469"/>
        <v>0</v>
      </c>
      <c r="AE471" s="194">
        <f t="shared" si="469"/>
        <v>0</v>
      </c>
      <c r="AF471" s="194">
        <f t="shared" si="469"/>
        <v>0</v>
      </c>
      <c r="AG471" s="194">
        <f t="shared" si="469"/>
        <v>0</v>
      </c>
      <c r="AH471" s="194">
        <f t="shared" si="469"/>
        <v>0</v>
      </c>
      <c r="AI471" s="194">
        <f t="shared" si="469"/>
        <v>0</v>
      </c>
      <c r="AJ471" s="194">
        <f t="shared" si="469"/>
        <v>0</v>
      </c>
      <c r="AK471" s="194">
        <f t="shared" si="469"/>
        <v>0</v>
      </c>
      <c r="AL471" s="194">
        <f t="shared" si="469"/>
        <v>0</v>
      </c>
      <c r="AM471" s="194">
        <f t="shared" si="469"/>
        <v>0</v>
      </c>
      <c r="AN471" s="194">
        <f t="shared" si="469"/>
        <v>0</v>
      </c>
      <c r="AO471" s="194">
        <f t="shared" si="469"/>
        <v>0</v>
      </c>
      <c r="AP471" s="194">
        <f t="shared" si="469"/>
        <v>0</v>
      </c>
      <c r="AQ471" s="194">
        <f t="shared" si="469"/>
        <v>0</v>
      </c>
      <c r="AR471" s="194">
        <f t="shared" si="469"/>
        <v>0</v>
      </c>
      <c r="AS471" s="194">
        <f t="shared" si="469"/>
        <v>0</v>
      </c>
      <c r="AT471" s="194">
        <f t="shared" si="469"/>
        <v>0</v>
      </c>
    </row>
    <row r="472" spans="4:46">
      <c r="D472" s="175" t="s">
        <v>2418</v>
      </c>
      <c r="E472" s="175"/>
      <c r="F472" s="175"/>
      <c r="G472" s="175"/>
      <c r="H472" s="175"/>
      <c r="I472" s="175"/>
      <c r="J472" s="175"/>
      <c r="K472" s="175"/>
      <c r="L472" s="175"/>
      <c r="M472" s="175"/>
      <c r="N472" s="175"/>
      <c r="O472" s="175"/>
      <c r="P472" s="175"/>
      <c r="Q472" s="175"/>
      <c r="R472" s="175"/>
      <c r="S472" s="175"/>
      <c r="T472" s="175"/>
      <c r="U472" s="175"/>
      <c r="V472" s="194">
        <f t="shared" ref="V472:AG472" si="470">V1007/V404</f>
        <v>0</v>
      </c>
      <c r="W472" s="194">
        <f t="shared" si="470"/>
        <v>0</v>
      </c>
      <c r="X472" s="194">
        <f t="shared" si="470"/>
        <v>0</v>
      </c>
      <c r="Y472" s="194">
        <f t="shared" si="470"/>
        <v>0</v>
      </c>
      <c r="Z472" s="194">
        <f t="shared" si="470"/>
        <v>0</v>
      </c>
      <c r="AA472" s="194">
        <f t="shared" si="470"/>
        <v>0</v>
      </c>
      <c r="AB472" s="194">
        <f t="shared" si="470"/>
        <v>0</v>
      </c>
      <c r="AC472" s="194">
        <f t="shared" si="470"/>
        <v>0</v>
      </c>
      <c r="AD472" s="194">
        <f t="shared" si="470"/>
        <v>0</v>
      </c>
      <c r="AE472" s="194">
        <f t="shared" si="470"/>
        <v>0</v>
      </c>
      <c r="AF472" s="194">
        <f t="shared" si="470"/>
        <v>0</v>
      </c>
      <c r="AG472" s="194">
        <f t="shared" si="470"/>
        <v>0</v>
      </c>
      <c r="AH472" s="194">
        <f t="shared" ref="AH472:AM472" si="471">AG472*AH473</f>
        <v>0</v>
      </c>
      <c r="AI472" s="194">
        <f t="shared" si="471"/>
        <v>0</v>
      </c>
      <c r="AJ472" s="194">
        <f t="shared" si="471"/>
        <v>0</v>
      </c>
      <c r="AK472" s="194">
        <f t="shared" si="471"/>
        <v>0</v>
      </c>
      <c r="AL472" s="194">
        <f t="shared" si="471"/>
        <v>0</v>
      </c>
      <c r="AM472" s="194">
        <f t="shared" si="471"/>
        <v>0</v>
      </c>
      <c r="AN472" s="194">
        <f t="shared" ref="AN472" si="472">AM472*AN473</f>
        <v>0</v>
      </c>
      <c r="AO472" s="194">
        <f t="shared" ref="AO472" si="473">AN472*AO473</f>
        <v>0</v>
      </c>
      <c r="AP472" s="194">
        <f t="shared" ref="AP472" si="474">AO472*AP473</f>
        <v>0</v>
      </c>
      <c r="AQ472" s="194">
        <f t="shared" ref="AQ472" si="475">AP472*AQ473</f>
        <v>0</v>
      </c>
      <c r="AR472" s="194">
        <f t="shared" ref="AR472" si="476">AQ472*AR473</f>
        <v>0</v>
      </c>
      <c r="AS472" s="194">
        <f t="shared" ref="AS472" si="477">AR472*AS473</f>
        <v>0</v>
      </c>
      <c r="AT472" s="194">
        <f t="shared" ref="AT472" si="478">AS472*AT473</f>
        <v>0</v>
      </c>
    </row>
    <row r="473" spans="4:46">
      <c r="D473" s="178" t="s">
        <v>2427</v>
      </c>
      <c r="E473" s="175"/>
      <c r="F473" s="175"/>
      <c r="G473" s="175"/>
      <c r="H473" s="175"/>
      <c r="I473" s="175"/>
      <c r="J473" s="175"/>
      <c r="K473" s="175"/>
      <c r="L473" s="175"/>
      <c r="M473" s="175"/>
      <c r="N473" s="175"/>
      <c r="O473" s="175"/>
      <c r="P473" s="175"/>
      <c r="Q473" s="175"/>
      <c r="R473" s="175"/>
      <c r="S473" s="175"/>
      <c r="T473" s="175"/>
      <c r="U473" s="175"/>
      <c r="V473" s="254" t="e">
        <f t="shared" ref="V473:AE473" si="479">+V472/U472</f>
        <v>#DIV/0!</v>
      </c>
      <c r="W473" s="254" t="e">
        <f t="shared" si="479"/>
        <v>#DIV/0!</v>
      </c>
      <c r="X473" s="254" t="e">
        <f t="shared" si="479"/>
        <v>#DIV/0!</v>
      </c>
      <c r="Y473" s="254" t="e">
        <f t="shared" si="479"/>
        <v>#DIV/0!</v>
      </c>
      <c r="Z473" s="254" t="e">
        <f t="shared" si="479"/>
        <v>#DIV/0!</v>
      </c>
      <c r="AA473" s="254" t="e">
        <f t="shared" si="479"/>
        <v>#DIV/0!</v>
      </c>
      <c r="AB473" s="254" t="e">
        <f t="shared" si="479"/>
        <v>#DIV/0!</v>
      </c>
      <c r="AC473" s="254" t="e">
        <f t="shared" si="479"/>
        <v>#DIV/0!</v>
      </c>
      <c r="AD473" s="254" t="e">
        <f t="shared" si="479"/>
        <v>#DIV/0!</v>
      </c>
      <c r="AE473" s="254" t="e">
        <f t="shared" si="479"/>
        <v>#DIV/0!</v>
      </c>
      <c r="AF473" s="254" t="e">
        <f>+AF472/AE472</f>
        <v>#DIV/0!</v>
      </c>
      <c r="AG473" s="254" t="e">
        <f>+AG472/AF472</f>
        <v>#DIV/0!</v>
      </c>
      <c r="AH473" s="1601">
        <v>1</v>
      </c>
      <c r="AI473" s="1601">
        <v>1</v>
      </c>
      <c r="AJ473" s="1601">
        <v>1</v>
      </c>
      <c r="AK473" s="1601">
        <v>1</v>
      </c>
      <c r="AL473" s="1601">
        <v>1</v>
      </c>
      <c r="AM473" s="1601">
        <v>1</v>
      </c>
      <c r="AN473" s="1601">
        <v>1</v>
      </c>
      <c r="AO473" s="1601">
        <v>1</v>
      </c>
      <c r="AP473" s="1601">
        <v>1</v>
      </c>
      <c r="AQ473" s="1601">
        <v>1</v>
      </c>
      <c r="AR473" s="1601">
        <v>1</v>
      </c>
      <c r="AS473" s="1601">
        <v>1</v>
      </c>
      <c r="AT473" s="1601">
        <v>1</v>
      </c>
    </row>
    <row r="474" spans="4:46">
      <c r="D474" s="178"/>
      <c r="E474" s="175"/>
      <c r="F474" s="175"/>
      <c r="G474" s="175"/>
      <c r="H474" s="175"/>
      <c r="I474" s="175"/>
      <c r="J474" s="175"/>
      <c r="K474" s="175"/>
      <c r="L474" s="175"/>
      <c r="M474" s="175"/>
      <c r="N474" s="175"/>
      <c r="O474" s="175"/>
      <c r="P474" s="175"/>
      <c r="Q474" s="175"/>
      <c r="R474" s="175"/>
      <c r="S474" s="175"/>
      <c r="T474" s="175"/>
      <c r="U474" s="175"/>
      <c r="V474" s="194"/>
      <c r="W474" s="194"/>
      <c r="X474" s="194"/>
      <c r="Y474" s="194"/>
      <c r="Z474" s="194"/>
      <c r="AA474" s="194"/>
      <c r="AB474" s="194"/>
      <c r="AC474" s="194"/>
      <c r="AD474" s="194"/>
      <c r="AE474" s="194"/>
      <c r="AF474" s="194"/>
      <c r="AG474" s="194"/>
      <c r="AH474" s="194"/>
      <c r="AI474" s="194"/>
      <c r="AJ474" s="194"/>
      <c r="AK474" s="194"/>
      <c r="AL474" s="194"/>
      <c r="AM474" s="194"/>
      <c r="AN474" s="194"/>
      <c r="AO474" s="194"/>
      <c r="AP474" s="194"/>
      <c r="AQ474" s="194"/>
      <c r="AR474" s="194"/>
      <c r="AS474" s="194"/>
      <c r="AT474" s="194"/>
    </row>
    <row r="475" spans="4:46">
      <c r="D475" s="190" t="s">
        <v>2440</v>
      </c>
      <c r="E475" s="175"/>
      <c r="F475" s="175"/>
      <c r="G475" s="175"/>
      <c r="H475" s="175"/>
      <c r="I475" s="175"/>
      <c r="J475" s="175"/>
      <c r="K475" s="175"/>
      <c r="L475" s="175"/>
      <c r="M475" s="175"/>
      <c r="N475" s="175"/>
      <c r="O475" s="175"/>
      <c r="P475" s="175"/>
      <c r="Q475" s="175"/>
      <c r="R475" s="175"/>
      <c r="S475" s="175"/>
      <c r="T475" s="175"/>
      <c r="U475" s="175"/>
      <c r="V475" s="194">
        <f t="shared" ref="V475:AT475" si="480">V1008/V406</f>
        <v>0</v>
      </c>
      <c r="W475" s="194">
        <f t="shared" si="480"/>
        <v>0</v>
      </c>
      <c r="X475" s="194">
        <f t="shared" si="480"/>
        <v>0</v>
      </c>
      <c r="Y475" s="194">
        <f t="shared" si="480"/>
        <v>2.1511923004276425E-2</v>
      </c>
      <c r="Z475" s="194">
        <f t="shared" si="480"/>
        <v>2.1138455105522987E-2</v>
      </c>
      <c r="AA475" s="194">
        <f t="shared" si="480"/>
        <v>2.4528509552398155E-2</v>
      </c>
      <c r="AB475" s="194">
        <f t="shared" si="480"/>
        <v>2.3652586576610166E-2</v>
      </c>
      <c r="AC475" s="194">
        <f t="shared" si="480"/>
        <v>2.3918537868262531E-2</v>
      </c>
      <c r="AD475" s="194">
        <f t="shared" si="480"/>
        <v>2.7647341871275752E-2</v>
      </c>
      <c r="AE475" s="194">
        <f t="shared" si="480"/>
        <v>2.7059323906666755E-2</v>
      </c>
      <c r="AF475" s="194">
        <f t="shared" si="480"/>
        <v>2.8729740877997883E-2</v>
      </c>
      <c r="AG475" s="194">
        <f t="shared" si="480"/>
        <v>2.7337352196539388E-2</v>
      </c>
      <c r="AH475" s="194">
        <f t="shared" si="480"/>
        <v>3.2222257151345808E-2</v>
      </c>
      <c r="AI475" s="194">
        <f t="shared" si="480"/>
        <v>3.4834735630900816E-2</v>
      </c>
      <c r="AJ475" s="194">
        <f t="shared" si="480"/>
        <v>3.6425786255253285E-2</v>
      </c>
      <c r="AK475" s="194">
        <f t="shared" si="480"/>
        <v>4.087207463071104E-2</v>
      </c>
      <c r="AL475" s="194">
        <f t="shared" si="480"/>
        <v>4.2588126140052841E-2</v>
      </c>
      <c r="AM475" s="194">
        <f t="shared" si="480"/>
        <v>4.7391052212151473E-2</v>
      </c>
      <c r="AN475" s="194">
        <f t="shared" si="480"/>
        <v>4.8915042422376112E-2</v>
      </c>
      <c r="AO475" s="194">
        <f t="shared" si="480"/>
        <v>5.0382493695047395E-2</v>
      </c>
      <c r="AP475" s="194">
        <f t="shared" si="480"/>
        <v>5.1390143568948346E-2</v>
      </c>
      <c r="AQ475" s="194">
        <f t="shared" si="480"/>
        <v>5.550135505446422E-2</v>
      </c>
      <c r="AR475" s="194">
        <f t="shared" si="480"/>
        <v>5.994146345882137E-2</v>
      </c>
      <c r="AS475" s="194">
        <f t="shared" si="480"/>
        <v>6.3465365901586634E-2</v>
      </c>
      <c r="AT475" s="194">
        <f t="shared" si="480"/>
        <v>6.7196435265370738E-2</v>
      </c>
    </row>
    <row r="476" spans="4:46">
      <c r="D476" s="175" t="s">
        <v>2442</v>
      </c>
      <c r="E476" s="175"/>
      <c r="F476" s="175"/>
      <c r="G476" s="175"/>
      <c r="H476" s="175"/>
      <c r="I476" s="175"/>
      <c r="J476" s="175"/>
      <c r="K476" s="175"/>
      <c r="L476" s="175"/>
      <c r="M476" s="175"/>
      <c r="N476" s="175"/>
      <c r="O476" s="175"/>
      <c r="P476" s="175"/>
      <c r="Q476" s="175"/>
      <c r="R476" s="175"/>
      <c r="S476" s="175"/>
      <c r="T476" s="175"/>
      <c r="U476" s="175"/>
      <c r="V476" s="194">
        <f t="shared" ref="V476:AH476" si="481">V1008/V406</f>
        <v>0</v>
      </c>
      <c r="W476" s="194">
        <f t="shared" si="481"/>
        <v>0</v>
      </c>
      <c r="X476" s="194">
        <f t="shared" si="481"/>
        <v>0</v>
      </c>
      <c r="Y476" s="194">
        <f t="shared" si="481"/>
        <v>2.1511923004276425E-2</v>
      </c>
      <c r="Z476" s="194">
        <f t="shared" si="481"/>
        <v>2.1138455105522987E-2</v>
      </c>
      <c r="AA476" s="194">
        <f t="shared" si="481"/>
        <v>2.4528509552398155E-2</v>
      </c>
      <c r="AB476" s="194">
        <f t="shared" si="481"/>
        <v>2.3652586576610166E-2</v>
      </c>
      <c r="AC476" s="194">
        <f t="shared" si="481"/>
        <v>2.3918537868262531E-2</v>
      </c>
      <c r="AD476" s="194">
        <f t="shared" si="481"/>
        <v>2.7647341871275752E-2</v>
      </c>
      <c r="AE476" s="194">
        <f t="shared" si="481"/>
        <v>2.7059323906666755E-2</v>
      </c>
      <c r="AF476" s="194">
        <f t="shared" si="481"/>
        <v>2.8729740877997883E-2</v>
      </c>
      <c r="AG476" s="194">
        <f t="shared" si="481"/>
        <v>2.7337352196539388E-2</v>
      </c>
      <c r="AH476" s="194">
        <f t="shared" si="481"/>
        <v>3.2222257151345808E-2</v>
      </c>
      <c r="AI476" s="194">
        <f t="shared" ref="AI476:AM476" si="482">AH476*AI477</f>
        <v>3.5502482929352805E-2</v>
      </c>
      <c r="AJ476" s="194">
        <f t="shared" si="482"/>
        <v>3.6425786255253285E-2</v>
      </c>
      <c r="AK476" s="194">
        <f t="shared" si="482"/>
        <v>4.0872074630711033E-2</v>
      </c>
      <c r="AL476" s="194">
        <f t="shared" si="482"/>
        <v>4.2588126140052841E-2</v>
      </c>
      <c r="AM476" s="194">
        <f t="shared" si="482"/>
        <v>4.7391052212151473E-2</v>
      </c>
      <c r="AN476" s="194">
        <f t="shared" ref="AN476" si="483">AM476*AN477</f>
        <v>4.8915042422376112E-2</v>
      </c>
      <c r="AO476" s="194">
        <f t="shared" ref="AO476" si="484">AN476*AO477</f>
        <v>5.0382493695047395E-2</v>
      </c>
      <c r="AP476" s="194">
        <f t="shared" ref="AP476" si="485">AO476*AP477</f>
        <v>5.1390143568948346E-2</v>
      </c>
      <c r="AQ476" s="194">
        <f t="shared" ref="AQ476" si="486">AP476*AQ477</f>
        <v>5.550135505446422E-2</v>
      </c>
      <c r="AR476" s="194">
        <f t="shared" ref="AR476" si="487">AQ476*AR477</f>
        <v>5.9941463458821363E-2</v>
      </c>
      <c r="AS476" s="194">
        <f t="shared" ref="AS476" si="488">AR476*AS477</f>
        <v>6.3465365901586634E-2</v>
      </c>
      <c r="AT476" s="194">
        <f t="shared" ref="AT476" si="489">AS476*AT477</f>
        <v>6.7196435265370738E-2</v>
      </c>
    </row>
    <row r="477" spans="4:46">
      <c r="D477" s="178" t="s">
        <v>2443</v>
      </c>
      <c r="E477" s="175"/>
      <c r="F477" s="175"/>
      <c r="G477" s="175"/>
      <c r="H477" s="175"/>
      <c r="I477" s="175"/>
      <c r="J477" s="175"/>
      <c r="K477" s="175"/>
      <c r="L477" s="175"/>
      <c r="M477" s="175"/>
      <c r="N477" s="175"/>
      <c r="O477" s="175"/>
      <c r="P477" s="175"/>
      <c r="Q477" s="175"/>
      <c r="R477" s="175"/>
      <c r="S477" s="175"/>
      <c r="T477" s="175"/>
      <c r="U477" s="175"/>
      <c r="V477" s="254" t="e">
        <f t="shared" ref="V477:AH477" si="490">+V476/U476</f>
        <v>#DIV/0!</v>
      </c>
      <c r="W477" s="254" t="e">
        <f t="shared" si="490"/>
        <v>#DIV/0!</v>
      </c>
      <c r="X477" s="254" t="e">
        <f t="shared" si="490"/>
        <v>#DIV/0!</v>
      </c>
      <c r="Y477" s="254" t="e">
        <f t="shared" si="490"/>
        <v>#DIV/0!</v>
      </c>
      <c r="Z477" s="254">
        <f t="shared" si="490"/>
        <v>0.9826390277299154</v>
      </c>
      <c r="AA477" s="254">
        <f t="shared" si="490"/>
        <v>1.1603738035704145</v>
      </c>
      <c r="AB477" s="254">
        <f t="shared" si="490"/>
        <v>0.96428959640141076</v>
      </c>
      <c r="AC477" s="254">
        <f t="shared" si="490"/>
        <v>1.0112440679919279</v>
      </c>
      <c r="AD477" s="254">
        <f t="shared" si="490"/>
        <v>1.1558959842591785</v>
      </c>
      <c r="AE477" s="254">
        <f t="shared" si="490"/>
        <v>0.97873148285477962</v>
      </c>
      <c r="AF477" s="254">
        <f t="shared" si="490"/>
        <v>1.0617316595600372</v>
      </c>
      <c r="AG477" s="254">
        <f t="shared" si="490"/>
        <v>0.95153493770196762</v>
      </c>
      <c r="AH477" s="254">
        <f t="shared" si="490"/>
        <v>1.1786897618937944</v>
      </c>
      <c r="AI477" s="254">
        <v>1.1017999999999999</v>
      </c>
      <c r="AJ477" s="1601">
        <v>1.0260067254377048</v>
      </c>
      <c r="AK477" s="1601">
        <v>1.1220643075292989</v>
      </c>
      <c r="AL477" s="1601">
        <v>1.0419859164196275</v>
      </c>
      <c r="AM477" s="1601">
        <v>1.1127761774797043</v>
      </c>
      <c r="AN477" s="1601">
        <v>1.0321577626806495</v>
      </c>
      <c r="AO477" s="1601">
        <v>1.03</v>
      </c>
      <c r="AP477" s="1601">
        <v>1.02</v>
      </c>
      <c r="AQ477" s="1601">
        <v>1.08</v>
      </c>
      <c r="AR477" s="1601">
        <v>1.08</v>
      </c>
      <c r="AS477" s="1601">
        <v>1.0587890625190712</v>
      </c>
      <c r="AT477" s="1601">
        <v>1.0587890625190712</v>
      </c>
    </row>
    <row r="478" spans="4:46">
      <c r="D478" s="178"/>
      <c r="E478" s="175"/>
      <c r="F478" s="175"/>
      <c r="G478" s="175"/>
      <c r="H478" s="175"/>
      <c r="I478" s="175"/>
      <c r="J478" s="175"/>
      <c r="K478" s="175"/>
      <c r="L478" s="175"/>
      <c r="M478" s="175"/>
      <c r="N478" s="175"/>
      <c r="O478" s="175"/>
      <c r="P478" s="175"/>
      <c r="Q478" s="175"/>
      <c r="R478" s="175"/>
      <c r="S478" s="175"/>
      <c r="T478" s="175"/>
      <c r="U478" s="175"/>
      <c r="V478" s="194"/>
      <c r="W478" s="194"/>
      <c r="X478" s="194"/>
      <c r="Y478" s="194"/>
      <c r="Z478" s="194"/>
      <c r="AA478" s="194"/>
      <c r="AB478" s="194"/>
      <c r="AC478" s="194"/>
      <c r="AD478" s="194"/>
      <c r="AE478" s="194"/>
      <c r="AF478" s="194"/>
      <c r="AG478" s="194"/>
      <c r="AH478" s="194"/>
      <c r="AI478" s="194"/>
      <c r="AJ478" s="194"/>
      <c r="AK478" s="194"/>
      <c r="AL478" s="194"/>
      <c r="AM478" s="194"/>
      <c r="AN478" s="194"/>
      <c r="AO478" s="194"/>
      <c r="AP478" s="194"/>
      <c r="AQ478" s="194"/>
      <c r="AR478" s="194"/>
      <c r="AS478" s="194"/>
      <c r="AT478" s="194"/>
    </row>
    <row r="479" spans="4:46">
      <c r="D479" s="190" t="s">
        <v>2429</v>
      </c>
      <c r="E479" s="175"/>
      <c r="F479" s="175"/>
      <c r="G479" s="175"/>
      <c r="H479" s="175"/>
      <c r="I479" s="175"/>
      <c r="J479" s="175"/>
      <c r="K479" s="175"/>
      <c r="L479" s="175"/>
      <c r="M479" s="175"/>
      <c r="N479" s="175"/>
      <c r="O479" s="175"/>
      <c r="P479" s="175"/>
      <c r="Q479" s="175"/>
      <c r="R479" s="175"/>
      <c r="S479" s="175"/>
      <c r="T479" s="175"/>
      <c r="U479" s="175"/>
      <c r="V479" s="194">
        <f t="shared" ref="V479:AT479" si="491">V1011/V402</f>
        <v>0</v>
      </c>
      <c r="W479" s="194">
        <f t="shared" si="491"/>
        <v>0</v>
      </c>
      <c r="X479" s="194">
        <f t="shared" si="491"/>
        <v>0</v>
      </c>
      <c r="Y479" s="194">
        <f t="shared" si="491"/>
        <v>0</v>
      </c>
      <c r="Z479" s="194">
        <f t="shared" si="491"/>
        <v>0</v>
      </c>
      <c r="AA479" s="194">
        <f t="shared" si="491"/>
        <v>0</v>
      </c>
      <c r="AB479" s="194">
        <f t="shared" si="491"/>
        <v>0</v>
      </c>
      <c r="AC479" s="194">
        <f t="shared" si="491"/>
        <v>0</v>
      </c>
      <c r="AD479" s="194">
        <f t="shared" si="491"/>
        <v>0</v>
      </c>
      <c r="AE479" s="194">
        <f t="shared" si="491"/>
        <v>0</v>
      </c>
      <c r="AF479" s="194">
        <f t="shared" si="491"/>
        <v>0</v>
      </c>
      <c r="AG479" s="194">
        <f t="shared" si="491"/>
        <v>0</v>
      </c>
      <c r="AH479" s="194">
        <f t="shared" si="491"/>
        <v>0</v>
      </c>
      <c r="AI479" s="194">
        <f t="shared" si="491"/>
        <v>0</v>
      </c>
      <c r="AJ479" s="194">
        <f t="shared" si="491"/>
        <v>0</v>
      </c>
      <c r="AK479" s="194">
        <f t="shared" si="491"/>
        <v>0</v>
      </c>
      <c r="AL479" s="194">
        <f t="shared" si="491"/>
        <v>0</v>
      </c>
      <c r="AM479" s="194">
        <f t="shared" si="491"/>
        <v>0</v>
      </c>
      <c r="AN479" s="194">
        <f t="shared" si="491"/>
        <v>0</v>
      </c>
      <c r="AO479" s="194">
        <f t="shared" si="491"/>
        <v>0</v>
      </c>
      <c r="AP479" s="194">
        <f t="shared" si="491"/>
        <v>0</v>
      </c>
      <c r="AQ479" s="194">
        <f t="shared" si="491"/>
        <v>0</v>
      </c>
      <c r="AR479" s="194">
        <f t="shared" si="491"/>
        <v>0</v>
      </c>
      <c r="AS479" s="194">
        <f t="shared" si="491"/>
        <v>0</v>
      </c>
      <c r="AT479" s="194">
        <f t="shared" si="491"/>
        <v>0</v>
      </c>
    </row>
    <row r="480" spans="4:46">
      <c r="D480" s="175" t="s">
        <v>2430</v>
      </c>
      <c r="E480" s="175"/>
      <c r="F480" s="175"/>
      <c r="G480" s="175"/>
      <c r="H480" s="175"/>
      <c r="I480" s="175"/>
      <c r="J480" s="175"/>
      <c r="K480" s="175"/>
      <c r="L480" s="175"/>
      <c r="M480" s="175"/>
      <c r="N480" s="175"/>
      <c r="O480" s="175"/>
      <c r="P480" s="175"/>
      <c r="Q480" s="175"/>
      <c r="R480" s="175"/>
      <c r="S480" s="175"/>
      <c r="T480" s="175"/>
      <c r="U480" s="175"/>
      <c r="V480" s="194">
        <f t="shared" ref="V480:AG480" si="492">V1011/V404</f>
        <v>0</v>
      </c>
      <c r="W480" s="194">
        <f t="shared" si="492"/>
        <v>0</v>
      </c>
      <c r="X480" s="194">
        <f t="shared" si="492"/>
        <v>0</v>
      </c>
      <c r="Y480" s="194">
        <f t="shared" si="492"/>
        <v>0</v>
      </c>
      <c r="Z480" s="194">
        <f t="shared" si="492"/>
        <v>0</v>
      </c>
      <c r="AA480" s="194">
        <f t="shared" si="492"/>
        <v>0</v>
      </c>
      <c r="AB480" s="194">
        <f t="shared" si="492"/>
        <v>0</v>
      </c>
      <c r="AC480" s="194">
        <f t="shared" si="492"/>
        <v>0</v>
      </c>
      <c r="AD480" s="194">
        <f t="shared" si="492"/>
        <v>0</v>
      </c>
      <c r="AE480" s="194">
        <f t="shared" si="492"/>
        <v>0</v>
      </c>
      <c r="AF480" s="194">
        <f t="shared" si="492"/>
        <v>0</v>
      </c>
      <c r="AG480" s="194">
        <f t="shared" si="492"/>
        <v>0</v>
      </c>
      <c r="AH480" s="194">
        <f t="shared" ref="AH480:AM480" si="493">AG480*AH481</f>
        <v>0</v>
      </c>
      <c r="AI480" s="194">
        <f t="shared" si="493"/>
        <v>0</v>
      </c>
      <c r="AJ480" s="194">
        <f t="shared" si="493"/>
        <v>0</v>
      </c>
      <c r="AK480" s="194">
        <f t="shared" si="493"/>
        <v>0</v>
      </c>
      <c r="AL480" s="194">
        <f t="shared" si="493"/>
        <v>0</v>
      </c>
      <c r="AM480" s="194">
        <f t="shared" si="493"/>
        <v>0</v>
      </c>
      <c r="AN480" s="194">
        <f t="shared" ref="AN480" si="494">AM480*AN481</f>
        <v>0</v>
      </c>
      <c r="AO480" s="194">
        <f t="shared" ref="AO480" si="495">AN480*AO481</f>
        <v>0</v>
      </c>
      <c r="AP480" s="194">
        <f t="shared" ref="AP480" si="496">AO480*AP481</f>
        <v>0</v>
      </c>
      <c r="AQ480" s="194">
        <f t="shared" ref="AQ480" si="497">AP480*AQ481</f>
        <v>0</v>
      </c>
      <c r="AR480" s="194">
        <f t="shared" ref="AR480" si="498">AQ480*AR481</f>
        <v>0</v>
      </c>
      <c r="AS480" s="194">
        <f t="shared" ref="AS480" si="499">AR480*AS481</f>
        <v>0</v>
      </c>
      <c r="AT480" s="194">
        <f t="shared" ref="AT480" si="500">AS480*AT481</f>
        <v>0</v>
      </c>
    </row>
    <row r="481" spans="4:46">
      <c r="D481" s="178" t="s">
        <v>2431</v>
      </c>
      <c r="E481" s="175"/>
      <c r="F481" s="175"/>
      <c r="G481" s="175"/>
      <c r="H481" s="175"/>
      <c r="I481" s="175"/>
      <c r="J481" s="175"/>
      <c r="K481" s="175"/>
      <c r="L481" s="175"/>
      <c r="M481" s="175"/>
      <c r="N481" s="175"/>
      <c r="O481" s="175"/>
      <c r="P481" s="175"/>
      <c r="Q481" s="175"/>
      <c r="R481" s="175"/>
      <c r="S481" s="175"/>
      <c r="T481" s="175"/>
      <c r="U481" s="175"/>
      <c r="V481" s="254" t="e">
        <f t="shared" ref="V481:AE481" si="501">+V480/U480</f>
        <v>#DIV/0!</v>
      </c>
      <c r="W481" s="254" t="e">
        <f t="shared" si="501"/>
        <v>#DIV/0!</v>
      </c>
      <c r="X481" s="254" t="e">
        <f t="shared" si="501"/>
        <v>#DIV/0!</v>
      </c>
      <c r="Y481" s="254" t="e">
        <f t="shared" si="501"/>
        <v>#DIV/0!</v>
      </c>
      <c r="Z481" s="254" t="e">
        <f t="shared" si="501"/>
        <v>#DIV/0!</v>
      </c>
      <c r="AA481" s="254" t="e">
        <f t="shared" si="501"/>
        <v>#DIV/0!</v>
      </c>
      <c r="AB481" s="254" t="e">
        <f t="shared" si="501"/>
        <v>#DIV/0!</v>
      </c>
      <c r="AC481" s="254" t="e">
        <f t="shared" si="501"/>
        <v>#DIV/0!</v>
      </c>
      <c r="AD481" s="254" t="e">
        <f t="shared" si="501"/>
        <v>#DIV/0!</v>
      </c>
      <c r="AE481" s="254" t="e">
        <f t="shared" si="501"/>
        <v>#DIV/0!</v>
      </c>
      <c r="AF481" s="254" t="e">
        <f>+AF480/AE480</f>
        <v>#DIV/0!</v>
      </c>
      <c r="AG481" s="254" t="e">
        <f>+AG480/AF480</f>
        <v>#DIV/0!</v>
      </c>
      <c r="AH481" s="1601">
        <v>1</v>
      </c>
      <c r="AI481" s="1601">
        <v>1</v>
      </c>
      <c r="AJ481" s="1601">
        <v>1</v>
      </c>
      <c r="AK481" s="1601">
        <v>1</v>
      </c>
      <c r="AL481" s="1601">
        <v>1</v>
      </c>
      <c r="AM481" s="1601">
        <v>1</v>
      </c>
      <c r="AN481" s="1601">
        <v>1</v>
      </c>
      <c r="AO481" s="1601">
        <v>1</v>
      </c>
      <c r="AP481" s="1601">
        <v>1</v>
      </c>
      <c r="AQ481" s="1601">
        <v>1</v>
      </c>
      <c r="AR481" s="1601">
        <v>1</v>
      </c>
      <c r="AS481" s="1601">
        <v>1</v>
      </c>
      <c r="AT481" s="1601">
        <v>1</v>
      </c>
    </row>
    <row r="482" spans="4:46">
      <c r="D482" s="178"/>
      <c r="E482" s="175"/>
      <c r="F482" s="175"/>
      <c r="G482" s="175"/>
      <c r="H482" s="175"/>
      <c r="I482" s="175"/>
      <c r="J482" s="175"/>
      <c r="K482" s="175"/>
      <c r="L482" s="175"/>
      <c r="M482" s="175"/>
      <c r="N482" s="175"/>
      <c r="O482" s="175"/>
      <c r="P482" s="175"/>
      <c r="Q482" s="175"/>
      <c r="R482" s="175"/>
      <c r="S482" s="175"/>
      <c r="T482" s="175"/>
      <c r="U482" s="175"/>
      <c r="V482" s="194"/>
      <c r="W482" s="194"/>
      <c r="X482" s="194"/>
      <c r="Y482" s="194"/>
      <c r="Z482" s="194"/>
      <c r="AA482" s="194"/>
      <c r="AB482" s="194"/>
      <c r="AC482" s="194"/>
      <c r="AD482" s="194"/>
      <c r="AE482" s="194"/>
      <c r="AF482" s="194"/>
      <c r="AG482" s="194"/>
      <c r="AH482" s="194"/>
      <c r="AI482" s="194"/>
      <c r="AJ482" s="194"/>
      <c r="AK482" s="194"/>
      <c r="AL482" s="194"/>
      <c r="AM482" s="194"/>
      <c r="AN482" s="194"/>
      <c r="AO482" s="194"/>
      <c r="AP482" s="194"/>
      <c r="AQ482" s="194"/>
      <c r="AR482" s="194"/>
      <c r="AS482" s="194"/>
      <c r="AT482" s="194"/>
    </row>
    <row r="483" spans="4:46">
      <c r="D483" s="190" t="s">
        <v>2433</v>
      </c>
      <c r="E483" s="175"/>
      <c r="F483" s="175"/>
      <c r="G483" s="175"/>
      <c r="H483" s="175"/>
      <c r="I483" s="175"/>
      <c r="J483" s="175"/>
      <c r="K483" s="175"/>
      <c r="L483" s="175"/>
      <c r="M483" s="175"/>
      <c r="N483" s="175"/>
      <c r="O483" s="175"/>
      <c r="P483" s="175"/>
      <c r="Q483" s="175"/>
      <c r="R483" s="175"/>
      <c r="S483" s="175"/>
      <c r="T483" s="175"/>
      <c r="U483" s="175"/>
      <c r="V483" s="194">
        <f t="shared" ref="V483:AT483" si="502">V1012/V402</f>
        <v>0</v>
      </c>
      <c r="W483" s="194">
        <f t="shared" si="502"/>
        <v>0</v>
      </c>
      <c r="X483" s="194">
        <f t="shared" si="502"/>
        <v>0</v>
      </c>
      <c r="Y483" s="194">
        <f t="shared" si="502"/>
        <v>0</v>
      </c>
      <c r="Z483" s="194">
        <f t="shared" si="502"/>
        <v>0</v>
      </c>
      <c r="AA483" s="194">
        <f t="shared" si="502"/>
        <v>0</v>
      </c>
      <c r="AB483" s="194">
        <f t="shared" si="502"/>
        <v>0</v>
      </c>
      <c r="AC483" s="194">
        <f t="shared" si="502"/>
        <v>0</v>
      </c>
      <c r="AD483" s="194">
        <f t="shared" si="502"/>
        <v>0</v>
      </c>
      <c r="AE483" s="194">
        <f t="shared" si="502"/>
        <v>1.2086899190283399E-4</v>
      </c>
      <c r="AF483" s="194">
        <f t="shared" si="502"/>
        <v>6.8256412937541574E-5</v>
      </c>
      <c r="AG483" s="194">
        <f t="shared" si="502"/>
        <v>1.4078286839957626E-4</v>
      </c>
      <c r="AH483" s="194">
        <f t="shared" si="502"/>
        <v>0</v>
      </c>
      <c r="AI483" s="194">
        <f t="shared" si="502"/>
        <v>2.2417468732743561E-4</v>
      </c>
      <c r="AJ483" s="194">
        <f t="shared" si="502"/>
        <v>5.5905827128746124E-5</v>
      </c>
      <c r="AK483" s="194">
        <f t="shared" si="502"/>
        <v>2.4986554092872374E-4</v>
      </c>
      <c r="AL483" s="194">
        <f t="shared" si="502"/>
        <v>2.4900656746183302E-4</v>
      </c>
      <c r="AM483" s="194">
        <f t="shared" si="502"/>
        <v>2.4911663978222922E-4</v>
      </c>
      <c r="AN483" s="194">
        <f t="shared" si="502"/>
        <v>2.4999048435343389E-4</v>
      </c>
      <c r="AO483" s="194">
        <f t="shared" si="502"/>
        <v>2.1493677813763613E-4</v>
      </c>
      <c r="AP483" s="194">
        <f t="shared" si="502"/>
        <v>4.2503572197037556E-4</v>
      </c>
      <c r="AQ483" s="194">
        <f t="shared" si="502"/>
        <v>8.207837570858768E-4</v>
      </c>
      <c r="AR483" s="194">
        <f t="shared" si="502"/>
        <v>1.8243667404019227E-3</v>
      </c>
      <c r="AS483" s="194">
        <f t="shared" si="502"/>
        <v>-1.2780732747031075E-2</v>
      </c>
      <c r="AT483" s="194">
        <f t="shared" si="502"/>
        <v>-7.0264206178415028E-2</v>
      </c>
    </row>
    <row r="484" spans="4:46">
      <c r="D484" s="175" t="s">
        <v>2432</v>
      </c>
      <c r="E484" s="175"/>
      <c r="F484" s="175"/>
      <c r="G484" s="175"/>
      <c r="H484" s="175"/>
      <c r="I484" s="175"/>
      <c r="J484" s="175"/>
      <c r="K484" s="175"/>
      <c r="L484" s="175"/>
      <c r="M484" s="175"/>
      <c r="N484" s="175"/>
      <c r="O484" s="175"/>
      <c r="P484" s="175"/>
      <c r="Q484" s="175"/>
      <c r="R484" s="175"/>
      <c r="S484" s="175"/>
      <c r="T484" s="175"/>
      <c r="U484" s="175"/>
      <c r="V484" s="194">
        <f t="shared" ref="V484:AI484" si="503">V1012/V404</f>
        <v>0</v>
      </c>
      <c r="W484" s="194">
        <f t="shared" si="503"/>
        <v>0</v>
      </c>
      <c r="X484" s="194">
        <f t="shared" si="503"/>
        <v>0</v>
      </c>
      <c r="Y484" s="194">
        <f t="shared" si="503"/>
        <v>0</v>
      </c>
      <c r="Z484" s="194">
        <f t="shared" si="503"/>
        <v>0</v>
      </c>
      <c r="AA484" s="194">
        <f t="shared" si="503"/>
        <v>0</v>
      </c>
      <c r="AB484" s="194">
        <f t="shared" si="503"/>
        <v>0</v>
      </c>
      <c r="AC484" s="194">
        <f t="shared" si="503"/>
        <v>0</v>
      </c>
      <c r="AD484" s="194">
        <f t="shared" si="503"/>
        <v>0</v>
      </c>
      <c r="AE484" s="194">
        <f t="shared" si="503"/>
        <v>2.5614778331315606E-4</v>
      </c>
      <c r="AF484" s="194">
        <f t="shared" si="503"/>
        <v>1.4454438314803137E-4</v>
      </c>
      <c r="AG484" s="194">
        <f t="shared" si="503"/>
        <v>2.9290928716529783E-4</v>
      </c>
      <c r="AH484" s="194">
        <f t="shared" si="503"/>
        <v>0</v>
      </c>
      <c r="AI484" s="194">
        <f t="shared" si="503"/>
        <v>5.375548545472641E-4</v>
      </c>
      <c r="AJ484" s="194">
        <f t="shared" ref="AJ484:AM484" si="504">AI484*AJ485</f>
        <v>1.4092077875008457E-4</v>
      </c>
      <c r="AK484" s="194">
        <f t="shared" si="504"/>
        <v>6.582943460802232E-4</v>
      </c>
      <c r="AL484" s="194">
        <f t="shared" si="504"/>
        <v>6.4927378958378791E-4</v>
      </c>
      <c r="AM484" s="194">
        <f t="shared" si="504"/>
        <v>6.3285540323273386E-4</v>
      </c>
      <c r="AN484" s="194">
        <f t="shared" ref="AN484" si="505">AM484*AN485</f>
        <v>6.340544290518843E-4</v>
      </c>
      <c r="AO484" s="194">
        <f t="shared" ref="AO484" si="506">AN484*AO485</f>
        <v>5.3043592876405969E-4</v>
      </c>
      <c r="AP484" s="194">
        <f t="shared" ref="AP484" si="507">AO484*AP485</f>
        <v>1.0734254974539646E-3</v>
      </c>
      <c r="AQ484" s="194">
        <f t="shared" ref="AQ484" si="508">AP484*AQ485</f>
        <v>2.172255377325343E-3</v>
      </c>
      <c r="AR484" s="194">
        <f t="shared" ref="AR484" si="509">AQ484*AR485</f>
        <v>4.3959207560385315E-3</v>
      </c>
      <c r="AS484" s="194">
        <f t="shared" ref="AS484" si="510">AR484*AS485</f>
        <v>8.8958782172121019E-3</v>
      </c>
      <c r="AT484" s="194">
        <f t="shared" ref="AT484" si="511">AS484*AT485</f>
        <v>1.800229204467832E-2</v>
      </c>
    </row>
    <row r="485" spans="4:46">
      <c r="D485" s="178" t="s">
        <v>2434</v>
      </c>
      <c r="E485" s="175"/>
      <c r="F485" s="175"/>
      <c r="G485" s="175"/>
      <c r="H485" s="175"/>
      <c r="I485" s="175"/>
      <c r="J485" s="175"/>
      <c r="K485" s="175"/>
      <c r="L485" s="175"/>
      <c r="M485" s="175"/>
      <c r="N485" s="175"/>
      <c r="O485" s="175"/>
      <c r="P485" s="175"/>
      <c r="Q485" s="175"/>
      <c r="R485" s="175"/>
      <c r="S485" s="175"/>
      <c r="T485" s="175"/>
      <c r="U485" s="175"/>
      <c r="V485" s="254" t="e">
        <f t="shared" ref="V485:AE485" si="512">+V484/U484</f>
        <v>#DIV/0!</v>
      </c>
      <c r="W485" s="254" t="e">
        <f t="shared" si="512"/>
        <v>#DIV/0!</v>
      </c>
      <c r="X485" s="254" t="e">
        <f t="shared" si="512"/>
        <v>#DIV/0!</v>
      </c>
      <c r="Y485" s="254" t="e">
        <f t="shared" si="512"/>
        <v>#DIV/0!</v>
      </c>
      <c r="Z485" s="254" t="e">
        <f t="shared" si="512"/>
        <v>#DIV/0!</v>
      </c>
      <c r="AA485" s="254" t="e">
        <f t="shared" si="512"/>
        <v>#DIV/0!</v>
      </c>
      <c r="AB485" s="254" t="e">
        <f t="shared" si="512"/>
        <v>#DIV/0!</v>
      </c>
      <c r="AC485" s="254" t="e">
        <f t="shared" si="512"/>
        <v>#DIV/0!</v>
      </c>
      <c r="AD485" s="254" t="e">
        <f t="shared" si="512"/>
        <v>#DIV/0!</v>
      </c>
      <c r="AE485" s="254" t="e">
        <f t="shared" si="512"/>
        <v>#DIV/0!</v>
      </c>
      <c r="AF485" s="254">
        <f>+AF484/AE484</f>
        <v>0.56430073795062741</v>
      </c>
      <c r="AG485" s="254">
        <f>+AG484/AF484</f>
        <v>2.0264314723687491</v>
      </c>
      <c r="AH485" s="254">
        <f t="shared" ref="AH485:AI485" si="513">+AH484/AG484</f>
        <v>0</v>
      </c>
      <c r="AI485" s="254" t="e">
        <f t="shared" si="513"/>
        <v>#DIV/0!</v>
      </c>
      <c r="AJ485" s="1601">
        <v>0.26215143916572003</v>
      </c>
      <c r="AK485" s="1601">
        <v>4.6713788549783199</v>
      </c>
      <c r="AL485" s="1601">
        <v>0.98629707736341998</v>
      </c>
      <c r="AM485" s="1601">
        <v>0.97471269191140619</v>
      </c>
      <c r="AN485" s="1601">
        <v>1.0018946283985657</v>
      </c>
      <c r="AO485" s="1601">
        <v>0.83657790949782074</v>
      </c>
      <c r="AP485" s="1601">
        <v>2.0236666470823268</v>
      </c>
      <c r="AQ485" s="1601">
        <v>2.0236666470823268</v>
      </c>
      <c r="AR485" s="1601">
        <v>2.0236666470823268</v>
      </c>
      <c r="AS485" s="1601">
        <v>2.0236666470823268</v>
      </c>
      <c r="AT485" s="1601">
        <v>2.0236666470823268</v>
      </c>
    </row>
    <row r="486" spans="4:46">
      <c r="D486" s="178"/>
      <c r="E486" s="175"/>
      <c r="F486" s="175"/>
      <c r="G486" s="175"/>
      <c r="H486" s="175"/>
      <c r="I486" s="175"/>
      <c r="J486" s="175"/>
      <c r="K486" s="175"/>
      <c r="L486" s="175"/>
      <c r="M486" s="175"/>
      <c r="N486" s="175"/>
      <c r="O486" s="175"/>
      <c r="P486" s="175"/>
      <c r="Q486" s="175"/>
      <c r="R486" s="175"/>
      <c r="S486" s="175"/>
      <c r="T486" s="175"/>
      <c r="U486" s="175"/>
      <c r="V486" s="194"/>
      <c r="W486" s="194"/>
      <c r="X486" s="194"/>
      <c r="Y486" s="194"/>
      <c r="Z486" s="194"/>
      <c r="AA486" s="194"/>
      <c r="AB486" s="194"/>
      <c r="AC486" s="194"/>
      <c r="AD486" s="194"/>
      <c r="AE486" s="194"/>
      <c r="AF486" s="194"/>
      <c r="AG486" s="194"/>
      <c r="AH486" s="194"/>
      <c r="AI486" s="194"/>
      <c r="AJ486" s="194"/>
      <c r="AK486" s="194"/>
      <c r="AL486" s="194"/>
      <c r="AM486" s="194"/>
      <c r="AN486" s="194"/>
      <c r="AO486" s="194"/>
      <c r="AP486" s="194"/>
      <c r="AQ486" s="194"/>
      <c r="AR486" s="194"/>
      <c r="AS486" s="194"/>
      <c r="AT486" s="194"/>
    </row>
    <row r="487" spans="4:46">
      <c r="D487" s="190" t="s">
        <v>2435</v>
      </c>
      <c r="E487" s="175"/>
      <c r="F487" s="175"/>
      <c r="G487" s="175"/>
      <c r="H487" s="175"/>
      <c r="I487" s="175"/>
      <c r="J487" s="175"/>
      <c r="K487" s="175"/>
      <c r="L487" s="175"/>
      <c r="M487" s="175"/>
      <c r="N487" s="175"/>
      <c r="O487" s="175"/>
      <c r="P487" s="175"/>
      <c r="Q487" s="175"/>
      <c r="R487" s="175"/>
      <c r="S487" s="175"/>
      <c r="T487" s="175"/>
      <c r="U487" s="175"/>
      <c r="V487" s="194">
        <f t="shared" ref="V487:AT487" si="514">V1013/V402</f>
        <v>0</v>
      </c>
      <c r="W487" s="194">
        <f t="shared" si="514"/>
        <v>0</v>
      </c>
      <c r="X487" s="194">
        <f t="shared" si="514"/>
        <v>0</v>
      </c>
      <c r="Y487" s="194">
        <f t="shared" si="514"/>
        <v>0</v>
      </c>
      <c r="Z487" s="194">
        <f t="shared" si="514"/>
        <v>7.7890216623821768E-4</v>
      </c>
      <c r="AA487" s="194">
        <f t="shared" si="514"/>
        <v>5.6014718473329636E-3</v>
      </c>
      <c r="AB487" s="194">
        <f t="shared" si="514"/>
        <v>0</v>
      </c>
      <c r="AC487" s="194">
        <f t="shared" si="514"/>
        <v>0</v>
      </c>
      <c r="AD487" s="194">
        <f t="shared" si="514"/>
        <v>2.82506882312457E-4</v>
      </c>
      <c r="AE487" s="194">
        <f t="shared" si="514"/>
        <v>1.4655090845753611E-3</v>
      </c>
      <c r="AF487" s="194">
        <f t="shared" si="514"/>
        <v>6.7593014121572459E-4</v>
      </c>
      <c r="AG487" s="194">
        <f t="shared" si="514"/>
        <v>5.9971722652560854E-4</v>
      </c>
      <c r="AH487" s="194">
        <f t="shared" si="514"/>
        <v>0</v>
      </c>
      <c r="AI487" s="194">
        <f t="shared" si="514"/>
        <v>0</v>
      </c>
      <c r="AJ487" s="194">
        <f t="shared" si="514"/>
        <v>0</v>
      </c>
      <c r="AK487" s="194">
        <f t="shared" si="514"/>
        <v>0</v>
      </c>
      <c r="AL487" s="194">
        <f t="shared" si="514"/>
        <v>0</v>
      </c>
      <c r="AM487" s="194">
        <f t="shared" si="514"/>
        <v>0</v>
      </c>
      <c r="AN487" s="194">
        <f t="shared" si="514"/>
        <v>0</v>
      </c>
      <c r="AO487" s="194">
        <f t="shared" si="514"/>
        <v>0</v>
      </c>
      <c r="AP487" s="194">
        <f t="shared" si="514"/>
        <v>0</v>
      </c>
      <c r="AQ487" s="194">
        <f t="shared" si="514"/>
        <v>0</v>
      </c>
      <c r="AR487" s="194">
        <f t="shared" si="514"/>
        <v>0</v>
      </c>
      <c r="AS487" s="194">
        <f t="shared" si="514"/>
        <v>0</v>
      </c>
      <c r="AT487" s="194">
        <f t="shared" si="514"/>
        <v>0</v>
      </c>
    </row>
    <row r="488" spans="4:46">
      <c r="D488" s="175" t="s">
        <v>2436</v>
      </c>
      <c r="E488" s="175"/>
      <c r="F488" s="175"/>
      <c r="G488" s="175"/>
      <c r="H488" s="175"/>
      <c r="I488" s="175"/>
      <c r="J488" s="175"/>
      <c r="K488" s="175"/>
      <c r="L488" s="175"/>
      <c r="M488" s="175"/>
      <c r="N488" s="175"/>
      <c r="O488" s="175"/>
      <c r="P488" s="175"/>
      <c r="Q488" s="175"/>
      <c r="R488" s="175"/>
      <c r="S488" s="175"/>
      <c r="T488" s="175"/>
      <c r="U488" s="175"/>
      <c r="V488" s="194">
        <f t="shared" ref="V488:AG488" si="515">V1013/V404</f>
        <v>0</v>
      </c>
      <c r="W488" s="194">
        <f t="shared" si="515"/>
        <v>0</v>
      </c>
      <c r="X488" s="194">
        <f t="shared" si="515"/>
        <v>0</v>
      </c>
      <c r="Y488" s="194">
        <f t="shared" si="515"/>
        <v>0</v>
      </c>
      <c r="Z488" s="194">
        <f t="shared" si="515"/>
        <v>1.479498402005104E-3</v>
      </c>
      <c r="AA488" s="194">
        <f t="shared" si="515"/>
        <v>1.113815595809004E-2</v>
      </c>
      <c r="AB488" s="194">
        <f t="shared" si="515"/>
        <v>0</v>
      </c>
      <c r="AC488" s="194">
        <f t="shared" si="515"/>
        <v>0</v>
      </c>
      <c r="AD488" s="194">
        <f t="shared" si="515"/>
        <v>5.9652411409556662E-4</v>
      </c>
      <c r="AE488" s="194">
        <f t="shared" si="515"/>
        <v>3.1057337165601834E-3</v>
      </c>
      <c r="AF488" s="194">
        <f t="shared" si="515"/>
        <v>1.4313952507670061E-3</v>
      </c>
      <c r="AG488" s="194">
        <f t="shared" si="515"/>
        <v>1.2477565439552741E-3</v>
      </c>
      <c r="AH488" s="194">
        <f t="shared" ref="AH488:AM488" si="516">AG488*AH489</f>
        <v>1.2477565439552741E-3</v>
      </c>
      <c r="AI488" s="194">
        <f t="shared" si="516"/>
        <v>0</v>
      </c>
      <c r="AJ488" s="194">
        <f t="shared" si="516"/>
        <v>0</v>
      </c>
      <c r="AK488" s="194">
        <f t="shared" si="516"/>
        <v>0</v>
      </c>
      <c r="AL488" s="194">
        <f t="shared" si="516"/>
        <v>0</v>
      </c>
      <c r="AM488" s="194">
        <f t="shared" si="516"/>
        <v>0</v>
      </c>
      <c r="AN488" s="194">
        <f t="shared" ref="AN488" si="517">AM488*AN489</f>
        <v>0</v>
      </c>
      <c r="AO488" s="194">
        <f t="shared" ref="AO488" si="518">AN488*AO489</f>
        <v>0</v>
      </c>
      <c r="AP488" s="194">
        <f t="shared" ref="AP488" si="519">AO488*AP489</f>
        <v>0</v>
      </c>
      <c r="AQ488" s="194">
        <f t="shared" ref="AQ488" si="520">AP488*AQ489</f>
        <v>0</v>
      </c>
      <c r="AR488" s="194">
        <f t="shared" ref="AR488" si="521">AQ488*AR489</f>
        <v>0</v>
      </c>
      <c r="AS488" s="194">
        <f t="shared" ref="AS488" si="522">AR488*AS489</f>
        <v>0</v>
      </c>
      <c r="AT488" s="194">
        <f t="shared" ref="AT488" si="523">AS488*AT489</f>
        <v>0</v>
      </c>
    </row>
    <row r="489" spans="4:46">
      <c r="D489" s="178" t="s">
        <v>2437</v>
      </c>
      <c r="E489" s="175"/>
      <c r="F489" s="175"/>
      <c r="G489" s="175"/>
      <c r="H489" s="175"/>
      <c r="I489" s="175"/>
      <c r="J489" s="175"/>
      <c r="K489" s="175"/>
      <c r="L489" s="175"/>
      <c r="M489" s="175"/>
      <c r="N489" s="175"/>
      <c r="O489" s="175"/>
      <c r="P489" s="175"/>
      <c r="Q489" s="175"/>
      <c r="R489" s="175"/>
      <c r="S489" s="175"/>
      <c r="T489" s="175"/>
      <c r="U489" s="175"/>
      <c r="V489" s="254" t="e">
        <f t="shared" ref="V489:AG489" si="524">+V488/U488</f>
        <v>#DIV/0!</v>
      </c>
      <c r="W489" s="254" t="e">
        <f t="shared" si="524"/>
        <v>#DIV/0!</v>
      </c>
      <c r="X489" s="254" t="e">
        <f t="shared" si="524"/>
        <v>#DIV/0!</v>
      </c>
      <c r="Y489" s="254" t="e">
        <f t="shared" si="524"/>
        <v>#DIV/0!</v>
      </c>
      <c r="Z489" s="254" t="e">
        <f t="shared" si="524"/>
        <v>#DIV/0!</v>
      </c>
      <c r="AA489" s="254">
        <f t="shared" si="524"/>
        <v>7.5283325368888203</v>
      </c>
      <c r="AB489" s="254">
        <f t="shared" si="524"/>
        <v>0</v>
      </c>
      <c r="AC489" s="254" t="e">
        <f t="shared" si="524"/>
        <v>#DIV/0!</v>
      </c>
      <c r="AD489" s="254" t="e">
        <f t="shared" si="524"/>
        <v>#DIV/0!</v>
      </c>
      <c r="AE489" s="254">
        <f t="shared" si="524"/>
        <v>5.206384189965247</v>
      </c>
      <c r="AF489" s="254">
        <f t="shared" si="524"/>
        <v>0.46088795157634316</v>
      </c>
      <c r="AG489" s="254">
        <f t="shared" si="524"/>
        <v>0.87170649985506787</v>
      </c>
      <c r="AH489" s="254">
        <v>1</v>
      </c>
      <c r="AI489" s="254">
        <v>0</v>
      </c>
      <c r="AJ489" s="1601">
        <v>10</v>
      </c>
      <c r="AK489" s="1601">
        <v>1.0924004436958779</v>
      </c>
      <c r="AL489" s="1601">
        <v>1.0202215790731111</v>
      </c>
      <c r="AM489" s="1601">
        <v>2</v>
      </c>
      <c r="AN489" s="1601">
        <v>2</v>
      </c>
      <c r="AO489" s="1601">
        <v>2</v>
      </c>
      <c r="AP489" s="1601">
        <v>2</v>
      </c>
      <c r="AQ489" s="1601">
        <v>2</v>
      </c>
      <c r="AR489" s="1601">
        <v>2</v>
      </c>
      <c r="AS489" s="1601">
        <v>2</v>
      </c>
      <c r="AT489" s="1601">
        <v>2</v>
      </c>
    </row>
    <row r="490" spans="4:46">
      <c r="D490" s="178"/>
      <c r="E490" s="175"/>
      <c r="F490" s="175"/>
      <c r="G490" s="175"/>
      <c r="H490" s="175"/>
      <c r="I490" s="175"/>
      <c r="J490" s="175"/>
      <c r="K490" s="175"/>
      <c r="L490" s="175"/>
      <c r="M490" s="175"/>
      <c r="N490" s="175"/>
      <c r="O490" s="175"/>
      <c r="P490" s="175"/>
      <c r="Q490" s="175"/>
      <c r="R490" s="175"/>
      <c r="S490" s="175"/>
      <c r="T490" s="175"/>
      <c r="U490" s="175"/>
      <c r="V490" s="194"/>
      <c r="W490" s="194"/>
      <c r="X490" s="194"/>
      <c r="Y490" s="194"/>
      <c r="Z490" s="194"/>
      <c r="AA490" s="194"/>
      <c r="AB490" s="194"/>
      <c r="AC490" s="194"/>
      <c r="AD490" s="194"/>
      <c r="AE490" s="194"/>
      <c r="AF490" s="194"/>
      <c r="AG490" s="194"/>
      <c r="AH490" s="194"/>
      <c r="AI490" s="194"/>
      <c r="AJ490" s="194"/>
      <c r="AK490" s="194"/>
      <c r="AL490" s="194"/>
      <c r="AM490" s="194"/>
      <c r="AN490" s="194"/>
      <c r="AO490" s="194"/>
      <c r="AP490" s="194"/>
      <c r="AQ490" s="194"/>
      <c r="AR490" s="194"/>
      <c r="AS490" s="194"/>
      <c r="AT490" s="194"/>
    </row>
    <row r="491" spans="4:46">
      <c r="D491" s="190" t="s">
        <v>3114</v>
      </c>
      <c r="E491" s="175"/>
      <c r="F491" s="175"/>
      <c r="G491" s="175"/>
      <c r="H491" s="175"/>
      <c r="I491" s="175"/>
      <c r="J491" s="175"/>
      <c r="K491" s="175"/>
      <c r="L491" s="175"/>
      <c r="M491" s="175"/>
      <c r="N491" s="175"/>
      <c r="O491" s="175"/>
      <c r="P491" s="175"/>
      <c r="Q491" s="175"/>
      <c r="R491" s="175"/>
      <c r="S491" s="175"/>
      <c r="T491" s="175"/>
      <c r="U491" s="175"/>
      <c r="V491" s="194">
        <f t="shared" ref="V491:AT491" si="525">V1014/V402</f>
        <v>0</v>
      </c>
      <c r="W491" s="194">
        <f t="shared" si="525"/>
        <v>0</v>
      </c>
      <c r="X491" s="194">
        <f t="shared" si="525"/>
        <v>0</v>
      </c>
      <c r="Y491" s="194">
        <f t="shared" si="525"/>
        <v>0</v>
      </c>
      <c r="Z491" s="194">
        <f t="shared" si="525"/>
        <v>9.7686375321336754E-9</v>
      </c>
      <c r="AA491" s="194">
        <f t="shared" si="525"/>
        <v>9.7055327351583269E-9</v>
      </c>
      <c r="AB491" s="194">
        <f t="shared" si="525"/>
        <v>0</v>
      </c>
      <c r="AC491" s="194">
        <f t="shared" si="525"/>
        <v>0</v>
      </c>
      <c r="AD491" s="194">
        <f t="shared" si="525"/>
        <v>2.82506882312457E-4</v>
      </c>
      <c r="AE491" s="194">
        <f t="shared" si="525"/>
        <v>0</v>
      </c>
      <c r="AF491" s="194">
        <f t="shared" si="525"/>
        <v>0</v>
      </c>
      <c r="AG491" s="194">
        <f t="shared" si="525"/>
        <v>0</v>
      </c>
      <c r="AH491" s="194">
        <f t="shared" si="525"/>
        <v>0</v>
      </c>
      <c r="AI491" s="194">
        <f t="shared" si="525"/>
        <v>0</v>
      </c>
      <c r="AJ491" s="194">
        <f t="shared" si="525"/>
        <v>0</v>
      </c>
      <c r="AK491" s="194">
        <f t="shared" si="525"/>
        <v>0</v>
      </c>
      <c r="AL491" s="194">
        <f t="shared" si="525"/>
        <v>0</v>
      </c>
      <c r="AM491" s="194">
        <f t="shared" si="525"/>
        <v>0</v>
      </c>
      <c r="AN491" s="194">
        <f t="shared" si="525"/>
        <v>0</v>
      </c>
      <c r="AO491" s="194">
        <f t="shared" si="525"/>
        <v>0</v>
      </c>
      <c r="AP491" s="194">
        <f t="shared" si="525"/>
        <v>0</v>
      </c>
      <c r="AQ491" s="194">
        <f t="shared" si="525"/>
        <v>0</v>
      </c>
      <c r="AR491" s="194">
        <f t="shared" si="525"/>
        <v>0</v>
      </c>
      <c r="AS491" s="194">
        <f t="shared" si="525"/>
        <v>0</v>
      </c>
      <c r="AT491" s="194">
        <f t="shared" si="525"/>
        <v>0</v>
      </c>
    </row>
    <row r="492" spans="4:46">
      <c r="D492" s="175" t="s">
        <v>3112</v>
      </c>
      <c r="E492" s="175"/>
      <c r="F492" s="175"/>
      <c r="G492" s="175"/>
      <c r="H492" s="175"/>
      <c r="I492" s="175"/>
      <c r="J492" s="175"/>
      <c r="K492" s="175"/>
      <c r="L492" s="175"/>
      <c r="M492" s="175"/>
      <c r="N492" s="175"/>
      <c r="O492" s="175"/>
      <c r="P492" s="175"/>
      <c r="Q492" s="175"/>
      <c r="R492" s="175"/>
      <c r="S492" s="175"/>
      <c r="T492" s="175"/>
      <c r="U492" s="175"/>
      <c r="V492" s="194">
        <f t="shared" ref="V492:AG492" si="526">V1014/V407</f>
        <v>0</v>
      </c>
      <c r="W492" s="194">
        <f t="shared" si="526"/>
        <v>0</v>
      </c>
      <c r="X492" s="194">
        <f t="shared" si="526"/>
        <v>0</v>
      </c>
      <c r="Y492" s="194">
        <f t="shared" si="526"/>
        <v>0</v>
      </c>
      <c r="Z492" s="194">
        <f t="shared" si="526"/>
        <v>1.4002012989506811E-8</v>
      </c>
      <c r="AA492" s="194">
        <f t="shared" si="526"/>
        <v>2.0645504333120997E-8</v>
      </c>
      <c r="AB492" s="194">
        <f t="shared" si="526"/>
        <v>0</v>
      </c>
      <c r="AC492" s="194">
        <f t="shared" si="526"/>
        <v>0</v>
      </c>
      <c r="AD492" s="194">
        <f t="shared" si="526"/>
        <v>1.383767632872562E-3</v>
      </c>
      <c r="AE492" s="194">
        <f t="shared" si="526"/>
        <v>0</v>
      </c>
      <c r="AF492" s="194">
        <f t="shared" si="526"/>
        <v>0</v>
      </c>
      <c r="AG492" s="194">
        <f t="shared" si="526"/>
        <v>0</v>
      </c>
      <c r="AH492" s="194">
        <f t="shared" ref="AH492:AM492" si="527">AG492*AH493</f>
        <v>0</v>
      </c>
      <c r="AI492" s="194">
        <f t="shared" si="527"/>
        <v>0</v>
      </c>
      <c r="AJ492" s="194">
        <f t="shared" si="527"/>
        <v>0</v>
      </c>
      <c r="AK492" s="194">
        <f t="shared" si="527"/>
        <v>0</v>
      </c>
      <c r="AL492" s="194">
        <f t="shared" si="527"/>
        <v>0</v>
      </c>
      <c r="AM492" s="194">
        <f t="shared" si="527"/>
        <v>0</v>
      </c>
      <c r="AN492" s="194">
        <f t="shared" ref="AN492" si="528">AM492*AN493</f>
        <v>0</v>
      </c>
      <c r="AO492" s="194">
        <f t="shared" ref="AO492" si="529">AN492*AO493</f>
        <v>0</v>
      </c>
      <c r="AP492" s="194">
        <f t="shared" ref="AP492" si="530">AO492*AP493</f>
        <v>0</v>
      </c>
      <c r="AQ492" s="194">
        <f t="shared" ref="AQ492" si="531">AP492*AQ493</f>
        <v>0</v>
      </c>
      <c r="AR492" s="194">
        <f t="shared" ref="AR492" si="532">AQ492*AR493</f>
        <v>0</v>
      </c>
      <c r="AS492" s="194">
        <f t="shared" ref="AS492:AT492" si="533">AR492*AS493</f>
        <v>0</v>
      </c>
      <c r="AT492" s="194">
        <f t="shared" si="533"/>
        <v>0</v>
      </c>
    </row>
    <row r="493" spans="4:46">
      <c r="D493" s="178" t="s">
        <v>3113</v>
      </c>
      <c r="E493" s="175"/>
      <c r="F493" s="175"/>
      <c r="G493" s="175"/>
      <c r="H493" s="175"/>
      <c r="I493" s="175"/>
      <c r="J493" s="175"/>
      <c r="K493" s="175"/>
      <c r="L493" s="175"/>
      <c r="M493" s="175"/>
      <c r="N493" s="175"/>
      <c r="O493" s="175"/>
      <c r="P493" s="175"/>
      <c r="Q493" s="175"/>
      <c r="R493" s="175"/>
      <c r="S493" s="175"/>
      <c r="T493" s="175"/>
      <c r="U493" s="175"/>
      <c r="V493" s="254" t="e">
        <f t="shared" ref="V493:AG493" si="534">+V492/U492</f>
        <v>#DIV/0!</v>
      </c>
      <c r="W493" s="254" t="e">
        <f t="shared" si="534"/>
        <v>#DIV/0!</v>
      </c>
      <c r="X493" s="254" t="e">
        <f t="shared" si="534"/>
        <v>#DIV/0!</v>
      </c>
      <c r="Y493" s="254" t="e">
        <f t="shared" si="534"/>
        <v>#DIV/0!</v>
      </c>
      <c r="Z493" s="254" t="e">
        <f t="shared" si="534"/>
        <v>#DIV/0!</v>
      </c>
      <c r="AA493" s="254">
        <f t="shared" si="534"/>
        <v>1.4744668747695675</v>
      </c>
      <c r="AB493" s="254">
        <f t="shared" si="534"/>
        <v>0</v>
      </c>
      <c r="AC493" s="254" t="e">
        <f t="shared" si="534"/>
        <v>#DIV/0!</v>
      </c>
      <c r="AD493" s="254" t="e">
        <f t="shared" si="534"/>
        <v>#DIV/0!</v>
      </c>
      <c r="AE493" s="254">
        <f t="shared" si="534"/>
        <v>0</v>
      </c>
      <c r="AF493" s="254" t="e">
        <f t="shared" si="534"/>
        <v>#DIV/0!</v>
      </c>
      <c r="AG493" s="254" t="e">
        <f t="shared" si="534"/>
        <v>#DIV/0!</v>
      </c>
      <c r="AH493" s="1601">
        <v>1</v>
      </c>
      <c r="AI493" s="1601">
        <v>1</v>
      </c>
      <c r="AJ493" s="1601">
        <v>1</v>
      </c>
      <c r="AK493" s="1601">
        <v>1</v>
      </c>
      <c r="AL493" s="1601">
        <v>1</v>
      </c>
      <c r="AM493" s="1601">
        <v>1</v>
      </c>
      <c r="AN493" s="1601">
        <v>1</v>
      </c>
      <c r="AO493" s="1601">
        <v>1</v>
      </c>
      <c r="AP493" s="1601">
        <v>1</v>
      </c>
      <c r="AQ493" s="1601">
        <v>1</v>
      </c>
      <c r="AR493" s="1601">
        <v>1</v>
      </c>
      <c r="AS493" s="1601">
        <v>1</v>
      </c>
      <c r="AT493" s="1601">
        <v>1</v>
      </c>
    </row>
    <row r="494" spans="4:46">
      <c r="D494" s="178"/>
      <c r="E494" s="175"/>
      <c r="F494" s="175"/>
      <c r="G494" s="175"/>
      <c r="H494" s="175"/>
      <c r="I494" s="175"/>
      <c r="J494" s="175"/>
      <c r="K494" s="175"/>
      <c r="L494" s="175"/>
      <c r="M494" s="175"/>
      <c r="N494" s="175"/>
      <c r="O494" s="175"/>
      <c r="P494" s="175"/>
      <c r="Q494" s="175"/>
      <c r="R494" s="175"/>
      <c r="S494" s="175"/>
      <c r="T494" s="175"/>
      <c r="U494" s="175"/>
      <c r="V494" s="194"/>
      <c r="W494" s="194"/>
      <c r="X494" s="194"/>
      <c r="Y494" s="194"/>
      <c r="Z494" s="194"/>
      <c r="AA494" s="194"/>
      <c r="AB494" s="194"/>
      <c r="AC494" s="194"/>
      <c r="AD494" s="194"/>
      <c r="AE494" s="194"/>
      <c r="AF494" s="194"/>
      <c r="AG494" s="194"/>
      <c r="AH494" s="194"/>
      <c r="AI494" s="194"/>
      <c r="AJ494" s="194"/>
      <c r="AK494" s="194"/>
      <c r="AL494" s="194"/>
      <c r="AM494" s="194"/>
      <c r="AN494" s="194"/>
      <c r="AO494" s="194"/>
      <c r="AP494" s="194"/>
      <c r="AQ494" s="194"/>
      <c r="AR494" s="194"/>
      <c r="AS494" s="194"/>
      <c r="AT494" s="194"/>
    </row>
    <row r="495" spans="4:46">
      <c r="D495" s="190" t="s">
        <v>2444</v>
      </c>
      <c r="E495" s="175"/>
      <c r="F495" s="175"/>
      <c r="G495" s="175"/>
      <c r="H495" s="175"/>
      <c r="I495" s="175"/>
      <c r="J495" s="175"/>
      <c r="K495" s="175"/>
      <c r="L495" s="175"/>
      <c r="M495" s="175"/>
      <c r="N495" s="175"/>
      <c r="O495" s="175"/>
      <c r="P495" s="175"/>
      <c r="Q495" s="175"/>
      <c r="R495" s="175"/>
      <c r="S495" s="175"/>
      <c r="T495" s="175"/>
      <c r="U495" s="175"/>
      <c r="V495" s="194">
        <f t="shared" ref="V495:AT495" si="535">V1015/V402</f>
        <v>0</v>
      </c>
      <c r="W495" s="194">
        <f t="shared" si="535"/>
        <v>0</v>
      </c>
      <c r="X495" s="194">
        <f t="shared" si="535"/>
        <v>0</v>
      </c>
      <c r="Y495" s="194">
        <f t="shared" si="535"/>
        <v>0</v>
      </c>
      <c r="Z495" s="194">
        <f t="shared" si="535"/>
        <v>7.7889239760068544E-4</v>
      </c>
      <c r="AA495" s="194">
        <f t="shared" si="535"/>
        <v>5.6014621418002284E-3</v>
      </c>
      <c r="AB495" s="194">
        <f t="shared" si="535"/>
        <v>0</v>
      </c>
      <c r="AC495" s="194">
        <f t="shared" si="535"/>
        <v>0</v>
      </c>
      <c r="AD495" s="194">
        <f t="shared" si="535"/>
        <v>0</v>
      </c>
      <c r="AE495" s="194">
        <f t="shared" si="535"/>
        <v>1.4938286359284403E-3</v>
      </c>
      <c r="AF495" s="194">
        <f t="shared" si="535"/>
        <v>6.7604638642780655E-4</v>
      </c>
      <c r="AG495" s="194">
        <f t="shared" si="535"/>
        <v>6.0529033372257461E-4</v>
      </c>
      <c r="AH495" s="194">
        <f t="shared" si="535"/>
        <v>0</v>
      </c>
      <c r="AI495" s="194">
        <f t="shared" si="535"/>
        <v>7.2835048413816424E-4</v>
      </c>
      <c r="AJ495" s="194">
        <f t="shared" si="535"/>
        <v>1.2309942652565277E-3</v>
      </c>
      <c r="AK495" s="194">
        <f t="shared" si="535"/>
        <v>1.3239381595921587E-3</v>
      </c>
      <c r="AL495" s="194">
        <f t="shared" si="535"/>
        <v>1.3092381131897756E-3</v>
      </c>
      <c r="AM495" s="194">
        <f t="shared" si="535"/>
        <v>1.3119667212199027E-3</v>
      </c>
      <c r="AN495" s="194">
        <f t="shared" si="535"/>
        <v>1.1007514318363931E-3</v>
      </c>
      <c r="AO495" s="194">
        <f t="shared" si="535"/>
        <v>1.140771929339127E-3</v>
      </c>
      <c r="AP495" s="194">
        <f t="shared" si="535"/>
        <v>1.1486559821322938E-3</v>
      </c>
      <c r="AQ495" s="194">
        <f t="shared" si="535"/>
        <v>1.1294571417897472E-3</v>
      </c>
      <c r="AR495" s="194">
        <f t="shared" si="535"/>
        <v>1.2782906260412324E-3</v>
      </c>
      <c r="AS495" s="194">
        <f t="shared" si="535"/>
        <v>-4.5598406630151574E-3</v>
      </c>
      <c r="AT495" s="194">
        <f t="shared" si="535"/>
        <v>-1.2764520736541897E-2</v>
      </c>
    </row>
    <row r="496" spans="4:46">
      <c r="D496" s="175" t="s">
        <v>2399</v>
      </c>
      <c r="E496" s="175"/>
      <c r="F496" s="175"/>
      <c r="G496" s="175"/>
      <c r="H496" s="175"/>
      <c r="I496" s="175"/>
      <c r="J496" s="175"/>
      <c r="K496" s="175"/>
      <c r="L496" s="175"/>
      <c r="M496" s="175"/>
      <c r="N496" s="175"/>
      <c r="O496" s="175"/>
      <c r="P496" s="175"/>
      <c r="Q496" s="175"/>
      <c r="R496" s="175"/>
      <c r="S496" s="175"/>
      <c r="T496" s="175"/>
      <c r="U496" s="175"/>
      <c r="V496" s="194">
        <f t="shared" ref="V496:AG496" si="536">V1015/V404</f>
        <v>0</v>
      </c>
      <c r="W496" s="194">
        <f t="shared" si="536"/>
        <v>0</v>
      </c>
      <c r="X496" s="194">
        <f t="shared" si="536"/>
        <v>0</v>
      </c>
      <c r="Y496" s="194">
        <f t="shared" si="536"/>
        <v>0</v>
      </c>
      <c r="Z496" s="194">
        <f t="shared" si="536"/>
        <v>1.4794798468074871E-3</v>
      </c>
      <c r="AA496" s="194">
        <f t="shared" si="536"/>
        <v>1.1138136659280691E-2</v>
      </c>
      <c r="AB496" s="194">
        <f t="shared" si="536"/>
        <v>0</v>
      </c>
      <c r="AC496" s="194">
        <f t="shared" si="536"/>
        <v>0</v>
      </c>
      <c r="AD496" s="194">
        <f t="shared" si="536"/>
        <v>0</v>
      </c>
      <c r="AE496" s="194">
        <f t="shared" si="536"/>
        <v>3.1657490289187557E-3</v>
      </c>
      <c r="AF496" s="194">
        <f t="shared" si="536"/>
        <v>1.4316414194675161E-3</v>
      </c>
      <c r="AG496" s="194">
        <f t="shared" si="536"/>
        <v>1.2593518103034915E-3</v>
      </c>
      <c r="AH496" s="194">
        <f t="shared" ref="AH496:AM496" si="537">AG496*AH497</f>
        <v>2.0064456885098103E-3</v>
      </c>
      <c r="AI496" s="194">
        <f t="shared" si="537"/>
        <v>1.4904396241909531E-3</v>
      </c>
      <c r="AJ496" s="194">
        <f t="shared" si="537"/>
        <v>3.1029443513526057E-3</v>
      </c>
      <c r="AK496" s="194">
        <f t="shared" si="537"/>
        <v>3.4880400145612272E-3</v>
      </c>
      <c r="AL496" s="194">
        <f t="shared" si="537"/>
        <v>3.4137814110005251E-3</v>
      </c>
      <c r="AM496" s="194">
        <f t="shared" si="537"/>
        <v>3.3329175807419423E-3</v>
      </c>
      <c r="AN496" s="194">
        <f t="shared" ref="AN496" si="538">AM496*AN497</f>
        <v>2.791851547654644E-3</v>
      </c>
      <c r="AO496" s="194">
        <f t="shared" ref="AO496" si="539">AN496*AO497</f>
        <v>2.815276301664317E-3</v>
      </c>
      <c r="AP496" s="194">
        <f t="shared" ref="AP496" si="540">AO496*AP497</f>
        <v>2.9009246877131139E-3</v>
      </c>
      <c r="AQ496" s="194">
        <f t="shared" ref="AQ496" si="541">AP496*AQ497</f>
        <v>2.9891787313410362E-3</v>
      </c>
      <c r="AR496" s="194">
        <f t="shared" ref="AR496" si="542">AQ496*AR497</f>
        <v>3.080117703760688E-3</v>
      </c>
      <c r="AS496" s="194">
        <f t="shared" ref="AS496" si="543">AR496*AS497</f>
        <v>3.1738232878312368E-3</v>
      </c>
      <c r="AT496" s="194">
        <f t="shared" ref="AT496" si="544">AS496*AT497</f>
        <v>3.2703796514272827E-3</v>
      </c>
    </row>
    <row r="497" spans="4:46">
      <c r="D497" s="178" t="s">
        <v>2448</v>
      </c>
      <c r="E497" s="175"/>
      <c r="F497" s="175"/>
      <c r="G497" s="175"/>
      <c r="H497" s="175"/>
      <c r="I497" s="175"/>
      <c r="J497" s="175"/>
      <c r="K497" s="175"/>
      <c r="L497" s="175"/>
      <c r="M497" s="175"/>
      <c r="N497" s="175"/>
      <c r="O497" s="175"/>
      <c r="P497" s="175"/>
      <c r="Q497" s="175"/>
      <c r="R497" s="175"/>
      <c r="S497" s="175"/>
      <c r="T497" s="175"/>
      <c r="U497" s="175"/>
      <c r="V497" s="254" t="e">
        <f t="shared" ref="V497:AG497" si="545">+V496/U496</f>
        <v>#DIV/0!</v>
      </c>
      <c r="W497" s="254" t="e">
        <f t="shared" si="545"/>
        <v>#DIV/0!</v>
      </c>
      <c r="X497" s="254" t="e">
        <f t="shared" si="545"/>
        <v>#DIV/0!</v>
      </c>
      <c r="Y497" s="254" t="e">
        <f t="shared" si="545"/>
        <v>#DIV/0!</v>
      </c>
      <c r="Z497" s="254" t="e">
        <f t="shared" si="545"/>
        <v>#DIV/0!</v>
      </c>
      <c r="AA497" s="254">
        <f t="shared" si="545"/>
        <v>7.5284139106830343</v>
      </c>
      <c r="AB497" s="254">
        <f t="shared" si="545"/>
        <v>0</v>
      </c>
      <c r="AC497" s="254" t="e">
        <f t="shared" si="545"/>
        <v>#DIV/0!</v>
      </c>
      <c r="AD497" s="254" t="e">
        <f t="shared" si="545"/>
        <v>#DIV/0!</v>
      </c>
      <c r="AE497" s="254" t="e">
        <f t="shared" si="545"/>
        <v>#DIV/0!</v>
      </c>
      <c r="AF497" s="254">
        <f t="shared" si="545"/>
        <v>0.45222833724013978</v>
      </c>
      <c r="AG497" s="254">
        <f t="shared" si="545"/>
        <v>0.8796558923056963</v>
      </c>
      <c r="AH497" s="1601">
        <v>1.5932368319113914</v>
      </c>
      <c r="AI497" s="1601">
        <v>0.74282580023280098</v>
      </c>
      <c r="AJ497" s="1601">
        <v>2.0818987236983579</v>
      </c>
      <c r="AK497" s="1601">
        <v>1.1241065322492021</v>
      </c>
      <c r="AL497" s="1601">
        <v>0.97871050697506312</v>
      </c>
      <c r="AM497" s="1601">
        <v>0.97631253424779685</v>
      </c>
      <c r="AN497" s="1601">
        <v>0.83765994208388095</v>
      </c>
      <c r="AO497" s="1601">
        <v>1.0083904009972706</v>
      </c>
      <c r="AP497" s="1601">
        <v>1.0304227283120182</v>
      </c>
      <c r="AQ497" s="1601">
        <v>1.0304227283120182</v>
      </c>
      <c r="AR497" s="1601">
        <v>1.0304227283120182</v>
      </c>
      <c r="AS497" s="1601">
        <v>1.0304227283120182</v>
      </c>
      <c r="AT497" s="1601">
        <v>1.0304227283120182</v>
      </c>
    </row>
    <row r="498" spans="4:46">
      <c r="D498" s="178"/>
      <c r="E498" s="175"/>
      <c r="F498" s="175"/>
      <c r="G498" s="175"/>
      <c r="H498" s="175"/>
      <c r="I498" s="175"/>
      <c r="J498" s="175"/>
      <c r="K498" s="175"/>
      <c r="L498" s="175"/>
      <c r="M498" s="175"/>
      <c r="N498" s="175"/>
      <c r="O498" s="175"/>
      <c r="P498" s="175"/>
      <c r="Q498" s="175"/>
      <c r="R498" s="175"/>
      <c r="S498" s="175"/>
      <c r="T498" s="175"/>
      <c r="U498" s="175"/>
      <c r="V498" s="194"/>
      <c r="W498" s="194"/>
      <c r="X498" s="194"/>
      <c r="Y498" s="194"/>
      <c r="Z498" s="194"/>
      <c r="AA498" s="194"/>
      <c r="AB498" s="194"/>
      <c r="AC498" s="194"/>
      <c r="AD498" s="194"/>
      <c r="AE498" s="194"/>
      <c r="AF498" s="194"/>
      <c r="AG498" s="194"/>
      <c r="AH498" s="194"/>
      <c r="AI498" s="194"/>
      <c r="AJ498" s="194"/>
      <c r="AK498" s="194"/>
      <c r="AL498" s="194"/>
      <c r="AM498" s="194"/>
      <c r="AN498" s="194"/>
      <c r="AO498" s="194"/>
      <c r="AP498" s="194"/>
      <c r="AQ498" s="194"/>
      <c r="AR498" s="194"/>
      <c r="AS498" s="194"/>
      <c r="AT498" s="194"/>
    </row>
    <row r="499" spans="4:46">
      <c r="D499" s="190" t="s">
        <v>2445</v>
      </c>
      <c r="E499" s="175"/>
      <c r="F499" s="175"/>
      <c r="G499" s="175"/>
      <c r="H499" s="175"/>
      <c r="I499" s="175"/>
      <c r="J499" s="175"/>
      <c r="K499" s="175"/>
      <c r="L499" s="175"/>
      <c r="M499" s="175"/>
      <c r="N499" s="175"/>
      <c r="O499" s="175"/>
      <c r="P499" s="175"/>
      <c r="Q499" s="175"/>
      <c r="R499" s="175"/>
      <c r="S499" s="175"/>
      <c r="T499" s="175"/>
      <c r="U499" s="175"/>
      <c r="V499" s="194">
        <f t="shared" ref="V499:AT499" si="546">V1018/V402</f>
        <v>0</v>
      </c>
      <c r="W499" s="194">
        <f t="shared" si="546"/>
        <v>0</v>
      </c>
      <c r="X499" s="194">
        <f t="shared" si="546"/>
        <v>0</v>
      </c>
      <c r="Y499" s="194">
        <f t="shared" si="546"/>
        <v>0</v>
      </c>
      <c r="Z499" s="194">
        <f t="shared" si="546"/>
        <v>0</v>
      </c>
      <c r="AA499" s="194">
        <f t="shared" si="546"/>
        <v>0</v>
      </c>
      <c r="AB499" s="194">
        <f t="shared" si="546"/>
        <v>0</v>
      </c>
      <c r="AC499" s="194">
        <f t="shared" si="546"/>
        <v>0</v>
      </c>
      <c r="AD499" s="194">
        <f t="shared" si="546"/>
        <v>0</v>
      </c>
      <c r="AE499" s="194">
        <f t="shared" si="546"/>
        <v>0</v>
      </c>
      <c r="AF499" s="194">
        <f t="shared" si="546"/>
        <v>0</v>
      </c>
      <c r="AG499" s="194">
        <f t="shared" si="546"/>
        <v>1.0004512038673111E-3</v>
      </c>
      <c r="AH499" s="194">
        <f t="shared" si="546"/>
        <v>0</v>
      </c>
      <c r="AI499" s="194">
        <f t="shared" si="546"/>
        <v>7.9683160533861773E-5</v>
      </c>
      <c r="AJ499" s="194">
        <f t="shared" si="546"/>
        <v>0</v>
      </c>
      <c r="AK499" s="194">
        <f t="shared" si="546"/>
        <v>0</v>
      </c>
      <c r="AL499" s="194">
        <f t="shared" si="546"/>
        <v>0</v>
      </c>
      <c r="AM499" s="194">
        <f t="shared" si="546"/>
        <v>0</v>
      </c>
      <c r="AN499" s="194">
        <f t="shared" si="546"/>
        <v>0</v>
      </c>
      <c r="AO499" s="194">
        <f t="shared" si="546"/>
        <v>0</v>
      </c>
      <c r="AP499" s="194">
        <f t="shared" si="546"/>
        <v>0</v>
      </c>
      <c r="AQ499" s="194">
        <f t="shared" si="546"/>
        <v>0</v>
      </c>
      <c r="AR499" s="194">
        <f t="shared" si="546"/>
        <v>0</v>
      </c>
      <c r="AS499" s="194">
        <f t="shared" si="546"/>
        <v>0</v>
      </c>
      <c r="AT499" s="194">
        <f t="shared" si="546"/>
        <v>0</v>
      </c>
    </row>
    <row r="500" spans="4:46">
      <c r="D500" s="175" t="s">
        <v>2446</v>
      </c>
      <c r="E500" s="175"/>
      <c r="F500" s="175"/>
      <c r="G500" s="175"/>
      <c r="H500" s="175"/>
      <c r="I500" s="175"/>
      <c r="J500" s="175"/>
      <c r="K500" s="175"/>
      <c r="L500" s="175"/>
      <c r="M500" s="175"/>
      <c r="N500" s="175"/>
      <c r="O500" s="175"/>
      <c r="P500" s="175"/>
      <c r="Q500" s="175"/>
      <c r="R500" s="175"/>
      <c r="S500" s="175"/>
      <c r="T500" s="175"/>
      <c r="U500" s="175"/>
      <c r="V500" s="194">
        <f t="shared" ref="V500:AG500" si="547">V1018/V404</f>
        <v>0</v>
      </c>
      <c r="W500" s="194">
        <f t="shared" si="547"/>
        <v>0</v>
      </c>
      <c r="X500" s="194">
        <f t="shared" si="547"/>
        <v>0</v>
      </c>
      <c r="Y500" s="194">
        <f t="shared" si="547"/>
        <v>0</v>
      </c>
      <c r="Z500" s="194">
        <f t="shared" si="547"/>
        <v>0</v>
      </c>
      <c r="AA500" s="194">
        <f t="shared" si="547"/>
        <v>0</v>
      </c>
      <c r="AB500" s="194">
        <f t="shared" si="547"/>
        <v>0</v>
      </c>
      <c r="AC500" s="194">
        <f t="shared" si="547"/>
        <v>0</v>
      </c>
      <c r="AD500" s="194">
        <f t="shared" si="547"/>
        <v>0</v>
      </c>
      <c r="AE500" s="194">
        <f t="shared" si="547"/>
        <v>0</v>
      </c>
      <c r="AF500" s="194">
        <f t="shared" si="547"/>
        <v>0</v>
      </c>
      <c r="AG500" s="194">
        <f t="shared" si="547"/>
        <v>2.0815135555891273E-3</v>
      </c>
      <c r="AH500" s="194">
        <f t="shared" ref="AH500:AM500" si="548">AG500*AH501</f>
        <v>2.1647740978126924E-3</v>
      </c>
      <c r="AI500" s="194">
        <f t="shared" si="548"/>
        <v>2.0685054483581032E-3</v>
      </c>
      <c r="AJ500" s="194">
        <f t="shared" si="548"/>
        <v>2.0681014305355362E-3</v>
      </c>
      <c r="AK500" s="194">
        <f t="shared" si="548"/>
        <v>2.1346305152181158E-3</v>
      </c>
      <c r="AL500" s="194">
        <f t="shared" si="548"/>
        <v>2.0900765526020472E-3</v>
      </c>
      <c r="AM500" s="194">
        <f t="shared" si="548"/>
        <v>2.0900765526020472E-3</v>
      </c>
      <c r="AN500" s="194">
        <f t="shared" ref="AN500" si="549">AM500*AN501</f>
        <v>2.0900765526020472E-3</v>
      </c>
      <c r="AO500" s="194">
        <f t="shared" ref="AO500" si="550">AN500*AO501</f>
        <v>2.0900765526020472E-3</v>
      </c>
      <c r="AP500" s="194">
        <f t="shared" ref="AP500" si="551">AO500*AP501</f>
        <v>2.0900765526020472E-3</v>
      </c>
      <c r="AQ500" s="194">
        <f t="shared" ref="AQ500" si="552">AP500*AQ501</f>
        <v>2.0900765526020472E-3</v>
      </c>
      <c r="AR500" s="194">
        <f t="shared" ref="AR500" si="553">AQ500*AR501</f>
        <v>2.0900765526020472E-3</v>
      </c>
      <c r="AS500" s="194">
        <f t="shared" ref="AS500" si="554">AR500*AS501</f>
        <v>2.0900765526020472E-3</v>
      </c>
      <c r="AT500" s="194">
        <f t="shared" ref="AT500" si="555">AS500*AT501</f>
        <v>2.0900765526020472E-3</v>
      </c>
    </row>
    <row r="501" spans="4:46">
      <c r="D501" s="178" t="s">
        <v>2447</v>
      </c>
      <c r="E501" s="175"/>
      <c r="F501" s="175"/>
      <c r="G501" s="175"/>
      <c r="H501" s="175"/>
      <c r="I501" s="175"/>
      <c r="J501" s="175"/>
      <c r="K501" s="175"/>
      <c r="L501" s="175"/>
      <c r="M501" s="175"/>
      <c r="N501" s="175"/>
      <c r="O501" s="175"/>
      <c r="P501" s="175"/>
      <c r="Q501" s="175"/>
      <c r="R501" s="175"/>
      <c r="S501" s="175"/>
      <c r="T501" s="175"/>
      <c r="U501" s="175"/>
      <c r="V501" s="254" t="e">
        <f t="shared" ref="V501:AE501" si="556">+V500/U500</f>
        <v>#DIV/0!</v>
      </c>
      <c r="W501" s="254" t="e">
        <f t="shared" si="556"/>
        <v>#DIV/0!</v>
      </c>
      <c r="X501" s="254" t="e">
        <f t="shared" si="556"/>
        <v>#DIV/0!</v>
      </c>
      <c r="Y501" s="254" t="e">
        <f t="shared" si="556"/>
        <v>#DIV/0!</v>
      </c>
      <c r="Z501" s="254" t="e">
        <f t="shared" si="556"/>
        <v>#DIV/0!</v>
      </c>
      <c r="AA501" s="254" t="e">
        <f t="shared" si="556"/>
        <v>#DIV/0!</v>
      </c>
      <c r="AB501" s="254" t="e">
        <f t="shared" si="556"/>
        <v>#DIV/0!</v>
      </c>
      <c r="AC501" s="254" t="e">
        <f t="shared" si="556"/>
        <v>#DIV/0!</v>
      </c>
      <c r="AD501" s="254" t="e">
        <f t="shared" si="556"/>
        <v>#DIV/0!</v>
      </c>
      <c r="AE501" s="254" t="e">
        <f t="shared" si="556"/>
        <v>#DIV/0!</v>
      </c>
      <c r="AF501" s="254" t="e">
        <f>+AF500/AE500</f>
        <v>#DIV/0!</v>
      </c>
      <c r="AG501" s="254" t="e">
        <f>+AG500/AF500</f>
        <v>#DIV/0!</v>
      </c>
      <c r="AH501" s="1601">
        <v>1.04</v>
      </c>
      <c r="AI501" s="1601">
        <v>0.95552947092638452</v>
      </c>
      <c r="AJ501" s="1601">
        <v>0.99980468128672917</v>
      </c>
      <c r="AK501" s="1601">
        <v>1.0321691594523736</v>
      </c>
      <c r="AL501" s="1601">
        <v>0.97912802131402299</v>
      </c>
      <c r="AM501" s="1601">
        <v>1</v>
      </c>
      <c r="AN501" s="1601">
        <v>1</v>
      </c>
      <c r="AO501" s="1601">
        <v>1</v>
      </c>
      <c r="AP501" s="1601">
        <v>1</v>
      </c>
      <c r="AQ501" s="1601">
        <v>1</v>
      </c>
      <c r="AR501" s="1601">
        <v>1</v>
      </c>
      <c r="AS501" s="1601">
        <v>1</v>
      </c>
      <c r="AT501" s="1601">
        <v>1</v>
      </c>
    </row>
    <row r="502" spans="4:46">
      <c r="D502" s="178"/>
      <c r="E502" s="175"/>
      <c r="F502" s="175"/>
      <c r="G502" s="175"/>
      <c r="H502" s="175"/>
      <c r="I502" s="175"/>
      <c r="J502" s="175"/>
      <c r="K502" s="175"/>
      <c r="L502" s="175"/>
      <c r="M502" s="175"/>
      <c r="N502" s="175"/>
      <c r="O502" s="175"/>
      <c r="P502" s="175"/>
      <c r="Q502" s="175"/>
      <c r="R502" s="175"/>
      <c r="S502" s="175"/>
      <c r="T502" s="175"/>
      <c r="U502" s="175"/>
      <c r="V502" s="194"/>
      <c r="W502" s="194"/>
      <c r="X502" s="194"/>
      <c r="Y502" s="194"/>
      <c r="Z502" s="194"/>
      <c r="AA502" s="194"/>
      <c r="AB502" s="194"/>
      <c r="AC502" s="194"/>
      <c r="AD502" s="194"/>
      <c r="AE502" s="194"/>
      <c r="AF502" s="194"/>
      <c r="AG502" s="194"/>
      <c r="AH502" s="194"/>
      <c r="AI502" s="194"/>
      <c r="AJ502" s="194"/>
      <c r="AK502" s="194"/>
      <c r="AL502" s="194"/>
      <c r="AM502" s="194"/>
      <c r="AN502" s="194"/>
      <c r="AO502" s="194"/>
      <c r="AP502" s="194"/>
      <c r="AQ502" s="194"/>
      <c r="AR502" s="194"/>
      <c r="AS502" s="194"/>
      <c r="AT502" s="194"/>
    </row>
    <row r="503" spans="4:46">
      <c r="D503" s="190" t="s">
        <v>3115</v>
      </c>
      <c r="E503" s="175"/>
      <c r="F503" s="175"/>
      <c r="G503" s="175"/>
      <c r="H503" s="175"/>
      <c r="I503" s="175"/>
      <c r="J503" s="175"/>
      <c r="K503" s="175"/>
      <c r="L503" s="175"/>
      <c r="M503" s="175"/>
      <c r="N503" s="175"/>
      <c r="O503" s="175"/>
      <c r="P503" s="175"/>
      <c r="Q503" s="175"/>
      <c r="R503" s="175"/>
      <c r="S503" s="175"/>
      <c r="T503" s="175"/>
      <c r="U503" s="175"/>
      <c r="V503" s="194">
        <f t="shared" ref="V503:AT503" si="557">V1020/V402</f>
        <v>0</v>
      </c>
      <c r="W503" s="194">
        <f t="shared" si="557"/>
        <v>0</v>
      </c>
      <c r="X503" s="194">
        <f t="shared" si="557"/>
        <v>0</v>
      </c>
      <c r="Y503" s="194">
        <f t="shared" si="557"/>
        <v>1.0071891131534571E-2</v>
      </c>
      <c r="Z503" s="194">
        <f t="shared" si="557"/>
        <v>1.0890822378234789E-2</v>
      </c>
      <c r="AA503" s="194">
        <f t="shared" si="557"/>
        <v>1.1436807306804114E-2</v>
      </c>
      <c r="AB503" s="194">
        <f t="shared" si="557"/>
        <v>1.1133441206838233E-2</v>
      </c>
      <c r="AC503" s="194">
        <f t="shared" si="557"/>
        <v>1.0322496541949487E-2</v>
      </c>
      <c r="AD503" s="194">
        <f t="shared" si="557"/>
        <v>1.2817775721954578E-2</v>
      </c>
      <c r="AE503" s="194">
        <f t="shared" si="557"/>
        <v>1.2484128094756018E-2</v>
      </c>
      <c r="AF503" s="194">
        <f t="shared" si="557"/>
        <v>1.2044063023091052E-2</v>
      </c>
      <c r="AG503" s="194">
        <f t="shared" si="557"/>
        <v>1.1086036263810163E-2</v>
      </c>
      <c r="AH503" s="194">
        <f t="shared" si="557"/>
        <v>1.3838150217665724E-2</v>
      </c>
      <c r="AI503" s="194">
        <f t="shared" si="557"/>
        <v>1.0958198645764632E-2</v>
      </c>
      <c r="AJ503" s="194">
        <f t="shared" si="557"/>
        <v>1.1118119233726811E-2</v>
      </c>
      <c r="AK503" s="194">
        <f t="shared" si="557"/>
        <v>1.0553518680677608E-2</v>
      </c>
      <c r="AL503" s="194">
        <f t="shared" si="557"/>
        <v>1.0788060197619546E-2</v>
      </c>
      <c r="AM503" s="194">
        <f t="shared" si="557"/>
        <v>1.1578697555192663E-2</v>
      </c>
      <c r="AN503" s="194">
        <f t="shared" si="557"/>
        <v>1.1880437393534183E-2</v>
      </c>
      <c r="AO503" s="194">
        <f t="shared" si="557"/>
        <v>1.165286740196087E-2</v>
      </c>
      <c r="AP503" s="194">
        <f t="shared" si="557"/>
        <v>1.2013864727632361E-2</v>
      </c>
      <c r="AQ503" s="194">
        <f t="shared" si="557"/>
        <v>1.2579537697716811E-2</v>
      </c>
      <c r="AR503" s="194">
        <f t="shared" si="557"/>
        <v>1.3023724923106472E-2</v>
      </c>
      <c r="AS503" s="194">
        <f t="shared" si="557"/>
        <v>5.9344364225930459E-2</v>
      </c>
      <c r="AT503" s="194">
        <f t="shared" si="557"/>
        <v>7.1425709926469558E-2</v>
      </c>
    </row>
    <row r="504" spans="4:46">
      <c r="D504" s="175" t="s">
        <v>2449</v>
      </c>
      <c r="E504" s="175"/>
      <c r="F504" s="175"/>
      <c r="G504" s="175"/>
      <c r="H504" s="175"/>
      <c r="I504" s="175"/>
      <c r="J504" s="175"/>
      <c r="K504" s="175"/>
      <c r="L504" s="175"/>
      <c r="M504" s="175"/>
      <c r="N504" s="175"/>
      <c r="O504" s="175"/>
      <c r="P504" s="175"/>
      <c r="Q504" s="175"/>
      <c r="R504" s="175"/>
      <c r="S504" s="175"/>
      <c r="T504" s="175"/>
      <c r="U504" s="175"/>
      <c r="V504" s="194">
        <f t="shared" ref="V504:AI504" si="558">V1020/V407</f>
        <v>0</v>
      </c>
      <c r="W504" s="194">
        <f t="shared" si="558"/>
        <v>0</v>
      </c>
      <c r="X504" s="194">
        <f t="shared" si="558"/>
        <v>0</v>
      </c>
      <c r="Y504" s="194">
        <f t="shared" si="558"/>
        <v>1.4833745993377502E-2</v>
      </c>
      <c r="Z504" s="194">
        <f t="shared" si="558"/>
        <v>1.5610512305818681E-2</v>
      </c>
      <c r="AA504" s="194">
        <f t="shared" si="558"/>
        <v>2.4328252889648554E-2</v>
      </c>
      <c r="AB504" s="194">
        <f t="shared" si="558"/>
        <v>5.2914933654045919E-2</v>
      </c>
      <c r="AC504" s="194">
        <f t="shared" si="558"/>
        <v>5.3889738866839072E-2</v>
      </c>
      <c r="AD504" s="194">
        <f t="shared" si="558"/>
        <v>6.2783685212466009E-2</v>
      </c>
      <c r="AE504" s="194">
        <f t="shared" si="558"/>
        <v>5.8709954849561638E-2</v>
      </c>
      <c r="AF504" s="194">
        <f t="shared" si="558"/>
        <v>5.4377305532850057E-2</v>
      </c>
      <c r="AG504" s="194">
        <f t="shared" si="558"/>
        <v>4.9351336379103952E-2</v>
      </c>
      <c r="AH504" s="194">
        <f t="shared" si="558"/>
        <v>6.4951442499177447E-2</v>
      </c>
      <c r="AI504" s="194">
        <f t="shared" si="558"/>
        <v>4.7319530949222074E-2</v>
      </c>
      <c r="AJ504" s="194">
        <f t="shared" ref="AJ504:AM504" si="559">AI504*AJ505</f>
        <v>4.7879141398417924E-2</v>
      </c>
      <c r="AK504" s="194">
        <f t="shared" si="559"/>
        <v>4.6630278613114334E-2</v>
      </c>
      <c r="AL504" s="194">
        <f t="shared" si="559"/>
        <v>4.8186525491869643E-2</v>
      </c>
      <c r="AM504" s="194">
        <f t="shared" si="559"/>
        <v>5.1748942149750433E-2</v>
      </c>
      <c r="AN504" s="194">
        <f t="shared" ref="AN504" si="560">AM504*AN505</f>
        <v>5.3148080330239537E-2</v>
      </c>
      <c r="AO504" s="194">
        <f t="shared" ref="AO504" si="561">AN504*AO505</f>
        <v>5.3210174604580426E-2</v>
      </c>
      <c r="AP504" s="194">
        <f t="shared" ref="AP504" si="562">AO504*AP505</f>
        <v>4.7889157144122382E-2</v>
      </c>
      <c r="AQ504" s="194">
        <f t="shared" ref="AQ504" si="563">AP504*AQ505</f>
        <v>4.2142458286827694E-2</v>
      </c>
      <c r="AR504" s="194">
        <f t="shared" ref="AR504" si="564">AQ504*AR505</f>
        <v>4.2142458286827694E-2</v>
      </c>
      <c r="AS504" s="194">
        <f t="shared" ref="AS504" si="565">AR504*AS505</f>
        <v>4.2967402947382945E-2</v>
      </c>
      <c r="AT504" s="194">
        <f t="shared" ref="AT504" si="566">AS504*AT505</f>
        <v>4.3808496017894417E-2</v>
      </c>
    </row>
    <row r="505" spans="4:46">
      <c r="D505" s="178" t="s">
        <v>2450</v>
      </c>
      <c r="E505" s="175"/>
      <c r="F505" s="175"/>
      <c r="G505" s="175"/>
      <c r="H505" s="175"/>
      <c r="I505" s="175"/>
      <c r="J505" s="175"/>
      <c r="K505" s="175"/>
      <c r="L505" s="175"/>
      <c r="M505" s="175"/>
      <c r="N505" s="175"/>
      <c r="O505" s="175"/>
      <c r="P505" s="175"/>
      <c r="Q505" s="175"/>
      <c r="R505" s="175"/>
      <c r="S505" s="175"/>
      <c r="T505" s="175"/>
      <c r="U505" s="175"/>
      <c r="V505" s="254" t="e">
        <f t="shared" ref="V505:AF505" si="567">+V504/U504</f>
        <v>#DIV/0!</v>
      </c>
      <c r="W505" s="254" t="e">
        <f t="shared" si="567"/>
        <v>#DIV/0!</v>
      </c>
      <c r="X505" s="254" t="e">
        <f t="shared" si="567"/>
        <v>#DIV/0!</v>
      </c>
      <c r="Y505" s="254" t="e">
        <f t="shared" si="567"/>
        <v>#DIV/0!</v>
      </c>
      <c r="Z505" s="254">
        <f t="shared" si="567"/>
        <v>1.0523648114770177</v>
      </c>
      <c r="AA505" s="254">
        <f t="shared" si="567"/>
        <v>1.5584532021143478</v>
      </c>
      <c r="AB505" s="254">
        <f t="shared" si="567"/>
        <v>2.1750404311425391</v>
      </c>
      <c r="AC505" s="254">
        <f t="shared" si="567"/>
        <v>1.0184221191538547</v>
      </c>
      <c r="AD505" s="254">
        <f t="shared" si="567"/>
        <v>1.1650397001849235</v>
      </c>
      <c r="AE505" s="254">
        <f t="shared" si="567"/>
        <v>0.93511482562518466</v>
      </c>
      <c r="AF505" s="254">
        <f t="shared" si="567"/>
        <v>0.92620247575026138</v>
      </c>
      <c r="AG505" s="254">
        <f t="shared" ref="AG505" si="568">+AG504/AF504</f>
        <v>0.90757230236960074</v>
      </c>
      <c r="AH505" s="254">
        <f t="shared" ref="AH505" si="569">+AH504/AG504</f>
        <v>1.3161030128999465</v>
      </c>
      <c r="AI505" s="254">
        <f t="shared" ref="AI505" si="570">+AI504/AH504</f>
        <v>0.7285370290247416</v>
      </c>
      <c r="AJ505" s="1601">
        <v>1.0118262044861848</v>
      </c>
      <c r="AK505" s="1601">
        <v>0.97391634960803919</v>
      </c>
      <c r="AL505" s="1601">
        <v>1.0333741707114232</v>
      </c>
      <c r="AM505" s="1601">
        <v>1.0739297266511125</v>
      </c>
      <c r="AN505" s="1601">
        <v>1.0270370392585089</v>
      </c>
      <c r="AO505" s="1601">
        <v>1.0011683258163806</v>
      </c>
      <c r="AP505" s="1601">
        <v>0.9</v>
      </c>
      <c r="AQ505" s="1601">
        <v>0.88</v>
      </c>
      <c r="AR505" s="1601">
        <v>1</v>
      </c>
      <c r="AS505" s="1601">
        <v>1.0195751433136757</v>
      </c>
      <c r="AT505" s="1601">
        <v>1.0195751433136757</v>
      </c>
    </row>
    <row r="506" spans="4:46">
      <c r="D506" s="178"/>
      <c r="E506" s="175"/>
      <c r="F506" s="175"/>
      <c r="G506" s="175"/>
      <c r="H506" s="175"/>
      <c r="I506" s="175"/>
      <c r="J506" s="175"/>
      <c r="K506" s="175"/>
      <c r="L506" s="175"/>
      <c r="M506" s="175"/>
      <c r="N506" s="175"/>
      <c r="O506" s="175"/>
      <c r="P506" s="175"/>
      <c r="Q506" s="175"/>
      <c r="R506" s="175"/>
      <c r="S506" s="175"/>
      <c r="T506" s="175"/>
      <c r="U506" s="175"/>
      <c r="V506" s="194"/>
      <c r="W506" s="194"/>
      <c r="X506" s="194"/>
      <c r="Y506" s="194"/>
      <c r="Z506" s="194"/>
      <c r="AA506" s="194"/>
      <c r="AB506" s="194"/>
      <c r="AC506" s="194"/>
      <c r="AD506" s="194"/>
      <c r="AE506" s="194"/>
      <c r="AF506" s="194"/>
      <c r="AG506" s="194"/>
      <c r="AH506" s="194"/>
      <c r="AI506" s="194"/>
      <c r="AJ506" s="194"/>
      <c r="AK506" s="194"/>
      <c r="AL506" s="194"/>
      <c r="AM506" s="194"/>
      <c r="AN506" s="194"/>
      <c r="AO506" s="194"/>
      <c r="AP506" s="194"/>
      <c r="AQ506" s="194"/>
      <c r="AR506" s="194"/>
      <c r="AS506" s="194"/>
      <c r="AT506" s="194"/>
    </row>
    <row r="507" spans="4:46">
      <c r="D507" s="190" t="s">
        <v>3116</v>
      </c>
      <c r="E507" s="175"/>
      <c r="F507" s="175"/>
      <c r="G507" s="175"/>
      <c r="H507" s="175"/>
      <c r="I507" s="175"/>
      <c r="J507" s="175"/>
      <c r="K507" s="175"/>
      <c r="L507" s="175"/>
      <c r="M507" s="175"/>
      <c r="N507" s="175"/>
      <c r="O507" s="175"/>
      <c r="P507" s="175"/>
      <c r="Q507" s="175"/>
      <c r="R507" s="175"/>
      <c r="S507" s="175"/>
      <c r="T507" s="175"/>
      <c r="U507" s="175"/>
      <c r="V507" s="194">
        <f t="shared" ref="V507:AT507" si="571">V1023/V402</f>
        <v>0</v>
      </c>
      <c r="W507" s="194">
        <f t="shared" si="571"/>
        <v>0</v>
      </c>
      <c r="X507" s="194">
        <f t="shared" si="571"/>
        <v>0</v>
      </c>
      <c r="Y507" s="194">
        <f t="shared" si="571"/>
        <v>0</v>
      </c>
      <c r="Z507" s="194">
        <f t="shared" si="571"/>
        <v>0</v>
      </c>
      <c r="AA507" s="194">
        <f t="shared" si="571"/>
        <v>0</v>
      </c>
      <c r="AB507" s="194">
        <f t="shared" si="571"/>
        <v>0</v>
      </c>
      <c r="AC507" s="194">
        <f t="shared" si="571"/>
        <v>0</v>
      </c>
      <c r="AD507" s="194">
        <f t="shared" si="571"/>
        <v>0</v>
      </c>
      <c r="AE507" s="194">
        <f t="shared" si="571"/>
        <v>1.1235651395695718E-5</v>
      </c>
      <c r="AF507" s="194">
        <f t="shared" si="571"/>
        <v>3.7200443718182894E-6</v>
      </c>
      <c r="AG507" s="194">
        <f t="shared" si="571"/>
        <v>1.1023114759671077E-6</v>
      </c>
      <c r="AH507" s="194">
        <f t="shared" si="571"/>
        <v>0</v>
      </c>
      <c r="AI507" s="194">
        <f t="shared" si="571"/>
        <v>6.2934237275112195E-7</v>
      </c>
      <c r="AJ507" s="194">
        <f t="shared" si="571"/>
        <v>0</v>
      </c>
      <c r="AK507" s="194">
        <f t="shared" si="571"/>
        <v>0</v>
      </c>
      <c r="AL507" s="194">
        <f t="shared" si="571"/>
        <v>0</v>
      </c>
      <c r="AM507" s="194">
        <f t="shared" si="571"/>
        <v>0</v>
      </c>
      <c r="AN507" s="194">
        <f t="shared" si="571"/>
        <v>0</v>
      </c>
      <c r="AO507" s="194">
        <f t="shared" si="571"/>
        <v>0</v>
      </c>
      <c r="AP507" s="194">
        <f t="shared" si="571"/>
        <v>0</v>
      </c>
      <c r="AQ507" s="194">
        <f t="shared" si="571"/>
        <v>0</v>
      </c>
      <c r="AR507" s="194">
        <f t="shared" si="571"/>
        <v>0</v>
      </c>
      <c r="AS507" s="194">
        <f t="shared" si="571"/>
        <v>0</v>
      </c>
      <c r="AT507" s="194">
        <f t="shared" si="571"/>
        <v>0</v>
      </c>
    </row>
    <row r="508" spans="4:46">
      <c r="D508" s="175" t="s">
        <v>2451</v>
      </c>
      <c r="E508" s="175"/>
      <c r="F508" s="175"/>
      <c r="G508" s="175"/>
      <c r="H508" s="175"/>
      <c r="I508" s="175"/>
      <c r="J508" s="175"/>
      <c r="K508" s="175"/>
      <c r="L508" s="175"/>
      <c r="M508" s="175"/>
      <c r="N508" s="175"/>
      <c r="O508" s="175"/>
      <c r="P508" s="175"/>
      <c r="Q508" s="175"/>
      <c r="R508" s="175"/>
      <c r="S508" s="175"/>
      <c r="T508" s="175"/>
      <c r="U508" s="175"/>
      <c r="V508" s="194">
        <f t="shared" ref="V508:AG508" si="572">V1023/V408</f>
        <v>0</v>
      </c>
      <c r="W508" s="194">
        <f t="shared" si="572"/>
        <v>0</v>
      </c>
      <c r="X508" s="194">
        <f t="shared" si="572"/>
        <v>0</v>
      </c>
      <c r="Y508" s="194">
        <f t="shared" si="572"/>
        <v>0</v>
      </c>
      <c r="Z508" s="194">
        <f t="shared" si="572"/>
        <v>0</v>
      </c>
      <c r="AA508" s="194">
        <f t="shared" si="572"/>
        <v>0</v>
      </c>
      <c r="AB508" s="194">
        <f t="shared" si="572"/>
        <v>0</v>
      </c>
      <c r="AC508" s="194">
        <f t="shared" si="572"/>
        <v>0</v>
      </c>
      <c r="AD508" s="194">
        <f t="shared" si="572"/>
        <v>0</v>
      </c>
      <c r="AE508" s="194">
        <f t="shared" si="572"/>
        <v>5.4272978230662352E-5</v>
      </c>
      <c r="AF508" s="194">
        <f t="shared" si="572"/>
        <v>1.9148204277984384E-5</v>
      </c>
      <c r="AG508" s="194">
        <f t="shared" si="572"/>
        <v>5.0672579399115851E-6</v>
      </c>
      <c r="AH508" s="194">
        <f t="shared" ref="AH508:AM508" si="573">AG508*AH509</f>
        <v>5.0672579399115851E-6</v>
      </c>
      <c r="AI508" s="194">
        <f t="shared" si="573"/>
        <v>5.0672579399115851E-6</v>
      </c>
      <c r="AJ508" s="194">
        <f t="shared" si="573"/>
        <v>5.0672579399115851E-6</v>
      </c>
      <c r="AK508" s="194">
        <f t="shared" si="573"/>
        <v>5.0672579399115851E-6</v>
      </c>
      <c r="AL508" s="194">
        <f t="shared" si="573"/>
        <v>5.0672579399115851E-6</v>
      </c>
      <c r="AM508" s="194">
        <f t="shared" si="573"/>
        <v>5.0672579399115851E-6</v>
      </c>
      <c r="AN508" s="194">
        <f t="shared" ref="AN508" si="574">AM508*AN509</f>
        <v>5.0672579399115851E-6</v>
      </c>
      <c r="AO508" s="194">
        <f t="shared" ref="AO508" si="575">AN508*AO509</f>
        <v>5.0672579399115851E-6</v>
      </c>
      <c r="AP508" s="194">
        <f t="shared" ref="AP508" si="576">AO508*AP509</f>
        <v>5.0672579399115851E-6</v>
      </c>
      <c r="AQ508" s="194">
        <f t="shared" ref="AQ508" si="577">AP508*AQ509</f>
        <v>5.0672579399115851E-6</v>
      </c>
      <c r="AR508" s="194">
        <f t="shared" ref="AR508" si="578">AQ508*AR509</f>
        <v>5.0672579399115851E-6</v>
      </c>
      <c r="AS508" s="194">
        <f t="shared" ref="AS508" si="579">AR508*AS509</f>
        <v>5.0672579399115851E-6</v>
      </c>
      <c r="AT508" s="194">
        <f t="shared" ref="AT508" si="580">AS508*AT509</f>
        <v>5.0672579399115851E-6</v>
      </c>
    </row>
    <row r="509" spans="4:46">
      <c r="D509" s="178" t="s">
        <v>2452</v>
      </c>
      <c r="E509" s="175"/>
      <c r="F509" s="175"/>
      <c r="G509" s="175"/>
      <c r="H509" s="175"/>
      <c r="I509" s="175"/>
      <c r="J509" s="175"/>
      <c r="K509" s="175"/>
      <c r="L509" s="175"/>
      <c r="M509" s="175"/>
      <c r="N509" s="175"/>
      <c r="O509" s="175"/>
      <c r="P509" s="175"/>
      <c r="Q509" s="175"/>
      <c r="R509" s="175"/>
      <c r="S509" s="175"/>
      <c r="T509" s="175"/>
      <c r="U509" s="175"/>
      <c r="V509" s="254" t="e">
        <f t="shared" ref="V509:AE509" si="581">+V508/U508</f>
        <v>#DIV/0!</v>
      </c>
      <c r="W509" s="254" t="e">
        <f t="shared" si="581"/>
        <v>#DIV/0!</v>
      </c>
      <c r="X509" s="254" t="e">
        <f t="shared" si="581"/>
        <v>#DIV/0!</v>
      </c>
      <c r="Y509" s="254" t="e">
        <f t="shared" si="581"/>
        <v>#DIV/0!</v>
      </c>
      <c r="Z509" s="254" t="e">
        <f t="shared" si="581"/>
        <v>#DIV/0!</v>
      </c>
      <c r="AA509" s="254" t="e">
        <f t="shared" si="581"/>
        <v>#DIV/0!</v>
      </c>
      <c r="AB509" s="254" t="e">
        <f t="shared" si="581"/>
        <v>#DIV/0!</v>
      </c>
      <c r="AC509" s="254" t="e">
        <f t="shared" si="581"/>
        <v>#DIV/0!</v>
      </c>
      <c r="AD509" s="254" t="e">
        <f t="shared" si="581"/>
        <v>#DIV/0!</v>
      </c>
      <c r="AE509" s="254" t="e">
        <f t="shared" si="581"/>
        <v>#DIV/0!</v>
      </c>
      <c r="AF509" s="254">
        <f>+AF508/AE508</f>
        <v>0.35281285277184793</v>
      </c>
      <c r="AG509" s="254">
        <f>+AG508/AF508</f>
        <v>0.2646335847658392</v>
      </c>
      <c r="AH509" s="1601">
        <v>1</v>
      </c>
      <c r="AI509" s="1601">
        <v>1</v>
      </c>
      <c r="AJ509" s="1601">
        <v>1</v>
      </c>
      <c r="AK509" s="1601">
        <v>1</v>
      </c>
      <c r="AL509" s="1601">
        <v>1</v>
      </c>
      <c r="AM509" s="1601">
        <v>1</v>
      </c>
      <c r="AN509" s="1601">
        <v>1</v>
      </c>
      <c r="AO509" s="1601">
        <v>1</v>
      </c>
      <c r="AP509" s="1601">
        <v>1</v>
      </c>
      <c r="AQ509" s="1601">
        <v>1</v>
      </c>
      <c r="AR509" s="1601">
        <v>1</v>
      </c>
      <c r="AS509" s="1601">
        <v>1</v>
      </c>
      <c r="AT509" s="1601">
        <v>1</v>
      </c>
    </row>
    <row r="510" spans="4:46">
      <c r="D510" s="178"/>
      <c r="E510" s="175"/>
      <c r="F510" s="175"/>
      <c r="G510" s="175"/>
      <c r="H510" s="175"/>
      <c r="I510" s="175"/>
      <c r="J510" s="175"/>
      <c r="K510" s="175"/>
      <c r="L510" s="175"/>
      <c r="M510" s="175"/>
      <c r="N510" s="175"/>
      <c r="O510" s="175"/>
      <c r="P510" s="175"/>
      <c r="Q510" s="175"/>
      <c r="R510" s="175"/>
      <c r="S510" s="175"/>
      <c r="T510" s="175"/>
      <c r="U510" s="175"/>
      <c r="V510" s="194"/>
      <c r="W510" s="194"/>
      <c r="X510" s="194"/>
      <c r="Y510" s="194"/>
      <c r="Z510" s="194"/>
      <c r="AA510" s="194"/>
      <c r="AB510" s="194"/>
      <c r="AC510" s="194"/>
      <c r="AD510" s="194"/>
      <c r="AE510" s="194"/>
      <c r="AF510" s="194"/>
      <c r="AG510" s="194"/>
      <c r="AH510" s="194"/>
      <c r="AI510" s="194"/>
      <c r="AJ510" s="194"/>
      <c r="AK510" s="194"/>
      <c r="AL510" s="194"/>
      <c r="AM510" s="194"/>
      <c r="AN510" s="194"/>
      <c r="AO510" s="194"/>
      <c r="AP510" s="194"/>
      <c r="AQ510" s="194"/>
      <c r="AR510" s="194"/>
      <c r="AS510" s="194"/>
      <c r="AT510" s="194"/>
    </row>
    <row r="511" spans="4:46">
      <c r="D511" s="190" t="s">
        <v>2453</v>
      </c>
      <c r="E511" s="175"/>
      <c r="F511" s="175"/>
      <c r="G511" s="175"/>
      <c r="H511" s="175"/>
      <c r="I511" s="175"/>
      <c r="J511" s="175"/>
      <c r="K511" s="175"/>
      <c r="L511" s="175"/>
      <c r="M511" s="175"/>
      <c r="N511" s="175"/>
      <c r="O511" s="175"/>
      <c r="P511" s="175"/>
      <c r="Q511" s="175"/>
      <c r="R511" s="175"/>
      <c r="S511" s="175"/>
      <c r="T511" s="175"/>
      <c r="U511" s="175"/>
      <c r="V511" s="194">
        <f t="shared" ref="V511:AT511" si="582">V1024/V402</f>
        <v>0</v>
      </c>
      <c r="W511" s="194">
        <f t="shared" si="582"/>
        <v>0</v>
      </c>
      <c r="X511" s="194">
        <f t="shared" si="582"/>
        <v>0</v>
      </c>
      <c r="Y511" s="194">
        <f t="shared" si="582"/>
        <v>0</v>
      </c>
      <c r="Z511" s="194">
        <f t="shared" si="582"/>
        <v>0</v>
      </c>
      <c r="AA511" s="194">
        <f t="shared" si="582"/>
        <v>0</v>
      </c>
      <c r="AB511" s="194">
        <f t="shared" si="582"/>
        <v>0</v>
      </c>
      <c r="AC511" s="194">
        <f t="shared" si="582"/>
        <v>0</v>
      </c>
      <c r="AD511" s="194">
        <f t="shared" si="582"/>
        <v>0</v>
      </c>
      <c r="AE511" s="194">
        <f t="shared" si="582"/>
        <v>0</v>
      </c>
      <c r="AF511" s="194">
        <f t="shared" si="582"/>
        <v>0</v>
      </c>
      <c r="AG511" s="194">
        <f t="shared" si="582"/>
        <v>0</v>
      </c>
      <c r="AH511" s="194">
        <f t="shared" si="582"/>
        <v>0</v>
      </c>
      <c r="AI511" s="194">
        <f t="shared" si="582"/>
        <v>0</v>
      </c>
      <c r="AJ511" s="194">
        <f t="shared" si="582"/>
        <v>0</v>
      </c>
      <c r="AK511" s="194">
        <f t="shared" si="582"/>
        <v>0</v>
      </c>
      <c r="AL511" s="194">
        <f t="shared" si="582"/>
        <v>0</v>
      </c>
      <c r="AM511" s="194">
        <f t="shared" si="582"/>
        <v>0</v>
      </c>
      <c r="AN511" s="194">
        <f t="shared" si="582"/>
        <v>0</v>
      </c>
      <c r="AO511" s="194">
        <f t="shared" si="582"/>
        <v>0</v>
      </c>
      <c r="AP511" s="194">
        <f t="shared" si="582"/>
        <v>0</v>
      </c>
      <c r="AQ511" s="194">
        <f t="shared" si="582"/>
        <v>0</v>
      </c>
      <c r="AR511" s="194">
        <f t="shared" si="582"/>
        <v>0</v>
      </c>
      <c r="AS511" s="194">
        <f t="shared" si="582"/>
        <v>0</v>
      </c>
      <c r="AT511" s="194">
        <f t="shared" si="582"/>
        <v>0</v>
      </c>
    </row>
    <row r="512" spans="4:46">
      <c r="D512" s="175" t="s">
        <v>2454</v>
      </c>
      <c r="E512" s="175"/>
      <c r="F512" s="175"/>
      <c r="G512" s="175"/>
      <c r="H512" s="175"/>
      <c r="I512" s="175"/>
      <c r="J512" s="175"/>
      <c r="K512" s="175"/>
      <c r="L512" s="175"/>
      <c r="M512" s="175"/>
      <c r="N512" s="175"/>
      <c r="O512" s="175"/>
      <c r="P512" s="175"/>
      <c r="Q512" s="175"/>
      <c r="R512" s="175"/>
      <c r="S512" s="175"/>
      <c r="T512" s="175"/>
      <c r="U512" s="175"/>
      <c r="V512" s="194">
        <f t="shared" ref="V512:AG512" si="583">V1024/V404</f>
        <v>0</v>
      </c>
      <c r="W512" s="194">
        <f t="shared" si="583"/>
        <v>0</v>
      </c>
      <c r="X512" s="194">
        <f t="shared" si="583"/>
        <v>0</v>
      </c>
      <c r="Y512" s="194">
        <f t="shared" si="583"/>
        <v>0</v>
      </c>
      <c r="Z512" s="194">
        <f t="shared" si="583"/>
        <v>0</v>
      </c>
      <c r="AA512" s="194">
        <f t="shared" si="583"/>
        <v>0</v>
      </c>
      <c r="AB512" s="194">
        <f t="shared" si="583"/>
        <v>0</v>
      </c>
      <c r="AC512" s="194">
        <f t="shared" si="583"/>
        <v>0</v>
      </c>
      <c r="AD512" s="194">
        <f t="shared" si="583"/>
        <v>0</v>
      </c>
      <c r="AE512" s="194">
        <f t="shared" si="583"/>
        <v>0</v>
      </c>
      <c r="AF512" s="194">
        <f t="shared" si="583"/>
        <v>0</v>
      </c>
      <c r="AG512" s="194">
        <f t="shared" si="583"/>
        <v>0</v>
      </c>
      <c r="AH512" s="194">
        <f t="shared" ref="AH512:AM512" si="584">AG512*AH513</f>
        <v>0</v>
      </c>
      <c r="AI512" s="194">
        <f t="shared" si="584"/>
        <v>0</v>
      </c>
      <c r="AJ512" s="194">
        <f t="shared" si="584"/>
        <v>0</v>
      </c>
      <c r="AK512" s="194">
        <f t="shared" si="584"/>
        <v>0</v>
      </c>
      <c r="AL512" s="194">
        <f t="shared" si="584"/>
        <v>0</v>
      </c>
      <c r="AM512" s="194">
        <f t="shared" si="584"/>
        <v>0</v>
      </c>
      <c r="AN512" s="194">
        <f t="shared" ref="AN512" si="585">AM512*AN513</f>
        <v>0</v>
      </c>
      <c r="AO512" s="194">
        <f t="shared" ref="AO512" si="586">AN512*AO513</f>
        <v>0</v>
      </c>
      <c r="AP512" s="194">
        <f t="shared" ref="AP512" si="587">AO512*AP513</f>
        <v>0</v>
      </c>
      <c r="AQ512" s="194">
        <f t="shared" ref="AQ512" si="588">AP512*AQ513</f>
        <v>0</v>
      </c>
      <c r="AR512" s="194">
        <f t="shared" ref="AR512" si="589">AQ512*AR513</f>
        <v>0</v>
      </c>
      <c r="AS512" s="194">
        <f t="shared" ref="AS512" si="590">AR512*AS513</f>
        <v>0</v>
      </c>
      <c r="AT512" s="194">
        <f t="shared" ref="AT512" si="591">AS512*AT513</f>
        <v>0</v>
      </c>
    </row>
    <row r="513" spans="4:46">
      <c r="D513" s="178" t="s">
        <v>2455</v>
      </c>
      <c r="E513" s="175"/>
      <c r="F513" s="175"/>
      <c r="G513" s="175"/>
      <c r="H513" s="175"/>
      <c r="I513" s="175"/>
      <c r="J513" s="175"/>
      <c r="K513" s="175"/>
      <c r="L513" s="175"/>
      <c r="M513" s="175"/>
      <c r="N513" s="175"/>
      <c r="O513" s="175"/>
      <c r="P513" s="175"/>
      <c r="Q513" s="175"/>
      <c r="R513" s="175"/>
      <c r="S513" s="175"/>
      <c r="T513" s="175"/>
      <c r="U513" s="175"/>
      <c r="V513" s="254" t="e">
        <f t="shared" ref="V513:AE513" si="592">+V512/U512</f>
        <v>#DIV/0!</v>
      </c>
      <c r="W513" s="254" t="e">
        <f t="shared" si="592"/>
        <v>#DIV/0!</v>
      </c>
      <c r="X513" s="254" t="e">
        <f t="shared" si="592"/>
        <v>#DIV/0!</v>
      </c>
      <c r="Y513" s="254" t="e">
        <f t="shared" si="592"/>
        <v>#DIV/0!</v>
      </c>
      <c r="Z513" s="254" t="e">
        <f t="shared" si="592"/>
        <v>#DIV/0!</v>
      </c>
      <c r="AA513" s="254" t="e">
        <f t="shared" si="592"/>
        <v>#DIV/0!</v>
      </c>
      <c r="AB513" s="254" t="e">
        <f t="shared" si="592"/>
        <v>#DIV/0!</v>
      </c>
      <c r="AC513" s="254" t="e">
        <f t="shared" si="592"/>
        <v>#DIV/0!</v>
      </c>
      <c r="AD513" s="254" t="e">
        <f t="shared" si="592"/>
        <v>#DIV/0!</v>
      </c>
      <c r="AE513" s="254" t="e">
        <f t="shared" si="592"/>
        <v>#DIV/0!</v>
      </c>
      <c r="AF513" s="254" t="e">
        <f>+AF512/AE512</f>
        <v>#DIV/0!</v>
      </c>
      <c r="AG513" s="254" t="e">
        <f>+AG512/AF512</f>
        <v>#DIV/0!</v>
      </c>
      <c r="AH513" s="1601">
        <v>1</v>
      </c>
      <c r="AI513" s="1601">
        <v>1</v>
      </c>
      <c r="AJ513" s="1601">
        <v>1</v>
      </c>
      <c r="AK513" s="1601">
        <v>1</v>
      </c>
      <c r="AL513" s="1601">
        <v>1</v>
      </c>
      <c r="AM513" s="1601">
        <v>1</v>
      </c>
      <c r="AN513" s="1601">
        <v>1</v>
      </c>
      <c r="AO513" s="1601">
        <v>1</v>
      </c>
      <c r="AP513" s="1601">
        <v>1</v>
      </c>
      <c r="AQ513" s="1601">
        <v>1</v>
      </c>
      <c r="AR513" s="1601">
        <v>1</v>
      </c>
      <c r="AS513" s="1601">
        <v>1</v>
      </c>
      <c r="AT513" s="1601">
        <v>1</v>
      </c>
    </row>
    <row r="514" spans="4:46">
      <c r="D514" s="178"/>
      <c r="E514" s="175"/>
      <c r="F514" s="175"/>
      <c r="G514" s="175"/>
      <c r="H514" s="175"/>
      <c r="I514" s="175"/>
      <c r="J514" s="175"/>
      <c r="K514" s="175"/>
      <c r="L514" s="175"/>
      <c r="M514" s="175"/>
      <c r="N514" s="175"/>
      <c r="O514" s="175"/>
      <c r="P514" s="175"/>
      <c r="Q514" s="175"/>
      <c r="R514" s="175"/>
      <c r="S514" s="175"/>
      <c r="T514" s="175"/>
      <c r="U514" s="175"/>
      <c r="V514" s="194"/>
      <c r="W514" s="194"/>
      <c r="X514" s="194"/>
      <c r="Y514" s="194"/>
      <c r="Z514" s="194"/>
      <c r="AA514" s="194"/>
      <c r="AB514" s="194"/>
      <c r="AC514" s="194"/>
      <c r="AD514" s="194"/>
      <c r="AE514" s="194"/>
      <c r="AF514" s="194"/>
      <c r="AG514" s="194"/>
      <c r="AH514" s="194"/>
      <c r="AI514" s="194"/>
      <c r="AJ514" s="194"/>
      <c r="AK514" s="194"/>
      <c r="AL514" s="194"/>
      <c r="AM514" s="194"/>
      <c r="AN514" s="194"/>
      <c r="AO514" s="194"/>
      <c r="AP514" s="194"/>
      <c r="AQ514" s="194"/>
      <c r="AR514" s="194"/>
      <c r="AS514" s="194"/>
      <c r="AT514" s="194"/>
    </row>
    <row r="515" spans="4:46">
      <c r="D515" s="190" t="s">
        <v>2457</v>
      </c>
      <c r="E515" s="175"/>
      <c r="F515" s="175"/>
      <c r="G515" s="175"/>
      <c r="H515" s="175"/>
      <c r="I515" s="175"/>
      <c r="J515" s="175"/>
      <c r="K515" s="175"/>
      <c r="L515" s="175"/>
      <c r="M515" s="175"/>
      <c r="N515" s="175"/>
      <c r="O515" s="175"/>
      <c r="P515" s="175"/>
      <c r="Q515" s="175"/>
      <c r="R515" s="175"/>
      <c r="S515" s="175"/>
      <c r="T515" s="175"/>
      <c r="U515" s="175"/>
      <c r="V515" s="194">
        <f t="shared" ref="V515:AT515" si="593">V1025/V402</f>
        <v>0</v>
      </c>
      <c r="W515" s="194">
        <f t="shared" si="593"/>
        <v>0</v>
      </c>
      <c r="X515" s="194">
        <f t="shared" si="593"/>
        <v>0</v>
      </c>
      <c r="Y515" s="194">
        <f t="shared" si="593"/>
        <v>0</v>
      </c>
      <c r="Z515" s="194">
        <f t="shared" si="593"/>
        <v>0</v>
      </c>
      <c r="AA515" s="194">
        <f t="shared" si="593"/>
        <v>0</v>
      </c>
      <c r="AB515" s="194">
        <f t="shared" si="593"/>
        <v>0</v>
      </c>
      <c r="AC515" s="194">
        <f t="shared" si="593"/>
        <v>0</v>
      </c>
      <c r="AD515" s="194">
        <f t="shared" si="593"/>
        <v>0</v>
      </c>
      <c r="AE515" s="194">
        <f t="shared" si="593"/>
        <v>0</v>
      </c>
      <c r="AF515" s="194">
        <f t="shared" si="593"/>
        <v>0</v>
      </c>
      <c r="AG515" s="194">
        <f t="shared" si="593"/>
        <v>0</v>
      </c>
      <c r="AH515" s="194">
        <f t="shared" si="593"/>
        <v>0</v>
      </c>
      <c r="AI515" s="194">
        <f t="shared" si="593"/>
        <v>0</v>
      </c>
      <c r="AJ515" s="194">
        <f t="shared" si="593"/>
        <v>0</v>
      </c>
      <c r="AK515" s="194">
        <f t="shared" si="593"/>
        <v>0</v>
      </c>
      <c r="AL515" s="194">
        <f t="shared" si="593"/>
        <v>0</v>
      </c>
      <c r="AM515" s="194">
        <f t="shared" si="593"/>
        <v>0</v>
      </c>
      <c r="AN515" s="194">
        <f t="shared" si="593"/>
        <v>0</v>
      </c>
      <c r="AO515" s="194">
        <f t="shared" si="593"/>
        <v>0</v>
      </c>
      <c r="AP515" s="194">
        <f t="shared" si="593"/>
        <v>0</v>
      </c>
      <c r="AQ515" s="194">
        <f t="shared" si="593"/>
        <v>0</v>
      </c>
      <c r="AR515" s="194">
        <f t="shared" si="593"/>
        <v>0</v>
      </c>
      <c r="AS515" s="194">
        <f t="shared" si="593"/>
        <v>0</v>
      </c>
      <c r="AT515" s="194">
        <f t="shared" si="593"/>
        <v>0</v>
      </c>
    </row>
    <row r="516" spans="4:46">
      <c r="D516" s="175" t="s">
        <v>2456</v>
      </c>
      <c r="E516" s="175"/>
      <c r="F516" s="175"/>
      <c r="G516" s="175"/>
      <c r="H516" s="175"/>
      <c r="I516" s="175"/>
      <c r="J516" s="175"/>
      <c r="K516" s="175"/>
      <c r="L516" s="175"/>
      <c r="M516" s="175"/>
      <c r="N516" s="175"/>
      <c r="O516" s="175"/>
      <c r="P516" s="175"/>
      <c r="Q516" s="175"/>
      <c r="R516" s="175"/>
      <c r="S516" s="175"/>
      <c r="T516" s="175"/>
      <c r="U516" s="175"/>
      <c r="V516" s="194">
        <f t="shared" ref="V516:AG516" si="594">V1025/V404</f>
        <v>0</v>
      </c>
      <c r="W516" s="194">
        <f t="shared" si="594"/>
        <v>0</v>
      </c>
      <c r="X516" s="194">
        <f t="shared" si="594"/>
        <v>0</v>
      </c>
      <c r="Y516" s="194">
        <f t="shared" si="594"/>
        <v>0</v>
      </c>
      <c r="Z516" s="194">
        <f t="shared" si="594"/>
        <v>0</v>
      </c>
      <c r="AA516" s="194">
        <f t="shared" si="594"/>
        <v>0</v>
      </c>
      <c r="AB516" s="194">
        <f t="shared" si="594"/>
        <v>0</v>
      </c>
      <c r="AC516" s="194">
        <f t="shared" si="594"/>
        <v>0</v>
      </c>
      <c r="AD516" s="194">
        <f t="shared" si="594"/>
        <v>0</v>
      </c>
      <c r="AE516" s="194">
        <f t="shared" si="594"/>
        <v>0</v>
      </c>
      <c r="AF516" s="194">
        <f t="shared" si="594"/>
        <v>0</v>
      </c>
      <c r="AG516" s="194">
        <f t="shared" si="594"/>
        <v>0</v>
      </c>
      <c r="AH516" s="194">
        <f t="shared" ref="AH516:AM516" si="595">AG516*AH517</f>
        <v>0</v>
      </c>
      <c r="AI516" s="194">
        <f t="shared" si="595"/>
        <v>0</v>
      </c>
      <c r="AJ516" s="194">
        <f t="shared" si="595"/>
        <v>0</v>
      </c>
      <c r="AK516" s="194">
        <f t="shared" si="595"/>
        <v>0</v>
      </c>
      <c r="AL516" s="194">
        <f t="shared" si="595"/>
        <v>0</v>
      </c>
      <c r="AM516" s="194">
        <f t="shared" si="595"/>
        <v>0</v>
      </c>
      <c r="AN516" s="194">
        <f t="shared" ref="AN516" si="596">AM516*AN517</f>
        <v>0</v>
      </c>
      <c r="AO516" s="194">
        <f t="shared" ref="AO516" si="597">AN516*AO517</f>
        <v>0</v>
      </c>
      <c r="AP516" s="194">
        <f t="shared" ref="AP516" si="598">AO516*AP517</f>
        <v>0</v>
      </c>
      <c r="AQ516" s="194">
        <f t="shared" ref="AQ516" si="599">AP516*AQ517</f>
        <v>0</v>
      </c>
      <c r="AR516" s="194">
        <f t="shared" ref="AR516" si="600">AQ516*AR517</f>
        <v>0</v>
      </c>
      <c r="AS516" s="194">
        <f t="shared" ref="AS516" si="601">AR516*AS517</f>
        <v>0</v>
      </c>
      <c r="AT516" s="194">
        <f t="shared" ref="AT516" si="602">AS516*AT517</f>
        <v>0</v>
      </c>
    </row>
    <row r="517" spans="4:46">
      <c r="D517" s="178" t="s">
        <v>2458</v>
      </c>
      <c r="E517" s="175"/>
      <c r="F517" s="175"/>
      <c r="G517" s="175"/>
      <c r="H517" s="175"/>
      <c r="I517" s="175"/>
      <c r="J517" s="175"/>
      <c r="K517" s="175"/>
      <c r="L517" s="175"/>
      <c r="M517" s="175"/>
      <c r="N517" s="175"/>
      <c r="O517" s="175"/>
      <c r="P517" s="175"/>
      <c r="Q517" s="175"/>
      <c r="R517" s="175"/>
      <c r="S517" s="175"/>
      <c r="T517" s="175"/>
      <c r="U517" s="175"/>
      <c r="V517" s="254" t="e">
        <f t="shared" ref="V517:AE517" si="603">+V516/U516</f>
        <v>#DIV/0!</v>
      </c>
      <c r="W517" s="254" t="e">
        <f t="shared" si="603"/>
        <v>#DIV/0!</v>
      </c>
      <c r="X517" s="254" t="e">
        <f t="shared" si="603"/>
        <v>#DIV/0!</v>
      </c>
      <c r="Y517" s="254" t="e">
        <f t="shared" si="603"/>
        <v>#DIV/0!</v>
      </c>
      <c r="Z517" s="254" t="e">
        <f t="shared" si="603"/>
        <v>#DIV/0!</v>
      </c>
      <c r="AA517" s="254" t="e">
        <f t="shared" si="603"/>
        <v>#DIV/0!</v>
      </c>
      <c r="AB517" s="254" t="e">
        <f t="shared" si="603"/>
        <v>#DIV/0!</v>
      </c>
      <c r="AC517" s="254" t="e">
        <f t="shared" si="603"/>
        <v>#DIV/0!</v>
      </c>
      <c r="AD517" s="254" t="e">
        <f t="shared" si="603"/>
        <v>#DIV/0!</v>
      </c>
      <c r="AE517" s="254" t="e">
        <f t="shared" si="603"/>
        <v>#DIV/0!</v>
      </c>
      <c r="AF517" s="254" t="e">
        <f>+AF516/AE516</f>
        <v>#DIV/0!</v>
      </c>
      <c r="AG517" s="254" t="e">
        <f>+AG516/AF516</f>
        <v>#DIV/0!</v>
      </c>
      <c r="AH517" s="1601">
        <v>1</v>
      </c>
      <c r="AI517" s="1601">
        <v>1</v>
      </c>
      <c r="AJ517" s="1601">
        <v>1</v>
      </c>
      <c r="AK517" s="1601">
        <v>1</v>
      </c>
      <c r="AL517" s="1601">
        <v>1</v>
      </c>
      <c r="AM517" s="1601">
        <v>1</v>
      </c>
      <c r="AN517" s="1601">
        <v>1</v>
      </c>
      <c r="AO517" s="1601">
        <v>1</v>
      </c>
      <c r="AP517" s="1601">
        <v>1</v>
      </c>
      <c r="AQ517" s="1601">
        <v>1</v>
      </c>
      <c r="AR517" s="1601">
        <v>1</v>
      </c>
      <c r="AS517" s="1601">
        <v>1</v>
      </c>
      <c r="AT517" s="1601">
        <v>1</v>
      </c>
    </row>
    <row r="518" spans="4:46">
      <c r="D518" s="178"/>
      <c r="E518" s="175"/>
      <c r="F518" s="175"/>
      <c r="G518" s="175"/>
      <c r="H518" s="175"/>
      <c r="I518" s="175"/>
      <c r="J518" s="175"/>
      <c r="K518" s="175"/>
      <c r="L518" s="175"/>
      <c r="M518" s="175"/>
      <c r="N518" s="175"/>
      <c r="O518" s="175"/>
      <c r="P518" s="175"/>
      <c r="Q518" s="175"/>
      <c r="R518" s="175"/>
      <c r="S518" s="175"/>
      <c r="T518" s="175"/>
      <c r="U518" s="175"/>
      <c r="V518" s="194"/>
      <c r="W518" s="194"/>
      <c r="X518" s="194"/>
      <c r="Y518" s="194"/>
      <c r="Z518" s="194"/>
      <c r="AA518" s="194"/>
      <c r="AB518" s="194"/>
      <c r="AC518" s="194"/>
      <c r="AD518" s="194"/>
      <c r="AE518" s="194"/>
      <c r="AF518" s="194"/>
      <c r="AG518" s="194"/>
      <c r="AH518" s="194"/>
      <c r="AI518" s="194"/>
      <c r="AJ518" s="194"/>
      <c r="AK518" s="194"/>
      <c r="AL518" s="194"/>
      <c r="AM518" s="194"/>
      <c r="AN518" s="194"/>
      <c r="AO518" s="194"/>
      <c r="AP518" s="194"/>
      <c r="AQ518" s="194"/>
      <c r="AR518" s="194"/>
      <c r="AS518" s="194"/>
      <c r="AT518" s="194"/>
    </row>
    <row r="519" spans="4:46">
      <c r="D519" s="190" t="s">
        <v>2463</v>
      </c>
      <c r="E519" s="175"/>
      <c r="F519" s="175"/>
      <c r="G519" s="175"/>
      <c r="H519" s="175"/>
      <c r="I519" s="175"/>
      <c r="J519" s="175"/>
      <c r="K519" s="175"/>
      <c r="L519" s="175"/>
      <c r="M519" s="175"/>
      <c r="N519" s="175"/>
      <c r="O519" s="175"/>
      <c r="P519" s="175"/>
      <c r="Q519" s="175"/>
      <c r="R519" s="175"/>
      <c r="S519" s="175"/>
      <c r="T519" s="175"/>
      <c r="U519" s="175"/>
      <c r="V519" s="194">
        <f t="shared" ref="V519:AT519" si="604">V1026/V402</f>
        <v>0</v>
      </c>
      <c r="W519" s="194">
        <f t="shared" si="604"/>
        <v>0</v>
      </c>
      <c r="X519" s="194">
        <f t="shared" si="604"/>
        <v>0</v>
      </c>
      <c r="Y519" s="194">
        <f t="shared" si="604"/>
        <v>0</v>
      </c>
      <c r="Z519" s="194">
        <f t="shared" si="604"/>
        <v>0</v>
      </c>
      <c r="AA519" s="194">
        <f t="shared" si="604"/>
        <v>0</v>
      </c>
      <c r="AB519" s="194">
        <f t="shared" si="604"/>
        <v>0</v>
      </c>
      <c r="AC519" s="194">
        <f t="shared" si="604"/>
        <v>0</v>
      </c>
      <c r="AD519" s="194">
        <f t="shared" si="604"/>
        <v>0</v>
      </c>
      <c r="AE519" s="194">
        <f t="shared" si="604"/>
        <v>0</v>
      </c>
      <c r="AF519" s="194">
        <f t="shared" si="604"/>
        <v>0</v>
      </c>
      <c r="AG519" s="194">
        <f t="shared" si="604"/>
        <v>0</v>
      </c>
      <c r="AH519" s="194">
        <f t="shared" si="604"/>
        <v>0</v>
      </c>
      <c r="AI519" s="194">
        <f t="shared" si="604"/>
        <v>0</v>
      </c>
      <c r="AJ519" s="194">
        <f t="shared" si="604"/>
        <v>0</v>
      </c>
      <c r="AK519" s="194">
        <f t="shared" si="604"/>
        <v>0</v>
      </c>
      <c r="AL519" s="194">
        <f t="shared" si="604"/>
        <v>0</v>
      </c>
      <c r="AM519" s="194">
        <f t="shared" si="604"/>
        <v>0</v>
      </c>
      <c r="AN519" s="194">
        <f t="shared" si="604"/>
        <v>0</v>
      </c>
      <c r="AO519" s="194">
        <f t="shared" si="604"/>
        <v>0</v>
      </c>
      <c r="AP519" s="194">
        <f t="shared" si="604"/>
        <v>0</v>
      </c>
      <c r="AQ519" s="194">
        <f t="shared" si="604"/>
        <v>0</v>
      </c>
      <c r="AR519" s="194">
        <f t="shared" si="604"/>
        <v>0</v>
      </c>
      <c r="AS519" s="194">
        <f t="shared" si="604"/>
        <v>0</v>
      </c>
      <c r="AT519" s="194">
        <f t="shared" si="604"/>
        <v>0</v>
      </c>
    </row>
    <row r="520" spans="4:46">
      <c r="D520" s="175" t="s">
        <v>2464</v>
      </c>
      <c r="E520" s="175"/>
      <c r="F520" s="175"/>
      <c r="G520" s="175"/>
      <c r="H520" s="175"/>
      <c r="I520" s="175"/>
      <c r="J520" s="175"/>
      <c r="K520" s="175"/>
      <c r="L520" s="175"/>
      <c r="M520" s="175"/>
      <c r="N520" s="175"/>
      <c r="O520" s="175"/>
      <c r="P520" s="175"/>
      <c r="Q520" s="175"/>
      <c r="R520" s="175"/>
      <c r="S520" s="175"/>
      <c r="T520" s="175"/>
      <c r="U520" s="175"/>
      <c r="V520" s="194">
        <f t="shared" ref="V520:AG520" si="605">V1026/V404</f>
        <v>0</v>
      </c>
      <c r="W520" s="194">
        <f t="shared" si="605"/>
        <v>0</v>
      </c>
      <c r="X520" s="194">
        <f t="shared" si="605"/>
        <v>0</v>
      </c>
      <c r="Y520" s="194">
        <f t="shared" si="605"/>
        <v>0</v>
      </c>
      <c r="Z520" s="194">
        <f t="shared" si="605"/>
        <v>0</v>
      </c>
      <c r="AA520" s="194">
        <f t="shared" si="605"/>
        <v>0</v>
      </c>
      <c r="AB520" s="194">
        <f t="shared" si="605"/>
        <v>0</v>
      </c>
      <c r="AC520" s="194">
        <f t="shared" si="605"/>
        <v>0</v>
      </c>
      <c r="AD520" s="194">
        <f t="shared" si="605"/>
        <v>0</v>
      </c>
      <c r="AE520" s="194">
        <f t="shared" si="605"/>
        <v>0</v>
      </c>
      <c r="AF520" s="194">
        <f t="shared" si="605"/>
        <v>0</v>
      </c>
      <c r="AG520" s="194">
        <f t="shared" si="605"/>
        <v>0</v>
      </c>
      <c r="AH520" s="194">
        <f t="shared" ref="AH520:AM520" si="606">AG520*AH521</f>
        <v>0</v>
      </c>
      <c r="AI520" s="194">
        <f t="shared" si="606"/>
        <v>0</v>
      </c>
      <c r="AJ520" s="194">
        <f t="shared" si="606"/>
        <v>0</v>
      </c>
      <c r="AK520" s="194">
        <f t="shared" si="606"/>
        <v>0</v>
      </c>
      <c r="AL520" s="194">
        <f t="shared" si="606"/>
        <v>0</v>
      </c>
      <c r="AM520" s="194">
        <f t="shared" si="606"/>
        <v>0</v>
      </c>
      <c r="AN520" s="194">
        <f t="shared" ref="AN520" si="607">AM520*AN521</f>
        <v>0</v>
      </c>
      <c r="AO520" s="194">
        <f t="shared" ref="AO520" si="608">AN520*AO521</f>
        <v>0</v>
      </c>
      <c r="AP520" s="194">
        <f t="shared" ref="AP520" si="609">AO520*AP521</f>
        <v>0</v>
      </c>
      <c r="AQ520" s="194">
        <f t="shared" ref="AQ520" si="610">AP520*AQ521</f>
        <v>0</v>
      </c>
      <c r="AR520" s="194">
        <f t="shared" ref="AR520" si="611">AQ520*AR521</f>
        <v>0</v>
      </c>
      <c r="AS520" s="194">
        <f t="shared" ref="AS520" si="612">AR520*AS521</f>
        <v>0</v>
      </c>
      <c r="AT520" s="194">
        <f t="shared" ref="AT520" si="613">AS520*AT521</f>
        <v>0</v>
      </c>
    </row>
    <row r="521" spans="4:46">
      <c r="D521" s="178" t="s">
        <v>2465</v>
      </c>
      <c r="E521" s="175"/>
      <c r="F521" s="175"/>
      <c r="G521" s="175"/>
      <c r="H521" s="175"/>
      <c r="I521" s="175"/>
      <c r="J521" s="175"/>
      <c r="K521" s="175"/>
      <c r="L521" s="175"/>
      <c r="M521" s="175"/>
      <c r="N521" s="175"/>
      <c r="O521" s="175"/>
      <c r="P521" s="175"/>
      <c r="Q521" s="175"/>
      <c r="R521" s="175"/>
      <c r="S521" s="175"/>
      <c r="T521" s="175"/>
      <c r="U521" s="175"/>
      <c r="V521" s="254" t="e">
        <f t="shared" ref="V521:AE521" si="614">+V520/U520</f>
        <v>#DIV/0!</v>
      </c>
      <c r="W521" s="254" t="e">
        <f t="shared" si="614"/>
        <v>#DIV/0!</v>
      </c>
      <c r="X521" s="254" t="e">
        <f t="shared" si="614"/>
        <v>#DIV/0!</v>
      </c>
      <c r="Y521" s="254" t="e">
        <f t="shared" si="614"/>
        <v>#DIV/0!</v>
      </c>
      <c r="Z521" s="254" t="e">
        <f t="shared" si="614"/>
        <v>#DIV/0!</v>
      </c>
      <c r="AA521" s="254" t="e">
        <f t="shared" si="614"/>
        <v>#DIV/0!</v>
      </c>
      <c r="AB521" s="254" t="e">
        <f t="shared" si="614"/>
        <v>#DIV/0!</v>
      </c>
      <c r="AC521" s="254" t="e">
        <f t="shared" si="614"/>
        <v>#DIV/0!</v>
      </c>
      <c r="AD521" s="254" t="e">
        <f t="shared" si="614"/>
        <v>#DIV/0!</v>
      </c>
      <c r="AE521" s="254" t="e">
        <f t="shared" si="614"/>
        <v>#DIV/0!</v>
      </c>
      <c r="AF521" s="254" t="e">
        <f>+AF520/AE520</f>
        <v>#DIV/0!</v>
      </c>
      <c r="AG521" s="254" t="e">
        <f>+AG520/AF520</f>
        <v>#DIV/0!</v>
      </c>
      <c r="AH521" s="1601">
        <v>1</v>
      </c>
      <c r="AI521" s="1601">
        <v>1</v>
      </c>
      <c r="AJ521" s="1601">
        <v>1</v>
      </c>
      <c r="AK521" s="1601">
        <v>1</v>
      </c>
      <c r="AL521" s="1601">
        <v>1</v>
      </c>
      <c r="AM521" s="1601">
        <v>1</v>
      </c>
      <c r="AN521" s="1601">
        <v>1</v>
      </c>
      <c r="AO521" s="1601">
        <v>1</v>
      </c>
      <c r="AP521" s="1601">
        <v>1</v>
      </c>
      <c r="AQ521" s="1601">
        <v>1</v>
      </c>
      <c r="AR521" s="1601">
        <v>1</v>
      </c>
      <c r="AS521" s="1601">
        <v>1</v>
      </c>
      <c r="AT521" s="1601">
        <v>1</v>
      </c>
    </row>
    <row r="522" spans="4:46">
      <c r="D522" s="178"/>
      <c r="E522" s="175"/>
      <c r="F522" s="175"/>
      <c r="G522" s="175"/>
      <c r="H522" s="175"/>
      <c r="I522" s="175"/>
      <c r="J522" s="175"/>
      <c r="K522" s="175"/>
      <c r="L522" s="175"/>
      <c r="M522" s="175"/>
      <c r="N522" s="175"/>
      <c r="O522" s="175"/>
      <c r="P522" s="175"/>
      <c r="Q522" s="175"/>
      <c r="R522" s="175"/>
      <c r="S522" s="175"/>
      <c r="T522" s="175"/>
      <c r="U522" s="175"/>
      <c r="V522" s="194"/>
      <c r="W522" s="194"/>
      <c r="X522" s="194"/>
      <c r="Y522" s="194"/>
      <c r="Z522" s="194"/>
      <c r="AA522" s="194"/>
      <c r="AB522" s="194"/>
      <c r="AC522" s="194"/>
      <c r="AD522" s="194"/>
      <c r="AE522" s="194"/>
      <c r="AF522" s="194"/>
      <c r="AG522" s="194"/>
      <c r="AH522" s="194"/>
      <c r="AI522" s="194"/>
      <c r="AJ522" s="194"/>
      <c r="AK522" s="194"/>
      <c r="AL522" s="194"/>
      <c r="AM522" s="194"/>
      <c r="AN522" s="194"/>
      <c r="AO522" s="194"/>
      <c r="AP522" s="194"/>
      <c r="AQ522" s="194"/>
      <c r="AR522" s="194"/>
      <c r="AS522" s="194"/>
      <c r="AT522" s="194"/>
    </row>
    <row r="523" spans="4:46">
      <c r="D523" s="190" t="s">
        <v>2459</v>
      </c>
      <c r="E523" s="175"/>
      <c r="F523" s="175"/>
      <c r="G523" s="175"/>
      <c r="H523" s="175"/>
      <c r="I523" s="175"/>
      <c r="J523" s="175"/>
      <c r="K523" s="175"/>
      <c r="L523" s="175"/>
      <c r="M523" s="175"/>
      <c r="N523" s="175"/>
      <c r="O523" s="175"/>
      <c r="P523" s="175"/>
      <c r="Q523" s="175"/>
      <c r="R523" s="175"/>
      <c r="S523" s="175"/>
      <c r="T523" s="175"/>
      <c r="U523" s="175"/>
      <c r="V523" s="194">
        <f t="shared" ref="V523:AT523" si="615">V1027/V402</f>
        <v>0</v>
      </c>
      <c r="W523" s="194">
        <f t="shared" si="615"/>
        <v>0</v>
      </c>
      <c r="X523" s="194">
        <f t="shared" si="615"/>
        <v>0</v>
      </c>
      <c r="Y523" s="194">
        <f t="shared" si="615"/>
        <v>4.5319736780963086E-4</v>
      </c>
      <c r="Z523" s="194">
        <f t="shared" si="615"/>
        <v>1.2620444010282778E-4</v>
      </c>
      <c r="AA523" s="194">
        <f t="shared" si="615"/>
        <v>1.3226792018628387E-4</v>
      </c>
      <c r="AB523" s="194">
        <f t="shared" si="615"/>
        <v>0</v>
      </c>
      <c r="AC523" s="194">
        <f t="shared" si="615"/>
        <v>9.9536945075615223E-5</v>
      </c>
      <c r="AD523" s="194">
        <f t="shared" si="615"/>
        <v>0</v>
      </c>
      <c r="AE523" s="194">
        <f t="shared" si="615"/>
        <v>0</v>
      </c>
      <c r="AF523" s="194">
        <f t="shared" si="615"/>
        <v>0</v>
      </c>
      <c r="AG523" s="194">
        <f t="shared" si="615"/>
        <v>0</v>
      </c>
      <c r="AH523" s="194">
        <f t="shared" si="615"/>
        <v>0</v>
      </c>
      <c r="AI523" s="194">
        <f t="shared" si="615"/>
        <v>0</v>
      </c>
      <c r="AJ523" s="194">
        <f t="shared" si="615"/>
        <v>0</v>
      </c>
      <c r="AK523" s="194">
        <f t="shared" si="615"/>
        <v>0</v>
      </c>
      <c r="AL523" s="194">
        <f t="shared" si="615"/>
        <v>0</v>
      </c>
      <c r="AM523" s="194">
        <f t="shared" si="615"/>
        <v>0</v>
      </c>
      <c r="AN523" s="194">
        <f t="shared" si="615"/>
        <v>0</v>
      </c>
      <c r="AO523" s="194">
        <f t="shared" si="615"/>
        <v>0</v>
      </c>
      <c r="AP523" s="194">
        <f t="shared" si="615"/>
        <v>0</v>
      </c>
      <c r="AQ523" s="194">
        <f t="shared" si="615"/>
        <v>0</v>
      </c>
      <c r="AR523" s="194">
        <f t="shared" si="615"/>
        <v>0</v>
      </c>
      <c r="AS523" s="194">
        <f t="shared" si="615"/>
        <v>0</v>
      </c>
      <c r="AT523" s="194">
        <f t="shared" si="615"/>
        <v>0</v>
      </c>
    </row>
    <row r="524" spans="4:46">
      <c r="D524" s="175" t="s">
        <v>2460</v>
      </c>
      <c r="E524" s="175"/>
      <c r="F524" s="175"/>
      <c r="G524" s="175"/>
      <c r="H524" s="175"/>
      <c r="I524" s="175"/>
      <c r="J524" s="175"/>
      <c r="K524" s="175"/>
      <c r="L524" s="175"/>
      <c r="M524" s="175"/>
      <c r="N524" s="175"/>
      <c r="O524" s="175"/>
      <c r="P524" s="175"/>
      <c r="Q524" s="175"/>
      <c r="R524" s="175"/>
      <c r="S524" s="175"/>
      <c r="T524" s="175"/>
      <c r="U524" s="175"/>
      <c r="V524" s="194">
        <f t="shared" ref="V524:AG524" si="616">V1027/V404</f>
        <v>0</v>
      </c>
      <c r="W524" s="194">
        <f t="shared" si="616"/>
        <v>0</v>
      </c>
      <c r="X524" s="194">
        <f t="shared" si="616"/>
        <v>0</v>
      </c>
      <c r="Y524" s="194">
        <f t="shared" si="616"/>
        <v>8.6852570647199753E-4</v>
      </c>
      <c r="Z524" s="194">
        <f t="shared" si="616"/>
        <v>2.397210786559512E-4</v>
      </c>
      <c r="AA524" s="194">
        <f t="shared" si="616"/>
        <v>2.6300600332187374E-4</v>
      </c>
      <c r="AB524" s="194">
        <f t="shared" si="616"/>
        <v>0</v>
      </c>
      <c r="AC524" s="194">
        <f t="shared" si="616"/>
        <v>2.1508838976529867E-4</v>
      </c>
      <c r="AD524" s="194">
        <f t="shared" si="616"/>
        <v>0</v>
      </c>
      <c r="AE524" s="194">
        <f t="shared" si="616"/>
        <v>0</v>
      </c>
      <c r="AF524" s="194">
        <f t="shared" si="616"/>
        <v>0</v>
      </c>
      <c r="AG524" s="194">
        <f t="shared" si="616"/>
        <v>0</v>
      </c>
      <c r="AH524" s="194">
        <f t="shared" ref="AH524:AM524" si="617">AG524*AH525</f>
        <v>0</v>
      </c>
      <c r="AI524" s="194">
        <f t="shared" si="617"/>
        <v>0</v>
      </c>
      <c r="AJ524" s="194">
        <f t="shared" si="617"/>
        <v>0</v>
      </c>
      <c r="AK524" s="194">
        <f t="shared" si="617"/>
        <v>0</v>
      </c>
      <c r="AL524" s="194">
        <f t="shared" si="617"/>
        <v>0</v>
      </c>
      <c r="AM524" s="194">
        <f t="shared" si="617"/>
        <v>0</v>
      </c>
      <c r="AN524" s="194">
        <f t="shared" ref="AN524" si="618">AM524*AN525</f>
        <v>0</v>
      </c>
      <c r="AO524" s="194">
        <f t="shared" ref="AO524" si="619">AN524*AO525</f>
        <v>0</v>
      </c>
      <c r="AP524" s="194">
        <f t="shared" ref="AP524" si="620">AO524*AP525</f>
        <v>0</v>
      </c>
      <c r="AQ524" s="194">
        <f t="shared" ref="AQ524" si="621">AP524*AQ525</f>
        <v>0</v>
      </c>
      <c r="AR524" s="194">
        <f t="shared" ref="AR524" si="622">AQ524*AR525</f>
        <v>0</v>
      </c>
      <c r="AS524" s="194">
        <f t="shared" ref="AS524" si="623">AR524*AS525</f>
        <v>0</v>
      </c>
      <c r="AT524" s="194">
        <f t="shared" ref="AT524" si="624">AS524*AT525</f>
        <v>0</v>
      </c>
    </row>
    <row r="525" spans="4:46">
      <c r="D525" s="178" t="s">
        <v>2461</v>
      </c>
      <c r="E525" s="175"/>
      <c r="F525" s="175"/>
      <c r="G525" s="175"/>
      <c r="H525" s="175"/>
      <c r="I525" s="175"/>
      <c r="J525" s="175"/>
      <c r="K525" s="175"/>
      <c r="L525" s="175"/>
      <c r="M525" s="175"/>
      <c r="N525" s="175"/>
      <c r="O525" s="175"/>
      <c r="P525" s="175"/>
      <c r="Q525" s="175"/>
      <c r="R525" s="175"/>
      <c r="S525" s="175"/>
      <c r="T525" s="175"/>
      <c r="U525" s="175"/>
      <c r="V525" s="254" t="e">
        <f t="shared" ref="V525:AG525" si="625">+V524/U524</f>
        <v>#DIV/0!</v>
      </c>
      <c r="W525" s="254" t="e">
        <f t="shared" si="625"/>
        <v>#DIV/0!</v>
      </c>
      <c r="X525" s="254" t="e">
        <f t="shared" si="625"/>
        <v>#DIV/0!</v>
      </c>
      <c r="Y525" s="254" t="e">
        <f t="shared" si="625"/>
        <v>#DIV/0!</v>
      </c>
      <c r="Z525" s="254">
        <f t="shared" si="625"/>
        <v>0.27600919220884357</v>
      </c>
      <c r="AA525" s="254">
        <f t="shared" si="625"/>
        <v>1.0971334051910435</v>
      </c>
      <c r="AB525" s="254">
        <f t="shared" si="625"/>
        <v>0</v>
      </c>
      <c r="AC525" s="254" t="e">
        <f t="shared" si="625"/>
        <v>#DIV/0!</v>
      </c>
      <c r="AD525" s="254">
        <f t="shared" si="625"/>
        <v>0</v>
      </c>
      <c r="AE525" s="254" t="e">
        <f t="shared" si="625"/>
        <v>#DIV/0!</v>
      </c>
      <c r="AF525" s="254" t="e">
        <f t="shared" si="625"/>
        <v>#DIV/0!</v>
      </c>
      <c r="AG525" s="254" t="e">
        <f t="shared" si="625"/>
        <v>#DIV/0!</v>
      </c>
      <c r="AH525" s="1601">
        <v>1</v>
      </c>
      <c r="AI525" s="1601">
        <v>1</v>
      </c>
      <c r="AJ525" s="1601">
        <v>1</v>
      </c>
      <c r="AK525" s="1601">
        <v>1</v>
      </c>
      <c r="AL525" s="1601">
        <v>1</v>
      </c>
      <c r="AM525" s="1601">
        <v>1</v>
      </c>
      <c r="AN525" s="1601">
        <v>1</v>
      </c>
      <c r="AO525" s="1601">
        <v>1</v>
      </c>
      <c r="AP525" s="1601">
        <v>1</v>
      </c>
      <c r="AQ525" s="1601">
        <v>1</v>
      </c>
      <c r="AR525" s="1601">
        <v>1</v>
      </c>
      <c r="AS525" s="1601">
        <v>1</v>
      </c>
      <c r="AT525" s="1601">
        <v>1</v>
      </c>
    </row>
    <row r="526" spans="4:46">
      <c r="D526" s="178"/>
      <c r="E526" s="175"/>
      <c r="F526" s="175"/>
      <c r="G526" s="175"/>
      <c r="H526" s="175"/>
      <c r="I526" s="175"/>
      <c r="J526" s="175"/>
      <c r="K526" s="175"/>
      <c r="L526" s="175"/>
      <c r="M526" s="175"/>
      <c r="N526" s="175"/>
      <c r="O526" s="175"/>
      <c r="P526" s="175"/>
      <c r="Q526" s="175"/>
      <c r="R526" s="175"/>
      <c r="S526" s="175"/>
      <c r="T526" s="175"/>
      <c r="U526" s="175"/>
      <c r="V526" s="254"/>
      <c r="W526" s="254"/>
      <c r="X526" s="254"/>
      <c r="Y526" s="254"/>
      <c r="Z526" s="254"/>
      <c r="AA526" s="254"/>
      <c r="AB526" s="254"/>
      <c r="AC526" s="254"/>
      <c r="AD526" s="254"/>
      <c r="AE526" s="254"/>
      <c r="AF526" s="254"/>
      <c r="AG526" s="254"/>
      <c r="AH526" s="254"/>
      <c r="AI526" s="254"/>
      <c r="AJ526" s="254"/>
      <c r="AK526" s="254"/>
      <c r="AL526" s="254"/>
      <c r="AM526" s="254"/>
      <c r="AN526" s="254"/>
      <c r="AO526" s="254"/>
      <c r="AP526" s="254"/>
      <c r="AQ526" s="254"/>
      <c r="AR526" s="254"/>
      <c r="AS526" s="254"/>
      <c r="AT526" s="254"/>
    </row>
    <row r="527" spans="4:46">
      <c r="D527" s="190" t="s">
        <v>3117</v>
      </c>
      <c r="E527" s="175"/>
      <c r="F527" s="175"/>
      <c r="G527" s="175"/>
      <c r="H527" s="175"/>
      <c r="I527" s="175"/>
      <c r="J527" s="175"/>
      <c r="K527" s="175"/>
      <c r="L527" s="175"/>
      <c r="M527" s="175"/>
      <c r="N527" s="175"/>
      <c r="O527" s="175"/>
      <c r="P527" s="175"/>
      <c r="Q527" s="175"/>
      <c r="R527" s="175"/>
      <c r="S527" s="175"/>
      <c r="T527" s="175"/>
      <c r="U527" s="175"/>
      <c r="V527" s="194">
        <f t="shared" ref="V527:AT527" si="626">V1028/V402</f>
        <v>0</v>
      </c>
      <c r="W527" s="194">
        <f t="shared" si="626"/>
        <v>0</v>
      </c>
      <c r="X527" s="194">
        <f t="shared" si="626"/>
        <v>0</v>
      </c>
      <c r="Y527" s="194">
        <f t="shared" si="626"/>
        <v>0</v>
      </c>
      <c r="Z527" s="194">
        <f t="shared" si="626"/>
        <v>0</v>
      </c>
      <c r="AA527" s="194">
        <f t="shared" si="626"/>
        <v>0</v>
      </c>
      <c r="AB527" s="194">
        <f t="shared" si="626"/>
        <v>2.7662954797414512E-3</v>
      </c>
      <c r="AC527" s="194">
        <f t="shared" si="626"/>
        <v>4.8480264656464416E-3</v>
      </c>
      <c r="AD527" s="194">
        <f t="shared" si="626"/>
        <v>0</v>
      </c>
      <c r="AE527" s="194">
        <f t="shared" si="626"/>
        <v>0</v>
      </c>
      <c r="AF527" s="194">
        <f t="shared" si="626"/>
        <v>0</v>
      </c>
      <c r="AG527" s="194">
        <f t="shared" si="626"/>
        <v>0</v>
      </c>
      <c r="AH527" s="194">
        <f t="shared" si="626"/>
        <v>0</v>
      </c>
      <c r="AI527" s="194">
        <f t="shared" si="626"/>
        <v>0</v>
      </c>
      <c r="AJ527" s="194">
        <f t="shared" si="626"/>
        <v>0</v>
      </c>
      <c r="AK527" s="194">
        <f t="shared" si="626"/>
        <v>0</v>
      </c>
      <c r="AL527" s="194">
        <f t="shared" si="626"/>
        <v>0</v>
      </c>
      <c r="AM527" s="194">
        <f t="shared" si="626"/>
        <v>0</v>
      </c>
      <c r="AN527" s="194">
        <f t="shared" si="626"/>
        <v>0</v>
      </c>
      <c r="AO527" s="194">
        <f t="shared" si="626"/>
        <v>0</v>
      </c>
      <c r="AP527" s="194">
        <f t="shared" si="626"/>
        <v>0</v>
      </c>
      <c r="AQ527" s="194">
        <f t="shared" si="626"/>
        <v>0</v>
      </c>
      <c r="AR527" s="194">
        <f t="shared" si="626"/>
        <v>0</v>
      </c>
      <c r="AS527" s="194">
        <f t="shared" si="626"/>
        <v>0</v>
      </c>
      <c r="AT527" s="194">
        <f t="shared" si="626"/>
        <v>0</v>
      </c>
    </row>
    <row r="528" spans="4:46">
      <c r="D528" s="175" t="s">
        <v>3118</v>
      </c>
      <c r="E528" s="175"/>
      <c r="F528" s="175"/>
      <c r="G528" s="175"/>
      <c r="H528" s="175"/>
      <c r="I528" s="175"/>
      <c r="J528" s="175"/>
      <c r="K528" s="175"/>
      <c r="L528" s="175"/>
      <c r="M528" s="175"/>
      <c r="N528" s="175"/>
      <c r="O528" s="175"/>
      <c r="P528" s="175"/>
      <c r="Q528" s="175"/>
      <c r="R528" s="175"/>
      <c r="S528" s="175"/>
      <c r="T528" s="175"/>
      <c r="U528" s="175"/>
      <c r="V528" s="194">
        <f t="shared" ref="V528:AG528" si="627">V1028/V404</f>
        <v>0</v>
      </c>
      <c r="W528" s="194">
        <f t="shared" si="627"/>
        <v>0</v>
      </c>
      <c r="X528" s="194">
        <f t="shared" si="627"/>
        <v>0</v>
      </c>
      <c r="Y528" s="194">
        <f t="shared" si="627"/>
        <v>0</v>
      </c>
      <c r="Z528" s="194">
        <f t="shared" si="627"/>
        <v>0</v>
      </c>
      <c r="AA528" s="194">
        <f t="shared" si="627"/>
        <v>0</v>
      </c>
      <c r="AB528" s="194">
        <f t="shared" si="627"/>
        <v>5.7879482845870807E-3</v>
      </c>
      <c r="AC528" s="194">
        <f t="shared" si="627"/>
        <v>1.0476051934719278E-2</v>
      </c>
      <c r="AD528" s="194">
        <f t="shared" si="627"/>
        <v>0</v>
      </c>
      <c r="AE528" s="194">
        <f t="shared" si="627"/>
        <v>0</v>
      </c>
      <c r="AF528" s="194">
        <f t="shared" si="627"/>
        <v>0</v>
      </c>
      <c r="AG528" s="194">
        <f t="shared" si="627"/>
        <v>0</v>
      </c>
      <c r="AH528" s="194">
        <f t="shared" ref="AH528:AM528" si="628">AG528*AH529</f>
        <v>0</v>
      </c>
      <c r="AI528" s="194">
        <f t="shared" si="628"/>
        <v>0</v>
      </c>
      <c r="AJ528" s="194">
        <f t="shared" si="628"/>
        <v>0</v>
      </c>
      <c r="AK528" s="194">
        <f t="shared" si="628"/>
        <v>0</v>
      </c>
      <c r="AL528" s="194">
        <f t="shared" si="628"/>
        <v>0</v>
      </c>
      <c r="AM528" s="194">
        <f t="shared" si="628"/>
        <v>0</v>
      </c>
      <c r="AN528" s="194">
        <f t="shared" ref="AN528" si="629">AM528*AN529</f>
        <v>0</v>
      </c>
      <c r="AO528" s="194">
        <f t="shared" ref="AO528" si="630">AN528*AO529</f>
        <v>0</v>
      </c>
      <c r="AP528" s="194">
        <f t="shared" ref="AP528" si="631">AO528*AP529</f>
        <v>0</v>
      </c>
      <c r="AQ528" s="194">
        <f t="shared" ref="AQ528" si="632">AP528*AQ529</f>
        <v>0</v>
      </c>
      <c r="AR528" s="194">
        <f t="shared" ref="AR528" si="633">AQ528*AR529</f>
        <v>0</v>
      </c>
      <c r="AS528" s="194">
        <f t="shared" ref="AS528" si="634">AR528*AS529</f>
        <v>0</v>
      </c>
      <c r="AT528" s="194">
        <f t="shared" ref="AT528" si="635">AS528*AT529</f>
        <v>0</v>
      </c>
    </row>
    <row r="529" spans="4:46">
      <c r="D529" s="178" t="s">
        <v>3119</v>
      </c>
      <c r="E529" s="175"/>
      <c r="F529" s="175"/>
      <c r="G529" s="175"/>
      <c r="H529" s="175"/>
      <c r="I529" s="175"/>
      <c r="J529" s="175"/>
      <c r="K529" s="175"/>
      <c r="L529" s="175"/>
      <c r="M529" s="175"/>
      <c r="N529" s="175"/>
      <c r="O529" s="175"/>
      <c r="P529" s="175"/>
      <c r="Q529" s="175"/>
      <c r="R529" s="175"/>
      <c r="S529" s="175"/>
      <c r="T529" s="175"/>
      <c r="U529" s="175"/>
      <c r="V529" s="194" t="e">
        <f t="shared" ref="V529:AB529" si="636">V528/U528</f>
        <v>#DIV/0!</v>
      </c>
      <c r="W529" s="194" t="e">
        <f t="shared" si="636"/>
        <v>#DIV/0!</v>
      </c>
      <c r="X529" s="194" t="e">
        <f t="shared" si="636"/>
        <v>#DIV/0!</v>
      </c>
      <c r="Y529" s="194" t="e">
        <f t="shared" si="636"/>
        <v>#DIV/0!</v>
      </c>
      <c r="Z529" s="194" t="e">
        <f t="shared" si="636"/>
        <v>#DIV/0!</v>
      </c>
      <c r="AA529" s="194" t="e">
        <f t="shared" si="636"/>
        <v>#DIV/0!</v>
      </c>
      <c r="AB529" s="194" t="e">
        <f t="shared" si="636"/>
        <v>#DIV/0!</v>
      </c>
      <c r="AC529" s="194">
        <f>AC528/AB528</f>
        <v>1.8099767689038107</v>
      </c>
      <c r="AD529" s="194">
        <f>AD528/AC528</f>
        <v>0</v>
      </c>
      <c r="AE529" s="194" t="e">
        <f>AE528/AD528</f>
        <v>#DIV/0!</v>
      </c>
      <c r="AF529" s="194" t="e">
        <f>AF528/AE528</f>
        <v>#DIV/0!</v>
      </c>
      <c r="AG529" s="194" t="e">
        <f>AG528/AF528</f>
        <v>#DIV/0!</v>
      </c>
      <c r="AH529" s="1601">
        <v>1</v>
      </c>
      <c r="AI529" s="1601">
        <v>1</v>
      </c>
      <c r="AJ529" s="1601">
        <v>1</v>
      </c>
      <c r="AK529" s="1601">
        <v>1</v>
      </c>
      <c r="AL529" s="1601">
        <v>1</v>
      </c>
      <c r="AM529" s="1601">
        <v>1</v>
      </c>
      <c r="AN529" s="1601">
        <v>1</v>
      </c>
      <c r="AO529" s="1601">
        <v>1</v>
      </c>
      <c r="AP529" s="1601">
        <v>1</v>
      </c>
      <c r="AQ529" s="1601">
        <v>1</v>
      </c>
      <c r="AR529" s="1601">
        <v>1</v>
      </c>
      <c r="AS529" s="1601">
        <v>1</v>
      </c>
      <c r="AT529" s="1601">
        <v>1</v>
      </c>
    </row>
    <row r="530" spans="4:46">
      <c r="D530" s="178"/>
      <c r="E530" s="175"/>
      <c r="F530" s="175"/>
      <c r="G530" s="175"/>
      <c r="H530" s="175"/>
      <c r="I530" s="175"/>
      <c r="J530" s="175"/>
      <c r="K530" s="175"/>
      <c r="L530" s="175"/>
      <c r="M530" s="175"/>
      <c r="N530" s="175"/>
      <c r="O530" s="175"/>
      <c r="P530" s="175"/>
      <c r="Q530" s="175"/>
      <c r="R530" s="175"/>
      <c r="S530" s="175"/>
      <c r="T530" s="175"/>
      <c r="U530" s="175"/>
      <c r="V530" s="194"/>
      <c r="W530" s="194"/>
      <c r="X530" s="194"/>
      <c r="Y530" s="194"/>
      <c r="Z530" s="194"/>
      <c r="AA530" s="194"/>
      <c r="AB530" s="194"/>
      <c r="AC530" s="194"/>
      <c r="AD530" s="194"/>
      <c r="AE530" s="194"/>
      <c r="AF530" s="194"/>
      <c r="AG530" s="194"/>
      <c r="AH530" s="1601"/>
      <c r="AI530" s="1601"/>
      <c r="AJ530" s="1601"/>
      <c r="AK530" s="1601"/>
      <c r="AL530" s="1601"/>
      <c r="AM530" s="1601"/>
      <c r="AN530" s="1601"/>
      <c r="AO530" s="1601"/>
      <c r="AP530" s="1601"/>
      <c r="AQ530" s="1601"/>
      <c r="AR530" s="1601"/>
      <c r="AS530" s="1601"/>
      <c r="AT530" s="1601"/>
    </row>
    <row r="531" spans="4:46">
      <c r="D531" s="190" t="s">
        <v>3145</v>
      </c>
      <c r="E531" s="175"/>
      <c r="F531" s="175"/>
      <c r="G531" s="175"/>
      <c r="H531" s="175"/>
      <c r="I531" s="175"/>
      <c r="J531" s="175"/>
      <c r="K531" s="175"/>
      <c r="L531" s="175"/>
      <c r="M531" s="175"/>
      <c r="N531" s="175"/>
      <c r="O531" s="175"/>
      <c r="P531" s="175"/>
      <c r="Q531" s="175"/>
      <c r="R531" s="175"/>
      <c r="S531" s="175"/>
      <c r="T531" s="175"/>
      <c r="U531" s="175"/>
      <c r="V531" s="194">
        <f t="shared" ref="V531:AT531" si="637">V1053/V402</f>
        <v>0</v>
      </c>
      <c r="W531" s="194">
        <f t="shared" si="637"/>
        <v>0</v>
      </c>
      <c r="X531" s="194">
        <f t="shared" si="637"/>
        <v>0</v>
      </c>
      <c r="Y531" s="194">
        <f t="shared" si="637"/>
        <v>1.2674551407157579E-3</v>
      </c>
      <c r="Z531" s="194">
        <f t="shared" si="637"/>
        <v>1.6627127305912596E-3</v>
      </c>
      <c r="AA531" s="194">
        <f t="shared" si="637"/>
        <v>7.4774912253929504E-4</v>
      </c>
      <c r="AB531" s="194">
        <f t="shared" si="637"/>
        <v>1.0466870160405072E-3</v>
      </c>
      <c r="AC531" s="194">
        <f t="shared" si="637"/>
        <v>1.2029616297671302E-3</v>
      </c>
      <c r="AD531" s="194">
        <f t="shared" si="637"/>
        <v>5.4336272562514345E-4</v>
      </c>
      <c r="AE531" s="194">
        <f t="shared" si="637"/>
        <v>2.1657403464244618E-3</v>
      </c>
      <c r="AF531" s="194">
        <f t="shared" si="637"/>
        <v>1.9067676650072103E-3</v>
      </c>
      <c r="AG531" s="194">
        <f t="shared" si="637"/>
        <v>1.112639075074429E-3</v>
      </c>
      <c r="AH531" s="194">
        <f t="shared" si="637"/>
        <v>9.5678631909640712E-4</v>
      </c>
      <c r="AI531" s="194">
        <f t="shared" si="637"/>
        <v>1.3791890322273665E-3</v>
      </c>
      <c r="AJ531" s="194">
        <f t="shared" si="637"/>
        <v>1.2247413530313744E-3</v>
      </c>
      <c r="AK531" s="194">
        <f t="shared" si="637"/>
        <v>1.1652489057238694E-3</v>
      </c>
      <c r="AL531" s="194">
        <f t="shared" si="637"/>
        <v>1.1531038209082866E-3</v>
      </c>
      <c r="AM531" s="194">
        <f t="shared" si="637"/>
        <v>1.1111795456798038E-3</v>
      </c>
      <c r="AN531" s="194">
        <f t="shared" si="637"/>
        <v>1.1174487490652671E-3</v>
      </c>
      <c r="AO531" s="194">
        <f t="shared" si="637"/>
        <v>1.1238846799058468E-3</v>
      </c>
      <c r="AP531" s="194">
        <f t="shared" si="637"/>
        <v>1.0982405484564078E-3</v>
      </c>
      <c r="AQ531" s="194">
        <f t="shared" si="637"/>
        <v>1.0480013017631505E-3</v>
      </c>
      <c r="AR531" s="194">
        <f t="shared" si="637"/>
        <v>1.1510819421939392E-3</v>
      </c>
      <c r="AS531" s="194">
        <f t="shared" si="637"/>
        <v>-3.9848398732938882E-3</v>
      </c>
      <c r="AT531" s="194">
        <f t="shared" si="637"/>
        <v>-1.0825557995273107E-2</v>
      </c>
    </row>
    <row r="532" spans="4:46">
      <c r="D532" s="175" t="s">
        <v>3146</v>
      </c>
      <c r="E532" s="175"/>
      <c r="F532" s="175"/>
      <c r="G532" s="175"/>
      <c r="H532" s="175"/>
      <c r="I532" s="175"/>
      <c r="J532" s="175"/>
      <c r="K532" s="175"/>
      <c r="L532" s="175"/>
      <c r="M532" s="175"/>
      <c r="N532" s="175"/>
      <c r="O532" s="175"/>
      <c r="P532" s="175"/>
      <c r="Q532" s="175"/>
      <c r="R532" s="175"/>
      <c r="S532" s="175"/>
      <c r="T532" s="175"/>
      <c r="U532" s="175"/>
      <c r="V532" s="194">
        <f t="shared" ref="V532:AH532" si="638">V1053/V404</f>
        <v>0</v>
      </c>
      <c r="W532" s="194">
        <f t="shared" si="638"/>
        <v>0</v>
      </c>
      <c r="X532" s="194">
        <f t="shared" si="638"/>
        <v>0</v>
      </c>
      <c r="Y532" s="194">
        <f t="shared" si="638"/>
        <v>2.4290021295404469E-3</v>
      </c>
      <c r="Z532" s="194">
        <f t="shared" si="638"/>
        <v>3.158266768962813E-3</v>
      </c>
      <c r="AA532" s="194">
        <f t="shared" si="638"/>
        <v>1.4868496301258982E-3</v>
      </c>
      <c r="AB532" s="194">
        <f t="shared" si="638"/>
        <v>2.1899939335321634E-3</v>
      </c>
      <c r="AC532" s="194">
        <f t="shared" si="638"/>
        <v>2.5994677624422979E-3</v>
      </c>
      <c r="AD532" s="194">
        <f t="shared" si="638"/>
        <v>1.1473312291825849E-3</v>
      </c>
      <c r="AE532" s="194">
        <f t="shared" si="638"/>
        <v>4.5896766427443456E-3</v>
      </c>
      <c r="AF532" s="194">
        <f t="shared" si="638"/>
        <v>4.03789979700926E-3</v>
      </c>
      <c r="AG532" s="194">
        <f t="shared" si="638"/>
        <v>2.3149288124128622E-3</v>
      </c>
      <c r="AH532" s="194">
        <f t="shared" si="638"/>
        <v>2.1814462440008691E-3</v>
      </c>
      <c r="AI532" s="194">
        <f t="shared" ref="AI532:AM532" si="639">AH532*AI533</f>
        <v>3.1577830688032365E-3</v>
      </c>
      <c r="AJ532" s="194">
        <f t="shared" si="639"/>
        <v>3.0871827517934885E-3</v>
      </c>
      <c r="AK532" s="194">
        <f t="shared" si="639"/>
        <v>3.0699582005707842E-3</v>
      </c>
      <c r="AL532" s="194">
        <f t="shared" si="639"/>
        <v>3.0066680377794615E-3</v>
      </c>
      <c r="AM532" s="194">
        <f t="shared" si="639"/>
        <v>2.8228382498250216E-3</v>
      </c>
      <c r="AN532" s="194">
        <f t="shared" ref="AN532" si="640">AM532*AN533</f>
        <v>2.8342011913606185E-3</v>
      </c>
      <c r="AO532" s="194">
        <f t="shared" ref="AO532" si="641">AN532*AO533</f>
        <v>2.7736007730971386E-3</v>
      </c>
      <c r="AP532" s="194">
        <f t="shared" ref="AP532" si="642">AO532*AP533</f>
        <v>2.773600773097139E-3</v>
      </c>
      <c r="AQ532" s="194">
        <f t="shared" ref="AQ532" si="643">AP532*AQ533</f>
        <v>2.7736007730971395E-3</v>
      </c>
      <c r="AR532" s="194">
        <f t="shared" ref="AR532" si="644">AQ532*AR533</f>
        <v>2.7736007730971399E-3</v>
      </c>
      <c r="AS532" s="194">
        <f t="shared" ref="AS532" si="645">AR532*AS533</f>
        <v>2.7736007730971403E-3</v>
      </c>
      <c r="AT532" s="194">
        <f t="shared" ref="AT532" si="646">AS532*AT533</f>
        <v>2.7736007730971408E-3</v>
      </c>
    </row>
    <row r="533" spans="4:46">
      <c r="D533" s="178" t="s">
        <v>3147</v>
      </c>
      <c r="E533" s="175"/>
      <c r="F533" s="175"/>
      <c r="G533" s="175"/>
      <c r="H533" s="175"/>
      <c r="I533" s="175"/>
      <c r="J533" s="175"/>
      <c r="K533" s="175"/>
      <c r="L533" s="175"/>
      <c r="M533" s="175"/>
      <c r="N533" s="175"/>
      <c r="O533" s="175"/>
      <c r="P533" s="175"/>
      <c r="Q533" s="175"/>
      <c r="R533" s="175"/>
      <c r="S533" s="175"/>
      <c r="T533" s="175"/>
      <c r="U533" s="175"/>
      <c r="V533" s="194" t="e">
        <f t="shared" ref="V533:AH533" si="647">V532/U532</f>
        <v>#DIV/0!</v>
      </c>
      <c r="W533" s="194" t="e">
        <f t="shared" si="647"/>
        <v>#DIV/0!</v>
      </c>
      <c r="X533" s="194" t="e">
        <f t="shared" si="647"/>
        <v>#DIV/0!</v>
      </c>
      <c r="Y533" s="194" t="e">
        <f t="shared" si="647"/>
        <v>#DIV/0!</v>
      </c>
      <c r="Z533" s="194">
        <f t="shared" si="647"/>
        <v>1.3002321943457245</v>
      </c>
      <c r="AA533" s="194">
        <f t="shared" si="647"/>
        <v>0.47078025350410324</v>
      </c>
      <c r="AB533" s="194">
        <f t="shared" si="647"/>
        <v>1.4729088195332347</v>
      </c>
      <c r="AC533" s="194">
        <f t="shared" si="647"/>
        <v>1.1869748690352346</v>
      </c>
      <c r="AD533" s="194">
        <f t="shared" si="647"/>
        <v>0.44137159373910606</v>
      </c>
      <c r="AE533" s="194">
        <f t="shared" si="647"/>
        <v>4.0003065601328194</v>
      </c>
      <c r="AF533" s="194">
        <f t="shared" si="647"/>
        <v>0.87977871020448251</v>
      </c>
      <c r="AG533" s="194">
        <f t="shared" si="647"/>
        <v>0.57330021268171494</v>
      </c>
      <c r="AH533" s="194">
        <f t="shared" si="647"/>
        <v>0.94233837010613575</v>
      </c>
      <c r="AI533" s="194">
        <v>1.4475640082754102</v>
      </c>
      <c r="AJ533" s="1601">
        <v>0.97764244234911779</v>
      </c>
      <c r="AK533" s="1601">
        <v>0.99442062469003567</v>
      </c>
      <c r="AL533" s="1601">
        <v>0.979384031098679</v>
      </c>
      <c r="AM533" s="1601">
        <v>0.93885930018060615</v>
      </c>
      <c r="AN533" s="1601">
        <v>1.0040253604811757</v>
      </c>
      <c r="AO533" s="1601">
        <v>0.97861816639968757</v>
      </c>
      <c r="AP533" s="1601">
        <v>1.0000000000000002</v>
      </c>
      <c r="AQ533" s="1601">
        <v>1.0000000000000002</v>
      </c>
      <c r="AR533" s="1601">
        <v>1.0000000000000002</v>
      </c>
      <c r="AS533" s="1601">
        <v>1.0000000000000002</v>
      </c>
      <c r="AT533" s="1601">
        <v>1.0000000000000002</v>
      </c>
    </row>
    <row r="534" spans="4:46">
      <c r="D534" s="178"/>
      <c r="E534" s="175"/>
      <c r="F534" s="175"/>
      <c r="G534" s="175"/>
      <c r="H534" s="175"/>
      <c r="I534" s="175"/>
      <c r="J534" s="175"/>
      <c r="K534" s="175"/>
      <c r="L534" s="175"/>
      <c r="M534" s="175"/>
      <c r="N534" s="175"/>
      <c r="O534" s="175"/>
      <c r="P534" s="175"/>
      <c r="Q534" s="175"/>
      <c r="R534" s="175"/>
      <c r="S534" s="175"/>
      <c r="T534" s="175"/>
      <c r="U534" s="175"/>
      <c r="V534" s="194"/>
      <c r="W534" s="194"/>
      <c r="X534" s="194"/>
      <c r="Y534" s="194"/>
      <c r="Z534" s="194"/>
      <c r="AA534" s="194"/>
      <c r="AB534" s="194"/>
      <c r="AC534" s="194"/>
      <c r="AD534" s="194"/>
      <c r="AE534" s="194"/>
      <c r="AF534" s="194"/>
      <c r="AG534" s="194"/>
      <c r="AH534" s="1601"/>
      <c r="AI534" s="1601"/>
      <c r="AJ534" s="1601"/>
      <c r="AK534" s="1601"/>
      <c r="AL534" s="1601"/>
      <c r="AM534" s="1601"/>
      <c r="AN534" s="1601"/>
      <c r="AO534" s="1601"/>
      <c r="AP534" s="1601"/>
      <c r="AQ534" s="1601"/>
      <c r="AR534" s="1601"/>
      <c r="AS534" s="1601"/>
      <c r="AT534" s="1601"/>
    </row>
    <row r="535" spans="4:46">
      <c r="D535" s="190" t="s">
        <v>3148</v>
      </c>
      <c r="E535" s="175"/>
      <c r="F535" s="175"/>
      <c r="G535" s="175"/>
      <c r="H535" s="175"/>
      <c r="I535" s="175"/>
      <c r="J535" s="175"/>
      <c r="K535" s="175"/>
      <c r="L535" s="175"/>
      <c r="M535" s="175"/>
      <c r="N535" s="175"/>
      <c r="O535" s="175"/>
      <c r="P535" s="175"/>
      <c r="Q535" s="175"/>
      <c r="R535" s="175"/>
      <c r="S535" s="175"/>
      <c r="T535" s="175"/>
      <c r="U535" s="175"/>
      <c r="V535" s="194">
        <f t="shared" ref="V535:AT535" si="648">V1061/V402</f>
        <v>0</v>
      </c>
      <c r="W535" s="194">
        <f t="shared" si="648"/>
        <v>0</v>
      </c>
      <c r="X535" s="194">
        <f t="shared" si="648"/>
        <v>0</v>
      </c>
      <c r="Y535" s="194">
        <f t="shared" si="648"/>
        <v>2.2677451605771031E-3</v>
      </c>
      <c r="Z535" s="194">
        <f t="shared" si="648"/>
        <v>2.1273520913453301E-3</v>
      </c>
      <c r="AA535" s="194">
        <f t="shared" si="648"/>
        <v>4.9417295553181749E-3</v>
      </c>
      <c r="AB535" s="194">
        <f t="shared" si="648"/>
        <v>7.0703888044154357E-3</v>
      </c>
      <c r="AC535" s="194">
        <f t="shared" si="648"/>
        <v>7.1058177413193969E-3</v>
      </c>
      <c r="AD535" s="194">
        <f t="shared" si="648"/>
        <v>1.0549964249151179E-2</v>
      </c>
      <c r="AE535" s="194">
        <f t="shared" si="648"/>
        <v>9.1132938729818307E-3</v>
      </c>
      <c r="AF535" s="194">
        <f t="shared" si="648"/>
        <v>7.4965762059355555E-3</v>
      </c>
      <c r="AG535" s="194">
        <f t="shared" si="648"/>
        <v>1.3861855589958063E-2</v>
      </c>
      <c r="AH535" s="194">
        <f t="shared" si="648"/>
        <v>7.6077845839433644E-3</v>
      </c>
      <c r="AI535" s="194">
        <f t="shared" si="648"/>
        <v>8.6616682082624307E-3</v>
      </c>
      <c r="AJ535" s="194">
        <f t="shared" si="648"/>
        <v>1.0098774991673672E-2</v>
      </c>
      <c r="AK535" s="194">
        <f t="shared" si="648"/>
        <v>1.1016159196313397E-2</v>
      </c>
      <c r="AL535" s="194">
        <f t="shared" si="648"/>
        <v>1.1271534249470047E-2</v>
      </c>
      <c r="AM535" s="194">
        <f t="shared" si="648"/>
        <v>1.193684955950371E-2</v>
      </c>
      <c r="AN535" s="194">
        <f t="shared" si="648"/>
        <v>1.2244280425342926E-2</v>
      </c>
      <c r="AO535" s="194">
        <f t="shared" si="648"/>
        <v>1.3546281310733497E-2</v>
      </c>
      <c r="AP535" s="194">
        <f t="shared" si="648"/>
        <v>1.3852454711435156E-2</v>
      </c>
      <c r="AQ535" s="194">
        <f t="shared" si="648"/>
        <v>1.330442864763166E-2</v>
      </c>
      <c r="AR535" s="194">
        <f t="shared" si="648"/>
        <v>1.4613042504557524E-2</v>
      </c>
      <c r="AS535" s="194">
        <f t="shared" si="648"/>
        <v>-5.4456689901120334E-2</v>
      </c>
      <c r="AT535" s="194">
        <f t="shared" si="648"/>
        <v>-0.15925629752840095</v>
      </c>
    </row>
    <row r="536" spans="4:46">
      <c r="D536" s="175" t="s">
        <v>3149</v>
      </c>
      <c r="E536" s="175"/>
      <c r="F536" s="175"/>
      <c r="G536" s="175"/>
      <c r="H536" s="175"/>
      <c r="I536" s="175"/>
      <c r="J536" s="175"/>
      <c r="K536" s="175"/>
      <c r="L536" s="175"/>
      <c r="M536" s="175"/>
      <c r="N536" s="175"/>
      <c r="O536" s="175"/>
      <c r="P536" s="175"/>
      <c r="Q536" s="175"/>
      <c r="R536" s="175"/>
      <c r="S536" s="175"/>
      <c r="T536" s="175"/>
      <c r="U536" s="175"/>
      <c r="V536" s="194">
        <f t="shared" ref="V536:AG536" si="649">V1061/V404</f>
        <v>0</v>
      </c>
      <c r="W536" s="194">
        <f t="shared" si="649"/>
        <v>0</v>
      </c>
      <c r="X536" s="194">
        <f t="shared" si="649"/>
        <v>0</v>
      </c>
      <c r="Y536" s="194">
        <f t="shared" si="649"/>
        <v>4.3459982506253783E-3</v>
      </c>
      <c r="Z536" s="194">
        <f t="shared" si="649"/>
        <v>4.0408335681596163E-3</v>
      </c>
      <c r="AA536" s="194">
        <f t="shared" si="649"/>
        <v>9.8263020845215671E-3</v>
      </c>
      <c r="AB536" s="194">
        <f t="shared" si="649"/>
        <v>1.4793446705738336E-2</v>
      </c>
      <c r="AC536" s="194">
        <f t="shared" si="649"/>
        <v>1.535489053622268E-2</v>
      </c>
      <c r="AD536" s="194">
        <f t="shared" si="649"/>
        <v>2.2276654026801058E-2</v>
      </c>
      <c r="AE536" s="194">
        <f t="shared" si="649"/>
        <v>1.9313059433160785E-2</v>
      </c>
      <c r="AF536" s="194">
        <f t="shared" si="649"/>
        <v>1.5875255331696196E-2</v>
      </c>
      <c r="AG536" s="194">
        <f t="shared" si="649"/>
        <v>2.8840627313537079E-2</v>
      </c>
      <c r="AH536" s="2123">
        <f t="shared" ref="AH536:AM536" si="650">AG536*AH537</f>
        <v>1.7950406439945478E-2</v>
      </c>
      <c r="AI536" s="2123">
        <f>AH536*AI537</f>
        <v>2.4107912474427014E-2</v>
      </c>
      <c r="AJ536" s="2123">
        <f t="shared" si="650"/>
        <v>2.5455794312303041E-2</v>
      </c>
      <c r="AK536" s="2123">
        <f t="shared" si="650"/>
        <v>2.9023110939981216E-2</v>
      </c>
      <c r="AL536" s="2123">
        <f t="shared" si="650"/>
        <v>2.939003509495227E-2</v>
      </c>
      <c r="AM536" s="2123">
        <f t="shared" si="650"/>
        <v>3.0324348256752176E-2</v>
      </c>
      <c r="AN536" s="2123">
        <f t="shared" ref="AN536" si="651">AM536*AN537</f>
        <v>3.1055342983639177E-2</v>
      </c>
      <c r="AO536" s="2123">
        <f t="shared" ref="AO536" si="652">AN536*AO537</f>
        <v>3.3430455088318607E-2</v>
      </c>
      <c r="AP536" s="2123">
        <f t="shared" ref="AP536" si="653">AO536*AP537</f>
        <v>3.4984302073831776E-2</v>
      </c>
      <c r="AQ536" s="2123">
        <f t="shared" ref="AQ536" si="654">AP536*AQ537</f>
        <v>3.5210999757924549E-2</v>
      </c>
      <c r="AR536" s="2123">
        <f t="shared" ref="AR536" si="655">AQ536*AR537</f>
        <v>3.5210999757924549E-2</v>
      </c>
      <c r="AS536" s="2123">
        <f t="shared" ref="AS536" si="656">AR536*AS537</f>
        <v>3.790393642221996E-2</v>
      </c>
      <c r="AT536" s="2123">
        <f t="shared" ref="AT536" si="657">AS536*AT537</f>
        <v>4.0802828836927554E-2</v>
      </c>
    </row>
    <row r="537" spans="4:46">
      <c r="D537" s="178" t="s">
        <v>3150</v>
      </c>
      <c r="E537" s="175"/>
      <c r="F537" s="175"/>
      <c r="G537" s="175"/>
      <c r="H537" s="175"/>
      <c r="I537" s="175"/>
      <c r="J537" s="175"/>
      <c r="K537" s="175"/>
      <c r="L537" s="175"/>
      <c r="M537" s="175"/>
      <c r="N537" s="175"/>
      <c r="O537" s="175"/>
      <c r="P537" s="175"/>
      <c r="Q537" s="175"/>
      <c r="R537" s="175"/>
      <c r="S537" s="175"/>
      <c r="T537" s="175"/>
      <c r="U537" s="175"/>
      <c r="V537" s="194" t="e">
        <f t="shared" ref="V537:AG537" si="658">V536/U536</f>
        <v>#DIV/0!</v>
      </c>
      <c r="W537" s="194" t="e">
        <f t="shared" si="658"/>
        <v>#DIV/0!</v>
      </c>
      <c r="X537" s="194" t="e">
        <f t="shared" si="658"/>
        <v>#DIV/0!</v>
      </c>
      <c r="Y537" s="194" t="e">
        <f t="shared" si="658"/>
        <v>#DIV/0!</v>
      </c>
      <c r="Z537" s="194">
        <f t="shared" si="658"/>
        <v>0.9297826034739316</v>
      </c>
      <c r="AA537" s="194">
        <f t="shared" si="658"/>
        <v>2.4317512510164883</v>
      </c>
      <c r="AB537" s="194">
        <f t="shared" si="658"/>
        <v>1.5054948014514062</v>
      </c>
      <c r="AC537" s="194">
        <f t="shared" si="658"/>
        <v>1.0379521988115563</v>
      </c>
      <c r="AD537" s="194">
        <f t="shared" si="658"/>
        <v>1.4507855965661047</v>
      </c>
      <c r="AE537" s="194">
        <f t="shared" si="658"/>
        <v>0.86696410555755954</v>
      </c>
      <c r="AF537" s="194">
        <f t="shared" si="658"/>
        <v>0.82199588245651889</v>
      </c>
      <c r="AG537" s="194">
        <f t="shared" si="658"/>
        <v>1.8167032095511872</v>
      </c>
      <c r="AH537" s="1601">
        <v>0.62239999999999995</v>
      </c>
      <c r="AI537" s="1601">
        <v>1.3430287807176937</v>
      </c>
      <c r="AJ537" s="1601">
        <v>1.0559103505666789</v>
      </c>
      <c r="AK537" s="1601">
        <v>1.1401377063277909</v>
      </c>
      <c r="AL537" s="1601">
        <v>1.0126424819079471</v>
      </c>
      <c r="AM537" s="1601">
        <v>1.0317901342676645</v>
      </c>
      <c r="AN537" s="1601">
        <v>1.0241058676907997</v>
      </c>
      <c r="AO537" s="1601">
        <v>1.0764799830396563</v>
      </c>
      <c r="AP537" s="1601">
        <v>1.0464799830396601</v>
      </c>
      <c r="AQ537" s="1601">
        <v>1.00647998303966</v>
      </c>
      <c r="AR537" s="1601">
        <v>1</v>
      </c>
      <c r="AS537" s="1601">
        <v>1.0764799830396563</v>
      </c>
      <c r="AT537" s="1601">
        <v>1.0764799830396563</v>
      </c>
    </row>
    <row r="538" spans="4:46">
      <c r="D538" s="178"/>
      <c r="E538" s="175"/>
      <c r="F538" s="175"/>
      <c r="G538" s="175"/>
      <c r="H538" s="175"/>
      <c r="I538" s="175"/>
      <c r="J538" s="175"/>
      <c r="K538" s="175"/>
      <c r="L538" s="175"/>
      <c r="M538" s="175"/>
      <c r="N538" s="175"/>
      <c r="O538" s="175"/>
      <c r="P538" s="175"/>
      <c r="Q538" s="175"/>
      <c r="R538" s="175"/>
      <c r="S538" s="175"/>
      <c r="T538" s="175"/>
      <c r="U538" s="175"/>
      <c r="V538" s="194"/>
      <c r="W538" s="194"/>
      <c r="X538" s="194"/>
      <c r="Y538" s="194"/>
      <c r="Z538" s="194"/>
      <c r="AA538" s="194"/>
      <c r="AB538" s="194"/>
      <c r="AC538" s="194"/>
      <c r="AD538" s="194"/>
      <c r="AE538" s="194"/>
      <c r="AF538" s="194"/>
      <c r="AG538" s="194"/>
      <c r="AH538" s="194"/>
      <c r="AI538" s="194"/>
      <c r="AJ538" s="194"/>
      <c r="AK538" s="194"/>
      <c r="AL538" s="194"/>
      <c r="AM538" s="194"/>
      <c r="AN538" s="194"/>
      <c r="AO538" s="194"/>
      <c r="AP538" s="194"/>
      <c r="AQ538" s="194"/>
      <c r="AR538" s="194"/>
      <c r="AS538" s="194"/>
      <c r="AT538" s="194"/>
    </row>
    <row r="539" spans="4:46">
      <c r="D539" s="178" t="s">
        <v>3154</v>
      </c>
      <c r="E539" s="175"/>
      <c r="F539" s="175"/>
      <c r="G539" s="175"/>
      <c r="H539" s="175"/>
      <c r="I539" s="175"/>
      <c r="J539" s="175"/>
      <c r="K539" s="175"/>
      <c r="L539" s="175"/>
      <c r="M539" s="175"/>
      <c r="N539" s="175"/>
      <c r="O539" s="175"/>
      <c r="P539" s="175"/>
      <c r="Q539" s="175"/>
      <c r="R539" s="175"/>
      <c r="S539" s="175"/>
      <c r="T539" s="175"/>
      <c r="U539" s="175"/>
      <c r="V539" s="194">
        <f>U539*V403</f>
        <v>0</v>
      </c>
      <c r="W539" s="194">
        <f t="shared" ref="W539:AM539" si="659">V539*W403</f>
        <v>0</v>
      </c>
      <c r="X539" s="194">
        <f t="shared" si="659"/>
        <v>0</v>
      </c>
      <c r="Y539" s="194">
        <f t="shared" si="659"/>
        <v>0</v>
      </c>
      <c r="Z539" s="194">
        <f t="shared" si="659"/>
        <v>0</v>
      </c>
      <c r="AA539" s="194">
        <f t="shared" si="659"/>
        <v>0</v>
      </c>
      <c r="AB539" s="194">
        <f t="shared" si="659"/>
        <v>0</v>
      </c>
      <c r="AC539" s="194">
        <f t="shared" si="659"/>
        <v>0</v>
      </c>
      <c r="AD539" s="194">
        <f t="shared" si="659"/>
        <v>0</v>
      </c>
      <c r="AE539" s="194">
        <f t="shared" si="659"/>
        <v>0</v>
      </c>
      <c r="AF539" s="194">
        <f t="shared" si="659"/>
        <v>0</v>
      </c>
      <c r="AG539" s="194">
        <f t="shared" si="659"/>
        <v>0</v>
      </c>
      <c r="AH539" s="194"/>
      <c r="AI539" s="194">
        <f t="shared" si="659"/>
        <v>0</v>
      </c>
      <c r="AJ539" s="194">
        <f t="shared" si="659"/>
        <v>0</v>
      </c>
      <c r="AK539" s="194">
        <f t="shared" si="659"/>
        <v>0</v>
      </c>
      <c r="AL539" s="194">
        <f t="shared" si="659"/>
        <v>0</v>
      </c>
      <c r="AM539" s="194">
        <f t="shared" si="659"/>
        <v>0</v>
      </c>
      <c r="AN539" s="194">
        <f t="shared" ref="AN539" si="660">AM539*AN403</f>
        <v>0</v>
      </c>
      <c r="AO539" s="194">
        <f t="shared" ref="AO539" si="661">AN539*AO403</f>
        <v>0</v>
      </c>
      <c r="AP539" s="194">
        <f t="shared" ref="AP539" si="662">AO539*AP403</f>
        <v>0</v>
      </c>
      <c r="AQ539" s="194">
        <f t="shared" ref="AQ539" si="663">AP539*AQ403</f>
        <v>0</v>
      </c>
      <c r="AR539" s="194">
        <f t="shared" ref="AR539" si="664">AQ539*AR403</f>
        <v>0</v>
      </c>
      <c r="AS539" s="194">
        <f t="shared" ref="AS539" si="665">AR539*AS403</f>
        <v>0</v>
      </c>
      <c r="AT539" s="194">
        <f t="shared" ref="AT539" si="666">AS539*AT403</f>
        <v>0</v>
      </c>
    </row>
    <row r="540" spans="4:46">
      <c r="D540" s="178"/>
      <c r="E540" s="175"/>
      <c r="F540" s="175"/>
      <c r="G540" s="175"/>
      <c r="H540" s="175"/>
      <c r="I540" s="175"/>
      <c r="J540" s="175"/>
      <c r="K540" s="175"/>
      <c r="L540" s="175"/>
      <c r="M540" s="175"/>
      <c r="N540" s="175"/>
      <c r="O540" s="175"/>
      <c r="P540" s="175"/>
      <c r="Q540" s="175"/>
      <c r="R540" s="175"/>
      <c r="S540" s="175"/>
      <c r="T540" s="175"/>
      <c r="U540" s="175"/>
      <c r="V540" s="194"/>
      <c r="W540" s="194"/>
      <c r="X540" s="194"/>
      <c r="Y540" s="194"/>
      <c r="Z540" s="194"/>
      <c r="AA540" s="194"/>
      <c r="AB540" s="194"/>
      <c r="AC540" s="194"/>
      <c r="AD540" s="194"/>
      <c r="AE540" s="194"/>
      <c r="AF540" s="194"/>
      <c r="AG540" s="194"/>
      <c r="AH540" s="194"/>
      <c r="AI540" s="194"/>
      <c r="AJ540" s="194"/>
      <c r="AK540" s="194"/>
      <c r="AL540" s="194"/>
      <c r="AM540" s="194"/>
      <c r="AN540" s="194"/>
      <c r="AO540" s="194"/>
      <c r="AP540" s="194"/>
      <c r="AQ540" s="194"/>
      <c r="AR540" s="194"/>
      <c r="AS540" s="194"/>
      <c r="AT540" s="194"/>
    </row>
    <row r="541" spans="4:46">
      <c r="D541" s="190" t="s">
        <v>3151</v>
      </c>
      <c r="E541" s="175"/>
      <c r="F541" s="175"/>
      <c r="G541" s="175"/>
      <c r="H541" s="175"/>
      <c r="I541" s="175"/>
      <c r="J541" s="175"/>
      <c r="K541" s="175"/>
      <c r="L541" s="175"/>
      <c r="M541" s="175"/>
      <c r="N541" s="175"/>
      <c r="O541" s="175"/>
      <c r="P541" s="175"/>
      <c r="Q541" s="175"/>
      <c r="R541" s="175"/>
      <c r="S541" s="175"/>
      <c r="T541" s="175"/>
      <c r="U541" s="175"/>
      <c r="V541" s="194">
        <f t="shared" ref="V541:AT541" si="667">V1065/V402</f>
        <v>0</v>
      </c>
      <c r="W541" s="194">
        <f t="shared" si="667"/>
        <v>0</v>
      </c>
      <c r="X541" s="194">
        <f t="shared" si="667"/>
        <v>0</v>
      </c>
      <c r="Y541" s="194">
        <f t="shared" si="667"/>
        <v>1.6777707379740003E-2</v>
      </c>
      <c r="Z541" s="194">
        <f t="shared" si="667"/>
        <v>1.9848711348276725E-2</v>
      </c>
      <c r="AA541" s="194">
        <f t="shared" si="667"/>
        <v>1.902717755080827E-2</v>
      </c>
      <c r="AB541" s="194">
        <f t="shared" si="667"/>
        <v>1.9262752332162653E-2</v>
      </c>
      <c r="AC541" s="194">
        <f t="shared" si="667"/>
        <v>2.0064062568612772E-2</v>
      </c>
      <c r="AD541" s="194">
        <f t="shared" si="667"/>
        <v>1.8654916873887175E-2</v>
      </c>
      <c r="AE541" s="194">
        <f t="shared" si="667"/>
        <v>1.6402487796271202E-2</v>
      </c>
      <c r="AF541" s="194">
        <f t="shared" si="667"/>
        <v>2.1843713371566778E-2</v>
      </c>
      <c r="AG541" s="194">
        <f t="shared" si="667"/>
        <v>1.3531301957650371E-2</v>
      </c>
      <c r="AH541" s="194">
        <f t="shared" si="667"/>
        <v>9.5777564089589446E-3</v>
      </c>
      <c r="AI541" s="194">
        <f t="shared" si="667"/>
        <v>1.3615064347265888E-2</v>
      </c>
      <c r="AJ541" s="194">
        <f t="shared" si="667"/>
        <v>1.1840225511251171E-2</v>
      </c>
      <c r="AK541" s="194">
        <f t="shared" si="667"/>
        <v>1.0006700054556119E-2</v>
      </c>
      <c r="AL541" s="194">
        <f t="shared" si="667"/>
        <v>9.5326209995475562E-3</v>
      </c>
      <c r="AM541" s="194">
        <f t="shared" si="667"/>
        <v>9.2087710996018105E-3</v>
      </c>
      <c r="AN541" s="194">
        <f t="shared" si="667"/>
        <v>8.7695597408358437E-3</v>
      </c>
      <c r="AO541" s="194">
        <f t="shared" si="667"/>
        <v>8.2139748494487359E-3</v>
      </c>
      <c r="AP541" s="194">
        <f t="shared" si="667"/>
        <v>8.6092148595599428E-3</v>
      </c>
      <c r="AQ541" s="194">
        <f t="shared" si="667"/>
        <v>9.1045899136360971E-3</v>
      </c>
      <c r="AR541" s="194">
        <f t="shared" si="667"/>
        <v>8.3975311379539484E-3</v>
      </c>
      <c r="AS541" s="194">
        <f t="shared" si="667"/>
        <v>3.3576961978120268E-2</v>
      </c>
      <c r="AT541" s="194">
        <f t="shared" si="667"/>
        <v>3.5531012395908848E-2</v>
      </c>
    </row>
    <row r="542" spans="4:46">
      <c r="D542" s="175" t="s">
        <v>3152</v>
      </c>
      <c r="E542" s="175"/>
      <c r="F542" s="175"/>
      <c r="G542" s="175"/>
      <c r="H542" s="175"/>
      <c r="I542" s="175"/>
      <c r="J542" s="175"/>
      <c r="K542" s="175"/>
      <c r="L542" s="175"/>
      <c r="M542" s="175"/>
      <c r="N542" s="175"/>
      <c r="O542" s="175"/>
      <c r="P542" s="175"/>
      <c r="Q542" s="175"/>
      <c r="R542" s="175"/>
      <c r="S542" s="175"/>
      <c r="T542" s="175"/>
      <c r="U542" s="175"/>
      <c r="V542" s="194">
        <f t="shared" ref="V542:AG542" si="668">V1065/V404</f>
        <v>0</v>
      </c>
      <c r="W542" s="194">
        <f t="shared" si="668"/>
        <v>0</v>
      </c>
      <c r="X542" s="194">
        <f t="shared" si="668"/>
        <v>0</v>
      </c>
      <c r="Y542" s="194">
        <f t="shared" si="668"/>
        <v>3.2153474821350156E-2</v>
      </c>
      <c r="Z542" s="194">
        <f t="shared" si="668"/>
        <v>3.7701957953798673E-2</v>
      </c>
      <c r="AA542" s="194">
        <f t="shared" si="668"/>
        <v>3.7834282984761873E-2</v>
      </c>
      <c r="AB542" s="194">
        <f t="shared" si="668"/>
        <v>4.0303653436106208E-2</v>
      </c>
      <c r="AC542" s="194">
        <f t="shared" si="668"/>
        <v>4.3356232268879996E-2</v>
      </c>
      <c r="AD542" s="194">
        <f t="shared" si="668"/>
        <v>3.9390572260162231E-2</v>
      </c>
      <c r="AE542" s="194">
        <f t="shared" si="668"/>
        <v>3.4760452815007316E-2</v>
      </c>
      <c r="AF542" s="194">
        <f t="shared" si="668"/>
        <v>4.6257720543338675E-2</v>
      </c>
      <c r="AG542" s="194">
        <f t="shared" si="668"/>
        <v>2.8152885758688656E-2</v>
      </c>
      <c r="AH542" s="194">
        <f t="shared" ref="AH542:AM542" si="669">AG542*AH543</f>
        <v>2.3921507029157751E-2</v>
      </c>
      <c r="AI542" s="194">
        <f t="shared" si="669"/>
        <v>2.4531505458401274E-2</v>
      </c>
      <c r="AJ542" s="194">
        <f t="shared" si="669"/>
        <v>2.6371368367781367E-2</v>
      </c>
      <c r="AK542" s="194">
        <f t="shared" si="669"/>
        <v>2.6371368367781367E-2</v>
      </c>
      <c r="AL542" s="194">
        <f t="shared" si="669"/>
        <v>5.2742736735562734E-2</v>
      </c>
      <c r="AM542" s="194">
        <f t="shared" si="669"/>
        <v>5.2742736735562734E-2</v>
      </c>
      <c r="AN542" s="194">
        <f t="shared" ref="AN542" si="670">AM542*AN543</f>
        <v>5.2742736735562734E-2</v>
      </c>
      <c r="AO542" s="194">
        <f t="shared" ref="AO542" si="671">AN542*AO543</f>
        <v>5.2742736735562734E-2</v>
      </c>
      <c r="AP542" s="194">
        <f t="shared" ref="AP542" si="672">AO542*AP543</f>
        <v>5.2742736735562734E-2</v>
      </c>
      <c r="AQ542" s="194">
        <f t="shared" ref="AQ542" si="673">AP542*AQ543</f>
        <v>5.2742736735562734E-2</v>
      </c>
      <c r="AR542" s="194">
        <f t="shared" ref="AR542" si="674">AQ542*AR543</f>
        <v>5.2742736735562734E-2</v>
      </c>
      <c r="AS542" s="194">
        <f t="shared" ref="AS542" si="675">AR542*AS543</f>
        <v>5.2742736735562734E-2</v>
      </c>
      <c r="AT542" s="194">
        <f t="shared" ref="AT542" si="676">AS542*AT543</f>
        <v>5.2742736735562734E-2</v>
      </c>
    </row>
    <row r="543" spans="4:46">
      <c r="D543" s="178" t="s">
        <v>3153</v>
      </c>
      <c r="E543" s="175"/>
      <c r="F543" s="175"/>
      <c r="G543" s="175"/>
      <c r="H543" s="175"/>
      <c r="I543" s="175"/>
      <c r="J543" s="175"/>
      <c r="K543" s="175"/>
      <c r="L543" s="175"/>
      <c r="M543" s="175"/>
      <c r="N543" s="175"/>
      <c r="O543" s="175"/>
      <c r="P543" s="175"/>
      <c r="Q543" s="175"/>
      <c r="R543" s="175"/>
      <c r="S543" s="175"/>
      <c r="T543" s="175"/>
      <c r="U543" s="175"/>
      <c r="V543" s="194" t="e">
        <f t="shared" ref="V543:AG543" si="677">V542/U542</f>
        <v>#DIV/0!</v>
      </c>
      <c r="W543" s="194" t="e">
        <f t="shared" si="677"/>
        <v>#DIV/0!</v>
      </c>
      <c r="X543" s="194" t="e">
        <f t="shared" si="677"/>
        <v>#DIV/0!</v>
      </c>
      <c r="Y543" s="194" t="e">
        <f t="shared" si="677"/>
        <v>#DIV/0!</v>
      </c>
      <c r="Z543" s="194">
        <f t="shared" si="677"/>
        <v>1.1725624730539008</v>
      </c>
      <c r="AA543" s="194">
        <f t="shared" si="677"/>
        <v>1.0035097654908363</v>
      </c>
      <c r="AB543" s="194">
        <f t="shared" si="677"/>
        <v>1.0652680652713544</v>
      </c>
      <c r="AC543" s="194">
        <f t="shared" si="677"/>
        <v>1.075739506782259</v>
      </c>
      <c r="AD543" s="194">
        <f t="shared" si="677"/>
        <v>0.90853310351960137</v>
      </c>
      <c r="AE543" s="194">
        <f t="shared" si="677"/>
        <v>0.88245615182804538</v>
      </c>
      <c r="AF543" s="194">
        <f t="shared" si="677"/>
        <v>1.3307571333871573</v>
      </c>
      <c r="AG543" s="194">
        <f t="shared" si="677"/>
        <v>0.60860944785016657</v>
      </c>
      <c r="AH543" s="1601">
        <v>0.84970000000000001</v>
      </c>
      <c r="AI543" s="1601">
        <v>1.0255000000000001</v>
      </c>
      <c r="AJ543" s="1601">
        <v>1.075</v>
      </c>
      <c r="AK543" s="1601">
        <v>1</v>
      </c>
      <c r="AL543" s="1601">
        <v>2</v>
      </c>
      <c r="AM543" s="1601">
        <v>1</v>
      </c>
      <c r="AN543" s="1601">
        <v>1</v>
      </c>
      <c r="AO543" s="1601">
        <v>1</v>
      </c>
      <c r="AP543" s="1601">
        <v>1</v>
      </c>
      <c r="AQ543" s="1601">
        <v>1</v>
      </c>
      <c r="AR543" s="1601">
        <v>1</v>
      </c>
      <c r="AS543" s="1601">
        <v>1</v>
      </c>
      <c r="AT543" s="1601">
        <v>1</v>
      </c>
    </row>
    <row r="544" spans="4:46">
      <c r="D544" s="178"/>
      <c r="E544" s="175"/>
      <c r="F544" s="175"/>
      <c r="G544" s="175"/>
      <c r="H544" s="175"/>
      <c r="I544" s="175"/>
      <c r="J544" s="175"/>
      <c r="K544" s="175"/>
      <c r="L544" s="175"/>
      <c r="M544" s="175"/>
      <c r="N544" s="175"/>
      <c r="O544" s="175"/>
      <c r="P544" s="175"/>
      <c r="Q544" s="175"/>
      <c r="R544" s="175"/>
      <c r="S544" s="175"/>
      <c r="T544" s="175"/>
      <c r="U544" s="175"/>
      <c r="V544" s="194"/>
      <c r="W544" s="194"/>
      <c r="X544" s="194"/>
      <c r="Y544" s="194"/>
      <c r="Z544" s="194"/>
      <c r="AA544" s="194"/>
      <c r="AB544" s="194"/>
      <c r="AC544" s="194"/>
      <c r="AD544" s="194"/>
      <c r="AE544" s="194"/>
      <c r="AF544" s="194"/>
      <c r="AG544" s="194"/>
      <c r="AH544" s="194"/>
      <c r="AI544" s="194"/>
      <c r="AJ544" s="194"/>
      <c r="AK544" s="194"/>
      <c r="AL544" s="194"/>
      <c r="AM544" s="194"/>
      <c r="AN544" s="194"/>
      <c r="AO544" s="194"/>
      <c r="AP544" s="194"/>
      <c r="AQ544" s="194"/>
      <c r="AR544" s="194"/>
      <c r="AS544" s="194"/>
      <c r="AT544" s="194"/>
    </row>
    <row r="545" spans="4:46">
      <c r="D545" s="190" t="s">
        <v>3155</v>
      </c>
      <c r="E545" s="175"/>
      <c r="F545" s="175"/>
      <c r="G545" s="175"/>
      <c r="H545" s="175"/>
      <c r="I545" s="175"/>
      <c r="J545" s="175"/>
      <c r="K545" s="175"/>
      <c r="L545" s="175"/>
      <c r="M545" s="175"/>
      <c r="N545" s="175"/>
      <c r="O545" s="175"/>
      <c r="P545" s="175"/>
      <c r="Q545" s="175"/>
      <c r="R545" s="175"/>
      <c r="S545" s="175"/>
      <c r="T545" s="175"/>
      <c r="U545" s="175"/>
      <c r="V545" s="194">
        <f t="shared" ref="V545:AT545" si="678">V1069/V402</f>
        <v>0</v>
      </c>
      <c r="W545" s="194">
        <f t="shared" si="678"/>
        <v>0</v>
      </c>
      <c r="X545" s="194">
        <f t="shared" si="678"/>
        <v>0</v>
      </c>
      <c r="Y545" s="194">
        <f t="shared" si="678"/>
        <v>4.4687578065954652E-3</v>
      </c>
      <c r="Z545" s="194">
        <f t="shared" si="678"/>
        <v>5.0631112745501295E-3</v>
      </c>
      <c r="AA545" s="194">
        <f t="shared" si="678"/>
        <v>0</v>
      </c>
      <c r="AB545" s="194">
        <f t="shared" si="678"/>
        <v>4.8512043783769587E-3</v>
      </c>
      <c r="AC545" s="194">
        <f t="shared" si="678"/>
        <v>4.3779456678117419E-3</v>
      </c>
      <c r="AD545" s="194">
        <f t="shared" si="678"/>
        <v>9.6465534411562296E-4</v>
      </c>
      <c r="AE545" s="194">
        <f t="shared" si="678"/>
        <v>2.1282526388173859E-3</v>
      </c>
      <c r="AF545" s="194">
        <f t="shared" si="678"/>
        <v>2.8400737686574157E-3</v>
      </c>
      <c r="AG545" s="194">
        <f t="shared" si="678"/>
        <v>3.0610638823980025E-3</v>
      </c>
      <c r="AH545" s="194">
        <f t="shared" si="678"/>
        <v>4.2461140678633474E-3</v>
      </c>
      <c r="AI545" s="194">
        <f t="shared" si="678"/>
        <v>2.264821508772425E-3</v>
      </c>
      <c r="AJ545" s="194">
        <f t="shared" si="678"/>
        <v>1.8380016619453316E-3</v>
      </c>
      <c r="AK545" s="194">
        <f t="shared" si="678"/>
        <v>1.8447906717852806E-3</v>
      </c>
      <c r="AL545" s="194">
        <f t="shared" si="678"/>
        <v>1.8243332000790194E-3</v>
      </c>
      <c r="AM545" s="194">
        <f t="shared" si="678"/>
        <v>1.8177696137262945E-3</v>
      </c>
      <c r="AN545" s="194">
        <f t="shared" si="678"/>
        <v>1.7145128283937469E-3</v>
      </c>
      <c r="AO545" s="194">
        <f t="shared" si="678"/>
        <v>1.6121560061963546E-3</v>
      </c>
      <c r="AP545" s="194">
        <f t="shared" si="678"/>
        <v>1.4178337113124738E-3</v>
      </c>
      <c r="AQ545" s="194">
        <f t="shared" si="678"/>
        <v>1.2176771468735449E-3</v>
      </c>
      <c r="AR545" s="194">
        <f t="shared" si="678"/>
        <v>1.2037022812349839E-3</v>
      </c>
      <c r="AS545" s="194">
        <f t="shared" si="678"/>
        <v>-3.7503018708016948E-3</v>
      </c>
      <c r="AT545" s="194">
        <f t="shared" si="678"/>
        <v>-9.1695527358109322E-3</v>
      </c>
    </row>
    <row r="546" spans="4:46">
      <c r="D546" s="175" t="s">
        <v>3156</v>
      </c>
      <c r="E546" s="175"/>
      <c r="F546" s="175"/>
      <c r="G546" s="175"/>
      <c r="H546" s="175"/>
      <c r="I546" s="175"/>
      <c r="J546" s="175"/>
      <c r="K546" s="175"/>
      <c r="L546" s="175"/>
      <c r="M546" s="175"/>
      <c r="N546" s="175"/>
      <c r="O546" s="175"/>
      <c r="P546" s="175"/>
      <c r="Q546" s="175"/>
      <c r="R546" s="175"/>
      <c r="S546" s="175"/>
      <c r="T546" s="175"/>
      <c r="U546" s="175"/>
      <c r="V546" s="194">
        <f t="shared" ref="V546:AH546" si="679">V1069/V404</f>
        <v>0</v>
      </c>
      <c r="W546" s="194">
        <f t="shared" si="679"/>
        <v>0</v>
      </c>
      <c r="X546" s="194">
        <f t="shared" si="679"/>
        <v>0</v>
      </c>
      <c r="Y546" s="194">
        <f t="shared" si="679"/>
        <v>8.5641076200070124E-3</v>
      </c>
      <c r="Z546" s="194">
        <f t="shared" si="679"/>
        <v>9.617209149704627E-3</v>
      </c>
      <c r="AA546" s="194">
        <f t="shared" si="679"/>
        <v>0</v>
      </c>
      <c r="AB546" s="194">
        <f t="shared" si="679"/>
        <v>1.0150224466488512E-2</v>
      </c>
      <c r="AC546" s="194">
        <f t="shared" si="679"/>
        <v>9.4602590370264344E-3</v>
      </c>
      <c r="AD546" s="194">
        <f t="shared" si="679"/>
        <v>2.03690674664584E-3</v>
      </c>
      <c r="AE546" s="194">
        <f t="shared" si="679"/>
        <v>4.5102320055890729E-3</v>
      </c>
      <c r="AF546" s="194">
        <f t="shared" si="679"/>
        <v>6.0143317428816047E-3</v>
      </c>
      <c r="AG546" s="194">
        <f t="shared" si="679"/>
        <v>6.3687723510209198E-3</v>
      </c>
      <c r="AH546" s="194">
        <f t="shared" si="679"/>
        <v>9.6810221886193502E-3</v>
      </c>
      <c r="AI546" s="194">
        <f t="shared" ref="AI546:AM546" si="680">AH546*AI547</f>
        <v>3.9304457550455021E-3</v>
      </c>
      <c r="AJ546" s="194">
        <f t="shared" si="680"/>
        <v>4.6330166075318566E-3</v>
      </c>
      <c r="AK546" s="194">
        <f t="shared" si="680"/>
        <v>4.860275108059856E-3</v>
      </c>
      <c r="AL546" s="194">
        <f t="shared" si="680"/>
        <v>4.7568694366279269E-3</v>
      </c>
      <c r="AM546" s="194">
        <f t="shared" si="680"/>
        <v>4.6178582164748197E-3</v>
      </c>
      <c r="AN546" s="194">
        <f t="shared" ref="AN546" si="681">AM546*AN547</f>
        <v>4.3485433268428166E-3</v>
      </c>
      <c r="AO546" s="194">
        <f t="shared" ref="AO546" si="682">AN546*AO547</f>
        <v>3.9785907087139952E-3</v>
      </c>
      <c r="AP546" s="194">
        <f t="shared" ref="AP546" si="683">AO546*AP547</f>
        <v>3.5807316378425953E-3</v>
      </c>
      <c r="AQ546" s="194">
        <f t="shared" ref="AQ546" si="684">AP546*AQ547</f>
        <v>3.2226584740583353E-3</v>
      </c>
      <c r="AR546" s="194">
        <f t="shared" ref="AR546" si="685">AQ546*AR547</f>
        <v>2.9003926266525015E-3</v>
      </c>
      <c r="AS546" s="194">
        <f t="shared" ref="AS546" si="686">AR546*AS547</f>
        <v>2.6103533639872511E-3</v>
      </c>
      <c r="AT546" s="194">
        <f t="shared" ref="AT546" si="687">AS546*AT547</f>
        <v>2.3493180275885256E-3</v>
      </c>
    </row>
    <row r="547" spans="4:46">
      <c r="D547" s="178" t="s">
        <v>3157</v>
      </c>
      <c r="E547" s="175"/>
      <c r="F547" s="175"/>
      <c r="G547" s="175"/>
      <c r="H547" s="175"/>
      <c r="I547" s="175"/>
      <c r="J547" s="175"/>
      <c r="K547" s="175"/>
      <c r="L547" s="175"/>
      <c r="M547" s="175"/>
      <c r="N547" s="175"/>
      <c r="O547" s="175"/>
      <c r="P547" s="175"/>
      <c r="Q547" s="175"/>
      <c r="R547" s="175"/>
      <c r="S547" s="175"/>
      <c r="T547" s="175"/>
      <c r="U547" s="175"/>
      <c r="V547" s="194" t="e">
        <f t="shared" ref="V547:AH547" si="688">V546/U546</f>
        <v>#DIV/0!</v>
      </c>
      <c r="W547" s="194" t="e">
        <f t="shared" si="688"/>
        <v>#DIV/0!</v>
      </c>
      <c r="X547" s="194" t="e">
        <f t="shared" si="688"/>
        <v>#DIV/0!</v>
      </c>
      <c r="Y547" s="194" t="e">
        <f t="shared" si="688"/>
        <v>#DIV/0!</v>
      </c>
      <c r="Z547" s="194">
        <f t="shared" si="688"/>
        <v>1.1229668724897168</v>
      </c>
      <c r="AA547" s="194">
        <f t="shared" si="688"/>
        <v>0</v>
      </c>
      <c r="AB547" s="194" t="e">
        <f t="shared" si="688"/>
        <v>#DIV/0!</v>
      </c>
      <c r="AC547" s="194">
        <f t="shared" si="688"/>
        <v>0.93202461366839384</v>
      </c>
      <c r="AD547" s="194">
        <f t="shared" si="688"/>
        <v>0.2153119421649668</v>
      </c>
      <c r="AE547" s="194">
        <f t="shared" si="688"/>
        <v>2.2142555190688236</v>
      </c>
      <c r="AF547" s="194">
        <f t="shared" si="688"/>
        <v>1.3334861123393771</v>
      </c>
      <c r="AG547" s="194">
        <f t="shared" si="688"/>
        <v>1.0589326667187624</v>
      </c>
      <c r="AH547" s="194">
        <f t="shared" si="688"/>
        <v>1.5200766576414799</v>
      </c>
      <c r="AI547" s="194">
        <v>0.40599491236224911</v>
      </c>
      <c r="AJ547" s="1601">
        <v>1.1787509346960117</v>
      </c>
      <c r="AK547" s="1601">
        <v>1.0490519503337301</v>
      </c>
      <c r="AL547" s="1601">
        <v>0.97872431721808295</v>
      </c>
      <c r="AM547" s="1601">
        <v>0.97077674256040747</v>
      </c>
      <c r="AN547" s="1601">
        <v>0.94167969716541178</v>
      </c>
      <c r="AO547" s="1601">
        <v>0.91492493225371196</v>
      </c>
      <c r="AP547" s="1601">
        <v>0.89999999999999991</v>
      </c>
      <c r="AQ547" s="1601">
        <v>0.89999999999999991</v>
      </c>
      <c r="AR547" s="1601">
        <v>0.89999999999999991</v>
      </c>
      <c r="AS547" s="1601">
        <v>0.89999999999999991</v>
      </c>
      <c r="AT547" s="1601">
        <v>0.89999999999999991</v>
      </c>
    </row>
    <row r="548" spans="4:46">
      <c r="D548" s="178"/>
      <c r="E548" s="175"/>
      <c r="F548" s="175"/>
      <c r="G548" s="175"/>
      <c r="H548" s="175"/>
      <c r="I548" s="175"/>
      <c r="J548" s="175"/>
      <c r="K548" s="175"/>
      <c r="L548" s="175"/>
      <c r="M548" s="175"/>
      <c r="N548" s="175"/>
      <c r="O548" s="175"/>
      <c r="P548" s="175"/>
      <c r="Q548" s="175"/>
      <c r="R548" s="175"/>
      <c r="S548" s="175"/>
      <c r="T548" s="175"/>
      <c r="U548" s="175"/>
      <c r="V548" s="194"/>
      <c r="W548" s="194"/>
      <c r="X548" s="194"/>
      <c r="Y548" s="194"/>
      <c r="Z548" s="194"/>
      <c r="AA548" s="194"/>
      <c r="AB548" s="194"/>
      <c r="AC548" s="194"/>
      <c r="AD548" s="194"/>
      <c r="AE548" s="194"/>
      <c r="AF548" s="194"/>
      <c r="AG548" s="194"/>
      <c r="AH548" s="194"/>
      <c r="AI548" s="194"/>
      <c r="AJ548" s="194"/>
      <c r="AK548" s="194"/>
      <c r="AL548" s="194"/>
      <c r="AM548" s="194"/>
      <c r="AN548" s="194"/>
      <c r="AO548" s="194"/>
      <c r="AP548" s="194"/>
      <c r="AQ548" s="194"/>
      <c r="AR548" s="194"/>
      <c r="AS548" s="194"/>
      <c r="AT548" s="194"/>
    </row>
    <row r="549" spans="4:46">
      <c r="D549" s="190" t="s">
        <v>321</v>
      </c>
      <c r="E549" s="175"/>
      <c r="F549" s="175"/>
      <c r="G549" s="175"/>
      <c r="H549" s="175"/>
      <c r="I549" s="175"/>
      <c r="J549" s="175"/>
      <c r="K549" s="175"/>
      <c r="L549" s="175"/>
      <c r="M549" s="175"/>
      <c r="N549" s="175"/>
      <c r="O549" s="175"/>
      <c r="P549" s="175"/>
      <c r="Q549" s="175"/>
      <c r="R549" s="175"/>
      <c r="S549" s="175"/>
      <c r="T549" s="175"/>
      <c r="U549" s="175"/>
      <c r="V549" s="1633">
        <f>V273</f>
        <v>0</v>
      </c>
      <c r="W549" s="179">
        <f>+(V273+W273)/2</f>
        <v>0</v>
      </c>
      <c r="X549" s="179">
        <f>+(W273+X273)/2</f>
        <v>0</v>
      </c>
      <c r="Y549" s="179">
        <f>+(X273+Y273)/2</f>
        <v>-4.2746996088694825E-3</v>
      </c>
      <c r="Z549" s="1633">
        <f>Y549</f>
        <v>-4.2746996088694825E-3</v>
      </c>
      <c r="AA549" s="194"/>
      <c r="AB549" s="194"/>
      <c r="AC549" s="194"/>
      <c r="AD549" s="194"/>
      <c r="AE549" s="194"/>
      <c r="AF549" s="194"/>
      <c r="AG549" s="194"/>
      <c r="AH549" s="194"/>
      <c r="AI549" s="194"/>
      <c r="AJ549" s="194"/>
      <c r="AK549" s="194"/>
      <c r="AL549" s="194"/>
      <c r="AM549" s="194"/>
      <c r="AN549" s="194"/>
      <c r="AO549" s="194"/>
      <c r="AP549" s="194"/>
      <c r="AQ549" s="194"/>
      <c r="AR549" s="194"/>
      <c r="AS549" s="194"/>
      <c r="AT549" s="194"/>
    </row>
    <row r="550" spans="4:46">
      <c r="D550" s="175" t="s">
        <v>218</v>
      </c>
      <c r="E550" s="175"/>
      <c r="F550" s="175"/>
      <c r="G550" s="175"/>
      <c r="H550" s="175"/>
      <c r="I550" s="175"/>
      <c r="J550" s="175"/>
      <c r="K550" s="175"/>
      <c r="L550" s="175"/>
      <c r="M550" s="175"/>
      <c r="N550" s="175"/>
      <c r="O550" s="175"/>
      <c r="P550" s="175"/>
      <c r="Q550" s="175"/>
      <c r="R550" s="175"/>
      <c r="S550" s="175"/>
      <c r="T550" s="175"/>
      <c r="U550" s="175"/>
      <c r="V550" s="1633">
        <f t="shared" ref="V550:AG550" si="689">(V1019-V465-V466)/V404</f>
        <v>-5.0723275187609967E-2</v>
      </c>
      <c r="W550" s="1633">
        <f t="shared" si="689"/>
        <v>-4.8363443700858211E-2</v>
      </c>
      <c r="X550" s="1633">
        <f t="shared" si="689"/>
        <v>-4.5349644319240663E-2</v>
      </c>
      <c r="Y550" s="1633">
        <f t="shared" si="689"/>
        <v>-2.813817885772444E-2</v>
      </c>
      <c r="Z550" s="1633">
        <f t="shared" si="689"/>
        <v>-2.6958813268247325E-2</v>
      </c>
      <c r="AA550" s="1633">
        <f t="shared" si="689"/>
        <v>-2.5309554404188628E-2</v>
      </c>
      <c r="AB550" s="1633">
        <f t="shared" si="689"/>
        <v>-2.6774296289304653E-2</v>
      </c>
      <c r="AC550" s="1633">
        <f t="shared" si="689"/>
        <v>-2.6979149125890247E-2</v>
      </c>
      <c r="AD550" s="1633">
        <f t="shared" si="689"/>
        <v>-2.3470537508412128E-2</v>
      </c>
      <c r="AE550" s="1633">
        <f t="shared" si="689"/>
        <v>-1.9571453413827569E-2</v>
      </c>
      <c r="AF550" s="1633">
        <f t="shared" si="689"/>
        <v>-2.0339579838917113E-2</v>
      </c>
      <c r="AG550" s="1633">
        <f t="shared" si="689"/>
        <v>-2.0670206616601204E-2</v>
      </c>
      <c r="AH550" s="194">
        <f t="shared" ref="AH550:AM550" si="690">AG550*AH551</f>
        <v>-2.0670206616601204E-2</v>
      </c>
      <c r="AI550" s="194">
        <f t="shared" si="690"/>
        <v>-2.0670206616601204E-2</v>
      </c>
      <c r="AJ550" s="194">
        <f t="shared" si="690"/>
        <v>-2.0670206616601204E-2</v>
      </c>
      <c r="AK550" s="194">
        <f t="shared" si="690"/>
        <v>-2.0670206616601204E-2</v>
      </c>
      <c r="AL550" s="194">
        <f t="shared" si="690"/>
        <v>-2.0670206616601204E-2</v>
      </c>
      <c r="AM550" s="194">
        <f t="shared" si="690"/>
        <v>-2.0670206616601204E-2</v>
      </c>
      <c r="AN550" s="194">
        <f t="shared" ref="AN550" si="691">AM550*AN551</f>
        <v>-2.0670206616601204E-2</v>
      </c>
      <c r="AO550" s="194">
        <f t="shared" ref="AO550" si="692">AN550*AO551</f>
        <v>-2.0670206616601204E-2</v>
      </c>
      <c r="AP550" s="194">
        <f t="shared" ref="AP550" si="693">AO550*AP551</f>
        <v>-2.0670206616601204E-2</v>
      </c>
      <c r="AQ550" s="194">
        <f t="shared" ref="AQ550" si="694">AP550*AQ551</f>
        <v>-2.0670206616601204E-2</v>
      </c>
      <c r="AR550" s="194">
        <f t="shared" ref="AR550" si="695">AQ550*AR551</f>
        <v>-2.0670206616601204E-2</v>
      </c>
      <c r="AS550" s="194">
        <f t="shared" ref="AS550" si="696">AR550*AS551</f>
        <v>-2.0670206616601204E-2</v>
      </c>
      <c r="AT550" s="194">
        <f t="shared" ref="AT550" si="697">AS550*AT551</f>
        <v>-2.0670206616601204E-2</v>
      </c>
    </row>
    <row r="551" spans="4:46">
      <c r="D551" s="178" t="s">
        <v>277</v>
      </c>
      <c r="E551" s="175"/>
      <c r="F551" s="175"/>
      <c r="G551" s="175"/>
      <c r="H551" s="175"/>
      <c r="I551" s="175"/>
      <c r="J551" s="175"/>
      <c r="K551" s="175"/>
      <c r="L551" s="175"/>
      <c r="M551" s="175"/>
      <c r="N551" s="175"/>
      <c r="O551" s="175"/>
      <c r="P551" s="175"/>
      <c r="Q551" s="175"/>
      <c r="R551" s="175"/>
      <c r="S551" s="175"/>
      <c r="T551" s="175"/>
      <c r="U551" s="175"/>
      <c r="V551" s="194"/>
      <c r="W551" s="194">
        <f t="shared" ref="W551:AG551" si="698">W550/V550</f>
        <v>0.9534763581802741</v>
      </c>
      <c r="X551" s="194">
        <f t="shared" si="698"/>
        <v>0.93768435100985026</v>
      </c>
      <c r="Y551" s="194">
        <f t="shared" si="698"/>
        <v>0.6204718753612396</v>
      </c>
      <c r="Z551" s="194">
        <f t="shared" si="698"/>
        <v>0.95808664109214881</v>
      </c>
      <c r="AA551" s="194">
        <f t="shared" si="698"/>
        <v>0.93882301688697734</v>
      </c>
      <c r="AB551" s="194">
        <f t="shared" si="698"/>
        <v>1.0578730807237609</v>
      </c>
      <c r="AC551" s="194">
        <f t="shared" si="698"/>
        <v>1.007651100681493</v>
      </c>
      <c r="AD551" s="194">
        <f t="shared" si="698"/>
        <v>0.86995099062960746</v>
      </c>
      <c r="AE551" s="194">
        <f t="shared" si="698"/>
        <v>0.83387325095613685</v>
      </c>
      <c r="AF551" s="194">
        <f t="shared" si="698"/>
        <v>1.0392472857711657</v>
      </c>
      <c r="AG551" s="194">
        <f t="shared" si="698"/>
        <v>1.0162553396039913</v>
      </c>
      <c r="AH551" s="1601">
        <v>1</v>
      </c>
      <c r="AI551" s="1601">
        <v>1</v>
      </c>
      <c r="AJ551" s="1601">
        <v>1</v>
      </c>
      <c r="AK551" s="1601">
        <v>1</v>
      </c>
      <c r="AL551" s="1601">
        <v>1</v>
      </c>
      <c r="AM551" s="1601">
        <v>1</v>
      </c>
      <c r="AN551" s="1601">
        <v>1</v>
      </c>
      <c r="AO551" s="1601">
        <v>1</v>
      </c>
      <c r="AP551" s="1601">
        <v>1</v>
      </c>
      <c r="AQ551" s="1601">
        <v>1</v>
      </c>
      <c r="AR551" s="1601">
        <v>1</v>
      </c>
      <c r="AS551" s="1601">
        <v>1</v>
      </c>
      <c r="AT551" s="1601">
        <v>1</v>
      </c>
    </row>
    <row r="552" spans="4:46">
      <c r="D552" s="175" t="s">
        <v>316</v>
      </c>
      <c r="E552" s="175"/>
      <c r="F552" s="175"/>
      <c r="G552" s="175"/>
      <c r="H552" s="175"/>
      <c r="I552" s="175"/>
      <c r="J552" s="175"/>
      <c r="K552" s="175"/>
      <c r="L552" s="175"/>
      <c r="M552" s="175"/>
      <c r="N552" s="175"/>
      <c r="O552" s="175"/>
      <c r="P552" s="175"/>
      <c r="Q552" s="175"/>
      <c r="R552" s="175"/>
      <c r="S552" s="175"/>
      <c r="T552" s="175"/>
      <c r="U552" s="175"/>
      <c r="V552" s="1633">
        <f t="shared" ref="V552:AT552" si="699">(W1019-W465-W466)/V402</f>
        <v>-2.9267981974856097E-2</v>
      </c>
      <c r="W552" s="1633">
        <f t="shared" si="699"/>
        <v>-2.6300340787186439E-2</v>
      </c>
      <c r="X552" s="1633">
        <f t="shared" si="699"/>
        <v>-1.596589748015485E-2</v>
      </c>
      <c r="Y552" s="1633">
        <f t="shared" si="699"/>
        <v>-1.5517181479276743E-2</v>
      </c>
      <c r="Z552" s="1633">
        <f t="shared" si="699"/>
        <v>-1.4294621803603878E-2</v>
      </c>
      <c r="AA552" s="1633">
        <f t="shared" si="699"/>
        <v>-1.4126361849009034E-2</v>
      </c>
      <c r="AB552" s="1633">
        <f t="shared" si="699"/>
        <v>-1.383486074241182E-2</v>
      </c>
      <c r="AC552" s="1633">
        <f t="shared" si="699"/>
        <v>-1.2088800757378526E-2</v>
      </c>
      <c r="AD552" s="1633">
        <f t="shared" si="699"/>
        <v>-9.9428539847235577E-3</v>
      </c>
      <c r="AE552" s="1633">
        <f t="shared" si="699"/>
        <v>-1.0510331105353151E-2</v>
      </c>
      <c r="AF552" s="1633">
        <f t="shared" si="699"/>
        <v>-1.1605333195820251E-2</v>
      </c>
      <c r="AG552" s="1633">
        <f t="shared" si="699"/>
        <v>-7.5702376990555145E-3</v>
      </c>
      <c r="AH552" s="1633">
        <f t="shared" si="699"/>
        <v>-9.0790131312586918E-3</v>
      </c>
      <c r="AI552" s="1633">
        <f t="shared" si="699"/>
        <v>-8.3003088234666726E-3</v>
      </c>
      <c r="AJ552" s="1633">
        <f t="shared" si="699"/>
        <v>-9.0891768540537921E-3</v>
      </c>
      <c r="AK552" s="1633">
        <f t="shared" si="699"/>
        <v>-8.6638765998099734E-3</v>
      </c>
      <c r="AL552" s="1633">
        <f t="shared" si="699"/>
        <v>9.9651009794982908E-3</v>
      </c>
      <c r="AM552" s="1633">
        <f t="shared" si="699"/>
        <v>1.0525596409529443E-2</v>
      </c>
      <c r="AN552" s="1633">
        <f t="shared" si="699"/>
        <v>1.0479387671589032E-2</v>
      </c>
      <c r="AO552" s="1633">
        <f t="shared" si="699"/>
        <v>1.2751370331579973E-2</v>
      </c>
      <c r="AP552" s="1633">
        <f t="shared" si="699"/>
        <v>1.3225052680395023E-2</v>
      </c>
      <c r="AQ552" s="1633">
        <f t="shared" si="699"/>
        <v>1.5103660644041476E-2</v>
      </c>
      <c r="AR552" s="1633">
        <f t="shared" si="699"/>
        <v>1.5617013306941522E-2</v>
      </c>
      <c r="AS552" s="1633">
        <f t="shared" si="699"/>
        <v>7.1028074878686578E-2</v>
      </c>
      <c r="AT552" s="1633">
        <f t="shared" si="699"/>
        <v>0</v>
      </c>
    </row>
    <row r="553" spans="4:46">
      <c r="D553" s="175" t="s">
        <v>322</v>
      </c>
      <c r="E553" s="175"/>
      <c r="F553" s="175"/>
      <c r="G553" s="175"/>
      <c r="H553" s="175"/>
      <c r="I553" s="175"/>
      <c r="J553" s="175"/>
      <c r="K553" s="175"/>
      <c r="L553" s="175"/>
      <c r="M553" s="175"/>
      <c r="N553" s="175"/>
      <c r="O553" s="175"/>
      <c r="P553" s="175"/>
      <c r="Q553" s="175"/>
      <c r="R553" s="175"/>
      <c r="S553" s="175"/>
      <c r="T553" s="175"/>
      <c r="U553" s="175"/>
      <c r="V553" s="179">
        <f t="shared" ref="V553:AT553" si="700">+(V1019-V465-V466)/(V$402-V1003-V1019-(V1077+V1113+V1117))</f>
        <v>-2.893723788372907E-2</v>
      </c>
      <c r="W553" s="179">
        <f t="shared" si="700"/>
        <v>-2.7330545500147845E-2</v>
      </c>
      <c r="X553" s="179">
        <f t="shared" si="700"/>
        <v>-2.5617711172583279E-2</v>
      </c>
      <c r="Y553" s="179">
        <f t="shared" si="700"/>
        <v>-1.7393633837071886E-2</v>
      </c>
      <c r="Z553" s="179">
        <f t="shared" si="700"/>
        <v>-1.6876745476511589E-2</v>
      </c>
      <c r="AA553" s="179">
        <f t="shared" si="700"/>
        <v>-1.524846973198217E-2</v>
      </c>
      <c r="AB553" s="179">
        <f t="shared" si="700"/>
        <v>-1.5194879139671538E-2</v>
      </c>
      <c r="AC553" s="179">
        <f t="shared" si="700"/>
        <v>-1.4805914967541548E-2</v>
      </c>
      <c r="AD553" s="179">
        <f t="shared" si="700"/>
        <v>-1.3216423788380467E-2</v>
      </c>
      <c r="AE553" s="179">
        <f t="shared" si="700"/>
        <v>-1.0843755653984171E-2</v>
      </c>
      <c r="AF553" s="179">
        <f t="shared" si="700"/>
        <v>-1.1298754058736687E-2</v>
      </c>
      <c r="AG553" s="179">
        <f t="shared" si="700"/>
        <v>-1.1731062829936483E-2</v>
      </c>
      <c r="AH553" s="179">
        <f t="shared" si="700"/>
        <v>-7.0150021770497908E-3</v>
      </c>
      <c r="AI553" s="179">
        <f t="shared" si="700"/>
        <v>-9.1637158451105104E-3</v>
      </c>
      <c r="AJ553" s="179">
        <f t="shared" si="700"/>
        <v>-8.6880982634944971E-3</v>
      </c>
      <c r="AK553" s="179">
        <f t="shared" si="700"/>
        <v>-9.5543807193140037E-3</v>
      </c>
      <c r="AL553" s="179">
        <f t="shared" si="700"/>
        <v>-9.196942719117104E-3</v>
      </c>
      <c r="AM553" s="179">
        <f t="shared" si="700"/>
        <v>1.0657446881777293E-2</v>
      </c>
      <c r="AN553" s="179">
        <f t="shared" si="700"/>
        <v>1.1305021789959806E-2</v>
      </c>
      <c r="AO553" s="179">
        <f t="shared" si="700"/>
        <v>1.125184956702135E-2</v>
      </c>
      <c r="AP553" s="179">
        <f t="shared" si="700"/>
        <v>1.4499066736716259E-2</v>
      </c>
      <c r="AQ553" s="179">
        <f t="shared" si="700"/>
        <v>1.5210071725909612E-2</v>
      </c>
      <c r="AR553" s="179">
        <f t="shared" si="700"/>
        <v>1.5723870641164525E-2</v>
      </c>
      <c r="AS553" s="179">
        <f t="shared" si="700"/>
        <v>3.1890228901738711E-2</v>
      </c>
      <c r="AT553" s="179">
        <f t="shared" si="700"/>
        <v>2.5638326582424681E-2</v>
      </c>
    </row>
    <row r="554" spans="4:46">
      <c r="D554" s="178"/>
      <c r="E554" s="175"/>
      <c r="F554" s="175"/>
      <c r="G554" s="175"/>
      <c r="H554" s="175"/>
      <c r="I554" s="175"/>
      <c r="J554" s="175"/>
      <c r="K554" s="175"/>
      <c r="L554" s="175"/>
      <c r="M554" s="175"/>
      <c r="N554" s="175"/>
      <c r="O554" s="175"/>
      <c r="P554" s="175"/>
      <c r="Q554" s="175"/>
      <c r="R554" s="175"/>
      <c r="S554" s="175"/>
      <c r="T554" s="175"/>
      <c r="U554" s="175"/>
      <c r="V554" s="194"/>
      <c r="W554" s="194"/>
      <c r="X554" s="194"/>
      <c r="Y554" s="194"/>
      <c r="Z554" s="194"/>
      <c r="AA554" s="194"/>
      <c r="AB554" s="194"/>
      <c r="AC554" s="194"/>
      <c r="AD554" s="194"/>
      <c r="AE554" s="175"/>
      <c r="AF554" s="208"/>
      <c r="AG554" s="208"/>
      <c r="AH554" s="208"/>
      <c r="AI554" s="208"/>
      <c r="AJ554" s="208"/>
      <c r="AK554" s="208"/>
      <c r="AL554" s="208"/>
      <c r="AM554" s="208"/>
      <c r="AN554" s="208"/>
      <c r="AO554" s="208"/>
      <c r="AP554" s="208"/>
      <c r="AQ554" s="208"/>
      <c r="AR554" s="208"/>
      <c r="AS554" s="208"/>
      <c r="AT554" s="208"/>
    </row>
    <row r="555" spans="4:46">
      <c r="D555" s="175" t="s">
        <v>255</v>
      </c>
      <c r="E555" s="191"/>
      <c r="F555" s="175"/>
      <c r="G555" s="175"/>
      <c r="H555" s="175"/>
      <c r="I555" s="175"/>
      <c r="J555" s="175"/>
      <c r="K555" s="175"/>
      <c r="L555" s="175"/>
      <c r="M555" s="175"/>
      <c r="N555" s="175"/>
      <c r="O555" s="175"/>
      <c r="P555" s="175"/>
      <c r="Q555" s="175"/>
      <c r="R555" s="175"/>
      <c r="S555" s="175"/>
      <c r="T555" s="175"/>
      <c r="U555" s="175"/>
      <c r="V555" s="179"/>
      <c r="W555" s="176">
        <f t="shared" ref="W555:AM555" si="701">+(V241+W241)*W253/1000/2</f>
        <v>477.62860552147293</v>
      </c>
      <c r="X555" s="176">
        <f t="shared" si="701"/>
        <v>531.25490570195416</v>
      </c>
      <c r="Y555" s="176">
        <f t="shared" si="701"/>
        <v>601.03492691557801</v>
      </c>
      <c r="Z555" s="176">
        <f t="shared" si="701"/>
        <v>661.67237336833659</v>
      </c>
      <c r="AA555" s="176">
        <f t="shared" si="701"/>
        <v>456.50581088264295</v>
      </c>
      <c r="AB555" s="176">
        <f t="shared" si="701"/>
        <v>291.81879962694262</v>
      </c>
      <c r="AC555" s="176">
        <f t="shared" si="701"/>
        <v>444.04551553558412</v>
      </c>
      <c r="AD555" s="176">
        <f t="shared" si="701"/>
        <v>477.24668172793531</v>
      </c>
      <c r="AE555" s="176">
        <f t="shared" si="701"/>
        <v>401.05477030245817</v>
      </c>
      <c r="AF555" s="176">
        <f t="shared" si="701"/>
        <v>361.79865791233902</v>
      </c>
      <c r="AG555" s="176">
        <f t="shared" si="701"/>
        <v>584.80688578581601</v>
      </c>
      <c r="AH555" s="176">
        <f t="shared" si="701"/>
        <v>780.00173322881108</v>
      </c>
      <c r="AI555" s="176">
        <f t="shared" si="701"/>
        <v>892.49332461781717</v>
      </c>
      <c r="AJ555" s="176">
        <f t="shared" si="701"/>
        <v>986.32502522999994</v>
      </c>
      <c r="AK555" s="176">
        <f t="shared" si="701"/>
        <v>1014.6349484910032</v>
      </c>
      <c r="AL555" s="176">
        <f t="shared" si="701"/>
        <v>1081.853523602106</v>
      </c>
      <c r="AM555" s="176">
        <f t="shared" si="701"/>
        <v>1174.6501350045423</v>
      </c>
      <c r="AN555" s="176">
        <f>+(AM241+AN241)*AW254/1000/2</f>
        <v>0</v>
      </c>
      <c r="AO555" s="176">
        <f>+(AN241+AO241)*AX254/1000/2</f>
        <v>0</v>
      </c>
      <c r="AP555" s="176">
        <f t="shared" ref="AP555:AT555" si="702">+(AO241+AP241)*AY254/1000/2</f>
        <v>0</v>
      </c>
      <c r="AQ555" s="176">
        <f t="shared" si="702"/>
        <v>0</v>
      </c>
      <c r="AR555" s="176">
        <f t="shared" si="702"/>
        <v>0</v>
      </c>
      <c r="AS555" s="176">
        <f t="shared" si="702"/>
        <v>0</v>
      </c>
      <c r="AT555" s="176">
        <f t="shared" si="702"/>
        <v>0</v>
      </c>
    </row>
    <row r="556" spans="4:46">
      <c r="D556" s="175" t="s">
        <v>281</v>
      </c>
      <c r="E556" s="204" t="s">
        <v>253</v>
      </c>
      <c r="F556" s="175"/>
      <c r="G556" s="175"/>
      <c r="H556" s="175"/>
      <c r="I556" s="175"/>
      <c r="J556" s="175"/>
      <c r="K556" s="175"/>
      <c r="L556" s="175"/>
      <c r="M556" s="175"/>
      <c r="N556" s="175"/>
      <c r="O556" s="175"/>
      <c r="P556" s="175"/>
      <c r="Q556" s="175"/>
      <c r="R556" s="175"/>
      <c r="S556" s="175"/>
      <c r="T556" s="175"/>
      <c r="U556" s="175"/>
      <c r="V556" s="179"/>
      <c r="W556" s="205">
        <v>183</v>
      </c>
      <c r="X556" s="205">
        <v>183</v>
      </c>
      <c r="Y556" s="205">
        <v>183</v>
      </c>
      <c r="Z556" s="205">
        <v>183</v>
      </c>
      <c r="AA556" s="205">
        <v>183</v>
      </c>
      <c r="AB556" s="205">
        <v>183</v>
      </c>
      <c r="AC556" s="205">
        <v>183</v>
      </c>
      <c r="AD556" s="205">
        <v>183</v>
      </c>
      <c r="AE556" s="205">
        <v>183</v>
      </c>
      <c r="AF556" s="205">
        <v>183</v>
      </c>
      <c r="AG556" s="205">
        <v>183</v>
      </c>
      <c r="AH556" s="205">
        <v>183</v>
      </c>
      <c r="AI556" s="205">
        <v>183</v>
      </c>
      <c r="AJ556" s="205">
        <v>183</v>
      </c>
      <c r="AK556" s="205">
        <v>183</v>
      </c>
      <c r="AL556" s="205">
        <v>184</v>
      </c>
      <c r="AM556" s="205">
        <v>185</v>
      </c>
      <c r="AN556" s="205">
        <v>185</v>
      </c>
      <c r="AO556" s="205">
        <v>185</v>
      </c>
      <c r="AP556" s="205">
        <v>185</v>
      </c>
      <c r="AQ556" s="205">
        <v>185</v>
      </c>
      <c r="AR556" s="205">
        <v>185</v>
      </c>
      <c r="AS556" s="205">
        <v>185</v>
      </c>
      <c r="AT556" s="205">
        <v>185</v>
      </c>
    </row>
    <row r="557" spans="4:46">
      <c r="D557" s="175" t="s">
        <v>248</v>
      </c>
      <c r="E557" s="206">
        <v>0.76439999999999997</v>
      </c>
      <c r="F557" s="175"/>
      <c r="G557" s="175"/>
      <c r="H557" s="175"/>
      <c r="I557" s="175"/>
      <c r="J557" s="175"/>
      <c r="K557" s="175"/>
      <c r="L557" s="175"/>
      <c r="M557" s="175"/>
      <c r="N557" s="175"/>
      <c r="O557" s="175"/>
      <c r="P557" s="175"/>
      <c r="Q557" s="175"/>
      <c r="R557" s="175"/>
      <c r="S557" s="175"/>
      <c r="T557" s="175"/>
      <c r="U557" s="175"/>
      <c r="V557" s="179"/>
      <c r="W557" s="207">
        <f t="shared" ref="W557:AM557" si="703">+((V244+W244)/2)/$E313/1000</f>
        <v>533.12109694015203</v>
      </c>
      <c r="X557" s="207">
        <f t="shared" si="703"/>
        <v>571.45604125896682</v>
      </c>
      <c r="Y557" s="207">
        <f t="shared" si="703"/>
        <v>611.81042862655534</v>
      </c>
      <c r="Z557" s="207">
        <f t="shared" si="703"/>
        <v>654.69330877128334</v>
      </c>
      <c r="AA557" s="207">
        <f t="shared" si="703"/>
        <v>401.37545771896566</v>
      </c>
      <c r="AB557" s="207">
        <f t="shared" si="703"/>
        <v>201.97694145081107</v>
      </c>
      <c r="AC557" s="207">
        <f t="shared" si="703"/>
        <v>293.43021148613286</v>
      </c>
      <c r="AD557" s="207">
        <f t="shared" si="703"/>
        <v>314.25447728937729</v>
      </c>
      <c r="AE557" s="207">
        <f t="shared" si="703"/>
        <v>303.38365573652538</v>
      </c>
      <c r="AF557" s="207">
        <f t="shared" si="703"/>
        <v>302.73660657378338</v>
      </c>
      <c r="AG557" s="207">
        <f t="shared" si="703"/>
        <v>345.04043173076934</v>
      </c>
      <c r="AH557" s="207">
        <f t="shared" si="703"/>
        <v>353.13941922422816</v>
      </c>
      <c r="AI557" s="207">
        <f t="shared" si="703"/>
        <v>373.59557123888021</v>
      </c>
      <c r="AJ557" s="207">
        <f t="shared" si="703"/>
        <v>416.97763788220891</v>
      </c>
      <c r="AK557" s="207">
        <f t="shared" si="703"/>
        <v>426.85553085927569</v>
      </c>
      <c r="AL557" s="207">
        <f t="shared" si="703"/>
        <v>439.50714148415221</v>
      </c>
      <c r="AM557" s="207">
        <f t="shared" si="703"/>
        <v>453.50578748959043</v>
      </c>
      <c r="AN557" s="207">
        <f t="shared" ref="AN557" si="704">+((AM244+AN244)/2)/$E313/1000</f>
        <v>467.25455260499933</v>
      </c>
      <c r="AO557" s="207">
        <f t="shared" ref="AO557" si="705">+((AN244+AO244)/2)/$E313/1000</f>
        <v>483.20223251953217</v>
      </c>
      <c r="AP557" s="207">
        <f t="shared" ref="AP557" si="706">+((AO244+AP244)/2)/$E313/1000</f>
        <v>499.58308602720274</v>
      </c>
      <c r="AQ557" s="207">
        <f t="shared" ref="AQ557" si="707">+((AP244+AQ244)/2)/$E313/1000</f>
        <v>514.64455391910042</v>
      </c>
      <c r="AR557" s="207">
        <f t="shared" ref="AR557" si="708">+((AQ244+AR244)/2)/$E313/1000</f>
        <v>529.80465556627246</v>
      </c>
      <c r="AS557" s="207">
        <f t="shared" ref="AS557" si="709">+((AR244+AS244)/2)/$E313/1000</f>
        <v>544.66824953031789</v>
      </c>
      <c r="AT557" s="207">
        <f t="shared" ref="AT557" si="710">+((AS244+AT244)/2)/$E313/1000</f>
        <v>559.55139490696922</v>
      </c>
    </row>
    <row r="558" spans="4:46">
      <c r="D558" s="175" t="s">
        <v>282</v>
      </c>
      <c r="E558" s="206"/>
      <c r="F558" s="175"/>
      <c r="G558" s="175"/>
      <c r="H558" s="175"/>
      <c r="I558" s="175"/>
      <c r="J558" s="175"/>
      <c r="K558" s="175"/>
      <c r="L558" s="175"/>
      <c r="M558" s="175"/>
      <c r="N558" s="175"/>
      <c r="O558" s="175"/>
      <c r="P558" s="175"/>
      <c r="Q558" s="175"/>
      <c r="R558" s="175"/>
      <c r="S558" s="175"/>
      <c r="T558" s="175"/>
      <c r="U558" s="175"/>
      <c r="V558" s="179"/>
      <c r="W558" s="205">
        <v>150</v>
      </c>
      <c r="X558" s="205">
        <v>150</v>
      </c>
      <c r="Y558" s="205">
        <v>150</v>
      </c>
      <c r="Z558" s="205">
        <v>150</v>
      </c>
      <c r="AA558" s="205">
        <v>150</v>
      </c>
      <c r="AB558" s="205">
        <f t="shared" ref="AB558:AJ558" si="711">+AA314</f>
        <v>150</v>
      </c>
      <c r="AC558" s="205">
        <f t="shared" si="711"/>
        <v>150</v>
      </c>
      <c r="AD558" s="205">
        <f t="shared" si="711"/>
        <v>150</v>
      </c>
      <c r="AE558" s="205">
        <f t="shared" si="711"/>
        <v>150</v>
      </c>
      <c r="AF558" s="205">
        <f t="shared" si="711"/>
        <v>150</v>
      </c>
      <c r="AG558" s="205">
        <f t="shared" si="711"/>
        <v>150</v>
      </c>
      <c r="AH558" s="205">
        <f t="shared" si="711"/>
        <v>150</v>
      </c>
      <c r="AI558" s="205">
        <f t="shared" si="711"/>
        <v>150</v>
      </c>
      <c r="AJ558" s="205">
        <f t="shared" si="711"/>
        <v>150</v>
      </c>
      <c r="AK558" s="205">
        <f>AJ558</f>
        <v>150</v>
      </c>
      <c r="AL558" s="205">
        <f t="shared" ref="AL558:AT558" si="712">AK558</f>
        <v>150</v>
      </c>
      <c r="AM558" s="205">
        <f t="shared" si="712"/>
        <v>150</v>
      </c>
      <c r="AN558" s="205">
        <f t="shared" si="712"/>
        <v>150</v>
      </c>
      <c r="AO558" s="205">
        <f t="shared" si="712"/>
        <v>150</v>
      </c>
      <c r="AP558" s="205">
        <f t="shared" si="712"/>
        <v>150</v>
      </c>
      <c r="AQ558" s="205">
        <f t="shared" si="712"/>
        <v>150</v>
      </c>
      <c r="AR558" s="205">
        <f t="shared" si="712"/>
        <v>150</v>
      </c>
      <c r="AS558" s="205">
        <f t="shared" si="712"/>
        <v>150</v>
      </c>
      <c r="AT558" s="205">
        <f t="shared" si="712"/>
        <v>150</v>
      </c>
    </row>
    <row r="559" spans="4:46">
      <c r="D559" s="175" t="s">
        <v>249</v>
      </c>
      <c r="E559" s="206">
        <v>0.87229999999999996</v>
      </c>
      <c r="F559" s="175"/>
      <c r="G559" s="175"/>
      <c r="H559" s="175"/>
      <c r="I559" s="175"/>
      <c r="J559" s="175"/>
      <c r="K559" s="175"/>
      <c r="L559" s="175"/>
      <c r="M559" s="175"/>
      <c r="N559" s="175"/>
      <c r="O559" s="175"/>
      <c r="P559" s="175"/>
      <c r="Q559" s="175"/>
      <c r="R559" s="175"/>
      <c r="S559" s="175"/>
      <c r="T559" s="175"/>
      <c r="U559" s="175"/>
      <c r="V559" s="179"/>
      <c r="W559" s="207">
        <f t="shared" ref="W559:AM559" si="713">+((V245+W245)/2)/$E315/1000</f>
        <v>561.82215458110966</v>
      </c>
      <c r="X559" s="207">
        <f t="shared" si="713"/>
        <v>602.22089538607372</v>
      </c>
      <c r="Y559" s="207">
        <f t="shared" si="713"/>
        <v>644.74779778739526</v>
      </c>
      <c r="Z559" s="207">
        <f t="shared" si="713"/>
        <v>689.93931666712774</v>
      </c>
      <c r="AA559" s="207">
        <f t="shared" si="713"/>
        <v>436.51528938042503</v>
      </c>
      <c r="AB559" s="207">
        <f t="shared" si="713"/>
        <v>222.40395182849934</v>
      </c>
      <c r="AC559" s="207">
        <f t="shared" si="713"/>
        <v>290.72653329129884</v>
      </c>
      <c r="AD559" s="207">
        <f t="shared" si="713"/>
        <v>313.29915196033477</v>
      </c>
      <c r="AE559" s="207">
        <f t="shared" si="713"/>
        <v>322.28244165997938</v>
      </c>
      <c r="AF559" s="207">
        <f t="shared" si="713"/>
        <v>314.7710117046887</v>
      </c>
      <c r="AG559" s="207">
        <f t="shared" si="713"/>
        <v>365.90740644846949</v>
      </c>
      <c r="AH559" s="207">
        <f t="shared" si="713"/>
        <v>399.14501132064663</v>
      </c>
      <c r="AI559" s="207">
        <f t="shared" si="713"/>
        <v>408.23072056058703</v>
      </c>
      <c r="AJ559" s="207">
        <f t="shared" si="713"/>
        <v>439.42600709613845</v>
      </c>
      <c r="AK559" s="207">
        <f t="shared" si="713"/>
        <v>449.83568539802764</v>
      </c>
      <c r="AL559" s="207">
        <f t="shared" si="713"/>
        <v>463.16840695225903</v>
      </c>
      <c r="AM559" s="207">
        <f t="shared" si="713"/>
        <v>477.92068275813727</v>
      </c>
      <c r="AN559" s="207">
        <f t="shared" ref="AN559" si="714">+((AM245+AN245)/2)/$E315/1000</f>
        <v>492.40962510970178</v>
      </c>
      <c r="AO559" s="207">
        <f t="shared" ref="AO559" si="715">+((AN245+AO245)/2)/$E315/1000</f>
        <v>509.21586283238281</v>
      </c>
      <c r="AP559" s="207">
        <f t="shared" ref="AP559" si="716">+((AO245+AP245)/2)/$E315/1000</f>
        <v>526.47859444135179</v>
      </c>
      <c r="AQ559" s="207">
        <f>+((AP245+AQ245)/2)/$E315/1000</f>
        <v>542.35091011362044</v>
      </c>
      <c r="AR559" s="207">
        <f t="shared" ref="AR559" si="717">+((AQ245+AR245)/2)/$E315/1000</f>
        <v>558.32716957881075</v>
      </c>
      <c r="AS559" s="207">
        <f t="shared" ref="AS559" si="718">+((AR245+AS245)/2)/$E315/1000</f>
        <v>573.99095860090642</v>
      </c>
      <c r="AT559" s="207">
        <f t="shared" ref="AT559" si="719">+((AS245+AT245)/2)/$E315/1000</f>
        <v>589.67535160363343</v>
      </c>
    </row>
    <row r="560" spans="4:46">
      <c r="D560" s="175" t="s">
        <v>800</v>
      </c>
      <c r="E560" s="206"/>
      <c r="F560" s="175"/>
      <c r="G560" s="175"/>
      <c r="H560" s="175"/>
      <c r="I560" s="175"/>
      <c r="J560" s="175"/>
      <c r="K560" s="175"/>
      <c r="L560" s="175"/>
      <c r="M560" s="175"/>
      <c r="N560" s="175"/>
      <c r="O560" s="175"/>
      <c r="P560" s="175"/>
      <c r="Q560" s="175"/>
      <c r="R560" s="175"/>
      <c r="S560" s="175"/>
      <c r="T560" s="175"/>
      <c r="U560" s="175"/>
      <c r="V560" s="179"/>
      <c r="W560" s="179"/>
      <c r="X560" s="179"/>
      <c r="Y560" s="208"/>
      <c r="Z560" s="208"/>
      <c r="AA560" s="208"/>
      <c r="AB560" s="195"/>
      <c r="AC560" s="202"/>
      <c r="AD560" s="209"/>
      <c r="AE560" s="175"/>
      <c r="AF560" s="208"/>
      <c r="AG560" s="208"/>
      <c r="AH560" s="208"/>
      <c r="AI560" s="208"/>
      <c r="AJ560" s="208"/>
      <c r="AK560" s="208"/>
      <c r="AL560" s="208"/>
      <c r="AM560" s="208"/>
      <c r="AN560" s="208"/>
      <c r="AO560" s="208"/>
      <c r="AP560" s="208"/>
      <c r="AQ560" s="208"/>
      <c r="AR560" s="208"/>
      <c r="AS560" s="208"/>
      <c r="AT560" s="208"/>
    </row>
    <row r="561" spans="4:46">
      <c r="D561" s="175" t="s">
        <v>799</v>
      </c>
      <c r="E561" s="206">
        <v>0.81299999999999994</v>
      </c>
      <c r="F561" s="175"/>
      <c r="G561" s="175"/>
      <c r="H561" s="175"/>
      <c r="I561" s="175"/>
      <c r="J561" s="175"/>
      <c r="K561" s="175"/>
      <c r="L561" s="175"/>
      <c r="M561" s="175"/>
      <c r="N561" s="175"/>
      <c r="O561" s="175"/>
      <c r="P561" s="175"/>
      <c r="Q561" s="175"/>
      <c r="R561" s="175"/>
      <c r="S561" s="175"/>
      <c r="T561" s="175"/>
      <c r="U561" s="175"/>
      <c r="V561" s="179"/>
      <c r="W561" s="179"/>
      <c r="X561" s="179"/>
      <c r="Y561" s="208"/>
      <c r="Z561" s="207">
        <f t="shared" ref="Z561:AM561" si="720">+((Y246+Z246)/2)/$E317/1000</f>
        <v>300.84959783977928</v>
      </c>
      <c r="AA561" s="207">
        <f t="shared" si="720"/>
        <v>175.07387115156865</v>
      </c>
      <c r="AB561" s="207">
        <f t="shared" si="720"/>
        <v>143.48897097785976</v>
      </c>
      <c r="AC561" s="207">
        <f t="shared" si="720"/>
        <v>265.96571038130384</v>
      </c>
      <c r="AD561" s="207">
        <f t="shared" si="720"/>
        <v>272.97544938499385</v>
      </c>
      <c r="AE561" s="207">
        <f t="shared" si="720"/>
        <v>213.33490690036905</v>
      </c>
      <c r="AF561" s="207">
        <f t="shared" si="720"/>
        <v>153.34112197416974</v>
      </c>
      <c r="AG561" s="207">
        <f t="shared" si="720"/>
        <v>158.73863527675277</v>
      </c>
      <c r="AH561" s="207">
        <f t="shared" si="720"/>
        <v>177.33721372078725</v>
      </c>
      <c r="AI561" s="207">
        <f t="shared" si="720"/>
        <v>184.34249480319809</v>
      </c>
      <c r="AJ561" s="207">
        <f t="shared" si="720"/>
        <v>191.61270320676013</v>
      </c>
      <c r="AK561" s="207">
        <f t="shared" si="720"/>
        <v>196.15186694929525</v>
      </c>
      <c r="AL561" s="207">
        <f t="shared" si="720"/>
        <v>201.9656303061609</v>
      </c>
      <c r="AM561" s="207">
        <f t="shared" si="720"/>
        <v>208.39839350171201</v>
      </c>
      <c r="AN561" s="207">
        <f t="shared" ref="AN561" si="721">+((AM246+AN246)/2)/$E317/1000</f>
        <v>214.71632954954995</v>
      </c>
      <c r="AO561" s="207">
        <f t="shared" ref="AO561" si="722">+((AN246+AO246)/2)/$E317/1000</f>
        <v>222.04472747951993</v>
      </c>
      <c r="AP561" s="207">
        <f t="shared" ref="AP561" si="723">+((AO246+AP246)/2)/$E317/1000</f>
        <v>229.5721805999805</v>
      </c>
      <c r="AQ561" s="207">
        <f t="shared" ref="AQ561" si="724">+((AP246+AQ246)/2)/$E317/1000</f>
        <v>236.4933397098213</v>
      </c>
      <c r="AR561" s="207">
        <f t="shared" ref="AR561" si="725">+((AQ246+AR246)/2)/$E317/1000</f>
        <v>243.45982374540998</v>
      </c>
      <c r="AS561" s="207">
        <f t="shared" ref="AS561" si="726">+((AR246+AS246)/2)/$E317/1000</f>
        <v>250.2900543383104</v>
      </c>
      <c r="AT561" s="207">
        <f t="shared" ref="AT561" si="727">+((AS246+AT246)/2)/$E317/1000</f>
        <v>257.12926934351646</v>
      </c>
    </row>
    <row r="562" spans="4:46">
      <c r="D562" s="175" t="s">
        <v>254</v>
      </c>
      <c r="E562" s="206"/>
      <c r="F562" s="175"/>
      <c r="G562" s="175"/>
      <c r="H562" s="175"/>
      <c r="I562" s="175"/>
      <c r="J562" s="175"/>
      <c r="K562" s="175"/>
      <c r="L562" s="175"/>
      <c r="M562" s="175"/>
      <c r="N562" s="175"/>
      <c r="O562" s="175"/>
      <c r="P562" s="210">
        <f t="shared" ref="P562:AF562" si="728">P466</f>
        <v>7.6334944059999996</v>
      </c>
      <c r="Q562" s="210">
        <f t="shared" si="728"/>
        <v>8.8330258990000008</v>
      </c>
      <c r="R562" s="210">
        <f t="shared" si="728"/>
        <v>8.7751200350000005</v>
      </c>
      <c r="S562" s="210">
        <f t="shared" si="728"/>
        <v>5.3642594690000003</v>
      </c>
      <c r="T562" s="210">
        <f t="shared" si="728"/>
        <v>15.577398727799999</v>
      </c>
      <c r="U562" s="210">
        <f t="shared" si="728"/>
        <v>24.572148364299998</v>
      </c>
      <c r="V562" s="210">
        <f t="shared" si="728"/>
        <v>49.961983223600001</v>
      </c>
      <c r="W562" s="210">
        <f t="shared" si="728"/>
        <v>43.035833838799988</v>
      </c>
      <c r="X562" s="210">
        <f t="shared" si="728"/>
        <v>40.547804104199997</v>
      </c>
      <c r="Y562" s="210">
        <f t="shared" si="728"/>
        <v>43.976230896800004</v>
      </c>
      <c r="Z562" s="210">
        <f>Z466</f>
        <v>47.3288579349</v>
      </c>
      <c r="AA562" s="210">
        <f t="shared" si="728"/>
        <v>50.127208389000003</v>
      </c>
      <c r="AB562" s="210">
        <f t="shared" si="728"/>
        <v>49.161149705</v>
      </c>
      <c r="AC562" s="210">
        <f t="shared" si="728"/>
        <v>52.827136257400326</v>
      </c>
      <c r="AD562" s="210">
        <f t="shared" si="728"/>
        <v>57.800472857066289</v>
      </c>
      <c r="AE562" s="210">
        <f t="shared" si="728"/>
        <v>54.344695545999997</v>
      </c>
      <c r="AF562" s="210">
        <f t="shared" si="728"/>
        <v>58.580782839555837</v>
      </c>
      <c r="AG562" s="210">
        <f t="shared" ref="AG562:AN562" si="729">+(AG312*AG313+AG314*AG315+AG316*AG317)/1000</f>
        <v>118.71859083746274</v>
      </c>
      <c r="AH562" s="210">
        <f t="shared" si="729"/>
        <v>124.49626541613074</v>
      </c>
      <c r="AI562" s="210">
        <f t="shared" si="729"/>
        <v>129.60259762080312</v>
      </c>
      <c r="AJ562" s="210">
        <f t="shared" si="729"/>
        <v>0</v>
      </c>
      <c r="AK562" s="210">
        <f t="shared" si="729"/>
        <v>78.11456214724744</v>
      </c>
      <c r="AL562" s="210">
        <f t="shared" si="729"/>
        <v>80.869314033084009</v>
      </c>
      <c r="AM562" s="210">
        <f t="shared" si="729"/>
        <v>83.898570685574228</v>
      </c>
      <c r="AN562" s="210">
        <f t="shared" si="729"/>
        <v>86.909346784529873</v>
      </c>
      <c r="AO562" s="210">
        <f>+(AO312*AO313+AO314*AO315+AO316*AO317)/1000</f>
        <v>90.358817481152514</v>
      </c>
      <c r="AP562" s="210">
        <f t="shared" ref="AP562:AT562" si="730">+(AP312*AP313+AP314*AP315+AP316*AP317)/1000</f>
        <v>0</v>
      </c>
      <c r="AQ562" s="210">
        <f t="shared" si="730"/>
        <v>0</v>
      </c>
      <c r="AR562" s="210">
        <f t="shared" si="730"/>
        <v>0</v>
      </c>
      <c r="AS562" s="210">
        <f t="shared" si="730"/>
        <v>0</v>
      </c>
      <c r="AT562" s="210">
        <f t="shared" si="730"/>
        <v>0</v>
      </c>
    </row>
    <row r="563" spans="4:46">
      <c r="D563" s="175" t="s">
        <v>283</v>
      </c>
      <c r="E563" s="206"/>
      <c r="F563" s="175"/>
      <c r="G563" s="175"/>
      <c r="H563" s="175"/>
      <c r="I563" s="175"/>
      <c r="J563" s="175"/>
      <c r="K563" s="175"/>
      <c r="L563" s="175"/>
      <c r="M563" s="175"/>
      <c r="N563" s="175"/>
      <c r="O563" s="175"/>
      <c r="P563" s="175"/>
      <c r="Q563" s="175"/>
      <c r="R563" s="175"/>
      <c r="S563" s="175"/>
      <c r="T563" s="175"/>
      <c r="U563" s="175"/>
      <c r="V563" s="207"/>
      <c r="W563" s="212"/>
      <c r="X563" s="212"/>
      <c r="Y563" s="212"/>
      <c r="Z563" s="212">
        <v>6.5000000000000002E-2</v>
      </c>
      <c r="AA563" s="213">
        <f>Z563</f>
        <v>6.5000000000000002E-2</v>
      </c>
      <c r="AB563" s="213">
        <f t="shared" ref="AB563:AM563" si="731">AA563</f>
        <v>6.5000000000000002E-2</v>
      </c>
      <c r="AC563" s="213">
        <f t="shared" si="731"/>
        <v>6.5000000000000002E-2</v>
      </c>
      <c r="AD563" s="213">
        <f t="shared" si="731"/>
        <v>6.5000000000000002E-2</v>
      </c>
      <c r="AE563" s="213">
        <f t="shared" si="731"/>
        <v>6.5000000000000002E-2</v>
      </c>
      <c r="AF563" s="213">
        <f t="shared" si="731"/>
        <v>6.5000000000000002E-2</v>
      </c>
      <c r="AG563" s="213">
        <f t="shared" si="731"/>
        <v>6.5000000000000002E-2</v>
      </c>
      <c r="AH563" s="213">
        <f t="shared" si="731"/>
        <v>6.5000000000000002E-2</v>
      </c>
      <c r="AI563" s="213">
        <f t="shared" si="731"/>
        <v>6.5000000000000002E-2</v>
      </c>
      <c r="AJ563" s="213">
        <f t="shared" si="731"/>
        <v>6.5000000000000002E-2</v>
      </c>
      <c r="AK563" s="213">
        <f t="shared" si="731"/>
        <v>6.5000000000000002E-2</v>
      </c>
      <c r="AL563" s="213">
        <f t="shared" si="731"/>
        <v>6.5000000000000002E-2</v>
      </c>
      <c r="AM563" s="213">
        <f t="shared" si="731"/>
        <v>6.5000000000000002E-2</v>
      </c>
      <c r="AN563" s="213">
        <f t="shared" ref="AN563" si="732">AM563</f>
        <v>6.5000000000000002E-2</v>
      </c>
      <c r="AO563" s="213">
        <f t="shared" ref="AO563" si="733">AN563</f>
        <v>6.5000000000000002E-2</v>
      </c>
      <c r="AP563" s="213">
        <f t="shared" ref="AP563" si="734">AO563</f>
        <v>6.5000000000000002E-2</v>
      </c>
      <c r="AQ563" s="213">
        <f t="shared" ref="AQ563" si="735">AP563</f>
        <v>6.5000000000000002E-2</v>
      </c>
      <c r="AR563" s="213">
        <f t="shared" ref="AR563" si="736">AQ563</f>
        <v>6.5000000000000002E-2</v>
      </c>
      <c r="AS563" s="213">
        <f t="shared" ref="AS563" si="737">AR563</f>
        <v>6.5000000000000002E-2</v>
      </c>
      <c r="AT563" s="213">
        <f t="shared" ref="AT563" si="738">AS563</f>
        <v>6.5000000000000002E-2</v>
      </c>
    </row>
    <row r="564" spans="4:46">
      <c r="D564" s="175" t="s">
        <v>792</v>
      </c>
      <c r="E564" s="191" t="s">
        <v>225</v>
      </c>
      <c r="F564" s="175"/>
      <c r="G564" s="175"/>
      <c r="H564" s="175"/>
      <c r="I564" s="175"/>
      <c r="J564" s="175"/>
      <c r="K564" s="175"/>
      <c r="L564" s="175"/>
      <c r="M564" s="175"/>
      <c r="N564" s="175"/>
      <c r="O564" s="175"/>
      <c r="P564" s="175"/>
      <c r="Q564" s="175"/>
      <c r="R564" s="175"/>
      <c r="S564" s="175"/>
      <c r="T564" s="175"/>
      <c r="U564" s="175"/>
      <c r="V564" s="179">
        <f t="shared" ref="V564:AF564" si="739">+V683/V284</f>
        <v>1.0905966226175021E-2</v>
      </c>
      <c r="W564" s="179">
        <f t="shared" si="739"/>
        <v>8.1091994451977373E-3</v>
      </c>
      <c r="X564" s="179">
        <f t="shared" si="739"/>
        <v>6.9086264993887527E-3</v>
      </c>
      <c r="Y564" s="179">
        <f t="shared" si="739"/>
        <v>6.932785819186809E-3</v>
      </c>
      <c r="Z564" s="179">
        <f t="shared" si="739"/>
        <v>7.0377031408740374E-3</v>
      </c>
      <c r="AA564" s="214">
        <f t="shared" si="739"/>
        <v>1.0764202582481305E-2</v>
      </c>
      <c r="AB564" s="214">
        <f t="shared" si="739"/>
        <v>6.7958459641968482E-3</v>
      </c>
      <c r="AC564" s="214">
        <f t="shared" si="739"/>
        <v>5.6655258994154373E-3</v>
      </c>
      <c r="AD564" s="214">
        <f t="shared" si="739"/>
        <v>6.6067089500498315E-3</v>
      </c>
      <c r="AE564" s="214">
        <f t="shared" si="739"/>
        <v>5.5654735013891407E-3</v>
      </c>
      <c r="AF564" s="179">
        <f t="shared" si="739"/>
        <v>5.4771332397308015E-3</v>
      </c>
      <c r="AG564" s="179">
        <f>+AG466/AG284</f>
        <v>5.6050467814588193E-3</v>
      </c>
      <c r="AH564" s="179">
        <f t="shared" ref="AH564:AM564" si="740">+AH683/AH284</f>
        <v>1.4972832222283025E-3</v>
      </c>
      <c r="AI564" s="179">
        <f t="shared" si="740"/>
        <v>1.3429884555825541E-3</v>
      </c>
      <c r="AJ564" s="179" t="e">
        <f t="shared" si="740"/>
        <v>#DIV/0!</v>
      </c>
      <c r="AK564" s="179">
        <f t="shared" si="740"/>
        <v>3.4482373179934135E-3</v>
      </c>
      <c r="AL564" s="179">
        <f t="shared" si="740"/>
        <v>3.1635942450075234E-3</v>
      </c>
      <c r="AM564" s="179">
        <f t="shared" si="740"/>
        <v>2.9156684848192531E-3</v>
      </c>
      <c r="AN564" s="179">
        <v>5.057587735938885E-3</v>
      </c>
      <c r="AO564" s="179">
        <v>5.057587735938885E-3</v>
      </c>
      <c r="AP564" s="179">
        <v>1.00505758773594</v>
      </c>
      <c r="AQ564" s="179">
        <v>2.0050575877359398</v>
      </c>
      <c r="AR564" s="179">
        <v>3.0050575877359398</v>
      </c>
      <c r="AS564" s="179">
        <v>4.0050575877359398</v>
      </c>
      <c r="AT564" s="179">
        <v>5.0050575877359398</v>
      </c>
    </row>
    <row r="565" spans="4:46">
      <c r="D565" s="624" t="s">
        <v>790</v>
      </c>
      <c r="E565" s="235"/>
      <c r="F565" s="178"/>
      <c r="G565" s="178"/>
      <c r="H565" s="178"/>
      <c r="I565" s="178"/>
      <c r="J565" s="178"/>
      <c r="K565" s="178"/>
      <c r="L565" s="178"/>
      <c r="M565" s="178"/>
      <c r="N565" s="178"/>
      <c r="O565" s="178"/>
      <c r="P565" s="178"/>
      <c r="Q565" s="178"/>
      <c r="R565" s="178"/>
      <c r="S565" s="178"/>
      <c r="T565" s="178"/>
      <c r="U565" s="178"/>
      <c r="V565" s="215"/>
      <c r="W565" s="176"/>
      <c r="X565" s="176"/>
      <c r="Y565" s="176"/>
      <c r="Z565" s="176"/>
      <c r="AA565" s="625">
        <v>32.700000000000003</v>
      </c>
      <c r="AB565" s="625">
        <f t="shared" ref="AB565:AM565" si="741">+AA321</f>
        <v>32.700000000000003</v>
      </c>
      <c r="AC565" s="625">
        <f t="shared" si="741"/>
        <v>32.700000000000003</v>
      </c>
      <c r="AD565" s="625">
        <f t="shared" si="741"/>
        <v>32.700000000000003</v>
      </c>
      <c r="AE565" s="625">
        <f t="shared" si="741"/>
        <v>32.700000000000003</v>
      </c>
      <c r="AF565" s="625">
        <f t="shared" si="741"/>
        <v>32.700000000000003</v>
      </c>
      <c r="AG565" s="625">
        <f t="shared" si="741"/>
        <v>32.700000000000003</v>
      </c>
      <c r="AH565" s="625">
        <f t="shared" si="741"/>
        <v>32.700000000000003</v>
      </c>
      <c r="AI565" s="625">
        <f t="shared" si="741"/>
        <v>32.700000000000003</v>
      </c>
      <c r="AJ565" s="625">
        <f t="shared" si="741"/>
        <v>32.700000000000003</v>
      </c>
      <c r="AK565" s="625">
        <f t="shared" si="741"/>
        <v>0</v>
      </c>
      <c r="AL565" s="625">
        <f t="shared" si="741"/>
        <v>0</v>
      </c>
      <c r="AM565" s="625">
        <f t="shared" si="741"/>
        <v>0</v>
      </c>
      <c r="AN565" s="625">
        <f t="shared" ref="AN565" si="742">+AM321</f>
        <v>0</v>
      </c>
      <c r="AO565" s="625">
        <f t="shared" ref="AO565" si="743">+AN321</f>
        <v>0</v>
      </c>
      <c r="AP565" s="625">
        <f t="shared" ref="AP565" si="744">+AO321</f>
        <v>0</v>
      </c>
      <c r="AQ565" s="625">
        <f t="shared" ref="AQ565" si="745">+AP321</f>
        <v>0</v>
      </c>
      <c r="AR565" s="625">
        <f t="shared" ref="AR565" si="746">+AQ321</f>
        <v>0</v>
      </c>
      <c r="AS565" s="625">
        <f t="shared" ref="AS565" si="747">+AR321</f>
        <v>0</v>
      </c>
      <c r="AT565" s="625">
        <f t="shared" ref="AT565" si="748">+AS321</f>
        <v>0</v>
      </c>
    </row>
    <row r="566" spans="4:46">
      <c r="D566" s="624" t="s">
        <v>793</v>
      </c>
      <c r="E566" s="235"/>
      <c r="F566" s="178"/>
      <c r="G566" s="178"/>
      <c r="H566" s="178"/>
      <c r="I566" s="178"/>
      <c r="J566" s="178"/>
      <c r="K566" s="178"/>
      <c r="L566" s="178"/>
      <c r="M566" s="178"/>
      <c r="N566" s="178"/>
      <c r="O566" s="178"/>
      <c r="P566" s="178"/>
      <c r="Q566" s="178"/>
      <c r="R566" s="178"/>
      <c r="S566" s="178"/>
      <c r="T566" s="178"/>
      <c r="U566" s="178"/>
      <c r="V566" s="215"/>
      <c r="W566" s="176"/>
      <c r="X566" s="176"/>
      <c r="Y566" s="176"/>
      <c r="Z566" s="176"/>
      <c r="AA566" s="625">
        <f>+(AA$313+AA$315)*AA321/1000</f>
        <v>27.399027430150078</v>
      </c>
      <c r="AB566" s="625">
        <f t="shared" ref="AB566:AK566" si="749">+(AB313+AB315)*AB321/1000</f>
        <v>13.87725521023345</v>
      </c>
      <c r="AC566" s="625">
        <f t="shared" si="749"/>
        <v>19.101925554222017</v>
      </c>
      <c r="AD566" s="625">
        <f t="shared" si="749"/>
        <v>20.521003676465586</v>
      </c>
      <c r="AE566" s="625">
        <f t="shared" si="749"/>
        <v>20.459281384865704</v>
      </c>
      <c r="AF566" s="625">
        <f t="shared" si="749"/>
        <v>20.192499117706038</v>
      </c>
      <c r="AG566" s="625">
        <f t="shared" si="749"/>
        <v>23.247994308461113</v>
      </c>
      <c r="AH566" s="625">
        <f t="shared" si="749"/>
        <v>24.599700878817405</v>
      </c>
      <c r="AI566" s="625">
        <f t="shared" si="749"/>
        <v>25.565719741842582</v>
      </c>
      <c r="AJ566" s="625">
        <f t="shared" si="749"/>
        <v>0</v>
      </c>
      <c r="AK566" s="625">
        <f t="shared" si="749"/>
        <v>0</v>
      </c>
      <c r="AL566" s="625">
        <f>+(AL313+AL315)*AL321/1000</f>
        <v>0</v>
      </c>
      <c r="AM566" s="625">
        <f>+(AM313+AM315)*AM321/1000</f>
        <v>0</v>
      </c>
      <c r="AN566" s="625">
        <f t="shared" ref="AN566:AO566" si="750">+(AN313+AN315)*AN321/1000</f>
        <v>0</v>
      </c>
      <c r="AO566" s="625">
        <f t="shared" si="750"/>
        <v>0</v>
      </c>
      <c r="AP566" s="625">
        <f t="shared" ref="AP566:AT566" si="751">+(AP313+AP315)*AP321/1000</f>
        <v>0</v>
      </c>
      <c r="AQ566" s="625">
        <f t="shared" si="751"/>
        <v>0</v>
      </c>
      <c r="AR566" s="625">
        <f t="shared" si="751"/>
        <v>0</v>
      </c>
      <c r="AS566" s="625">
        <f t="shared" si="751"/>
        <v>0</v>
      </c>
      <c r="AT566" s="625">
        <f t="shared" si="751"/>
        <v>0</v>
      </c>
    </row>
    <row r="567" spans="4:46">
      <c r="D567" s="178" t="s">
        <v>794</v>
      </c>
      <c r="E567" s="235" t="s">
        <v>340</v>
      </c>
      <c r="F567" s="178"/>
      <c r="G567" s="178"/>
      <c r="H567" s="178"/>
      <c r="I567" s="178"/>
      <c r="J567" s="178"/>
      <c r="K567" s="178"/>
      <c r="L567" s="178"/>
      <c r="M567" s="178"/>
      <c r="N567" s="178"/>
      <c r="O567" s="178"/>
      <c r="P567" s="178"/>
      <c r="Q567" s="178"/>
      <c r="R567" s="178"/>
      <c r="S567" s="178"/>
      <c r="T567" s="178"/>
      <c r="U567" s="178"/>
      <c r="V567" s="215"/>
      <c r="W567" s="176"/>
      <c r="X567" s="176"/>
      <c r="Y567" s="176"/>
      <c r="Z567" s="176"/>
      <c r="AA567" s="229">
        <v>9.6999999999999993</v>
      </c>
      <c r="AB567" s="229">
        <v>9.6999999999999993</v>
      </c>
      <c r="AC567" s="229">
        <v>11.3</v>
      </c>
      <c r="AD567" s="229">
        <v>12.1</v>
      </c>
      <c r="AE567" s="229">
        <f t="shared" ref="AE567:AK567" si="752">+AE322</f>
        <v>20.459281384865704</v>
      </c>
      <c r="AF567" s="229">
        <f t="shared" si="752"/>
        <v>20.192499117706038</v>
      </c>
      <c r="AG567" s="229">
        <f t="shared" si="752"/>
        <v>23.247994308461113</v>
      </c>
      <c r="AH567" s="229">
        <f t="shared" si="752"/>
        <v>24.599700878817405</v>
      </c>
      <c r="AI567" s="229">
        <f t="shared" si="752"/>
        <v>25.565719741842582</v>
      </c>
      <c r="AJ567" s="229">
        <f t="shared" si="752"/>
        <v>0</v>
      </c>
      <c r="AK567" s="229">
        <f t="shared" si="752"/>
        <v>0</v>
      </c>
      <c r="AL567" s="229">
        <f>+AL322</f>
        <v>0</v>
      </c>
      <c r="AM567" s="229">
        <f>+AM322</f>
        <v>0</v>
      </c>
      <c r="AN567" s="229">
        <f t="shared" ref="AN567:AO567" si="753">+AN322</f>
        <v>0</v>
      </c>
      <c r="AO567" s="229">
        <f t="shared" si="753"/>
        <v>0</v>
      </c>
      <c r="AP567" s="229">
        <f t="shared" ref="AP567:AT567" si="754">+AP322</f>
        <v>0</v>
      </c>
      <c r="AQ567" s="229">
        <f t="shared" si="754"/>
        <v>0</v>
      </c>
      <c r="AR567" s="229">
        <f t="shared" si="754"/>
        <v>0</v>
      </c>
      <c r="AS567" s="229">
        <f t="shared" si="754"/>
        <v>0</v>
      </c>
      <c r="AT567" s="229">
        <f t="shared" si="754"/>
        <v>0</v>
      </c>
    </row>
    <row r="568" spans="4:46">
      <c r="D568" s="624" t="s">
        <v>797</v>
      </c>
      <c r="E568" s="235"/>
      <c r="F568" s="178"/>
      <c r="G568" s="178"/>
      <c r="H568" s="178"/>
      <c r="I568" s="178"/>
      <c r="J568" s="178"/>
      <c r="K568" s="178"/>
      <c r="L568" s="178"/>
      <c r="M568" s="178"/>
      <c r="N568" s="178"/>
      <c r="O568" s="178"/>
      <c r="P568" s="178"/>
      <c r="Q568" s="178"/>
      <c r="R568" s="178"/>
      <c r="S568" s="178"/>
      <c r="T568" s="178"/>
      <c r="U568" s="178"/>
      <c r="V568" s="215"/>
      <c r="W568" s="176"/>
      <c r="X568" s="176"/>
      <c r="Y568" s="625">
        <v>62.37</v>
      </c>
      <c r="Z568" s="625">
        <v>62.37</v>
      </c>
      <c r="AA568" s="625">
        <f>83+(115-83)*(4/12)*0</f>
        <v>83</v>
      </c>
      <c r="AB568" s="625">
        <v>115</v>
      </c>
      <c r="AC568" s="625">
        <f t="shared" ref="AC568:AM568" si="755">+AB324</f>
        <v>115</v>
      </c>
      <c r="AD568" s="625">
        <f t="shared" si="755"/>
        <v>115</v>
      </c>
      <c r="AE568" s="625">
        <f t="shared" si="755"/>
        <v>115</v>
      </c>
      <c r="AF568" s="625">
        <f t="shared" si="755"/>
        <v>115</v>
      </c>
      <c r="AG568" s="625">
        <f t="shared" si="755"/>
        <v>115</v>
      </c>
      <c r="AH568" s="625">
        <f t="shared" si="755"/>
        <v>115</v>
      </c>
      <c r="AI568" s="625">
        <f t="shared" si="755"/>
        <v>115</v>
      </c>
      <c r="AJ568" s="625">
        <f t="shared" si="755"/>
        <v>115</v>
      </c>
      <c r="AK568" s="625">
        <f t="shared" si="755"/>
        <v>0</v>
      </c>
      <c r="AL568" s="625">
        <f t="shared" si="755"/>
        <v>0</v>
      </c>
      <c r="AM568" s="625">
        <f t="shared" si="755"/>
        <v>0</v>
      </c>
      <c r="AN568" s="625">
        <f t="shared" ref="AN568" si="756">+AM324</f>
        <v>0</v>
      </c>
      <c r="AO568" s="625">
        <f t="shared" ref="AO568" si="757">+AN324</f>
        <v>0</v>
      </c>
      <c r="AP568" s="625">
        <f t="shared" ref="AP568" si="758">+AO324</f>
        <v>0</v>
      </c>
      <c r="AQ568" s="625">
        <f t="shared" ref="AQ568" si="759">+AP324</f>
        <v>0</v>
      </c>
      <c r="AR568" s="625">
        <f t="shared" ref="AR568" si="760">+AQ324</f>
        <v>0</v>
      </c>
      <c r="AS568" s="625">
        <f t="shared" ref="AS568" si="761">+AR324</f>
        <v>0</v>
      </c>
      <c r="AT568" s="625">
        <f t="shared" ref="AT568" si="762">+AS324</f>
        <v>0</v>
      </c>
    </row>
    <row r="569" spans="4:46">
      <c r="D569" s="624" t="s">
        <v>795</v>
      </c>
      <c r="E569" s="235"/>
      <c r="F569" s="178"/>
      <c r="G569" s="178"/>
      <c r="H569" s="178"/>
      <c r="I569" s="178"/>
      <c r="J569" s="178"/>
      <c r="K569" s="178"/>
      <c r="L569" s="178"/>
      <c r="M569" s="178"/>
      <c r="N569" s="178"/>
      <c r="O569" s="178"/>
      <c r="P569" s="178"/>
      <c r="Q569" s="178"/>
      <c r="R569" s="178"/>
      <c r="S569" s="178"/>
      <c r="T569" s="178"/>
      <c r="U569" s="178"/>
      <c r="V569" s="215"/>
      <c r="W569" s="176"/>
      <c r="X569" s="176"/>
      <c r="Y569" s="625"/>
      <c r="Z569" s="625">
        <f t="shared" ref="Z569:AK569" si="763">+(Z$313+Z$315+Z$317)*Z324/1000</f>
        <v>102.62872626586073</v>
      </c>
      <c r="AA569" s="625">
        <f t="shared" si="763"/>
        <v>84.076063314829639</v>
      </c>
      <c r="AB569" s="625">
        <f t="shared" si="763"/>
        <v>65.305034389574558</v>
      </c>
      <c r="AC569" s="625">
        <f t="shared" si="763"/>
        <v>97.764082343254572</v>
      </c>
      <c r="AD569" s="625">
        <f t="shared" si="763"/>
        <v>103.56084404299119</v>
      </c>
      <c r="AE569" s="625">
        <f t="shared" si="763"/>
        <v>96.485115494140487</v>
      </c>
      <c r="AF569" s="625">
        <f t="shared" si="763"/>
        <v>88.647605129053815</v>
      </c>
      <c r="AG569" s="625">
        <f t="shared" si="763"/>
        <v>100.01394444743903</v>
      </c>
      <c r="AH569" s="625">
        <f t="shared" si="763"/>
        <v>106.90648909055115</v>
      </c>
      <c r="AI569" s="625">
        <f t="shared" si="763"/>
        <v>111.10941045930652</v>
      </c>
      <c r="AJ569" s="625">
        <f t="shared" si="763"/>
        <v>0</v>
      </c>
      <c r="AK569" s="625">
        <f t="shared" si="763"/>
        <v>0</v>
      </c>
      <c r="AL569" s="625">
        <f>+(AL$313+AL$315+AL$317)*AL324/1000</f>
        <v>0</v>
      </c>
      <c r="AM569" s="625">
        <f>+(AM$313+AM$315+AM$317)*AM324/1000</f>
        <v>0</v>
      </c>
      <c r="AN569" s="625">
        <f t="shared" ref="AN569:AO569" si="764">+(AN$313+AN$315+AN$317)*AN324/1000</f>
        <v>0</v>
      </c>
      <c r="AO569" s="625">
        <f t="shared" si="764"/>
        <v>0</v>
      </c>
      <c r="AP569" s="625">
        <f t="shared" ref="AP569:AT569" si="765">+(AP$313+AP$315+AP$317)*AP324/1000</f>
        <v>0</v>
      </c>
      <c r="AQ569" s="625">
        <f t="shared" si="765"/>
        <v>0</v>
      </c>
      <c r="AR569" s="625">
        <f t="shared" si="765"/>
        <v>0</v>
      </c>
      <c r="AS569" s="625">
        <f t="shared" si="765"/>
        <v>0</v>
      </c>
      <c r="AT569" s="625">
        <f t="shared" si="765"/>
        <v>0</v>
      </c>
    </row>
    <row r="570" spans="4:46">
      <c r="D570" s="178" t="s">
        <v>796</v>
      </c>
      <c r="E570" s="204" t="s">
        <v>337</v>
      </c>
      <c r="F570" s="178"/>
      <c r="G570" s="178"/>
      <c r="H570" s="178"/>
      <c r="I570" s="178"/>
      <c r="J570" s="178"/>
      <c r="K570" s="178"/>
      <c r="L570" s="178"/>
      <c r="M570" s="178"/>
      <c r="N570" s="178"/>
      <c r="O570" s="178"/>
      <c r="P570" s="178"/>
      <c r="Q570" s="178"/>
      <c r="R570" s="178"/>
      <c r="S570" s="178"/>
      <c r="T570" s="178"/>
      <c r="U570" s="178"/>
      <c r="V570" s="215"/>
      <c r="W570" s="176"/>
      <c r="X570" s="176"/>
      <c r="Y570" s="176"/>
      <c r="Z570" s="176"/>
      <c r="AA570" s="229">
        <v>5.3</v>
      </c>
      <c r="AB570" s="229">
        <v>6</v>
      </c>
      <c r="AC570" s="229">
        <v>6.9</v>
      </c>
      <c r="AD570" s="229">
        <f t="shared" ref="AD570:AM570" si="766">+AC326</f>
        <v>6.9</v>
      </c>
      <c r="AE570" s="229">
        <f t="shared" si="766"/>
        <v>6.9</v>
      </c>
      <c r="AF570" s="229">
        <f t="shared" si="766"/>
        <v>6.9</v>
      </c>
      <c r="AG570" s="229">
        <f t="shared" si="766"/>
        <v>6.9</v>
      </c>
      <c r="AH570" s="229">
        <f t="shared" si="766"/>
        <v>6.9</v>
      </c>
      <c r="AI570" s="229">
        <f t="shared" si="766"/>
        <v>6.9</v>
      </c>
      <c r="AJ570" s="229">
        <f t="shared" si="766"/>
        <v>6.9</v>
      </c>
      <c r="AK570" s="229">
        <f t="shared" si="766"/>
        <v>0</v>
      </c>
      <c r="AL570" s="229">
        <f t="shared" si="766"/>
        <v>0</v>
      </c>
      <c r="AM570" s="229">
        <f t="shared" si="766"/>
        <v>0</v>
      </c>
      <c r="AN570" s="229">
        <f t="shared" ref="AN570" si="767">+AM326</f>
        <v>0</v>
      </c>
      <c r="AO570" s="229">
        <f t="shared" ref="AO570" si="768">+AN326</f>
        <v>0</v>
      </c>
      <c r="AP570" s="229">
        <f t="shared" ref="AP570" si="769">+AO326</f>
        <v>0</v>
      </c>
      <c r="AQ570" s="229">
        <f t="shared" ref="AQ570" si="770">+AP326</f>
        <v>0</v>
      </c>
      <c r="AR570" s="229">
        <f t="shared" ref="AR570" si="771">+AQ326</f>
        <v>0</v>
      </c>
      <c r="AS570" s="229">
        <f t="shared" ref="AS570" si="772">+AR326</f>
        <v>0</v>
      </c>
      <c r="AT570" s="229">
        <f t="shared" ref="AT570" si="773">+AS326</f>
        <v>0</v>
      </c>
    </row>
    <row r="571" spans="4:46">
      <c r="D571" s="178" t="s">
        <v>801</v>
      </c>
      <c r="E571" s="204"/>
      <c r="F571" s="178"/>
      <c r="G571" s="178"/>
      <c r="H571" s="178"/>
      <c r="I571" s="178"/>
      <c r="J571" s="178"/>
      <c r="K571" s="178"/>
      <c r="L571" s="178"/>
      <c r="M571" s="178"/>
      <c r="N571" s="178"/>
      <c r="O571" s="178"/>
      <c r="P571" s="178"/>
      <c r="Q571" s="178"/>
      <c r="R571" s="178"/>
      <c r="S571" s="178"/>
      <c r="T571" s="178"/>
      <c r="U571" s="178"/>
      <c r="V571" s="215"/>
      <c r="W571" s="176"/>
      <c r="X571" s="176"/>
      <c r="Y571" s="176"/>
      <c r="Z571" s="176"/>
      <c r="AA571" s="229">
        <f>+(AA$313+AA$315+AA$317)*(AA324-Z324)/1000</f>
        <v>20.897460074517294</v>
      </c>
      <c r="AB571" s="229"/>
      <c r="AC571" s="229"/>
      <c r="AD571" s="229"/>
      <c r="AE571" s="229"/>
      <c r="AF571" s="176"/>
      <c r="AG571" s="176"/>
      <c r="AH571" s="176"/>
      <c r="AI571" s="176"/>
      <c r="AJ571" s="176"/>
      <c r="AK571" s="176"/>
      <c r="AL571" s="176"/>
      <c r="AM571" s="176"/>
      <c r="AN571" s="176"/>
      <c r="AO571" s="176"/>
      <c r="AP571" s="176"/>
      <c r="AQ571" s="176"/>
      <c r="AR571" s="176"/>
      <c r="AS571" s="176"/>
      <c r="AT571" s="176"/>
    </row>
    <row r="572" spans="4:46">
      <c r="D572" s="624" t="s">
        <v>1139</v>
      </c>
      <c r="E572" s="235"/>
      <c r="F572" s="178"/>
      <c r="G572" s="178"/>
      <c r="H572" s="178"/>
      <c r="I572" s="178"/>
      <c r="J572" s="178"/>
      <c r="K572" s="178"/>
      <c r="L572" s="178"/>
      <c r="M572" s="178"/>
      <c r="N572" s="178"/>
      <c r="O572" s="178"/>
      <c r="P572" s="178"/>
      <c r="Q572" s="178"/>
      <c r="R572" s="178"/>
      <c r="S572" s="178"/>
      <c r="T572" s="178"/>
      <c r="U572" s="178"/>
      <c r="V572" s="215"/>
      <c r="W572" s="176"/>
      <c r="X572" s="176"/>
      <c r="Y572" s="176"/>
      <c r="Z572" s="176"/>
      <c r="AA572" s="626">
        <f t="shared" ref="AA572:AK572" si="774">+(AA321*AA313+AA321*AA315+AA321*AA317)/1000</f>
        <v>33.123943016806379</v>
      </c>
      <c r="AB572" s="626">
        <f t="shared" si="774"/>
        <v>18.569344561209466</v>
      </c>
      <c r="AC572" s="626">
        <f t="shared" si="774"/>
        <v>27.799004283690657</v>
      </c>
      <c r="AD572" s="626">
        <f t="shared" si="774"/>
        <v>29.447300871354884</v>
      </c>
      <c r="AE572" s="626">
        <f t="shared" si="774"/>
        <v>27.435332840507776</v>
      </c>
      <c r="AF572" s="626">
        <f t="shared" si="774"/>
        <v>25.206753806261389</v>
      </c>
      <c r="AG572" s="626">
        <f t="shared" si="774"/>
        <v>28.438747682010931</v>
      </c>
      <c r="AH572" s="626">
        <f t="shared" si="774"/>
        <v>30.398627767487149</v>
      </c>
      <c r="AI572" s="626">
        <f t="shared" si="774"/>
        <v>31.593719321907159</v>
      </c>
      <c r="AJ572" s="626">
        <f t="shared" si="774"/>
        <v>0</v>
      </c>
      <c r="AK572" s="626">
        <f t="shared" si="774"/>
        <v>0</v>
      </c>
      <c r="AL572" s="626">
        <f>+(AL321*AL313+AL321*AL315+AL321*AL317)/1000</f>
        <v>0</v>
      </c>
      <c r="AM572" s="626">
        <f>+(AM321*AM313+AM321*AM315+AM321*AM317)/1000</f>
        <v>0</v>
      </c>
      <c r="AN572" s="626">
        <f t="shared" ref="AN572:AO572" si="775">+(AN321*AN313+AN321*AN315+AN321*AN317)/1000</f>
        <v>0</v>
      </c>
      <c r="AO572" s="626">
        <f t="shared" si="775"/>
        <v>0</v>
      </c>
      <c r="AP572" s="626">
        <f t="shared" ref="AP572:AT572" si="776">+(AP321*AP313+AP321*AP315+AP321*AP317)/1000</f>
        <v>0</v>
      </c>
      <c r="AQ572" s="626">
        <f t="shared" si="776"/>
        <v>0</v>
      </c>
      <c r="AR572" s="626">
        <f t="shared" si="776"/>
        <v>0</v>
      </c>
      <c r="AS572" s="626">
        <f t="shared" si="776"/>
        <v>0</v>
      </c>
      <c r="AT572" s="626">
        <f t="shared" si="776"/>
        <v>0</v>
      </c>
    </row>
    <row r="573" spans="4:46">
      <c r="D573" s="175" t="s">
        <v>798</v>
      </c>
      <c r="E573" s="191"/>
      <c r="F573" s="175"/>
      <c r="G573" s="175"/>
      <c r="H573" s="175"/>
      <c r="I573" s="175"/>
      <c r="J573" s="175"/>
      <c r="K573" s="175"/>
      <c r="L573" s="175"/>
      <c r="M573" s="175"/>
      <c r="N573" s="175"/>
      <c r="O573" s="175"/>
      <c r="P573" s="175"/>
      <c r="Q573" s="175"/>
      <c r="R573" s="175"/>
      <c r="S573" s="175"/>
      <c r="T573" s="175"/>
      <c r="U573" s="175"/>
      <c r="V573" s="179"/>
      <c r="W573" s="179"/>
      <c r="X573" s="179"/>
      <c r="Y573" s="179"/>
      <c r="Z573" s="179"/>
      <c r="AA573" s="214">
        <f t="shared" ref="AA573:AK573" si="777">+(AA318+AA322+AA325)/AA284</f>
        <v>3.8212130766765481E-2</v>
      </c>
      <c r="AB573" s="214">
        <f t="shared" si="777"/>
        <v>2.066694258495733E-2</v>
      </c>
      <c r="AC573" s="214">
        <f t="shared" si="777"/>
        <v>2.6718153267606504E-2</v>
      </c>
      <c r="AD573" s="214">
        <f t="shared" si="777"/>
        <v>2.6219923131161161E-2</v>
      </c>
      <c r="AE573" s="214">
        <f t="shared" si="777"/>
        <v>2.3525034320028473E-2</v>
      </c>
      <c r="AF573" s="956">
        <f t="shared" si="777"/>
        <v>2.0617202960961863E-2</v>
      </c>
      <c r="AG573" s="956">
        <f t="shared" si="777"/>
        <v>2.0168405533702524E-2</v>
      </c>
      <c r="AH573" s="956">
        <f t="shared" si="777"/>
        <v>1.6742034882316348E-2</v>
      </c>
      <c r="AI573" s="956">
        <f t="shared" si="777"/>
        <v>1.5004098034707401E-2</v>
      </c>
      <c r="AJ573" s="956" t="e">
        <f t="shared" si="777"/>
        <v>#DIV/0!</v>
      </c>
      <c r="AK573" s="956">
        <f t="shared" si="777"/>
        <v>3.4482373179934135E-3</v>
      </c>
      <c r="AL573" s="956">
        <f>+(AL318+AL322+AL325)/AL284</f>
        <v>3.1635942450075234E-3</v>
      </c>
      <c r="AM573" s="956">
        <f>+(AM318+AM322+AM325)/AM284</f>
        <v>2.9156684848192531E-3</v>
      </c>
      <c r="AN573" s="956">
        <v>1.1061786655228129E-2</v>
      </c>
      <c r="AO573" s="956">
        <v>1.1061786655228129E-2</v>
      </c>
      <c r="AP573" s="956">
        <v>1.0110617866552301</v>
      </c>
      <c r="AQ573" s="956">
        <v>2.0110617866552301</v>
      </c>
      <c r="AR573" s="956">
        <v>3.0110617866552301</v>
      </c>
      <c r="AS573" s="956">
        <v>4.0110617866552296</v>
      </c>
      <c r="AT573" s="956">
        <v>5.0110617866552296</v>
      </c>
    </row>
    <row r="574" spans="4:46">
      <c r="D574" s="175"/>
      <c r="E574" s="191"/>
      <c r="F574" s="175"/>
      <c r="G574" s="175"/>
      <c r="H574" s="175"/>
      <c r="I574" s="175"/>
      <c r="J574" s="175"/>
      <c r="K574" s="175"/>
      <c r="L574" s="175"/>
      <c r="M574" s="175"/>
      <c r="N574" s="175"/>
      <c r="O574" s="175"/>
      <c r="P574" s="175"/>
      <c r="Q574" s="175"/>
      <c r="R574" s="175"/>
      <c r="S574" s="175"/>
      <c r="T574" s="175"/>
      <c r="U574" s="175"/>
      <c r="V574" s="179"/>
      <c r="W574" s="179"/>
      <c r="X574" s="179"/>
      <c r="Y574" s="179"/>
      <c r="Z574" s="179"/>
      <c r="AA574" s="179"/>
      <c r="AB574" s="627"/>
      <c r="AC574" s="627"/>
      <c r="AD574" s="216"/>
      <c r="AE574" s="216"/>
      <c r="AF574" s="179"/>
      <c r="AG574" s="179"/>
      <c r="AH574" s="179"/>
      <c r="AI574" s="179"/>
      <c r="AJ574" s="179"/>
      <c r="AK574" s="179"/>
      <c r="AL574" s="179"/>
      <c r="AM574" s="179"/>
      <c r="AN574" s="179"/>
      <c r="AO574" s="179"/>
      <c r="AP574" s="179"/>
      <c r="AQ574" s="179"/>
      <c r="AR574" s="179"/>
      <c r="AS574" s="179"/>
      <c r="AT574" s="179"/>
    </row>
    <row r="575" spans="4:46">
      <c r="D575" s="190" t="str">
        <f>+D394</f>
        <v xml:space="preserve">Net issuance of securities to nonbanks </v>
      </c>
      <c r="E575" s="198" t="s">
        <v>303</v>
      </c>
      <c r="F575" s="175"/>
      <c r="G575" s="175"/>
      <c r="H575" s="175"/>
      <c r="I575" s="175"/>
      <c r="J575" s="175"/>
      <c r="K575" s="175"/>
      <c r="L575" s="175"/>
      <c r="M575" s="175"/>
      <c r="N575" s="175"/>
      <c r="O575" s="175"/>
      <c r="P575" s="175"/>
      <c r="Q575" s="175"/>
      <c r="R575" s="175"/>
      <c r="S575" s="175"/>
      <c r="T575" s="175"/>
      <c r="U575" s="175"/>
      <c r="V575" s="179">
        <f>+V276</f>
        <v>9.9145082538590973E-2</v>
      </c>
      <c r="W575" s="179">
        <f>+W276</f>
        <v>8.5040272137804421E-2</v>
      </c>
      <c r="X575" s="179">
        <f>+X276</f>
        <v>0.10437120244062663</v>
      </c>
      <c r="Y575" s="179">
        <f>+Y276</f>
        <v>0.11775172361485951</v>
      </c>
      <c r="Z575" s="180">
        <f t="shared" ref="Z575:AG575" si="778">+(Z682+Z686)/Z335</f>
        <v>4.0096727686188757E-2</v>
      </c>
      <c r="AA575" s="180">
        <f t="shared" si="778"/>
        <v>6.2643545759127658E-2</v>
      </c>
      <c r="AB575" s="180">
        <f t="shared" si="778"/>
        <v>0.14143737771629417</v>
      </c>
      <c r="AC575" s="180">
        <f t="shared" si="778"/>
        <v>0.15671226847814301</v>
      </c>
      <c r="AD575" s="180">
        <f t="shared" si="778"/>
        <v>0.14752757270805375</v>
      </c>
      <c r="AE575" s="180">
        <f t="shared" si="778"/>
        <v>0.12478754631181714</v>
      </c>
      <c r="AF575" s="180">
        <f t="shared" si="778"/>
        <v>0.10958425657874588</v>
      </c>
      <c r="AG575" s="180">
        <f t="shared" si="778"/>
        <v>0.7230073581931582</v>
      </c>
      <c r="AH575" s="216">
        <f t="shared" ref="AH575:AM575" si="779">+AG331*AH332</f>
        <v>0.82422838834020018</v>
      </c>
      <c r="AI575" s="216">
        <f t="shared" si="779"/>
        <v>0.83659181416530315</v>
      </c>
      <c r="AJ575" s="216">
        <f t="shared" si="779"/>
        <v>0</v>
      </c>
      <c r="AK575" s="216">
        <f t="shared" si="779"/>
        <v>0</v>
      </c>
      <c r="AL575" s="216">
        <f t="shared" si="779"/>
        <v>0</v>
      </c>
      <c r="AM575" s="216">
        <f t="shared" si="779"/>
        <v>0</v>
      </c>
      <c r="AN575" s="216">
        <f t="shared" ref="AN575" si="780">+AM331*AN332</f>
        <v>0</v>
      </c>
      <c r="AO575" s="216">
        <f t="shared" ref="AO575" si="781">+AN331*AO332</f>
        <v>0</v>
      </c>
      <c r="AP575" s="216">
        <f t="shared" ref="AP575" si="782">+AO331*AP332</f>
        <v>0</v>
      </c>
      <c r="AQ575" s="216">
        <f t="shared" ref="AQ575" si="783">+AP331*AQ332</f>
        <v>0</v>
      </c>
      <c r="AR575" s="216">
        <f t="shared" ref="AR575" si="784">+AQ331*AR332</f>
        <v>0</v>
      </c>
      <c r="AS575" s="216">
        <f t="shared" ref="AS575" si="785">+AR331*AS332</f>
        <v>0</v>
      </c>
      <c r="AT575" s="216">
        <f t="shared" ref="AT575" si="786">+AS331*AT332</f>
        <v>0</v>
      </c>
    </row>
    <row r="576" spans="4:46">
      <c r="D576" s="178" t="s">
        <v>305</v>
      </c>
      <c r="E576" s="198"/>
      <c r="F576" s="175"/>
      <c r="G576" s="175"/>
      <c r="H576" s="175"/>
      <c r="I576" s="175"/>
      <c r="J576" s="175"/>
      <c r="K576" s="175"/>
      <c r="L576" s="175"/>
      <c r="M576" s="175"/>
      <c r="N576" s="175"/>
      <c r="O576" s="175"/>
      <c r="P576" s="175"/>
      <c r="Q576" s="175"/>
      <c r="R576" s="175"/>
      <c r="S576" s="175"/>
      <c r="T576" s="175"/>
      <c r="U576" s="175"/>
      <c r="V576" s="179"/>
      <c r="W576" s="179"/>
      <c r="X576" s="179"/>
      <c r="Y576" s="179"/>
      <c r="Z576" s="180"/>
      <c r="AA576" s="192">
        <f t="shared" ref="AA576:AG576" si="787">+AA331/Z331</f>
        <v>1.5623106765569079</v>
      </c>
      <c r="AB576" s="192">
        <f t="shared" si="787"/>
        <v>2.25781245302012</v>
      </c>
      <c r="AC576" s="192">
        <f t="shared" si="787"/>
        <v>1.0780000000000001</v>
      </c>
      <c r="AD576" s="192">
        <f t="shared" si="787"/>
        <v>0.78600000000000003</v>
      </c>
      <c r="AE576" s="192">
        <f t="shared" si="787"/>
        <v>1.0029999999999999</v>
      </c>
      <c r="AF576" s="192">
        <f t="shared" si="787"/>
        <v>2.0030000000000001</v>
      </c>
      <c r="AG576" s="192">
        <f t="shared" si="787"/>
        <v>3.0030000000000001</v>
      </c>
      <c r="AH576" s="1049">
        <v>1.1399999999999999</v>
      </c>
      <c r="AI576" s="1049">
        <v>1.0149999999999999</v>
      </c>
      <c r="AJ576" s="1049">
        <v>0.95</v>
      </c>
      <c r="AK576" s="1049">
        <f>AJ332</f>
        <v>0</v>
      </c>
      <c r="AL576" s="1049">
        <f>AK332</f>
        <v>0</v>
      </c>
      <c r="AM576" s="1049">
        <f>AL332</f>
        <v>0</v>
      </c>
      <c r="AN576" s="1049">
        <f t="shared" ref="AN576:AO576" si="788">AM332</f>
        <v>0</v>
      </c>
      <c r="AO576" s="1049">
        <f t="shared" si="788"/>
        <v>0</v>
      </c>
      <c r="AP576" s="1049">
        <f t="shared" ref="AP576" si="789">AO332</f>
        <v>0</v>
      </c>
      <c r="AQ576" s="1049">
        <f t="shared" ref="AQ576" si="790">AP332</f>
        <v>0</v>
      </c>
      <c r="AR576" s="1049">
        <f t="shared" ref="AR576" si="791">AQ332</f>
        <v>0</v>
      </c>
      <c r="AS576" s="1049">
        <f t="shared" ref="AS576" si="792">AR332</f>
        <v>0</v>
      </c>
      <c r="AT576" s="1049">
        <f t="shared" ref="AT576" si="793">AS332</f>
        <v>0</v>
      </c>
    </row>
    <row r="577" spans="4:46">
      <c r="D577" s="175" t="s">
        <v>789</v>
      </c>
      <c r="E577" s="191" t="s">
        <v>225</v>
      </c>
      <c r="F577" s="175"/>
      <c r="G577" s="175"/>
      <c r="H577" s="175"/>
      <c r="I577" s="175"/>
      <c r="J577" s="175"/>
      <c r="K577" s="175"/>
      <c r="L577" s="175"/>
      <c r="M577" s="175"/>
      <c r="N577" s="175"/>
      <c r="O577" s="175"/>
      <c r="P577" s="175"/>
      <c r="Q577" s="175"/>
      <c r="R577" s="175"/>
      <c r="S577" s="175"/>
      <c r="T577" s="175"/>
      <c r="U577" s="175"/>
      <c r="V577" s="179">
        <f t="shared" ref="V577:AM577" si="794">+(V686+V682)/V$284</f>
        <v>2.340823300083095E-2</v>
      </c>
      <c r="W577" s="179">
        <f t="shared" si="794"/>
        <v>2.5926868535389835E-2</v>
      </c>
      <c r="X577" s="179">
        <f t="shared" si="794"/>
        <v>2.6620523209718819E-2</v>
      </c>
      <c r="Y577" s="179">
        <f t="shared" si="794"/>
        <v>2.7435191925576162E-2</v>
      </c>
      <c r="Z577" s="179">
        <f t="shared" si="794"/>
        <v>2.797386342125107E-2</v>
      </c>
      <c r="AA577" s="214">
        <f t="shared" si="794"/>
        <v>2.9448977084866972E-2</v>
      </c>
      <c r="AB577" s="214">
        <f t="shared" si="794"/>
        <v>2.975879625114736E-2</v>
      </c>
      <c r="AC577" s="214">
        <f t="shared" si="794"/>
        <v>3.0017993841905875E-2</v>
      </c>
      <c r="AD577" s="214">
        <f t="shared" si="794"/>
        <v>3.0118896865912508E-2</v>
      </c>
      <c r="AE577" s="214">
        <f t="shared" si="794"/>
        <v>2.6534915872084952E-2</v>
      </c>
      <c r="AF577" s="956">
        <f t="shared" si="794"/>
        <v>2.4271884743823191E-2</v>
      </c>
      <c r="AG577" s="179">
        <f t="shared" si="794"/>
        <v>0.16241274056612415</v>
      </c>
      <c r="AH577" s="956">
        <f t="shared" si="794"/>
        <v>0.17560497215532442</v>
      </c>
      <c r="AI577" s="956">
        <f t="shared" si="794"/>
        <v>0.19373690104581887</v>
      </c>
      <c r="AJ577" s="179" t="e">
        <f t="shared" si="794"/>
        <v>#DIV/0!</v>
      </c>
      <c r="AK577" s="179">
        <f t="shared" si="794"/>
        <v>0</v>
      </c>
      <c r="AL577" s="179">
        <f t="shared" si="794"/>
        <v>0</v>
      </c>
      <c r="AM577" s="179">
        <f t="shared" si="794"/>
        <v>0</v>
      </c>
      <c r="AN577" s="179">
        <v>0.15258534838170604</v>
      </c>
      <c r="AO577" s="179">
        <v>0.15258534838170604</v>
      </c>
      <c r="AP577" s="179">
        <v>1.1525853483817099</v>
      </c>
      <c r="AQ577" s="179">
        <v>2.1525853483817099</v>
      </c>
      <c r="AR577" s="179">
        <v>3.1525853483817099</v>
      </c>
      <c r="AS577" s="179">
        <v>4.1525853483817103</v>
      </c>
      <c r="AT577" s="179">
        <v>5.1525853483817103</v>
      </c>
    </row>
    <row r="578" spans="4:46">
      <c r="D578" s="175" t="s">
        <v>257</v>
      </c>
      <c r="E578" s="204" t="s">
        <v>284</v>
      </c>
      <c r="F578" s="175"/>
      <c r="G578" s="175"/>
      <c r="H578" s="175"/>
      <c r="I578" s="175"/>
      <c r="J578" s="175"/>
      <c r="K578" s="175"/>
      <c r="L578" s="175"/>
      <c r="M578" s="175"/>
      <c r="N578" s="175"/>
      <c r="O578" s="175"/>
      <c r="P578" s="175"/>
      <c r="Q578" s="175"/>
      <c r="R578" s="175"/>
      <c r="S578" s="175"/>
      <c r="T578" s="175"/>
      <c r="U578" s="175"/>
      <c r="V578" s="215">
        <f t="shared" ref="V578:AA578" si="795">+V682/(V682+V686)</f>
        <v>0.58111757837415745</v>
      </c>
      <c r="W578" s="215">
        <f t="shared" si="795"/>
        <v>0.59991769380967241</v>
      </c>
      <c r="X578" s="215">
        <f t="shared" si="795"/>
        <v>0.58039920613104778</v>
      </c>
      <c r="Y578" s="215">
        <f t="shared" si="795"/>
        <v>0.61846598668639663</v>
      </c>
      <c r="Z578" s="215">
        <f t="shared" si="795"/>
        <v>0.61123704856811145</v>
      </c>
      <c r="AA578" s="215">
        <f t="shared" si="795"/>
        <v>0.56531527673074311</v>
      </c>
      <c r="AB578" s="217">
        <f t="shared" ref="AB578:AM578" si="796">+AA334</f>
        <v>0.56531527673074311</v>
      </c>
      <c r="AC578" s="218">
        <f t="shared" si="796"/>
        <v>0.56531527673074311</v>
      </c>
      <c r="AD578" s="218">
        <f t="shared" si="796"/>
        <v>0.56531527673074311</v>
      </c>
      <c r="AE578" s="218">
        <f t="shared" si="796"/>
        <v>0.56531527673074311</v>
      </c>
      <c r="AF578" s="218">
        <f t="shared" si="796"/>
        <v>0.56531527673074311</v>
      </c>
      <c r="AG578" s="218">
        <f t="shared" si="796"/>
        <v>0.56531527673074311</v>
      </c>
      <c r="AH578" s="218">
        <f t="shared" si="796"/>
        <v>0.56531527673074311</v>
      </c>
      <c r="AI578" s="218">
        <f t="shared" si="796"/>
        <v>0.56531527673074311</v>
      </c>
      <c r="AJ578" s="218">
        <f t="shared" si="796"/>
        <v>0.56531527673074311</v>
      </c>
      <c r="AK578" s="218">
        <f t="shared" si="796"/>
        <v>0</v>
      </c>
      <c r="AL578" s="218">
        <f t="shared" si="796"/>
        <v>0</v>
      </c>
      <c r="AM578" s="218">
        <f t="shared" si="796"/>
        <v>0</v>
      </c>
      <c r="AN578" s="218">
        <f t="shared" ref="AN578" si="797">+AM334</f>
        <v>0</v>
      </c>
      <c r="AO578" s="218">
        <f t="shared" ref="AO578" si="798">+AN334</f>
        <v>0</v>
      </c>
      <c r="AP578" s="218">
        <f t="shared" ref="AP578" si="799">+AO334</f>
        <v>0</v>
      </c>
      <c r="AQ578" s="218">
        <f t="shared" ref="AQ578" si="800">+AP334</f>
        <v>0</v>
      </c>
      <c r="AR578" s="218">
        <f t="shared" ref="AR578" si="801">+AQ334</f>
        <v>0</v>
      </c>
      <c r="AS578" s="218">
        <f t="shared" ref="AS578" si="802">+AR334</f>
        <v>0</v>
      </c>
      <c r="AT578" s="218">
        <f t="shared" ref="AT578" si="803">+AS334</f>
        <v>0</v>
      </c>
    </row>
    <row r="579" spans="4:46">
      <c r="D579" s="175" t="s">
        <v>252</v>
      </c>
      <c r="E579" s="191"/>
      <c r="F579" s="175"/>
      <c r="G579" s="175"/>
      <c r="H579" s="175"/>
      <c r="I579" s="175"/>
      <c r="J579" s="175"/>
      <c r="K579" s="175"/>
      <c r="L579" s="175"/>
      <c r="M579" s="175"/>
      <c r="N579" s="175"/>
      <c r="O579" s="175"/>
      <c r="P579" s="175"/>
      <c r="Q579" s="175"/>
      <c r="R579" s="175"/>
      <c r="S579" s="175"/>
      <c r="T579" s="175"/>
      <c r="U579" s="175"/>
      <c r="V579" s="215"/>
      <c r="W579" s="176">
        <f t="shared" ref="W579:AM579" si="804">+(V238-V241+W238-W241)*W253/1000/2</f>
        <v>2921.1919395094892</v>
      </c>
      <c r="X579" s="176">
        <f t="shared" si="804"/>
        <v>3220.625667180856</v>
      </c>
      <c r="Y579" s="176">
        <f t="shared" si="804"/>
        <v>3623.7429839366423</v>
      </c>
      <c r="Z579" s="176">
        <f t="shared" si="804"/>
        <v>4070.8432453759415</v>
      </c>
      <c r="AA579" s="176">
        <f t="shared" si="804"/>
        <v>3080.5910568849736</v>
      </c>
      <c r="AB579" s="176">
        <f t="shared" si="804"/>
        <v>1522.0526253860223</v>
      </c>
      <c r="AC579" s="176">
        <f t="shared" si="804"/>
        <v>1535.4524631252966</v>
      </c>
      <c r="AD579" s="176">
        <f t="shared" si="804"/>
        <v>1779.8472384321335</v>
      </c>
      <c r="AE579" s="176">
        <f t="shared" si="804"/>
        <v>1995.8459616879588</v>
      </c>
      <c r="AF579" s="176">
        <f t="shared" si="804"/>
        <v>2274.9301403953646</v>
      </c>
      <c r="AG579" s="176">
        <f t="shared" si="804"/>
        <v>2695.1704422235816</v>
      </c>
      <c r="AH579" s="176">
        <f t="shared" si="804"/>
        <v>3257.8053209673722</v>
      </c>
      <c r="AI579" s="176">
        <f t="shared" si="804"/>
        <v>4109.8283830216633</v>
      </c>
      <c r="AJ579" s="176">
        <f t="shared" si="804"/>
        <v>4652.0665500458745</v>
      </c>
      <c r="AK579" s="176">
        <f t="shared" si="804"/>
        <v>5127.009569188911</v>
      </c>
      <c r="AL579" s="176">
        <f t="shared" si="804"/>
        <v>5722.960272343882</v>
      </c>
      <c r="AM579" s="176">
        <f t="shared" si="804"/>
        <v>6438.3510541481046</v>
      </c>
      <c r="AN579" s="176">
        <f>+(AM238-AM241+AN238-AN241)*AW254/1000/2</f>
        <v>0</v>
      </c>
      <c r="AO579" s="176">
        <f>+(AN238-AN241+AO238-AO241)*AX254/1000/2</f>
        <v>0</v>
      </c>
      <c r="AP579" s="176">
        <f t="shared" ref="AP579:AT579" si="805">+(AO238-AO241+AP238-AP241)*AY254/1000/2</f>
        <v>0</v>
      </c>
      <c r="AQ579" s="176">
        <f t="shared" si="805"/>
        <v>0</v>
      </c>
      <c r="AR579" s="176">
        <f t="shared" si="805"/>
        <v>0</v>
      </c>
      <c r="AS579" s="176">
        <f t="shared" si="805"/>
        <v>0</v>
      </c>
      <c r="AT579" s="176">
        <f t="shared" si="805"/>
        <v>0</v>
      </c>
    </row>
    <row r="580" spans="4:46">
      <c r="D580" s="178" t="s">
        <v>809</v>
      </c>
      <c r="E580" s="204" t="s">
        <v>339</v>
      </c>
      <c r="F580" s="178"/>
      <c r="G580" s="178"/>
      <c r="H580" s="178"/>
      <c r="I580" s="178"/>
      <c r="J580" s="178"/>
      <c r="K580" s="178"/>
      <c r="L580" s="178"/>
      <c r="M580" s="178"/>
      <c r="N580" s="178"/>
      <c r="O580" s="178"/>
      <c r="P580" s="178"/>
      <c r="Q580" s="178"/>
      <c r="R580" s="178"/>
      <c r="S580" s="178"/>
      <c r="T580" s="178"/>
      <c r="U580" s="178"/>
      <c r="V580" s="215"/>
      <c r="W580" s="176"/>
      <c r="X580" s="176"/>
      <c r="Y580" s="176"/>
      <c r="Z580" s="176"/>
      <c r="AA580" s="229">
        <v>9.1</v>
      </c>
      <c r="AB580" s="600">
        <v>10.7</v>
      </c>
      <c r="AC580" s="229">
        <v>11.3</v>
      </c>
      <c r="AD580" s="600">
        <f>10.7</f>
        <v>10.7</v>
      </c>
      <c r="AE580" s="229">
        <f t="shared" ref="AE580:AM580" si="806">+AD336</f>
        <v>10.7</v>
      </c>
      <c r="AF580" s="231">
        <f t="shared" si="806"/>
        <v>10.7</v>
      </c>
      <c r="AG580" s="231">
        <f t="shared" si="806"/>
        <v>10.7</v>
      </c>
      <c r="AH580" s="231">
        <f t="shared" si="806"/>
        <v>10.7</v>
      </c>
      <c r="AI580" s="231">
        <f t="shared" si="806"/>
        <v>10.7</v>
      </c>
      <c r="AJ580" s="231">
        <f t="shared" si="806"/>
        <v>10.7</v>
      </c>
      <c r="AK580" s="231">
        <f t="shared" si="806"/>
        <v>0</v>
      </c>
      <c r="AL580" s="231">
        <f t="shared" si="806"/>
        <v>0</v>
      </c>
      <c r="AM580" s="231">
        <f t="shared" si="806"/>
        <v>0</v>
      </c>
      <c r="AN580" s="231">
        <f t="shared" ref="AN580" si="807">+AM336</f>
        <v>0</v>
      </c>
      <c r="AO580" s="231">
        <f t="shared" ref="AO580" si="808">+AN336</f>
        <v>0</v>
      </c>
      <c r="AP580" s="231">
        <f t="shared" ref="AP580" si="809">+AO336</f>
        <v>0</v>
      </c>
      <c r="AQ580" s="231">
        <f t="shared" ref="AQ580" si="810">+AP336</f>
        <v>0</v>
      </c>
      <c r="AR580" s="231">
        <f t="shared" ref="AR580" si="811">+AQ336</f>
        <v>0</v>
      </c>
      <c r="AS580" s="231">
        <f t="shared" ref="AS580" si="812">+AR336</f>
        <v>0</v>
      </c>
      <c r="AT580" s="231">
        <f t="shared" ref="AT580" si="813">+AS336</f>
        <v>0</v>
      </c>
    </row>
    <row r="581" spans="4:46">
      <c r="D581" s="178" t="s">
        <v>289</v>
      </c>
      <c r="E581" s="267" t="s">
        <v>338</v>
      </c>
      <c r="F581" s="178"/>
      <c r="G581" s="178"/>
      <c r="H581" s="178"/>
      <c r="I581" s="178"/>
      <c r="J581" s="178"/>
      <c r="K581" s="178"/>
      <c r="L581" s="178"/>
      <c r="M581" s="178"/>
      <c r="N581" s="178"/>
      <c r="O581" s="178"/>
      <c r="P581" s="178"/>
      <c r="Q581" s="178"/>
      <c r="R581" s="178"/>
      <c r="S581" s="178"/>
      <c r="T581" s="178"/>
      <c r="U581" s="178"/>
      <c r="V581" s="215"/>
      <c r="W581" s="176"/>
      <c r="X581" s="176"/>
      <c r="Y581" s="176"/>
      <c r="Z581" s="176"/>
      <c r="AA581" s="176">
        <v>5</v>
      </c>
      <c r="AB581" s="219">
        <v>5.7</v>
      </c>
      <c r="AC581" s="176">
        <v>6.5</v>
      </c>
      <c r="AD581" s="176"/>
      <c r="AE581" s="176"/>
      <c r="AF581" s="176"/>
      <c r="AG581" s="176"/>
      <c r="AH581" s="176"/>
      <c r="AI581" s="176"/>
      <c r="AJ581" s="176"/>
      <c r="AK581" s="176"/>
      <c r="AL581" s="176"/>
      <c r="AM581" s="176"/>
      <c r="AN581" s="176"/>
      <c r="AO581" s="176"/>
      <c r="AP581" s="176"/>
      <c r="AQ581" s="176"/>
      <c r="AR581" s="176"/>
      <c r="AS581" s="176"/>
      <c r="AT581" s="176"/>
    </row>
    <row r="582" spans="4:46">
      <c r="D582" s="190" t="s">
        <v>226</v>
      </c>
      <c r="E582" s="191" t="s">
        <v>225</v>
      </c>
      <c r="F582" s="175"/>
      <c r="G582" s="175"/>
      <c r="H582" s="175"/>
      <c r="I582" s="175"/>
      <c r="J582" s="175"/>
      <c r="K582" s="175"/>
      <c r="L582" s="175"/>
      <c r="M582" s="175"/>
      <c r="N582" s="175"/>
      <c r="O582" s="175"/>
      <c r="P582" s="175"/>
      <c r="Q582" s="175"/>
      <c r="R582" s="175"/>
      <c r="S582" s="175"/>
      <c r="T582" s="175"/>
      <c r="U582" s="175"/>
      <c r="V582" s="179">
        <f t="shared" ref="V582:AG582" si="814">+(V691-V692)/V284</f>
        <v>5.3551630072708389E-3</v>
      </c>
      <c r="W582" s="179">
        <f t="shared" si="814"/>
        <v>7.8418079096045212E-3</v>
      </c>
      <c r="X582" s="179">
        <f t="shared" si="814"/>
        <v>4.6047269763651181E-3</v>
      </c>
      <c r="Y582" s="179">
        <f t="shared" si="814"/>
        <v>3.6629552008619064E-3</v>
      </c>
      <c r="Z582" s="179">
        <f t="shared" si="814"/>
        <v>7.2322193658954561E-3</v>
      </c>
      <c r="AA582" s="179">
        <f t="shared" si="814"/>
        <v>6.8243187410179989E-3</v>
      </c>
      <c r="AB582" s="179">
        <f t="shared" si="814"/>
        <v>7.3178600931049533E-3</v>
      </c>
      <c r="AC582" s="179">
        <f t="shared" si="814"/>
        <v>7.3063088151813036E-3</v>
      </c>
      <c r="AD582" s="179">
        <f t="shared" si="814"/>
        <v>1.1514619593381513E-2</v>
      </c>
      <c r="AE582" s="179">
        <f t="shared" si="814"/>
        <v>7.7124735642963354E-3</v>
      </c>
      <c r="AF582" s="179">
        <f t="shared" si="814"/>
        <v>7.5378302657325763E-3</v>
      </c>
      <c r="AG582" s="179">
        <f t="shared" si="814"/>
        <v>1.5499069680228364E-2</v>
      </c>
      <c r="AH582" s="179">
        <f t="shared" ref="AH582:AM582" si="815">+AG338*AH339</f>
        <v>5.2811010559216297E-2</v>
      </c>
      <c r="AI582" s="179">
        <f t="shared" si="815"/>
        <v>7.3935414782902817E-2</v>
      </c>
      <c r="AJ582" s="179">
        <f t="shared" si="815"/>
        <v>0</v>
      </c>
      <c r="AK582" s="179">
        <f t="shared" si="815"/>
        <v>0</v>
      </c>
      <c r="AL582" s="179">
        <f t="shared" si="815"/>
        <v>0</v>
      </c>
      <c r="AM582" s="179">
        <f t="shared" si="815"/>
        <v>0</v>
      </c>
      <c r="AN582" s="179">
        <f t="shared" ref="AN582" si="816">+AM338*AN339</f>
        <v>0</v>
      </c>
      <c r="AO582" s="179">
        <f t="shared" ref="AO582" si="817">+AN338*AO339</f>
        <v>0</v>
      </c>
      <c r="AP582" s="179">
        <f t="shared" ref="AP582" si="818">+AO338*AP339</f>
        <v>0</v>
      </c>
      <c r="AQ582" s="179">
        <f t="shared" ref="AQ582" si="819">+AP338*AQ339</f>
        <v>0</v>
      </c>
      <c r="AR582" s="179">
        <f t="shared" ref="AR582" si="820">+AQ338*AR339</f>
        <v>0</v>
      </c>
      <c r="AS582" s="179">
        <f t="shared" ref="AS582" si="821">+AR338*AS339</f>
        <v>0</v>
      </c>
      <c r="AT582" s="179">
        <f t="shared" ref="AT582" si="822">+AS338*AT339</f>
        <v>0</v>
      </c>
    </row>
    <row r="583" spans="4:46">
      <c r="D583" s="178" t="s">
        <v>276</v>
      </c>
      <c r="E583" s="191"/>
      <c r="F583" s="175"/>
      <c r="G583" s="175"/>
      <c r="H583" s="175"/>
      <c r="I583" s="175"/>
      <c r="J583" s="175"/>
      <c r="K583" s="175"/>
      <c r="L583" s="175"/>
      <c r="M583" s="175"/>
      <c r="N583" s="175"/>
      <c r="O583" s="175"/>
      <c r="P583" s="175"/>
      <c r="Q583" s="175"/>
      <c r="R583" s="175"/>
      <c r="S583" s="175"/>
      <c r="T583" s="175"/>
      <c r="U583" s="175"/>
      <c r="V583" s="179"/>
      <c r="W583" s="179"/>
      <c r="X583" s="179"/>
      <c r="Y583" s="179"/>
      <c r="Z583" s="249">
        <f t="shared" ref="Z583:AE583" si="823">+Z338/Y338</f>
        <v>1.9744220088178226</v>
      </c>
      <c r="AA583" s="249">
        <f t="shared" si="823"/>
        <v>0.94359952260284452</v>
      </c>
      <c r="AB583" s="192">
        <f t="shared" si="823"/>
        <v>1.0723209701681273</v>
      </c>
      <c r="AC583" s="192">
        <f t="shared" si="823"/>
        <v>0.99842149511241218</v>
      </c>
      <c r="AD583" s="192">
        <f t="shared" si="823"/>
        <v>1.5759831516368477</v>
      </c>
      <c r="AE583" s="192">
        <f t="shared" si="823"/>
        <v>0.74</v>
      </c>
      <c r="AF583" s="192">
        <f t="shared" ref="AF583" si="824">+AF338/AE338</f>
        <v>1.74</v>
      </c>
      <c r="AG583" s="192">
        <f t="shared" ref="AG583" si="825">+AG338/AF338</f>
        <v>2.74</v>
      </c>
      <c r="AH583" s="1093">
        <v>1.3</v>
      </c>
      <c r="AI583" s="1093">
        <v>1.4</v>
      </c>
      <c r="AJ583" s="1093">
        <v>1.3</v>
      </c>
      <c r="AK583" s="1093">
        <v>1</v>
      </c>
      <c r="AL583" s="1093">
        <v>2</v>
      </c>
      <c r="AM583" s="1093">
        <v>3</v>
      </c>
      <c r="AN583" s="1093">
        <v>3</v>
      </c>
      <c r="AO583" s="1093">
        <v>3</v>
      </c>
      <c r="AP583" s="1093">
        <v>3</v>
      </c>
      <c r="AQ583" s="1093">
        <v>3</v>
      </c>
      <c r="AR583" s="1093">
        <v>3</v>
      </c>
      <c r="AS583" s="1093">
        <v>3</v>
      </c>
      <c r="AT583" s="1093">
        <v>3</v>
      </c>
    </row>
    <row r="584" spans="4:46">
      <c r="D584" s="178" t="s">
        <v>731</v>
      </c>
      <c r="E584" s="191" t="s">
        <v>732</v>
      </c>
      <c r="F584" s="175"/>
      <c r="G584" s="175"/>
      <c r="H584" s="175"/>
      <c r="I584" s="175"/>
      <c r="J584" s="175"/>
      <c r="K584" s="175"/>
      <c r="L584" s="175"/>
      <c r="M584" s="175"/>
      <c r="N584" s="175"/>
      <c r="O584" s="175"/>
      <c r="P584" s="175"/>
      <c r="Q584" s="175"/>
      <c r="R584" s="175"/>
      <c r="S584" s="175"/>
      <c r="T584" s="175"/>
      <c r="U584" s="175"/>
      <c r="V584" s="179"/>
      <c r="W584" s="179"/>
      <c r="X584" s="179"/>
      <c r="Y584" s="179"/>
      <c r="Z584" s="249"/>
      <c r="AA584" s="249">
        <v>29.4</v>
      </c>
      <c r="AB584" s="249">
        <v>34.200000000000003</v>
      </c>
      <c r="AC584" s="1139">
        <v>45.9</v>
      </c>
      <c r="AD584" s="1139">
        <v>50.6</v>
      </c>
      <c r="AE584" s="220">
        <f>+AD340*(1+AE285)</f>
        <v>54.477127781601283</v>
      </c>
      <c r="AF584" s="220">
        <f t="shared" ref="AF584:AL584" si="826">+AE340*(1+AF285)</f>
        <v>59.613741683872441</v>
      </c>
      <c r="AG584" s="220">
        <f t="shared" si="826"/>
        <v>69.637393897682941</v>
      </c>
      <c r="AH584" s="220">
        <f t="shared" si="826"/>
        <v>88.750240880935976</v>
      </c>
      <c r="AI584" s="220">
        <f t="shared" si="826"/>
        <v>103.00506997017662</v>
      </c>
      <c r="AJ584" s="220">
        <f t="shared" si="826"/>
        <v>103.00506997017662</v>
      </c>
      <c r="AK584" s="220" t="e">
        <f t="shared" si="826"/>
        <v>#DIV/0!</v>
      </c>
      <c r="AL584" s="220" t="e">
        <f t="shared" si="826"/>
        <v>#DIV/0!</v>
      </c>
      <c r="AM584" s="220" t="e">
        <f>+AL340*(1+AM285)</f>
        <v>#DIV/0!</v>
      </c>
      <c r="AN584" s="220">
        <v>160.26480193139156</v>
      </c>
      <c r="AO584" s="220">
        <v>160.26480193139156</v>
      </c>
      <c r="AP584" s="220">
        <v>160.26480193139156</v>
      </c>
      <c r="AQ584" s="220">
        <v>160.26480193139156</v>
      </c>
      <c r="AR584" s="220">
        <v>160.26480193139156</v>
      </c>
      <c r="AS584" s="220">
        <v>160.26480193139156</v>
      </c>
      <c r="AT584" s="220">
        <v>160.26480193139156</v>
      </c>
    </row>
    <row r="585" spans="4:46" ht="12.75" customHeight="1">
      <c r="D585" s="191" t="s">
        <v>227</v>
      </c>
      <c r="E585" s="175"/>
      <c r="F585" s="175"/>
      <c r="G585" s="175"/>
      <c r="H585" s="175"/>
      <c r="I585" s="175"/>
      <c r="J585" s="175"/>
      <c r="K585" s="175"/>
      <c r="L585" s="175"/>
      <c r="M585" s="175"/>
      <c r="N585" s="175"/>
      <c r="O585" s="175"/>
      <c r="P585" s="175"/>
      <c r="Q585" s="175"/>
      <c r="R585" s="175"/>
      <c r="S585" s="175"/>
      <c r="T585" s="175"/>
      <c r="U585" s="175"/>
      <c r="V585" s="179" t="str">
        <f>+IF(ABS(V298+V307+V320+V333+V338+V692/V284-V922)&gt;0.002,"check","")</f>
        <v/>
      </c>
      <c r="W585" s="630">
        <f t="shared" ref="W585:AT585" si="827">+IF(ABS(W298+W307+W320+W333+W338+W692/W284-W922)&gt;0.002,"check",W922)</f>
        <v>0.13371751412429381</v>
      </c>
      <c r="X585" s="630">
        <f t="shared" si="827"/>
        <v>0.15004514335827571</v>
      </c>
      <c r="Y585" s="630">
        <f t="shared" si="827"/>
        <v>0.16152734308407188</v>
      </c>
      <c r="Z585" s="630">
        <f t="shared" si="827"/>
        <v>0.17185206545981146</v>
      </c>
      <c r="AA585" s="630">
        <f t="shared" si="827"/>
        <v>0.17822527057814064</v>
      </c>
      <c r="AB585" s="630">
        <f t="shared" si="827"/>
        <v>0.17771355343453654</v>
      </c>
      <c r="AC585" s="630">
        <f t="shared" si="827"/>
        <v>0.18232332284460279</v>
      </c>
      <c r="AD585" s="630">
        <f t="shared" si="827"/>
        <v>0.1915809865540174</v>
      </c>
      <c r="AE585" s="630">
        <f t="shared" si="827"/>
        <v>0.17578826913670575</v>
      </c>
      <c r="AF585" s="630" t="str">
        <f t="shared" si="827"/>
        <v>check</v>
      </c>
      <c r="AG585" s="630" t="str">
        <f t="shared" si="827"/>
        <v>check</v>
      </c>
      <c r="AH585" s="630" t="str">
        <f t="shared" si="827"/>
        <v>check</v>
      </c>
      <c r="AI585" s="630" t="str">
        <f t="shared" si="827"/>
        <v>check</v>
      </c>
      <c r="AJ585" s="630" t="e">
        <f t="shared" si="827"/>
        <v>#DIV/0!</v>
      </c>
      <c r="AK585" s="630" t="e">
        <f t="shared" si="827"/>
        <v>#DIV/0!</v>
      </c>
      <c r="AL585" s="630" t="e">
        <f t="shared" si="827"/>
        <v>#DIV/0!</v>
      </c>
      <c r="AM585" s="630" t="e">
        <f t="shared" si="827"/>
        <v>#DIV/0!</v>
      </c>
      <c r="AN585" s="630" t="str">
        <f t="shared" si="827"/>
        <v>check</v>
      </c>
      <c r="AO585" s="630" t="str">
        <f t="shared" si="827"/>
        <v>check</v>
      </c>
      <c r="AP585" s="630" t="e">
        <f t="shared" si="827"/>
        <v>#DIV/0!</v>
      </c>
      <c r="AQ585" s="630" t="e">
        <f t="shared" si="827"/>
        <v>#DIV/0!</v>
      </c>
      <c r="AR585" s="630" t="e">
        <f t="shared" si="827"/>
        <v>#DIV/0!</v>
      </c>
      <c r="AS585" s="630" t="e">
        <f t="shared" si="827"/>
        <v>#DIV/0!</v>
      </c>
      <c r="AT585" s="630" t="e">
        <f t="shared" si="827"/>
        <v>#DIV/0!</v>
      </c>
    </row>
    <row r="586" spans="4:46" ht="12.75" customHeight="1">
      <c r="D586" s="178" t="s">
        <v>3293</v>
      </c>
      <c r="E586" s="175"/>
      <c r="F586" s="1"/>
      <c r="G586" s="175"/>
      <c r="H586" s="175"/>
      <c r="I586" s="175"/>
      <c r="J586" s="175"/>
      <c r="K586" s="175"/>
      <c r="L586" s="175"/>
      <c r="M586" s="175"/>
      <c r="N586" s="175"/>
      <c r="O586" s="175"/>
      <c r="P586" s="175"/>
      <c r="Q586" s="175"/>
      <c r="R586" s="175"/>
      <c r="S586" s="175"/>
      <c r="T586" s="175"/>
      <c r="U586" s="175"/>
      <c r="V586" s="179"/>
      <c r="W586" s="630"/>
      <c r="X586" s="630"/>
      <c r="Y586" s="630"/>
      <c r="Z586" s="630"/>
      <c r="AA586" s="630"/>
      <c r="AB586" s="630"/>
      <c r="AC586" s="630"/>
      <c r="AD586" s="630"/>
      <c r="AE586" s="1426">
        <v>10.988728999999999</v>
      </c>
      <c r="AF586" s="1426">
        <f>16.82814255+11.5253454927</f>
        <v>28.3534880427</v>
      </c>
      <c r="AG586" s="1426">
        <v>32.106922067911349</v>
      </c>
      <c r="AH586" s="970"/>
      <c r="AI586" s="970"/>
      <c r="AJ586" s="970"/>
      <c r="AK586" s="970"/>
      <c r="AL586" s="970"/>
      <c r="AM586" s="970"/>
      <c r="AN586" s="970"/>
      <c r="AO586" s="970"/>
      <c r="AP586" s="970"/>
      <c r="AQ586" s="970"/>
      <c r="AR586" s="970"/>
      <c r="AS586" s="970"/>
      <c r="AT586" s="970"/>
    </row>
    <row r="587" spans="4:46" ht="12.75" customHeight="1">
      <c r="D587" s="191"/>
      <c r="E587" s="175"/>
      <c r="F587" s="1"/>
      <c r="G587" s="175"/>
      <c r="H587" s="175"/>
      <c r="I587" s="175"/>
      <c r="J587" s="175"/>
      <c r="K587" s="175"/>
      <c r="L587" s="175"/>
      <c r="M587" s="175"/>
      <c r="N587" s="175"/>
      <c r="O587" s="175"/>
      <c r="P587" s="175"/>
      <c r="Q587" s="175"/>
      <c r="R587" s="175"/>
      <c r="S587" s="175"/>
      <c r="T587" s="175"/>
      <c r="U587" s="175"/>
      <c r="V587" s="179"/>
      <c r="W587" s="630"/>
      <c r="X587" s="630"/>
      <c r="Y587" s="630"/>
      <c r="Z587" s="630"/>
      <c r="AA587" s="630"/>
      <c r="AB587" s="630"/>
      <c r="AC587" s="630"/>
      <c r="AD587" s="630"/>
      <c r="AE587" s="1426"/>
      <c r="AF587" s="970"/>
      <c r="AG587" s="970"/>
      <c r="AH587" s="970"/>
      <c r="AI587" s="970"/>
      <c r="AJ587" s="970"/>
      <c r="AK587" s="970"/>
      <c r="AL587" s="970"/>
      <c r="AM587" s="970"/>
      <c r="AN587" s="970"/>
      <c r="AO587" s="970"/>
      <c r="AP587" s="970"/>
      <c r="AQ587" s="970"/>
      <c r="AR587" s="970"/>
      <c r="AS587" s="970"/>
      <c r="AT587" s="970"/>
    </row>
    <row r="588" spans="4:46">
      <c r="D588" s="221" t="s">
        <v>3176</v>
      </c>
      <c r="E588" s="175"/>
      <c r="F588" s="175"/>
      <c r="G588" s="175"/>
      <c r="H588" s="175"/>
      <c r="I588" s="175"/>
      <c r="J588" s="175"/>
      <c r="K588" s="175"/>
      <c r="L588" s="175"/>
      <c r="M588" s="175"/>
      <c r="N588" s="175"/>
      <c r="O588" s="175"/>
      <c r="P588" s="175"/>
      <c r="Q588" s="175"/>
      <c r="R588" s="175"/>
      <c r="S588" s="175"/>
      <c r="T588" s="175"/>
      <c r="U588" s="175"/>
      <c r="V588" s="222"/>
      <c r="W588" s="222"/>
      <c r="X588" s="222"/>
      <c r="Y588" s="222"/>
      <c r="Z588" s="222"/>
      <c r="AA588" s="222"/>
      <c r="AB588" s="222"/>
      <c r="AC588" s="222"/>
      <c r="AD588" s="222"/>
      <c r="AE588" s="222"/>
      <c r="AF588" s="222"/>
      <c r="AG588" s="222"/>
      <c r="AH588" s="222"/>
      <c r="AI588" s="222"/>
      <c r="AJ588" s="222"/>
      <c r="AK588" s="222"/>
      <c r="AL588" s="222"/>
      <c r="AM588" s="222"/>
      <c r="AN588" s="222"/>
      <c r="AO588" s="222"/>
      <c r="AP588" s="222"/>
      <c r="AQ588" s="222"/>
      <c r="AR588" s="222"/>
      <c r="AS588" s="222"/>
      <c r="AT588" s="222"/>
    </row>
    <row r="589" spans="4:46">
      <c r="D589" s="178" t="s">
        <v>332</v>
      </c>
      <c r="E589" s="198" t="s">
        <v>333</v>
      </c>
      <c r="F589" s="175"/>
      <c r="G589" s="175"/>
      <c r="H589" s="175"/>
      <c r="I589" s="175"/>
      <c r="J589" s="175"/>
      <c r="K589" s="175"/>
      <c r="L589" s="175"/>
      <c r="M589" s="175"/>
      <c r="N589" s="175"/>
      <c r="O589" s="175"/>
      <c r="P589" s="175"/>
      <c r="Q589" s="175"/>
      <c r="R589" s="175"/>
      <c r="S589" s="175"/>
      <c r="T589" s="175"/>
      <c r="U589" s="175"/>
      <c r="V589" s="176">
        <f t="shared" ref="V589:AA589" si="828">+V717+V744</f>
        <v>180.32915428176796</v>
      </c>
      <c r="W589" s="176">
        <f t="shared" si="828"/>
        <v>214</v>
      </c>
      <c r="X589" s="176">
        <f t="shared" si="828"/>
        <v>258.5</v>
      </c>
      <c r="Y589" s="176">
        <f t="shared" si="828"/>
        <v>295.60000000000002</v>
      </c>
      <c r="Z589" s="176">
        <f t="shared" si="828"/>
        <v>309.89999999999998</v>
      </c>
      <c r="AA589" s="176">
        <f t="shared" si="828"/>
        <v>354.53523719200001</v>
      </c>
      <c r="AB589" s="264"/>
      <c r="AC589" s="264"/>
      <c r="AD589" s="264"/>
      <c r="AE589" s="264"/>
      <c r="AF589" s="176"/>
      <c r="AG589" s="176"/>
      <c r="AH589" s="176"/>
      <c r="AI589" s="176"/>
      <c r="AJ589" s="176"/>
      <c r="AK589" s="176"/>
      <c r="AL589" s="176"/>
      <c r="AM589" s="176"/>
      <c r="AN589" s="176"/>
      <c r="AO589" s="176"/>
      <c r="AP589" s="176"/>
      <c r="AQ589" s="176"/>
      <c r="AR589" s="176"/>
      <c r="AS589" s="176"/>
      <c r="AT589" s="176"/>
    </row>
    <row r="590" spans="4:46">
      <c r="D590" s="190" t="s">
        <v>3158</v>
      </c>
      <c r="E590" s="191" t="s">
        <v>225</v>
      </c>
      <c r="F590" s="175"/>
      <c r="G590" s="175"/>
      <c r="H590" s="175"/>
      <c r="I590" s="175"/>
      <c r="J590" s="175"/>
      <c r="K590" s="175"/>
      <c r="L590" s="175"/>
      <c r="M590" s="175"/>
      <c r="N590" s="175"/>
      <c r="O590" s="175"/>
      <c r="P590" s="175"/>
      <c r="Q590" s="175"/>
      <c r="R590" s="175"/>
      <c r="S590" s="175"/>
      <c r="T590" s="175"/>
      <c r="U590" s="175"/>
      <c r="V590" s="179">
        <f t="shared" ref="V590:AT590" si="829">V1077/V402</f>
        <v>4.7181882334319192E-2</v>
      </c>
      <c r="W590" s="179">
        <f t="shared" si="829"/>
        <v>4.8361581920903958E-2</v>
      </c>
      <c r="X590" s="179">
        <f t="shared" si="829"/>
        <v>5.2669111654441728E-2</v>
      </c>
      <c r="Y590" s="179">
        <f t="shared" si="829"/>
        <v>3.3222622923927296E-2</v>
      </c>
      <c r="Z590" s="179">
        <f t="shared" si="829"/>
        <v>3.2135070073007713E-2</v>
      </c>
      <c r="AA590" s="179">
        <f t="shared" si="829"/>
        <v>3.2772907809400273E-2</v>
      </c>
      <c r="AB590" s="179">
        <f t="shared" si="829"/>
        <v>3.2761956336051973E-2</v>
      </c>
      <c r="AC590" s="179">
        <f t="shared" si="829"/>
        <v>3.1402161517839325E-2</v>
      </c>
      <c r="AD590" s="179">
        <f t="shared" si="829"/>
        <v>2.7745919020417526E-2</v>
      </c>
      <c r="AE590" s="179">
        <f t="shared" si="829"/>
        <v>2.8374927009056042E-2</v>
      </c>
      <c r="AF590" s="179">
        <f t="shared" si="829"/>
        <v>2.9428815040989195E-2</v>
      </c>
      <c r="AG590" s="179">
        <f t="shared" si="829"/>
        <v>2.648219944490748E-2</v>
      </c>
      <c r="AH590" s="179">
        <f t="shared" si="829"/>
        <v>2.4047729539336867E-2</v>
      </c>
      <c r="AI590" s="179">
        <f t="shared" si="829"/>
        <v>2.6337269933453544E-2</v>
      </c>
      <c r="AJ590" s="179">
        <f t="shared" si="829"/>
        <v>2.83827043884026E-2</v>
      </c>
      <c r="AK590" s="179">
        <f t="shared" si="829"/>
        <v>2.9693922364456931E-2</v>
      </c>
      <c r="AL590" s="179">
        <f t="shared" si="829"/>
        <v>2.9619471423244656E-2</v>
      </c>
      <c r="AM590" s="179">
        <f t="shared" si="829"/>
        <v>2.9797400541853238E-2</v>
      </c>
      <c r="AN590" s="179">
        <f t="shared" si="829"/>
        <v>2.9954665636384339E-2</v>
      </c>
      <c r="AO590" s="179">
        <f t="shared" si="829"/>
        <v>3.005502861663294E-2</v>
      </c>
      <c r="AP590" s="179">
        <f t="shared" si="829"/>
        <v>3.1736832943395896E-2</v>
      </c>
      <c r="AQ590" s="179">
        <f t="shared" si="829"/>
        <v>3.3774705852354925E-2</v>
      </c>
      <c r="AR590" s="179">
        <f t="shared" si="829"/>
        <v>3.2553044945207166E-2</v>
      </c>
      <c r="AS590" s="179">
        <f t="shared" si="829"/>
        <v>0.13819615842469898</v>
      </c>
      <c r="AT590" s="179">
        <f t="shared" si="829"/>
        <v>0.15522192514262195</v>
      </c>
    </row>
    <row r="591" spans="4:46">
      <c r="D591" s="175" t="s">
        <v>3159</v>
      </c>
      <c r="E591" s="175"/>
      <c r="F591" s="175"/>
      <c r="G591" s="175"/>
      <c r="H591" s="175"/>
      <c r="I591" s="175"/>
      <c r="J591" s="175"/>
      <c r="K591" s="175"/>
      <c r="L591" s="175"/>
      <c r="M591" s="175"/>
      <c r="N591" s="175"/>
      <c r="O591" s="175"/>
      <c r="P591" s="175"/>
      <c r="Q591" s="175"/>
      <c r="R591" s="175"/>
      <c r="S591" s="175"/>
      <c r="T591" s="175"/>
      <c r="U591" s="175"/>
      <c r="V591" s="179">
        <f t="shared" ref="V591:AK591" si="830">V1077/V989</f>
        <v>0.99684441283453817</v>
      </c>
      <c r="W591" s="179">
        <f t="shared" si="830"/>
        <v>0.93654266958424515</v>
      </c>
      <c r="X591" s="179">
        <f t="shared" si="830"/>
        <v>0.91654331150748447</v>
      </c>
      <c r="Y591" s="179">
        <f t="shared" si="830"/>
        <v>0.24355859170935007</v>
      </c>
      <c r="Z591" s="179">
        <f t="shared" si="830"/>
        <v>0.22584871264140324</v>
      </c>
      <c r="AA591" s="179">
        <f t="shared" si="830"/>
        <v>0.2146820230338608</v>
      </c>
      <c r="AB591" s="179">
        <f t="shared" si="830"/>
        <v>0.22519513775661115</v>
      </c>
      <c r="AC591" s="179">
        <f t="shared" si="830"/>
        <v>0.20994604034800135</v>
      </c>
      <c r="AD591" s="179">
        <f t="shared" si="830"/>
        <v>0.172467082478029</v>
      </c>
      <c r="AE591" s="179">
        <f t="shared" si="830"/>
        <v>0.18048623752906309</v>
      </c>
      <c r="AF591" s="179">
        <f t="shared" si="830"/>
        <v>0.18638796133660085</v>
      </c>
      <c r="AG591" s="179">
        <f t="shared" si="830"/>
        <v>0.16929768749862908</v>
      </c>
      <c r="AH591" s="179">
        <f t="shared" si="830"/>
        <v>0.1607582260559382</v>
      </c>
      <c r="AI591" s="179">
        <f t="shared" si="830"/>
        <v>0.18023508659080786</v>
      </c>
      <c r="AJ591" s="179">
        <f t="shared" si="830"/>
        <v>0.18304477725257967</v>
      </c>
      <c r="AK591" s="179">
        <f t="shared" si="830"/>
        <v>0.18140083186066122</v>
      </c>
      <c r="AL591" s="179">
        <f>AL1077/AL989</f>
        <v>0.17060932882861948</v>
      </c>
      <c r="AM591" s="179">
        <f>AM1077/AM989</f>
        <v>0.1668948607485784</v>
      </c>
      <c r="AN591" s="179">
        <f t="shared" ref="AN591:AO591" si="831">AN1077/AN989</f>
        <v>0.16556461432781241</v>
      </c>
      <c r="AO591" s="179">
        <f t="shared" si="831"/>
        <v>0.1650309933254844</v>
      </c>
      <c r="AP591" s="179">
        <f t="shared" ref="AP591:AT591" si="832">AP1077/AP989</f>
        <v>0.17218282302387217</v>
      </c>
      <c r="AQ591" s="179">
        <f t="shared" si="832"/>
        <v>0.18196398907821121</v>
      </c>
      <c r="AR591" s="179">
        <f t="shared" si="832"/>
        <v>0.17274927620192143</v>
      </c>
      <c r="AS591" s="179">
        <f t="shared" si="832"/>
        <v>-0.10449066804130767</v>
      </c>
      <c r="AT591" s="179">
        <f t="shared" si="832"/>
        <v>-5.520581165479907E-2</v>
      </c>
    </row>
    <row r="592" spans="4:46">
      <c r="D592" s="175" t="s">
        <v>3160</v>
      </c>
      <c r="E592" s="175"/>
      <c r="F592" s="175"/>
      <c r="G592" s="175"/>
      <c r="H592" s="175"/>
      <c r="I592" s="175"/>
      <c r="J592" s="175"/>
      <c r="K592" s="175"/>
      <c r="L592" s="175"/>
      <c r="M592" s="175"/>
      <c r="N592" s="175"/>
      <c r="O592" s="175"/>
      <c r="P592" s="175"/>
      <c r="Q592" s="175"/>
      <c r="R592" s="175"/>
      <c r="S592" s="175"/>
      <c r="T592" s="175"/>
      <c r="U592" s="175"/>
      <c r="V592" s="179" t="e">
        <f>V1077/U1077-1</f>
        <v>#DIV/0!</v>
      </c>
      <c r="W592" s="179">
        <f t="shared" ref="W592:AD592" si="833">W1077/V1077-1</f>
        <v>0.18671881345165442</v>
      </c>
      <c r="X592" s="179">
        <f t="shared" si="833"/>
        <v>0.2079439252336448</v>
      </c>
      <c r="Y592" s="179">
        <f t="shared" si="833"/>
        <v>-0.31408457042553195</v>
      </c>
      <c r="Z592" s="179">
        <f t="shared" si="833"/>
        <v>5.7520979542808881E-2</v>
      </c>
      <c r="AA592" s="179">
        <f t="shared" si="833"/>
        <v>0.1453415936453315</v>
      </c>
      <c r="AB592" s="179">
        <f t="shared" si="833"/>
        <v>0.1035529786720879</v>
      </c>
      <c r="AC592" s="179">
        <f t="shared" si="833"/>
        <v>6.2108586837485547E-2</v>
      </c>
      <c r="AD592" s="179">
        <f t="shared" si="833"/>
        <v>-3.9054566103442157E-2</v>
      </c>
      <c r="AE592" s="179">
        <f>AE1077/AD1077-1</f>
        <v>0.10103043447760474</v>
      </c>
      <c r="AF592" s="179">
        <f>AF1077/AE1077-1</f>
        <v>0.13493294191316507</v>
      </c>
      <c r="AG592" s="179">
        <f>AG1077/AF1077-1</f>
        <v>5.1180763988539546E-2</v>
      </c>
      <c r="AH592" s="179">
        <f>AH1077/AG1077-1</f>
        <v>0.15730294295045133</v>
      </c>
      <c r="AI592" s="179">
        <f t="shared" ref="AI592:AM592" si="834">+(1+AI597)*(1+AI598)-1</f>
        <v>0.271536</v>
      </c>
      <c r="AJ592" s="203">
        <f>+(1+AJ597)*(1+AJ598)-1</f>
        <v>0.17705509200000003</v>
      </c>
      <c r="AK592" s="203">
        <f t="shared" si="834"/>
        <v>0.15561599999999998</v>
      </c>
      <c r="AL592" s="203">
        <f t="shared" si="834"/>
        <v>0.1232000000000002</v>
      </c>
      <c r="AM592" s="203">
        <f t="shared" si="834"/>
        <v>0.1232000000000002</v>
      </c>
      <c r="AN592" s="203">
        <f t="shared" ref="AN592:AO592" si="835">+(1+AN597)*(1+AN598)-1</f>
        <v>0.1232000000000002</v>
      </c>
      <c r="AO592" s="203">
        <f t="shared" si="835"/>
        <v>0.1232000000000002</v>
      </c>
      <c r="AP592" s="203">
        <f t="shared" ref="AP592:AT592" si="836">+(1+AP597)*(1+AP598)-1</f>
        <v>0.1232000000000002</v>
      </c>
      <c r="AQ592" s="203">
        <f t="shared" si="836"/>
        <v>0.1232000000000002</v>
      </c>
      <c r="AR592" s="203">
        <f t="shared" si="836"/>
        <v>0.1232000000000002</v>
      </c>
      <c r="AS592" s="203">
        <f t="shared" si="836"/>
        <v>0.1232000000000002</v>
      </c>
      <c r="AT592" s="203">
        <f t="shared" si="836"/>
        <v>0.1232000000000002</v>
      </c>
    </row>
    <row r="593" spans="4:46">
      <c r="D593" s="183" t="s">
        <v>344</v>
      </c>
      <c r="E593" s="179"/>
      <c r="F593" s="179"/>
      <c r="G593" s="179"/>
      <c r="H593" s="179"/>
      <c r="I593" s="179"/>
      <c r="J593" s="179"/>
      <c r="K593" s="179"/>
      <c r="L593" s="179"/>
      <c r="M593" s="179"/>
      <c r="N593" s="179"/>
      <c r="O593" s="179"/>
      <c r="P593" s="179"/>
      <c r="Q593" s="179"/>
      <c r="R593" s="179"/>
      <c r="S593" s="179"/>
      <c r="T593" s="179"/>
      <c r="U593" s="179"/>
      <c r="V593" s="179"/>
      <c r="W593" s="179"/>
      <c r="X593" s="179"/>
      <c r="Y593" s="179"/>
      <c r="Z593" s="179"/>
      <c r="AA593" s="179"/>
      <c r="AB593" s="179"/>
      <c r="AC593" s="179"/>
      <c r="AD593" s="203"/>
      <c r="AE593" s="203"/>
      <c r="AF593" s="179"/>
      <c r="AG593" s="179"/>
      <c r="AH593" s="179"/>
      <c r="AI593" s="179"/>
      <c r="AJ593" s="179"/>
      <c r="AK593" s="179"/>
      <c r="AL593" s="179"/>
      <c r="AM593" s="179"/>
      <c r="AN593" s="179"/>
      <c r="AO593" s="179"/>
      <c r="AP593" s="179"/>
      <c r="AQ593" s="179"/>
      <c r="AR593" s="179"/>
      <c r="AS593" s="179"/>
      <c r="AT593" s="179"/>
    </row>
    <row r="594" spans="4:46">
      <c r="D594" s="183" t="s">
        <v>345</v>
      </c>
      <c r="E594" s="258" t="s">
        <v>346</v>
      </c>
      <c r="F594" s="251"/>
      <c r="G594" s="251"/>
      <c r="H594" s="251"/>
      <c r="I594" s="251"/>
      <c r="J594" s="251"/>
      <c r="K594" s="251"/>
      <c r="L594" s="251"/>
      <c r="M594" s="251"/>
      <c r="N594" s="251"/>
      <c r="O594" s="251"/>
      <c r="P594" s="251"/>
      <c r="Q594" s="251"/>
      <c r="R594" s="251"/>
      <c r="S594" s="251"/>
      <c r="T594" s="251"/>
      <c r="U594" s="251"/>
      <c r="V594" s="205">
        <v>88680</v>
      </c>
      <c r="W594" s="205">
        <v>94047</v>
      </c>
      <c r="X594" s="205">
        <v>98116</v>
      </c>
      <c r="Y594" s="205"/>
      <c r="Z594" s="205"/>
      <c r="AA594" s="205"/>
      <c r="AB594" s="205"/>
      <c r="AC594" s="205"/>
      <c r="AD594" s="205"/>
      <c r="AE594" s="205"/>
      <c r="AF594" s="205"/>
      <c r="AG594" s="205"/>
      <c r="AH594" s="205"/>
      <c r="AI594" s="205"/>
      <c r="AJ594" s="205"/>
      <c r="AK594" s="205"/>
      <c r="AL594" s="205"/>
      <c r="AM594" s="205"/>
      <c r="AN594" s="205"/>
      <c r="AO594" s="205"/>
      <c r="AP594" s="205"/>
      <c r="AQ594" s="205"/>
      <c r="AR594" s="205"/>
      <c r="AS594" s="205"/>
      <c r="AT594" s="205"/>
    </row>
    <row r="595" spans="4:46">
      <c r="D595" s="183" t="s">
        <v>312</v>
      </c>
      <c r="E595" s="259"/>
      <c r="F595" s="251"/>
      <c r="G595" s="251"/>
      <c r="H595" s="251"/>
      <c r="I595" s="251"/>
      <c r="J595" s="251"/>
      <c r="K595" s="251"/>
      <c r="L595" s="251"/>
      <c r="M595" s="251"/>
      <c r="N595" s="251"/>
      <c r="O595" s="251"/>
      <c r="P595" s="251"/>
      <c r="Q595" s="251"/>
      <c r="R595" s="251"/>
      <c r="S595" s="251"/>
      <c r="T595" s="251"/>
      <c r="U595" s="251"/>
      <c r="V595" s="205">
        <v>54692</v>
      </c>
      <c r="W595" s="205">
        <v>57220</v>
      </c>
      <c r="X595" s="205">
        <v>60975</v>
      </c>
      <c r="Y595" s="205"/>
      <c r="Z595" s="205"/>
      <c r="AA595" s="205"/>
      <c r="AB595" s="205"/>
      <c r="AC595" s="205"/>
      <c r="AD595" s="205"/>
      <c r="AE595" s="205"/>
      <c r="AF595" s="205"/>
      <c r="AG595" s="205"/>
      <c r="AH595" s="205"/>
      <c r="AI595" s="205"/>
      <c r="AJ595" s="205"/>
      <c r="AK595" s="205"/>
      <c r="AL595" s="205"/>
      <c r="AM595" s="205"/>
      <c r="AN595" s="205"/>
      <c r="AO595" s="205"/>
      <c r="AP595" s="205"/>
      <c r="AQ595" s="205"/>
      <c r="AR595" s="205"/>
      <c r="AS595" s="205"/>
      <c r="AT595" s="205"/>
    </row>
    <row r="596" spans="4:46">
      <c r="D596" s="183" t="s">
        <v>313</v>
      </c>
      <c r="E596" s="260" t="s">
        <v>330</v>
      </c>
      <c r="F596" s="251"/>
      <c r="G596" s="251"/>
      <c r="H596" s="251"/>
      <c r="I596" s="251"/>
      <c r="J596" s="251"/>
      <c r="K596" s="251"/>
      <c r="L596" s="251"/>
      <c r="M596" s="251"/>
      <c r="N596" s="251"/>
      <c r="O596" s="251"/>
      <c r="P596" s="251"/>
      <c r="Q596" s="251"/>
      <c r="R596" s="251"/>
      <c r="S596" s="251"/>
      <c r="T596" s="251"/>
      <c r="U596" s="252"/>
      <c r="V596" s="205">
        <v>15155</v>
      </c>
      <c r="W596" s="205">
        <v>15948</v>
      </c>
      <c r="X596" s="205">
        <v>16053</v>
      </c>
      <c r="Y596" s="205"/>
      <c r="Z596" s="205"/>
      <c r="AA596" s="205"/>
      <c r="AB596" s="205"/>
      <c r="AC596" s="205"/>
      <c r="AD596" s="205"/>
      <c r="AE596" s="205"/>
      <c r="AF596" s="205"/>
      <c r="AG596" s="205"/>
      <c r="AH596" s="205"/>
      <c r="AI596" s="205"/>
      <c r="AJ596" s="205"/>
      <c r="AK596" s="205"/>
      <c r="AL596" s="205"/>
      <c r="AM596" s="205"/>
      <c r="AN596" s="205"/>
      <c r="AO596" s="205"/>
      <c r="AP596" s="205"/>
      <c r="AQ596" s="205"/>
      <c r="AR596" s="205"/>
      <c r="AS596" s="205"/>
      <c r="AT596" s="205"/>
    </row>
    <row r="597" spans="4:46">
      <c r="D597" s="183" t="s">
        <v>311</v>
      </c>
      <c r="E597" s="261">
        <v>5.5E-2</v>
      </c>
      <c r="F597" s="223"/>
      <c r="G597" s="223"/>
      <c r="H597" s="223"/>
      <c r="I597" s="223"/>
      <c r="J597" s="223"/>
      <c r="K597" s="223"/>
      <c r="L597" s="223"/>
      <c r="M597" s="223"/>
      <c r="N597" s="223"/>
      <c r="O597" s="223"/>
      <c r="P597" s="223"/>
      <c r="Q597" s="223"/>
      <c r="R597" s="223"/>
      <c r="S597" s="223"/>
      <c r="T597" s="223"/>
      <c r="U597" s="224"/>
      <c r="V597" s="224">
        <f>+E597</f>
        <v>5.5E-2</v>
      </c>
      <c r="W597" s="224">
        <f>+(1+W592)/(1+W598)-1</f>
        <v>9.5018346567943279E-2</v>
      </c>
      <c r="X597" s="224">
        <f t="shared" ref="X597:AH597" si="837">+(1+X592)/(1+X598)-1</f>
        <v>7.872738308830729E-2</v>
      </c>
      <c r="Y597" s="224">
        <f>+(1+Y592)/(1+Y598)-1</f>
        <v>-0.33695432757598587</v>
      </c>
      <c r="Z597" s="224">
        <f t="shared" si="837"/>
        <v>5.7520979542808881E-2</v>
      </c>
      <c r="AA597" s="224">
        <f t="shared" si="837"/>
        <v>0.1012899938897418</v>
      </c>
      <c r="AB597" s="224">
        <f t="shared" si="837"/>
        <v>5.100283683055995E-2</v>
      </c>
      <c r="AC597" s="224">
        <f t="shared" si="837"/>
        <v>1.1531987464271864E-2</v>
      </c>
      <c r="AD597" s="224">
        <f t="shared" si="837"/>
        <v>-8.481387247946881E-2</v>
      </c>
      <c r="AE597" s="224">
        <f t="shared" si="837"/>
        <v>2.8519789329850331E-2</v>
      </c>
      <c r="AF597" s="224">
        <f t="shared" si="837"/>
        <v>7.0085745722388459E-2</v>
      </c>
      <c r="AG597" s="224">
        <f t="shared" si="837"/>
        <v>3.401609678195916E-2</v>
      </c>
      <c r="AH597" s="224">
        <f t="shared" si="837"/>
        <v>6.663865709719019E-2</v>
      </c>
      <c r="AI597" s="224">
        <v>0.12</v>
      </c>
      <c r="AJ597" s="224">
        <v>6.9699999999999998E-2</v>
      </c>
      <c r="AK597" s="224">
        <v>5.0560000000000001E-2</v>
      </c>
      <c r="AL597" s="224">
        <v>0.04</v>
      </c>
      <c r="AM597" s="224">
        <v>0.04</v>
      </c>
      <c r="AN597" s="224">
        <v>0.04</v>
      </c>
      <c r="AO597" s="224">
        <v>0.04</v>
      </c>
      <c r="AP597" s="224">
        <v>0.04</v>
      </c>
      <c r="AQ597" s="224">
        <v>0.04</v>
      </c>
      <c r="AR597" s="224">
        <v>0.04</v>
      </c>
      <c r="AS597" s="224">
        <v>0.04</v>
      </c>
      <c r="AT597" s="224">
        <v>0.04</v>
      </c>
    </row>
    <row r="598" spans="4:46">
      <c r="D598" s="183" t="s">
        <v>314</v>
      </c>
      <c r="E598" s="262" t="s">
        <v>271</v>
      </c>
      <c r="F598" s="225"/>
      <c r="G598" s="225"/>
      <c r="H598" s="225"/>
      <c r="I598" s="225"/>
      <c r="J598" s="225"/>
      <c r="K598" s="225"/>
      <c r="L598" s="225"/>
      <c r="M598" s="225"/>
      <c r="N598" s="225"/>
      <c r="O598" s="225"/>
      <c r="P598" s="225"/>
      <c r="Q598" s="225"/>
      <c r="R598" s="225"/>
      <c r="S598" s="225"/>
      <c r="T598" s="226">
        <f t="shared" ref="T598:Y598" si="838">+T599*$E599+T600*$E600+T601*$E601</f>
        <v>0</v>
      </c>
      <c r="U598" s="226">
        <f t="shared" si="838"/>
        <v>0</v>
      </c>
      <c r="V598" s="226">
        <f t="shared" si="838"/>
        <v>0</v>
      </c>
      <c r="W598" s="226">
        <f t="shared" si="838"/>
        <v>8.3743315508021401E-2</v>
      </c>
      <c r="X598" s="226">
        <f t="shared" si="838"/>
        <v>0.11978609625668449</v>
      </c>
      <c r="Y598" s="226">
        <f t="shared" si="838"/>
        <v>3.4491978609625669E-2</v>
      </c>
      <c r="Z598" s="226">
        <v>0</v>
      </c>
      <c r="AA598" s="226">
        <v>0.04</v>
      </c>
      <c r="AB598" s="226">
        <v>0.05</v>
      </c>
      <c r="AC598" s="226">
        <v>0.05</v>
      </c>
      <c r="AD598" s="226">
        <v>0.05</v>
      </c>
      <c r="AE598" s="227">
        <v>7.0499999999999993E-2</v>
      </c>
      <c r="AF598" s="227">
        <v>6.0600000000000001E-2</v>
      </c>
      <c r="AG598" s="227">
        <v>1.66E-2</v>
      </c>
      <c r="AH598" s="227">
        <v>8.5000000000000006E-2</v>
      </c>
      <c r="AI598" s="227">
        <v>0.1353</v>
      </c>
      <c r="AJ598" s="227">
        <v>0.10036</v>
      </c>
      <c r="AK598" s="227">
        <v>0.1</v>
      </c>
      <c r="AL598" s="227">
        <v>0.08</v>
      </c>
      <c r="AM598" s="227">
        <v>0.08</v>
      </c>
      <c r="AN598" s="227">
        <v>0.08</v>
      </c>
      <c r="AO598" s="227">
        <v>0.08</v>
      </c>
      <c r="AP598" s="227">
        <v>0.08</v>
      </c>
      <c r="AQ598" s="227">
        <v>0.08</v>
      </c>
      <c r="AR598" s="227">
        <v>0.08</v>
      </c>
      <c r="AS598" s="227">
        <v>0.08</v>
      </c>
      <c r="AT598" s="227">
        <v>0.08</v>
      </c>
    </row>
    <row r="599" spans="4:46">
      <c r="D599" s="183" t="s">
        <v>336</v>
      </c>
      <c r="E599" s="266">
        <f>115/187</f>
        <v>0.61497326203208558</v>
      </c>
      <c r="F599" s="251"/>
      <c r="G599" s="251"/>
      <c r="H599" s="251"/>
      <c r="I599" s="251"/>
      <c r="J599" s="251"/>
      <c r="K599" s="251"/>
      <c r="L599" s="251"/>
      <c r="M599" s="251"/>
      <c r="N599" s="251"/>
      <c r="O599" s="251"/>
      <c r="P599" s="251"/>
      <c r="Q599" s="251"/>
      <c r="R599" s="251"/>
      <c r="S599" s="251"/>
      <c r="T599" s="251"/>
      <c r="U599" s="251"/>
      <c r="V599" s="265"/>
      <c r="W599" s="265">
        <v>0.06</v>
      </c>
      <c r="X599" s="265">
        <v>0.05</v>
      </c>
      <c r="Y599" s="265">
        <v>0.02</v>
      </c>
      <c r="Z599" s="265"/>
      <c r="AA599" s="265"/>
      <c r="AB599" s="265"/>
      <c r="AC599" s="265"/>
      <c r="AD599" s="265"/>
      <c r="AE599" s="216"/>
      <c r="AF599" s="265"/>
      <c r="AG599" s="265"/>
      <c r="AH599" s="265"/>
      <c r="AI599" s="265"/>
      <c r="AJ599" s="265"/>
      <c r="AK599" s="265"/>
      <c r="AL599" s="265"/>
      <c r="AM599" s="265"/>
      <c r="AN599" s="265"/>
      <c r="AO599" s="265"/>
      <c r="AP599" s="265"/>
      <c r="AQ599" s="265"/>
      <c r="AR599" s="265"/>
      <c r="AS599" s="265"/>
      <c r="AT599" s="265"/>
    </row>
    <row r="600" spans="4:46">
      <c r="D600" s="183" t="s">
        <v>334</v>
      </c>
      <c r="E600" s="266">
        <f>55/187</f>
        <v>0.29411764705882354</v>
      </c>
      <c r="F600" s="251"/>
      <c r="G600" s="251"/>
      <c r="H600" s="251"/>
      <c r="I600" s="251"/>
      <c r="J600" s="251"/>
      <c r="K600" s="251"/>
      <c r="L600" s="251"/>
      <c r="M600" s="251"/>
      <c r="N600" s="251"/>
      <c r="O600" s="251"/>
      <c r="P600" s="251"/>
      <c r="Q600" s="251"/>
      <c r="R600" s="251"/>
      <c r="S600" s="251"/>
      <c r="T600" s="251"/>
      <c r="U600" s="251"/>
      <c r="V600" s="265"/>
      <c r="W600" s="265">
        <v>0.15</v>
      </c>
      <c r="X600" s="265">
        <v>0.27800000000000002</v>
      </c>
      <c r="Y600" s="265">
        <v>0.06</v>
      </c>
      <c r="Z600" s="265"/>
      <c r="AA600" s="265"/>
      <c r="AB600" s="265"/>
      <c r="AC600" s="265"/>
      <c r="AD600" s="265"/>
      <c r="AE600" s="216"/>
      <c r="AF600" s="265"/>
      <c r="AG600" s="265"/>
      <c r="AH600" s="265"/>
      <c r="AI600" s="265"/>
      <c r="AJ600" s="265"/>
      <c r="AK600" s="265"/>
      <c r="AL600" s="265"/>
      <c r="AM600" s="265"/>
      <c r="AN600" s="265"/>
      <c r="AO600" s="265"/>
      <c r="AP600" s="265"/>
      <c r="AQ600" s="265"/>
      <c r="AR600" s="265"/>
      <c r="AS600" s="265"/>
      <c r="AT600" s="265"/>
    </row>
    <row r="601" spans="4:46">
      <c r="D601" s="183" t="s">
        <v>335</v>
      </c>
      <c r="E601" s="266">
        <f>1-E599-E600</f>
        <v>9.0909090909090884E-2</v>
      </c>
      <c r="F601" s="251"/>
      <c r="G601" s="251"/>
      <c r="H601" s="251"/>
      <c r="I601" s="251"/>
      <c r="J601" s="251"/>
      <c r="K601" s="251"/>
      <c r="L601" s="251"/>
      <c r="M601" s="251"/>
      <c r="N601" s="251"/>
      <c r="O601" s="251"/>
      <c r="P601" s="251"/>
      <c r="Q601" s="251"/>
      <c r="R601" s="251"/>
      <c r="S601" s="251"/>
      <c r="T601" s="251"/>
      <c r="U601" s="251"/>
      <c r="V601" s="265"/>
      <c r="W601" s="265">
        <v>0.03</v>
      </c>
      <c r="X601" s="265">
        <v>0.08</v>
      </c>
      <c r="Y601" s="265">
        <v>0.05</v>
      </c>
      <c r="Z601" s="265"/>
      <c r="AA601" s="265"/>
      <c r="AB601" s="265"/>
      <c r="AC601" s="265"/>
      <c r="AD601" s="265"/>
      <c r="AE601" s="216"/>
      <c r="AF601" s="265"/>
      <c r="AG601" s="265"/>
      <c r="AH601" s="265"/>
      <c r="AI601" s="265"/>
      <c r="AJ601" s="265"/>
      <c r="AK601" s="265"/>
      <c r="AL601" s="265"/>
      <c r="AM601" s="265"/>
      <c r="AN601" s="265"/>
      <c r="AO601" s="265"/>
      <c r="AP601" s="265"/>
      <c r="AQ601" s="265"/>
      <c r="AR601" s="265"/>
      <c r="AS601" s="265"/>
      <c r="AT601" s="265"/>
    </row>
    <row r="602" spans="4:46">
      <c r="D602" s="190" t="s">
        <v>230</v>
      </c>
      <c r="E602" s="191" t="s">
        <v>225</v>
      </c>
      <c r="F602" s="175"/>
      <c r="G602" s="175"/>
      <c r="H602" s="175"/>
      <c r="I602" s="175"/>
      <c r="J602" s="175"/>
      <c r="K602" s="175"/>
      <c r="L602" s="175"/>
      <c r="M602" s="175"/>
      <c r="N602" s="175"/>
      <c r="O602" s="175"/>
      <c r="P602" s="175"/>
      <c r="Q602" s="175"/>
      <c r="R602" s="175"/>
      <c r="S602" s="175"/>
      <c r="T602" s="175"/>
      <c r="U602" s="175"/>
      <c r="V602" s="179">
        <f t="shared" ref="V602:AI602" si="839">+V721/V$284</f>
        <v>3.2221049078161514E-2</v>
      </c>
      <c r="W602" s="179">
        <f t="shared" si="839"/>
        <v>3.3785310734463274E-2</v>
      </c>
      <c r="X602" s="179">
        <f t="shared" si="839"/>
        <v>2.5081499592502037E-2</v>
      </c>
      <c r="Y602" s="179">
        <f t="shared" si="839"/>
        <v>2.6703407270001873E-2</v>
      </c>
      <c r="Z602" s="179">
        <f t="shared" si="839"/>
        <v>2.7335047129391603E-2</v>
      </c>
      <c r="AA602" s="179">
        <f t="shared" si="839"/>
        <v>2.7563163865405159E-2</v>
      </c>
      <c r="AB602" s="179">
        <f t="shared" si="839"/>
        <v>3.0294701839231407E-2</v>
      </c>
      <c r="AC602" s="179">
        <f t="shared" si="839"/>
        <v>2.6981120434381237E-2</v>
      </c>
      <c r="AD602" s="179">
        <f t="shared" si="839"/>
        <v>2.6365242528102774E-2</v>
      </c>
      <c r="AE602" s="179">
        <f t="shared" si="839"/>
        <v>3.5003816794334591E-2</v>
      </c>
      <c r="AF602" s="179">
        <f t="shared" si="839"/>
        <v>3.3408873757735075E-2</v>
      </c>
      <c r="AG602" s="179">
        <f t="shared" si="839"/>
        <v>5.6429055227762211E-2</v>
      </c>
      <c r="AH602" s="179">
        <f t="shared" si="839"/>
        <v>5.1859788963080508E-2</v>
      </c>
      <c r="AI602" s="179">
        <f t="shared" si="839"/>
        <v>5.6818995612660045E-2</v>
      </c>
      <c r="AJ602" s="228">
        <f t="shared" ref="AJ602:AM602" si="840">+AI358*(1+AJ360*AJ$285)/(1+AJ$285)</f>
        <v>8.3852637419698201E-2</v>
      </c>
      <c r="AK602" s="228" t="e">
        <f t="shared" si="840"/>
        <v>#DIV/0!</v>
      </c>
      <c r="AL602" s="228" t="e">
        <f t="shared" si="840"/>
        <v>#DIV/0!</v>
      </c>
      <c r="AM602" s="228" t="e">
        <f t="shared" si="840"/>
        <v>#DIV/0!</v>
      </c>
      <c r="AN602" s="228">
        <v>8.1298771219022001E-2</v>
      </c>
      <c r="AO602" s="228">
        <v>8.1298771219022001E-2</v>
      </c>
      <c r="AP602" s="228">
        <v>1.0812987712190201</v>
      </c>
      <c r="AQ602" s="228">
        <v>2.0812987712190201</v>
      </c>
      <c r="AR602" s="228">
        <v>3.0812987712190201</v>
      </c>
      <c r="AS602" s="228">
        <v>4.0812987712190196</v>
      </c>
      <c r="AT602" s="228">
        <v>5.0812987712190196</v>
      </c>
    </row>
    <row r="603" spans="4:46">
      <c r="D603" s="175" t="s">
        <v>265</v>
      </c>
      <c r="E603" s="175"/>
      <c r="F603" s="175"/>
      <c r="G603" s="175"/>
      <c r="H603" s="175"/>
      <c r="I603" s="175"/>
      <c r="J603" s="175"/>
      <c r="K603" s="175"/>
      <c r="L603" s="175"/>
      <c r="M603" s="175"/>
      <c r="N603" s="175"/>
      <c r="O603" s="175"/>
      <c r="P603" s="175"/>
      <c r="Q603" s="175"/>
      <c r="R603" s="175"/>
      <c r="S603" s="175"/>
      <c r="T603" s="175"/>
      <c r="U603" s="175"/>
      <c r="V603" s="179"/>
      <c r="W603" s="179">
        <f>W1079/V1079-1</f>
        <v>0.1721094755452599</v>
      </c>
      <c r="X603" s="179">
        <f t="shared" ref="X603:AD603" si="841">X1079/W1079-1</f>
        <v>-9.6759875721260546E-2</v>
      </c>
      <c r="Y603" s="179">
        <f t="shared" si="841"/>
        <v>0.36910867997051588</v>
      </c>
      <c r="Z603" s="179">
        <f t="shared" si="841"/>
        <v>-7.7692094445029447E-2</v>
      </c>
      <c r="AA603" s="179">
        <f t="shared" si="841"/>
        <v>0.28329517023520001</v>
      </c>
      <c r="AB603" s="179">
        <f t="shared" si="841"/>
        <v>0.29547386053866331</v>
      </c>
      <c r="AC603" s="179">
        <f t="shared" si="841"/>
        <v>3.5702704002988916E-2</v>
      </c>
      <c r="AD603" s="179">
        <f t="shared" si="841"/>
        <v>8.9530222681286409E-2</v>
      </c>
      <c r="AE603" s="179">
        <f>AE1079/AD1079-1</f>
        <v>0.18727493808452755</v>
      </c>
      <c r="AF603" s="179">
        <f t="shared" ref="AF603:AI603" si="842">AF1079/AE1079-1</f>
        <v>9.0207078344651137E-2</v>
      </c>
      <c r="AG603" s="179">
        <f t="shared" si="842"/>
        <v>0.10326780720918372</v>
      </c>
      <c r="AH603" s="179">
        <f>AH1079/AG1079-1</f>
        <v>7.9584355784346972E-2</v>
      </c>
      <c r="AI603" s="179">
        <f t="shared" si="842"/>
        <v>7.4677072120559629E-2</v>
      </c>
      <c r="AJ603" s="180">
        <f t="shared" ref="AJ603:AM603" si="843">+AJ604*AJ403</f>
        <v>-7.1250148600254137E-2</v>
      </c>
      <c r="AK603" s="180">
        <f t="shared" si="843"/>
        <v>6.3704935932730189E-2</v>
      </c>
      <c r="AL603" s="180">
        <f t="shared" si="843"/>
        <v>8.2576434250215547E-2</v>
      </c>
      <c r="AM603" s="180">
        <f t="shared" si="843"/>
        <v>0.10670103627839689</v>
      </c>
      <c r="AN603" s="180">
        <f t="shared" ref="AN603:AO603" si="844">+AN604*AN403</f>
        <v>0.10098027480338745</v>
      </c>
      <c r="AO603" s="180">
        <f t="shared" si="844"/>
        <v>3.9533337300922435E-2</v>
      </c>
      <c r="AP603" s="180">
        <f t="shared" ref="AP603:AT603" si="845">+AP604*AP403</f>
        <v>1.4011500858533459E-2</v>
      </c>
      <c r="AQ603" s="180">
        <f t="shared" si="845"/>
        <v>8.3143799291007903E-2</v>
      </c>
      <c r="AR603" s="180">
        <f t="shared" si="845"/>
        <v>0.16535180279503781</v>
      </c>
      <c r="AS603" s="180">
        <f t="shared" si="845"/>
        <v>-0.64712401048215806</v>
      </c>
      <c r="AT603" s="180">
        <f t="shared" si="845"/>
        <v>0</v>
      </c>
    </row>
    <row r="604" spans="4:46">
      <c r="D604" s="175" t="s">
        <v>260</v>
      </c>
      <c r="E604" s="175"/>
      <c r="F604" s="175"/>
      <c r="G604" s="175"/>
      <c r="H604" s="175"/>
      <c r="I604" s="175"/>
      <c r="J604" s="175"/>
      <c r="K604" s="175"/>
      <c r="L604" s="175"/>
      <c r="M604" s="175"/>
      <c r="N604" s="175"/>
      <c r="O604" s="175"/>
      <c r="P604" s="175"/>
      <c r="Q604" s="175"/>
      <c r="R604" s="175"/>
      <c r="S604" s="175"/>
      <c r="T604" s="175"/>
      <c r="U604" s="175"/>
      <c r="V604" s="179"/>
      <c r="W604" s="220">
        <f t="shared" ref="W604:AI604" si="846">+(W1079/V1079-1)/W$285</f>
        <v>1.1546926660710726</v>
      </c>
      <c r="X604" s="220">
        <f t="shared" si="846"/>
        <v>-0.88646469993080268</v>
      </c>
      <c r="Y604" s="220">
        <f t="shared" si="846"/>
        <v>4.222809793229124</v>
      </c>
      <c r="Z604" s="220">
        <f t="shared" si="846"/>
        <v>-0.83261587962474404</v>
      </c>
      <c r="AA604" s="220">
        <f t="shared" si="846"/>
        <v>2.3022664600590401</v>
      </c>
      <c r="AB604" s="220">
        <f t="shared" si="846"/>
        <v>2.843230848913159</v>
      </c>
      <c r="AC604" s="220">
        <f t="shared" si="846"/>
        <v>0.33027283984350625</v>
      </c>
      <c r="AD604" s="220">
        <f t="shared" si="846"/>
        <v>1.0223280128393051</v>
      </c>
      <c r="AE604" s="220">
        <f t="shared" si="846"/>
        <v>2.444106153025317</v>
      </c>
      <c r="AF604" s="220">
        <f t="shared" si="846"/>
        <v>0.95670467496372469</v>
      </c>
      <c r="AG604" s="220">
        <f t="shared" si="846"/>
        <v>0.6141654011844393</v>
      </c>
      <c r="AH604" s="220">
        <f t="shared" si="846"/>
        <v>0.2899645006682644</v>
      </c>
      <c r="AI604" s="220">
        <f t="shared" si="846"/>
        <v>0.464937748288061</v>
      </c>
      <c r="AJ604" s="1622">
        <v>-0.55297241210697345</v>
      </c>
      <c r="AK604" s="1622">
        <v>0.48715609763131579</v>
      </c>
      <c r="AL604" s="1622">
        <v>0.64305293595180901</v>
      </c>
      <c r="AM604" s="1622">
        <v>0.84901627677004154</v>
      </c>
      <c r="AN604" s="1622">
        <v>0.81659359574542967</v>
      </c>
      <c r="AO604" s="1622">
        <v>0.32003271603540301</v>
      </c>
      <c r="AP604" s="1622">
        <v>0.220032716035403</v>
      </c>
      <c r="AQ604" s="1622">
        <v>1.5</v>
      </c>
      <c r="AR604" s="1622">
        <v>1</v>
      </c>
      <c r="AS604" s="1622">
        <v>0.87993489618917231</v>
      </c>
      <c r="AT604" s="1622">
        <v>0.87993489618917231</v>
      </c>
    </row>
    <row r="605" spans="4:46">
      <c r="D605" s="1906" t="s">
        <v>3404</v>
      </c>
      <c r="E605" s="1906"/>
      <c r="F605" s="1906"/>
      <c r="G605" s="1906"/>
      <c r="H605" s="1906"/>
      <c r="I605" s="1906"/>
      <c r="J605" s="1906"/>
      <c r="K605" s="1906"/>
      <c r="L605" s="1906"/>
      <c r="M605" s="1906"/>
      <c r="N605" s="1906"/>
      <c r="O605" s="1906"/>
      <c r="P605" s="1906"/>
      <c r="Q605" s="1906"/>
      <c r="R605" s="1906"/>
      <c r="S605" s="1906"/>
      <c r="T605" s="1906"/>
      <c r="U605" s="1906"/>
      <c r="V605" s="1907"/>
      <c r="W605" s="1908"/>
      <c r="X605" s="1908"/>
      <c r="Y605" s="1908"/>
      <c r="Z605" s="1908"/>
      <c r="AA605" s="1908"/>
      <c r="AB605" s="1908"/>
      <c r="AC605" s="1908"/>
      <c r="AD605" s="1908"/>
      <c r="AE605" s="1908"/>
      <c r="AF605" s="1908"/>
      <c r="AG605" s="1908"/>
      <c r="AH605" s="1909">
        <v>16.099999999999998</v>
      </c>
      <c r="AI605" s="1909">
        <v>0</v>
      </c>
      <c r="AJ605" s="1909">
        <v>1</v>
      </c>
      <c r="AK605" s="1909"/>
      <c r="AL605" s="1909"/>
      <c r="AM605" s="1909"/>
      <c r="AN605" s="1909"/>
      <c r="AO605" s="1909"/>
      <c r="AP605" s="1909"/>
      <c r="AQ605" s="1909"/>
      <c r="AR605" s="1909"/>
      <c r="AS605" s="1909"/>
      <c r="AT605" s="1909"/>
    </row>
    <row r="606" spans="4:46">
      <c r="D606" s="190" t="s">
        <v>3162</v>
      </c>
      <c r="E606" s="175"/>
      <c r="F606" s="175"/>
      <c r="G606" s="175"/>
      <c r="H606" s="175"/>
      <c r="I606" s="175"/>
      <c r="J606" s="175"/>
      <c r="K606" s="175"/>
      <c r="L606" s="175"/>
      <c r="M606" s="175"/>
      <c r="N606" s="175"/>
      <c r="O606" s="175"/>
      <c r="P606" s="175"/>
      <c r="Q606" s="175"/>
      <c r="R606" s="175"/>
      <c r="S606" s="175"/>
      <c r="T606" s="175"/>
      <c r="U606" s="175"/>
      <c r="V606" s="179">
        <f t="shared" ref="V606:AT606" si="847">V1111/V402</f>
        <v>3.6328889512881227E-2</v>
      </c>
      <c r="W606" s="179">
        <f t="shared" si="847"/>
        <v>3.5344632768361584E-2</v>
      </c>
      <c r="X606" s="179">
        <f t="shared" si="847"/>
        <v>2.8769356153219239E-2</v>
      </c>
      <c r="Y606" s="179">
        <f t="shared" si="847"/>
        <v>5.348977289451002E-2</v>
      </c>
      <c r="Z606" s="179">
        <f t="shared" si="847"/>
        <v>5.757230742022279E-2</v>
      </c>
      <c r="AA606" s="179">
        <f t="shared" si="847"/>
        <v>5.5726024954409793E-2</v>
      </c>
      <c r="AB606" s="179">
        <f t="shared" si="847"/>
        <v>5.3861904460107635E-2</v>
      </c>
      <c r="AC606" s="179">
        <f t="shared" si="847"/>
        <v>5.2229060746487033E-2</v>
      </c>
      <c r="AD606" s="179">
        <f t="shared" si="847"/>
        <v>5.4134637571690757E-2</v>
      </c>
      <c r="AE606" s="179">
        <f t="shared" si="847"/>
        <v>5.331052032655019E-2</v>
      </c>
      <c r="AF606" s="179">
        <f t="shared" si="847"/>
        <v>5.3448928564404627E-2</v>
      </c>
      <c r="AG606" s="179">
        <f t="shared" si="847"/>
        <v>5.4639199258979206E-2</v>
      </c>
      <c r="AH606" s="179">
        <f t="shared" si="847"/>
        <v>6.3409848930743584E-2</v>
      </c>
      <c r="AI606" s="179">
        <f t="shared" si="847"/>
        <v>5.5989205386262467E-2</v>
      </c>
      <c r="AJ606" s="179">
        <f t="shared" si="847"/>
        <v>5.37813164085124E-2</v>
      </c>
      <c r="AK606" s="179">
        <f t="shared" si="847"/>
        <v>5.1011518682510346E-2</v>
      </c>
      <c r="AL606" s="179">
        <f t="shared" si="847"/>
        <v>5.2800159074345286E-2</v>
      </c>
      <c r="AM606" s="179">
        <f t="shared" si="847"/>
        <v>5.4983179295139704E-2</v>
      </c>
      <c r="AN606" s="179">
        <f t="shared" si="847"/>
        <v>5.4864487554499644E-2</v>
      </c>
      <c r="AO606" s="179">
        <f t="shared" si="847"/>
        <v>5.4622237166597747E-2</v>
      </c>
      <c r="AP606" s="179">
        <f t="shared" si="847"/>
        <v>5.4295230785875413E-2</v>
      </c>
      <c r="AQ606" s="179">
        <f t="shared" si="847"/>
        <v>5.4511089227562363E-2</v>
      </c>
      <c r="AR606" s="179">
        <f t="shared" si="847"/>
        <v>5.4709870596250383E-2</v>
      </c>
      <c r="AS606" s="179">
        <f t="shared" si="847"/>
        <v>5.0801561954440987E-2</v>
      </c>
      <c r="AT606" s="179">
        <f t="shared" si="847"/>
        <v>5.0801561954440987E-2</v>
      </c>
    </row>
    <row r="607" spans="4:46">
      <c r="D607" s="175" t="s">
        <v>3165</v>
      </c>
      <c r="E607" s="191" t="s">
        <v>225</v>
      </c>
      <c r="F607" s="175"/>
      <c r="G607" s="175"/>
      <c r="H607" s="175"/>
      <c r="I607" s="175"/>
      <c r="J607" s="175"/>
      <c r="K607" s="175"/>
      <c r="L607" s="175"/>
      <c r="M607" s="175"/>
      <c r="N607" s="175"/>
      <c r="O607" s="175"/>
      <c r="P607" s="175"/>
      <c r="Q607" s="175"/>
      <c r="R607" s="175"/>
      <c r="S607" s="175"/>
      <c r="T607" s="175"/>
      <c r="U607" s="175"/>
      <c r="V607" s="179">
        <f t="shared" ref="V607:AI607" si="848">+V1111/V$402</f>
        <v>3.6328889512881227E-2</v>
      </c>
      <c r="W607" s="179">
        <f t="shared" si="848"/>
        <v>3.5344632768361584E-2</v>
      </c>
      <c r="X607" s="179">
        <f t="shared" si="848"/>
        <v>2.8769356153219239E-2</v>
      </c>
      <c r="Y607" s="179">
        <f t="shared" si="848"/>
        <v>5.348977289451002E-2</v>
      </c>
      <c r="Z607" s="179">
        <f t="shared" si="848"/>
        <v>5.757230742022279E-2</v>
      </c>
      <c r="AA607" s="179">
        <f t="shared" si="848"/>
        <v>5.5726024954409793E-2</v>
      </c>
      <c r="AB607" s="179">
        <f t="shared" si="848"/>
        <v>5.3861904460107635E-2</v>
      </c>
      <c r="AC607" s="179">
        <f t="shared" si="848"/>
        <v>5.2229060746487033E-2</v>
      </c>
      <c r="AD607" s="179">
        <f t="shared" si="848"/>
        <v>5.4134637571690757E-2</v>
      </c>
      <c r="AE607" s="179">
        <f t="shared" si="848"/>
        <v>5.331052032655019E-2</v>
      </c>
      <c r="AF607" s="179">
        <f t="shared" si="848"/>
        <v>5.3448928564404627E-2</v>
      </c>
      <c r="AG607" s="179">
        <f t="shared" si="848"/>
        <v>5.4639199258979206E-2</v>
      </c>
      <c r="AH607" s="179">
        <f t="shared" si="848"/>
        <v>6.3409848930743584E-2</v>
      </c>
      <c r="AI607" s="179">
        <f t="shared" si="848"/>
        <v>5.5989205386262467E-2</v>
      </c>
      <c r="AJ607" s="228">
        <f t="shared" ref="AJ607:AM607" si="849">+AI607*(1+AJ609*AJ$403)/(1+AJ$403)</f>
        <v>5.3781316408512393E-2</v>
      </c>
      <c r="AK607" s="228">
        <f t="shared" si="849"/>
        <v>5.1011518682510353E-2</v>
      </c>
      <c r="AL607" s="228">
        <f t="shared" si="849"/>
        <v>5.2800159074345286E-2</v>
      </c>
      <c r="AM607" s="228">
        <f t="shared" si="849"/>
        <v>5.4983179295139711E-2</v>
      </c>
      <c r="AN607" s="228">
        <f t="shared" ref="AN607" si="850">+AM607*(1+AN609*AN$403)/(1+AN$403)</f>
        <v>5.4864487554499651E-2</v>
      </c>
      <c r="AO607" s="228">
        <f t="shared" ref="AO607" si="851">+AN607*(1+AO609*AO$403)/(1+AO$403)</f>
        <v>5.462223716659776E-2</v>
      </c>
      <c r="AP607" s="228">
        <f t="shared" ref="AP607" si="852">+AO607*(1+AP609*AP$403)/(1+AP$403)</f>
        <v>5.4295230785875427E-2</v>
      </c>
      <c r="AQ607" s="228">
        <f t="shared" ref="AQ607" si="853">+AP607*(1+AQ609*AQ$403)/(1+AQ$403)</f>
        <v>5.4511089227562384E-2</v>
      </c>
      <c r="AR607" s="228">
        <f t="shared" ref="AR607" si="854">+AQ607*(1+AR609*AR$403)/(1+AR$403)</f>
        <v>5.4709870596250404E-2</v>
      </c>
      <c r="AS607" s="228">
        <f t="shared" ref="AS607" si="855">+AR607*(1+AS609*AS$403)/(1+AS$403)</f>
        <v>5.0801561954440987E-2</v>
      </c>
      <c r="AT607" s="228">
        <f t="shared" ref="AT607" si="856">+AS607*(1+AT609*AT$403)/(1+AT$403)</f>
        <v>5.0801561954440987E-2</v>
      </c>
    </row>
    <row r="608" spans="4:46">
      <c r="D608" s="175" t="s">
        <v>3163</v>
      </c>
      <c r="E608" s="175"/>
      <c r="F608" s="175"/>
      <c r="G608" s="175"/>
      <c r="H608" s="175"/>
      <c r="I608" s="175"/>
      <c r="J608" s="175"/>
      <c r="K608" s="175"/>
      <c r="L608" s="175"/>
      <c r="M608" s="175"/>
      <c r="N608" s="175"/>
      <c r="O608" s="175"/>
      <c r="P608" s="175"/>
      <c r="Q608" s="175"/>
      <c r="R608" s="175"/>
      <c r="S608" s="175"/>
      <c r="T608" s="175"/>
      <c r="U608" s="175"/>
      <c r="V608" s="179"/>
      <c r="W608" s="179">
        <f>+W1111/V1111-1</f>
        <v>0.12640337557296322</v>
      </c>
      <c r="X608" s="179">
        <f t="shared" ref="X608:AE608" si="857">+X1111/W1111-1</f>
        <v>-9.7186700767263323E-2</v>
      </c>
      <c r="Y608" s="179">
        <f t="shared" si="857"/>
        <v>1.0217770392209626</v>
      </c>
      <c r="Z608" s="179">
        <f t="shared" si="857"/>
        <v>0.17675631969166172</v>
      </c>
      <c r="AA608" s="179">
        <f t="shared" si="857"/>
        <v>8.7035523984498875E-2</v>
      </c>
      <c r="AB608" s="179">
        <f t="shared" si="857"/>
        <v>6.699399833438191E-2</v>
      </c>
      <c r="AC608" s="179">
        <f t="shared" si="857"/>
        <v>7.4508152005288819E-2</v>
      </c>
      <c r="AD608" s="179">
        <f t="shared" si="857"/>
        <v>0.12725500921446176</v>
      </c>
      <c r="AE608" s="179">
        <f t="shared" si="857"/>
        <v>6.0233135289926354E-2</v>
      </c>
      <c r="AF608" s="179">
        <f>+AF1111/AE1111-1</f>
        <v>9.7130432322207749E-2</v>
      </c>
      <c r="AG608" s="179">
        <f t="shared" ref="AG608:AI608" si="858">+AG1111/AF1111-1</f>
        <v>0.19415706034809688</v>
      </c>
      <c r="AH608" s="179">
        <f t="shared" si="858"/>
        <v>0.4790383096290467</v>
      </c>
      <c r="AI608" s="179">
        <f t="shared" si="858"/>
        <v>2.4794170781765601E-2</v>
      </c>
      <c r="AJ608" s="228">
        <f>+AJ609*AJ403</f>
        <v>8.433411207366226E-2</v>
      </c>
      <c r="AK608" s="228">
        <f t="shared" ref="AK608:AM608" si="859">+AK609*AK403</f>
        <v>7.2533175765467917E-2</v>
      </c>
      <c r="AL608" s="228">
        <f t="shared" si="859"/>
        <v>0.16797919001084405</v>
      </c>
      <c r="AM608" s="228">
        <f t="shared" si="859"/>
        <v>0.17221710577218818</v>
      </c>
      <c r="AN608" s="228">
        <f t="shared" ref="AN608:AO608" si="860">+AN609*AN403</f>
        <v>0.1212347440508903</v>
      </c>
      <c r="AO608" s="228">
        <f t="shared" si="860"/>
        <v>0.11856818416597847</v>
      </c>
      <c r="AP608" s="228">
        <f t="shared" ref="AP608:AT608" si="861">+AP609*AP403</f>
        <v>5.7311253525821691E-2</v>
      </c>
      <c r="AQ608" s="228">
        <f t="shared" si="861"/>
        <v>5.9625208993056782E-2</v>
      </c>
      <c r="AR608" s="228">
        <f t="shared" si="861"/>
        <v>0.16960140098955562</v>
      </c>
      <c r="AS608" s="228">
        <f t="shared" si="861"/>
        <v>-0.75432321523450141</v>
      </c>
      <c r="AT608" s="228">
        <f t="shared" si="861"/>
        <v>0</v>
      </c>
    </row>
    <row r="609" spans="4:46">
      <c r="D609" s="175" t="s">
        <v>3164</v>
      </c>
      <c r="E609" s="175"/>
      <c r="F609" s="175"/>
      <c r="G609" s="175"/>
      <c r="H609" s="175"/>
      <c r="I609" s="175"/>
      <c r="J609" s="175"/>
      <c r="K609" s="175"/>
      <c r="L609" s="175"/>
      <c r="M609" s="175"/>
      <c r="N609" s="175"/>
      <c r="O609" s="175"/>
      <c r="P609" s="175"/>
      <c r="Q609" s="175"/>
      <c r="R609" s="175"/>
      <c r="S609" s="175"/>
      <c r="T609" s="175"/>
      <c r="U609" s="175"/>
      <c r="V609" s="229"/>
      <c r="W609" s="229">
        <f t="shared" ref="W609:AI609" si="862">+(W1111/V1111-1)/W$403</f>
        <v>0.80118358447738891</v>
      </c>
      <c r="X609" s="229">
        <f t="shared" si="862"/>
        <v>-0.8903750536131263</v>
      </c>
      <c r="Y609" s="229">
        <f t="shared" si="862"/>
        <v>11.689700952206273</v>
      </c>
      <c r="Z609" s="229">
        <f t="shared" si="862"/>
        <v>1.8942740525991957</v>
      </c>
      <c r="AA609" s="229">
        <f t="shared" si="862"/>
        <v>0.70731515661497291</v>
      </c>
      <c r="AB609" s="229">
        <f t="shared" si="862"/>
        <v>0.64465737310602755</v>
      </c>
      <c r="AC609" s="229">
        <f t="shared" si="862"/>
        <v>0.68924804553230112</v>
      </c>
      <c r="AD609" s="229">
        <f t="shared" si="862"/>
        <v>1.4530999342779571</v>
      </c>
      <c r="AE609" s="229">
        <f t="shared" si="862"/>
        <v>0.78609651715206297</v>
      </c>
      <c r="AF609" s="229">
        <f t="shared" si="862"/>
        <v>1.0301313421200484</v>
      </c>
      <c r="AG609" s="229">
        <f t="shared" si="862"/>
        <v>1.1547117352839051</v>
      </c>
      <c r="AH609" s="229">
        <f t="shared" si="862"/>
        <v>1.74536946217106</v>
      </c>
      <c r="AI609" s="229">
        <f t="shared" si="862"/>
        <v>0.15436794194787379</v>
      </c>
      <c r="AJ609" s="1622">
        <v>0.65451705424382112</v>
      </c>
      <c r="AK609" s="1622">
        <v>0.55466626466784252</v>
      </c>
      <c r="AL609" s="1622">
        <v>1.3081154726052862</v>
      </c>
      <c r="AM609" s="1622">
        <v>1.3703252661700618</v>
      </c>
      <c r="AN609" s="1622">
        <v>0.9803846916296205</v>
      </c>
      <c r="AO609" s="1622">
        <v>0.95984049424379281</v>
      </c>
      <c r="AP609" s="1622">
        <v>0.9</v>
      </c>
      <c r="AQ609" s="1622">
        <v>1.0757003438891199</v>
      </c>
      <c r="AR609" s="1622">
        <v>1.0257003438891164</v>
      </c>
      <c r="AS609" s="1622">
        <v>1.0257003438891164</v>
      </c>
      <c r="AT609" s="1622">
        <v>1.0257003438891164</v>
      </c>
    </row>
    <row r="610" spans="4:46">
      <c r="D610" s="175" t="s">
        <v>268</v>
      </c>
      <c r="E610" s="206" t="s">
        <v>733</v>
      </c>
      <c r="F610" s="175"/>
      <c r="G610" s="175"/>
      <c r="H610" s="175"/>
      <c r="I610" s="175"/>
      <c r="J610" s="175"/>
      <c r="K610" s="175"/>
      <c r="L610" s="175"/>
      <c r="M610" s="175"/>
      <c r="N610" s="175"/>
      <c r="O610" s="175"/>
      <c r="P610" s="175"/>
      <c r="Q610" s="175"/>
      <c r="R610" s="175"/>
      <c r="S610" s="175"/>
      <c r="T610" s="175"/>
      <c r="U610" s="175"/>
      <c r="V610" s="229"/>
      <c r="W610" s="229"/>
      <c r="X610" s="229"/>
      <c r="Y610" s="229"/>
      <c r="Z610" s="229">
        <v>31</v>
      </c>
      <c r="AA610" s="229">
        <f>+AA738</f>
        <v>40.388465097000008</v>
      </c>
      <c r="AB610" s="249">
        <f>+AB738</f>
        <v>47.887879111819991</v>
      </c>
      <c r="AC610" s="249"/>
      <c r="AD610" s="231"/>
      <c r="AE610" s="231"/>
      <c r="AF610" s="229"/>
      <c r="AG610" s="229"/>
      <c r="AH610" s="229"/>
      <c r="AI610" s="229"/>
      <c r="AJ610" s="229"/>
      <c r="AK610" s="229"/>
      <c r="AL610" s="229"/>
      <c r="AM610" s="229"/>
      <c r="AN610" s="229"/>
      <c r="AO610" s="229"/>
      <c r="AP610" s="229"/>
      <c r="AQ610" s="229"/>
      <c r="AR610" s="229"/>
      <c r="AS610" s="229"/>
      <c r="AT610" s="229"/>
    </row>
    <row r="611" spans="4:46">
      <c r="D611" s="175"/>
      <c r="E611" s="206"/>
      <c r="F611" s="175"/>
      <c r="G611" s="175"/>
      <c r="H611" s="175"/>
      <c r="I611" s="175"/>
      <c r="J611" s="175"/>
      <c r="K611" s="175"/>
      <c r="L611" s="175"/>
      <c r="M611" s="175"/>
      <c r="N611" s="175"/>
      <c r="O611" s="175"/>
      <c r="P611" s="175"/>
      <c r="Q611" s="175"/>
      <c r="R611" s="175"/>
      <c r="S611" s="175"/>
      <c r="T611" s="175"/>
      <c r="U611" s="175"/>
      <c r="V611" s="229"/>
      <c r="W611" s="229"/>
      <c r="X611" s="229"/>
      <c r="Y611" s="229"/>
      <c r="Z611" s="229"/>
      <c r="AA611" s="229"/>
      <c r="AB611" s="249"/>
      <c r="AC611" s="249"/>
      <c r="AD611" s="231"/>
      <c r="AE611" s="231"/>
      <c r="AF611" s="229"/>
      <c r="AG611" s="229"/>
      <c r="AH611" s="229"/>
      <c r="AI611" s="229"/>
      <c r="AJ611" s="229"/>
      <c r="AK611" s="229"/>
      <c r="AL611" s="229"/>
      <c r="AM611" s="229"/>
      <c r="AN611" s="229"/>
      <c r="AO611" s="229"/>
      <c r="AP611" s="229"/>
      <c r="AQ611" s="229"/>
      <c r="AR611" s="229"/>
      <c r="AS611" s="229"/>
      <c r="AT611" s="229"/>
    </row>
    <row r="612" spans="4:46">
      <c r="D612" s="190" t="s">
        <v>3196</v>
      </c>
      <c r="E612" s="206"/>
      <c r="F612" s="175"/>
      <c r="G612" s="175"/>
      <c r="H612" s="175"/>
      <c r="I612" s="175"/>
      <c r="J612" s="175"/>
      <c r="K612" s="175"/>
      <c r="L612" s="175"/>
      <c r="M612" s="175"/>
      <c r="N612" s="175"/>
      <c r="O612" s="175"/>
      <c r="P612" s="175"/>
      <c r="Q612" s="175"/>
      <c r="R612" s="175"/>
      <c r="S612" s="175"/>
      <c r="T612" s="175"/>
      <c r="U612" s="175"/>
      <c r="V612" s="229"/>
      <c r="W612" s="179">
        <f t="shared" ref="W612:AT612" si="863">W1103/W402</f>
        <v>0</v>
      </c>
      <c r="X612" s="179">
        <f t="shared" si="863"/>
        <v>5.5012224938875308E-3</v>
      </c>
      <c r="Y612" s="179">
        <f t="shared" si="863"/>
        <v>1.1804755234776091E-2</v>
      </c>
      <c r="Z612" s="179">
        <f t="shared" si="863"/>
        <v>1.2113814014910027E-2</v>
      </c>
      <c r="AA612" s="179">
        <f t="shared" si="863"/>
        <v>1.2875534466961696E-2</v>
      </c>
      <c r="AB612" s="179">
        <f t="shared" si="863"/>
        <v>1.1919549513270667E-2</v>
      </c>
      <c r="AC612" s="179">
        <f t="shared" si="863"/>
        <v>1.2416048291666667E-2</v>
      </c>
      <c r="AD612" s="179">
        <f t="shared" si="863"/>
        <v>1.9732293036705668E-2</v>
      </c>
      <c r="AE612" s="179">
        <f t="shared" si="863"/>
        <v>2.684288329863627E-2</v>
      </c>
      <c r="AF612" s="179">
        <f t="shared" si="863"/>
        <v>2.5329790215753094E-2</v>
      </c>
      <c r="AG612" s="179">
        <f t="shared" si="863"/>
        <v>3.1853129329804969E-2</v>
      </c>
      <c r="AH612" s="179">
        <f t="shared" si="863"/>
        <v>1.9546003776535217E-2</v>
      </c>
      <c r="AI612" s="179">
        <f t="shared" si="863"/>
        <v>1.7322391175860707E-2</v>
      </c>
      <c r="AJ612" s="179">
        <f t="shared" si="863"/>
        <v>1.6101522794012241E-2</v>
      </c>
      <c r="AK612" s="179">
        <f t="shared" si="863"/>
        <v>2.1642925464764911E-2</v>
      </c>
      <c r="AL612" s="179">
        <f t="shared" si="863"/>
        <v>1.2260801012836919E-2</v>
      </c>
      <c r="AM612" s="179">
        <f t="shared" si="863"/>
        <v>1.1998245465705997E-2</v>
      </c>
      <c r="AN612" s="179">
        <f t="shared" si="863"/>
        <v>1.1180871040975622E-2</v>
      </c>
      <c r="AO612" s="179">
        <f t="shared" si="863"/>
        <v>9.9776227520198442E-3</v>
      </c>
      <c r="AP612" s="179">
        <f t="shared" si="863"/>
        <v>9.9776227520198459E-3</v>
      </c>
      <c r="AQ612" s="179">
        <f t="shared" si="863"/>
        <v>1.0108624348947878E-2</v>
      </c>
      <c r="AR612" s="179">
        <f t="shared" si="863"/>
        <v>1.0825780857337614E-2</v>
      </c>
      <c r="AS612" s="179">
        <f t="shared" si="863"/>
        <v>1.0825780857337562E-2</v>
      </c>
      <c r="AT612" s="179">
        <f t="shared" si="863"/>
        <v>1.0825780857337562E-2</v>
      </c>
    </row>
    <row r="613" spans="4:46">
      <c r="D613" s="175" t="s">
        <v>3194</v>
      </c>
      <c r="E613" s="206"/>
      <c r="F613" s="175"/>
      <c r="G613" s="175"/>
      <c r="H613" s="175"/>
      <c r="I613" s="175"/>
      <c r="J613" s="175"/>
      <c r="K613" s="175"/>
      <c r="L613" s="175"/>
      <c r="M613" s="175"/>
      <c r="N613" s="175"/>
      <c r="O613" s="175"/>
      <c r="P613" s="175"/>
      <c r="Q613" s="175"/>
      <c r="R613" s="175"/>
      <c r="S613" s="175"/>
      <c r="T613" s="175"/>
      <c r="U613" s="175"/>
      <c r="V613" s="229"/>
      <c r="W613" s="179">
        <f t="shared" ref="W613:AI613" si="864">W1103/W402</f>
        <v>0</v>
      </c>
      <c r="X613" s="179">
        <f t="shared" si="864"/>
        <v>5.5012224938875308E-3</v>
      </c>
      <c r="Y613" s="179">
        <f t="shared" si="864"/>
        <v>1.1804755234776091E-2</v>
      </c>
      <c r="Z613" s="179">
        <f t="shared" si="864"/>
        <v>1.2113814014910027E-2</v>
      </c>
      <c r="AA613" s="179">
        <f t="shared" si="864"/>
        <v>1.2875534466961696E-2</v>
      </c>
      <c r="AB613" s="179">
        <f t="shared" si="864"/>
        <v>1.1919549513270667E-2</v>
      </c>
      <c r="AC613" s="179">
        <f t="shared" si="864"/>
        <v>1.2416048291666667E-2</v>
      </c>
      <c r="AD613" s="179">
        <f t="shared" si="864"/>
        <v>1.9732293036705668E-2</v>
      </c>
      <c r="AE613" s="179">
        <f t="shared" si="864"/>
        <v>2.684288329863627E-2</v>
      </c>
      <c r="AF613" s="179">
        <f t="shared" si="864"/>
        <v>2.5329790215753094E-2</v>
      </c>
      <c r="AG613" s="179">
        <f t="shared" si="864"/>
        <v>3.1853129329804969E-2</v>
      </c>
      <c r="AH613" s="179">
        <f t="shared" si="864"/>
        <v>1.9546003776535217E-2</v>
      </c>
      <c r="AI613" s="179">
        <f t="shared" si="864"/>
        <v>1.7322391175860707E-2</v>
      </c>
      <c r="AJ613" s="228">
        <f t="shared" ref="AJ613:AM613" si="865">+AI613*(1+AJ615*AJ$403)/(1+AJ$403)</f>
        <v>1.5936700835860556E-2</v>
      </c>
      <c r="AK613" s="228">
        <f t="shared" si="865"/>
        <v>2.1642925464764911E-2</v>
      </c>
      <c r="AL613" s="228">
        <f t="shared" si="865"/>
        <v>1.2260801012836919E-2</v>
      </c>
      <c r="AM613" s="228">
        <f t="shared" si="865"/>
        <v>1.1998245465705997E-2</v>
      </c>
      <c r="AN613" s="228">
        <f>+AM613*(1+AN615*AN$403)/(1+AN$403)</f>
        <v>1.1180871040975622E-2</v>
      </c>
      <c r="AO613" s="228">
        <f t="shared" ref="AO613" si="866">+AN613*(1+AO615*AO$403)/(1+AO$403)</f>
        <v>9.9776227520198459E-3</v>
      </c>
      <c r="AP613" s="228">
        <f t="shared" ref="AP613" si="867">+AO613*(1+AP615*AP$403)/(1+AP$403)</f>
        <v>9.9776227520198459E-3</v>
      </c>
      <c r="AQ613" s="228">
        <f t="shared" ref="AQ613" si="868">+AP613*(1+AQ615*AQ$403)/(1+AQ$403)</f>
        <v>1.0108624348947878E-2</v>
      </c>
      <c r="AR613" s="228">
        <f t="shared" ref="AR613" si="869">+AQ613*(1+AR615*AR$403)/(1+AR$403)</f>
        <v>1.0825780857337614E-2</v>
      </c>
      <c r="AS613" s="228">
        <f t="shared" ref="AS613" si="870">+AR613*(1+AS615*AS$403)/(1+AS$403)</f>
        <v>1.0825780857337559E-2</v>
      </c>
      <c r="AT613" s="228">
        <f t="shared" ref="AT613" si="871">+AS613*(1+AT615*AT$403)/(1+AT$403)</f>
        <v>1.0825780857337559E-2</v>
      </c>
    </row>
    <row r="614" spans="4:46">
      <c r="D614" s="175" t="s">
        <v>3193</v>
      </c>
      <c r="E614" s="206"/>
      <c r="F614" s="175"/>
      <c r="G614" s="175"/>
      <c r="H614" s="175"/>
      <c r="I614" s="175"/>
      <c r="J614" s="175"/>
      <c r="K614" s="175"/>
      <c r="L614" s="175"/>
      <c r="M614" s="175"/>
      <c r="N614" s="175"/>
      <c r="O614" s="175"/>
      <c r="P614" s="175"/>
      <c r="Q614" s="175"/>
      <c r="R614" s="175"/>
      <c r="S614" s="175"/>
      <c r="T614" s="175"/>
      <c r="U614" s="175"/>
      <c r="V614" s="229"/>
      <c r="W614" s="179" t="e">
        <f>+W1103/V1103-1</f>
        <v>#DIV/0!</v>
      </c>
      <c r="X614" s="179" t="e">
        <f t="shared" ref="X614:AE614" si="872">+X1103/W1103-1</f>
        <v>#DIV/0!</v>
      </c>
      <c r="Y614" s="179">
        <f t="shared" si="872"/>
        <v>1.3334066180740742</v>
      </c>
      <c r="Z614" s="179">
        <f t="shared" si="872"/>
        <v>0.12193467965575522</v>
      </c>
      <c r="AA614" s="179">
        <f t="shared" si="872"/>
        <v>0.19366833078226042</v>
      </c>
      <c r="AB614" s="179">
        <f t="shared" si="872"/>
        <v>2.1957682327345074E-2</v>
      </c>
      <c r="AC614" s="179">
        <f t="shared" si="872"/>
        <v>0.1542576329642753</v>
      </c>
      <c r="AD614" s="179">
        <f t="shared" si="872"/>
        <v>0.72843606446527076</v>
      </c>
      <c r="AE614" s="179">
        <f t="shared" si="872"/>
        <v>0.46458739509268931</v>
      </c>
      <c r="AF614" s="179">
        <f>+AF1103/AE1103-1</f>
        <v>3.2605916312212102E-2</v>
      </c>
      <c r="AG614" s="179">
        <f>+AG1103/AF1103-1</f>
        <v>0.468982561939433</v>
      </c>
      <c r="AH614" s="179">
        <f t="shared" ref="AH614" si="873">+AH1103/AG1103-1</f>
        <v>-0.21795291040822251</v>
      </c>
      <c r="AI614" s="179">
        <f>+AI1103/AH1103-1</f>
        <v>2.8582010247738987E-2</v>
      </c>
      <c r="AJ614" s="228">
        <f>+AJ615*AJ403</f>
        <v>3.8548002063495845E-2</v>
      </c>
      <c r="AK614" s="228">
        <f t="shared" ref="AK614:AL614" si="874">+AK615*AK403</f>
        <v>0.53564720417509093</v>
      </c>
      <c r="AL614" s="228">
        <f t="shared" si="874"/>
        <v>-0.36074960129042544</v>
      </c>
      <c r="AM614" s="228">
        <f>+AM615*AM403</f>
        <v>0.10157059812139768</v>
      </c>
      <c r="AN614" s="228">
        <f>+AN615*AN403</f>
        <v>4.7111583495817122E-2</v>
      </c>
      <c r="AO614" s="228">
        <f t="shared" ref="AO614:AT614" si="875">+AO615*AO403</f>
        <v>2.6185766979001102E-3</v>
      </c>
      <c r="AP614" s="228">
        <f t="shared" si="875"/>
        <v>6.3679170584246436E-2</v>
      </c>
      <c r="AQ614" s="228">
        <f t="shared" si="875"/>
        <v>6.9286499409173252E-2</v>
      </c>
      <c r="AR614" s="228">
        <f t="shared" si="875"/>
        <v>0.24802770419255671</v>
      </c>
      <c r="AS614" s="228">
        <f t="shared" si="875"/>
        <v>-0.73542260147282268</v>
      </c>
      <c r="AT614" s="228">
        <f t="shared" si="875"/>
        <v>0</v>
      </c>
    </row>
    <row r="615" spans="4:46">
      <c r="D615" s="175" t="s">
        <v>3195</v>
      </c>
      <c r="E615" s="206"/>
      <c r="F615" s="175"/>
      <c r="G615" s="175"/>
      <c r="H615" s="175"/>
      <c r="I615" s="175"/>
      <c r="J615" s="175"/>
      <c r="K615" s="175"/>
      <c r="L615" s="175"/>
      <c r="M615" s="175"/>
      <c r="N615" s="175"/>
      <c r="O615" s="175"/>
      <c r="P615" s="175"/>
      <c r="Q615" s="175"/>
      <c r="R615" s="175"/>
      <c r="S615" s="175"/>
      <c r="T615" s="175"/>
      <c r="U615" s="175"/>
      <c r="V615" s="229"/>
      <c r="W615" s="229" t="e">
        <f t="shared" ref="W615:AI615" si="876">+(W1103/V1103-1)/W$403</f>
        <v>#DIV/0!</v>
      </c>
      <c r="X615" s="229" t="e">
        <f t="shared" si="876"/>
        <v>#DIV/0!</v>
      </c>
      <c r="Y615" s="229">
        <f t="shared" si="876"/>
        <v>15.254917672511805</v>
      </c>
      <c r="Z615" s="229">
        <f t="shared" si="876"/>
        <v>1.3067578018529442</v>
      </c>
      <c r="AA615" s="229">
        <f t="shared" si="876"/>
        <v>1.5738923539199008</v>
      </c>
      <c r="AB615" s="229">
        <f t="shared" si="876"/>
        <v>0.21129029705006214</v>
      </c>
      <c r="AC615" s="229">
        <f t="shared" si="876"/>
        <v>1.4269817351196519</v>
      </c>
      <c r="AD615" s="229">
        <f t="shared" si="876"/>
        <v>8.3178682232957453</v>
      </c>
      <c r="AE615" s="229">
        <f t="shared" si="876"/>
        <v>6.0632828000270456</v>
      </c>
      <c r="AF615" s="229">
        <f t="shared" si="876"/>
        <v>0.34580692712590178</v>
      </c>
      <c r="AG615" s="229">
        <f t="shared" si="876"/>
        <v>2.7891834937347535</v>
      </c>
      <c r="AH615" s="229">
        <f t="shared" si="876"/>
        <v>-0.79410841757602579</v>
      </c>
      <c r="AI615" s="229">
        <f t="shared" si="876"/>
        <v>0.17795094409534898</v>
      </c>
      <c r="AJ615" s="1622">
        <v>0.2991710487868352</v>
      </c>
      <c r="AK615" s="2295">
        <v>4.0961316085241481</v>
      </c>
      <c r="AL615" s="1622">
        <v>-2.8092892646626604</v>
      </c>
      <c r="AM615" s="1622">
        <v>0.80819356638052375</v>
      </c>
      <c r="AN615" s="1622">
        <v>0.38097556619859591</v>
      </c>
      <c r="AO615" s="1622">
        <v>2.1198063963004599E-2</v>
      </c>
      <c r="AP615" s="1622">
        <v>1.0000000000000018</v>
      </c>
      <c r="AQ615" s="1622">
        <v>1.25</v>
      </c>
      <c r="AR615" s="1622">
        <v>1.5</v>
      </c>
      <c r="AS615" s="1622">
        <v>1.0000000000000018</v>
      </c>
      <c r="AT615" s="1622">
        <v>1.0000000000000018</v>
      </c>
    </row>
    <row r="616" spans="4:46">
      <c r="D616" s="1906" t="s">
        <v>3404</v>
      </c>
      <c r="E616" s="1906"/>
      <c r="F616" s="1906"/>
      <c r="G616" s="1906"/>
      <c r="H616" s="1906"/>
      <c r="I616" s="1906"/>
      <c r="J616" s="1906"/>
      <c r="K616" s="1906"/>
      <c r="L616" s="1906"/>
      <c r="M616" s="1906"/>
      <c r="N616" s="1906"/>
      <c r="O616" s="1906"/>
      <c r="P616" s="1906"/>
      <c r="Q616" s="1906"/>
      <c r="R616" s="1906"/>
      <c r="S616" s="1906"/>
      <c r="T616" s="1906"/>
      <c r="U616" s="1906"/>
      <c r="V616" s="1907"/>
      <c r="W616" s="1908"/>
      <c r="X616" s="1908"/>
      <c r="Y616" s="1908"/>
      <c r="Z616" s="1908"/>
      <c r="AA616" s="1908"/>
      <c r="AB616" s="1908"/>
      <c r="AC616" s="1908"/>
      <c r="AD616" s="1908"/>
      <c r="AE616" s="1908"/>
      <c r="AF616" s="1908"/>
      <c r="AG616" s="1908"/>
      <c r="AH616" s="1909">
        <v>0</v>
      </c>
      <c r="AI616" s="1909">
        <v>0</v>
      </c>
      <c r="AJ616" s="1909">
        <v>3.3019919856434474</v>
      </c>
      <c r="AK616" s="1909"/>
      <c r="AL616" s="1909"/>
      <c r="AM616" s="1909"/>
      <c r="AN616" s="1909"/>
      <c r="AO616" s="1909"/>
      <c r="AP616" s="1909"/>
      <c r="AQ616" s="1909"/>
      <c r="AR616" s="1909"/>
      <c r="AS616" s="1909"/>
      <c r="AT616" s="1909"/>
    </row>
    <row r="617" spans="4:46">
      <c r="D617" s="190" t="s">
        <v>3166</v>
      </c>
      <c r="E617" s="206"/>
      <c r="F617" s="175"/>
      <c r="G617" s="175"/>
      <c r="H617" s="175"/>
      <c r="I617" s="175"/>
      <c r="J617" s="175"/>
      <c r="K617" s="175"/>
      <c r="L617" s="175"/>
      <c r="M617" s="175"/>
      <c r="N617" s="175"/>
      <c r="O617" s="175"/>
      <c r="P617" s="175"/>
      <c r="Q617" s="175"/>
      <c r="R617" s="175"/>
      <c r="S617" s="175"/>
      <c r="T617" s="175"/>
      <c r="U617" s="175"/>
      <c r="V617" s="229"/>
      <c r="W617" s="229"/>
      <c r="X617" s="229">
        <f>X1127</f>
        <v>0</v>
      </c>
      <c r="Y617" s="229">
        <f t="shared" ref="Y617:AH617" si="877">Y1127</f>
        <v>22.879524976999996</v>
      </c>
      <c r="Z617" s="229">
        <f t="shared" si="877"/>
        <v>22.560662956999998</v>
      </c>
      <c r="AA617" s="229">
        <f t="shared" si="877"/>
        <v>24.607141763000001</v>
      </c>
      <c r="AB617" s="229">
        <f t="shared" si="877"/>
        <v>23.676644539000002</v>
      </c>
      <c r="AC617" s="229">
        <f t="shared" si="877"/>
        <v>25.178800748</v>
      </c>
      <c r="AD617" s="229">
        <f t="shared" si="877"/>
        <v>25.820247301999999</v>
      </c>
      <c r="AE617" s="229">
        <f t="shared" si="877"/>
        <v>26.669207106000002</v>
      </c>
      <c r="AF617" s="229">
        <f t="shared" si="877"/>
        <v>41.034068239</v>
      </c>
      <c r="AG617" s="229">
        <f t="shared" si="877"/>
        <v>56.665979002000007</v>
      </c>
      <c r="AH617" s="229">
        <f t="shared" si="877"/>
        <v>46.100000000000009</v>
      </c>
      <c r="AI617" s="229">
        <f>+AI618*AI$402</f>
        <v>50.985703881902147</v>
      </c>
      <c r="AJ617" s="220">
        <f>+AJ618*AJ$402</f>
        <v>60.10106946923834</v>
      </c>
      <c r="AK617" s="220">
        <f t="shared" ref="AK617:AT617" si="878">+AK618*AK$402</f>
        <v>74.919976098871814</v>
      </c>
      <c r="AL617" s="220">
        <f t="shared" si="878"/>
        <v>76.687439447113761</v>
      </c>
      <c r="AM617" s="220">
        <f>+AM618*AM$402</f>
        <v>86.325216109857465</v>
      </c>
      <c r="AN617" s="220">
        <f t="shared" si="878"/>
        <v>97.000225184938145</v>
      </c>
      <c r="AO617" s="220">
        <f t="shared" si="878"/>
        <v>108.98257082761732</v>
      </c>
      <c r="AP617" s="220">
        <f t="shared" si="878"/>
        <v>115.92249054605887</v>
      </c>
      <c r="AQ617" s="220">
        <f t="shared" si="878"/>
        <v>122.34798140424239</v>
      </c>
      <c r="AR617" s="220">
        <f t="shared" si="878"/>
        <v>142.57844069776763</v>
      </c>
      <c r="AS617" s="220">
        <f t="shared" si="878"/>
        <v>37.723032925876964</v>
      </c>
      <c r="AT617" s="220">
        <f t="shared" si="878"/>
        <v>37.723032925876964</v>
      </c>
    </row>
    <row r="618" spans="4:46">
      <c r="D618" s="175" t="s">
        <v>3167</v>
      </c>
      <c r="E618" s="206"/>
      <c r="F618" s="175"/>
      <c r="G618" s="175"/>
      <c r="H618" s="175"/>
      <c r="I618" s="175"/>
      <c r="J618" s="175"/>
      <c r="K618" s="175"/>
      <c r="L618" s="175"/>
      <c r="M618" s="175"/>
      <c r="N618" s="175"/>
      <c r="O618" s="175"/>
      <c r="P618" s="175"/>
      <c r="Q618" s="175"/>
      <c r="R618" s="175"/>
      <c r="S618" s="175"/>
      <c r="T618" s="175"/>
      <c r="U618" s="175"/>
      <c r="V618" s="229"/>
      <c r="W618" s="229"/>
      <c r="X618" s="179">
        <f t="shared" ref="X618:AH618" si="879">X617/X402</f>
        <v>0</v>
      </c>
      <c r="Y618" s="179">
        <f t="shared" si="879"/>
        <v>4.2869636456810932E-3</v>
      </c>
      <c r="Z618" s="179">
        <f t="shared" si="879"/>
        <v>3.8664375247643525E-3</v>
      </c>
      <c r="AA618" s="179">
        <f t="shared" si="879"/>
        <v>3.7550956452006715E-3</v>
      </c>
      <c r="AB618" s="179">
        <f t="shared" si="879"/>
        <v>3.2729671743157314E-3</v>
      </c>
      <c r="AC618" s="179">
        <f t="shared" si="879"/>
        <v>3.1410679575848304E-3</v>
      </c>
      <c r="AD618" s="179">
        <f t="shared" si="879"/>
        <v>2.9617168274833675E-3</v>
      </c>
      <c r="AE618" s="179">
        <f t="shared" si="879"/>
        <v>2.8413815369699555E-3</v>
      </c>
      <c r="AF618" s="179">
        <f t="shared" si="879"/>
        <v>3.9951385686885403E-3</v>
      </c>
      <c r="AG618" s="179">
        <f t="shared" si="879"/>
        <v>4.7229520755125856E-3</v>
      </c>
      <c r="AH618" s="179">
        <f t="shared" si="879"/>
        <v>3.0148453338565175E-3</v>
      </c>
      <c r="AI618" s="179">
        <v>2.8729195853892009E-3</v>
      </c>
      <c r="AJ618" s="1623">
        <v>3.0000000000000001E-3</v>
      </c>
      <c r="AK618" s="1623">
        <v>3.3072176345343273E-3</v>
      </c>
      <c r="AL618" s="1623">
        <v>3.0000000000000001E-3</v>
      </c>
      <c r="AM618" s="1623">
        <v>3.0000000000000001E-3</v>
      </c>
      <c r="AN618" s="1623">
        <v>3.0000000000000001E-3</v>
      </c>
      <c r="AO618" s="1623">
        <v>3.0000000000000001E-3</v>
      </c>
      <c r="AP618" s="1623">
        <v>3.0000000000000001E-3</v>
      </c>
      <c r="AQ618" s="1623">
        <v>3.0000000000000001E-3</v>
      </c>
      <c r="AR618" s="1623">
        <v>3.0000000000000001E-3</v>
      </c>
      <c r="AS618" s="1623">
        <v>3.0000000000000001E-3</v>
      </c>
      <c r="AT618" s="1623">
        <v>3.0000000000000001E-3</v>
      </c>
    </row>
    <row r="619" spans="4:46">
      <c r="D619" s="1906" t="s">
        <v>3404</v>
      </c>
      <c r="E619" s="1906"/>
      <c r="F619" s="1906"/>
      <c r="G619" s="1906"/>
      <c r="H619" s="1906"/>
      <c r="I619" s="1906"/>
      <c r="J619" s="1906"/>
      <c r="K619" s="1906"/>
      <c r="L619" s="1906"/>
      <c r="M619" s="1906"/>
      <c r="N619" s="1906"/>
      <c r="O619" s="1906"/>
      <c r="P619" s="1906"/>
      <c r="Q619" s="1906"/>
      <c r="R619" s="1906"/>
      <c r="S619" s="1906"/>
      <c r="T619" s="1906"/>
      <c r="U619" s="1906"/>
      <c r="V619" s="1907"/>
      <c r="W619" s="1908"/>
      <c r="X619" s="1908"/>
      <c r="Y619" s="1908"/>
      <c r="Z619" s="1908"/>
      <c r="AA619" s="1908"/>
      <c r="AB619" s="1908"/>
      <c r="AC619" s="1908"/>
      <c r="AD619" s="1908"/>
      <c r="AE619" s="1908"/>
      <c r="AF619" s="1908"/>
      <c r="AG619" s="1908"/>
      <c r="AH619" s="1909">
        <v>2.3000000000000003</v>
      </c>
      <c r="AI619" s="1909">
        <v>0</v>
      </c>
      <c r="AJ619" s="1909">
        <v>7.3440856232414617</v>
      </c>
      <c r="AK619" s="1909"/>
      <c r="AL619" s="1909"/>
      <c r="AM619" s="1909"/>
      <c r="AN619" s="1909"/>
      <c r="AO619" s="1909"/>
      <c r="AP619" s="1909"/>
      <c r="AQ619" s="1909"/>
      <c r="AR619" s="1909"/>
      <c r="AS619" s="1909"/>
      <c r="AT619" s="1909"/>
    </row>
    <row r="620" spans="4:46">
      <c r="D620" s="190" t="s">
        <v>3168</v>
      </c>
      <c r="E620" s="206"/>
      <c r="F620" s="175"/>
      <c r="G620" s="175"/>
      <c r="H620" s="175"/>
      <c r="I620" s="175"/>
      <c r="J620" s="175"/>
      <c r="K620" s="175"/>
      <c r="L620" s="175"/>
      <c r="M620" s="175"/>
      <c r="N620" s="175"/>
      <c r="O620" s="175"/>
      <c r="P620" s="175"/>
      <c r="Q620" s="175"/>
      <c r="R620" s="175"/>
      <c r="S620" s="175"/>
      <c r="T620" s="175"/>
      <c r="U620" s="175"/>
      <c r="V620" s="179">
        <f t="shared" ref="V620:AT620" si="880">V1129/V402</f>
        <v>0</v>
      </c>
      <c r="W620" s="179">
        <f t="shared" si="880"/>
        <v>0</v>
      </c>
      <c r="X620" s="179">
        <f t="shared" si="880"/>
        <v>0</v>
      </c>
      <c r="Y620" s="179">
        <f t="shared" si="880"/>
        <v>6.0351050747048914E-3</v>
      </c>
      <c r="Z620" s="179">
        <f t="shared" si="880"/>
        <v>1.1598473150642673E-2</v>
      </c>
      <c r="AA620" s="179">
        <f t="shared" si="880"/>
        <v>1.0901152182359224E-2</v>
      </c>
      <c r="AB620" s="179">
        <f t="shared" si="880"/>
        <v>1.2098933161874482E-2</v>
      </c>
      <c r="AC620" s="179">
        <f t="shared" si="880"/>
        <v>1.3447531921282434E-2</v>
      </c>
      <c r="AD620" s="179">
        <f t="shared" si="880"/>
        <v>1.9571292536935077E-2</v>
      </c>
      <c r="AE620" s="179">
        <f t="shared" si="880"/>
        <v>1.5379281698167484E-2</v>
      </c>
      <c r="AF620" s="179">
        <f t="shared" si="880"/>
        <v>1.2877178648427611E-2</v>
      </c>
      <c r="AG620" s="179">
        <f t="shared" si="880"/>
        <v>1.2253587994165694E-2</v>
      </c>
      <c r="AH620" s="179">
        <f t="shared" si="880"/>
        <v>8.3513177686220658E-3</v>
      </c>
      <c r="AI620" s="179">
        <f t="shared" si="880"/>
        <v>7.8391409063503694E-3</v>
      </c>
      <c r="AJ620" s="179">
        <f t="shared" si="880"/>
        <v>7.2027228616766449E-3</v>
      </c>
      <c r="AK620" s="179">
        <f t="shared" si="880"/>
        <v>6.7531908514249488E-3</v>
      </c>
      <c r="AL620" s="179">
        <f t="shared" si="880"/>
        <v>6.5979312724332847E-3</v>
      </c>
      <c r="AM620" s="179">
        <f t="shared" si="880"/>
        <v>6.599354359887343E-3</v>
      </c>
      <c r="AN620" s="179">
        <f t="shared" si="880"/>
        <v>6.6130951467787301E-3</v>
      </c>
      <c r="AO620" s="179">
        <f t="shared" si="880"/>
        <v>6.6276391668969271E-3</v>
      </c>
      <c r="AP620" s="179">
        <f t="shared" si="880"/>
        <v>6.627639166896928E-3</v>
      </c>
      <c r="AQ620" s="179">
        <f t="shared" si="880"/>
        <v>6.627639166896928E-3</v>
      </c>
      <c r="AR620" s="179">
        <f t="shared" si="880"/>
        <v>6.627639166896928E-3</v>
      </c>
      <c r="AS620" s="179">
        <f t="shared" si="880"/>
        <v>6.6276391668969297E-3</v>
      </c>
      <c r="AT620" s="179">
        <f t="shared" si="880"/>
        <v>6.6276391668969297E-3</v>
      </c>
    </row>
    <row r="621" spans="4:46">
      <c r="D621" s="175" t="s">
        <v>3169</v>
      </c>
      <c r="E621" s="206"/>
      <c r="F621" s="175"/>
      <c r="G621" s="175"/>
      <c r="H621" s="175"/>
      <c r="I621" s="175"/>
      <c r="J621" s="175"/>
      <c r="K621" s="175"/>
      <c r="L621" s="175"/>
      <c r="M621" s="175"/>
      <c r="N621" s="175"/>
      <c r="O621" s="175"/>
      <c r="P621" s="175"/>
      <c r="Q621" s="175"/>
      <c r="R621" s="175"/>
      <c r="S621" s="175"/>
      <c r="T621" s="175"/>
      <c r="U621" s="175"/>
      <c r="V621" s="179">
        <f t="shared" ref="V621:AH621" si="881">+V1129/V$402</f>
        <v>0</v>
      </c>
      <c r="W621" s="179">
        <f t="shared" si="881"/>
        <v>0</v>
      </c>
      <c r="X621" s="179">
        <f t="shared" si="881"/>
        <v>0</v>
      </c>
      <c r="Y621" s="179">
        <f t="shared" si="881"/>
        <v>6.0351050747048914E-3</v>
      </c>
      <c r="Z621" s="179">
        <f t="shared" si="881"/>
        <v>1.1598473150642673E-2</v>
      </c>
      <c r="AA621" s="179">
        <f t="shared" si="881"/>
        <v>1.0901152182359224E-2</v>
      </c>
      <c r="AB621" s="179">
        <f t="shared" si="881"/>
        <v>1.2098933161874482E-2</v>
      </c>
      <c r="AC621" s="179">
        <f t="shared" si="881"/>
        <v>1.3447531921282434E-2</v>
      </c>
      <c r="AD621" s="179">
        <f t="shared" si="881"/>
        <v>1.9571292536935077E-2</v>
      </c>
      <c r="AE621" s="179">
        <f t="shared" si="881"/>
        <v>1.5379281698167484E-2</v>
      </c>
      <c r="AF621" s="179">
        <f t="shared" si="881"/>
        <v>1.2877178648427611E-2</v>
      </c>
      <c r="AG621" s="179">
        <f t="shared" si="881"/>
        <v>1.2253587994165694E-2</v>
      </c>
      <c r="AH621" s="179">
        <f t="shared" si="881"/>
        <v>8.3513177686220658E-3</v>
      </c>
      <c r="AI621" s="179">
        <f t="shared" ref="AI621:AM621" si="882">+AH621*(1+AI623*AI$403)/(1+AI$403)</f>
        <v>7.9618349332025041E-3</v>
      </c>
      <c r="AJ621" s="228">
        <f t="shared" si="882"/>
        <v>7.3154560148061083E-3</v>
      </c>
      <c r="AK621" s="228">
        <f t="shared" si="882"/>
        <v>6.8588881707563444E-3</v>
      </c>
      <c r="AL621" s="228">
        <f t="shared" si="882"/>
        <v>6.7011985521491886E-3</v>
      </c>
      <c r="AM621" s="228">
        <f t="shared" si="882"/>
        <v>6.7026439130044259E-3</v>
      </c>
      <c r="AN621" s="228">
        <f t="shared" ref="AN621" si="883">+AM621*(1+AN623*AN$403)/(1+AN$403)</f>
        <v>6.7165997633187018E-3</v>
      </c>
      <c r="AO621" s="228">
        <f t="shared" ref="AO621" si="884">+AN621*(1+AO623*AO$403)/(1+AO$403)</f>
        <v>6.7313714186352253E-3</v>
      </c>
      <c r="AP621" s="228">
        <f t="shared" ref="AP621" si="885">+AO621*(1+AP623*AP$403)/(1+AP$403)</f>
        <v>6.7313714186352253E-3</v>
      </c>
      <c r="AQ621" s="228">
        <f t="shared" ref="AQ621" si="886">+AP621*(1+AQ623*AQ$403)/(1+AQ$403)</f>
        <v>6.7313714186352253E-3</v>
      </c>
      <c r="AR621" s="228">
        <f t="shared" ref="AR621" si="887">+AQ621*(1+AR623*AR$403)/(1+AR$403)</f>
        <v>6.7313714186352262E-3</v>
      </c>
      <c r="AS621" s="228">
        <f t="shared" ref="AS621" si="888">+AR621*(1+AS623*AS$403)/(1+AS$403)</f>
        <v>6.7313714186352262E-3</v>
      </c>
      <c r="AT621" s="228">
        <f t="shared" ref="AT621" si="889">+AS621*(1+AT623*AT$403)/(1+AT$403)</f>
        <v>6.7313714186352262E-3</v>
      </c>
    </row>
    <row r="622" spans="4:46">
      <c r="D622" s="175" t="s">
        <v>3170</v>
      </c>
      <c r="E622" s="206"/>
      <c r="F622" s="175"/>
      <c r="G622" s="175"/>
      <c r="H622" s="175"/>
      <c r="I622" s="175"/>
      <c r="J622" s="175"/>
      <c r="K622" s="175"/>
      <c r="L622" s="175"/>
      <c r="M622" s="175"/>
      <c r="N622" s="175"/>
      <c r="O622" s="175"/>
      <c r="P622" s="175"/>
      <c r="Q622" s="175"/>
      <c r="R622" s="175"/>
      <c r="S622" s="175"/>
      <c r="T622" s="175"/>
      <c r="U622" s="175"/>
      <c r="V622" s="179"/>
      <c r="W622" s="179" t="e">
        <f>+W1129/V1129-1</f>
        <v>#DIV/0!</v>
      </c>
      <c r="X622" s="179" t="e">
        <f>+X1129/W1129-1</f>
        <v>#DIV/0!</v>
      </c>
      <c r="Y622" s="179" t="e">
        <f>+Y1129/X1129-1</f>
        <v>#DIV/0!</v>
      </c>
      <c r="Z622" s="179">
        <f t="shared" ref="Z622:AE622" si="890">+Z1129/Y1129-1</f>
        <v>1.1011625096907074</v>
      </c>
      <c r="AA622" s="179">
        <f t="shared" si="890"/>
        <v>5.5530747121180335E-2</v>
      </c>
      <c r="AB622" s="179">
        <f t="shared" si="890"/>
        <v>0.22521699280775986</v>
      </c>
      <c r="AC622" s="179">
        <f t="shared" si="890"/>
        <v>0.23161426496904203</v>
      </c>
      <c r="AD622" s="179">
        <f t="shared" si="890"/>
        <v>0.5828365885740221</v>
      </c>
      <c r="AE622" s="179">
        <f t="shared" si="890"/>
        <v>-0.15398078187019049</v>
      </c>
      <c r="AF622" s="179">
        <f>+AF1129/AE1129-1</f>
        <v>-8.3743964749114497E-2</v>
      </c>
      <c r="AG622" s="179">
        <f>+AG1129/AF1129-1</f>
        <v>0.11157477152634043</v>
      </c>
      <c r="AH622" s="179">
        <f>+AH1129/AG1129-1</f>
        <v>-0.13140211842469551</v>
      </c>
      <c r="AI622" s="179">
        <f t="shared" ref="AI622:AM622" si="891">+AI623*AI403</f>
        <v>0.10648930743574647</v>
      </c>
      <c r="AJ622" s="228">
        <f t="shared" si="891"/>
        <v>3.7204112492967401E-2</v>
      </c>
      <c r="AK622" s="228">
        <f t="shared" si="891"/>
        <v>6.0196163668768454E-2</v>
      </c>
      <c r="AL622" s="228">
        <f t="shared" si="891"/>
        <v>0.10247028120123192</v>
      </c>
      <c r="AM622" s="228">
        <f t="shared" si="891"/>
        <v>0.12591887213963382</v>
      </c>
      <c r="AN622" s="228">
        <f t="shared" ref="AN622:AO622" si="892">+AN623*AN403</f>
        <v>0.12599999999999989</v>
      </c>
      <c r="AO622" s="228">
        <f t="shared" si="892"/>
        <v>0.12599999999999989</v>
      </c>
      <c r="AP622" s="228">
        <f t="shared" ref="AP622:AT622" si="893">+AP623*AP403</f>
        <v>6.3679170584246325E-2</v>
      </c>
      <c r="AQ622" s="228">
        <f t="shared" si="893"/>
        <v>5.5429199527338602E-2</v>
      </c>
      <c r="AR622" s="228">
        <f t="shared" si="893"/>
        <v>0.16535180279503781</v>
      </c>
      <c r="AS622" s="228">
        <f t="shared" si="893"/>
        <v>-0.73542260147282135</v>
      </c>
      <c r="AT622" s="228">
        <f t="shared" si="893"/>
        <v>0</v>
      </c>
    </row>
    <row r="623" spans="4:46">
      <c r="D623" s="175" t="s">
        <v>3171</v>
      </c>
      <c r="E623" s="206"/>
      <c r="F623" s="175"/>
      <c r="G623" s="175"/>
      <c r="H623" s="175"/>
      <c r="I623" s="175"/>
      <c r="J623" s="175"/>
      <c r="K623" s="175"/>
      <c r="L623" s="175"/>
      <c r="M623" s="175"/>
      <c r="N623" s="175"/>
      <c r="O623" s="175"/>
      <c r="P623" s="175"/>
      <c r="Q623" s="175"/>
      <c r="R623" s="175"/>
      <c r="S623" s="175"/>
      <c r="T623" s="175"/>
      <c r="U623" s="175"/>
      <c r="V623" s="229"/>
      <c r="W623" s="229" t="e">
        <f t="shared" ref="W623:AH623" si="894">+(W1129/V1129-1)/W$403</f>
        <v>#DIV/0!</v>
      </c>
      <c r="X623" s="229" t="e">
        <f t="shared" si="894"/>
        <v>#DIV/0!</v>
      </c>
      <c r="Y623" s="229" t="e">
        <f t="shared" si="894"/>
        <v>#DIV/0!</v>
      </c>
      <c r="Z623" s="229">
        <f t="shared" si="894"/>
        <v>11.801012679155242</v>
      </c>
      <c r="AA623" s="229">
        <f t="shared" si="894"/>
        <v>0.45128399645137468</v>
      </c>
      <c r="AB623" s="229">
        <f t="shared" si="894"/>
        <v>2.1671761437140247</v>
      </c>
      <c r="AC623" s="229">
        <f t="shared" si="894"/>
        <v>2.1425800419258958</v>
      </c>
      <c r="AD623" s="229">
        <f t="shared" si="894"/>
        <v>6.6552964302127684</v>
      </c>
      <c r="AE623" s="229">
        <f t="shared" si="894"/>
        <v>-2.0095875094974867</v>
      </c>
      <c r="AF623" s="229">
        <f t="shared" si="894"/>
        <v>-0.88815915608495977</v>
      </c>
      <c r="AG623" s="229">
        <f t="shared" si="894"/>
        <v>0.66356947211757</v>
      </c>
      <c r="AH623" s="229">
        <f t="shared" si="894"/>
        <v>-0.47876180287260744</v>
      </c>
      <c r="AI623" s="229">
        <v>0.66300000000000003</v>
      </c>
      <c r="AJ623" s="1622">
        <v>0.28874112166359733</v>
      </c>
      <c r="AK623" s="1622">
        <v>0.46032427088882338</v>
      </c>
      <c r="AL623" s="1622">
        <v>0.79797360799806683</v>
      </c>
      <c r="AM623" s="1622">
        <v>1.0019318998940188</v>
      </c>
      <c r="AN623" s="1622">
        <v>1.0189197173829885</v>
      </c>
      <c r="AO623" s="1622">
        <v>1.0200029892118383</v>
      </c>
      <c r="AP623" s="1622">
        <v>1</v>
      </c>
      <c r="AQ623" s="1622">
        <v>1</v>
      </c>
      <c r="AR623" s="1622">
        <v>1</v>
      </c>
      <c r="AS623" s="1622">
        <v>1</v>
      </c>
      <c r="AT623" s="1622">
        <v>1</v>
      </c>
    </row>
    <row r="624" spans="4:46">
      <c r="D624" s="175"/>
      <c r="E624" s="206"/>
      <c r="F624" s="175"/>
      <c r="G624" s="175"/>
      <c r="H624" s="175"/>
      <c r="I624" s="175"/>
      <c r="J624" s="175"/>
      <c r="K624" s="175"/>
      <c r="L624" s="175"/>
      <c r="M624" s="175"/>
      <c r="N624" s="175"/>
      <c r="O624" s="175"/>
      <c r="P624" s="175"/>
      <c r="Q624" s="175"/>
      <c r="R624" s="175"/>
      <c r="S624" s="175"/>
      <c r="T624" s="175"/>
      <c r="U624" s="175"/>
      <c r="V624" s="229"/>
      <c r="W624" s="229"/>
      <c r="X624" s="229"/>
      <c r="Y624" s="229"/>
      <c r="Z624" s="229"/>
      <c r="AA624" s="229"/>
      <c r="AB624" s="249"/>
      <c r="AC624" s="249"/>
      <c r="AD624" s="231"/>
      <c r="AE624" s="231"/>
      <c r="AF624" s="229"/>
      <c r="AG624" s="229"/>
      <c r="AH624" s="229"/>
      <c r="AI624" s="229"/>
      <c r="AJ624" s="229"/>
      <c r="AK624" s="229"/>
      <c r="AL624" s="229"/>
      <c r="AM624" s="229"/>
      <c r="AN624" s="229"/>
      <c r="AO624" s="229"/>
      <c r="AP624" s="229"/>
      <c r="AQ624" s="229"/>
      <c r="AR624" s="229"/>
      <c r="AS624" s="229"/>
      <c r="AT624" s="229"/>
    </row>
    <row r="625" spans="4:51">
      <c r="D625" s="190" t="s">
        <v>235</v>
      </c>
      <c r="E625" s="191" t="s">
        <v>225</v>
      </c>
      <c r="F625" s="175"/>
      <c r="G625" s="175"/>
      <c r="H625" s="175"/>
      <c r="I625" s="175"/>
      <c r="J625" s="175"/>
      <c r="K625" s="175"/>
      <c r="L625" s="175"/>
      <c r="M625" s="175"/>
      <c r="N625" s="175"/>
      <c r="O625" s="175"/>
      <c r="P625" s="175"/>
      <c r="Q625" s="175"/>
      <c r="R625" s="175"/>
      <c r="S625" s="175"/>
      <c r="T625" s="175"/>
      <c r="U625" s="175"/>
      <c r="V625" s="179">
        <f t="shared" ref="V625:AM625" si="895">+(V746-V749)/V$284</f>
        <v>1.7692620098675668E-2</v>
      </c>
      <c r="W625" s="179">
        <f t="shared" si="895"/>
        <v>1.712994350282486E-2</v>
      </c>
      <c r="X625" s="179">
        <f t="shared" si="895"/>
        <v>5.9494702526487371E-3</v>
      </c>
      <c r="Y625" s="179">
        <f t="shared" si="895"/>
        <v>5.7178519214914764E-3</v>
      </c>
      <c r="Z625" s="179">
        <f t="shared" si="895"/>
        <v>5.439588688946017E-3</v>
      </c>
      <c r="AA625" s="179">
        <f t="shared" si="895"/>
        <v>4.7848715040439494E-3</v>
      </c>
      <c r="AB625" s="179">
        <f t="shared" si="895"/>
        <v>4.3133012134365482E-3</v>
      </c>
      <c r="AC625" s="179">
        <f t="shared" si="895"/>
        <v>4.4995613754990008E-3</v>
      </c>
      <c r="AD625" s="179">
        <f t="shared" si="895"/>
        <v>2.8787301116081662E-3</v>
      </c>
      <c r="AE625" s="179">
        <f t="shared" si="895"/>
        <v>4.9105050074579161E-3</v>
      </c>
      <c r="AF625" s="179">
        <f t="shared" si="895"/>
        <v>4.7775774563111988E-3</v>
      </c>
      <c r="AG625" s="179">
        <f t="shared" si="895"/>
        <v>4.0081680280046675E-3</v>
      </c>
      <c r="AH625" s="179">
        <f t="shared" si="895"/>
        <v>4.1565947175952354E-3</v>
      </c>
      <c r="AI625" s="179">
        <f t="shared" si="895"/>
        <v>3.5813652914153779E-3</v>
      </c>
      <c r="AJ625" s="179" t="e">
        <f t="shared" si="895"/>
        <v>#DIV/0!</v>
      </c>
      <c r="AK625" s="179">
        <f t="shared" si="895"/>
        <v>0</v>
      </c>
      <c r="AL625" s="179">
        <f t="shared" si="895"/>
        <v>0</v>
      </c>
      <c r="AM625" s="179">
        <f t="shared" si="895"/>
        <v>0</v>
      </c>
      <c r="AN625" s="179">
        <v>2.3018078703827089E-3</v>
      </c>
      <c r="AO625" s="179">
        <v>2.3018078703827089E-3</v>
      </c>
      <c r="AP625" s="179">
        <v>1.00230180787038</v>
      </c>
      <c r="AQ625" s="179">
        <v>2.00230180787038</v>
      </c>
      <c r="AR625" s="179">
        <v>3.00230180787038</v>
      </c>
      <c r="AS625" s="179">
        <v>4.0023018078703796</v>
      </c>
      <c r="AT625" s="179">
        <v>5.0023018078703796</v>
      </c>
    </row>
    <row r="626" spans="4:51">
      <c r="D626" s="175" t="s">
        <v>269</v>
      </c>
      <c r="E626" s="175"/>
      <c r="F626" s="175"/>
      <c r="G626" s="175"/>
      <c r="H626" s="175"/>
      <c r="I626" s="175"/>
      <c r="J626" s="175"/>
      <c r="K626" s="175"/>
      <c r="L626" s="175"/>
      <c r="M626" s="175"/>
      <c r="N626" s="175"/>
      <c r="O626" s="175"/>
      <c r="P626" s="175"/>
      <c r="Q626" s="175"/>
      <c r="R626" s="175"/>
      <c r="S626" s="175"/>
      <c r="T626" s="175"/>
      <c r="U626" s="175"/>
      <c r="V626" s="229"/>
      <c r="W626" s="229"/>
      <c r="X626" s="233">
        <f>+X747</f>
        <v>35.5</v>
      </c>
      <c r="Y626" s="233">
        <f>+Y747</f>
        <v>25.258811314000003</v>
      </c>
      <c r="Z626" s="233">
        <f>+Z747</f>
        <v>26.8</v>
      </c>
      <c r="AA626" s="233">
        <f>+AA747</f>
        <v>26.979326674999996</v>
      </c>
      <c r="AB626" s="230">
        <f>28.3*0+27.9</f>
        <v>27.9</v>
      </c>
      <c r="AC626" s="234">
        <f>43.9*0+31.1*0+22.7</f>
        <v>22.7</v>
      </c>
      <c r="AD626" s="234">
        <f>43.8*0+25.4+8.4</f>
        <v>33.799999999999997</v>
      </c>
      <c r="AE626" s="230">
        <f>37.95+0.5</f>
        <v>38.450000000000003</v>
      </c>
      <c r="AF626" s="230">
        <f>40.3598811656589</f>
        <v>40.359881165658898</v>
      </c>
      <c r="AG626" s="230">
        <v>46.108078391956127</v>
      </c>
      <c r="AH626" s="230">
        <v>51.308078391956101</v>
      </c>
      <c r="AI626" s="230">
        <f>+AH367</f>
        <v>51.308078391956101</v>
      </c>
      <c r="AJ626" s="230">
        <f>+AI367</f>
        <v>51.308078391956101</v>
      </c>
      <c r="AK626" s="230">
        <f>+AJ367</f>
        <v>0</v>
      </c>
      <c r="AL626" s="230">
        <f>+AK367</f>
        <v>0</v>
      </c>
      <c r="AM626" s="230">
        <f>+AL367</f>
        <v>0</v>
      </c>
      <c r="AN626" s="230">
        <f t="shared" ref="AN626:AO626" si="896">+AM367</f>
        <v>0</v>
      </c>
      <c r="AO626" s="230">
        <f t="shared" si="896"/>
        <v>0</v>
      </c>
      <c r="AP626" s="230">
        <f t="shared" ref="AP626" si="897">+AO367</f>
        <v>0</v>
      </c>
      <c r="AQ626" s="230">
        <f t="shared" ref="AQ626" si="898">+AP367</f>
        <v>0</v>
      </c>
      <c r="AR626" s="230">
        <f t="shared" ref="AR626" si="899">+AQ367</f>
        <v>0</v>
      </c>
      <c r="AS626" s="230">
        <f t="shared" ref="AS626" si="900">+AR367</f>
        <v>0</v>
      </c>
      <c r="AT626" s="230">
        <f t="shared" ref="AT626" si="901">+AS367</f>
        <v>0</v>
      </c>
    </row>
    <row r="627" spans="4:51">
      <c r="D627" s="175" t="s">
        <v>294</v>
      </c>
      <c r="E627" s="198" t="s">
        <v>308</v>
      </c>
      <c r="F627" s="175"/>
      <c r="G627" s="175"/>
      <c r="H627" s="175"/>
      <c r="I627" s="175"/>
      <c r="J627" s="175"/>
      <c r="K627" s="175"/>
      <c r="L627" s="175"/>
      <c r="M627" s="175"/>
      <c r="N627" s="175"/>
      <c r="O627" s="175"/>
      <c r="P627" s="175"/>
      <c r="Q627" s="175"/>
      <c r="R627" s="175"/>
      <c r="S627" s="175"/>
      <c r="T627" s="175"/>
      <c r="U627" s="175"/>
      <c r="V627" s="229"/>
      <c r="W627" s="229"/>
      <c r="X627" s="233"/>
      <c r="Y627" s="233"/>
      <c r="Z627" s="249">
        <v>3</v>
      </c>
      <c r="AA627" s="249">
        <v>3</v>
      </c>
      <c r="AB627" s="249">
        <v>3.4</v>
      </c>
      <c r="AC627" s="249">
        <v>3.8</v>
      </c>
      <c r="AD627" s="249">
        <v>6.7</v>
      </c>
      <c r="AE627" s="249">
        <v>7.64</v>
      </c>
      <c r="AF627" s="249">
        <v>8.7106168881134316</v>
      </c>
      <c r="AG627" s="249">
        <v>9.9504114347926311</v>
      </c>
      <c r="AH627" s="249">
        <v>12.250411434792628</v>
      </c>
      <c r="AI627" s="249">
        <f>AH368</f>
        <v>12.250411434792628</v>
      </c>
      <c r="AJ627" s="249">
        <f>AI368</f>
        <v>12.250411434792628</v>
      </c>
      <c r="AK627" s="249">
        <f>AJ368</f>
        <v>0</v>
      </c>
      <c r="AL627" s="249">
        <f>AK368</f>
        <v>0</v>
      </c>
      <c r="AM627" s="249">
        <f>AL368</f>
        <v>0</v>
      </c>
      <c r="AN627" s="249">
        <f t="shared" ref="AN627:AO627" si="902">AM368</f>
        <v>0</v>
      </c>
      <c r="AO627" s="249">
        <f t="shared" si="902"/>
        <v>0</v>
      </c>
      <c r="AP627" s="249">
        <f t="shared" ref="AP627" si="903">AO368</f>
        <v>0</v>
      </c>
      <c r="AQ627" s="249">
        <f t="shared" ref="AQ627" si="904">AP368</f>
        <v>0</v>
      </c>
      <c r="AR627" s="249">
        <f t="shared" ref="AR627" si="905">AQ368</f>
        <v>0</v>
      </c>
      <c r="AS627" s="249">
        <f t="shared" ref="AS627" si="906">AR368</f>
        <v>0</v>
      </c>
      <c r="AT627" s="249">
        <f t="shared" ref="AT627" si="907">AS368</f>
        <v>0</v>
      </c>
    </row>
    <row r="628" spans="4:51" ht="15" customHeight="1">
      <c r="D628" s="235" t="s">
        <v>233</v>
      </c>
      <c r="E628" s="191"/>
      <c r="F628" s="175"/>
      <c r="G628" s="175"/>
      <c r="H628" s="175"/>
      <c r="I628" s="175"/>
      <c r="J628" s="175"/>
      <c r="K628" s="175"/>
      <c r="L628" s="175"/>
      <c r="M628" s="175"/>
      <c r="N628" s="175"/>
      <c r="O628" s="175"/>
      <c r="P628" s="175"/>
      <c r="Q628" s="175"/>
      <c r="R628" s="175"/>
      <c r="S628" s="175"/>
      <c r="T628" s="175"/>
      <c r="U628" s="175"/>
      <c r="V628" s="179">
        <f t="shared" ref="V628:AA628" si="908">+V345+V358+V361+V366</f>
        <v>0.13279556219163852</v>
      </c>
      <c r="W628" s="179">
        <f t="shared" si="908"/>
        <v>0.13462146892655369</v>
      </c>
      <c r="X628" s="179">
        <f t="shared" si="908"/>
        <v>0.11246943765281174</v>
      </c>
      <c r="Y628" s="179">
        <f t="shared" si="908"/>
        <v>0.12135666888008244</v>
      </c>
      <c r="Z628" s="179">
        <f t="shared" si="908"/>
        <v>0.11983547557840618</v>
      </c>
      <c r="AA628" s="179">
        <f t="shared" si="908"/>
        <v>0.11643166983583787</v>
      </c>
      <c r="AB628" s="230"/>
      <c r="AC628" s="232"/>
      <c r="AD628" s="232"/>
      <c r="AE628" s="232"/>
      <c r="AF628" s="179"/>
      <c r="AG628" s="179"/>
      <c r="AH628" s="179"/>
      <c r="AI628" s="179"/>
      <c r="AJ628" s="179"/>
      <c r="AK628" s="179"/>
      <c r="AL628" s="179"/>
      <c r="AM628" s="179"/>
      <c r="AN628" s="179"/>
      <c r="AO628" s="179"/>
      <c r="AP628" s="179"/>
      <c r="AQ628" s="179"/>
      <c r="AR628" s="179"/>
      <c r="AS628" s="179"/>
      <c r="AT628" s="179"/>
    </row>
    <row r="629" spans="4:51">
      <c r="D629" s="190" t="s">
        <v>232</v>
      </c>
      <c r="E629" s="191" t="s">
        <v>225</v>
      </c>
      <c r="F629" s="175"/>
      <c r="G629" s="175"/>
      <c r="H629" s="175"/>
      <c r="I629" s="175"/>
      <c r="J629" s="175"/>
      <c r="K629" s="175"/>
      <c r="L629" s="175"/>
      <c r="M629" s="175"/>
      <c r="N629" s="175"/>
      <c r="O629" s="175"/>
      <c r="P629" s="175"/>
      <c r="Q629" s="175"/>
      <c r="R629" s="175"/>
      <c r="S629" s="175"/>
      <c r="T629" s="175"/>
      <c r="U629" s="175"/>
      <c r="V629" s="179">
        <f t="shared" ref="V629:AG629" si="909">V1145/V402</f>
        <v>5.7263202511773942E-2</v>
      </c>
      <c r="W629" s="179">
        <f t="shared" si="909"/>
        <v>5.2338983050847457E-2</v>
      </c>
      <c r="X629" s="179">
        <f t="shared" si="909"/>
        <v>4.8777506112469442E-2</v>
      </c>
      <c r="Y629" s="179">
        <f t="shared" si="909"/>
        <v>5.0502885156454944E-2</v>
      </c>
      <c r="Z629" s="179">
        <f t="shared" si="909"/>
        <v>4.9716456654551412E-2</v>
      </c>
      <c r="AA629" s="179">
        <f t="shared" si="909"/>
        <v>5.0764998938806656E-2</v>
      </c>
      <c r="AB629" s="179">
        <f t="shared" si="909"/>
        <v>4.035280816076859E-2</v>
      </c>
      <c r="AC629" s="179">
        <f t="shared" si="909"/>
        <v>4.1538297579965071E-2</v>
      </c>
      <c r="AD629" s="179">
        <f t="shared" si="909"/>
        <v>5.1660086387130079E-2</v>
      </c>
      <c r="AE629" s="179">
        <f t="shared" si="909"/>
        <v>4.9558245449605798E-2</v>
      </c>
      <c r="AF629" s="179">
        <f t="shared" si="909"/>
        <v>5.4196659827572775E-2</v>
      </c>
      <c r="AG629" s="179">
        <f t="shared" si="909"/>
        <v>6.6692533367644607E-2</v>
      </c>
      <c r="AH629" s="228">
        <f t="shared" ref="AH629:AM629" si="910">+AG629*(1+AH631*AH$403)/(1+AH$403)</f>
        <v>4.8849228904287695E-2</v>
      </c>
      <c r="AI629" s="228">
        <f t="shared" si="910"/>
        <v>3.3050583986074439E-2</v>
      </c>
      <c r="AJ629" s="228">
        <f t="shared" si="910"/>
        <v>3.0644141169474039E-2</v>
      </c>
      <c r="AK629" s="228">
        <f t="shared" si="910"/>
        <v>2.8167387844454116E-2</v>
      </c>
      <c r="AL629" s="228">
        <f t="shared" si="910"/>
        <v>3.5729361322080724E-2</v>
      </c>
      <c r="AM629" s="228">
        <f t="shared" si="910"/>
        <v>4.0725459345547228E-2</v>
      </c>
      <c r="AN629" s="228">
        <f t="shared" ref="AN629" si="911">+AM629*(1+AN631*AN$403)/(1+AN$403)</f>
        <v>4.3207840065526838E-2</v>
      </c>
      <c r="AO629" s="228">
        <f t="shared" ref="AO629" si="912">+AN629*(1+AO631*AO$403)/(1+AO$403)</f>
        <v>4.3813877517398035E-2</v>
      </c>
      <c r="AP629" s="228">
        <f t="shared" ref="AP629" si="913">+AO629*(1+AP631*AP$403)/(1+AP$403)</f>
        <v>4.3813877517398035E-2</v>
      </c>
      <c r="AQ629" s="228">
        <f t="shared" ref="AQ629" si="914">+AP629*(1+AQ631*AQ$403)/(1+AQ$403)</f>
        <v>5.7620022884984051E-2</v>
      </c>
      <c r="AR629" s="228">
        <f t="shared" ref="AR629" si="915">+AQ629*(1+AR631*AR$403)/(1+AR$403)</f>
        <v>7.3971436489480208E-2</v>
      </c>
      <c r="AS629" s="228">
        <f t="shared" ref="AS629" si="916">+AR629*(1+AS631*AS$403)/(1+AS$403)</f>
        <v>-0.50174193271625411</v>
      </c>
      <c r="AT629" s="228">
        <f t="shared" ref="AT629" si="917">+AS629*(1+AT631*AT$403)/(1+AT$403)</f>
        <v>-0.50174193271625411</v>
      </c>
    </row>
    <row r="630" spans="4:51">
      <c r="D630" s="175" t="s">
        <v>273</v>
      </c>
      <c r="E630" s="175"/>
      <c r="F630" s="175"/>
      <c r="G630" s="175"/>
      <c r="H630" s="175"/>
      <c r="I630" s="175"/>
      <c r="J630" s="175"/>
      <c r="K630" s="175"/>
      <c r="L630" s="175"/>
      <c r="M630" s="175"/>
      <c r="N630" s="175"/>
      <c r="O630" s="175"/>
      <c r="P630" s="175"/>
      <c r="Q630" s="175"/>
      <c r="R630" s="175"/>
      <c r="S630" s="175"/>
      <c r="T630" s="175"/>
      <c r="U630" s="175"/>
      <c r="V630" s="179" t="e">
        <f>+V1145/U1145-1</f>
        <v>#DIV/0!</v>
      </c>
      <c r="W630" s="179">
        <f t="shared" ref="W630:AE630" si="918">+W1145/V1145-1</f>
        <v>5.8210921723644615E-2</v>
      </c>
      <c r="X630" s="179">
        <f t="shared" si="918"/>
        <v>3.3678756476684057E-2</v>
      </c>
      <c r="Y630" s="179">
        <f t="shared" si="918"/>
        <v>0.1258725901420219</v>
      </c>
      <c r="Z630" s="179">
        <f t="shared" si="918"/>
        <v>7.628586476794319E-2</v>
      </c>
      <c r="AA630" s="179">
        <f t="shared" si="918"/>
        <v>0.14673619501170632</v>
      </c>
      <c r="AB630" s="179">
        <f t="shared" si="918"/>
        <v>-0.12249880254314605</v>
      </c>
      <c r="AC630" s="179">
        <f t="shared" si="918"/>
        <v>0.14065454326260629</v>
      </c>
      <c r="AD630" s="179">
        <f t="shared" si="918"/>
        <v>0.35258818950818394</v>
      </c>
      <c r="AE630" s="179">
        <f t="shared" si="918"/>
        <v>3.2819619976694359E-2</v>
      </c>
      <c r="AF630" s="179">
        <f>+AF1145/AE1145-1</f>
        <v>0.19670960999339759</v>
      </c>
      <c r="AG630" s="179">
        <f>+AG1145/AF1145-1</f>
        <v>0.43747672526753445</v>
      </c>
      <c r="AH630" s="179">
        <f>+AH1145/AG1145-1</f>
        <v>-6.6514602580266868E-2</v>
      </c>
      <c r="AI630" s="179">
        <f t="shared" ref="AI630:AM630" si="919">AI631*AI403</f>
        <v>-0.21474540579425794</v>
      </c>
      <c r="AJ630" s="228">
        <f t="shared" si="919"/>
        <v>4.6656832467283582E-2</v>
      </c>
      <c r="AK630" s="228">
        <f t="shared" si="919"/>
        <v>3.9376824998764492E-2</v>
      </c>
      <c r="AL630" s="228">
        <f t="shared" si="919"/>
        <v>0.43135317804423001</v>
      </c>
      <c r="AM630" s="228">
        <f t="shared" si="919"/>
        <v>0.2830812999832506</v>
      </c>
      <c r="AN630" s="228">
        <f t="shared" ref="AN630:AO630" si="920">AN631*AN403</f>
        <v>0.19215200493543591</v>
      </c>
      <c r="AO630" s="228">
        <f t="shared" si="920"/>
        <v>0.13928777967963085</v>
      </c>
      <c r="AP630" s="228">
        <f t="shared" ref="AP630:AT630" si="921">AP631*AP403</f>
        <v>6.3679170584246325E-2</v>
      </c>
      <c r="AQ630" s="228">
        <f t="shared" si="921"/>
        <v>0.38800439669137021</v>
      </c>
      <c r="AR630" s="228">
        <f t="shared" si="921"/>
        <v>0.49605540838511342</v>
      </c>
      <c r="AS630" s="228">
        <f t="shared" si="921"/>
        <v>-2.7946058855967211</v>
      </c>
      <c r="AT630" s="228">
        <f t="shared" si="921"/>
        <v>0</v>
      </c>
    </row>
    <row r="631" spans="4:51">
      <c r="D631" s="175" t="s">
        <v>272</v>
      </c>
      <c r="E631" s="175"/>
      <c r="F631" s="175"/>
      <c r="G631" s="175"/>
      <c r="H631" s="175"/>
      <c r="I631" s="175"/>
      <c r="J631" s="175"/>
      <c r="K631" s="175"/>
      <c r="L631" s="175"/>
      <c r="M631" s="175"/>
      <c r="N631" s="175"/>
      <c r="O631" s="175"/>
      <c r="P631" s="175"/>
      <c r="Q631" s="175"/>
      <c r="R631" s="175"/>
      <c r="S631" s="175"/>
      <c r="T631" s="175"/>
      <c r="U631" s="175"/>
      <c r="V631" s="229"/>
      <c r="W631" s="229">
        <f t="shared" ref="W631:AH631" si="922">+(W1145/V1145-1)/W$403</f>
        <v>0.3689587774921555</v>
      </c>
      <c r="X631" s="229">
        <f t="shared" si="922"/>
        <v>0.3085476136839066</v>
      </c>
      <c r="Y631" s="229">
        <f t="shared" si="922"/>
        <v>1.4400528494569798</v>
      </c>
      <c r="Z631" s="229">
        <f t="shared" si="922"/>
        <v>0.81754550254319913</v>
      </c>
      <c r="AA631" s="229">
        <f t="shared" si="922"/>
        <v>1.1924870444196458</v>
      </c>
      <c r="AB631" s="229">
        <f t="shared" si="922"/>
        <v>-1.1787586682308904</v>
      </c>
      <c r="AC631" s="229">
        <f t="shared" si="922"/>
        <v>1.301144457751527</v>
      </c>
      <c r="AD631" s="229">
        <f t="shared" si="922"/>
        <v>4.0261352237857606</v>
      </c>
      <c r="AE631" s="229">
        <f t="shared" si="922"/>
        <v>0.42832551939643937</v>
      </c>
      <c r="AF631" s="229">
        <f t="shared" si="922"/>
        <v>2.0862332196587929</v>
      </c>
      <c r="AG631" s="229">
        <f t="shared" si="922"/>
        <v>2.6018085959599593</v>
      </c>
      <c r="AH631" s="229">
        <f t="shared" si="922"/>
        <v>-0.24234503545643538</v>
      </c>
      <c r="AI631" s="229">
        <v>-1.337</v>
      </c>
      <c r="AJ631" s="1091">
        <v>0.36210368255446324</v>
      </c>
      <c r="AK631" s="1091">
        <v>0.30111733294521253</v>
      </c>
      <c r="AL631" s="1091">
        <v>3.3591051744010301</v>
      </c>
      <c r="AM631" s="1091">
        <v>2.2524676396574317</v>
      </c>
      <c r="AN631" s="1091">
        <v>1.55386878224912</v>
      </c>
      <c r="AO631" s="1091">
        <v>1.1275710447135201</v>
      </c>
      <c r="AP631" s="1091">
        <v>1</v>
      </c>
      <c r="AQ631" s="1091">
        <v>7</v>
      </c>
      <c r="AR631" s="1091">
        <v>3</v>
      </c>
      <c r="AS631" s="1091">
        <v>3.8</v>
      </c>
      <c r="AT631" s="1091">
        <v>3.8</v>
      </c>
    </row>
    <row r="632" spans="4:51">
      <c r="D632" s="175" t="s">
        <v>236</v>
      </c>
      <c r="E632" s="178" t="s">
        <v>285</v>
      </c>
      <c r="F632" s="175"/>
      <c r="G632" s="175"/>
      <c r="H632" s="175"/>
      <c r="I632" s="175"/>
      <c r="J632" s="175"/>
      <c r="K632" s="175"/>
      <c r="L632" s="175"/>
      <c r="M632" s="175"/>
      <c r="N632" s="175"/>
      <c r="O632" s="175"/>
      <c r="P632" s="175"/>
      <c r="Q632" s="175"/>
      <c r="R632" s="175"/>
      <c r="S632" s="175"/>
      <c r="T632" s="175"/>
      <c r="U632" s="175"/>
      <c r="V632" s="229">
        <f t="shared" ref="V632:AK632" si="923">+V215</f>
        <v>77</v>
      </c>
      <c r="W632" s="229">
        <f t="shared" si="923"/>
        <v>80</v>
      </c>
      <c r="X632" s="229">
        <f t="shared" si="923"/>
        <v>83</v>
      </c>
      <c r="Y632" s="229">
        <f t="shared" si="923"/>
        <v>85</v>
      </c>
      <c r="Z632" s="229">
        <f t="shared" si="923"/>
        <v>88.059857393214742</v>
      </c>
      <c r="AA632" s="229">
        <f t="shared" si="923"/>
        <v>94.930597379738316</v>
      </c>
      <c r="AB632" s="229">
        <f t="shared" si="923"/>
        <v>100</v>
      </c>
      <c r="AC632" s="229">
        <f t="shared" si="923"/>
        <v>101.75323962534691</v>
      </c>
      <c r="AD632" s="229">
        <f t="shared" si="923"/>
        <v>102.69015740454836</v>
      </c>
      <c r="AE632" s="229">
        <f t="shared" si="923"/>
        <v>109.92159765164945</v>
      </c>
      <c r="AF632" s="229">
        <f t="shared" si="923"/>
        <v>116.34620704131083</v>
      </c>
      <c r="AG632" s="229">
        <f>+AG215</f>
        <v>137.33905323382893</v>
      </c>
      <c r="AH632" s="229">
        <f t="shared" si="923"/>
        <v>152.19495054803116</v>
      </c>
      <c r="AI632" s="229">
        <f t="shared" si="923"/>
        <v>151.12069975696949</v>
      </c>
      <c r="AJ632" s="229">
        <f>+AJ215</f>
        <v>161.00885773645342</v>
      </c>
      <c r="AK632" s="229">
        <f t="shared" si="923"/>
        <v>168.64249964686991</v>
      </c>
      <c r="AL632" s="229">
        <f>+AL215</f>
        <v>176.78567436416458</v>
      </c>
      <c r="AM632" s="229">
        <f>+AM215</f>
        <v>185.93127109080814</v>
      </c>
      <c r="AN632" s="229">
        <f t="shared" ref="AN632:AO632" si="924">+AN215</f>
        <v>195.46081776210795</v>
      </c>
      <c r="AO632" s="229">
        <f t="shared" si="924"/>
        <v>205.58972422292157</v>
      </c>
      <c r="AP632" s="229">
        <f t="shared" ref="AP632:AT632" si="925">+AP215</f>
        <v>216.46530487402671</v>
      </c>
      <c r="AQ632" s="229">
        <f t="shared" si="925"/>
        <v>227.46813400005394</v>
      </c>
      <c r="AR632" s="229">
        <f t="shared" si="925"/>
        <v>238.35143036012701</v>
      </c>
      <c r="AS632" s="229">
        <f t="shared" si="925"/>
        <v>252.81876905502457</v>
      </c>
      <c r="AT632" s="229">
        <f t="shared" si="925"/>
        <v>266.42775421750099</v>
      </c>
    </row>
    <row r="633" spans="4:51">
      <c r="D633" s="175" t="s">
        <v>309</v>
      </c>
      <c r="E633" s="178" t="s">
        <v>777</v>
      </c>
      <c r="F633" s="175"/>
      <c r="G633" s="175"/>
      <c r="H633" s="175"/>
      <c r="I633" s="175"/>
      <c r="J633" s="175"/>
      <c r="K633" s="175"/>
      <c r="L633" s="175"/>
      <c r="M633" s="175"/>
      <c r="N633" s="175"/>
      <c r="O633" s="175"/>
      <c r="P633" s="175"/>
      <c r="Q633" s="175"/>
      <c r="R633" s="175"/>
      <c r="S633" s="175"/>
      <c r="T633" s="175"/>
      <c r="U633" s="175"/>
      <c r="V633" s="229"/>
      <c r="W633" s="229"/>
      <c r="X633" s="229"/>
      <c r="Y633" s="229"/>
      <c r="Z633" s="229"/>
      <c r="AA633" s="194">
        <v>70.106999999999999</v>
      </c>
      <c r="AB633" s="194">
        <v>59.3</v>
      </c>
      <c r="AC633" s="194">
        <v>59.3</v>
      </c>
      <c r="AD633" s="229"/>
      <c r="AE633" s="229"/>
      <c r="AF633" s="229"/>
      <c r="AG633" s="229"/>
      <c r="AH633" s="229"/>
      <c r="AI633" s="229"/>
      <c r="AJ633" s="229"/>
      <c r="AK633" s="229"/>
      <c r="AL633" s="229"/>
      <c r="AM633" s="229"/>
      <c r="AN633" s="229"/>
      <c r="AO633" s="229"/>
      <c r="AP633" s="229"/>
      <c r="AQ633" s="229"/>
      <c r="AR633" s="229"/>
      <c r="AS633" s="229"/>
      <c r="AT633" s="229"/>
    </row>
    <row r="634" spans="4:51">
      <c r="D634" s="175" t="s">
        <v>234</v>
      </c>
      <c r="E634" s="191" t="s">
        <v>225</v>
      </c>
      <c r="F634" s="175"/>
      <c r="G634" s="175"/>
      <c r="H634" s="175"/>
      <c r="I634" s="175"/>
      <c r="J634" s="175"/>
      <c r="K634" s="175"/>
      <c r="L634" s="175"/>
      <c r="M634" s="175"/>
      <c r="N634" s="175"/>
      <c r="O634" s="175"/>
      <c r="P634" s="175"/>
      <c r="Q634" s="175"/>
      <c r="R634" s="175"/>
      <c r="S634" s="175"/>
      <c r="T634" s="175"/>
      <c r="U634" s="175"/>
      <c r="V634" s="179">
        <f t="shared" ref="V634:AM634" si="926">+V762/V$284</f>
        <v>5.705846005842638E-2</v>
      </c>
      <c r="W634" s="179">
        <f t="shared" si="926"/>
        <v>5.6790960451977401E-2</v>
      </c>
      <c r="X634" s="179">
        <f t="shared" si="926"/>
        <v>6.6238793806030968E-2</v>
      </c>
      <c r="Y634" s="179">
        <f t="shared" si="926"/>
        <v>7.3425750063729991E-2</v>
      </c>
      <c r="Z634" s="179">
        <f t="shared" si="926"/>
        <v>6.5347043701799487E-2</v>
      </c>
      <c r="AA634" s="179">
        <f t="shared" si="926"/>
        <v>4.1478409177725162E-2</v>
      </c>
      <c r="AB634" s="179">
        <f t="shared" si="926"/>
        <v>4.7177763824692978E-2</v>
      </c>
      <c r="AC634" s="179">
        <f t="shared" si="926"/>
        <v>4.8285979978313374E-2</v>
      </c>
      <c r="AD634" s="179">
        <f t="shared" si="926"/>
        <v>5.1388391400984362E-2</v>
      </c>
      <c r="AE634" s="179">
        <f t="shared" si="926"/>
        <v>5.8349209063245019E-2</v>
      </c>
      <c r="AF634" s="179">
        <f t="shared" si="926"/>
        <v>5.7923132770304961E-2</v>
      </c>
      <c r="AG634" s="179">
        <f t="shared" si="926"/>
        <v>6.4977372987223878E-2</v>
      </c>
      <c r="AH634" s="179">
        <f t="shared" si="926"/>
        <v>5.4671496295543826E-2</v>
      </c>
      <c r="AI634" s="179">
        <f t="shared" si="926"/>
        <v>6.3950787073801182E-2</v>
      </c>
      <c r="AJ634" s="179" t="e">
        <f t="shared" si="926"/>
        <v>#DIV/0!</v>
      </c>
      <c r="AK634" s="179">
        <f t="shared" si="926"/>
        <v>4.6865506365056514E-2</v>
      </c>
      <c r="AL634" s="179">
        <f t="shared" si="926"/>
        <v>4.5496561124682637E-2</v>
      </c>
      <c r="AM634" s="179">
        <f t="shared" si="926"/>
        <v>4.3824436819251453E-2</v>
      </c>
      <c r="AN634" s="179">
        <v>5.1726720245220133E-2</v>
      </c>
      <c r="AO634" s="179">
        <v>5.1726720245220133E-2</v>
      </c>
      <c r="AP634" s="179">
        <v>1.0517267202452201</v>
      </c>
      <c r="AQ634" s="179">
        <v>2.0517267202452198</v>
      </c>
      <c r="AR634" s="179">
        <v>3.0517267202452198</v>
      </c>
      <c r="AS634" s="179">
        <v>4.0517267202452203</v>
      </c>
      <c r="AT634" s="179">
        <v>5.0517267202452203</v>
      </c>
    </row>
    <row r="635" spans="4:51">
      <c r="D635" s="1906" t="s">
        <v>3404</v>
      </c>
      <c r="E635" s="1906"/>
      <c r="F635" s="1906"/>
      <c r="G635" s="1906"/>
      <c r="H635" s="1906"/>
      <c r="I635" s="1906"/>
      <c r="J635" s="1906"/>
      <c r="K635" s="1906"/>
      <c r="L635" s="1906"/>
      <c r="M635" s="1906"/>
      <c r="N635" s="1906"/>
      <c r="O635" s="1906"/>
      <c r="P635" s="1906"/>
      <c r="Q635" s="1906"/>
      <c r="R635" s="1906"/>
      <c r="S635" s="1906"/>
      <c r="T635" s="1906"/>
      <c r="U635" s="1906"/>
      <c r="V635" s="1907"/>
      <c r="W635" s="1908"/>
      <c r="X635" s="1908"/>
      <c r="Y635" s="1908"/>
      <c r="Z635" s="1908"/>
      <c r="AA635" s="1908"/>
      <c r="AB635" s="1908"/>
      <c r="AC635" s="1908"/>
      <c r="AD635" s="1908"/>
      <c r="AE635" s="1908"/>
      <c r="AF635" s="1908"/>
      <c r="AG635" s="1908"/>
      <c r="AH635" s="1909">
        <v>4.6000000000000005</v>
      </c>
      <c r="AI635" s="1909">
        <f>(17.52*2)*AI253/1000</f>
        <v>44.043293018839996</v>
      </c>
      <c r="AJ635" s="1909">
        <v>0</v>
      </c>
      <c r="AK635" s="1909"/>
      <c r="AL635" s="1909"/>
      <c r="AM635" s="1909"/>
      <c r="AN635" s="1909"/>
      <c r="AO635" s="1909"/>
      <c r="AP635" s="1909"/>
      <c r="AQ635" s="1909"/>
      <c r="AR635" s="1909"/>
      <c r="AS635" s="1909"/>
      <c r="AT635" s="1909"/>
    </row>
    <row r="636" spans="4:51" ht="23.25" customHeight="1">
      <c r="D636" s="236" t="s">
        <v>238</v>
      </c>
      <c r="E636" s="237"/>
      <c r="F636" s="237"/>
      <c r="G636" s="237"/>
      <c r="H636" s="237"/>
      <c r="I636" s="237"/>
      <c r="J636" s="237"/>
      <c r="K636" s="237"/>
      <c r="L636" s="237"/>
      <c r="M636" s="237"/>
      <c r="N636" s="237"/>
      <c r="O636" s="237"/>
      <c r="P636" s="237"/>
      <c r="Q636" s="237"/>
      <c r="R636" s="237"/>
      <c r="S636" s="237"/>
      <c r="T636" s="237"/>
      <c r="U636" s="237"/>
      <c r="V636" s="238" t="str">
        <f t="shared" ref="V636:AA636" si="927">+IF(ABS(V370+V375-V933)&gt;0.002,"check","")</f>
        <v/>
      </c>
      <c r="W636" s="238" t="str">
        <f t="shared" si="927"/>
        <v/>
      </c>
      <c r="X636" s="238" t="str">
        <f t="shared" si="927"/>
        <v/>
      </c>
      <c r="Y636" s="238" t="str">
        <f t="shared" si="927"/>
        <v/>
      </c>
      <c r="Z636" s="238" t="str">
        <f t="shared" si="927"/>
        <v/>
      </c>
      <c r="AA636" s="238" t="str">
        <f t="shared" si="927"/>
        <v/>
      </c>
      <c r="AB636" s="239"/>
      <c r="AC636" s="240"/>
      <c r="AD636" s="237"/>
      <c r="AE636" s="237"/>
      <c r="AF636" s="238"/>
      <c r="AG636" s="238" t="str">
        <f t="shared" ref="AG636:AO636" si="928">+IF(ABS(AG370+AG375-AG933)&gt;0.002,"check","")</f>
        <v/>
      </c>
      <c r="AH636" s="238" t="str">
        <f t="shared" si="928"/>
        <v/>
      </c>
      <c r="AI636" s="238" t="str">
        <f t="shared" si="928"/>
        <v/>
      </c>
      <c r="AJ636" s="238" t="e">
        <f t="shared" si="928"/>
        <v>#DIV/0!</v>
      </c>
      <c r="AK636" s="238" t="e">
        <f t="shared" si="928"/>
        <v>#DIV/0!</v>
      </c>
      <c r="AL636" s="238" t="e">
        <f t="shared" si="928"/>
        <v>#DIV/0!</v>
      </c>
      <c r="AM636" s="238" t="e">
        <f t="shared" si="928"/>
        <v>#DIV/0!</v>
      </c>
      <c r="AN636" s="238" t="e">
        <f t="shared" si="928"/>
        <v>#DIV/0!</v>
      </c>
      <c r="AO636" s="238" t="e">
        <f t="shared" si="928"/>
        <v>#DIV/0!</v>
      </c>
      <c r="AP636" s="238"/>
      <c r="AQ636" s="238"/>
      <c r="AR636" s="238"/>
      <c r="AS636" s="238"/>
      <c r="AT636" s="238"/>
    </row>
    <row r="637" spans="4:51" ht="15.75" customHeight="1">
      <c r="D637" s="241" t="s">
        <v>167</v>
      </c>
      <c r="E637" s="175"/>
      <c r="F637" s="175"/>
      <c r="G637" s="175"/>
      <c r="H637" s="175"/>
      <c r="I637" s="175"/>
      <c r="J637" s="175"/>
      <c r="K637" s="175"/>
      <c r="L637" s="175"/>
      <c r="M637" s="175"/>
      <c r="N637" s="175"/>
      <c r="O637" s="175"/>
      <c r="P637" s="175"/>
      <c r="Q637" s="175"/>
      <c r="R637" s="175"/>
      <c r="S637" s="175"/>
      <c r="T637" s="175"/>
      <c r="U637" s="175"/>
      <c r="V637" s="179"/>
      <c r="W637" s="179"/>
      <c r="X637" s="179"/>
      <c r="Y637" s="179"/>
      <c r="Z637" s="179"/>
      <c r="AA637" s="179"/>
      <c r="AB637" s="195"/>
      <c r="AC637" s="202"/>
      <c r="AD637" s="175"/>
      <c r="AE637" s="175"/>
      <c r="AF637" s="179"/>
      <c r="AG637" s="179"/>
      <c r="AH637" s="179"/>
      <c r="AI637" s="179"/>
      <c r="AJ637" s="179"/>
      <c r="AK637" s="179"/>
      <c r="AL637" s="179"/>
      <c r="AM637" s="179"/>
      <c r="AN637" s="179"/>
      <c r="AO637" s="179"/>
      <c r="AP637" s="179"/>
      <c r="AQ637" s="179"/>
      <c r="AR637" s="179"/>
      <c r="AS637" s="179"/>
      <c r="AT637" s="179"/>
    </row>
    <row r="638" spans="4:51" ht="15.75" customHeight="1">
      <c r="D638" s="2163" t="s">
        <v>3359</v>
      </c>
      <c r="E638" s="175"/>
      <c r="F638" s="175"/>
      <c r="G638" s="175"/>
      <c r="H638" s="175"/>
      <c r="I638" s="175"/>
      <c r="J638" s="175"/>
      <c r="K638" s="175"/>
      <c r="L638" s="175"/>
      <c r="M638" s="175"/>
      <c r="N638" s="175"/>
      <c r="O638" s="175"/>
      <c r="P638" s="175"/>
      <c r="Q638" s="175"/>
      <c r="R638" s="175"/>
      <c r="S638" s="175"/>
      <c r="T638" s="175"/>
      <c r="U638" s="175"/>
      <c r="V638" s="179"/>
      <c r="W638" s="229">
        <f t="shared" ref="W638:AI638" si="929">W1104</f>
        <v>0</v>
      </c>
      <c r="X638" s="229">
        <f t="shared" si="929"/>
        <v>27</v>
      </c>
      <c r="Y638" s="229">
        <f t="shared" si="929"/>
        <v>31.426778254999999</v>
      </c>
      <c r="Z638" s="229">
        <f t="shared" si="929"/>
        <v>46.041863857999999</v>
      </c>
      <c r="AA638" s="229">
        <f t="shared" si="929"/>
        <v>39.6</v>
      </c>
      <c r="AB638" s="229">
        <f t="shared" si="929"/>
        <v>80.861739053000008</v>
      </c>
      <c r="AC638" s="229">
        <f t="shared" si="929"/>
        <v>75.644475446999991</v>
      </c>
      <c r="AD638" s="229">
        <f t="shared" si="929"/>
        <v>117.83587177299999</v>
      </c>
      <c r="AE638" s="229">
        <f t="shared" si="929"/>
        <v>127.92333151299999</v>
      </c>
      <c r="AF638" s="229">
        <f t="shared" si="929"/>
        <v>146.21061789099997</v>
      </c>
      <c r="AG638" s="229">
        <f t="shared" si="929"/>
        <v>260.06328746499997</v>
      </c>
      <c r="AH638" s="229">
        <f t="shared" si="929"/>
        <v>177.2</v>
      </c>
      <c r="AI638" s="229">
        <f t="shared" si="929"/>
        <v>176.54582574299999</v>
      </c>
      <c r="AJ638" s="1908">
        <f>AJ639*AJ402</f>
        <v>161.82803506374094</v>
      </c>
      <c r="AK638" s="1908">
        <v>113.17104</v>
      </c>
      <c r="AL638" s="1908">
        <v>56.679054000000008</v>
      </c>
      <c r="AM638" s="1908">
        <v>50.359746000000001</v>
      </c>
      <c r="AN638" s="1908">
        <v>38.557224000000005</v>
      </c>
      <c r="AO638" s="1908">
        <v>20.991906</v>
      </c>
      <c r="AP638" s="1908"/>
      <c r="AQ638" s="1908"/>
      <c r="AR638" s="1908"/>
      <c r="AS638" s="1908"/>
      <c r="AT638" s="1908"/>
      <c r="AU638" s="1041"/>
      <c r="AV638" s="1241"/>
      <c r="AW638" s="1241"/>
      <c r="AY638" s="1041"/>
    </row>
    <row r="639" spans="4:51" ht="15.75" customHeight="1">
      <c r="D639" s="2164" t="s">
        <v>296</v>
      </c>
      <c r="E639" s="175"/>
      <c r="F639" s="175"/>
      <c r="G639" s="175"/>
      <c r="H639" s="175"/>
      <c r="I639" s="175"/>
      <c r="J639" s="175"/>
      <c r="K639" s="175"/>
      <c r="L639" s="175"/>
      <c r="M639" s="175"/>
      <c r="N639" s="175"/>
      <c r="O639" s="175"/>
      <c r="P639" s="175"/>
      <c r="Q639" s="175"/>
      <c r="R639" s="175"/>
      <c r="S639" s="175"/>
      <c r="T639" s="175"/>
      <c r="U639" s="175"/>
      <c r="V639" s="179"/>
      <c r="W639" s="179"/>
      <c r="X639" s="179">
        <f t="shared" ref="X639:AC639" si="930">+X378/X$284</f>
        <v>5.5012224938875308E-3</v>
      </c>
      <c r="Y639" s="179">
        <f t="shared" si="930"/>
        <v>5.8884725979014424E-3</v>
      </c>
      <c r="Z639" s="179">
        <f t="shared" si="930"/>
        <v>5.7647757909168812E-3</v>
      </c>
      <c r="AA639" s="179">
        <f t="shared" si="930"/>
        <v>5.1274225545551661E-3</v>
      </c>
      <c r="AB639" s="179">
        <f t="shared" si="930"/>
        <v>1.0167265689798175E-2</v>
      </c>
      <c r="AC639" s="179">
        <f t="shared" si="930"/>
        <v>1.0890718562874251E-2</v>
      </c>
      <c r="AD639" s="179">
        <f>+AD378/AD$284</f>
        <v>1.2273457214957558E-2</v>
      </c>
      <c r="AE639" s="179">
        <f t="shared" ref="AE639:AG639" si="931">+AE638/AE$402</f>
        <v>1.362916380918389E-2</v>
      </c>
      <c r="AF639" s="179">
        <f t="shared" si="931"/>
        <v>1.4235285550676659E-2</v>
      </c>
      <c r="AG639" s="179">
        <f t="shared" si="931"/>
        <v>2.1675553214285711E-2</v>
      </c>
      <c r="AH639" s="179">
        <f>+AH638/AH$402</f>
        <v>1.1588516120593813E-2</v>
      </c>
      <c r="AI639" s="179">
        <f t="shared" ref="AI639:AO639" si="932">+AI638/AI$402</f>
        <v>9.9479250432749199E-3</v>
      </c>
      <c r="AJ639" s="2165">
        <v>8.0777947793376492E-3</v>
      </c>
      <c r="AK639" s="2165">
        <f>+AK638/AK$402</f>
        <v>4.9957471784648089E-3</v>
      </c>
      <c r="AL639" s="2165">
        <f t="shared" si="932"/>
        <v>2.2172752568856255E-3</v>
      </c>
      <c r="AM639" s="2165">
        <f t="shared" si="932"/>
        <v>1.7501171130314527E-3</v>
      </c>
      <c r="AN639" s="2165">
        <f t="shared" si="932"/>
        <v>1.1924886955619264E-3</v>
      </c>
      <c r="AO639" s="2165">
        <f t="shared" si="932"/>
        <v>5.7785127953727158E-4</v>
      </c>
      <c r="AP639" s="2165">
        <f>AP638/AI402</f>
        <v>0</v>
      </c>
      <c r="AQ639" s="2165"/>
      <c r="AR639" s="2165"/>
      <c r="AS639" s="2165"/>
      <c r="AT639" s="2165"/>
      <c r="AV639" s="1241"/>
    </row>
    <row r="640" spans="4:51" ht="15.75" customHeight="1">
      <c r="D640" s="2163" t="s">
        <v>3705</v>
      </c>
      <c r="E640" s="175"/>
      <c r="F640" s="175"/>
      <c r="G640" s="175"/>
      <c r="H640" s="175"/>
      <c r="I640" s="175"/>
      <c r="J640" s="175"/>
      <c r="K640" s="175"/>
      <c r="L640" s="175"/>
      <c r="M640" s="175"/>
      <c r="N640" s="175"/>
      <c r="O640" s="175"/>
      <c r="P640" s="175"/>
      <c r="Q640" s="175"/>
      <c r="R640" s="175"/>
      <c r="S640" s="175"/>
      <c r="T640" s="175"/>
      <c r="U640" s="175"/>
      <c r="V640" s="179"/>
      <c r="W640" s="229">
        <v>0</v>
      </c>
      <c r="X640" s="229">
        <v>0</v>
      </c>
      <c r="Y640" s="229">
        <v>0</v>
      </c>
      <c r="Z640" s="229">
        <v>2.8</v>
      </c>
      <c r="AA640" s="229">
        <v>6.8112400538358004</v>
      </c>
      <c r="AB640" s="229">
        <f>0*13.22+7</f>
        <v>7</v>
      </c>
      <c r="AC640" s="229">
        <v>7.99</v>
      </c>
      <c r="AD640" s="249">
        <f>8.65*0</f>
        <v>0</v>
      </c>
      <c r="AE640" s="220">
        <f t="shared" ref="AE640:AI640" si="933">+AD380</f>
        <v>0</v>
      </c>
      <c r="AF640" s="220">
        <f t="shared" si="933"/>
        <v>0</v>
      </c>
      <c r="AG640" s="220">
        <f t="shared" si="933"/>
        <v>0</v>
      </c>
      <c r="AH640" s="220">
        <f t="shared" si="933"/>
        <v>0</v>
      </c>
      <c r="AI640" s="220">
        <f t="shared" si="933"/>
        <v>0</v>
      </c>
      <c r="AJ640" s="1908">
        <f>AJ641+AJ642</f>
        <v>0</v>
      </c>
      <c r="AK640" s="1908">
        <f t="shared" ref="AK640:AN640" si="934">AK641+AK642</f>
        <v>11.67</v>
      </c>
      <c r="AL640" s="1908">
        <f t="shared" si="934"/>
        <v>11.67</v>
      </c>
      <c r="AM640" s="1908">
        <f t="shared" si="934"/>
        <v>11.67</v>
      </c>
      <c r="AN640" s="1908">
        <f t="shared" si="934"/>
        <v>11.67</v>
      </c>
      <c r="AO640" s="1908">
        <f t="shared" ref="AO640:AO641" si="935">+AN380</f>
        <v>0</v>
      </c>
      <c r="AP640" s="1908"/>
      <c r="AQ640" s="1908"/>
      <c r="AR640" s="1908"/>
      <c r="AS640" s="1908"/>
      <c r="AT640" s="1908"/>
    </row>
    <row r="641" spans="4:49" ht="15.65" customHeight="1">
      <c r="D641" s="2163" t="s">
        <v>3703</v>
      </c>
      <c r="E641" s="175"/>
      <c r="F641" s="175"/>
      <c r="G641" s="175"/>
      <c r="H641" s="175"/>
      <c r="I641" s="175"/>
      <c r="J641" s="175"/>
      <c r="K641" s="175"/>
      <c r="L641" s="175"/>
      <c r="M641" s="175"/>
      <c r="N641" s="175"/>
      <c r="O641" s="175"/>
      <c r="P641" s="175"/>
      <c r="Q641" s="175"/>
      <c r="R641" s="175"/>
      <c r="S641" s="175"/>
      <c r="T641" s="175"/>
      <c r="U641" s="175"/>
      <c r="V641" s="179"/>
      <c r="W641" s="179"/>
      <c r="X641" s="229">
        <v>-5.0999999999999996</v>
      </c>
      <c r="Y641" s="229">
        <v>0</v>
      </c>
      <c r="Z641" s="229">
        <v>-4.0382462570694404</v>
      </c>
      <c r="AA641" s="229">
        <v>-4</v>
      </c>
      <c r="AB641" s="229">
        <f>-AB382</f>
        <v>-11.551405159833335</v>
      </c>
      <c r="AC641" s="994">
        <v>0</v>
      </c>
      <c r="AD641" s="229">
        <v>0</v>
      </c>
      <c r="AE641" s="220">
        <f t="shared" ref="AE641:AI641" si="936">+AD381</f>
        <v>0</v>
      </c>
      <c r="AF641" s="220">
        <f t="shared" si="936"/>
        <v>0</v>
      </c>
      <c r="AG641" s="220">
        <f t="shared" si="936"/>
        <v>0</v>
      </c>
      <c r="AH641" s="220">
        <f t="shared" si="936"/>
        <v>0</v>
      </c>
      <c r="AI641" s="220">
        <f t="shared" si="936"/>
        <v>0</v>
      </c>
      <c r="AJ641" s="1908">
        <f>5.9517*0</f>
        <v>0</v>
      </c>
      <c r="AK641" s="1908">
        <v>5.9516999999999998</v>
      </c>
      <c r="AL641" s="1908">
        <v>5.9516999999999998</v>
      </c>
      <c r="AM641" s="1908">
        <v>5.9516999999999998</v>
      </c>
      <c r="AN641" s="1908">
        <v>5.9516999999999998</v>
      </c>
      <c r="AO641" s="1908">
        <f t="shared" si="935"/>
        <v>0</v>
      </c>
      <c r="AP641" s="1908"/>
      <c r="AQ641" s="1908"/>
      <c r="AR641" s="1908"/>
      <c r="AS641" s="1908"/>
      <c r="AT641" s="1908"/>
    </row>
    <row r="642" spans="4:49" ht="15.75" customHeight="1">
      <c r="D642" s="2163" t="s">
        <v>3704</v>
      </c>
      <c r="E642" s="175"/>
      <c r="F642" s="175"/>
      <c r="G642" s="175"/>
      <c r="H642" s="175"/>
      <c r="I642" s="175"/>
      <c r="J642" s="175"/>
      <c r="K642" s="175"/>
      <c r="L642" s="175"/>
      <c r="M642" s="175"/>
      <c r="N642" s="175"/>
      <c r="O642" s="175"/>
      <c r="P642" s="175"/>
      <c r="Q642" s="175"/>
      <c r="R642" s="175"/>
      <c r="S642" s="175"/>
      <c r="T642" s="175"/>
      <c r="U642" s="175"/>
      <c r="V642" s="179"/>
      <c r="W642" s="179"/>
      <c r="X642" s="229"/>
      <c r="Y642" s="229"/>
      <c r="Z642" s="229"/>
      <c r="AA642" s="229"/>
      <c r="AB642" s="229"/>
      <c r="AC642" s="994"/>
      <c r="AD642" s="229"/>
      <c r="AE642" s="220"/>
      <c r="AF642" s="220"/>
      <c r="AG642" s="220"/>
      <c r="AH642" s="220"/>
      <c r="AI642" s="220"/>
      <c r="AJ642" s="1908">
        <f>5.7183*0</f>
        <v>0</v>
      </c>
      <c r="AK642" s="1908">
        <v>5.7183000000000002</v>
      </c>
      <c r="AL642" s="1908">
        <v>5.7183000000000002</v>
      </c>
      <c r="AM642" s="1908">
        <v>5.7183000000000002</v>
      </c>
      <c r="AN642" s="1908">
        <v>5.7183000000000002</v>
      </c>
      <c r="AO642" s="1908"/>
      <c r="AP642" s="1908"/>
      <c r="AQ642" s="1908"/>
      <c r="AR642" s="1908"/>
      <c r="AS642" s="1908"/>
      <c r="AT642" s="1908"/>
    </row>
    <row r="643" spans="4:49" ht="15.75" customHeight="1">
      <c r="D643" s="2163" t="s">
        <v>3707</v>
      </c>
      <c r="E643" s="175"/>
      <c r="F643" s="175"/>
      <c r="G643" s="175"/>
      <c r="H643" s="175"/>
      <c r="I643" s="175"/>
      <c r="J643" s="175"/>
      <c r="K643" s="175"/>
      <c r="L643" s="175"/>
      <c r="M643" s="175"/>
      <c r="N643" s="175"/>
      <c r="O643" s="175"/>
      <c r="P643" s="175"/>
      <c r="Q643" s="175"/>
      <c r="R643" s="175"/>
      <c r="S643" s="175"/>
      <c r="T643" s="175"/>
      <c r="U643" s="175"/>
      <c r="V643" s="179"/>
      <c r="W643" s="179"/>
      <c r="X643" s="229"/>
      <c r="Y643" s="229"/>
      <c r="Z643" s="229"/>
      <c r="AA643" s="229"/>
      <c r="AB643" s="229"/>
      <c r="AC643" s="994"/>
      <c r="AD643" s="229"/>
      <c r="AE643" s="220"/>
      <c r="AF643" s="220"/>
      <c r="AG643" s="220"/>
      <c r="AH643" s="220"/>
      <c r="AI643" s="220"/>
      <c r="AJ643" s="1908">
        <f>11.16677364*0</f>
        <v>0</v>
      </c>
      <c r="AK643" s="1908">
        <f>11.16677364*0</f>
        <v>0</v>
      </c>
      <c r="AL643" s="1908">
        <f>12.19557942*0</f>
        <v>0</v>
      </c>
      <c r="AM643" s="1908">
        <f>5.978727345*0</f>
        <v>0</v>
      </c>
      <c r="AN643" s="1908">
        <f>2.763727345*0</f>
        <v>0</v>
      </c>
      <c r="AO643" s="1908"/>
      <c r="AP643" s="1908"/>
      <c r="AQ643" s="1908"/>
      <c r="AR643" s="1908"/>
      <c r="AS643" s="1908"/>
      <c r="AT643" s="1908"/>
    </row>
    <row r="644" spans="4:49" ht="15.75" customHeight="1">
      <c r="D644" s="2297" t="s">
        <v>3779</v>
      </c>
      <c r="E644" s="175"/>
      <c r="F644" s="175"/>
      <c r="G644" s="175"/>
      <c r="H644" s="175"/>
      <c r="I644" s="175"/>
      <c r="J644" s="175"/>
      <c r="K644" s="175"/>
      <c r="L644" s="175"/>
      <c r="M644" s="175"/>
      <c r="N644" s="175"/>
      <c r="O644" s="175"/>
      <c r="P644" s="175"/>
      <c r="Q644" s="175"/>
      <c r="R644" s="175"/>
      <c r="S644" s="175"/>
      <c r="T644" s="175"/>
      <c r="U644" s="175"/>
      <c r="V644" s="179"/>
      <c r="W644" s="179"/>
      <c r="X644" s="229"/>
      <c r="Y644" s="229"/>
      <c r="Z644" s="229"/>
      <c r="AA644" s="229"/>
      <c r="AB644" s="229"/>
      <c r="AC644" s="994"/>
      <c r="AD644" s="229"/>
      <c r="AE644" s="220"/>
      <c r="AF644" s="220"/>
      <c r="AG644" s="220"/>
      <c r="AH644" s="220"/>
      <c r="AI644" s="220"/>
      <c r="AJ644" s="2298">
        <f>1.35033193911871*0</f>
        <v>0</v>
      </c>
      <c r="AK644" s="2298">
        <v>12.2066834564004</v>
      </c>
      <c r="AL644" s="2298">
        <f>0.770646168135277*0</f>
        <v>0</v>
      </c>
      <c r="AM644" s="2298">
        <f>0.335227721270553*0</f>
        <v>0</v>
      </c>
      <c r="AN644" s="2298">
        <f>0.0670824181352765*0</f>
        <v>0</v>
      </c>
      <c r="AO644" s="2298"/>
      <c r="AP644" s="1908"/>
      <c r="AQ644" s="1908"/>
      <c r="AR644" s="1908"/>
      <c r="AS644" s="1908"/>
      <c r="AT644" s="1908"/>
    </row>
    <row r="645" spans="4:49" ht="15.65" customHeight="1">
      <c r="D645" s="2163" t="s">
        <v>3709</v>
      </c>
      <c r="E645" s="175"/>
      <c r="F645" s="175"/>
      <c r="G645" s="175"/>
      <c r="H645" s="175"/>
      <c r="I645" s="175"/>
      <c r="J645" s="175"/>
      <c r="K645" s="175"/>
      <c r="L645" s="175"/>
      <c r="M645" s="175"/>
      <c r="N645" s="175"/>
      <c r="O645" s="175"/>
      <c r="P645" s="175"/>
      <c r="Q645" s="175"/>
      <c r="R645" s="175"/>
      <c r="S645" s="175"/>
      <c r="T645" s="175"/>
      <c r="U645" s="175"/>
      <c r="V645" s="179"/>
      <c r="W645" s="179"/>
      <c r="X645" s="229"/>
      <c r="Y645" s="229"/>
      <c r="Z645" s="229"/>
      <c r="AA645" s="229"/>
      <c r="AB645" s="229"/>
      <c r="AC645" s="994"/>
      <c r="AD645" s="229"/>
      <c r="AE645" s="220"/>
      <c r="AF645" s="220"/>
      <c r="AG645" s="220"/>
      <c r="AH645" s="220"/>
      <c r="AI645" s="220"/>
      <c r="AJ645" s="1908">
        <f>34.05836858*0</f>
        <v>0</v>
      </c>
      <c r="AK645" s="1908">
        <f>34.05836858*0</f>
        <v>0</v>
      </c>
      <c r="AL645" s="1908">
        <f>4*0</f>
        <v>0</v>
      </c>
      <c r="AM645" s="1908">
        <f>2*0</f>
        <v>0</v>
      </c>
      <c r="AN645" s="1908">
        <v>0</v>
      </c>
      <c r="AO645" s="1908"/>
      <c r="AP645" s="1908"/>
      <c r="AQ645" s="1908"/>
      <c r="AR645" s="1908"/>
      <c r="AS645" s="1908"/>
      <c r="AT645" s="1908"/>
    </row>
    <row r="646" spans="4:49" ht="15.65" customHeight="1">
      <c r="D646" s="2163" t="s">
        <v>3708</v>
      </c>
      <c r="E646" s="175"/>
      <c r="F646" s="175"/>
      <c r="G646" s="175"/>
      <c r="H646" s="175"/>
      <c r="I646" s="175"/>
      <c r="J646" s="175"/>
      <c r="K646" s="175"/>
      <c r="L646" s="175"/>
      <c r="M646" s="175"/>
      <c r="N646" s="175"/>
      <c r="O646" s="175"/>
      <c r="P646" s="175"/>
      <c r="Q646" s="175"/>
      <c r="R646" s="175"/>
      <c r="S646" s="175"/>
      <c r="T646" s="175"/>
      <c r="U646" s="175"/>
      <c r="V646" s="179"/>
      <c r="W646" s="179"/>
      <c r="X646" s="229"/>
      <c r="Y646" s="229"/>
      <c r="Z646" s="229"/>
      <c r="AA646" s="229"/>
      <c r="AB646" s="229"/>
      <c r="AC646" s="994"/>
      <c r="AD646" s="229"/>
      <c r="AE646" s="220"/>
      <c r="AF646" s="220"/>
      <c r="AG646" s="220"/>
      <c r="AH646" s="220"/>
      <c r="AI646" s="220"/>
      <c r="AJ646" s="1908">
        <f>1.9223347432*0</f>
        <v>0</v>
      </c>
      <c r="AK646" s="1908">
        <f>1.9223347432*0</f>
        <v>0</v>
      </c>
      <c r="AL646" s="1908">
        <f>0.48*0</f>
        <v>0</v>
      </c>
      <c r="AM646" s="1908">
        <f>0.16*0</f>
        <v>0</v>
      </c>
      <c r="AN646" s="1908">
        <v>0</v>
      </c>
      <c r="AO646" s="1908"/>
      <c r="AP646" s="1908"/>
      <c r="AQ646" s="1908"/>
      <c r="AR646" s="1908"/>
      <c r="AS646" s="1908"/>
      <c r="AT646" s="1908"/>
    </row>
    <row r="647" spans="4:49" ht="15.75" customHeight="1">
      <c r="D647" s="2163" t="s">
        <v>3706</v>
      </c>
      <c r="E647" s="175"/>
      <c r="F647" s="175"/>
      <c r="G647" s="175"/>
      <c r="H647" s="175"/>
      <c r="I647" s="175"/>
      <c r="J647" s="175"/>
      <c r="K647" s="175"/>
      <c r="L647" s="175"/>
      <c r="M647" s="175"/>
      <c r="N647" s="175"/>
      <c r="O647" s="175"/>
      <c r="P647" s="175"/>
      <c r="Q647" s="175"/>
      <c r="R647" s="175"/>
      <c r="S647" s="175"/>
      <c r="T647" s="175"/>
      <c r="U647" s="175"/>
      <c r="V647" s="179"/>
      <c r="W647" s="179"/>
      <c r="X647" s="229"/>
      <c r="Y647" s="229"/>
      <c r="Z647" s="229"/>
      <c r="AA647" s="229"/>
      <c r="AB647" s="229">
        <f>0*20.5+14*AB253/1000+0.1</f>
        <v>11.551405159833335</v>
      </c>
      <c r="AC647" s="994">
        <f>(25-14)*AC253/1000</f>
        <v>9.3091120842499979</v>
      </c>
      <c r="AD647" s="229"/>
      <c r="AE647" s="220"/>
      <c r="AF647" s="229"/>
      <c r="AG647" s="229"/>
      <c r="AH647" s="229"/>
      <c r="AI647" s="229"/>
      <c r="AJ647" s="1908">
        <f>(AI75+AJ68+AI62+AJ59)</f>
        <v>0</v>
      </c>
      <c r="AK647" s="1908">
        <f>(AJ75+AK68+AJ62+AK59)</f>
        <v>443.230615</v>
      </c>
      <c r="AL647" s="1908">
        <f t="shared" ref="AL647:AO647" si="937">(AK75+AL68+AK62+AL59)</f>
        <v>340.192543</v>
      </c>
      <c r="AM647" s="1908">
        <f t="shared" si="937"/>
        <v>42.129944999999999</v>
      </c>
      <c r="AN647" s="1908">
        <f t="shared" si="937"/>
        <v>14.909769186400279</v>
      </c>
      <c r="AO647" s="1908">
        <f t="shared" si="937"/>
        <v>0</v>
      </c>
      <c r="AP647" s="1908"/>
      <c r="AQ647" s="1908"/>
      <c r="AR647" s="1908"/>
      <c r="AS647" s="1908"/>
      <c r="AT647" s="1908"/>
    </row>
    <row r="648" spans="4:49" ht="15.75" customHeight="1">
      <c r="D648" s="175" t="s">
        <v>298</v>
      </c>
      <c r="E648" s="175"/>
      <c r="F648" s="175"/>
      <c r="G648" s="175"/>
      <c r="H648" s="175"/>
      <c r="I648" s="175"/>
      <c r="J648" s="175"/>
      <c r="K648" s="175"/>
      <c r="L648" s="175"/>
      <c r="M648" s="175"/>
      <c r="N648" s="175"/>
      <c r="O648" s="175"/>
      <c r="P648" s="175"/>
      <c r="Q648" s="175"/>
      <c r="R648" s="175"/>
      <c r="S648" s="175"/>
      <c r="T648" s="175"/>
      <c r="U648" s="175"/>
      <c r="V648" s="179"/>
      <c r="W648" s="179"/>
      <c r="X648" s="179"/>
      <c r="Y648" s="229">
        <v>0</v>
      </c>
      <c r="Z648" s="229">
        <v>29.4</v>
      </c>
      <c r="AA648" s="229">
        <v>29.4</v>
      </c>
      <c r="AB648" s="229">
        <f>0*22+35.3*0+45.3*0+28.6*0+31.25</f>
        <v>31.25</v>
      </c>
      <c r="AC648" s="994">
        <f>39.8*0+44.75*0+30.15+13.61</f>
        <v>43.76</v>
      </c>
      <c r="AD648" s="220">
        <v>49.674370664146352</v>
      </c>
      <c r="AE648" s="220">
        <v>102.75929201700001</v>
      </c>
      <c r="AF648" s="231">
        <v>99.683989137760705</v>
      </c>
      <c r="AG648" s="231">
        <f>73.5626402884471+28</f>
        <v>101.5626402884471</v>
      </c>
      <c r="AH648" s="231">
        <v>115</v>
      </c>
      <c r="AI648" s="231">
        <f>AH648*1.05</f>
        <v>120.75</v>
      </c>
      <c r="AJ648" s="231">
        <f>AI648*1.05</f>
        <v>126.78750000000001</v>
      </c>
      <c r="AK648" s="231">
        <f>AJ648*1.05</f>
        <v>133.12687500000001</v>
      </c>
      <c r="AL648" s="231">
        <f>AK648*1.115</f>
        <v>148.43646562500001</v>
      </c>
      <c r="AM648" s="231">
        <f>AL648*1.05</f>
        <v>155.85828890625001</v>
      </c>
      <c r="AN648" s="231">
        <f t="shared" ref="AN648:AO648" si="938">AM648*1.05</f>
        <v>163.65120335156251</v>
      </c>
      <c r="AO648" s="231">
        <f t="shared" si="938"/>
        <v>171.83376351914066</v>
      </c>
      <c r="AP648" s="231"/>
      <c r="AQ648" s="231"/>
      <c r="AR648" s="231"/>
      <c r="AS648" s="231"/>
      <c r="AT648" s="231"/>
      <c r="AW648" s="1241"/>
    </row>
    <row r="649" spans="4:49" ht="15.75" customHeight="1">
      <c r="D649" s="241" t="s">
        <v>191</v>
      </c>
      <c r="E649" s="175"/>
      <c r="F649" s="175"/>
      <c r="G649" s="175"/>
      <c r="H649" s="175"/>
      <c r="I649" s="175"/>
      <c r="J649" s="175"/>
      <c r="K649" s="175"/>
      <c r="L649" s="175"/>
      <c r="M649" s="175"/>
      <c r="N649" s="175"/>
      <c r="O649" s="175"/>
      <c r="P649" s="175"/>
      <c r="Q649" s="175"/>
      <c r="R649" s="175"/>
      <c r="S649" s="175"/>
      <c r="T649" s="175"/>
      <c r="U649" s="175"/>
      <c r="V649" s="179"/>
      <c r="W649" s="179"/>
      <c r="X649" s="179"/>
      <c r="Y649" s="229"/>
      <c r="Z649" s="229"/>
      <c r="AA649" s="229"/>
      <c r="AB649" s="229"/>
      <c r="AC649" s="229"/>
      <c r="AD649" s="175"/>
      <c r="AE649" s="175"/>
      <c r="AF649" s="229"/>
      <c r="AG649" s="229"/>
      <c r="AH649" s="229"/>
      <c r="AI649" s="229"/>
      <c r="AJ649" s="229"/>
      <c r="AK649" s="229"/>
      <c r="AL649" s="229"/>
      <c r="AM649" s="229"/>
      <c r="AN649" s="229"/>
      <c r="AO649" s="229"/>
      <c r="AP649" s="229"/>
      <c r="AQ649" s="229"/>
      <c r="AR649" s="229"/>
      <c r="AS649" s="229"/>
      <c r="AT649" s="229"/>
    </row>
    <row r="650" spans="4:49" ht="15.75" customHeight="1">
      <c r="D650" s="243" t="s">
        <v>274</v>
      </c>
      <c r="E650" s="198" t="s">
        <v>760</v>
      </c>
      <c r="F650" s="175"/>
      <c r="G650" s="175"/>
      <c r="H650" s="175"/>
      <c r="I650" s="175"/>
      <c r="J650" s="175"/>
      <c r="K650" s="175"/>
      <c r="L650" s="175"/>
      <c r="M650" s="175"/>
      <c r="N650" s="175"/>
      <c r="O650" s="175"/>
      <c r="P650" s="175"/>
      <c r="Q650" s="175"/>
      <c r="R650" s="175"/>
      <c r="S650" s="175"/>
      <c r="T650" s="175"/>
      <c r="U650" s="179"/>
      <c r="V650" s="179">
        <f t="shared" ref="V650:AC650" si="939">+V828/V284</f>
        <v>1.5056712542196831E-2</v>
      </c>
      <c r="W650" s="179">
        <f t="shared" si="939"/>
        <v>-8.6327683615819214E-3</v>
      </c>
      <c r="X650" s="179">
        <f t="shared" si="939"/>
        <v>-2.4449292878079534E-2</v>
      </c>
      <c r="Y650" s="179">
        <f t="shared" si="939"/>
        <v>2.246059145234169E-2</v>
      </c>
      <c r="Z650" s="179">
        <f t="shared" si="939"/>
        <v>1.5938303341902309E-3</v>
      </c>
      <c r="AA650" s="179">
        <f t="shared" si="939"/>
        <v>7.1855398906035929E-3</v>
      </c>
      <c r="AB650" s="179">
        <f t="shared" si="939"/>
        <v>3.3952541787922036E-3</v>
      </c>
      <c r="AC650" s="179">
        <f t="shared" si="939"/>
        <v>5.3589863688804987E-3</v>
      </c>
      <c r="AD650" s="175"/>
      <c r="AE650" s="175"/>
      <c r="AF650" s="179"/>
      <c r="AG650" s="179"/>
      <c r="AH650" s="179"/>
      <c r="AI650" s="179"/>
      <c r="AJ650" s="179"/>
      <c r="AK650" s="179"/>
      <c r="AL650" s="179"/>
      <c r="AM650" s="179"/>
      <c r="AN650" s="179"/>
      <c r="AO650" s="179"/>
      <c r="AP650" s="179"/>
      <c r="AQ650" s="179"/>
      <c r="AR650" s="179"/>
      <c r="AS650" s="179"/>
      <c r="AT650" s="179"/>
    </row>
    <row r="651" spans="4:49" ht="15.75" customHeight="1">
      <c r="D651" s="243" t="s">
        <v>759</v>
      </c>
      <c r="E651" s="198" t="s">
        <v>761</v>
      </c>
      <c r="F651" s="175"/>
      <c r="G651" s="175"/>
      <c r="H651" s="175"/>
      <c r="I651" s="175"/>
      <c r="J651" s="175"/>
      <c r="K651" s="175"/>
      <c r="L651" s="175"/>
      <c r="M651" s="175"/>
      <c r="N651" s="175"/>
      <c r="O651" s="175"/>
      <c r="P651" s="175"/>
      <c r="Q651" s="175"/>
      <c r="R651" s="175"/>
      <c r="S651" s="175"/>
      <c r="T651" s="175"/>
      <c r="U651" s="175"/>
      <c r="V651" s="179"/>
      <c r="W651" s="244"/>
      <c r="X651" s="242">
        <f>+FISCinyear!CJ1095</f>
        <v>316.52938726960036</v>
      </c>
      <c r="Y651" s="242">
        <f>+X386+Y828</f>
        <v>436.40156385074795</v>
      </c>
      <c r="Z651" s="242">
        <f>+Y386+Z828</f>
        <v>445.70156385074796</v>
      </c>
      <c r="AA651" s="242">
        <f>+Z386+AA828</f>
        <v>492.78840675387329</v>
      </c>
      <c r="AB651" s="245">
        <f>+AA386+AB828</f>
        <v>517.34967548325608</v>
      </c>
      <c r="AC651" s="245">
        <f>+AB386+AC828</f>
        <v>560.30731021620215</v>
      </c>
      <c r="AD651" s="175"/>
      <c r="AE651" s="175"/>
      <c r="AF651" s="242"/>
      <c r="AG651" s="242"/>
      <c r="AH651" s="242"/>
      <c r="AI651" s="242"/>
      <c r="AJ651" s="242"/>
      <c r="AK651" s="242"/>
      <c r="AL651" s="242"/>
      <c r="AM651" s="242"/>
      <c r="AN651" s="242"/>
      <c r="AO651" s="242"/>
      <c r="AP651" s="242"/>
      <c r="AQ651" s="242"/>
      <c r="AR651" s="242"/>
      <c r="AS651" s="242"/>
      <c r="AT651" s="242"/>
    </row>
    <row r="652" spans="4:49" ht="15.75" customHeight="1">
      <c r="D652" s="243" t="s">
        <v>275</v>
      </c>
      <c r="E652" s="175"/>
      <c r="F652" s="175"/>
      <c r="G652" s="175"/>
      <c r="H652" s="175"/>
      <c r="I652" s="175"/>
      <c r="J652" s="175"/>
      <c r="K652" s="175"/>
      <c r="L652" s="175"/>
      <c r="M652" s="175"/>
      <c r="N652" s="175"/>
      <c r="O652" s="175"/>
      <c r="P652" s="175"/>
      <c r="Q652" s="175"/>
      <c r="R652" s="175"/>
      <c r="S652" s="175"/>
      <c r="T652" s="175"/>
      <c r="U652" s="175"/>
      <c r="V652" s="179"/>
      <c r="W652" s="179"/>
      <c r="X652" s="179">
        <f t="shared" ref="X652:AC652" si="940">+X386/X284</f>
        <v>6.4492540193480108E-2</v>
      </c>
      <c r="Y652" s="179">
        <f t="shared" si="940"/>
        <v>8.1769076981590402E-2</v>
      </c>
      <c r="Z652" s="179">
        <f t="shared" si="940"/>
        <v>7.6384158329177027E-2</v>
      </c>
      <c r="AA652" s="179">
        <f t="shared" si="940"/>
        <v>7.5200428315866513E-2</v>
      </c>
      <c r="AB652" s="203">
        <f t="shared" si="940"/>
        <v>7.1516405236833849E-2</v>
      </c>
      <c r="AC652" s="203">
        <f t="shared" si="940"/>
        <v>6.9898616543937392E-2</v>
      </c>
      <c r="AD652" s="175"/>
      <c r="AE652" s="175"/>
      <c r="AF652" s="179"/>
      <c r="AG652" s="179"/>
      <c r="AH652" s="179"/>
      <c r="AI652" s="179"/>
      <c r="AJ652" s="179"/>
      <c r="AK652" s="179"/>
      <c r="AL652" s="179"/>
      <c r="AM652" s="179"/>
      <c r="AN652" s="179"/>
      <c r="AO652" s="179"/>
      <c r="AP652" s="179"/>
      <c r="AQ652" s="179"/>
      <c r="AR652" s="179"/>
      <c r="AS652" s="179"/>
      <c r="AT652" s="179"/>
    </row>
    <row r="653" spans="4:49" ht="15.75" customHeight="1">
      <c r="D653" s="246" t="s">
        <v>290</v>
      </c>
      <c r="E653" s="198" t="s">
        <v>764</v>
      </c>
      <c r="F653" s="175"/>
      <c r="G653" s="175"/>
      <c r="H653" s="175"/>
      <c r="I653" s="175"/>
      <c r="J653" s="175"/>
      <c r="K653" s="175"/>
      <c r="L653" s="175"/>
      <c r="M653" s="175"/>
      <c r="N653" s="175"/>
      <c r="O653" s="175"/>
      <c r="P653" s="175"/>
      <c r="Q653" s="175"/>
      <c r="R653" s="175"/>
      <c r="S653" s="175"/>
      <c r="T653" s="175"/>
      <c r="U653" s="175"/>
      <c r="V653" s="566" t="s">
        <v>763</v>
      </c>
      <c r="W653" s="564">
        <f>+W262-V262</f>
        <v>0</v>
      </c>
      <c r="X653" s="564">
        <f>+X262-W262</f>
        <v>0</v>
      </c>
      <c r="Y653" s="564">
        <f>+Y262-X262</f>
        <v>0</v>
      </c>
      <c r="Z653" s="564">
        <f>+Z262-Y262</f>
        <v>0</v>
      </c>
      <c r="AA653" s="564">
        <f>+AA262-Z262</f>
        <v>282.89999999999998</v>
      </c>
      <c r="AB653" s="203"/>
      <c r="AC653" s="203"/>
      <c r="AD653" s="175"/>
      <c r="AE653" s="175"/>
      <c r="AF653" s="179"/>
      <c r="AG653" s="179"/>
      <c r="AH653" s="179"/>
      <c r="AI653" s="179"/>
      <c r="AJ653" s="179"/>
      <c r="AK653" s="179"/>
      <c r="AL653" s="179"/>
      <c r="AM653" s="179"/>
      <c r="AN653" s="179"/>
      <c r="AO653" s="179"/>
      <c r="AP653" s="179"/>
      <c r="AQ653" s="179"/>
      <c r="AR653" s="179"/>
      <c r="AS653" s="179"/>
      <c r="AT653" s="179"/>
    </row>
    <row r="654" spans="4:49" ht="13.5" customHeight="1">
      <c r="D654" s="246" t="s">
        <v>291</v>
      </c>
      <c r="E654" s="198" t="s">
        <v>765</v>
      </c>
      <c r="F654" s="175"/>
      <c r="G654" s="175"/>
      <c r="H654" s="175"/>
      <c r="I654" s="175"/>
      <c r="J654" s="175"/>
      <c r="K654" s="175"/>
      <c r="L654" s="175"/>
      <c r="M654" s="175"/>
      <c r="N654" s="175"/>
      <c r="O654" s="175"/>
      <c r="P654" s="175"/>
      <c r="Q654" s="175"/>
      <c r="R654" s="175"/>
      <c r="S654" s="175"/>
      <c r="T654" s="175"/>
      <c r="U654" s="175"/>
      <c r="V654" s="179"/>
      <c r="W654" s="194">
        <f t="shared" ref="W654:AC654" si="941">+W829</f>
        <v>-15.4</v>
      </c>
      <c r="X654" s="194">
        <f t="shared" si="941"/>
        <v>-144.29712944561436</v>
      </c>
      <c r="Y654" s="194">
        <f t="shared" si="941"/>
        <v>150.64964507114763</v>
      </c>
      <c r="Z654" s="194">
        <f t="shared" si="941"/>
        <v>0</v>
      </c>
      <c r="AA654" s="194">
        <f t="shared" si="941"/>
        <v>-0.63051649636508955</v>
      </c>
      <c r="AB654" s="194">
        <f t="shared" si="941"/>
        <v>16.564485398969001</v>
      </c>
      <c r="AC654" s="194">
        <f t="shared" si="941"/>
        <v>48.83076168552401</v>
      </c>
      <c r="AD654" s="175"/>
      <c r="AE654" s="175"/>
      <c r="AF654" s="179"/>
      <c r="AG654" s="179"/>
      <c r="AH654" s="179"/>
      <c r="AI654" s="179"/>
      <c r="AJ654" s="179"/>
      <c r="AK654" s="179"/>
      <c r="AL654" s="179"/>
      <c r="AM654" s="179"/>
      <c r="AN654" s="179"/>
      <c r="AO654" s="179"/>
      <c r="AP654" s="179"/>
      <c r="AQ654" s="179"/>
      <c r="AR654" s="179"/>
      <c r="AS654" s="179"/>
      <c r="AT654" s="179"/>
    </row>
    <row r="655" spans="4:49" ht="13.5" customHeight="1">
      <c r="D655" s="246" t="s">
        <v>353</v>
      </c>
      <c r="E655" s="198" t="s">
        <v>766</v>
      </c>
      <c r="F655" s="175"/>
      <c r="G655" s="175"/>
      <c r="H655" s="175"/>
      <c r="I655" s="175"/>
      <c r="J655" s="175"/>
      <c r="K655" s="175"/>
      <c r="L655" s="175"/>
      <c r="M655" s="175"/>
      <c r="N655" s="175"/>
      <c r="O655" s="175"/>
      <c r="P655" s="175"/>
      <c r="Q655" s="175"/>
      <c r="R655" s="175"/>
      <c r="S655" s="175"/>
      <c r="T655" s="175"/>
      <c r="U655" s="175"/>
      <c r="V655" s="566" t="s">
        <v>762</v>
      </c>
      <c r="W655" s="564">
        <f>-(W264-V264)</f>
        <v>4.1000000000000156</v>
      </c>
      <c r="X655" s="564">
        <f>-(X264-W264)</f>
        <v>111.70000000000006</v>
      </c>
      <c r="Y655" s="564">
        <f>-(Y264-X264)</f>
        <v>-145.74520362714765</v>
      </c>
      <c r="Z655" s="564">
        <f>-(Z264-Y264)</f>
        <v>-143.25479637285241</v>
      </c>
      <c r="AA655" s="564">
        <f>-(AA264-Z264)</f>
        <v>0.69999999999998863</v>
      </c>
      <c r="AB655" s="203"/>
      <c r="AC655" s="203"/>
      <c r="AD655" s="175"/>
      <c r="AE655" s="175"/>
      <c r="AF655" s="179"/>
      <c r="AG655" s="179"/>
      <c r="AH655" s="179"/>
      <c r="AI655" s="179"/>
      <c r="AJ655" s="179"/>
      <c r="AK655" s="179"/>
      <c r="AL655" s="179"/>
      <c r="AM655" s="179"/>
      <c r="AN655" s="179"/>
      <c r="AO655" s="179"/>
      <c r="AP655" s="179"/>
      <c r="AQ655" s="179"/>
      <c r="AR655" s="179"/>
      <c r="AS655" s="179"/>
      <c r="AT655" s="179"/>
    </row>
    <row r="656" spans="4:49" ht="13.5" customHeight="1">
      <c r="D656" s="246" t="s">
        <v>767</v>
      </c>
      <c r="E656" s="175"/>
      <c r="F656" s="175"/>
      <c r="G656" s="175"/>
      <c r="H656" s="175"/>
      <c r="I656" s="175"/>
      <c r="J656" s="175"/>
      <c r="K656" s="175"/>
      <c r="L656" s="175"/>
      <c r="M656" s="175"/>
      <c r="N656" s="175"/>
      <c r="O656" s="175"/>
      <c r="P656" s="175"/>
      <c r="Q656" s="175"/>
      <c r="R656" s="175"/>
      <c r="S656" s="175"/>
      <c r="T656" s="175"/>
      <c r="U656" s="175"/>
      <c r="V656" s="179"/>
      <c r="W656" s="194">
        <f>+W832+W833+W834+W837</f>
        <v>0</v>
      </c>
      <c r="X656" s="194">
        <f>+X832+X833+X840+X834+X837</f>
        <v>-141.30000000000001</v>
      </c>
      <c r="Y656" s="194">
        <f>+Y832+Y833+Y840+Y834+Y837</f>
        <v>72.073477222999998</v>
      </c>
      <c r="Z656" s="194">
        <f>+Z832+Z833+Z840+Z834+Z837</f>
        <v>54.3</v>
      </c>
      <c r="AA656" s="290">
        <f t="shared" ref="AA656:AL656" si="942">+SUM(AA832:AA842)</f>
        <v>12.067335386</v>
      </c>
      <c r="AB656" s="290">
        <f t="shared" si="942"/>
        <v>-1.6612621749999974</v>
      </c>
      <c r="AC656" s="290">
        <f t="shared" si="942"/>
        <v>-12.313759441000009</v>
      </c>
      <c r="AD656" s="290">
        <f t="shared" si="942"/>
        <v>-23.998066952000002</v>
      </c>
      <c r="AE656" s="290">
        <f t="shared" si="942"/>
        <v>-12.764345525976657</v>
      </c>
      <c r="AF656" s="290">
        <f t="shared" si="942"/>
        <v>-46.763258612229748</v>
      </c>
      <c r="AG656" s="290">
        <f t="shared" si="942"/>
        <v>20.362304118326986</v>
      </c>
      <c r="AH656" s="290">
        <f t="shared" si="942"/>
        <v>-52.958574296896778</v>
      </c>
      <c r="AI656" s="290">
        <f t="shared" si="942"/>
        <v>-49.73526764379055</v>
      </c>
      <c r="AJ656" s="290">
        <f t="shared" si="942"/>
        <v>0</v>
      </c>
      <c r="AK656" s="290" t="e">
        <f t="shared" si="942"/>
        <v>#DIV/0!</v>
      </c>
      <c r="AL656" s="290" t="e">
        <f t="shared" si="942"/>
        <v>#DIV/0!</v>
      </c>
      <c r="AM656" s="290" t="e">
        <f>+SUM(AM832:AM842)</f>
        <v>#DIV/0!</v>
      </c>
      <c r="AN656" s="290" t="e">
        <f t="shared" ref="AN656:AT656" si="943">+SUM(AN832:AN842)</f>
        <v>#DIV/0!</v>
      </c>
      <c r="AO656" s="290" t="e">
        <f t="shared" si="943"/>
        <v>#DIV/0!</v>
      </c>
      <c r="AP656" s="290">
        <f t="shared" si="943"/>
        <v>0</v>
      </c>
      <c r="AQ656" s="290">
        <f t="shared" si="943"/>
        <v>0</v>
      </c>
      <c r="AR656" s="290">
        <f t="shared" si="943"/>
        <v>0</v>
      </c>
      <c r="AS656" s="290">
        <f t="shared" si="943"/>
        <v>0</v>
      </c>
      <c r="AT656" s="290">
        <f t="shared" si="943"/>
        <v>0</v>
      </c>
    </row>
    <row r="657" spans="4:46" ht="15.75" customHeight="1" thickBot="1">
      <c r="D657" s="175" t="s">
        <v>773</v>
      </c>
      <c r="E657" s="175"/>
      <c r="F657" s="175"/>
      <c r="G657" s="175"/>
      <c r="H657" s="175"/>
      <c r="I657" s="175"/>
      <c r="J657" s="175"/>
      <c r="K657" s="175"/>
      <c r="L657" s="175"/>
      <c r="M657" s="175"/>
      <c r="N657" s="175"/>
      <c r="O657" s="175"/>
      <c r="P657" s="175"/>
      <c r="Q657" s="175"/>
      <c r="R657" s="175"/>
      <c r="S657" s="175"/>
      <c r="T657" s="175"/>
      <c r="U657" s="175"/>
      <c r="V657" s="175"/>
      <c r="W657" s="175"/>
      <c r="X657" s="175"/>
      <c r="Y657" s="195"/>
      <c r="Z657" s="194">
        <f>+Z391</f>
        <v>54.3</v>
      </c>
      <c r="AA657" s="230">
        <v>64</v>
      </c>
      <c r="AB657" s="230"/>
      <c r="AC657" s="230"/>
      <c r="AD657" s="175"/>
      <c r="AE657" s="175"/>
      <c r="AF657" s="194"/>
      <c r="AG657" s="195"/>
      <c r="AH657" s="194"/>
      <c r="AI657" s="194"/>
      <c r="AJ657" s="194"/>
      <c r="AK657" s="194"/>
      <c r="AL657" s="195"/>
      <c r="AM657" s="195"/>
      <c r="AN657" s="195"/>
      <c r="AO657" s="195"/>
      <c r="AP657" s="195"/>
      <c r="AQ657" s="195"/>
      <c r="AR657" s="195"/>
      <c r="AS657" s="195"/>
      <c r="AT657" s="195"/>
    </row>
    <row r="658" spans="4:46" ht="15.75" customHeight="1">
      <c r="D658" s="175" t="s">
        <v>640</v>
      </c>
      <c r="E658" s="198" t="s">
        <v>769</v>
      </c>
      <c r="F658" s="175"/>
      <c r="G658" s="175"/>
      <c r="H658" s="175"/>
      <c r="I658" s="175"/>
      <c r="J658" s="175"/>
      <c r="K658" s="175"/>
      <c r="L658" s="175"/>
      <c r="M658" s="175"/>
      <c r="N658" s="175"/>
      <c r="O658" s="175"/>
      <c r="P658" s="175"/>
      <c r="Q658" s="175"/>
      <c r="R658" s="175"/>
      <c r="S658" s="175"/>
      <c r="T658" s="175"/>
      <c r="U658" s="175"/>
      <c r="V658" s="175"/>
      <c r="W658" s="175"/>
      <c r="X658" s="175"/>
      <c r="Y658" s="195"/>
      <c r="Z658" s="567"/>
      <c r="AA658" s="601">
        <v>30</v>
      </c>
      <c r="AB658" s="587"/>
      <c r="AC658" s="588"/>
      <c r="AD658" s="175"/>
      <c r="AE658" s="175"/>
      <c r="AF658" s="567"/>
      <c r="AG658" s="195"/>
      <c r="AH658" s="567"/>
      <c r="AI658" s="567"/>
      <c r="AJ658" s="567"/>
      <c r="AK658" s="567"/>
      <c r="AL658" s="195"/>
      <c r="AM658" s="195"/>
      <c r="AN658" s="195"/>
      <c r="AO658" s="195"/>
      <c r="AP658" s="195"/>
      <c r="AQ658" s="195"/>
      <c r="AR658" s="195"/>
      <c r="AS658" s="195"/>
      <c r="AT658" s="195"/>
    </row>
    <row r="659" spans="4:46" ht="15.75" customHeight="1" thickBot="1">
      <c r="D659" s="175" t="s">
        <v>641</v>
      </c>
      <c r="E659" s="198" t="s">
        <v>768</v>
      </c>
      <c r="F659" s="175"/>
      <c r="G659" s="175"/>
      <c r="H659" s="175"/>
      <c r="I659" s="175"/>
      <c r="J659" s="175"/>
      <c r="K659" s="175"/>
      <c r="L659" s="175"/>
      <c r="M659" s="175"/>
      <c r="N659" s="175"/>
      <c r="O659" s="175"/>
      <c r="P659" s="175"/>
      <c r="Q659" s="175"/>
      <c r="R659" s="175"/>
      <c r="S659" s="175"/>
      <c r="T659" s="175"/>
      <c r="U659" s="175"/>
      <c r="V659" s="175"/>
      <c r="W659" s="175"/>
      <c r="X659" s="175"/>
      <c r="Y659" s="195"/>
      <c r="Z659" s="567"/>
      <c r="AA659" s="602">
        <v>30</v>
      </c>
      <c r="AB659" s="587"/>
      <c r="AC659" s="588"/>
      <c r="AD659" s="175"/>
      <c r="AE659" s="175"/>
      <c r="AF659" s="567"/>
      <c r="AG659" s="195"/>
      <c r="AH659" s="567"/>
      <c r="AI659" s="567"/>
      <c r="AJ659" s="567"/>
      <c r="AK659" s="567"/>
      <c r="AL659" s="195"/>
      <c r="AM659" s="195"/>
      <c r="AN659" s="195"/>
      <c r="AO659" s="195"/>
      <c r="AP659" s="195"/>
      <c r="AQ659" s="195"/>
      <c r="AR659" s="195"/>
      <c r="AS659" s="195"/>
      <c r="AT659" s="195"/>
    </row>
    <row r="660" spans="4:46" ht="15.75" customHeight="1">
      <c r="D660" s="175"/>
      <c r="E660" s="198" t="s">
        <v>771</v>
      </c>
      <c r="F660" s="175"/>
      <c r="G660" s="175"/>
      <c r="H660" s="175"/>
      <c r="I660" s="175"/>
      <c r="J660" s="175"/>
      <c r="K660" s="175"/>
      <c r="L660" s="175"/>
      <c r="M660" s="175"/>
      <c r="N660" s="175"/>
      <c r="O660" s="175"/>
      <c r="P660" s="175"/>
      <c r="Q660" s="175"/>
      <c r="R660" s="175"/>
      <c r="S660" s="175"/>
      <c r="T660" s="175"/>
      <c r="U660" s="175"/>
      <c r="V660" s="175"/>
      <c r="W660" s="175"/>
      <c r="X660" s="175"/>
      <c r="Y660" s="195"/>
      <c r="Z660" s="195"/>
      <c r="AA660" s="195"/>
      <c r="AB660" s="195"/>
      <c r="AC660" s="202"/>
      <c r="AD660" s="175"/>
      <c r="AE660" s="175"/>
      <c r="AF660" s="195"/>
      <c r="AG660" s="195"/>
      <c r="AH660" s="195"/>
      <c r="AI660" s="195"/>
      <c r="AJ660" s="195"/>
      <c r="AK660" s="195"/>
      <c r="AL660" s="195"/>
      <c r="AM660" s="195"/>
      <c r="AN660" s="195"/>
      <c r="AO660" s="195"/>
      <c r="AP660" s="195"/>
      <c r="AQ660" s="195"/>
      <c r="AR660" s="195"/>
      <c r="AS660" s="195"/>
      <c r="AT660" s="195"/>
    </row>
    <row r="661" spans="4:46" ht="15.75" customHeight="1">
      <c r="D661" s="190" t="s">
        <v>258</v>
      </c>
      <c r="E661" s="175"/>
      <c r="F661" s="175"/>
      <c r="G661" s="175"/>
      <c r="H661" s="175"/>
      <c r="I661" s="175"/>
      <c r="J661" s="175"/>
      <c r="K661" s="175"/>
      <c r="L661" s="175"/>
      <c r="M661" s="175"/>
      <c r="N661" s="175"/>
      <c r="O661" s="175"/>
      <c r="P661" s="175"/>
      <c r="Q661" s="175"/>
      <c r="R661" s="175"/>
      <c r="S661" s="175"/>
      <c r="T661" s="175"/>
      <c r="U661" s="175"/>
      <c r="V661" s="175"/>
      <c r="W661" s="175"/>
      <c r="X661" s="175"/>
      <c r="Y661" s="195"/>
      <c r="Z661" s="195"/>
      <c r="AA661" s="195"/>
      <c r="AB661" s="195"/>
      <c r="AC661" s="202"/>
      <c r="AD661" s="175"/>
      <c r="AE661" s="175"/>
      <c r="AF661" s="195"/>
      <c r="AG661" s="195"/>
      <c r="AH661" s="195"/>
      <c r="AI661" s="195"/>
      <c r="AJ661" s="195"/>
      <c r="AK661" s="195"/>
      <c r="AL661" s="195"/>
      <c r="AM661" s="195"/>
      <c r="AN661" s="195"/>
      <c r="AO661" s="195"/>
      <c r="AP661" s="195"/>
      <c r="AQ661" s="195"/>
      <c r="AR661" s="195"/>
      <c r="AS661" s="195"/>
      <c r="AT661" s="195"/>
    </row>
    <row r="662" spans="4:46">
      <c r="D662" s="178" t="s">
        <v>259</v>
      </c>
      <c r="E662" s="175"/>
      <c r="F662" s="175"/>
      <c r="G662" s="175"/>
      <c r="H662" s="175"/>
      <c r="I662" s="175"/>
      <c r="J662" s="175"/>
      <c r="K662" s="175"/>
      <c r="L662" s="175"/>
      <c r="M662" s="175"/>
      <c r="N662" s="175"/>
      <c r="O662" s="175"/>
      <c r="P662" s="175"/>
      <c r="Q662" s="175"/>
      <c r="R662" s="175"/>
      <c r="S662" s="175"/>
      <c r="T662" s="175"/>
      <c r="U662" s="175"/>
      <c r="V662" s="175"/>
      <c r="W662" s="175"/>
      <c r="X662" s="175"/>
      <c r="Y662" s="195"/>
      <c r="Z662" s="195"/>
      <c r="AA662" s="195"/>
      <c r="AB662" s="195"/>
      <c r="AC662" s="218"/>
      <c r="AD662" s="175"/>
      <c r="AE662" s="175"/>
      <c r="AF662" s="195"/>
      <c r="AG662" s="195"/>
      <c r="AH662" s="195"/>
      <c r="AI662" s="195"/>
      <c r="AJ662" s="195"/>
      <c r="AK662" s="195"/>
      <c r="AL662" s="195"/>
      <c r="AM662" s="195"/>
      <c r="AN662" s="195"/>
      <c r="AO662" s="195"/>
      <c r="AP662" s="195"/>
      <c r="AQ662" s="195"/>
      <c r="AR662" s="195"/>
      <c r="AS662" s="195"/>
      <c r="AT662" s="195"/>
    </row>
    <row r="663" spans="4:46">
      <c r="D663" s="178" t="s">
        <v>735</v>
      </c>
      <c r="E663" s="175"/>
      <c r="F663" s="175"/>
      <c r="G663" s="175"/>
      <c r="H663" s="175"/>
      <c r="I663" s="175"/>
      <c r="J663" s="175"/>
      <c r="K663" s="175"/>
      <c r="L663" s="175"/>
      <c r="M663" s="175"/>
      <c r="N663" s="175"/>
      <c r="O663" s="175"/>
      <c r="P663" s="175"/>
      <c r="Q663" s="175"/>
      <c r="R663" s="175"/>
      <c r="S663" s="175"/>
      <c r="T663" s="175"/>
      <c r="U663" s="175"/>
      <c r="V663" s="175"/>
      <c r="W663" s="175"/>
      <c r="X663" s="175"/>
      <c r="Y663" s="195"/>
      <c r="Z663" s="195"/>
      <c r="AA663" s="195"/>
      <c r="AB663" s="195"/>
      <c r="AC663" s="218">
        <v>0.06</v>
      </c>
      <c r="AD663" s="218">
        <v>0.06</v>
      </c>
      <c r="AE663" s="218">
        <v>0.06</v>
      </c>
      <c r="AF663" s="218">
        <v>0.06</v>
      </c>
      <c r="AG663" s="218">
        <v>0.06</v>
      </c>
      <c r="AH663" s="218">
        <v>0.06</v>
      </c>
      <c r="AI663" s="218">
        <v>0.06</v>
      </c>
      <c r="AJ663" s="218">
        <v>0.06</v>
      </c>
      <c r="AK663" s="218">
        <v>0.06</v>
      </c>
      <c r="AL663" s="218">
        <v>0.06</v>
      </c>
      <c r="AM663" s="218">
        <v>0.06</v>
      </c>
      <c r="AN663" s="218">
        <v>0.06</v>
      </c>
      <c r="AO663" s="218">
        <v>0.06</v>
      </c>
      <c r="AP663" s="218">
        <v>0.06</v>
      </c>
      <c r="AQ663" s="218">
        <v>0.06</v>
      </c>
      <c r="AR663" s="218">
        <v>0.06</v>
      </c>
      <c r="AS663" s="218">
        <v>0.06</v>
      </c>
      <c r="AT663" s="218">
        <v>0.06</v>
      </c>
    </row>
    <row r="664" spans="4:46">
      <c r="D664" s="247" t="s">
        <v>734</v>
      </c>
      <c r="E664" s="237"/>
      <c r="F664" s="237"/>
      <c r="G664" s="237"/>
      <c r="H664" s="237"/>
      <c r="I664" s="237"/>
      <c r="J664" s="237"/>
      <c r="K664" s="237"/>
      <c r="L664" s="237"/>
      <c r="M664" s="237"/>
      <c r="N664" s="237"/>
      <c r="O664" s="237"/>
      <c r="P664" s="237"/>
      <c r="Q664" s="237"/>
      <c r="R664" s="237"/>
      <c r="S664" s="237"/>
      <c r="T664" s="237"/>
      <c r="U664" s="237"/>
      <c r="V664" s="237"/>
      <c r="W664" s="237"/>
      <c r="X664" s="237"/>
      <c r="Y664" s="237"/>
      <c r="Z664" s="237"/>
      <c r="AA664" s="248"/>
      <c r="AB664" s="248"/>
      <c r="AC664" s="248"/>
      <c r="AD664" s="237"/>
      <c r="AE664" s="237"/>
      <c r="AF664" s="237"/>
      <c r="AG664" s="237"/>
      <c r="AH664" s="237"/>
      <c r="AI664" s="237"/>
      <c r="AJ664" s="237"/>
      <c r="AK664" s="237"/>
      <c r="AL664" s="237"/>
      <c r="AM664" s="237"/>
      <c r="AN664" s="237"/>
      <c r="AO664" s="237"/>
      <c r="AP664" s="237"/>
      <c r="AQ664" s="237"/>
      <c r="AR664" s="237"/>
      <c r="AS664" s="237"/>
      <c r="AT664" s="237"/>
    </row>
    <row r="665" spans="4:46">
      <c r="D665" s="92" t="s">
        <v>864</v>
      </c>
      <c r="E665" s="1"/>
      <c r="F665" s="1"/>
      <c r="G665" s="1"/>
      <c r="H665" s="1"/>
      <c r="I665" s="1"/>
      <c r="J665" s="1"/>
      <c r="K665" s="1"/>
      <c r="L665" s="1"/>
      <c r="M665" s="1"/>
      <c r="N665" s="1"/>
      <c r="O665" s="1"/>
      <c r="P665" s="1"/>
      <c r="Q665" s="1"/>
      <c r="R665" s="1"/>
      <c r="S665" s="1"/>
      <c r="T665" s="1"/>
      <c r="V665" s="1"/>
      <c r="X665" s="1"/>
      <c r="Z665" s="1"/>
    </row>
    <row r="666" spans="4:46">
      <c r="E666" s="1"/>
      <c r="F666" s="1"/>
      <c r="G666" s="1"/>
      <c r="H666" s="1"/>
      <c r="I666" s="1"/>
      <c r="J666" s="1"/>
      <c r="K666" s="1"/>
      <c r="L666" s="1"/>
      <c r="M666" s="1"/>
      <c r="N666" s="1"/>
      <c r="O666" s="1"/>
      <c r="P666" s="1"/>
      <c r="Q666" s="1"/>
      <c r="R666" s="1"/>
      <c r="S666" s="1"/>
      <c r="T666" s="1"/>
      <c r="V666" s="1"/>
      <c r="X666" s="1"/>
      <c r="Z666" s="1"/>
      <c r="AH666" s="1040"/>
      <c r="AI666" s="1040"/>
      <c r="AJ666" s="1040"/>
      <c r="AK666" s="1040"/>
    </row>
    <row r="667" spans="4:46">
      <c r="D667" s="92" t="s">
        <v>3332</v>
      </c>
      <c r="E667" s="1"/>
      <c r="F667" s="1"/>
      <c r="G667" s="1"/>
      <c r="H667" s="1"/>
      <c r="I667" s="1"/>
      <c r="J667" s="1"/>
      <c r="K667" s="1"/>
      <c r="L667" s="1"/>
      <c r="M667" s="1"/>
      <c r="N667" s="1"/>
      <c r="O667" s="1"/>
      <c r="P667" s="1"/>
      <c r="Q667" s="1"/>
      <c r="R667" s="1"/>
      <c r="S667" s="1"/>
      <c r="T667" s="1"/>
      <c r="V667" s="1"/>
      <c r="X667" s="1"/>
      <c r="Z667" s="1"/>
    </row>
    <row r="668" spans="4:46" hidden="1">
      <c r="D668" s="795" t="s">
        <v>933</v>
      </c>
      <c r="E668" s="1045" t="s">
        <v>1153</v>
      </c>
      <c r="F668" s="1045"/>
      <c r="G668" s="1045"/>
      <c r="H668" s="1045"/>
      <c r="I668" s="1045"/>
      <c r="J668" s="1045"/>
      <c r="K668" s="1045"/>
      <c r="L668" s="1046"/>
      <c r="M668" s="1045"/>
      <c r="N668" s="1045"/>
      <c r="O668" s="1045"/>
      <c r="P668" s="1045"/>
      <c r="Q668" s="1045"/>
      <c r="R668" s="127"/>
      <c r="S668" s="127"/>
      <c r="T668" s="127"/>
      <c r="U668" s="127"/>
      <c r="V668" s="127"/>
      <c r="W668" s="127"/>
      <c r="X668" s="737" t="s">
        <v>665</v>
      </c>
      <c r="Y668" s="737"/>
      <c r="Z668" s="737" t="s">
        <v>772</v>
      </c>
      <c r="AA668" s="737" t="s">
        <v>840</v>
      </c>
      <c r="AB668" s="737" t="s">
        <v>818</v>
      </c>
      <c r="AC668" s="737"/>
      <c r="AD668" s="737" t="s">
        <v>865</v>
      </c>
      <c r="AE668" s="737"/>
    </row>
    <row r="669" spans="4:46" hidden="1">
      <c r="D669" s="127"/>
      <c r="E669" s="372"/>
      <c r="F669" s="1"/>
      <c r="G669" s="1"/>
      <c r="H669" s="1"/>
      <c r="I669" s="373">
        <v>1998</v>
      </c>
      <c r="J669" s="373">
        <v>1999</v>
      </c>
      <c r="K669" s="373">
        <v>2000</v>
      </c>
      <c r="L669" s="373">
        <v>2001</v>
      </c>
      <c r="M669" s="373">
        <v>2002</v>
      </c>
      <c r="N669" s="373">
        <v>2003</v>
      </c>
      <c r="O669" s="373">
        <v>2004</v>
      </c>
      <c r="P669" s="373">
        <v>2005</v>
      </c>
      <c r="Q669" s="373">
        <v>2006</v>
      </c>
      <c r="R669" s="373">
        <v>2007</v>
      </c>
      <c r="S669" s="373">
        <v>2008</v>
      </c>
      <c r="T669" s="373">
        <v>2009</v>
      </c>
      <c r="U669" s="373">
        <v>2010</v>
      </c>
      <c r="V669" s="373">
        <v>2011</v>
      </c>
      <c r="W669" s="373">
        <v>2012</v>
      </c>
      <c r="X669" s="373">
        <v>2013</v>
      </c>
      <c r="Y669" s="373">
        <v>2014</v>
      </c>
      <c r="Z669" s="373">
        <v>2015</v>
      </c>
      <c r="AA669" s="373">
        <v>2016</v>
      </c>
      <c r="AB669" s="373">
        <v>2017</v>
      </c>
      <c r="AC669" s="373">
        <v>2018</v>
      </c>
      <c r="AD669" s="373">
        <v>2019</v>
      </c>
      <c r="AE669" s="373">
        <v>2020</v>
      </c>
      <c r="AF669" s="373">
        <v>2021</v>
      </c>
      <c r="AG669" s="373">
        <v>2022</v>
      </c>
      <c r="AH669" s="373">
        <v>2023</v>
      </c>
      <c r="AI669" s="373">
        <v>2024</v>
      </c>
      <c r="AJ669" s="373">
        <v>2025</v>
      </c>
      <c r="AK669" s="373">
        <v>2026</v>
      </c>
      <c r="AL669" s="373">
        <v>2027</v>
      </c>
      <c r="AM669" s="373">
        <v>2028</v>
      </c>
      <c r="AN669" s="373">
        <v>2029</v>
      </c>
      <c r="AO669" s="373">
        <v>2030</v>
      </c>
      <c r="AP669" s="373"/>
      <c r="AQ669" s="373"/>
      <c r="AR669" s="373"/>
      <c r="AS669" s="373"/>
      <c r="AT669" s="373"/>
    </row>
    <row r="670" spans="4:46" hidden="1">
      <c r="D670" s="125" t="s">
        <v>653</v>
      </c>
      <c r="E670" s="127"/>
      <c r="F670" s="127"/>
      <c r="G670" s="127"/>
      <c r="H670" s="127"/>
      <c r="I670" s="127"/>
      <c r="J670" s="374" t="s">
        <v>1152</v>
      </c>
      <c r="K670" s="374" t="s">
        <v>1151</v>
      </c>
      <c r="L670" s="374" t="s">
        <v>1150</v>
      </c>
      <c r="M670" s="374" t="s">
        <v>1149</v>
      </c>
      <c r="N670" s="374" t="s">
        <v>1148</v>
      </c>
      <c r="O670" s="374" t="s">
        <v>1147</v>
      </c>
      <c r="P670" s="374" t="s">
        <v>1146</v>
      </c>
      <c r="Q670" s="374" t="s">
        <v>1145</v>
      </c>
      <c r="R670" s="374" t="s">
        <v>204</v>
      </c>
      <c r="S670" s="374" t="s">
        <v>205</v>
      </c>
      <c r="T670" s="374" t="s">
        <v>206</v>
      </c>
      <c r="U670" s="374" t="s">
        <v>207</v>
      </c>
      <c r="V670" s="374" t="s">
        <v>194</v>
      </c>
      <c r="W670" s="374" t="s">
        <v>195</v>
      </c>
      <c r="X670" s="374" t="s">
        <v>196</v>
      </c>
      <c r="Y670" s="374" t="s">
        <v>197</v>
      </c>
      <c r="Z670" s="374" t="s">
        <v>198</v>
      </c>
      <c r="AA670" s="374" t="s">
        <v>199</v>
      </c>
      <c r="AB670" s="374" t="s">
        <v>200</v>
      </c>
      <c r="AC670" s="712" t="s">
        <v>201</v>
      </c>
      <c r="AD670" s="712" t="s">
        <v>202</v>
      </c>
      <c r="AE670" s="374" t="s">
        <v>203</v>
      </c>
      <c r="AF670" s="374" t="s">
        <v>1114</v>
      </c>
      <c r="AG670" s="374" t="s">
        <v>1140</v>
      </c>
      <c r="AH670" s="374" t="s">
        <v>1141</v>
      </c>
      <c r="AI670" s="374" t="s">
        <v>1142</v>
      </c>
      <c r="AJ670" s="374" t="s">
        <v>1143</v>
      </c>
      <c r="AK670" s="374" t="s">
        <v>1144</v>
      </c>
      <c r="AL670" s="374" t="s">
        <v>3289</v>
      </c>
      <c r="AM670" s="374" t="s">
        <v>3400</v>
      </c>
      <c r="AN670" s="374" t="s">
        <v>3582</v>
      </c>
      <c r="AO670" s="374" t="s">
        <v>3583</v>
      </c>
      <c r="AP670" s="374"/>
      <c r="AQ670" s="374"/>
      <c r="AR670" s="374"/>
      <c r="AS670" s="374"/>
      <c r="AT670" s="374"/>
    </row>
    <row r="671" spans="4:46" hidden="1">
      <c r="D671" s="125" t="s">
        <v>135</v>
      </c>
      <c r="E671" s="164"/>
      <c r="F671" s="14"/>
      <c r="G671" s="14"/>
      <c r="H671" s="14"/>
      <c r="I671" s="14"/>
      <c r="J671" s="126">
        <v>113.59782050000001</v>
      </c>
      <c r="K671" s="126">
        <v>136.65685000000002</v>
      </c>
      <c r="L671" s="126">
        <v>147.18380000000002</v>
      </c>
      <c r="M671" s="126">
        <v>160.49365</v>
      </c>
      <c r="N671" s="126">
        <v>184.55775</v>
      </c>
      <c r="O671" s="126">
        <v>236.45734999999999</v>
      </c>
      <c r="P671" s="126">
        <v>309.56335607093501</v>
      </c>
      <c r="Q671" s="126">
        <v>360.26350607093502</v>
      </c>
      <c r="R671" s="126">
        <v>388.09999999999997</v>
      </c>
      <c r="S671" s="126">
        <v>518.20000000000005</v>
      </c>
      <c r="T671" s="126">
        <v>670.8</v>
      </c>
      <c r="U671" s="126">
        <f t="shared" ref="U671:AA671" si="944">+U673+U700</f>
        <v>800.7</v>
      </c>
      <c r="V671" s="126">
        <f t="shared" si="944"/>
        <v>863.35673257600001</v>
      </c>
      <c r="W671" s="126">
        <f t="shared" si="944"/>
        <v>1049.0999999999999</v>
      </c>
      <c r="X671" s="126">
        <f t="shared" si="944"/>
        <v>1101.321563602417</v>
      </c>
      <c r="Y671" s="126">
        <f t="shared" si="944"/>
        <v>1336.3605712034318</v>
      </c>
      <c r="Z671" s="126">
        <f t="shared" si="944"/>
        <v>1418.6704994724025</v>
      </c>
      <c r="AA671" s="126">
        <f t="shared" si="944"/>
        <v>1541.6572083762826</v>
      </c>
      <c r="AB671" s="126">
        <f>AB673+AB700</f>
        <v>1615.7619294919559</v>
      </c>
      <c r="AC671" s="126">
        <f>AC673+AC700</f>
        <v>1820.4124327910465</v>
      </c>
      <c r="AD671" s="126">
        <f>AD673+AD700</f>
        <v>2064.9766652822391</v>
      </c>
      <c r="AE671" s="126">
        <f>(AE673+AE700)*0+2082.03097199528</f>
        <v>2082.0309719952802</v>
      </c>
      <c r="AF671" s="126">
        <f>(AF673+AF700)*0+2171.53512579926</f>
        <v>2171.5351257992602</v>
      </c>
      <c r="AG671" s="126">
        <f>AG673+AG700</f>
        <v>8652.6887956167611</v>
      </c>
      <c r="AH671" s="126">
        <f t="shared" ref="AH671:AO671" si="945">+AH673+AH700</f>
        <v>12084.637094129259</v>
      </c>
      <c r="AI671" s="126">
        <f t="shared" si="945"/>
        <v>13647.031133591187</v>
      </c>
      <c r="AJ671" s="126">
        <f t="shared" si="945"/>
        <v>625.76873923411313</v>
      </c>
      <c r="AK671" s="126" t="e">
        <f t="shared" si="945"/>
        <v>#DIV/0!</v>
      </c>
      <c r="AL671" s="126" t="e">
        <f t="shared" si="945"/>
        <v>#DIV/0!</v>
      </c>
      <c r="AM671" s="126" t="e">
        <f t="shared" si="945"/>
        <v>#DIV/0!</v>
      </c>
      <c r="AN671" s="126" t="e">
        <f t="shared" si="945"/>
        <v>#DIV/0!</v>
      </c>
      <c r="AO671" s="126" t="e">
        <f t="shared" si="945"/>
        <v>#DIV/0!</v>
      </c>
      <c r="AP671" s="126"/>
      <c r="AQ671" s="126"/>
      <c r="AR671" s="126"/>
      <c r="AS671" s="126"/>
      <c r="AT671" s="126"/>
    </row>
    <row r="672" spans="4:46" hidden="1">
      <c r="D672" s="127"/>
      <c r="E672" s="164"/>
      <c r="F672" s="14"/>
      <c r="G672" s="14"/>
      <c r="H672" s="14"/>
      <c r="I672" s="14"/>
      <c r="J672" s="126"/>
      <c r="K672" s="126"/>
      <c r="L672" s="126"/>
      <c r="M672" s="126"/>
      <c r="N672" s="126"/>
      <c r="O672" s="126"/>
      <c r="P672" s="126"/>
      <c r="Q672" s="126"/>
      <c r="R672" s="126"/>
      <c r="S672" s="126"/>
      <c r="T672" s="126"/>
      <c r="U672" s="126"/>
      <c r="V672" s="126"/>
      <c r="W672" s="126"/>
      <c r="X672" s="126"/>
      <c r="Y672" s="126"/>
      <c r="Z672" s="145"/>
      <c r="AA672" s="145"/>
      <c r="AB672" s="145"/>
      <c r="AC672" s="145"/>
      <c r="AD672" s="1252"/>
      <c r="AE672" s="1252"/>
      <c r="AF672" s="1252"/>
      <c r="AG672" s="1252"/>
      <c r="AH672" s="1252"/>
      <c r="AI672" s="1252"/>
      <c r="AJ672" s="1252"/>
      <c r="AK672" s="1252"/>
      <c r="AL672" s="1252"/>
      <c r="AM672" s="1252"/>
      <c r="AN672" s="1252"/>
      <c r="AO672" s="1252"/>
      <c r="AP672" s="1252"/>
      <c r="AQ672" s="1252"/>
      <c r="AR672" s="1252"/>
      <c r="AS672" s="1252"/>
      <c r="AT672" s="1252"/>
    </row>
    <row r="673" spans="1:63" hidden="1">
      <c r="D673" s="128" t="s">
        <v>137</v>
      </c>
      <c r="E673" s="164"/>
      <c r="F673" s="14"/>
      <c r="G673" s="14"/>
      <c r="H673" s="14"/>
      <c r="I673" s="14"/>
      <c r="J673" s="126">
        <v>65.384550000000004</v>
      </c>
      <c r="K673" s="126">
        <v>66.571799999999996</v>
      </c>
      <c r="L673" s="126">
        <v>76.746549999999999</v>
      </c>
      <c r="M673" s="126">
        <v>93.009150000000005</v>
      </c>
      <c r="N673" s="126">
        <v>111.0539</v>
      </c>
      <c r="O673" s="126">
        <v>134.00534999999999</v>
      </c>
      <c r="P673" s="126">
        <v>162.974511917</v>
      </c>
      <c r="Q673" s="126">
        <v>193.494661917</v>
      </c>
      <c r="R673" s="126">
        <v>233.29999999999995</v>
      </c>
      <c r="S673" s="126">
        <v>290.3</v>
      </c>
      <c r="T673" s="126">
        <v>413.09999999999997</v>
      </c>
      <c r="U673" s="126">
        <v>391.40000000000003</v>
      </c>
      <c r="V673" s="126">
        <v>484.33096274100001</v>
      </c>
      <c r="W673" s="126">
        <v>591.70000000000005</v>
      </c>
      <c r="X673" s="126">
        <v>736.42156360241711</v>
      </c>
      <c r="Y673" s="126">
        <v>862.07143003969168</v>
      </c>
      <c r="Z673" s="126">
        <f>+Z674+Z691</f>
        <v>1002.7568019579999</v>
      </c>
      <c r="AA673" s="126">
        <f>+AA674+AA691</f>
        <v>1167.9101980985556</v>
      </c>
      <c r="AB673" s="126">
        <v>1285.5798455454374</v>
      </c>
      <c r="AC673" s="126">
        <v>1461.503755922336</v>
      </c>
      <c r="AD673" s="141">
        <f>FISCinyear!IG467</f>
        <v>1670.2030407779237</v>
      </c>
      <c r="AE673" s="126">
        <f>(+AE674+AE691)*0+1649.94869411712</f>
        <v>1649.9486941171201</v>
      </c>
      <c r="AF673" s="126">
        <f>(+AF674+AF691)*0+1679.21144080852</f>
        <v>1679.2114408085199</v>
      </c>
      <c r="AG673" s="126">
        <f>+AG674+AG691</f>
        <v>7816.4786611245672</v>
      </c>
      <c r="AH673" s="126">
        <f t="shared" ref="AH673:AO673" si="946">+AH674+AH691</f>
        <v>11373.342941169718</v>
      </c>
      <c r="AI673" s="126">
        <f t="shared" si="946"/>
        <v>12889.214493001125</v>
      </c>
      <c r="AJ673" s="126">
        <f t="shared" si="946"/>
        <v>0</v>
      </c>
      <c r="AK673" s="126" t="e">
        <f t="shared" si="946"/>
        <v>#DIV/0!</v>
      </c>
      <c r="AL673" s="126" t="e">
        <f t="shared" si="946"/>
        <v>#DIV/0!</v>
      </c>
      <c r="AM673" s="126" t="e">
        <f t="shared" si="946"/>
        <v>#DIV/0!</v>
      </c>
      <c r="AN673" s="126" t="e">
        <f t="shared" si="946"/>
        <v>#DIV/0!</v>
      </c>
      <c r="AO673" s="126" t="e">
        <f t="shared" si="946"/>
        <v>#DIV/0!</v>
      </c>
      <c r="AP673" s="126"/>
      <c r="AQ673" s="126"/>
      <c r="AR673" s="126"/>
      <c r="AS673" s="126"/>
      <c r="AT673" s="126"/>
      <c r="AU673" s="1241"/>
      <c r="AV673" s="1241"/>
      <c r="AW673" s="1241"/>
      <c r="AX673" s="1241"/>
      <c r="AY673" s="1241"/>
      <c r="AZ673" s="1241"/>
      <c r="BA673" s="1241"/>
      <c r="BB673" s="1241"/>
      <c r="BC673" s="1241"/>
      <c r="BD673" s="1241"/>
      <c r="BE673" s="1241"/>
      <c r="BF673" s="1241"/>
      <c r="BG673" s="1241"/>
      <c r="BH673" s="1241"/>
      <c r="BI673" s="1241"/>
      <c r="BJ673" s="1241"/>
      <c r="BK673" s="1241"/>
    </row>
    <row r="674" spans="1:63" hidden="1">
      <c r="C674" s="91"/>
      <c r="D674" s="708" t="s">
        <v>138</v>
      </c>
      <c r="E674" s="164"/>
      <c r="F674" s="14"/>
      <c r="G674" s="14"/>
      <c r="H674" s="14"/>
      <c r="I674" s="14"/>
      <c r="J674" s="126">
        <v>61.834350000000001</v>
      </c>
      <c r="K674" s="126">
        <v>63.134699999999995</v>
      </c>
      <c r="L674" s="126">
        <v>71.812049999999999</v>
      </c>
      <c r="M674" s="126">
        <v>86.365949999999998</v>
      </c>
      <c r="N674" s="126">
        <v>103.91084999999998</v>
      </c>
      <c r="O674" s="126">
        <v>123.96069999999997</v>
      </c>
      <c r="P674" s="126">
        <v>147.8440864465</v>
      </c>
      <c r="Q674" s="126">
        <v>177.28098644650001</v>
      </c>
      <c r="R674" s="126">
        <v>217.59999999999997</v>
      </c>
      <c r="S674" s="126">
        <v>272.5</v>
      </c>
      <c r="T674" s="126">
        <v>361.4</v>
      </c>
      <c r="U674" s="126">
        <v>376.40000000000003</v>
      </c>
      <c r="V674" s="126">
        <v>463.70823000000001</v>
      </c>
      <c r="W674" s="126">
        <v>557</v>
      </c>
      <c r="X674" s="126">
        <v>651.92156360241711</v>
      </c>
      <c r="Y674" s="126">
        <v>761.02287438134351</v>
      </c>
      <c r="Z674" s="126">
        <f>+Z676+Z679+Z686</f>
        <v>871.55680195799994</v>
      </c>
      <c r="AA674" s="126">
        <f>+AA676+AA679+AA686</f>
        <v>1000.3139498321091</v>
      </c>
      <c r="AB674" s="126">
        <v>1104.143145074856</v>
      </c>
      <c r="AC674" s="126">
        <v>1252.8836310898428</v>
      </c>
      <c r="AD674" s="126">
        <f>FISCinyear!IG468</f>
        <v>1418.7907824792755</v>
      </c>
      <c r="AE674" s="126">
        <f>(+AE676+AE679+AE686)*0+1408.28179656143</f>
        <v>1408.2817965614299</v>
      </c>
      <c r="AF674" s="126">
        <f>(+AF676+AF679+AF686)*0+1459.87322506286</f>
        <v>1459.87322506286</v>
      </c>
      <c r="AG674" s="126">
        <f>+(AG676+AG679+AG686)</f>
        <v>7489.9331182387605</v>
      </c>
      <c r="AH674" s="126">
        <f>+(AH676+AH679+AH686)</f>
        <v>10981.518626929459</v>
      </c>
      <c r="AI674" s="126">
        <f>(+AI676+AI679+AI686)</f>
        <v>12397.942609035448</v>
      </c>
      <c r="AJ674" s="126">
        <f>+AJ676+AJ679+AJ686</f>
        <v>0</v>
      </c>
      <c r="AK674" s="126">
        <f>+AK676+AK679+AK686</f>
        <v>78.11456214724744</v>
      </c>
      <c r="AL674" s="126">
        <f>+AL676+AL679+AL686</f>
        <v>80.869314033084009</v>
      </c>
      <c r="AM674" s="126">
        <f>+AM676+AM679+AM686</f>
        <v>83.898570685574228</v>
      </c>
      <c r="AN674" s="126">
        <f t="shared" ref="AN674:AO674" si="947">+AN676+AN679+AN686</f>
        <v>86.909346784529873</v>
      </c>
      <c r="AO674" s="126">
        <f t="shared" si="947"/>
        <v>90.358817481152514</v>
      </c>
      <c r="AP674" s="126"/>
      <c r="AQ674" s="126"/>
      <c r="AR674" s="126"/>
      <c r="AS674" s="126"/>
      <c r="AT674" s="126"/>
    </row>
    <row r="675" spans="1:63" hidden="1">
      <c r="C675" s="91"/>
      <c r="D675" s="130" t="s">
        <v>139</v>
      </c>
      <c r="E675" s="168" t="s">
        <v>242</v>
      </c>
      <c r="F675" s="28"/>
      <c r="G675" s="28"/>
      <c r="H675" s="28"/>
      <c r="I675" s="28"/>
      <c r="J675" s="126"/>
      <c r="K675" s="126"/>
      <c r="L675" s="126"/>
      <c r="M675" s="126"/>
      <c r="N675" s="126"/>
      <c r="O675" s="126"/>
      <c r="P675" s="126"/>
      <c r="Q675" s="126"/>
      <c r="R675" s="126"/>
      <c r="S675" s="126"/>
      <c r="T675" s="126"/>
      <c r="U675" s="126"/>
      <c r="V675" s="126"/>
      <c r="W675" s="154"/>
      <c r="X675" s="154"/>
      <c r="Y675" s="154"/>
      <c r="Z675" s="154"/>
      <c r="AA675" s="154"/>
      <c r="AB675" s="154"/>
      <c r="AC675" s="154"/>
      <c r="AD675" s="1252"/>
      <c r="AE675" s="1252"/>
      <c r="AF675" s="1428"/>
      <c r="AG675" s="1428"/>
      <c r="AH675" s="1428"/>
      <c r="AI675" s="1428"/>
      <c r="AJ675" s="1428"/>
      <c r="AK675" s="1428"/>
      <c r="AL675" s="1428"/>
      <c r="AM675" s="1428"/>
      <c r="AN675" s="1428"/>
      <c r="AO675" s="1428"/>
      <c r="AP675" s="1428"/>
      <c r="AQ675" s="1428"/>
      <c r="AR675" s="1428"/>
      <c r="AS675" s="1428"/>
      <c r="AT675" s="1428"/>
    </row>
    <row r="676" spans="1:63" hidden="1">
      <c r="C676" s="91"/>
      <c r="D676" s="709" t="s">
        <v>140</v>
      </c>
      <c r="E676" s="164"/>
      <c r="F676" s="14"/>
      <c r="G676" s="14"/>
      <c r="H676" s="14"/>
      <c r="I676" s="14"/>
      <c r="J676" s="126">
        <v>17.2469</v>
      </c>
      <c r="K676" s="126">
        <v>17.314599999999999</v>
      </c>
      <c r="L676" s="126">
        <v>20.923549999999999</v>
      </c>
      <c r="M676" s="126">
        <v>26.705950000000001</v>
      </c>
      <c r="N676" s="126">
        <v>31.963699999999999</v>
      </c>
      <c r="O676" s="126">
        <v>35.926549999999999</v>
      </c>
      <c r="P676" s="126">
        <v>43.673865413499996</v>
      </c>
      <c r="Q676" s="126">
        <v>56.802915413500003</v>
      </c>
      <c r="R676" s="126">
        <v>73.599999999999994</v>
      </c>
      <c r="S676" s="126">
        <v>103.3</v>
      </c>
      <c r="T676" s="126">
        <v>130.1</v>
      </c>
      <c r="U676" s="126">
        <v>148.80000000000001</v>
      </c>
      <c r="V676" s="126">
        <v>180.87051</v>
      </c>
      <c r="W676" s="126">
        <v>228.5</v>
      </c>
      <c r="X676" s="126">
        <v>282.03795364000001</v>
      </c>
      <c r="Y676" s="126">
        <v>311.06765537199999</v>
      </c>
      <c r="Z676" s="126">
        <f>356.910721936*0+375.7</f>
        <v>375.7</v>
      </c>
      <c r="AA676" s="126">
        <f>FISCinyear!HX470</f>
        <v>406.15890469125247</v>
      </c>
      <c r="AB676" s="126">
        <v>468.38349499953603</v>
      </c>
      <c r="AC676" s="126">
        <v>538.69490139370396</v>
      </c>
      <c r="AD676" s="683">
        <f>FISCinyear!IG470</f>
        <v>617.08340546794</v>
      </c>
      <c r="AE676" s="126">
        <f>+(AE299*AE286+AE677)*0+620.745855941847</f>
        <v>620.74585594184703</v>
      </c>
      <c r="AF676" s="126">
        <f>+(AF299*AF286+AF677)*0+650.693847988338</f>
        <v>650.69384798833801</v>
      </c>
      <c r="AG676" s="126">
        <f>+(AG299*AG286+AG677)</f>
        <v>3960.664666514469</v>
      </c>
      <c r="AH676" s="126">
        <f t="shared" ref="AH676:AO676" si="948">+AH299*AH286+AH677</f>
        <v>4683.4887307001427</v>
      </c>
      <c r="AI676" s="126">
        <f t="shared" si="948"/>
        <v>4988.4179380476926</v>
      </c>
      <c r="AJ676" s="126">
        <f t="shared" si="948"/>
        <v>0</v>
      </c>
      <c r="AK676" s="126">
        <f t="shared" si="948"/>
        <v>0</v>
      </c>
      <c r="AL676" s="126">
        <f t="shared" si="948"/>
        <v>0</v>
      </c>
      <c r="AM676" s="126">
        <f t="shared" si="948"/>
        <v>0</v>
      </c>
      <c r="AN676" s="126">
        <f t="shared" si="948"/>
        <v>0</v>
      </c>
      <c r="AO676" s="126">
        <f t="shared" si="948"/>
        <v>0</v>
      </c>
      <c r="AP676" s="126"/>
      <c r="AQ676" s="126"/>
      <c r="AR676" s="126"/>
      <c r="AS676" s="126"/>
      <c r="AT676" s="126"/>
    </row>
    <row r="677" spans="1:63" hidden="1">
      <c r="A677" s="97"/>
      <c r="D677" s="130" t="s">
        <v>973</v>
      </c>
      <c r="E677" s="164"/>
      <c r="F677" s="14"/>
      <c r="G677" s="14"/>
      <c r="H677" s="14"/>
      <c r="I677" s="14"/>
      <c r="J677" s="126"/>
      <c r="K677" s="126"/>
      <c r="L677" s="126"/>
      <c r="M677" s="126"/>
      <c r="N677" s="126"/>
      <c r="O677" s="126"/>
      <c r="P677" s="126"/>
      <c r="Q677" s="126"/>
      <c r="R677" s="126"/>
      <c r="S677" s="126"/>
      <c r="T677" s="126"/>
      <c r="U677" s="126"/>
      <c r="V677" s="126">
        <v>0</v>
      </c>
      <c r="W677" s="126">
        <v>0</v>
      </c>
      <c r="X677" s="126">
        <v>0</v>
      </c>
      <c r="Y677" s="126">
        <v>0</v>
      </c>
      <c r="Z677" s="126">
        <v>13.2</v>
      </c>
      <c r="AA677" s="126">
        <f>FISCinyear!HX471</f>
        <v>13.641704387109074</v>
      </c>
      <c r="AB677" s="126">
        <v>17.44054101961876</v>
      </c>
      <c r="AC677" s="126">
        <v>18.831114429223977</v>
      </c>
      <c r="AD677" s="683">
        <f>FISCinyear!IG471</f>
        <v>19.368797178000005</v>
      </c>
      <c r="AE677" s="126">
        <f>+(AE301*AE284)*0+32.0931811585121</f>
        <v>32.093181158512103</v>
      </c>
      <c r="AF677" s="126">
        <f>+(AF301*AF284)*0+38.4747568282416</f>
        <v>38.474756828241603</v>
      </c>
      <c r="AG677" s="126">
        <f t="shared" ref="AG677:AO677" si="949">+AG301*AG284</f>
        <v>182.67183533413154</v>
      </c>
      <c r="AH677" s="126">
        <f t="shared" si="949"/>
        <v>204.87138106375232</v>
      </c>
      <c r="AI677" s="126">
        <f t="shared" si="949"/>
        <v>209.24400704792382</v>
      </c>
      <c r="AJ677" s="126">
        <f t="shared" si="949"/>
        <v>0</v>
      </c>
      <c r="AK677" s="126">
        <f t="shared" si="949"/>
        <v>0</v>
      </c>
      <c r="AL677" s="126">
        <f t="shared" si="949"/>
        <v>0</v>
      </c>
      <c r="AM677" s="126">
        <f t="shared" si="949"/>
        <v>0</v>
      </c>
      <c r="AN677" s="126">
        <f t="shared" si="949"/>
        <v>0</v>
      </c>
      <c r="AO677" s="126">
        <f t="shared" si="949"/>
        <v>0</v>
      </c>
      <c r="AP677" s="126"/>
      <c r="AQ677" s="126"/>
      <c r="AR677" s="126"/>
      <c r="AS677" s="126"/>
      <c r="AT677" s="126"/>
    </row>
    <row r="678" spans="1:63" hidden="1">
      <c r="A678" s="97"/>
      <c r="D678" s="130" t="s">
        <v>347</v>
      </c>
      <c r="E678" s="164"/>
      <c r="F678" s="14"/>
      <c r="G678" s="14"/>
      <c r="H678" s="14"/>
      <c r="I678" s="14"/>
      <c r="J678" s="126"/>
      <c r="K678" s="126"/>
      <c r="L678" s="126"/>
      <c r="M678" s="126"/>
      <c r="N678" s="126"/>
      <c r="O678" s="126"/>
      <c r="P678" s="126"/>
      <c r="Q678" s="126"/>
      <c r="R678" s="126"/>
      <c r="S678" s="126"/>
      <c r="T678" s="126"/>
      <c r="U678" s="126"/>
      <c r="V678" s="126"/>
      <c r="W678" s="126"/>
      <c r="X678" s="126"/>
      <c r="Y678" s="126"/>
      <c r="Z678" s="126"/>
      <c r="AA678" s="126">
        <f>FISCinyear!HX472</f>
        <v>0</v>
      </c>
      <c r="AB678" s="126">
        <v>7.9125338029999996</v>
      </c>
      <c r="AC678" s="126"/>
      <c r="AD678" s="683"/>
      <c r="AE678" s="126"/>
      <c r="AF678" s="126"/>
      <c r="AG678" s="126"/>
      <c r="AH678" s="126"/>
      <c r="AI678" s="126"/>
      <c r="AJ678" s="126"/>
      <c r="AK678" s="126"/>
      <c r="AL678" s="126"/>
      <c r="AM678" s="126"/>
      <c r="AN678" s="126"/>
      <c r="AO678" s="126"/>
      <c r="AP678" s="126"/>
      <c r="AQ678" s="126"/>
      <c r="AR678" s="126"/>
      <c r="AS678" s="126"/>
      <c r="AT678" s="126"/>
    </row>
    <row r="679" spans="1:63" hidden="1">
      <c r="D679" s="709" t="s">
        <v>142</v>
      </c>
      <c r="E679" s="164"/>
      <c r="F679" s="14"/>
      <c r="G679" s="14"/>
      <c r="H679" s="14"/>
      <c r="I679" s="14"/>
      <c r="J679" s="126">
        <v>31.0535</v>
      </c>
      <c r="K679" s="126">
        <v>34.375450000000001</v>
      </c>
      <c r="L679" s="126">
        <v>38.1006</v>
      </c>
      <c r="M679" s="126">
        <v>44.326100000000004</v>
      </c>
      <c r="N679" s="126">
        <v>52.533950000000004</v>
      </c>
      <c r="O679" s="126">
        <v>63.825749999999999</v>
      </c>
      <c r="P679" s="126">
        <v>76.543240682000004</v>
      </c>
      <c r="Q679" s="126">
        <v>89.216490682</v>
      </c>
      <c r="R679" s="126">
        <v>109.8</v>
      </c>
      <c r="S679" s="126">
        <v>135</v>
      </c>
      <c r="T679" s="126">
        <v>179.3</v>
      </c>
      <c r="U679" s="126">
        <v>195</v>
      </c>
      <c r="V679" s="126">
        <v>245.07752000000005</v>
      </c>
      <c r="W679" s="126">
        <v>282.60000000000002</v>
      </c>
      <c r="X679" s="126">
        <v>315.06128592821722</v>
      </c>
      <c r="Y679" s="126">
        <v>394.09039095934344</v>
      </c>
      <c r="Z679" s="126">
        <f>0*424.752046105393+432.4</f>
        <v>432.4</v>
      </c>
      <c r="AA679" s="126">
        <f>FISCinyear!HX473</f>
        <v>510.26995810122003</v>
      </c>
      <c r="AB679" s="126">
        <v>544.55577678631994</v>
      </c>
      <c r="AC679" s="126">
        <v>616.05744956113881</v>
      </c>
      <c r="AD679" s="683">
        <f>FISCinyear!IG473</f>
        <v>689.97955689239006</v>
      </c>
      <c r="AE679" s="573">
        <f>+(AE681+AE682+AE683+AE684)*0+679.274789044858</f>
        <v>679.27478904485804</v>
      </c>
      <c r="AF679" s="573">
        <f>+(AF681+AF682+AF683+AF684)*0+700.813984700267</f>
        <v>700.81398470026704</v>
      </c>
      <c r="AG679" s="573">
        <f>+(AG681+AG682+AG466+AG684)</f>
        <v>2682.2296021380207</v>
      </c>
      <c r="AH679" s="573">
        <f t="shared" ref="AH679:AM679" si="950">+AH681+AH682+AH683+AH684</f>
        <v>5130.8250709093973</v>
      </c>
      <c r="AI679" s="573">
        <f t="shared" si="950"/>
        <v>5914.9704502793338</v>
      </c>
      <c r="AJ679" s="573">
        <f t="shared" si="950"/>
        <v>0</v>
      </c>
      <c r="AK679" s="573">
        <f t="shared" si="950"/>
        <v>78.11456214724744</v>
      </c>
      <c r="AL679" s="573">
        <f t="shared" si="950"/>
        <v>80.869314033084009</v>
      </c>
      <c r="AM679" s="573">
        <f t="shared" si="950"/>
        <v>83.898570685574228</v>
      </c>
      <c r="AN679" s="573">
        <f t="shared" ref="AN679:AO679" si="951">+AN681+AN682+AN683+AN684</f>
        <v>86.909346784529873</v>
      </c>
      <c r="AO679" s="573">
        <f t="shared" si="951"/>
        <v>90.358817481152514</v>
      </c>
      <c r="AP679" s="573"/>
      <c r="AQ679" s="573"/>
      <c r="AR679" s="573"/>
      <c r="AS679" s="573"/>
      <c r="AT679" s="573"/>
    </row>
    <row r="680" spans="1:63" hidden="1">
      <c r="D680" s="991" t="s">
        <v>1134</v>
      </c>
      <c r="E680" s="171"/>
      <c r="F680" s="14"/>
      <c r="G680" s="14"/>
      <c r="H680" s="14"/>
      <c r="I680" s="14"/>
      <c r="J680" s="126"/>
      <c r="K680" s="126"/>
      <c r="L680" s="126"/>
      <c r="M680" s="126"/>
      <c r="N680" s="126"/>
      <c r="O680" s="126"/>
      <c r="P680" s="126"/>
      <c r="Q680" s="126"/>
      <c r="R680" s="126"/>
      <c r="S680" s="126"/>
      <c r="T680" s="126"/>
      <c r="U680" s="126"/>
      <c r="V680" s="126"/>
      <c r="W680" s="126">
        <v>0</v>
      </c>
      <c r="X680" s="126">
        <v>0</v>
      </c>
      <c r="Y680" s="126">
        <v>4.6431497745638088</v>
      </c>
      <c r="Z680" s="126">
        <v>11</v>
      </c>
      <c r="AA680" s="126">
        <f>FISCinyear!HX474</f>
        <v>11.710118264066224</v>
      </c>
      <c r="AB680" s="126">
        <v>0</v>
      </c>
      <c r="AC680" s="126">
        <v>0</v>
      </c>
      <c r="AD680" s="683">
        <f>AG1770</f>
        <v>156.930534967</v>
      </c>
      <c r="AE680" s="163">
        <f>AH1770*0+11.382821537</f>
        <v>11.382821537</v>
      </c>
      <c r="AF680" s="163">
        <f>AI1770*0+12.352068791</f>
        <v>12.352068791000001</v>
      </c>
      <c r="AG680" s="163">
        <f>AJ1770</f>
        <v>155.06690945537161</v>
      </c>
      <c r="AH680" s="163">
        <f t="shared" ref="AH680:AM680" si="952">+AG680</f>
        <v>155.06690945537161</v>
      </c>
      <c r="AI680" s="163">
        <f t="shared" si="952"/>
        <v>155.06690945537161</v>
      </c>
      <c r="AJ680" s="163">
        <f t="shared" si="952"/>
        <v>155.06690945537161</v>
      </c>
      <c r="AK680" s="163">
        <f t="shared" si="952"/>
        <v>155.06690945537161</v>
      </c>
      <c r="AL680" s="163">
        <f t="shared" si="952"/>
        <v>155.06690945537161</v>
      </c>
      <c r="AM680" s="163">
        <f t="shared" si="952"/>
        <v>155.06690945537161</v>
      </c>
      <c r="AN680" s="163">
        <f t="shared" ref="AN680" si="953">+AM680</f>
        <v>155.06690945537161</v>
      </c>
      <c r="AO680" s="163">
        <f t="shared" ref="AO680" si="954">+AN680</f>
        <v>155.06690945537161</v>
      </c>
      <c r="AP680" s="163"/>
      <c r="AQ680" s="163"/>
      <c r="AR680" s="163"/>
      <c r="AS680" s="163"/>
      <c r="AT680" s="163"/>
    </row>
    <row r="681" spans="1:63" hidden="1">
      <c r="D681" s="255" t="s">
        <v>327</v>
      </c>
      <c r="E681" s="168" t="s">
        <v>326</v>
      </c>
      <c r="F681" s="14"/>
      <c r="G681" s="14"/>
      <c r="H681" s="14"/>
      <c r="I681" s="14"/>
      <c r="J681" s="126"/>
      <c r="K681" s="126"/>
      <c r="L681" s="126"/>
      <c r="M681" s="126"/>
      <c r="N681" s="126"/>
      <c r="O681" s="126"/>
      <c r="P681" s="126"/>
      <c r="Q681" s="126"/>
      <c r="R681" s="126"/>
      <c r="S681" s="126"/>
      <c r="T681" s="126"/>
      <c r="U681" s="126"/>
      <c r="V681" s="159">
        <f>+V679-V682-V683</f>
        <v>150.69373877680005</v>
      </c>
      <c r="W681" s="159">
        <f>+W679-W682-W683</f>
        <v>177.89039918590004</v>
      </c>
      <c r="X681" s="159">
        <f>+X679-X682-X683</f>
        <v>205.32254319011724</v>
      </c>
      <c r="Y681" s="159">
        <f>+Y679-Y682-Y683</f>
        <v>266.53332178554342</v>
      </c>
      <c r="Z681" s="159">
        <f>+Z679-Z682-Z683</f>
        <v>291.56431106799999</v>
      </c>
      <c r="AA681" s="159">
        <f>FISCinyear!HX475</f>
        <v>284.67799529972336</v>
      </c>
      <c r="AB681" s="159">
        <v>316.51472917152</v>
      </c>
      <c r="AC681" s="159">
        <v>367.84438556264797</v>
      </c>
      <c r="AD681" s="683">
        <f>FISCinyear!IG475</f>
        <v>419.8296367767756</v>
      </c>
      <c r="AE681" s="160">
        <v>427.00197743470397</v>
      </c>
      <c r="AF681" s="160">
        <v>337.15350616777903</v>
      </c>
      <c r="AG681" s="160">
        <f t="shared" ref="AG681:AO681" si="955">+AG305*AG286</f>
        <v>2563.5577144271656</v>
      </c>
      <c r="AH681" s="160">
        <f t="shared" si="955"/>
        <v>3458.4531192817904</v>
      </c>
      <c r="AI681" s="160">
        <f t="shared" si="955"/>
        <v>3810.7667418052361</v>
      </c>
      <c r="AJ681" s="160">
        <f t="shared" si="955"/>
        <v>0</v>
      </c>
      <c r="AK681" s="160">
        <f t="shared" si="955"/>
        <v>0</v>
      </c>
      <c r="AL681" s="160">
        <f t="shared" si="955"/>
        <v>0</v>
      </c>
      <c r="AM681" s="160">
        <f t="shared" si="955"/>
        <v>0</v>
      </c>
      <c r="AN681" s="160">
        <f t="shared" si="955"/>
        <v>0</v>
      </c>
      <c r="AO681" s="160">
        <f t="shared" si="955"/>
        <v>0</v>
      </c>
      <c r="AP681" s="160"/>
      <c r="AQ681" s="160"/>
      <c r="AR681" s="160"/>
      <c r="AS681" s="160"/>
      <c r="AT681" s="160"/>
    </row>
    <row r="682" spans="1:63" hidden="1">
      <c r="D682" s="130" t="s">
        <v>256</v>
      </c>
      <c r="E682" s="169" t="s">
        <v>250</v>
      </c>
      <c r="F682" s="14"/>
      <c r="G682" s="14"/>
      <c r="H682" s="14"/>
      <c r="I682" s="14"/>
      <c r="J682" s="126"/>
      <c r="K682" s="126"/>
      <c r="L682" s="126"/>
      <c r="M682" s="126"/>
      <c r="N682" s="126"/>
      <c r="O682" s="126"/>
      <c r="P682" s="126"/>
      <c r="Q682" s="126"/>
      <c r="R682" s="126"/>
      <c r="S682" s="126"/>
      <c r="T682" s="126"/>
      <c r="U682" s="126"/>
      <c r="V682" s="158">
        <v>52.384905286200002</v>
      </c>
      <c r="W682" s="158">
        <v>68.826393269100009</v>
      </c>
      <c r="X682" s="158">
        <v>75.831203879099988</v>
      </c>
      <c r="Y682" s="158">
        <v>90.556791256799997</v>
      </c>
      <c r="Z682" s="572">
        <v>99.770691104999997</v>
      </c>
      <c r="AA682" s="572">
        <f>FISCinyear!HX476</f>
        <v>109.09405979749671</v>
      </c>
      <c r="AB682" s="572">
        <v>124.07125879180001</v>
      </c>
      <c r="AC682" s="572">
        <v>142.49295850171748</v>
      </c>
      <c r="AD682" s="683">
        <f>FISCinyear!IG476</f>
        <v>150.84872275807999</v>
      </c>
      <c r="AE682" s="160">
        <v>140.79556880066454</v>
      </c>
      <c r="AF682" s="160">
        <v>140.93113582954922</v>
      </c>
      <c r="AG682" s="160">
        <f t="shared" ref="AG682:AO682" si="956">+AG331*AG335*AG334</f>
        <v>1101.5892117260869</v>
      </c>
      <c r="AH682" s="160">
        <f t="shared" si="956"/>
        <v>1517.9708039071459</v>
      </c>
      <c r="AI682" s="160">
        <f t="shared" si="956"/>
        <v>1943.694562151725</v>
      </c>
      <c r="AJ682" s="160">
        <f t="shared" si="956"/>
        <v>0</v>
      </c>
      <c r="AK682" s="160">
        <f t="shared" si="956"/>
        <v>0</v>
      </c>
      <c r="AL682" s="160">
        <f t="shared" si="956"/>
        <v>0</v>
      </c>
      <c r="AM682" s="160">
        <f t="shared" si="956"/>
        <v>0</v>
      </c>
      <c r="AN682" s="160">
        <f t="shared" si="956"/>
        <v>0</v>
      </c>
      <c r="AO682" s="160">
        <f t="shared" si="956"/>
        <v>0</v>
      </c>
      <c r="AP682" s="160"/>
      <c r="AQ682" s="160"/>
      <c r="AR682" s="160"/>
      <c r="AS682" s="160"/>
      <c r="AT682" s="160"/>
    </row>
    <row r="683" spans="1:63" hidden="1">
      <c r="D683" s="130" t="s">
        <v>843</v>
      </c>
      <c r="E683" s="169" t="s">
        <v>251</v>
      </c>
      <c r="F683" s="14"/>
      <c r="G683" s="14"/>
      <c r="H683" s="14"/>
      <c r="I683" s="14"/>
      <c r="J683" s="126"/>
      <c r="K683" s="126"/>
      <c r="L683" s="126"/>
      <c r="M683" s="126"/>
      <c r="N683" s="126"/>
      <c r="O683" s="126"/>
      <c r="P683" s="126"/>
      <c r="Q683" s="126"/>
      <c r="R683" s="126"/>
      <c r="S683" s="126"/>
      <c r="T683" s="126"/>
      <c r="U683" s="126"/>
      <c r="V683" s="158">
        <v>41.998875937000008</v>
      </c>
      <c r="W683" s="158">
        <v>35.883207544999991</v>
      </c>
      <c r="X683" s="158">
        <v>33.907538858999999</v>
      </c>
      <c r="Y683" s="158">
        <v>37.000277916999998</v>
      </c>
      <c r="Z683" s="572">
        <v>41.064997827000006</v>
      </c>
      <c r="AA683" s="572">
        <f>FISCinyear!HX477</f>
        <v>70.537819522999996</v>
      </c>
      <c r="AB683" s="572">
        <v>49.161149705</v>
      </c>
      <c r="AC683" s="572">
        <v>45.414855609714145</v>
      </c>
      <c r="AD683" s="683">
        <f>FISCinyear!IG477</f>
        <v>57.597288626534429</v>
      </c>
      <c r="AE683" s="161">
        <v>52.237534284038475</v>
      </c>
      <c r="AF683" s="161">
        <v>56.255635505275059</v>
      </c>
      <c r="AG683" s="161">
        <f t="shared" ref="AG683:AO683" si="957">+AG318*(1-AG319)</f>
        <v>21.832439008574706</v>
      </c>
      <c r="AH683" s="161">
        <f t="shared" si="957"/>
        <v>22.894957751092974</v>
      </c>
      <c r="AI683" s="161">
        <f t="shared" si="957"/>
        <v>23.834016121223588</v>
      </c>
      <c r="AJ683" s="161">
        <f t="shared" si="957"/>
        <v>0</v>
      </c>
      <c r="AK683" s="161">
        <f t="shared" si="957"/>
        <v>78.11456214724744</v>
      </c>
      <c r="AL683" s="161">
        <f t="shared" si="957"/>
        <v>80.869314033084009</v>
      </c>
      <c r="AM683" s="161">
        <f t="shared" si="957"/>
        <v>83.898570685574228</v>
      </c>
      <c r="AN683" s="161">
        <f t="shared" si="957"/>
        <v>86.909346784529873</v>
      </c>
      <c r="AO683" s="161">
        <f t="shared" si="957"/>
        <v>90.358817481152514</v>
      </c>
      <c r="AP683" s="161"/>
      <c r="AQ683" s="161"/>
      <c r="AR683" s="161"/>
      <c r="AS683" s="161"/>
      <c r="AT683" s="161"/>
    </row>
    <row r="684" spans="1:63" hidden="1">
      <c r="D684" s="130" t="s">
        <v>842</v>
      </c>
      <c r="E684" s="169"/>
      <c r="F684" s="14"/>
      <c r="G684" s="14"/>
      <c r="H684" s="14"/>
      <c r="I684" s="14"/>
      <c r="J684" s="126"/>
      <c r="K684" s="126"/>
      <c r="L684" s="126"/>
      <c r="M684" s="126"/>
      <c r="N684" s="126"/>
      <c r="O684" s="126"/>
      <c r="P684" s="126"/>
      <c r="Q684" s="126"/>
      <c r="R684" s="126"/>
      <c r="S684" s="126"/>
      <c r="T684" s="126"/>
      <c r="U684" s="126"/>
      <c r="V684" s="158"/>
      <c r="W684" s="158"/>
      <c r="X684" s="158"/>
      <c r="Y684" s="158"/>
      <c r="Z684" s="158"/>
      <c r="AA684" s="158">
        <f>FISCinyear!HX478</f>
        <v>45.960083481000005</v>
      </c>
      <c r="AB684" s="158">
        <v>54.808639118000002</v>
      </c>
      <c r="AC684" s="158">
        <v>57.706738912999995</v>
      </c>
      <c r="AD684" s="683">
        <f>FISCinyear!IG478</f>
        <v>61.703908731000006</v>
      </c>
      <c r="AE684" s="161">
        <v>59.23970852545088</v>
      </c>
      <c r="AF684" s="161">
        <v>166.4737071976636</v>
      </c>
      <c r="AG684" s="161">
        <f>AJ1771+AJ1772</f>
        <v>-1050.1666752991748</v>
      </c>
      <c r="AH684" s="161">
        <f t="shared" ref="AH684:AO684" si="958">+AH325+AH322</f>
        <v>131.50618996936856</v>
      </c>
      <c r="AI684" s="161">
        <f t="shared" si="958"/>
        <v>136.6751302011491</v>
      </c>
      <c r="AJ684" s="161">
        <f t="shared" si="958"/>
        <v>0</v>
      </c>
      <c r="AK684" s="161">
        <f t="shared" si="958"/>
        <v>0</v>
      </c>
      <c r="AL684" s="161">
        <f t="shared" si="958"/>
        <v>0</v>
      </c>
      <c r="AM684" s="161">
        <f t="shared" si="958"/>
        <v>0</v>
      </c>
      <c r="AN684" s="161">
        <f t="shared" si="958"/>
        <v>0</v>
      </c>
      <c r="AO684" s="161">
        <f t="shared" si="958"/>
        <v>0</v>
      </c>
      <c r="AP684" s="161"/>
      <c r="AQ684" s="161"/>
      <c r="AR684" s="161"/>
      <c r="AS684" s="161"/>
      <c r="AT684" s="161"/>
    </row>
    <row r="685" spans="1:63" hidden="1">
      <c r="D685" s="1161"/>
      <c r="E685" s="169"/>
      <c r="F685" s="14"/>
      <c r="G685" s="14"/>
      <c r="H685" s="14"/>
      <c r="I685" s="14"/>
      <c r="J685" s="126"/>
      <c r="K685" s="126"/>
      <c r="L685" s="126"/>
      <c r="M685" s="126"/>
      <c r="N685" s="126"/>
      <c r="O685" s="126"/>
      <c r="P685" s="126"/>
      <c r="Q685" s="126"/>
      <c r="R685" s="126"/>
      <c r="S685" s="126"/>
      <c r="T685" s="126"/>
      <c r="U685" s="126"/>
      <c r="V685" s="158"/>
      <c r="W685" s="158"/>
      <c r="X685" s="158"/>
      <c r="Y685" s="158"/>
      <c r="Z685" s="158"/>
      <c r="AA685" s="158"/>
      <c r="AB685" s="158"/>
      <c r="AC685" s="158"/>
      <c r="AD685" s="683"/>
      <c r="AE685" s="161"/>
      <c r="AF685" s="161"/>
      <c r="AG685" s="161"/>
      <c r="AH685" s="161"/>
      <c r="AI685" s="161"/>
      <c r="AJ685" s="161"/>
      <c r="AK685" s="161"/>
      <c r="AL685" s="161"/>
      <c r="AM685" s="161"/>
      <c r="AN685" s="161"/>
      <c r="AO685" s="161"/>
      <c r="AP685" s="161"/>
      <c r="AQ685" s="161"/>
      <c r="AR685" s="161"/>
      <c r="AS685" s="161"/>
      <c r="AT685" s="161"/>
    </row>
    <row r="686" spans="1:63" hidden="1">
      <c r="D686" s="709" t="s">
        <v>144</v>
      </c>
      <c r="E686" s="170"/>
      <c r="F686" s="14"/>
      <c r="G686" s="14"/>
      <c r="H686" s="14"/>
      <c r="I686" s="14"/>
      <c r="J686" s="126">
        <v>13.533950000000001</v>
      </c>
      <c r="K686" s="126">
        <v>11.444649999999999</v>
      </c>
      <c r="L686" s="126">
        <v>12.7879</v>
      </c>
      <c r="M686" s="126">
        <v>15.3339</v>
      </c>
      <c r="N686" s="126">
        <v>19.4132</v>
      </c>
      <c r="O686" s="126">
        <v>24.208399999999997</v>
      </c>
      <c r="P686" s="126">
        <v>27.626980351</v>
      </c>
      <c r="Q686" s="126">
        <v>31.261580350999999</v>
      </c>
      <c r="R686" s="126">
        <v>34.200000000000003</v>
      </c>
      <c r="S686" s="126">
        <v>34.200000000000003</v>
      </c>
      <c r="T686" s="126">
        <v>52</v>
      </c>
      <c r="U686" s="126">
        <v>32.6</v>
      </c>
      <c r="V686" s="126">
        <v>37.760199999999998</v>
      </c>
      <c r="W686" s="126">
        <v>45.9</v>
      </c>
      <c r="X686" s="126">
        <v>54.822324034199994</v>
      </c>
      <c r="Y686" s="126">
        <v>55.86482805</v>
      </c>
      <c r="Z686" s="126">
        <f>63.356801958+0.1</f>
        <v>63.456801958</v>
      </c>
      <c r="AA686" s="126">
        <f>FISCinyear!HX480</f>
        <v>83.885087039636574</v>
      </c>
      <c r="AB686" s="126">
        <v>91.203873289000001</v>
      </c>
      <c r="AC686" s="126">
        <v>98.131280134999997</v>
      </c>
      <c r="AD686" s="707">
        <f>FISCinyear!IG480</f>
        <v>111.72782011894525</v>
      </c>
      <c r="AE686" s="163">
        <v>108.26115157472482</v>
      </c>
      <c r="AF686" s="163">
        <v>108.36539237425878</v>
      </c>
      <c r="AG686" s="163">
        <f>+(AG331*AG335*(1-AG334))</f>
        <v>847.03884958627066</v>
      </c>
      <c r="AH686" s="163">
        <f t="shared" ref="AH686:AO686" si="959">+AH331*AH335*(1-AH334)</f>
        <v>1167.2048253199198</v>
      </c>
      <c r="AI686" s="163">
        <f t="shared" si="959"/>
        <v>1494.5542207084225</v>
      </c>
      <c r="AJ686" s="163">
        <f t="shared" si="959"/>
        <v>0</v>
      </c>
      <c r="AK686" s="163">
        <f t="shared" si="959"/>
        <v>0</v>
      </c>
      <c r="AL686" s="163">
        <f t="shared" si="959"/>
        <v>0</v>
      </c>
      <c r="AM686" s="163">
        <f t="shared" si="959"/>
        <v>0</v>
      </c>
      <c r="AN686" s="163">
        <f t="shared" si="959"/>
        <v>0</v>
      </c>
      <c r="AO686" s="163">
        <f t="shared" si="959"/>
        <v>0</v>
      </c>
      <c r="AP686" s="163"/>
      <c r="AQ686" s="163"/>
      <c r="AR686" s="163"/>
      <c r="AS686" s="163"/>
      <c r="AT686" s="163"/>
    </row>
    <row r="687" spans="1:63" hidden="1">
      <c r="D687" s="130" t="s">
        <v>143</v>
      </c>
      <c r="E687" s="171"/>
      <c r="F687" s="14"/>
      <c r="G687" s="14"/>
      <c r="H687" s="14"/>
      <c r="I687" s="14"/>
      <c r="J687" s="126"/>
      <c r="K687" s="126"/>
      <c r="L687" s="126"/>
      <c r="M687" s="126"/>
      <c r="N687" s="126"/>
      <c r="O687" s="126"/>
      <c r="P687" s="126"/>
      <c r="Q687" s="126"/>
      <c r="R687" s="126"/>
      <c r="S687" s="126"/>
      <c r="T687" s="126"/>
      <c r="U687" s="126"/>
      <c r="V687" s="126"/>
      <c r="W687" s="126">
        <v>0</v>
      </c>
      <c r="X687" s="126">
        <v>0</v>
      </c>
      <c r="Y687" s="126">
        <v>7.9934024006154232</v>
      </c>
      <c r="Z687" s="126">
        <f>0*8.017+5.7</f>
        <v>5.7</v>
      </c>
      <c r="AA687" s="126">
        <f>FISCinyear!HX481</f>
        <v>8.7529764315177125</v>
      </c>
      <c r="AB687" s="126">
        <v>0</v>
      </c>
      <c r="AC687" s="126">
        <v>0</v>
      </c>
      <c r="AD687" s="683"/>
      <c r="AE687" s="126"/>
      <c r="AF687" s="126"/>
      <c r="AG687" s="126"/>
      <c r="AH687" s="126"/>
      <c r="AI687" s="126"/>
      <c r="AJ687" s="126"/>
      <c r="AK687" s="126"/>
      <c r="AL687" s="126"/>
      <c r="AM687" s="126"/>
      <c r="AN687" s="126"/>
      <c r="AO687" s="126"/>
      <c r="AP687" s="126"/>
      <c r="AQ687" s="126"/>
      <c r="AR687" s="126"/>
      <c r="AS687" s="126"/>
      <c r="AT687" s="126"/>
    </row>
    <row r="688" spans="1:63" hidden="1">
      <c r="D688" s="130" t="s">
        <v>304</v>
      </c>
      <c r="E688" s="170"/>
      <c r="F688" s="14"/>
      <c r="G688" s="14"/>
      <c r="H688" s="14"/>
      <c r="I688" s="14"/>
      <c r="J688" s="126"/>
      <c r="K688" s="126"/>
      <c r="L688" s="126"/>
      <c r="M688" s="126"/>
      <c r="N688" s="126"/>
      <c r="O688" s="126"/>
      <c r="P688" s="126"/>
      <c r="Q688" s="126"/>
      <c r="R688" s="126"/>
      <c r="S688" s="126"/>
      <c r="T688" s="126"/>
      <c r="U688" s="126"/>
      <c r="V688" s="126"/>
      <c r="W688" s="126">
        <v>0</v>
      </c>
      <c r="X688" s="126">
        <v>0</v>
      </c>
      <c r="Y688" s="126">
        <v>0</v>
      </c>
      <c r="Z688" s="126">
        <v>0</v>
      </c>
      <c r="AA688" s="126">
        <f>FISCinyear!HX482</f>
        <v>8.8000000000000007</v>
      </c>
      <c r="AB688" s="126">
        <v>10.620114093</v>
      </c>
      <c r="AC688" s="126">
        <v>11.43527939</v>
      </c>
      <c r="AD688" s="683">
        <f>FISCinyear!IG482</f>
        <v>13.01395142</v>
      </c>
      <c r="AE688" s="126">
        <v>14.332764489999999</v>
      </c>
      <c r="AF688" s="126">
        <v>14.850065997</v>
      </c>
      <c r="AG688" s="126">
        <v>15.850065997</v>
      </c>
      <c r="AH688" s="126">
        <f t="shared" ref="AH688:AO688" si="960">+AG688*(AH335/AG335)</f>
        <v>19.158873418079374</v>
      </c>
      <c r="AI688" s="126">
        <f t="shared" si="960"/>
        <v>24.169547901947972</v>
      </c>
      <c r="AJ688" s="126">
        <f t="shared" si="960"/>
        <v>0</v>
      </c>
      <c r="AK688" s="126" t="e">
        <f t="shared" si="960"/>
        <v>#DIV/0!</v>
      </c>
      <c r="AL688" s="126" t="e">
        <f t="shared" si="960"/>
        <v>#DIV/0!</v>
      </c>
      <c r="AM688" s="126" t="e">
        <f t="shared" si="960"/>
        <v>#DIV/0!</v>
      </c>
      <c r="AN688" s="126" t="e">
        <f t="shared" si="960"/>
        <v>#DIV/0!</v>
      </c>
      <c r="AO688" s="126" t="e">
        <f t="shared" si="960"/>
        <v>#DIV/0!</v>
      </c>
      <c r="AP688" s="126"/>
      <c r="AQ688" s="126"/>
      <c r="AR688" s="126"/>
      <c r="AS688" s="126"/>
      <c r="AT688" s="126"/>
    </row>
    <row r="689" spans="4:47" hidden="1">
      <c r="D689" s="130" t="s">
        <v>858</v>
      </c>
      <c r="E689" s="170"/>
      <c r="F689" s="14"/>
      <c r="G689" s="14"/>
      <c r="H689" s="14"/>
      <c r="I689" s="14"/>
      <c r="J689" s="126"/>
      <c r="K689" s="126"/>
      <c r="L689" s="126"/>
      <c r="M689" s="126"/>
      <c r="N689" s="126"/>
      <c r="O689" s="126"/>
      <c r="P689" s="126"/>
      <c r="Q689" s="126"/>
      <c r="R689" s="126"/>
      <c r="S689" s="126"/>
      <c r="T689" s="126"/>
      <c r="U689" s="126"/>
      <c r="V689" s="126"/>
      <c r="W689" s="126"/>
      <c r="X689" s="126"/>
      <c r="Y689" s="126"/>
      <c r="Z689" s="126"/>
      <c r="AA689" s="126"/>
      <c r="AB689" s="126"/>
      <c r="AC689" s="126">
        <v>0</v>
      </c>
      <c r="AD689" s="707">
        <f>FISCinyear!IG483</f>
        <v>0</v>
      </c>
      <c r="AE689" s="126"/>
      <c r="AF689" s="126"/>
      <c r="AG689" s="126"/>
      <c r="AH689" s="126"/>
      <c r="AI689" s="126"/>
      <c r="AJ689" s="126"/>
      <c r="AK689" s="126"/>
      <c r="AL689" s="126"/>
      <c r="AM689" s="126"/>
      <c r="AN689" s="126"/>
      <c r="AO689" s="126"/>
      <c r="AP689" s="126"/>
      <c r="AQ689" s="126"/>
      <c r="AR689" s="126"/>
      <c r="AS689" s="126"/>
      <c r="AT689" s="126"/>
    </row>
    <row r="690" spans="4:47" hidden="1">
      <c r="D690" s="1161" t="s">
        <v>1219</v>
      </c>
      <c r="E690" s="170"/>
      <c r="F690" s="14"/>
      <c r="G690" s="14"/>
      <c r="H690" s="14"/>
      <c r="I690" s="14"/>
      <c r="J690" s="126"/>
      <c r="K690" s="126"/>
      <c r="L690" s="126"/>
      <c r="M690" s="126"/>
      <c r="N690" s="126"/>
      <c r="O690" s="126"/>
      <c r="P690" s="126"/>
      <c r="Q690" s="126"/>
      <c r="R690" s="126"/>
      <c r="S690" s="126"/>
      <c r="T690" s="126"/>
      <c r="U690" s="126"/>
      <c r="V690" s="126"/>
      <c r="W690" s="126"/>
      <c r="X690" s="126"/>
      <c r="Y690" s="126"/>
      <c r="Z690" s="126"/>
      <c r="AA690" s="126"/>
      <c r="AB690" s="126"/>
      <c r="AC690" s="126"/>
      <c r="AD690" s="707">
        <f>FISCinyear!IG484</f>
        <v>0</v>
      </c>
      <c r="AE690" s="126">
        <v>1.9857242319999999</v>
      </c>
      <c r="AF690" s="126">
        <v>2.1967378970000002</v>
      </c>
      <c r="AG690" s="126">
        <f>AJ1773</f>
        <v>-8.5835494633176551E-2</v>
      </c>
      <c r="AH690" s="126"/>
      <c r="AI690" s="126"/>
      <c r="AJ690" s="126"/>
      <c r="AK690" s="126"/>
      <c r="AL690" s="126"/>
      <c r="AM690" s="126"/>
      <c r="AN690" s="126"/>
      <c r="AO690" s="126"/>
      <c r="AP690" s="126"/>
      <c r="AQ690" s="126"/>
      <c r="AR690" s="126"/>
      <c r="AS690" s="126"/>
      <c r="AT690" s="126"/>
    </row>
    <row r="691" spans="4:47" hidden="1">
      <c r="D691" s="708" t="s">
        <v>145</v>
      </c>
      <c r="E691" s="164"/>
      <c r="F691" s="14"/>
      <c r="G691" s="14"/>
      <c r="H691" s="14"/>
      <c r="I691" s="14"/>
      <c r="J691" s="126">
        <v>3.5502000000000002</v>
      </c>
      <c r="K691" s="126">
        <v>3.4371</v>
      </c>
      <c r="L691" s="126">
        <v>4.9344999999999999</v>
      </c>
      <c r="M691" s="126">
        <v>6.6432000000000002</v>
      </c>
      <c r="N691" s="126">
        <v>7.1430500000000006</v>
      </c>
      <c r="O691" s="126">
        <v>10.044649999999999</v>
      </c>
      <c r="P691" s="126">
        <v>15.130425470500001</v>
      </c>
      <c r="Q691" s="126">
        <v>16.2136754705</v>
      </c>
      <c r="R691" s="126">
        <v>15.7</v>
      </c>
      <c r="S691" s="126">
        <v>17.8</v>
      </c>
      <c r="T691" s="126">
        <v>51.7</v>
      </c>
      <c r="U691" s="126">
        <v>15</v>
      </c>
      <c r="V691" s="126">
        <v>20.622732741</v>
      </c>
      <c r="W691" s="126">
        <v>34.700000000000003</v>
      </c>
      <c r="X691" s="126">
        <v>84.5</v>
      </c>
      <c r="Y691" s="126">
        <v>101.04855565834818</v>
      </c>
      <c r="Z691" s="126">
        <f>+Z692+Z693</f>
        <v>131.19999999999999</v>
      </c>
      <c r="AA691" s="126">
        <f>+AA692+AA693</f>
        <v>167.59624826644659</v>
      </c>
      <c r="AB691" s="126">
        <v>181.4367004705814</v>
      </c>
      <c r="AC691" s="126">
        <v>208.62012483249333</v>
      </c>
      <c r="AD691" s="126">
        <f>FISCinyear!IG485</f>
        <v>251.41225829864834</v>
      </c>
      <c r="AE691" s="126">
        <v>241.66689755569263</v>
      </c>
      <c r="AF691" s="126">
        <v>219.33821574565292</v>
      </c>
      <c r="AG691" s="126">
        <f t="shared" ref="AG691:AM691" si="961">+AG692+AG693</f>
        <v>326.54554288580664</v>
      </c>
      <c r="AH691" s="126">
        <f t="shared" si="961"/>
        <v>391.82431424025867</v>
      </c>
      <c r="AI691" s="126">
        <f t="shared" si="961"/>
        <v>491.27188396567647</v>
      </c>
      <c r="AJ691" s="126">
        <f t="shared" si="961"/>
        <v>0</v>
      </c>
      <c r="AK691" s="126" t="e">
        <f t="shared" si="961"/>
        <v>#DIV/0!</v>
      </c>
      <c r="AL691" s="126" t="e">
        <f t="shared" si="961"/>
        <v>#DIV/0!</v>
      </c>
      <c r="AM691" s="126" t="e">
        <f t="shared" si="961"/>
        <v>#DIV/0!</v>
      </c>
      <c r="AN691" s="126" t="e">
        <f t="shared" ref="AN691:AO691" si="962">+AN692+AN693</f>
        <v>#DIV/0!</v>
      </c>
      <c r="AO691" s="126" t="e">
        <f t="shared" si="962"/>
        <v>#DIV/0!</v>
      </c>
      <c r="AP691" s="126"/>
      <c r="AQ691" s="126"/>
      <c r="AR691" s="126"/>
      <c r="AS691" s="126"/>
      <c r="AT691" s="126"/>
    </row>
    <row r="692" spans="4:47" hidden="1">
      <c r="D692" s="131" t="s">
        <v>823</v>
      </c>
      <c r="E692" s="164"/>
      <c r="F692" s="14"/>
      <c r="G692" s="14"/>
      <c r="H692" s="14"/>
      <c r="I692" s="14"/>
      <c r="J692" s="126"/>
      <c r="K692" s="126"/>
      <c r="L692" s="126"/>
      <c r="M692" s="126"/>
      <c r="N692" s="126"/>
      <c r="O692" s="126"/>
      <c r="P692" s="126"/>
      <c r="Q692" s="126"/>
      <c r="R692" s="126"/>
      <c r="S692" s="126"/>
      <c r="T692" s="126"/>
      <c r="U692" s="126"/>
      <c r="V692" s="126"/>
      <c r="W692" s="126">
        <v>0</v>
      </c>
      <c r="X692" s="126">
        <v>61.9</v>
      </c>
      <c r="Y692" s="126">
        <v>81.499363751348184</v>
      </c>
      <c r="Z692" s="126">
        <f>0*62.27+89</f>
        <v>89</v>
      </c>
      <c r="AA692" s="126">
        <f>FISCinyear!HX486</f>
        <v>122.87648755655565</v>
      </c>
      <c r="AB692" s="126">
        <v>128.49930055706017</v>
      </c>
      <c r="AC692" s="126">
        <v>150.05275337</v>
      </c>
      <c r="AD692" s="683">
        <f>FISCinyear!IG486</f>
        <v>151.02780468354831</v>
      </c>
      <c r="AE692" s="573">
        <v>169.27762068120722</v>
      </c>
      <c r="AF692" s="573">
        <v>141.91716108631363</v>
      </c>
      <c r="AG692" s="573">
        <f t="shared" ref="AG692:AO692" si="963">+AG294</f>
        <v>140.58770486242673</v>
      </c>
      <c r="AH692" s="573">
        <f t="shared" si="963"/>
        <v>151.85749599591659</v>
      </c>
      <c r="AI692" s="573">
        <f t="shared" si="963"/>
        <v>176.56360568673131</v>
      </c>
      <c r="AJ692" s="573">
        <f t="shared" si="963"/>
        <v>0</v>
      </c>
      <c r="AK692" s="573">
        <f t="shared" si="963"/>
        <v>0</v>
      </c>
      <c r="AL692" s="573">
        <f t="shared" si="963"/>
        <v>0</v>
      </c>
      <c r="AM692" s="573">
        <f t="shared" si="963"/>
        <v>0</v>
      </c>
      <c r="AN692" s="573">
        <f t="shared" si="963"/>
        <v>0</v>
      </c>
      <c r="AO692" s="573">
        <f t="shared" si="963"/>
        <v>0</v>
      </c>
      <c r="AP692" s="573"/>
      <c r="AQ692" s="573"/>
      <c r="AR692" s="573"/>
      <c r="AS692" s="573"/>
      <c r="AT692" s="573"/>
    </row>
    <row r="693" spans="4:47" hidden="1">
      <c r="D693" s="131" t="s">
        <v>1064</v>
      </c>
      <c r="E693" s="164"/>
      <c r="F693" s="14"/>
      <c r="G693" s="14"/>
      <c r="H693" s="14"/>
      <c r="I693" s="14"/>
      <c r="J693" s="126"/>
      <c r="K693" s="126"/>
      <c r="L693" s="126"/>
      <c r="M693" s="126"/>
      <c r="N693" s="126"/>
      <c r="O693" s="126"/>
      <c r="P693" s="126"/>
      <c r="Q693" s="126"/>
      <c r="R693" s="126"/>
      <c r="S693" s="126"/>
      <c r="T693" s="126"/>
      <c r="U693" s="126"/>
      <c r="V693" s="126"/>
      <c r="W693" s="126">
        <v>0</v>
      </c>
      <c r="X693" s="126">
        <v>22.6</v>
      </c>
      <c r="Y693" s="126">
        <v>19.549191906999997</v>
      </c>
      <c r="Z693" s="126">
        <f>0*40.59+42.2</f>
        <v>42.2</v>
      </c>
      <c r="AA693" s="126">
        <f>FISCinyear!HX487</f>
        <v>44.719760709890934</v>
      </c>
      <c r="AB693" s="126">
        <v>52.937399913521233</v>
      </c>
      <c r="AC693" s="126">
        <v>58.567371462493327</v>
      </c>
      <c r="AD693" s="683">
        <f>FISCinyear!IG487+AD695+AD696</f>
        <v>100.3844536151</v>
      </c>
      <c r="AE693" s="573">
        <v>72.38927687448539</v>
      </c>
      <c r="AF693" s="573">
        <v>77.421054659339276</v>
      </c>
      <c r="AG693" s="573">
        <f t="shared" ref="AG693:AO693" si="964">(AF693-AF694)*AG339+AG694</f>
        <v>185.95783802337991</v>
      </c>
      <c r="AH693" s="573">
        <f t="shared" si="964"/>
        <v>239.96681824434205</v>
      </c>
      <c r="AI693" s="573">
        <f t="shared" si="964"/>
        <v>314.70827827894516</v>
      </c>
      <c r="AJ693" s="573">
        <f t="shared" si="964"/>
        <v>0</v>
      </c>
      <c r="AK693" s="573" t="e">
        <f t="shared" si="964"/>
        <v>#DIV/0!</v>
      </c>
      <c r="AL693" s="573" t="e">
        <f t="shared" si="964"/>
        <v>#DIV/0!</v>
      </c>
      <c r="AM693" s="573" t="e">
        <f t="shared" si="964"/>
        <v>#DIV/0!</v>
      </c>
      <c r="AN693" s="573" t="e">
        <f t="shared" si="964"/>
        <v>#DIV/0!</v>
      </c>
      <c r="AO693" s="573" t="e">
        <f t="shared" si="964"/>
        <v>#DIV/0!</v>
      </c>
      <c r="AP693" s="573"/>
      <c r="AQ693" s="573"/>
      <c r="AR693" s="573"/>
      <c r="AS693" s="573"/>
      <c r="AT693" s="573"/>
    </row>
    <row r="694" spans="4:47" hidden="1">
      <c r="D694" s="131" t="s">
        <v>349</v>
      </c>
      <c r="E694" s="164"/>
      <c r="F694" s="14"/>
      <c r="G694" s="14"/>
      <c r="H694" s="14"/>
      <c r="I694" s="14"/>
      <c r="J694" s="126"/>
      <c r="K694" s="126"/>
      <c r="L694" s="126"/>
      <c r="M694" s="126"/>
      <c r="N694" s="126"/>
      <c r="O694" s="126"/>
      <c r="P694" s="126"/>
      <c r="Q694" s="126"/>
      <c r="R694" s="126"/>
      <c r="S694" s="126"/>
      <c r="T694" s="126"/>
      <c r="U694" s="126"/>
      <c r="V694" s="126"/>
      <c r="W694" s="126"/>
      <c r="X694" s="126"/>
      <c r="Y694" s="126"/>
      <c r="Z694" s="146">
        <f>+Z738-Z677</f>
        <v>17.8</v>
      </c>
      <c r="AA694" s="146">
        <f>FISCinyear!HX488</f>
        <v>26.746760709890932</v>
      </c>
      <c r="AB694" s="146">
        <v>30.447338092201235</v>
      </c>
      <c r="AC694" s="146">
        <v>34.951589472616007</v>
      </c>
      <c r="AD694" s="683">
        <f>FISCinyear!IG488</f>
        <v>41.241632726000006</v>
      </c>
      <c r="AE694" s="149">
        <v>28.6235894165514</v>
      </c>
      <c r="AF694" s="149">
        <v>34.968337825143301</v>
      </c>
      <c r="AG694" s="149">
        <f t="shared" ref="AG694:AO694" si="965">+AG340</f>
        <v>69.637393897682941</v>
      </c>
      <c r="AH694" s="149">
        <f t="shared" si="965"/>
        <v>88.750240880935976</v>
      </c>
      <c r="AI694" s="149">
        <f t="shared" si="965"/>
        <v>103.00506997017662</v>
      </c>
      <c r="AJ694" s="149">
        <f t="shared" si="965"/>
        <v>0</v>
      </c>
      <c r="AK694" s="149" t="e">
        <f t="shared" si="965"/>
        <v>#DIV/0!</v>
      </c>
      <c r="AL694" s="149" t="e">
        <f t="shared" si="965"/>
        <v>#DIV/0!</v>
      </c>
      <c r="AM694" s="149" t="e">
        <f t="shared" si="965"/>
        <v>#DIV/0!</v>
      </c>
      <c r="AN694" s="149" t="e">
        <f t="shared" si="965"/>
        <v>#DIV/0!</v>
      </c>
      <c r="AO694" s="149" t="e">
        <f t="shared" si="965"/>
        <v>#DIV/0!</v>
      </c>
      <c r="AP694" s="149"/>
      <c r="AQ694" s="149"/>
      <c r="AR694" s="149"/>
      <c r="AS694" s="149"/>
      <c r="AT694" s="149"/>
    </row>
    <row r="695" spans="4:47" ht="16.5" hidden="1">
      <c r="D695" s="705" t="s">
        <v>1199</v>
      </c>
      <c r="E695" s="164"/>
      <c r="F695" s="14"/>
      <c r="G695" s="14"/>
      <c r="H695" s="14"/>
      <c r="I695" s="14"/>
      <c r="J695" s="126"/>
      <c r="K695" s="126"/>
      <c r="L695" s="126"/>
      <c r="M695" s="126"/>
      <c r="N695" s="126"/>
      <c r="O695" s="126"/>
      <c r="P695" s="126"/>
      <c r="Q695" s="126"/>
      <c r="R695" s="126"/>
      <c r="S695" s="126"/>
      <c r="T695" s="126"/>
      <c r="U695" s="126"/>
      <c r="V695" s="126"/>
      <c r="W695" s="126"/>
      <c r="X695" s="126"/>
      <c r="Y695" s="126"/>
      <c r="Z695" s="146"/>
      <c r="AA695" s="146"/>
      <c r="AB695" s="146"/>
      <c r="AC695" s="146"/>
      <c r="AD695" s="707">
        <f>FISCinyear!IG489</f>
        <v>8.4098652900000008</v>
      </c>
      <c r="AE695" s="126">
        <v>9.9240137229999998</v>
      </c>
      <c r="AF695" s="149">
        <v>12.6</v>
      </c>
      <c r="AG695" s="149">
        <f>AJ1778</f>
        <v>20033.689823079447</v>
      </c>
      <c r="AH695" s="149"/>
      <c r="AI695" s="149"/>
      <c r="AJ695" s="149"/>
      <c r="AK695" s="149"/>
      <c r="AL695" s="149"/>
      <c r="AM695" s="149"/>
      <c r="AN695" s="149"/>
      <c r="AO695" s="149"/>
      <c r="AP695" s="149"/>
      <c r="AQ695" s="149"/>
      <c r="AR695" s="149"/>
      <c r="AS695" s="149"/>
      <c r="AT695" s="149"/>
    </row>
    <row r="696" spans="4:47" ht="16.5" hidden="1">
      <c r="D696" s="705" t="s">
        <v>1200</v>
      </c>
      <c r="E696" s="164"/>
      <c r="F696" s="14"/>
      <c r="G696" s="14"/>
      <c r="H696" s="14"/>
      <c r="I696" s="14"/>
      <c r="J696" s="126"/>
      <c r="K696" s="126"/>
      <c r="L696" s="126"/>
      <c r="M696" s="126"/>
      <c r="N696" s="126"/>
      <c r="O696" s="126"/>
      <c r="P696" s="126"/>
      <c r="Q696" s="126"/>
      <c r="R696" s="126"/>
      <c r="S696" s="126"/>
      <c r="T696" s="126"/>
      <c r="U696" s="126"/>
      <c r="V696" s="126"/>
      <c r="W696" s="126"/>
      <c r="X696" s="126"/>
      <c r="Y696" s="126"/>
      <c r="Z696" s="146"/>
      <c r="AA696" s="146"/>
      <c r="AB696" s="146"/>
      <c r="AC696" s="146"/>
      <c r="AD696" s="707">
        <f>FISCinyear!IG490</f>
        <v>19.947566402</v>
      </c>
      <c r="AE696" s="126">
        <v>20.100000000000001</v>
      </c>
      <c r="AF696" s="149">
        <v>10</v>
      </c>
      <c r="AG696" s="149">
        <f>AJ1779</f>
        <v>0</v>
      </c>
      <c r="AH696" s="149"/>
      <c r="AI696" s="149"/>
      <c r="AJ696" s="149"/>
      <c r="AK696" s="149"/>
      <c r="AL696" s="149"/>
      <c r="AM696" s="149"/>
      <c r="AN696" s="149"/>
      <c r="AO696" s="149"/>
      <c r="AP696" s="149"/>
      <c r="AQ696" s="149"/>
      <c r="AR696" s="149"/>
      <c r="AS696" s="149"/>
      <c r="AT696" s="149"/>
    </row>
    <row r="697" spans="4:47" ht="16.5" hidden="1">
      <c r="D697" s="705" t="s">
        <v>1240</v>
      </c>
      <c r="E697" s="164"/>
      <c r="F697" s="14"/>
      <c r="G697" s="14"/>
      <c r="H697" s="14"/>
      <c r="I697" s="14"/>
      <c r="J697" s="126"/>
      <c r="K697" s="126"/>
      <c r="L697" s="126"/>
      <c r="M697" s="126"/>
      <c r="N697" s="126"/>
      <c r="O697" s="126"/>
      <c r="P697" s="126"/>
      <c r="Q697" s="126"/>
      <c r="R697" s="126"/>
      <c r="S697" s="126"/>
      <c r="T697" s="126"/>
      <c r="U697" s="126"/>
      <c r="V697" s="126"/>
      <c r="W697" s="126"/>
      <c r="X697" s="126"/>
      <c r="Y697" s="126"/>
      <c r="Z697" s="146"/>
      <c r="AA697" s="146"/>
      <c r="AB697" s="146"/>
      <c r="AC697" s="146"/>
      <c r="AD697" s="707">
        <f>AG1780</f>
        <v>0</v>
      </c>
      <c r="AE697" s="126">
        <v>6.0529041499999998</v>
      </c>
      <c r="AF697" s="149">
        <v>6.3550000000000004</v>
      </c>
      <c r="AG697" s="149">
        <f>AJ1780</f>
        <v>0</v>
      </c>
      <c r="AH697" s="149"/>
      <c r="AI697" s="149"/>
      <c r="AJ697" s="149"/>
      <c r="AK697" s="149"/>
      <c r="AL697" s="149"/>
      <c r="AM697" s="149"/>
      <c r="AN697" s="149"/>
      <c r="AO697" s="149"/>
      <c r="AP697" s="149"/>
      <c r="AQ697" s="149"/>
      <c r="AR697" s="149"/>
      <c r="AS697" s="149"/>
      <c r="AT697" s="149"/>
    </row>
    <row r="698" spans="4:47" ht="16.5" hidden="1">
      <c r="D698" s="705" t="s">
        <v>1241</v>
      </c>
      <c r="E698" s="164"/>
      <c r="F698" s="14"/>
      <c r="G698" s="14"/>
      <c r="H698" s="14"/>
      <c r="I698" s="14"/>
      <c r="J698" s="126"/>
      <c r="K698" s="126"/>
      <c r="L698" s="126"/>
      <c r="M698" s="126"/>
      <c r="N698" s="126"/>
      <c r="O698" s="126"/>
      <c r="P698" s="126"/>
      <c r="Q698" s="126"/>
      <c r="R698" s="126"/>
      <c r="S698" s="126"/>
      <c r="T698" s="126"/>
      <c r="U698" s="126"/>
      <c r="V698" s="126"/>
      <c r="W698" s="126"/>
      <c r="X698" s="126"/>
      <c r="Y698" s="126"/>
      <c r="Z698" s="146"/>
      <c r="AA698" s="146"/>
      <c r="AB698" s="146"/>
      <c r="AC698" s="146"/>
      <c r="AD698" s="707">
        <f>AG1781</f>
        <v>0</v>
      </c>
      <c r="AE698" s="126">
        <v>1.055188566</v>
      </c>
      <c r="AF698" s="149">
        <v>1.1379561090000001</v>
      </c>
      <c r="AG698" s="149">
        <f>AJ1781</f>
        <v>0</v>
      </c>
      <c r="AH698" s="149"/>
      <c r="AI698" s="149"/>
      <c r="AJ698" s="149"/>
      <c r="AK698" s="149"/>
      <c r="AL698" s="149"/>
      <c r="AM698" s="149"/>
      <c r="AN698" s="149"/>
      <c r="AO698" s="149"/>
      <c r="AP698" s="149"/>
      <c r="AQ698" s="149"/>
      <c r="AR698" s="149"/>
      <c r="AS698" s="149"/>
      <c r="AT698" s="149"/>
    </row>
    <row r="699" spans="4:47" ht="16.5" hidden="1">
      <c r="D699" s="705" t="s">
        <v>1242</v>
      </c>
      <c r="E699" s="164"/>
      <c r="F699" s="14"/>
      <c r="G699" s="14"/>
      <c r="H699" s="14"/>
      <c r="I699" s="14"/>
      <c r="J699" s="126"/>
      <c r="K699" s="126"/>
      <c r="L699" s="126"/>
      <c r="M699" s="126"/>
      <c r="N699" s="126"/>
      <c r="O699" s="126"/>
      <c r="P699" s="126"/>
      <c r="Q699" s="126"/>
      <c r="R699" s="126"/>
      <c r="S699" s="126"/>
      <c r="T699" s="126"/>
      <c r="U699" s="126"/>
      <c r="V699" s="126"/>
      <c r="W699" s="126"/>
      <c r="X699" s="126"/>
      <c r="Y699" s="126"/>
      <c r="Z699" s="146"/>
      <c r="AA699" s="146"/>
      <c r="AB699" s="146"/>
      <c r="AC699" s="146"/>
      <c r="AD699" s="707">
        <f>AG1782</f>
        <v>0</v>
      </c>
      <c r="AE699" s="126">
        <v>0.42700500000000002</v>
      </c>
      <c r="AF699" s="149">
        <v>0.2912884</v>
      </c>
      <c r="AG699" s="149">
        <f>AJ1782</f>
        <v>0</v>
      </c>
      <c r="AH699" s="149"/>
      <c r="AI699" s="149"/>
      <c r="AJ699" s="149"/>
      <c r="AK699" s="149"/>
      <c r="AL699" s="149"/>
      <c r="AM699" s="149"/>
      <c r="AN699" s="149"/>
      <c r="AO699" s="149"/>
      <c r="AP699" s="149"/>
      <c r="AQ699" s="149"/>
      <c r="AR699" s="149"/>
      <c r="AS699" s="149"/>
      <c r="AT699" s="149"/>
    </row>
    <row r="700" spans="4:47" hidden="1">
      <c r="D700" s="128" t="s">
        <v>146</v>
      </c>
      <c r="E700" s="164"/>
      <c r="F700" s="14"/>
      <c r="G700" s="14"/>
      <c r="H700" s="14"/>
      <c r="I700" s="14"/>
      <c r="J700" s="126">
        <v>48.213270500000007</v>
      </c>
      <c r="K700" s="126">
        <v>70.085049999999995</v>
      </c>
      <c r="L700" s="126">
        <v>70.437250000000006</v>
      </c>
      <c r="M700" s="126">
        <v>67.484499999999997</v>
      </c>
      <c r="N700" s="126">
        <v>73.50385</v>
      </c>
      <c r="O700" s="126">
        <v>102.45200000000001</v>
      </c>
      <c r="P700" s="126">
        <v>146.58884415393501</v>
      </c>
      <c r="Q700" s="126">
        <v>166.76884415393499</v>
      </c>
      <c r="R700" s="126">
        <v>154.80000000000001</v>
      </c>
      <c r="S700" s="126">
        <v>227.89999999999998</v>
      </c>
      <c r="T700" s="126">
        <v>257.7</v>
      </c>
      <c r="U700" s="126">
        <v>409.3</v>
      </c>
      <c r="V700" s="126">
        <v>379.02576983500001</v>
      </c>
      <c r="W700" s="126">
        <v>457.4</v>
      </c>
      <c r="X700" s="126">
        <v>364.9</v>
      </c>
      <c r="Y700" s="126">
        <v>474.28914116374006</v>
      </c>
      <c r="Z700" s="126">
        <f>+Z701+Z707</f>
        <v>415.91369751440271</v>
      </c>
      <c r="AA700" s="126">
        <f>+AA701+AA707</f>
        <v>373.7470102777271</v>
      </c>
      <c r="AB700" s="126">
        <f>AB701+AB707</f>
        <v>330.18208394651856</v>
      </c>
      <c r="AC700" s="126">
        <f>AC701+AC707</f>
        <v>358.90867686871047</v>
      </c>
      <c r="AD700" s="126">
        <f>FISCinyear!IG491</f>
        <v>394.77362450431519</v>
      </c>
      <c r="AE700" s="146">
        <v>432.08227787815542</v>
      </c>
      <c r="AF700" s="146">
        <v>492.32368499074391</v>
      </c>
      <c r="AG700" s="146">
        <f t="shared" ref="AG700:AM700" si="966">+AG701+AG707</f>
        <v>836.21013449219345</v>
      </c>
      <c r="AH700" s="146">
        <f t="shared" si="966"/>
        <v>711.29415295954027</v>
      </c>
      <c r="AI700" s="146">
        <f t="shared" si="966"/>
        <v>757.81664059006152</v>
      </c>
      <c r="AJ700" s="126">
        <f t="shared" si="966"/>
        <v>625.76873923411313</v>
      </c>
      <c r="AK700" s="126">
        <f t="shared" si="966"/>
        <v>585.21500835131963</v>
      </c>
      <c r="AL700" s="126">
        <f t="shared" si="966"/>
        <v>660.06662379141676</v>
      </c>
      <c r="AM700" s="126">
        <f t="shared" si="966"/>
        <v>739.77037337547381</v>
      </c>
      <c r="AN700" s="126">
        <f t="shared" ref="AN700:AO700" si="967">+AN701+AN707</f>
        <v>794.32405102735959</v>
      </c>
      <c r="AO700" s="126">
        <f t="shared" si="967"/>
        <v>864.96623985512781</v>
      </c>
      <c r="AP700" s="126"/>
      <c r="AQ700" s="126"/>
      <c r="AR700" s="126"/>
      <c r="AS700" s="126"/>
      <c r="AT700" s="126"/>
    </row>
    <row r="701" spans="4:47" hidden="1">
      <c r="D701" s="129" t="s">
        <v>147</v>
      </c>
      <c r="E701" s="164"/>
      <c r="F701" s="14"/>
      <c r="G701" s="14"/>
      <c r="H701" s="14"/>
      <c r="I701" s="14"/>
      <c r="J701" s="126">
        <v>12.2132705</v>
      </c>
      <c r="K701" s="126">
        <v>28.406399999999998</v>
      </c>
      <c r="L701" s="126">
        <v>35.258600000000001</v>
      </c>
      <c r="M701" s="126">
        <v>36.984499999999997</v>
      </c>
      <c r="N701" s="126">
        <v>45.629350000000002</v>
      </c>
      <c r="O701" s="126">
        <v>72.109099999999998</v>
      </c>
      <c r="P701" s="126">
        <v>101.575444153935</v>
      </c>
      <c r="Q701" s="126">
        <v>92.047844153935003</v>
      </c>
      <c r="R701" s="126">
        <v>101.4</v>
      </c>
      <c r="S701" s="126">
        <v>168.1</v>
      </c>
      <c r="T701" s="126">
        <v>167</v>
      </c>
      <c r="U701" s="126">
        <v>283</v>
      </c>
      <c r="V701" s="126">
        <v>215.02576983500001</v>
      </c>
      <c r="W701" s="126">
        <v>265.7</v>
      </c>
      <c r="X701" s="126">
        <v>190</v>
      </c>
      <c r="Y701" s="126">
        <v>171.02736591717107</v>
      </c>
      <c r="Z701" s="126">
        <f>+Z702+Z703</f>
        <v>174.88</v>
      </c>
      <c r="AA701" s="126">
        <f>+AA702+AA703</f>
        <v>204.80701027772713</v>
      </c>
      <c r="AB701" s="126">
        <v>184.18208394651853</v>
      </c>
      <c r="AC701" s="126">
        <v>190.19867686871044</v>
      </c>
      <c r="AD701" s="126">
        <f>FISCinyear!IG492</f>
        <v>161.6980925101455</v>
      </c>
      <c r="AE701" s="573">
        <v>172.38765230665402</v>
      </c>
      <c r="AF701" s="573">
        <v>203.37815939767054</v>
      </c>
      <c r="AG701" s="573">
        <f t="shared" ref="AG701:AM701" si="968">+AG702+AG703+AG704+AG706</f>
        <v>463.14288006070126</v>
      </c>
      <c r="AH701" s="573">
        <f t="shared" si="968"/>
        <v>304.31395953240502</v>
      </c>
      <c r="AI701" s="573">
        <f t="shared" si="968"/>
        <v>252.27404777677827</v>
      </c>
      <c r="AJ701" s="573">
        <f t="shared" si="968"/>
        <v>182.96202035937614</v>
      </c>
      <c r="AK701" s="573">
        <f t="shared" si="968"/>
        <v>145.86554518785536</v>
      </c>
      <c r="AL701" s="573">
        <f t="shared" si="968"/>
        <v>188.16544161275272</v>
      </c>
      <c r="AM701" s="573">
        <f t="shared" si="968"/>
        <v>236.62188797118324</v>
      </c>
      <c r="AN701" s="573">
        <f t="shared" ref="AN701:AO701" si="969">+AN702+AN703+AN704+AN706</f>
        <v>262.69431118066211</v>
      </c>
      <c r="AO701" s="573">
        <f t="shared" si="969"/>
        <v>310.09518167441445</v>
      </c>
      <c r="AP701" s="573"/>
      <c r="AQ701" s="573"/>
      <c r="AR701" s="573"/>
      <c r="AS701" s="573"/>
      <c r="AT701" s="573"/>
    </row>
    <row r="702" spans="4:47" hidden="1">
      <c r="D702" s="131" t="s">
        <v>822</v>
      </c>
      <c r="E702" s="164"/>
      <c r="F702" s="14"/>
      <c r="G702" s="14"/>
      <c r="H702" s="14"/>
      <c r="I702" s="14"/>
      <c r="J702" s="126"/>
      <c r="K702" s="126"/>
      <c r="L702" s="126"/>
      <c r="M702" s="126"/>
      <c r="N702" s="126"/>
      <c r="O702" s="126"/>
      <c r="P702" s="126"/>
      <c r="Q702" s="126"/>
      <c r="R702" s="126"/>
      <c r="S702" s="126"/>
      <c r="T702" s="126"/>
      <c r="U702" s="126"/>
      <c r="V702" s="126"/>
      <c r="W702" s="126">
        <v>0</v>
      </c>
      <c r="X702" s="126">
        <v>0</v>
      </c>
      <c r="Y702" s="126">
        <v>0</v>
      </c>
      <c r="Z702" s="126">
        <f>0*86.92+86.64</f>
        <v>86.64</v>
      </c>
      <c r="AA702" s="126">
        <f>FISCinyear!HX493</f>
        <v>134.42464376967689</v>
      </c>
      <c r="AB702" s="126">
        <v>130.1286413031597</v>
      </c>
      <c r="AC702" s="126">
        <v>119.21034259571046</v>
      </c>
      <c r="AD702" s="683">
        <f>FISCinyear!IG493</f>
        <v>76.093380091694328</v>
      </c>
      <c r="AE702" s="126">
        <v>95.87772130714481</v>
      </c>
      <c r="AF702" s="126">
        <v>79.709373117889641</v>
      </c>
      <c r="AG702" s="126">
        <f>+((AF99+AG91)*AG253/1000-AG703)</f>
        <v>339.44216778468922</v>
      </c>
      <c r="AH702" s="126">
        <f t="shared" ref="AH702:AO702" si="970">+(AG99+AH91)*AH253/1000-AH703</f>
        <v>221.50026910315128</v>
      </c>
      <c r="AI702" s="126">
        <f t="shared" si="970"/>
        <v>164.87971587996572</v>
      </c>
      <c r="AJ702" s="126">
        <f t="shared" si="970"/>
        <v>98.238068956025955</v>
      </c>
      <c r="AK702" s="126">
        <f t="shared" si="970"/>
        <v>25.644110158220357</v>
      </c>
      <c r="AL702" s="126">
        <f t="shared" si="970"/>
        <v>18.19705633932287</v>
      </c>
      <c r="AM702" s="126">
        <f t="shared" si="970"/>
        <v>35.996925525038122</v>
      </c>
      <c r="AN702" s="126">
        <f t="shared" si="970"/>
        <v>135.91241208395084</v>
      </c>
      <c r="AO702" s="126">
        <f t="shared" si="970"/>
        <v>139.96376148386045</v>
      </c>
      <c r="AP702" s="126"/>
      <c r="AQ702" s="126"/>
      <c r="AR702" s="126"/>
      <c r="AS702" s="126"/>
      <c r="AT702" s="126"/>
    </row>
    <row r="703" spans="4:47" hidden="1">
      <c r="D703" s="131" t="s">
        <v>150</v>
      </c>
      <c r="E703" s="168" t="s">
        <v>242</v>
      </c>
      <c r="F703" s="14"/>
      <c r="G703" s="14"/>
      <c r="H703" s="14"/>
      <c r="I703" s="14"/>
      <c r="J703" s="126"/>
      <c r="K703" s="126"/>
      <c r="L703" s="126"/>
      <c r="M703" s="126"/>
      <c r="N703" s="126"/>
      <c r="O703" s="126"/>
      <c r="P703" s="126"/>
      <c r="Q703" s="126"/>
      <c r="R703" s="126"/>
      <c r="S703" s="126"/>
      <c r="T703" s="126"/>
      <c r="U703" s="126"/>
      <c r="V703" s="126"/>
      <c r="W703" s="126">
        <v>0</v>
      </c>
      <c r="X703" s="126">
        <v>0</v>
      </c>
      <c r="Y703" s="126">
        <v>0</v>
      </c>
      <c r="Z703" s="126">
        <v>88.24</v>
      </c>
      <c r="AA703" s="126">
        <f>FISCinyear!HX494</f>
        <v>70.382366508050239</v>
      </c>
      <c r="AB703" s="126">
        <v>54.053442643358835</v>
      </c>
      <c r="AC703" s="126">
        <v>69.571653854000004</v>
      </c>
      <c r="AD703" s="683">
        <f>FISCinyear!IG494</f>
        <v>82.995385673131395</v>
      </c>
      <c r="AE703" s="146">
        <v>66.377865530635177</v>
      </c>
      <c r="AF703" s="146">
        <v>68.286440499139502</v>
      </c>
      <c r="AG703" s="146">
        <f>+((AF103+AG95)*AG253/1000)</f>
        <v>110.6079506639184</v>
      </c>
      <c r="AH703" s="146">
        <f t="shared" ref="AH703:AO703" si="971">+(AG103+AH95)*AH253/1000</f>
        <v>82.813690429253739</v>
      </c>
      <c r="AI703" s="146">
        <f t="shared" si="971"/>
        <v>87.394331896812545</v>
      </c>
      <c r="AJ703" s="146">
        <f t="shared" si="971"/>
        <v>84.723951403350185</v>
      </c>
      <c r="AK703" s="146">
        <f t="shared" si="971"/>
        <v>120.221435029635</v>
      </c>
      <c r="AL703" s="146">
        <f t="shared" si="971"/>
        <v>105.66097776958917</v>
      </c>
      <c r="AM703" s="146">
        <f t="shared" si="971"/>
        <v>97.776603803179071</v>
      </c>
      <c r="AN703" s="146">
        <f t="shared" si="971"/>
        <v>0</v>
      </c>
      <c r="AO703" s="146">
        <f t="shared" si="971"/>
        <v>0</v>
      </c>
      <c r="AP703" s="146"/>
      <c r="AQ703" s="146"/>
      <c r="AR703" s="146"/>
      <c r="AS703" s="146"/>
      <c r="AT703" s="146"/>
    </row>
    <row r="704" spans="4:47" hidden="1">
      <c r="D704" s="1162" t="s">
        <v>1201</v>
      </c>
      <c r="E704" s="168"/>
      <c r="F704" s="14"/>
      <c r="G704" s="14"/>
      <c r="H704" s="14"/>
      <c r="I704" s="14"/>
      <c r="J704" s="126"/>
      <c r="K704" s="126"/>
      <c r="L704" s="126"/>
      <c r="M704" s="126"/>
      <c r="N704" s="126"/>
      <c r="O704" s="126"/>
      <c r="P704" s="126"/>
      <c r="Q704" s="126"/>
      <c r="R704" s="126"/>
      <c r="S704" s="126"/>
      <c r="T704" s="126"/>
      <c r="U704" s="126"/>
      <c r="V704" s="126"/>
      <c r="W704" s="126"/>
      <c r="X704" s="126"/>
      <c r="Y704" s="126"/>
      <c r="Z704" s="126"/>
      <c r="AA704" s="126"/>
      <c r="AB704" s="126"/>
      <c r="AC704" s="126">
        <v>1.416680419</v>
      </c>
      <c r="AD704" s="683">
        <f>FISCinyear!IG495</f>
        <v>2.6093267453197635</v>
      </c>
      <c r="AE704" s="126">
        <v>0</v>
      </c>
      <c r="AF704" s="146">
        <v>0</v>
      </c>
      <c r="AG704" s="146">
        <f>AJ1788</f>
        <v>0</v>
      </c>
      <c r="AH704" s="146"/>
      <c r="AI704" s="146"/>
      <c r="AJ704" s="146"/>
      <c r="AK704" s="146"/>
      <c r="AL704" s="146"/>
      <c r="AM704" s="146"/>
      <c r="AN704" s="146"/>
      <c r="AO704" s="146"/>
      <c r="AP704" s="146"/>
      <c r="AQ704" s="146"/>
      <c r="AR704" s="146"/>
      <c r="AS704" s="146"/>
      <c r="AT704" s="146"/>
      <c r="AU704" s="1040"/>
    </row>
    <row r="705" spans="1:49" hidden="1">
      <c r="D705" s="1427" t="str">
        <f>D342</f>
        <v>IMF Debt Relief Cconsired as Grants (Mln USD)</v>
      </c>
      <c r="E705" s="1"/>
      <c r="F705" s="1"/>
      <c r="G705" s="14"/>
      <c r="H705" s="14"/>
      <c r="I705" s="14"/>
      <c r="J705" s="126"/>
      <c r="K705" s="126"/>
      <c r="L705" s="126"/>
      <c r="M705" s="126"/>
      <c r="N705" s="126"/>
      <c r="O705" s="126"/>
      <c r="P705" s="126"/>
      <c r="Q705" s="126"/>
      <c r="R705" s="126"/>
      <c r="S705" s="126"/>
      <c r="T705" s="126"/>
      <c r="U705" s="126"/>
      <c r="V705" s="126"/>
      <c r="W705" s="126"/>
      <c r="X705" s="126"/>
      <c r="Y705" s="126"/>
      <c r="Z705" s="126"/>
      <c r="AA705" s="126"/>
      <c r="AB705" s="126"/>
      <c r="AC705" s="126"/>
      <c r="AD705" s="683"/>
      <c r="AE705" s="1152">
        <v>10.132065468874019</v>
      </c>
      <c r="AF705" s="146">
        <v>26.447413365751782</v>
      </c>
      <c r="AG705" s="146">
        <f>AG342*AG253/1000</f>
        <v>13.09276161209365</v>
      </c>
      <c r="AH705" s="146"/>
      <c r="AI705" s="146"/>
      <c r="AJ705" s="146"/>
      <c r="AK705" s="146"/>
      <c r="AL705" s="146"/>
      <c r="AM705" s="146"/>
      <c r="AN705" s="146"/>
      <c r="AO705" s="146"/>
      <c r="AP705" s="146"/>
      <c r="AQ705" s="146"/>
      <c r="AR705" s="146"/>
      <c r="AS705" s="146"/>
      <c r="AT705" s="146"/>
    </row>
    <row r="706" spans="1:49" ht="17" hidden="1" thickBot="1">
      <c r="D706" s="131" t="s">
        <v>779</v>
      </c>
      <c r="E706" s="168"/>
      <c r="F706" s="14"/>
      <c r="G706" s="14"/>
      <c r="H706" s="14"/>
      <c r="I706" s="14"/>
      <c r="J706" s="126"/>
      <c r="K706" s="126"/>
      <c r="L706" s="126"/>
      <c r="M706" s="126"/>
      <c r="N706" s="126"/>
      <c r="O706" s="126"/>
      <c r="P706" s="126"/>
      <c r="Q706" s="126"/>
      <c r="R706" s="126"/>
      <c r="S706" s="126"/>
      <c r="T706" s="126"/>
      <c r="U706" s="126"/>
      <c r="V706" s="126"/>
      <c r="W706" s="126"/>
      <c r="X706" s="126"/>
      <c r="Y706" s="126"/>
      <c r="Z706" s="126"/>
      <c r="AA706" s="126">
        <f>FISCinyear!HX496</f>
        <v>0</v>
      </c>
      <c r="AB706" s="126">
        <v>0</v>
      </c>
      <c r="AC706" s="126">
        <v>0</v>
      </c>
      <c r="AD706" s="683">
        <f>+((AC105+AD97)*AD253/1000)</f>
        <v>0</v>
      </c>
      <c r="AE706" s="628">
        <v>0</v>
      </c>
      <c r="AF706" s="628">
        <v>55.382345780641401</v>
      </c>
      <c r="AG706" s="628">
        <f>+((AF105+AG97)*AG253/1000)+AG705</f>
        <v>13.09276161209365</v>
      </c>
      <c r="AH706" s="628">
        <f t="shared" ref="AH706:AO706" si="972">+(AG105+AH97)*AH253/1000</f>
        <v>0</v>
      </c>
      <c r="AI706" s="628">
        <f t="shared" si="972"/>
        <v>0</v>
      </c>
      <c r="AJ706" s="628">
        <f t="shared" si="972"/>
        <v>0</v>
      </c>
      <c r="AK706" s="628">
        <f t="shared" si="972"/>
        <v>0</v>
      </c>
      <c r="AL706" s="628">
        <f t="shared" si="972"/>
        <v>64.307407503840665</v>
      </c>
      <c r="AM706" s="628">
        <f t="shared" si="972"/>
        <v>102.84835864296606</v>
      </c>
      <c r="AN706" s="628">
        <f t="shared" si="972"/>
        <v>126.78189909671127</v>
      </c>
      <c r="AO706" s="628">
        <f t="shared" si="972"/>
        <v>170.13142019055397</v>
      </c>
      <c r="AP706" s="628"/>
      <c r="AQ706" s="628"/>
      <c r="AR706" s="628"/>
      <c r="AS706" s="628"/>
      <c r="AT706" s="628"/>
      <c r="AU706" s="1148"/>
      <c r="AV706" s="1148"/>
      <c r="AW706" s="1148"/>
    </row>
    <row r="707" spans="1:49" hidden="1">
      <c r="D707" s="129" t="s">
        <v>148</v>
      </c>
      <c r="E707" s="168"/>
      <c r="F707" s="14"/>
      <c r="G707" s="14"/>
      <c r="H707" s="14"/>
      <c r="I707" s="14"/>
      <c r="J707" s="126">
        <v>36</v>
      </c>
      <c r="K707" s="126">
        <v>41.678650000000005</v>
      </c>
      <c r="L707" s="126">
        <v>35.178650000000005</v>
      </c>
      <c r="M707" s="126">
        <v>30.5</v>
      </c>
      <c r="N707" s="126">
        <v>27.874499999999998</v>
      </c>
      <c r="O707" s="126">
        <v>30.3429</v>
      </c>
      <c r="P707" s="126">
        <v>45.013400000000004</v>
      </c>
      <c r="Q707" s="126">
        <v>74.721000000000004</v>
      </c>
      <c r="R707" s="126">
        <v>53.4</v>
      </c>
      <c r="S707" s="126">
        <v>59.8</v>
      </c>
      <c r="T707" s="126">
        <v>90.7</v>
      </c>
      <c r="U707" s="126">
        <v>126.3</v>
      </c>
      <c r="V707" s="126">
        <v>164</v>
      </c>
      <c r="W707" s="126">
        <v>191.7</v>
      </c>
      <c r="X707" s="126">
        <v>174.9</v>
      </c>
      <c r="Y707" s="126">
        <v>303.26177524656896</v>
      </c>
      <c r="Z707" s="126">
        <f>+Z708+Z711</f>
        <v>241.03369751440272</v>
      </c>
      <c r="AA707" s="126">
        <f>+AA708+AA711</f>
        <v>168.94</v>
      </c>
      <c r="AB707" s="126">
        <v>146</v>
      </c>
      <c r="AC707" s="126">
        <v>168.71</v>
      </c>
      <c r="AD707" s="126">
        <f>FISCinyear!IG497</f>
        <v>233.07553199416967</v>
      </c>
      <c r="AE707" s="146">
        <v>259.69462557150138</v>
      </c>
      <c r="AF707" s="146">
        <v>288.9455255930734</v>
      </c>
      <c r="AG707" s="146">
        <f t="shared" ref="AG707:AM707" si="973">+AG708+AG711</f>
        <v>373.06725443149219</v>
      </c>
      <c r="AH707" s="146">
        <f t="shared" si="973"/>
        <v>406.9801934271353</v>
      </c>
      <c r="AI707" s="146">
        <f t="shared" si="973"/>
        <v>505.54259281328331</v>
      </c>
      <c r="AJ707" s="146">
        <f t="shared" si="973"/>
        <v>442.80671887473704</v>
      </c>
      <c r="AK707" s="146">
        <f t="shared" si="973"/>
        <v>439.34946316346429</v>
      </c>
      <c r="AL707" s="146">
        <f t="shared" si="973"/>
        <v>471.90118217866404</v>
      </c>
      <c r="AM707" s="146">
        <f t="shared" si="973"/>
        <v>503.14848540429051</v>
      </c>
      <c r="AN707" s="146">
        <f t="shared" ref="AN707:AO707" si="974">+AN708+AN711</f>
        <v>531.62973984669748</v>
      </c>
      <c r="AO707" s="146">
        <f t="shared" si="974"/>
        <v>554.87105818071336</v>
      </c>
      <c r="AP707" s="146"/>
      <c r="AQ707" s="146"/>
      <c r="AR707" s="146"/>
      <c r="AS707" s="146"/>
      <c r="AT707" s="146"/>
    </row>
    <row r="708" spans="1:49" ht="16.5" hidden="1">
      <c r="A708" s="1"/>
      <c r="B708" s="1"/>
      <c r="C708" s="1"/>
      <c r="D708" s="131" t="s">
        <v>149</v>
      </c>
      <c r="E708" s="168"/>
      <c r="F708" s="14"/>
      <c r="G708" s="14"/>
      <c r="H708" s="14"/>
      <c r="I708" s="14"/>
      <c r="J708" s="126"/>
      <c r="K708" s="126"/>
      <c r="L708" s="126"/>
      <c r="M708" s="126"/>
      <c r="N708" s="126"/>
      <c r="O708" s="126"/>
      <c r="P708" s="126"/>
      <c r="Q708" s="126"/>
      <c r="R708" s="126"/>
      <c r="S708" s="126"/>
      <c r="T708" s="126"/>
      <c r="U708" s="126"/>
      <c r="V708" s="126"/>
      <c r="W708" s="126">
        <v>0</v>
      </c>
      <c r="X708" s="126">
        <v>110.6</v>
      </c>
      <c r="Y708" s="126">
        <v>210.58790600000003</v>
      </c>
      <c r="Z708" s="126">
        <v>241.03369751440272</v>
      </c>
      <c r="AA708" s="126">
        <f>FISCinyear!HX498</f>
        <v>168.94</v>
      </c>
      <c r="AB708" s="126">
        <v>146</v>
      </c>
      <c r="AC708" s="126">
        <v>168.71</v>
      </c>
      <c r="AD708" s="683">
        <f>FISCinyear!IG498</f>
        <v>233.07553199416967</v>
      </c>
      <c r="AE708" s="146">
        <v>259.69462557150138</v>
      </c>
      <c r="AF708" s="146">
        <v>288.9455255930734</v>
      </c>
      <c r="AG708" s="146">
        <f>+((AF85+AG80)*AG253/1000)</f>
        <v>373.06725443149219</v>
      </c>
      <c r="AH708" s="146">
        <f t="shared" ref="AH708:AO708" si="975">+(AG85+AH80)*AH253/1000</f>
        <v>406.9801934271353</v>
      </c>
      <c r="AI708" s="146">
        <f t="shared" si="975"/>
        <v>505.54259281328331</v>
      </c>
      <c r="AJ708" s="146">
        <f t="shared" si="975"/>
        <v>442.80671887473704</v>
      </c>
      <c r="AK708" s="146">
        <f t="shared" si="975"/>
        <v>439.34946316346429</v>
      </c>
      <c r="AL708" s="146">
        <f t="shared" si="975"/>
        <v>471.90118217866404</v>
      </c>
      <c r="AM708" s="146">
        <f t="shared" si="975"/>
        <v>503.14848540429051</v>
      </c>
      <c r="AN708" s="146">
        <f t="shared" si="975"/>
        <v>531.62973984669748</v>
      </c>
      <c r="AO708" s="146">
        <f t="shared" si="975"/>
        <v>554.87105818071336</v>
      </c>
      <c r="AP708" s="146"/>
      <c r="AQ708" s="146"/>
      <c r="AR708" s="146"/>
      <c r="AS708" s="146"/>
      <c r="AT708" s="146"/>
      <c r="AU708" s="1160"/>
    </row>
    <row r="709" spans="1:49" hidden="1">
      <c r="A709" s="1"/>
      <c r="B709" s="1"/>
      <c r="C709" s="1"/>
      <c r="D709" s="576" t="s">
        <v>812</v>
      </c>
      <c r="E709" s="168"/>
      <c r="F709" s="14"/>
      <c r="G709" s="14"/>
      <c r="H709" s="14"/>
      <c r="I709" s="14"/>
      <c r="J709" s="126"/>
      <c r="K709" s="126"/>
      <c r="L709" s="126"/>
      <c r="M709" s="126"/>
      <c r="N709" s="126"/>
      <c r="O709" s="126"/>
      <c r="P709" s="126"/>
      <c r="Q709" s="126"/>
      <c r="R709" s="126"/>
      <c r="S709" s="126"/>
      <c r="T709" s="126"/>
      <c r="U709" s="126"/>
      <c r="V709" s="126"/>
      <c r="W709" s="126"/>
      <c r="X709" s="126"/>
      <c r="Y709" s="126"/>
      <c r="Z709" s="126"/>
      <c r="AA709" s="126"/>
      <c r="AB709" s="126"/>
      <c r="AC709" s="126"/>
      <c r="AD709" s="574"/>
      <c r="AE709" s="573"/>
      <c r="AF709" s="126">
        <v>153.4434</v>
      </c>
      <c r="AG709" s="126">
        <f>AF99+AG91</f>
        <v>446.47410516871884</v>
      </c>
      <c r="AH709" s="126"/>
      <c r="AI709" s="126"/>
      <c r="AJ709" s="126"/>
      <c r="AK709" s="126"/>
      <c r="AL709" s="126"/>
      <c r="AM709" s="126"/>
      <c r="AN709" s="126"/>
      <c r="AO709" s="126"/>
      <c r="AP709" s="126"/>
      <c r="AQ709" s="126"/>
      <c r="AR709" s="126"/>
      <c r="AS709" s="126"/>
      <c r="AT709" s="126"/>
    </row>
    <row r="710" spans="1:49" ht="16.5" hidden="1">
      <c r="A710" s="1"/>
      <c r="B710" s="1"/>
      <c r="C710" s="1"/>
      <c r="D710" s="576" t="s">
        <v>814</v>
      </c>
      <c r="E710" s="168"/>
      <c r="F710" s="14"/>
      <c r="G710" s="14"/>
      <c r="H710" s="14"/>
      <c r="I710" s="14"/>
      <c r="J710" s="126"/>
      <c r="K710" s="126"/>
      <c r="L710" s="126"/>
      <c r="M710" s="126"/>
      <c r="N710" s="126"/>
      <c r="O710" s="126"/>
      <c r="P710" s="126"/>
      <c r="Q710" s="126"/>
      <c r="R710" s="126"/>
      <c r="S710" s="126"/>
      <c r="T710" s="126"/>
      <c r="U710" s="126"/>
      <c r="V710" s="126"/>
      <c r="W710" s="126"/>
      <c r="X710" s="126"/>
      <c r="Y710" s="126"/>
      <c r="Z710" s="126"/>
      <c r="AA710" s="126"/>
      <c r="AB710" s="126"/>
      <c r="AC710" s="126"/>
      <c r="AD710" s="574"/>
      <c r="AE710" s="573"/>
      <c r="AF710" s="126">
        <v>70.8</v>
      </c>
      <c r="AG710" s="126">
        <f>AF103+AG95</f>
        <v>109.72908076871889</v>
      </c>
      <c r="AH710" s="126"/>
      <c r="AI710" s="126"/>
      <c r="AJ710" s="126"/>
      <c r="AK710" s="126"/>
      <c r="AL710" s="126"/>
      <c r="AM710" s="126"/>
      <c r="AN710" s="126"/>
      <c r="AO710" s="126"/>
      <c r="AP710" s="126"/>
      <c r="AQ710" s="126"/>
      <c r="AR710" s="126"/>
      <c r="AS710" s="126"/>
      <c r="AT710" s="126"/>
      <c r="AU710" s="1147"/>
    </row>
    <row r="711" spans="1:49" hidden="1">
      <c r="A711" s="1"/>
      <c r="B711" s="1"/>
      <c r="C711" s="1"/>
      <c r="D711" s="131" t="s">
        <v>150</v>
      </c>
      <c r="E711" s="168" t="s">
        <v>242</v>
      </c>
      <c r="F711" s="14"/>
      <c r="G711" s="14"/>
      <c r="H711" s="14"/>
      <c r="I711" s="14"/>
      <c r="J711" s="126"/>
      <c r="K711" s="126"/>
      <c r="L711" s="126"/>
      <c r="M711" s="126"/>
      <c r="N711" s="126"/>
      <c r="O711" s="126"/>
      <c r="P711" s="126"/>
      <c r="Q711" s="126"/>
      <c r="R711" s="126"/>
      <c r="S711" s="126"/>
      <c r="T711" s="126"/>
      <c r="U711" s="126"/>
      <c r="V711" s="126"/>
      <c r="W711" s="126">
        <v>0</v>
      </c>
      <c r="X711" s="126">
        <v>64.3</v>
      </c>
      <c r="Y711" s="126"/>
      <c r="Z711" s="126"/>
      <c r="AA711" s="126"/>
      <c r="AB711" s="126"/>
      <c r="AC711" s="126"/>
      <c r="AD711" s="141"/>
      <c r="AE711" s="126"/>
      <c r="AF711" s="126"/>
      <c r="AG711" s="126"/>
      <c r="AH711" s="126"/>
      <c r="AI711" s="126"/>
      <c r="AJ711" s="126"/>
      <c r="AK711" s="126"/>
      <c r="AL711" s="126"/>
      <c r="AM711" s="126"/>
      <c r="AN711" s="126"/>
      <c r="AO711" s="126"/>
      <c r="AP711" s="126"/>
      <c r="AQ711" s="126"/>
      <c r="AR711" s="126"/>
      <c r="AS711" s="126"/>
      <c r="AT711" s="126"/>
    </row>
    <row r="712" spans="1:49" ht="16.5" hidden="1">
      <c r="A712" s="1"/>
      <c r="B712" s="1"/>
      <c r="C712" s="1"/>
      <c r="D712" s="131" t="s">
        <v>1207</v>
      </c>
      <c r="E712" s="168"/>
      <c r="F712" s="14"/>
      <c r="G712" s="14"/>
      <c r="H712" s="14"/>
      <c r="I712" s="14"/>
      <c r="J712" s="126"/>
      <c r="K712" s="126"/>
      <c r="L712" s="126"/>
      <c r="M712" s="126"/>
      <c r="N712" s="126"/>
      <c r="O712" s="126"/>
      <c r="P712" s="126"/>
      <c r="Q712" s="126"/>
      <c r="R712" s="126"/>
      <c r="S712" s="126"/>
      <c r="T712" s="126"/>
      <c r="U712" s="126"/>
      <c r="V712" s="126"/>
      <c r="W712" s="126"/>
      <c r="X712" s="126"/>
      <c r="Y712" s="126"/>
      <c r="Z712" s="126"/>
      <c r="AA712" s="126"/>
      <c r="AB712" s="126"/>
      <c r="AC712" s="126">
        <v>0</v>
      </c>
      <c r="AD712" s="141"/>
      <c r="AE712" s="126">
        <v>16.604127645284251</v>
      </c>
      <c r="AF712" s="126"/>
      <c r="AG712" s="126"/>
      <c r="AH712" s="126"/>
      <c r="AI712" s="126"/>
      <c r="AJ712" s="126"/>
      <c r="AK712" s="126"/>
      <c r="AL712" s="126"/>
      <c r="AM712" s="126"/>
      <c r="AN712" s="126"/>
      <c r="AO712" s="126"/>
      <c r="AP712" s="126"/>
      <c r="AQ712" s="126"/>
      <c r="AR712" s="126"/>
      <c r="AS712" s="126"/>
      <c r="AT712" s="126"/>
      <c r="AU712" s="1149"/>
    </row>
    <row r="713" spans="1:49" hidden="1">
      <c r="A713" s="1"/>
      <c r="B713" s="1"/>
      <c r="C713" s="1"/>
      <c r="D713" s="127" t="s">
        <v>136</v>
      </c>
      <c r="E713" s="164"/>
      <c r="F713" s="14"/>
      <c r="G713" s="14"/>
      <c r="H713" s="14"/>
      <c r="I713" s="14"/>
      <c r="J713" s="126"/>
      <c r="K713" s="126"/>
      <c r="L713" s="126"/>
      <c r="M713" s="126"/>
      <c r="N713" s="126"/>
      <c r="O713" s="126"/>
      <c r="P713" s="126"/>
      <c r="Q713" s="126"/>
      <c r="R713" s="126"/>
      <c r="S713" s="126"/>
      <c r="T713" s="126"/>
      <c r="U713" s="126"/>
      <c r="V713" s="126"/>
      <c r="W713" s="126"/>
      <c r="X713" s="126"/>
      <c r="Y713" s="126"/>
      <c r="Z713" s="126"/>
      <c r="AA713" s="126"/>
      <c r="AB713" s="126"/>
      <c r="AC713" s="126"/>
      <c r="AD713" s="141"/>
      <c r="AE713" s="126"/>
      <c r="AF713" s="126"/>
      <c r="AG713" s="126"/>
      <c r="AH713" s="126"/>
      <c r="AI713" s="126"/>
      <c r="AJ713" s="126"/>
      <c r="AK713" s="126"/>
      <c r="AL713" s="126"/>
      <c r="AM713" s="126"/>
      <c r="AN713" s="126"/>
      <c r="AO713" s="126"/>
      <c r="AP713" s="126"/>
      <c r="AQ713" s="126"/>
      <c r="AR713" s="126"/>
      <c r="AS713" s="126"/>
      <c r="AT713" s="126"/>
    </row>
    <row r="714" spans="1:49" hidden="1">
      <c r="A714" s="1"/>
      <c r="B714" s="1"/>
      <c r="C714" s="1"/>
      <c r="D714" s="125" t="s">
        <v>151</v>
      </c>
      <c r="E714" s="164"/>
      <c r="F714" s="14"/>
      <c r="G714" s="14"/>
      <c r="H714" s="14"/>
      <c r="I714" s="14"/>
      <c r="J714" s="126">
        <v>139.5158340285</v>
      </c>
      <c r="K714" s="126">
        <v>154.53498402849999</v>
      </c>
      <c r="L714" s="126">
        <v>157.07835</v>
      </c>
      <c r="M714" s="126">
        <v>179.24844999999999</v>
      </c>
      <c r="N714" s="126">
        <v>203.3897</v>
      </c>
      <c r="O714" s="126">
        <v>240.90464000000003</v>
      </c>
      <c r="P714" s="126">
        <v>299.85193343749501</v>
      </c>
      <c r="Q714" s="126">
        <v>359.71480448899501</v>
      </c>
      <c r="R714" s="126">
        <v>414.3</v>
      </c>
      <c r="S714" s="126">
        <v>521.69999999999993</v>
      </c>
      <c r="T714" s="126">
        <v>731.3</v>
      </c>
      <c r="U714" s="126">
        <v>804.00000000000011</v>
      </c>
      <c r="V714" s="126">
        <v>984.28858093100007</v>
      </c>
      <c r="W714" s="126">
        <v>1098.0999999999999</v>
      </c>
      <c r="X714" s="126">
        <v>1335.6000000000001</v>
      </c>
      <c r="Y714" s="126">
        <v>1540.0094161169768</v>
      </c>
      <c r="Z714" s="126">
        <f>+Z716+Z753+Z770</f>
        <v>1720.73</v>
      </c>
      <c r="AA714" s="126">
        <f>+AA716+AA753+AA770</f>
        <v>1754.639483222375</v>
      </c>
      <c r="AB714" s="126">
        <v>1942.9</v>
      </c>
      <c r="AC714" s="126">
        <v>2187.5397808880507</v>
      </c>
      <c r="AD714" s="126">
        <f>FISCinyear!IG503</f>
        <v>2611.6378944459902</v>
      </c>
      <c r="AE714" s="126">
        <v>3253.1281054531019</v>
      </c>
      <c r="AF714" s="126">
        <v>3110.264227358336</v>
      </c>
      <c r="AG714" s="126">
        <f t="shared" ref="AG714:AM714" si="976">+AG716+AG753+AG770</f>
        <v>3979.0353777043629</v>
      </c>
      <c r="AH714" s="126">
        <f t="shared" si="976"/>
        <v>4598.0039054614181</v>
      </c>
      <c r="AI714" s="126">
        <f t="shared" si="976"/>
        <v>5481.5479551853941</v>
      </c>
      <c r="AJ714" s="126">
        <f t="shared" si="976"/>
        <v>4690.5363174693512</v>
      </c>
      <c r="AK714" s="126" t="e">
        <f t="shared" si="976"/>
        <v>#DIV/0!</v>
      </c>
      <c r="AL714" s="126" t="e">
        <f t="shared" si="976"/>
        <v>#DIV/0!</v>
      </c>
      <c r="AM714" s="126" t="e">
        <f t="shared" si="976"/>
        <v>#DIV/0!</v>
      </c>
      <c r="AN714" s="126" t="e">
        <f t="shared" ref="AN714:AO714" si="977">+AN716+AN753+AN770</f>
        <v>#DIV/0!</v>
      </c>
      <c r="AO714" s="126" t="e">
        <f t="shared" si="977"/>
        <v>#DIV/0!</v>
      </c>
      <c r="AP714" s="126"/>
      <c r="AQ714" s="126"/>
      <c r="AR714" s="126"/>
      <c r="AS714" s="126"/>
      <c r="AT714" s="126"/>
      <c r="AU714" s="1241"/>
    </row>
    <row r="715" spans="1:49" hidden="1">
      <c r="A715" s="1"/>
      <c r="B715" s="1"/>
      <c r="C715" s="1"/>
      <c r="D715" s="127" t="s">
        <v>136</v>
      </c>
      <c r="E715" s="168" t="s">
        <v>101</v>
      </c>
      <c r="F715" s="14"/>
      <c r="G715" s="14"/>
      <c r="H715" s="14"/>
      <c r="I715" s="14"/>
      <c r="J715" s="126"/>
      <c r="K715" s="126"/>
      <c r="L715" s="126"/>
      <c r="M715" s="126"/>
      <c r="N715" s="126"/>
      <c r="O715" s="126"/>
      <c r="P715" s="126"/>
      <c r="Q715" s="126"/>
      <c r="R715" s="126"/>
      <c r="S715" s="126"/>
      <c r="T715" s="126"/>
      <c r="U715" s="126" t="str">
        <f>+IF(ABS(U717+U721+U729+U736+U746-U716)&gt;0.1,"check","")</f>
        <v/>
      </c>
      <c r="V715" s="126" t="str">
        <f>+IF(ABS(V717+V721+V729+V736+V746-V716)&gt;0.1,"check","")</f>
        <v/>
      </c>
      <c r="W715" s="126" t="str">
        <f>+IF(ABS(W717+W721+W729+W736+W746-W716)&gt;0.1,"check","")</f>
        <v/>
      </c>
      <c r="X715" s="126" t="str">
        <f>+IF(ABS(X717+X721+X729+X736+X746-X716)&gt;0.1,"check","")</f>
        <v/>
      </c>
      <c r="Y715" s="126" t="str">
        <f>+IF(ABS(Y717+Y721+Y729+Y736+Y746-Y716)&gt;0.1,"check","")</f>
        <v/>
      </c>
      <c r="Z715" s="126" t="str">
        <f>+IF(ABS(Z717+Z721+Z729+Z736+Z746+Z752-Z716)&gt;0.1,"check","")</f>
        <v/>
      </c>
      <c r="AA715" s="126"/>
      <c r="AB715" s="126"/>
      <c r="AC715" s="126" t="s">
        <v>136</v>
      </c>
      <c r="AD715" s="1252"/>
      <c r="AE715" s="1252"/>
      <c r="AF715" s="1252"/>
      <c r="AG715" s="1252"/>
      <c r="AH715" s="1252"/>
      <c r="AI715" s="1252"/>
      <c r="AJ715" s="1252"/>
      <c r="AK715" s="1252"/>
      <c r="AL715" s="1252"/>
      <c r="AM715" s="1252"/>
      <c r="AN715" s="1252"/>
      <c r="AO715" s="1252"/>
      <c r="AP715" s="1252"/>
      <c r="AQ715" s="1252"/>
      <c r="AR715" s="1252"/>
      <c r="AS715" s="1252"/>
      <c r="AT715" s="1252"/>
    </row>
    <row r="716" spans="1:49" hidden="1">
      <c r="A716" s="1"/>
      <c r="B716" s="1"/>
      <c r="C716" s="1"/>
      <c r="D716" s="128" t="s">
        <v>152</v>
      </c>
      <c r="E716" s="168"/>
      <c r="F716" s="14"/>
      <c r="G716" s="14"/>
      <c r="H716" s="14"/>
      <c r="I716" s="14"/>
      <c r="J716" s="126">
        <v>81.218376569499995</v>
      </c>
      <c r="K716" s="126">
        <v>87.635976569500002</v>
      </c>
      <c r="L716" s="126">
        <v>98.464949999999988</v>
      </c>
      <c r="M716" s="126">
        <v>121.017</v>
      </c>
      <c r="N716" s="126">
        <v>147.50385</v>
      </c>
      <c r="O716" s="126">
        <v>162.75944000000001</v>
      </c>
      <c r="P716" s="126">
        <v>189.89345609099502</v>
      </c>
      <c r="Q716" s="126">
        <v>233.40716609099502</v>
      </c>
      <c r="R716" s="126">
        <v>266.60000000000002</v>
      </c>
      <c r="S716" s="126">
        <v>348.9</v>
      </c>
      <c r="T716" s="126">
        <v>401.7</v>
      </c>
      <c r="U716" s="126">
        <v>459.1</v>
      </c>
      <c r="V716" s="126">
        <v>526.99576124600003</v>
      </c>
      <c r="W716" s="126">
        <v>614.09999999999991</v>
      </c>
      <c r="X716" s="126">
        <v>633.9</v>
      </c>
      <c r="Y716" s="126">
        <v>777.76349406485224</v>
      </c>
      <c r="Z716" s="126">
        <f>+Z717+Z721+Z729+Z736+Z746+Z752</f>
        <v>834.73</v>
      </c>
      <c r="AA716" s="126">
        <f>+AA717+AA721+AA729+AA736+AA746+AA752</f>
        <v>947.5320695517421</v>
      </c>
      <c r="AB716" s="126">
        <v>1069.5999999999999</v>
      </c>
      <c r="AC716" s="126">
        <v>1177.2772642778905</v>
      </c>
      <c r="AD716" s="126">
        <f>FISCinyear!IG505</f>
        <v>1343.6050912542087</v>
      </c>
      <c r="AE716" s="126">
        <v>1558.3598845633098</v>
      </c>
      <c r="AF716" s="126">
        <v>1670.0482916625929</v>
      </c>
      <c r="AG716" s="126">
        <f>+AG717+AG721+AG729+AG736+AG746</f>
        <v>2380.8074124740247</v>
      </c>
      <c r="AH716" s="126">
        <f>+AH717+AH721+AH729+AH736+AH746</f>
        <v>2728.8843605583388</v>
      </c>
      <c r="AI716" s="126">
        <f>+AI717+AI721+AI729+AI736+AI746</f>
        <v>3257.5677456043372</v>
      </c>
      <c r="AJ716" s="126">
        <f>+AJ717+AJ721+AJ729+AJ736+AJ746+AJ752</f>
        <v>2783.4025640909608</v>
      </c>
      <c r="AK716" s="126" t="e">
        <f>+AK717+AK721+AK729+AK736+AK746+AK752</f>
        <v>#DIV/0!</v>
      </c>
      <c r="AL716" s="126" t="e">
        <f>+AL717+AL721+AL729+AL736+AL746+AL752</f>
        <v>#DIV/0!</v>
      </c>
      <c r="AM716" s="126" t="e">
        <f>+AM717+AM721+AM729+AM736+AM746+AM752</f>
        <v>#DIV/0!</v>
      </c>
      <c r="AN716" s="126" t="e">
        <f t="shared" ref="AN716:AO716" si="978">+AN717+AN721+AN729+AN736+AN746+AN752</f>
        <v>#DIV/0!</v>
      </c>
      <c r="AO716" s="126" t="e">
        <f t="shared" si="978"/>
        <v>#DIV/0!</v>
      </c>
      <c r="AP716" s="126"/>
      <c r="AQ716" s="126"/>
      <c r="AR716" s="126"/>
      <c r="AS716" s="126"/>
      <c r="AT716" s="126"/>
    </row>
    <row r="717" spans="1:49" hidden="1">
      <c r="A717" s="1"/>
      <c r="B717" s="1"/>
      <c r="C717" s="1"/>
      <c r="D717" s="129" t="s">
        <v>83</v>
      </c>
      <c r="E717" s="168"/>
      <c r="F717" s="14"/>
      <c r="G717" s="14"/>
      <c r="H717" s="14"/>
      <c r="I717" s="14"/>
      <c r="J717" s="126">
        <v>31.992011220000002</v>
      </c>
      <c r="K717" s="126">
        <v>35.874061220000002</v>
      </c>
      <c r="L717" s="126">
        <v>37.979700000000001</v>
      </c>
      <c r="M717" s="126">
        <v>39.9255</v>
      </c>
      <c r="N717" s="126">
        <v>42.295850000000002</v>
      </c>
      <c r="O717" s="126">
        <v>46.274450000000002</v>
      </c>
      <c r="P717" s="126">
        <v>49.873536795000007</v>
      </c>
      <c r="Q717" s="126">
        <v>56.703536795000005</v>
      </c>
      <c r="R717" s="126">
        <v>71.5</v>
      </c>
      <c r="S717" s="126">
        <v>76.3</v>
      </c>
      <c r="T717" s="126">
        <v>90.8</v>
      </c>
      <c r="U717" s="126">
        <v>106.9</v>
      </c>
      <c r="V717" s="126">
        <v>122.01711</v>
      </c>
      <c r="W717" s="126">
        <v>144.80000000000001</v>
      </c>
      <c r="X717" s="126">
        <v>168.9</v>
      </c>
      <c r="Y717" s="126">
        <v>187.87206946399999</v>
      </c>
      <c r="Z717" s="126">
        <f>0*207+203.9</f>
        <v>203.9</v>
      </c>
      <c r="AA717" s="126">
        <f>FISCinyear!HX506</f>
        <v>242.33523719200002</v>
      </c>
      <c r="AB717" s="126">
        <v>318.09171054699999</v>
      </c>
      <c r="AC717" s="126">
        <v>324.290467019</v>
      </c>
      <c r="AD717" s="683">
        <f>FISCinyear!IG506</f>
        <v>366.15126445199996</v>
      </c>
      <c r="AE717" s="126">
        <v>423.32212288353531</v>
      </c>
      <c r="AF717" s="126">
        <v>491.54640949593744</v>
      </c>
      <c r="AG717" s="126">
        <f t="shared" ref="AG717:AM717" si="979">+AF717*(1+AG$348)</f>
        <v>568.29646587463321</v>
      </c>
      <c r="AH717" s="126">
        <f t="shared" si="979"/>
        <v>611.77341869990607</v>
      </c>
      <c r="AI717" s="126">
        <f t="shared" si="979"/>
        <v>658.5765323241236</v>
      </c>
      <c r="AJ717" s="126">
        <f t="shared" si="979"/>
        <v>658.5765323241236</v>
      </c>
      <c r="AK717" s="126">
        <f t="shared" si="979"/>
        <v>658.5765323241236</v>
      </c>
      <c r="AL717" s="126">
        <f t="shared" si="979"/>
        <v>658.5765323241236</v>
      </c>
      <c r="AM717" s="126">
        <f t="shared" si="979"/>
        <v>658.5765323241236</v>
      </c>
      <c r="AN717" s="126">
        <f t="shared" ref="AN717" si="980">+AM717*(1+AN$348)</f>
        <v>658.5765323241236</v>
      </c>
      <c r="AO717" s="126">
        <f t="shared" ref="AO717" si="981">+AN717*(1+AO$348)</f>
        <v>658.5765323241236</v>
      </c>
      <c r="AP717" s="126"/>
      <c r="AQ717" s="126"/>
      <c r="AR717" s="126"/>
      <c r="AS717" s="126"/>
      <c r="AT717" s="126"/>
    </row>
    <row r="718" spans="1:49" hidden="1">
      <c r="A718" s="1"/>
      <c r="B718" s="1"/>
      <c r="C718" s="1"/>
      <c r="D718" s="131" t="s">
        <v>153</v>
      </c>
      <c r="E718" s="168" t="s">
        <v>242</v>
      </c>
      <c r="F718" s="14"/>
      <c r="G718" s="14"/>
      <c r="H718" s="14"/>
      <c r="I718" s="14"/>
      <c r="J718" s="126"/>
      <c r="K718" s="126"/>
      <c r="L718" s="126"/>
      <c r="M718" s="126"/>
      <c r="N718" s="126"/>
      <c r="O718" s="126"/>
      <c r="P718" s="126"/>
      <c r="Q718" s="126"/>
      <c r="R718" s="126"/>
      <c r="S718" s="126"/>
      <c r="T718" s="126"/>
      <c r="U718" s="126"/>
      <c r="V718" s="126"/>
      <c r="W718" s="126">
        <v>0</v>
      </c>
      <c r="X718" s="126">
        <v>0</v>
      </c>
      <c r="Y718" s="126">
        <v>146.007495054</v>
      </c>
      <c r="Z718" s="126">
        <v>77.256823779999991</v>
      </c>
      <c r="AA718" s="126">
        <v>0</v>
      </c>
      <c r="AB718" s="126">
        <v>0</v>
      </c>
      <c r="AC718" s="126">
        <v>0</v>
      </c>
      <c r="AD718" s="141">
        <f>FISCinyear!IG507</f>
        <v>0</v>
      </c>
      <c r="AE718" s="126"/>
      <c r="AF718" s="126"/>
      <c r="AG718" s="126"/>
      <c r="AH718" s="126"/>
      <c r="AI718" s="126"/>
      <c r="AJ718" s="126"/>
      <c r="AK718" s="126"/>
      <c r="AL718" s="126"/>
      <c r="AM718" s="126"/>
      <c r="AN718" s="126"/>
      <c r="AO718" s="126"/>
      <c r="AP718" s="126"/>
      <c r="AQ718" s="126"/>
      <c r="AR718" s="126"/>
      <c r="AS718" s="126"/>
      <c r="AT718" s="126"/>
    </row>
    <row r="719" spans="1:49" hidden="1">
      <c r="A719" s="1"/>
      <c r="B719" s="1"/>
      <c r="C719" s="1"/>
      <c r="D719" s="130" t="s">
        <v>139</v>
      </c>
      <c r="E719" s="172" t="s">
        <v>243</v>
      </c>
      <c r="F719" s="14"/>
      <c r="G719" s="14"/>
      <c r="H719" s="14"/>
      <c r="I719" s="14"/>
      <c r="J719" s="126"/>
      <c r="K719" s="126"/>
      <c r="L719" s="126"/>
      <c r="M719" s="126"/>
      <c r="N719" s="126"/>
      <c r="O719" s="126"/>
      <c r="P719" s="126"/>
      <c r="Q719" s="126"/>
      <c r="R719" s="126"/>
      <c r="S719" s="126"/>
      <c r="T719" s="126"/>
      <c r="U719" s="126"/>
      <c r="V719" s="126"/>
      <c r="W719" s="126">
        <v>0</v>
      </c>
      <c r="X719" s="126">
        <v>0</v>
      </c>
      <c r="Y719" s="126">
        <v>3</v>
      </c>
      <c r="Z719" s="126">
        <v>0</v>
      </c>
      <c r="AA719" s="126">
        <v>0</v>
      </c>
      <c r="AB719" s="126">
        <v>0</v>
      </c>
      <c r="AC719" s="126">
        <v>0</v>
      </c>
      <c r="AD719" s="141">
        <f>FISCinyear!IG508</f>
        <v>0</v>
      </c>
      <c r="AE719" s="126"/>
      <c r="AF719" s="126"/>
      <c r="AG719" s="126"/>
      <c r="AH719" s="126"/>
      <c r="AI719" s="126"/>
      <c r="AJ719" s="126"/>
      <c r="AK719" s="126"/>
      <c r="AL719" s="126"/>
      <c r="AM719" s="126"/>
      <c r="AN719" s="126"/>
      <c r="AO719" s="126"/>
      <c r="AP719" s="126"/>
      <c r="AQ719" s="126"/>
      <c r="AR719" s="126"/>
      <c r="AS719" s="126"/>
      <c r="AT719" s="126"/>
    </row>
    <row r="720" spans="1:49" hidden="1">
      <c r="A720" s="1"/>
      <c r="B720" s="1"/>
      <c r="C720" s="1"/>
      <c r="D720" s="131" t="s">
        <v>154</v>
      </c>
      <c r="E720" s="172" t="s">
        <v>243</v>
      </c>
      <c r="F720" s="14"/>
      <c r="G720" s="14"/>
      <c r="H720" s="14"/>
      <c r="I720" s="14"/>
      <c r="J720" s="126"/>
      <c r="K720" s="126"/>
      <c r="L720" s="126"/>
      <c r="M720" s="126"/>
      <c r="N720" s="126"/>
      <c r="O720" s="126"/>
      <c r="P720" s="126"/>
      <c r="Q720" s="126"/>
      <c r="R720" s="126"/>
      <c r="S720" s="126"/>
      <c r="T720" s="126"/>
      <c r="U720" s="126"/>
      <c r="V720" s="126"/>
      <c r="W720" s="126">
        <v>0</v>
      </c>
      <c r="X720" s="126">
        <v>0</v>
      </c>
      <c r="Y720" s="126">
        <v>41.864574410000003</v>
      </c>
      <c r="Z720" s="126">
        <v>24.66286775</v>
      </c>
      <c r="AA720" s="126">
        <v>0</v>
      </c>
      <c r="AB720" s="126">
        <v>0</v>
      </c>
      <c r="AC720" s="126">
        <v>0</v>
      </c>
      <c r="AD720" s="141">
        <f>FISCinyear!IG509</f>
        <v>0</v>
      </c>
      <c r="AE720" s="126"/>
      <c r="AF720" s="126"/>
      <c r="AG720" s="126"/>
      <c r="AH720" s="126"/>
      <c r="AI720" s="126"/>
      <c r="AJ720" s="126"/>
      <c r="AK720" s="126"/>
      <c r="AL720" s="126"/>
      <c r="AM720" s="126"/>
      <c r="AN720" s="126"/>
      <c r="AO720" s="126"/>
      <c r="AP720" s="126"/>
      <c r="AQ720" s="126"/>
      <c r="AR720" s="126"/>
      <c r="AS720" s="126"/>
      <c r="AT720" s="126"/>
    </row>
    <row r="721" spans="1:46" hidden="1">
      <c r="A721" s="1"/>
      <c r="B721" s="1"/>
      <c r="C721" s="1"/>
      <c r="D721" s="129" t="s">
        <v>84</v>
      </c>
      <c r="E721" s="164"/>
      <c r="F721" s="14"/>
      <c r="G721" s="14"/>
      <c r="H721" s="14"/>
      <c r="I721" s="14"/>
      <c r="J721" s="126">
        <v>25.852769115999997</v>
      </c>
      <c r="K721" s="126">
        <v>25.216719116</v>
      </c>
      <c r="L721" s="126">
        <v>27.276600000000002</v>
      </c>
      <c r="M721" s="126">
        <v>32.760750000000002</v>
      </c>
      <c r="N721" s="126">
        <v>40.152100000000004</v>
      </c>
      <c r="O721" s="126">
        <v>46.336200000000005</v>
      </c>
      <c r="P721" s="126">
        <v>56.022079866995</v>
      </c>
      <c r="Q721" s="126">
        <v>68.007379866994995</v>
      </c>
      <c r="R721" s="126">
        <v>66.400000000000006</v>
      </c>
      <c r="S721" s="126">
        <v>81.599999999999994</v>
      </c>
      <c r="T721" s="126">
        <v>103.2</v>
      </c>
      <c r="U721" s="126">
        <v>106.3</v>
      </c>
      <c r="V721" s="126">
        <v>124.08326</v>
      </c>
      <c r="W721" s="126">
        <v>149.5</v>
      </c>
      <c r="X721" s="126">
        <v>123.1</v>
      </c>
      <c r="Y721" s="126">
        <v>142.5160846</v>
      </c>
      <c r="Z721" s="126">
        <f>0*151.15+159.5</f>
        <v>159.5</v>
      </c>
      <c r="AA721" s="126">
        <f>FISCinyear!HX510</f>
        <v>180.62141281000001</v>
      </c>
      <c r="AB721" s="126">
        <v>219.15187310499999</v>
      </c>
      <c r="AC721" s="126">
        <v>216.28066140199999</v>
      </c>
      <c r="AD721" s="683">
        <f>FISCinyear!IG510</f>
        <v>229.85218436</v>
      </c>
      <c r="AE721" s="163">
        <v>328.54582443162445</v>
      </c>
      <c r="AF721" s="163">
        <v>343.14254236569695</v>
      </c>
      <c r="AG721" s="163">
        <f t="shared" ref="AG721:AO721" si="982">+AF721*(1+AG359)</f>
        <v>677.03580462269099</v>
      </c>
      <c r="AH721" s="163">
        <f t="shared" si="982"/>
        <v>792.98803303446402</v>
      </c>
      <c r="AI721" s="163">
        <f t="shared" si="982"/>
        <v>1008.3667151378778</v>
      </c>
      <c r="AJ721" s="163">
        <f t="shared" si="982"/>
        <v>1008.3667151378778</v>
      </c>
      <c r="AK721" s="163" t="e">
        <f t="shared" si="982"/>
        <v>#DIV/0!</v>
      </c>
      <c r="AL721" s="163" t="e">
        <f t="shared" si="982"/>
        <v>#DIV/0!</v>
      </c>
      <c r="AM721" s="163" t="e">
        <f t="shared" si="982"/>
        <v>#DIV/0!</v>
      </c>
      <c r="AN721" s="163" t="e">
        <f t="shared" si="982"/>
        <v>#DIV/0!</v>
      </c>
      <c r="AO721" s="163" t="e">
        <f t="shared" si="982"/>
        <v>#DIV/0!</v>
      </c>
      <c r="AP721" s="163"/>
      <c r="AQ721" s="163"/>
      <c r="AR721" s="163"/>
      <c r="AS721" s="163"/>
      <c r="AT721" s="163"/>
    </row>
    <row r="722" spans="1:46" hidden="1">
      <c r="A722" s="1"/>
      <c r="B722" s="1"/>
      <c r="C722" s="1"/>
      <c r="D722" s="131" t="s">
        <v>153</v>
      </c>
      <c r="E722" s="165" t="s">
        <v>243</v>
      </c>
      <c r="F722" s="14"/>
      <c r="G722" s="14"/>
      <c r="H722" s="14"/>
      <c r="I722" s="14"/>
      <c r="J722" s="126"/>
      <c r="K722" s="126"/>
      <c r="L722" s="126"/>
      <c r="M722" s="126"/>
      <c r="N722" s="126"/>
      <c r="O722" s="126"/>
      <c r="P722" s="126"/>
      <c r="Q722" s="126"/>
      <c r="R722" s="126"/>
      <c r="S722" s="126"/>
      <c r="T722" s="126"/>
      <c r="U722" s="126"/>
      <c r="V722" s="126"/>
      <c r="W722" s="126">
        <v>0</v>
      </c>
      <c r="X722" s="126">
        <v>0</v>
      </c>
      <c r="Y722" s="126">
        <v>128.86748838599999</v>
      </c>
      <c r="Z722" s="126"/>
      <c r="AA722" s="126"/>
      <c r="AB722" s="126">
        <v>0</v>
      </c>
      <c r="AC722" s="126"/>
      <c r="AD722" s="141">
        <f>FISCinyear!IG511</f>
        <v>0</v>
      </c>
      <c r="AE722" s="250"/>
      <c r="AF722" s="126"/>
      <c r="AG722" s="126"/>
      <c r="AH722" s="126"/>
      <c r="AI722" s="126"/>
      <c r="AJ722" s="126"/>
      <c r="AK722" s="126"/>
      <c r="AL722" s="126"/>
      <c r="AM722" s="126"/>
      <c r="AN722" s="126"/>
      <c r="AO722" s="126"/>
      <c r="AP722" s="126"/>
      <c r="AQ722" s="126"/>
      <c r="AR722" s="126"/>
      <c r="AS722" s="126"/>
      <c r="AT722" s="126"/>
    </row>
    <row r="723" spans="1:46" ht="16.5" hidden="1">
      <c r="A723" s="1"/>
      <c r="B723" s="1"/>
      <c r="C723" s="1"/>
      <c r="D723" s="705" t="s">
        <v>1236</v>
      </c>
      <c r="E723" s="165"/>
      <c r="F723" s="14"/>
      <c r="G723" s="14"/>
      <c r="H723" s="14"/>
      <c r="I723" s="14"/>
      <c r="J723" s="126"/>
      <c r="K723" s="126"/>
      <c r="L723" s="126"/>
      <c r="M723" s="126"/>
      <c r="N723" s="126"/>
      <c r="O723" s="126"/>
      <c r="P723" s="126"/>
      <c r="Q723" s="126"/>
      <c r="R723" s="126"/>
      <c r="S723" s="126"/>
      <c r="T723" s="126"/>
      <c r="U723" s="126"/>
      <c r="V723" s="126"/>
      <c r="W723" s="126"/>
      <c r="X723" s="126"/>
      <c r="Y723" s="126"/>
      <c r="Z723" s="126"/>
      <c r="AA723" s="126"/>
      <c r="AB723" s="126"/>
      <c r="AC723" s="126"/>
      <c r="AD723" s="141">
        <f>FISCinyear!IG512</f>
        <v>0</v>
      </c>
      <c r="AE723" s="250"/>
      <c r="AF723" s="126"/>
      <c r="AG723" s="126"/>
      <c r="AH723" s="126"/>
      <c r="AI723" s="126"/>
      <c r="AJ723" s="126"/>
      <c r="AK723" s="126"/>
      <c r="AL723" s="126"/>
      <c r="AM723" s="126"/>
      <c r="AN723" s="126"/>
      <c r="AO723" s="126"/>
      <c r="AP723" s="126"/>
      <c r="AQ723" s="126"/>
      <c r="AR723" s="126"/>
      <c r="AS723" s="126"/>
      <c r="AT723" s="126"/>
    </row>
    <row r="724" spans="1:46" hidden="1">
      <c r="A724" s="1"/>
      <c r="B724" s="1"/>
      <c r="C724" s="1"/>
      <c r="D724" s="1162" t="s">
        <v>1202</v>
      </c>
      <c r="E724" s="165"/>
      <c r="F724" s="14"/>
      <c r="G724" s="14"/>
      <c r="H724" s="14"/>
      <c r="I724" s="14"/>
      <c r="J724" s="126"/>
      <c r="K724" s="126"/>
      <c r="L724" s="126"/>
      <c r="M724" s="126"/>
      <c r="N724" s="126"/>
      <c r="O724" s="126"/>
      <c r="P724" s="126"/>
      <c r="Q724" s="126"/>
      <c r="R724" s="126"/>
      <c r="S724" s="126"/>
      <c r="T724" s="126"/>
      <c r="U724" s="126"/>
      <c r="V724" s="126"/>
      <c r="W724" s="126"/>
      <c r="X724" s="126"/>
      <c r="Y724" s="126"/>
      <c r="Z724" s="126"/>
      <c r="AA724" s="126"/>
      <c r="AB724" s="126"/>
      <c r="AC724" s="126">
        <v>0</v>
      </c>
      <c r="AD724" s="141">
        <v>0</v>
      </c>
      <c r="AE724" s="126">
        <v>9.9240137229999998</v>
      </c>
      <c r="AF724" s="126">
        <v>7.4542889289999996</v>
      </c>
      <c r="AG724" s="126">
        <f>AJ1801</f>
        <v>0</v>
      </c>
      <c r="AH724" s="126">
        <v>7.5652032629999999</v>
      </c>
      <c r="AI724" s="126"/>
      <c r="AJ724" s="126"/>
      <c r="AK724" s="126"/>
      <c r="AL724" s="126"/>
      <c r="AM724" s="126"/>
      <c r="AN724" s="126"/>
      <c r="AO724" s="126"/>
      <c r="AP724" s="126"/>
      <c r="AQ724" s="126"/>
      <c r="AR724" s="126"/>
      <c r="AS724" s="126"/>
      <c r="AT724" s="126"/>
    </row>
    <row r="725" spans="1:46" hidden="1">
      <c r="A725" s="1"/>
      <c r="B725" s="1"/>
      <c r="C725" s="1"/>
      <c r="D725" s="132" t="s">
        <v>915</v>
      </c>
      <c r="E725" s="165" t="s">
        <v>243</v>
      </c>
      <c r="F725" s="14"/>
      <c r="G725" s="14"/>
      <c r="H725" s="14"/>
      <c r="I725" s="14"/>
      <c r="J725" s="126"/>
      <c r="K725" s="126"/>
      <c r="L725" s="126"/>
      <c r="M725" s="126"/>
      <c r="N725" s="126"/>
      <c r="O725" s="126"/>
      <c r="P725" s="126"/>
      <c r="Q725" s="126"/>
      <c r="R725" s="126"/>
      <c r="S725" s="126"/>
      <c r="T725" s="126"/>
      <c r="U725" s="126"/>
      <c r="V725" s="126"/>
      <c r="W725" s="126">
        <v>0</v>
      </c>
      <c r="X725" s="126">
        <v>0</v>
      </c>
      <c r="Y725" s="126">
        <v>3</v>
      </c>
      <c r="Z725" s="126"/>
      <c r="AA725" s="126"/>
      <c r="AB725" s="126">
        <v>44.567491036</v>
      </c>
      <c r="AC725" s="126">
        <v>47.517446686</v>
      </c>
      <c r="AD725" s="141">
        <v>0</v>
      </c>
      <c r="AE725" s="126">
        <v>57.195917465000001</v>
      </c>
      <c r="AF725" s="126">
        <v>57.195917465000001</v>
      </c>
      <c r="AG725" s="126">
        <v>62.728619664999997</v>
      </c>
      <c r="AH725" s="126">
        <v>87.333180614104421</v>
      </c>
      <c r="AI725" s="126">
        <f>+AH725</f>
        <v>87.333180614104421</v>
      </c>
      <c r="AJ725" s="126">
        <f>+AI725</f>
        <v>87.333180614104421</v>
      </c>
      <c r="AK725" s="126">
        <f>+AJ725</f>
        <v>87.333180614104421</v>
      </c>
      <c r="AL725" s="126">
        <f>+AK725</f>
        <v>87.333180614104421</v>
      </c>
      <c r="AM725" s="126">
        <f>+AL725</f>
        <v>87.333180614104421</v>
      </c>
      <c r="AN725" s="126">
        <f t="shared" ref="AN725:AO725" si="983">+AM725</f>
        <v>87.333180614104421</v>
      </c>
      <c r="AO725" s="126">
        <f t="shared" si="983"/>
        <v>87.333180614104421</v>
      </c>
      <c r="AP725" s="126"/>
      <c r="AQ725" s="126"/>
      <c r="AR725" s="126"/>
      <c r="AS725" s="126"/>
      <c r="AT725" s="126"/>
    </row>
    <row r="726" spans="1:46" ht="16.5" hidden="1">
      <c r="A726" s="1"/>
      <c r="B726" s="1"/>
      <c r="C726" s="1"/>
      <c r="D726" s="1156" t="s">
        <v>2384</v>
      </c>
      <c r="E726" s="165"/>
      <c r="F726" s="14"/>
      <c r="G726" s="14"/>
      <c r="H726" s="14"/>
      <c r="I726" s="14"/>
      <c r="J726" s="126"/>
      <c r="K726" s="126"/>
      <c r="L726" s="126"/>
      <c r="M726" s="126"/>
      <c r="N726" s="126"/>
      <c r="O726" s="126"/>
      <c r="P726" s="126"/>
      <c r="Q726" s="126"/>
      <c r="R726" s="126"/>
      <c r="S726" s="126"/>
      <c r="T726" s="126"/>
      <c r="U726" s="126"/>
      <c r="V726" s="126"/>
      <c r="W726" s="126"/>
      <c r="X726" s="126"/>
      <c r="Y726" s="126"/>
      <c r="Z726" s="126"/>
      <c r="AA726" s="126"/>
      <c r="AB726" s="126"/>
      <c r="AC726" s="126"/>
      <c r="AD726" s="141"/>
      <c r="AE726" s="989">
        <v>33</v>
      </c>
      <c r="AF726" s="126"/>
      <c r="AG726" s="126"/>
      <c r="AH726" s="126"/>
      <c r="AI726" s="126"/>
      <c r="AJ726" s="126"/>
      <c r="AK726" s="126"/>
      <c r="AL726" s="126"/>
      <c r="AM726" s="126"/>
      <c r="AN726" s="126"/>
      <c r="AO726" s="126"/>
      <c r="AP726" s="126"/>
      <c r="AQ726" s="126"/>
      <c r="AR726" s="126"/>
      <c r="AS726" s="126"/>
      <c r="AT726" s="126"/>
    </row>
    <row r="727" spans="1:46" ht="16.5" hidden="1">
      <c r="A727" s="1"/>
      <c r="B727" s="1"/>
      <c r="C727" s="1"/>
      <c r="D727" s="1150" t="s">
        <v>2385</v>
      </c>
      <c r="E727" s="165"/>
      <c r="F727" s="14"/>
      <c r="G727" s="14"/>
      <c r="H727" s="14"/>
      <c r="I727" s="14"/>
      <c r="J727" s="126"/>
      <c r="K727" s="126"/>
      <c r="L727" s="126"/>
      <c r="M727" s="126"/>
      <c r="N727" s="126"/>
      <c r="O727" s="126"/>
      <c r="P727" s="126"/>
      <c r="Q727" s="126"/>
      <c r="R727" s="126"/>
      <c r="S727" s="126"/>
      <c r="T727" s="126"/>
      <c r="U727" s="126"/>
      <c r="V727" s="126"/>
      <c r="W727" s="126"/>
      <c r="X727" s="126"/>
      <c r="Y727" s="126"/>
      <c r="Z727" s="126"/>
      <c r="AA727" s="126"/>
      <c r="AB727" s="126"/>
      <c r="AC727" s="126"/>
      <c r="AD727" s="141"/>
      <c r="AE727" s="989">
        <v>60</v>
      </c>
      <c r="AF727" s="126">
        <v>60</v>
      </c>
      <c r="AG727" s="126"/>
      <c r="AH727" s="126"/>
      <c r="AI727" s="126"/>
      <c r="AJ727" s="126"/>
      <c r="AK727" s="126"/>
      <c r="AL727" s="126"/>
      <c r="AM727" s="126"/>
      <c r="AN727" s="126"/>
      <c r="AO727" s="126"/>
      <c r="AP727" s="126"/>
      <c r="AQ727" s="126"/>
      <c r="AR727" s="126"/>
      <c r="AS727" s="126"/>
      <c r="AT727" s="126"/>
    </row>
    <row r="728" spans="1:46" hidden="1">
      <c r="A728" s="1"/>
      <c r="B728" s="1"/>
      <c r="C728" s="1"/>
      <c r="D728" s="131" t="s">
        <v>154</v>
      </c>
      <c r="E728" s="165" t="s">
        <v>243</v>
      </c>
      <c r="F728" s="14"/>
      <c r="G728" s="14"/>
      <c r="H728" s="14"/>
      <c r="I728" s="14"/>
      <c r="J728" s="126"/>
      <c r="K728" s="126"/>
      <c r="L728" s="126"/>
      <c r="M728" s="126"/>
      <c r="N728" s="126"/>
      <c r="O728" s="126"/>
      <c r="P728" s="126"/>
      <c r="Q728" s="126"/>
      <c r="R728" s="126"/>
      <c r="S728" s="126"/>
      <c r="T728" s="126"/>
      <c r="U728" s="126"/>
      <c r="V728" s="126"/>
      <c r="W728" s="126">
        <v>0</v>
      </c>
      <c r="X728" s="126">
        <v>0</v>
      </c>
      <c r="Y728" s="126">
        <v>13.648596214000001</v>
      </c>
      <c r="Z728" s="126"/>
      <c r="AA728" s="126"/>
      <c r="AB728" s="126">
        <v>0</v>
      </c>
      <c r="AC728" s="126"/>
      <c r="AD728" s="141">
        <f>FISCinyear!IG513</f>
        <v>0</v>
      </c>
      <c r="AE728" s="126"/>
      <c r="AF728" s="126"/>
      <c r="AG728" s="126"/>
      <c r="AH728" s="126"/>
      <c r="AI728" s="126"/>
      <c r="AJ728" s="126"/>
      <c r="AK728" s="126"/>
      <c r="AL728" s="126"/>
      <c r="AM728" s="126"/>
      <c r="AN728" s="126"/>
      <c r="AO728" s="126"/>
      <c r="AP728" s="126"/>
      <c r="AQ728" s="126"/>
      <c r="AR728" s="126"/>
      <c r="AS728" s="126"/>
      <c r="AT728" s="126"/>
    </row>
    <row r="729" spans="1:46" hidden="1">
      <c r="A729" s="1"/>
      <c r="B729" s="1"/>
      <c r="C729" s="1"/>
      <c r="D729" s="129" t="s">
        <v>155</v>
      </c>
      <c r="E729" s="164"/>
      <c r="F729" s="14"/>
      <c r="G729" s="14"/>
      <c r="H729" s="14"/>
      <c r="I729" s="14"/>
      <c r="J729" s="126">
        <v>6.2853068635000007</v>
      </c>
      <c r="K729" s="126">
        <v>5.5526068634999994</v>
      </c>
      <c r="L729" s="126">
        <v>5.2982500000000003</v>
      </c>
      <c r="M729" s="126">
        <v>6.3861499999999998</v>
      </c>
      <c r="N729" s="126">
        <v>8.5303499999999985</v>
      </c>
      <c r="O729" s="126">
        <v>11.042289999999999</v>
      </c>
      <c r="P729" s="126">
        <v>11.658439429</v>
      </c>
      <c r="Q729" s="126">
        <v>11.424799429</v>
      </c>
      <c r="R729" s="126">
        <v>12.799999999999999</v>
      </c>
      <c r="S729" s="126">
        <v>13.5</v>
      </c>
      <c r="T729" s="126">
        <v>11.4</v>
      </c>
      <c r="U729" s="126">
        <v>14.7</v>
      </c>
      <c r="V729" s="126">
        <v>15.600051246</v>
      </c>
      <c r="W729" s="126">
        <v>18.399999999999999</v>
      </c>
      <c r="X729" s="126">
        <v>30.7</v>
      </c>
      <c r="Y729" s="126">
        <v>41.490642783852238</v>
      </c>
      <c r="Z729" s="126">
        <f>+Z730+Z733</f>
        <v>45.8</v>
      </c>
      <c r="AA729" s="126">
        <f>+AA730+AA733</f>
        <v>56.6986134594964</v>
      </c>
      <c r="AB729" s="126">
        <v>72.2</v>
      </c>
      <c r="AC729" s="126">
        <v>91.578582652050613</v>
      </c>
      <c r="AD729" s="126">
        <f>FISCinyear!IG514</f>
        <v>102.67146764720873</v>
      </c>
      <c r="AE729" s="126">
        <v>151.77201549305553</v>
      </c>
      <c r="AF729" s="126">
        <v>193.28431160236877</v>
      </c>
      <c r="AG729" s="126">
        <f>+AG730+AG1096</f>
        <v>214.89878863700739</v>
      </c>
      <c r="AH729" s="126">
        <f t="shared" ref="AH729:AM729" si="984">+AH730+AH733</f>
        <v>265.15340021194561</v>
      </c>
      <c r="AI729" s="126">
        <f t="shared" si="984"/>
        <v>424.73697670437156</v>
      </c>
      <c r="AJ729" s="126">
        <f t="shared" si="984"/>
        <v>502.94296772257599</v>
      </c>
      <c r="AK729" s="126">
        <f t="shared" si="984"/>
        <v>585.82418505733926</v>
      </c>
      <c r="AL729" s="126">
        <f t="shared" si="984"/>
        <v>675.66004522609182</v>
      </c>
      <c r="AM729" s="126">
        <f t="shared" si="984"/>
        <v>715.74747994106713</v>
      </c>
      <c r="AN729" s="126">
        <f t="shared" ref="AN729:AO729" si="985">+AN730+AN733</f>
        <v>747.39833053547454</v>
      </c>
      <c r="AO729" s="126">
        <f t="shared" si="985"/>
        <v>776.91923749852265</v>
      </c>
      <c r="AP729" s="126"/>
      <c r="AQ729" s="126"/>
      <c r="AR729" s="126"/>
      <c r="AS729" s="126"/>
      <c r="AT729" s="126"/>
    </row>
    <row r="730" spans="1:46" hidden="1">
      <c r="A730" s="1"/>
      <c r="B730" s="1"/>
      <c r="C730" s="1"/>
      <c r="D730" s="131" t="s">
        <v>156</v>
      </c>
      <c r="E730" s="164"/>
      <c r="F730" s="14"/>
      <c r="G730" s="14"/>
      <c r="H730" s="14"/>
      <c r="I730" s="14"/>
      <c r="J730" s="126">
        <v>2.3801694219999998</v>
      </c>
      <c r="K730" s="126">
        <v>2.0004694219999997</v>
      </c>
      <c r="L730" s="126">
        <v>1.4211</v>
      </c>
      <c r="M730" s="126">
        <v>1.6888999999999998</v>
      </c>
      <c r="N730" s="126">
        <v>2.6576999999999997</v>
      </c>
      <c r="O730" s="126">
        <v>3.8275999999999994</v>
      </c>
      <c r="P730" s="126">
        <v>4.3258494289999998</v>
      </c>
      <c r="Q730" s="126">
        <v>6.3923494290000002</v>
      </c>
      <c r="R730" s="126">
        <v>8.6999999999999993</v>
      </c>
      <c r="S730" s="126">
        <v>11.1</v>
      </c>
      <c r="T730" s="126">
        <v>7.4</v>
      </c>
      <c r="U730" s="126">
        <v>10.1</v>
      </c>
      <c r="V730" s="126">
        <v>10.939080000000001</v>
      </c>
      <c r="W730" s="126">
        <v>13.2</v>
      </c>
      <c r="X730" s="126">
        <v>15.7</v>
      </c>
      <c r="Y730" s="126">
        <v>15.876507333509611</v>
      </c>
      <c r="Z730" s="989">
        <v>18.2</v>
      </c>
      <c r="AA730" s="989">
        <f>FISCinyear!HX515</f>
        <v>25.351373894877149</v>
      </c>
      <c r="AB730" s="989">
        <v>35.299999999999997</v>
      </c>
      <c r="AC730" s="989">
        <v>48.900012528000005</v>
      </c>
      <c r="AD730" s="683">
        <f>FISCinyear!IG515</f>
        <v>54.783250934273205</v>
      </c>
      <c r="AE730" s="573">
        <v>101.443059386</v>
      </c>
      <c r="AF730" s="573">
        <v>133.94411085620101</v>
      </c>
      <c r="AG730" s="573">
        <f>+(AF178+AG176)*0+144.931267607952</f>
        <v>144.93126760795201</v>
      </c>
      <c r="AH730" s="573">
        <f>+(AG178+AH176)*0+155.918424359702</f>
        <v>155.91842435970199</v>
      </c>
      <c r="AI730" s="573">
        <f t="shared" ref="AI730:AO730" si="986">+AH178+AI176</f>
        <v>238.10275310659461</v>
      </c>
      <c r="AJ730" s="126">
        <f t="shared" si="986"/>
        <v>263.97084936803844</v>
      </c>
      <c r="AK730" s="126">
        <f t="shared" si="986"/>
        <v>276.301972476</v>
      </c>
      <c r="AL730" s="126">
        <f t="shared" si="986"/>
        <v>265.78112663799999</v>
      </c>
      <c r="AM730" s="126">
        <f t="shared" si="986"/>
        <v>260.43490387700001</v>
      </c>
      <c r="AN730" s="126">
        <f t="shared" si="986"/>
        <v>247.98813874199999</v>
      </c>
      <c r="AO730" s="126">
        <f t="shared" si="986"/>
        <v>239.844504382</v>
      </c>
      <c r="AP730" s="126"/>
      <c r="AQ730" s="126"/>
      <c r="AR730" s="126"/>
      <c r="AS730" s="126"/>
      <c r="AT730" s="126"/>
    </row>
    <row r="731" spans="1:46" hidden="1">
      <c r="A731" s="1"/>
      <c r="B731" s="1"/>
      <c r="C731" s="1"/>
      <c r="D731" s="132" t="s">
        <v>157</v>
      </c>
      <c r="E731" s="168"/>
      <c r="F731" s="14"/>
      <c r="G731" s="14"/>
      <c r="H731" s="14"/>
      <c r="I731" s="14"/>
      <c r="J731" s="126"/>
      <c r="K731" s="126"/>
      <c r="L731" s="126"/>
      <c r="M731" s="126"/>
      <c r="N731" s="126"/>
      <c r="O731" s="126"/>
      <c r="P731" s="126"/>
      <c r="Q731" s="126"/>
      <c r="R731" s="126"/>
      <c r="S731" s="126"/>
      <c r="T731" s="126"/>
      <c r="U731" s="126"/>
      <c r="V731" s="126"/>
      <c r="W731" s="126">
        <v>0</v>
      </c>
      <c r="X731" s="126">
        <v>4.0999999999999996</v>
      </c>
      <c r="Y731" s="126">
        <v>11.97898817650961</v>
      </c>
      <c r="Z731" s="126">
        <v>4.1751809049999995</v>
      </c>
      <c r="AA731" s="126">
        <f>FISCinyear!HX516</f>
        <v>0</v>
      </c>
      <c r="AB731" s="126">
        <v>19.177960055898797</v>
      </c>
      <c r="AC731" s="126">
        <v>0</v>
      </c>
      <c r="AD731" s="683">
        <f>FISCinyear!IG516</f>
        <v>12.0125531842732</v>
      </c>
      <c r="AE731" s="126">
        <v>0</v>
      </c>
      <c r="AF731" s="126">
        <v>0</v>
      </c>
      <c r="AG731" s="126">
        <f>AJ1805</f>
        <v>0</v>
      </c>
      <c r="AH731" s="126"/>
      <c r="AI731" s="126"/>
      <c r="AJ731" s="126"/>
      <c r="AK731" s="126"/>
      <c r="AL731" s="126"/>
      <c r="AM731" s="126"/>
      <c r="AN731" s="126"/>
      <c r="AO731" s="126"/>
      <c r="AP731" s="126"/>
      <c r="AQ731" s="126"/>
      <c r="AR731" s="126"/>
      <c r="AS731" s="126"/>
      <c r="AT731" s="126"/>
    </row>
    <row r="732" spans="1:46" hidden="1">
      <c r="A732" s="1"/>
      <c r="B732" s="1"/>
      <c r="C732" s="1"/>
      <c r="D732" s="1247" t="s">
        <v>1272</v>
      </c>
      <c r="E732" s="168"/>
      <c r="F732" s="14"/>
      <c r="G732" s="14"/>
      <c r="H732" s="14"/>
      <c r="I732" s="14"/>
      <c r="J732" s="126"/>
      <c r="K732" s="126"/>
      <c r="L732" s="126"/>
      <c r="M732" s="126"/>
      <c r="N732" s="126"/>
      <c r="O732" s="126"/>
      <c r="P732" s="126"/>
      <c r="Q732" s="126"/>
      <c r="R732" s="126"/>
      <c r="S732" s="126"/>
      <c r="T732" s="126"/>
      <c r="U732" s="126"/>
      <c r="V732" s="126"/>
      <c r="W732" s="126"/>
      <c r="X732" s="126"/>
      <c r="Y732" s="126"/>
      <c r="Z732" s="126"/>
      <c r="AA732" s="126"/>
      <c r="AB732" s="126"/>
      <c r="AC732" s="126"/>
      <c r="AD732" s="683"/>
      <c r="AE732" s="126">
        <v>2.8182054830671444</v>
      </c>
      <c r="AF732" s="126">
        <v>1.8433527885241907</v>
      </c>
      <c r="AG732" s="126">
        <f>AJ1806-AG734</f>
        <v>-1.6136124563665437</v>
      </c>
      <c r="AH732" s="126"/>
      <c r="AI732" s="126"/>
      <c r="AJ732" s="126"/>
      <c r="AK732" s="126"/>
      <c r="AL732" s="126"/>
      <c r="AM732" s="126"/>
      <c r="AN732" s="126"/>
      <c r="AO732" s="126"/>
      <c r="AP732" s="126"/>
      <c r="AQ732" s="126"/>
      <c r="AR732" s="126"/>
      <c r="AS732" s="126"/>
      <c r="AT732" s="126"/>
    </row>
    <row r="733" spans="1:46" hidden="1">
      <c r="A733" s="1"/>
      <c r="B733" s="1"/>
      <c r="C733" s="1"/>
      <c r="D733" s="131" t="s">
        <v>158</v>
      </c>
      <c r="E733" s="168"/>
      <c r="F733" s="14"/>
      <c r="G733" s="14"/>
      <c r="H733" s="14"/>
      <c r="I733" s="14"/>
      <c r="J733" s="126">
        <v>3.9051374415</v>
      </c>
      <c r="K733" s="126">
        <v>3.5521374415000002</v>
      </c>
      <c r="L733" s="126">
        <v>3.8771500000000003</v>
      </c>
      <c r="M733" s="126">
        <v>4.6972500000000004</v>
      </c>
      <c r="N733" s="126">
        <v>5.8726500000000001</v>
      </c>
      <c r="O733" s="126">
        <v>7.21469</v>
      </c>
      <c r="P733" s="126">
        <v>7.3325899999999997</v>
      </c>
      <c r="Q733" s="126">
        <v>5.0324499999999999</v>
      </c>
      <c r="R733" s="126">
        <v>4.0999999999999996</v>
      </c>
      <c r="S733" s="126">
        <v>2.4</v>
      </c>
      <c r="T733" s="126">
        <v>4</v>
      </c>
      <c r="U733" s="126">
        <v>4.5999999999999996</v>
      </c>
      <c r="V733" s="126">
        <v>4.6609712459999999</v>
      </c>
      <c r="W733" s="126">
        <v>5.2</v>
      </c>
      <c r="X733" s="126">
        <v>15</v>
      </c>
      <c r="Y733" s="126">
        <v>25.61413545034263</v>
      </c>
      <c r="Z733" s="126">
        <f>0*27.346+27.6</f>
        <v>27.6</v>
      </c>
      <c r="AA733" s="126">
        <f>FISCinyear!HX518</f>
        <v>31.347239564619255</v>
      </c>
      <c r="AB733" s="126">
        <v>36.938619403195652</v>
      </c>
      <c r="AC733" s="126">
        <v>42.678570124050616</v>
      </c>
      <c r="AD733" s="683">
        <f>FISCinyear!IG518</f>
        <v>47.888216712935524</v>
      </c>
      <c r="AE733" s="126">
        <v>50.328956107055532</v>
      </c>
      <c r="AF733" s="126">
        <v>59.340200746167774</v>
      </c>
      <c r="AG733" s="126">
        <f t="shared" ref="AG733:AO733" si="987">+(((AF145+AF151+AG133+AG139)-(AF146+AF152+AG134+AG140))*AG253/1000)</f>
        <v>81.821357359206189</v>
      </c>
      <c r="AH733" s="126">
        <f t="shared" si="987"/>
        <v>109.23497585224359</v>
      </c>
      <c r="AI733" s="126">
        <f t="shared" si="987"/>
        <v>186.63422359777695</v>
      </c>
      <c r="AJ733" s="126">
        <f t="shared" si="987"/>
        <v>238.97211835453751</v>
      </c>
      <c r="AK733" s="126">
        <f t="shared" si="987"/>
        <v>309.52221258133926</v>
      </c>
      <c r="AL733" s="126">
        <f t="shared" si="987"/>
        <v>409.87891858809184</v>
      </c>
      <c r="AM733" s="126">
        <f t="shared" si="987"/>
        <v>455.31257606406712</v>
      </c>
      <c r="AN733" s="126">
        <f t="shared" si="987"/>
        <v>499.41019179347461</v>
      </c>
      <c r="AO733" s="126">
        <f t="shared" si="987"/>
        <v>537.07473311652268</v>
      </c>
      <c r="AP733" s="126"/>
      <c r="AQ733" s="126"/>
      <c r="AR733" s="126"/>
      <c r="AS733" s="126"/>
      <c r="AT733" s="126"/>
    </row>
    <row r="734" spans="1:46" hidden="1">
      <c r="A734" s="1"/>
      <c r="B734" s="1"/>
      <c r="C734" s="1"/>
      <c r="D734" s="1247" t="s">
        <v>1281</v>
      </c>
      <c r="E734" s="168"/>
      <c r="F734" s="14"/>
      <c r="G734" s="14"/>
      <c r="H734" s="14"/>
      <c r="I734" s="14"/>
      <c r="J734" s="126"/>
      <c r="K734" s="126"/>
      <c r="L734" s="126"/>
      <c r="M734" s="126"/>
      <c r="N734" s="126"/>
      <c r="O734" s="126"/>
      <c r="P734" s="126"/>
      <c r="Q734" s="126"/>
      <c r="R734" s="126"/>
      <c r="S734" s="126"/>
      <c r="T734" s="126"/>
      <c r="U734" s="126"/>
      <c r="V734" s="126"/>
      <c r="W734" s="126"/>
      <c r="X734" s="126"/>
      <c r="Y734" s="126"/>
      <c r="Z734" s="126"/>
      <c r="AA734" s="126"/>
      <c r="AB734" s="126"/>
      <c r="AC734" s="126"/>
      <c r="AD734" s="683"/>
      <c r="AE734" s="126">
        <v>6.0193606819328558</v>
      </c>
      <c r="AF734" s="126">
        <v>3.9495627954758095</v>
      </c>
      <c r="AG734" s="126">
        <f>(AF147+AF153+AG135+AG141)*AG253/1000</f>
        <v>1.6136124563665437</v>
      </c>
      <c r="AH734" s="126">
        <f>(AG147+AG153+AH135+AH141)*AH253/1000</f>
        <v>0</v>
      </c>
      <c r="AI734" s="126">
        <f>(AH147+AH153+AI135+AI141)*AI253/1000</f>
        <v>0</v>
      </c>
      <c r="AJ734" s="126"/>
      <c r="AK734" s="126"/>
      <c r="AL734" s="126"/>
      <c r="AM734" s="126"/>
      <c r="AN734" s="126"/>
      <c r="AO734" s="126"/>
      <c r="AP734" s="126"/>
      <c r="AQ734" s="126"/>
      <c r="AR734" s="126"/>
      <c r="AS734" s="126"/>
      <c r="AT734" s="126"/>
    </row>
    <row r="735" spans="1:46" hidden="1">
      <c r="A735" s="1"/>
      <c r="B735" s="1"/>
      <c r="C735" s="1"/>
      <c r="D735" s="132" t="s">
        <v>159</v>
      </c>
      <c r="E735" s="168"/>
      <c r="F735" s="14"/>
      <c r="G735" s="14"/>
      <c r="H735" s="14"/>
      <c r="I735" s="14"/>
      <c r="J735" s="126"/>
      <c r="K735" s="126"/>
      <c r="L735" s="126"/>
      <c r="M735" s="126"/>
      <c r="N735" s="126"/>
      <c r="O735" s="126"/>
      <c r="P735" s="126"/>
      <c r="Q735" s="126"/>
      <c r="R735" s="126"/>
      <c r="S735" s="126"/>
      <c r="T735" s="126"/>
      <c r="U735" s="126"/>
      <c r="V735" s="126"/>
      <c r="W735" s="126">
        <v>0</v>
      </c>
      <c r="X735" s="126">
        <v>5</v>
      </c>
      <c r="Y735" s="126">
        <v>17.855114469250001</v>
      </c>
      <c r="Z735" s="126">
        <f>0*18.35+18.7</f>
        <v>18.7</v>
      </c>
      <c r="AA735" s="126">
        <f>FISCinyear!HX520</f>
        <v>20.186515674500001</v>
      </c>
      <c r="AB735" s="126">
        <v>21.95511308775</v>
      </c>
      <c r="AC735" s="126">
        <v>22.681567922749998</v>
      </c>
      <c r="AD735" s="683">
        <f>FISCinyear!IG520</f>
        <v>23.61639474875</v>
      </c>
      <c r="AE735" s="126">
        <v>24.434102881703748</v>
      </c>
      <c r="AF735" s="126">
        <v>25.559190299819164</v>
      </c>
      <c r="AG735" s="126" t="e">
        <f>+(#REF!+#REF!)/2*AG253/1000</f>
        <v>#REF!</v>
      </c>
      <c r="AH735" s="126" t="e">
        <f>+(#REF!+#REF!)/2*AH253/1000</f>
        <v>#REF!</v>
      </c>
      <c r="AI735" s="126" t="e">
        <f>+(#REF!+#REF!)/2*AI253/1000</f>
        <v>#REF!</v>
      </c>
      <c r="AJ735" s="126" t="e">
        <f>+(#REF!+#REF!)/2*AJ253/1000</f>
        <v>#REF!</v>
      </c>
      <c r="AK735" s="126" t="e">
        <f>+(#REF!+#REF!)/2*AK253/1000</f>
        <v>#REF!</v>
      </c>
      <c r="AL735" s="126" t="e">
        <f>+(#REF!+#REF!)/2*AL253/1000</f>
        <v>#REF!</v>
      </c>
      <c r="AM735" s="126" t="e">
        <f>+(#REF!+#REF!)/2*AM253/1000</f>
        <v>#REF!</v>
      </c>
      <c r="AN735" s="126" t="e">
        <f>+(#REF!+#REF!)/2*AN253/1000</f>
        <v>#REF!</v>
      </c>
      <c r="AO735" s="126" t="e">
        <f>+(#REF!+#REF!)/2*AO253/1000</f>
        <v>#REF!</v>
      </c>
      <c r="AP735" s="126"/>
      <c r="AQ735" s="126"/>
      <c r="AR735" s="126"/>
      <c r="AS735" s="126"/>
      <c r="AT735" s="126"/>
    </row>
    <row r="736" spans="1:46" hidden="1">
      <c r="A736" s="1"/>
      <c r="B736" s="1"/>
      <c r="C736" s="1"/>
      <c r="D736" s="129" t="s">
        <v>85</v>
      </c>
      <c r="E736" s="168"/>
      <c r="F736" s="14"/>
      <c r="G736" s="14"/>
      <c r="H736" s="14"/>
      <c r="I736" s="14"/>
      <c r="J736" s="126">
        <v>10.41705883</v>
      </c>
      <c r="K736" s="126">
        <v>11.24655883</v>
      </c>
      <c r="L736" s="126">
        <v>13.0984</v>
      </c>
      <c r="M736" s="126">
        <v>17.82255</v>
      </c>
      <c r="N736" s="126">
        <v>21.309249999999999</v>
      </c>
      <c r="O736" s="126">
        <v>29.844650000000001</v>
      </c>
      <c r="P736" s="126">
        <v>45.5244</v>
      </c>
      <c r="Q736" s="126">
        <v>62.735849999999999</v>
      </c>
      <c r="R736" s="126">
        <v>82.4</v>
      </c>
      <c r="S736" s="126">
        <v>121.8</v>
      </c>
      <c r="T736" s="126">
        <v>141.6</v>
      </c>
      <c r="U736" s="126">
        <v>179.6</v>
      </c>
      <c r="V736" s="126">
        <v>197.16105999999999</v>
      </c>
      <c r="W736" s="126">
        <v>225.6</v>
      </c>
      <c r="X736" s="126">
        <v>230.8</v>
      </c>
      <c r="Y736" s="126">
        <v>286.77621204399998</v>
      </c>
      <c r="Z736" s="126">
        <f>0*301.02+304.1</f>
        <v>304.10000000000002</v>
      </c>
      <c r="AA736" s="126">
        <f>FISCinyear!HX521</f>
        <v>308.66481946624555</v>
      </c>
      <c r="AB736" s="126">
        <v>360.90341515981993</v>
      </c>
      <c r="AC736" s="126">
        <v>363.28843069983998</v>
      </c>
      <c r="AD736" s="683">
        <f>FISCinyear!IG521</f>
        <v>407.23099731999997</v>
      </c>
      <c r="AE736" s="126">
        <v>424.35991078043662</v>
      </c>
      <c r="AF736" s="126">
        <v>457.30460277533575</v>
      </c>
      <c r="AG736" s="126">
        <f>+(AG737+AG738+AG744)</f>
        <v>739.99830996710375</v>
      </c>
      <c r="AH736" s="126">
        <f t="shared" ref="AH736:AM736" si="988">+AH737+AH738+AH744</f>
        <v>843.55352278935788</v>
      </c>
      <c r="AI736" s="126">
        <f t="shared" si="988"/>
        <v>925.76542592448391</v>
      </c>
      <c r="AJ736" s="126">
        <f t="shared" si="988"/>
        <v>613.51634890638354</v>
      </c>
      <c r="AK736" s="126" t="e">
        <f t="shared" si="988"/>
        <v>#DIV/0!</v>
      </c>
      <c r="AL736" s="126" t="e">
        <f t="shared" si="988"/>
        <v>#DIV/0!</v>
      </c>
      <c r="AM736" s="126" t="e">
        <f t="shared" si="988"/>
        <v>#DIV/0!</v>
      </c>
      <c r="AN736" s="126" t="e">
        <f t="shared" ref="AN736:AO736" si="989">+AN737+AN738+AN744</f>
        <v>#DIV/0!</v>
      </c>
      <c r="AO736" s="126" t="e">
        <f t="shared" si="989"/>
        <v>#DIV/0!</v>
      </c>
      <c r="AP736" s="126"/>
      <c r="AQ736" s="126"/>
      <c r="AR736" s="126"/>
      <c r="AS736" s="126"/>
      <c r="AT736" s="126"/>
    </row>
    <row r="737" spans="1:46" hidden="1">
      <c r="A737" s="1"/>
      <c r="B737" s="1"/>
      <c r="C737" s="1"/>
      <c r="D737" s="162" t="s">
        <v>267</v>
      </c>
      <c r="E737" s="168"/>
      <c r="F737" s="14"/>
      <c r="G737" s="14"/>
      <c r="H737" s="14"/>
      <c r="I737" s="14"/>
      <c r="J737" s="126"/>
      <c r="K737" s="126"/>
      <c r="L737" s="126"/>
      <c r="M737" s="126"/>
      <c r="N737" s="126"/>
      <c r="O737" s="126"/>
      <c r="P737" s="126"/>
      <c r="Q737" s="126"/>
      <c r="R737" s="126">
        <f t="shared" ref="R737:Z737" si="990">+R736-R738-R744</f>
        <v>82.4</v>
      </c>
      <c r="S737" s="126">
        <f t="shared" si="990"/>
        <v>121.8</v>
      </c>
      <c r="T737" s="126">
        <f t="shared" si="990"/>
        <v>141.6</v>
      </c>
      <c r="U737" s="126">
        <f t="shared" si="990"/>
        <v>128.51243093922653</v>
      </c>
      <c r="V737" s="126">
        <f t="shared" si="990"/>
        <v>138.84901571823204</v>
      </c>
      <c r="W737" s="126">
        <f t="shared" si="990"/>
        <v>156.4</v>
      </c>
      <c r="X737" s="126">
        <f t="shared" si="990"/>
        <v>141.20000000000002</v>
      </c>
      <c r="Y737" s="126">
        <f t="shared" si="990"/>
        <v>179.04828150799995</v>
      </c>
      <c r="Z737" s="126">
        <f t="shared" si="990"/>
        <v>167.10000000000005</v>
      </c>
      <c r="AA737" s="126">
        <f>FISCinyear!HX522</f>
        <v>212.17635436924556</v>
      </c>
      <c r="AB737" s="126">
        <v>198.31553604799996</v>
      </c>
      <c r="AC737" s="126">
        <v>192.49014827558653</v>
      </c>
      <c r="AD737" s="683">
        <f>+AC737*(1+AD363)</f>
        <v>206.39741740904535</v>
      </c>
      <c r="AE737" s="126">
        <v>210.99833405420122</v>
      </c>
      <c r="AF737" s="126">
        <v>206.61585443223143</v>
      </c>
      <c r="AG737" s="126">
        <f t="shared" ref="AG737:AO737" si="991">+AF737*(1+AG363)</f>
        <v>282.76829067845711</v>
      </c>
      <c r="AH737" s="126">
        <f t="shared" si="991"/>
        <v>329.33385066532958</v>
      </c>
      <c r="AI737" s="126">
        <f t="shared" si="991"/>
        <v>376.04166549612324</v>
      </c>
      <c r="AJ737" s="126">
        <f t="shared" si="991"/>
        <v>376.04166549612324</v>
      </c>
      <c r="AK737" s="126" t="e">
        <f t="shared" si="991"/>
        <v>#DIV/0!</v>
      </c>
      <c r="AL737" s="126" t="e">
        <f t="shared" si="991"/>
        <v>#DIV/0!</v>
      </c>
      <c r="AM737" s="126" t="e">
        <f t="shared" si="991"/>
        <v>#DIV/0!</v>
      </c>
      <c r="AN737" s="126" t="e">
        <f t="shared" si="991"/>
        <v>#DIV/0!</v>
      </c>
      <c r="AO737" s="126" t="e">
        <f t="shared" si="991"/>
        <v>#DIV/0!</v>
      </c>
      <c r="AP737" s="126"/>
      <c r="AQ737" s="126"/>
      <c r="AR737" s="126"/>
      <c r="AS737" s="126"/>
      <c r="AT737" s="126"/>
    </row>
    <row r="738" spans="1:46" hidden="1">
      <c r="A738" s="1"/>
      <c r="B738" s="1"/>
      <c r="C738" s="1"/>
      <c r="D738" s="130" t="s">
        <v>160</v>
      </c>
      <c r="E738" s="169" t="s">
        <v>648</v>
      </c>
      <c r="F738" s="14"/>
      <c r="G738" s="14"/>
      <c r="H738" s="14"/>
      <c r="I738" s="14"/>
      <c r="J738" s="126"/>
      <c r="K738" s="126"/>
      <c r="L738" s="126"/>
      <c r="M738" s="126"/>
      <c r="N738" s="126"/>
      <c r="O738" s="126"/>
      <c r="P738" s="126"/>
      <c r="Q738" s="126"/>
      <c r="R738" s="126"/>
      <c r="S738" s="126"/>
      <c r="T738" s="126"/>
      <c r="U738" s="126"/>
      <c r="V738" s="126"/>
      <c r="W738" s="126">
        <v>0</v>
      </c>
      <c r="X738" s="126">
        <v>0</v>
      </c>
      <c r="Y738" s="126">
        <v>0</v>
      </c>
      <c r="Z738" s="126">
        <f>+Z365</f>
        <v>31</v>
      </c>
      <c r="AA738" s="126">
        <f>FISCinyear!HX523</f>
        <v>40.388465097000008</v>
      </c>
      <c r="AB738" s="126">
        <v>47.887879111819991</v>
      </c>
      <c r="AC738" s="126">
        <v>53.86308627244</v>
      </c>
      <c r="AD738" s="707">
        <f>FISCinyear!IG523</f>
        <v>60.610429904000007</v>
      </c>
      <c r="AE738" s="126">
        <v>60.716770575063506</v>
      </c>
      <c r="AF738" s="126">
        <v>73.443094653384904</v>
      </c>
      <c r="AG738" s="126">
        <f>+(AG677+AG694)</f>
        <v>252.30922923181447</v>
      </c>
      <c r="AH738" s="126">
        <f>+(AH677+AH694)</f>
        <v>293.62162194468829</v>
      </c>
      <c r="AI738" s="126">
        <f>+AI677+AI694</f>
        <v>312.24907701810042</v>
      </c>
      <c r="AJ738" s="126">
        <f>+AJ677+AJ694</f>
        <v>0</v>
      </c>
      <c r="AK738" s="126" t="e">
        <f>+AK677+AK694</f>
        <v>#DIV/0!</v>
      </c>
      <c r="AL738" s="126" t="e">
        <f>+AL677+AL694</f>
        <v>#DIV/0!</v>
      </c>
      <c r="AM738" s="126" t="e">
        <f>+AM677+AM694</f>
        <v>#DIV/0!</v>
      </c>
      <c r="AN738" s="126" t="e">
        <f t="shared" ref="AN738:AO738" si="992">+AN677+AN694</f>
        <v>#DIV/0!</v>
      </c>
      <c r="AO738" s="126" t="e">
        <f t="shared" si="992"/>
        <v>#DIV/0!</v>
      </c>
      <c r="AP738" s="126"/>
      <c r="AQ738" s="126"/>
      <c r="AR738" s="126"/>
      <c r="AS738" s="126"/>
      <c r="AT738" s="126"/>
    </row>
    <row r="739" spans="1:46" hidden="1">
      <c r="A739" s="1"/>
      <c r="B739" s="1"/>
      <c r="C739" s="1"/>
      <c r="D739" s="1161" t="s">
        <v>1203</v>
      </c>
      <c r="E739" s="169"/>
      <c r="F739" s="14"/>
      <c r="G739" s="14"/>
      <c r="H739" s="14"/>
      <c r="I739" s="14"/>
      <c r="J739" s="126"/>
      <c r="K739" s="126"/>
      <c r="L739" s="126"/>
      <c r="M739" s="126"/>
      <c r="N739" s="126"/>
      <c r="O739" s="126"/>
      <c r="P739" s="126"/>
      <c r="Q739" s="126"/>
      <c r="R739" s="126"/>
      <c r="S739" s="126"/>
      <c r="T739" s="126"/>
      <c r="U739" s="126"/>
      <c r="V739" s="126"/>
      <c r="W739" s="126"/>
      <c r="X739" s="126"/>
      <c r="Y739" s="126"/>
      <c r="Z739" s="126"/>
      <c r="AA739" s="126"/>
      <c r="AB739" s="126"/>
      <c r="AC739" s="126">
        <v>0</v>
      </c>
      <c r="AD739" s="707">
        <f>FISCinyear!IG528</f>
        <v>19.947566402</v>
      </c>
      <c r="AE739" s="126">
        <v>20.100000000000001</v>
      </c>
      <c r="AF739" s="126">
        <v>13.31</v>
      </c>
      <c r="AG739" s="126">
        <v>14.641</v>
      </c>
      <c r="AH739" s="126"/>
      <c r="AI739" s="126"/>
      <c r="AJ739" s="126"/>
      <c r="AK739" s="126"/>
      <c r="AL739" s="126"/>
      <c r="AM739" s="126"/>
      <c r="AN739" s="126"/>
      <c r="AO739" s="126"/>
      <c r="AP739" s="126"/>
      <c r="AQ739" s="126"/>
      <c r="AR739" s="126"/>
      <c r="AS739" s="126"/>
      <c r="AT739" s="126"/>
    </row>
    <row r="740" spans="1:46" ht="16.5" hidden="1">
      <c r="A740" s="1"/>
      <c r="B740" s="1"/>
      <c r="C740" s="1"/>
      <c r="D740" s="705" t="s">
        <v>1240</v>
      </c>
      <c r="E740" s="169"/>
      <c r="F740" s="14"/>
      <c r="G740" s="14"/>
      <c r="H740" s="14"/>
      <c r="I740" s="14"/>
      <c r="J740" s="126"/>
      <c r="K740" s="126"/>
      <c r="L740" s="126"/>
      <c r="M740" s="126"/>
      <c r="N740" s="126"/>
      <c r="O740" s="126"/>
      <c r="P740" s="126"/>
      <c r="Q740" s="126"/>
      <c r="R740" s="126"/>
      <c r="S740" s="126"/>
      <c r="T740" s="126"/>
      <c r="U740" s="126"/>
      <c r="V740" s="126"/>
      <c r="W740" s="126"/>
      <c r="X740" s="126"/>
      <c r="Y740" s="126"/>
      <c r="Z740" s="126"/>
      <c r="AA740" s="126"/>
      <c r="AB740" s="126"/>
      <c r="AC740" s="126"/>
      <c r="AD740" s="707">
        <f>AG1812</f>
        <v>0</v>
      </c>
      <c r="AE740" s="126">
        <v>6.0529041499999998</v>
      </c>
      <c r="AF740" s="126">
        <v>6.3555493580000002</v>
      </c>
      <c r="AG740" s="126">
        <f>AJ1813</f>
        <v>0</v>
      </c>
      <c r="AH740" s="126"/>
      <c r="AI740" s="126"/>
      <c r="AJ740" s="126"/>
      <c r="AK740" s="126"/>
      <c r="AL740" s="126"/>
      <c r="AM740" s="126"/>
      <c r="AN740" s="126"/>
      <c r="AO740" s="126"/>
      <c r="AP740" s="126"/>
      <c r="AQ740" s="126"/>
      <c r="AR740" s="126"/>
      <c r="AS740" s="126"/>
      <c r="AT740" s="126"/>
    </row>
    <row r="741" spans="1:46" ht="16.5" hidden="1">
      <c r="A741" s="1"/>
      <c r="B741" s="1"/>
      <c r="C741" s="1"/>
      <c r="D741" s="705" t="s">
        <v>1241</v>
      </c>
      <c r="E741" s="169"/>
      <c r="F741" s="14"/>
      <c r="G741" s="14"/>
      <c r="H741" s="14"/>
      <c r="I741" s="14"/>
      <c r="J741" s="126"/>
      <c r="K741" s="126"/>
      <c r="L741" s="126"/>
      <c r="M741" s="126"/>
      <c r="N741" s="126"/>
      <c r="O741" s="126"/>
      <c r="P741" s="126"/>
      <c r="Q741" s="126"/>
      <c r="R741" s="126"/>
      <c r="S741" s="126"/>
      <c r="T741" s="126"/>
      <c r="U741" s="126"/>
      <c r="V741" s="126"/>
      <c r="W741" s="126"/>
      <c r="X741" s="126"/>
      <c r="Y741" s="126"/>
      <c r="Z741" s="126"/>
      <c r="AA741" s="126"/>
      <c r="AB741" s="126"/>
      <c r="AC741" s="126"/>
      <c r="AD741" s="707">
        <f>AG1813</f>
        <v>0</v>
      </c>
      <c r="AE741" s="126">
        <v>1.055188566</v>
      </c>
      <c r="AF741" s="126">
        <v>1.1379561090000001</v>
      </c>
      <c r="AG741" s="126">
        <f>AJ1814</f>
        <v>1067.9189421556571</v>
      </c>
      <c r="AH741" s="126"/>
      <c r="AI741" s="126"/>
      <c r="AJ741" s="126"/>
      <c r="AK741" s="126"/>
      <c r="AL741" s="126"/>
      <c r="AM741" s="126"/>
      <c r="AN741" s="126"/>
      <c r="AO741" s="126"/>
      <c r="AP741" s="126"/>
      <c r="AQ741" s="126"/>
      <c r="AR741" s="126"/>
      <c r="AS741" s="126"/>
      <c r="AT741" s="126"/>
    </row>
    <row r="742" spans="1:46" ht="16.5" hidden="1">
      <c r="A742" s="1"/>
      <c r="B742" s="1"/>
      <c r="C742" s="1"/>
      <c r="D742" s="705" t="s">
        <v>1242</v>
      </c>
      <c r="E742" s="169"/>
      <c r="F742" s="14"/>
      <c r="G742" s="14"/>
      <c r="H742" s="14"/>
      <c r="I742" s="14"/>
      <c r="J742" s="126"/>
      <c r="K742" s="126"/>
      <c r="L742" s="126"/>
      <c r="M742" s="126"/>
      <c r="N742" s="126"/>
      <c r="O742" s="126"/>
      <c r="P742" s="126"/>
      <c r="Q742" s="126"/>
      <c r="R742" s="126"/>
      <c r="S742" s="126"/>
      <c r="T742" s="126"/>
      <c r="U742" s="126"/>
      <c r="V742" s="126"/>
      <c r="W742" s="126"/>
      <c r="X742" s="126"/>
      <c r="Y742" s="126"/>
      <c r="Z742" s="126"/>
      <c r="AA742" s="126"/>
      <c r="AB742" s="126"/>
      <c r="AC742" s="126"/>
      <c r="AD742" s="707">
        <f>AG1814</f>
        <v>870.40127613966001</v>
      </c>
      <c r="AE742" s="126">
        <v>0.42700500000000002</v>
      </c>
      <c r="AF742" s="126">
        <v>0.44835524999999998</v>
      </c>
      <c r="AG742" s="126">
        <f>AJ1815</f>
        <v>0</v>
      </c>
      <c r="AH742" s="126"/>
      <c r="AI742" s="126"/>
      <c r="AJ742" s="126"/>
      <c r="AK742" s="126"/>
      <c r="AL742" s="126"/>
      <c r="AM742" s="126"/>
      <c r="AN742" s="126"/>
      <c r="AO742" s="126"/>
      <c r="AP742" s="126"/>
      <c r="AQ742" s="126"/>
      <c r="AR742" s="126"/>
      <c r="AS742" s="126"/>
      <c r="AT742" s="126"/>
    </row>
    <row r="743" spans="1:46" hidden="1">
      <c r="A743" s="1"/>
      <c r="B743" s="1"/>
      <c r="C743" s="1"/>
      <c r="D743" s="993" t="s">
        <v>1181</v>
      </c>
      <c r="E743" s="169"/>
      <c r="F743" s="14"/>
      <c r="G743" s="14"/>
      <c r="H743" s="14"/>
      <c r="I743" s="14"/>
      <c r="J743" s="126"/>
      <c r="K743" s="126"/>
      <c r="L743" s="126"/>
      <c r="M743" s="126"/>
      <c r="N743" s="126"/>
      <c r="O743" s="126"/>
      <c r="P743" s="126"/>
      <c r="Q743" s="126"/>
      <c r="R743" s="126"/>
      <c r="S743" s="126"/>
      <c r="T743" s="126"/>
      <c r="U743" s="126"/>
      <c r="V743" s="126"/>
      <c r="W743" s="126"/>
      <c r="X743" s="126"/>
      <c r="Y743" s="126"/>
      <c r="Z743" s="126"/>
      <c r="AA743" s="126"/>
      <c r="AB743" s="126">
        <v>0</v>
      </c>
      <c r="AC743" s="126">
        <v>0</v>
      </c>
      <c r="AD743" s="683">
        <v>0</v>
      </c>
      <c r="AE743" s="126">
        <v>1</v>
      </c>
      <c r="AF743" s="126">
        <v>2</v>
      </c>
      <c r="AG743" s="126">
        <v>3</v>
      </c>
      <c r="AH743" s="126"/>
      <c r="AI743" s="126"/>
      <c r="AJ743" s="126"/>
      <c r="AK743" s="126"/>
      <c r="AL743" s="126"/>
      <c r="AM743" s="126"/>
      <c r="AN743" s="126"/>
      <c r="AO743" s="126"/>
      <c r="AP743" s="126"/>
      <c r="AQ743" s="126"/>
      <c r="AR743" s="126"/>
      <c r="AS743" s="126"/>
      <c r="AT743" s="126"/>
    </row>
    <row r="744" spans="1:46" hidden="1">
      <c r="A744" s="1"/>
      <c r="B744" s="1"/>
      <c r="C744" s="1"/>
      <c r="D744" s="130" t="s">
        <v>161</v>
      </c>
      <c r="E744" s="168" t="s">
        <v>310</v>
      </c>
      <c r="F744" s="14"/>
      <c r="G744" s="14"/>
      <c r="H744" s="14"/>
      <c r="I744" s="14"/>
      <c r="J744" s="126"/>
      <c r="K744" s="126"/>
      <c r="L744" s="126"/>
      <c r="M744" s="126"/>
      <c r="N744" s="126"/>
      <c r="O744" s="126"/>
      <c r="P744" s="126"/>
      <c r="Q744" s="126"/>
      <c r="R744" s="126"/>
      <c r="S744" s="126"/>
      <c r="T744" s="126"/>
      <c r="U744" s="146">
        <f>+V744/V717*U717</f>
        <v>51.087569060773468</v>
      </c>
      <c r="V744" s="146">
        <f>+W744/W717*V717</f>
        <v>58.312044281767946</v>
      </c>
      <c r="W744" s="149">
        <f>214-W717</f>
        <v>69.199999999999989</v>
      </c>
      <c r="X744" s="149">
        <f>258.5-X717</f>
        <v>89.6</v>
      </c>
      <c r="Y744" s="149">
        <f>295.6-Y717</f>
        <v>107.72793053600003</v>
      </c>
      <c r="Z744" s="149">
        <f>309.9-Z717</f>
        <v>105.99999999999997</v>
      </c>
      <c r="AA744" s="149">
        <v>112.19999999999999</v>
      </c>
      <c r="AB744" s="149">
        <v>114.7</v>
      </c>
      <c r="AC744" s="149">
        <v>116.93519615181343</v>
      </c>
      <c r="AD744" s="575">
        <f>+AC744*(1+AD$348)</f>
        <v>132.02969030668595</v>
      </c>
      <c r="AE744" s="126">
        <v>152.64480615117191</v>
      </c>
      <c r="AF744" s="126">
        <v>177.24565368971938</v>
      </c>
      <c r="AG744" s="126">
        <f>+AF744*(1+AG$348)</f>
        <v>204.92079005683217</v>
      </c>
      <c r="AH744" s="126">
        <f t="shared" ref="AH744:AM744" si="993">+AG744*(1+AH$348)</f>
        <v>220.59805017934005</v>
      </c>
      <c r="AI744" s="126">
        <f t="shared" si="993"/>
        <v>237.47468341026027</v>
      </c>
      <c r="AJ744" s="126">
        <f t="shared" si="993"/>
        <v>237.47468341026027</v>
      </c>
      <c r="AK744" s="126">
        <f t="shared" si="993"/>
        <v>237.47468341026027</v>
      </c>
      <c r="AL744" s="126">
        <f t="shared" si="993"/>
        <v>237.47468341026027</v>
      </c>
      <c r="AM744" s="126">
        <f t="shared" si="993"/>
        <v>237.47468341026027</v>
      </c>
      <c r="AN744" s="126">
        <f t="shared" ref="AN744" si="994">+AM744*(1+AN$348)</f>
        <v>237.47468341026027</v>
      </c>
      <c r="AO744" s="126">
        <f t="shared" ref="AO744" si="995">+AN744*(1+AO$348)</f>
        <v>237.47468341026027</v>
      </c>
      <c r="AP744" s="126"/>
      <c r="AQ744" s="126"/>
      <c r="AR744" s="126"/>
      <c r="AS744" s="126"/>
      <c r="AT744" s="126"/>
    </row>
    <row r="745" spans="1:46" hidden="1">
      <c r="A745" s="1"/>
      <c r="B745" s="1"/>
      <c r="C745" s="1"/>
      <c r="D745" s="130" t="s">
        <v>139</v>
      </c>
      <c r="E745" s="168" t="s">
        <v>242</v>
      </c>
      <c r="F745" s="14"/>
      <c r="G745" s="14"/>
      <c r="H745" s="14"/>
      <c r="I745" s="14"/>
      <c r="J745" s="126"/>
      <c r="K745" s="126"/>
      <c r="L745" s="126"/>
      <c r="M745" s="126"/>
      <c r="N745" s="126"/>
      <c r="O745" s="126"/>
      <c r="P745" s="126"/>
      <c r="Q745" s="126"/>
      <c r="R745" s="126"/>
      <c r="S745" s="126"/>
      <c r="T745" s="126"/>
      <c r="U745" s="126"/>
      <c r="V745" s="126"/>
      <c r="W745" s="126">
        <v>0</v>
      </c>
      <c r="X745" s="126">
        <v>0</v>
      </c>
      <c r="Y745" s="126">
        <v>0</v>
      </c>
      <c r="Z745" s="126"/>
      <c r="AA745" s="126">
        <v>0</v>
      </c>
      <c r="AB745" s="126">
        <v>0</v>
      </c>
      <c r="AC745" s="126"/>
      <c r="AD745" s="141"/>
      <c r="AE745" s="126"/>
      <c r="AF745" s="126"/>
      <c r="AG745" s="126"/>
      <c r="AH745" s="126"/>
      <c r="AI745" s="126"/>
      <c r="AJ745" s="126"/>
      <c r="AK745" s="126"/>
      <c r="AL745" s="126"/>
      <c r="AM745" s="126"/>
      <c r="AN745" s="126"/>
      <c r="AO745" s="126"/>
      <c r="AP745" s="126"/>
      <c r="AQ745" s="126"/>
      <c r="AR745" s="126"/>
      <c r="AS745" s="126"/>
      <c r="AT745" s="126"/>
    </row>
    <row r="746" spans="1:46" hidden="1">
      <c r="A746" s="1"/>
      <c r="B746" s="1"/>
      <c r="C746" s="1"/>
      <c r="D746" s="129" t="s">
        <v>162</v>
      </c>
      <c r="E746" s="164"/>
      <c r="F746" s="14"/>
      <c r="G746" s="14"/>
      <c r="H746" s="14"/>
      <c r="I746" s="14"/>
      <c r="J746" s="126">
        <v>6.6712305399999998</v>
      </c>
      <c r="K746" s="126">
        <v>9.7460305399999996</v>
      </c>
      <c r="L746" s="126">
        <v>14.812000000000001</v>
      </c>
      <c r="M746" s="126">
        <v>24.122050000000002</v>
      </c>
      <c r="N746" s="126">
        <v>35.216300000000004</v>
      </c>
      <c r="O746" s="126">
        <v>29.261850000000003</v>
      </c>
      <c r="P746" s="126">
        <v>26.814999999999998</v>
      </c>
      <c r="Q746" s="126">
        <v>34.535600000000002</v>
      </c>
      <c r="R746" s="126">
        <v>33.5</v>
      </c>
      <c r="S746" s="126">
        <v>55.7</v>
      </c>
      <c r="T746" s="126">
        <v>54.7</v>
      </c>
      <c r="U746" s="126">
        <v>51.6</v>
      </c>
      <c r="V746" s="126">
        <v>68.13427999999999</v>
      </c>
      <c r="W746" s="126">
        <v>75.8</v>
      </c>
      <c r="X746" s="126">
        <v>80.400000000000006</v>
      </c>
      <c r="Y746" s="126">
        <v>119.10848517300001</v>
      </c>
      <c r="Z746" s="126">
        <f>+Z747+Z748+Z749</f>
        <v>121.08000000000001</v>
      </c>
      <c r="AA746" s="126">
        <f>+AA747+AA748+AA749</f>
        <v>159.21198662399999</v>
      </c>
      <c r="AB746" s="126">
        <v>159.35388304200001</v>
      </c>
      <c r="AC746" s="126">
        <v>181.83912250499998</v>
      </c>
      <c r="AD746" s="126">
        <f>FISCinyear!IG529</f>
        <v>237.699177475</v>
      </c>
      <c r="AE746" s="126">
        <v>230.36001097465783</v>
      </c>
      <c r="AF746" s="126">
        <v>184.7704254232541</v>
      </c>
      <c r="AG746" s="126">
        <f t="shared" ref="AG746:AM746" si="996">+AG747+AG748+AG749</f>
        <v>180.57804337258901</v>
      </c>
      <c r="AH746" s="126">
        <f t="shared" si="996"/>
        <v>215.41598582266533</v>
      </c>
      <c r="AI746" s="126">
        <f t="shared" si="996"/>
        <v>240.12209551348002</v>
      </c>
      <c r="AJ746" s="126">
        <f t="shared" si="996"/>
        <v>0</v>
      </c>
      <c r="AK746" s="126">
        <f t="shared" si="996"/>
        <v>0</v>
      </c>
      <c r="AL746" s="126">
        <f t="shared" si="996"/>
        <v>0</v>
      </c>
      <c r="AM746" s="126">
        <f t="shared" si="996"/>
        <v>0</v>
      </c>
      <c r="AN746" s="126">
        <f t="shared" ref="AN746:AO746" si="997">+AN747+AN748+AN749</f>
        <v>0</v>
      </c>
      <c r="AO746" s="126">
        <f t="shared" si="997"/>
        <v>0</v>
      </c>
      <c r="AP746" s="126"/>
      <c r="AQ746" s="126"/>
      <c r="AR746" s="126"/>
      <c r="AS746" s="126"/>
      <c r="AT746" s="126"/>
    </row>
    <row r="747" spans="1:46" hidden="1">
      <c r="A747" s="1"/>
      <c r="B747" s="1"/>
      <c r="C747" s="1"/>
      <c r="D747" s="131" t="s">
        <v>163</v>
      </c>
      <c r="E747" s="168" t="s">
        <v>306</v>
      </c>
      <c r="F747" s="14"/>
      <c r="G747" s="14"/>
      <c r="H747" s="14"/>
      <c r="I747" s="14"/>
      <c r="J747" s="126"/>
      <c r="K747" s="126"/>
      <c r="L747" s="126"/>
      <c r="M747" s="126"/>
      <c r="N747" s="126"/>
      <c r="O747" s="126"/>
      <c r="P747" s="126"/>
      <c r="Q747" s="126"/>
      <c r="R747" s="126"/>
      <c r="S747" s="126"/>
      <c r="T747" s="126"/>
      <c r="U747" s="126"/>
      <c r="V747" s="126"/>
      <c r="W747" s="126">
        <v>0</v>
      </c>
      <c r="X747" s="126">
        <v>35.5</v>
      </c>
      <c r="Y747" s="126">
        <v>25.258811314000003</v>
      </c>
      <c r="Z747" s="126">
        <f>0*27+26.8</f>
        <v>26.8</v>
      </c>
      <c r="AA747" s="126">
        <f>FISCinyear!HX530</f>
        <v>26.979326674999996</v>
      </c>
      <c r="AB747" s="126">
        <v>28.539423423000002</v>
      </c>
      <c r="AC747" s="126">
        <v>32.435816873</v>
      </c>
      <c r="AD747" s="683">
        <f>FISCinyear!IG530</f>
        <v>22.282960156000001</v>
      </c>
      <c r="AE747" s="126">
        <v>38.450000000000003</v>
      </c>
      <c r="AF747" s="126">
        <v>40.359881165658898</v>
      </c>
      <c r="AG747" s="126">
        <f t="shared" ref="AG747:AO747" si="998">+AG367</f>
        <v>38.450000000000003</v>
      </c>
      <c r="AH747" s="126">
        <f t="shared" si="998"/>
        <v>51.308078391956101</v>
      </c>
      <c r="AI747" s="126">
        <f t="shared" si="998"/>
        <v>51.308078391956101</v>
      </c>
      <c r="AJ747" s="126">
        <f t="shared" si="998"/>
        <v>0</v>
      </c>
      <c r="AK747" s="126">
        <f t="shared" si="998"/>
        <v>0</v>
      </c>
      <c r="AL747" s="126">
        <f t="shared" si="998"/>
        <v>0</v>
      </c>
      <c r="AM747" s="126">
        <f t="shared" si="998"/>
        <v>0</v>
      </c>
      <c r="AN747" s="126">
        <f t="shared" si="998"/>
        <v>0</v>
      </c>
      <c r="AO747" s="126">
        <f t="shared" si="998"/>
        <v>0</v>
      </c>
      <c r="AP747" s="126"/>
      <c r="AQ747" s="126"/>
      <c r="AR747" s="126"/>
      <c r="AS747" s="126"/>
      <c r="AT747" s="126"/>
    </row>
    <row r="748" spans="1:46" hidden="1">
      <c r="A748" s="1"/>
      <c r="B748" s="1"/>
      <c r="C748" s="1"/>
      <c r="D748" s="131" t="s">
        <v>307</v>
      </c>
      <c r="E748" s="164"/>
      <c r="F748" s="14"/>
      <c r="G748" s="14"/>
      <c r="H748" s="14"/>
      <c r="I748" s="14"/>
      <c r="J748" s="126"/>
      <c r="K748" s="126"/>
      <c r="L748" s="126"/>
      <c r="M748" s="126"/>
      <c r="N748" s="126"/>
      <c r="O748" s="126"/>
      <c r="P748" s="126"/>
      <c r="Q748" s="126"/>
      <c r="R748" s="126"/>
      <c r="S748" s="126"/>
      <c r="T748" s="126"/>
      <c r="U748" s="126"/>
      <c r="V748" s="126"/>
      <c r="W748" s="126">
        <v>0</v>
      </c>
      <c r="X748" s="126">
        <v>10.4</v>
      </c>
      <c r="Y748" s="126">
        <v>5.2573643909999994</v>
      </c>
      <c r="Z748" s="126">
        <f>0*3+4.94</f>
        <v>4.9400000000000004</v>
      </c>
      <c r="AA748" s="126">
        <f>FISCinyear!HX531</f>
        <v>4.3759362910000004</v>
      </c>
      <c r="AB748" s="126">
        <v>2.6629975549999996</v>
      </c>
      <c r="AC748" s="126">
        <v>3.6326671129999997</v>
      </c>
      <c r="AD748" s="683">
        <f>FISCinyear!IG531</f>
        <v>2.813808957</v>
      </c>
      <c r="AE748" s="126">
        <v>7.64</v>
      </c>
      <c r="AF748" s="126">
        <v>8.7106168881134316</v>
      </c>
      <c r="AG748" s="126">
        <f t="shared" ref="AG748:AO748" si="999">+AG368</f>
        <v>9.64</v>
      </c>
      <c r="AH748" s="126">
        <f t="shared" si="999"/>
        <v>12.250411434792628</v>
      </c>
      <c r="AI748" s="126">
        <f t="shared" si="999"/>
        <v>12.250411434792628</v>
      </c>
      <c r="AJ748" s="126">
        <f t="shared" si="999"/>
        <v>0</v>
      </c>
      <c r="AK748" s="126">
        <f t="shared" si="999"/>
        <v>0</v>
      </c>
      <c r="AL748" s="126">
        <f t="shared" si="999"/>
        <v>0</v>
      </c>
      <c r="AM748" s="126">
        <f t="shared" si="999"/>
        <v>0</v>
      </c>
      <c r="AN748" s="126">
        <f t="shared" si="999"/>
        <v>0</v>
      </c>
      <c r="AO748" s="126">
        <f t="shared" si="999"/>
        <v>0</v>
      </c>
      <c r="AP748" s="126"/>
      <c r="AQ748" s="126"/>
      <c r="AR748" s="126"/>
      <c r="AS748" s="126"/>
      <c r="AT748" s="126"/>
    </row>
    <row r="749" spans="1:46" hidden="1">
      <c r="A749" s="1"/>
      <c r="B749" s="1"/>
      <c r="C749" s="1"/>
      <c r="D749" s="131" t="s">
        <v>164</v>
      </c>
      <c r="E749" s="164"/>
      <c r="F749" s="14"/>
      <c r="G749" s="14"/>
      <c r="H749" s="14"/>
      <c r="I749" s="14"/>
      <c r="J749" s="126"/>
      <c r="K749" s="126"/>
      <c r="L749" s="126"/>
      <c r="M749" s="126"/>
      <c r="N749" s="126"/>
      <c r="O749" s="126"/>
      <c r="P749" s="126"/>
      <c r="Q749" s="126"/>
      <c r="R749" s="126"/>
      <c r="S749" s="126"/>
      <c r="T749" s="126"/>
      <c r="U749" s="126"/>
      <c r="V749" s="126"/>
      <c r="W749" s="126">
        <v>0</v>
      </c>
      <c r="X749" s="126">
        <v>51.2</v>
      </c>
      <c r="Y749" s="126">
        <v>88.592309467999996</v>
      </c>
      <c r="Z749" s="126">
        <f>+Z692*0+89.34</f>
        <v>89.34</v>
      </c>
      <c r="AA749" s="126">
        <f>FISCinyear!HX532</f>
        <v>127.85672365799999</v>
      </c>
      <c r="AB749" s="126">
        <v>128.15146206400001</v>
      </c>
      <c r="AC749" s="126">
        <v>145.77063851899999</v>
      </c>
      <c r="AD749" s="684">
        <f>FISCinyear!IG532</f>
        <v>212.60240836200001</v>
      </c>
      <c r="AE749" s="629">
        <v>184.27001097465782</v>
      </c>
      <c r="AF749" s="629">
        <v>135.69992736948177</v>
      </c>
      <c r="AG749" s="629">
        <f>+(AG294+AG751)*0+132.488043372589</f>
        <v>132.488043372589</v>
      </c>
      <c r="AH749" s="629">
        <f t="shared" ref="AH749:AO749" si="1000">+AH294+AH751</f>
        <v>151.85749599591659</v>
      </c>
      <c r="AI749" s="629">
        <f t="shared" si="1000"/>
        <v>176.56360568673131</v>
      </c>
      <c r="AJ749" s="629">
        <f t="shared" si="1000"/>
        <v>0</v>
      </c>
      <c r="AK749" s="629">
        <f t="shared" si="1000"/>
        <v>0</v>
      </c>
      <c r="AL749" s="629">
        <f t="shared" si="1000"/>
        <v>0</v>
      </c>
      <c r="AM749" s="629">
        <f t="shared" si="1000"/>
        <v>0</v>
      </c>
      <c r="AN749" s="629">
        <f t="shared" si="1000"/>
        <v>0</v>
      </c>
      <c r="AO749" s="629">
        <f t="shared" si="1000"/>
        <v>0</v>
      </c>
      <c r="AP749" s="629"/>
      <c r="AQ749" s="629"/>
      <c r="AR749" s="629"/>
      <c r="AS749" s="629"/>
      <c r="AT749" s="629"/>
    </row>
    <row r="750" spans="1:46" hidden="1">
      <c r="A750" s="1"/>
      <c r="B750" s="1"/>
      <c r="C750" s="1"/>
      <c r="D750" s="131" t="s">
        <v>1082</v>
      </c>
      <c r="E750" s="164"/>
      <c r="F750" s="14"/>
      <c r="G750" s="14"/>
      <c r="H750" s="14"/>
      <c r="I750" s="14"/>
      <c r="J750" s="126"/>
      <c r="K750" s="126"/>
      <c r="L750" s="126"/>
      <c r="M750" s="126"/>
      <c r="N750" s="126"/>
      <c r="O750" s="126"/>
      <c r="P750" s="126"/>
      <c r="Q750" s="126"/>
      <c r="R750" s="126"/>
      <c r="S750" s="126"/>
      <c r="T750" s="126"/>
      <c r="U750" s="126"/>
      <c r="V750" s="126"/>
      <c r="W750" s="126"/>
      <c r="X750" s="126"/>
      <c r="Y750" s="126"/>
      <c r="Z750" s="126"/>
      <c r="AA750" s="126"/>
      <c r="AB750" s="126">
        <v>0</v>
      </c>
      <c r="AC750" s="126"/>
      <c r="AD750" s="141"/>
      <c r="AE750" s="126"/>
      <c r="AF750" s="126"/>
      <c r="AG750" s="126"/>
      <c r="AH750" s="126"/>
      <c r="AI750" s="126"/>
      <c r="AJ750" s="126"/>
      <c r="AK750" s="126"/>
      <c r="AL750" s="126"/>
      <c r="AM750" s="126"/>
      <c r="AN750" s="126"/>
      <c r="AO750" s="126"/>
      <c r="AP750" s="126"/>
      <c r="AQ750" s="126"/>
      <c r="AR750" s="126"/>
      <c r="AS750" s="126"/>
      <c r="AT750" s="126"/>
    </row>
    <row r="751" spans="1:46" hidden="1">
      <c r="A751" s="1"/>
      <c r="B751" s="1"/>
      <c r="C751" s="1"/>
      <c r="D751" s="131" t="s">
        <v>1173</v>
      </c>
      <c r="E751" s="164"/>
      <c r="F751" s="14"/>
      <c r="G751" s="14"/>
      <c r="H751" s="14"/>
      <c r="I751" s="14"/>
      <c r="J751" s="126"/>
      <c r="K751" s="126"/>
      <c r="L751" s="126"/>
      <c r="M751" s="126"/>
      <c r="N751" s="126"/>
      <c r="O751" s="126"/>
      <c r="P751" s="126"/>
      <c r="Q751" s="126"/>
      <c r="R751" s="126"/>
      <c r="S751" s="126"/>
      <c r="T751" s="126"/>
      <c r="U751" s="126"/>
      <c r="V751" s="126"/>
      <c r="W751" s="126"/>
      <c r="X751" s="126"/>
      <c r="Y751" s="126"/>
      <c r="Z751" s="126"/>
      <c r="AA751" s="126"/>
      <c r="AB751" s="126">
        <v>-0.34783849306015213</v>
      </c>
      <c r="AC751" s="126"/>
      <c r="AD751" s="141"/>
      <c r="AE751" s="989"/>
      <c r="AF751" s="126"/>
      <c r="AG751" s="126"/>
      <c r="AH751" s="126"/>
      <c r="AI751" s="126"/>
      <c r="AJ751" s="126"/>
      <c r="AK751" s="126"/>
      <c r="AL751" s="126"/>
      <c r="AM751" s="126"/>
      <c r="AN751" s="126"/>
      <c r="AO751" s="126"/>
      <c r="AP751" s="126"/>
      <c r="AQ751" s="126"/>
      <c r="AR751" s="126"/>
      <c r="AS751" s="126"/>
      <c r="AT751" s="126"/>
    </row>
    <row r="752" spans="1:46" hidden="1">
      <c r="A752" s="1"/>
      <c r="B752" s="1"/>
      <c r="C752" s="1"/>
      <c r="D752" s="129" t="s">
        <v>778</v>
      </c>
      <c r="E752" s="164"/>
      <c r="F752" s="14"/>
      <c r="G752" s="14"/>
      <c r="H752" s="14"/>
      <c r="I752" s="14"/>
      <c r="J752" s="126"/>
      <c r="K752" s="126"/>
      <c r="L752" s="126"/>
      <c r="M752" s="126"/>
      <c r="N752" s="126"/>
      <c r="O752" s="126"/>
      <c r="P752" s="126"/>
      <c r="Q752" s="126"/>
      <c r="R752" s="126"/>
      <c r="S752" s="126"/>
      <c r="T752" s="126"/>
      <c r="U752" s="126"/>
      <c r="V752" s="126"/>
      <c r="W752" s="126"/>
      <c r="X752" s="126"/>
      <c r="Y752" s="126"/>
      <c r="Z752" s="126">
        <v>0.35</v>
      </c>
      <c r="AA752" s="126"/>
      <c r="AB752" s="126">
        <v>0</v>
      </c>
      <c r="AC752" s="126"/>
      <c r="AD752" s="141"/>
      <c r="AE752" s="126"/>
      <c r="AF752" s="126"/>
      <c r="AG752" s="126"/>
      <c r="AH752" s="126"/>
      <c r="AI752" s="126"/>
      <c r="AJ752" s="126"/>
      <c r="AK752" s="126"/>
      <c r="AL752" s="126"/>
      <c r="AM752" s="126"/>
      <c r="AN752" s="126"/>
      <c r="AO752" s="126"/>
      <c r="AP752" s="126"/>
      <c r="AQ752" s="126"/>
      <c r="AR752" s="126"/>
      <c r="AS752" s="126"/>
      <c r="AT752" s="126"/>
    </row>
    <row r="753" spans="1:46" hidden="1">
      <c r="A753" s="1"/>
      <c r="B753" s="1"/>
      <c r="C753" s="1"/>
      <c r="D753" s="128" t="s">
        <v>165</v>
      </c>
      <c r="E753" s="164"/>
      <c r="F753" s="14"/>
      <c r="G753" s="14"/>
      <c r="H753" s="14"/>
      <c r="I753" s="14"/>
      <c r="J753" s="126">
        <v>58.127957459000001</v>
      </c>
      <c r="K753" s="126">
        <v>66.411907459000005</v>
      </c>
      <c r="L753" s="126">
        <v>58.062550000000002</v>
      </c>
      <c r="M753" s="126">
        <v>57.631100000000004</v>
      </c>
      <c r="N753" s="126">
        <v>54.473050000000001</v>
      </c>
      <c r="O753" s="126">
        <v>66.223749999999995</v>
      </c>
      <c r="P753" s="126">
        <v>95.999886279999998</v>
      </c>
      <c r="Q753" s="126">
        <v>118.3417973315</v>
      </c>
      <c r="R753" s="126">
        <v>131.80000000000001</v>
      </c>
      <c r="S753" s="126">
        <v>188.2</v>
      </c>
      <c r="T753" s="126">
        <v>306.7</v>
      </c>
      <c r="U753" s="126">
        <v>316.70000000000005</v>
      </c>
      <c r="V753" s="126">
        <v>438.59208968500002</v>
      </c>
      <c r="W753" s="126">
        <v>482.9</v>
      </c>
      <c r="X753" s="126">
        <v>564.5</v>
      </c>
      <c r="Y753" s="126">
        <v>712.02636734912699</v>
      </c>
      <c r="Z753" s="126">
        <f>+Z754+Z762</f>
        <v>769.8</v>
      </c>
      <c r="AA753" s="126">
        <f>+AA754+AA762</f>
        <v>718.68553264663296</v>
      </c>
      <c r="AB753" s="126">
        <v>759.45977511682895</v>
      </c>
      <c r="AC753" s="126">
        <v>850.21990038716001</v>
      </c>
      <c r="AD753" s="126">
        <f>FISCinyear!IG536</f>
        <v>1071.7092455117818</v>
      </c>
      <c r="AE753" s="126">
        <v>1294.7440302694517</v>
      </c>
      <c r="AF753" s="126">
        <v>1140.4189543084346</v>
      </c>
      <c r="AG753" s="126">
        <f t="shared" ref="AG753:AM753" si="1001">+AG754+AG762</f>
        <v>1325.0889787253445</v>
      </c>
      <c r="AH753" s="126">
        <f t="shared" si="1001"/>
        <v>1576.1039210858348</v>
      </c>
      <c r="AI753" s="126">
        <f t="shared" si="1001"/>
        <v>1970.1578499522168</v>
      </c>
      <c r="AJ753" s="126">
        <f t="shared" si="1001"/>
        <v>1886.7045735639708</v>
      </c>
      <c r="AK753" s="126" t="e">
        <f t="shared" si="1001"/>
        <v>#DIV/0!</v>
      </c>
      <c r="AL753" s="126" t="e">
        <f t="shared" si="1001"/>
        <v>#DIV/0!</v>
      </c>
      <c r="AM753" s="126" t="e">
        <f t="shared" si="1001"/>
        <v>#DIV/0!</v>
      </c>
      <c r="AN753" s="126" t="e">
        <f t="shared" ref="AN753:AO753" si="1002">+AN754+AN762</f>
        <v>#DIV/0!</v>
      </c>
      <c r="AO753" s="126" t="e">
        <f t="shared" si="1002"/>
        <v>#DIV/0!</v>
      </c>
      <c r="AP753" s="126"/>
      <c r="AQ753" s="126"/>
      <c r="AR753" s="126"/>
      <c r="AS753" s="126"/>
      <c r="AT753" s="126"/>
    </row>
    <row r="754" spans="1:46" hidden="1">
      <c r="A754" s="1"/>
      <c r="B754" s="1"/>
      <c r="C754" s="1"/>
      <c r="D754" s="129" t="s">
        <v>35</v>
      </c>
      <c r="E754" s="164"/>
      <c r="F754" s="14"/>
      <c r="G754" s="14"/>
      <c r="H754" s="14"/>
      <c r="I754" s="14"/>
      <c r="J754" s="126">
        <v>5.2494574590000003</v>
      </c>
      <c r="K754" s="126">
        <v>4.7282574589999999</v>
      </c>
      <c r="L754" s="126">
        <v>2.5838999999999999</v>
      </c>
      <c r="M754" s="126">
        <v>5.3311000000000002</v>
      </c>
      <c r="N754" s="126">
        <v>8.6625499999999995</v>
      </c>
      <c r="O754" s="126">
        <v>18.78745</v>
      </c>
      <c r="P754" s="126">
        <v>30.965399999999999</v>
      </c>
      <c r="Q754" s="126">
        <v>34.845861051499995</v>
      </c>
      <c r="R754" s="126">
        <v>42.5</v>
      </c>
      <c r="S754" s="126">
        <v>87.6</v>
      </c>
      <c r="T754" s="126">
        <v>139.69999999999999</v>
      </c>
      <c r="U754" s="126">
        <v>159.30000000000001</v>
      </c>
      <c r="V754" s="126">
        <v>218.85996</v>
      </c>
      <c r="W754" s="126">
        <v>231.6</v>
      </c>
      <c r="X754" s="126">
        <v>239.4</v>
      </c>
      <c r="Y754" s="126">
        <v>320.153139259</v>
      </c>
      <c r="Z754" s="126">
        <f>0*400.2+388.5</f>
        <v>388.5</v>
      </c>
      <c r="AA754" s="126">
        <f>FISCinyear!HX537</f>
        <v>446.87751730499997</v>
      </c>
      <c r="AB754" s="126">
        <v>400.977097582</v>
      </c>
      <c r="AC754" s="126">
        <v>463.15948488100003</v>
      </c>
      <c r="AD754" s="683">
        <f>FISCinyear!IG537</f>
        <v>623.70524927800011</v>
      </c>
      <c r="AE754" s="126">
        <v>747.07835400183399</v>
      </c>
      <c r="AF754" s="126">
        <v>545.49045762463243</v>
      </c>
      <c r="AG754" s="126">
        <v>545.49045762463243</v>
      </c>
      <c r="AH754" s="126">
        <f t="shared" ref="AH754:AO754" si="1003">AG754*(1+AH371)</f>
        <v>740.12207123067424</v>
      </c>
      <c r="AI754" s="126">
        <f t="shared" si="1003"/>
        <v>835.22323175346719</v>
      </c>
      <c r="AJ754" s="126">
        <f t="shared" si="1003"/>
        <v>835.22323175346719</v>
      </c>
      <c r="AK754" s="126" t="e">
        <f t="shared" si="1003"/>
        <v>#DIV/0!</v>
      </c>
      <c r="AL754" s="126" t="e">
        <f t="shared" si="1003"/>
        <v>#DIV/0!</v>
      </c>
      <c r="AM754" s="126" t="e">
        <f t="shared" si="1003"/>
        <v>#DIV/0!</v>
      </c>
      <c r="AN754" s="126" t="e">
        <f t="shared" si="1003"/>
        <v>#DIV/0!</v>
      </c>
      <c r="AO754" s="126" t="e">
        <f t="shared" si="1003"/>
        <v>#DIV/0!</v>
      </c>
      <c r="AP754" s="126"/>
      <c r="AQ754" s="126"/>
      <c r="AR754" s="126"/>
      <c r="AS754" s="126"/>
      <c r="AT754" s="126"/>
    </row>
    <row r="755" spans="1:46" hidden="1">
      <c r="A755" s="1"/>
      <c r="B755" s="1"/>
      <c r="C755" s="1"/>
      <c r="D755" s="1161" t="s">
        <v>1243</v>
      </c>
      <c r="E755" s="164"/>
      <c r="F755" s="14"/>
      <c r="G755" s="14"/>
      <c r="H755" s="14"/>
      <c r="I755" s="14"/>
      <c r="J755" s="126"/>
      <c r="K755" s="126"/>
      <c r="L755" s="126"/>
      <c r="M755" s="126"/>
      <c r="N755" s="126"/>
      <c r="O755" s="126"/>
      <c r="P755" s="126"/>
      <c r="Q755" s="126"/>
      <c r="R755" s="126"/>
      <c r="S755" s="126"/>
      <c r="T755" s="126"/>
      <c r="U755" s="126"/>
      <c r="V755" s="126"/>
      <c r="W755" s="126"/>
      <c r="X755" s="126"/>
      <c r="Y755" s="126"/>
      <c r="Z755" s="126"/>
      <c r="AA755" s="126"/>
      <c r="AB755" s="126"/>
      <c r="AC755" s="126">
        <v>13.404034179</v>
      </c>
      <c r="AD755" s="683">
        <f>AG1822</f>
        <v>0</v>
      </c>
      <c r="AE755" s="577">
        <v>9.9</v>
      </c>
      <c r="AF755" s="126">
        <v>12.3</v>
      </c>
      <c r="AG755" s="126">
        <f>AJ1822</f>
        <v>0</v>
      </c>
      <c r="AH755" s="126"/>
      <c r="AI755" s="126"/>
      <c r="AJ755" s="126"/>
      <c r="AK755" s="126"/>
      <c r="AL755" s="126"/>
      <c r="AM755" s="126"/>
      <c r="AN755" s="126"/>
      <c r="AO755" s="126"/>
      <c r="AP755" s="126"/>
      <c r="AQ755" s="126"/>
      <c r="AR755" s="126"/>
      <c r="AS755" s="126"/>
      <c r="AT755" s="126"/>
    </row>
    <row r="756" spans="1:46" ht="16.5" hidden="1">
      <c r="A756" s="1"/>
      <c r="B756" s="1"/>
      <c r="C756" s="1"/>
      <c r="D756" s="1156" t="s">
        <v>2385</v>
      </c>
      <c r="E756" s="164"/>
      <c r="F756" s="14"/>
      <c r="G756" s="14"/>
      <c r="H756" s="14"/>
      <c r="I756" s="14"/>
      <c r="J756" s="126"/>
      <c r="K756" s="126"/>
      <c r="L756" s="126"/>
      <c r="M756" s="126"/>
      <c r="N756" s="126"/>
      <c r="O756" s="126"/>
      <c r="P756" s="126"/>
      <c r="Q756" s="126"/>
      <c r="R756" s="126"/>
      <c r="S756" s="126"/>
      <c r="T756" s="126"/>
      <c r="U756" s="126"/>
      <c r="V756" s="126"/>
      <c r="W756" s="126"/>
      <c r="X756" s="126"/>
      <c r="Y756" s="126"/>
      <c r="Z756" s="126"/>
      <c r="AA756" s="126"/>
      <c r="AB756" s="126"/>
      <c r="AC756" s="126"/>
      <c r="AD756" s="683"/>
      <c r="AE756" s="992">
        <v>40</v>
      </c>
      <c r="AF756" s="126">
        <v>40</v>
      </c>
      <c r="AG756" s="126"/>
      <c r="AH756" s="126"/>
      <c r="AI756" s="126"/>
      <c r="AJ756" s="126"/>
      <c r="AK756" s="126"/>
      <c r="AL756" s="126"/>
      <c r="AM756" s="126"/>
      <c r="AN756" s="126"/>
      <c r="AO756" s="126"/>
      <c r="AP756" s="126"/>
      <c r="AQ756" s="126"/>
      <c r="AR756" s="126"/>
      <c r="AS756" s="126"/>
      <c r="AT756" s="126"/>
    </row>
    <row r="757" spans="1:46" hidden="1">
      <c r="A757" s="1"/>
      <c r="B757" s="1"/>
      <c r="C757" s="1"/>
      <c r="D757" s="130" t="s">
        <v>139</v>
      </c>
      <c r="E757" s="168" t="s">
        <v>242</v>
      </c>
      <c r="F757" s="14"/>
      <c r="G757" s="14"/>
      <c r="H757" s="14"/>
      <c r="I757" s="14"/>
      <c r="J757" s="126"/>
      <c r="K757" s="126"/>
      <c r="L757" s="126"/>
      <c r="M757" s="126"/>
      <c r="N757" s="126"/>
      <c r="O757" s="126"/>
      <c r="P757" s="126"/>
      <c r="Q757" s="126"/>
      <c r="R757" s="126"/>
      <c r="S757" s="126"/>
      <c r="T757" s="126"/>
      <c r="U757" s="126"/>
      <c r="V757" s="126"/>
      <c r="W757" s="126">
        <v>0</v>
      </c>
      <c r="X757" s="126">
        <v>0</v>
      </c>
      <c r="Y757" s="126">
        <v>0</v>
      </c>
      <c r="Z757" s="126">
        <v>0</v>
      </c>
      <c r="AA757" s="126">
        <f>FISCinyear!HX538</f>
        <v>0</v>
      </c>
      <c r="AB757" s="126">
        <v>0</v>
      </c>
      <c r="AC757" s="126">
        <v>0</v>
      </c>
      <c r="AD757" s="683">
        <v>0</v>
      </c>
      <c r="AE757" s="126">
        <v>0</v>
      </c>
      <c r="AF757" s="126">
        <v>0</v>
      </c>
      <c r="AG757" s="126">
        <v>0</v>
      </c>
      <c r="AH757" s="126"/>
      <c r="AI757" s="126"/>
      <c r="AJ757" s="126"/>
      <c r="AK757" s="126"/>
      <c r="AL757" s="126"/>
      <c r="AM757" s="126"/>
      <c r="AN757" s="126"/>
      <c r="AO757" s="126"/>
      <c r="AP757" s="126"/>
      <c r="AQ757" s="126"/>
      <c r="AR757" s="126"/>
      <c r="AS757" s="126"/>
      <c r="AT757" s="126"/>
    </row>
    <row r="758" spans="1:46" hidden="1">
      <c r="A758" s="1"/>
      <c r="B758" s="1"/>
      <c r="C758" s="1"/>
      <c r="D758" s="131" t="s">
        <v>669</v>
      </c>
      <c r="E758" s="168" t="s">
        <v>242</v>
      </c>
      <c r="F758" s="14"/>
      <c r="G758" s="14"/>
      <c r="H758" s="14"/>
      <c r="I758" s="14"/>
      <c r="J758" s="126"/>
      <c r="K758" s="126"/>
      <c r="L758" s="126"/>
      <c r="M758" s="126"/>
      <c r="N758" s="126"/>
      <c r="O758" s="126"/>
      <c r="P758" s="126"/>
      <c r="Q758" s="126"/>
      <c r="R758" s="126"/>
      <c r="S758" s="126"/>
      <c r="T758" s="126"/>
      <c r="U758" s="126"/>
      <c r="V758" s="126"/>
      <c r="W758" s="126">
        <v>0</v>
      </c>
      <c r="X758" s="126">
        <v>0</v>
      </c>
      <c r="Y758" s="126">
        <v>0</v>
      </c>
      <c r="Z758" s="126">
        <v>0</v>
      </c>
      <c r="AA758" s="126">
        <f>FISCinyear!HX539</f>
        <v>0</v>
      </c>
      <c r="AB758" s="126">
        <v>0</v>
      </c>
      <c r="AC758" s="126">
        <v>0</v>
      </c>
      <c r="AD758" s="683">
        <v>0</v>
      </c>
      <c r="AE758" s="126">
        <v>0</v>
      </c>
      <c r="AF758" s="126">
        <v>0</v>
      </c>
      <c r="AG758" s="126">
        <v>0</v>
      </c>
      <c r="AH758" s="126"/>
      <c r="AI758" s="126"/>
      <c r="AJ758" s="126"/>
      <c r="AK758" s="126"/>
      <c r="AL758" s="126"/>
      <c r="AM758" s="126"/>
      <c r="AN758" s="126"/>
      <c r="AO758" s="126"/>
      <c r="AP758" s="126"/>
      <c r="AQ758" s="126"/>
      <c r="AR758" s="126"/>
      <c r="AS758" s="126"/>
      <c r="AT758" s="126"/>
    </row>
    <row r="759" spans="1:46" hidden="1">
      <c r="A759" s="1"/>
      <c r="B759" s="1"/>
      <c r="C759" s="1"/>
      <c r="D759" s="131" t="s">
        <v>668</v>
      </c>
      <c r="E759" s="169"/>
      <c r="F759" s="14"/>
      <c r="G759" s="14"/>
      <c r="H759" s="14"/>
      <c r="I759" s="14"/>
      <c r="J759" s="126"/>
      <c r="K759" s="126"/>
      <c r="L759" s="126"/>
      <c r="M759" s="126"/>
      <c r="N759" s="126"/>
      <c r="O759" s="126"/>
      <c r="P759" s="126"/>
      <c r="Q759" s="126"/>
      <c r="R759" s="126"/>
      <c r="S759" s="126"/>
      <c r="T759" s="126"/>
      <c r="U759" s="126"/>
      <c r="V759" s="126"/>
      <c r="W759" s="126">
        <v>0</v>
      </c>
      <c r="X759" s="126">
        <v>0</v>
      </c>
      <c r="Y759" s="126">
        <v>18.866585722</v>
      </c>
      <c r="Z759" s="126">
        <v>20.7</v>
      </c>
      <c r="AA759" s="126">
        <f>FISCinyear!HX540</f>
        <v>2.9366451320000002</v>
      </c>
      <c r="AB759" s="126">
        <v>0.49947828100000002</v>
      </c>
      <c r="AC759" s="126"/>
      <c r="AD759" s="683"/>
      <c r="AE759" s="126"/>
      <c r="AF759" s="126"/>
      <c r="AG759" s="126"/>
      <c r="AH759" s="126"/>
      <c r="AI759" s="126"/>
      <c r="AJ759" s="126"/>
      <c r="AK759" s="126"/>
      <c r="AL759" s="126"/>
      <c r="AM759" s="126"/>
      <c r="AN759" s="126"/>
      <c r="AO759" s="126"/>
      <c r="AP759" s="126"/>
      <c r="AQ759" s="126"/>
      <c r="AR759" s="126"/>
      <c r="AS759" s="126"/>
      <c r="AT759" s="126"/>
    </row>
    <row r="760" spans="1:46" hidden="1">
      <c r="A760" s="1"/>
      <c r="B760" s="1"/>
      <c r="C760" s="1"/>
      <c r="D760" s="131" t="s">
        <v>667</v>
      </c>
      <c r="E760" s="168" t="s">
        <v>242</v>
      </c>
      <c r="F760" s="14"/>
      <c r="G760" s="14"/>
      <c r="H760" s="14"/>
      <c r="I760" s="14"/>
      <c r="J760" s="126"/>
      <c r="K760" s="126"/>
      <c r="L760" s="126"/>
      <c r="M760" s="126"/>
      <c r="N760" s="126"/>
      <c r="O760" s="126"/>
      <c r="P760" s="126"/>
      <c r="Q760" s="126"/>
      <c r="R760" s="126"/>
      <c r="S760" s="126"/>
      <c r="T760" s="126"/>
      <c r="U760" s="126"/>
      <c r="V760" s="126"/>
      <c r="W760" s="126">
        <v>0</v>
      </c>
      <c r="X760" s="126">
        <v>0</v>
      </c>
      <c r="Y760" s="126">
        <v>0</v>
      </c>
      <c r="Z760" s="126">
        <f>0*80.47+63.1</f>
        <v>63.1</v>
      </c>
      <c r="AA760" s="126">
        <f>FISCinyear!HX541</f>
        <v>70.382366508050239</v>
      </c>
      <c r="AB760" s="126">
        <v>73.253442643358838</v>
      </c>
      <c r="AC760" s="126">
        <v>73.418348140999996</v>
      </c>
      <c r="AD760" s="683">
        <f>FISCinyear!IG541</f>
        <v>63.033388250000002</v>
      </c>
      <c r="AE760" s="126">
        <v>66.377865530635177</v>
      </c>
      <c r="AF760" s="126">
        <v>68.286440499139502</v>
      </c>
      <c r="AG760" s="126">
        <f t="shared" ref="AG760:AM760" si="1004">+AG703</f>
        <v>110.6079506639184</v>
      </c>
      <c r="AH760" s="126">
        <f t="shared" si="1004"/>
        <v>82.813690429253739</v>
      </c>
      <c r="AI760" s="126">
        <f t="shared" si="1004"/>
        <v>87.394331896812545</v>
      </c>
      <c r="AJ760" s="126">
        <f t="shared" si="1004"/>
        <v>84.723951403350185</v>
      </c>
      <c r="AK760" s="126">
        <f t="shared" si="1004"/>
        <v>120.221435029635</v>
      </c>
      <c r="AL760" s="126">
        <f t="shared" si="1004"/>
        <v>105.66097776958917</v>
      </c>
      <c r="AM760" s="126">
        <f t="shared" si="1004"/>
        <v>97.776603803179071</v>
      </c>
      <c r="AN760" s="126">
        <f t="shared" ref="AN760:AO760" si="1005">+AN703</f>
        <v>0</v>
      </c>
      <c r="AO760" s="126">
        <f t="shared" si="1005"/>
        <v>0</v>
      </c>
      <c r="AP760" s="126"/>
      <c r="AQ760" s="126"/>
      <c r="AR760" s="126"/>
      <c r="AS760" s="126"/>
      <c r="AT760" s="126"/>
    </row>
    <row r="761" spans="1:46" hidden="1">
      <c r="A761" s="1"/>
      <c r="B761" s="1"/>
      <c r="C761" s="1"/>
      <c r="D761" s="131" t="s">
        <v>666</v>
      </c>
      <c r="E761" s="168" t="s">
        <v>242</v>
      </c>
      <c r="F761" s="14"/>
      <c r="G761" s="14"/>
      <c r="H761" s="14"/>
      <c r="I761" s="14"/>
      <c r="J761" s="126"/>
      <c r="K761" s="126"/>
      <c r="L761" s="126"/>
      <c r="M761" s="126"/>
      <c r="N761" s="126"/>
      <c r="O761" s="126"/>
      <c r="P761" s="126"/>
      <c r="Q761" s="126"/>
      <c r="R761" s="126"/>
      <c r="S761" s="126"/>
      <c r="T761" s="126"/>
      <c r="U761" s="126"/>
      <c r="V761" s="126"/>
      <c r="W761" s="126"/>
      <c r="X761" s="126"/>
      <c r="Y761" s="126">
        <v>22.327805478000002</v>
      </c>
      <c r="Z761" s="126">
        <v>11.2</v>
      </c>
      <c r="AA761" s="126">
        <f>FISCinyear!HX542</f>
        <v>10.220755499999999</v>
      </c>
      <c r="AB761" s="126">
        <v>0</v>
      </c>
      <c r="AC761" s="126"/>
      <c r="AD761" s="683"/>
      <c r="AE761" s="126"/>
      <c r="AF761" s="126"/>
      <c r="AG761" s="126"/>
      <c r="AH761" s="126"/>
      <c r="AI761" s="126"/>
      <c r="AJ761" s="126"/>
      <c r="AK761" s="126"/>
      <c r="AL761" s="126"/>
      <c r="AM761" s="126"/>
      <c r="AN761" s="126"/>
      <c r="AO761" s="126"/>
      <c r="AP761" s="126"/>
      <c r="AQ761" s="126"/>
      <c r="AR761" s="126"/>
      <c r="AS761" s="126"/>
      <c r="AT761" s="126"/>
    </row>
    <row r="762" spans="1:46" hidden="1">
      <c r="A762" s="1"/>
      <c r="B762" s="1"/>
      <c r="C762" s="1"/>
      <c r="D762" s="129" t="s">
        <v>166</v>
      </c>
      <c r="E762" s="164"/>
      <c r="F762" s="14"/>
      <c r="G762" s="14"/>
      <c r="H762" s="14"/>
      <c r="I762" s="14"/>
      <c r="J762" s="126">
        <v>52.878500000000003</v>
      </c>
      <c r="K762" s="126">
        <v>61.68365</v>
      </c>
      <c r="L762" s="126">
        <v>55.478650000000002</v>
      </c>
      <c r="M762" s="126">
        <v>52.3</v>
      </c>
      <c r="N762" s="126">
        <v>45.810499999999998</v>
      </c>
      <c r="O762" s="126">
        <v>47.436300000000003</v>
      </c>
      <c r="P762" s="126">
        <v>65.034486279999996</v>
      </c>
      <c r="Q762" s="126">
        <v>83.495936279999995</v>
      </c>
      <c r="R762" s="126">
        <v>89.3</v>
      </c>
      <c r="S762" s="126">
        <v>100.6</v>
      </c>
      <c r="T762" s="126">
        <v>167</v>
      </c>
      <c r="U762" s="126">
        <v>157.4</v>
      </c>
      <c r="V762" s="126">
        <v>219.73212968499999</v>
      </c>
      <c r="W762" s="126">
        <v>251.3</v>
      </c>
      <c r="X762" s="126">
        <v>325.10000000000002</v>
      </c>
      <c r="Y762" s="126">
        <v>391.87322809012699</v>
      </c>
      <c r="Z762" s="573">
        <f>0*349.67+381.3</f>
        <v>381.3</v>
      </c>
      <c r="AA762" s="573">
        <f>FISCinyear!HX543</f>
        <v>271.80801534163299</v>
      </c>
      <c r="AB762" s="573">
        <v>341.28394350782901</v>
      </c>
      <c r="AC762" s="573">
        <v>387.06041550615998</v>
      </c>
      <c r="AD762" s="683">
        <f>FISCinyear!IG543</f>
        <v>448.00399623378166</v>
      </c>
      <c r="AE762" s="126">
        <v>547.66567626761776</v>
      </c>
      <c r="AF762" s="573">
        <v>594.92849668380222</v>
      </c>
      <c r="AG762" s="126">
        <f t="shared" ref="AG762:AM762" si="1006">+AG708+AG822</f>
        <v>779.59852110071211</v>
      </c>
      <c r="AH762" s="573">
        <f t="shared" si="1006"/>
        <v>835.98184985516059</v>
      </c>
      <c r="AI762" s="573">
        <f t="shared" si="1006"/>
        <v>1134.9346181987496</v>
      </c>
      <c r="AJ762" s="126">
        <f t="shared" si="1006"/>
        <v>1051.4813418105036</v>
      </c>
      <c r="AK762" s="126">
        <f t="shared" si="1006"/>
        <v>1061.6666348375793</v>
      </c>
      <c r="AL762" s="126">
        <f t="shared" si="1006"/>
        <v>1163.00492543367</v>
      </c>
      <c r="AM762" s="126">
        <f t="shared" si="1006"/>
        <v>1261.0513264382255</v>
      </c>
      <c r="AN762" s="126">
        <f t="shared" ref="AN762:AO762" si="1007">+AN708+AN822</f>
        <v>1398.5236902448032</v>
      </c>
      <c r="AO762" s="126">
        <f t="shared" si="1007"/>
        <v>1533.5721423521254</v>
      </c>
      <c r="AP762" s="126"/>
      <c r="AQ762" s="126"/>
      <c r="AR762" s="126"/>
      <c r="AS762" s="126"/>
      <c r="AT762" s="126"/>
    </row>
    <row r="763" spans="1:46" hidden="1">
      <c r="A763" s="1"/>
      <c r="B763" s="1"/>
      <c r="C763" s="1"/>
      <c r="D763" s="687" t="str">
        <f>+D709</f>
        <v xml:space="preserve">   of which: project grants through government 'own' accounts</v>
      </c>
      <c r="E763" s="164"/>
      <c r="F763" s="14"/>
      <c r="G763" s="14"/>
      <c r="H763" s="14"/>
      <c r="I763" s="14"/>
      <c r="J763" s="126"/>
      <c r="K763" s="126"/>
      <c r="L763" s="126"/>
      <c r="M763" s="126"/>
      <c r="N763" s="126"/>
      <c r="O763" s="126"/>
      <c r="P763" s="126"/>
      <c r="Q763" s="126"/>
      <c r="R763" s="126"/>
      <c r="S763" s="126"/>
      <c r="T763" s="126"/>
      <c r="U763" s="126"/>
      <c r="V763" s="126"/>
      <c r="W763" s="126"/>
      <c r="X763" s="126"/>
      <c r="Y763" s="126"/>
      <c r="Z763" s="126"/>
      <c r="AA763" s="126"/>
      <c r="AB763" s="126">
        <v>0</v>
      </c>
      <c r="AC763" s="126"/>
      <c r="AD763" s="574"/>
      <c r="AE763" s="573"/>
      <c r="AF763" s="573"/>
      <c r="AG763" s="573"/>
      <c r="AH763" s="573"/>
      <c r="AI763" s="573"/>
      <c r="AJ763" s="573"/>
      <c r="AK763" s="573"/>
      <c r="AL763" s="573"/>
      <c r="AM763" s="573"/>
      <c r="AN763" s="573"/>
      <c r="AO763" s="573"/>
      <c r="AP763" s="573"/>
      <c r="AQ763" s="573"/>
      <c r="AR763" s="573"/>
      <c r="AS763" s="573"/>
      <c r="AT763" s="573"/>
    </row>
    <row r="764" spans="1:46" hidden="1">
      <c r="A764" s="1"/>
      <c r="B764" s="1"/>
      <c r="C764" s="1"/>
      <c r="D764" s="687" t="str">
        <f>+D710</f>
        <v xml:space="preserve">                    project grants through government 'donor' accounts</v>
      </c>
      <c r="E764" s="164"/>
      <c r="F764" s="14"/>
      <c r="G764" s="14"/>
      <c r="H764" s="14"/>
      <c r="I764" s="14"/>
      <c r="J764" s="126"/>
      <c r="K764" s="126"/>
      <c r="L764" s="126"/>
      <c r="M764" s="126"/>
      <c r="N764" s="126"/>
      <c r="O764" s="126"/>
      <c r="P764" s="126"/>
      <c r="Q764" s="126"/>
      <c r="R764" s="126"/>
      <c r="S764" s="126"/>
      <c r="T764" s="126"/>
      <c r="U764" s="126"/>
      <c r="V764" s="126"/>
      <c r="W764" s="126"/>
      <c r="X764" s="126"/>
      <c r="Y764" s="126"/>
      <c r="Z764" s="126"/>
      <c r="AA764" s="126"/>
      <c r="AB764" s="126">
        <v>0</v>
      </c>
      <c r="AC764" s="126"/>
      <c r="AD764" s="574"/>
      <c r="AE764" s="573"/>
      <c r="AF764" s="573"/>
      <c r="AG764" s="573"/>
      <c r="AH764" s="573"/>
      <c r="AI764" s="573"/>
      <c r="AJ764" s="573"/>
      <c r="AK764" s="573"/>
      <c r="AL764" s="573"/>
      <c r="AM764" s="573"/>
      <c r="AN764" s="573"/>
      <c r="AO764" s="573"/>
      <c r="AP764" s="573"/>
      <c r="AQ764" s="573"/>
      <c r="AR764" s="573"/>
      <c r="AS764" s="573"/>
      <c r="AT764" s="573"/>
    </row>
    <row r="765" spans="1:46" hidden="1">
      <c r="A765" s="1"/>
      <c r="B765" s="1"/>
      <c r="C765" s="1"/>
      <c r="D765" s="131" t="s">
        <v>667</v>
      </c>
      <c r="E765" s="168" t="s">
        <v>242</v>
      </c>
      <c r="F765" s="14"/>
      <c r="G765" s="14"/>
      <c r="H765" s="14"/>
      <c r="I765" s="14"/>
      <c r="J765" s="126"/>
      <c r="K765" s="126"/>
      <c r="L765" s="126"/>
      <c r="M765" s="126"/>
      <c r="N765" s="126"/>
      <c r="O765" s="126"/>
      <c r="P765" s="126"/>
      <c r="Q765" s="126"/>
      <c r="R765" s="126"/>
      <c r="S765" s="126"/>
      <c r="T765" s="126"/>
      <c r="U765" s="126"/>
      <c r="V765" s="126"/>
      <c r="W765" s="126">
        <v>0</v>
      </c>
      <c r="X765" s="126">
        <v>82.6</v>
      </c>
      <c r="Y765" s="126">
        <v>92.673869246568955</v>
      </c>
      <c r="Z765" s="126">
        <v>0</v>
      </c>
      <c r="AA765" s="126">
        <f>FISCinyear!HX546</f>
        <v>0</v>
      </c>
      <c r="AB765" s="126">
        <v>0</v>
      </c>
      <c r="AC765" s="126">
        <v>0</v>
      </c>
      <c r="AD765" s="683">
        <v>0</v>
      </c>
      <c r="AE765" s="126">
        <v>0</v>
      </c>
      <c r="AF765" s="126">
        <v>0</v>
      </c>
      <c r="AG765" s="126">
        <v>0</v>
      </c>
      <c r="AH765" s="126"/>
      <c r="AI765" s="126"/>
      <c r="AJ765" s="126"/>
      <c r="AK765" s="126"/>
      <c r="AL765" s="126"/>
      <c r="AM765" s="126"/>
      <c r="AN765" s="126"/>
      <c r="AO765" s="126"/>
      <c r="AP765" s="126"/>
      <c r="AQ765" s="126"/>
      <c r="AR765" s="126"/>
      <c r="AS765" s="126"/>
      <c r="AT765" s="126"/>
    </row>
    <row r="766" spans="1:46" hidden="1">
      <c r="A766" s="1"/>
      <c r="B766" s="1"/>
      <c r="C766" s="1"/>
      <c r="D766" s="131" t="s">
        <v>670</v>
      </c>
      <c r="E766" s="172" t="s">
        <v>243</v>
      </c>
      <c r="F766" s="14"/>
      <c r="G766" s="14"/>
      <c r="H766" s="14"/>
      <c r="I766" s="14"/>
      <c r="J766" s="126"/>
      <c r="K766" s="126"/>
      <c r="L766" s="126"/>
      <c r="M766" s="126"/>
      <c r="N766" s="126"/>
      <c r="O766" s="126"/>
      <c r="P766" s="126"/>
      <c r="Q766" s="126"/>
      <c r="R766" s="126"/>
      <c r="S766" s="126"/>
      <c r="T766" s="126"/>
      <c r="U766" s="126"/>
      <c r="V766" s="126"/>
      <c r="W766" s="126">
        <v>0</v>
      </c>
      <c r="X766" s="126">
        <v>0</v>
      </c>
      <c r="Y766" s="126">
        <v>0</v>
      </c>
      <c r="Z766" s="126"/>
      <c r="AA766" s="126">
        <f>FISCinyear!HX547</f>
        <v>0</v>
      </c>
      <c r="AB766" s="126">
        <v>0</v>
      </c>
      <c r="AC766" s="126">
        <v>0</v>
      </c>
      <c r="AD766" s="683">
        <v>0</v>
      </c>
      <c r="AE766" s="126">
        <v>0</v>
      </c>
      <c r="AF766" s="126">
        <v>0</v>
      </c>
      <c r="AG766" s="126">
        <v>0</v>
      </c>
      <c r="AH766" s="126"/>
      <c r="AI766" s="126"/>
      <c r="AJ766" s="126"/>
      <c r="AK766" s="126"/>
      <c r="AL766" s="126"/>
      <c r="AM766" s="126"/>
      <c r="AN766" s="126"/>
      <c r="AO766" s="126"/>
      <c r="AP766" s="126"/>
      <c r="AQ766" s="126"/>
      <c r="AR766" s="126"/>
      <c r="AS766" s="126"/>
      <c r="AT766" s="126"/>
    </row>
    <row r="767" spans="1:46" hidden="1">
      <c r="A767" s="1"/>
      <c r="B767" s="1"/>
      <c r="C767" s="1"/>
      <c r="D767" s="131" t="s">
        <v>666</v>
      </c>
      <c r="E767" s="172" t="s">
        <v>243</v>
      </c>
      <c r="F767" s="14"/>
      <c r="G767" s="14"/>
      <c r="H767" s="14"/>
      <c r="I767" s="14"/>
      <c r="J767" s="126"/>
      <c r="K767" s="126"/>
      <c r="L767" s="126"/>
      <c r="M767" s="126"/>
      <c r="N767" s="126"/>
      <c r="O767" s="126"/>
      <c r="P767" s="126"/>
      <c r="Q767" s="126"/>
      <c r="R767" s="126"/>
      <c r="S767" s="126"/>
      <c r="T767" s="126"/>
      <c r="U767" s="126"/>
      <c r="V767" s="126"/>
      <c r="W767" s="126">
        <v>0</v>
      </c>
      <c r="X767" s="126">
        <v>0</v>
      </c>
      <c r="Y767" s="126">
        <v>0</v>
      </c>
      <c r="Z767" s="126"/>
      <c r="AA767" s="126">
        <f>FISCinyear!HX548</f>
        <v>0</v>
      </c>
      <c r="AB767" s="126">
        <v>0</v>
      </c>
      <c r="AC767" s="126">
        <v>0</v>
      </c>
      <c r="AD767" s="683">
        <v>0</v>
      </c>
      <c r="AE767" s="126">
        <v>0</v>
      </c>
      <c r="AF767" s="126">
        <v>0</v>
      </c>
      <c r="AG767" s="126">
        <v>0</v>
      </c>
      <c r="AH767" s="126"/>
      <c r="AI767" s="126"/>
      <c r="AJ767" s="126"/>
      <c r="AK767" s="126"/>
      <c r="AL767" s="126"/>
      <c r="AM767" s="126"/>
      <c r="AN767" s="126"/>
      <c r="AO767" s="126"/>
      <c r="AP767" s="126"/>
      <c r="AQ767" s="126"/>
      <c r="AR767" s="126"/>
      <c r="AS767" s="126"/>
      <c r="AT767" s="126"/>
    </row>
    <row r="768" spans="1:46" hidden="1">
      <c r="A768" s="1"/>
      <c r="B768" s="1"/>
      <c r="C768" s="1"/>
      <c r="D768" s="131" t="s">
        <v>671</v>
      </c>
      <c r="E768" s="172" t="s">
        <v>243</v>
      </c>
      <c r="F768" s="14"/>
      <c r="G768" s="14"/>
      <c r="H768" s="14"/>
      <c r="I768" s="14"/>
      <c r="J768" s="126"/>
      <c r="K768" s="126"/>
      <c r="L768" s="126"/>
      <c r="M768" s="126"/>
      <c r="N768" s="126"/>
      <c r="O768" s="126"/>
      <c r="P768" s="126"/>
      <c r="Q768" s="126"/>
      <c r="R768" s="126"/>
      <c r="S768" s="126"/>
      <c r="T768" s="126"/>
      <c r="U768" s="126"/>
      <c r="V768" s="126"/>
      <c r="W768" s="126">
        <v>0</v>
      </c>
      <c r="X768" s="126">
        <v>25.9</v>
      </c>
      <c r="Y768" s="126">
        <v>0</v>
      </c>
      <c r="Z768" s="126">
        <v>41</v>
      </c>
      <c r="AA768" s="126">
        <f>FISCinyear!HX549</f>
        <v>0</v>
      </c>
      <c r="AB768" s="126">
        <v>0</v>
      </c>
      <c r="AC768" s="126">
        <v>48</v>
      </c>
      <c r="AD768" s="683">
        <f>AG1825</f>
        <v>0</v>
      </c>
      <c r="AE768" s="126">
        <v>16.604127645284251</v>
      </c>
      <c r="AF768" s="126">
        <v>6.7554251173838518</v>
      </c>
      <c r="AG768" s="126">
        <f>AJ1825</f>
        <v>0</v>
      </c>
      <c r="AH768" s="126"/>
      <c r="AI768" s="126"/>
      <c r="AJ768" s="126"/>
      <c r="AK768" s="126"/>
      <c r="AL768" s="126"/>
      <c r="AM768" s="126"/>
      <c r="AN768" s="126"/>
      <c r="AO768" s="126"/>
      <c r="AP768" s="126"/>
      <c r="AQ768" s="126"/>
      <c r="AR768" s="126"/>
      <c r="AS768" s="126"/>
      <c r="AT768" s="126"/>
    </row>
    <row r="769" spans="1:46" hidden="1">
      <c r="A769" s="1"/>
      <c r="B769" s="1"/>
      <c r="C769" s="1"/>
      <c r="D769" s="1162" t="s">
        <v>1204</v>
      </c>
      <c r="E769" s="172"/>
      <c r="F769" s="14"/>
      <c r="G769" s="14"/>
      <c r="H769" s="14"/>
      <c r="I769" s="14"/>
      <c r="J769" s="126"/>
      <c r="K769" s="126"/>
      <c r="L769" s="126"/>
      <c r="M769" s="126"/>
      <c r="N769" s="126"/>
      <c r="O769" s="126"/>
      <c r="P769" s="126"/>
      <c r="Q769" s="126"/>
      <c r="R769" s="126"/>
      <c r="S769" s="126"/>
      <c r="T769" s="126"/>
      <c r="U769" s="126"/>
      <c r="V769" s="126"/>
      <c r="W769" s="126"/>
      <c r="X769" s="126"/>
      <c r="Y769" s="126"/>
      <c r="Z769" s="126"/>
      <c r="AA769" s="126"/>
      <c r="AB769" s="126"/>
      <c r="AC769" s="126">
        <v>0</v>
      </c>
      <c r="AD769" s="707">
        <f>AG1825</f>
        <v>0</v>
      </c>
      <c r="AE769" s="126">
        <v>16.604127645284251</v>
      </c>
      <c r="AF769" s="126">
        <v>6.7554251173838518</v>
      </c>
      <c r="AG769" s="126">
        <v>4.0339999999999998</v>
      </c>
      <c r="AH769" s="126">
        <v>4.0339999999999998</v>
      </c>
      <c r="AI769" s="126"/>
      <c r="AJ769" s="126"/>
      <c r="AK769" s="126"/>
      <c r="AL769" s="126"/>
      <c r="AM769" s="126"/>
      <c r="AN769" s="126"/>
      <c r="AO769" s="126"/>
      <c r="AP769" s="126"/>
      <c r="AQ769" s="126"/>
      <c r="AR769" s="126"/>
      <c r="AS769" s="126"/>
      <c r="AT769" s="126"/>
    </row>
    <row r="770" spans="1:46" hidden="1">
      <c r="A770" s="1"/>
      <c r="B770" s="1"/>
      <c r="C770" s="1"/>
      <c r="D770" s="128" t="s">
        <v>167</v>
      </c>
      <c r="E770" s="168"/>
      <c r="F770" s="14"/>
      <c r="G770" s="14"/>
      <c r="H770" s="14"/>
      <c r="I770" s="14"/>
      <c r="J770" s="126">
        <v>0.16949999999999998</v>
      </c>
      <c r="K770" s="126">
        <v>0.48709999999999998</v>
      </c>
      <c r="L770" s="126">
        <v>0.55084999999999995</v>
      </c>
      <c r="M770" s="126">
        <v>0.60034999999999994</v>
      </c>
      <c r="N770" s="126">
        <v>1.4128000000000001</v>
      </c>
      <c r="O770" s="126">
        <v>11.92145</v>
      </c>
      <c r="P770" s="126">
        <v>13.958591066499999</v>
      </c>
      <c r="Q770" s="126">
        <v>7.9658410664999995</v>
      </c>
      <c r="R770" s="126">
        <v>15.9</v>
      </c>
      <c r="S770" s="126">
        <v>-15.4</v>
      </c>
      <c r="T770" s="126">
        <v>22.9</v>
      </c>
      <c r="U770" s="126">
        <v>28.2</v>
      </c>
      <c r="V770" s="126">
        <v>18.70073</v>
      </c>
      <c r="W770" s="126">
        <v>1.1000000000000001</v>
      </c>
      <c r="X770" s="126">
        <v>137.20000000000002</v>
      </c>
      <c r="Y770" s="126">
        <v>50.219554702997584</v>
      </c>
      <c r="Z770" s="126">
        <f>0*102.7+SUM(Z771:Z787)</f>
        <v>116.19999999999999</v>
      </c>
      <c r="AA770" s="126">
        <f>+SUM(AA771:AA787)</f>
        <v>88.421881023999987</v>
      </c>
      <c r="AB770" s="126">
        <v>113.83692121199999</v>
      </c>
      <c r="AC770" s="126">
        <v>160.04261622299998</v>
      </c>
      <c r="AD770" s="126">
        <f>+SUM(AD771:AD787)</f>
        <v>195.14388571000001</v>
      </c>
      <c r="AE770" s="163">
        <v>400.02419062033982</v>
      </c>
      <c r="AF770" s="163">
        <v>299.79698138730896</v>
      </c>
      <c r="AG770" s="163">
        <f t="shared" ref="AG770:AM770" si="1008">+SUM(AG772:AG787)</f>
        <v>273.13898650499351</v>
      </c>
      <c r="AH770" s="163">
        <f t="shared" si="1008"/>
        <v>293.01562381724523</v>
      </c>
      <c r="AI770" s="163">
        <f t="shared" si="1008"/>
        <v>253.82235962883971</v>
      </c>
      <c r="AJ770" s="163">
        <f t="shared" si="1008"/>
        <v>20.429179814419857</v>
      </c>
      <c r="AK770" s="163">
        <f t="shared" si="1008"/>
        <v>10.214589907209929</v>
      </c>
      <c r="AL770" s="163">
        <f t="shared" si="1008"/>
        <v>7.1072949536049643</v>
      </c>
      <c r="AM770" s="163">
        <f t="shared" si="1008"/>
        <v>6.5536474768024817</v>
      </c>
      <c r="AN770" s="163">
        <f t="shared" ref="AN770:AO770" si="1009">+SUM(AN772:AN787)</f>
        <v>7.2768237384012409</v>
      </c>
      <c r="AO770" s="163">
        <f t="shared" si="1009"/>
        <v>8.6384118692006204</v>
      </c>
      <c r="AP770" s="163"/>
      <c r="AQ770" s="163"/>
      <c r="AR770" s="163"/>
      <c r="AS770" s="163"/>
      <c r="AT770" s="163"/>
    </row>
    <row r="771" spans="1:46" hidden="1">
      <c r="A771" s="1"/>
      <c r="B771" s="1"/>
      <c r="C771" s="1"/>
      <c r="D771" s="129" t="s">
        <v>1282</v>
      </c>
      <c r="E771" s="168" t="str">
        <f>+E765</f>
        <v>needed?</v>
      </c>
      <c r="F771" s="14"/>
      <c r="G771" s="14"/>
      <c r="H771" s="14"/>
      <c r="I771" s="14"/>
      <c r="J771" s="126"/>
      <c r="K771" s="126"/>
      <c r="L771" s="126"/>
      <c r="M771" s="126"/>
      <c r="N771" s="126"/>
      <c r="O771" s="126"/>
      <c r="P771" s="126"/>
      <c r="Q771" s="126"/>
      <c r="R771" s="126"/>
      <c r="S771" s="126"/>
      <c r="T771" s="126"/>
      <c r="U771" s="126"/>
      <c r="V771" s="126"/>
      <c r="W771" s="126"/>
      <c r="X771" s="126"/>
      <c r="Y771" s="126"/>
      <c r="Z771" s="126">
        <v>23</v>
      </c>
      <c r="AA771" s="126">
        <f>FISCinyear!HX551</f>
        <v>3</v>
      </c>
      <c r="AB771" s="126">
        <v>2.15</v>
      </c>
      <c r="AC771" s="126"/>
      <c r="AD771" s="683">
        <f>FISCinyear!IG551</f>
        <v>3.06</v>
      </c>
      <c r="AE771" s="126"/>
      <c r="AF771" s="126"/>
      <c r="AG771" s="126"/>
      <c r="AH771" s="126"/>
      <c r="AI771" s="126"/>
      <c r="AJ771" s="126"/>
      <c r="AK771" s="126"/>
      <c r="AL771" s="126"/>
      <c r="AM771" s="126"/>
      <c r="AN771" s="126"/>
      <c r="AO771" s="126"/>
      <c r="AP771" s="126"/>
      <c r="AQ771" s="126"/>
      <c r="AR771" s="126"/>
      <c r="AS771" s="126"/>
      <c r="AT771" s="126"/>
    </row>
    <row r="772" spans="1:46" hidden="1">
      <c r="A772" s="1"/>
      <c r="B772" s="1"/>
      <c r="C772" s="1"/>
      <c r="D772" s="1247" t="s">
        <v>1265</v>
      </c>
      <c r="E772" s="168"/>
      <c r="F772" s="14"/>
      <c r="G772" s="14"/>
      <c r="H772" s="14"/>
      <c r="I772" s="14"/>
      <c r="J772" s="126"/>
      <c r="K772" s="126"/>
      <c r="L772" s="126"/>
      <c r="M772" s="126"/>
      <c r="N772" s="126"/>
      <c r="O772" s="126"/>
      <c r="P772" s="126"/>
      <c r="Q772" s="126"/>
      <c r="R772" s="126"/>
      <c r="S772" s="126"/>
      <c r="T772" s="126"/>
      <c r="U772" s="126"/>
      <c r="V772" s="126"/>
      <c r="W772" s="126">
        <v>0</v>
      </c>
      <c r="X772" s="126">
        <v>0</v>
      </c>
      <c r="Y772" s="126">
        <v>1.5471047029975811</v>
      </c>
      <c r="Z772" s="126">
        <f>0*1.169+1.6</f>
        <v>1.6</v>
      </c>
      <c r="AA772" s="126">
        <f>FISCinyear!HX552</f>
        <v>1.7461280180000001</v>
      </c>
      <c r="AB772" s="126">
        <v>2.5751055630000002</v>
      </c>
      <c r="AC772" s="126">
        <v>2.8757046859999997</v>
      </c>
      <c r="AD772" s="683">
        <v>0</v>
      </c>
      <c r="AE772" s="126">
        <v>80</v>
      </c>
      <c r="AF772" s="126">
        <v>0</v>
      </c>
      <c r="AG772" s="126">
        <f>AJ1829</f>
        <v>0</v>
      </c>
      <c r="AH772" s="126"/>
      <c r="AI772" s="126"/>
      <c r="AJ772" s="126"/>
      <c r="AK772" s="126"/>
      <c r="AL772" s="126"/>
      <c r="AM772" s="126"/>
      <c r="AN772" s="126"/>
      <c r="AO772" s="126"/>
      <c r="AP772" s="126"/>
      <c r="AQ772" s="126"/>
      <c r="AR772" s="126"/>
      <c r="AS772" s="126"/>
      <c r="AT772" s="126"/>
    </row>
    <row r="773" spans="1:46" hidden="1">
      <c r="A773" s="1"/>
      <c r="B773" s="1"/>
      <c r="C773" s="1"/>
      <c r="D773" s="131" t="s">
        <v>168</v>
      </c>
      <c r="E773" s="168"/>
      <c r="F773" s="14"/>
      <c r="G773" s="14"/>
      <c r="H773" s="14"/>
      <c r="I773" s="14"/>
      <c r="J773" s="126"/>
      <c r="K773" s="126"/>
      <c r="L773" s="126"/>
      <c r="M773" s="126"/>
      <c r="N773" s="126"/>
      <c r="O773" s="126"/>
      <c r="P773" s="126"/>
      <c r="Q773" s="126"/>
      <c r="R773" s="126"/>
      <c r="S773" s="126"/>
      <c r="T773" s="126"/>
      <c r="U773" s="126"/>
      <c r="V773" s="126"/>
      <c r="W773" s="126">
        <v>0</v>
      </c>
      <c r="X773" s="126">
        <v>1</v>
      </c>
      <c r="Y773" s="126">
        <v>0</v>
      </c>
      <c r="Z773" s="126">
        <f>0*2</f>
        <v>0</v>
      </c>
      <c r="AA773" s="126">
        <f>FISCinyear!HX553</f>
        <v>0</v>
      </c>
      <c r="AB773" s="126">
        <v>0</v>
      </c>
      <c r="AC773" s="126">
        <v>0</v>
      </c>
      <c r="AD773" s="683">
        <f>FISCinyear!IG553</f>
        <v>0</v>
      </c>
      <c r="AE773" s="126">
        <v>0</v>
      </c>
      <c r="AF773" s="126">
        <v>0</v>
      </c>
      <c r="AG773" s="126">
        <f>AJ1830</f>
        <v>0</v>
      </c>
      <c r="AH773" s="126">
        <v>0</v>
      </c>
      <c r="AI773" s="126">
        <v>0</v>
      </c>
      <c r="AJ773" s="126">
        <v>0</v>
      </c>
      <c r="AK773" s="126">
        <v>0</v>
      </c>
      <c r="AL773" s="126">
        <v>1</v>
      </c>
      <c r="AM773" s="126">
        <v>2</v>
      </c>
      <c r="AN773" s="126">
        <v>3</v>
      </c>
      <c r="AO773" s="126">
        <v>4</v>
      </c>
      <c r="AP773" s="126"/>
      <c r="AQ773" s="126"/>
      <c r="AR773" s="126"/>
      <c r="AS773" s="126"/>
      <c r="AT773" s="126"/>
    </row>
    <row r="774" spans="1:46" hidden="1">
      <c r="A774" s="1"/>
      <c r="B774" s="1"/>
      <c r="C774" s="1"/>
      <c r="D774" s="131" t="s">
        <v>169</v>
      </c>
      <c r="E774" s="168"/>
      <c r="F774" s="14"/>
      <c r="G774" s="14"/>
      <c r="H774" s="14"/>
      <c r="I774" s="14"/>
      <c r="J774" s="126"/>
      <c r="K774" s="126"/>
      <c r="L774" s="126"/>
      <c r="M774" s="126"/>
      <c r="N774" s="126"/>
      <c r="O774" s="126"/>
      <c r="P774" s="126"/>
      <c r="Q774" s="126"/>
      <c r="R774" s="126"/>
      <c r="S774" s="126"/>
      <c r="T774" s="126"/>
      <c r="U774" s="126"/>
      <c r="V774" s="126"/>
      <c r="W774" s="126">
        <v>0</v>
      </c>
      <c r="X774" s="126">
        <v>27</v>
      </c>
      <c r="Y774" s="126">
        <v>31.426778254999999</v>
      </c>
      <c r="Z774" s="126">
        <f>0*33.637+36</f>
        <v>36</v>
      </c>
      <c r="AA774" s="126">
        <f>FISCinyear!HX554</f>
        <v>40.091221955999998</v>
      </c>
      <c r="AB774" s="126">
        <v>80.861739053000008</v>
      </c>
      <c r="AC774" s="126">
        <v>95.282056964999995</v>
      </c>
      <c r="AD774" s="683">
        <f>FISCinyear!IG554</f>
        <v>117.83587177299999</v>
      </c>
      <c r="AE774" s="1152">
        <v>139.844578902926</v>
      </c>
      <c r="AF774" s="126">
        <v>145.08552917251436</v>
      </c>
      <c r="AG774" s="126">
        <f t="shared" ref="AG774:AO774" si="1010">+AG378</f>
        <v>139.844578902926</v>
      </c>
      <c r="AH774" s="126">
        <f t="shared" si="1010"/>
        <v>183.49199999999999</v>
      </c>
      <c r="AI774" s="126">
        <f t="shared" si="1010"/>
        <v>212.964</v>
      </c>
      <c r="AJ774" s="126">
        <f t="shared" si="1010"/>
        <v>0</v>
      </c>
      <c r="AK774" s="126">
        <f t="shared" si="1010"/>
        <v>0</v>
      </c>
      <c r="AL774" s="126">
        <f t="shared" si="1010"/>
        <v>0</v>
      </c>
      <c r="AM774" s="126">
        <f t="shared" si="1010"/>
        <v>0</v>
      </c>
      <c r="AN774" s="126">
        <f t="shared" si="1010"/>
        <v>0</v>
      </c>
      <c r="AO774" s="126">
        <f t="shared" si="1010"/>
        <v>0</v>
      </c>
      <c r="AP774" s="126"/>
      <c r="AQ774" s="126"/>
      <c r="AR774" s="126"/>
      <c r="AS774" s="126"/>
      <c r="AT774" s="126"/>
    </row>
    <row r="775" spans="1:46" hidden="1">
      <c r="A775" s="1"/>
      <c r="B775" s="1"/>
      <c r="C775" s="1"/>
      <c r="D775" s="131" t="s">
        <v>644</v>
      </c>
      <c r="E775" s="168"/>
      <c r="F775" s="14"/>
      <c r="G775" s="14"/>
      <c r="H775" s="14"/>
      <c r="I775" s="14"/>
      <c r="J775" s="126"/>
      <c r="K775" s="126"/>
      <c r="L775" s="126"/>
      <c r="M775" s="126"/>
      <c r="N775" s="126"/>
      <c r="O775" s="126"/>
      <c r="P775" s="126"/>
      <c r="Q775" s="126"/>
      <c r="R775" s="126"/>
      <c r="S775" s="126"/>
      <c r="T775" s="126"/>
      <c r="U775" s="126"/>
      <c r="V775" s="126"/>
      <c r="W775" s="126">
        <v>0</v>
      </c>
      <c r="X775" s="126">
        <v>0</v>
      </c>
      <c r="Y775" s="126">
        <v>-32.5</v>
      </c>
      <c r="Z775" s="126">
        <v>0</v>
      </c>
      <c r="AA775" s="126">
        <f>FISCinyear!HX555</f>
        <v>0</v>
      </c>
      <c r="AB775" s="126">
        <v>0</v>
      </c>
      <c r="AC775" s="126">
        <v>0</v>
      </c>
      <c r="AD775" s="683">
        <v>0</v>
      </c>
      <c r="AE775" s="126">
        <v>0</v>
      </c>
      <c r="AF775" s="126">
        <v>0</v>
      </c>
      <c r="AG775" s="126">
        <v>0</v>
      </c>
      <c r="AH775" s="126">
        <v>0</v>
      </c>
      <c r="AI775" s="126">
        <v>0</v>
      </c>
      <c r="AJ775" s="126">
        <v>0</v>
      </c>
      <c r="AK775" s="126">
        <v>0</v>
      </c>
      <c r="AL775" s="126">
        <v>0</v>
      </c>
      <c r="AM775" s="126">
        <v>0</v>
      </c>
      <c r="AN775" s="126">
        <v>0</v>
      </c>
      <c r="AO775" s="126">
        <v>0</v>
      </c>
      <c r="AP775" s="126"/>
      <c r="AQ775" s="126"/>
      <c r="AR775" s="126"/>
      <c r="AS775" s="126"/>
      <c r="AT775" s="126"/>
    </row>
    <row r="776" spans="1:46" hidden="1">
      <c r="A776" s="1"/>
      <c r="B776" s="1"/>
      <c r="C776" s="1"/>
      <c r="D776" s="131" t="s">
        <v>170</v>
      </c>
      <c r="E776" s="168"/>
      <c r="F776" s="14"/>
      <c r="G776" s="14"/>
      <c r="H776" s="14"/>
      <c r="I776" s="14"/>
      <c r="J776" s="126"/>
      <c r="K776" s="126"/>
      <c r="L776" s="126"/>
      <c r="M776" s="126"/>
      <c r="N776" s="126"/>
      <c r="O776" s="126"/>
      <c r="P776" s="126"/>
      <c r="Q776" s="126"/>
      <c r="R776" s="126"/>
      <c r="S776" s="126"/>
      <c r="T776" s="126"/>
      <c r="U776" s="126"/>
      <c r="V776" s="126"/>
      <c r="W776" s="126">
        <v>0</v>
      </c>
      <c r="X776" s="126">
        <v>0</v>
      </c>
      <c r="Y776" s="126">
        <v>0</v>
      </c>
      <c r="Z776" s="126">
        <f>0*2.8</f>
        <v>0</v>
      </c>
      <c r="AA776" s="126">
        <f>FISCinyear!HX557</f>
        <v>0</v>
      </c>
      <c r="AB776" s="126">
        <v>0</v>
      </c>
      <c r="AC776" s="126">
        <v>0</v>
      </c>
      <c r="AD776" s="683">
        <v>0</v>
      </c>
      <c r="AE776" s="126">
        <v>0</v>
      </c>
      <c r="AF776" s="126">
        <v>0</v>
      </c>
      <c r="AG776" s="126">
        <v>0</v>
      </c>
      <c r="AH776" s="126">
        <v>0</v>
      </c>
      <c r="AI776" s="126">
        <v>0</v>
      </c>
      <c r="AJ776" s="126">
        <v>0</v>
      </c>
      <c r="AK776" s="126">
        <v>0</v>
      </c>
      <c r="AL776" s="126">
        <v>0</v>
      </c>
      <c r="AM776" s="126">
        <v>0</v>
      </c>
      <c r="AN776" s="126">
        <v>0</v>
      </c>
      <c r="AO776" s="126">
        <v>0</v>
      </c>
      <c r="AP776" s="126"/>
      <c r="AQ776" s="126"/>
      <c r="AR776" s="126"/>
      <c r="AS776" s="126"/>
      <c r="AT776" s="126"/>
    </row>
    <row r="777" spans="1:46" hidden="1">
      <c r="A777" s="1"/>
      <c r="B777" s="1"/>
      <c r="C777" s="1"/>
      <c r="D777" s="1247" t="s">
        <v>1245</v>
      </c>
      <c r="E777" s="168"/>
      <c r="F777" s="14"/>
      <c r="G777" s="14"/>
      <c r="H777" s="14"/>
      <c r="I777" s="14"/>
      <c r="J777" s="126"/>
      <c r="K777" s="126"/>
      <c r="L777" s="126"/>
      <c r="M777" s="126"/>
      <c r="N777" s="126"/>
      <c r="O777" s="126"/>
      <c r="P777" s="126"/>
      <c r="Q777" s="126"/>
      <c r="R777" s="126"/>
      <c r="S777" s="126"/>
      <c r="T777" s="126"/>
      <c r="U777" s="126"/>
      <c r="V777" s="126"/>
      <c r="W777" s="126"/>
      <c r="X777" s="126"/>
      <c r="Y777" s="126"/>
      <c r="Z777" s="126"/>
      <c r="AA777" s="126"/>
      <c r="AB777" s="126"/>
      <c r="AC777" s="126"/>
      <c r="AD777" s="683"/>
      <c r="AE777" s="126">
        <v>7</v>
      </c>
      <c r="AF777" s="126">
        <v>7.3</v>
      </c>
      <c r="AG777" s="126">
        <v>7.6</v>
      </c>
      <c r="AH777" s="126">
        <v>7.6</v>
      </c>
      <c r="AI777" s="126"/>
      <c r="AJ777" s="126"/>
      <c r="AK777" s="126"/>
      <c r="AL777" s="126"/>
      <c r="AM777" s="126"/>
      <c r="AN777" s="126"/>
      <c r="AO777" s="126"/>
      <c r="AP777" s="126"/>
      <c r="AQ777" s="126"/>
      <c r="AR777" s="126"/>
      <c r="AS777" s="126"/>
      <c r="AT777" s="126"/>
    </row>
    <row r="778" spans="1:46" hidden="1">
      <c r="A778" s="1"/>
      <c r="B778" s="1"/>
      <c r="C778" s="1"/>
      <c r="D778" s="1247" t="s">
        <v>1246</v>
      </c>
      <c r="E778" s="168"/>
      <c r="F778" s="14"/>
      <c r="G778" s="14"/>
      <c r="H778" s="14"/>
      <c r="I778" s="14"/>
      <c r="J778" s="126"/>
      <c r="K778" s="126"/>
      <c r="L778" s="126"/>
      <c r="M778" s="126"/>
      <c r="N778" s="126"/>
      <c r="O778" s="126"/>
      <c r="P778" s="126"/>
      <c r="Q778" s="126"/>
      <c r="R778" s="126"/>
      <c r="S778" s="126"/>
      <c r="T778" s="126"/>
      <c r="U778" s="126"/>
      <c r="V778" s="126"/>
      <c r="W778" s="126"/>
      <c r="X778" s="126"/>
      <c r="Y778" s="126"/>
      <c r="Z778" s="126"/>
      <c r="AA778" s="126"/>
      <c r="AB778" s="126"/>
      <c r="AC778" s="126"/>
      <c r="AD778" s="683">
        <f>AG1832</f>
        <v>0</v>
      </c>
      <c r="AE778" s="126">
        <v>-6.4</v>
      </c>
      <c r="AF778" s="126">
        <v>-7</v>
      </c>
      <c r="AG778" s="126">
        <v>-7.3</v>
      </c>
      <c r="AH778" s="126">
        <v>-7.3</v>
      </c>
      <c r="AI778" s="126"/>
      <c r="AJ778" s="126"/>
      <c r="AK778" s="126"/>
      <c r="AL778" s="126"/>
      <c r="AM778" s="126"/>
      <c r="AN778" s="126"/>
      <c r="AO778" s="126"/>
      <c r="AP778" s="126"/>
      <c r="AQ778" s="126"/>
      <c r="AR778" s="126"/>
      <c r="AS778" s="126"/>
      <c r="AT778" s="126"/>
    </row>
    <row r="779" spans="1:46" hidden="1">
      <c r="A779" s="1"/>
      <c r="B779" s="1"/>
      <c r="C779" s="1"/>
      <c r="D779" s="1247" t="s">
        <v>2391</v>
      </c>
      <c r="E779" s="168"/>
      <c r="F779" s="14"/>
      <c r="G779" s="14"/>
      <c r="H779" s="14"/>
      <c r="I779" s="14"/>
      <c r="J779" s="126"/>
      <c r="K779" s="126"/>
      <c r="L779" s="126"/>
      <c r="M779" s="126"/>
      <c r="N779" s="126"/>
      <c r="O779" s="126"/>
      <c r="P779" s="126"/>
      <c r="Q779" s="126"/>
      <c r="R779" s="126"/>
      <c r="S779" s="126"/>
      <c r="T779" s="126"/>
      <c r="U779" s="126"/>
      <c r="V779" s="126"/>
      <c r="W779" s="126"/>
      <c r="X779" s="126"/>
      <c r="Y779" s="126"/>
      <c r="Z779" s="126"/>
      <c r="AA779" s="126"/>
      <c r="AB779" s="126"/>
      <c r="AC779" s="126"/>
      <c r="AD779" s="683">
        <f>AG1833</f>
        <v>0</v>
      </c>
      <c r="AE779" s="126">
        <v>10</v>
      </c>
      <c r="AF779" s="126">
        <v>7.5194208804500002</v>
      </c>
      <c r="AG779" s="126">
        <v>5</v>
      </c>
      <c r="AH779" s="126">
        <v>5</v>
      </c>
      <c r="AI779" s="126"/>
      <c r="AJ779" s="126"/>
      <c r="AK779" s="126"/>
      <c r="AL779" s="126"/>
      <c r="AM779" s="126"/>
      <c r="AN779" s="126"/>
      <c r="AO779" s="126"/>
      <c r="AP779" s="126"/>
      <c r="AQ779" s="126"/>
      <c r="AR779" s="126"/>
      <c r="AS779" s="126"/>
      <c r="AT779" s="126"/>
    </row>
    <row r="780" spans="1:46" hidden="1">
      <c r="A780" s="1"/>
      <c r="B780" s="1"/>
      <c r="C780" s="1"/>
      <c r="D780" s="131" t="s">
        <v>999</v>
      </c>
      <c r="E780" s="164"/>
      <c r="F780" s="14"/>
      <c r="G780" s="14"/>
      <c r="H780" s="14"/>
      <c r="I780" s="14"/>
      <c r="J780" s="126"/>
      <c r="K780" s="126"/>
      <c r="L780" s="126"/>
      <c r="M780" s="126"/>
      <c r="N780" s="126"/>
      <c r="O780" s="126"/>
      <c r="P780" s="126"/>
      <c r="Q780" s="126"/>
      <c r="R780" s="126"/>
      <c r="S780" s="126"/>
      <c r="T780" s="126"/>
      <c r="U780" s="126"/>
      <c r="V780" s="126"/>
      <c r="W780" s="126">
        <v>0</v>
      </c>
      <c r="X780" s="126">
        <v>-5.0999999999999996</v>
      </c>
      <c r="Y780" s="126">
        <v>0</v>
      </c>
      <c r="Z780" s="126">
        <f>0*4.038-2.5</f>
        <v>-2.5</v>
      </c>
      <c r="AA780" s="126">
        <f>FISCinyear!HX558</f>
        <v>-1.474062287</v>
      </c>
      <c r="AB780" s="126">
        <v>-9.0864968659999992</v>
      </c>
      <c r="AC780" s="126">
        <v>-0.98998876200000008</v>
      </c>
      <c r="AD780" s="683">
        <f>FISCinyear!IG558</f>
        <v>-0.27783086600000001</v>
      </c>
      <c r="AE780" s="126">
        <v>0</v>
      </c>
      <c r="AF780" s="126">
        <v>0</v>
      </c>
      <c r="AG780" s="126">
        <f t="shared" ref="AG780:AO780" si="1011">+AG381</f>
        <v>0</v>
      </c>
      <c r="AH780" s="126">
        <f t="shared" si="1011"/>
        <v>0</v>
      </c>
      <c r="AI780" s="126">
        <f t="shared" si="1011"/>
        <v>0</v>
      </c>
      <c r="AJ780" s="126">
        <f t="shared" si="1011"/>
        <v>0</v>
      </c>
      <c r="AK780" s="126">
        <f t="shared" si="1011"/>
        <v>0</v>
      </c>
      <c r="AL780" s="126">
        <f t="shared" si="1011"/>
        <v>0</v>
      </c>
      <c r="AM780" s="126">
        <f t="shared" si="1011"/>
        <v>0</v>
      </c>
      <c r="AN780" s="126">
        <f t="shared" si="1011"/>
        <v>0</v>
      </c>
      <c r="AO780" s="126">
        <f t="shared" si="1011"/>
        <v>0</v>
      </c>
      <c r="AP780" s="126"/>
      <c r="AQ780" s="126"/>
      <c r="AR780" s="126"/>
      <c r="AS780" s="126"/>
      <c r="AT780" s="126"/>
    </row>
    <row r="781" spans="1:46" hidden="1">
      <c r="A781" s="1"/>
      <c r="B781" s="1"/>
      <c r="C781" s="1"/>
      <c r="D781" s="131" t="s">
        <v>844</v>
      </c>
      <c r="E781" s="164"/>
      <c r="F781" s="14"/>
      <c r="G781" s="14"/>
      <c r="H781" s="14"/>
      <c r="I781" s="14"/>
      <c r="J781" s="126"/>
      <c r="K781" s="126"/>
      <c r="L781" s="126"/>
      <c r="M781" s="126"/>
      <c r="N781" s="126"/>
      <c r="O781" s="126"/>
      <c r="P781" s="126"/>
      <c r="Q781" s="126"/>
      <c r="R781" s="126"/>
      <c r="S781" s="126"/>
      <c r="T781" s="126"/>
      <c r="U781" s="126"/>
      <c r="V781" s="126"/>
      <c r="W781" s="126"/>
      <c r="X781" s="126"/>
      <c r="Y781" s="126"/>
      <c r="Z781" s="126"/>
      <c r="AA781" s="126"/>
      <c r="AB781" s="126">
        <v>11.5</v>
      </c>
      <c r="AC781" s="126">
        <v>9.6253578439999998</v>
      </c>
      <c r="AD781" s="683">
        <f>FISCinyear!IG559</f>
        <v>5</v>
      </c>
      <c r="AE781" s="126">
        <v>0</v>
      </c>
      <c r="AF781" s="126">
        <v>0</v>
      </c>
      <c r="AG781" s="126">
        <f t="shared" ref="AG781:AO781" si="1012">+AG382</f>
        <v>0</v>
      </c>
      <c r="AH781" s="126">
        <f t="shared" si="1012"/>
        <v>0</v>
      </c>
      <c r="AI781" s="126">
        <f t="shared" si="1012"/>
        <v>0</v>
      </c>
      <c r="AJ781" s="126">
        <f t="shared" si="1012"/>
        <v>0</v>
      </c>
      <c r="AK781" s="126">
        <f t="shared" si="1012"/>
        <v>0</v>
      </c>
      <c r="AL781" s="126">
        <f t="shared" si="1012"/>
        <v>0</v>
      </c>
      <c r="AM781" s="126">
        <f t="shared" si="1012"/>
        <v>0</v>
      </c>
      <c r="AN781" s="126">
        <f t="shared" si="1012"/>
        <v>0</v>
      </c>
      <c r="AO781" s="126">
        <f t="shared" si="1012"/>
        <v>0</v>
      </c>
      <c r="AP781" s="126"/>
      <c r="AQ781" s="126"/>
      <c r="AR781" s="126"/>
      <c r="AS781" s="126"/>
      <c r="AT781" s="126"/>
    </row>
    <row r="782" spans="1:46" hidden="1">
      <c r="A782" s="1"/>
      <c r="B782" s="1"/>
      <c r="C782" s="1"/>
      <c r="D782" s="131" t="s">
        <v>1175</v>
      </c>
      <c r="E782" s="164"/>
      <c r="F782" s="14"/>
      <c r="G782" s="14"/>
      <c r="H782" s="14"/>
      <c r="I782" s="14"/>
      <c r="J782" s="126"/>
      <c r="K782" s="126"/>
      <c r="L782" s="126"/>
      <c r="M782" s="126"/>
      <c r="N782" s="126"/>
      <c r="O782" s="126"/>
      <c r="P782" s="126"/>
      <c r="Q782" s="126"/>
      <c r="R782" s="126"/>
      <c r="S782" s="126"/>
      <c r="T782" s="126"/>
      <c r="U782" s="126"/>
      <c r="V782" s="126"/>
      <c r="W782" s="126">
        <v>0</v>
      </c>
      <c r="X782" s="126">
        <v>59.7</v>
      </c>
      <c r="Y782" s="126">
        <v>0</v>
      </c>
      <c r="Z782" s="126">
        <v>0</v>
      </c>
      <c r="AA782" s="126">
        <f>FISCinyear!HX560</f>
        <v>0</v>
      </c>
      <c r="AB782" s="126">
        <v>0</v>
      </c>
      <c r="AC782" s="126">
        <v>0</v>
      </c>
      <c r="AD782" s="683">
        <f>FISCinyear!IG560</f>
        <v>0</v>
      </c>
      <c r="AE782" s="126">
        <v>0</v>
      </c>
      <c r="AF782" s="126">
        <v>0</v>
      </c>
      <c r="AG782" s="126">
        <f>0</f>
        <v>0</v>
      </c>
      <c r="AH782" s="126">
        <v>0</v>
      </c>
      <c r="AI782" s="126">
        <v>0</v>
      </c>
      <c r="AJ782" s="126">
        <v>0</v>
      </c>
      <c r="AK782" s="126">
        <v>0</v>
      </c>
      <c r="AL782" s="126">
        <v>1</v>
      </c>
      <c r="AM782" s="126">
        <v>2</v>
      </c>
      <c r="AN782" s="126">
        <v>3</v>
      </c>
      <c r="AO782" s="126">
        <v>4</v>
      </c>
      <c r="AP782" s="126"/>
      <c r="AQ782" s="126"/>
      <c r="AR782" s="126"/>
      <c r="AS782" s="126"/>
      <c r="AT782" s="126"/>
    </row>
    <row r="783" spans="1:46" hidden="1">
      <c r="A783" s="1"/>
      <c r="B783" s="1"/>
      <c r="C783" s="1"/>
      <c r="D783" s="131" t="s">
        <v>1135</v>
      </c>
      <c r="E783" s="164"/>
      <c r="F783" s="14"/>
      <c r="G783" s="14"/>
      <c r="H783" s="14"/>
      <c r="I783" s="14"/>
      <c r="J783" s="126"/>
      <c r="K783" s="126"/>
      <c r="L783" s="126"/>
      <c r="M783" s="126"/>
      <c r="N783" s="126"/>
      <c r="O783" s="126"/>
      <c r="P783" s="126"/>
      <c r="Q783" s="126"/>
      <c r="R783" s="126"/>
      <c r="S783" s="126"/>
      <c r="T783" s="126"/>
      <c r="U783" s="126"/>
      <c r="V783" s="126"/>
      <c r="W783" s="126">
        <v>0</v>
      </c>
      <c r="X783" s="126">
        <v>3.4</v>
      </c>
      <c r="Y783" s="126">
        <v>49.745671745000003</v>
      </c>
      <c r="Z783" s="126">
        <f>0*14.75+25.7</f>
        <v>25.7</v>
      </c>
      <c r="AA783" s="126">
        <f>FISCinyear!HX561</f>
        <v>19.346579886000001</v>
      </c>
      <c r="AB783" s="126">
        <v>0</v>
      </c>
      <c r="AC783" s="126">
        <v>11.126743522</v>
      </c>
      <c r="AD783" s="683">
        <f>FISCinyear!IG561</f>
        <v>17.593757732</v>
      </c>
      <c r="AE783" s="126">
        <v>9.0360078581394987</v>
      </c>
      <c r="AF783" s="1152">
        <v>9.9227165420643608</v>
      </c>
      <c r="AG783" s="126">
        <f>+((AF783/2)*0+(AF146+AF152+AG134+AG140)*AG253/1000)*0+15.5795343525425</f>
        <v>15.579534352542501</v>
      </c>
      <c r="AH783" s="1152">
        <f>+((AG783/2)*0+(AG146+AG152+AH134+AH140)*AH253/1000)*0+16.4014887915658</f>
        <v>16.4014887915658</v>
      </c>
      <c r="AI783" s="1152">
        <f>+(AH783/2)*0+(AH146+AH152+AI134+AI140)*AI253/1000</f>
        <v>0</v>
      </c>
      <c r="AJ783" s="126">
        <f>+AI783/2</f>
        <v>0</v>
      </c>
      <c r="AK783" s="126">
        <f>+AJ783/2</f>
        <v>0</v>
      </c>
      <c r="AL783" s="126">
        <f>+AK783/2</f>
        <v>0</v>
      </c>
      <c r="AM783" s="126">
        <f>+AL783/2</f>
        <v>0</v>
      </c>
      <c r="AN783" s="126">
        <f t="shared" ref="AN783:AO783" si="1013">+AM783/2</f>
        <v>0</v>
      </c>
      <c r="AO783" s="126">
        <f t="shared" si="1013"/>
        <v>0</v>
      </c>
      <c r="AP783" s="126"/>
      <c r="AQ783" s="126"/>
      <c r="AR783" s="126"/>
      <c r="AS783" s="126"/>
      <c r="AT783" s="126"/>
    </row>
    <row r="784" spans="1:46" hidden="1">
      <c r="A784" s="1"/>
      <c r="B784" s="1"/>
      <c r="C784" s="1"/>
      <c r="D784" s="1423" t="s">
        <v>2392</v>
      </c>
      <c r="E784" s="164"/>
      <c r="F784" s="14"/>
      <c r="G784" s="14"/>
      <c r="H784" s="14"/>
      <c r="I784" s="14"/>
      <c r="J784" s="126"/>
      <c r="K784" s="126"/>
      <c r="L784" s="126"/>
      <c r="M784" s="126"/>
      <c r="N784" s="126"/>
      <c r="O784" s="126"/>
      <c r="P784" s="126"/>
      <c r="Q784" s="126"/>
      <c r="R784" s="126"/>
      <c r="S784" s="126"/>
      <c r="T784" s="126"/>
      <c r="U784" s="126"/>
      <c r="V784" s="126"/>
      <c r="W784" s="126"/>
      <c r="X784" s="126"/>
      <c r="Y784" s="126"/>
      <c r="Z784" s="126"/>
      <c r="AA784" s="126"/>
      <c r="AB784" s="126"/>
      <c r="AC784" s="126"/>
      <c r="AD784" s="707"/>
      <c r="AE784" s="126"/>
      <c r="AF784" s="1152">
        <v>6.1054157680000003</v>
      </c>
      <c r="AG784" s="126">
        <f>6105415768/1000000000</f>
        <v>6.1054157680000003</v>
      </c>
      <c r="AH784" s="1152">
        <f>6105415768/1000000000</f>
        <v>6.1054157680000003</v>
      </c>
      <c r="AI784" s="1152"/>
      <c r="AJ784" s="126"/>
      <c r="AK784" s="126"/>
      <c r="AL784" s="126"/>
      <c r="AM784" s="126"/>
      <c r="AN784" s="126"/>
      <c r="AO784" s="126"/>
      <c r="AP784" s="126"/>
      <c r="AQ784" s="126"/>
      <c r="AR784" s="126"/>
      <c r="AS784" s="126"/>
      <c r="AT784" s="126"/>
    </row>
    <row r="785" spans="1:46" hidden="1">
      <c r="A785" s="1"/>
      <c r="B785" s="1"/>
      <c r="C785" s="1"/>
      <c r="D785" s="1125" t="s">
        <v>1208</v>
      </c>
      <c r="E785" s="164"/>
      <c r="F785" s="14"/>
      <c r="G785" s="14"/>
      <c r="H785" s="14"/>
      <c r="I785" s="14"/>
      <c r="J785" s="14"/>
      <c r="K785" s="14"/>
      <c r="L785" s="14"/>
      <c r="M785" s="14"/>
      <c r="N785" s="14"/>
      <c r="O785" s="14"/>
      <c r="P785" s="14"/>
      <c r="Q785" s="14"/>
      <c r="R785" s="126"/>
      <c r="S785" s="126"/>
      <c r="T785" s="126"/>
      <c r="U785" s="126"/>
      <c r="V785" s="126"/>
      <c r="W785" s="126"/>
      <c r="X785" s="126"/>
      <c r="Y785" s="126"/>
      <c r="Z785" s="126"/>
      <c r="AA785" s="126"/>
      <c r="AB785" s="126">
        <v>0</v>
      </c>
      <c r="AC785" s="126">
        <v>7.4250000000000007</v>
      </c>
      <c r="AD785" s="707">
        <f>FISCinyear!IG562</f>
        <v>12.375</v>
      </c>
      <c r="AE785" s="989"/>
      <c r="AF785" s="126"/>
      <c r="AG785" s="126"/>
      <c r="AH785" s="126"/>
      <c r="AI785" s="126"/>
      <c r="AJ785" s="126"/>
      <c r="AK785" s="126"/>
      <c r="AL785" s="126"/>
      <c r="AM785" s="126"/>
      <c r="AN785" s="126"/>
      <c r="AO785" s="126"/>
      <c r="AP785" s="126"/>
      <c r="AQ785" s="126"/>
      <c r="AR785" s="126"/>
      <c r="AS785" s="126"/>
      <c r="AT785" s="126"/>
    </row>
    <row r="786" spans="1:46" hidden="1">
      <c r="A786" s="1"/>
      <c r="B786" s="1"/>
      <c r="C786" s="1"/>
      <c r="D786" s="1423" t="s">
        <v>2388</v>
      </c>
      <c r="E786" s="164"/>
      <c r="F786" s="14"/>
      <c r="G786" s="14"/>
      <c r="H786" s="14"/>
      <c r="I786" s="14"/>
      <c r="J786" s="14"/>
      <c r="K786" s="14"/>
      <c r="L786" s="14"/>
      <c r="M786" s="14"/>
      <c r="N786" s="14"/>
      <c r="O786" s="14"/>
      <c r="P786" s="14"/>
      <c r="Q786" s="14"/>
      <c r="R786" s="126"/>
      <c r="S786" s="126"/>
      <c r="T786" s="126"/>
      <c r="U786" s="126"/>
      <c r="V786" s="126"/>
      <c r="W786" s="126"/>
      <c r="X786" s="126"/>
      <c r="Y786" s="126"/>
      <c r="Z786" s="126"/>
      <c r="AA786" s="126"/>
      <c r="AB786" s="126"/>
      <c r="AC786" s="126"/>
      <c r="AD786" s="707"/>
      <c r="AE786" s="1152">
        <v>56.234146377749013</v>
      </c>
      <c r="AF786" s="126">
        <v>38.579909886519495</v>
      </c>
      <c r="AG786" s="126"/>
      <c r="AH786" s="126"/>
      <c r="AI786" s="126"/>
      <c r="AJ786" s="126"/>
      <c r="AK786" s="126"/>
      <c r="AL786" s="126"/>
      <c r="AM786" s="126"/>
      <c r="AN786" s="126"/>
      <c r="AO786" s="126"/>
      <c r="AP786" s="126"/>
      <c r="AQ786" s="126"/>
      <c r="AR786" s="126"/>
      <c r="AS786" s="126"/>
      <c r="AT786" s="126"/>
    </row>
    <row r="787" spans="1:46" hidden="1">
      <c r="A787" s="1"/>
      <c r="B787" s="1"/>
      <c r="C787" s="1"/>
      <c r="D787" s="131" t="s">
        <v>172</v>
      </c>
      <c r="E787" s="164"/>
      <c r="F787" s="14"/>
      <c r="G787" s="14"/>
      <c r="H787" s="14"/>
      <c r="I787" s="14"/>
      <c r="J787" s="126"/>
      <c r="K787" s="126"/>
      <c r="L787" s="126"/>
      <c r="M787" s="126"/>
      <c r="N787" s="126"/>
      <c r="O787" s="126"/>
      <c r="P787" s="126"/>
      <c r="Q787" s="126"/>
      <c r="R787" s="126"/>
      <c r="S787" s="126"/>
      <c r="T787" s="126"/>
      <c r="U787" s="126"/>
      <c r="V787" s="126"/>
      <c r="W787" s="126">
        <v>0</v>
      </c>
      <c r="X787" s="126">
        <v>0</v>
      </c>
      <c r="Y787" s="126">
        <v>0</v>
      </c>
      <c r="Z787" s="126">
        <f>0*29.4+32.4</f>
        <v>32.4</v>
      </c>
      <c r="AA787" s="126">
        <f>FISCinyear!HX564</f>
        <v>25.712013450999997</v>
      </c>
      <c r="AB787" s="126">
        <v>25.836573462</v>
      </c>
      <c r="AC787" s="126">
        <v>34.697741968000003</v>
      </c>
      <c r="AD787" s="683">
        <f>FISCinyear!IG564</f>
        <v>39.557087070999998</v>
      </c>
      <c r="AE787" s="163">
        <v>104.3094574815253</v>
      </c>
      <c r="AF787" s="163">
        <v>92.283989137760699</v>
      </c>
      <c r="AG787" s="126">
        <f>AG383</f>
        <v>106.309457481525</v>
      </c>
      <c r="AH787" s="163">
        <f>AH383</f>
        <v>81.716719257679429</v>
      </c>
      <c r="AI787" s="163">
        <f>+AH787/2</f>
        <v>40.858359628839715</v>
      </c>
      <c r="AJ787" s="126">
        <f>+AI787/2</f>
        <v>20.429179814419857</v>
      </c>
      <c r="AK787" s="126">
        <f>+AJ787/2</f>
        <v>10.214589907209929</v>
      </c>
      <c r="AL787" s="126">
        <f>+AK787/2</f>
        <v>5.1072949536049643</v>
      </c>
      <c r="AM787" s="126">
        <f>+AL787/2</f>
        <v>2.5536474768024822</v>
      </c>
      <c r="AN787" s="126">
        <f t="shared" ref="AN787:AO787" si="1014">+AM787/2</f>
        <v>1.2768237384012411</v>
      </c>
      <c r="AO787" s="126">
        <f t="shared" si="1014"/>
        <v>0.63841186920062054</v>
      </c>
      <c r="AP787" s="126"/>
      <c r="AQ787" s="126"/>
      <c r="AR787" s="126"/>
      <c r="AS787" s="126"/>
      <c r="AT787" s="126"/>
    </row>
    <row r="788" spans="1:46" hidden="1">
      <c r="A788" s="1"/>
      <c r="B788" s="1"/>
      <c r="C788" s="1"/>
      <c r="D788" s="130" t="s">
        <v>173</v>
      </c>
      <c r="E788" s="164"/>
      <c r="F788" s="14"/>
      <c r="G788" s="14"/>
      <c r="H788" s="14"/>
      <c r="I788" s="14"/>
      <c r="J788" s="126"/>
      <c r="K788" s="126"/>
      <c r="L788" s="126"/>
      <c r="M788" s="126"/>
      <c r="N788" s="126"/>
      <c r="O788" s="126"/>
      <c r="P788" s="126"/>
      <c r="Q788" s="126"/>
      <c r="R788" s="126"/>
      <c r="S788" s="126"/>
      <c r="T788" s="126"/>
      <c r="U788" s="126"/>
      <c r="V788" s="126"/>
      <c r="W788" s="126">
        <v>0</v>
      </c>
      <c r="X788" s="126">
        <v>0</v>
      </c>
      <c r="Y788" s="126">
        <v>0</v>
      </c>
      <c r="Z788" s="126"/>
      <c r="AA788" s="126">
        <f>FISCinyear!HX565</f>
        <v>0</v>
      </c>
      <c r="AB788" s="126">
        <v>0</v>
      </c>
      <c r="AC788" s="126"/>
      <c r="AD788" s="683"/>
      <c r="AE788" s="126"/>
      <c r="AF788" s="126"/>
      <c r="AG788" s="126"/>
      <c r="AH788" s="126"/>
      <c r="AI788" s="126"/>
      <c r="AJ788" s="126"/>
      <c r="AK788" s="126"/>
      <c r="AL788" s="126"/>
      <c r="AM788" s="126"/>
      <c r="AN788" s="126"/>
      <c r="AO788" s="126"/>
      <c r="AP788" s="126"/>
      <c r="AQ788" s="126"/>
      <c r="AR788" s="126"/>
      <c r="AS788" s="126"/>
      <c r="AT788" s="126"/>
    </row>
    <row r="789" spans="1:46" hidden="1">
      <c r="A789" s="1"/>
      <c r="B789" s="1"/>
      <c r="C789" s="1"/>
      <c r="D789" s="130" t="s">
        <v>174</v>
      </c>
      <c r="E789" s="164"/>
      <c r="F789" s="14"/>
      <c r="G789" s="14"/>
      <c r="H789" s="14"/>
      <c r="I789" s="14"/>
      <c r="J789" s="126"/>
      <c r="K789" s="126"/>
      <c r="L789" s="126"/>
      <c r="M789" s="126"/>
      <c r="N789" s="126"/>
      <c r="O789" s="126"/>
      <c r="P789" s="126"/>
      <c r="Q789" s="126"/>
      <c r="R789" s="126"/>
      <c r="S789" s="126"/>
      <c r="T789" s="126"/>
      <c r="U789" s="126"/>
      <c r="V789" s="126"/>
      <c r="W789" s="126">
        <v>0</v>
      </c>
      <c r="X789" s="126">
        <v>0</v>
      </c>
      <c r="Y789" s="126">
        <v>0</v>
      </c>
      <c r="Z789" s="126"/>
      <c r="AA789" s="126">
        <f>FISCinyear!HX566</f>
        <v>0</v>
      </c>
      <c r="AB789" s="126">
        <v>0</v>
      </c>
      <c r="AC789" s="126"/>
      <c r="AD789" s="683"/>
      <c r="AE789" s="126"/>
      <c r="AF789" s="126"/>
      <c r="AG789" s="126"/>
      <c r="AH789" s="126"/>
      <c r="AI789" s="126"/>
      <c r="AJ789" s="126"/>
      <c r="AK789" s="126"/>
      <c r="AL789" s="126"/>
      <c r="AM789" s="126"/>
      <c r="AN789" s="126"/>
      <c r="AO789" s="126"/>
      <c r="AP789" s="126"/>
      <c r="AQ789" s="126"/>
      <c r="AR789" s="126"/>
      <c r="AS789" s="126"/>
      <c r="AT789" s="126"/>
    </row>
    <row r="790" spans="1:46" hidden="1">
      <c r="A790" s="1"/>
      <c r="B790" s="1"/>
      <c r="C790" s="1"/>
      <c r="D790" s="127" t="s">
        <v>239</v>
      </c>
      <c r="E790" s="168" t="s">
        <v>242</v>
      </c>
      <c r="F790" s="14"/>
      <c r="G790" s="14"/>
      <c r="H790" s="14"/>
      <c r="I790" s="14"/>
      <c r="J790" s="126">
        <v>-14.79797716499999</v>
      </c>
      <c r="K790" s="126">
        <v>-20.239827164999991</v>
      </c>
      <c r="L790" s="126">
        <v>-19.004049999999992</v>
      </c>
      <c r="M790" s="126">
        <v>-26.952799999999996</v>
      </c>
      <c r="N790" s="126">
        <v>-36.582150000000027</v>
      </c>
      <c r="O790" s="126">
        <v>-36.499250000000025</v>
      </c>
      <c r="P790" s="126">
        <v>-46.225904744994999</v>
      </c>
      <c r="Q790" s="126">
        <v>-63.333565796495009</v>
      </c>
      <c r="R790" s="126">
        <v>-63.000000000000057</v>
      </c>
      <c r="S790" s="126">
        <v>-132.69999999999996</v>
      </c>
      <c r="T790" s="126">
        <v>-116.90000000000003</v>
      </c>
      <c r="U790" s="126">
        <v>-212.3</v>
      </c>
      <c r="V790" s="126">
        <v>-245.924707259</v>
      </c>
      <c r="W790" s="126">
        <v>-235.59999999999988</v>
      </c>
      <c r="X790" s="126">
        <v>-106.17843639758283</v>
      </c>
      <c r="Y790" s="126">
        <v>-194.35456050030837</v>
      </c>
      <c r="Z790" s="126">
        <f>+Z673-Z716+Z729-Z754</f>
        <v>-174.67319804200014</v>
      </c>
      <c r="AA790" s="126">
        <f>+AA673-AA716+AA729-AA754</f>
        <v>-169.80077529869004</v>
      </c>
      <c r="AB790" s="126">
        <v>-172.89813389038255</v>
      </c>
      <c r="AC790" s="126">
        <v>-87.354410584503853</v>
      </c>
      <c r="AD790" s="921">
        <f t="shared" ref="AD790:AK790" si="1015">+AD673-AD716+AD729-AD754</f>
        <v>-194.43583210707641</v>
      </c>
      <c r="AE790" s="126">
        <v>-503.7175289549682</v>
      </c>
      <c r="AF790" s="126">
        <v>-343.04299687633659</v>
      </c>
      <c r="AG790" s="126">
        <f t="shared" si="1015"/>
        <v>5105.0795796629172</v>
      </c>
      <c r="AH790" s="126">
        <f t="shared" si="1015"/>
        <v>8169.4899095926512</v>
      </c>
      <c r="AI790" s="126">
        <f t="shared" si="1015"/>
        <v>9221.1604923476916</v>
      </c>
      <c r="AJ790" s="126">
        <f t="shared" si="1015"/>
        <v>-3115.6828281218523</v>
      </c>
      <c r="AK790" s="126" t="e">
        <f t="shared" si="1015"/>
        <v>#DIV/0!</v>
      </c>
      <c r="AL790" s="126" t="e">
        <f>+AL673-AL716+AL729-AL754</f>
        <v>#DIV/0!</v>
      </c>
      <c r="AM790" s="126" t="e">
        <f>+AM673-AM716+AM729-AM754</f>
        <v>#DIV/0!</v>
      </c>
      <c r="AN790" s="126" t="e">
        <f t="shared" ref="AN790:AO790" si="1016">+AN673-AN716+AN729-AN754</f>
        <v>#DIV/0!</v>
      </c>
      <c r="AO790" s="126" t="e">
        <f t="shared" si="1016"/>
        <v>#DIV/0!</v>
      </c>
      <c r="AP790" s="126"/>
      <c r="AQ790" s="126"/>
      <c r="AR790" s="126"/>
      <c r="AS790" s="126"/>
      <c r="AT790" s="126"/>
    </row>
    <row r="791" spans="1:46" hidden="1">
      <c r="A791" s="1"/>
      <c r="B791" s="1"/>
      <c r="C791" s="1"/>
      <c r="D791" s="127" t="s">
        <v>175</v>
      </c>
      <c r="E791" s="168" t="s">
        <v>243</v>
      </c>
      <c r="F791" s="14"/>
      <c r="G791" s="14"/>
      <c r="H791" s="14"/>
      <c r="I791" s="14"/>
      <c r="J791" s="126">
        <v>-8.1267466249999902</v>
      </c>
      <c r="K791" s="126">
        <v>-10.493796624999991</v>
      </c>
      <c r="L791" s="126">
        <v>-4.1920499999999929</v>
      </c>
      <c r="M791" s="126">
        <v>-2.8307499999999965</v>
      </c>
      <c r="N791" s="126">
        <v>-1.3658500000000213</v>
      </c>
      <c r="O791" s="126">
        <v>-7.237400000000024</v>
      </c>
      <c r="P791" s="126">
        <v>-19.410904744995001</v>
      </c>
      <c r="Q791" s="126">
        <v>-28.79796579649501</v>
      </c>
      <c r="R791" s="126">
        <v>-29.500000000000057</v>
      </c>
      <c r="S791" s="126">
        <v>-76.999999999999972</v>
      </c>
      <c r="T791" s="126">
        <v>-62.200000000000045</v>
      </c>
      <c r="U791" s="126">
        <v>-160.69999999999999</v>
      </c>
      <c r="V791" s="126">
        <v>-177.79042725900001</v>
      </c>
      <c r="W791" s="126">
        <v>-159.79999999999993</v>
      </c>
      <c r="X791" s="126">
        <v>-25.778436397582851</v>
      </c>
      <c r="Y791" s="126">
        <v>-75.246075327308404</v>
      </c>
      <c r="Z791" s="126">
        <f>+Z790+Z746</f>
        <v>-53.593198042000125</v>
      </c>
      <c r="AA791" s="126">
        <f>FISCinyear!HX568</f>
        <v>-10.588788674690022</v>
      </c>
      <c r="AB791" s="126">
        <v>-13.544250848382489</v>
      </c>
      <c r="AC791" s="126">
        <v>94.484711920496125</v>
      </c>
      <c r="AD791" s="683">
        <f t="shared" ref="AD791:AK791" si="1017">+AD790+AD746</f>
        <v>43.263345367923591</v>
      </c>
      <c r="AE791" s="149">
        <v>-273.35751798031038</v>
      </c>
      <c r="AF791" s="149">
        <v>-158.27257145308249</v>
      </c>
      <c r="AG791" s="149">
        <f t="shared" si="1017"/>
        <v>5285.6576230355058</v>
      </c>
      <c r="AH791" s="149">
        <f t="shared" si="1017"/>
        <v>8384.905895415317</v>
      </c>
      <c r="AI791" s="149">
        <f t="shared" si="1017"/>
        <v>9461.2825878611711</v>
      </c>
      <c r="AJ791" s="149">
        <f t="shared" si="1017"/>
        <v>-3115.6828281218523</v>
      </c>
      <c r="AK791" s="149" t="e">
        <f t="shared" si="1017"/>
        <v>#DIV/0!</v>
      </c>
      <c r="AL791" s="149" t="e">
        <f>+AL790+AL746</f>
        <v>#DIV/0!</v>
      </c>
      <c r="AM791" s="149" t="e">
        <f>+AM790+AM746</f>
        <v>#DIV/0!</v>
      </c>
      <c r="AN791" s="149" t="e">
        <f t="shared" ref="AN791:AO791" si="1018">+AN790+AN746</f>
        <v>#DIV/0!</v>
      </c>
      <c r="AO791" s="149" t="e">
        <f t="shared" si="1018"/>
        <v>#DIV/0!</v>
      </c>
      <c r="AP791" s="149"/>
      <c r="AQ791" s="149"/>
      <c r="AR791" s="149"/>
      <c r="AS791" s="149"/>
      <c r="AT791" s="149"/>
    </row>
    <row r="792" spans="1:46" hidden="1">
      <c r="A792" s="1"/>
      <c r="B792" s="1"/>
      <c r="C792" s="1"/>
      <c r="D792" s="127" t="s">
        <v>240</v>
      </c>
      <c r="E792" s="168" t="s">
        <v>243</v>
      </c>
      <c r="F792" s="14"/>
      <c r="G792" s="14"/>
      <c r="H792" s="14"/>
      <c r="I792" s="14"/>
      <c r="J792" s="126">
        <f t="shared" ref="J792:AA792" si="1019">+J673-(J716-J749-J748)-J754-J770</f>
        <v>-21.252784028499988</v>
      </c>
      <c r="K792" s="126">
        <f t="shared" si="1019"/>
        <v>-26.279534028500006</v>
      </c>
      <c r="L792" s="126">
        <f t="shared" si="1019"/>
        <v>-24.853149999999989</v>
      </c>
      <c r="M792" s="126">
        <f t="shared" si="1019"/>
        <v>-33.939299999999989</v>
      </c>
      <c r="N792" s="126">
        <f t="shared" si="1019"/>
        <v>-46.525299999999994</v>
      </c>
      <c r="O792" s="126">
        <f t="shared" si="1019"/>
        <v>-59.462990000000019</v>
      </c>
      <c r="P792" s="126">
        <f t="shared" si="1019"/>
        <v>-71.842935240495024</v>
      </c>
      <c r="Q792" s="126">
        <f t="shared" si="1019"/>
        <v>-82.724206291995017</v>
      </c>
      <c r="R792" s="126">
        <f t="shared" si="1019"/>
        <v>-91.700000000000074</v>
      </c>
      <c r="S792" s="126">
        <f t="shared" si="1019"/>
        <v>-130.79999999999995</v>
      </c>
      <c r="T792" s="126">
        <f t="shared" si="1019"/>
        <v>-151.20000000000002</v>
      </c>
      <c r="U792" s="126">
        <f t="shared" si="1019"/>
        <v>-255.2</v>
      </c>
      <c r="V792" s="126">
        <f t="shared" si="1019"/>
        <v>-280.22548850500004</v>
      </c>
      <c r="W792" s="126">
        <f t="shared" si="1019"/>
        <v>-255.09999999999985</v>
      </c>
      <c r="X792" s="126">
        <f t="shared" si="1019"/>
        <v>-212.47843639758287</v>
      </c>
      <c r="Y792" s="126">
        <f t="shared" si="1019"/>
        <v>-192.2150841281582</v>
      </c>
      <c r="Z792" s="126">
        <f t="shared" si="1019"/>
        <v>-242.39319804200005</v>
      </c>
      <c r="AA792" s="126">
        <f t="shared" si="1019"/>
        <v>-182.68860983318646</v>
      </c>
      <c r="AB792" s="126">
        <v>-185.21581860857799</v>
      </c>
      <c r="AC792" s="126">
        <v>-189.57230382755449</v>
      </c>
      <c r="AD792" s="141">
        <f t="shared" ref="AD792:AK792" si="1020">+AD673-(AD716-AD749-AD748)-AD754-AD770</f>
        <v>-276.83496814528513</v>
      </c>
      <c r="AE792" s="149">
        <v>-863.60372409370552</v>
      </c>
      <c r="AF792" s="149">
        <v>-691.713745608419</v>
      </c>
      <c r="AG792" s="149">
        <f t="shared" si="1020"/>
        <v>4759.1698478935059</v>
      </c>
      <c r="AH792" s="149">
        <f t="shared" si="1020"/>
        <v>7775.4287929941693</v>
      </c>
      <c r="AI792" s="149">
        <f t="shared" si="1020"/>
        <v>8731.4151731360053</v>
      </c>
      <c r="AJ792" s="149">
        <f t="shared" si="1020"/>
        <v>-3639.054975658848</v>
      </c>
      <c r="AK792" s="149" t="e">
        <f t="shared" si="1020"/>
        <v>#DIV/0!</v>
      </c>
      <c r="AL792" s="149" t="e">
        <f>+AL673-(AL716-AL749-AL748)-AL754-AL770</f>
        <v>#DIV/0!</v>
      </c>
      <c r="AM792" s="149" t="e">
        <f>+AM673-(AM716-AM749-AM748)-AM754-AM770</f>
        <v>#DIV/0!</v>
      </c>
      <c r="AN792" s="149" t="e">
        <f t="shared" ref="AN792:AO792" si="1021">+AN673-(AN716-AN749-AN748)-AN754-AN770</f>
        <v>#DIV/0!</v>
      </c>
      <c r="AO792" s="149" t="e">
        <f t="shared" si="1021"/>
        <v>#DIV/0!</v>
      </c>
      <c r="AP792" s="149"/>
      <c r="AQ792" s="149"/>
      <c r="AR792" s="149"/>
      <c r="AS792" s="149"/>
      <c r="AT792" s="149"/>
    </row>
    <row r="793" spans="1:46" hidden="1">
      <c r="A793" s="1"/>
      <c r="B793" s="1"/>
      <c r="C793" s="1"/>
      <c r="D793" s="127" t="s">
        <v>176</v>
      </c>
      <c r="E793" s="164"/>
      <c r="F793" s="14"/>
      <c r="G793" s="14"/>
      <c r="H793" s="14"/>
      <c r="I793" s="14"/>
      <c r="J793" s="126"/>
      <c r="K793" s="126"/>
      <c r="L793" s="126"/>
      <c r="M793" s="126"/>
      <c r="N793" s="126"/>
      <c r="O793" s="126"/>
      <c r="P793" s="126"/>
      <c r="Q793" s="126"/>
      <c r="R793" s="126"/>
      <c r="S793" s="126"/>
      <c r="T793" s="126"/>
      <c r="U793" s="126"/>
      <c r="V793" s="126"/>
      <c r="W793" s="126"/>
      <c r="X793" s="126"/>
      <c r="Y793" s="126"/>
      <c r="Z793" s="126"/>
      <c r="AA793" s="126"/>
      <c r="AB793" s="126">
        <v>0</v>
      </c>
      <c r="AC793" s="126"/>
      <c r="AD793" s="141"/>
      <c r="AE793" s="126"/>
      <c r="AF793" s="126"/>
      <c r="AG793" s="126"/>
      <c r="AH793" s="126"/>
      <c r="AI793" s="126"/>
      <c r="AJ793" s="126"/>
      <c r="AK793" s="126"/>
      <c r="AL793" s="126"/>
      <c r="AM793" s="126"/>
      <c r="AN793" s="126"/>
      <c r="AO793" s="126"/>
      <c r="AP793" s="126"/>
      <c r="AQ793" s="126"/>
      <c r="AR793" s="126"/>
      <c r="AS793" s="126"/>
      <c r="AT793" s="126"/>
    </row>
    <row r="794" spans="1:46" hidden="1">
      <c r="A794" s="1"/>
      <c r="B794" s="1"/>
      <c r="C794" s="1"/>
      <c r="D794" s="133" t="s">
        <v>177</v>
      </c>
      <c r="E794" s="164"/>
      <c r="F794" s="14"/>
      <c r="G794" s="14"/>
      <c r="H794" s="14"/>
      <c r="I794" s="14"/>
      <c r="J794" s="126">
        <v>-25.918013528499991</v>
      </c>
      <c r="K794" s="126">
        <v>-17.8781340285</v>
      </c>
      <c r="L794" s="126">
        <v>-9.8945499999999953</v>
      </c>
      <c r="M794" s="126">
        <v>-18.754800000000003</v>
      </c>
      <c r="N794" s="126">
        <v>-18.83195000000002</v>
      </c>
      <c r="O794" s="126">
        <v>-4.4472900000000237</v>
      </c>
      <c r="P794" s="126">
        <v>9.7114226334400087</v>
      </c>
      <c r="Q794" s="126">
        <v>0.54870158194000851</v>
      </c>
      <c r="R794" s="126">
        <v>-26.200000000000045</v>
      </c>
      <c r="S794" s="126">
        <v>-3.4999999999998863</v>
      </c>
      <c r="T794" s="126">
        <v>-60.5</v>
      </c>
      <c r="U794" s="126">
        <v>-3.3000000000000682</v>
      </c>
      <c r="V794" s="126">
        <v>-120.93184835500006</v>
      </c>
      <c r="W794" s="126">
        <v>-49</v>
      </c>
      <c r="X794" s="126">
        <v>-234.27843639758316</v>
      </c>
      <c r="Y794" s="126">
        <v>-203.64884491354496</v>
      </c>
      <c r="Z794" s="126">
        <f>+Z671-Z714</f>
        <v>-302.05950052759749</v>
      </c>
      <c r="AA794" s="126">
        <f>+AA671-AA714</f>
        <v>-212.98227484609242</v>
      </c>
      <c r="AB794" s="126">
        <v>-327.13213778888797</v>
      </c>
      <c r="AC794" s="126">
        <v>-367.12734809700419</v>
      </c>
      <c r="AD794" s="141">
        <f t="shared" ref="AD794:AI794" si="1022">AD671-AD714</f>
        <v>-546.66122916375116</v>
      </c>
      <c r="AE794" s="126">
        <v>-1171.0971334578217</v>
      </c>
      <c r="AF794" s="126">
        <v>-938.72910155907584</v>
      </c>
      <c r="AG794" s="126">
        <f t="shared" si="1022"/>
        <v>4673.6534179123983</v>
      </c>
      <c r="AH794" s="126">
        <f t="shared" si="1022"/>
        <v>7486.6331886678408</v>
      </c>
      <c r="AI794" s="126">
        <f t="shared" si="1022"/>
        <v>8165.4831784057924</v>
      </c>
      <c r="AJ794" s="126">
        <f>+AJ671-AJ714</f>
        <v>-4064.767578235238</v>
      </c>
      <c r="AK794" s="126" t="e">
        <f>+AK671-AK714</f>
        <v>#DIV/0!</v>
      </c>
      <c r="AL794" s="126" t="e">
        <f>+AL671-AL714</f>
        <v>#DIV/0!</v>
      </c>
      <c r="AM794" s="126" t="e">
        <f>+AM671-AM714</f>
        <v>#DIV/0!</v>
      </c>
      <c r="AN794" s="126" t="e">
        <f t="shared" ref="AN794:AO794" si="1023">+AN671-AN714</f>
        <v>#DIV/0!</v>
      </c>
      <c r="AO794" s="126" t="e">
        <f t="shared" si="1023"/>
        <v>#DIV/0!</v>
      </c>
      <c r="AP794" s="126"/>
      <c r="AQ794" s="126"/>
      <c r="AR794" s="126"/>
      <c r="AS794" s="126"/>
      <c r="AT794" s="126"/>
    </row>
    <row r="795" spans="1:46" hidden="1">
      <c r="A795" s="1"/>
      <c r="B795" s="1"/>
      <c r="C795" s="1"/>
      <c r="D795" s="133" t="s">
        <v>178</v>
      </c>
      <c r="E795" s="164"/>
      <c r="F795" s="14"/>
      <c r="G795" s="14"/>
      <c r="H795" s="14"/>
      <c r="I795" s="14"/>
      <c r="J795" s="126">
        <v>-74.131284028500005</v>
      </c>
      <c r="K795" s="126">
        <v>-87.963184028499995</v>
      </c>
      <c r="L795" s="126">
        <v>-80.331800000000001</v>
      </c>
      <c r="M795" s="126">
        <v>-86.239300000000014</v>
      </c>
      <c r="N795" s="126">
        <v>-92.335800000000035</v>
      </c>
      <c r="O795" s="126">
        <v>-106.89929000000004</v>
      </c>
      <c r="P795" s="126">
        <v>-136.87742152049501</v>
      </c>
      <c r="Q795" s="126">
        <v>-166.22014257199501</v>
      </c>
      <c r="R795" s="126">
        <v>-181.00000000000006</v>
      </c>
      <c r="S795" s="126">
        <v>-231.39999999999992</v>
      </c>
      <c r="T795" s="126">
        <v>-318.2</v>
      </c>
      <c r="U795" s="126">
        <v>-412.60000000000008</v>
      </c>
      <c r="V795" s="126">
        <v>-499.95761819000006</v>
      </c>
      <c r="W795" s="126">
        <v>-506.39999999999986</v>
      </c>
      <c r="X795" s="126">
        <v>-599.17843639758303</v>
      </c>
      <c r="Y795" s="126">
        <v>-677.93798607728513</v>
      </c>
      <c r="Z795" s="126">
        <f>+Z673-Z714</f>
        <v>-717.97319804200015</v>
      </c>
      <c r="AA795" s="126">
        <f>+AA673-AA714</f>
        <v>-586.72928512381941</v>
      </c>
      <c r="AB795" s="126">
        <v>-657.31422173540705</v>
      </c>
      <c r="AC795" s="126">
        <v>-726.03602496571466</v>
      </c>
      <c r="AD795" s="141">
        <f t="shared" ref="AD795:AI795" si="1024">AD673-AD714</f>
        <v>-941.43485366806658</v>
      </c>
      <c r="AE795" s="126">
        <v>-1603.1794113359817</v>
      </c>
      <c r="AF795" s="126">
        <v>-1431.0527865498161</v>
      </c>
      <c r="AG795" s="126">
        <f t="shared" si="1024"/>
        <v>3837.4432834202044</v>
      </c>
      <c r="AH795" s="126">
        <f t="shared" si="1024"/>
        <v>6775.3390357082999</v>
      </c>
      <c r="AI795" s="126">
        <f t="shared" si="1024"/>
        <v>7407.6665378157313</v>
      </c>
      <c r="AJ795" s="126">
        <f>+AJ673-AJ714</f>
        <v>-4690.5363174693512</v>
      </c>
      <c r="AK795" s="126" t="e">
        <f>+AK673-AK714</f>
        <v>#DIV/0!</v>
      </c>
      <c r="AL795" s="126" t="e">
        <f>+AL673-AL714</f>
        <v>#DIV/0!</v>
      </c>
      <c r="AM795" s="126" t="e">
        <f>+AM673-AM714</f>
        <v>#DIV/0!</v>
      </c>
      <c r="AN795" s="126" t="e">
        <f t="shared" ref="AN795:AO795" si="1025">+AN673-AN714</f>
        <v>#DIV/0!</v>
      </c>
      <c r="AO795" s="126" t="e">
        <f t="shared" si="1025"/>
        <v>#DIV/0!</v>
      </c>
      <c r="AP795" s="126"/>
      <c r="AQ795" s="126"/>
      <c r="AR795" s="126"/>
      <c r="AS795" s="126"/>
      <c r="AT795" s="126"/>
    </row>
    <row r="796" spans="1:46" hidden="1">
      <c r="A796" s="1"/>
      <c r="B796" s="1"/>
      <c r="C796" s="1"/>
      <c r="D796" s="1253" t="s">
        <v>1205</v>
      </c>
      <c r="E796" s="164"/>
      <c r="F796" s="14"/>
      <c r="G796" s="14"/>
      <c r="H796" s="14"/>
      <c r="I796" s="14"/>
      <c r="J796" s="126">
        <f t="shared" ref="J796:AK796" si="1026">J671-J692-(J714-J749)</f>
        <v>-25.918013528499984</v>
      </c>
      <c r="K796" s="126">
        <f t="shared" si="1026"/>
        <v>-17.878134028499971</v>
      </c>
      <c r="L796" s="126">
        <f t="shared" si="1026"/>
        <v>-9.8945499999999811</v>
      </c>
      <c r="M796" s="126">
        <f t="shared" si="1026"/>
        <v>-18.754799999999989</v>
      </c>
      <c r="N796" s="126">
        <f t="shared" si="1026"/>
        <v>-18.831950000000006</v>
      </c>
      <c r="O796" s="126">
        <f t="shared" si="1026"/>
        <v>-4.4472900000000379</v>
      </c>
      <c r="P796" s="126">
        <f t="shared" si="1026"/>
        <v>9.7114226334400087</v>
      </c>
      <c r="Q796" s="126">
        <f t="shared" si="1026"/>
        <v>0.54870158194000851</v>
      </c>
      <c r="R796" s="126">
        <f t="shared" si="1026"/>
        <v>-26.200000000000045</v>
      </c>
      <c r="S796" s="126">
        <f t="shared" si="1026"/>
        <v>-3.4999999999998863</v>
      </c>
      <c r="T796" s="126">
        <f t="shared" si="1026"/>
        <v>-60.5</v>
      </c>
      <c r="U796" s="126">
        <f t="shared" si="1026"/>
        <v>-3.3000000000000682</v>
      </c>
      <c r="V796" s="126">
        <f t="shared" si="1026"/>
        <v>-120.93184835500006</v>
      </c>
      <c r="W796" s="126">
        <f t="shared" si="1026"/>
        <v>-49</v>
      </c>
      <c r="X796" s="126">
        <f t="shared" si="1026"/>
        <v>-244.97843639758321</v>
      </c>
      <c r="Y796" s="126">
        <f t="shared" si="1026"/>
        <v>-196.55589919689328</v>
      </c>
      <c r="Z796" s="126">
        <f t="shared" si="1026"/>
        <v>-301.71950052759757</v>
      </c>
      <c r="AA796" s="126">
        <f t="shared" si="1026"/>
        <v>-208.00203874464819</v>
      </c>
      <c r="AB796" s="126">
        <f t="shared" si="1026"/>
        <v>-327.48590900110435</v>
      </c>
      <c r="AC796" s="126">
        <f t="shared" si="1026"/>
        <v>-371.40946294800415</v>
      </c>
      <c r="AD796" s="126">
        <f t="shared" si="1026"/>
        <v>-485.08662548529946</v>
      </c>
      <c r="AE796" s="126">
        <v>-1156.104743164371</v>
      </c>
      <c r="AF796" s="126">
        <v>-944.94633527590759</v>
      </c>
      <c r="AG796" s="126">
        <f t="shared" si="1026"/>
        <v>4665.5537564225615</v>
      </c>
      <c r="AH796" s="126">
        <f t="shared" si="1026"/>
        <v>7486.6331886678408</v>
      </c>
      <c r="AI796" s="126">
        <f t="shared" si="1026"/>
        <v>8165.4831784057924</v>
      </c>
      <c r="AJ796" s="126">
        <f t="shared" si="1026"/>
        <v>-4064.767578235238</v>
      </c>
      <c r="AK796" s="126" t="e">
        <f t="shared" si="1026"/>
        <v>#DIV/0!</v>
      </c>
      <c r="AL796" s="126" t="e">
        <f>AL671-AL692-(AL714-AL749)</f>
        <v>#DIV/0!</v>
      </c>
      <c r="AM796" s="126" t="e">
        <f>AM671-AM692-(AM714-AM749)</f>
        <v>#DIV/0!</v>
      </c>
      <c r="AN796" s="126" t="e">
        <f t="shared" ref="AN796:AO796" si="1027">AN671-AN692-(AN714-AN749)</f>
        <v>#DIV/0!</v>
      </c>
      <c r="AO796" s="126" t="e">
        <f t="shared" si="1027"/>
        <v>#DIV/0!</v>
      </c>
      <c r="AP796" s="126"/>
      <c r="AQ796" s="126"/>
      <c r="AR796" s="126"/>
      <c r="AS796" s="126"/>
      <c r="AT796" s="126"/>
    </row>
    <row r="797" spans="1:46" hidden="1">
      <c r="A797" s="1"/>
      <c r="B797" s="1"/>
      <c r="C797" s="1"/>
      <c r="D797" s="1253" t="s">
        <v>1275</v>
      </c>
      <c r="E797" s="164"/>
      <c r="F797" s="14"/>
      <c r="G797" s="14"/>
      <c r="H797" s="14"/>
      <c r="I797" s="14"/>
      <c r="J797" s="1152">
        <f t="shared" ref="J797:AD797" si="1028">J671-(J714-J772)</f>
        <v>-25.918013528499984</v>
      </c>
      <c r="K797" s="1152">
        <f t="shared" si="1028"/>
        <v>-17.878134028499971</v>
      </c>
      <c r="L797" s="1152">
        <f t="shared" si="1028"/>
        <v>-9.8945499999999811</v>
      </c>
      <c r="M797" s="1152">
        <f t="shared" si="1028"/>
        <v>-18.754799999999989</v>
      </c>
      <c r="N797" s="1152">
        <f t="shared" si="1028"/>
        <v>-18.831950000000006</v>
      </c>
      <c r="O797" s="1152">
        <f t="shared" si="1028"/>
        <v>-4.4472900000000379</v>
      </c>
      <c r="P797" s="1152">
        <f t="shared" si="1028"/>
        <v>9.7114226334400087</v>
      </c>
      <c r="Q797" s="1152">
        <f t="shared" si="1028"/>
        <v>0.54870158194000851</v>
      </c>
      <c r="R797" s="1152">
        <f t="shared" si="1028"/>
        <v>-26.200000000000045</v>
      </c>
      <c r="S797" s="1152">
        <f t="shared" si="1028"/>
        <v>-3.4999999999998863</v>
      </c>
      <c r="T797" s="1152">
        <f t="shared" si="1028"/>
        <v>-60.5</v>
      </c>
      <c r="U797" s="1152">
        <f t="shared" si="1028"/>
        <v>-3.3000000000000682</v>
      </c>
      <c r="V797" s="1152">
        <f t="shared" si="1028"/>
        <v>-120.93184835500006</v>
      </c>
      <c r="W797" s="1152">
        <f t="shared" si="1028"/>
        <v>-49</v>
      </c>
      <c r="X797" s="1152">
        <f t="shared" si="1028"/>
        <v>-234.27843639758316</v>
      </c>
      <c r="Y797" s="1152">
        <f t="shared" si="1028"/>
        <v>-202.1017402105474</v>
      </c>
      <c r="Z797" s="1152">
        <f t="shared" si="1028"/>
        <v>-300.45950052759758</v>
      </c>
      <c r="AA797" s="1152">
        <f t="shared" si="1028"/>
        <v>-211.23614682809239</v>
      </c>
      <c r="AB797" s="1152">
        <f t="shared" si="1028"/>
        <v>-324.56296494504409</v>
      </c>
      <c r="AC797" s="1152">
        <f t="shared" si="1028"/>
        <v>-364.25164341100412</v>
      </c>
      <c r="AD797" s="1152">
        <f t="shared" si="1028"/>
        <v>-546.66122916375116</v>
      </c>
      <c r="AE797" s="1152">
        <v>-1091.0971334578217</v>
      </c>
      <c r="AF797" s="126">
        <v>-938.72910155907584</v>
      </c>
      <c r="AG797" s="126">
        <f t="shared" ref="AG797:AM797" si="1029">AG671-AG714-AG772</f>
        <v>4673.6534179123983</v>
      </c>
      <c r="AH797" s="126">
        <f t="shared" si="1029"/>
        <v>7486.6331886678408</v>
      </c>
      <c r="AI797" s="126">
        <f t="shared" si="1029"/>
        <v>8165.4831784057924</v>
      </c>
      <c r="AJ797" s="126">
        <f t="shared" si="1029"/>
        <v>-4064.767578235238</v>
      </c>
      <c r="AK797" s="126" t="e">
        <f t="shared" si="1029"/>
        <v>#DIV/0!</v>
      </c>
      <c r="AL797" s="126" t="e">
        <f t="shared" si="1029"/>
        <v>#DIV/0!</v>
      </c>
      <c r="AM797" s="126" t="e">
        <f t="shared" si="1029"/>
        <v>#DIV/0!</v>
      </c>
      <c r="AN797" s="126" t="e">
        <f t="shared" ref="AN797:AO797" si="1030">AN671-AN714-AN772</f>
        <v>#DIV/0!</v>
      </c>
      <c r="AO797" s="126" t="e">
        <f t="shared" si="1030"/>
        <v>#DIV/0!</v>
      </c>
      <c r="AP797" s="126"/>
      <c r="AQ797" s="126"/>
      <c r="AR797" s="126"/>
      <c r="AS797" s="126"/>
      <c r="AT797" s="126"/>
    </row>
    <row r="798" spans="1:46" hidden="1">
      <c r="A798" s="1"/>
      <c r="B798" s="1"/>
      <c r="C798" s="1"/>
      <c r="D798" s="1253" t="s">
        <v>1276</v>
      </c>
      <c r="E798" s="164"/>
      <c r="F798" s="14"/>
      <c r="G798" s="14"/>
      <c r="H798" s="14"/>
      <c r="I798" s="14"/>
      <c r="J798" s="1152">
        <f t="shared" ref="J798:AK798" si="1031">J671-J692-(J714-J749-J772)</f>
        <v>-25.918013528499984</v>
      </c>
      <c r="K798" s="1152">
        <f t="shared" si="1031"/>
        <v>-17.878134028499971</v>
      </c>
      <c r="L798" s="1152">
        <f t="shared" si="1031"/>
        <v>-9.8945499999999811</v>
      </c>
      <c r="M798" s="1152">
        <f t="shared" si="1031"/>
        <v>-18.754799999999989</v>
      </c>
      <c r="N798" s="1152">
        <f t="shared" si="1031"/>
        <v>-18.831950000000006</v>
      </c>
      <c r="O798" s="1152">
        <f t="shared" si="1031"/>
        <v>-4.4472900000000379</v>
      </c>
      <c r="P798" s="1152">
        <f t="shared" si="1031"/>
        <v>9.7114226334400087</v>
      </c>
      <c r="Q798" s="1152">
        <f t="shared" si="1031"/>
        <v>0.54870158194000851</v>
      </c>
      <c r="R798" s="1152">
        <f t="shared" si="1031"/>
        <v>-26.200000000000045</v>
      </c>
      <c r="S798" s="1152">
        <f t="shared" si="1031"/>
        <v>-3.4999999999998863</v>
      </c>
      <c r="T798" s="1152">
        <f t="shared" si="1031"/>
        <v>-60.5</v>
      </c>
      <c r="U798" s="1152">
        <f t="shared" si="1031"/>
        <v>-3.3000000000000682</v>
      </c>
      <c r="V798" s="1152">
        <f t="shared" si="1031"/>
        <v>-120.93184835500006</v>
      </c>
      <c r="W798" s="1152">
        <f t="shared" si="1031"/>
        <v>-49</v>
      </c>
      <c r="X798" s="1152">
        <f t="shared" si="1031"/>
        <v>-244.97843639758321</v>
      </c>
      <c r="Y798" s="1152">
        <f t="shared" si="1031"/>
        <v>-195.00879449389572</v>
      </c>
      <c r="Z798" s="1152">
        <f t="shared" si="1031"/>
        <v>-300.11950052759767</v>
      </c>
      <c r="AA798" s="1152">
        <f t="shared" si="1031"/>
        <v>-206.25591072664815</v>
      </c>
      <c r="AB798" s="1152">
        <f t="shared" si="1031"/>
        <v>-324.91080343810427</v>
      </c>
      <c r="AC798" s="1152">
        <f t="shared" si="1031"/>
        <v>-368.53375826200408</v>
      </c>
      <c r="AD798" s="1152">
        <f t="shared" si="1031"/>
        <v>-485.08662548529946</v>
      </c>
      <c r="AE798" s="1152">
        <v>-1076.104743164371</v>
      </c>
      <c r="AF798" s="126">
        <v>-944.94633527590759</v>
      </c>
      <c r="AG798" s="126">
        <f t="shared" si="1031"/>
        <v>4665.5537564225615</v>
      </c>
      <c r="AH798" s="126">
        <f t="shared" si="1031"/>
        <v>7486.6331886678408</v>
      </c>
      <c r="AI798" s="126">
        <f t="shared" si="1031"/>
        <v>8165.4831784057924</v>
      </c>
      <c r="AJ798" s="126">
        <f t="shared" si="1031"/>
        <v>-4064.767578235238</v>
      </c>
      <c r="AK798" s="126" t="e">
        <f t="shared" si="1031"/>
        <v>#DIV/0!</v>
      </c>
      <c r="AL798" s="126" t="e">
        <f>AL671-AL692-(AL714-AL749-AL772)</f>
        <v>#DIV/0!</v>
      </c>
      <c r="AM798" s="126" t="e">
        <f>AM671-AM692-(AM714-AM749-AM772)</f>
        <v>#DIV/0!</v>
      </c>
      <c r="AN798" s="126" t="e">
        <f t="shared" ref="AN798:AO798" si="1032">AN671-AN692-(AN714-AN749-AN772)</f>
        <v>#DIV/0!</v>
      </c>
      <c r="AO798" s="126" t="e">
        <f t="shared" si="1032"/>
        <v>#DIV/0!</v>
      </c>
      <c r="AP798" s="126"/>
      <c r="AQ798" s="126"/>
      <c r="AR798" s="126"/>
      <c r="AS798" s="126"/>
      <c r="AT798" s="126"/>
    </row>
    <row r="799" spans="1:46" hidden="1">
      <c r="A799" s="1"/>
      <c r="B799" s="1"/>
      <c r="C799" s="1"/>
      <c r="D799" s="1253" t="s">
        <v>2378</v>
      </c>
      <c r="E799" s="164"/>
      <c r="F799" s="14"/>
      <c r="G799" s="14"/>
      <c r="H799" s="14"/>
      <c r="I799" s="14"/>
      <c r="J799" s="1152">
        <f t="shared" ref="J799:AD799" si="1033">J671-J692-(J714-J726-J727-J749-J756-J772)</f>
        <v>-25.918013528499984</v>
      </c>
      <c r="K799" s="1152">
        <f t="shared" si="1033"/>
        <v>-17.878134028499971</v>
      </c>
      <c r="L799" s="1152">
        <f t="shared" si="1033"/>
        <v>-9.8945499999999811</v>
      </c>
      <c r="M799" s="1152">
        <f t="shared" si="1033"/>
        <v>-18.754799999999989</v>
      </c>
      <c r="N799" s="1152">
        <f t="shared" si="1033"/>
        <v>-18.831950000000006</v>
      </c>
      <c r="O799" s="1152">
        <f t="shared" si="1033"/>
        <v>-4.4472900000000379</v>
      </c>
      <c r="P799" s="1152">
        <f t="shared" si="1033"/>
        <v>9.7114226334400087</v>
      </c>
      <c r="Q799" s="1152">
        <f t="shared" si="1033"/>
        <v>0.54870158194000851</v>
      </c>
      <c r="R799" s="1152">
        <f t="shared" si="1033"/>
        <v>-26.200000000000045</v>
      </c>
      <c r="S799" s="1152">
        <f t="shared" si="1033"/>
        <v>-3.4999999999998863</v>
      </c>
      <c r="T799" s="1152">
        <f t="shared" si="1033"/>
        <v>-60.5</v>
      </c>
      <c r="U799" s="1152">
        <f t="shared" si="1033"/>
        <v>-3.3000000000000682</v>
      </c>
      <c r="V799" s="1152">
        <f t="shared" si="1033"/>
        <v>-120.93184835500006</v>
      </c>
      <c r="W799" s="1152">
        <f t="shared" si="1033"/>
        <v>-49</v>
      </c>
      <c r="X799" s="1152">
        <f t="shared" si="1033"/>
        <v>-244.97843639758321</v>
      </c>
      <c r="Y799" s="1152">
        <f t="shared" si="1033"/>
        <v>-195.00879449389572</v>
      </c>
      <c r="Z799" s="1152">
        <f t="shared" si="1033"/>
        <v>-300.11950052759767</v>
      </c>
      <c r="AA799" s="1152">
        <f t="shared" si="1033"/>
        <v>-206.25591072664815</v>
      </c>
      <c r="AB799" s="1152">
        <f t="shared" si="1033"/>
        <v>-324.91080343810427</v>
      </c>
      <c r="AC799" s="1152">
        <f t="shared" si="1033"/>
        <v>-368.53375826200408</v>
      </c>
      <c r="AD799" s="1152">
        <f t="shared" si="1033"/>
        <v>-485.08662548529946</v>
      </c>
      <c r="AE799" s="1152">
        <v>-656.19767122235498</v>
      </c>
      <c r="AF799" s="1152">
        <v>-410.42448111772819</v>
      </c>
      <c r="AG799" s="1152">
        <f t="shared" ref="AG799:AL799" si="1034">AG671-AG692-(AG714-AG726-AG727-AG749-AG756-AG772)</f>
        <v>4665.5537564225615</v>
      </c>
      <c r="AH799" s="1152">
        <f t="shared" si="1034"/>
        <v>7486.6331886678408</v>
      </c>
      <c r="AI799" s="1152">
        <f t="shared" si="1034"/>
        <v>8165.4831784057924</v>
      </c>
      <c r="AJ799" s="1152">
        <f t="shared" si="1034"/>
        <v>-4064.767578235238</v>
      </c>
      <c r="AK799" s="1152" t="e">
        <f t="shared" si="1034"/>
        <v>#DIV/0!</v>
      </c>
      <c r="AL799" s="1152" t="e">
        <f t="shared" si="1034"/>
        <v>#DIV/0!</v>
      </c>
      <c r="AM799" s="1152" t="e">
        <f>AM671-AM692-(AM714-AM726-AM727-AM749-AM756-AM772)</f>
        <v>#DIV/0!</v>
      </c>
      <c r="AN799" s="1152" t="e">
        <f t="shared" ref="AN799:AO799" si="1035">AN671-AN692-(AN714-AN726-AN727-AN749-AN756-AN772)</f>
        <v>#DIV/0!</v>
      </c>
      <c r="AO799" s="1152" t="e">
        <f t="shared" si="1035"/>
        <v>#DIV/0!</v>
      </c>
      <c r="AP799" s="1152"/>
      <c r="AQ799" s="1152"/>
      <c r="AR799" s="1152"/>
      <c r="AS799" s="1152"/>
      <c r="AT799" s="1152"/>
    </row>
    <row r="800" spans="1:46" hidden="1">
      <c r="A800" s="1"/>
      <c r="B800" s="1"/>
      <c r="C800" s="1"/>
      <c r="D800" s="127" t="s">
        <v>179</v>
      </c>
      <c r="E800" s="164"/>
      <c r="F800" s="14"/>
      <c r="G800" s="14"/>
      <c r="H800" s="14"/>
      <c r="I800" s="14"/>
      <c r="J800" s="126">
        <v>-10.78265</v>
      </c>
      <c r="K800" s="126">
        <v>-18.132550000000002</v>
      </c>
      <c r="L800" s="126">
        <v>-16.849900000000002</v>
      </c>
      <c r="M800" s="126">
        <v>-2.3646500000000001</v>
      </c>
      <c r="N800" s="126">
        <v>-10.005649999999999</v>
      </c>
      <c r="O800" s="126">
        <v>-13.6645</v>
      </c>
      <c r="P800" s="126">
        <v>-8.4254999999999995</v>
      </c>
      <c r="Q800" s="126">
        <v>-8.6295999999999999</v>
      </c>
      <c r="R800" s="126">
        <v>-7</v>
      </c>
      <c r="S800" s="126">
        <v>-8.6</v>
      </c>
      <c r="T800" s="126">
        <v>-9</v>
      </c>
      <c r="U800" s="126">
        <v>-11.2</v>
      </c>
      <c r="V800" s="126">
        <v>-11.852389999999996</v>
      </c>
      <c r="W800" s="126">
        <v>-13.7</v>
      </c>
      <c r="X800" s="126">
        <v>-9.1000000000000014</v>
      </c>
      <c r="Y800" s="126">
        <v>-16.126089724000028</v>
      </c>
      <c r="Z800" s="126">
        <f>+Z801</f>
        <v>5</v>
      </c>
      <c r="AA800" s="126">
        <f>+AA801</f>
        <v>-27.618025554000013</v>
      </c>
      <c r="AB800" s="126">
        <v>39.965229826000012</v>
      </c>
      <c r="AC800" s="126">
        <v>-25.061232288000014</v>
      </c>
      <c r="AD800" s="141">
        <f>+AD801</f>
        <v>55.122620192000042</v>
      </c>
      <c r="AE800" s="126">
        <v>-55.1</v>
      </c>
      <c r="AF800" s="126">
        <v>-35.228921278959099</v>
      </c>
      <c r="AG800" s="126">
        <f>+AG801</f>
        <v>-40</v>
      </c>
      <c r="AH800" s="126">
        <f t="shared" ref="AH800:AO800" si="1036">+AH801</f>
        <v>-40</v>
      </c>
      <c r="AI800" s="126">
        <f t="shared" si="1036"/>
        <v>-40</v>
      </c>
      <c r="AJ800" s="126">
        <f t="shared" si="1036"/>
        <v>-40</v>
      </c>
      <c r="AK800" s="126">
        <f t="shared" si="1036"/>
        <v>-40</v>
      </c>
      <c r="AL800" s="126">
        <f t="shared" si="1036"/>
        <v>-40</v>
      </c>
      <c r="AM800" s="126">
        <f t="shared" si="1036"/>
        <v>-40</v>
      </c>
      <c r="AN800" s="126">
        <f t="shared" si="1036"/>
        <v>-40</v>
      </c>
      <c r="AO800" s="126">
        <f t="shared" si="1036"/>
        <v>-40</v>
      </c>
      <c r="AP800" s="126"/>
      <c r="AQ800" s="126"/>
      <c r="AR800" s="126"/>
      <c r="AS800" s="126"/>
      <c r="AT800" s="126"/>
    </row>
    <row r="801" spans="1:46" hidden="1">
      <c r="A801" s="1"/>
      <c r="B801" s="1"/>
      <c r="C801" s="1"/>
      <c r="D801" s="133" t="s">
        <v>35</v>
      </c>
      <c r="E801" s="164"/>
      <c r="F801" s="14"/>
      <c r="G801" s="14"/>
      <c r="H801" s="14"/>
      <c r="I801" s="14"/>
      <c r="J801" s="126">
        <v>-3.9</v>
      </c>
      <c r="K801" s="126">
        <v>-4.8239999999999998</v>
      </c>
      <c r="L801" s="126">
        <v>-9.873899999999999</v>
      </c>
      <c r="M801" s="126">
        <v>-8.8498999999999999</v>
      </c>
      <c r="N801" s="126">
        <v>-2.3646500000000001</v>
      </c>
      <c r="O801" s="126">
        <v>-10.005649999999999</v>
      </c>
      <c r="P801" s="126">
        <v>-13.6645</v>
      </c>
      <c r="Q801" s="126">
        <v>-8.4254999999999995</v>
      </c>
      <c r="R801" s="126">
        <v>-7</v>
      </c>
      <c r="S801" s="126">
        <v>-8.6</v>
      </c>
      <c r="T801" s="126">
        <v>-9</v>
      </c>
      <c r="U801" s="126">
        <v>-11.2</v>
      </c>
      <c r="V801" s="126">
        <v>-11.852389999999996</v>
      </c>
      <c r="W801" s="126">
        <v>-13.7</v>
      </c>
      <c r="X801" s="126">
        <v>-9.1000000000000014</v>
      </c>
      <c r="Y801" s="126">
        <v>-16.126089724000028</v>
      </c>
      <c r="Z801" s="126">
        <f>0*10+5</f>
        <v>5</v>
      </c>
      <c r="AA801" s="126">
        <f>FISCinyear!HX576</f>
        <v>-27.618025554000013</v>
      </c>
      <c r="AB801" s="126">
        <v>39.965229826000012</v>
      </c>
      <c r="AC801" s="126">
        <v>-25.061232288000014</v>
      </c>
      <c r="AD801" s="683">
        <f>FISCinyear!IG576</f>
        <v>55.122620192000042</v>
      </c>
      <c r="AE801" s="146">
        <v>-55.1</v>
      </c>
      <c r="AF801" s="146">
        <v>-35.228921278959099</v>
      </c>
      <c r="AG801" s="146">
        <v>-40</v>
      </c>
      <c r="AH801" s="146">
        <f t="shared" ref="AH801:AM801" si="1037">AG801</f>
        <v>-40</v>
      </c>
      <c r="AI801" s="146">
        <f t="shared" si="1037"/>
        <v>-40</v>
      </c>
      <c r="AJ801" s="146">
        <f t="shared" si="1037"/>
        <v>-40</v>
      </c>
      <c r="AK801" s="146">
        <f t="shared" si="1037"/>
        <v>-40</v>
      </c>
      <c r="AL801" s="146">
        <f t="shared" si="1037"/>
        <v>-40</v>
      </c>
      <c r="AM801" s="146">
        <f t="shared" si="1037"/>
        <v>-40</v>
      </c>
      <c r="AN801" s="146">
        <f t="shared" ref="AN801" si="1038">AM801</f>
        <v>-40</v>
      </c>
      <c r="AO801" s="146">
        <f t="shared" ref="AO801" si="1039">AN801</f>
        <v>-40</v>
      </c>
      <c r="AP801" s="146"/>
      <c r="AQ801" s="146"/>
      <c r="AR801" s="146"/>
      <c r="AS801" s="146"/>
      <c r="AT801" s="146"/>
    </row>
    <row r="802" spans="1:46" hidden="1">
      <c r="A802" s="1"/>
      <c r="B802" s="1"/>
      <c r="C802" s="1"/>
      <c r="D802" s="133"/>
      <c r="E802" s="164"/>
      <c r="F802" s="14"/>
      <c r="G802" s="14"/>
      <c r="H802" s="14"/>
      <c r="I802" s="14"/>
      <c r="J802" s="126">
        <v>-16.850000000000001</v>
      </c>
      <c r="K802" s="126">
        <v>-5.9586500000000004</v>
      </c>
      <c r="L802" s="126">
        <v>-8.2586499999999994</v>
      </c>
      <c r="M802" s="126">
        <v>-8</v>
      </c>
      <c r="N802" s="126">
        <v>0</v>
      </c>
      <c r="O802" s="126">
        <v>0</v>
      </c>
      <c r="P802" s="126">
        <v>0</v>
      </c>
      <c r="Q802" s="126">
        <v>0</v>
      </c>
      <c r="R802" s="126"/>
      <c r="S802" s="126"/>
      <c r="T802" s="126"/>
      <c r="U802" s="126"/>
      <c r="V802" s="126"/>
      <c r="W802" s="126"/>
      <c r="X802" s="126"/>
      <c r="Y802" s="126"/>
      <c r="Z802" s="126"/>
      <c r="AA802" s="126"/>
      <c r="AB802" s="126">
        <v>0</v>
      </c>
      <c r="AC802" s="126"/>
      <c r="AD802" s="141"/>
      <c r="AE802" s="126"/>
      <c r="AF802" s="126"/>
      <c r="AG802" s="126"/>
      <c r="AH802" s="126"/>
      <c r="AI802" s="126"/>
      <c r="AJ802" s="126"/>
      <c r="AK802" s="126"/>
      <c r="AL802" s="126"/>
      <c r="AM802" s="126"/>
      <c r="AN802" s="126"/>
      <c r="AO802" s="126"/>
      <c r="AP802" s="126"/>
      <c r="AQ802" s="126"/>
      <c r="AR802" s="126"/>
      <c r="AS802" s="126"/>
      <c r="AT802" s="126"/>
    </row>
    <row r="803" spans="1:46" hidden="1">
      <c r="A803" s="1"/>
      <c r="B803" s="1"/>
      <c r="C803" s="1"/>
      <c r="D803" s="127" t="s">
        <v>180</v>
      </c>
      <c r="E803" s="164"/>
      <c r="F803" s="14"/>
      <c r="G803" s="14"/>
      <c r="H803" s="14"/>
      <c r="I803" s="14"/>
      <c r="J803" s="126"/>
      <c r="K803" s="126"/>
      <c r="L803" s="126"/>
      <c r="M803" s="126"/>
      <c r="N803" s="126"/>
      <c r="O803" s="126"/>
      <c r="P803" s="126"/>
      <c r="Q803" s="126"/>
      <c r="R803" s="126"/>
      <c r="S803" s="126"/>
      <c r="T803" s="126"/>
      <c r="U803" s="126"/>
      <c r="V803" s="126"/>
      <c r="W803" s="126"/>
      <c r="X803" s="126"/>
      <c r="Y803" s="126"/>
      <c r="Z803" s="126"/>
      <c r="AA803" s="126"/>
      <c r="AB803" s="126">
        <v>0</v>
      </c>
      <c r="AC803" s="126"/>
      <c r="AD803" s="141"/>
      <c r="AE803" s="126"/>
      <c r="AF803" s="126"/>
      <c r="AG803" s="126"/>
      <c r="AH803" s="126"/>
      <c r="AI803" s="126"/>
      <c r="AJ803" s="126"/>
      <c r="AK803" s="126"/>
      <c r="AL803" s="126"/>
      <c r="AM803" s="126"/>
      <c r="AN803" s="126"/>
      <c r="AO803" s="126"/>
      <c r="AP803" s="126"/>
      <c r="AQ803" s="126"/>
      <c r="AR803" s="126"/>
      <c r="AS803" s="126"/>
      <c r="AT803" s="126"/>
    </row>
    <row r="804" spans="1:46" hidden="1">
      <c r="A804" s="1"/>
      <c r="B804" s="1"/>
      <c r="C804" s="1"/>
      <c r="D804" s="133" t="s">
        <v>177</v>
      </c>
      <c r="E804" s="164"/>
      <c r="F804" s="14"/>
      <c r="G804" s="14"/>
      <c r="H804" s="14"/>
      <c r="I804" s="14"/>
      <c r="J804" s="126">
        <v>-46.668013528499991</v>
      </c>
      <c r="K804" s="126">
        <v>-28.660784028499997</v>
      </c>
      <c r="L804" s="126">
        <v>-28.027099999999997</v>
      </c>
      <c r="M804" s="126">
        <v>-35.604700000000001</v>
      </c>
      <c r="N804" s="126">
        <v>-21.196600000000018</v>
      </c>
      <c r="O804" s="126">
        <v>-14.452940000000023</v>
      </c>
      <c r="P804" s="126">
        <v>-3.9530773665599908</v>
      </c>
      <c r="Q804" s="126">
        <v>-7.8767984180599901</v>
      </c>
      <c r="R804" s="126">
        <v>-33.200000000000045</v>
      </c>
      <c r="S804" s="126">
        <v>-12.099999999999886</v>
      </c>
      <c r="T804" s="126">
        <v>-69.5</v>
      </c>
      <c r="U804" s="126">
        <v>-14.500000000000068</v>
      </c>
      <c r="V804" s="126">
        <v>-132.78423835500004</v>
      </c>
      <c r="W804" s="126">
        <v>-62.7</v>
      </c>
      <c r="X804" s="126">
        <v>-243.37843639758316</v>
      </c>
      <c r="Y804" s="126">
        <v>-219.77493463754499</v>
      </c>
      <c r="Z804" s="126">
        <f>+Z794+Z$800</f>
        <v>-297.05950052759749</v>
      </c>
      <c r="AA804" s="126">
        <f>+AA794+AA$800</f>
        <v>-240.60030040009244</v>
      </c>
      <c r="AB804" s="126">
        <v>-347.24742086788802</v>
      </c>
      <c r="AC804" s="126">
        <v>-392.18858038500423</v>
      </c>
      <c r="AD804" s="126">
        <f>+AD794+AD800</f>
        <v>-491.5386089717511</v>
      </c>
      <c r="AE804" s="126">
        <v>-1226.1971334578216</v>
      </c>
      <c r="AF804" s="126">
        <v>-973.95802283803494</v>
      </c>
      <c r="AG804" s="126">
        <f>+AG794+AG800</f>
        <v>4633.6534179123983</v>
      </c>
      <c r="AH804" s="126">
        <f>+AH794+AH800</f>
        <v>7446.6331886678408</v>
      </c>
      <c r="AI804" s="126">
        <f>+AI794+AI800</f>
        <v>8125.4831784057924</v>
      </c>
      <c r="AJ804" s="126">
        <f t="shared" ref="AJ804:AL805" si="1040">+AJ794+AJ$800</f>
        <v>-4104.767578235238</v>
      </c>
      <c r="AK804" s="126" t="e">
        <f t="shared" si="1040"/>
        <v>#DIV/0!</v>
      </c>
      <c r="AL804" s="126" t="e">
        <f t="shared" si="1040"/>
        <v>#DIV/0!</v>
      </c>
      <c r="AM804" s="126" t="e">
        <f>+AM794+AM$800</f>
        <v>#DIV/0!</v>
      </c>
      <c r="AN804" s="126" t="e">
        <f t="shared" ref="AN804:AO804" si="1041">+AN794+AN$800</f>
        <v>#DIV/0!</v>
      </c>
      <c r="AO804" s="126" t="e">
        <f t="shared" si="1041"/>
        <v>#DIV/0!</v>
      </c>
      <c r="AP804" s="126"/>
      <c r="AQ804" s="126"/>
      <c r="AR804" s="126"/>
      <c r="AS804" s="126"/>
      <c r="AT804" s="126"/>
    </row>
    <row r="805" spans="1:46" hidden="1">
      <c r="A805" s="1"/>
      <c r="B805" s="1"/>
      <c r="C805" s="1"/>
      <c r="D805" s="133" t="s">
        <v>178</v>
      </c>
      <c r="E805" s="164"/>
      <c r="F805" s="14"/>
      <c r="G805" s="14"/>
      <c r="H805" s="14"/>
      <c r="I805" s="14"/>
      <c r="J805" s="126">
        <v>-94.881284028500005</v>
      </c>
      <c r="K805" s="126">
        <v>-98.745834028499999</v>
      </c>
      <c r="L805" s="126">
        <v>-98.464349999999996</v>
      </c>
      <c r="M805" s="126">
        <v>-103.08920000000001</v>
      </c>
      <c r="N805" s="126">
        <v>-94.700450000000018</v>
      </c>
      <c r="O805" s="126">
        <v>-116.90494000000004</v>
      </c>
      <c r="P805" s="126">
        <v>-150.54192152049501</v>
      </c>
      <c r="Q805" s="126">
        <v>-174.64564257199498</v>
      </c>
      <c r="R805" s="126">
        <v>-188.00000000000006</v>
      </c>
      <c r="S805" s="126">
        <v>-239.99999999999991</v>
      </c>
      <c r="T805" s="126">
        <v>-327.2</v>
      </c>
      <c r="U805" s="126">
        <v>-423.80000000000007</v>
      </c>
      <c r="V805" s="126">
        <v>-511.81000819000008</v>
      </c>
      <c r="W805" s="126">
        <v>-520.09999999999991</v>
      </c>
      <c r="X805" s="126">
        <v>-608.27843639758305</v>
      </c>
      <c r="Y805" s="126">
        <v>-694.06407580128518</v>
      </c>
      <c r="Z805" s="126">
        <f>+Z795+Z$800</f>
        <v>-712.97319804200015</v>
      </c>
      <c r="AA805" s="126">
        <v>-597.22220111559091</v>
      </c>
      <c r="AB805" s="126">
        <v>-677.42950481440698</v>
      </c>
      <c r="AC805" s="126">
        <v>-751.0972572537147</v>
      </c>
      <c r="AD805" s="141">
        <f>+AD795+AD$800</f>
        <v>-886.31223347606658</v>
      </c>
      <c r="AE805" s="126">
        <v>-1658.2794113359816</v>
      </c>
      <c r="AF805" s="126">
        <v>-1466.2817078287753</v>
      </c>
      <c r="AG805" s="126">
        <f>+AG795+AG$800</f>
        <v>3797.4432834202044</v>
      </c>
      <c r="AH805" s="126">
        <f>+AH795+AH800</f>
        <v>6735.3390357082999</v>
      </c>
      <c r="AI805" s="126">
        <f>+AI795+AI800</f>
        <v>7367.6665378157313</v>
      </c>
      <c r="AJ805" s="126">
        <f t="shared" si="1040"/>
        <v>-4730.5363174693512</v>
      </c>
      <c r="AK805" s="126" t="e">
        <f t="shared" si="1040"/>
        <v>#DIV/0!</v>
      </c>
      <c r="AL805" s="126" t="e">
        <f t="shared" si="1040"/>
        <v>#DIV/0!</v>
      </c>
      <c r="AM805" s="126" t="e">
        <f>+AM795+AM$800</f>
        <v>#DIV/0!</v>
      </c>
      <c r="AN805" s="126" t="e">
        <f t="shared" ref="AN805:AO805" si="1042">+AN795+AN$800</f>
        <v>#DIV/0!</v>
      </c>
      <c r="AO805" s="126" t="e">
        <f t="shared" si="1042"/>
        <v>#DIV/0!</v>
      </c>
      <c r="AP805" s="126"/>
      <c r="AQ805" s="126"/>
      <c r="AR805" s="126"/>
      <c r="AS805" s="126"/>
      <c r="AT805" s="126"/>
    </row>
    <row r="806" spans="1:46" hidden="1">
      <c r="A806" s="1"/>
      <c r="B806" s="1"/>
      <c r="C806" s="1"/>
      <c r="D806" s="127"/>
      <c r="E806" s="164"/>
      <c r="F806" s="14"/>
      <c r="G806" s="14"/>
      <c r="H806" s="14"/>
      <c r="I806" s="14"/>
      <c r="J806" s="126"/>
      <c r="K806" s="126"/>
      <c r="L806" s="126"/>
      <c r="M806" s="126"/>
      <c r="N806" s="126"/>
      <c r="O806" s="126"/>
      <c r="P806" s="126"/>
      <c r="Q806" s="126"/>
      <c r="R806" s="126"/>
      <c r="S806" s="126"/>
      <c r="T806" s="126"/>
      <c r="U806" s="126"/>
      <c r="V806" s="126"/>
      <c r="W806" s="126"/>
      <c r="X806" s="126"/>
      <c r="Y806" s="126"/>
      <c r="Z806" s="126"/>
      <c r="AA806" s="126"/>
      <c r="AB806" s="126"/>
      <c r="AC806" s="126"/>
      <c r="AD806" s="141"/>
      <c r="AE806" s="126"/>
      <c r="AF806" s="126"/>
      <c r="AG806" s="126"/>
      <c r="AH806" s="126"/>
      <c r="AI806" s="126"/>
      <c r="AJ806" s="126"/>
      <c r="AK806" s="126"/>
      <c r="AL806" s="126"/>
      <c r="AM806" s="126"/>
      <c r="AN806" s="126"/>
      <c r="AO806" s="126"/>
      <c r="AP806" s="126"/>
      <c r="AQ806" s="126"/>
      <c r="AR806" s="126"/>
      <c r="AS806" s="126"/>
      <c r="AT806" s="126"/>
    </row>
    <row r="807" spans="1:46" hidden="1">
      <c r="A807" s="1"/>
      <c r="B807" s="1"/>
      <c r="C807" s="1"/>
      <c r="D807" s="125" t="s">
        <v>181</v>
      </c>
      <c r="E807" s="164"/>
      <c r="F807" s="14"/>
      <c r="G807" s="14"/>
      <c r="H807" s="14"/>
      <c r="I807" s="14"/>
      <c r="J807" s="126">
        <v>46.668013528499991</v>
      </c>
      <c r="K807" s="126">
        <v>28.660784028499997</v>
      </c>
      <c r="L807" s="126">
        <v>28.027100000000004</v>
      </c>
      <c r="M807" s="126">
        <v>35.604700000000001</v>
      </c>
      <c r="N807" s="126">
        <v>21.196599999999997</v>
      </c>
      <c r="O807" s="126">
        <v>14.452939999999993</v>
      </c>
      <c r="P807" s="126">
        <v>-8.2806089134400125</v>
      </c>
      <c r="Q807" s="126">
        <v>-4.3568878619400007</v>
      </c>
      <c r="R807" s="126">
        <v>33.200000000000045</v>
      </c>
      <c r="S807" s="126">
        <v>12.099999999999886</v>
      </c>
      <c r="T807" s="126">
        <v>69.5</v>
      </c>
      <c r="U807" s="126">
        <f t="shared" ref="U807:AA807" si="1043">+U809+U828</f>
        <v>16.399999999999999</v>
      </c>
      <c r="V807" s="126">
        <f t="shared" si="1043"/>
        <v>126.514612731</v>
      </c>
      <c r="W807" s="126">
        <f t="shared" si="1043"/>
        <v>56.8</v>
      </c>
      <c r="X807" s="126">
        <f t="shared" si="1043"/>
        <v>218.60287055438562</v>
      </c>
      <c r="Y807" s="126">
        <f t="shared" si="1043"/>
        <v>224.60345991403199</v>
      </c>
      <c r="Z807" s="126">
        <f t="shared" si="1043"/>
        <v>197.61254199818421</v>
      </c>
      <c r="AA807" s="126">
        <f t="shared" si="1043"/>
        <v>271.49497056281473</v>
      </c>
      <c r="AB807" s="126">
        <v>347.24742086788802</v>
      </c>
      <c r="AC807" s="126">
        <v>398.9867656101726</v>
      </c>
      <c r="AD807" s="126">
        <f t="shared" ref="AD807:AK807" si="1044">+AD809+AD828</f>
        <v>502.38067326405934</v>
      </c>
      <c r="AE807" s="146">
        <v>1226.1509467500846</v>
      </c>
      <c r="AF807" s="146">
        <v>973.99842550595372</v>
      </c>
      <c r="AG807" s="146">
        <f t="shared" si="1044"/>
        <v>987.3478790734473</v>
      </c>
      <c r="AH807" s="146">
        <f t="shared" si="1044"/>
        <v>941.12816859942711</v>
      </c>
      <c r="AI807" s="146">
        <f t="shared" si="1044"/>
        <v>1577.615969342414</v>
      </c>
      <c r="AJ807" s="146">
        <f t="shared" si="1044"/>
        <v>1459.5235034647553</v>
      </c>
      <c r="AK807" s="146" t="e">
        <f t="shared" si="1044"/>
        <v>#DIV/0!</v>
      </c>
      <c r="AL807" s="146" t="e">
        <f>+AL809+AL828</f>
        <v>#DIV/0!</v>
      </c>
      <c r="AM807" s="146" t="e">
        <f>+AM809+AM828</f>
        <v>#DIV/0!</v>
      </c>
      <c r="AN807" s="146" t="e">
        <f t="shared" ref="AN807:AO807" si="1045">+AN809+AN828</f>
        <v>#DIV/0!</v>
      </c>
      <c r="AO807" s="146" t="e">
        <f t="shared" si="1045"/>
        <v>#DIV/0!</v>
      </c>
      <c r="AP807" s="146"/>
      <c r="AQ807" s="146"/>
      <c r="AR807" s="146"/>
      <c r="AS807" s="146"/>
      <c r="AT807" s="146"/>
    </row>
    <row r="808" spans="1:46" hidden="1">
      <c r="A808" s="1"/>
      <c r="B808" s="1"/>
      <c r="C808" s="1"/>
      <c r="D808" s="127"/>
      <c r="E808" s="164"/>
      <c r="F808" s="14"/>
      <c r="G808" s="14"/>
      <c r="H808" s="14"/>
      <c r="I808" s="14"/>
      <c r="J808" s="126"/>
      <c r="K808" s="126"/>
      <c r="L808" s="126"/>
      <c r="M808" s="126"/>
      <c r="N808" s="126"/>
      <c r="O808" s="126"/>
      <c r="P808" s="126"/>
      <c r="Q808" s="126"/>
      <c r="R808" s="126"/>
      <c r="S808" s="126"/>
      <c r="T808" s="126"/>
      <c r="U808" s="126"/>
      <c r="V808" s="126"/>
      <c r="W808" s="126"/>
      <c r="X808" s="126"/>
      <c r="Y808" s="126"/>
      <c r="Z808" s="126"/>
      <c r="AA808" s="126"/>
      <c r="AB808" s="126"/>
      <c r="AC808" s="126"/>
      <c r="AD808" s="126"/>
      <c r="AE808" s="146" t="s">
        <v>27</v>
      </c>
      <c r="AF808" s="126"/>
      <c r="AG808" s="126"/>
      <c r="AH808" s="126"/>
      <c r="AI808" s="126"/>
      <c r="AJ808" s="126"/>
      <c r="AK808" s="126"/>
      <c r="AL808" s="126"/>
      <c r="AM808" s="126"/>
      <c r="AN808" s="126"/>
      <c r="AO808" s="126"/>
      <c r="AP808" s="126"/>
      <c r="AQ808" s="126"/>
      <c r="AR808" s="126"/>
      <c r="AS808" s="126"/>
      <c r="AT808" s="126"/>
    </row>
    <row r="809" spans="1:46" hidden="1">
      <c r="A809" s="1"/>
      <c r="B809" s="1"/>
      <c r="C809" s="1"/>
      <c r="D809" s="133" t="s">
        <v>182</v>
      </c>
      <c r="E809" s="164"/>
      <c r="F809" s="14"/>
      <c r="G809" s="14"/>
      <c r="H809" s="14"/>
      <c r="I809" s="14"/>
      <c r="J809" s="126">
        <v>9.2500000000000018</v>
      </c>
      <c r="K809" s="126">
        <v>8.5138500000000015</v>
      </c>
      <c r="L809" s="126">
        <v>4.0473499999999998</v>
      </c>
      <c r="M809" s="126">
        <v>8.1334999999999997</v>
      </c>
      <c r="N809" s="126">
        <v>4.7718499999999997</v>
      </c>
      <c r="O809" s="126">
        <v>1.3761608154999996</v>
      </c>
      <c r="P809" s="126">
        <v>0.33886081549999858</v>
      </c>
      <c r="Q809" s="126">
        <v>6.4310499999999982</v>
      </c>
      <c r="R809" s="126">
        <v>39.199999999999996</v>
      </c>
      <c r="S809" s="126">
        <v>42.800000000000004</v>
      </c>
      <c r="T809" s="126">
        <v>72.599999999999994</v>
      </c>
      <c r="U809" s="126">
        <v>26.1</v>
      </c>
      <c r="V809" s="126">
        <f t="shared" ref="V809:AA809" si="1046">+V810+V826</f>
        <v>68.531212730999997</v>
      </c>
      <c r="W809" s="126">
        <f t="shared" si="1046"/>
        <v>95</v>
      </c>
      <c r="X809" s="126">
        <f t="shared" si="1046"/>
        <v>338.59999999999997</v>
      </c>
      <c r="Y809" s="126">
        <f t="shared" si="1046"/>
        <v>104.73128333288437</v>
      </c>
      <c r="Z809" s="126">
        <f t="shared" si="1046"/>
        <v>188.3125419981842</v>
      </c>
      <c r="AA809" s="126">
        <f t="shared" si="1046"/>
        <v>224.4081276596894</v>
      </c>
      <c r="AB809" s="126">
        <v>161.93697496867668</v>
      </c>
      <c r="AC809" s="126">
        <v>356.02913087722652</v>
      </c>
      <c r="AD809" s="126">
        <f t="shared" ref="AD809:AK809" si="1047">+AD810+AD826</f>
        <v>448.31196664374346</v>
      </c>
      <c r="AE809" s="126">
        <v>1137.4986216870611</v>
      </c>
      <c r="AF809" s="126">
        <v>708.41842834695376</v>
      </c>
      <c r="AG809" s="126">
        <f t="shared" si="1047"/>
        <v>762.3478790734473</v>
      </c>
      <c r="AH809" s="126">
        <f t="shared" si="1047"/>
        <v>780.58674289632404</v>
      </c>
      <c r="AI809" s="126">
        <f t="shared" si="1047"/>
        <v>1276.5512369862045</v>
      </c>
      <c r="AJ809" s="126">
        <f t="shared" si="1047"/>
        <v>1284.6235034647552</v>
      </c>
      <c r="AK809" s="126">
        <f t="shared" si="1047"/>
        <v>1811.7874124057805</v>
      </c>
      <c r="AL809" s="126">
        <f>+AL810+AL826</f>
        <v>1632.665792872403</v>
      </c>
      <c r="AM809" s="126">
        <f>+AM810+AM826</f>
        <v>980.03698926803577</v>
      </c>
      <c r="AN809" s="126">
        <f t="shared" ref="AN809:AO809" si="1048">+AN810+AN826</f>
        <v>771.69311511147828</v>
      </c>
      <c r="AO809" s="126">
        <f t="shared" si="1048"/>
        <v>332.49382739956263</v>
      </c>
      <c r="AP809" s="126"/>
      <c r="AQ809" s="126"/>
      <c r="AR809" s="126"/>
      <c r="AS809" s="126"/>
      <c r="AT809" s="126"/>
    </row>
    <row r="810" spans="1:46" hidden="1">
      <c r="A810" s="1"/>
      <c r="B810" s="1"/>
      <c r="C810" s="1"/>
      <c r="D810" s="129" t="s">
        <v>183</v>
      </c>
      <c r="E810" s="164"/>
      <c r="F810" s="14"/>
      <c r="G810" s="14"/>
      <c r="H810" s="14"/>
      <c r="I810" s="14"/>
      <c r="J810" s="126">
        <v>16.950000000000003</v>
      </c>
      <c r="K810" s="126">
        <v>15.06155</v>
      </c>
      <c r="L810" s="126">
        <v>10.24075</v>
      </c>
      <c r="M810" s="126">
        <v>20.8292</v>
      </c>
      <c r="N810" s="126">
        <v>19.933499999999999</v>
      </c>
      <c r="O810" s="126">
        <v>14.9909</v>
      </c>
      <c r="P810" s="126">
        <v>17.774899999999999</v>
      </c>
      <c r="Q810" s="126">
        <v>23.641500000000001</v>
      </c>
      <c r="R810" s="126">
        <v>44.8</v>
      </c>
      <c r="S810" s="126">
        <v>47.900000000000006</v>
      </c>
      <c r="T810" s="126">
        <v>77</v>
      </c>
      <c r="U810" s="126">
        <v>31.1</v>
      </c>
      <c r="V810" s="126">
        <v>76.410784410999995</v>
      </c>
      <c r="W810" s="126">
        <v>104.7</v>
      </c>
      <c r="X810" s="126">
        <v>354.09999999999997</v>
      </c>
      <c r="Y810" s="126">
        <v>115.76990850405799</v>
      </c>
      <c r="Z810" s="126">
        <f>+Z811+Z822</f>
        <v>202.863</v>
      </c>
      <c r="AA810" s="126">
        <f>+AA811+AA822</f>
        <v>241.52958260440315</v>
      </c>
      <c r="AB810" s="126">
        <v>183.82033813965148</v>
      </c>
      <c r="AC810" s="126">
        <v>381.84688936314302</v>
      </c>
      <c r="AD810" s="126">
        <f t="shared" ref="AD810:AK810" si="1049">+AD811+AD822</f>
        <v>476.97697294179375</v>
      </c>
      <c r="AE810" s="126">
        <v>1193.8559235549519</v>
      </c>
      <c r="AF810" s="126">
        <v>783.40935593640756</v>
      </c>
      <c r="AG810" s="126">
        <f t="shared" si="1049"/>
        <v>1246.9773428495653</v>
      </c>
      <c r="AH810" s="126">
        <f t="shared" si="1049"/>
        <v>947.40325683846504</v>
      </c>
      <c r="AI810" s="126">
        <f t="shared" si="1049"/>
        <v>1402.2179397021105</v>
      </c>
      <c r="AJ810" s="126">
        <f t="shared" si="1049"/>
        <v>1472.7509103049756</v>
      </c>
      <c r="AK810" s="126">
        <f t="shared" si="1049"/>
        <v>2151.8547770401988</v>
      </c>
      <c r="AL810" s="126">
        <f>+AL811+AL822</f>
        <v>2118.895877510673</v>
      </c>
      <c r="AM810" s="126">
        <f>+AM811+AM822</f>
        <v>1589.388281077745</v>
      </c>
      <c r="AN810" s="126">
        <f t="shared" ref="AN810:AO810" si="1050">+AN811+AN822</f>
        <v>1560.6660586667708</v>
      </c>
      <c r="AO810" s="126">
        <f t="shared" si="1050"/>
        <v>1338.3568405397598</v>
      </c>
      <c r="AP810" s="126"/>
      <c r="AQ810" s="126"/>
      <c r="AR810" s="126"/>
      <c r="AS810" s="126"/>
      <c r="AT810" s="126"/>
    </row>
    <row r="811" spans="1:46" hidden="1">
      <c r="A811" s="1"/>
      <c r="B811" s="1"/>
      <c r="C811" s="1"/>
      <c r="D811" s="131" t="s">
        <v>1108</v>
      </c>
      <c r="E811" s="164"/>
      <c r="F811" s="14"/>
      <c r="G811" s="14"/>
      <c r="H811" s="14"/>
      <c r="I811" s="14"/>
      <c r="J811" s="126"/>
      <c r="K811" s="126"/>
      <c r="L811" s="126"/>
      <c r="M811" s="126"/>
      <c r="N811" s="126"/>
      <c r="O811" s="126"/>
      <c r="P811" s="126"/>
      <c r="Q811" s="126"/>
      <c r="R811" s="126"/>
      <c r="S811" s="126"/>
      <c r="T811" s="126"/>
      <c r="U811" s="126"/>
      <c r="V811" s="126"/>
      <c r="W811" s="126">
        <v>0</v>
      </c>
      <c r="X811" s="126">
        <v>16.2</v>
      </c>
      <c r="Y811" s="126">
        <v>49.486261138499998</v>
      </c>
      <c r="Z811" s="126">
        <f>0*104.92+103.63</f>
        <v>103.63</v>
      </c>
      <c r="AA811" s="126">
        <f>FISCinyear!HX586</f>
        <v>138.66156726277015</v>
      </c>
      <c r="AB811" s="126">
        <v>183.82033813965148</v>
      </c>
      <c r="AC811" s="126">
        <v>211.49647385698302</v>
      </c>
      <c r="AD811" s="683">
        <f>FISCinyear!IG586</f>
        <v>262.04850870218172</v>
      </c>
      <c r="AE811" s="126">
        <v>905.88487285883571</v>
      </c>
      <c r="AF811" s="126">
        <f>+((AE72+AF65)*AF$253/1000+AF1253)</f>
        <v>341.22933799315291</v>
      </c>
      <c r="AG811" s="126">
        <f>+((AF72+AG65)*AG$253/1000+AG819)</f>
        <v>840.44607618034536</v>
      </c>
      <c r="AH811" s="126">
        <f t="shared" ref="AH811:AO811" si="1051">+(AG72+AH65)*AH$253/1000+AH819</f>
        <v>518.40160041043987</v>
      </c>
      <c r="AI811" s="126">
        <f t="shared" si="1051"/>
        <v>772.825914316644</v>
      </c>
      <c r="AJ811" s="126">
        <f t="shared" si="1051"/>
        <v>864.07628736920913</v>
      </c>
      <c r="AK811" s="126">
        <f t="shared" si="1051"/>
        <v>1529.5376053660839</v>
      </c>
      <c r="AL811" s="126">
        <f t="shared" si="1051"/>
        <v>1427.792134255667</v>
      </c>
      <c r="AM811" s="126">
        <f t="shared" si="1051"/>
        <v>831.48544004381017</v>
      </c>
      <c r="AN811" s="126">
        <f t="shared" si="1051"/>
        <v>693.77210826866508</v>
      </c>
      <c r="AO811" s="126">
        <f t="shared" si="1051"/>
        <v>359.65575636834785</v>
      </c>
      <c r="AP811" s="126"/>
      <c r="AQ811" s="126"/>
      <c r="AR811" s="126"/>
      <c r="AS811" s="126"/>
      <c r="AT811" s="126"/>
    </row>
    <row r="812" spans="1:46" hidden="1">
      <c r="A812" s="1"/>
      <c r="B812" s="1"/>
      <c r="C812" s="1"/>
      <c r="D812" s="131" t="s">
        <v>1280</v>
      </c>
      <c r="E812" s="164"/>
      <c r="F812" s="14"/>
      <c r="G812" s="14"/>
      <c r="H812" s="14"/>
      <c r="I812" s="14"/>
      <c r="J812" s="126"/>
      <c r="K812" s="126"/>
      <c r="L812" s="126"/>
      <c r="M812" s="126"/>
      <c r="N812" s="126"/>
      <c r="O812" s="126"/>
      <c r="P812" s="126"/>
      <c r="Q812" s="126"/>
      <c r="R812" s="126"/>
      <c r="S812" s="126"/>
      <c r="T812" s="126"/>
      <c r="U812" s="126"/>
      <c r="V812" s="126"/>
      <c r="W812" s="126"/>
      <c r="X812" s="126"/>
      <c r="Y812" s="126"/>
      <c r="Z812" s="126"/>
      <c r="AA812" s="126"/>
      <c r="AB812" s="126"/>
      <c r="AC812" s="126"/>
      <c r="AD812" s="683"/>
      <c r="AE812" s="126">
        <v>54.4</v>
      </c>
      <c r="AF812" s="126"/>
      <c r="AG812" s="126"/>
      <c r="AH812" s="126"/>
      <c r="AI812" s="126"/>
      <c r="AJ812" s="126"/>
      <c r="AK812" s="126"/>
      <c r="AL812" s="126"/>
      <c r="AM812" s="126"/>
      <c r="AN812" s="126"/>
      <c r="AO812" s="126"/>
      <c r="AP812" s="126"/>
      <c r="AQ812" s="126"/>
      <c r="AR812" s="126"/>
      <c r="AS812" s="126"/>
      <c r="AT812" s="126"/>
    </row>
    <row r="813" spans="1:46" hidden="1">
      <c r="A813" s="1"/>
      <c r="B813" s="1"/>
      <c r="C813" s="1"/>
      <c r="D813" s="132" t="s">
        <v>184</v>
      </c>
      <c r="E813" s="168" t="s">
        <v>242</v>
      </c>
      <c r="F813" s="14"/>
      <c r="G813" s="14"/>
      <c r="H813" s="14"/>
      <c r="I813" s="14"/>
      <c r="J813" s="126"/>
      <c r="K813" s="126"/>
      <c r="L813" s="126"/>
      <c r="M813" s="126"/>
      <c r="N813" s="126"/>
      <c r="O813" s="126"/>
      <c r="P813" s="126"/>
      <c r="Q813" s="126"/>
      <c r="R813" s="126"/>
      <c r="S813" s="126"/>
      <c r="T813" s="126"/>
      <c r="U813" s="126"/>
      <c r="V813" s="126"/>
      <c r="W813" s="126">
        <v>0</v>
      </c>
      <c r="X813" s="126">
        <v>16.2</v>
      </c>
      <c r="Y813" s="126">
        <v>0</v>
      </c>
      <c r="Z813" s="126">
        <v>0</v>
      </c>
      <c r="AA813" s="126">
        <f>FISCinyear!HX588</f>
        <v>0</v>
      </c>
      <c r="AB813" s="126">
        <v>143.60857432179233</v>
      </c>
      <c r="AC813" s="126">
        <v>54.065289391982986</v>
      </c>
      <c r="AD813" s="683">
        <f>AG1859</f>
        <v>0</v>
      </c>
      <c r="AE813" s="126">
        <v>86.43933586343168</v>
      </c>
      <c r="AF813" s="126">
        <v>112.28298244284116</v>
      </c>
      <c r="AG813" s="126">
        <f>AJ1860</f>
        <v>0</v>
      </c>
      <c r="AH813" s="126"/>
      <c r="AI813" s="126"/>
      <c r="AJ813" s="126"/>
      <c r="AK813" s="126"/>
      <c r="AL813" s="126"/>
      <c r="AM813" s="126"/>
      <c r="AN813" s="126"/>
      <c r="AO813" s="126"/>
      <c r="AP813" s="126"/>
      <c r="AQ813" s="126"/>
      <c r="AR813" s="126"/>
      <c r="AS813" s="126"/>
      <c r="AT813" s="126"/>
    </row>
    <row r="814" spans="1:46" hidden="1">
      <c r="A814" s="1"/>
      <c r="B814" s="1"/>
      <c r="C814" s="1"/>
      <c r="D814" s="132" t="s">
        <v>185</v>
      </c>
      <c r="E814" s="168" t="s">
        <v>242</v>
      </c>
      <c r="F814" s="14"/>
      <c r="G814" s="14"/>
      <c r="H814" s="14"/>
      <c r="I814" s="14"/>
      <c r="J814" s="126"/>
      <c r="K814" s="126"/>
      <c r="L814" s="126"/>
      <c r="M814" s="126"/>
      <c r="N814" s="126"/>
      <c r="O814" s="126"/>
      <c r="P814" s="126"/>
      <c r="Q814" s="126"/>
      <c r="R814" s="126"/>
      <c r="S814" s="126"/>
      <c r="T814" s="126"/>
      <c r="U814" s="126"/>
      <c r="V814" s="126"/>
      <c r="W814" s="126">
        <v>0</v>
      </c>
      <c r="X814" s="126">
        <v>0</v>
      </c>
      <c r="Y814" s="126">
        <v>0</v>
      </c>
      <c r="Z814" s="126">
        <v>0</v>
      </c>
      <c r="AA814" s="126">
        <f>FISCinyear!HX589</f>
        <v>0</v>
      </c>
      <c r="AB814" s="126">
        <v>183.82033813965148</v>
      </c>
      <c r="AC814" s="126">
        <v>157.43118446500003</v>
      </c>
      <c r="AD814" s="683">
        <v>0</v>
      </c>
      <c r="AE814" s="126">
        <v>1</v>
      </c>
      <c r="AF814" s="126">
        <v>2</v>
      </c>
      <c r="AG814" s="126">
        <v>3</v>
      </c>
      <c r="AH814" s="126"/>
      <c r="AI814" s="126"/>
      <c r="AJ814" s="126"/>
      <c r="AK814" s="126"/>
      <c r="AL814" s="126"/>
      <c r="AM814" s="126"/>
      <c r="AN814" s="126"/>
      <c r="AO814" s="126"/>
      <c r="AP814" s="126"/>
      <c r="AQ814" s="126"/>
      <c r="AR814" s="126"/>
      <c r="AS814" s="126"/>
      <c r="AT814" s="126"/>
    </row>
    <row r="815" spans="1:46" hidden="1">
      <c r="A815" s="1"/>
      <c r="B815" s="1"/>
      <c r="C815" s="1"/>
      <c r="D815" s="132" t="s">
        <v>1238</v>
      </c>
      <c r="E815" s="168"/>
      <c r="F815" s="14"/>
      <c r="G815" s="14"/>
      <c r="H815" s="14"/>
      <c r="I815" s="14"/>
      <c r="J815" s="126"/>
      <c r="K815" s="126"/>
      <c r="L815" s="126"/>
      <c r="M815" s="126"/>
      <c r="N815" s="126"/>
      <c r="O815" s="126"/>
      <c r="P815" s="126"/>
      <c r="Q815" s="126"/>
      <c r="R815" s="126"/>
      <c r="S815" s="126"/>
      <c r="T815" s="126"/>
      <c r="U815" s="126"/>
      <c r="V815" s="126"/>
      <c r="W815" s="126"/>
      <c r="X815" s="126"/>
      <c r="Y815" s="126"/>
      <c r="Z815" s="126"/>
      <c r="AA815" s="126"/>
      <c r="AB815" s="126"/>
      <c r="AC815" s="126"/>
      <c r="AD815" s="683">
        <f>AG1861</f>
        <v>396.92142349457174</v>
      </c>
      <c r="AE815" s="126">
        <v>200.81324575833941</v>
      </c>
      <c r="AF815" s="126">
        <v>141.86392746506087</v>
      </c>
      <c r="AG815" s="126">
        <f>AJ1861</f>
        <v>787.38506036315653</v>
      </c>
      <c r="AH815" s="126"/>
      <c r="AI815" s="126"/>
      <c r="AJ815" s="126"/>
      <c r="AK815" s="126"/>
      <c r="AL815" s="126"/>
      <c r="AM815" s="126"/>
      <c r="AN815" s="126"/>
      <c r="AO815" s="126"/>
      <c r="AP815" s="126"/>
      <c r="AQ815" s="126"/>
      <c r="AR815" s="126"/>
      <c r="AS815" s="126"/>
      <c r="AT815" s="126"/>
    </row>
    <row r="816" spans="1:46" hidden="1">
      <c r="A816" s="1"/>
      <c r="B816" s="1"/>
      <c r="C816" s="1"/>
      <c r="D816" s="132" t="s">
        <v>1209</v>
      </c>
      <c r="E816" s="168"/>
      <c r="F816" s="14"/>
      <c r="G816" s="14"/>
      <c r="H816" s="14"/>
      <c r="I816" s="14"/>
      <c r="J816" s="126"/>
      <c r="K816" s="126"/>
      <c r="L816" s="126"/>
      <c r="M816" s="126"/>
      <c r="N816" s="126"/>
      <c r="O816" s="126"/>
      <c r="P816" s="126"/>
      <c r="Q816" s="126"/>
      <c r="R816" s="126"/>
      <c r="S816" s="126"/>
      <c r="T816" s="126"/>
      <c r="U816" s="126"/>
      <c r="V816" s="126"/>
      <c r="W816" s="126"/>
      <c r="X816" s="126"/>
      <c r="Y816" s="126"/>
      <c r="Z816" s="126"/>
      <c r="AA816" s="126"/>
      <c r="AB816" s="126"/>
      <c r="AC816" s="126">
        <v>0</v>
      </c>
      <c r="AD816" s="683"/>
      <c r="AE816" s="126"/>
      <c r="AF816" s="126"/>
      <c r="AG816" s="126"/>
      <c r="AH816" s="126"/>
      <c r="AI816" s="126"/>
      <c r="AJ816" s="126"/>
      <c r="AK816" s="126"/>
      <c r="AL816" s="126"/>
      <c r="AM816" s="126"/>
      <c r="AN816" s="126"/>
      <c r="AO816" s="126"/>
      <c r="AP816" s="126"/>
      <c r="AQ816" s="126"/>
      <c r="AR816" s="126"/>
      <c r="AS816" s="126"/>
      <c r="AT816" s="126"/>
    </row>
    <row r="817" spans="1:46" hidden="1">
      <c r="A817" s="1"/>
      <c r="B817" s="1"/>
      <c r="C817" s="1"/>
      <c r="D817" s="1432" t="s">
        <v>2393</v>
      </c>
      <c r="E817" s="168"/>
      <c r="F817" s="14"/>
      <c r="G817" s="14"/>
      <c r="H817" s="14"/>
      <c r="I817" s="14"/>
      <c r="J817" s="126"/>
      <c r="K817" s="126"/>
      <c r="L817" s="126"/>
      <c r="M817" s="126"/>
      <c r="N817" s="126"/>
      <c r="O817" s="126"/>
      <c r="P817" s="126"/>
      <c r="Q817" s="126"/>
      <c r="R817" s="126"/>
      <c r="S817" s="126"/>
      <c r="T817" s="126"/>
      <c r="U817" s="126"/>
      <c r="V817" s="126"/>
      <c r="W817" s="126"/>
      <c r="X817" s="126"/>
      <c r="Y817" s="126"/>
      <c r="Z817" s="126"/>
      <c r="AA817" s="126"/>
      <c r="AB817" s="126"/>
      <c r="AC817" s="126"/>
      <c r="AD817" s="683"/>
      <c r="AE817" s="1434">
        <v>36.900697520000001</v>
      </c>
      <c r="AF817" s="126"/>
      <c r="AG817" s="126"/>
      <c r="AH817" s="126"/>
      <c r="AI817" s="126"/>
      <c r="AJ817" s="126"/>
      <c r="AK817" s="126"/>
      <c r="AL817" s="126"/>
      <c r="AM817" s="126"/>
      <c r="AN817" s="126"/>
      <c r="AO817" s="126"/>
      <c r="AP817" s="126"/>
      <c r="AQ817" s="126"/>
      <c r="AR817" s="126"/>
      <c r="AS817" s="126"/>
      <c r="AT817" s="126"/>
    </row>
    <row r="818" spans="1:46" ht="16" hidden="1" thickBot="1">
      <c r="A818" s="1"/>
      <c r="B818" s="1"/>
      <c r="C818" s="1"/>
      <c r="D818" s="1433" t="s">
        <v>2394</v>
      </c>
      <c r="E818" s="168"/>
      <c r="F818" s="14"/>
      <c r="G818" s="14"/>
      <c r="H818" s="14"/>
      <c r="I818" s="14"/>
      <c r="J818" s="126"/>
      <c r="K818" s="126"/>
      <c r="L818" s="126"/>
      <c r="M818" s="126"/>
      <c r="N818" s="126"/>
      <c r="O818" s="126"/>
      <c r="P818" s="126"/>
      <c r="Q818" s="126"/>
      <c r="R818" s="126"/>
      <c r="S818" s="126"/>
      <c r="T818" s="126"/>
      <c r="U818" s="126"/>
      <c r="V818" s="126"/>
      <c r="W818" s="126"/>
      <c r="X818" s="126"/>
      <c r="Y818" s="126"/>
      <c r="Z818" s="126"/>
      <c r="AA818" s="126"/>
      <c r="AB818" s="126"/>
      <c r="AC818" s="126"/>
      <c r="AD818" s="683"/>
      <c r="AE818" s="1435">
        <v>18.450348760000001</v>
      </c>
      <c r="AF818" s="126"/>
      <c r="AG818" s="126"/>
      <c r="AH818" s="126"/>
      <c r="AI818" s="126"/>
      <c r="AJ818" s="126"/>
      <c r="AK818" s="126"/>
      <c r="AL818" s="126"/>
      <c r="AM818" s="126"/>
      <c r="AN818" s="126"/>
      <c r="AO818" s="126"/>
      <c r="AP818" s="126"/>
      <c r="AQ818" s="126"/>
      <c r="AR818" s="126"/>
      <c r="AS818" s="126"/>
      <c r="AT818" s="126"/>
    </row>
    <row r="819" spans="1:46" ht="16" hidden="1" thickBot="1">
      <c r="A819" s="1"/>
      <c r="B819" s="1"/>
      <c r="C819" s="1"/>
      <c r="D819" s="132" t="s">
        <v>791</v>
      </c>
      <c r="E819" s="168"/>
      <c r="F819" s="14"/>
      <c r="G819" s="14"/>
      <c r="H819" s="14"/>
      <c r="I819" s="14"/>
      <c r="J819" s="126"/>
      <c r="K819" s="126"/>
      <c r="L819" s="126"/>
      <c r="M819" s="126"/>
      <c r="N819" s="126"/>
      <c r="O819" s="126"/>
      <c r="P819" s="126"/>
      <c r="Q819" s="126"/>
      <c r="R819" s="126"/>
      <c r="S819" s="126"/>
      <c r="T819" s="126"/>
      <c r="U819" s="126"/>
      <c r="V819" s="126"/>
      <c r="W819" s="126"/>
      <c r="X819" s="126"/>
      <c r="Y819" s="126"/>
      <c r="Z819" s="126"/>
      <c r="AA819" s="126"/>
      <c r="AB819" s="126">
        <v>0</v>
      </c>
      <c r="AC819" s="126"/>
      <c r="AD819" s="683">
        <f>+(AC77+AD70)*AD253/1000</f>
        <v>0</v>
      </c>
      <c r="AE819" s="1431">
        <v>0</v>
      </c>
      <c r="AF819" s="631">
        <f t="shared" ref="AF819:AO819" si="1052">+(AE77+AF70)*AF253/1000</f>
        <v>0</v>
      </c>
      <c r="AG819" s="631">
        <f t="shared" si="1052"/>
        <v>0</v>
      </c>
      <c r="AH819" s="631">
        <f t="shared" si="1052"/>
        <v>0</v>
      </c>
      <c r="AI819" s="631">
        <f t="shared" si="1052"/>
        <v>0</v>
      </c>
      <c r="AJ819" s="631">
        <f t="shared" si="1052"/>
        <v>0</v>
      </c>
      <c r="AK819" s="631">
        <f t="shared" si="1052"/>
        <v>0</v>
      </c>
      <c r="AL819" s="631">
        <f t="shared" si="1052"/>
        <v>115.75333350691321</v>
      </c>
      <c r="AM819" s="631">
        <f t="shared" si="1052"/>
        <v>17.141393107161011</v>
      </c>
      <c r="AN819" s="631">
        <f t="shared" si="1052"/>
        <v>144.89359896767002</v>
      </c>
      <c r="AO819" s="631">
        <f t="shared" si="1052"/>
        <v>151.22792905827018</v>
      </c>
      <c r="AP819" s="631"/>
      <c r="AQ819" s="631"/>
      <c r="AR819" s="631"/>
      <c r="AS819" s="631"/>
      <c r="AT819" s="631"/>
    </row>
    <row r="820" spans="1:46" hidden="1">
      <c r="A820" s="1"/>
      <c r="B820" s="1"/>
      <c r="C820" s="1"/>
      <c r="D820" s="1411" t="s">
        <v>2387</v>
      </c>
      <c r="E820" s="168"/>
      <c r="F820" s="14"/>
      <c r="G820" s="14"/>
      <c r="H820" s="14"/>
      <c r="I820" s="14"/>
      <c r="J820" s="126"/>
      <c r="K820" s="126"/>
      <c r="L820" s="126"/>
      <c r="M820" s="126"/>
      <c r="N820" s="126"/>
      <c r="O820" s="126"/>
      <c r="P820" s="126"/>
      <c r="Q820" s="126"/>
      <c r="R820" s="126"/>
      <c r="S820" s="126"/>
      <c r="T820" s="126"/>
      <c r="U820" s="126"/>
      <c r="V820" s="126"/>
      <c r="W820" s="126"/>
      <c r="X820" s="126"/>
      <c r="Y820" s="126"/>
      <c r="Z820" s="126"/>
      <c r="AA820" s="126"/>
      <c r="AB820" s="126"/>
      <c r="AC820" s="126"/>
      <c r="AD820" s="707"/>
      <c r="AE820" s="1410">
        <v>0</v>
      </c>
      <c r="AF820" s="148">
        <v>93.556281474809779</v>
      </c>
      <c r="AG820" s="148">
        <f>AG819</f>
        <v>0</v>
      </c>
      <c r="AH820" s="148"/>
      <c r="AI820" s="148"/>
      <c r="AJ820" s="148"/>
      <c r="AK820" s="148"/>
      <c r="AL820" s="148"/>
      <c r="AM820" s="148"/>
      <c r="AN820" s="148"/>
      <c r="AO820" s="148"/>
      <c r="AP820" s="148"/>
      <c r="AQ820" s="148"/>
      <c r="AR820" s="148"/>
      <c r="AS820" s="148"/>
      <c r="AT820" s="148"/>
    </row>
    <row r="821" spans="1:46" hidden="1">
      <c r="A821" s="1"/>
      <c r="B821" s="1"/>
      <c r="C821" s="1"/>
      <c r="D821" s="132" t="s">
        <v>1239</v>
      </c>
      <c r="E821" s="168"/>
      <c r="F821" s="14"/>
      <c r="G821" s="14"/>
      <c r="H821" s="14"/>
      <c r="I821" s="14"/>
      <c r="J821" s="126"/>
      <c r="K821" s="126"/>
      <c r="L821" s="126"/>
      <c r="M821" s="126"/>
      <c r="N821" s="126"/>
      <c r="O821" s="126"/>
      <c r="P821" s="126"/>
      <c r="Q821" s="126"/>
      <c r="R821" s="126"/>
      <c r="S821" s="126"/>
      <c r="T821" s="126"/>
      <c r="U821" s="126"/>
      <c r="V821" s="126"/>
      <c r="W821" s="126"/>
      <c r="X821" s="126"/>
      <c r="Y821" s="126"/>
      <c r="Z821" s="126"/>
      <c r="AA821" s="126"/>
      <c r="AB821" s="126"/>
      <c r="AC821" s="126"/>
      <c r="AD821" s="683">
        <f>AG1862</f>
        <v>165.11860005157172</v>
      </c>
      <c r="AE821" s="148">
        <v>32.285803754719375</v>
      </c>
      <c r="AF821" s="148">
        <v>38.602429242193438</v>
      </c>
      <c r="AG821" s="148">
        <f>AJ1862</f>
        <v>427.09952519475803</v>
      </c>
      <c r="AH821" s="148"/>
      <c r="AI821" s="148"/>
      <c r="AJ821" s="148"/>
      <c r="AK821" s="148"/>
      <c r="AL821" s="148"/>
      <c r="AM821" s="148"/>
      <c r="AN821" s="148"/>
      <c r="AO821" s="148"/>
      <c r="AP821" s="148"/>
      <c r="AQ821" s="148"/>
      <c r="AR821" s="148"/>
      <c r="AS821" s="148"/>
      <c r="AT821" s="148"/>
    </row>
    <row r="822" spans="1:46" hidden="1">
      <c r="A822" s="1"/>
      <c r="B822" s="1"/>
      <c r="C822" s="1"/>
      <c r="D822" s="131" t="s">
        <v>186</v>
      </c>
      <c r="E822" s="164"/>
      <c r="F822" s="14"/>
      <c r="G822" s="14"/>
      <c r="H822" s="14"/>
      <c r="I822" s="14"/>
      <c r="J822" s="126"/>
      <c r="K822" s="126"/>
      <c r="L822" s="126"/>
      <c r="M822" s="126"/>
      <c r="N822" s="126"/>
      <c r="O822" s="126"/>
      <c r="P822" s="126"/>
      <c r="Q822" s="126"/>
      <c r="R822" s="126"/>
      <c r="S822" s="126"/>
      <c r="T822" s="126"/>
      <c r="U822" s="126"/>
      <c r="V822" s="126"/>
      <c r="W822" s="126">
        <v>0</v>
      </c>
      <c r="X822" s="126">
        <v>337.9</v>
      </c>
      <c r="Y822" s="126">
        <v>66.283647365557997</v>
      </c>
      <c r="Z822" s="126">
        <f>0*92.8+99.233</f>
        <v>99.233000000000004</v>
      </c>
      <c r="AA822" s="126">
        <f>FISCinyear!HX591</f>
        <v>102.868015341633</v>
      </c>
      <c r="AB822" s="126">
        <v>0</v>
      </c>
      <c r="AC822" s="126">
        <v>170.35041550616</v>
      </c>
      <c r="AD822" s="683">
        <f>FISCinyear!IG591</f>
        <v>214.928464239612</v>
      </c>
      <c r="AE822" s="146">
        <v>287.97105069611632</v>
      </c>
      <c r="AF822" s="146">
        <f>+((AE61+AF58)*AF$253/1000)</f>
        <v>391.13359738891876</v>
      </c>
      <c r="AG822" s="146">
        <f>+((AF61+AG58)*AG$253/1000)</f>
        <v>406.53126666921986</v>
      </c>
      <c r="AH822" s="146">
        <f t="shared" ref="AH822:AO822" si="1053">+(AG61+AH58)*AH$253/1000</f>
        <v>429.00165642802523</v>
      </c>
      <c r="AI822" s="146">
        <f t="shared" si="1053"/>
        <v>629.39202538546635</v>
      </c>
      <c r="AJ822" s="146">
        <f t="shared" si="1053"/>
        <v>608.67462293576659</v>
      </c>
      <c r="AK822" s="146">
        <f t="shared" si="1053"/>
        <v>622.31717167411489</v>
      </c>
      <c r="AL822" s="146">
        <f t="shared" si="1053"/>
        <v>691.10374325500595</v>
      </c>
      <c r="AM822" s="146">
        <f t="shared" si="1053"/>
        <v>757.90284103393492</v>
      </c>
      <c r="AN822" s="146">
        <f t="shared" si="1053"/>
        <v>866.89395039810574</v>
      </c>
      <c r="AO822" s="146">
        <f t="shared" si="1053"/>
        <v>978.70108417141194</v>
      </c>
      <c r="AP822" s="146"/>
      <c r="AQ822" s="146"/>
      <c r="AR822" s="146"/>
      <c r="AS822" s="146"/>
      <c r="AT822" s="146"/>
    </row>
    <row r="823" spans="1:46" hidden="1">
      <c r="A823" s="1"/>
      <c r="B823" s="1"/>
      <c r="C823" s="1"/>
      <c r="D823" s="132" t="s">
        <v>187</v>
      </c>
      <c r="E823" s="168" t="s">
        <v>242</v>
      </c>
      <c r="F823" s="14"/>
      <c r="G823" s="14"/>
      <c r="H823" s="14"/>
      <c r="I823" s="14"/>
      <c r="J823" s="126"/>
      <c r="K823" s="126"/>
      <c r="L823" s="126"/>
      <c r="M823" s="126"/>
      <c r="N823" s="126"/>
      <c r="O823" s="126"/>
      <c r="P823" s="126"/>
      <c r="Q823" s="126"/>
      <c r="R823" s="126"/>
      <c r="S823" s="126"/>
      <c r="T823" s="126"/>
      <c r="U823" s="126"/>
      <c r="V823" s="126"/>
      <c r="W823" s="126">
        <v>0</v>
      </c>
      <c r="X823" s="126">
        <v>255.6</v>
      </c>
      <c r="Y823" s="126">
        <v>0</v>
      </c>
      <c r="Z823" s="126">
        <v>0</v>
      </c>
      <c r="AA823" s="126">
        <f>FISCinyear!HX592</f>
        <v>0</v>
      </c>
      <c r="AB823" s="126">
        <v>0</v>
      </c>
      <c r="AC823" s="126">
        <v>0</v>
      </c>
      <c r="AD823" s="683"/>
      <c r="AE823" s="126"/>
      <c r="AF823" s="126"/>
      <c r="AG823" s="126"/>
      <c r="AH823" s="126"/>
      <c r="AI823" s="126"/>
      <c r="AJ823" s="126"/>
      <c r="AK823" s="126"/>
      <c r="AL823" s="126"/>
      <c r="AM823" s="126"/>
      <c r="AN823" s="126"/>
      <c r="AO823" s="126"/>
      <c r="AP823" s="126"/>
      <c r="AQ823" s="126"/>
      <c r="AR823" s="126"/>
      <c r="AS823" s="126"/>
      <c r="AT823" s="126"/>
    </row>
    <row r="824" spans="1:46" hidden="1">
      <c r="A824" s="1"/>
      <c r="B824" s="1"/>
      <c r="C824" s="1"/>
      <c r="D824" s="132" t="s">
        <v>188</v>
      </c>
      <c r="E824" s="168" t="s">
        <v>242</v>
      </c>
      <c r="F824" s="14"/>
      <c r="G824" s="14"/>
      <c r="H824" s="14"/>
      <c r="I824" s="14"/>
      <c r="J824" s="126"/>
      <c r="K824" s="126"/>
      <c r="L824" s="126"/>
      <c r="M824" s="126"/>
      <c r="N824" s="126"/>
      <c r="O824" s="126"/>
      <c r="P824" s="126"/>
      <c r="Q824" s="126"/>
      <c r="R824" s="126"/>
      <c r="S824" s="126"/>
      <c r="T824" s="126"/>
      <c r="U824" s="126"/>
      <c r="V824" s="126"/>
      <c r="W824" s="126">
        <v>0</v>
      </c>
      <c r="X824" s="126">
        <v>0</v>
      </c>
      <c r="Y824" s="126">
        <v>0</v>
      </c>
      <c r="Z824" s="126">
        <v>0</v>
      </c>
      <c r="AA824" s="126">
        <f>FISCinyear!HX593</f>
        <v>0</v>
      </c>
      <c r="AB824" s="126">
        <v>0</v>
      </c>
      <c r="AC824" s="126">
        <v>0</v>
      </c>
      <c r="AD824" s="683"/>
      <c r="AE824" s="126"/>
      <c r="AF824" s="126"/>
      <c r="AG824" s="126"/>
      <c r="AH824" s="126"/>
      <c r="AI824" s="126"/>
      <c r="AJ824" s="126"/>
      <c r="AK824" s="126"/>
      <c r="AL824" s="126"/>
      <c r="AM824" s="126"/>
      <c r="AN824" s="126"/>
      <c r="AO824" s="126"/>
      <c r="AP824" s="126"/>
      <c r="AQ824" s="126"/>
      <c r="AR824" s="126"/>
      <c r="AS824" s="126"/>
      <c r="AT824" s="126"/>
    </row>
    <row r="825" spans="1:46" hidden="1">
      <c r="A825" s="1"/>
      <c r="B825" s="1"/>
      <c r="C825" s="1"/>
      <c r="D825" s="132" t="s">
        <v>189</v>
      </c>
      <c r="E825" s="168" t="s">
        <v>242</v>
      </c>
      <c r="F825" s="14"/>
      <c r="G825" s="14"/>
      <c r="H825" s="14"/>
      <c r="I825" s="14"/>
      <c r="J825" s="126"/>
      <c r="K825" s="126"/>
      <c r="L825" s="126"/>
      <c r="M825" s="126"/>
      <c r="N825" s="126"/>
      <c r="O825" s="126"/>
      <c r="P825" s="126"/>
      <c r="Q825" s="126"/>
      <c r="R825" s="126"/>
      <c r="S825" s="126"/>
      <c r="T825" s="126"/>
      <c r="U825" s="126"/>
      <c r="V825" s="126"/>
      <c r="W825" s="126">
        <v>0</v>
      </c>
      <c r="X825" s="126">
        <v>0</v>
      </c>
      <c r="Y825" s="126">
        <v>0</v>
      </c>
      <c r="Z825" s="126">
        <v>0</v>
      </c>
      <c r="AA825" s="126">
        <f>FISCinyear!HX594</f>
        <v>0</v>
      </c>
      <c r="AB825" s="126">
        <v>0</v>
      </c>
      <c r="AC825" s="126">
        <v>0</v>
      </c>
      <c r="AD825" s="683"/>
      <c r="AE825" s="126"/>
      <c r="AF825" s="126"/>
      <c r="AG825" s="126"/>
      <c r="AH825" s="126"/>
      <c r="AI825" s="126"/>
      <c r="AJ825" s="126"/>
      <c r="AK825" s="126"/>
      <c r="AL825" s="126"/>
      <c r="AM825" s="126"/>
      <c r="AN825" s="126"/>
      <c r="AO825" s="126"/>
      <c r="AP825" s="126"/>
      <c r="AQ825" s="126"/>
      <c r="AR825" s="126"/>
      <c r="AS825" s="126"/>
      <c r="AT825" s="126"/>
    </row>
    <row r="826" spans="1:46" hidden="1">
      <c r="A826" s="1"/>
      <c r="B826" s="1"/>
      <c r="C826" s="1"/>
      <c r="D826" s="129" t="s">
        <v>190</v>
      </c>
      <c r="E826" s="168"/>
      <c r="F826" s="14"/>
      <c r="G826" s="14"/>
      <c r="H826" s="14"/>
      <c r="I826" s="14"/>
      <c r="J826" s="126">
        <v>-7.6999999999999993</v>
      </c>
      <c r="K826" s="126">
        <v>-6.5476999999999999</v>
      </c>
      <c r="L826" s="126">
        <v>-6.1934000000000005</v>
      </c>
      <c r="M826" s="126">
        <v>-12.6957</v>
      </c>
      <c r="N826" s="126">
        <v>-15.16165</v>
      </c>
      <c r="O826" s="126">
        <v>-13.614739184499999</v>
      </c>
      <c r="P826" s="126">
        <v>-17.4360391845</v>
      </c>
      <c r="Q826" s="126">
        <v>-17.210450000000002</v>
      </c>
      <c r="R826" s="126">
        <v>-5.6</v>
      </c>
      <c r="S826" s="126">
        <v>-5.0999999999999996</v>
      </c>
      <c r="T826" s="126">
        <v>-4.4000000000000004</v>
      </c>
      <c r="U826" s="126">
        <v>-5</v>
      </c>
      <c r="V826" s="126">
        <v>-7.8795716799999997</v>
      </c>
      <c r="W826" s="126">
        <v>-9.6999999999999993</v>
      </c>
      <c r="X826" s="126">
        <v>-15.5</v>
      </c>
      <c r="Y826" s="126">
        <v>-11.038625171173628</v>
      </c>
      <c r="Z826" s="126">
        <v>-14.550458001815809</v>
      </c>
      <c r="AA826" s="126">
        <f>FISCinyear!HX595</f>
        <v>-17.121454944713733</v>
      </c>
      <c r="AB826" s="126">
        <v>-21.883363170974814</v>
      </c>
      <c r="AC826" s="126">
        <v>-25.817758485916514</v>
      </c>
      <c r="AD826" s="683">
        <f>FISCinyear!IG595</f>
        <v>-28.665006298050265</v>
      </c>
      <c r="AE826" s="1246">
        <v>-56.357301867890811</v>
      </c>
      <c r="AF826" s="126">
        <f>-((AE121+AE126+AF111+AF116)*AF253/1000)</f>
        <v>-138.46376237974926</v>
      </c>
      <c r="AG826" s="126">
        <f>-((AF121+AF126+AG111+AG116)*AG253/1000)</f>
        <v>-484.62946377611792</v>
      </c>
      <c r="AH826" s="126">
        <f t="shared" ref="AH826:AO826" si="1054">-(AG121+AG126+AH111+AH116)*AH253/1000</f>
        <v>-166.81651394214106</v>
      </c>
      <c r="AI826" s="126">
        <f t="shared" si="1054"/>
        <v>-125.66670271590607</v>
      </c>
      <c r="AJ826" s="126">
        <f t="shared" si="1054"/>
        <v>-188.12740684022049</v>
      </c>
      <c r="AK826" s="126">
        <f t="shared" si="1054"/>
        <v>-340.06736463441831</v>
      </c>
      <c r="AL826" s="126">
        <f t="shared" si="1054"/>
        <v>-486.23008463827006</v>
      </c>
      <c r="AM826" s="126">
        <f t="shared" si="1054"/>
        <v>-609.35129180970921</v>
      </c>
      <c r="AN826" s="126">
        <f t="shared" si="1054"/>
        <v>-788.97294355529255</v>
      </c>
      <c r="AO826" s="126">
        <f t="shared" si="1054"/>
        <v>-1005.8630131401972</v>
      </c>
      <c r="AP826" s="126"/>
      <c r="AQ826" s="126"/>
      <c r="AR826" s="126"/>
      <c r="AS826" s="126"/>
      <c r="AT826" s="126"/>
    </row>
    <row r="827" spans="1:46" hidden="1">
      <c r="A827" s="1"/>
      <c r="B827" s="1"/>
      <c r="C827" s="1"/>
      <c r="D827" s="129" t="s">
        <v>1279</v>
      </c>
      <c r="E827" s="168"/>
      <c r="F827" s="14"/>
      <c r="G827" s="14"/>
      <c r="H827" s="14"/>
      <c r="I827" s="14"/>
      <c r="J827" s="126"/>
      <c r="K827" s="126"/>
      <c r="L827" s="126"/>
      <c r="M827" s="126"/>
      <c r="N827" s="126"/>
      <c r="O827" s="126"/>
      <c r="P827" s="126"/>
      <c r="Q827" s="126"/>
      <c r="R827" s="126"/>
      <c r="S827" s="126"/>
      <c r="T827" s="126"/>
      <c r="U827" s="126"/>
      <c r="V827" s="126"/>
      <c r="W827" s="126"/>
      <c r="X827" s="126"/>
      <c r="Y827" s="126"/>
      <c r="Z827" s="126"/>
      <c r="AA827" s="126"/>
      <c r="AB827" s="126"/>
      <c r="AC827" s="126"/>
      <c r="AD827" s="683"/>
      <c r="AE827" s="126">
        <v>-15.958385955023342</v>
      </c>
      <c r="AF827" s="126">
        <v>-18.023970744770253</v>
      </c>
      <c r="AG827" s="126">
        <f>-(AF123+AF128+AG113+AG118)*AG253/1000</f>
        <v>-20.362304118326986</v>
      </c>
      <c r="AH827" s="126"/>
      <c r="AI827" s="126"/>
      <c r="AJ827" s="126"/>
      <c r="AK827" s="126"/>
      <c r="AL827" s="126"/>
      <c r="AM827" s="126"/>
      <c r="AN827" s="126"/>
      <c r="AO827" s="126"/>
      <c r="AP827" s="126"/>
      <c r="AQ827" s="126"/>
      <c r="AR827" s="126"/>
      <c r="AS827" s="126"/>
      <c r="AT827" s="126"/>
    </row>
    <row r="828" spans="1:46" hidden="1">
      <c r="A828" s="1"/>
      <c r="B828" s="1"/>
      <c r="C828" s="1"/>
      <c r="D828" s="133" t="s">
        <v>873</v>
      </c>
      <c r="E828" s="168"/>
      <c r="F828" s="14"/>
      <c r="G828" s="14"/>
      <c r="H828" s="14"/>
      <c r="I828" s="14"/>
      <c r="J828" s="126">
        <v>37.418013528499991</v>
      </c>
      <c r="K828" s="126">
        <v>20.146934028499999</v>
      </c>
      <c r="L828" s="126">
        <v>23.979750000000003</v>
      </c>
      <c r="M828" s="126">
        <v>27.4712</v>
      </c>
      <c r="N828" s="126">
        <v>16.42475</v>
      </c>
      <c r="O828" s="126">
        <v>13.076779184499994</v>
      </c>
      <c r="P828" s="126">
        <v>-8.6194697289400111</v>
      </c>
      <c r="Q828" s="126">
        <v>-10.787937861939998</v>
      </c>
      <c r="R828" s="126">
        <v>-5.9999999999999503</v>
      </c>
      <c r="S828" s="126">
        <v>-30.700000000000117</v>
      </c>
      <c r="T828" s="126">
        <v>-3.0999999999999943</v>
      </c>
      <c r="U828" s="126">
        <f t="shared" ref="U828:AA828" si="1055">+U829+U843</f>
        <v>-9.7000000000000011</v>
      </c>
      <c r="V828" s="126">
        <f t="shared" si="1055"/>
        <v>57.983399999999996</v>
      </c>
      <c r="W828" s="126">
        <f t="shared" si="1055"/>
        <v>-38.200000000000003</v>
      </c>
      <c r="X828" s="126">
        <f t="shared" si="1055"/>
        <v>-119.99712944561435</v>
      </c>
      <c r="Y828" s="126">
        <f t="shared" si="1055"/>
        <v>119.8721765811476</v>
      </c>
      <c r="Z828" s="126">
        <f t="shared" si="1055"/>
        <v>9.2999999999999972</v>
      </c>
      <c r="AA828" s="126">
        <f t="shared" si="1055"/>
        <v>47.086842903125344</v>
      </c>
      <c r="AB828" s="126">
        <v>24.5612687293828</v>
      </c>
      <c r="AC828" s="126">
        <v>42.957634732946076</v>
      </c>
      <c r="AD828" s="141">
        <f t="shared" ref="AD828:AK828" si="1056">+AD829+AD843</f>
        <v>54.068706620315865</v>
      </c>
      <c r="AE828" s="126">
        <v>88.652325063023426</v>
      </c>
      <c r="AF828" s="126">
        <v>265.5799971589999</v>
      </c>
      <c r="AG828" s="126">
        <f t="shared" si="1056"/>
        <v>225.00000000000006</v>
      </c>
      <c r="AH828" s="126">
        <f t="shared" si="1056"/>
        <v>160.5414257031031</v>
      </c>
      <c r="AI828" s="126">
        <f t="shared" si="1056"/>
        <v>301.06473235620956</v>
      </c>
      <c r="AJ828" s="126">
        <f t="shared" si="1056"/>
        <v>174.89999999999998</v>
      </c>
      <c r="AK828" s="126" t="e">
        <f t="shared" si="1056"/>
        <v>#DIV/0!</v>
      </c>
      <c r="AL828" s="126" t="e">
        <f>+AL829+AL843</f>
        <v>#DIV/0!</v>
      </c>
      <c r="AM828" s="126" t="e">
        <f>+AM829+AM843</f>
        <v>#DIV/0!</v>
      </c>
      <c r="AN828" s="126" t="e">
        <f t="shared" ref="AN828:AO828" si="1057">+AN829+AN843</f>
        <v>#DIV/0!</v>
      </c>
      <c r="AO828" s="126" t="e">
        <f t="shared" si="1057"/>
        <v>#DIV/0!</v>
      </c>
      <c r="AP828" s="126"/>
      <c r="AQ828" s="126"/>
      <c r="AR828" s="126"/>
      <c r="AS828" s="126"/>
      <c r="AT828" s="126"/>
    </row>
    <row r="829" spans="1:46" hidden="1">
      <c r="A829" s="1"/>
      <c r="B829" s="1"/>
      <c r="C829" s="1"/>
      <c r="D829" s="129" t="s">
        <v>875</v>
      </c>
      <c r="E829" s="168"/>
      <c r="F829" s="14"/>
      <c r="G829" s="14"/>
      <c r="H829" s="14"/>
      <c r="I829" s="14"/>
      <c r="J829" s="126">
        <v>2.15</v>
      </c>
      <c r="K829" s="126">
        <v>-2.9720000000000004</v>
      </c>
      <c r="L829" s="126">
        <v>-7.322000000000001</v>
      </c>
      <c r="M829" s="126">
        <v>-11.795549999999999</v>
      </c>
      <c r="N829" s="126">
        <v>-1.2955499999999986</v>
      </c>
      <c r="O829" s="126">
        <v>-16.299999999999997</v>
      </c>
      <c r="P829" s="126">
        <v>-39.677999999999997</v>
      </c>
      <c r="Q829" s="126">
        <v>-21.34</v>
      </c>
      <c r="R829" s="126">
        <v>-7.2</v>
      </c>
      <c r="S829" s="126">
        <v>-13.4</v>
      </c>
      <c r="T829" s="126">
        <v>18</v>
      </c>
      <c r="U829" s="126">
        <v>8.4</v>
      </c>
      <c r="V829" s="126">
        <v>77.599999999999994</v>
      </c>
      <c r="W829" s="126">
        <v>-15.4</v>
      </c>
      <c r="X829" s="126">
        <v>-144.29712944561436</v>
      </c>
      <c r="Y829" s="126">
        <v>150.64964507114763</v>
      </c>
      <c r="Z829" s="126">
        <f>+Z262-Y262</f>
        <v>0</v>
      </c>
      <c r="AA829" s="126">
        <f>FISCinyear!HX597</f>
        <v>-0.63051649636508955</v>
      </c>
      <c r="AB829" s="126">
        <v>16.564485398969001</v>
      </c>
      <c r="AC829" s="126">
        <v>48.83076168552401</v>
      </c>
      <c r="AD829" s="683">
        <f>FISCinyear!IG597</f>
        <v>-12.837968470684132</v>
      </c>
      <c r="AE829" s="126">
        <v>88.652325063023426</v>
      </c>
      <c r="AF829" s="126">
        <v>265.5799971589999</v>
      </c>
      <c r="AG829" s="126">
        <f t="shared" ref="AG829:AM829" si="1058">+AG830+AG832+AG833+AG840+AG842</f>
        <v>225.00000000000006</v>
      </c>
      <c r="AH829" s="126">
        <f t="shared" si="1058"/>
        <v>160.5414257031031</v>
      </c>
      <c r="AI829" s="126">
        <f t="shared" si="1058"/>
        <v>301.06473235620956</v>
      </c>
      <c r="AJ829" s="126">
        <f t="shared" si="1058"/>
        <v>174.89999999999998</v>
      </c>
      <c r="AK829" s="126" t="e">
        <f t="shared" si="1058"/>
        <v>#DIV/0!</v>
      </c>
      <c r="AL829" s="126" t="e">
        <f t="shared" si="1058"/>
        <v>#DIV/0!</v>
      </c>
      <c r="AM829" s="126" t="e">
        <f t="shared" si="1058"/>
        <v>#DIV/0!</v>
      </c>
      <c r="AN829" s="126" t="e">
        <f t="shared" ref="AN829:AO829" si="1059">+AN830+AN832+AN833+AN840+AN842</f>
        <v>#DIV/0!</v>
      </c>
      <c r="AO829" s="126" t="e">
        <f t="shared" si="1059"/>
        <v>#DIV/0!</v>
      </c>
      <c r="AP829" s="126"/>
      <c r="AQ829" s="126"/>
      <c r="AR829" s="126"/>
      <c r="AS829" s="126"/>
      <c r="AT829" s="126"/>
    </row>
    <row r="830" spans="1:46" hidden="1">
      <c r="A830" s="1"/>
      <c r="B830" s="1"/>
      <c r="C830" s="1"/>
      <c r="D830" s="131" t="s">
        <v>879</v>
      </c>
      <c r="E830" s="168" t="s">
        <v>242</v>
      </c>
      <c r="F830" s="14"/>
      <c r="G830" s="14"/>
      <c r="H830" s="14"/>
      <c r="I830" s="14"/>
      <c r="J830" s="126"/>
      <c r="K830" s="126"/>
      <c r="L830" s="126"/>
      <c r="M830" s="126"/>
      <c r="N830" s="126"/>
      <c r="O830" s="126"/>
      <c r="P830" s="126"/>
      <c r="Q830" s="126"/>
      <c r="R830" s="126"/>
      <c r="S830" s="126"/>
      <c r="T830" s="126"/>
      <c r="U830" s="126"/>
      <c r="V830" s="126"/>
      <c r="W830" s="126">
        <v>0</v>
      </c>
      <c r="X830" s="126">
        <v>29.5</v>
      </c>
      <c r="Y830" s="126">
        <v>78.57616784814762</v>
      </c>
      <c r="Z830" s="126">
        <f>+Z829-Z832-Z833</f>
        <v>-54.3</v>
      </c>
      <c r="AA830" s="126">
        <f>FISCinyear!HX598</f>
        <v>-12.6978518823651</v>
      </c>
      <c r="AB830" s="126">
        <v>38.204477573968973</v>
      </c>
      <c r="AC830" s="126">
        <v>40.36999999999999</v>
      </c>
      <c r="AD830" s="683">
        <f>FISCinyear!IG598</f>
        <v>-6.4336592506841441</v>
      </c>
      <c r="AE830" s="148">
        <v>111.40000000000009</v>
      </c>
      <c r="AF830" s="148">
        <v>284.39999999999992</v>
      </c>
      <c r="AG830" s="148">
        <f>-8.3-263.2-450.3+900.6-25.8+13.9+52.2+0.2+600.4+57.5+18.1+6.3-15.6-105.4-18.4-241.3-16+5.4-104.3-181.5+0.3+0.1+0.1</f>
        <v>225.00000000000006</v>
      </c>
      <c r="AH830" s="148">
        <f>57-13.4+8.3-0.4+0.1+26.5+13.2+119.6+213.5-170.4-185.2+41.2-20.2-70.7+143.5-5.7+74.1-7.9-78.3-9.8-26.1+491.5+0.3+368.7+18.1+5.2-20.2-119.2-19.8-228.1-16+6.1-159.7-7.1-189.6-29.4-0.8-0.2+5.2-0.4</f>
        <v>213.49999999999986</v>
      </c>
      <c r="AI830" s="148">
        <f>57+29.3+20.7-0.3+0.2-42.8+358.1+270.8-257.6-360.8+90.2+57.9-95+172.3-7.8+4.3-8.6-12.3-129.8-55.6+374.8+106.7+0.4+541.6+18.1+5.4-40-134.5-24.3-307.4-16+6.9-177.9-38.3-50.4-26.6+0.1+9.4+12.8-0.2</f>
        <v>350.80000000000013</v>
      </c>
      <c r="AJ830" s="148">
        <f>-45.7+57+3.3+35.9+0.7+0.3+197.1+253.6-199.9-510.3+201+61.2-124.8+201.2-9.4-75.6-12.3+71.5-179-51+622.1+68.5+0.4+453.1+18.1+4.6+8-151.3-29.6-370.5-16+7.8-231.2-50.6-59.2-30.2+0.1+23.6+7.8+41.3-16.7</f>
        <v>174.89999999999998</v>
      </c>
      <c r="AK830" s="148">
        <f>57-322.3+39.5+2.4+0.4-84.1-6.7+2.3+596.5+15.4-611.5+221.9+2.7-139.7+318.9-10.2-205.6+241.4-197.1-59.3+578.6+45.3+0.5+468.8+18.1+13+43.5-170.2-30.4-286.6-16.1+8.9-456.1-83-62.9-33+0.2+15.2-65.2+125.5-19.6</f>
        <v>-43.600000000000058</v>
      </c>
      <c r="AL830" s="148">
        <f>57-322.3+39.5+2.4+0.4-84.1-6.7+2.3+596.5+15.4-611.5+221.9+2.7-139.7+318.9-10.2-205.6+241.4-197.1-59.3+578.6+45.3+0.5+468.8+18.1+13+43.5-170.2-30.4-286.6-16.1+8.9-456.1-83-62.9-33+0.2+15.2-65.2+125.5-19.6</f>
        <v>-43.600000000000058</v>
      </c>
      <c r="AM830" s="148">
        <f>57-322.3+39.5+2.4+0.4-84.1-6.7+2.3+596.5+15.4-611.5+221.9+2.7-139.7+318.9-10.2-205.6+241.4-197.1-59.3+578.6+45.3+0.5+468.8+18.1+13+43.5-170.2-30.4-286.6-16.1+8.9-456.1-83-62.9-33+0.2+15.2-65.2+125.5-19.6</f>
        <v>-43.600000000000058</v>
      </c>
      <c r="AN830" s="148">
        <f t="shared" ref="AN830:AO830" si="1060">57-322.3+39.5+2.4+0.4-84.1-6.7+2.3+596.5+15.4-611.5+221.9+2.7-139.7+318.9-10.2-205.6+241.4-197.1-59.3+578.6+45.3+0.5+468.8+18.1+13+43.5-170.2-30.4-286.6-16.1+8.9-456.1-83-62.9-33+0.2+15.2-65.2+125.5-19.6</f>
        <v>-43.600000000000058</v>
      </c>
      <c r="AO830" s="148">
        <f t="shared" si="1060"/>
        <v>-43.600000000000058</v>
      </c>
      <c r="AP830" s="148"/>
      <c r="AQ830" s="148"/>
      <c r="AR830" s="148"/>
      <c r="AS830" s="148"/>
      <c r="AT830" s="148"/>
    </row>
    <row r="831" spans="1:46" hidden="1">
      <c r="A831" s="1"/>
      <c r="B831" s="1"/>
      <c r="C831" s="1"/>
      <c r="D831" s="131" t="s">
        <v>825</v>
      </c>
      <c r="E831" s="168"/>
      <c r="F831" s="14"/>
      <c r="G831" s="14"/>
      <c r="H831" s="14"/>
      <c r="I831" s="14"/>
      <c r="J831" s="126"/>
      <c r="K831" s="126"/>
      <c r="L831" s="126"/>
      <c r="M831" s="126"/>
      <c r="N831" s="126"/>
      <c r="O831" s="126"/>
      <c r="P831" s="126"/>
      <c r="Q831" s="126"/>
      <c r="R831" s="126"/>
      <c r="S831" s="126"/>
      <c r="T831" s="126"/>
      <c r="U831" s="126"/>
      <c r="V831" s="126"/>
      <c r="W831" s="126"/>
      <c r="X831" s="126"/>
      <c r="Y831" s="126"/>
      <c r="Z831" s="126"/>
      <c r="AA831" s="126"/>
      <c r="AB831" s="126">
        <v>0</v>
      </c>
      <c r="AC831" s="126">
        <v>40.36999999999999</v>
      </c>
      <c r="AD831" s="683">
        <f>+AD830</f>
        <v>-6.4336592506841441</v>
      </c>
      <c r="AE831" s="716">
        <v>111.40000000000009</v>
      </c>
      <c r="AF831" s="716">
        <v>284.39999999999992</v>
      </c>
      <c r="AG831" s="716">
        <f t="shared" ref="AG831:AM831" si="1061">+AG830</f>
        <v>225.00000000000006</v>
      </c>
      <c r="AH831" s="716">
        <f t="shared" si="1061"/>
        <v>213.49999999999986</v>
      </c>
      <c r="AI831" s="716">
        <f t="shared" si="1061"/>
        <v>350.80000000000013</v>
      </c>
      <c r="AJ831" s="716">
        <f t="shared" si="1061"/>
        <v>174.89999999999998</v>
      </c>
      <c r="AK831" s="716">
        <f t="shared" si="1061"/>
        <v>-43.600000000000058</v>
      </c>
      <c r="AL831" s="716">
        <f t="shared" si="1061"/>
        <v>-43.600000000000058</v>
      </c>
      <c r="AM831" s="716">
        <f t="shared" si="1061"/>
        <v>-43.600000000000058</v>
      </c>
      <c r="AN831" s="716">
        <f t="shared" ref="AN831:AO831" si="1062">+AN830</f>
        <v>-43.600000000000058</v>
      </c>
      <c r="AO831" s="716">
        <f t="shared" si="1062"/>
        <v>-43.600000000000058</v>
      </c>
      <c r="AP831" s="716"/>
      <c r="AQ831" s="716"/>
      <c r="AR831" s="716"/>
      <c r="AS831" s="716"/>
      <c r="AT831" s="716"/>
    </row>
    <row r="832" spans="1:46" hidden="1">
      <c r="A832" s="1"/>
      <c r="B832" s="1"/>
      <c r="C832" s="1"/>
      <c r="D832" s="131" t="s">
        <v>880</v>
      </c>
      <c r="E832" s="172" t="s">
        <v>243</v>
      </c>
      <c r="F832" s="14"/>
      <c r="G832" s="14"/>
      <c r="H832" s="14"/>
      <c r="I832" s="14"/>
      <c r="J832" s="126"/>
      <c r="K832" s="126"/>
      <c r="L832" s="126"/>
      <c r="M832" s="126"/>
      <c r="N832" s="126"/>
      <c r="O832" s="126"/>
      <c r="P832" s="126"/>
      <c r="Q832" s="126"/>
      <c r="R832" s="126"/>
      <c r="S832" s="126"/>
      <c r="T832" s="126"/>
      <c r="U832" s="126"/>
      <c r="V832" s="126"/>
      <c r="W832" s="126">
        <v>0</v>
      </c>
      <c r="X832" s="126">
        <v>-107.9</v>
      </c>
      <c r="Y832" s="126">
        <v>49.745671745000003</v>
      </c>
      <c r="Z832" s="126">
        <f>0*14.8+25.7</f>
        <v>25.7</v>
      </c>
      <c r="AA832" s="126">
        <f>FISCinyear!HX600</f>
        <v>19.346579886000001</v>
      </c>
      <c r="AB832" s="126">
        <v>0</v>
      </c>
      <c r="AC832" s="126">
        <v>0</v>
      </c>
      <c r="AD832" s="683"/>
      <c r="AE832" s="126"/>
      <c r="AF832" s="573"/>
      <c r="AG832" s="126"/>
      <c r="AH832" s="573">
        <v>-9.1999999999999993</v>
      </c>
      <c r="AI832" s="573"/>
      <c r="AJ832" s="573"/>
      <c r="AK832" s="573"/>
      <c r="AL832" s="573"/>
      <c r="AM832" s="573"/>
      <c r="AN832" s="573"/>
      <c r="AO832" s="573"/>
      <c r="AP832" s="573"/>
      <c r="AQ832" s="573"/>
      <c r="AR832" s="573"/>
      <c r="AS832" s="573"/>
      <c r="AT832" s="573"/>
    </row>
    <row r="833" spans="1:46" hidden="1">
      <c r="A833" s="1"/>
      <c r="B833" s="1"/>
      <c r="C833" s="1"/>
      <c r="D833" s="576" t="s">
        <v>881</v>
      </c>
      <c r="E833" s="172" t="s">
        <v>243</v>
      </c>
      <c r="F833" s="14"/>
      <c r="G833" s="14"/>
      <c r="H833" s="14"/>
      <c r="I833" s="14"/>
      <c r="J833" s="126"/>
      <c r="K833" s="126"/>
      <c r="L833" s="126"/>
      <c r="M833" s="126"/>
      <c r="N833" s="126"/>
      <c r="O833" s="126"/>
      <c r="P833" s="126"/>
      <c r="Q833" s="126"/>
      <c r="R833" s="126"/>
      <c r="S833" s="126"/>
      <c r="T833" s="126"/>
      <c r="U833" s="126"/>
      <c r="V833" s="126"/>
      <c r="W833" s="126">
        <v>0</v>
      </c>
      <c r="X833" s="126">
        <v>-33.4</v>
      </c>
      <c r="Y833" s="126">
        <v>22.327805478000002</v>
      </c>
      <c r="Z833" s="573">
        <v>28.6</v>
      </c>
      <c r="AA833" s="573">
        <f>FISCinyear!HX601</f>
        <v>10.220755499999999</v>
      </c>
      <c r="AB833" s="573">
        <v>19.200000000000003</v>
      </c>
      <c r="AC833" s="573">
        <v>3.8466942869999912</v>
      </c>
      <c r="AD833" s="683"/>
      <c r="AE833" s="992"/>
      <c r="AF833" s="573"/>
      <c r="AG833" s="126"/>
      <c r="AH833" s="573"/>
      <c r="AI833" s="573"/>
      <c r="AJ833" s="573"/>
      <c r="AK833" s="573"/>
      <c r="AL833" s="573"/>
      <c r="AM833" s="573"/>
      <c r="AN833" s="573"/>
      <c r="AO833" s="573"/>
      <c r="AP833" s="573"/>
      <c r="AQ833" s="573"/>
      <c r="AR833" s="573"/>
      <c r="AS833" s="573"/>
      <c r="AT833" s="573"/>
    </row>
    <row r="834" spans="1:46" hidden="1">
      <c r="A834" s="1"/>
      <c r="B834" s="1"/>
      <c r="C834" s="1"/>
      <c r="D834" s="131" t="s">
        <v>882</v>
      </c>
      <c r="E834" s="172" t="s">
        <v>243</v>
      </c>
      <c r="F834" s="14"/>
      <c r="G834" s="14"/>
      <c r="H834" s="14"/>
      <c r="I834" s="14"/>
      <c r="J834" s="126"/>
      <c r="K834" s="126"/>
      <c r="L834" s="126"/>
      <c r="M834" s="126"/>
      <c r="N834" s="126"/>
      <c r="O834" s="126"/>
      <c r="P834" s="126"/>
      <c r="Q834" s="126"/>
      <c r="R834" s="126"/>
      <c r="S834" s="126"/>
      <c r="T834" s="126"/>
      <c r="U834" s="126"/>
      <c r="V834" s="126"/>
      <c r="W834" s="126">
        <v>0</v>
      </c>
      <c r="X834" s="126">
        <v>0</v>
      </c>
      <c r="Y834" s="126">
        <v>-32.5</v>
      </c>
      <c r="Z834" s="126">
        <v>0</v>
      </c>
      <c r="AA834" s="126">
        <f>FISCinyear!HX602</f>
        <v>0</v>
      </c>
      <c r="AB834" s="126">
        <v>0</v>
      </c>
      <c r="AC834" s="126"/>
      <c r="AD834" s="683"/>
      <c r="AE834" s="126"/>
      <c r="AF834" s="126"/>
      <c r="AG834" s="126"/>
      <c r="AH834" s="126"/>
      <c r="AI834" s="126"/>
      <c r="AJ834" s="126"/>
      <c r="AK834" s="126"/>
      <c r="AL834" s="126"/>
      <c r="AM834" s="126"/>
      <c r="AN834" s="126"/>
      <c r="AO834" s="126"/>
      <c r="AP834" s="126"/>
      <c r="AQ834" s="126"/>
      <c r="AR834" s="126"/>
      <c r="AS834" s="126"/>
      <c r="AT834" s="126"/>
    </row>
    <row r="835" spans="1:46" hidden="1">
      <c r="A835" s="1"/>
      <c r="B835" s="1"/>
      <c r="C835" s="1"/>
      <c r="D835" s="1247" t="s">
        <v>1273</v>
      </c>
      <c r="E835" s="172"/>
      <c r="F835" s="14"/>
      <c r="G835" s="14"/>
      <c r="H835" s="14"/>
      <c r="I835" s="14"/>
      <c r="J835" s="126"/>
      <c r="K835" s="126"/>
      <c r="L835" s="126"/>
      <c r="M835" s="126"/>
      <c r="N835" s="126"/>
      <c r="O835" s="126"/>
      <c r="P835" s="126"/>
      <c r="Q835" s="126"/>
      <c r="R835" s="126"/>
      <c r="S835" s="126"/>
      <c r="T835" s="126"/>
      <c r="U835" s="126"/>
      <c r="V835" s="126"/>
      <c r="W835" s="126"/>
      <c r="X835" s="126"/>
      <c r="Y835" s="126"/>
      <c r="Z835" s="126"/>
      <c r="AA835" s="126"/>
      <c r="AB835" s="126"/>
      <c r="AC835" s="126"/>
      <c r="AD835" s="683"/>
      <c r="AE835" s="126">
        <v>25.6</v>
      </c>
      <c r="AF835" s="126"/>
      <c r="AG835" s="126"/>
      <c r="AH835" s="126"/>
      <c r="AI835" s="126"/>
      <c r="AJ835" s="126"/>
      <c r="AK835" s="126"/>
      <c r="AL835" s="126"/>
      <c r="AM835" s="126"/>
      <c r="AN835" s="126"/>
      <c r="AO835" s="126"/>
      <c r="AP835" s="126"/>
      <c r="AQ835" s="126"/>
      <c r="AR835" s="126"/>
      <c r="AS835" s="126"/>
      <c r="AT835" s="126"/>
    </row>
    <row r="836" spans="1:46" hidden="1">
      <c r="A836" s="1"/>
      <c r="B836" s="1"/>
      <c r="C836" s="1"/>
      <c r="D836" s="1247" t="s">
        <v>1274</v>
      </c>
      <c r="E836" s="172"/>
      <c r="F836" s="14"/>
      <c r="G836" s="14"/>
      <c r="H836" s="14"/>
      <c r="I836" s="14"/>
      <c r="J836" s="126"/>
      <c r="K836" s="126"/>
      <c r="L836" s="126"/>
      <c r="M836" s="126"/>
      <c r="N836" s="126"/>
      <c r="O836" s="126"/>
      <c r="P836" s="126"/>
      <c r="Q836" s="126"/>
      <c r="R836" s="126"/>
      <c r="S836" s="126"/>
      <c r="T836" s="126"/>
      <c r="U836" s="126"/>
      <c r="V836" s="126"/>
      <c r="W836" s="126"/>
      <c r="X836" s="126"/>
      <c r="Y836" s="126"/>
      <c r="Z836" s="126"/>
      <c r="AA836" s="126"/>
      <c r="AB836" s="126"/>
      <c r="AC836" s="126"/>
      <c r="AD836" s="683"/>
      <c r="AE836" s="126">
        <v>-7.5320889099766575</v>
      </c>
      <c r="AF836" s="126">
        <v>-8.5111547032297459</v>
      </c>
      <c r="AG836" s="126">
        <f>AJ1872-AG827</f>
        <v>20.362304118326986</v>
      </c>
      <c r="AH836" s="126"/>
      <c r="AI836" s="126"/>
      <c r="AJ836" s="126"/>
      <c r="AK836" s="126"/>
      <c r="AL836" s="126"/>
      <c r="AM836" s="126"/>
      <c r="AN836" s="126"/>
      <c r="AO836" s="126"/>
      <c r="AP836" s="126"/>
      <c r="AQ836" s="126"/>
      <c r="AR836" s="126"/>
      <c r="AS836" s="126"/>
      <c r="AT836" s="126"/>
    </row>
    <row r="837" spans="1:46" hidden="1">
      <c r="A837" s="1"/>
      <c r="B837" s="1"/>
      <c r="C837" s="1"/>
      <c r="D837" s="131" t="s">
        <v>883</v>
      </c>
      <c r="E837" s="172" t="s">
        <v>243</v>
      </c>
      <c r="F837" s="14"/>
      <c r="G837" s="14"/>
      <c r="H837" s="14"/>
      <c r="I837" s="14"/>
      <c r="J837" s="126"/>
      <c r="K837" s="126"/>
      <c r="L837" s="126"/>
      <c r="M837" s="126"/>
      <c r="N837" s="126"/>
      <c r="O837" s="126"/>
      <c r="P837" s="126"/>
      <c r="Q837" s="126"/>
      <c r="R837" s="126"/>
      <c r="S837" s="126"/>
      <c r="T837" s="126"/>
      <c r="U837" s="126"/>
      <c r="V837" s="126"/>
      <c r="W837" s="126">
        <v>0</v>
      </c>
      <c r="X837" s="126">
        <v>0</v>
      </c>
      <c r="Y837" s="126">
        <v>32.5</v>
      </c>
      <c r="Z837" s="126">
        <v>0</v>
      </c>
      <c r="AA837" s="126">
        <f>FISCinyear!HX605</f>
        <v>0</v>
      </c>
      <c r="AB837" s="126">
        <v>0</v>
      </c>
      <c r="AC837" s="126"/>
      <c r="AD837" s="683"/>
      <c r="AE837" s="126"/>
      <c r="AF837" s="126"/>
      <c r="AG837" s="126"/>
      <c r="AH837" s="126"/>
      <c r="AI837" s="126"/>
      <c r="AJ837" s="126"/>
      <c r="AK837" s="126"/>
      <c r="AL837" s="126"/>
      <c r="AM837" s="126"/>
      <c r="AN837" s="126"/>
      <c r="AO837" s="126"/>
      <c r="AP837" s="126"/>
      <c r="AQ837" s="126"/>
      <c r="AR837" s="126"/>
      <c r="AS837" s="126"/>
      <c r="AT837" s="126"/>
    </row>
    <row r="838" spans="1:46" hidden="1">
      <c r="A838" s="1"/>
      <c r="B838" s="1"/>
      <c r="C838" s="1"/>
      <c r="D838" s="576" t="s">
        <v>815</v>
      </c>
      <c r="E838" s="172"/>
      <c r="F838" s="14"/>
      <c r="G838" s="14"/>
      <c r="H838" s="14"/>
      <c r="I838" s="14"/>
      <c r="J838" s="126"/>
      <c r="K838" s="126"/>
      <c r="L838" s="126"/>
      <c r="M838" s="126"/>
      <c r="N838" s="126"/>
      <c r="O838" s="126"/>
      <c r="P838" s="126"/>
      <c r="Q838" s="126"/>
      <c r="R838" s="126"/>
      <c r="S838" s="126"/>
      <c r="T838" s="126"/>
      <c r="U838" s="126"/>
      <c r="V838" s="126"/>
      <c r="W838" s="573"/>
      <c r="X838" s="573"/>
      <c r="Y838" s="573"/>
      <c r="Z838" s="573"/>
      <c r="AA838" s="573"/>
      <c r="AB838" s="573">
        <v>0</v>
      </c>
      <c r="AC838" s="573"/>
      <c r="AD838" s="573"/>
      <c r="AE838" s="126"/>
      <c r="AF838" s="126"/>
      <c r="AG838" s="126"/>
      <c r="AH838" s="126"/>
      <c r="AI838" s="126"/>
      <c r="AJ838" s="126"/>
      <c r="AK838" s="126"/>
      <c r="AL838" s="126"/>
      <c r="AM838" s="126"/>
      <c r="AN838" s="126"/>
      <c r="AO838" s="126"/>
      <c r="AP838" s="126"/>
      <c r="AQ838" s="126"/>
      <c r="AR838" s="126"/>
      <c r="AS838" s="126"/>
      <c r="AT838" s="126"/>
    </row>
    <row r="839" spans="1:46" hidden="1">
      <c r="A839" s="1"/>
      <c r="B839" s="1"/>
      <c r="C839" s="1"/>
      <c r="D839" s="576" t="s">
        <v>816</v>
      </c>
      <c r="E839" s="172"/>
      <c r="F839" s="14"/>
      <c r="G839" s="14"/>
      <c r="H839" s="14"/>
      <c r="I839" s="14"/>
      <c r="J839" s="126"/>
      <c r="K839" s="126"/>
      <c r="L839" s="126"/>
      <c r="M839" s="126"/>
      <c r="N839" s="126"/>
      <c r="O839" s="126"/>
      <c r="P839" s="126"/>
      <c r="Q839" s="126"/>
      <c r="R839" s="126"/>
      <c r="S839" s="126"/>
      <c r="T839" s="126"/>
      <c r="U839" s="126"/>
      <c r="V839" s="126"/>
      <c r="W839" s="573"/>
      <c r="X839" s="573"/>
      <c r="Y839" s="573"/>
      <c r="Z839" s="573"/>
      <c r="AA839" s="573"/>
      <c r="AB839" s="573">
        <v>0</v>
      </c>
      <c r="AC839" s="573"/>
      <c r="AD839" s="573"/>
      <c r="AE839" s="126"/>
      <c r="AF839" s="126"/>
      <c r="AG839" s="126"/>
      <c r="AH839" s="126"/>
      <c r="AI839" s="126"/>
      <c r="AJ839" s="126"/>
      <c r="AK839" s="126"/>
      <c r="AL839" s="126"/>
      <c r="AM839" s="126"/>
      <c r="AN839" s="126"/>
      <c r="AO839" s="126"/>
      <c r="AP839" s="126"/>
      <c r="AQ839" s="126"/>
      <c r="AR839" s="126"/>
      <c r="AS839" s="126"/>
      <c r="AT839" s="126"/>
    </row>
    <row r="840" spans="1:46" hidden="1">
      <c r="A840" s="1"/>
      <c r="B840" s="1"/>
      <c r="C840" s="1"/>
      <c r="D840" s="131" t="s">
        <v>884</v>
      </c>
      <c r="E840" s="172" t="s">
        <v>243</v>
      </c>
      <c r="F840" s="14"/>
      <c r="G840" s="14"/>
      <c r="H840" s="14"/>
      <c r="I840" s="14"/>
      <c r="J840" s="126"/>
      <c r="K840" s="126"/>
      <c r="L840" s="126"/>
      <c r="M840" s="126"/>
      <c r="N840" s="126"/>
      <c r="O840" s="126"/>
      <c r="P840" s="126"/>
      <c r="Q840" s="126"/>
      <c r="R840" s="126"/>
      <c r="S840" s="126"/>
      <c r="T840" s="126"/>
      <c r="U840" s="126"/>
      <c r="V840" s="126"/>
      <c r="W840" s="126">
        <v>0</v>
      </c>
      <c r="X840" s="126">
        <v>0</v>
      </c>
      <c r="Y840" s="126">
        <v>0</v>
      </c>
      <c r="Z840" s="126">
        <v>0</v>
      </c>
      <c r="AA840" s="126">
        <f>FISCinyear!HX608</f>
        <v>-8.6999999999999993</v>
      </c>
      <c r="AB840" s="126">
        <v>-10.241148082</v>
      </c>
      <c r="AC840" s="126">
        <v>3.3328533490000005</v>
      </c>
      <c r="AD840" s="683">
        <f>FISCinyear!IG608</f>
        <v>-10.984115532000001</v>
      </c>
      <c r="AE840" s="126">
        <v>-0.88282153700000165</v>
      </c>
      <c r="AF840" s="126">
        <v>-3.3520687910000007</v>
      </c>
      <c r="AG840" s="126">
        <f>-AG323*0+AJ1874</f>
        <v>0</v>
      </c>
      <c r="AH840" s="126">
        <f t="shared" ref="AH840:AO840" si="1063">-AH323</f>
        <v>-24.599700878817405</v>
      </c>
      <c r="AI840" s="126">
        <f t="shared" si="1063"/>
        <v>-25.565719741842582</v>
      </c>
      <c r="AJ840" s="126">
        <f t="shared" si="1063"/>
        <v>0</v>
      </c>
      <c r="AK840" s="126">
        <f t="shared" si="1063"/>
        <v>0</v>
      </c>
      <c r="AL840" s="126">
        <f t="shared" si="1063"/>
        <v>0</v>
      </c>
      <c r="AM840" s="126">
        <f t="shared" si="1063"/>
        <v>0</v>
      </c>
      <c r="AN840" s="126">
        <f t="shared" si="1063"/>
        <v>0</v>
      </c>
      <c r="AO840" s="126">
        <f t="shared" si="1063"/>
        <v>0</v>
      </c>
      <c r="AP840" s="126"/>
      <c r="AQ840" s="126"/>
      <c r="AR840" s="126"/>
      <c r="AS840" s="126"/>
      <c r="AT840" s="126"/>
    </row>
    <row r="841" spans="1:46" hidden="1">
      <c r="A841" s="1"/>
      <c r="B841" s="1"/>
      <c r="C841" s="1"/>
      <c r="D841" s="131" t="s">
        <v>1210</v>
      </c>
      <c r="E841" s="172"/>
      <c r="F841" s="14"/>
      <c r="G841" s="14"/>
      <c r="H841" s="14"/>
      <c r="I841" s="14"/>
      <c r="J841" s="126"/>
      <c r="K841" s="126"/>
      <c r="L841" s="126"/>
      <c r="M841" s="126"/>
      <c r="N841" s="126"/>
      <c r="O841" s="126"/>
      <c r="P841" s="126"/>
      <c r="Q841" s="126"/>
      <c r="R841" s="126"/>
      <c r="S841" s="126"/>
      <c r="T841" s="126"/>
      <c r="U841" s="126"/>
      <c r="V841" s="126"/>
      <c r="W841" s="126"/>
      <c r="X841" s="126"/>
      <c r="Y841" s="126"/>
      <c r="Z841" s="126"/>
      <c r="AA841" s="126"/>
      <c r="AB841" s="126"/>
      <c r="AC841" s="126">
        <v>-8.0802268640000001</v>
      </c>
      <c r="AD841" s="683">
        <f>AG1867</f>
        <v>0</v>
      </c>
      <c r="AE841" s="126">
        <v>-15.616670589</v>
      </c>
      <c r="AF841" s="126">
        <v>-19.432101068000001</v>
      </c>
      <c r="AG841" s="126">
        <f>AJ1873</f>
        <v>0</v>
      </c>
      <c r="AH841" s="126"/>
      <c r="AI841" s="126"/>
      <c r="AJ841" s="126"/>
      <c r="AK841" s="126"/>
      <c r="AL841" s="126"/>
      <c r="AM841" s="126"/>
      <c r="AN841" s="126"/>
      <c r="AO841" s="126"/>
      <c r="AP841" s="126"/>
      <c r="AQ841" s="126"/>
      <c r="AR841" s="126"/>
      <c r="AS841" s="126"/>
      <c r="AT841" s="126"/>
    </row>
    <row r="842" spans="1:46" hidden="1">
      <c r="A842" s="1"/>
      <c r="B842" s="1"/>
      <c r="C842" s="1"/>
      <c r="D842" s="131" t="s">
        <v>885</v>
      </c>
      <c r="E842" s="172" t="s">
        <v>243</v>
      </c>
      <c r="F842" s="14"/>
      <c r="G842" s="14"/>
      <c r="H842" s="14"/>
      <c r="I842" s="14"/>
      <c r="J842" s="126"/>
      <c r="K842" s="126"/>
      <c r="L842" s="126"/>
      <c r="M842" s="126"/>
      <c r="N842" s="126"/>
      <c r="O842" s="126"/>
      <c r="P842" s="126"/>
      <c r="Q842" s="126"/>
      <c r="R842" s="126"/>
      <c r="S842" s="126"/>
      <c r="T842" s="126"/>
      <c r="U842" s="126"/>
      <c r="V842" s="126"/>
      <c r="W842" s="126">
        <v>0</v>
      </c>
      <c r="X842" s="126">
        <v>0</v>
      </c>
      <c r="Y842" s="126">
        <v>0</v>
      </c>
      <c r="Z842" s="126">
        <v>0</v>
      </c>
      <c r="AA842" s="126">
        <f>FISCinyear!HX609</f>
        <v>-8.8000000000000007</v>
      </c>
      <c r="AB842" s="126">
        <v>-10.620114093</v>
      </c>
      <c r="AC842" s="126">
        <v>-11.413080213000001</v>
      </c>
      <c r="AD842" s="683">
        <f>FISCinyear!IG609</f>
        <v>-13.01395142</v>
      </c>
      <c r="AE842" s="126">
        <v>-14.332764489999999</v>
      </c>
      <c r="AF842" s="126">
        <v>-15.46793405</v>
      </c>
      <c r="AG842" s="126">
        <f>-AG688*0+AJ1878</f>
        <v>0</v>
      </c>
      <c r="AH842" s="126">
        <f t="shared" ref="AH842:AM842" si="1064">-AH688</f>
        <v>-19.158873418079374</v>
      </c>
      <c r="AI842" s="126">
        <f t="shared" si="1064"/>
        <v>-24.169547901947972</v>
      </c>
      <c r="AJ842" s="126">
        <f t="shared" si="1064"/>
        <v>0</v>
      </c>
      <c r="AK842" s="126" t="e">
        <f t="shared" si="1064"/>
        <v>#DIV/0!</v>
      </c>
      <c r="AL842" s="126" t="e">
        <f t="shared" si="1064"/>
        <v>#DIV/0!</v>
      </c>
      <c r="AM842" s="126" t="e">
        <f t="shared" si="1064"/>
        <v>#DIV/0!</v>
      </c>
      <c r="AN842" s="126" t="e">
        <f t="shared" ref="AN842:AO842" si="1065">-AN688</f>
        <v>#DIV/0!</v>
      </c>
      <c r="AO842" s="126" t="e">
        <f t="shared" si="1065"/>
        <v>#DIV/0!</v>
      </c>
      <c r="AP842" s="126"/>
      <c r="AQ842" s="126"/>
      <c r="AR842" s="126"/>
      <c r="AS842" s="126"/>
      <c r="AT842" s="126"/>
    </row>
    <row r="843" spans="1:46" hidden="1">
      <c r="A843" s="1"/>
      <c r="B843" s="1"/>
      <c r="C843" s="1"/>
      <c r="D843" s="129" t="s">
        <v>876</v>
      </c>
      <c r="E843" s="168"/>
      <c r="F843" s="14"/>
      <c r="G843" s="14"/>
      <c r="H843" s="14"/>
      <c r="I843" s="14"/>
      <c r="J843" s="126">
        <v>-6.5</v>
      </c>
      <c r="K843" s="126">
        <v>-7.3457999999999997</v>
      </c>
      <c r="L843" s="126">
        <v>-0.53005000000000002</v>
      </c>
      <c r="M843" s="126">
        <v>1.0204</v>
      </c>
      <c r="N843" s="126">
        <v>0.75351500000000005</v>
      </c>
      <c r="O843" s="126">
        <v>2.9958650000000002</v>
      </c>
      <c r="P843" s="126">
        <v>-1.065199999999999</v>
      </c>
      <c r="Q843" s="126">
        <v>-6.9795499999999988</v>
      </c>
      <c r="R843" s="126">
        <v>9.3000000000000007</v>
      </c>
      <c r="S843" s="126">
        <v>-18.100000000000001</v>
      </c>
      <c r="T843" s="126">
        <v>-21.2</v>
      </c>
      <c r="U843" s="126">
        <v>-18.100000000000001</v>
      </c>
      <c r="V843" s="126">
        <v>-19.616599999999998</v>
      </c>
      <c r="W843" s="126">
        <v>-22.8</v>
      </c>
      <c r="X843" s="126">
        <f>+X844+X847</f>
        <v>24.300000000000004</v>
      </c>
      <c r="Y843" s="126">
        <f>+Y844+Y847</f>
        <v>-30.777468490000032</v>
      </c>
      <c r="Z843" s="126">
        <f>+Z844+Z847</f>
        <v>9.2999999999999972</v>
      </c>
      <c r="AA843" s="126">
        <f>+AA844+AA847</f>
        <v>47.717359399490434</v>
      </c>
      <c r="AB843" s="126">
        <v>32.323315129000001</v>
      </c>
      <c r="AC843" s="126">
        <v>-5.8731269525779339</v>
      </c>
      <c r="AD843" s="126">
        <f>+AD844+AD847</f>
        <v>66.906675090999997</v>
      </c>
      <c r="AE843" s="126">
        <v>0</v>
      </c>
      <c r="AF843" s="126">
        <v>0</v>
      </c>
      <c r="AG843" s="126">
        <f t="shared" ref="AG843:AM843" si="1066">+AG844+AG847</f>
        <v>0</v>
      </c>
      <c r="AH843" s="126">
        <f t="shared" si="1066"/>
        <v>0</v>
      </c>
      <c r="AI843" s="126">
        <f t="shared" si="1066"/>
        <v>0</v>
      </c>
      <c r="AJ843" s="126">
        <f t="shared" si="1066"/>
        <v>0</v>
      </c>
      <c r="AK843" s="126">
        <f t="shared" si="1066"/>
        <v>0</v>
      </c>
      <c r="AL843" s="126">
        <f t="shared" si="1066"/>
        <v>0</v>
      </c>
      <c r="AM843" s="126">
        <f t="shared" si="1066"/>
        <v>0</v>
      </c>
      <c r="AN843" s="126">
        <f t="shared" ref="AN843:AO843" si="1067">+AN844+AN847</f>
        <v>0</v>
      </c>
      <c r="AO843" s="126">
        <f t="shared" si="1067"/>
        <v>0</v>
      </c>
      <c r="AP843" s="126"/>
      <c r="AQ843" s="126"/>
      <c r="AR843" s="126"/>
      <c r="AS843" s="126"/>
      <c r="AT843" s="126"/>
    </row>
    <row r="844" spans="1:46" hidden="1">
      <c r="A844" s="1"/>
      <c r="B844" s="1"/>
      <c r="C844" s="1"/>
      <c r="D844" s="131" t="s">
        <v>877</v>
      </c>
      <c r="E844" s="168"/>
      <c r="F844" s="14"/>
      <c r="G844" s="14"/>
      <c r="H844" s="14"/>
      <c r="I844" s="14"/>
      <c r="J844" s="126"/>
      <c r="K844" s="126"/>
      <c r="L844" s="126"/>
      <c r="M844" s="126"/>
      <c r="N844" s="126"/>
      <c r="O844" s="126"/>
      <c r="P844" s="126"/>
      <c r="Q844" s="126"/>
      <c r="R844" s="126">
        <v>0</v>
      </c>
      <c r="S844" s="126">
        <v>0</v>
      </c>
      <c r="T844" s="126">
        <v>0</v>
      </c>
      <c r="U844" s="126">
        <v>0</v>
      </c>
      <c r="V844" s="126">
        <v>0</v>
      </c>
      <c r="W844" s="126">
        <v>0</v>
      </c>
      <c r="X844" s="126">
        <v>39.700000000000003</v>
      </c>
      <c r="Y844" s="126">
        <v>-11.653900000000032</v>
      </c>
      <c r="Z844" s="126">
        <f>0*18+30.9</f>
        <v>30.9</v>
      </c>
      <c r="AA844" s="126">
        <v>59.256799999999984</v>
      </c>
      <c r="AB844" s="126">
        <v>52.947243921577929</v>
      </c>
      <c r="AC844" s="126">
        <v>23.252356078422068</v>
      </c>
      <c r="AD844" s="141">
        <f>+(AD845+AD846)</f>
        <v>115.41749999999999</v>
      </c>
      <c r="AE844" s="126">
        <v>49.792986081199999</v>
      </c>
      <c r="AF844" s="126">
        <v>57.334954867739597</v>
      </c>
      <c r="AG844" s="126">
        <f>+(AG845+AG846)</f>
        <v>0</v>
      </c>
      <c r="AH844" s="126">
        <f t="shared" ref="AH844:AM844" si="1068">+AH845+AH846</f>
        <v>0</v>
      </c>
      <c r="AI844" s="126">
        <f t="shared" si="1068"/>
        <v>0</v>
      </c>
      <c r="AJ844" s="126">
        <f t="shared" si="1068"/>
        <v>0</v>
      </c>
      <c r="AK844" s="126">
        <f t="shared" si="1068"/>
        <v>0</v>
      </c>
      <c r="AL844" s="126">
        <f t="shared" si="1068"/>
        <v>0</v>
      </c>
      <c r="AM844" s="126">
        <f t="shared" si="1068"/>
        <v>0</v>
      </c>
      <c r="AN844" s="126">
        <f t="shared" ref="AN844:AO844" si="1069">+AN845+AN846</f>
        <v>0</v>
      </c>
      <c r="AO844" s="126">
        <f t="shared" si="1069"/>
        <v>0</v>
      </c>
      <c r="AP844" s="126"/>
      <c r="AQ844" s="126"/>
      <c r="AR844" s="126"/>
      <c r="AS844" s="126"/>
      <c r="AT844" s="126"/>
    </row>
    <row r="845" spans="1:46" hidden="1">
      <c r="A845" s="1"/>
      <c r="B845" s="1"/>
      <c r="C845" s="1"/>
      <c r="D845" s="132" t="s">
        <v>192</v>
      </c>
      <c r="E845" s="168"/>
      <c r="F845" s="14"/>
      <c r="G845" s="14"/>
      <c r="H845" s="14"/>
      <c r="I845" s="14"/>
      <c r="J845" s="126"/>
      <c r="K845" s="126"/>
      <c r="L845" s="126"/>
      <c r="M845" s="126"/>
      <c r="N845" s="126"/>
      <c r="O845" s="126"/>
      <c r="P845" s="126"/>
      <c r="Q845" s="126"/>
      <c r="R845" s="126"/>
      <c r="S845" s="126"/>
      <c r="T845" s="126"/>
      <c r="U845" s="126"/>
      <c r="V845" s="126"/>
      <c r="W845" s="126">
        <v>0</v>
      </c>
      <c r="X845" s="126">
        <v>39.5</v>
      </c>
      <c r="Y845" s="126">
        <v>-32.547900000000027</v>
      </c>
      <c r="Z845" s="126">
        <f>0*1.3</f>
        <v>0</v>
      </c>
      <c r="AA845" s="126">
        <f>FISCinyear!HX612</f>
        <v>29.630500000000005</v>
      </c>
      <c r="AB845" s="126">
        <v>21.366143921577923</v>
      </c>
      <c r="AC845" s="126">
        <v>14.562741515500001</v>
      </c>
      <c r="AD845" s="683">
        <f>FISCinyear!IG612</f>
        <v>53.79079999999999</v>
      </c>
      <c r="AE845" s="126">
        <v>24.896493040599999</v>
      </c>
      <c r="AF845" s="126">
        <v>28.667477433869799</v>
      </c>
      <c r="AG845" s="126">
        <f t="shared" ref="AG845:AM845" si="1070">-(AG847+AG846)</f>
        <v>0</v>
      </c>
      <c r="AH845" s="126">
        <f t="shared" si="1070"/>
        <v>0</v>
      </c>
      <c r="AI845" s="126">
        <f t="shared" si="1070"/>
        <v>0</v>
      </c>
      <c r="AJ845" s="126">
        <f t="shared" si="1070"/>
        <v>0</v>
      </c>
      <c r="AK845" s="126">
        <f t="shared" si="1070"/>
        <v>0</v>
      </c>
      <c r="AL845" s="126">
        <f t="shared" si="1070"/>
        <v>0</v>
      </c>
      <c r="AM845" s="126">
        <f t="shared" si="1070"/>
        <v>0</v>
      </c>
      <c r="AN845" s="126">
        <f t="shared" ref="AN845:AO845" si="1071">-(AN847+AN846)</f>
        <v>0</v>
      </c>
      <c r="AO845" s="126">
        <f t="shared" si="1071"/>
        <v>0</v>
      </c>
      <c r="AP845" s="126"/>
      <c r="AQ845" s="126"/>
      <c r="AR845" s="126"/>
      <c r="AS845" s="126"/>
      <c r="AT845" s="126"/>
    </row>
    <row r="846" spans="1:46" hidden="1">
      <c r="A846" s="1"/>
      <c r="B846" s="1"/>
      <c r="C846" s="1"/>
      <c r="D846" s="132" t="s">
        <v>193</v>
      </c>
      <c r="E846" s="168"/>
      <c r="F846" s="14"/>
      <c r="G846" s="14"/>
      <c r="H846" s="14"/>
      <c r="I846" s="14"/>
      <c r="J846" s="126"/>
      <c r="K846" s="126"/>
      <c r="L846" s="126"/>
      <c r="M846" s="126"/>
      <c r="N846" s="126"/>
      <c r="O846" s="126"/>
      <c r="P846" s="126"/>
      <c r="Q846" s="126"/>
      <c r="R846" s="126"/>
      <c r="S846" s="126"/>
      <c r="T846" s="126"/>
      <c r="U846" s="126"/>
      <c r="V846" s="126"/>
      <c r="W846" s="126">
        <v>0</v>
      </c>
      <c r="X846" s="126">
        <v>0.2</v>
      </c>
      <c r="Y846" s="126">
        <v>20.893999999999998</v>
      </c>
      <c r="Z846" s="126">
        <f>0*16.73</f>
        <v>0</v>
      </c>
      <c r="AA846" s="126">
        <f>FISCinyear!HX613</f>
        <v>29.626299999999986</v>
      </c>
      <c r="AB846" s="126">
        <v>31.581100000000006</v>
      </c>
      <c r="AC846" s="126">
        <v>14.562741515500001</v>
      </c>
      <c r="AD846" s="683">
        <f>FISCinyear!IG613</f>
        <v>61.6267</v>
      </c>
      <c r="AE846" s="126">
        <v>24.896493040599999</v>
      </c>
      <c r="AF846" s="126">
        <v>28.667477433869799</v>
      </c>
      <c r="AG846" s="126">
        <f>-AG847/2</f>
        <v>0</v>
      </c>
      <c r="AH846" s="126">
        <f t="shared" ref="AH846:AO846" si="1072">-AH847/2</f>
        <v>0</v>
      </c>
      <c r="AI846" s="126">
        <f t="shared" si="1072"/>
        <v>0</v>
      </c>
      <c r="AJ846" s="126">
        <f t="shared" si="1072"/>
        <v>0</v>
      </c>
      <c r="AK846" s="126">
        <f t="shared" si="1072"/>
        <v>0</v>
      </c>
      <c r="AL846" s="126">
        <f t="shared" si="1072"/>
        <v>0</v>
      </c>
      <c r="AM846" s="126">
        <f t="shared" si="1072"/>
        <v>0</v>
      </c>
      <c r="AN846" s="126">
        <f t="shared" si="1072"/>
        <v>0</v>
      </c>
      <c r="AO846" s="126">
        <f t="shared" si="1072"/>
        <v>0</v>
      </c>
      <c r="AP846" s="126"/>
      <c r="AQ846" s="126"/>
      <c r="AR846" s="126"/>
      <c r="AS846" s="126"/>
      <c r="AT846" s="126"/>
    </row>
    <row r="847" spans="1:46" hidden="1">
      <c r="A847" s="1"/>
      <c r="B847" s="1"/>
      <c r="C847" s="1"/>
      <c r="D847" s="131" t="s">
        <v>1111</v>
      </c>
      <c r="E847" s="168"/>
      <c r="F847" s="14"/>
      <c r="G847" s="14"/>
      <c r="H847" s="14"/>
      <c r="I847" s="14"/>
      <c r="J847" s="126"/>
      <c r="K847" s="126"/>
      <c r="L847" s="126"/>
      <c r="M847" s="126"/>
      <c r="N847" s="126"/>
      <c r="O847" s="126"/>
      <c r="P847" s="126"/>
      <c r="Q847" s="126"/>
      <c r="R847" s="126"/>
      <c r="S847" s="126"/>
      <c r="T847" s="126"/>
      <c r="U847" s="126"/>
      <c r="V847" s="126"/>
      <c r="W847" s="126">
        <v>0</v>
      </c>
      <c r="X847" s="126">
        <v>-15.4</v>
      </c>
      <c r="Y847" s="126">
        <v>-19.12356849</v>
      </c>
      <c r="Z847" s="573">
        <f>0*-18-21.6</f>
        <v>-21.6</v>
      </c>
      <c r="AA847" s="573">
        <f>FISCinyear!HX614</f>
        <v>-11.539440600509554</v>
      </c>
      <c r="AB847" s="573">
        <v>-26.413184870999999</v>
      </c>
      <c r="AC847" s="573">
        <v>-29.125483031000002</v>
      </c>
      <c r="AD847" s="683">
        <f>FISCinyear!IG614</f>
        <v>-48.510824908999993</v>
      </c>
      <c r="AE847" s="126">
        <v>-49.792986081199999</v>
      </c>
      <c r="AF847" s="126">
        <v>-57.334954867739597</v>
      </c>
      <c r="AG847" s="126">
        <f>-(AF171+AG169)*0+AJ1886</f>
        <v>0</v>
      </c>
      <c r="AH847" s="126">
        <f>-(AG171+AH169)</f>
        <v>0</v>
      </c>
      <c r="AI847" s="126">
        <f t="shared" ref="AI847:AO847" si="1073">-(AH171+AI169)*0</f>
        <v>0</v>
      </c>
      <c r="AJ847" s="126">
        <f t="shared" si="1073"/>
        <v>0</v>
      </c>
      <c r="AK847" s="126">
        <f t="shared" si="1073"/>
        <v>0</v>
      </c>
      <c r="AL847" s="126">
        <f t="shared" si="1073"/>
        <v>0</v>
      </c>
      <c r="AM847" s="126">
        <f t="shared" si="1073"/>
        <v>0</v>
      </c>
      <c r="AN847" s="126">
        <f t="shared" si="1073"/>
        <v>0</v>
      </c>
      <c r="AO847" s="126">
        <f t="shared" si="1073"/>
        <v>0</v>
      </c>
      <c r="AP847" s="126"/>
      <c r="AQ847" s="126"/>
      <c r="AR847" s="126"/>
      <c r="AS847" s="126"/>
      <c r="AT847" s="126"/>
    </row>
    <row r="848" spans="1:46" hidden="1">
      <c r="A848" s="1"/>
      <c r="B848" s="1"/>
      <c r="C848" s="1"/>
      <c r="D848" s="129" t="s">
        <v>348</v>
      </c>
      <c r="E848" s="168" t="s">
        <v>241</v>
      </c>
      <c r="F848" s="14"/>
      <c r="G848" s="14"/>
      <c r="H848" s="14"/>
      <c r="I848" s="14"/>
      <c r="J848" s="149">
        <f t="shared" ref="J848:Z848" si="1074">-(J804+J807)</f>
        <v>0</v>
      </c>
      <c r="K848" s="149">
        <f t="shared" si="1074"/>
        <v>0</v>
      </c>
      <c r="L848" s="149">
        <f t="shared" si="1074"/>
        <v>-7.1054273576010019E-15</v>
      </c>
      <c r="M848" s="149">
        <f t="shared" si="1074"/>
        <v>0</v>
      </c>
      <c r="N848" s="149">
        <f t="shared" si="1074"/>
        <v>2.1316282072803006E-14</v>
      </c>
      <c r="O848" s="149">
        <f t="shared" si="1074"/>
        <v>3.0198066269804258E-14</v>
      </c>
      <c r="P848" s="149">
        <f t="shared" si="1074"/>
        <v>12.233686280000004</v>
      </c>
      <c r="Q848" s="149">
        <f t="shared" si="1074"/>
        <v>12.23368627999999</v>
      </c>
      <c r="R848" s="149">
        <f t="shared" si="1074"/>
        <v>0</v>
      </c>
      <c r="S848" s="149">
        <f t="shared" si="1074"/>
        <v>0</v>
      </c>
      <c r="T848" s="149">
        <f t="shared" si="1074"/>
        <v>0</v>
      </c>
      <c r="U848" s="126">
        <f t="shared" si="1074"/>
        <v>-1.8999999999999311</v>
      </c>
      <c r="V848" s="126">
        <f t="shared" si="1074"/>
        <v>6.2696256240000423</v>
      </c>
      <c r="W848" s="126">
        <f t="shared" si="1074"/>
        <v>5.9000000000000057</v>
      </c>
      <c r="X848" s="126">
        <f t="shared" si="1074"/>
        <v>24.775565843197541</v>
      </c>
      <c r="Y848" s="126">
        <f t="shared" si="1074"/>
        <v>-4.8285252764869995</v>
      </c>
      <c r="Z848" s="573">
        <f t="shared" si="1074"/>
        <v>99.44695852941328</v>
      </c>
      <c r="AA848" s="573">
        <f>FISCinyear!HX615</f>
        <v>-30.894670162722505</v>
      </c>
      <c r="AB848" s="573">
        <v>-24.3265317985861</v>
      </c>
      <c r="AC848" s="573">
        <v>-6.7981852251683677</v>
      </c>
      <c r="AD848" s="683">
        <f t="shared" ref="AD848:AK848" si="1075">-(AD804+AD807)</f>
        <v>-10.842064292308237</v>
      </c>
      <c r="AE848" s="1092">
        <v>4.618670773697886E-2</v>
      </c>
      <c r="AF848" s="1092">
        <v>-4.0402667918783663E-2</v>
      </c>
      <c r="AG848" s="1092">
        <f t="shared" si="1075"/>
        <v>-5621.0012969858453</v>
      </c>
      <c r="AH848" s="1092">
        <f t="shared" si="1075"/>
        <v>-8387.7613572672672</v>
      </c>
      <c r="AI848" s="1092">
        <f t="shared" si="1075"/>
        <v>-9703.0991477482057</v>
      </c>
      <c r="AJ848" s="1092">
        <f t="shared" si="1075"/>
        <v>2645.2440747704827</v>
      </c>
      <c r="AK848" s="1092" t="e">
        <f t="shared" si="1075"/>
        <v>#DIV/0!</v>
      </c>
      <c r="AL848" s="1092" t="e">
        <f>-(AL804+AL807)</f>
        <v>#DIV/0!</v>
      </c>
      <c r="AM848" s="1092" t="e">
        <f>-(AM804+AM807)</f>
        <v>#DIV/0!</v>
      </c>
      <c r="AN848" s="1092" t="e">
        <f t="shared" ref="AN848:AO848" si="1076">-(AN804+AN807)</f>
        <v>#DIV/0!</v>
      </c>
      <c r="AO848" s="1092" t="e">
        <f t="shared" si="1076"/>
        <v>#DIV/0!</v>
      </c>
      <c r="AP848" s="1092"/>
      <c r="AQ848" s="1092"/>
      <c r="AR848" s="1092"/>
      <c r="AS848" s="1092"/>
      <c r="AT848" s="1092"/>
    </row>
    <row r="849" spans="1:119" hidden="1">
      <c r="A849" s="1"/>
      <c r="B849" s="1"/>
      <c r="C849" s="1"/>
      <c r="D849" s="689" t="s">
        <v>1109</v>
      </c>
      <c r="E849" s="168"/>
      <c r="F849" s="14"/>
      <c r="G849" s="14"/>
      <c r="H849" s="14"/>
      <c r="I849" s="14"/>
      <c r="J849" s="126"/>
      <c r="K849" s="126"/>
      <c r="L849" s="126"/>
      <c r="M849" s="126"/>
      <c r="N849" s="126"/>
      <c r="O849" s="126"/>
      <c r="P849" s="126"/>
      <c r="Q849" s="126"/>
      <c r="R849" s="126"/>
      <c r="S849" s="126"/>
      <c r="T849" s="126"/>
      <c r="U849" s="126"/>
      <c r="V849" s="126"/>
      <c r="W849" s="126"/>
      <c r="X849" s="149">
        <f>(X692-X749)</f>
        <v>10.699999999999996</v>
      </c>
      <c r="Y849" s="149">
        <f>(Y692-Y749)</f>
        <v>-7.0929457166518119</v>
      </c>
      <c r="Z849" s="126">
        <f>(Z692-Z749)</f>
        <v>-0.34000000000000341</v>
      </c>
      <c r="AA849" s="126">
        <f>IF(AA692-AA749&gt;0,AA692-AA749,0)</f>
        <v>0</v>
      </c>
      <c r="AB849" s="126">
        <v>0.34783849306015213</v>
      </c>
      <c r="AC849" s="126">
        <v>4.2821148510000171</v>
      </c>
      <c r="AD849" s="1096">
        <f t="shared" ref="AD849:AK849" si="1077">(AD692-AD749)</f>
        <v>-61.574603678451695</v>
      </c>
      <c r="AE849" s="126">
        <v>-14.992390293450597</v>
      </c>
      <c r="AF849" s="126">
        <v>6.2172337168318563</v>
      </c>
      <c r="AG849" s="149">
        <f t="shared" si="1077"/>
        <v>8.0996614898377288</v>
      </c>
      <c r="AH849" s="126">
        <f t="shared" si="1077"/>
        <v>0</v>
      </c>
      <c r="AI849" s="126">
        <f t="shared" si="1077"/>
        <v>0</v>
      </c>
      <c r="AJ849" s="126">
        <f t="shared" si="1077"/>
        <v>0</v>
      </c>
      <c r="AK849" s="126">
        <f t="shared" si="1077"/>
        <v>0</v>
      </c>
      <c r="AL849" s="126">
        <f>(AL692-AL749)</f>
        <v>0</v>
      </c>
      <c r="AM849" s="126">
        <f>(AM692-AM749)</f>
        <v>0</v>
      </c>
      <c r="AN849" s="126">
        <f t="shared" ref="AN849:AO849" si="1078">(AN692-AN749)</f>
        <v>0</v>
      </c>
      <c r="AO849" s="126">
        <f t="shared" si="1078"/>
        <v>0</v>
      </c>
      <c r="AP849" s="126"/>
      <c r="AQ849" s="126"/>
      <c r="AR849" s="126"/>
      <c r="AS849" s="126"/>
      <c r="AT849" s="126"/>
    </row>
    <row r="850" spans="1:119" hidden="1">
      <c r="A850" s="1"/>
      <c r="B850" s="1"/>
      <c r="C850" s="1"/>
      <c r="D850" s="689" t="s">
        <v>1110</v>
      </c>
      <c r="E850" s="168"/>
      <c r="F850" s="14"/>
      <c r="G850" s="14"/>
      <c r="H850" s="14"/>
      <c r="I850" s="14"/>
      <c r="J850" s="126"/>
      <c r="K850" s="126"/>
      <c r="L850" s="126"/>
      <c r="M850" s="126"/>
      <c r="N850" s="126"/>
      <c r="O850" s="126"/>
      <c r="P850" s="126"/>
      <c r="Q850" s="126"/>
      <c r="R850" s="126"/>
      <c r="S850" s="126"/>
      <c r="T850" s="126"/>
      <c r="U850" s="126"/>
      <c r="V850" s="126"/>
      <c r="W850" s="126"/>
      <c r="X850" s="149"/>
      <c r="Y850" s="149"/>
      <c r="Z850" s="126"/>
      <c r="AA850" s="126"/>
      <c r="AB850" s="126" t="s">
        <v>136</v>
      </c>
      <c r="AC850" s="126"/>
      <c r="AD850" s="573"/>
      <c r="AE850" s="126"/>
      <c r="AF850" s="126"/>
      <c r="AG850" s="149"/>
      <c r="AH850" s="126"/>
      <c r="AI850" s="126"/>
      <c r="AJ850" s="126"/>
      <c r="AK850" s="126"/>
      <c r="AL850" s="126"/>
      <c r="AM850" s="126"/>
      <c r="AN850" s="126"/>
      <c r="AO850" s="126"/>
      <c r="AP850" s="126"/>
      <c r="AQ850" s="126"/>
      <c r="AR850" s="126"/>
      <c r="AS850" s="126"/>
      <c r="AT850" s="126"/>
    </row>
    <row r="851" spans="1:119" ht="16" hidden="1" thickBot="1">
      <c r="A851" s="1"/>
      <c r="B851" s="1"/>
      <c r="C851" s="1"/>
      <c r="D851" s="1339" t="s">
        <v>2381</v>
      </c>
      <c r="E851" s="1340"/>
      <c r="F851" s="1341"/>
      <c r="G851" s="1341"/>
      <c r="H851" s="1341"/>
      <c r="I851" s="1341"/>
      <c r="J851" s="1342"/>
      <c r="K851" s="1342"/>
      <c r="L851" s="1342"/>
      <c r="M851" s="1342"/>
      <c r="N851" s="1342"/>
      <c r="O851" s="1342"/>
      <c r="P851" s="1342"/>
      <c r="Q851" s="1342"/>
      <c r="R851" s="1342"/>
      <c r="S851" s="1342"/>
      <c r="T851" s="1342"/>
      <c r="U851" s="1342"/>
      <c r="V851" s="1342"/>
      <c r="W851" s="1342"/>
      <c r="X851" s="1343"/>
      <c r="Y851" s="1343"/>
      <c r="Z851" s="1342"/>
      <c r="AA851" s="1342"/>
      <c r="AB851" s="1342"/>
      <c r="AC851" s="1342"/>
      <c r="AD851" s="1344"/>
      <c r="AE851" s="1342">
        <v>193</v>
      </c>
      <c r="AF851" s="1342">
        <v>367.94194427166008</v>
      </c>
      <c r="AG851" s="1343"/>
      <c r="AH851" s="1342"/>
      <c r="AI851" s="1342"/>
      <c r="AJ851" s="1342"/>
      <c r="AK851" s="1342"/>
      <c r="AL851" s="1345"/>
      <c r="AM851" s="1345"/>
      <c r="AN851" s="1345"/>
      <c r="AO851" s="1345"/>
      <c r="AP851" s="1345"/>
      <c r="AQ851" s="1345"/>
      <c r="AR851" s="1345"/>
      <c r="AS851" s="1345"/>
      <c r="AT851" s="1345"/>
    </row>
    <row r="852" spans="1:119" hidden="1">
      <c r="A852" s="1"/>
      <c r="B852" s="1"/>
      <c r="C852" s="1"/>
      <c r="D852" s="152" t="s">
        <v>853</v>
      </c>
      <c r="E852" s="168"/>
      <c r="F852" s="126"/>
      <c r="G852" s="126"/>
      <c r="H852" s="126"/>
      <c r="I852" s="126"/>
      <c r="J852" s="126"/>
      <c r="K852" s="126"/>
      <c r="L852" s="126"/>
      <c r="M852" s="126"/>
      <c r="N852" s="126"/>
      <c r="O852" s="126"/>
      <c r="P852" s="126"/>
      <c r="Q852" s="126"/>
      <c r="R852" s="126"/>
      <c r="S852" s="126"/>
      <c r="T852" s="126"/>
      <c r="U852" s="126"/>
      <c r="V852" s="126"/>
      <c r="W852" s="126"/>
      <c r="X852" s="126"/>
      <c r="Y852" s="126"/>
      <c r="Z852" s="126"/>
      <c r="AA852" s="126"/>
      <c r="AB852" s="126">
        <v>0</v>
      </c>
      <c r="AC852" s="126">
        <v>0</v>
      </c>
      <c r="AD852" s="632">
        <f t="shared" ref="AD852:AK852" si="1079">+AD706+AD819</f>
        <v>0</v>
      </c>
      <c r="AE852" s="632">
        <v>0</v>
      </c>
      <c r="AF852" s="632">
        <v>161.47709796857001</v>
      </c>
      <c r="AG852" s="632">
        <f t="shared" si="1079"/>
        <v>13.09276161209365</v>
      </c>
      <c r="AH852" s="632">
        <f t="shared" si="1079"/>
        <v>0</v>
      </c>
      <c r="AI852" s="632">
        <f t="shared" si="1079"/>
        <v>0</v>
      </c>
      <c r="AJ852" s="632">
        <f t="shared" si="1079"/>
        <v>0</v>
      </c>
      <c r="AK852" s="632">
        <f t="shared" si="1079"/>
        <v>0</v>
      </c>
      <c r="AL852" s="632">
        <f>+AL706+AL819</f>
        <v>180.06074101075387</v>
      </c>
      <c r="AM852" s="632">
        <f>+AM706+AM819</f>
        <v>119.98975175012707</v>
      </c>
      <c r="AN852" s="632">
        <f t="shared" ref="AN852:AO852" si="1080">+AN706+AN819</f>
        <v>271.67549806438126</v>
      </c>
      <c r="AO852" s="632">
        <f t="shared" si="1080"/>
        <v>321.35934924882417</v>
      </c>
      <c r="AP852" s="632"/>
      <c r="AQ852" s="632"/>
      <c r="AR852" s="632"/>
      <c r="AS852" s="632"/>
      <c r="AT852" s="632"/>
    </row>
    <row r="853" spans="1:119" hidden="1">
      <c r="A853" s="1"/>
      <c r="B853" s="1"/>
      <c r="C853" s="1"/>
      <c r="D853" s="268" t="s">
        <v>270</v>
      </c>
      <c r="E853" s="164"/>
      <c r="F853" s="126"/>
      <c r="G853" s="126"/>
      <c r="H853" s="126"/>
      <c r="I853" s="126"/>
      <c r="J853" s="126"/>
      <c r="K853" s="126"/>
      <c r="L853" s="126"/>
      <c r="M853" s="126"/>
      <c r="N853" s="126"/>
      <c r="O853" s="126"/>
      <c r="P853" s="126"/>
      <c r="Q853" s="126"/>
      <c r="R853" s="126"/>
      <c r="S853" s="126"/>
      <c r="T853" s="126"/>
      <c r="U853" s="126"/>
      <c r="V853" s="126"/>
      <c r="W853" s="126"/>
      <c r="X853" s="126"/>
      <c r="Y853" s="126"/>
      <c r="Z853" s="126"/>
      <c r="AA853" s="126"/>
      <c r="AB853" s="126">
        <v>0</v>
      </c>
      <c r="AC853" s="126">
        <v>0</v>
      </c>
      <c r="AD853" s="146">
        <f>+AD398*AD852/2</f>
        <v>0</v>
      </c>
      <c r="AE853" s="146">
        <v>0</v>
      </c>
      <c r="AF853" s="146">
        <v>4.8443129390571</v>
      </c>
      <c r="AG853" s="146">
        <f t="shared" ref="AG853:AO853" si="1081">+AG398*AG852/2</f>
        <v>13.48554446045646</v>
      </c>
      <c r="AH853" s="146">
        <f t="shared" si="1081"/>
        <v>0</v>
      </c>
      <c r="AI853" s="146">
        <f t="shared" si="1081"/>
        <v>0</v>
      </c>
      <c r="AJ853" s="146">
        <f t="shared" si="1081"/>
        <v>0</v>
      </c>
      <c r="AK853" s="146">
        <f t="shared" si="1081"/>
        <v>0</v>
      </c>
      <c r="AL853" s="146">
        <f t="shared" si="1081"/>
        <v>95.432192735699559</v>
      </c>
      <c r="AM853" s="146">
        <f t="shared" si="1081"/>
        <v>123.58944430263088</v>
      </c>
      <c r="AN853" s="146">
        <f t="shared" si="1081"/>
        <v>415.66351203850331</v>
      </c>
      <c r="AO853" s="146">
        <f t="shared" si="1081"/>
        <v>652.35947897511301</v>
      </c>
      <c r="AP853" s="146"/>
      <c r="AQ853" s="146"/>
      <c r="AR853" s="146"/>
      <c r="AS853" s="146"/>
      <c r="AT853" s="146"/>
    </row>
    <row r="854" spans="1:119" hidden="1">
      <c r="A854" s="1"/>
      <c r="B854" s="1"/>
      <c r="C854" s="1"/>
      <c r="D854" s="1027" t="s">
        <v>1136</v>
      </c>
      <c r="E854" s="92"/>
      <c r="F854" s="92"/>
      <c r="G854" s="92"/>
      <c r="H854" s="92"/>
      <c r="I854" s="92"/>
      <c r="J854" s="92"/>
      <c r="K854" s="92"/>
      <c r="L854" s="92"/>
      <c r="M854" s="92"/>
      <c r="N854" s="92"/>
      <c r="O854" s="92"/>
      <c r="P854" s="92"/>
      <c r="Q854" s="92"/>
      <c r="R854" s="92"/>
      <c r="S854" s="92"/>
      <c r="T854" s="92"/>
      <c r="U854" s="92"/>
      <c r="V854" s="92"/>
      <c r="W854" s="92"/>
      <c r="X854" s="92"/>
      <c r="Y854" s="92"/>
      <c r="Z854" s="92"/>
      <c r="AA854" s="1036">
        <f>+AA829-SUM(AA832:AA842)+AA844</f>
        <v>46.558948117634898</v>
      </c>
      <c r="AB854" s="92"/>
      <c r="AC854" s="1036">
        <v>63.622356078422058</v>
      </c>
      <c r="AD854" s="1036">
        <f t="shared" ref="AD854:AK854" si="1082">+AD831+AD844</f>
        <v>108.98384074931585</v>
      </c>
      <c r="AE854" s="1036">
        <f t="shared" si="1082"/>
        <v>161.1929860812001</v>
      </c>
      <c r="AF854" s="1036">
        <f t="shared" si="1082"/>
        <v>341.73495486773953</v>
      </c>
      <c r="AG854" s="1036">
        <f t="shared" si="1082"/>
        <v>225.00000000000006</v>
      </c>
      <c r="AH854" s="1036">
        <f t="shared" si="1082"/>
        <v>213.49999999999986</v>
      </c>
      <c r="AI854" s="1036">
        <f t="shared" si="1082"/>
        <v>350.80000000000013</v>
      </c>
      <c r="AJ854" s="1036">
        <f t="shared" si="1082"/>
        <v>174.89999999999998</v>
      </c>
      <c r="AK854" s="1036">
        <f t="shared" si="1082"/>
        <v>-43.600000000000058</v>
      </c>
      <c r="AL854" s="1036">
        <f>+AL831+AL844</f>
        <v>-43.600000000000058</v>
      </c>
      <c r="AM854" s="1036">
        <f>+AM831+AM844</f>
        <v>-43.600000000000058</v>
      </c>
      <c r="AN854" s="1036">
        <f t="shared" ref="AN854:AO854" si="1083">+AN831+AN844</f>
        <v>-43.600000000000058</v>
      </c>
      <c r="AO854" s="1036">
        <f t="shared" si="1083"/>
        <v>-43.600000000000058</v>
      </c>
      <c r="AP854" s="1036"/>
      <c r="AQ854" s="1036"/>
      <c r="AR854" s="1036"/>
      <c r="AS854" s="1036"/>
      <c r="AT854" s="1036"/>
    </row>
    <row r="855" spans="1:119" hidden="1">
      <c r="A855" s="1"/>
      <c r="B855" s="1"/>
      <c r="C855" s="1"/>
      <c r="D855" s="1389" t="s">
        <v>2382</v>
      </c>
      <c r="E855" s="1390"/>
      <c r="F855" s="1390"/>
      <c r="G855" s="1390"/>
      <c r="H855" s="1390"/>
      <c r="I855" s="1390"/>
      <c r="J855" s="1390"/>
      <c r="K855" s="1390"/>
      <c r="L855" s="1390"/>
      <c r="M855" s="1390"/>
      <c r="N855" s="1390"/>
      <c r="O855" s="1390"/>
      <c r="P855" s="1390"/>
      <c r="Q855" s="1390"/>
      <c r="R855" s="1390"/>
      <c r="S855" s="1390"/>
      <c r="T855" s="1390"/>
      <c r="U855" s="1390"/>
      <c r="V855" s="1390"/>
      <c r="W855" s="1390"/>
      <c r="X855" s="1390"/>
      <c r="Y855" s="1390"/>
      <c r="Z855" s="1391">
        <f>+Z800+Z828</f>
        <v>14.299999999999997</v>
      </c>
      <c r="AA855" s="1392" t="str">
        <f t="shared" ref="AA855:AK855" si="1084">AA670</f>
        <v>2015/16</v>
      </c>
      <c r="AB855" s="1392" t="str">
        <f t="shared" si="1084"/>
        <v>2016/17</v>
      </c>
      <c r="AC855" s="1392" t="str">
        <f t="shared" si="1084"/>
        <v>2017/18</v>
      </c>
      <c r="AD855" s="1392" t="str">
        <f t="shared" si="1084"/>
        <v>2018/19</v>
      </c>
      <c r="AE855" s="1392" t="str">
        <f t="shared" si="1084"/>
        <v>2019/20</v>
      </c>
      <c r="AF855" s="1392" t="str">
        <f t="shared" si="1084"/>
        <v>2020/21</v>
      </c>
      <c r="AG855" s="1392" t="str">
        <f t="shared" si="1084"/>
        <v>2021/22</v>
      </c>
      <c r="AH855" s="1392" t="str">
        <f t="shared" si="1084"/>
        <v>2022/23</v>
      </c>
      <c r="AI855" s="1392" t="str">
        <f t="shared" si="1084"/>
        <v>2023/24</v>
      </c>
      <c r="AJ855" s="1392" t="str">
        <f t="shared" si="1084"/>
        <v>2024/25</v>
      </c>
      <c r="AK855" s="1392" t="str">
        <f t="shared" si="1084"/>
        <v>2025/26</v>
      </c>
      <c r="AL855" s="1393" t="str">
        <f>AL670</f>
        <v>2026/27</v>
      </c>
      <c r="AM855" s="1393" t="str">
        <f>AM670</f>
        <v>2027/28</v>
      </c>
      <c r="AN855" s="1393" t="str">
        <f t="shared" ref="AN855:AO855" si="1085">AN670</f>
        <v>2028/29</v>
      </c>
      <c r="AO855" s="1393" t="str">
        <f t="shared" si="1085"/>
        <v>2029/30</v>
      </c>
      <c r="AP855" s="1393"/>
      <c r="AQ855" s="1393"/>
      <c r="AR855" s="1393"/>
      <c r="AS855" s="1393"/>
      <c r="AT855" s="1393"/>
    </row>
    <row r="856" spans="1:119" hidden="1">
      <c r="A856" s="1"/>
      <c r="B856" s="1"/>
      <c r="C856" s="1"/>
      <c r="D856" s="1394" t="s">
        <v>2381</v>
      </c>
      <c r="E856" s="92"/>
      <c r="F856" s="92"/>
      <c r="G856" s="92"/>
      <c r="H856" s="92"/>
      <c r="I856" s="92"/>
      <c r="J856" s="92"/>
      <c r="K856" s="92"/>
      <c r="L856" s="92"/>
      <c r="M856" s="92"/>
      <c r="N856" s="92"/>
      <c r="O856" s="92"/>
      <c r="P856" s="92"/>
      <c r="Q856" s="92"/>
      <c r="R856" s="92"/>
      <c r="S856" s="92"/>
      <c r="T856" s="92"/>
      <c r="U856" s="92"/>
      <c r="V856" s="92"/>
      <c r="W856" s="92"/>
      <c r="X856" s="92"/>
      <c r="Y856" s="92"/>
      <c r="Z856" s="369"/>
      <c r="AA856" s="369"/>
      <c r="AB856" s="369"/>
      <c r="AC856" s="369"/>
      <c r="AD856" s="1395"/>
      <c r="AE856" s="1395">
        <f>AE851</f>
        <v>193</v>
      </c>
      <c r="AF856" s="1395">
        <f>AF851</f>
        <v>367.94194427166008</v>
      </c>
      <c r="AG856" s="1395"/>
      <c r="AH856" s="1395"/>
      <c r="AI856" s="1395"/>
      <c r="AJ856" s="1395"/>
      <c r="AK856" s="1395"/>
      <c r="AL856" s="1396"/>
      <c r="AM856" s="1396"/>
      <c r="AN856" s="1396"/>
      <c r="AO856" s="1396"/>
      <c r="AP856" s="1396"/>
      <c r="AQ856" s="1396"/>
      <c r="AR856" s="1396"/>
      <c r="AS856" s="1396"/>
      <c r="AT856" s="1396"/>
    </row>
    <row r="857" spans="1:119" hidden="1">
      <c r="A857" s="1"/>
      <c r="B857" s="1"/>
      <c r="C857" s="1"/>
      <c r="D857" s="1394" t="s">
        <v>2390</v>
      </c>
      <c r="E857" s="92"/>
      <c r="F857" s="92"/>
      <c r="G857" s="92"/>
      <c r="H857" s="92"/>
      <c r="I857" s="92"/>
      <c r="J857" s="92"/>
      <c r="K857" s="92"/>
      <c r="L857" s="92"/>
      <c r="M857" s="92"/>
      <c r="N857" s="92"/>
      <c r="O857" s="92"/>
      <c r="P857" s="92"/>
      <c r="Q857" s="92"/>
      <c r="R857" s="92"/>
      <c r="S857" s="92"/>
      <c r="T857" s="92"/>
      <c r="U857" s="92"/>
      <c r="V857" s="92"/>
      <c r="W857" s="92"/>
      <c r="X857" s="92"/>
      <c r="Y857" s="92"/>
      <c r="Z857" s="369"/>
      <c r="AA857" s="369"/>
      <c r="AB857" s="369"/>
      <c r="AC857" s="369"/>
      <c r="AD857" s="1395"/>
      <c r="AE857" s="1395">
        <v>19.672925564267334</v>
      </c>
      <c r="AF857" s="1395">
        <v>14</v>
      </c>
      <c r="AG857" s="1395"/>
      <c r="AH857" s="1395"/>
      <c r="AI857" s="1395"/>
      <c r="AJ857" s="1395"/>
      <c r="AK857" s="1395"/>
      <c r="AL857" s="1396"/>
      <c r="AM857" s="1396"/>
      <c r="AN857" s="1396"/>
      <c r="AO857" s="1396"/>
      <c r="AP857" s="1396"/>
      <c r="AQ857" s="1396"/>
      <c r="AR857" s="1396"/>
      <c r="AS857" s="1396"/>
      <c r="AT857" s="1396"/>
    </row>
    <row r="858" spans="1:119" hidden="1">
      <c r="A858" s="1"/>
      <c r="B858" s="1"/>
      <c r="C858" s="1"/>
      <c r="D858" s="1394" t="s">
        <v>2386</v>
      </c>
      <c r="E858" s="92"/>
      <c r="F858" s="92"/>
      <c r="G858" s="92"/>
      <c r="H858" s="92"/>
      <c r="I858" s="92"/>
      <c r="J858" s="92"/>
      <c r="K858" s="92"/>
      <c r="L858" s="92"/>
      <c r="M858" s="92"/>
      <c r="N858" s="92"/>
      <c r="O858" s="92"/>
      <c r="P858" s="92"/>
      <c r="Q858" s="92"/>
      <c r="R858" s="92"/>
      <c r="S858" s="92"/>
      <c r="T858" s="92"/>
      <c r="U858" s="92"/>
      <c r="V858" s="92"/>
      <c r="W858" s="92"/>
      <c r="X858" s="92"/>
      <c r="Y858" s="92"/>
      <c r="Z858" s="369"/>
      <c r="AA858" s="369"/>
      <c r="AB858" s="369"/>
      <c r="AC858" s="369"/>
      <c r="AD858" s="1395"/>
      <c r="AE858" s="1395">
        <f>AE852-AE820-AE706</f>
        <v>0</v>
      </c>
      <c r="AF858" s="1395">
        <f>AF852-AF820-AF706</f>
        <v>12.538470713118826</v>
      </c>
      <c r="AG858" s="1395">
        <f>AG852-AG820-AG706</f>
        <v>0</v>
      </c>
      <c r="AH858" s="1395"/>
      <c r="AI858" s="1395"/>
      <c r="AJ858" s="1395"/>
      <c r="AK858" s="1395"/>
      <c r="AL858" s="1396"/>
      <c r="AM858" s="1396"/>
      <c r="AN858" s="1396"/>
      <c r="AO858" s="1396"/>
      <c r="AP858" s="1396"/>
      <c r="AQ858" s="1396"/>
      <c r="AR858" s="1396"/>
      <c r="AS858" s="1396"/>
      <c r="AT858" s="1396"/>
    </row>
    <row r="859" spans="1:119" hidden="1">
      <c r="A859" s="1"/>
      <c r="B859" s="1"/>
      <c r="C859" s="1"/>
      <c r="D859" s="1397" t="s">
        <v>2383</v>
      </c>
      <c r="E859" s="1398"/>
      <c r="F859" s="1398"/>
      <c r="G859" s="1398"/>
      <c r="H859" s="1398"/>
      <c r="I859" s="1398"/>
      <c r="J859" s="1398"/>
      <c r="K859" s="1398"/>
      <c r="L859" s="1398"/>
      <c r="M859" s="1398"/>
      <c r="N859" s="1398"/>
      <c r="O859" s="1398"/>
      <c r="P859" s="1398"/>
      <c r="Q859" s="1398"/>
      <c r="R859" s="1398"/>
      <c r="S859" s="1398"/>
      <c r="T859" s="1398"/>
      <c r="U859" s="1398"/>
      <c r="V859" s="1398"/>
      <c r="W859" s="1398"/>
      <c r="X859" s="1398"/>
      <c r="Y859" s="1398"/>
      <c r="Z859" s="1399"/>
      <c r="AA859" s="1400">
        <f t="shared" ref="AA859:AO859" si="1086">AA284</f>
        <v>6553</v>
      </c>
      <c r="AB859" s="1400">
        <f t="shared" si="1086"/>
        <v>7234</v>
      </c>
      <c r="AC859" s="1400">
        <f t="shared" si="1086"/>
        <v>8016</v>
      </c>
      <c r="AD859" s="1400">
        <f t="shared" si="1086"/>
        <v>8718</v>
      </c>
      <c r="AE859" s="1400">
        <f t="shared" si="1086"/>
        <v>9386</v>
      </c>
      <c r="AF859" s="1400">
        <f t="shared" si="1086"/>
        <v>10271</v>
      </c>
      <c r="AG859" s="1400">
        <f t="shared" si="1086"/>
        <v>11998</v>
      </c>
      <c r="AH859" s="1400">
        <f t="shared" si="1086"/>
        <v>15291</v>
      </c>
      <c r="AI859" s="1400">
        <f t="shared" si="1086"/>
        <v>17747</v>
      </c>
      <c r="AJ859" s="1400">
        <f t="shared" si="1086"/>
        <v>0</v>
      </c>
      <c r="AK859" s="1400">
        <f t="shared" si="1086"/>
        <v>22653.476238318653</v>
      </c>
      <c r="AL859" s="1401">
        <f t="shared" si="1086"/>
        <v>25562.479815704588</v>
      </c>
      <c r="AM859" s="1401">
        <f t="shared" si="1086"/>
        <v>28775.072036619156</v>
      </c>
      <c r="AN859" s="1401">
        <f t="shared" si="1086"/>
        <v>32515.831401379644</v>
      </c>
      <c r="AO859" s="1401">
        <f t="shared" si="1086"/>
        <v>36742.889483558996</v>
      </c>
      <c r="AP859" s="1401"/>
      <c r="AQ859" s="1401"/>
      <c r="AR859" s="1401"/>
      <c r="AS859" s="1401"/>
      <c r="AT859" s="1401"/>
    </row>
    <row r="860" spans="1:119" hidden="1">
      <c r="A860" s="1"/>
      <c r="B860" s="1"/>
      <c r="C860" s="1"/>
      <c r="D860" s="93" t="s">
        <v>3331</v>
      </c>
      <c r="E860" s="1"/>
      <c r="F860" s="1"/>
      <c r="G860" s="1"/>
      <c r="H860" s="1"/>
      <c r="I860" s="1"/>
      <c r="J860" s="1"/>
      <c r="K860" s="1"/>
      <c r="L860" s="1"/>
      <c r="M860" s="1"/>
      <c r="N860" s="1"/>
      <c r="O860" s="1"/>
      <c r="P860" s="1"/>
      <c r="Q860" s="1"/>
      <c r="R860" s="1"/>
      <c r="S860" s="1"/>
      <c r="T860" s="1"/>
      <c r="V860" s="1"/>
      <c r="X860" s="1"/>
      <c r="Z860" s="1"/>
      <c r="AD860" s="1359"/>
      <c r="AE860" s="1359"/>
      <c r="AF860" s="1359">
        <v>2097.2345195434518</v>
      </c>
      <c r="AG860" s="1359">
        <v>2306.7799940166833</v>
      </c>
      <c r="AH860" s="1359">
        <v>2627.0757159135678</v>
      </c>
      <c r="AI860" s="1359"/>
      <c r="AJ860" s="1359"/>
      <c r="AK860" s="1359"/>
      <c r="AL860" s="1359"/>
      <c r="AM860" s="1359"/>
      <c r="AN860" s="1359"/>
      <c r="AO860" s="1359"/>
      <c r="AP860" s="1359"/>
      <c r="AQ860" s="1359"/>
      <c r="AR860" s="1359"/>
      <c r="AS860" s="1359"/>
      <c r="AT860" s="1359"/>
    </row>
    <row r="861" spans="1:119" hidden="1">
      <c r="A861" s="376"/>
      <c r="D861" s="93"/>
      <c r="E861" s="92"/>
      <c r="F861" s="92"/>
      <c r="G861" s="92"/>
      <c r="H861" s="92"/>
      <c r="I861" s="92"/>
      <c r="J861" s="92"/>
      <c r="K861" s="92"/>
      <c r="L861" s="92"/>
      <c r="M861" s="92"/>
      <c r="N861" s="92"/>
      <c r="O861" s="92"/>
      <c r="P861" s="92"/>
      <c r="Q861" s="92"/>
      <c r="R861" s="92"/>
      <c r="S861" s="92"/>
      <c r="T861" s="92"/>
      <c r="U861" s="92"/>
      <c r="V861" s="92"/>
      <c r="W861" s="369" t="e">
        <f>+#REF!+#REF!</f>
        <v>#REF!</v>
      </c>
      <c r="X861" s="369" t="e">
        <f>+#REF!+#REF!</f>
        <v>#REF!</v>
      </c>
      <c r="Y861" s="369" t="e">
        <f>+#REF!+#REF!</f>
        <v>#REF!</v>
      </c>
      <c r="Z861" s="369" t="e">
        <f>+#REF!+#REF!</f>
        <v>#REF!</v>
      </c>
      <c r="AA861" s="92"/>
      <c r="AB861" s="92"/>
      <c r="AC861" s="92"/>
      <c r="AD861" s="1359"/>
      <c r="AE861" s="1359"/>
      <c r="AF861" s="1359"/>
      <c r="AG861" s="1359"/>
      <c r="AH861" s="1359"/>
      <c r="AI861" s="1359"/>
      <c r="AJ861" s="1359"/>
      <c r="AK861" s="1359"/>
      <c r="AL861" s="1359"/>
      <c r="AM861" s="1359"/>
      <c r="AN861" s="1359"/>
      <c r="AO861" s="1359"/>
      <c r="AP861" s="1359"/>
      <c r="AQ861" s="1359"/>
      <c r="AR861" s="1359"/>
      <c r="AS861" s="1359"/>
      <c r="AT861" s="1359"/>
      <c r="BU861" s="350"/>
      <c r="BV861" s="350"/>
      <c r="BW861" s="350"/>
      <c r="BX861" s="350"/>
      <c r="BY861" s="350"/>
      <c r="BZ861" s="350"/>
      <c r="CA861" s="350"/>
      <c r="CB861" s="350"/>
      <c r="CC861" s="350"/>
      <c r="CD861" s="350"/>
      <c r="CE861" s="350"/>
      <c r="CF861" s="350"/>
      <c r="CG861" s="350"/>
      <c r="CH861" s="350"/>
      <c r="CI861" s="350"/>
      <c r="CJ861" s="350"/>
      <c r="CK861" s="350"/>
      <c r="CL861" s="350"/>
      <c r="CM861" s="350"/>
      <c r="CN861" s="350"/>
      <c r="CO861" s="350"/>
      <c r="CP861" s="350"/>
      <c r="CQ861" s="350"/>
      <c r="CR861" s="350"/>
      <c r="CS861" s="350"/>
      <c r="CT861" s="350"/>
      <c r="CU861" s="350"/>
      <c r="CV861" s="350"/>
      <c r="CW861" s="350"/>
      <c r="CX861" s="350"/>
      <c r="CY861" s="302"/>
      <c r="CZ861" s="302"/>
      <c r="DA861" s="302"/>
      <c r="DB861" s="302"/>
      <c r="DC861" s="302"/>
      <c r="DD861" s="302"/>
      <c r="DE861" s="302"/>
      <c r="DF861" s="302"/>
      <c r="DG861" s="350"/>
      <c r="DH861" s="350"/>
      <c r="DI861" s="302"/>
      <c r="DJ861" s="302"/>
      <c r="DK861" s="302"/>
      <c r="DL861" s="302"/>
      <c r="DM861" s="302"/>
      <c r="DN861" s="302"/>
      <c r="DO861" s="302"/>
    </row>
    <row r="862" spans="1:119" hidden="1">
      <c r="A862" s="1"/>
      <c r="B862" s="1"/>
      <c r="C862" s="1"/>
      <c r="E862" s="1"/>
      <c r="F862" s="1"/>
      <c r="G862" s="1"/>
      <c r="H862" s="1"/>
      <c r="I862" s="1"/>
      <c r="J862" s="1"/>
      <c r="K862" s="1"/>
      <c r="L862" s="1"/>
      <c r="M862" s="1"/>
      <c r="N862" s="1"/>
      <c r="O862" s="1"/>
      <c r="P862" s="1"/>
      <c r="Q862" s="1"/>
      <c r="R862" s="1"/>
      <c r="S862" s="1"/>
      <c r="T862" s="1"/>
      <c r="V862" s="1"/>
      <c r="X862" s="1"/>
      <c r="Z862" s="1"/>
      <c r="BU862" s="350"/>
      <c r="BV862" s="350"/>
      <c r="BW862" s="350"/>
      <c r="BX862" s="350"/>
      <c r="BY862" s="350"/>
      <c r="BZ862" s="350"/>
      <c r="CA862" s="350"/>
      <c r="CB862" s="350"/>
      <c r="CC862" s="350"/>
      <c r="CD862" s="350"/>
      <c r="CE862" s="350"/>
      <c r="CF862" s="350"/>
      <c r="CG862" s="350"/>
      <c r="CH862" s="350"/>
      <c r="CI862" s="350"/>
      <c r="CJ862" s="350"/>
      <c r="CK862" s="350"/>
      <c r="CL862" s="350"/>
      <c r="CM862" s="350"/>
      <c r="CN862" s="350"/>
      <c r="CO862" s="350"/>
      <c r="CP862" s="350"/>
      <c r="CQ862" s="350"/>
      <c r="CR862" s="350"/>
      <c r="CS862" s="350"/>
      <c r="CT862" s="350"/>
      <c r="CU862" s="350"/>
      <c r="CV862" s="350"/>
      <c r="CW862" s="350"/>
      <c r="CX862" s="350"/>
      <c r="CY862" s="302"/>
      <c r="CZ862" s="302"/>
      <c r="DA862" s="302"/>
      <c r="DB862" s="302"/>
      <c r="DC862" s="302"/>
      <c r="DD862" s="302"/>
      <c r="DE862" s="302"/>
      <c r="DF862" s="302"/>
      <c r="DG862" s="350"/>
      <c r="DH862" s="350"/>
      <c r="DI862" s="302"/>
      <c r="DJ862" s="302"/>
      <c r="DK862" s="302"/>
      <c r="DL862" s="302"/>
      <c r="DM862" s="302"/>
      <c r="DN862" s="302"/>
      <c r="DO862" s="302"/>
    </row>
    <row r="863" spans="1:119" hidden="1">
      <c r="A863" s="1"/>
      <c r="B863" s="1"/>
      <c r="C863" s="1"/>
      <c r="D863" s="376"/>
      <c r="E863" s="92"/>
      <c r="F863" s="92"/>
      <c r="G863" s="92"/>
      <c r="H863" s="92"/>
      <c r="I863" s="92"/>
      <c r="J863" s="92"/>
      <c r="K863" s="92"/>
      <c r="L863" s="92"/>
      <c r="M863" s="92"/>
      <c r="N863" s="92"/>
      <c r="O863" s="92"/>
      <c r="P863" s="92"/>
      <c r="Q863" s="92"/>
      <c r="R863" s="92"/>
      <c r="S863" s="92"/>
      <c r="T863" s="92"/>
      <c r="U863" s="92"/>
      <c r="V863" s="92"/>
      <c r="W863" s="92"/>
      <c r="X863" s="92"/>
      <c r="Y863" s="92"/>
      <c r="Z863" s="369"/>
      <c r="AA863" s="369"/>
      <c r="AE863" s="369"/>
      <c r="AF863" s="92"/>
      <c r="AG863" s="92"/>
      <c r="AH863" s="92"/>
      <c r="AI863" s="92"/>
      <c r="BU863" s="350"/>
      <c r="BV863" s="350"/>
      <c r="BW863" s="350"/>
      <c r="BX863" s="350"/>
      <c r="BY863" s="350"/>
      <c r="BZ863" s="350"/>
      <c r="CA863" s="350"/>
      <c r="CB863" s="350"/>
      <c r="CC863" s="350"/>
      <c r="CD863" s="350"/>
      <c r="CE863" s="350"/>
      <c r="CF863" s="350"/>
      <c r="CG863" s="350"/>
      <c r="CH863" s="350"/>
      <c r="CI863" s="350"/>
      <c r="CJ863" s="350"/>
      <c r="CK863" s="350"/>
      <c r="CL863" s="350"/>
      <c r="CM863" s="350"/>
      <c r="CN863" s="350"/>
      <c r="CO863" s="350"/>
      <c r="CP863" s="350"/>
      <c r="CQ863" s="350"/>
      <c r="CR863" s="350"/>
      <c r="CS863" s="350"/>
      <c r="CT863" s="350"/>
      <c r="CU863" s="350"/>
      <c r="CV863" s="350"/>
      <c r="CW863" s="350"/>
      <c r="CX863" s="350"/>
      <c r="CY863" s="302"/>
      <c r="CZ863" s="302"/>
      <c r="DA863" s="302"/>
      <c r="DB863" s="302"/>
      <c r="DC863" s="302"/>
      <c r="DD863" s="302"/>
      <c r="DE863" s="302"/>
      <c r="DF863" s="302"/>
      <c r="DG863" s="350"/>
      <c r="DH863" s="350"/>
      <c r="DI863" s="302"/>
      <c r="DJ863" s="302"/>
      <c r="DK863" s="302"/>
      <c r="DL863" s="302"/>
      <c r="DM863" s="302"/>
      <c r="DN863" s="302"/>
      <c r="DO863" s="302"/>
    </row>
    <row r="864" spans="1:119" hidden="1">
      <c r="A864" s="1"/>
      <c r="B864" s="1"/>
      <c r="C864" s="1"/>
      <c r="D864" s="376"/>
      <c r="E864" s="92"/>
      <c r="F864" s="92"/>
      <c r="G864" s="92"/>
      <c r="H864" s="92"/>
      <c r="I864" s="92"/>
      <c r="J864" s="92"/>
      <c r="K864" s="92"/>
      <c r="L864" s="92"/>
      <c r="M864" s="92"/>
      <c r="N864" s="92"/>
      <c r="O864" s="92"/>
      <c r="P864" s="92"/>
      <c r="Q864" s="92"/>
      <c r="R864" s="92"/>
      <c r="S864" s="92"/>
      <c r="T864" s="92"/>
      <c r="U864" s="92"/>
      <c r="V864" s="92"/>
      <c r="W864" s="92"/>
      <c r="X864" s="92"/>
      <c r="Y864" s="92"/>
      <c r="Z864" s="369"/>
      <c r="AA864" s="369"/>
      <c r="AE864" s="369"/>
      <c r="AF864" s="369"/>
      <c r="AG864" s="369"/>
      <c r="AH864" s="369"/>
      <c r="AI864" s="369"/>
      <c r="AJ864" s="369"/>
      <c r="AK864" s="369"/>
      <c r="AL864" s="369"/>
      <c r="AM864" s="369"/>
      <c r="AN864" s="369"/>
      <c r="AO864" s="369"/>
      <c r="AP864" s="369"/>
      <c r="AQ864" s="369"/>
      <c r="AR864" s="369"/>
      <c r="AS864" s="369"/>
      <c r="AT864" s="369"/>
      <c r="BU864" s="350"/>
      <c r="BV864" s="350"/>
      <c r="BW864" s="350"/>
      <c r="BX864" s="350"/>
      <c r="BY864" s="350"/>
      <c r="BZ864" s="350"/>
      <c r="CA864" s="350"/>
      <c r="CB864" s="350"/>
      <c r="CC864" s="350"/>
      <c r="CD864" s="350"/>
      <c r="CE864" s="350"/>
      <c r="CF864" s="350"/>
      <c r="CG864" s="350"/>
      <c r="CH864" s="350"/>
      <c r="CI864" s="350"/>
      <c r="CJ864" s="350"/>
      <c r="CK864" s="350"/>
      <c r="CL864" s="350"/>
      <c r="CM864" s="350"/>
      <c r="CN864" s="350"/>
      <c r="CO864" s="350"/>
      <c r="CP864" s="350"/>
      <c r="CQ864" s="350"/>
      <c r="CR864" s="350"/>
      <c r="CS864" s="350"/>
      <c r="CT864" s="350"/>
      <c r="CU864" s="350"/>
      <c r="CV864" s="350"/>
      <c r="CW864" s="350"/>
      <c r="CX864" s="350"/>
      <c r="CY864" s="302"/>
      <c r="CZ864" s="302"/>
      <c r="DA864" s="302"/>
      <c r="DB864" s="302"/>
      <c r="DC864" s="302"/>
      <c r="DD864" s="302"/>
      <c r="DE864" s="302"/>
      <c r="DF864" s="302"/>
      <c r="DG864" s="350"/>
      <c r="DH864" s="350"/>
      <c r="DI864" s="302"/>
      <c r="DJ864" s="302"/>
      <c r="DK864" s="302"/>
      <c r="DL864" s="302"/>
      <c r="DM864" s="302"/>
      <c r="DN864" s="302"/>
      <c r="DO864" s="302"/>
    </row>
    <row r="865" spans="1:119" hidden="1">
      <c r="A865" s="1"/>
      <c r="B865" s="1"/>
      <c r="C865" s="1"/>
      <c r="D865" s="376"/>
      <c r="E865" s="92"/>
      <c r="F865" s="92"/>
      <c r="G865" s="92"/>
      <c r="H865" s="92"/>
      <c r="I865" s="92"/>
      <c r="J865" s="92"/>
      <c r="K865" s="92"/>
      <c r="L865" s="92"/>
      <c r="M865" s="92"/>
      <c r="N865" s="92"/>
      <c r="O865" s="92"/>
      <c r="P865" s="92"/>
      <c r="Q865" s="92"/>
      <c r="R865" s="92"/>
      <c r="S865" s="92"/>
      <c r="T865" s="92"/>
      <c r="U865" s="92"/>
      <c r="V865" s="92"/>
      <c r="W865" s="92"/>
      <c r="X865" s="92"/>
      <c r="Y865" s="92"/>
      <c r="Z865" s="369"/>
      <c r="AA865" s="369"/>
      <c r="AB865" s="369"/>
      <c r="AC865" s="369"/>
      <c r="AD865" s="92"/>
      <c r="AE865" s="92"/>
      <c r="BU865" s="350"/>
      <c r="BV865" s="350"/>
      <c r="BW865" s="350"/>
      <c r="BX865" s="350"/>
      <c r="BY865" s="350"/>
      <c r="BZ865" s="350"/>
      <c r="CA865" s="350"/>
      <c r="CB865" s="350"/>
      <c r="CC865" s="350"/>
      <c r="CD865" s="350"/>
      <c r="CE865" s="350"/>
      <c r="CF865" s="350"/>
      <c r="CG865" s="350"/>
      <c r="CH865" s="350"/>
      <c r="CI865" s="350"/>
      <c r="CJ865" s="350"/>
      <c r="CK865" s="350"/>
      <c r="CL865" s="350"/>
      <c r="CM865" s="350"/>
      <c r="CN865" s="350"/>
      <c r="CO865" s="350"/>
      <c r="CP865" s="350"/>
      <c r="CQ865" s="350"/>
      <c r="CR865" s="350"/>
      <c r="CS865" s="350"/>
      <c r="CT865" s="350"/>
      <c r="CU865" s="350"/>
      <c r="CV865" s="350"/>
      <c r="CW865" s="350"/>
      <c r="CX865" s="350"/>
      <c r="CY865" s="302"/>
      <c r="CZ865" s="302"/>
      <c r="DA865" s="302"/>
      <c r="DB865" s="302"/>
      <c r="DC865" s="302"/>
      <c r="DD865" s="302"/>
      <c r="DE865" s="302"/>
      <c r="DF865" s="302"/>
      <c r="DG865" s="350"/>
      <c r="DH865" s="350"/>
      <c r="DI865" s="302"/>
      <c r="DJ865" s="302"/>
      <c r="DK865" s="302"/>
      <c r="DL865" s="302"/>
      <c r="DM865" s="302"/>
      <c r="DN865" s="302"/>
      <c r="DO865" s="302"/>
    </row>
    <row r="866" spans="1:119" hidden="1">
      <c r="A866" s="1"/>
      <c r="B866" s="1"/>
      <c r="C866" s="1"/>
      <c r="D866" s="376"/>
      <c r="E866" s="92"/>
      <c r="F866" s="92"/>
      <c r="G866" s="92"/>
      <c r="H866" s="92"/>
      <c r="I866" s="92"/>
      <c r="J866" s="92"/>
      <c r="K866" s="92"/>
      <c r="L866" s="92"/>
      <c r="M866" s="92"/>
      <c r="N866" s="92"/>
      <c r="O866" s="92"/>
      <c r="P866" s="92"/>
      <c r="Q866" s="92"/>
      <c r="R866" s="92"/>
      <c r="S866" s="92"/>
      <c r="T866" s="92"/>
      <c r="U866" s="92"/>
      <c r="V866" s="92"/>
      <c r="W866" s="92"/>
      <c r="X866" s="92"/>
      <c r="Y866" s="92"/>
      <c r="Z866" s="369"/>
      <c r="AA866" s="369"/>
      <c r="AB866" s="369"/>
      <c r="AC866" s="369"/>
      <c r="AD866" s="92"/>
      <c r="AE866" s="1409"/>
      <c r="BU866" s="350"/>
      <c r="BV866" s="350"/>
      <c r="BW866" s="350"/>
      <c r="BX866" s="350"/>
      <c r="BY866" s="350"/>
      <c r="BZ866" s="350"/>
      <c r="CA866" s="350"/>
      <c r="CB866" s="350"/>
      <c r="CC866" s="350"/>
      <c r="CD866" s="350"/>
      <c r="CE866" s="350"/>
      <c r="CF866" s="350"/>
      <c r="CG866" s="350"/>
      <c r="CH866" s="350"/>
      <c r="CI866" s="350"/>
      <c r="CJ866" s="350"/>
      <c r="CK866" s="350"/>
      <c r="CL866" s="350"/>
      <c r="CM866" s="350"/>
      <c r="CN866" s="350"/>
      <c r="CO866" s="350"/>
      <c r="CP866" s="350"/>
      <c r="CQ866" s="350"/>
      <c r="CR866" s="350"/>
      <c r="CS866" s="350"/>
      <c r="CT866" s="350"/>
      <c r="CU866" s="350"/>
      <c r="CV866" s="350"/>
      <c r="CW866" s="350"/>
      <c r="CX866" s="350"/>
      <c r="CY866" s="302"/>
      <c r="CZ866" s="302"/>
      <c r="DA866" s="302"/>
      <c r="DB866" s="302"/>
      <c r="DC866" s="302"/>
      <c r="DD866" s="302"/>
      <c r="DE866" s="302"/>
      <c r="DF866" s="302"/>
      <c r="DG866" s="350"/>
      <c r="DH866" s="350"/>
      <c r="DI866" s="302"/>
      <c r="DJ866" s="302"/>
      <c r="DK866" s="302"/>
      <c r="DL866" s="302"/>
      <c r="DM866" s="302"/>
      <c r="DN866" s="302"/>
      <c r="DO866" s="302"/>
    </row>
    <row r="867" spans="1:119" hidden="1">
      <c r="A867" s="1"/>
      <c r="B867" s="1"/>
      <c r="C867" s="1"/>
      <c r="D867" s="376"/>
      <c r="E867" s="92"/>
      <c r="F867" s="92"/>
      <c r="G867" s="92"/>
      <c r="H867" s="92"/>
      <c r="I867" s="92"/>
      <c r="J867" s="92"/>
      <c r="K867" s="92"/>
      <c r="L867" s="92"/>
      <c r="M867" s="92"/>
      <c r="N867" s="92"/>
      <c r="O867" s="92"/>
      <c r="P867" s="92"/>
      <c r="Q867" s="92"/>
      <c r="R867" s="92"/>
      <c r="S867" s="92"/>
      <c r="T867" s="92"/>
      <c r="U867" s="92"/>
      <c r="V867" s="92"/>
      <c r="W867" s="92"/>
      <c r="X867" s="92"/>
      <c r="Y867" s="1040">
        <f>Y881/X881-1</f>
        <v>0.15304688238767339</v>
      </c>
      <c r="Z867" s="1040">
        <f>Z881/Y881-1</f>
        <v>0.1173503109732259</v>
      </c>
      <c r="AA867" s="1040"/>
      <c r="AB867" s="1040"/>
      <c r="AC867" s="1040"/>
      <c r="AD867" s="1040"/>
      <c r="AE867" s="1040"/>
      <c r="AF867" s="1040"/>
      <c r="AG867" s="1040"/>
      <c r="AH867" s="1040"/>
      <c r="AI867" s="1040"/>
      <c r="AJ867" s="1040"/>
      <c r="AK867" s="1040"/>
      <c r="AL867" s="1040"/>
      <c r="AM867" s="1040"/>
      <c r="AN867" s="1040"/>
      <c r="AO867" s="1040"/>
      <c r="AP867" s="1040"/>
      <c r="AQ867" s="1040"/>
      <c r="AR867" s="1040"/>
      <c r="AS867" s="1040"/>
      <c r="AT867" s="1040"/>
      <c r="BU867" s="350"/>
      <c r="BV867" s="350"/>
      <c r="BW867" s="350"/>
      <c r="BX867" s="350"/>
      <c r="BY867" s="350"/>
      <c r="BZ867" s="350"/>
      <c r="CA867" s="350"/>
      <c r="CB867" s="350"/>
      <c r="CC867" s="350"/>
      <c r="CD867" s="350"/>
      <c r="CE867" s="350"/>
      <c r="CF867" s="350"/>
      <c r="CG867" s="350"/>
      <c r="CH867" s="350"/>
      <c r="CI867" s="350"/>
      <c r="CJ867" s="350"/>
      <c r="CK867" s="350"/>
      <c r="CL867" s="350"/>
      <c r="CM867" s="350"/>
      <c r="CN867" s="350"/>
      <c r="CO867" s="350"/>
      <c r="CP867" s="350"/>
      <c r="CQ867" s="350"/>
      <c r="CR867" s="350"/>
      <c r="CS867" s="350"/>
      <c r="CT867" s="350"/>
      <c r="CU867" s="350"/>
      <c r="CV867" s="350"/>
      <c r="CW867" s="350"/>
      <c r="CX867" s="350"/>
      <c r="CY867" s="302"/>
      <c r="CZ867" s="302"/>
      <c r="DA867" s="302"/>
      <c r="DB867" s="302"/>
      <c r="DC867" s="302"/>
      <c r="DD867" s="302"/>
      <c r="DE867" s="302"/>
      <c r="DF867" s="302"/>
      <c r="DG867" s="350"/>
      <c r="DH867" s="350"/>
      <c r="DI867" s="302"/>
      <c r="DJ867" s="302"/>
      <c r="DK867" s="302"/>
      <c r="DL867" s="302"/>
      <c r="DM867" s="302"/>
      <c r="DN867" s="302"/>
      <c r="DO867" s="302"/>
    </row>
    <row r="868" spans="1:119" hidden="1">
      <c r="A868" s="1"/>
      <c r="B868" s="1"/>
      <c r="C868" s="1"/>
      <c r="D868" s="376"/>
      <c r="E868" s="92"/>
      <c r="F868" s="92"/>
      <c r="G868" s="92"/>
      <c r="H868" s="92"/>
      <c r="I868" s="92"/>
      <c r="J868" s="92"/>
      <c r="K868" s="92"/>
      <c r="L868" s="92"/>
      <c r="M868" s="92"/>
      <c r="N868" s="92"/>
      <c r="O868" s="92"/>
      <c r="P868" s="92"/>
      <c r="Q868" s="92"/>
      <c r="R868" s="92"/>
      <c r="S868" s="92"/>
      <c r="T868" s="92"/>
      <c r="U868" s="92"/>
      <c r="V868" s="92"/>
      <c r="W868" s="92"/>
      <c r="X868" s="1040">
        <f>X873/W873-1</f>
        <v>0.24458604631133518</v>
      </c>
      <c r="Y868" s="1040">
        <f>Y873/X873-1</f>
        <v>0.17062219881588225</v>
      </c>
      <c r="Z868" s="1040">
        <f>Z873/Y873-1</f>
        <v>0.1631945648771016</v>
      </c>
      <c r="AA868" s="1040"/>
      <c r="AB868" s="1040"/>
      <c r="AC868" s="1040"/>
      <c r="AD868" s="1040"/>
      <c r="AE868" s="1040"/>
      <c r="AF868" s="1040"/>
      <c r="AG868" s="1040"/>
      <c r="AH868" s="1040"/>
      <c r="AI868" s="1040"/>
      <c r="AJ868" s="1040"/>
      <c r="AK868" s="1040"/>
      <c r="AL868" s="1040"/>
      <c r="AM868" s="1040"/>
      <c r="AN868" s="1040"/>
      <c r="AO868" s="1040"/>
      <c r="AP868" s="1040"/>
      <c r="AQ868" s="1040"/>
      <c r="AR868" s="1040"/>
      <c r="AS868" s="1040"/>
      <c r="AT868" s="1040"/>
      <c r="BU868" s="350"/>
      <c r="BV868" s="350"/>
      <c r="BW868" s="350"/>
      <c r="BX868" s="350"/>
      <c r="BY868" s="350"/>
      <c r="BZ868" s="350"/>
      <c r="CA868" s="350"/>
      <c r="CB868" s="350"/>
      <c r="CC868" s="350"/>
      <c r="CD868" s="350"/>
      <c r="CE868" s="350"/>
      <c r="CF868" s="350"/>
      <c r="CG868" s="350"/>
      <c r="CH868" s="350"/>
      <c r="CI868" s="350"/>
      <c r="CJ868" s="350"/>
      <c r="CK868" s="350"/>
      <c r="CL868" s="350"/>
      <c r="CM868" s="350"/>
      <c r="CN868" s="350"/>
      <c r="CO868" s="350"/>
      <c r="CP868" s="350"/>
      <c r="CQ868" s="350"/>
      <c r="CR868" s="350"/>
      <c r="CS868" s="350"/>
      <c r="CT868" s="350"/>
      <c r="CU868" s="350"/>
      <c r="CV868" s="350"/>
      <c r="CW868" s="350"/>
      <c r="CX868" s="350"/>
      <c r="CY868" s="302"/>
      <c r="CZ868" s="302"/>
      <c r="DA868" s="302"/>
      <c r="DB868" s="302"/>
      <c r="DC868" s="302"/>
      <c r="DD868" s="302"/>
      <c r="DE868" s="302"/>
      <c r="DF868" s="302"/>
      <c r="DG868" s="350"/>
      <c r="DH868" s="350"/>
      <c r="DI868" s="302"/>
      <c r="DJ868" s="302"/>
      <c r="DK868" s="302"/>
      <c r="DL868" s="302"/>
      <c r="DM868" s="302"/>
      <c r="DN868" s="302"/>
      <c r="DO868" s="302"/>
    </row>
    <row r="869" spans="1:119" hidden="1">
      <c r="A869" s="1"/>
      <c r="B869" s="1"/>
      <c r="C869" s="1"/>
      <c r="D869" s="487" t="s">
        <v>3326</v>
      </c>
      <c r="E869" s="555"/>
      <c r="F869" s="555"/>
      <c r="G869" s="555"/>
      <c r="H869" s="555"/>
      <c r="I869" s="555"/>
      <c r="J869" s="555" t="str">
        <f t="shared" ref="J869:Q869" si="1087">J670</f>
        <v>1998/99</v>
      </c>
      <c r="K869" s="555" t="str">
        <f t="shared" si="1087"/>
        <v>1999/00</v>
      </c>
      <c r="L869" s="555" t="str">
        <f t="shared" si="1087"/>
        <v>2000/01</v>
      </c>
      <c r="M869" s="555" t="str">
        <f t="shared" si="1087"/>
        <v>2001/02</v>
      </c>
      <c r="N869" s="555" t="str">
        <f t="shared" si="1087"/>
        <v>2002/03</v>
      </c>
      <c r="O869" s="555" t="str">
        <f t="shared" si="1087"/>
        <v>2003/04</v>
      </c>
      <c r="P869" s="555" t="str">
        <f t="shared" si="1087"/>
        <v>2004/05</v>
      </c>
      <c r="Q869" s="555" t="str">
        <f t="shared" si="1087"/>
        <v>2005/06</v>
      </c>
      <c r="R869" s="765" t="s">
        <v>204</v>
      </c>
      <c r="S869" s="765" t="s">
        <v>205</v>
      </c>
      <c r="T869" s="765" t="s">
        <v>206</v>
      </c>
      <c r="U869" s="765" t="s">
        <v>207</v>
      </c>
      <c r="V869" s="765" t="s">
        <v>194</v>
      </c>
      <c r="W869" s="765" t="s">
        <v>195</v>
      </c>
      <c r="X869" s="765" t="s">
        <v>196</v>
      </c>
      <c r="Y869" s="765" t="s">
        <v>197</v>
      </c>
      <c r="Z869" s="765" t="s">
        <v>198</v>
      </c>
      <c r="AA869" s="765" t="s">
        <v>199</v>
      </c>
      <c r="AB869" s="765" t="s">
        <v>200</v>
      </c>
      <c r="AC869" s="765" t="s">
        <v>201</v>
      </c>
      <c r="AD869" s="765" t="s">
        <v>202</v>
      </c>
      <c r="AE869" s="765" t="s">
        <v>203</v>
      </c>
      <c r="AF869" s="765" t="s">
        <v>1114</v>
      </c>
      <c r="AG869" s="765" t="s">
        <v>1140</v>
      </c>
      <c r="AH869" s="765" t="s">
        <v>1141</v>
      </c>
      <c r="AI869" s="765" t="s">
        <v>1142</v>
      </c>
      <c r="AJ869" s="765" t="s">
        <v>1143</v>
      </c>
      <c r="AK869" s="765" t="s">
        <v>1144</v>
      </c>
      <c r="AL869" s="765" t="s">
        <v>3289</v>
      </c>
      <c r="AM869" s="765" t="s">
        <v>3400</v>
      </c>
      <c r="AN869" s="765" t="s">
        <v>3582</v>
      </c>
      <c r="AO869" s="765" t="s">
        <v>3583</v>
      </c>
      <c r="AP869" s="765"/>
      <c r="AQ869" s="765"/>
      <c r="AR869" s="765"/>
      <c r="AS869" s="765"/>
      <c r="AT869" s="765"/>
      <c r="BU869" s="350"/>
      <c r="BV869" s="350"/>
      <c r="BW869" s="350"/>
      <c r="BX869" s="350"/>
      <c r="BY869" s="350"/>
      <c r="BZ869" s="350"/>
      <c r="CA869" s="350"/>
      <c r="CB869" s="350"/>
      <c r="CC869" s="350"/>
      <c r="CD869" s="350"/>
      <c r="CE869" s="350"/>
      <c r="CF869" s="350"/>
      <c r="CG869" s="350"/>
      <c r="CH869" s="350"/>
      <c r="CI869" s="350"/>
      <c r="CJ869" s="350"/>
      <c r="CK869" s="350"/>
      <c r="CL869" s="350"/>
      <c r="CM869" s="350"/>
      <c r="CN869" s="350"/>
      <c r="CO869" s="350"/>
      <c r="CP869" s="350"/>
      <c r="CQ869" s="350"/>
      <c r="CR869" s="350"/>
      <c r="CS869" s="350"/>
      <c r="CT869" s="350"/>
      <c r="CU869" s="350"/>
      <c r="CV869" s="350"/>
      <c r="CW869" s="350"/>
      <c r="CX869" s="350"/>
      <c r="CY869" s="302"/>
      <c r="CZ869" s="302"/>
      <c r="DA869" s="302"/>
      <c r="DB869" s="302"/>
      <c r="DC869" s="302"/>
      <c r="DD869" s="302"/>
      <c r="DE869" s="302"/>
      <c r="DF869" s="302"/>
      <c r="DG869" s="350"/>
      <c r="DH869" s="350"/>
      <c r="DI869" s="302"/>
      <c r="DJ869" s="302"/>
      <c r="DK869" s="302"/>
      <c r="DL869" s="302"/>
      <c r="DM869" s="302"/>
      <c r="DN869" s="302"/>
      <c r="DO869" s="302"/>
    </row>
    <row r="870" spans="1:119" hidden="1">
      <c r="A870" s="1"/>
      <c r="B870" s="1"/>
      <c r="C870" s="1"/>
      <c r="D870" s="695" t="s">
        <v>857</v>
      </c>
      <c r="E870" s="92"/>
      <c r="F870" s="695"/>
      <c r="G870" s="695"/>
      <c r="H870" s="695"/>
      <c r="I870" s="695"/>
      <c r="J870" s="695"/>
      <c r="K870" s="695"/>
      <c r="L870" s="695"/>
      <c r="M870" s="695"/>
      <c r="N870" s="695"/>
      <c r="O870" s="695"/>
      <c r="P870" s="695"/>
      <c r="Q870" s="695"/>
      <c r="R870" s="695"/>
      <c r="S870" s="695"/>
      <c r="T870" s="695"/>
      <c r="U870" s="695"/>
      <c r="V870" s="695"/>
      <c r="W870" s="695"/>
      <c r="X870" s="695"/>
      <c r="Y870" s="695"/>
      <c r="Z870" s="695"/>
      <c r="AA870" s="695"/>
      <c r="AB870" s="695"/>
      <c r="AC870" s="695"/>
      <c r="AD870" s="695"/>
      <c r="AE870" s="695"/>
      <c r="AF870" s="695"/>
      <c r="AG870" s="695"/>
      <c r="AH870" s="695"/>
      <c r="AI870" s="695"/>
      <c r="AJ870" s="695"/>
      <c r="AK870" s="695"/>
      <c r="AL870" s="695"/>
      <c r="AM870" s="695"/>
      <c r="AN870" s="695"/>
      <c r="AO870" s="695"/>
      <c r="AP870" s="695"/>
      <c r="AQ870" s="695"/>
      <c r="AR870" s="695"/>
      <c r="AS870" s="695"/>
      <c r="AT870" s="695"/>
      <c r="BU870" s="350"/>
      <c r="BV870" s="350"/>
      <c r="BW870" s="350"/>
      <c r="BX870" s="350"/>
      <c r="BY870" s="350"/>
      <c r="BZ870" s="350"/>
      <c r="CA870" s="350"/>
      <c r="CB870" s="350"/>
      <c r="CC870" s="350"/>
      <c r="CD870" s="350"/>
      <c r="CE870" s="350"/>
      <c r="CF870" s="350"/>
      <c r="CG870" s="350"/>
      <c r="CH870" s="350"/>
      <c r="CI870" s="350"/>
      <c r="CJ870" s="350"/>
      <c r="CK870" s="350"/>
      <c r="CL870" s="350"/>
      <c r="CM870" s="350"/>
      <c r="CN870" s="350"/>
      <c r="CO870" s="350"/>
      <c r="CP870" s="350"/>
      <c r="CQ870" s="350"/>
      <c r="CR870" s="350"/>
      <c r="CS870" s="350"/>
      <c r="CT870" s="350"/>
      <c r="CU870" s="350"/>
      <c r="CV870" s="350"/>
      <c r="CW870" s="350"/>
      <c r="CX870" s="350"/>
      <c r="CY870" s="302"/>
      <c r="CZ870" s="302"/>
      <c r="DA870" s="302"/>
      <c r="DB870" s="302"/>
      <c r="DC870" s="302"/>
      <c r="DD870" s="302"/>
      <c r="DE870" s="302"/>
      <c r="DF870" s="302"/>
      <c r="DG870" s="350"/>
      <c r="DH870" s="350"/>
      <c r="DI870" s="302"/>
      <c r="DJ870" s="302"/>
      <c r="DK870" s="302"/>
      <c r="DL870" s="302"/>
      <c r="DM870" s="302"/>
      <c r="DN870" s="302"/>
      <c r="DO870" s="302"/>
    </row>
    <row r="871" spans="1:119" hidden="1">
      <c r="A871" s="1"/>
      <c r="B871" s="1"/>
      <c r="C871" s="1"/>
      <c r="D871" s="739" t="s">
        <v>654</v>
      </c>
      <c r="E871" s="92"/>
      <c r="F871" s="124"/>
      <c r="G871" s="124"/>
      <c r="H871" s="124"/>
      <c r="I871" s="124"/>
      <c r="J871" s="124" t="str">
        <f t="shared" ref="J871:U871" si="1088">+J920</f>
        <v>1998/99</v>
      </c>
      <c r="K871" s="124" t="str">
        <f t="shared" si="1088"/>
        <v>1999/00</v>
      </c>
      <c r="L871" s="124" t="str">
        <f t="shared" si="1088"/>
        <v>2000/01</v>
      </c>
      <c r="M871" s="124" t="str">
        <f t="shared" si="1088"/>
        <v>2001/02</v>
      </c>
      <c r="N871" s="124" t="str">
        <f t="shared" si="1088"/>
        <v>2002/03</v>
      </c>
      <c r="O871" s="124" t="str">
        <f t="shared" si="1088"/>
        <v>2003/04</v>
      </c>
      <c r="P871" s="124" t="str">
        <f t="shared" si="1088"/>
        <v>2004/05</v>
      </c>
      <c r="Q871" s="124" t="str">
        <f t="shared" si="1088"/>
        <v>2005/06</v>
      </c>
      <c r="R871" s="124" t="str">
        <f t="shared" si="1088"/>
        <v>2006/07</v>
      </c>
      <c r="S871" s="124" t="str">
        <f t="shared" si="1088"/>
        <v>2007/08</v>
      </c>
      <c r="T871" s="124" t="str">
        <f t="shared" si="1088"/>
        <v>2008/09</v>
      </c>
      <c r="U871" s="124" t="str">
        <f t="shared" si="1088"/>
        <v>2009/10</v>
      </c>
      <c r="V871" s="124" t="str">
        <f>+V920</f>
        <v>2010/11</v>
      </c>
      <c r="W871" s="124" t="s">
        <v>195</v>
      </c>
      <c r="X871" s="124" t="s">
        <v>196</v>
      </c>
      <c r="Y871" s="124" t="s">
        <v>197</v>
      </c>
      <c r="Z871" s="124" t="s">
        <v>198</v>
      </c>
      <c r="AA871" s="124" t="s">
        <v>199</v>
      </c>
      <c r="AB871" s="124" t="s">
        <v>200</v>
      </c>
      <c r="AC871" s="124" t="s">
        <v>201</v>
      </c>
      <c r="AD871" s="124" t="s">
        <v>202</v>
      </c>
      <c r="AE871" s="124" t="s">
        <v>203</v>
      </c>
      <c r="AF871" s="124" t="s">
        <v>1114</v>
      </c>
      <c r="AG871" s="124" t="s">
        <v>1140</v>
      </c>
      <c r="AH871" s="124" t="s">
        <v>1141</v>
      </c>
      <c r="AI871" s="124" t="s">
        <v>1142</v>
      </c>
      <c r="AJ871" s="124" t="s">
        <v>1143</v>
      </c>
      <c r="AK871" s="124" t="s">
        <v>1144</v>
      </c>
      <c r="AL871" s="124" t="s">
        <v>3289</v>
      </c>
      <c r="AM871" s="124" t="s">
        <v>3400</v>
      </c>
      <c r="AN871" s="124" t="s">
        <v>3582</v>
      </c>
      <c r="AO871" s="124" t="s">
        <v>3583</v>
      </c>
      <c r="AP871" s="124"/>
      <c r="AQ871" s="124"/>
      <c r="AR871" s="124"/>
      <c r="AS871" s="124"/>
      <c r="AT871" s="124"/>
      <c r="BU871" s="350"/>
      <c r="BV871" s="350"/>
      <c r="BW871" s="350"/>
      <c r="BX871" s="350"/>
      <c r="BY871" s="350"/>
      <c r="BZ871" s="350"/>
      <c r="CA871" s="350"/>
      <c r="CB871" s="350"/>
      <c r="CC871" s="350"/>
      <c r="CD871" s="350"/>
      <c r="CE871" s="350"/>
      <c r="CF871" s="350"/>
      <c r="CG871" s="350"/>
      <c r="CH871" s="350"/>
      <c r="CI871" s="350"/>
      <c r="CJ871" s="350"/>
      <c r="CK871" s="350"/>
      <c r="CL871" s="350"/>
      <c r="CM871" s="350"/>
      <c r="CN871" s="350"/>
      <c r="CO871" s="350"/>
      <c r="CP871" s="350"/>
      <c r="CQ871" s="350"/>
      <c r="CR871" s="350"/>
      <c r="CS871" s="350"/>
      <c r="CT871" s="350"/>
      <c r="CU871" s="350"/>
      <c r="CV871" s="350"/>
      <c r="CW871" s="350"/>
      <c r="CX871" s="350"/>
      <c r="CY871" s="302"/>
      <c r="CZ871" s="302"/>
      <c r="DA871" s="302"/>
      <c r="DB871" s="302"/>
      <c r="DC871" s="302"/>
      <c r="DD871" s="302"/>
      <c r="DE871" s="302"/>
      <c r="DF871" s="302"/>
      <c r="DG871" s="350"/>
      <c r="DH871" s="350"/>
      <c r="DI871" s="302"/>
      <c r="DJ871" s="302"/>
      <c r="DK871" s="302"/>
      <c r="DL871" s="302"/>
      <c r="DM871" s="302"/>
      <c r="DN871" s="302"/>
      <c r="DO871" s="302"/>
    </row>
    <row r="872" spans="1:119" hidden="1">
      <c r="A872" s="1"/>
      <c r="B872" s="1"/>
      <c r="C872" s="1"/>
      <c r="D872" s="749" t="s">
        <v>135</v>
      </c>
      <c r="E872" s="92"/>
      <c r="F872" s="134"/>
      <c r="G872" s="134"/>
      <c r="H872" s="134"/>
      <c r="I872" s="134"/>
      <c r="J872" s="616">
        <f t="shared" ref="J872:AL872" si="1089">+J671</f>
        <v>113.59782050000001</v>
      </c>
      <c r="K872" s="616">
        <f t="shared" si="1089"/>
        <v>136.65685000000002</v>
      </c>
      <c r="L872" s="616">
        <f t="shared" si="1089"/>
        <v>147.18380000000002</v>
      </c>
      <c r="M872" s="616">
        <f t="shared" si="1089"/>
        <v>160.49365</v>
      </c>
      <c r="N872" s="616">
        <f t="shared" si="1089"/>
        <v>184.55775</v>
      </c>
      <c r="O872" s="616">
        <f t="shared" si="1089"/>
        <v>236.45734999999999</v>
      </c>
      <c r="P872" s="616">
        <f t="shared" si="1089"/>
        <v>309.56335607093501</v>
      </c>
      <c r="Q872" s="616">
        <f t="shared" si="1089"/>
        <v>360.26350607093502</v>
      </c>
      <c r="R872" s="616">
        <f t="shared" si="1089"/>
        <v>388.09999999999997</v>
      </c>
      <c r="S872" s="616">
        <f t="shared" si="1089"/>
        <v>518.20000000000005</v>
      </c>
      <c r="T872" s="616">
        <f t="shared" si="1089"/>
        <v>670.8</v>
      </c>
      <c r="U872" s="616">
        <f t="shared" si="1089"/>
        <v>800.7</v>
      </c>
      <c r="V872" s="616">
        <f t="shared" si="1089"/>
        <v>863.35673257600001</v>
      </c>
      <c r="W872" s="616">
        <f t="shared" si="1089"/>
        <v>1049.0999999999999</v>
      </c>
      <c r="X872" s="616">
        <f t="shared" si="1089"/>
        <v>1101.321563602417</v>
      </c>
      <c r="Y872" s="616">
        <f t="shared" si="1089"/>
        <v>1336.3605712034318</v>
      </c>
      <c r="Z872" s="616">
        <f t="shared" si="1089"/>
        <v>1418.6704994724025</v>
      </c>
      <c r="AA872" s="616">
        <f t="shared" si="1089"/>
        <v>1541.6572083762826</v>
      </c>
      <c r="AB872" s="616">
        <f t="shared" si="1089"/>
        <v>1615.7619294919559</v>
      </c>
      <c r="AC872" s="616">
        <f t="shared" si="1089"/>
        <v>1820.4124327910465</v>
      </c>
      <c r="AD872" s="616">
        <f t="shared" si="1089"/>
        <v>2064.9766652822391</v>
      </c>
      <c r="AE872" s="616">
        <f t="shared" si="1089"/>
        <v>2082.0309719952802</v>
      </c>
      <c r="AF872" s="616">
        <f t="shared" si="1089"/>
        <v>2171.5351257992602</v>
      </c>
      <c r="AG872" s="616">
        <f t="shared" si="1089"/>
        <v>8652.6887956167611</v>
      </c>
      <c r="AH872" s="616">
        <f t="shared" si="1089"/>
        <v>12084.637094129259</v>
      </c>
      <c r="AI872" s="616">
        <f t="shared" si="1089"/>
        <v>13647.031133591187</v>
      </c>
      <c r="AJ872" s="616">
        <f t="shared" si="1089"/>
        <v>625.76873923411313</v>
      </c>
      <c r="AK872" s="616" t="e">
        <f t="shared" si="1089"/>
        <v>#DIV/0!</v>
      </c>
      <c r="AL872" s="616" t="e">
        <f t="shared" si="1089"/>
        <v>#DIV/0!</v>
      </c>
      <c r="AM872" s="616" t="e">
        <f>+AM671</f>
        <v>#DIV/0!</v>
      </c>
      <c r="AN872" s="616" t="e">
        <f t="shared" ref="AN872:AO872" si="1090">+AN671</f>
        <v>#DIV/0!</v>
      </c>
      <c r="AO872" s="616" t="e">
        <f t="shared" si="1090"/>
        <v>#DIV/0!</v>
      </c>
      <c r="AP872" s="616"/>
      <c r="AQ872" s="616"/>
      <c r="AR872" s="616"/>
      <c r="AS872" s="616"/>
      <c r="AT872" s="616"/>
      <c r="BU872" s="350"/>
      <c r="BV872" s="350"/>
      <c r="BW872" s="350"/>
      <c r="BX872" s="350"/>
      <c r="BY872" s="350"/>
      <c r="BZ872" s="350"/>
      <c r="CA872" s="350"/>
      <c r="CB872" s="350"/>
      <c r="CC872" s="350"/>
      <c r="CD872" s="350"/>
      <c r="CE872" s="350"/>
      <c r="CF872" s="350"/>
      <c r="CG872" s="350"/>
      <c r="CH872" s="350"/>
      <c r="CI872" s="350"/>
      <c r="CJ872" s="350"/>
      <c r="CK872" s="350"/>
      <c r="CL872" s="350"/>
      <c r="CM872" s="350"/>
      <c r="CN872" s="350"/>
      <c r="CO872" s="350"/>
      <c r="CP872" s="350"/>
      <c r="CQ872" s="350"/>
      <c r="CR872" s="350"/>
      <c r="CS872" s="350"/>
      <c r="CT872" s="350"/>
      <c r="CU872" s="350"/>
      <c r="CV872" s="350"/>
      <c r="CW872" s="350"/>
      <c r="CX872" s="350"/>
      <c r="CY872" s="302"/>
      <c r="CZ872" s="302"/>
      <c r="DA872" s="302"/>
      <c r="DB872" s="302"/>
      <c r="DC872" s="302"/>
      <c r="DD872" s="302"/>
      <c r="DE872" s="302"/>
      <c r="DF872" s="302"/>
      <c r="DG872" s="350"/>
      <c r="DH872" s="350"/>
      <c r="DI872" s="302"/>
      <c r="DJ872" s="302"/>
      <c r="DK872" s="302"/>
      <c r="DL872" s="302"/>
      <c r="DM872" s="302"/>
      <c r="DN872" s="302"/>
      <c r="DO872" s="302"/>
    </row>
    <row r="873" spans="1:119" hidden="1">
      <c r="A873" s="1"/>
      <c r="B873" s="1"/>
      <c r="C873" s="1"/>
      <c r="D873" s="750" t="s">
        <v>137</v>
      </c>
      <c r="E873" s="92"/>
      <c r="F873" s="134"/>
      <c r="G873" s="134"/>
      <c r="H873" s="134"/>
      <c r="I873" s="134"/>
      <c r="J873" s="616">
        <f t="shared" ref="J873:AL873" si="1091">+J673</f>
        <v>65.384550000000004</v>
      </c>
      <c r="K873" s="616">
        <f t="shared" si="1091"/>
        <v>66.571799999999996</v>
      </c>
      <c r="L873" s="616">
        <f t="shared" si="1091"/>
        <v>76.746549999999999</v>
      </c>
      <c r="M873" s="616">
        <f t="shared" si="1091"/>
        <v>93.009150000000005</v>
      </c>
      <c r="N873" s="616">
        <f t="shared" si="1091"/>
        <v>111.0539</v>
      </c>
      <c r="O873" s="616">
        <f t="shared" si="1091"/>
        <v>134.00534999999999</v>
      </c>
      <c r="P873" s="616">
        <f t="shared" si="1091"/>
        <v>162.974511917</v>
      </c>
      <c r="Q873" s="616">
        <f t="shared" si="1091"/>
        <v>193.494661917</v>
      </c>
      <c r="R873" s="616">
        <f t="shared" si="1091"/>
        <v>233.29999999999995</v>
      </c>
      <c r="S873" s="616">
        <f t="shared" si="1091"/>
        <v>290.3</v>
      </c>
      <c r="T873" s="616">
        <f t="shared" si="1091"/>
        <v>413.09999999999997</v>
      </c>
      <c r="U873" s="616">
        <f t="shared" si="1091"/>
        <v>391.40000000000003</v>
      </c>
      <c r="V873" s="616">
        <f t="shared" si="1091"/>
        <v>484.33096274100001</v>
      </c>
      <c r="W873" s="616">
        <f t="shared" si="1091"/>
        <v>591.70000000000005</v>
      </c>
      <c r="X873" s="616">
        <f t="shared" si="1091"/>
        <v>736.42156360241711</v>
      </c>
      <c r="Y873" s="616">
        <f t="shared" si="1091"/>
        <v>862.07143003969168</v>
      </c>
      <c r="Z873" s="616">
        <f t="shared" si="1091"/>
        <v>1002.7568019579999</v>
      </c>
      <c r="AA873" s="616">
        <f t="shared" si="1091"/>
        <v>1167.9101980985556</v>
      </c>
      <c r="AB873" s="616">
        <f t="shared" si="1091"/>
        <v>1285.5798455454374</v>
      </c>
      <c r="AC873" s="616">
        <f t="shared" si="1091"/>
        <v>1461.503755922336</v>
      </c>
      <c r="AD873" s="616">
        <f t="shared" si="1091"/>
        <v>1670.2030407779237</v>
      </c>
      <c r="AE873" s="616">
        <f t="shared" si="1091"/>
        <v>1649.9486941171201</v>
      </c>
      <c r="AF873" s="616">
        <f t="shared" si="1091"/>
        <v>1679.2114408085199</v>
      </c>
      <c r="AG873" s="616">
        <f t="shared" si="1091"/>
        <v>7816.4786611245672</v>
      </c>
      <c r="AH873" s="616">
        <f t="shared" si="1091"/>
        <v>11373.342941169718</v>
      </c>
      <c r="AI873" s="616">
        <f t="shared" si="1091"/>
        <v>12889.214493001125</v>
      </c>
      <c r="AJ873" s="616">
        <f t="shared" si="1091"/>
        <v>0</v>
      </c>
      <c r="AK873" s="616" t="e">
        <f t="shared" si="1091"/>
        <v>#DIV/0!</v>
      </c>
      <c r="AL873" s="616" t="e">
        <f t="shared" si="1091"/>
        <v>#DIV/0!</v>
      </c>
      <c r="AM873" s="616" t="e">
        <f>+AM673</f>
        <v>#DIV/0!</v>
      </c>
      <c r="AN873" s="616" t="e">
        <f t="shared" ref="AN873:AO873" si="1092">+AN673</f>
        <v>#DIV/0!</v>
      </c>
      <c r="AO873" s="616" t="e">
        <f t="shared" si="1092"/>
        <v>#DIV/0!</v>
      </c>
      <c r="AP873" s="616"/>
      <c r="AQ873" s="616"/>
      <c r="AR873" s="616"/>
      <c r="AS873" s="616"/>
      <c r="AT873" s="616"/>
      <c r="BU873" s="350"/>
      <c r="BV873" s="350"/>
      <c r="BW873" s="350"/>
      <c r="BX873" s="350"/>
      <c r="BY873" s="350"/>
      <c r="BZ873" s="350"/>
      <c r="CA873" s="350"/>
      <c r="CB873" s="350"/>
      <c r="CC873" s="350"/>
      <c r="CD873" s="350"/>
      <c r="CE873" s="350"/>
      <c r="CF873" s="350"/>
      <c r="CG873" s="350"/>
      <c r="CH873" s="350"/>
      <c r="CI873" s="350"/>
      <c r="CJ873" s="350"/>
      <c r="CK873" s="350"/>
      <c r="CL873" s="350"/>
      <c r="CM873" s="350"/>
      <c r="CN873" s="350"/>
      <c r="CO873" s="350"/>
      <c r="CP873" s="350"/>
      <c r="CQ873" s="350"/>
      <c r="CR873" s="350"/>
      <c r="CS873" s="350"/>
      <c r="CT873" s="350"/>
      <c r="CU873" s="350"/>
      <c r="CV873" s="350"/>
      <c r="CW873" s="350"/>
      <c r="CX873" s="350"/>
      <c r="CY873" s="302"/>
      <c r="CZ873" s="302"/>
      <c r="DA873" s="302"/>
      <c r="DB873" s="302"/>
      <c r="DC873" s="302"/>
      <c r="DD873" s="302"/>
      <c r="DE873" s="302"/>
      <c r="DF873" s="302"/>
      <c r="DG873" s="350"/>
      <c r="DH873" s="350"/>
      <c r="DI873" s="302"/>
      <c r="DJ873" s="302"/>
      <c r="DK873" s="302"/>
      <c r="DL873" s="302"/>
      <c r="DM873" s="302"/>
      <c r="DN873" s="302"/>
      <c r="DO873" s="302"/>
    </row>
    <row r="874" spans="1:119" hidden="1">
      <c r="A874" s="1"/>
      <c r="B874" s="1"/>
      <c r="C874" s="1"/>
      <c r="D874" s="751" t="s">
        <v>138</v>
      </c>
      <c r="E874" s="92"/>
      <c r="F874" s="134"/>
      <c r="G874" s="134"/>
      <c r="H874" s="134"/>
      <c r="I874" s="134"/>
      <c r="J874" s="616">
        <f t="shared" ref="J874:AL874" si="1093">+J674</f>
        <v>61.834350000000001</v>
      </c>
      <c r="K874" s="616">
        <f t="shared" si="1093"/>
        <v>63.134699999999995</v>
      </c>
      <c r="L874" s="616">
        <f t="shared" si="1093"/>
        <v>71.812049999999999</v>
      </c>
      <c r="M874" s="616">
        <f t="shared" si="1093"/>
        <v>86.365949999999998</v>
      </c>
      <c r="N874" s="616">
        <f t="shared" si="1093"/>
        <v>103.91084999999998</v>
      </c>
      <c r="O874" s="616">
        <f t="shared" si="1093"/>
        <v>123.96069999999997</v>
      </c>
      <c r="P874" s="616">
        <f t="shared" si="1093"/>
        <v>147.8440864465</v>
      </c>
      <c r="Q874" s="616">
        <f t="shared" si="1093"/>
        <v>177.28098644650001</v>
      </c>
      <c r="R874" s="616">
        <f t="shared" si="1093"/>
        <v>217.59999999999997</v>
      </c>
      <c r="S874" s="616">
        <f t="shared" si="1093"/>
        <v>272.5</v>
      </c>
      <c r="T874" s="616">
        <f t="shared" si="1093"/>
        <v>361.4</v>
      </c>
      <c r="U874" s="616">
        <f t="shared" si="1093"/>
        <v>376.40000000000003</v>
      </c>
      <c r="V874" s="616">
        <f t="shared" si="1093"/>
        <v>463.70823000000001</v>
      </c>
      <c r="W874" s="616">
        <f t="shared" si="1093"/>
        <v>557</v>
      </c>
      <c r="X874" s="616">
        <f t="shared" si="1093"/>
        <v>651.92156360241711</v>
      </c>
      <c r="Y874" s="616">
        <f t="shared" si="1093"/>
        <v>761.02287438134351</v>
      </c>
      <c r="Z874" s="616">
        <f t="shared" si="1093"/>
        <v>871.55680195799994</v>
      </c>
      <c r="AA874" s="616">
        <f t="shared" si="1093"/>
        <v>1000.3139498321091</v>
      </c>
      <c r="AB874" s="616">
        <f t="shared" si="1093"/>
        <v>1104.143145074856</v>
      </c>
      <c r="AC874" s="616">
        <f t="shared" si="1093"/>
        <v>1252.8836310898428</v>
      </c>
      <c r="AD874" s="616">
        <f t="shared" si="1093"/>
        <v>1418.7907824792755</v>
      </c>
      <c r="AE874" s="616">
        <f t="shared" si="1093"/>
        <v>1408.2817965614299</v>
      </c>
      <c r="AF874" s="616">
        <f t="shared" si="1093"/>
        <v>1459.87322506286</v>
      </c>
      <c r="AG874" s="616">
        <f t="shared" si="1093"/>
        <v>7489.9331182387605</v>
      </c>
      <c r="AH874" s="616">
        <f t="shared" si="1093"/>
        <v>10981.518626929459</v>
      </c>
      <c r="AI874" s="616">
        <f t="shared" si="1093"/>
        <v>12397.942609035448</v>
      </c>
      <c r="AJ874" s="616">
        <f t="shared" si="1093"/>
        <v>0</v>
      </c>
      <c r="AK874" s="616">
        <f t="shared" si="1093"/>
        <v>78.11456214724744</v>
      </c>
      <c r="AL874" s="616">
        <f t="shared" si="1093"/>
        <v>80.869314033084009</v>
      </c>
      <c r="AM874" s="616">
        <f>+AM674</f>
        <v>83.898570685574228</v>
      </c>
      <c r="AN874" s="616">
        <f t="shared" ref="AN874:AO874" si="1094">+AN674</f>
        <v>86.909346784529873</v>
      </c>
      <c r="AO874" s="616">
        <f t="shared" si="1094"/>
        <v>90.358817481152514</v>
      </c>
      <c r="AP874" s="616"/>
      <c r="AQ874" s="616"/>
      <c r="AR874" s="616"/>
      <c r="AS874" s="616"/>
      <c r="AT874" s="616"/>
      <c r="BU874" s="350"/>
      <c r="BV874" s="350"/>
      <c r="BW874" s="350"/>
      <c r="BX874" s="350"/>
      <c r="BY874" s="350"/>
      <c r="BZ874" s="350"/>
      <c r="CA874" s="350"/>
      <c r="CB874" s="350"/>
      <c r="CC874" s="350"/>
      <c r="CD874" s="350"/>
      <c r="CE874" s="350"/>
      <c r="CF874" s="350"/>
      <c r="CG874" s="350"/>
      <c r="CH874" s="350"/>
      <c r="CI874" s="350"/>
      <c r="CJ874" s="350"/>
      <c r="CK874" s="350"/>
      <c r="CL874" s="350"/>
      <c r="CM874" s="350"/>
      <c r="CN874" s="350"/>
      <c r="CO874" s="350"/>
      <c r="CP874" s="350"/>
      <c r="CQ874" s="350"/>
      <c r="CR874" s="350"/>
      <c r="CS874" s="350"/>
      <c r="CT874" s="350"/>
      <c r="CU874" s="350"/>
      <c r="CV874" s="350"/>
      <c r="CW874" s="350"/>
      <c r="CX874" s="350"/>
      <c r="CY874" s="302"/>
      <c r="CZ874" s="302"/>
      <c r="DA874" s="302"/>
      <c r="DB874" s="302"/>
      <c r="DC874" s="302"/>
      <c r="DD874" s="302"/>
      <c r="DE874" s="302"/>
      <c r="DF874" s="302"/>
      <c r="DG874" s="350"/>
      <c r="DH874" s="350"/>
      <c r="DI874" s="302"/>
      <c r="DJ874" s="302"/>
      <c r="DK874" s="302"/>
      <c r="DL874" s="302"/>
      <c r="DM874" s="302"/>
      <c r="DN874" s="302"/>
      <c r="DO874" s="302"/>
    </row>
    <row r="875" spans="1:119" hidden="1">
      <c r="A875" s="1"/>
      <c r="B875" s="1"/>
      <c r="C875" s="1"/>
      <c r="D875" s="751" t="s">
        <v>145</v>
      </c>
      <c r="E875" s="92"/>
      <c r="F875" s="134"/>
      <c r="G875" s="134"/>
      <c r="H875" s="134"/>
      <c r="I875" s="134"/>
      <c r="J875" s="616">
        <f t="shared" ref="J875:AL875" si="1095">+J691</f>
        <v>3.5502000000000002</v>
      </c>
      <c r="K875" s="616">
        <f t="shared" si="1095"/>
        <v>3.4371</v>
      </c>
      <c r="L875" s="616">
        <f t="shared" si="1095"/>
        <v>4.9344999999999999</v>
      </c>
      <c r="M875" s="616">
        <f t="shared" si="1095"/>
        <v>6.6432000000000002</v>
      </c>
      <c r="N875" s="616">
        <f t="shared" si="1095"/>
        <v>7.1430500000000006</v>
      </c>
      <c r="O875" s="616">
        <f t="shared" si="1095"/>
        <v>10.044649999999999</v>
      </c>
      <c r="P875" s="616">
        <f t="shared" si="1095"/>
        <v>15.130425470500001</v>
      </c>
      <c r="Q875" s="616">
        <f t="shared" si="1095"/>
        <v>16.2136754705</v>
      </c>
      <c r="R875" s="616">
        <f t="shared" si="1095"/>
        <v>15.7</v>
      </c>
      <c r="S875" s="616">
        <f t="shared" si="1095"/>
        <v>17.8</v>
      </c>
      <c r="T875" s="616">
        <f t="shared" si="1095"/>
        <v>51.7</v>
      </c>
      <c r="U875" s="616">
        <f t="shared" si="1095"/>
        <v>15</v>
      </c>
      <c r="V875" s="616">
        <f t="shared" si="1095"/>
        <v>20.622732741</v>
      </c>
      <c r="W875" s="616">
        <f t="shared" si="1095"/>
        <v>34.700000000000003</v>
      </c>
      <c r="X875" s="616">
        <f t="shared" si="1095"/>
        <v>84.5</v>
      </c>
      <c r="Y875" s="616">
        <f t="shared" si="1095"/>
        <v>101.04855565834818</v>
      </c>
      <c r="Z875" s="616">
        <f t="shared" si="1095"/>
        <v>131.19999999999999</v>
      </c>
      <c r="AA875" s="616">
        <f t="shared" si="1095"/>
        <v>167.59624826644659</v>
      </c>
      <c r="AB875" s="616">
        <f t="shared" si="1095"/>
        <v>181.4367004705814</v>
      </c>
      <c r="AC875" s="616">
        <f t="shared" si="1095"/>
        <v>208.62012483249333</v>
      </c>
      <c r="AD875" s="616">
        <f t="shared" si="1095"/>
        <v>251.41225829864834</v>
      </c>
      <c r="AE875" s="616">
        <f t="shared" si="1095"/>
        <v>241.66689755569263</v>
      </c>
      <c r="AF875" s="616">
        <f t="shared" si="1095"/>
        <v>219.33821574565292</v>
      </c>
      <c r="AG875" s="616">
        <f t="shared" si="1095"/>
        <v>326.54554288580664</v>
      </c>
      <c r="AH875" s="616">
        <f t="shared" si="1095"/>
        <v>391.82431424025867</v>
      </c>
      <c r="AI875" s="616">
        <f t="shared" si="1095"/>
        <v>491.27188396567647</v>
      </c>
      <c r="AJ875" s="616">
        <f t="shared" si="1095"/>
        <v>0</v>
      </c>
      <c r="AK875" s="616" t="e">
        <f t="shared" si="1095"/>
        <v>#DIV/0!</v>
      </c>
      <c r="AL875" s="616" t="e">
        <f t="shared" si="1095"/>
        <v>#DIV/0!</v>
      </c>
      <c r="AM875" s="616" t="e">
        <f>+AM691</f>
        <v>#DIV/0!</v>
      </c>
      <c r="AN875" s="616" t="e">
        <f t="shared" ref="AN875:AO875" si="1096">+AN691</f>
        <v>#DIV/0!</v>
      </c>
      <c r="AO875" s="616" t="e">
        <f t="shared" si="1096"/>
        <v>#DIV/0!</v>
      </c>
      <c r="AP875" s="616"/>
      <c r="AQ875" s="616"/>
      <c r="AR875" s="616"/>
      <c r="AS875" s="616"/>
      <c r="AT875" s="616"/>
      <c r="BU875" s="350"/>
      <c r="BV875" s="350"/>
      <c r="BW875" s="350"/>
      <c r="BX875" s="350"/>
      <c r="BY875" s="350"/>
      <c r="BZ875" s="350"/>
      <c r="CA875" s="350"/>
      <c r="CB875" s="350"/>
      <c r="CC875" s="350"/>
      <c r="CD875" s="350"/>
      <c r="CE875" s="350"/>
      <c r="CF875" s="350"/>
      <c r="CG875" s="350"/>
      <c r="CH875" s="350"/>
      <c r="CI875" s="350"/>
      <c r="CJ875" s="350"/>
      <c r="CK875" s="350"/>
      <c r="CL875" s="350"/>
      <c r="CM875" s="350"/>
      <c r="CN875" s="350"/>
      <c r="CO875" s="350"/>
      <c r="CP875" s="350"/>
      <c r="CQ875" s="350"/>
      <c r="CR875" s="350"/>
      <c r="CS875" s="350"/>
      <c r="CT875" s="350"/>
      <c r="CU875" s="350"/>
      <c r="CV875" s="350"/>
      <c r="CW875" s="350"/>
      <c r="CX875" s="350"/>
      <c r="CY875" s="302"/>
      <c r="CZ875" s="302"/>
      <c r="DA875" s="302"/>
      <c r="DB875" s="302"/>
      <c r="DC875" s="302"/>
      <c r="DD875" s="302"/>
      <c r="DE875" s="302"/>
      <c r="DF875" s="302"/>
      <c r="DG875" s="350"/>
      <c r="DH875" s="350"/>
      <c r="DI875" s="302"/>
      <c r="DJ875" s="302"/>
      <c r="DK875" s="302"/>
      <c r="DL875" s="302"/>
      <c r="DM875" s="302"/>
      <c r="DN875" s="302"/>
      <c r="DO875" s="302"/>
    </row>
    <row r="876" spans="1:119" hidden="1">
      <c r="A876" s="1"/>
      <c r="B876" s="1"/>
      <c r="C876" s="1"/>
      <c r="D876" s="751" t="s">
        <v>867</v>
      </c>
      <c r="E876" s="92"/>
      <c r="F876" s="134"/>
      <c r="G876" s="134"/>
      <c r="H876" s="134"/>
      <c r="I876" s="134"/>
      <c r="J876" s="754"/>
      <c r="K876" s="754"/>
      <c r="L876" s="754"/>
      <c r="M876" s="754"/>
      <c r="N876" s="754"/>
      <c r="O876" s="754"/>
      <c r="P876" s="754"/>
      <c r="Q876" s="754"/>
      <c r="R876" s="754"/>
      <c r="S876" s="754"/>
      <c r="T876" s="754"/>
      <c r="U876" s="754"/>
      <c r="V876" s="754"/>
      <c r="W876" s="754"/>
      <c r="X876" s="754">
        <f t="shared" ref="X876:AL876" si="1097">+X692</f>
        <v>61.9</v>
      </c>
      <c r="Y876" s="754">
        <f t="shared" si="1097"/>
        <v>81.499363751348184</v>
      </c>
      <c r="Z876" s="754">
        <f t="shared" si="1097"/>
        <v>89</v>
      </c>
      <c r="AA876" s="754">
        <f t="shared" si="1097"/>
        <v>122.87648755655565</v>
      </c>
      <c r="AB876" s="754">
        <f t="shared" si="1097"/>
        <v>128.49930055706017</v>
      </c>
      <c r="AC876" s="754">
        <f t="shared" si="1097"/>
        <v>150.05275337</v>
      </c>
      <c r="AD876" s="754">
        <f t="shared" si="1097"/>
        <v>151.02780468354831</v>
      </c>
      <c r="AE876" s="754">
        <f t="shared" si="1097"/>
        <v>169.27762068120722</v>
      </c>
      <c r="AF876" s="754">
        <f t="shared" si="1097"/>
        <v>141.91716108631363</v>
      </c>
      <c r="AG876" s="754">
        <f t="shared" si="1097"/>
        <v>140.58770486242673</v>
      </c>
      <c r="AH876" s="754">
        <f t="shared" si="1097"/>
        <v>151.85749599591659</v>
      </c>
      <c r="AI876" s="754">
        <f t="shared" si="1097"/>
        <v>176.56360568673131</v>
      </c>
      <c r="AJ876" s="754">
        <f t="shared" si="1097"/>
        <v>0</v>
      </c>
      <c r="AK876" s="754">
        <f t="shared" si="1097"/>
        <v>0</v>
      </c>
      <c r="AL876" s="754">
        <f t="shared" si="1097"/>
        <v>0</v>
      </c>
      <c r="AM876" s="754">
        <f>+AM692</f>
        <v>0</v>
      </c>
      <c r="AN876" s="754">
        <f t="shared" ref="AN876:AO876" si="1098">+AN692</f>
        <v>0</v>
      </c>
      <c r="AO876" s="754">
        <f t="shared" si="1098"/>
        <v>0</v>
      </c>
      <c r="AP876" s="754"/>
      <c r="AQ876" s="754"/>
      <c r="AR876" s="754"/>
      <c r="AS876" s="754"/>
      <c r="AT876" s="754"/>
      <c r="BU876" s="350"/>
      <c r="BV876" s="350"/>
      <c r="BW876" s="350"/>
      <c r="BX876" s="350"/>
      <c r="BY876" s="350"/>
      <c r="BZ876" s="350"/>
      <c r="CA876" s="350"/>
      <c r="CB876" s="350"/>
      <c r="CC876" s="350"/>
      <c r="CD876" s="350"/>
      <c r="CE876" s="350"/>
      <c r="CF876" s="350"/>
      <c r="CG876" s="350"/>
      <c r="CH876" s="350"/>
      <c r="CI876" s="350"/>
      <c r="CJ876" s="350"/>
      <c r="CK876" s="350"/>
      <c r="CL876" s="350"/>
      <c r="CM876" s="350"/>
      <c r="CN876" s="350"/>
      <c r="CO876" s="350"/>
      <c r="CP876" s="350"/>
      <c r="CQ876" s="350"/>
      <c r="CR876" s="350"/>
      <c r="CS876" s="350"/>
      <c r="CT876" s="350"/>
      <c r="CU876" s="350"/>
      <c r="CV876" s="350"/>
      <c r="CW876" s="350"/>
      <c r="CX876" s="350"/>
      <c r="CY876" s="302"/>
      <c r="CZ876" s="302"/>
      <c r="DA876" s="302"/>
      <c r="DB876" s="302"/>
      <c r="DC876" s="302"/>
      <c r="DD876" s="302"/>
      <c r="DE876" s="302"/>
      <c r="DF876" s="302"/>
      <c r="DG876" s="350"/>
      <c r="DH876" s="350"/>
      <c r="DI876" s="302"/>
      <c r="DJ876" s="302"/>
      <c r="DK876" s="302"/>
      <c r="DL876" s="302"/>
      <c r="DM876" s="302"/>
      <c r="DN876" s="302"/>
      <c r="DO876" s="302"/>
    </row>
    <row r="877" spans="1:119" hidden="1">
      <c r="A877" s="1"/>
      <c r="B877" s="1"/>
      <c r="C877" s="1"/>
      <c r="D877" s="750" t="s">
        <v>146</v>
      </c>
      <c r="E877" s="92"/>
      <c r="F877" s="134"/>
      <c r="G877" s="134"/>
      <c r="H877" s="134"/>
      <c r="I877" s="134"/>
      <c r="J877" s="616">
        <f t="shared" ref="J877:AL877" si="1099">+J700</f>
        <v>48.213270500000007</v>
      </c>
      <c r="K877" s="616">
        <f t="shared" si="1099"/>
        <v>70.085049999999995</v>
      </c>
      <c r="L877" s="616">
        <f t="shared" si="1099"/>
        <v>70.437250000000006</v>
      </c>
      <c r="M877" s="616">
        <f t="shared" si="1099"/>
        <v>67.484499999999997</v>
      </c>
      <c r="N877" s="616">
        <f t="shared" si="1099"/>
        <v>73.50385</v>
      </c>
      <c r="O877" s="616">
        <f t="shared" si="1099"/>
        <v>102.45200000000001</v>
      </c>
      <c r="P877" s="616">
        <f t="shared" si="1099"/>
        <v>146.58884415393501</v>
      </c>
      <c r="Q877" s="616">
        <f t="shared" si="1099"/>
        <v>166.76884415393499</v>
      </c>
      <c r="R877" s="616">
        <f t="shared" si="1099"/>
        <v>154.80000000000001</v>
      </c>
      <c r="S877" s="616">
        <f t="shared" si="1099"/>
        <v>227.89999999999998</v>
      </c>
      <c r="T877" s="616">
        <f t="shared" si="1099"/>
        <v>257.7</v>
      </c>
      <c r="U877" s="616">
        <f t="shared" si="1099"/>
        <v>409.3</v>
      </c>
      <c r="V877" s="616">
        <f t="shared" si="1099"/>
        <v>379.02576983500001</v>
      </c>
      <c r="W877" s="616">
        <f t="shared" si="1099"/>
        <v>457.4</v>
      </c>
      <c r="X877" s="616">
        <f t="shared" si="1099"/>
        <v>364.9</v>
      </c>
      <c r="Y877" s="616">
        <f t="shared" si="1099"/>
        <v>474.28914116374006</v>
      </c>
      <c r="Z877" s="616">
        <f t="shared" si="1099"/>
        <v>415.91369751440271</v>
      </c>
      <c r="AA877" s="616">
        <f t="shared" si="1099"/>
        <v>373.7470102777271</v>
      </c>
      <c r="AB877" s="616">
        <f t="shared" si="1099"/>
        <v>330.18208394651856</v>
      </c>
      <c r="AC877" s="616">
        <f t="shared" si="1099"/>
        <v>358.90867686871047</v>
      </c>
      <c r="AD877" s="616">
        <f t="shared" si="1099"/>
        <v>394.77362450431519</v>
      </c>
      <c r="AE877" s="616">
        <f t="shared" si="1099"/>
        <v>432.08227787815542</v>
      </c>
      <c r="AF877" s="616">
        <f t="shared" si="1099"/>
        <v>492.32368499074391</v>
      </c>
      <c r="AG877" s="616">
        <f t="shared" si="1099"/>
        <v>836.21013449219345</v>
      </c>
      <c r="AH877" s="616">
        <f t="shared" si="1099"/>
        <v>711.29415295954027</v>
      </c>
      <c r="AI877" s="616">
        <f t="shared" si="1099"/>
        <v>757.81664059006152</v>
      </c>
      <c r="AJ877" s="616">
        <f t="shared" si="1099"/>
        <v>625.76873923411313</v>
      </c>
      <c r="AK877" s="616">
        <f t="shared" si="1099"/>
        <v>585.21500835131963</v>
      </c>
      <c r="AL877" s="616">
        <f t="shared" si="1099"/>
        <v>660.06662379141676</v>
      </c>
      <c r="AM877" s="616">
        <f>+AM700</f>
        <v>739.77037337547381</v>
      </c>
      <c r="AN877" s="616">
        <f t="shared" ref="AN877:AO877" si="1100">+AN700</f>
        <v>794.32405102735959</v>
      </c>
      <c r="AO877" s="616">
        <f t="shared" si="1100"/>
        <v>864.96623985512781</v>
      </c>
      <c r="AP877" s="616"/>
      <c r="AQ877" s="616"/>
      <c r="AR877" s="616"/>
      <c r="AS877" s="616"/>
      <c r="AT877" s="616"/>
      <c r="BU877" s="350"/>
      <c r="BV877" s="350"/>
      <c r="BW877" s="350"/>
      <c r="BX877" s="350"/>
      <c r="BY877" s="350"/>
      <c r="BZ877" s="350"/>
      <c r="CA877" s="350"/>
      <c r="CB877" s="350"/>
      <c r="CC877" s="350"/>
      <c r="CD877" s="350"/>
      <c r="CE877" s="350"/>
      <c r="CF877" s="350"/>
      <c r="CG877" s="350"/>
      <c r="CH877" s="350"/>
      <c r="CI877" s="350"/>
      <c r="CJ877" s="350"/>
      <c r="CK877" s="350"/>
      <c r="CL877" s="350"/>
      <c r="CM877" s="350"/>
      <c r="CN877" s="350"/>
      <c r="CO877" s="350"/>
      <c r="CP877" s="350"/>
      <c r="CQ877" s="350"/>
      <c r="CR877" s="350"/>
      <c r="CS877" s="350"/>
      <c r="CT877" s="350"/>
      <c r="CU877" s="350"/>
      <c r="CV877" s="350"/>
      <c r="CW877" s="350"/>
      <c r="CX877" s="350"/>
      <c r="CY877" s="302"/>
      <c r="CZ877" s="302"/>
      <c r="DA877" s="302"/>
      <c r="DB877" s="302"/>
      <c r="DC877" s="302"/>
      <c r="DD877" s="302"/>
      <c r="DE877" s="302"/>
      <c r="DF877" s="302"/>
      <c r="DG877" s="350"/>
      <c r="DH877" s="350"/>
      <c r="DI877" s="302"/>
      <c r="DJ877" s="302"/>
      <c r="DK877" s="302"/>
      <c r="DL877" s="302"/>
      <c r="DM877" s="302"/>
      <c r="DN877" s="302"/>
      <c r="DO877" s="302"/>
    </row>
    <row r="878" spans="1:119" hidden="1">
      <c r="A878" s="1"/>
      <c r="B878" s="1"/>
      <c r="C878" s="1"/>
      <c r="D878" s="751" t="s">
        <v>147</v>
      </c>
      <c r="E878" s="92"/>
      <c r="F878" s="134"/>
      <c r="G878" s="134"/>
      <c r="H878" s="134"/>
      <c r="I878" s="134"/>
      <c r="J878" s="616">
        <f t="shared" ref="J878:AL878" si="1101">+J701</f>
        <v>12.2132705</v>
      </c>
      <c r="K878" s="616">
        <f t="shared" si="1101"/>
        <v>28.406399999999998</v>
      </c>
      <c r="L878" s="616">
        <f t="shared" si="1101"/>
        <v>35.258600000000001</v>
      </c>
      <c r="M878" s="616">
        <f t="shared" si="1101"/>
        <v>36.984499999999997</v>
      </c>
      <c r="N878" s="616">
        <f t="shared" si="1101"/>
        <v>45.629350000000002</v>
      </c>
      <c r="O878" s="616">
        <f t="shared" si="1101"/>
        <v>72.109099999999998</v>
      </c>
      <c r="P878" s="616">
        <f t="shared" si="1101"/>
        <v>101.575444153935</v>
      </c>
      <c r="Q878" s="616">
        <f t="shared" si="1101"/>
        <v>92.047844153935003</v>
      </c>
      <c r="R878" s="616">
        <f t="shared" si="1101"/>
        <v>101.4</v>
      </c>
      <c r="S878" s="616">
        <f t="shared" si="1101"/>
        <v>168.1</v>
      </c>
      <c r="T878" s="616">
        <f t="shared" si="1101"/>
        <v>167</v>
      </c>
      <c r="U878" s="616">
        <f t="shared" si="1101"/>
        <v>283</v>
      </c>
      <c r="V878" s="616">
        <f t="shared" si="1101"/>
        <v>215.02576983500001</v>
      </c>
      <c r="W878" s="616">
        <f t="shared" si="1101"/>
        <v>265.7</v>
      </c>
      <c r="X878" s="616">
        <f t="shared" si="1101"/>
        <v>190</v>
      </c>
      <c r="Y878" s="616">
        <f t="shared" si="1101"/>
        <v>171.02736591717107</v>
      </c>
      <c r="Z878" s="616">
        <f t="shared" si="1101"/>
        <v>174.88</v>
      </c>
      <c r="AA878" s="616">
        <f t="shared" si="1101"/>
        <v>204.80701027772713</v>
      </c>
      <c r="AB878" s="616">
        <f t="shared" si="1101"/>
        <v>184.18208394651853</v>
      </c>
      <c r="AC878" s="616">
        <f t="shared" si="1101"/>
        <v>190.19867686871044</v>
      </c>
      <c r="AD878" s="616">
        <f t="shared" si="1101"/>
        <v>161.6980925101455</v>
      </c>
      <c r="AE878" s="616">
        <f t="shared" si="1101"/>
        <v>172.38765230665402</v>
      </c>
      <c r="AF878" s="616">
        <f t="shared" si="1101"/>
        <v>203.37815939767054</v>
      </c>
      <c r="AG878" s="616">
        <f t="shared" si="1101"/>
        <v>463.14288006070126</v>
      </c>
      <c r="AH878" s="616">
        <f t="shared" si="1101"/>
        <v>304.31395953240502</v>
      </c>
      <c r="AI878" s="616">
        <f t="shared" si="1101"/>
        <v>252.27404777677827</v>
      </c>
      <c r="AJ878" s="616">
        <f t="shared" si="1101"/>
        <v>182.96202035937614</v>
      </c>
      <c r="AK878" s="616">
        <f t="shared" si="1101"/>
        <v>145.86554518785536</v>
      </c>
      <c r="AL878" s="616">
        <f t="shared" si="1101"/>
        <v>188.16544161275272</v>
      </c>
      <c r="AM878" s="616">
        <f>+AM701</f>
        <v>236.62188797118324</v>
      </c>
      <c r="AN878" s="616">
        <f t="shared" ref="AN878:AO878" si="1102">+AN701</f>
        <v>262.69431118066211</v>
      </c>
      <c r="AO878" s="616">
        <f t="shared" si="1102"/>
        <v>310.09518167441445</v>
      </c>
      <c r="AP878" s="616"/>
      <c r="AQ878" s="616"/>
      <c r="AR878" s="616"/>
      <c r="AS878" s="616"/>
      <c r="AT878" s="616"/>
      <c r="BU878" s="350"/>
      <c r="BV878" s="350"/>
      <c r="BW878" s="350"/>
      <c r="BX878" s="350"/>
      <c r="BY878" s="350"/>
      <c r="BZ878" s="350"/>
      <c r="CA878" s="350"/>
      <c r="CB878" s="350"/>
      <c r="CC878" s="350"/>
      <c r="CD878" s="350"/>
      <c r="CE878" s="350"/>
      <c r="CF878" s="350"/>
      <c r="CG878" s="350"/>
      <c r="CH878" s="350"/>
      <c r="CI878" s="350"/>
      <c r="CJ878" s="350"/>
      <c r="CK878" s="350"/>
      <c r="CL878" s="350"/>
      <c r="CM878" s="350"/>
      <c r="CN878" s="350"/>
      <c r="CO878" s="350"/>
      <c r="CP878" s="350"/>
      <c r="CQ878" s="350"/>
      <c r="CR878" s="350"/>
      <c r="CS878" s="350"/>
      <c r="CT878" s="350"/>
      <c r="CU878" s="350"/>
      <c r="CV878" s="350"/>
      <c r="CW878" s="350"/>
      <c r="CX878" s="350"/>
      <c r="CY878" s="302"/>
      <c r="CZ878" s="302"/>
      <c r="DA878" s="302"/>
      <c r="DB878" s="302"/>
      <c r="DC878" s="302"/>
      <c r="DD878" s="302"/>
      <c r="DE878" s="302"/>
      <c r="DF878" s="302"/>
      <c r="DG878" s="350"/>
      <c r="DH878" s="350"/>
      <c r="DI878" s="302"/>
      <c r="DJ878" s="302"/>
      <c r="DK878" s="302"/>
      <c r="DL878" s="302"/>
      <c r="DM878" s="302"/>
      <c r="DN878" s="302"/>
      <c r="DO878" s="302"/>
    </row>
    <row r="879" spans="1:119" hidden="1">
      <c r="A879" s="1"/>
      <c r="B879" s="1"/>
      <c r="C879" s="1"/>
      <c r="D879" s="751" t="s">
        <v>148</v>
      </c>
      <c r="E879" s="92"/>
      <c r="F879" s="134"/>
      <c r="G879" s="134"/>
      <c r="H879" s="134"/>
      <c r="I879" s="134"/>
      <c r="J879" s="616">
        <f t="shared" ref="J879:AL879" si="1103">+J707</f>
        <v>36</v>
      </c>
      <c r="K879" s="616">
        <f t="shared" si="1103"/>
        <v>41.678650000000005</v>
      </c>
      <c r="L879" s="616">
        <f t="shared" si="1103"/>
        <v>35.178650000000005</v>
      </c>
      <c r="M879" s="616">
        <f t="shared" si="1103"/>
        <v>30.5</v>
      </c>
      <c r="N879" s="616">
        <f t="shared" si="1103"/>
        <v>27.874499999999998</v>
      </c>
      <c r="O879" s="616">
        <f t="shared" si="1103"/>
        <v>30.3429</v>
      </c>
      <c r="P879" s="616">
        <f t="shared" si="1103"/>
        <v>45.013400000000004</v>
      </c>
      <c r="Q879" s="616">
        <f t="shared" si="1103"/>
        <v>74.721000000000004</v>
      </c>
      <c r="R879" s="616">
        <f t="shared" si="1103"/>
        <v>53.4</v>
      </c>
      <c r="S879" s="616">
        <f t="shared" si="1103"/>
        <v>59.8</v>
      </c>
      <c r="T879" s="616">
        <f t="shared" si="1103"/>
        <v>90.7</v>
      </c>
      <c r="U879" s="616">
        <f t="shared" si="1103"/>
        <v>126.3</v>
      </c>
      <c r="V879" s="616">
        <f t="shared" si="1103"/>
        <v>164</v>
      </c>
      <c r="W879" s="616">
        <f t="shared" si="1103"/>
        <v>191.7</v>
      </c>
      <c r="X879" s="616">
        <f t="shared" si="1103"/>
        <v>174.9</v>
      </c>
      <c r="Y879" s="616">
        <f t="shared" si="1103"/>
        <v>303.26177524656896</v>
      </c>
      <c r="Z879" s="616">
        <f t="shared" si="1103"/>
        <v>241.03369751440272</v>
      </c>
      <c r="AA879" s="616">
        <f t="shared" si="1103"/>
        <v>168.94</v>
      </c>
      <c r="AB879" s="616">
        <f t="shared" si="1103"/>
        <v>146</v>
      </c>
      <c r="AC879" s="616">
        <f t="shared" si="1103"/>
        <v>168.71</v>
      </c>
      <c r="AD879" s="616">
        <f t="shared" si="1103"/>
        <v>233.07553199416967</v>
      </c>
      <c r="AE879" s="616">
        <f t="shared" si="1103"/>
        <v>259.69462557150138</v>
      </c>
      <c r="AF879" s="616">
        <f t="shared" si="1103"/>
        <v>288.9455255930734</v>
      </c>
      <c r="AG879" s="616">
        <f t="shared" si="1103"/>
        <v>373.06725443149219</v>
      </c>
      <c r="AH879" s="616">
        <f t="shared" si="1103"/>
        <v>406.9801934271353</v>
      </c>
      <c r="AI879" s="616">
        <f t="shared" si="1103"/>
        <v>505.54259281328331</v>
      </c>
      <c r="AJ879" s="616">
        <f t="shared" si="1103"/>
        <v>442.80671887473704</v>
      </c>
      <c r="AK879" s="616">
        <f t="shared" si="1103"/>
        <v>439.34946316346429</v>
      </c>
      <c r="AL879" s="616">
        <f t="shared" si="1103"/>
        <v>471.90118217866404</v>
      </c>
      <c r="AM879" s="616">
        <f>+AM707</f>
        <v>503.14848540429051</v>
      </c>
      <c r="AN879" s="616">
        <f t="shared" ref="AN879:AO879" si="1104">+AN707</f>
        <v>531.62973984669748</v>
      </c>
      <c r="AO879" s="616">
        <f t="shared" si="1104"/>
        <v>554.87105818071336</v>
      </c>
      <c r="AP879" s="616"/>
      <c r="AQ879" s="616"/>
      <c r="AR879" s="616"/>
      <c r="AS879" s="616"/>
      <c r="AT879" s="616"/>
      <c r="BU879" s="350"/>
      <c r="BV879" s="350"/>
      <c r="BW879" s="350"/>
      <c r="BX879" s="350"/>
      <c r="BY879" s="350"/>
      <c r="BZ879" s="350"/>
      <c r="CA879" s="350"/>
      <c r="CB879" s="350"/>
      <c r="CC879" s="350"/>
      <c r="CD879" s="350"/>
      <c r="CE879" s="350"/>
      <c r="CF879" s="350"/>
      <c r="CG879" s="350"/>
      <c r="CH879" s="350"/>
      <c r="CI879" s="350"/>
      <c r="CJ879" s="350"/>
      <c r="CK879" s="350"/>
      <c r="CL879" s="350"/>
      <c r="CM879" s="350"/>
      <c r="CN879" s="350"/>
      <c r="CO879" s="350"/>
      <c r="CP879" s="350"/>
      <c r="CQ879" s="350"/>
      <c r="CR879" s="350"/>
      <c r="CS879" s="350"/>
      <c r="CT879" s="350"/>
      <c r="CU879" s="350"/>
      <c r="CV879" s="350"/>
      <c r="CW879" s="350"/>
      <c r="CX879" s="350"/>
      <c r="CY879" s="302"/>
      <c r="CZ879" s="302"/>
      <c r="DA879" s="302"/>
      <c r="DB879" s="302"/>
      <c r="DC879" s="302"/>
      <c r="DD879" s="302"/>
      <c r="DE879" s="302"/>
      <c r="DF879" s="302"/>
      <c r="DG879" s="350"/>
      <c r="DH879" s="350"/>
      <c r="DI879" s="302"/>
      <c r="DJ879" s="302"/>
      <c r="DK879" s="302"/>
      <c r="DL879" s="302"/>
      <c r="DM879" s="302"/>
      <c r="DN879" s="302"/>
      <c r="DO879" s="302"/>
    </row>
    <row r="880" spans="1:119" hidden="1">
      <c r="A880" s="1"/>
      <c r="B880" s="1"/>
      <c r="C880" s="1"/>
      <c r="D880" s="751" t="s">
        <v>868</v>
      </c>
      <c r="E880" s="92"/>
      <c r="F880" s="134"/>
      <c r="G880" s="134"/>
      <c r="H880" s="134"/>
      <c r="I880" s="134"/>
      <c r="J880" s="616"/>
      <c r="K880" s="616"/>
      <c r="L880" s="616"/>
      <c r="M880" s="616"/>
      <c r="N880" s="616"/>
      <c r="O880" s="616"/>
      <c r="P880" s="616"/>
      <c r="Q880" s="616"/>
      <c r="R880" s="616"/>
      <c r="S880" s="616"/>
      <c r="T880" s="616"/>
      <c r="U880" s="616"/>
      <c r="V880" s="616"/>
      <c r="W880" s="616"/>
      <c r="X880" s="616"/>
      <c r="Y880" s="616"/>
      <c r="Z880" s="616"/>
      <c r="AA880" s="767"/>
      <c r="AB880" s="767"/>
      <c r="AC880" s="767"/>
      <c r="AD880" s="767"/>
      <c r="AE880" s="767"/>
      <c r="AF880" s="616"/>
      <c r="AG880" s="616"/>
      <c r="AH880" s="616"/>
      <c r="AI880" s="616"/>
      <c r="AJ880" s="616"/>
      <c r="AK880" s="616"/>
      <c r="AL880" s="616"/>
      <c r="AM880" s="616"/>
      <c r="AN880" s="616"/>
      <c r="AO880" s="616"/>
      <c r="AP880" s="616"/>
      <c r="AQ880" s="616"/>
      <c r="AR880" s="616"/>
      <c r="AS880" s="616"/>
      <c r="AT880" s="616"/>
      <c r="BU880" s="350"/>
      <c r="BV880" s="350"/>
      <c r="BW880" s="350"/>
      <c r="BX880" s="350"/>
      <c r="BY880" s="350"/>
      <c r="BZ880" s="350"/>
      <c r="CA880" s="350"/>
      <c r="CB880" s="350"/>
      <c r="CC880" s="350"/>
      <c r="CD880" s="350"/>
      <c r="CE880" s="350"/>
      <c r="CF880" s="350"/>
      <c r="CG880" s="350"/>
      <c r="CH880" s="350"/>
      <c r="CI880" s="350"/>
      <c r="CJ880" s="350"/>
      <c r="CK880" s="350"/>
      <c r="CL880" s="350"/>
      <c r="CM880" s="350"/>
      <c r="CN880" s="350"/>
      <c r="CO880" s="350"/>
      <c r="CP880" s="350"/>
      <c r="CQ880" s="350"/>
      <c r="CR880" s="350"/>
      <c r="CS880" s="350"/>
      <c r="CT880" s="350"/>
      <c r="CU880" s="350"/>
      <c r="CV880" s="350"/>
      <c r="CW880" s="350"/>
      <c r="CX880" s="350"/>
      <c r="CY880" s="302"/>
      <c r="CZ880" s="302"/>
      <c r="DA880" s="302"/>
      <c r="DB880" s="302"/>
      <c r="DC880" s="302"/>
      <c r="DD880" s="302"/>
      <c r="DE880" s="302"/>
      <c r="DF880" s="302"/>
      <c r="DG880" s="350"/>
      <c r="DH880" s="350"/>
      <c r="DI880" s="302"/>
      <c r="DJ880" s="302"/>
      <c r="DK880" s="302"/>
      <c r="DL880" s="302"/>
      <c r="DM880" s="302"/>
      <c r="DN880" s="302"/>
      <c r="DO880" s="302"/>
    </row>
    <row r="881" spans="1:119" hidden="1">
      <c r="A881" s="1"/>
      <c r="B881" s="1"/>
      <c r="C881" s="1"/>
      <c r="D881" s="749" t="s">
        <v>151</v>
      </c>
      <c r="E881" s="92"/>
      <c r="F881" s="134"/>
      <c r="G881" s="134"/>
      <c r="H881" s="134"/>
      <c r="I881" s="134"/>
      <c r="J881" s="616">
        <f t="shared" ref="J881:AL881" si="1105">+J714</f>
        <v>139.5158340285</v>
      </c>
      <c r="K881" s="616">
        <f t="shared" si="1105"/>
        <v>154.53498402849999</v>
      </c>
      <c r="L881" s="616">
        <f t="shared" si="1105"/>
        <v>157.07835</v>
      </c>
      <c r="M881" s="616">
        <f t="shared" si="1105"/>
        <v>179.24844999999999</v>
      </c>
      <c r="N881" s="616">
        <f t="shared" si="1105"/>
        <v>203.3897</v>
      </c>
      <c r="O881" s="616">
        <f t="shared" si="1105"/>
        <v>240.90464000000003</v>
      </c>
      <c r="P881" s="616">
        <f t="shared" si="1105"/>
        <v>299.85193343749501</v>
      </c>
      <c r="Q881" s="616">
        <f t="shared" si="1105"/>
        <v>359.71480448899501</v>
      </c>
      <c r="R881" s="616">
        <f t="shared" si="1105"/>
        <v>414.3</v>
      </c>
      <c r="S881" s="616">
        <f t="shared" si="1105"/>
        <v>521.69999999999993</v>
      </c>
      <c r="T881" s="616">
        <f t="shared" si="1105"/>
        <v>731.3</v>
      </c>
      <c r="U881" s="616">
        <f t="shared" si="1105"/>
        <v>804.00000000000011</v>
      </c>
      <c r="V881" s="616">
        <f t="shared" si="1105"/>
        <v>984.28858093100007</v>
      </c>
      <c r="W881" s="616">
        <f t="shared" si="1105"/>
        <v>1098.0999999999999</v>
      </c>
      <c r="X881" s="616">
        <f t="shared" si="1105"/>
        <v>1335.6000000000001</v>
      </c>
      <c r="Y881" s="616">
        <f t="shared" si="1105"/>
        <v>1540.0094161169768</v>
      </c>
      <c r="Z881" s="616">
        <f t="shared" si="1105"/>
        <v>1720.73</v>
      </c>
      <c r="AA881" s="616">
        <f t="shared" si="1105"/>
        <v>1754.639483222375</v>
      </c>
      <c r="AB881" s="616">
        <f t="shared" si="1105"/>
        <v>1942.9</v>
      </c>
      <c r="AC881" s="616">
        <f t="shared" si="1105"/>
        <v>2187.5397808880507</v>
      </c>
      <c r="AD881" s="616">
        <f t="shared" si="1105"/>
        <v>2611.6378944459902</v>
      </c>
      <c r="AE881" s="616">
        <f t="shared" si="1105"/>
        <v>3253.1281054531019</v>
      </c>
      <c r="AF881" s="616">
        <f t="shared" si="1105"/>
        <v>3110.264227358336</v>
      </c>
      <c r="AG881" s="616">
        <f t="shared" si="1105"/>
        <v>3979.0353777043629</v>
      </c>
      <c r="AH881" s="616">
        <f t="shared" si="1105"/>
        <v>4598.0039054614181</v>
      </c>
      <c r="AI881" s="616">
        <f t="shared" si="1105"/>
        <v>5481.5479551853941</v>
      </c>
      <c r="AJ881" s="616">
        <f t="shared" si="1105"/>
        <v>4690.5363174693512</v>
      </c>
      <c r="AK881" s="616" t="e">
        <f t="shared" si="1105"/>
        <v>#DIV/0!</v>
      </c>
      <c r="AL881" s="616" t="e">
        <f t="shared" si="1105"/>
        <v>#DIV/0!</v>
      </c>
      <c r="AM881" s="616" t="e">
        <f>+AM714</f>
        <v>#DIV/0!</v>
      </c>
      <c r="AN881" s="616" t="e">
        <f t="shared" ref="AN881:AO881" si="1106">+AN714</f>
        <v>#DIV/0!</v>
      </c>
      <c r="AO881" s="616" t="e">
        <f t="shared" si="1106"/>
        <v>#DIV/0!</v>
      </c>
      <c r="AP881" s="616"/>
      <c r="AQ881" s="616"/>
      <c r="AR881" s="616"/>
      <c r="AS881" s="616"/>
      <c r="AT881" s="616"/>
      <c r="BU881" s="350"/>
      <c r="BV881" s="350"/>
      <c r="BW881" s="350"/>
      <c r="BX881" s="350"/>
      <c r="BY881" s="350"/>
      <c r="BZ881" s="350"/>
      <c r="CA881" s="350"/>
      <c r="CB881" s="350"/>
      <c r="CC881" s="350"/>
      <c r="CD881" s="350"/>
      <c r="CE881" s="350"/>
      <c r="CF881" s="350"/>
      <c r="CG881" s="350"/>
      <c r="CH881" s="350"/>
      <c r="CI881" s="350"/>
      <c r="CJ881" s="350"/>
      <c r="CK881" s="350"/>
      <c r="CL881" s="350"/>
      <c r="CM881" s="350"/>
      <c r="CN881" s="350"/>
      <c r="CO881" s="350"/>
      <c r="CP881" s="350"/>
      <c r="CQ881" s="350"/>
      <c r="CR881" s="350"/>
      <c r="CS881" s="350"/>
      <c r="CT881" s="350"/>
      <c r="CU881" s="350"/>
      <c r="CV881" s="350"/>
      <c r="CW881" s="350"/>
      <c r="CX881" s="350"/>
      <c r="CY881" s="302"/>
      <c r="CZ881" s="302"/>
      <c r="DA881" s="302"/>
      <c r="DB881" s="302"/>
      <c r="DC881" s="302"/>
      <c r="DD881" s="302"/>
      <c r="DE881" s="302"/>
      <c r="DF881" s="302"/>
      <c r="DG881" s="350"/>
      <c r="DH881" s="350"/>
      <c r="DI881" s="302"/>
      <c r="DJ881" s="302"/>
      <c r="DK881" s="302"/>
      <c r="DL881" s="302"/>
      <c r="DM881" s="302"/>
      <c r="DN881" s="302"/>
      <c r="DO881" s="302"/>
    </row>
    <row r="882" spans="1:119" hidden="1">
      <c r="A882" s="1"/>
      <c r="B882" s="1"/>
      <c r="C882" s="1"/>
      <c r="D882" s="752" t="s">
        <v>152</v>
      </c>
      <c r="E882" s="92"/>
      <c r="F882" s="134"/>
      <c r="G882" s="134"/>
      <c r="H882" s="134"/>
      <c r="I882" s="134"/>
      <c r="J882" s="616">
        <f t="shared" ref="J882:AL882" si="1107">+J716</f>
        <v>81.218376569499995</v>
      </c>
      <c r="K882" s="616">
        <f t="shared" si="1107"/>
        <v>87.635976569500002</v>
      </c>
      <c r="L882" s="616">
        <f t="shared" si="1107"/>
        <v>98.464949999999988</v>
      </c>
      <c r="M882" s="616">
        <f t="shared" si="1107"/>
        <v>121.017</v>
      </c>
      <c r="N882" s="616">
        <f t="shared" si="1107"/>
        <v>147.50385</v>
      </c>
      <c r="O882" s="616">
        <f t="shared" si="1107"/>
        <v>162.75944000000001</v>
      </c>
      <c r="P882" s="616">
        <f t="shared" si="1107"/>
        <v>189.89345609099502</v>
      </c>
      <c r="Q882" s="616">
        <f t="shared" si="1107"/>
        <v>233.40716609099502</v>
      </c>
      <c r="R882" s="616">
        <f t="shared" si="1107"/>
        <v>266.60000000000002</v>
      </c>
      <c r="S882" s="616">
        <f t="shared" si="1107"/>
        <v>348.9</v>
      </c>
      <c r="T882" s="616">
        <f t="shared" si="1107"/>
        <v>401.7</v>
      </c>
      <c r="U882" s="616">
        <f t="shared" si="1107"/>
        <v>459.1</v>
      </c>
      <c r="V882" s="616">
        <f t="shared" si="1107"/>
        <v>526.99576124600003</v>
      </c>
      <c r="W882" s="616">
        <f t="shared" si="1107"/>
        <v>614.09999999999991</v>
      </c>
      <c r="X882" s="616">
        <f t="shared" si="1107"/>
        <v>633.9</v>
      </c>
      <c r="Y882" s="616">
        <f t="shared" si="1107"/>
        <v>777.76349406485224</v>
      </c>
      <c r="Z882" s="616">
        <f t="shared" si="1107"/>
        <v>834.73</v>
      </c>
      <c r="AA882" s="616">
        <f t="shared" si="1107"/>
        <v>947.5320695517421</v>
      </c>
      <c r="AB882" s="616">
        <f t="shared" si="1107"/>
        <v>1069.5999999999999</v>
      </c>
      <c r="AC882" s="616">
        <f t="shared" si="1107"/>
        <v>1177.2772642778905</v>
      </c>
      <c r="AD882" s="616">
        <f t="shared" si="1107"/>
        <v>1343.6050912542087</v>
      </c>
      <c r="AE882" s="616">
        <f t="shared" si="1107"/>
        <v>1558.3598845633098</v>
      </c>
      <c r="AF882" s="616">
        <f t="shared" si="1107"/>
        <v>1670.0482916625929</v>
      </c>
      <c r="AG882" s="616">
        <f t="shared" si="1107"/>
        <v>2380.8074124740247</v>
      </c>
      <c r="AH882" s="616">
        <f t="shared" si="1107"/>
        <v>2728.8843605583388</v>
      </c>
      <c r="AI882" s="616">
        <f t="shared" si="1107"/>
        <v>3257.5677456043372</v>
      </c>
      <c r="AJ882" s="616">
        <f t="shared" si="1107"/>
        <v>2783.4025640909608</v>
      </c>
      <c r="AK882" s="616" t="e">
        <f t="shared" si="1107"/>
        <v>#DIV/0!</v>
      </c>
      <c r="AL882" s="616" t="e">
        <f t="shared" si="1107"/>
        <v>#DIV/0!</v>
      </c>
      <c r="AM882" s="616" t="e">
        <f>+AM716</f>
        <v>#DIV/0!</v>
      </c>
      <c r="AN882" s="616" t="e">
        <f t="shared" ref="AN882:AO882" si="1108">+AN716</f>
        <v>#DIV/0!</v>
      </c>
      <c r="AO882" s="616" t="e">
        <f t="shared" si="1108"/>
        <v>#DIV/0!</v>
      </c>
      <c r="AP882" s="616"/>
      <c r="AQ882" s="616"/>
      <c r="AR882" s="616"/>
      <c r="AS882" s="616"/>
      <c r="AT882" s="616"/>
      <c r="BU882" s="350"/>
      <c r="BV882" s="350"/>
      <c r="BW882" s="350"/>
      <c r="BX882" s="350"/>
      <c r="BY882" s="350"/>
      <c r="BZ882" s="350"/>
      <c r="CA882" s="350"/>
      <c r="CB882" s="350"/>
      <c r="CC882" s="350"/>
      <c r="CD882" s="350"/>
      <c r="CE882" s="350"/>
      <c r="CF882" s="350"/>
      <c r="CG882" s="350"/>
      <c r="CH882" s="350"/>
      <c r="CI882" s="350"/>
      <c r="CJ882" s="350"/>
      <c r="CK882" s="350"/>
      <c r="CL882" s="350"/>
      <c r="CM882" s="350"/>
      <c r="CN882" s="350"/>
      <c r="CO882" s="350"/>
      <c r="CP882" s="350"/>
      <c r="CQ882" s="350"/>
      <c r="CR882" s="350"/>
      <c r="CS882" s="350"/>
      <c r="CT882" s="350"/>
      <c r="CU882" s="350"/>
      <c r="CV882" s="350"/>
      <c r="CW882" s="350"/>
      <c r="CX882" s="350"/>
      <c r="CY882" s="302"/>
      <c r="CZ882" s="302"/>
      <c r="DA882" s="302"/>
      <c r="DB882" s="302"/>
      <c r="DC882" s="302"/>
      <c r="DD882" s="302"/>
      <c r="DE882" s="302"/>
      <c r="DF882" s="302"/>
      <c r="DG882" s="350"/>
      <c r="DH882" s="350"/>
      <c r="DI882" s="302"/>
      <c r="DJ882" s="302"/>
      <c r="DK882" s="302"/>
      <c r="DL882" s="302"/>
      <c r="DM882" s="302"/>
      <c r="DN882" s="302"/>
      <c r="DO882" s="302"/>
    </row>
    <row r="883" spans="1:119" hidden="1">
      <c r="A883" s="1"/>
      <c r="B883" s="1"/>
      <c r="C883" s="1"/>
      <c r="D883" s="752" t="s">
        <v>906</v>
      </c>
      <c r="E883" s="92"/>
      <c r="F883" s="134"/>
      <c r="G883" s="134"/>
      <c r="H883" s="134"/>
      <c r="I883" s="134"/>
      <c r="J883" s="754"/>
      <c r="K883" s="754"/>
      <c r="L883" s="754"/>
      <c r="M883" s="754"/>
      <c r="N883" s="754"/>
      <c r="O883" s="754"/>
      <c r="P883" s="754"/>
      <c r="Q883" s="754"/>
      <c r="R883" s="754"/>
      <c r="S883" s="754"/>
      <c r="T883" s="754"/>
      <c r="U883" s="754"/>
      <c r="V883" s="754"/>
      <c r="W883" s="754"/>
      <c r="X883" s="754">
        <f t="shared" ref="X883:AL883" si="1109">+X749</f>
        <v>51.2</v>
      </c>
      <c r="Y883" s="754">
        <f t="shared" si="1109"/>
        <v>88.592309467999996</v>
      </c>
      <c r="Z883" s="754">
        <f t="shared" si="1109"/>
        <v>89.34</v>
      </c>
      <c r="AA883" s="754">
        <f t="shared" si="1109"/>
        <v>127.85672365799999</v>
      </c>
      <c r="AB883" s="754">
        <f t="shared" si="1109"/>
        <v>128.15146206400001</v>
      </c>
      <c r="AC883" s="754">
        <f t="shared" si="1109"/>
        <v>145.77063851899999</v>
      </c>
      <c r="AD883" s="754">
        <f t="shared" si="1109"/>
        <v>212.60240836200001</v>
      </c>
      <c r="AE883" s="754">
        <f t="shared" si="1109"/>
        <v>184.27001097465782</v>
      </c>
      <c r="AF883" s="754">
        <f t="shared" si="1109"/>
        <v>135.69992736948177</v>
      </c>
      <c r="AG883" s="754">
        <f t="shared" si="1109"/>
        <v>132.488043372589</v>
      </c>
      <c r="AH883" s="754">
        <f t="shared" si="1109"/>
        <v>151.85749599591659</v>
      </c>
      <c r="AI883" s="754">
        <f t="shared" si="1109"/>
        <v>176.56360568673131</v>
      </c>
      <c r="AJ883" s="754">
        <f t="shared" si="1109"/>
        <v>0</v>
      </c>
      <c r="AK883" s="754">
        <f t="shared" si="1109"/>
        <v>0</v>
      </c>
      <c r="AL883" s="754">
        <f t="shared" si="1109"/>
        <v>0</v>
      </c>
      <c r="AM883" s="754">
        <f>+AM749</f>
        <v>0</v>
      </c>
      <c r="AN883" s="754">
        <f t="shared" ref="AN883:AO883" si="1110">+AN749</f>
        <v>0</v>
      </c>
      <c r="AO883" s="754">
        <f t="shared" si="1110"/>
        <v>0</v>
      </c>
      <c r="AP883" s="754"/>
      <c r="AQ883" s="754"/>
      <c r="AR883" s="754"/>
      <c r="AS883" s="754"/>
      <c r="AT883" s="754"/>
      <c r="BU883" s="350"/>
      <c r="BV883" s="350"/>
      <c r="BW883" s="350"/>
      <c r="BX883" s="350"/>
      <c r="BY883" s="350"/>
      <c r="BZ883" s="350"/>
      <c r="CA883" s="350"/>
      <c r="CB883" s="350"/>
      <c r="CC883" s="350"/>
      <c r="CD883" s="350"/>
      <c r="CE883" s="350"/>
      <c r="CF883" s="350"/>
      <c r="CG883" s="350"/>
      <c r="CH883" s="350"/>
      <c r="CI883" s="350"/>
      <c r="CJ883" s="350"/>
      <c r="CK883" s="350"/>
      <c r="CL883" s="350"/>
      <c r="CM883" s="350"/>
      <c r="CN883" s="350"/>
      <c r="CO883" s="350"/>
      <c r="CP883" s="350"/>
      <c r="CQ883" s="350"/>
      <c r="CR883" s="350"/>
      <c r="CS883" s="350"/>
      <c r="CT883" s="350"/>
      <c r="CU883" s="350"/>
      <c r="CV883" s="350"/>
      <c r="CW883" s="350"/>
      <c r="CX883" s="350"/>
      <c r="CY883" s="302"/>
      <c r="CZ883" s="302"/>
      <c r="DA883" s="302"/>
      <c r="DB883" s="302"/>
      <c r="DC883" s="302"/>
      <c r="DD883" s="302"/>
      <c r="DE883" s="302"/>
      <c r="DF883" s="302"/>
      <c r="DG883" s="350"/>
      <c r="DH883" s="350"/>
      <c r="DI883" s="302"/>
      <c r="DJ883" s="302"/>
      <c r="DK883" s="302"/>
      <c r="DL883" s="302"/>
      <c r="DM883" s="302"/>
      <c r="DN883" s="302"/>
      <c r="DO883" s="302"/>
    </row>
    <row r="884" spans="1:119" hidden="1">
      <c r="A884" s="1"/>
      <c r="B884" s="1"/>
      <c r="C884" s="1"/>
      <c r="D884" s="1361" t="str">
        <f>D726</f>
        <v xml:space="preserve">   Of Which Emergencies</v>
      </c>
      <c r="E884" s="605"/>
      <c r="F884" s="1362"/>
      <c r="G884" s="1362"/>
      <c r="H884" s="1362"/>
      <c r="I884" s="1362"/>
      <c r="J884" s="1360"/>
      <c r="K884" s="1360"/>
      <c r="L884" s="1360"/>
      <c r="M884" s="1360"/>
      <c r="N884" s="1360"/>
      <c r="O884" s="1360"/>
      <c r="P884" s="1360"/>
      <c r="Q884" s="1360"/>
      <c r="R884" s="1360"/>
      <c r="S884" s="1360"/>
      <c r="T884" s="1360"/>
      <c r="U884" s="1360"/>
      <c r="V884" s="1360"/>
      <c r="W884" s="1360"/>
      <c r="X884" s="1360"/>
      <c r="Y884" s="1360"/>
      <c r="Z884" s="1360"/>
      <c r="AA884" s="1360"/>
      <c r="AB884" s="1360"/>
      <c r="AC884" s="1360"/>
      <c r="AD884" s="1360"/>
      <c r="AE884" s="1376">
        <f>AE726</f>
        <v>33</v>
      </c>
      <c r="AF884" s="754"/>
      <c r="AG884" s="754"/>
      <c r="AH884" s="754"/>
      <c r="AI884" s="754"/>
      <c r="AJ884" s="754"/>
      <c r="AK884" s="754"/>
      <c r="AL884" s="754"/>
      <c r="AM884" s="754"/>
      <c r="AN884" s="754"/>
      <c r="AO884" s="754"/>
      <c r="AP884" s="754"/>
      <c r="AQ884" s="754"/>
      <c r="AR884" s="754"/>
      <c r="AS884" s="754"/>
      <c r="AT884" s="754"/>
      <c r="BU884" s="350"/>
      <c r="BV884" s="350"/>
      <c r="BW884" s="350"/>
      <c r="BX884" s="350"/>
      <c r="BY884" s="350"/>
      <c r="BZ884" s="350"/>
      <c r="CA884" s="350"/>
      <c r="CB884" s="350"/>
      <c r="CC884" s="350"/>
      <c r="CD884" s="350"/>
      <c r="CE884" s="350"/>
      <c r="CF884" s="350"/>
      <c r="CG884" s="350"/>
      <c r="CH884" s="350"/>
      <c r="CI884" s="350"/>
      <c r="CJ884" s="350"/>
      <c r="CK884" s="350"/>
      <c r="CL884" s="350"/>
      <c r="CM884" s="350"/>
      <c r="CN884" s="350"/>
      <c r="CO884" s="350"/>
      <c r="CP884" s="350"/>
      <c r="CQ884" s="350"/>
      <c r="CR884" s="350"/>
      <c r="CS884" s="350"/>
      <c r="CT884" s="350"/>
      <c r="CU884" s="350"/>
      <c r="CV884" s="350"/>
      <c r="CW884" s="350"/>
      <c r="CX884" s="350"/>
      <c r="CY884" s="302"/>
      <c r="CZ884" s="302"/>
      <c r="DA884" s="302"/>
      <c r="DB884" s="302"/>
      <c r="DC884" s="302"/>
      <c r="DD884" s="302"/>
      <c r="DE884" s="302"/>
      <c r="DF884" s="302"/>
      <c r="DG884" s="350"/>
      <c r="DH884" s="350"/>
      <c r="DI884" s="302"/>
      <c r="DJ884" s="302"/>
      <c r="DK884" s="302"/>
      <c r="DL884" s="302"/>
      <c r="DM884" s="302"/>
      <c r="DN884" s="302"/>
      <c r="DO884" s="302"/>
    </row>
    <row r="885" spans="1:119" hidden="1">
      <c r="A885" s="1"/>
      <c r="B885" s="1"/>
      <c r="C885" s="1"/>
      <c r="D885" s="1363" t="str">
        <f>D727</f>
        <v>Of Which  COVID-19 Expenditure</v>
      </c>
      <c r="E885" s="605"/>
      <c r="F885" s="1362"/>
      <c r="G885" s="1362"/>
      <c r="H885" s="1362"/>
      <c r="I885" s="1362"/>
      <c r="J885" s="1360"/>
      <c r="K885" s="1360"/>
      <c r="L885" s="1360"/>
      <c r="M885" s="1360"/>
      <c r="N885" s="1360"/>
      <c r="O885" s="1360"/>
      <c r="P885" s="1360"/>
      <c r="Q885" s="1360"/>
      <c r="R885" s="1360"/>
      <c r="S885" s="1360"/>
      <c r="T885" s="1360"/>
      <c r="U885" s="1360"/>
      <c r="V885" s="1360"/>
      <c r="W885" s="1360"/>
      <c r="X885" s="1360"/>
      <c r="Y885" s="1360"/>
      <c r="Z885" s="1360"/>
      <c r="AA885" s="1360"/>
      <c r="AB885" s="1360"/>
      <c r="AC885" s="1360"/>
      <c r="AD885" s="1360"/>
      <c r="AE885" s="1377">
        <f>AE727</f>
        <v>60</v>
      </c>
      <c r="AF885" s="754">
        <f>AF727</f>
        <v>60</v>
      </c>
      <c r="AG885" s="754"/>
      <c r="AH885" s="754"/>
      <c r="AI885" s="754"/>
      <c r="AJ885" s="754"/>
      <c r="AK885" s="754"/>
      <c r="AL885" s="754"/>
      <c r="AM885" s="754"/>
      <c r="AN885" s="754"/>
      <c r="AO885" s="754"/>
      <c r="AP885" s="754"/>
      <c r="AQ885" s="754"/>
      <c r="AR885" s="754"/>
      <c r="AS885" s="754"/>
      <c r="AT885" s="754"/>
      <c r="BU885" s="350"/>
      <c r="BV885" s="350"/>
      <c r="BW885" s="350"/>
      <c r="BX885" s="350"/>
      <c r="BY885" s="350"/>
      <c r="BZ885" s="350"/>
      <c r="CA885" s="350"/>
      <c r="CB885" s="350"/>
      <c r="CC885" s="350"/>
      <c r="CD885" s="350"/>
      <c r="CE885" s="350"/>
      <c r="CF885" s="350"/>
      <c r="CG885" s="350"/>
      <c r="CH885" s="350"/>
      <c r="CI885" s="350"/>
      <c r="CJ885" s="350"/>
      <c r="CK885" s="350"/>
      <c r="CL885" s="350"/>
      <c r="CM885" s="350"/>
      <c r="CN885" s="350"/>
      <c r="CO885" s="350"/>
      <c r="CP885" s="350"/>
      <c r="CQ885" s="350"/>
      <c r="CR885" s="350"/>
      <c r="CS885" s="350"/>
      <c r="CT885" s="350"/>
      <c r="CU885" s="350"/>
      <c r="CV885" s="350"/>
      <c r="CW885" s="350"/>
      <c r="CX885" s="350"/>
      <c r="CY885" s="302"/>
      <c r="CZ885" s="302"/>
      <c r="DA885" s="302"/>
      <c r="DB885" s="302"/>
      <c r="DC885" s="302"/>
      <c r="DD885" s="302"/>
      <c r="DE885" s="302"/>
      <c r="DF885" s="302"/>
      <c r="DG885" s="350"/>
      <c r="DH885" s="350"/>
      <c r="DI885" s="302"/>
      <c r="DJ885" s="302"/>
      <c r="DK885" s="302"/>
      <c r="DL885" s="302"/>
      <c r="DM885" s="302"/>
      <c r="DN885" s="302"/>
      <c r="DO885" s="302"/>
    </row>
    <row r="886" spans="1:119" hidden="1">
      <c r="A886" s="1"/>
      <c r="B886" s="1"/>
      <c r="C886" s="1"/>
      <c r="D886" s="750" t="s">
        <v>165</v>
      </c>
      <c r="E886" s="92"/>
      <c r="F886" s="134"/>
      <c r="G886" s="134"/>
      <c r="H886" s="134"/>
      <c r="I886" s="134"/>
      <c r="J886" s="616">
        <f t="shared" ref="J886:AL886" si="1111">+J753</f>
        <v>58.127957459000001</v>
      </c>
      <c r="K886" s="616">
        <f t="shared" si="1111"/>
        <v>66.411907459000005</v>
      </c>
      <c r="L886" s="616">
        <f t="shared" si="1111"/>
        <v>58.062550000000002</v>
      </c>
      <c r="M886" s="616">
        <f t="shared" si="1111"/>
        <v>57.631100000000004</v>
      </c>
      <c r="N886" s="616">
        <f t="shared" si="1111"/>
        <v>54.473050000000001</v>
      </c>
      <c r="O886" s="616">
        <f t="shared" si="1111"/>
        <v>66.223749999999995</v>
      </c>
      <c r="P886" s="616">
        <f t="shared" si="1111"/>
        <v>95.999886279999998</v>
      </c>
      <c r="Q886" s="616">
        <f t="shared" si="1111"/>
        <v>118.3417973315</v>
      </c>
      <c r="R886" s="616">
        <f t="shared" si="1111"/>
        <v>131.80000000000001</v>
      </c>
      <c r="S886" s="616">
        <f t="shared" si="1111"/>
        <v>188.2</v>
      </c>
      <c r="T886" s="616">
        <f t="shared" si="1111"/>
        <v>306.7</v>
      </c>
      <c r="U886" s="616">
        <f t="shared" si="1111"/>
        <v>316.70000000000005</v>
      </c>
      <c r="V886" s="616">
        <f t="shared" si="1111"/>
        <v>438.59208968500002</v>
      </c>
      <c r="W886" s="616">
        <f t="shared" si="1111"/>
        <v>482.9</v>
      </c>
      <c r="X886" s="616">
        <f t="shared" si="1111"/>
        <v>564.5</v>
      </c>
      <c r="Y886" s="616">
        <f t="shared" si="1111"/>
        <v>712.02636734912699</v>
      </c>
      <c r="Z886" s="616">
        <f t="shared" si="1111"/>
        <v>769.8</v>
      </c>
      <c r="AA886" s="616">
        <f t="shared" si="1111"/>
        <v>718.68553264663296</v>
      </c>
      <c r="AB886" s="616">
        <f t="shared" si="1111"/>
        <v>759.45977511682895</v>
      </c>
      <c r="AC886" s="616">
        <f t="shared" si="1111"/>
        <v>850.21990038716001</v>
      </c>
      <c r="AD886" s="616">
        <f t="shared" si="1111"/>
        <v>1071.7092455117818</v>
      </c>
      <c r="AE886" s="616">
        <f t="shared" si="1111"/>
        <v>1294.7440302694517</v>
      </c>
      <c r="AF886" s="616">
        <f t="shared" si="1111"/>
        <v>1140.4189543084346</v>
      </c>
      <c r="AG886" s="616">
        <f t="shared" si="1111"/>
        <v>1325.0889787253445</v>
      </c>
      <c r="AH886" s="616">
        <f t="shared" si="1111"/>
        <v>1576.1039210858348</v>
      </c>
      <c r="AI886" s="616">
        <f t="shared" si="1111"/>
        <v>1970.1578499522168</v>
      </c>
      <c r="AJ886" s="616">
        <f t="shared" si="1111"/>
        <v>1886.7045735639708</v>
      </c>
      <c r="AK886" s="616" t="e">
        <f t="shared" si="1111"/>
        <v>#DIV/0!</v>
      </c>
      <c r="AL886" s="616" t="e">
        <f t="shared" si="1111"/>
        <v>#DIV/0!</v>
      </c>
      <c r="AM886" s="616" t="e">
        <f>+AM753</f>
        <v>#DIV/0!</v>
      </c>
      <c r="AN886" s="616" t="e">
        <f t="shared" ref="AN886:AO886" si="1112">+AN753</f>
        <v>#DIV/0!</v>
      </c>
      <c r="AO886" s="616" t="e">
        <f t="shared" si="1112"/>
        <v>#DIV/0!</v>
      </c>
      <c r="AP886" s="616"/>
      <c r="AQ886" s="616"/>
      <c r="AR886" s="616"/>
      <c r="AS886" s="616"/>
      <c r="AT886" s="616"/>
      <c r="BU886" s="350"/>
      <c r="BV886" s="350"/>
      <c r="BW886" s="350"/>
      <c r="BX886" s="350"/>
      <c r="BY886" s="350"/>
      <c r="BZ886" s="350"/>
      <c r="CA886" s="350"/>
      <c r="CB886" s="350"/>
      <c r="CC886" s="350"/>
      <c r="CD886" s="350"/>
      <c r="CE886" s="350"/>
      <c r="CF886" s="350"/>
      <c r="CG886" s="350"/>
      <c r="CH886" s="350"/>
      <c r="CI886" s="350"/>
      <c r="CJ886" s="350"/>
      <c r="CK886" s="350"/>
      <c r="CL886" s="350"/>
      <c r="CM886" s="350"/>
      <c r="CN886" s="350"/>
      <c r="CO886" s="350"/>
      <c r="CP886" s="350"/>
      <c r="CQ886" s="350"/>
      <c r="CR886" s="350"/>
      <c r="CS886" s="350"/>
      <c r="CT886" s="350"/>
      <c r="CU886" s="350"/>
      <c r="CV886" s="350"/>
      <c r="CW886" s="350"/>
      <c r="CX886" s="350"/>
      <c r="CY886" s="302"/>
      <c r="CZ886" s="302"/>
      <c r="DA886" s="302"/>
      <c r="DB886" s="302"/>
      <c r="DC886" s="302"/>
      <c r="DD886" s="302"/>
      <c r="DE886" s="302"/>
      <c r="DF886" s="302"/>
      <c r="DG886" s="350"/>
      <c r="DH886" s="350"/>
      <c r="DI886" s="302"/>
      <c r="DJ886" s="302"/>
      <c r="DK886" s="302"/>
      <c r="DL886" s="302"/>
      <c r="DM886" s="302"/>
      <c r="DN886" s="302"/>
      <c r="DO886" s="302"/>
    </row>
    <row r="887" spans="1:119" hidden="1">
      <c r="A887" s="1"/>
      <c r="B887" s="1"/>
      <c r="C887" s="1"/>
      <c r="D887" s="752" t="s">
        <v>869</v>
      </c>
      <c r="E887" s="92"/>
      <c r="F887" s="134"/>
      <c r="G887" s="134"/>
      <c r="H887" s="134"/>
      <c r="I887" s="134"/>
      <c r="J887" s="616"/>
      <c r="K887" s="616"/>
      <c r="L887" s="616"/>
      <c r="M887" s="616"/>
      <c r="N887" s="616"/>
      <c r="O887" s="616"/>
      <c r="P887" s="616"/>
      <c r="Q887" s="616"/>
      <c r="R887" s="616"/>
      <c r="S887" s="616"/>
      <c r="T887" s="616"/>
      <c r="U887" s="616"/>
      <c r="V887" s="616"/>
      <c r="W887" s="616"/>
      <c r="X887" s="616"/>
      <c r="Y887" s="616"/>
      <c r="Z887" s="616"/>
      <c r="AA887" s="767"/>
      <c r="AB887" s="767"/>
      <c r="AC887" s="767"/>
      <c r="AD887" s="616"/>
      <c r="AE887" s="616"/>
      <c r="AF887" s="616"/>
      <c r="AG887" s="616"/>
      <c r="AH887" s="616"/>
      <c r="AI887" s="616"/>
      <c r="AJ887" s="616"/>
      <c r="AK887" s="616"/>
      <c r="AL887" s="616"/>
      <c r="AM887" s="616"/>
      <c r="AN887" s="616"/>
      <c r="AO887" s="616"/>
      <c r="AP887" s="616"/>
      <c r="AQ887" s="616"/>
      <c r="AR887" s="616"/>
      <c r="AS887" s="616"/>
      <c r="AT887" s="616"/>
      <c r="BU887" s="350"/>
      <c r="BV887" s="350"/>
      <c r="BW887" s="350"/>
      <c r="BX887" s="350"/>
      <c r="BY887" s="350"/>
      <c r="BZ887" s="350"/>
      <c r="CA887" s="350"/>
      <c r="CB887" s="350"/>
      <c r="CC887" s="350"/>
      <c r="CD887" s="350"/>
      <c r="CE887" s="350"/>
      <c r="CF887" s="350"/>
      <c r="CG887" s="350"/>
      <c r="CH887" s="350"/>
      <c r="CI887" s="350"/>
      <c r="CJ887" s="350"/>
      <c r="CK887" s="350"/>
      <c r="CL887" s="350"/>
      <c r="CM887" s="350"/>
      <c r="CN887" s="350"/>
      <c r="CO887" s="350"/>
      <c r="CP887" s="350"/>
      <c r="CQ887" s="350"/>
      <c r="CR887" s="350"/>
      <c r="CS887" s="350"/>
      <c r="CT887" s="350"/>
      <c r="CU887" s="350"/>
      <c r="CV887" s="350"/>
      <c r="CW887" s="350"/>
      <c r="CX887" s="350"/>
      <c r="CY887" s="302"/>
      <c r="CZ887" s="302"/>
      <c r="DA887" s="302"/>
      <c r="DB887" s="302"/>
      <c r="DC887" s="302"/>
      <c r="DD887" s="302"/>
      <c r="DE887" s="302"/>
      <c r="DF887" s="302"/>
      <c r="DG887" s="350"/>
      <c r="DH887" s="350"/>
      <c r="DI887" s="302"/>
      <c r="DJ887" s="302"/>
      <c r="DK887" s="302"/>
      <c r="DL887" s="302"/>
      <c r="DM887" s="302"/>
      <c r="DN887" s="302"/>
      <c r="DO887" s="302"/>
    </row>
    <row r="888" spans="1:119" hidden="1">
      <c r="A888" s="1"/>
      <c r="B888" s="1"/>
      <c r="C888" s="1"/>
      <c r="D888" s="1363" t="str">
        <f>D756</f>
        <v>Of Which  COVID-19 Expenditure</v>
      </c>
      <c r="E888" s="92"/>
      <c r="F888" s="134"/>
      <c r="G888" s="134"/>
      <c r="H888" s="134"/>
      <c r="I888" s="134"/>
      <c r="J888" s="616"/>
      <c r="K888" s="616"/>
      <c r="L888" s="616"/>
      <c r="M888" s="616"/>
      <c r="N888" s="616"/>
      <c r="O888" s="616"/>
      <c r="P888" s="616"/>
      <c r="Q888" s="616"/>
      <c r="R888" s="616"/>
      <c r="S888" s="616"/>
      <c r="T888" s="616"/>
      <c r="U888" s="616"/>
      <c r="V888" s="616"/>
      <c r="W888" s="616"/>
      <c r="X888" s="616"/>
      <c r="Y888" s="616"/>
      <c r="Z888" s="616"/>
      <c r="AA888" s="767"/>
      <c r="AB888" s="767"/>
      <c r="AC888" s="767"/>
      <c r="AD888" s="616"/>
      <c r="AE888" s="1378">
        <f>AE756</f>
        <v>40</v>
      </c>
      <c r="AF888" s="616">
        <f>AF756</f>
        <v>40</v>
      </c>
      <c r="AG888" s="616"/>
      <c r="AH888" s="616"/>
      <c r="AI888" s="616"/>
      <c r="AJ888" s="616"/>
      <c r="AK888" s="616"/>
      <c r="AL888" s="616"/>
      <c r="AM888" s="616"/>
      <c r="AN888" s="616"/>
      <c r="AO888" s="616"/>
      <c r="AP888" s="616"/>
      <c r="AQ888" s="616"/>
      <c r="AR888" s="616"/>
      <c r="AS888" s="616"/>
      <c r="AT888" s="616"/>
      <c r="BU888" s="350"/>
      <c r="BV888" s="350"/>
      <c r="BW888" s="350"/>
      <c r="BX888" s="350"/>
      <c r="BY888" s="350"/>
      <c r="BZ888" s="350"/>
      <c r="CA888" s="350"/>
      <c r="CB888" s="350"/>
      <c r="CC888" s="350"/>
      <c r="CD888" s="350"/>
      <c r="CE888" s="350"/>
      <c r="CF888" s="350"/>
      <c r="CG888" s="350"/>
      <c r="CH888" s="350"/>
      <c r="CI888" s="350"/>
      <c r="CJ888" s="350"/>
      <c r="CK888" s="350"/>
      <c r="CL888" s="350"/>
      <c r="CM888" s="350"/>
      <c r="CN888" s="350"/>
      <c r="CO888" s="350"/>
      <c r="CP888" s="350"/>
      <c r="CQ888" s="350"/>
      <c r="CR888" s="350"/>
      <c r="CS888" s="350"/>
      <c r="CT888" s="350"/>
      <c r="CU888" s="350"/>
      <c r="CV888" s="350"/>
      <c r="CW888" s="350"/>
      <c r="CX888" s="350"/>
      <c r="CY888" s="302"/>
      <c r="CZ888" s="302"/>
      <c r="DA888" s="302"/>
      <c r="DB888" s="302"/>
      <c r="DC888" s="302"/>
      <c r="DD888" s="302"/>
      <c r="DE888" s="302"/>
      <c r="DF888" s="302"/>
      <c r="DG888" s="350"/>
      <c r="DH888" s="350"/>
      <c r="DI888" s="302"/>
      <c r="DJ888" s="302"/>
      <c r="DK888" s="302"/>
      <c r="DL888" s="302"/>
      <c r="DM888" s="302"/>
      <c r="DN888" s="302"/>
      <c r="DO888" s="302"/>
    </row>
    <row r="889" spans="1:119" hidden="1">
      <c r="A889" s="1"/>
      <c r="B889" s="1"/>
      <c r="C889" s="1"/>
      <c r="D889" s="752" t="s">
        <v>167</v>
      </c>
      <c r="E889" s="92"/>
      <c r="F889" s="134"/>
      <c r="G889" s="134"/>
      <c r="H889" s="134"/>
      <c r="I889" s="134"/>
      <c r="J889" s="616">
        <f t="shared" ref="J889:AL889" si="1113">+J770</f>
        <v>0.16949999999999998</v>
      </c>
      <c r="K889" s="616">
        <f t="shared" si="1113"/>
        <v>0.48709999999999998</v>
      </c>
      <c r="L889" s="616">
        <f t="shared" si="1113"/>
        <v>0.55084999999999995</v>
      </c>
      <c r="M889" s="616">
        <f t="shared" si="1113"/>
        <v>0.60034999999999994</v>
      </c>
      <c r="N889" s="616">
        <f t="shared" si="1113"/>
        <v>1.4128000000000001</v>
      </c>
      <c r="O889" s="616">
        <f t="shared" si="1113"/>
        <v>11.92145</v>
      </c>
      <c r="P889" s="616">
        <f t="shared" si="1113"/>
        <v>13.958591066499999</v>
      </c>
      <c r="Q889" s="616">
        <f t="shared" si="1113"/>
        <v>7.9658410664999995</v>
      </c>
      <c r="R889" s="616">
        <f t="shared" si="1113"/>
        <v>15.9</v>
      </c>
      <c r="S889" s="616">
        <f t="shared" si="1113"/>
        <v>-15.4</v>
      </c>
      <c r="T889" s="616">
        <f t="shared" si="1113"/>
        <v>22.9</v>
      </c>
      <c r="U889" s="616">
        <f t="shared" si="1113"/>
        <v>28.2</v>
      </c>
      <c r="V889" s="616">
        <f t="shared" si="1113"/>
        <v>18.70073</v>
      </c>
      <c r="W889" s="616">
        <f t="shared" si="1113"/>
        <v>1.1000000000000001</v>
      </c>
      <c r="X889" s="616">
        <f t="shared" si="1113"/>
        <v>137.20000000000002</v>
      </c>
      <c r="Y889" s="616">
        <f t="shared" si="1113"/>
        <v>50.219554702997584</v>
      </c>
      <c r="Z889" s="616">
        <f t="shared" si="1113"/>
        <v>116.19999999999999</v>
      </c>
      <c r="AA889" s="616">
        <f t="shared" si="1113"/>
        <v>88.421881023999987</v>
      </c>
      <c r="AB889" s="616">
        <f t="shared" si="1113"/>
        <v>113.83692121199999</v>
      </c>
      <c r="AC889" s="616">
        <f t="shared" si="1113"/>
        <v>160.04261622299998</v>
      </c>
      <c r="AD889" s="616">
        <f t="shared" si="1113"/>
        <v>195.14388571000001</v>
      </c>
      <c r="AE889" s="616">
        <f t="shared" si="1113"/>
        <v>400.02419062033982</v>
      </c>
      <c r="AF889" s="616">
        <f t="shared" si="1113"/>
        <v>299.79698138730896</v>
      </c>
      <c r="AG889" s="616">
        <f t="shared" si="1113"/>
        <v>273.13898650499351</v>
      </c>
      <c r="AH889" s="616">
        <f t="shared" si="1113"/>
        <v>293.01562381724523</v>
      </c>
      <c r="AI889" s="616">
        <f t="shared" si="1113"/>
        <v>253.82235962883971</v>
      </c>
      <c r="AJ889" s="616">
        <f t="shared" si="1113"/>
        <v>20.429179814419857</v>
      </c>
      <c r="AK889" s="616">
        <f t="shared" si="1113"/>
        <v>10.214589907209929</v>
      </c>
      <c r="AL889" s="616">
        <f t="shared" si="1113"/>
        <v>7.1072949536049643</v>
      </c>
      <c r="AM889" s="616">
        <f>+AM770</f>
        <v>6.5536474768024817</v>
      </c>
      <c r="AN889" s="616">
        <f t="shared" ref="AN889:AO889" si="1114">+AN770</f>
        <v>7.2768237384012409</v>
      </c>
      <c r="AO889" s="616">
        <f t="shared" si="1114"/>
        <v>8.6384118692006204</v>
      </c>
      <c r="AP889" s="616"/>
      <c r="AQ889" s="616"/>
      <c r="AR889" s="616"/>
      <c r="AS889" s="616"/>
      <c r="AT889" s="616"/>
      <c r="BU889" s="350"/>
      <c r="BV889" s="350"/>
      <c r="BW889" s="350"/>
      <c r="BX889" s="350"/>
      <c r="BY889" s="350"/>
      <c r="BZ889" s="350"/>
      <c r="CA889" s="350"/>
      <c r="CB889" s="350"/>
      <c r="CC889" s="350"/>
      <c r="CD889" s="350"/>
      <c r="CE889" s="350"/>
      <c r="CF889" s="350"/>
      <c r="CG889" s="350"/>
      <c r="CH889" s="350"/>
      <c r="CI889" s="350"/>
      <c r="CJ889" s="350"/>
      <c r="CK889" s="350"/>
      <c r="CL889" s="350"/>
      <c r="CM889" s="350"/>
      <c r="CN889" s="350"/>
      <c r="CO889" s="350"/>
      <c r="CP889" s="350"/>
      <c r="CQ889" s="350"/>
      <c r="CR889" s="350"/>
      <c r="CS889" s="350"/>
      <c r="CT889" s="350"/>
      <c r="CU889" s="350"/>
      <c r="CV889" s="350"/>
      <c r="CW889" s="350"/>
      <c r="CX889" s="350"/>
      <c r="CY889" s="302"/>
      <c r="CZ889" s="302"/>
      <c r="DA889" s="302"/>
      <c r="DB889" s="302"/>
      <c r="DC889" s="302"/>
      <c r="DD889" s="302"/>
      <c r="DE889" s="302"/>
      <c r="DF889" s="302"/>
      <c r="DG889" s="350"/>
      <c r="DH889" s="350"/>
      <c r="DI889" s="302"/>
      <c r="DJ889" s="302"/>
      <c r="DK889" s="302"/>
      <c r="DL889" s="302"/>
      <c r="DM889" s="302"/>
      <c r="DN889" s="302"/>
      <c r="DO889" s="302"/>
    </row>
    <row r="890" spans="1:119" hidden="1">
      <c r="A890" s="1"/>
      <c r="B890" s="1"/>
      <c r="C890" s="1"/>
      <c r="D890" s="749" t="s">
        <v>176</v>
      </c>
      <c r="E890" s="92"/>
      <c r="F890" s="134"/>
      <c r="G890" s="134"/>
      <c r="H890" s="134"/>
      <c r="I890" s="134"/>
      <c r="J890" s="616"/>
      <c r="K890" s="616"/>
      <c r="L890" s="616"/>
      <c r="M890" s="616"/>
      <c r="N890" s="616"/>
      <c r="O890" s="616"/>
      <c r="P890" s="616"/>
      <c r="Q890" s="616"/>
      <c r="R890" s="616"/>
      <c r="S890" s="616"/>
      <c r="T890" s="616"/>
      <c r="U890" s="616"/>
      <c r="V890" s="616"/>
      <c r="W890" s="616"/>
      <c r="X890" s="616"/>
      <c r="Y890" s="616"/>
      <c r="Z890" s="616"/>
      <c r="AA890" s="616"/>
      <c r="AB890" s="616"/>
      <c r="AC890" s="616"/>
      <c r="AD890" s="616"/>
      <c r="AE890" s="616"/>
      <c r="AF890" s="616"/>
      <c r="AG890" s="616"/>
      <c r="AH890" s="616"/>
      <c r="AI890" s="616"/>
      <c r="AJ890" s="616"/>
      <c r="AK890" s="616"/>
      <c r="AL890" s="616"/>
      <c r="AM890" s="616"/>
      <c r="AN890" s="616"/>
      <c r="AO890" s="616"/>
      <c r="AP890" s="616"/>
      <c r="AQ890" s="616"/>
      <c r="AR890" s="616"/>
      <c r="AS890" s="616"/>
      <c r="AT890" s="616"/>
      <c r="BU890" s="350"/>
      <c r="BV890" s="350"/>
      <c r="BW890" s="350"/>
      <c r="BX890" s="350"/>
      <c r="BY890" s="350"/>
      <c r="BZ890" s="350"/>
      <c r="CA890" s="350"/>
      <c r="CB890" s="350"/>
      <c r="CC890" s="350"/>
      <c r="CD890" s="350"/>
      <c r="CE890" s="350"/>
      <c r="CF890" s="350"/>
      <c r="CG890" s="350"/>
      <c r="CH890" s="350"/>
      <c r="CI890" s="350"/>
      <c r="CJ890" s="350"/>
      <c r="CK890" s="350"/>
      <c r="CL890" s="350"/>
      <c r="CM890" s="350"/>
      <c r="CN890" s="350"/>
      <c r="CO890" s="350"/>
      <c r="CP890" s="350"/>
      <c r="CQ890" s="350"/>
      <c r="CR890" s="350"/>
      <c r="CS890" s="350"/>
      <c r="CT890" s="350"/>
      <c r="CU890" s="350"/>
      <c r="CV890" s="350"/>
      <c r="CW890" s="350"/>
      <c r="CX890" s="350"/>
      <c r="CY890" s="302"/>
      <c r="CZ890" s="302"/>
      <c r="DA890" s="302"/>
      <c r="DB890" s="302"/>
      <c r="DC890" s="302"/>
      <c r="DD890" s="302"/>
      <c r="DE890" s="302"/>
      <c r="DF890" s="302"/>
      <c r="DG890" s="350"/>
      <c r="DH890" s="350"/>
      <c r="DI890" s="302"/>
      <c r="DJ890" s="302"/>
      <c r="DK890" s="302"/>
      <c r="DL890" s="302"/>
      <c r="DM890" s="302"/>
      <c r="DN890" s="302"/>
      <c r="DO890" s="302"/>
    </row>
    <row r="891" spans="1:119" hidden="1">
      <c r="A891" s="1"/>
      <c r="B891" s="1"/>
      <c r="C891" s="1"/>
      <c r="D891" s="752" t="s">
        <v>177</v>
      </c>
      <c r="E891" s="92"/>
      <c r="F891" s="134"/>
      <c r="G891" s="134"/>
      <c r="H891" s="134"/>
      <c r="I891" s="134"/>
      <c r="J891" s="616">
        <f t="shared" ref="J891:AL891" si="1115">+J794</f>
        <v>-25.918013528499991</v>
      </c>
      <c r="K891" s="616">
        <f t="shared" si="1115"/>
        <v>-17.8781340285</v>
      </c>
      <c r="L891" s="616">
        <f t="shared" si="1115"/>
        <v>-9.8945499999999953</v>
      </c>
      <c r="M891" s="616">
        <f t="shared" si="1115"/>
        <v>-18.754800000000003</v>
      </c>
      <c r="N891" s="616">
        <f t="shared" si="1115"/>
        <v>-18.83195000000002</v>
      </c>
      <c r="O891" s="616">
        <f t="shared" si="1115"/>
        <v>-4.4472900000000237</v>
      </c>
      <c r="P891" s="616">
        <f t="shared" si="1115"/>
        <v>9.7114226334400087</v>
      </c>
      <c r="Q891" s="616">
        <f t="shared" si="1115"/>
        <v>0.54870158194000851</v>
      </c>
      <c r="R891" s="616">
        <f t="shared" si="1115"/>
        <v>-26.200000000000045</v>
      </c>
      <c r="S891" s="616">
        <f t="shared" si="1115"/>
        <v>-3.4999999999998863</v>
      </c>
      <c r="T891" s="616">
        <f t="shared" si="1115"/>
        <v>-60.5</v>
      </c>
      <c r="U891" s="616">
        <f t="shared" si="1115"/>
        <v>-3.3000000000000682</v>
      </c>
      <c r="V891" s="616">
        <f t="shared" si="1115"/>
        <v>-120.93184835500006</v>
      </c>
      <c r="W891" s="616">
        <f t="shared" si="1115"/>
        <v>-49</v>
      </c>
      <c r="X891" s="616">
        <f t="shared" si="1115"/>
        <v>-234.27843639758316</v>
      </c>
      <c r="Y891" s="616">
        <f t="shared" si="1115"/>
        <v>-203.64884491354496</v>
      </c>
      <c r="Z891" s="616">
        <f t="shared" si="1115"/>
        <v>-302.05950052759749</v>
      </c>
      <c r="AA891" s="616">
        <f t="shared" si="1115"/>
        <v>-212.98227484609242</v>
      </c>
      <c r="AB891" s="616">
        <f t="shared" si="1115"/>
        <v>-327.13213778888797</v>
      </c>
      <c r="AC891" s="616">
        <f t="shared" si="1115"/>
        <v>-367.12734809700419</v>
      </c>
      <c r="AD891" s="616">
        <f t="shared" si="1115"/>
        <v>-546.66122916375116</v>
      </c>
      <c r="AE891" s="616">
        <f t="shared" si="1115"/>
        <v>-1171.0971334578217</v>
      </c>
      <c r="AF891" s="616">
        <f t="shared" si="1115"/>
        <v>-938.72910155907584</v>
      </c>
      <c r="AG891" s="616">
        <f t="shared" si="1115"/>
        <v>4673.6534179123983</v>
      </c>
      <c r="AH891" s="616">
        <f t="shared" si="1115"/>
        <v>7486.6331886678408</v>
      </c>
      <c r="AI891" s="616">
        <f t="shared" si="1115"/>
        <v>8165.4831784057924</v>
      </c>
      <c r="AJ891" s="616">
        <f t="shared" si="1115"/>
        <v>-4064.767578235238</v>
      </c>
      <c r="AK891" s="616" t="e">
        <f t="shared" si="1115"/>
        <v>#DIV/0!</v>
      </c>
      <c r="AL891" s="616" t="e">
        <f t="shared" si="1115"/>
        <v>#DIV/0!</v>
      </c>
      <c r="AM891" s="616" t="e">
        <f t="shared" ref="AM891:AO898" si="1116">+AM794</f>
        <v>#DIV/0!</v>
      </c>
      <c r="AN891" s="616" t="e">
        <f t="shared" si="1116"/>
        <v>#DIV/0!</v>
      </c>
      <c r="AO891" s="616" t="e">
        <f t="shared" si="1116"/>
        <v>#DIV/0!</v>
      </c>
      <c r="AP891" s="616"/>
      <c r="AQ891" s="616"/>
      <c r="AR891" s="616"/>
      <c r="AS891" s="616"/>
      <c r="AT891" s="616"/>
      <c r="BU891" s="350"/>
      <c r="BV891" s="350"/>
      <c r="BW891" s="350"/>
      <c r="BX891" s="350"/>
      <c r="BY891" s="350"/>
      <c r="BZ891" s="350"/>
      <c r="CA891" s="350"/>
      <c r="CB891" s="350"/>
      <c r="CC891" s="350"/>
      <c r="CD891" s="350"/>
      <c r="CE891" s="350"/>
      <c r="CF891" s="350"/>
      <c r="CG891" s="350"/>
      <c r="CH891" s="350"/>
      <c r="CI891" s="350"/>
      <c r="CJ891" s="350"/>
      <c r="CK891" s="350"/>
      <c r="CL891" s="350"/>
      <c r="CM891" s="350"/>
      <c r="CN891" s="350"/>
      <c r="CO891" s="350"/>
      <c r="CP891" s="350"/>
      <c r="CQ891" s="350"/>
      <c r="CR891" s="350"/>
      <c r="CS891" s="350"/>
      <c r="CT891" s="350"/>
      <c r="CU891" s="350"/>
      <c r="CV891" s="350"/>
      <c r="CW891" s="350"/>
      <c r="CX891" s="350"/>
      <c r="CY891" s="302"/>
      <c r="CZ891" s="302"/>
      <c r="DA891" s="302"/>
      <c r="DB891" s="302"/>
      <c r="DC891" s="302"/>
      <c r="DD891" s="302"/>
      <c r="DE891" s="302"/>
      <c r="DF891" s="302"/>
      <c r="DG891" s="350"/>
      <c r="DH891" s="350"/>
      <c r="DI891" s="302"/>
      <c r="DJ891" s="302"/>
      <c r="DK891" s="302"/>
      <c r="DL891" s="302"/>
      <c r="DM891" s="302"/>
      <c r="DN891" s="302"/>
      <c r="DO891" s="302"/>
    </row>
    <row r="892" spans="1:119" hidden="1">
      <c r="A892" s="1"/>
      <c r="B892" s="1"/>
      <c r="C892" s="1"/>
      <c r="D892" s="752" t="s">
        <v>178</v>
      </c>
      <c r="E892" s="92"/>
      <c r="F892" s="134"/>
      <c r="G892" s="134"/>
      <c r="H892" s="134"/>
      <c r="I892" s="134"/>
      <c r="J892" s="616">
        <f t="shared" ref="J892:AL892" si="1117">+J795</f>
        <v>-74.131284028500005</v>
      </c>
      <c r="K892" s="616">
        <f t="shared" si="1117"/>
        <v>-87.963184028499995</v>
      </c>
      <c r="L892" s="616">
        <f t="shared" si="1117"/>
        <v>-80.331800000000001</v>
      </c>
      <c r="M892" s="616">
        <f t="shared" si="1117"/>
        <v>-86.239300000000014</v>
      </c>
      <c r="N892" s="616">
        <f t="shared" si="1117"/>
        <v>-92.335800000000035</v>
      </c>
      <c r="O892" s="616">
        <f t="shared" si="1117"/>
        <v>-106.89929000000004</v>
      </c>
      <c r="P892" s="616">
        <f t="shared" si="1117"/>
        <v>-136.87742152049501</v>
      </c>
      <c r="Q892" s="616">
        <f t="shared" si="1117"/>
        <v>-166.22014257199501</v>
      </c>
      <c r="R892" s="616">
        <f t="shared" si="1117"/>
        <v>-181.00000000000006</v>
      </c>
      <c r="S892" s="616">
        <f t="shared" si="1117"/>
        <v>-231.39999999999992</v>
      </c>
      <c r="T892" s="616">
        <f t="shared" si="1117"/>
        <v>-318.2</v>
      </c>
      <c r="U892" s="616">
        <f t="shared" si="1117"/>
        <v>-412.60000000000008</v>
      </c>
      <c r="V892" s="616">
        <f t="shared" si="1117"/>
        <v>-499.95761819000006</v>
      </c>
      <c r="W892" s="616">
        <f t="shared" si="1117"/>
        <v>-506.39999999999986</v>
      </c>
      <c r="X892" s="616">
        <f t="shared" si="1117"/>
        <v>-599.17843639758303</v>
      </c>
      <c r="Y892" s="616">
        <f t="shared" si="1117"/>
        <v>-677.93798607728513</v>
      </c>
      <c r="Z892" s="616">
        <f t="shared" si="1117"/>
        <v>-717.97319804200015</v>
      </c>
      <c r="AA892" s="616">
        <f t="shared" si="1117"/>
        <v>-586.72928512381941</v>
      </c>
      <c r="AB892" s="616">
        <f t="shared" si="1117"/>
        <v>-657.31422173540705</v>
      </c>
      <c r="AC892" s="616">
        <f t="shared" si="1117"/>
        <v>-726.03602496571466</v>
      </c>
      <c r="AD892" s="616">
        <f t="shared" si="1117"/>
        <v>-941.43485366806658</v>
      </c>
      <c r="AE892" s="616">
        <f t="shared" si="1117"/>
        <v>-1603.1794113359817</v>
      </c>
      <c r="AF892" s="616">
        <f t="shared" si="1117"/>
        <v>-1431.0527865498161</v>
      </c>
      <c r="AG892" s="616">
        <f t="shared" si="1117"/>
        <v>3837.4432834202044</v>
      </c>
      <c r="AH892" s="616">
        <f t="shared" si="1117"/>
        <v>6775.3390357082999</v>
      </c>
      <c r="AI892" s="616">
        <f t="shared" si="1117"/>
        <v>7407.6665378157313</v>
      </c>
      <c r="AJ892" s="616">
        <f t="shared" si="1117"/>
        <v>-4690.5363174693512</v>
      </c>
      <c r="AK892" s="616" t="e">
        <f t="shared" si="1117"/>
        <v>#DIV/0!</v>
      </c>
      <c r="AL892" s="616" t="e">
        <f t="shared" si="1117"/>
        <v>#DIV/0!</v>
      </c>
      <c r="AM892" s="616" t="e">
        <f t="shared" si="1116"/>
        <v>#DIV/0!</v>
      </c>
      <c r="AN892" s="616" t="e">
        <f t="shared" si="1116"/>
        <v>#DIV/0!</v>
      </c>
      <c r="AO892" s="616" t="e">
        <f t="shared" si="1116"/>
        <v>#DIV/0!</v>
      </c>
      <c r="AP892" s="616"/>
      <c r="AQ892" s="616"/>
      <c r="AR892" s="616"/>
      <c r="AS892" s="616"/>
      <c r="AT892" s="616"/>
      <c r="BU892" s="350"/>
      <c r="BV892" s="350"/>
      <c r="BW892" s="350"/>
      <c r="BX892" s="350"/>
      <c r="BY892" s="350"/>
      <c r="BZ892" s="350"/>
      <c r="CA892" s="350"/>
      <c r="CB892" s="350"/>
      <c r="CC892" s="350"/>
      <c r="CD892" s="350"/>
      <c r="CE892" s="350"/>
      <c r="CF892" s="350"/>
      <c r="CG892" s="350"/>
      <c r="CH892" s="350"/>
      <c r="CI892" s="350"/>
      <c r="CJ892" s="350"/>
      <c r="CK892" s="350"/>
      <c r="CL892" s="350"/>
      <c r="CM892" s="350"/>
      <c r="CN892" s="350"/>
      <c r="CO892" s="350"/>
      <c r="CP892" s="350"/>
      <c r="CQ892" s="350"/>
      <c r="CR892" s="350"/>
      <c r="CS892" s="350"/>
      <c r="CT892" s="350"/>
      <c r="CU892" s="350"/>
      <c r="CV892" s="350"/>
      <c r="CW892" s="350"/>
      <c r="CX892" s="350"/>
      <c r="CY892" s="302"/>
      <c r="CZ892" s="302"/>
      <c r="DA892" s="302"/>
      <c r="DB892" s="302"/>
      <c r="DC892" s="302"/>
      <c r="DD892" s="302"/>
      <c r="DE892" s="302"/>
      <c r="DF892" s="302"/>
      <c r="DG892" s="350"/>
      <c r="DH892" s="350"/>
      <c r="DI892" s="302"/>
      <c r="DJ892" s="302"/>
      <c r="DK892" s="302"/>
      <c r="DL892" s="302"/>
      <c r="DM892" s="302"/>
      <c r="DN892" s="302"/>
      <c r="DO892" s="302"/>
    </row>
    <row r="893" spans="1:119" hidden="1">
      <c r="A893" s="1"/>
      <c r="B893" s="1"/>
      <c r="C893" s="1"/>
      <c r="D893" s="752" t="str">
        <f>D796</f>
        <v>Excluding PKO Pre-financing</v>
      </c>
      <c r="E893" s="92"/>
      <c r="F893" s="134"/>
      <c r="G893" s="134"/>
      <c r="H893" s="134"/>
      <c r="I893" s="134"/>
      <c r="J893" s="616">
        <f t="shared" ref="J893:AL893" si="1118">+J796</f>
        <v>-25.918013528499984</v>
      </c>
      <c r="K893" s="616">
        <f t="shared" si="1118"/>
        <v>-17.878134028499971</v>
      </c>
      <c r="L893" s="616">
        <f t="shared" si="1118"/>
        <v>-9.8945499999999811</v>
      </c>
      <c r="M893" s="616">
        <f t="shared" si="1118"/>
        <v>-18.754799999999989</v>
      </c>
      <c r="N893" s="616">
        <f t="shared" si="1118"/>
        <v>-18.831950000000006</v>
      </c>
      <c r="O893" s="616">
        <f t="shared" si="1118"/>
        <v>-4.4472900000000379</v>
      </c>
      <c r="P893" s="616">
        <f t="shared" si="1118"/>
        <v>9.7114226334400087</v>
      </c>
      <c r="Q893" s="616">
        <f t="shared" si="1118"/>
        <v>0.54870158194000851</v>
      </c>
      <c r="R893" s="616">
        <f t="shared" si="1118"/>
        <v>-26.200000000000045</v>
      </c>
      <c r="S893" s="616">
        <f t="shared" si="1118"/>
        <v>-3.4999999999998863</v>
      </c>
      <c r="T893" s="616">
        <f t="shared" si="1118"/>
        <v>-60.5</v>
      </c>
      <c r="U893" s="616">
        <f t="shared" si="1118"/>
        <v>-3.3000000000000682</v>
      </c>
      <c r="V893" s="616">
        <f t="shared" si="1118"/>
        <v>-120.93184835500006</v>
      </c>
      <c r="W893" s="616">
        <f t="shared" si="1118"/>
        <v>-49</v>
      </c>
      <c r="X893" s="616">
        <f t="shared" si="1118"/>
        <v>-244.97843639758321</v>
      </c>
      <c r="Y893" s="616">
        <f t="shared" si="1118"/>
        <v>-196.55589919689328</v>
      </c>
      <c r="Z893" s="616">
        <f t="shared" si="1118"/>
        <v>-301.71950052759757</v>
      </c>
      <c r="AA893" s="616">
        <f t="shared" si="1118"/>
        <v>-208.00203874464819</v>
      </c>
      <c r="AB893" s="616">
        <f t="shared" si="1118"/>
        <v>-327.48590900110435</v>
      </c>
      <c r="AC893" s="616">
        <f t="shared" si="1118"/>
        <v>-371.40946294800415</v>
      </c>
      <c r="AD893" s="616">
        <f t="shared" si="1118"/>
        <v>-485.08662548529946</v>
      </c>
      <c r="AE893" s="616">
        <f t="shared" si="1118"/>
        <v>-1156.104743164371</v>
      </c>
      <c r="AF893" s="616">
        <f t="shared" si="1118"/>
        <v>-944.94633527590759</v>
      </c>
      <c r="AG893" s="616">
        <f t="shared" si="1118"/>
        <v>4665.5537564225615</v>
      </c>
      <c r="AH893" s="616">
        <f t="shared" si="1118"/>
        <v>7486.6331886678408</v>
      </c>
      <c r="AI893" s="616">
        <f t="shared" si="1118"/>
        <v>8165.4831784057924</v>
      </c>
      <c r="AJ893" s="616">
        <f t="shared" si="1118"/>
        <v>-4064.767578235238</v>
      </c>
      <c r="AK893" s="616" t="e">
        <f t="shared" si="1118"/>
        <v>#DIV/0!</v>
      </c>
      <c r="AL893" s="616" t="e">
        <f t="shared" si="1118"/>
        <v>#DIV/0!</v>
      </c>
      <c r="AM893" s="616" t="e">
        <f t="shared" si="1116"/>
        <v>#DIV/0!</v>
      </c>
      <c r="AN893" s="616" t="e">
        <f t="shared" si="1116"/>
        <v>#DIV/0!</v>
      </c>
      <c r="AO893" s="616" t="e">
        <f t="shared" si="1116"/>
        <v>#DIV/0!</v>
      </c>
      <c r="AP893" s="616"/>
      <c r="AQ893" s="616"/>
      <c r="AR893" s="616"/>
      <c r="AS893" s="616"/>
      <c r="AT893" s="616"/>
      <c r="BU893" s="350"/>
      <c r="BV893" s="350"/>
      <c r="BW893" s="350"/>
      <c r="BX893" s="350"/>
      <c r="BY893" s="350"/>
      <c r="BZ893" s="350"/>
      <c r="CA893" s="350"/>
      <c r="CB893" s="350"/>
      <c r="CC893" s="350"/>
      <c r="CD893" s="350"/>
      <c r="CE893" s="350"/>
      <c r="CF893" s="350"/>
      <c r="CG893" s="350"/>
      <c r="CH893" s="350"/>
      <c r="CI893" s="350"/>
      <c r="CJ893" s="350"/>
      <c r="CK893" s="350"/>
      <c r="CL893" s="350"/>
      <c r="CM893" s="350"/>
      <c r="CN893" s="350"/>
      <c r="CO893" s="350"/>
      <c r="CP893" s="350"/>
      <c r="CQ893" s="350"/>
      <c r="CR893" s="350"/>
      <c r="CS893" s="350"/>
      <c r="CT893" s="350"/>
      <c r="CU893" s="350"/>
      <c r="CV893" s="350"/>
      <c r="CW893" s="350"/>
      <c r="CX893" s="350"/>
      <c r="CY893" s="302"/>
      <c r="CZ893" s="302"/>
      <c r="DA893" s="302"/>
      <c r="DB893" s="302"/>
      <c r="DC893" s="302"/>
      <c r="DD893" s="302"/>
      <c r="DE893" s="302"/>
      <c r="DF893" s="302"/>
      <c r="DG893" s="350"/>
      <c r="DH893" s="350"/>
      <c r="DI893" s="302"/>
      <c r="DJ893" s="302"/>
      <c r="DK893" s="302"/>
      <c r="DL893" s="302"/>
      <c r="DM893" s="302"/>
      <c r="DN893" s="302"/>
      <c r="DO893" s="302"/>
    </row>
    <row r="894" spans="1:119" hidden="1">
      <c r="A894" s="1"/>
      <c r="B894" s="1"/>
      <c r="C894" s="1"/>
      <c r="D894" s="752" t="str">
        <f>D797</f>
        <v>Excluding Marriott Net lending</v>
      </c>
      <c r="E894" s="92"/>
      <c r="F894" s="134"/>
      <c r="G894" s="134"/>
      <c r="H894" s="134"/>
      <c r="I894" s="134"/>
      <c r="J894" s="616">
        <f t="shared" ref="J894:AL894" si="1119">+J797</f>
        <v>-25.918013528499984</v>
      </c>
      <c r="K894" s="616">
        <f t="shared" si="1119"/>
        <v>-17.878134028499971</v>
      </c>
      <c r="L894" s="616">
        <f t="shared" si="1119"/>
        <v>-9.8945499999999811</v>
      </c>
      <c r="M894" s="616">
        <f t="shared" si="1119"/>
        <v>-18.754799999999989</v>
      </c>
      <c r="N894" s="616">
        <f t="shared" si="1119"/>
        <v>-18.831950000000006</v>
      </c>
      <c r="O894" s="616">
        <f t="shared" si="1119"/>
        <v>-4.4472900000000379</v>
      </c>
      <c r="P894" s="616">
        <f t="shared" si="1119"/>
        <v>9.7114226334400087</v>
      </c>
      <c r="Q894" s="616">
        <f t="shared" si="1119"/>
        <v>0.54870158194000851</v>
      </c>
      <c r="R894" s="616">
        <f t="shared" si="1119"/>
        <v>-26.200000000000045</v>
      </c>
      <c r="S894" s="616">
        <f t="shared" si="1119"/>
        <v>-3.4999999999998863</v>
      </c>
      <c r="T894" s="616">
        <f t="shared" si="1119"/>
        <v>-60.5</v>
      </c>
      <c r="U894" s="616">
        <f t="shared" si="1119"/>
        <v>-3.3000000000000682</v>
      </c>
      <c r="V894" s="616">
        <f t="shared" si="1119"/>
        <v>-120.93184835500006</v>
      </c>
      <c r="W894" s="616">
        <f t="shared" si="1119"/>
        <v>-49</v>
      </c>
      <c r="X894" s="616">
        <f t="shared" si="1119"/>
        <v>-234.27843639758316</v>
      </c>
      <c r="Y894" s="616">
        <f t="shared" si="1119"/>
        <v>-202.1017402105474</v>
      </c>
      <c r="Z894" s="616">
        <f t="shared" si="1119"/>
        <v>-300.45950052759758</v>
      </c>
      <c r="AA894" s="616">
        <f t="shared" si="1119"/>
        <v>-211.23614682809239</v>
      </c>
      <c r="AB894" s="616">
        <f t="shared" si="1119"/>
        <v>-324.56296494504409</v>
      </c>
      <c r="AC894" s="616">
        <f t="shared" si="1119"/>
        <v>-364.25164341100412</v>
      </c>
      <c r="AD894" s="616">
        <f t="shared" si="1119"/>
        <v>-546.66122916375116</v>
      </c>
      <c r="AE894" s="616">
        <f t="shared" si="1119"/>
        <v>-1091.0971334578217</v>
      </c>
      <c r="AF894" s="616">
        <f t="shared" si="1119"/>
        <v>-938.72910155907584</v>
      </c>
      <c r="AG894" s="616">
        <f t="shared" si="1119"/>
        <v>4673.6534179123983</v>
      </c>
      <c r="AH894" s="616">
        <f t="shared" si="1119"/>
        <v>7486.6331886678408</v>
      </c>
      <c r="AI894" s="616">
        <f t="shared" si="1119"/>
        <v>8165.4831784057924</v>
      </c>
      <c r="AJ894" s="616">
        <f t="shared" si="1119"/>
        <v>-4064.767578235238</v>
      </c>
      <c r="AK894" s="616" t="e">
        <f t="shared" si="1119"/>
        <v>#DIV/0!</v>
      </c>
      <c r="AL894" s="616" t="e">
        <f t="shared" si="1119"/>
        <v>#DIV/0!</v>
      </c>
      <c r="AM894" s="616" t="e">
        <f t="shared" si="1116"/>
        <v>#DIV/0!</v>
      </c>
      <c r="AN894" s="616" t="e">
        <f t="shared" si="1116"/>
        <v>#DIV/0!</v>
      </c>
      <c r="AO894" s="616" t="e">
        <f t="shared" si="1116"/>
        <v>#DIV/0!</v>
      </c>
      <c r="AP894" s="616"/>
      <c r="AQ894" s="616"/>
      <c r="AR894" s="616"/>
      <c r="AS894" s="616"/>
      <c r="AT894" s="616"/>
      <c r="BU894" s="350"/>
      <c r="BV894" s="350"/>
      <c r="BW894" s="350"/>
      <c r="BX894" s="350"/>
      <c r="BY894" s="350"/>
      <c r="BZ894" s="350"/>
      <c r="CA894" s="350"/>
      <c r="CB894" s="350"/>
      <c r="CC894" s="350"/>
      <c r="CD894" s="350"/>
      <c r="CE894" s="350"/>
      <c r="CF894" s="350"/>
      <c r="CG894" s="350"/>
      <c r="CH894" s="350"/>
      <c r="CI894" s="350"/>
      <c r="CJ894" s="350"/>
      <c r="CK894" s="350"/>
      <c r="CL894" s="350"/>
      <c r="CM894" s="350"/>
      <c r="CN894" s="350"/>
      <c r="CO894" s="350"/>
      <c r="CP894" s="350"/>
      <c r="CQ894" s="350"/>
      <c r="CR894" s="350"/>
      <c r="CS894" s="350"/>
      <c r="CT894" s="350"/>
      <c r="CU894" s="350"/>
      <c r="CV894" s="350"/>
      <c r="CW894" s="350"/>
      <c r="CX894" s="350"/>
      <c r="CY894" s="302"/>
      <c r="CZ894" s="302"/>
      <c r="DA894" s="302"/>
      <c r="DB894" s="302"/>
      <c r="DC894" s="302"/>
      <c r="DD894" s="302"/>
      <c r="DE894" s="302"/>
      <c r="DF894" s="302"/>
      <c r="DG894" s="350"/>
      <c r="DH894" s="350"/>
      <c r="DI894" s="302"/>
      <c r="DJ894" s="302"/>
      <c r="DK894" s="302"/>
      <c r="DL894" s="302"/>
      <c r="DM894" s="302"/>
      <c r="DN894" s="302"/>
      <c r="DO894" s="302"/>
    </row>
    <row r="895" spans="1:119" hidden="1">
      <c r="A895" s="1"/>
      <c r="B895" s="1"/>
      <c r="C895" s="1"/>
      <c r="D895" s="752" t="str">
        <f>D798</f>
        <v>Excluding Marriott and PKO</v>
      </c>
      <c r="E895" s="92"/>
      <c r="F895" s="134"/>
      <c r="G895" s="134"/>
      <c r="H895" s="134"/>
      <c r="I895" s="134"/>
      <c r="J895" s="616">
        <f t="shared" ref="J895:AL895" si="1120">+J798</f>
        <v>-25.918013528499984</v>
      </c>
      <c r="K895" s="616">
        <f t="shared" si="1120"/>
        <v>-17.878134028499971</v>
      </c>
      <c r="L895" s="616">
        <f t="shared" si="1120"/>
        <v>-9.8945499999999811</v>
      </c>
      <c r="M895" s="616">
        <f t="shared" si="1120"/>
        <v>-18.754799999999989</v>
      </c>
      <c r="N895" s="616">
        <f t="shared" si="1120"/>
        <v>-18.831950000000006</v>
      </c>
      <c r="O895" s="616">
        <f t="shared" si="1120"/>
        <v>-4.4472900000000379</v>
      </c>
      <c r="P895" s="616">
        <f t="shared" si="1120"/>
        <v>9.7114226334400087</v>
      </c>
      <c r="Q895" s="616">
        <f t="shared" si="1120"/>
        <v>0.54870158194000851</v>
      </c>
      <c r="R895" s="616">
        <f t="shared" si="1120"/>
        <v>-26.200000000000045</v>
      </c>
      <c r="S895" s="616">
        <f t="shared" si="1120"/>
        <v>-3.4999999999998863</v>
      </c>
      <c r="T895" s="616">
        <f t="shared" si="1120"/>
        <v>-60.5</v>
      </c>
      <c r="U895" s="616">
        <f t="shared" si="1120"/>
        <v>-3.3000000000000682</v>
      </c>
      <c r="V895" s="616">
        <f t="shared" si="1120"/>
        <v>-120.93184835500006</v>
      </c>
      <c r="W895" s="616">
        <f t="shared" si="1120"/>
        <v>-49</v>
      </c>
      <c r="X895" s="616">
        <f t="shared" si="1120"/>
        <v>-244.97843639758321</v>
      </c>
      <c r="Y895" s="616">
        <f t="shared" si="1120"/>
        <v>-195.00879449389572</v>
      </c>
      <c r="Z895" s="616">
        <f t="shared" si="1120"/>
        <v>-300.11950052759767</v>
      </c>
      <c r="AA895" s="616">
        <f t="shared" si="1120"/>
        <v>-206.25591072664815</v>
      </c>
      <c r="AB895" s="616">
        <f t="shared" si="1120"/>
        <v>-324.91080343810427</v>
      </c>
      <c r="AC895" s="616">
        <f t="shared" si="1120"/>
        <v>-368.53375826200408</v>
      </c>
      <c r="AD895" s="616">
        <f t="shared" si="1120"/>
        <v>-485.08662548529946</v>
      </c>
      <c r="AE895" s="616">
        <f t="shared" si="1120"/>
        <v>-1076.104743164371</v>
      </c>
      <c r="AF895" s="616">
        <f t="shared" si="1120"/>
        <v>-944.94633527590759</v>
      </c>
      <c r="AG895" s="616">
        <f t="shared" si="1120"/>
        <v>4665.5537564225615</v>
      </c>
      <c r="AH895" s="616">
        <f t="shared" si="1120"/>
        <v>7486.6331886678408</v>
      </c>
      <c r="AI895" s="616">
        <f t="shared" si="1120"/>
        <v>8165.4831784057924</v>
      </c>
      <c r="AJ895" s="616">
        <f t="shared" si="1120"/>
        <v>-4064.767578235238</v>
      </c>
      <c r="AK895" s="616" t="e">
        <f t="shared" si="1120"/>
        <v>#DIV/0!</v>
      </c>
      <c r="AL895" s="616" t="e">
        <f t="shared" si="1120"/>
        <v>#DIV/0!</v>
      </c>
      <c r="AM895" s="616" t="e">
        <f t="shared" si="1116"/>
        <v>#DIV/0!</v>
      </c>
      <c r="AN895" s="616" t="e">
        <f t="shared" si="1116"/>
        <v>#DIV/0!</v>
      </c>
      <c r="AO895" s="616" t="e">
        <f t="shared" si="1116"/>
        <v>#DIV/0!</v>
      </c>
      <c r="AP895" s="616"/>
      <c r="AQ895" s="616"/>
      <c r="AR895" s="616"/>
      <c r="AS895" s="616"/>
      <c r="AT895" s="616"/>
      <c r="BU895" s="350"/>
      <c r="BV895" s="350"/>
      <c r="BW895" s="350"/>
      <c r="BX895" s="350"/>
      <c r="BY895" s="350"/>
      <c r="BZ895" s="350"/>
      <c r="CA895" s="350"/>
      <c r="CB895" s="350"/>
      <c r="CC895" s="350"/>
      <c r="CD895" s="350"/>
      <c r="CE895" s="350"/>
      <c r="CF895" s="350"/>
      <c r="CG895" s="350"/>
      <c r="CH895" s="350"/>
      <c r="CI895" s="350"/>
      <c r="CJ895" s="350"/>
      <c r="CK895" s="350"/>
      <c r="CL895" s="350"/>
      <c r="CM895" s="350"/>
      <c r="CN895" s="350"/>
      <c r="CO895" s="350"/>
      <c r="CP895" s="350"/>
      <c r="CQ895" s="350"/>
      <c r="CR895" s="350"/>
      <c r="CS895" s="350"/>
      <c r="CT895" s="350"/>
      <c r="CU895" s="350"/>
      <c r="CV895" s="350"/>
      <c r="CW895" s="350"/>
      <c r="CX895" s="350"/>
      <c r="CY895" s="302"/>
      <c r="CZ895" s="302"/>
      <c r="DA895" s="302"/>
      <c r="DB895" s="302"/>
      <c r="DC895" s="302"/>
      <c r="DD895" s="302"/>
      <c r="DE895" s="302"/>
      <c r="DF895" s="302"/>
      <c r="DG895" s="350"/>
      <c r="DH895" s="350"/>
      <c r="DI895" s="302"/>
      <c r="DJ895" s="302"/>
      <c r="DK895" s="302"/>
      <c r="DL895" s="302"/>
      <c r="DM895" s="302"/>
      <c r="DN895" s="302"/>
      <c r="DO895" s="302"/>
    </row>
    <row r="896" spans="1:119" hidden="1">
      <c r="A896" s="1"/>
      <c r="B896" s="1"/>
      <c r="C896" s="1"/>
      <c r="D896" s="752" t="str">
        <f>D799</f>
        <v>Excluding Marriott, PKO, Emergencies and COVID-19</v>
      </c>
      <c r="E896" s="92"/>
      <c r="F896" s="134"/>
      <c r="G896" s="134"/>
      <c r="H896" s="134"/>
      <c r="I896" s="134"/>
      <c r="J896" s="616">
        <f t="shared" ref="J896:AL896" si="1121">+J799</f>
        <v>-25.918013528499984</v>
      </c>
      <c r="K896" s="616">
        <f t="shared" si="1121"/>
        <v>-17.878134028499971</v>
      </c>
      <c r="L896" s="616">
        <f t="shared" si="1121"/>
        <v>-9.8945499999999811</v>
      </c>
      <c r="M896" s="616">
        <f t="shared" si="1121"/>
        <v>-18.754799999999989</v>
      </c>
      <c r="N896" s="616">
        <f t="shared" si="1121"/>
        <v>-18.831950000000006</v>
      </c>
      <c r="O896" s="616">
        <f t="shared" si="1121"/>
        <v>-4.4472900000000379</v>
      </c>
      <c r="P896" s="616">
        <f t="shared" si="1121"/>
        <v>9.7114226334400087</v>
      </c>
      <c r="Q896" s="616">
        <f t="shared" si="1121"/>
        <v>0.54870158194000851</v>
      </c>
      <c r="R896" s="616">
        <f t="shared" si="1121"/>
        <v>-26.200000000000045</v>
      </c>
      <c r="S896" s="616">
        <f t="shared" si="1121"/>
        <v>-3.4999999999998863</v>
      </c>
      <c r="T896" s="616">
        <f t="shared" si="1121"/>
        <v>-60.5</v>
      </c>
      <c r="U896" s="616">
        <f t="shared" si="1121"/>
        <v>-3.3000000000000682</v>
      </c>
      <c r="V896" s="616">
        <f t="shared" si="1121"/>
        <v>-120.93184835500006</v>
      </c>
      <c r="W896" s="616">
        <f t="shared" si="1121"/>
        <v>-49</v>
      </c>
      <c r="X896" s="616">
        <f t="shared" si="1121"/>
        <v>-244.97843639758321</v>
      </c>
      <c r="Y896" s="616">
        <f t="shared" si="1121"/>
        <v>-195.00879449389572</v>
      </c>
      <c r="Z896" s="616">
        <f t="shared" si="1121"/>
        <v>-300.11950052759767</v>
      </c>
      <c r="AA896" s="616">
        <f t="shared" si="1121"/>
        <v>-206.25591072664815</v>
      </c>
      <c r="AB896" s="616">
        <f t="shared" si="1121"/>
        <v>-324.91080343810427</v>
      </c>
      <c r="AC896" s="616">
        <f t="shared" si="1121"/>
        <v>-368.53375826200408</v>
      </c>
      <c r="AD896" s="616">
        <f t="shared" si="1121"/>
        <v>-485.08662548529946</v>
      </c>
      <c r="AE896" s="616">
        <f t="shared" si="1121"/>
        <v>-656.19767122235498</v>
      </c>
      <c r="AF896" s="616">
        <f t="shared" si="1121"/>
        <v>-410.42448111772819</v>
      </c>
      <c r="AG896" s="616">
        <f t="shared" si="1121"/>
        <v>4665.5537564225615</v>
      </c>
      <c r="AH896" s="616">
        <f t="shared" si="1121"/>
        <v>7486.6331886678408</v>
      </c>
      <c r="AI896" s="616">
        <f t="shared" si="1121"/>
        <v>8165.4831784057924</v>
      </c>
      <c r="AJ896" s="616">
        <f t="shared" si="1121"/>
        <v>-4064.767578235238</v>
      </c>
      <c r="AK896" s="616" t="e">
        <f t="shared" si="1121"/>
        <v>#DIV/0!</v>
      </c>
      <c r="AL896" s="616" t="e">
        <f t="shared" si="1121"/>
        <v>#DIV/0!</v>
      </c>
      <c r="AM896" s="616" t="e">
        <f t="shared" si="1116"/>
        <v>#DIV/0!</v>
      </c>
      <c r="AN896" s="616" t="e">
        <f t="shared" si="1116"/>
        <v>#DIV/0!</v>
      </c>
      <c r="AO896" s="616" t="e">
        <f t="shared" si="1116"/>
        <v>#DIV/0!</v>
      </c>
      <c r="AP896" s="616"/>
      <c r="AQ896" s="616"/>
      <c r="AR896" s="616"/>
      <c r="AS896" s="616"/>
      <c r="AT896" s="616"/>
      <c r="BU896" s="350"/>
      <c r="BV896" s="350"/>
      <c r="BW896" s="350"/>
      <c r="BX896" s="350"/>
      <c r="BY896" s="350"/>
      <c r="BZ896" s="350"/>
      <c r="CA896" s="350"/>
      <c r="CB896" s="350"/>
      <c r="CC896" s="350"/>
      <c r="CD896" s="350"/>
      <c r="CE896" s="350"/>
      <c r="CF896" s="350"/>
      <c r="CG896" s="350"/>
      <c r="CH896" s="350"/>
      <c r="CI896" s="350"/>
      <c r="CJ896" s="350"/>
      <c r="CK896" s="350"/>
      <c r="CL896" s="350"/>
      <c r="CM896" s="350"/>
      <c r="CN896" s="350"/>
      <c r="CO896" s="350"/>
      <c r="CP896" s="350"/>
      <c r="CQ896" s="350"/>
      <c r="CR896" s="350"/>
      <c r="CS896" s="350"/>
      <c r="CT896" s="350"/>
      <c r="CU896" s="350"/>
      <c r="CV896" s="350"/>
      <c r="CW896" s="350"/>
      <c r="CX896" s="350"/>
      <c r="CY896" s="302"/>
      <c r="CZ896" s="302"/>
      <c r="DA896" s="302"/>
      <c r="DB896" s="302"/>
      <c r="DC896" s="302"/>
      <c r="DD896" s="302"/>
      <c r="DE896" s="302"/>
      <c r="DF896" s="302"/>
      <c r="DG896" s="350"/>
      <c r="DH896" s="350"/>
      <c r="DI896" s="302"/>
      <c r="DJ896" s="302"/>
      <c r="DK896" s="302"/>
      <c r="DL896" s="302"/>
      <c r="DM896" s="302"/>
      <c r="DN896" s="302"/>
      <c r="DO896" s="302"/>
    </row>
    <row r="897" spans="1:119" hidden="1">
      <c r="A897" s="1"/>
      <c r="B897" s="1"/>
      <c r="C897" s="1"/>
      <c r="D897" s="749" t="s">
        <v>886</v>
      </c>
      <c r="E897" s="92"/>
      <c r="F897" s="134"/>
      <c r="G897" s="134"/>
      <c r="H897" s="134"/>
      <c r="I897" s="134"/>
      <c r="J897" s="616">
        <f t="shared" ref="J897:AL897" si="1122">+J800</f>
        <v>-10.78265</v>
      </c>
      <c r="K897" s="616">
        <f t="shared" si="1122"/>
        <v>-18.132550000000002</v>
      </c>
      <c r="L897" s="616">
        <f t="shared" si="1122"/>
        <v>-16.849900000000002</v>
      </c>
      <c r="M897" s="616">
        <f t="shared" si="1122"/>
        <v>-2.3646500000000001</v>
      </c>
      <c r="N897" s="616">
        <f t="shared" si="1122"/>
        <v>-10.005649999999999</v>
      </c>
      <c r="O897" s="616">
        <f t="shared" si="1122"/>
        <v>-13.6645</v>
      </c>
      <c r="P897" s="616">
        <f t="shared" si="1122"/>
        <v>-8.4254999999999995</v>
      </c>
      <c r="Q897" s="616">
        <f t="shared" si="1122"/>
        <v>-8.6295999999999999</v>
      </c>
      <c r="R897" s="616">
        <f t="shared" si="1122"/>
        <v>-7</v>
      </c>
      <c r="S897" s="616">
        <f t="shared" si="1122"/>
        <v>-8.6</v>
      </c>
      <c r="T897" s="616">
        <f t="shared" si="1122"/>
        <v>-9</v>
      </c>
      <c r="U897" s="616">
        <f t="shared" si="1122"/>
        <v>-11.2</v>
      </c>
      <c r="V897" s="616">
        <f t="shared" si="1122"/>
        <v>-11.852389999999996</v>
      </c>
      <c r="W897" s="616">
        <f t="shared" si="1122"/>
        <v>-13.7</v>
      </c>
      <c r="X897" s="616">
        <f t="shared" si="1122"/>
        <v>-9.1000000000000014</v>
      </c>
      <c r="Y897" s="616">
        <f t="shared" si="1122"/>
        <v>-16.126089724000028</v>
      </c>
      <c r="Z897" s="616">
        <f t="shared" si="1122"/>
        <v>5</v>
      </c>
      <c r="AA897" s="616">
        <f t="shared" si="1122"/>
        <v>-27.618025554000013</v>
      </c>
      <c r="AB897" s="616">
        <f t="shared" si="1122"/>
        <v>39.965229826000012</v>
      </c>
      <c r="AC897" s="616">
        <f t="shared" si="1122"/>
        <v>-25.061232288000014</v>
      </c>
      <c r="AD897" s="616">
        <f t="shared" si="1122"/>
        <v>55.122620192000042</v>
      </c>
      <c r="AE897" s="616">
        <f t="shared" si="1122"/>
        <v>-55.1</v>
      </c>
      <c r="AF897" s="616">
        <f t="shared" si="1122"/>
        <v>-35.228921278959099</v>
      </c>
      <c r="AG897" s="616">
        <f t="shared" si="1122"/>
        <v>-40</v>
      </c>
      <c r="AH897" s="616">
        <f t="shared" si="1122"/>
        <v>-40</v>
      </c>
      <c r="AI897" s="616">
        <f t="shared" si="1122"/>
        <v>-40</v>
      </c>
      <c r="AJ897" s="616">
        <f t="shared" si="1122"/>
        <v>-40</v>
      </c>
      <c r="AK897" s="616">
        <f t="shared" si="1122"/>
        <v>-40</v>
      </c>
      <c r="AL897" s="616">
        <f t="shared" si="1122"/>
        <v>-40</v>
      </c>
      <c r="AM897" s="616">
        <f t="shared" si="1116"/>
        <v>-40</v>
      </c>
      <c r="AN897" s="616">
        <f t="shared" si="1116"/>
        <v>-40</v>
      </c>
      <c r="AO897" s="616">
        <f t="shared" si="1116"/>
        <v>-40</v>
      </c>
      <c r="AP897" s="616"/>
      <c r="AQ897" s="616"/>
      <c r="AR897" s="616"/>
      <c r="AS897" s="616"/>
      <c r="AT897" s="616"/>
      <c r="BU897" s="350"/>
      <c r="BV897" s="350"/>
      <c r="BW897" s="350"/>
      <c r="BX897" s="350"/>
      <c r="BY897" s="350"/>
      <c r="BZ897" s="350"/>
      <c r="CA897" s="350"/>
      <c r="CB897" s="350"/>
      <c r="CC897" s="350"/>
      <c r="CD897" s="350"/>
      <c r="CE897" s="350"/>
      <c r="CF897" s="350"/>
      <c r="CG897" s="350"/>
      <c r="CH897" s="350"/>
      <c r="CI897" s="350"/>
      <c r="CJ897" s="350"/>
      <c r="CK897" s="350"/>
      <c r="CL897" s="350"/>
      <c r="CM897" s="350"/>
      <c r="CN897" s="350"/>
      <c r="CO897" s="350"/>
      <c r="CP897" s="350"/>
      <c r="CQ897" s="350"/>
      <c r="CR897" s="350"/>
      <c r="CS897" s="350"/>
      <c r="CT897" s="350"/>
      <c r="CU897" s="350"/>
      <c r="CV897" s="350"/>
      <c r="CW897" s="350"/>
      <c r="CX897" s="350"/>
      <c r="CY897" s="302"/>
      <c r="CZ897" s="302"/>
      <c r="DA897" s="302"/>
      <c r="DB897" s="302"/>
      <c r="DC897" s="302"/>
      <c r="DD897" s="302"/>
      <c r="DE897" s="302"/>
      <c r="DF897" s="302"/>
      <c r="DG897" s="350"/>
      <c r="DH897" s="350"/>
      <c r="DI897" s="302"/>
      <c r="DJ897" s="302"/>
      <c r="DK897" s="302"/>
      <c r="DL897" s="302"/>
      <c r="DM897" s="302"/>
      <c r="DN897" s="302"/>
      <c r="DO897" s="302"/>
    </row>
    <row r="898" spans="1:119" hidden="1">
      <c r="A898" s="1"/>
      <c r="B898" s="1"/>
      <c r="C898" s="1"/>
      <c r="D898" s="752" t="str">
        <f>+D801</f>
        <v>Domestic</v>
      </c>
      <c r="E898" s="92"/>
      <c r="F898" s="134"/>
      <c r="G898" s="134"/>
      <c r="H898" s="134"/>
      <c r="I898" s="134"/>
      <c r="J898" s="616">
        <f t="shared" ref="J898:AL898" si="1123">+J801</f>
        <v>-3.9</v>
      </c>
      <c r="K898" s="616">
        <f t="shared" si="1123"/>
        <v>-4.8239999999999998</v>
      </c>
      <c r="L898" s="616">
        <f t="shared" si="1123"/>
        <v>-9.873899999999999</v>
      </c>
      <c r="M898" s="616">
        <f t="shared" si="1123"/>
        <v>-8.8498999999999999</v>
      </c>
      <c r="N898" s="616">
        <f t="shared" si="1123"/>
        <v>-2.3646500000000001</v>
      </c>
      <c r="O898" s="616">
        <f t="shared" si="1123"/>
        <v>-10.005649999999999</v>
      </c>
      <c r="P898" s="616">
        <f t="shared" si="1123"/>
        <v>-13.6645</v>
      </c>
      <c r="Q898" s="616">
        <f t="shared" si="1123"/>
        <v>-8.4254999999999995</v>
      </c>
      <c r="R898" s="616">
        <f t="shared" si="1123"/>
        <v>-7</v>
      </c>
      <c r="S898" s="616">
        <f t="shared" si="1123"/>
        <v>-8.6</v>
      </c>
      <c r="T898" s="616">
        <f t="shared" si="1123"/>
        <v>-9</v>
      </c>
      <c r="U898" s="616">
        <f t="shared" si="1123"/>
        <v>-11.2</v>
      </c>
      <c r="V898" s="616">
        <f t="shared" si="1123"/>
        <v>-11.852389999999996</v>
      </c>
      <c r="W898" s="616">
        <f t="shared" si="1123"/>
        <v>-13.7</v>
      </c>
      <c r="X898" s="616">
        <f t="shared" si="1123"/>
        <v>-9.1000000000000014</v>
      </c>
      <c r="Y898" s="616">
        <f t="shared" si="1123"/>
        <v>-16.126089724000028</v>
      </c>
      <c r="Z898" s="616">
        <f t="shared" si="1123"/>
        <v>5</v>
      </c>
      <c r="AA898" s="616">
        <f t="shared" si="1123"/>
        <v>-27.618025554000013</v>
      </c>
      <c r="AB898" s="616">
        <f t="shared" si="1123"/>
        <v>39.965229826000012</v>
      </c>
      <c r="AC898" s="616">
        <f t="shared" si="1123"/>
        <v>-25.061232288000014</v>
      </c>
      <c r="AD898" s="616">
        <f t="shared" si="1123"/>
        <v>55.122620192000042</v>
      </c>
      <c r="AE898" s="616">
        <f t="shared" si="1123"/>
        <v>-55.1</v>
      </c>
      <c r="AF898" s="616">
        <f t="shared" si="1123"/>
        <v>-35.228921278959099</v>
      </c>
      <c r="AG898" s="616">
        <f t="shared" si="1123"/>
        <v>-40</v>
      </c>
      <c r="AH898" s="616">
        <f t="shared" si="1123"/>
        <v>-40</v>
      </c>
      <c r="AI898" s="616">
        <f t="shared" si="1123"/>
        <v>-40</v>
      </c>
      <c r="AJ898" s="616">
        <f t="shared" si="1123"/>
        <v>-40</v>
      </c>
      <c r="AK898" s="616">
        <f t="shared" si="1123"/>
        <v>-40</v>
      </c>
      <c r="AL898" s="616">
        <f t="shared" si="1123"/>
        <v>-40</v>
      </c>
      <c r="AM898" s="616">
        <f t="shared" si="1116"/>
        <v>-40</v>
      </c>
      <c r="AN898" s="616">
        <f t="shared" si="1116"/>
        <v>-40</v>
      </c>
      <c r="AO898" s="616">
        <f t="shared" si="1116"/>
        <v>-40</v>
      </c>
      <c r="AP898" s="616"/>
      <c r="AQ898" s="616"/>
      <c r="AR898" s="616"/>
      <c r="AS898" s="616"/>
      <c r="AT898" s="616"/>
      <c r="BU898" s="350"/>
      <c r="BV898" s="350"/>
      <c r="BW898" s="350"/>
      <c r="BX898" s="350"/>
      <c r="BY898" s="350"/>
      <c r="BZ898" s="350"/>
      <c r="CA898" s="350"/>
      <c r="CB898" s="350"/>
      <c r="CC898" s="350"/>
      <c r="CD898" s="350"/>
      <c r="CE898" s="350"/>
      <c r="CF898" s="350"/>
      <c r="CG898" s="350"/>
      <c r="CH898" s="350"/>
      <c r="CI898" s="350"/>
      <c r="CJ898" s="350"/>
      <c r="CK898" s="350"/>
      <c r="CL898" s="350"/>
      <c r="CM898" s="350"/>
      <c r="CN898" s="350"/>
      <c r="CO898" s="350"/>
      <c r="CP898" s="350"/>
      <c r="CQ898" s="350"/>
      <c r="CR898" s="350"/>
      <c r="CS898" s="350"/>
      <c r="CT898" s="350"/>
      <c r="CU898" s="350"/>
      <c r="CV898" s="350"/>
      <c r="CW898" s="350"/>
      <c r="CX898" s="350"/>
      <c r="CY898" s="302"/>
      <c r="CZ898" s="302"/>
      <c r="DA898" s="302"/>
      <c r="DB898" s="302"/>
      <c r="DC898" s="302"/>
      <c r="DD898" s="302"/>
      <c r="DE898" s="302"/>
      <c r="DF898" s="302"/>
      <c r="DG898" s="350"/>
      <c r="DH898" s="350"/>
      <c r="DI898" s="302"/>
      <c r="DJ898" s="302"/>
      <c r="DK898" s="302"/>
      <c r="DL898" s="302"/>
      <c r="DM898" s="302"/>
      <c r="DN898" s="302"/>
      <c r="DO898" s="302"/>
    </row>
    <row r="899" spans="1:119" hidden="1">
      <c r="A899" s="1"/>
      <c r="B899" s="1"/>
      <c r="C899" s="1"/>
      <c r="D899" s="752"/>
      <c r="E899" s="92"/>
      <c r="F899" s="134"/>
      <c r="G899" s="134"/>
      <c r="H899" s="134"/>
      <c r="I899" s="134"/>
      <c r="J899" s="616"/>
      <c r="K899" s="616"/>
      <c r="L899" s="616"/>
      <c r="M899" s="616"/>
      <c r="N899" s="616"/>
      <c r="O899" s="616"/>
      <c r="P899" s="616"/>
      <c r="Q899" s="616"/>
      <c r="R899" s="616"/>
      <c r="S899" s="616"/>
      <c r="T899" s="616"/>
      <c r="U899" s="616"/>
      <c r="V899" s="616"/>
      <c r="W899" s="616"/>
      <c r="X899" s="616"/>
      <c r="Y899" s="616"/>
      <c r="Z899" s="616"/>
      <c r="AA899" s="616"/>
      <c r="AB899" s="616"/>
      <c r="AC899" s="616"/>
      <c r="AD899" s="616"/>
      <c r="AE899" s="616"/>
      <c r="AF899" s="616"/>
      <c r="AG899" s="616"/>
      <c r="AH899" s="616"/>
      <c r="AI899" s="616"/>
      <c r="AJ899" s="616"/>
      <c r="AK899" s="616"/>
      <c r="AL899" s="616"/>
      <c r="AM899" s="616"/>
      <c r="AN899" s="616"/>
      <c r="AO899" s="616"/>
      <c r="AP899" s="616"/>
      <c r="AQ899" s="616"/>
      <c r="AR899" s="616"/>
      <c r="AS899" s="616"/>
      <c r="AT899" s="616"/>
      <c r="BU899" s="350"/>
      <c r="BV899" s="350"/>
      <c r="BW899" s="350"/>
      <c r="BX899" s="350"/>
      <c r="BY899" s="350"/>
      <c r="BZ899" s="350"/>
      <c r="CA899" s="350"/>
      <c r="CB899" s="350"/>
      <c r="CC899" s="350"/>
      <c r="CD899" s="350"/>
      <c r="CE899" s="350"/>
      <c r="CF899" s="350"/>
      <c r="CG899" s="350"/>
      <c r="CH899" s="350"/>
      <c r="CI899" s="350"/>
      <c r="CJ899" s="350"/>
      <c r="CK899" s="350"/>
      <c r="CL899" s="350"/>
      <c r="CM899" s="350"/>
      <c r="CN899" s="350"/>
      <c r="CO899" s="350"/>
      <c r="CP899" s="350"/>
      <c r="CQ899" s="350"/>
      <c r="CR899" s="350"/>
      <c r="CS899" s="350"/>
      <c r="CT899" s="350"/>
      <c r="CU899" s="350"/>
      <c r="CV899" s="350"/>
      <c r="CW899" s="350"/>
      <c r="CX899" s="350"/>
      <c r="CY899" s="302"/>
      <c r="CZ899" s="302"/>
      <c r="DA899" s="302"/>
      <c r="DB899" s="302"/>
      <c r="DC899" s="302"/>
      <c r="DD899" s="302"/>
      <c r="DE899" s="302"/>
      <c r="DF899" s="302"/>
      <c r="DG899" s="350"/>
      <c r="DH899" s="350"/>
      <c r="DI899" s="302"/>
      <c r="DJ899" s="302"/>
      <c r="DK899" s="302"/>
      <c r="DL899" s="302"/>
      <c r="DM899" s="302"/>
      <c r="DN899" s="302"/>
      <c r="DO899" s="302"/>
    </row>
    <row r="900" spans="1:119" hidden="1">
      <c r="A900" s="1"/>
      <c r="B900" s="1"/>
      <c r="C900" s="1"/>
      <c r="D900" s="749" t="s">
        <v>180</v>
      </c>
      <c r="E900" s="92"/>
      <c r="F900" s="134"/>
      <c r="G900" s="134"/>
      <c r="H900" s="134"/>
      <c r="I900" s="134"/>
      <c r="J900" s="616"/>
      <c r="K900" s="616"/>
      <c r="L900" s="616"/>
      <c r="M900" s="616"/>
      <c r="N900" s="616"/>
      <c r="O900" s="616"/>
      <c r="P900" s="616"/>
      <c r="Q900" s="616"/>
      <c r="R900" s="616"/>
      <c r="S900" s="616"/>
      <c r="T900" s="616"/>
      <c r="U900" s="616"/>
      <c r="V900" s="616"/>
      <c r="W900" s="616"/>
      <c r="X900" s="616"/>
      <c r="Y900" s="616"/>
      <c r="Z900" s="616"/>
      <c r="AA900" s="616"/>
      <c r="AB900" s="616"/>
      <c r="AC900" s="616"/>
      <c r="AD900" s="616"/>
      <c r="AE900" s="616"/>
      <c r="AF900" s="616"/>
      <c r="AG900" s="616"/>
      <c r="AH900" s="616"/>
      <c r="AI900" s="616"/>
      <c r="AJ900" s="616"/>
      <c r="AK900" s="616"/>
      <c r="AL900" s="616"/>
      <c r="AM900" s="616"/>
      <c r="AN900" s="616"/>
      <c r="AO900" s="616"/>
      <c r="AP900" s="616"/>
      <c r="AQ900" s="616"/>
      <c r="AR900" s="616"/>
      <c r="AS900" s="616"/>
      <c r="AT900" s="616"/>
      <c r="BU900" s="350"/>
      <c r="BV900" s="350"/>
      <c r="BW900" s="350"/>
      <c r="BX900" s="350"/>
      <c r="BY900" s="350"/>
      <c r="BZ900" s="350"/>
      <c r="CA900" s="350"/>
      <c r="CB900" s="350"/>
      <c r="CC900" s="350"/>
      <c r="CD900" s="350"/>
      <c r="CE900" s="350"/>
      <c r="CF900" s="350"/>
      <c r="CG900" s="350"/>
      <c r="CH900" s="350"/>
      <c r="CI900" s="350"/>
      <c r="CJ900" s="350"/>
      <c r="CK900" s="350"/>
      <c r="CL900" s="350"/>
      <c r="CM900" s="350"/>
      <c r="CN900" s="350"/>
      <c r="CO900" s="350"/>
      <c r="CP900" s="350"/>
      <c r="CQ900" s="350"/>
      <c r="CR900" s="350"/>
      <c r="CS900" s="350"/>
      <c r="CT900" s="350"/>
      <c r="CU900" s="350"/>
      <c r="CV900" s="350"/>
      <c r="CW900" s="350"/>
      <c r="CX900" s="350"/>
      <c r="CY900" s="302"/>
      <c r="CZ900" s="302"/>
      <c r="DA900" s="302"/>
      <c r="DB900" s="302"/>
      <c r="DC900" s="302"/>
      <c r="DD900" s="302"/>
      <c r="DE900" s="302"/>
      <c r="DF900" s="302"/>
      <c r="DG900" s="350"/>
      <c r="DH900" s="350"/>
      <c r="DI900" s="302"/>
      <c r="DJ900" s="302"/>
      <c r="DK900" s="302"/>
      <c r="DL900" s="302"/>
      <c r="DM900" s="302"/>
      <c r="DN900" s="302"/>
      <c r="DO900" s="302"/>
    </row>
    <row r="901" spans="1:119" hidden="1">
      <c r="A901" s="1"/>
      <c r="B901" s="1"/>
      <c r="C901" s="1"/>
      <c r="D901" s="752" t="s">
        <v>177</v>
      </c>
      <c r="E901" s="92"/>
      <c r="F901" s="134"/>
      <c r="G901" s="134"/>
      <c r="H901" s="134"/>
      <c r="I901" s="134"/>
      <c r="J901" s="616">
        <f t="shared" ref="J901:AL901" si="1124">+J804</f>
        <v>-46.668013528499991</v>
      </c>
      <c r="K901" s="616">
        <f t="shared" si="1124"/>
        <v>-28.660784028499997</v>
      </c>
      <c r="L901" s="616">
        <f t="shared" si="1124"/>
        <v>-28.027099999999997</v>
      </c>
      <c r="M901" s="616">
        <f t="shared" si="1124"/>
        <v>-35.604700000000001</v>
      </c>
      <c r="N901" s="616">
        <f t="shared" si="1124"/>
        <v>-21.196600000000018</v>
      </c>
      <c r="O901" s="616">
        <f t="shared" si="1124"/>
        <v>-14.452940000000023</v>
      </c>
      <c r="P901" s="616">
        <f t="shared" si="1124"/>
        <v>-3.9530773665599908</v>
      </c>
      <c r="Q901" s="616">
        <f t="shared" si="1124"/>
        <v>-7.8767984180599901</v>
      </c>
      <c r="R901" s="616">
        <f t="shared" si="1124"/>
        <v>-33.200000000000045</v>
      </c>
      <c r="S901" s="616">
        <f t="shared" si="1124"/>
        <v>-12.099999999999886</v>
      </c>
      <c r="T901" s="616">
        <f t="shared" si="1124"/>
        <v>-69.5</v>
      </c>
      <c r="U901" s="616">
        <f t="shared" si="1124"/>
        <v>-14.500000000000068</v>
      </c>
      <c r="V901" s="616">
        <f t="shared" si="1124"/>
        <v>-132.78423835500004</v>
      </c>
      <c r="W901" s="616">
        <f t="shared" si="1124"/>
        <v>-62.7</v>
      </c>
      <c r="X901" s="616">
        <f t="shared" si="1124"/>
        <v>-243.37843639758316</v>
      </c>
      <c r="Y901" s="616">
        <f t="shared" si="1124"/>
        <v>-219.77493463754499</v>
      </c>
      <c r="Z901" s="616">
        <f t="shared" si="1124"/>
        <v>-297.05950052759749</v>
      </c>
      <c r="AA901" s="616">
        <f t="shared" si="1124"/>
        <v>-240.60030040009244</v>
      </c>
      <c r="AB901" s="616">
        <f t="shared" si="1124"/>
        <v>-347.24742086788802</v>
      </c>
      <c r="AC901" s="616">
        <f t="shared" si="1124"/>
        <v>-392.18858038500423</v>
      </c>
      <c r="AD901" s="616">
        <f t="shared" si="1124"/>
        <v>-491.5386089717511</v>
      </c>
      <c r="AE901" s="616">
        <f t="shared" si="1124"/>
        <v>-1226.1971334578216</v>
      </c>
      <c r="AF901" s="616">
        <f t="shared" si="1124"/>
        <v>-973.95802283803494</v>
      </c>
      <c r="AG901" s="616">
        <f t="shared" si="1124"/>
        <v>4633.6534179123983</v>
      </c>
      <c r="AH901" s="616">
        <f t="shared" si="1124"/>
        <v>7446.6331886678408</v>
      </c>
      <c r="AI901" s="616">
        <f t="shared" si="1124"/>
        <v>8125.4831784057924</v>
      </c>
      <c r="AJ901" s="616">
        <f t="shared" si="1124"/>
        <v>-4104.767578235238</v>
      </c>
      <c r="AK901" s="616" t="e">
        <f t="shared" si="1124"/>
        <v>#DIV/0!</v>
      </c>
      <c r="AL901" s="616" t="e">
        <f t="shared" si="1124"/>
        <v>#DIV/0!</v>
      </c>
      <c r="AM901" s="616" t="e">
        <f>+AM804</f>
        <v>#DIV/0!</v>
      </c>
      <c r="AN901" s="616" t="e">
        <f t="shared" ref="AN901:AO901" si="1125">+AN804</f>
        <v>#DIV/0!</v>
      </c>
      <c r="AO901" s="616" t="e">
        <f t="shared" si="1125"/>
        <v>#DIV/0!</v>
      </c>
      <c r="AP901" s="616"/>
      <c r="AQ901" s="616"/>
      <c r="AR901" s="616"/>
      <c r="AS901" s="616"/>
      <c r="AT901" s="616"/>
      <c r="BU901" s="302"/>
      <c r="BV901" s="302"/>
      <c r="BW901" s="302"/>
      <c r="BX901" s="302"/>
      <c r="BY901" s="302"/>
      <c r="BZ901" s="302"/>
      <c r="CA901" s="302"/>
      <c r="CB901" s="302"/>
      <c r="CC901" s="302"/>
      <c r="CD901" s="302"/>
      <c r="CE901" s="302"/>
      <c r="CF901" s="302"/>
      <c r="CG901" s="302"/>
      <c r="CH901" s="302"/>
      <c r="CI901" s="302"/>
      <c r="CJ901" s="302"/>
      <c r="CK901" s="302"/>
      <c r="CL901" s="302"/>
      <c r="CM901" s="302"/>
      <c r="CN901" s="302"/>
      <c r="CO901" s="302"/>
      <c r="CP901" s="302"/>
      <c r="CQ901" s="302"/>
      <c r="CR901" s="302"/>
      <c r="CS901" s="302"/>
      <c r="CT901" s="302"/>
      <c r="CU901" s="302"/>
      <c r="CV901" s="302"/>
      <c r="CW901" s="302"/>
      <c r="CX901" s="302"/>
      <c r="CY901" s="302"/>
      <c r="CZ901" s="302"/>
      <c r="DA901" s="302"/>
      <c r="DB901" s="302"/>
      <c r="DC901" s="302"/>
      <c r="DD901" s="302"/>
      <c r="DE901" s="302"/>
      <c r="DF901" s="302"/>
      <c r="DG901" s="302"/>
      <c r="DH901" s="302"/>
      <c r="DI901" s="302"/>
      <c r="DJ901" s="302"/>
      <c r="DK901" s="302"/>
      <c r="DL901" s="302"/>
      <c r="DM901" s="302"/>
      <c r="DN901" s="302"/>
      <c r="DO901" s="302"/>
    </row>
    <row r="902" spans="1:119" hidden="1">
      <c r="A902" s="1"/>
      <c r="B902" s="1"/>
      <c r="C902" s="1"/>
      <c r="D902" s="752" t="s">
        <v>178</v>
      </c>
      <c r="E902" s="92"/>
      <c r="F902" s="134"/>
      <c r="G902" s="134"/>
      <c r="H902" s="134"/>
      <c r="I902" s="134"/>
      <c r="J902" s="616">
        <f t="shared" ref="J902:AL902" si="1126">+J805</f>
        <v>-94.881284028500005</v>
      </c>
      <c r="K902" s="616">
        <f t="shared" si="1126"/>
        <v>-98.745834028499999</v>
      </c>
      <c r="L902" s="616">
        <f t="shared" si="1126"/>
        <v>-98.464349999999996</v>
      </c>
      <c r="M902" s="616">
        <f t="shared" si="1126"/>
        <v>-103.08920000000001</v>
      </c>
      <c r="N902" s="616">
        <f t="shared" si="1126"/>
        <v>-94.700450000000018</v>
      </c>
      <c r="O902" s="616">
        <f t="shared" si="1126"/>
        <v>-116.90494000000004</v>
      </c>
      <c r="P902" s="616">
        <f t="shared" si="1126"/>
        <v>-150.54192152049501</v>
      </c>
      <c r="Q902" s="616">
        <f t="shared" si="1126"/>
        <v>-174.64564257199498</v>
      </c>
      <c r="R902" s="616">
        <f t="shared" si="1126"/>
        <v>-188.00000000000006</v>
      </c>
      <c r="S902" s="616">
        <f t="shared" si="1126"/>
        <v>-239.99999999999991</v>
      </c>
      <c r="T902" s="616">
        <f t="shared" si="1126"/>
        <v>-327.2</v>
      </c>
      <c r="U902" s="616">
        <f t="shared" si="1126"/>
        <v>-423.80000000000007</v>
      </c>
      <c r="V902" s="616">
        <f t="shared" si="1126"/>
        <v>-511.81000819000008</v>
      </c>
      <c r="W902" s="616">
        <f t="shared" si="1126"/>
        <v>-520.09999999999991</v>
      </c>
      <c r="X902" s="616">
        <f t="shared" si="1126"/>
        <v>-608.27843639758305</v>
      </c>
      <c r="Y902" s="616">
        <f t="shared" si="1126"/>
        <v>-694.06407580128518</v>
      </c>
      <c r="Z902" s="616">
        <f t="shared" si="1126"/>
        <v>-712.97319804200015</v>
      </c>
      <c r="AA902" s="616">
        <f t="shared" si="1126"/>
        <v>-597.22220111559091</v>
      </c>
      <c r="AB902" s="616">
        <f t="shared" si="1126"/>
        <v>-677.42950481440698</v>
      </c>
      <c r="AC902" s="616">
        <f t="shared" si="1126"/>
        <v>-751.0972572537147</v>
      </c>
      <c r="AD902" s="616">
        <f t="shared" si="1126"/>
        <v>-886.31223347606658</v>
      </c>
      <c r="AE902" s="616">
        <f t="shared" si="1126"/>
        <v>-1658.2794113359816</v>
      </c>
      <c r="AF902" s="616">
        <f t="shared" si="1126"/>
        <v>-1466.2817078287753</v>
      </c>
      <c r="AG902" s="616">
        <f t="shared" si="1126"/>
        <v>3797.4432834202044</v>
      </c>
      <c r="AH902" s="616">
        <f t="shared" si="1126"/>
        <v>6735.3390357082999</v>
      </c>
      <c r="AI902" s="616">
        <f t="shared" si="1126"/>
        <v>7367.6665378157313</v>
      </c>
      <c r="AJ902" s="616">
        <f t="shared" si="1126"/>
        <v>-4730.5363174693512</v>
      </c>
      <c r="AK902" s="616" t="e">
        <f t="shared" si="1126"/>
        <v>#DIV/0!</v>
      </c>
      <c r="AL902" s="616" t="e">
        <f t="shared" si="1126"/>
        <v>#DIV/0!</v>
      </c>
      <c r="AM902" s="616" t="e">
        <f>+AM805</f>
        <v>#DIV/0!</v>
      </c>
      <c r="AN902" s="616" t="e">
        <f t="shared" ref="AN902:AO902" si="1127">+AN805</f>
        <v>#DIV/0!</v>
      </c>
      <c r="AO902" s="616" t="e">
        <f t="shared" si="1127"/>
        <v>#DIV/0!</v>
      </c>
      <c r="AP902" s="616"/>
      <c r="AQ902" s="616"/>
      <c r="AR902" s="616"/>
      <c r="AS902" s="616"/>
      <c r="AT902" s="616"/>
      <c r="BU902" s="302"/>
      <c r="BV902" s="302"/>
      <c r="BW902" s="302"/>
      <c r="BX902" s="302"/>
      <c r="BY902" s="302"/>
      <c r="BZ902" s="302"/>
      <c r="CA902" s="302"/>
      <c r="CB902" s="302"/>
      <c r="CC902" s="302"/>
      <c r="CD902" s="302"/>
      <c r="CE902" s="302"/>
      <c r="CF902" s="302"/>
      <c r="CG902" s="302"/>
      <c r="CH902" s="302"/>
      <c r="CI902" s="302"/>
      <c r="CJ902" s="302"/>
      <c r="CK902" s="302"/>
      <c r="CL902" s="302"/>
      <c r="CM902" s="302"/>
      <c r="CN902" s="302"/>
      <c r="CO902" s="302"/>
      <c r="CP902" s="302"/>
      <c r="CQ902" s="302"/>
      <c r="CR902" s="302"/>
      <c r="CS902" s="302"/>
      <c r="CT902" s="302"/>
      <c r="CU902" s="302"/>
      <c r="CV902" s="302"/>
      <c r="CW902" s="302"/>
      <c r="CX902" s="302"/>
      <c r="CY902" s="302"/>
      <c r="CZ902" s="302"/>
      <c r="DA902" s="302"/>
      <c r="DB902" s="302"/>
      <c r="DC902" s="302"/>
      <c r="DD902" s="302"/>
      <c r="DE902" s="302"/>
      <c r="DF902" s="302"/>
      <c r="DG902" s="302"/>
      <c r="DH902" s="302"/>
      <c r="DI902" s="302"/>
      <c r="DJ902" s="302"/>
      <c r="DK902" s="302"/>
      <c r="DL902" s="302"/>
      <c r="DM902" s="302"/>
      <c r="DN902" s="302"/>
      <c r="DO902" s="302"/>
    </row>
    <row r="903" spans="1:119" hidden="1">
      <c r="A903" s="1"/>
      <c r="B903" s="1"/>
      <c r="C903" s="1"/>
      <c r="D903" s="749" t="s">
        <v>181</v>
      </c>
      <c r="E903" s="92"/>
      <c r="F903" s="134"/>
      <c r="G903" s="134"/>
      <c r="H903" s="134"/>
      <c r="I903" s="134"/>
      <c r="J903" s="616">
        <f t="shared" ref="J903:AL903" si="1128">+J807</f>
        <v>46.668013528499991</v>
      </c>
      <c r="K903" s="616">
        <f t="shared" si="1128"/>
        <v>28.660784028499997</v>
      </c>
      <c r="L903" s="616">
        <f t="shared" si="1128"/>
        <v>28.027100000000004</v>
      </c>
      <c r="M903" s="616">
        <f t="shared" si="1128"/>
        <v>35.604700000000001</v>
      </c>
      <c r="N903" s="616">
        <f t="shared" si="1128"/>
        <v>21.196599999999997</v>
      </c>
      <c r="O903" s="616">
        <f t="shared" si="1128"/>
        <v>14.452939999999993</v>
      </c>
      <c r="P903" s="616">
        <f t="shared" si="1128"/>
        <v>-8.2806089134400125</v>
      </c>
      <c r="Q903" s="616">
        <f t="shared" si="1128"/>
        <v>-4.3568878619400007</v>
      </c>
      <c r="R903" s="616">
        <f t="shared" si="1128"/>
        <v>33.200000000000045</v>
      </c>
      <c r="S903" s="616">
        <f t="shared" si="1128"/>
        <v>12.099999999999886</v>
      </c>
      <c r="T903" s="616">
        <f t="shared" si="1128"/>
        <v>69.5</v>
      </c>
      <c r="U903" s="616">
        <f t="shared" si="1128"/>
        <v>16.399999999999999</v>
      </c>
      <c r="V903" s="616">
        <f t="shared" si="1128"/>
        <v>126.514612731</v>
      </c>
      <c r="W903" s="616">
        <f t="shared" si="1128"/>
        <v>56.8</v>
      </c>
      <c r="X903" s="616">
        <f t="shared" si="1128"/>
        <v>218.60287055438562</v>
      </c>
      <c r="Y903" s="616">
        <f t="shared" si="1128"/>
        <v>224.60345991403199</v>
      </c>
      <c r="Z903" s="616">
        <f t="shared" si="1128"/>
        <v>197.61254199818421</v>
      </c>
      <c r="AA903" s="616">
        <f t="shared" si="1128"/>
        <v>271.49497056281473</v>
      </c>
      <c r="AB903" s="616">
        <f t="shared" si="1128"/>
        <v>347.24742086788802</v>
      </c>
      <c r="AC903" s="616">
        <f t="shared" si="1128"/>
        <v>398.9867656101726</v>
      </c>
      <c r="AD903" s="616">
        <f t="shared" si="1128"/>
        <v>502.38067326405934</v>
      </c>
      <c r="AE903" s="616">
        <f t="shared" si="1128"/>
        <v>1226.1509467500846</v>
      </c>
      <c r="AF903" s="616">
        <f t="shared" si="1128"/>
        <v>973.99842550595372</v>
      </c>
      <c r="AG903" s="616">
        <f t="shared" si="1128"/>
        <v>987.3478790734473</v>
      </c>
      <c r="AH903" s="616">
        <f t="shared" si="1128"/>
        <v>941.12816859942711</v>
      </c>
      <c r="AI903" s="616">
        <f t="shared" si="1128"/>
        <v>1577.615969342414</v>
      </c>
      <c r="AJ903" s="616">
        <f t="shared" si="1128"/>
        <v>1459.5235034647553</v>
      </c>
      <c r="AK903" s="616" t="e">
        <f t="shared" si="1128"/>
        <v>#DIV/0!</v>
      </c>
      <c r="AL903" s="616" t="e">
        <f t="shared" si="1128"/>
        <v>#DIV/0!</v>
      </c>
      <c r="AM903" s="616" t="e">
        <f>+AM807</f>
        <v>#DIV/0!</v>
      </c>
      <c r="AN903" s="616" t="e">
        <f t="shared" ref="AN903:AO903" si="1129">+AN807</f>
        <v>#DIV/0!</v>
      </c>
      <c r="AO903" s="616" t="e">
        <f t="shared" si="1129"/>
        <v>#DIV/0!</v>
      </c>
      <c r="AP903" s="616"/>
      <c r="AQ903" s="616"/>
      <c r="AR903" s="616"/>
      <c r="AS903" s="616"/>
      <c r="AT903" s="616"/>
      <c r="BU903" s="302"/>
      <c r="BV903" s="302"/>
      <c r="BW903" s="302"/>
      <c r="BX903" s="302"/>
      <c r="BY903" s="302"/>
      <c r="BZ903" s="302"/>
      <c r="CA903" s="302"/>
      <c r="CB903" s="302"/>
      <c r="CC903" s="302"/>
      <c r="CD903" s="302"/>
      <c r="CE903" s="302"/>
      <c r="CF903" s="302"/>
      <c r="CG903" s="302"/>
      <c r="CH903" s="302"/>
      <c r="CI903" s="302"/>
      <c r="CJ903" s="302"/>
      <c r="CK903" s="302"/>
      <c r="CL903" s="302"/>
      <c r="CM903" s="302"/>
      <c r="CN903" s="302"/>
      <c r="CO903" s="302"/>
      <c r="CP903" s="302"/>
      <c r="CQ903" s="302"/>
      <c r="CR903" s="302"/>
      <c r="CS903" s="302"/>
      <c r="CT903" s="302"/>
      <c r="CU903" s="302"/>
      <c r="CV903" s="302"/>
      <c r="CW903" s="302"/>
      <c r="CX903" s="302"/>
      <c r="CY903" s="302"/>
      <c r="CZ903" s="302"/>
      <c r="DA903" s="302"/>
      <c r="DB903" s="302"/>
      <c r="DC903" s="302"/>
      <c r="DD903" s="302"/>
      <c r="DE903" s="302"/>
      <c r="DF903" s="302"/>
      <c r="DG903" s="302"/>
      <c r="DH903" s="302"/>
      <c r="DI903" s="302"/>
      <c r="DJ903" s="302"/>
      <c r="DK903" s="302"/>
      <c r="DL903" s="302"/>
      <c r="DM903" s="302"/>
      <c r="DN903" s="302"/>
      <c r="DO903" s="302"/>
    </row>
    <row r="904" spans="1:119" hidden="1">
      <c r="A904" s="1"/>
      <c r="B904" s="1"/>
      <c r="C904" s="1"/>
      <c r="D904" s="750" t="s">
        <v>182</v>
      </c>
      <c r="E904" s="92"/>
      <c r="F904" s="134"/>
      <c r="G904" s="134"/>
      <c r="H904" s="134"/>
      <c r="I904" s="134"/>
      <c r="J904" s="616">
        <f t="shared" ref="J904:AL904" si="1130">+J809</f>
        <v>9.2500000000000018</v>
      </c>
      <c r="K904" s="616">
        <f t="shared" si="1130"/>
        <v>8.5138500000000015</v>
      </c>
      <c r="L904" s="616">
        <f t="shared" si="1130"/>
        <v>4.0473499999999998</v>
      </c>
      <c r="M904" s="616">
        <f t="shared" si="1130"/>
        <v>8.1334999999999997</v>
      </c>
      <c r="N904" s="616">
        <f t="shared" si="1130"/>
        <v>4.7718499999999997</v>
      </c>
      <c r="O904" s="616">
        <f t="shared" si="1130"/>
        <v>1.3761608154999996</v>
      </c>
      <c r="P904" s="616">
        <f t="shared" si="1130"/>
        <v>0.33886081549999858</v>
      </c>
      <c r="Q904" s="616">
        <f t="shared" si="1130"/>
        <v>6.4310499999999982</v>
      </c>
      <c r="R904" s="616">
        <f t="shared" si="1130"/>
        <v>39.199999999999996</v>
      </c>
      <c r="S904" s="616">
        <f t="shared" si="1130"/>
        <v>42.800000000000004</v>
      </c>
      <c r="T904" s="616">
        <f t="shared" si="1130"/>
        <v>72.599999999999994</v>
      </c>
      <c r="U904" s="616">
        <f t="shared" si="1130"/>
        <v>26.1</v>
      </c>
      <c r="V904" s="616">
        <f t="shared" si="1130"/>
        <v>68.531212730999997</v>
      </c>
      <c r="W904" s="616">
        <f t="shared" si="1130"/>
        <v>95</v>
      </c>
      <c r="X904" s="616">
        <f t="shared" si="1130"/>
        <v>338.59999999999997</v>
      </c>
      <c r="Y904" s="616">
        <f t="shared" si="1130"/>
        <v>104.73128333288437</v>
      </c>
      <c r="Z904" s="616">
        <f t="shared" si="1130"/>
        <v>188.3125419981842</v>
      </c>
      <c r="AA904" s="616">
        <f t="shared" si="1130"/>
        <v>224.4081276596894</v>
      </c>
      <c r="AB904" s="616">
        <f t="shared" si="1130"/>
        <v>161.93697496867668</v>
      </c>
      <c r="AC904" s="616">
        <f t="shared" si="1130"/>
        <v>356.02913087722652</v>
      </c>
      <c r="AD904" s="616">
        <f t="shared" si="1130"/>
        <v>448.31196664374346</v>
      </c>
      <c r="AE904" s="616">
        <f t="shared" si="1130"/>
        <v>1137.4986216870611</v>
      </c>
      <c r="AF904" s="616">
        <f t="shared" si="1130"/>
        <v>708.41842834695376</v>
      </c>
      <c r="AG904" s="616">
        <f t="shared" si="1130"/>
        <v>762.3478790734473</v>
      </c>
      <c r="AH904" s="616">
        <f t="shared" si="1130"/>
        <v>780.58674289632404</v>
      </c>
      <c r="AI904" s="616">
        <f t="shared" si="1130"/>
        <v>1276.5512369862045</v>
      </c>
      <c r="AJ904" s="616">
        <f t="shared" si="1130"/>
        <v>1284.6235034647552</v>
      </c>
      <c r="AK904" s="616">
        <f t="shared" si="1130"/>
        <v>1811.7874124057805</v>
      </c>
      <c r="AL904" s="616">
        <f t="shared" si="1130"/>
        <v>1632.665792872403</v>
      </c>
      <c r="AM904" s="616">
        <f>+AM809</f>
        <v>980.03698926803577</v>
      </c>
      <c r="AN904" s="616">
        <f t="shared" ref="AN904:AO904" si="1131">+AN809</f>
        <v>771.69311511147828</v>
      </c>
      <c r="AO904" s="616">
        <f t="shared" si="1131"/>
        <v>332.49382739956263</v>
      </c>
      <c r="AP904" s="616"/>
      <c r="AQ904" s="616"/>
      <c r="AR904" s="616"/>
      <c r="AS904" s="616"/>
      <c r="AT904" s="616"/>
      <c r="BU904" s="302"/>
      <c r="BV904" s="302"/>
      <c r="BW904" s="302"/>
      <c r="BX904" s="302"/>
      <c r="BY904" s="302"/>
      <c r="BZ904" s="302"/>
      <c r="CA904" s="302"/>
      <c r="CB904" s="302"/>
      <c r="CC904" s="302"/>
      <c r="CD904" s="302"/>
      <c r="CE904" s="302"/>
      <c r="CF904" s="302"/>
      <c r="CG904" s="302"/>
      <c r="CH904" s="302"/>
      <c r="CI904" s="302"/>
      <c r="CJ904" s="302"/>
      <c r="CK904" s="302"/>
      <c r="CL904" s="302"/>
      <c r="CM904" s="302"/>
      <c r="CN904" s="302"/>
      <c r="CO904" s="302"/>
      <c r="CP904" s="302"/>
      <c r="CQ904" s="302"/>
      <c r="CR904" s="302"/>
      <c r="CS904" s="302"/>
      <c r="CT904" s="302"/>
      <c r="CU904" s="302"/>
      <c r="CV904" s="303"/>
      <c r="CW904" s="304"/>
      <c r="CX904" s="302"/>
      <c r="CY904" s="302"/>
      <c r="CZ904" s="302"/>
      <c r="DA904" s="302"/>
      <c r="DB904" s="302"/>
      <c r="DC904" s="302"/>
      <c r="DD904" s="302"/>
      <c r="DE904" s="302"/>
      <c r="DF904" s="303"/>
      <c r="DG904" s="304"/>
      <c r="DH904" s="302"/>
      <c r="DI904" s="302"/>
      <c r="DJ904" s="302"/>
      <c r="DK904" s="302"/>
      <c r="DL904" s="302"/>
      <c r="DM904" s="302"/>
      <c r="DN904" s="302"/>
      <c r="DO904" s="302"/>
    </row>
    <row r="905" spans="1:119" hidden="1">
      <c r="A905" s="1"/>
      <c r="B905" s="1"/>
      <c r="C905" s="1"/>
      <c r="D905" s="752" t="s">
        <v>788</v>
      </c>
      <c r="E905" s="92"/>
      <c r="F905" s="134"/>
      <c r="G905" s="134"/>
      <c r="H905" s="134"/>
      <c r="I905" s="134"/>
      <c r="J905" s="616"/>
      <c r="K905" s="616"/>
      <c r="L905" s="616"/>
      <c r="M905" s="616"/>
      <c r="N905" s="616"/>
      <c r="O905" s="616"/>
      <c r="P905" s="616"/>
      <c r="Q905" s="616"/>
      <c r="R905" s="616"/>
      <c r="S905" s="616"/>
      <c r="T905" s="616"/>
      <c r="U905" s="616"/>
      <c r="V905" s="616"/>
      <c r="W905" s="616"/>
      <c r="X905" s="754">
        <f t="shared" ref="X905:AE905" si="1132">+X811</f>
        <v>16.2</v>
      </c>
      <c r="Y905" s="754">
        <f t="shared" si="1132"/>
        <v>49.486261138499998</v>
      </c>
      <c r="Z905" s="754">
        <f t="shared" si="1132"/>
        <v>103.63</v>
      </c>
      <c r="AA905" s="754">
        <f t="shared" si="1132"/>
        <v>138.66156726277015</v>
      </c>
      <c r="AB905" s="754">
        <f t="shared" si="1132"/>
        <v>183.82033813965148</v>
      </c>
      <c r="AC905" s="754">
        <f t="shared" si="1132"/>
        <v>211.49647385698302</v>
      </c>
      <c r="AD905" s="754">
        <f t="shared" si="1132"/>
        <v>262.04850870218172</v>
      </c>
      <c r="AE905" s="754">
        <f t="shared" si="1132"/>
        <v>905.88487285883571</v>
      </c>
      <c r="AF905" s="754">
        <f>+AF1249</f>
        <v>343.07164259517788</v>
      </c>
      <c r="AG905" s="754">
        <f t="shared" ref="AG905:AL905" si="1133">+AG811</f>
        <v>840.44607618034536</v>
      </c>
      <c r="AH905" s="754">
        <f t="shared" si="1133"/>
        <v>518.40160041043987</v>
      </c>
      <c r="AI905" s="754">
        <f t="shared" si="1133"/>
        <v>772.825914316644</v>
      </c>
      <c r="AJ905" s="754">
        <f t="shared" si="1133"/>
        <v>864.07628736920913</v>
      </c>
      <c r="AK905" s="754">
        <f t="shared" si="1133"/>
        <v>1529.5376053660839</v>
      </c>
      <c r="AL905" s="754">
        <f t="shared" si="1133"/>
        <v>1427.792134255667</v>
      </c>
      <c r="AM905" s="754">
        <f>+AM811</f>
        <v>831.48544004381017</v>
      </c>
      <c r="AN905" s="754">
        <f t="shared" ref="AN905:AO905" si="1134">+AN811</f>
        <v>693.77210826866508</v>
      </c>
      <c r="AO905" s="754">
        <f t="shared" si="1134"/>
        <v>359.65575636834785</v>
      </c>
      <c r="AP905" s="754"/>
      <c r="AQ905" s="754"/>
      <c r="AR905" s="754"/>
      <c r="AS905" s="754"/>
      <c r="AT905" s="754"/>
      <c r="AU905" s="364"/>
      <c r="AV905" s="364"/>
      <c r="AW905" s="364"/>
      <c r="AX905" s="364"/>
      <c r="AY905" s="364"/>
      <c r="AZ905" s="364"/>
      <c r="BA905" s="364"/>
      <c r="BB905" s="364"/>
      <c r="BC905" s="364"/>
      <c r="BD905" s="364"/>
      <c r="BE905" s="364"/>
      <c r="BF905" s="364"/>
      <c r="BG905" s="364"/>
      <c r="BH905" s="364"/>
      <c r="BI905" s="364"/>
      <c r="BJ905" s="364"/>
      <c r="BK905" s="364"/>
      <c r="BL905" s="364"/>
      <c r="BM905" s="364"/>
      <c r="BN905" s="364"/>
      <c r="BO905" s="364"/>
      <c r="BP905" s="364"/>
      <c r="BQ905" s="364"/>
      <c r="BR905" s="364"/>
      <c r="BS905" s="364"/>
      <c r="BT905" s="364"/>
      <c r="BU905" s="364"/>
      <c r="BV905" s="364"/>
      <c r="BW905" s="364"/>
      <c r="BX905" s="364"/>
      <c r="BY905" s="364"/>
      <c r="BZ905" s="364"/>
      <c r="CA905" s="364"/>
      <c r="CB905" s="364"/>
      <c r="CC905" s="364"/>
      <c r="CD905" s="364"/>
      <c r="CE905" s="364"/>
      <c r="CF905" s="364"/>
      <c r="CG905" s="364"/>
      <c r="CH905" s="364"/>
      <c r="CI905" s="364"/>
      <c r="CJ905" s="364"/>
      <c r="CK905" s="364"/>
      <c r="CL905" s="364"/>
      <c r="CM905" s="364"/>
      <c r="CN905" s="364"/>
      <c r="CO905" s="364"/>
      <c r="CP905" s="364"/>
      <c r="CQ905" s="364"/>
      <c r="CR905" s="364"/>
      <c r="CS905" s="364"/>
      <c r="CT905" s="364"/>
      <c r="CU905" s="364"/>
      <c r="CV905" s="364"/>
      <c r="CW905" s="364"/>
      <c r="CX905" s="364"/>
      <c r="CY905" s="302"/>
      <c r="CZ905" s="302"/>
      <c r="DA905" s="302"/>
      <c r="DB905" s="302"/>
      <c r="DC905" s="302"/>
      <c r="DD905" s="302"/>
      <c r="DE905" s="302"/>
      <c r="DF905" s="303"/>
      <c r="DG905" s="363"/>
      <c r="DH905" s="364"/>
      <c r="DI905" s="302"/>
      <c r="DJ905" s="302"/>
      <c r="DK905" s="302"/>
      <c r="DL905" s="302"/>
      <c r="DM905" s="302"/>
      <c r="DN905" s="302"/>
      <c r="DO905" s="302"/>
    </row>
    <row r="906" spans="1:119" hidden="1">
      <c r="A906" s="1"/>
      <c r="B906" s="1"/>
      <c r="C906" s="1"/>
      <c r="D906" s="753" t="s">
        <v>874</v>
      </c>
      <c r="E906" s="92"/>
      <c r="F906" s="134"/>
      <c r="G906" s="134"/>
      <c r="H906" s="134"/>
      <c r="I906" s="134"/>
      <c r="J906" s="616"/>
      <c r="K906" s="616"/>
      <c r="L906" s="616"/>
      <c r="M906" s="616"/>
      <c r="N906" s="616"/>
      <c r="O906" s="616"/>
      <c r="P906" s="616"/>
      <c r="Q906" s="616"/>
      <c r="R906" s="616"/>
      <c r="S906" s="616"/>
      <c r="T906" s="616"/>
      <c r="U906" s="616"/>
      <c r="V906" s="616"/>
      <c r="W906" s="616"/>
      <c r="X906" s="754">
        <f t="shared" ref="X906:AE906" si="1135">+X822</f>
        <v>337.9</v>
      </c>
      <c r="Y906" s="754">
        <f t="shared" si="1135"/>
        <v>66.283647365557997</v>
      </c>
      <c r="Z906" s="754">
        <f t="shared" si="1135"/>
        <v>99.233000000000004</v>
      </c>
      <c r="AA906" s="754">
        <f t="shared" si="1135"/>
        <v>102.868015341633</v>
      </c>
      <c r="AB906" s="754">
        <f t="shared" si="1135"/>
        <v>0</v>
      </c>
      <c r="AC906" s="754">
        <f t="shared" si="1135"/>
        <v>170.35041550616</v>
      </c>
      <c r="AD906" s="754">
        <f t="shared" si="1135"/>
        <v>214.928464239612</v>
      </c>
      <c r="AE906" s="754">
        <f t="shared" si="1135"/>
        <v>287.97105069611632</v>
      </c>
      <c r="AF906" s="754">
        <f>+AF1255</f>
        <v>390.57003784890901</v>
      </c>
      <c r="AG906" s="754">
        <f t="shared" ref="AG906:AL906" si="1136">+AG822</f>
        <v>406.53126666921986</v>
      </c>
      <c r="AH906" s="754">
        <f t="shared" si="1136"/>
        <v>429.00165642802523</v>
      </c>
      <c r="AI906" s="754">
        <f t="shared" si="1136"/>
        <v>629.39202538546635</v>
      </c>
      <c r="AJ906" s="754">
        <f t="shared" si="1136"/>
        <v>608.67462293576659</v>
      </c>
      <c r="AK906" s="754">
        <f t="shared" si="1136"/>
        <v>622.31717167411489</v>
      </c>
      <c r="AL906" s="754">
        <f t="shared" si="1136"/>
        <v>691.10374325500595</v>
      </c>
      <c r="AM906" s="754">
        <f>+AM822</f>
        <v>757.90284103393492</v>
      </c>
      <c r="AN906" s="754">
        <f t="shared" ref="AN906:AO906" si="1137">+AN822</f>
        <v>866.89395039810574</v>
      </c>
      <c r="AO906" s="754">
        <f t="shared" si="1137"/>
        <v>978.70108417141194</v>
      </c>
      <c r="AP906" s="754"/>
      <c r="AQ906" s="754"/>
      <c r="AR906" s="754"/>
      <c r="AS906" s="754"/>
      <c r="AT906" s="754"/>
      <c r="AU906" s="364"/>
      <c r="AV906" s="364"/>
      <c r="AW906" s="364"/>
      <c r="AX906" s="364"/>
      <c r="AY906" s="364"/>
      <c r="AZ906" s="364"/>
      <c r="BA906" s="364"/>
      <c r="BB906" s="364"/>
      <c r="BC906" s="364"/>
      <c r="BD906" s="364"/>
      <c r="BE906" s="364"/>
      <c r="BF906" s="364"/>
      <c r="BG906" s="364"/>
      <c r="BH906" s="364"/>
      <c r="BI906" s="364"/>
      <c r="BJ906" s="364"/>
      <c r="BK906" s="364"/>
      <c r="BL906" s="364"/>
      <c r="BM906" s="364"/>
      <c r="BN906" s="364"/>
      <c r="BO906" s="364"/>
      <c r="BP906" s="364"/>
      <c r="BQ906" s="364"/>
      <c r="BR906" s="364"/>
      <c r="BS906" s="364"/>
      <c r="BT906" s="364"/>
      <c r="BU906" s="364"/>
      <c r="BV906" s="364"/>
      <c r="BW906" s="364"/>
      <c r="BX906" s="364"/>
      <c r="BY906" s="364"/>
      <c r="BZ906" s="364"/>
      <c r="CA906" s="364"/>
      <c r="CB906" s="364"/>
      <c r="CC906" s="364"/>
      <c r="CD906" s="364"/>
      <c r="CE906" s="364"/>
      <c r="CF906" s="364"/>
      <c r="CG906" s="364"/>
      <c r="CH906" s="364"/>
      <c r="CI906" s="364"/>
      <c r="CJ906" s="364"/>
      <c r="CK906" s="364"/>
      <c r="CL906" s="364"/>
      <c r="CM906" s="364"/>
      <c r="CN906" s="364"/>
      <c r="CO906" s="364"/>
      <c r="CP906" s="364"/>
      <c r="CQ906" s="364"/>
      <c r="CR906" s="364"/>
      <c r="CS906" s="364"/>
      <c r="CT906" s="364"/>
      <c r="CU906" s="364"/>
      <c r="CV906" s="364"/>
      <c r="CW906" s="364"/>
      <c r="CX906" s="364"/>
      <c r="CY906" s="302"/>
      <c r="CZ906" s="302"/>
      <c r="DA906" s="302"/>
      <c r="DB906" s="302"/>
      <c r="DC906" s="302"/>
      <c r="DD906" s="302"/>
      <c r="DE906" s="302"/>
      <c r="DF906" s="303"/>
      <c r="DG906" s="363"/>
      <c r="DH906" s="364"/>
      <c r="DI906" s="302"/>
      <c r="DJ906" s="302"/>
      <c r="DK906" s="302"/>
      <c r="DL906" s="302"/>
      <c r="DM906" s="302"/>
      <c r="DN906" s="302"/>
      <c r="DO906" s="302"/>
    </row>
    <row r="907" spans="1:119" hidden="1">
      <c r="A907" s="1"/>
      <c r="B907" s="1"/>
      <c r="C907" s="1"/>
      <c r="D907" s="753" t="s">
        <v>1161</v>
      </c>
      <c r="E907" s="92"/>
      <c r="F907" s="134"/>
      <c r="G907" s="134"/>
      <c r="H907" s="134"/>
      <c r="I907" s="134"/>
      <c r="J907" s="616"/>
      <c r="K907" s="616"/>
      <c r="L907" s="616"/>
      <c r="M907" s="616"/>
      <c r="N907" s="616"/>
      <c r="O907" s="616"/>
      <c r="P907" s="616"/>
      <c r="Q907" s="616"/>
      <c r="R907" s="616"/>
      <c r="S907" s="616"/>
      <c r="T907" s="616"/>
      <c r="U907" s="616"/>
      <c r="V907" s="616"/>
      <c r="W907" s="616"/>
      <c r="X907" s="754"/>
      <c r="Y907" s="754">
        <f t="shared" ref="Y907:AE907" si="1138">Y826</f>
        <v>-11.038625171173628</v>
      </c>
      <c r="Z907" s="754">
        <f t="shared" si="1138"/>
        <v>-14.550458001815809</v>
      </c>
      <c r="AA907" s="754">
        <f t="shared" si="1138"/>
        <v>-17.121454944713733</v>
      </c>
      <c r="AB907" s="754">
        <f t="shared" si="1138"/>
        <v>-21.883363170974814</v>
      </c>
      <c r="AC907" s="754">
        <f t="shared" si="1138"/>
        <v>-25.817758485916514</v>
      </c>
      <c r="AD907" s="754">
        <f t="shared" si="1138"/>
        <v>-28.665006298050265</v>
      </c>
      <c r="AE907" s="754">
        <f t="shared" si="1138"/>
        <v>-56.357301867890811</v>
      </c>
      <c r="AF907" s="754">
        <f>AF1258</f>
        <v>76.369240314600148</v>
      </c>
      <c r="AG907" s="754">
        <f t="shared" ref="AG907:AL907" si="1139">AG826</f>
        <v>-484.62946377611792</v>
      </c>
      <c r="AH907" s="754">
        <f t="shared" si="1139"/>
        <v>-166.81651394214106</v>
      </c>
      <c r="AI907" s="754">
        <f t="shared" si="1139"/>
        <v>-125.66670271590607</v>
      </c>
      <c r="AJ907" s="754">
        <f t="shared" si="1139"/>
        <v>-188.12740684022049</v>
      </c>
      <c r="AK907" s="754">
        <f t="shared" si="1139"/>
        <v>-340.06736463441831</v>
      </c>
      <c r="AL907" s="754">
        <f t="shared" si="1139"/>
        <v>-486.23008463827006</v>
      </c>
      <c r="AM907" s="754">
        <f>AM826</f>
        <v>-609.35129180970921</v>
      </c>
      <c r="AN907" s="754">
        <f t="shared" ref="AN907:AO907" si="1140">AN826</f>
        <v>-788.97294355529255</v>
      </c>
      <c r="AO907" s="754">
        <f t="shared" si="1140"/>
        <v>-1005.8630131401972</v>
      </c>
      <c r="AP907" s="754"/>
      <c r="AQ907" s="754"/>
      <c r="AR907" s="754"/>
      <c r="AS907" s="754"/>
      <c r="AT907" s="754"/>
      <c r="AU907" s="364"/>
      <c r="AV907" s="364"/>
      <c r="AW907" s="364"/>
      <c r="AX907" s="364"/>
      <c r="AY907" s="364"/>
      <c r="AZ907" s="364"/>
      <c r="BA907" s="364"/>
      <c r="BB907" s="364"/>
      <c r="BC907" s="364"/>
      <c r="BD907" s="364"/>
      <c r="BE907" s="364"/>
      <c r="BF907" s="364"/>
      <c r="BG907" s="364"/>
      <c r="BH907" s="364"/>
      <c r="BI907" s="364"/>
      <c r="BJ907" s="364"/>
      <c r="BK907" s="364"/>
      <c r="BL907" s="364"/>
      <c r="BM907" s="364"/>
      <c r="BN907" s="364"/>
      <c r="BO907" s="364"/>
      <c r="BP907" s="364"/>
      <c r="BQ907" s="364"/>
      <c r="BR907" s="364"/>
      <c r="BS907" s="364"/>
      <c r="BT907" s="364"/>
      <c r="BU907" s="364"/>
      <c r="BV907" s="364"/>
      <c r="BW907" s="364"/>
      <c r="BX907" s="364"/>
      <c r="BY907" s="364"/>
      <c r="BZ907" s="364"/>
      <c r="CA907" s="364"/>
      <c r="CB907" s="364"/>
      <c r="CC907" s="364"/>
      <c r="CD907" s="364"/>
      <c r="CE907" s="364"/>
      <c r="CF907" s="364"/>
      <c r="CG907" s="364"/>
      <c r="CH907" s="364"/>
      <c r="CI907" s="364"/>
      <c r="CJ907" s="364"/>
      <c r="CK907" s="364"/>
      <c r="CL907" s="364"/>
      <c r="CM907" s="364"/>
      <c r="CN907" s="364"/>
      <c r="CO907" s="364"/>
      <c r="CP907" s="364"/>
      <c r="CQ907" s="364"/>
      <c r="CR907" s="364"/>
      <c r="CS907" s="364"/>
      <c r="CT907" s="364"/>
      <c r="CU907" s="364"/>
      <c r="CV907" s="364"/>
      <c r="CW907" s="364"/>
      <c r="CX907" s="364"/>
      <c r="CY907" s="302"/>
      <c r="CZ907" s="302"/>
      <c r="DA907" s="302"/>
      <c r="DB907" s="302"/>
      <c r="DC907" s="302"/>
      <c r="DD907" s="302"/>
      <c r="DE907" s="302"/>
      <c r="DF907" s="303"/>
      <c r="DG907" s="363"/>
      <c r="DH907" s="364"/>
      <c r="DI907" s="302"/>
      <c r="DJ907" s="302"/>
      <c r="DK907" s="302"/>
      <c r="DL907" s="302"/>
      <c r="DM907" s="302"/>
      <c r="DN907" s="302"/>
      <c r="DO907" s="302"/>
    </row>
    <row r="908" spans="1:119" hidden="1">
      <c r="A908" s="1"/>
      <c r="B908" s="1"/>
      <c r="C908" s="1"/>
      <c r="D908" s="750" t="s">
        <v>887</v>
      </c>
      <c r="E908" s="92"/>
      <c r="F908" s="134"/>
      <c r="G908" s="134"/>
      <c r="H908" s="134"/>
      <c r="I908" s="134"/>
      <c r="J908" s="616">
        <f t="shared" ref="J908:AL908" si="1141">+J828</f>
        <v>37.418013528499991</v>
      </c>
      <c r="K908" s="616">
        <f t="shared" si="1141"/>
        <v>20.146934028499999</v>
      </c>
      <c r="L908" s="616">
        <f t="shared" si="1141"/>
        <v>23.979750000000003</v>
      </c>
      <c r="M908" s="616">
        <f t="shared" si="1141"/>
        <v>27.4712</v>
      </c>
      <c r="N908" s="616">
        <f t="shared" si="1141"/>
        <v>16.42475</v>
      </c>
      <c r="O908" s="616">
        <f t="shared" si="1141"/>
        <v>13.076779184499994</v>
      </c>
      <c r="P908" s="616">
        <f t="shared" si="1141"/>
        <v>-8.6194697289400111</v>
      </c>
      <c r="Q908" s="616">
        <f t="shared" si="1141"/>
        <v>-10.787937861939998</v>
      </c>
      <c r="R908" s="616">
        <f t="shared" si="1141"/>
        <v>-5.9999999999999503</v>
      </c>
      <c r="S908" s="616">
        <f t="shared" si="1141"/>
        <v>-30.700000000000117</v>
      </c>
      <c r="T908" s="616">
        <f t="shared" si="1141"/>
        <v>-3.0999999999999943</v>
      </c>
      <c r="U908" s="616">
        <f t="shared" si="1141"/>
        <v>-9.7000000000000011</v>
      </c>
      <c r="V908" s="616">
        <f t="shared" si="1141"/>
        <v>57.983399999999996</v>
      </c>
      <c r="W908" s="616">
        <f t="shared" si="1141"/>
        <v>-38.200000000000003</v>
      </c>
      <c r="X908" s="616">
        <f t="shared" si="1141"/>
        <v>-119.99712944561435</v>
      </c>
      <c r="Y908" s="616">
        <f t="shared" si="1141"/>
        <v>119.8721765811476</v>
      </c>
      <c r="Z908" s="616">
        <f t="shared" si="1141"/>
        <v>9.2999999999999972</v>
      </c>
      <c r="AA908" s="616">
        <f t="shared" si="1141"/>
        <v>47.086842903125344</v>
      </c>
      <c r="AB908" s="616">
        <f t="shared" si="1141"/>
        <v>24.5612687293828</v>
      </c>
      <c r="AC908" s="616">
        <f t="shared" si="1141"/>
        <v>42.957634732946076</v>
      </c>
      <c r="AD908" s="616">
        <f t="shared" si="1141"/>
        <v>54.068706620315865</v>
      </c>
      <c r="AE908" s="616">
        <f t="shared" si="1141"/>
        <v>88.652325063023426</v>
      </c>
      <c r="AF908" s="616">
        <f t="shared" si="1141"/>
        <v>265.5799971589999</v>
      </c>
      <c r="AG908" s="616">
        <f t="shared" si="1141"/>
        <v>225.00000000000006</v>
      </c>
      <c r="AH908" s="616">
        <f t="shared" si="1141"/>
        <v>160.5414257031031</v>
      </c>
      <c r="AI908" s="616">
        <f t="shared" si="1141"/>
        <v>301.06473235620956</v>
      </c>
      <c r="AJ908" s="616">
        <f t="shared" si="1141"/>
        <v>174.89999999999998</v>
      </c>
      <c r="AK908" s="616" t="e">
        <f t="shared" si="1141"/>
        <v>#DIV/0!</v>
      </c>
      <c r="AL908" s="616" t="e">
        <f t="shared" si="1141"/>
        <v>#DIV/0!</v>
      </c>
      <c r="AM908" s="616" t="e">
        <f>+AM828</f>
        <v>#DIV/0!</v>
      </c>
      <c r="AN908" s="616" t="e">
        <f t="shared" ref="AN908:AO908" si="1142">+AN828</f>
        <v>#DIV/0!</v>
      </c>
      <c r="AO908" s="616" t="e">
        <f t="shared" si="1142"/>
        <v>#DIV/0!</v>
      </c>
      <c r="AP908" s="616"/>
      <c r="AQ908" s="616"/>
      <c r="AR908" s="616"/>
      <c r="AS908" s="616"/>
      <c r="AT908" s="616"/>
      <c r="AU908" s="364"/>
      <c r="AV908" s="364"/>
      <c r="AW908" s="364"/>
      <c r="AX908" s="364"/>
      <c r="AY908" s="364"/>
      <c r="AZ908" s="364"/>
      <c r="BA908" s="364"/>
      <c r="BB908" s="364"/>
      <c r="BC908" s="364"/>
      <c r="BD908" s="364"/>
      <c r="BE908" s="364"/>
      <c r="BF908" s="364"/>
      <c r="BG908" s="364"/>
      <c r="BH908" s="364"/>
      <c r="BI908" s="364"/>
      <c r="BJ908" s="364"/>
      <c r="BK908" s="364"/>
      <c r="BL908" s="364"/>
      <c r="BM908" s="364"/>
      <c r="BN908" s="364"/>
      <c r="BO908" s="364"/>
      <c r="BP908" s="364"/>
      <c r="BQ908" s="364"/>
      <c r="BR908" s="364"/>
      <c r="BS908" s="364"/>
      <c r="BT908" s="364"/>
      <c r="BU908" s="364"/>
      <c r="BV908" s="364"/>
      <c r="BW908" s="364"/>
      <c r="BX908" s="364"/>
      <c r="BY908" s="364"/>
      <c r="BZ908" s="364"/>
      <c r="CA908" s="364"/>
      <c r="CB908" s="364"/>
      <c r="CC908" s="364"/>
      <c r="CD908" s="364"/>
      <c r="CE908" s="364"/>
      <c r="CF908" s="364"/>
      <c r="CG908" s="364"/>
      <c r="CH908" s="364"/>
      <c r="CI908" s="364"/>
      <c r="CJ908" s="364"/>
      <c r="CK908" s="364"/>
      <c r="CL908" s="364"/>
      <c r="CM908" s="364"/>
      <c r="CN908" s="364"/>
      <c r="CO908" s="364"/>
      <c r="CP908" s="364"/>
      <c r="CQ908" s="364"/>
      <c r="CR908" s="364"/>
      <c r="CS908" s="364"/>
      <c r="CT908" s="364"/>
      <c r="CU908" s="364"/>
      <c r="CV908" s="364"/>
      <c r="CW908" s="364"/>
      <c r="CX908" s="364"/>
      <c r="CY908" s="302"/>
      <c r="CZ908" s="302"/>
      <c r="DA908" s="302"/>
      <c r="DB908" s="302"/>
      <c r="DC908" s="302"/>
      <c r="DD908" s="302"/>
      <c r="DE908" s="302"/>
      <c r="DF908" s="303"/>
      <c r="DG908" s="363"/>
      <c r="DH908" s="364"/>
      <c r="DI908" s="302"/>
      <c r="DJ908" s="302"/>
      <c r="DK908" s="302"/>
      <c r="DL908" s="302"/>
      <c r="DM908" s="302"/>
      <c r="DN908" s="302"/>
      <c r="DO908" s="302"/>
    </row>
    <row r="909" spans="1:119" hidden="1">
      <c r="A909" s="1"/>
      <c r="B909" s="1"/>
      <c r="C909" s="1"/>
      <c r="D909" s="752" t="s">
        <v>872</v>
      </c>
      <c r="E909" s="92"/>
      <c r="F909" s="134"/>
      <c r="G909" s="134"/>
      <c r="H909" s="134"/>
      <c r="I909" s="134"/>
      <c r="J909" s="616">
        <f t="shared" ref="J909:AL909" si="1143">+J829</f>
        <v>2.15</v>
      </c>
      <c r="K909" s="616">
        <f t="shared" si="1143"/>
        <v>-2.9720000000000004</v>
      </c>
      <c r="L909" s="616">
        <f t="shared" si="1143"/>
        <v>-7.322000000000001</v>
      </c>
      <c r="M909" s="616">
        <f t="shared" si="1143"/>
        <v>-11.795549999999999</v>
      </c>
      <c r="N909" s="616">
        <f t="shared" si="1143"/>
        <v>-1.2955499999999986</v>
      </c>
      <c r="O909" s="616">
        <f t="shared" si="1143"/>
        <v>-16.299999999999997</v>
      </c>
      <c r="P909" s="616">
        <f t="shared" si="1143"/>
        <v>-39.677999999999997</v>
      </c>
      <c r="Q909" s="616">
        <f t="shared" si="1143"/>
        <v>-21.34</v>
      </c>
      <c r="R909" s="616">
        <f t="shared" si="1143"/>
        <v>-7.2</v>
      </c>
      <c r="S909" s="616">
        <f t="shared" si="1143"/>
        <v>-13.4</v>
      </c>
      <c r="T909" s="616">
        <f t="shared" si="1143"/>
        <v>18</v>
      </c>
      <c r="U909" s="616">
        <f t="shared" si="1143"/>
        <v>8.4</v>
      </c>
      <c r="V909" s="616">
        <f t="shared" si="1143"/>
        <v>77.599999999999994</v>
      </c>
      <c r="W909" s="616">
        <f t="shared" si="1143"/>
        <v>-15.4</v>
      </c>
      <c r="X909" s="616">
        <f t="shared" si="1143"/>
        <v>-144.29712944561436</v>
      </c>
      <c r="Y909" s="616">
        <f t="shared" si="1143"/>
        <v>150.64964507114763</v>
      </c>
      <c r="Z909" s="616">
        <f t="shared" si="1143"/>
        <v>0</v>
      </c>
      <c r="AA909" s="616">
        <f t="shared" si="1143"/>
        <v>-0.63051649636508955</v>
      </c>
      <c r="AB909" s="616">
        <f t="shared" si="1143"/>
        <v>16.564485398969001</v>
      </c>
      <c r="AC909" s="616">
        <f t="shared" si="1143"/>
        <v>48.83076168552401</v>
      </c>
      <c r="AD909" s="616">
        <f t="shared" si="1143"/>
        <v>-12.837968470684132</v>
      </c>
      <c r="AE909" s="616">
        <f t="shared" si="1143"/>
        <v>88.652325063023426</v>
      </c>
      <c r="AF909" s="616">
        <f t="shared" si="1143"/>
        <v>265.5799971589999</v>
      </c>
      <c r="AG909" s="616">
        <f t="shared" si="1143"/>
        <v>225.00000000000006</v>
      </c>
      <c r="AH909" s="616">
        <f t="shared" si="1143"/>
        <v>160.5414257031031</v>
      </c>
      <c r="AI909" s="616">
        <f t="shared" si="1143"/>
        <v>301.06473235620956</v>
      </c>
      <c r="AJ909" s="616">
        <f t="shared" si="1143"/>
        <v>174.89999999999998</v>
      </c>
      <c r="AK909" s="616" t="e">
        <f t="shared" si="1143"/>
        <v>#DIV/0!</v>
      </c>
      <c r="AL909" s="616" t="e">
        <f t="shared" si="1143"/>
        <v>#DIV/0!</v>
      </c>
      <c r="AM909" s="616" t="e">
        <f>+AM829</f>
        <v>#DIV/0!</v>
      </c>
      <c r="AN909" s="616" t="e">
        <f t="shared" ref="AN909:AO909" si="1144">+AN829</f>
        <v>#DIV/0!</v>
      </c>
      <c r="AO909" s="616" t="e">
        <f t="shared" si="1144"/>
        <v>#DIV/0!</v>
      </c>
      <c r="AP909" s="616"/>
      <c r="AQ909" s="616"/>
      <c r="AR909" s="616"/>
      <c r="AS909" s="616"/>
      <c r="AT909" s="616"/>
      <c r="AU909" s="364"/>
      <c r="AV909" s="364"/>
      <c r="AW909" s="364"/>
      <c r="AX909" s="364"/>
      <c r="AY909" s="364"/>
      <c r="AZ909" s="364"/>
      <c r="BA909" s="364"/>
      <c r="BB909" s="364"/>
      <c r="BC909" s="364"/>
      <c r="BD909" s="364"/>
      <c r="BE909" s="364"/>
      <c r="BF909" s="364"/>
      <c r="BG909" s="364"/>
      <c r="BH909" s="364"/>
      <c r="BI909" s="364"/>
      <c r="BJ909" s="364"/>
      <c r="BK909" s="364"/>
      <c r="BL909" s="364"/>
      <c r="BM909" s="364"/>
      <c r="BN909" s="364"/>
      <c r="BO909" s="364"/>
      <c r="BP909" s="364"/>
      <c r="BQ909" s="364"/>
      <c r="BR909" s="364"/>
      <c r="BS909" s="364"/>
      <c r="BT909" s="364"/>
      <c r="BU909" s="364"/>
      <c r="BV909" s="364"/>
      <c r="BW909" s="364"/>
      <c r="BX909" s="364"/>
      <c r="BY909" s="364"/>
      <c r="BZ909" s="364"/>
      <c r="CA909" s="364"/>
      <c r="CB909" s="364"/>
      <c r="CC909" s="364"/>
      <c r="CD909" s="364"/>
      <c r="CE909" s="364"/>
      <c r="CF909" s="364"/>
      <c r="CG909" s="364"/>
      <c r="CH909" s="364"/>
      <c r="CI909" s="364"/>
      <c r="CJ909" s="364"/>
      <c r="CK909" s="364"/>
      <c r="CL909" s="364"/>
      <c r="CM909" s="364"/>
      <c r="CN909" s="364"/>
      <c r="CO909" s="364"/>
      <c r="CP909" s="364"/>
      <c r="CQ909" s="364"/>
      <c r="CR909" s="364"/>
      <c r="CS909" s="364"/>
      <c r="CT909" s="364"/>
      <c r="CU909" s="364"/>
      <c r="CV909" s="364"/>
      <c r="CW909" s="364"/>
      <c r="CX909" s="364"/>
      <c r="CY909" s="302"/>
      <c r="CZ909" s="302"/>
      <c r="DA909" s="302"/>
      <c r="DB909" s="302"/>
      <c r="DC909" s="302"/>
      <c r="DD909" s="302"/>
      <c r="DE909" s="302"/>
      <c r="DF909" s="303"/>
      <c r="DG909" s="363"/>
      <c r="DH909" s="364"/>
      <c r="DI909" s="302"/>
      <c r="DJ909" s="302"/>
      <c r="DK909" s="302"/>
      <c r="DL909" s="302"/>
      <c r="DM909" s="302"/>
      <c r="DN909" s="302"/>
      <c r="DO909" s="302"/>
    </row>
    <row r="910" spans="1:119" hidden="1">
      <c r="A910" s="1"/>
      <c r="B910" s="1"/>
      <c r="C910" s="1"/>
      <c r="D910" s="752" t="s">
        <v>854</v>
      </c>
      <c r="E910" s="92"/>
      <c r="F910" s="134"/>
      <c r="G910" s="134"/>
      <c r="H910" s="134"/>
      <c r="I910" s="134"/>
      <c r="J910" s="616"/>
      <c r="K910" s="616"/>
      <c r="L910" s="616"/>
      <c r="M910" s="616"/>
      <c r="N910" s="616"/>
      <c r="O910" s="616"/>
      <c r="P910" s="616"/>
      <c r="Q910" s="616"/>
      <c r="R910" s="616"/>
      <c r="S910" s="616"/>
      <c r="T910" s="616"/>
      <c r="U910" s="616"/>
      <c r="V910" s="616"/>
      <c r="W910" s="616"/>
      <c r="X910" s="754">
        <f>+X832+X833</f>
        <v>-141.30000000000001</v>
      </c>
      <c r="Y910" s="754">
        <f>+Y832+Y833</f>
        <v>72.073477222999998</v>
      </c>
      <c r="Z910" s="754">
        <f>+Z832+Z833</f>
        <v>54.3</v>
      </c>
      <c r="AA910" s="754">
        <f>+AA832+AA833</f>
        <v>29.567335386</v>
      </c>
      <c r="AB910" s="754">
        <f>+AB832+AB833</f>
        <v>19.200000000000003</v>
      </c>
      <c r="AC910" s="754"/>
      <c r="AD910" s="754"/>
      <c r="AE910" s="754"/>
      <c r="AF910" s="754"/>
      <c r="AG910" s="754">
        <f t="shared" ref="AG910:AL910" si="1145">+AG832+AG833</f>
        <v>0</v>
      </c>
      <c r="AH910" s="754">
        <f t="shared" si="1145"/>
        <v>-9.1999999999999993</v>
      </c>
      <c r="AI910" s="754">
        <f t="shared" si="1145"/>
        <v>0</v>
      </c>
      <c r="AJ910" s="754">
        <f t="shared" si="1145"/>
        <v>0</v>
      </c>
      <c r="AK910" s="754">
        <f t="shared" si="1145"/>
        <v>0</v>
      </c>
      <c r="AL910" s="754">
        <f t="shared" si="1145"/>
        <v>0</v>
      </c>
      <c r="AM910" s="754">
        <f>+AM832+AM833</f>
        <v>0</v>
      </c>
      <c r="AN910" s="754">
        <f t="shared" ref="AN910:AO910" si="1146">+AN832+AN833</f>
        <v>0</v>
      </c>
      <c r="AO910" s="754">
        <f t="shared" si="1146"/>
        <v>0</v>
      </c>
      <c r="AP910" s="754"/>
      <c r="AQ910" s="754"/>
      <c r="AR910" s="754"/>
      <c r="AS910" s="754"/>
      <c r="AT910" s="754"/>
      <c r="AU910" s="364"/>
      <c r="AV910" s="364"/>
      <c r="AW910" s="364"/>
      <c r="AX910" s="364"/>
      <c r="AY910" s="364"/>
      <c r="AZ910" s="364"/>
      <c r="BA910" s="364"/>
      <c r="BB910" s="364"/>
      <c r="BC910" s="364"/>
      <c r="BD910" s="364"/>
      <c r="BE910" s="364"/>
      <c r="BF910" s="364"/>
      <c r="BG910" s="364"/>
      <c r="BH910" s="364"/>
      <c r="BI910" s="364"/>
      <c r="BJ910" s="364"/>
      <c r="BK910" s="364"/>
      <c r="BL910" s="364"/>
      <c r="BM910" s="364"/>
      <c r="BN910" s="364"/>
      <c r="BO910" s="364"/>
      <c r="BP910" s="364"/>
      <c r="BQ910" s="364"/>
      <c r="BR910" s="364"/>
      <c r="BS910" s="364"/>
      <c r="BT910" s="364"/>
      <c r="BU910" s="364"/>
      <c r="BV910" s="364"/>
      <c r="BW910" s="364"/>
      <c r="BX910" s="364"/>
      <c r="BY910" s="364"/>
      <c r="BZ910" s="364"/>
      <c r="CA910" s="364"/>
      <c r="CB910" s="364"/>
      <c r="CC910" s="364"/>
      <c r="CD910" s="364"/>
      <c r="CE910" s="364"/>
      <c r="CF910" s="364"/>
      <c r="CG910" s="364"/>
      <c r="CH910" s="364"/>
      <c r="CI910" s="364"/>
      <c r="CJ910" s="364"/>
      <c r="CK910" s="364"/>
      <c r="CL910" s="364"/>
      <c r="CM910" s="364"/>
      <c r="CN910" s="364"/>
      <c r="CO910" s="364"/>
      <c r="CP910" s="364"/>
      <c r="CQ910" s="364"/>
      <c r="CR910" s="364"/>
      <c r="CS910" s="364"/>
      <c r="CT910" s="364"/>
      <c r="CU910" s="364"/>
      <c r="CV910" s="364"/>
      <c r="CW910" s="364"/>
      <c r="CX910" s="364"/>
      <c r="CY910" s="302"/>
      <c r="CZ910" s="302"/>
      <c r="DA910" s="302"/>
      <c r="DB910" s="302"/>
      <c r="DC910" s="302"/>
      <c r="DD910" s="302"/>
      <c r="DE910" s="302"/>
      <c r="DF910" s="303"/>
      <c r="DG910" s="363"/>
      <c r="DH910" s="364"/>
      <c r="DI910" s="302"/>
      <c r="DJ910" s="302"/>
      <c r="DK910" s="302"/>
      <c r="DL910" s="302"/>
      <c r="DM910" s="302"/>
      <c r="DN910" s="302"/>
      <c r="DO910" s="302"/>
    </row>
    <row r="911" spans="1:119" hidden="1">
      <c r="A911" s="1"/>
      <c r="B911" s="1"/>
      <c r="C911" s="1"/>
      <c r="D911" s="752" t="s">
        <v>871</v>
      </c>
      <c r="E911" s="92"/>
      <c r="F911" s="134"/>
      <c r="G911" s="134"/>
      <c r="H911" s="134"/>
      <c r="I911" s="134"/>
      <c r="J911" s="754">
        <f t="shared" ref="J911:AL911" si="1147">+J843</f>
        <v>-6.5</v>
      </c>
      <c r="K911" s="754">
        <f t="shared" si="1147"/>
        <v>-7.3457999999999997</v>
      </c>
      <c r="L911" s="754">
        <f t="shared" si="1147"/>
        <v>-0.53005000000000002</v>
      </c>
      <c r="M911" s="754">
        <f t="shared" si="1147"/>
        <v>1.0204</v>
      </c>
      <c r="N911" s="754">
        <f t="shared" si="1147"/>
        <v>0.75351500000000005</v>
      </c>
      <c r="O911" s="754">
        <f t="shared" si="1147"/>
        <v>2.9958650000000002</v>
      </c>
      <c r="P911" s="754">
        <f t="shared" si="1147"/>
        <v>-1.065199999999999</v>
      </c>
      <c r="Q911" s="754">
        <f t="shared" si="1147"/>
        <v>-6.9795499999999988</v>
      </c>
      <c r="R911" s="754">
        <f t="shared" si="1147"/>
        <v>9.3000000000000007</v>
      </c>
      <c r="S911" s="754">
        <f t="shared" si="1147"/>
        <v>-18.100000000000001</v>
      </c>
      <c r="T911" s="754">
        <f t="shared" si="1147"/>
        <v>-21.2</v>
      </c>
      <c r="U911" s="754">
        <f t="shared" si="1147"/>
        <v>-18.100000000000001</v>
      </c>
      <c r="V911" s="754">
        <f t="shared" si="1147"/>
        <v>-19.616599999999998</v>
      </c>
      <c r="W911" s="754">
        <f t="shared" si="1147"/>
        <v>-22.8</v>
      </c>
      <c r="X911" s="754">
        <f t="shared" si="1147"/>
        <v>24.300000000000004</v>
      </c>
      <c r="Y911" s="754">
        <f t="shared" si="1147"/>
        <v>-30.777468490000032</v>
      </c>
      <c r="Z911" s="754">
        <f t="shared" si="1147"/>
        <v>9.2999999999999972</v>
      </c>
      <c r="AA911" s="754">
        <f t="shared" si="1147"/>
        <v>47.717359399490434</v>
      </c>
      <c r="AB911" s="754">
        <f t="shared" si="1147"/>
        <v>32.323315129000001</v>
      </c>
      <c r="AC911" s="754">
        <f t="shared" si="1147"/>
        <v>-5.8731269525779339</v>
      </c>
      <c r="AD911" s="754">
        <f t="shared" si="1147"/>
        <v>66.906675090999997</v>
      </c>
      <c r="AE911" s="754">
        <f t="shared" si="1147"/>
        <v>0</v>
      </c>
      <c r="AF911" s="754">
        <f t="shared" si="1147"/>
        <v>0</v>
      </c>
      <c r="AG911" s="754">
        <f t="shared" si="1147"/>
        <v>0</v>
      </c>
      <c r="AH911" s="754">
        <f t="shared" si="1147"/>
        <v>0</v>
      </c>
      <c r="AI911" s="754">
        <f t="shared" si="1147"/>
        <v>0</v>
      </c>
      <c r="AJ911" s="754">
        <f t="shared" si="1147"/>
        <v>0</v>
      </c>
      <c r="AK911" s="754">
        <f t="shared" si="1147"/>
        <v>0</v>
      </c>
      <c r="AL911" s="754">
        <f t="shared" si="1147"/>
        <v>0</v>
      </c>
      <c r="AM911" s="754">
        <f>+AM843</f>
        <v>0</v>
      </c>
      <c r="AN911" s="754">
        <f t="shared" ref="AN911:AO911" si="1148">+AN843</f>
        <v>0</v>
      </c>
      <c r="AO911" s="754">
        <f t="shared" si="1148"/>
        <v>0</v>
      </c>
      <c r="AP911" s="754"/>
      <c r="AQ911" s="754"/>
      <c r="AR911" s="754"/>
      <c r="AS911" s="754"/>
      <c r="AT911" s="754"/>
      <c r="AU911" s="364"/>
      <c r="AV911" s="364"/>
      <c r="AW911" s="364"/>
      <c r="AX911" s="364"/>
      <c r="AY911" s="364"/>
      <c r="AZ911" s="364"/>
      <c r="BA911" s="364"/>
      <c r="BB911" s="364"/>
      <c r="BC911" s="364"/>
      <c r="BD911" s="364"/>
      <c r="BE911" s="364"/>
      <c r="BF911" s="364"/>
      <c r="BG911" s="364"/>
      <c r="BH911" s="364"/>
      <c r="BI911" s="364"/>
      <c r="BJ911" s="364"/>
      <c r="BK911" s="364"/>
      <c r="BL911" s="364"/>
      <c r="BM911" s="364"/>
      <c r="BN911" s="364"/>
      <c r="BO911" s="364"/>
      <c r="BP911" s="364"/>
      <c r="BQ911" s="364"/>
      <c r="BR911" s="364"/>
      <c r="BS911" s="364"/>
      <c r="BT911" s="364"/>
      <c r="BU911" s="364"/>
      <c r="BV911" s="364"/>
      <c r="BW911" s="364"/>
      <c r="BX911" s="364"/>
      <c r="BY911" s="364"/>
      <c r="BZ911" s="364"/>
      <c r="CA911" s="364"/>
      <c r="CB911" s="364"/>
      <c r="CC911" s="364"/>
      <c r="CD911" s="364"/>
      <c r="CE911" s="364"/>
      <c r="CF911" s="364"/>
      <c r="CG911" s="364"/>
      <c r="CH911" s="364"/>
      <c r="CI911" s="364"/>
      <c r="CJ911" s="364"/>
      <c r="CK911" s="364"/>
      <c r="CL911" s="364"/>
      <c r="CM911" s="364"/>
      <c r="CN911" s="364"/>
      <c r="CO911" s="364"/>
      <c r="CP911" s="364"/>
      <c r="CQ911" s="364"/>
      <c r="CR911" s="364"/>
      <c r="CS911" s="364"/>
      <c r="CT911" s="364"/>
      <c r="CU911" s="364"/>
      <c r="CV911" s="364"/>
      <c r="CW911" s="364"/>
      <c r="CX911" s="364"/>
      <c r="CY911" s="302"/>
      <c r="CZ911" s="302"/>
      <c r="DA911" s="302"/>
      <c r="DB911" s="302"/>
      <c r="DC911" s="302"/>
      <c r="DD911" s="302"/>
      <c r="DE911" s="302"/>
      <c r="DF911" s="303"/>
      <c r="DG911" s="363"/>
      <c r="DH911" s="364"/>
      <c r="DI911" s="302"/>
      <c r="DJ911" s="302"/>
      <c r="DK911" s="302"/>
      <c r="DL911" s="302"/>
      <c r="DM911" s="302"/>
      <c r="DN911" s="302"/>
      <c r="DO911" s="302"/>
    </row>
    <row r="912" spans="1:119" hidden="1">
      <c r="A912" s="1"/>
      <c r="B912" s="1"/>
      <c r="C912" s="1"/>
      <c r="D912" s="752" t="s">
        <v>899</v>
      </c>
      <c r="E912" s="92"/>
      <c r="F912" s="134"/>
      <c r="G912" s="134"/>
      <c r="H912" s="134"/>
      <c r="I912" s="134"/>
      <c r="J912" s="754">
        <f t="shared" ref="J912:AL912" si="1149">+J844</f>
        <v>0</v>
      </c>
      <c r="K912" s="754">
        <f t="shared" si="1149"/>
        <v>0</v>
      </c>
      <c r="L912" s="754">
        <f t="shared" si="1149"/>
        <v>0</v>
      </c>
      <c r="M912" s="754">
        <f t="shared" si="1149"/>
        <v>0</v>
      </c>
      <c r="N912" s="754">
        <f t="shared" si="1149"/>
        <v>0</v>
      </c>
      <c r="O912" s="754">
        <f t="shared" si="1149"/>
        <v>0</v>
      </c>
      <c r="P912" s="754">
        <f t="shared" si="1149"/>
        <v>0</v>
      </c>
      <c r="Q912" s="754">
        <f t="shared" si="1149"/>
        <v>0</v>
      </c>
      <c r="R912" s="754">
        <f t="shared" si="1149"/>
        <v>0</v>
      </c>
      <c r="S912" s="754">
        <f t="shared" si="1149"/>
        <v>0</v>
      </c>
      <c r="T912" s="754">
        <f t="shared" si="1149"/>
        <v>0</v>
      </c>
      <c r="U912" s="754">
        <f t="shared" si="1149"/>
        <v>0</v>
      </c>
      <c r="V912" s="754">
        <f t="shared" si="1149"/>
        <v>0</v>
      </c>
      <c r="W912" s="754">
        <f t="shared" si="1149"/>
        <v>0</v>
      </c>
      <c r="X912" s="754">
        <f t="shared" si="1149"/>
        <v>39.700000000000003</v>
      </c>
      <c r="Y912" s="754">
        <f t="shared" si="1149"/>
        <v>-11.653900000000032</v>
      </c>
      <c r="Z912" s="754">
        <f t="shared" si="1149"/>
        <v>30.9</v>
      </c>
      <c r="AA912" s="754">
        <f t="shared" si="1149"/>
        <v>59.256799999999984</v>
      </c>
      <c r="AB912" s="754">
        <f t="shared" si="1149"/>
        <v>52.947243921577929</v>
      </c>
      <c r="AC912" s="754">
        <f t="shared" si="1149"/>
        <v>23.252356078422068</v>
      </c>
      <c r="AD912" s="754">
        <f t="shared" si="1149"/>
        <v>115.41749999999999</v>
      </c>
      <c r="AE912" s="754">
        <f t="shared" si="1149"/>
        <v>49.792986081199999</v>
      </c>
      <c r="AF912" s="754">
        <f t="shared" si="1149"/>
        <v>57.334954867739597</v>
      </c>
      <c r="AG912" s="754">
        <f t="shared" si="1149"/>
        <v>0</v>
      </c>
      <c r="AH912" s="754">
        <f t="shared" si="1149"/>
        <v>0</v>
      </c>
      <c r="AI912" s="754">
        <f t="shared" si="1149"/>
        <v>0</v>
      </c>
      <c r="AJ912" s="754">
        <f t="shared" si="1149"/>
        <v>0</v>
      </c>
      <c r="AK912" s="754">
        <f t="shared" si="1149"/>
        <v>0</v>
      </c>
      <c r="AL912" s="754">
        <f t="shared" si="1149"/>
        <v>0</v>
      </c>
      <c r="AM912" s="754">
        <f>+AM844</f>
        <v>0</v>
      </c>
      <c r="AN912" s="754">
        <f t="shared" ref="AN912:AO912" si="1150">+AN844</f>
        <v>0</v>
      </c>
      <c r="AO912" s="754">
        <f t="shared" si="1150"/>
        <v>0</v>
      </c>
      <c r="AP912" s="754"/>
      <c r="AQ912" s="754"/>
      <c r="AR912" s="754"/>
      <c r="AS912" s="754"/>
      <c r="AT912" s="754"/>
      <c r="AU912" s="364"/>
      <c r="AV912" s="364"/>
      <c r="AW912" s="364"/>
      <c r="AX912" s="364"/>
      <c r="AY912" s="364"/>
      <c r="AZ912" s="364"/>
      <c r="BA912" s="364"/>
      <c r="BB912" s="364"/>
      <c r="BC912" s="364"/>
      <c r="BD912" s="364"/>
      <c r="BE912" s="364"/>
      <c r="BF912" s="364"/>
      <c r="BG912" s="364"/>
      <c r="BH912" s="364"/>
      <c r="BI912" s="364"/>
      <c r="BJ912" s="364"/>
      <c r="BK912" s="364"/>
      <c r="BL912" s="364"/>
      <c r="BM912" s="364"/>
      <c r="BN912" s="364"/>
      <c r="BO912" s="364"/>
      <c r="BP912" s="364"/>
      <c r="BQ912" s="364"/>
      <c r="BR912" s="364"/>
      <c r="BS912" s="364"/>
      <c r="BT912" s="364"/>
      <c r="BU912" s="364"/>
      <c r="BV912" s="364"/>
      <c r="BW912" s="364"/>
      <c r="BX912" s="364"/>
      <c r="BY912" s="364"/>
      <c r="BZ912" s="364"/>
      <c r="CA912" s="364"/>
      <c r="CB912" s="364"/>
      <c r="CC912" s="364"/>
      <c r="CD912" s="364"/>
      <c r="CE912" s="364"/>
      <c r="CF912" s="364"/>
      <c r="CG912" s="364"/>
      <c r="CH912" s="364"/>
      <c r="CI912" s="364"/>
      <c r="CJ912" s="364"/>
      <c r="CK912" s="364"/>
      <c r="CL912" s="364"/>
      <c r="CM912" s="364"/>
      <c r="CN912" s="364"/>
      <c r="CO912" s="364"/>
      <c r="CP912" s="364"/>
      <c r="CQ912" s="364"/>
      <c r="CR912" s="364"/>
      <c r="CS912" s="364"/>
      <c r="CT912" s="364"/>
      <c r="CU912" s="364"/>
      <c r="CV912" s="364"/>
      <c r="CW912" s="364"/>
      <c r="CX912" s="364"/>
      <c r="CY912" s="302"/>
      <c r="CZ912" s="302"/>
      <c r="DA912" s="302"/>
      <c r="DB912" s="302"/>
      <c r="DC912" s="302"/>
      <c r="DD912" s="302"/>
      <c r="DE912" s="302"/>
      <c r="DF912" s="303"/>
      <c r="DG912" s="363"/>
      <c r="DH912" s="364"/>
      <c r="DI912" s="302"/>
      <c r="DJ912" s="302"/>
      <c r="DK912" s="302"/>
      <c r="DL912" s="302"/>
      <c r="DM912" s="302"/>
      <c r="DN912" s="302"/>
      <c r="DO912" s="302"/>
    </row>
    <row r="913" spans="1:119" hidden="1">
      <c r="A913" s="1"/>
      <c r="B913" s="1"/>
      <c r="C913" s="1"/>
      <c r="D913" s="1375" t="s">
        <v>787</v>
      </c>
      <c r="E913" s="1375"/>
      <c r="F913" s="1375"/>
      <c r="G913" s="1375"/>
      <c r="H913" s="1375"/>
      <c r="I913" s="1375"/>
      <c r="J913" s="1375"/>
      <c r="K913" s="1375"/>
      <c r="L913" s="1375"/>
      <c r="M913" s="1375"/>
      <c r="N913" s="1375"/>
      <c r="O913" s="1375"/>
      <c r="P913" s="1375"/>
      <c r="Q913" s="1375"/>
      <c r="R913" s="1375"/>
      <c r="S913" s="1375"/>
      <c r="T913" s="1375"/>
      <c r="U913" s="1375"/>
      <c r="V913" s="1375"/>
      <c r="W913" s="1375"/>
      <c r="X913" s="1375"/>
      <c r="Y913" s="1375"/>
      <c r="Z913" s="1375"/>
      <c r="AA913" s="1375"/>
      <c r="AB913" s="1375" t="str">
        <f>+IF(ABS(AB852)&gt;10,AB852,"")</f>
        <v/>
      </c>
      <c r="AC913" s="1375" t="str">
        <f>+IF(ABS(AC852)&gt;10,AC852,"")</f>
        <v/>
      </c>
      <c r="AD913" s="1375" t="str">
        <f>+IF(ABS(AD852)&gt;10,AD852,"")</f>
        <v/>
      </c>
      <c r="AE913" s="1375" t="str">
        <f>+IF(ABS(AE852)&gt;10,AE852,"")</f>
        <v/>
      </c>
      <c r="AF913" s="1375">
        <f>+IF(ABS(AF852)&gt;10,AF852,"")</f>
        <v>161.47709796857001</v>
      </c>
      <c r="AG913" s="1375"/>
      <c r="AH913" s="1375"/>
      <c r="AI913" s="1375"/>
      <c r="AJ913" s="1375"/>
      <c r="AK913" s="1375"/>
      <c r="AL913" s="1375"/>
      <c r="AM913" s="1375"/>
      <c r="AN913" s="1375"/>
      <c r="AO913" s="1375"/>
      <c r="AP913" s="1375"/>
      <c r="AQ913" s="1375"/>
      <c r="AR913" s="1375"/>
      <c r="AS913" s="1375"/>
      <c r="AT913" s="1375"/>
      <c r="AU913" s="364"/>
      <c r="AV913" s="364"/>
      <c r="AW913" s="364"/>
      <c r="AX913" s="364"/>
      <c r="AY913" s="364"/>
      <c r="AZ913" s="364"/>
      <c r="BA913" s="364"/>
      <c r="BB913" s="364"/>
      <c r="BC913" s="364"/>
      <c r="BD913" s="364"/>
      <c r="BE913" s="364"/>
      <c r="BF913" s="364"/>
      <c r="BG913" s="364"/>
      <c r="BH913" s="364"/>
      <c r="BI913" s="364"/>
      <c r="BJ913" s="364"/>
      <c r="BK913" s="364"/>
      <c r="BL913" s="364"/>
      <c r="BM913" s="364"/>
      <c r="BN913" s="364"/>
      <c r="BO913" s="364"/>
      <c r="BP913" s="364"/>
      <c r="BQ913" s="364"/>
      <c r="BR913" s="364"/>
      <c r="BS913" s="364"/>
      <c r="BT913" s="364"/>
      <c r="BU913" s="364"/>
      <c r="BV913" s="364"/>
      <c r="BW913" s="364"/>
      <c r="BX913" s="364"/>
      <c r="BY913" s="364"/>
      <c r="BZ913" s="364"/>
      <c r="CA913" s="364"/>
      <c r="CB913" s="364"/>
      <c r="CC913" s="364"/>
      <c r="CD913" s="364"/>
      <c r="CE913" s="364"/>
      <c r="CF913" s="364"/>
      <c r="CG913" s="364"/>
      <c r="CH913" s="364"/>
      <c r="CI913" s="364"/>
      <c r="CJ913" s="364"/>
      <c r="CK913" s="364"/>
      <c r="CL913" s="364"/>
      <c r="CM913" s="364"/>
      <c r="CN913" s="364"/>
      <c r="CO913" s="364"/>
      <c r="CP913" s="364"/>
      <c r="CQ913" s="364"/>
      <c r="CR913" s="364"/>
      <c r="CS913" s="364"/>
      <c r="CT913" s="364"/>
      <c r="CU913" s="364"/>
      <c r="CV913" s="364"/>
      <c r="CW913" s="364"/>
      <c r="CX913" s="364"/>
      <c r="CY913" s="302"/>
      <c r="CZ913" s="302"/>
      <c r="DA913" s="302"/>
      <c r="DB913" s="302"/>
      <c r="DC913" s="302"/>
      <c r="DD913" s="302"/>
      <c r="DE913" s="302"/>
      <c r="DF913" s="303"/>
      <c r="DG913" s="363"/>
      <c r="DH913" s="364"/>
      <c r="DI913" s="302"/>
      <c r="DJ913" s="302"/>
      <c r="DK913" s="302"/>
      <c r="DL913" s="302"/>
      <c r="DM913" s="302"/>
      <c r="DN913" s="302"/>
      <c r="DO913" s="302"/>
    </row>
    <row r="914" spans="1:119" hidden="1">
      <c r="A914" s="1"/>
      <c r="B914" s="1"/>
      <c r="C914" s="1"/>
      <c r="D914" s="1364"/>
      <c r="E914" s="1364"/>
      <c r="F914" s="134"/>
      <c r="G914" s="134"/>
      <c r="H914" s="134"/>
      <c r="I914" s="134"/>
      <c r="J914" s="616"/>
      <c r="K914" s="616"/>
      <c r="L914" s="616"/>
      <c r="M914" s="616"/>
      <c r="N914" s="616"/>
      <c r="O914" s="616"/>
      <c r="P914" s="616"/>
      <c r="Q914" s="616"/>
      <c r="R914" s="616"/>
      <c r="S914" s="616"/>
      <c r="T914" s="616"/>
      <c r="U914" s="616"/>
      <c r="V914" s="616"/>
      <c r="W914" s="616"/>
      <c r="X914" s="616"/>
      <c r="Y914" s="616"/>
      <c r="Z914" s="616"/>
      <c r="AA914" s="616"/>
      <c r="AB914" s="616"/>
      <c r="AC914" s="616"/>
      <c r="AD914" s="1364"/>
      <c r="AE914" s="1364"/>
      <c r="AF914" s="616"/>
      <c r="AG914" s="616"/>
      <c r="AH914" s="616"/>
      <c r="AI914" s="616"/>
      <c r="AJ914" s="616"/>
      <c r="AK914" s="616"/>
      <c r="AL914" s="616"/>
      <c r="AM914" s="616"/>
      <c r="AN914" s="616"/>
      <c r="AO914" s="616"/>
      <c r="AP914" s="616"/>
      <c r="AQ914" s="616"/>
      <c r="AR914" s="616"/>
      <c r="AS914" s="616"/>
      <c r="AT914" s="616"/>
      <c r="AU914" s="364"/>
      <c r="AV914" s="364"/>
      <c r="AW914" s="364"/>
      <c r="AX914" s="364"/>
      <c r="AY914" s="364"/>
      <c r="AZ914" s="364"/>
      <c r="BA914" s="364"/>
      <c r="BB914" s="364"/>
      <c r="BC914" s="364"/>
      <c r="BD914" s="364"/>
      <c r="BE914" s="364"/>
      <c r="BF914" s="364"/>
      <c r="BG914" s="364"/>
      <c r="BH914" s="364"/>
      <c r="BI914" s="364"/>
      <c r="BJ914" s="364"/>
      <c r="BK914" s="364"/>
      <c r="BL914" s="364"/>
      <c r="BM914" s="364"/>
      <c r="BN914" s="364"/>
      <c r="BO914" s="364"/>
      <c r="BP914" s="364"/>
      <c r="BQ914" s="364"/>
      <c r="BR914" s="364"/>
      <c r="BS914" s="364"/>
      <c r="BT914" s="364"/>
      <c r="BU914" s="364"/>
      <c r="BV914" s="364"/>
      <c r="BW914" s="364"/>
      <c r="BX914" s="364"/>
      <c r="BY914" s="364"/>
      <c r="BZ914" s="364"/>
      <c r="CA914" s="364"/>
      <c r="CB914" s="364"/>
      <c r="CC914" s="364"/>
      <c r="CD914" s="364"/>
      <c r="CE914" s="364"/>
      <c r="CF914" s="364"/>
      <c r="CG914" s="364"/>
      <c r="CH914" s="364"/>
      <c r="CI914" s="364"/>
      <c r="CJ914" s="364"/>
      <c r="CK914" s="364"/>
      <c r="CL914" s="364"/>
      <c r="CM914" s="364"/>
      <c r="CN914" s="364"/>
      <c r="CO914" s="364"/>
      <c r="CP914" s="364"/>
      <c r="CQ914" s="364"/>
      <c r="CR914" s="364"/>
      <c r="CS914" s="364"/>
      <c r="CT914" s="364"/>
      <c r="CU914" s="364"/>
      <c r="CV914" s="364"/>
      <c r="CW914" s="364"/>
      <c r="CX914" s="364"/>
      <c r="CY914" s="302"/>
      <c r="CZ914" s="302"/>
      <c r="DA914" s="302"/>
      <c r="DB914" s="302"/>
      <c r="DC914" s="302"/>
      <c r="DD914" s="302"/>
      <c r="DE914" s="302"/>
      <c r="DF914" s="303"/>
      <c r="DG914" s="363"/>
      <c r="DH914" s="364"/>
      <c r="DI914" s="302"/>
      <c r="DJ914" s="302"/>
      <c r="DK914" s="302"/>
      <c r="DL914" s="302"/>
      <c r="DM914" s="302"/>
      <c r="DN914" s="302"/>
      <c r="DO914" s="302"/>
    </row>
    <row r="915" spans="1:119" hidden="1">
      <c r="A915" s="1"/>
      <c r="B915" s="1"/>
      <c r="C915" s="1"/>
      <c r="D915" s="1365" t="str">
        <f t="shared" ref="D915:Z915" si="1151">D855</f>
        <v>Memorandum Item</v>
      </c>
      <c r="E915" s="1365">
        <f t="shared" si="1151"/>
        <v>0</v>
      </c>
      <c r="F915" s="1365">
        <f t="shared" si="1151"/>
        <v>0</v>
      </c>
      <c r="G915" s="1365">
        <f t="shared" si="1151"/>
        <v>0</v>
      </c>
      <c r="H915" s="1365">
        <f t="shared" si="1151"/>
        <v>0</v>
      </c>
      <c r="I915" s="1365">
        <f t="shared" si="1151"/>
        <v>0</v>
      </c>
      <c r="J915" s="1365">
        <f t="shared" si="1151"/>
        <v>0</v>
      </c>
      <c r="K915" s="1365">
        <f t="shared" si="1151"/>
        <v>0</v>
      </c>
      <c r="L915" s="1365">
        <f t="shared" si="1151"/>
        <v>0</v>
      </c>
      <c r="M915" s="1365">
        <f t="shared" si="1151"/>
        <v>0</v>
      </c>
      <c r="N915" s="1365">
        <f t="shared" si="1151"/>
        <v>0</v>
      </c>
      <c r="O915" s="1365">
        <f t="shared" si="1151"/>
        <v>0</v>
      </c>
      <c r="P915" s="1365">
        <f t="shared" si="1151"/>
        <v>0</v>
      </c>
      <c r="Q915" s="1365">
        <f t="shared" si="1151"/>
        <v>0</v>
      </c>
      <c r="R915" s="1365">
        <f t="shared" si="1151"/>
        <v>0</v>
      </c>
      <c r="S915" s="1365">
        <f t="shared" si="1151"/>
        <v>0</v>
      </c>
      <c r="T915" s="1365">
        <f t="shared" si="1151"/>
        <v>0</v>
      </c>
      <c r="U915" s="1365">
        <f t="shared" si="1151"/>
        <v>0</v>
      </c>
      <c r="V915" s="1365">
        <f t="shared" si="1151"/>
        <v>0</v>
      </c>
      <c r="W915" s="1365">
        <f t="shared" si="1151"/>
        <v>0</v>
      </c>
      <c r="X915" s="1365">
        <f t="shared" si="1151"/>
        <v>0</v>
      </c>
      <c r="Y915" s="1365">
        <f t="shared" si="1151"/>
        <v>0</v>
      </c>
      <c r="Z915" s="1365">
        <f t="shared" si="1151"/>
        <v>14.299999999999997</v>
      </c>
      <c r="AA915" s="1408" t="str">
        <f>AA871</f>
        <v>2015/16</v>
      </c>
      <c r="AB915" s="1408" t="str">
        <f>AB871</f>
        <v>2016/17</v>
      </c>
      <c r="AC915" s="1408" t="str">
        <f>AC871</f>
        <v>2017/18</v>
      </c>
      <c r="AD915" s="1365" t="str">
        <f t="shared" ref="AD915:AL915" si="1152">AD855</f>
        <v>2018/19</v>
      </c>
      <c r="AE915" s="1365" t="str">
        <f t="shared" si="1152"/>
        <v>2019/20</v>
      </c>
      <c r="AF915" s="1365" t="str">
        <f t="shared" si="1152"/>
        <v>2020/21</v>
      </c>
      <c r="AG915" s="1365" t="str">
        <f t="shared" si="1152"/>
        <v>2021/22</v>
      </c>
      <c r="AH915" s="1365" t="str">
        <f t="shared" si="1152"/>
        <v>2022/23</v>
      </c>
      <c r="AI915" s="1365" t="str">
        <f t="shared" si="1152"/>
        <v>2023/24</v>
      </c>
      <c r="AJ915" s="1365" t="str">
        <f t="shared" si="1152"/>
        <v>2024/25</v>
      </c>
      <c r="AK915" s="1365" t="str">
        <f t="shared" si="1152"/>
        <v>2025/26</v>
      </c>
      <c r="AL915" s="1365" t="str">
        <f t="shared" si="1152"/>
        <v>2026/27</v>
      </c>
      <c r="AM915" s="1365" t="str">
        <f>AM855</f>
        <v>2027/28</v>
      </c>
      <c r="AN915" s="1365" t="str">
        <f t="shared" ref="AN915:AO915" si="1153">AN855</f>
        <v>2028/29</v>
      </c>
      <c r="AO915" s="1365" t="str">
        <f t="shared" si="1153"/>
        <v>2029/30</v>
      </c>
      <c r="AP915" s="1365"/>
      <c r="AQ915" s="1365"/>
      <c r="AR915" s="1365"/>
      <c r="AS915" s="1365"/>
      <c r="AT915" s="1365"/>
      <c r="AU915" s="364"/>
      <c r="AV915" s="364"/>
      <c r="AW915" s="364"/>
      <c r="AX915" s="364"/>
      <c r="AY915" s="364"/>
      <c r="AZ915" s="364"/>
      <c r="BA915" s="364"/>
      <c r="BB915" s="364"/>
      <c r="BC915" s="364"/>
      <c r="BD915" s="364"/>
      <c r="BE915" s="364"/>
      <c r="BF915" s="364"/>
      <c r="BG915" s="364"/>
      <c r="BH915" s="364"/>
      <c r="BI915" s="364"/>
      <c r="BJ915" s="364"/>
      <c r="BK915" s="364"/>
      <c r="BL915" s="364"/>
      <c r="BM915" s="364"/>
      <c r="BN915" s="364"/>
      <c r="BO915" s="364"/>
      <c r="BP915" s="364"/>
      <c r="BQ915" s="364"/>
      <c r="BR915" s="364"/>
      <c r="BS915" s="364"/>
      <c r="BT915" s="364"/>
      <c r="BU915" s="364"/>
      <c r="BV915" s="364"/>
      <c r="BW915" s="364"/>
      <c r="BX915" s="364"/>
      <c r="BY915" s="364"/>
      <c r="BZ915" s="364"/>
      <c r="CA915" s="364"/>
      <c r="CB915" s="364"/>
      <c r="CC915" s="364"/>
      <c r="CD915" s="364"/>
      <c r="CE915" s="364"/>
      <c r="CF915" s="364"/>
      <c r="CG915" s="364"/>
      <c r="CH915" s="364"/>
      <c r="CI915" s="364"/>
      <c r="CJ915" s="364"/>
      <c r="CK915" s="364"/>
      <c r="CL915" s="364"/>
      <c r="CM915" s="364"/>
      <c r="CN915" s="364"/>
      <c r="CO915" s="364"/>
      <c r="CP915" s="364"/>
      <c r="CQ915" s="364"/>
      <c r="CR915" s="364"/>
      <c r="CS915" s="364"/>
      <c r="CT915" s="364"/>
      <c r="CU915" s="364"/>
      <c r="CV915" s="364"/>
      <c r="CW915" s="364"/>
      <c r="CX915" s="364"/>
      <c r="CY915" s="302"/>
      <c r="CZ915" s="302"/>
      <c r="DA915" s="302"/>
      <c r="DB915" s="302"/>
      <c r="DC915" s="302"/>
      <c r="DD915" s="302"/>
      <c r="DE915" s="302"/>
      <c r="DF915" s="303"/>
      <c r="DG915" s="363"/>
      <c r="DH915" s="364"/>
      <c r="DI915" s="302"/>
      <c r="DJ915" s="302"/>
      <c r="DK915" s="302"/>
      <c r="DL915" s="302"/>
      <c r="DM915" s="302"/>
      <c r="DN915" s="302"/>
      <c r="DO915" s="302"/>
    </row>
    <row r="916" spans="1:119" hidden="1">
      <c r="A916" s="1"/>
      <c r="B916" s="1"/>
      <c r="C916" s="1"/>
      <c r="D916" s="1366" t="str">
        <f t="shared" ref="D916:Z916" si="1154">D856</f>
        <v>Tax Loss due to COVID-19</v>
      </c>
      <c r="E916" s="1367">
        <f t="shared" si="1154"/>
        <v>0</v>
      </c>
      <c r="F916" s="1367">
        <f t="shared" si="1154"/>
        <v>0</v>
      </c>
      <c r="G916" s="1367">
        <f t="shared" si="1154"/>
        <v>0</v>
      </c>
      <c r="H916" s="1367">
        <f t="shared" si="1154"/>
        <v>0</v>
      </c>
      <c r="I916" s="1367">
        <f t="shared" si="1154"/>
        <v>0</v>
      </c>
      <c r="J916" s="1367">
        <f t="shared" si="1154"/>
        <v>0</v>
      </c>
      <c r="K916" s="1367">
        <f t="shared" si="1154"/>
        <v>0</v>
      </c>
      <c r="L916" s="1367">
        <f t="shared" si="1154"/>
        <v>0</v>
      </c>
      <c r="M916" s="1367">
        <f t="shared" si="1154"/>
        <v>0</v>
      </c>
      <c r="N916" s="1367">
        <f t="shared" si="1154"/>
        <v>0</v>
      </c>
      <c r="O916" s="1367">
        <f t="shared" si="1154"/>
        <v>0</v>
      </c>
      <c r="P916" s="1367">
        <f t="shared" si="1154"/>
        <v>0</v>
      </c>
      <c r="Q916" s="1367">
        <f t="shared" si="1154"/>
        <v>0</v>
      </c>
      <c r="R916" s="1367">
        <f t="shared" si="1154"/>
        <v>0</v>
      </c>
      <c r="S916" s="1367">
        <f t="shared" si="1154"/>
        <v>0</v>
      </c>
      <c r="T916" s="1367">
        <f t="shared" si="1154"/>
        <v>0</v>
      </c>
      <c r="U916" s="1367">
        <f t="shared" si="1154"/>
        <v>0</v>
      </c>
      <c r="V916" s="1367">
        <f t="shared" si="1154"/>
        <v>0</v>
      </c>
      <c r="W916" s="1367">
        <f t="shared" si="1154"/>
        <v>0</v>
      </c>
      <c r="X916" s="1367">
        <f t="shared" si="1154"/>
        <v>0</v>
      </c>
      <c r="Y916" s="1367">
        <f t="shared" si="1154"/>
        <v>0</v>
      </c>
      <c r="Z916" s="1367">
        <f t="shared" si="1154"/>
        <v>0</v>
      </c>
      <c r="AA916" s="1367">
        <f>AA856</f>
        <v>0</v>
      </c>
      <c r="AB916" s="1367">
        <f>AB856</f>
        <v>0</v>
      </c>
      <c r="AC916" s="1367">
        <f>AC856</f>
        <v>0</v>
      </c>
      <c r="AD916" s="1368"/>
      <c r="AE916" s="1368">
        <f>AE856</f>
        <v>193</v>
      </c>
      <c r="AF916" s="1368">
        <f>AF856</f>
        <v>367.94194427166008</v>
      </c>
      <c r="AG916" s="1368"/>
      <c r="AH916" s="1368"/>
      <c r="AI916" s="1368"/>
      <c r="AJ916" s="1368"/>
      <c r="AK916" s="1368"/>
      <c r="AL916" s="1369"/>
      <c r="AM916" s="1369"/>
      <c r="AN916" s="1369"/>
      <c r="AO916" s="1369"/>
      <c r="AP916" s="1369"/>
      <c r="AQ916" s="1369"/>
      <c r="AR916" s="1369"/>
      <c r="AS916" s="1369"/>
      <c r="AT916" s="1369"/>
      <c r="AU916" s="364"/>
      <c r="AV916" s="364"/>
      <c r="AW916" s="364"/>
      <c r="AX916" s="364"/>
      <c r="AY916" s="364"/>
      <c r="AZ916" s="364"/>
      <c r="BA916" s="364"/>
      <c r="BB916" s="364"/>
      <c r="BC916" s="364"/>
      <c r="BD916" s="364"/>
      <c r="BE916" s="364"/>
      <c r="BF916" s="364"/>
      <c r="BG916" s="364"/>
      <c r="BH916" s="364"/>
      <c r="BI916" s="364"/>
      <c r="BJ916" s="364"/>
      <c r="BK916" s="364"/>
      <c r="BL916" s="364"/>
      <c r="BM916" s="364"/>
      <c r="BN916" s="364"/>
      <c r="BO916" s="364"/>
      <c r="BP916" s="364"/>
      <c r="BQ916" s="364"/>
      <c r="BR916" s="364"/>
      <c r="BS916" s="364"/>
      <c r="BT916" s="364"/>
      <c r="BU916" s="364"/>
      <c r="BV916" s="364"/>
      <c r="BW916" s="364"/>
      <c r="BX916" s="364"/>
      <c r="BY916" s="364"/>
      <c r="BZ916" s="364"/>
      <c r="CA916" s="364"/>
      <c r="CB916" s="364"/>
      <c r="CC916" s="364"/>
      <c r="CD916" s="364"/>
      <c r="CE916" s="364"/>
      <c r="CF916" s="364"/>
      <c r="CG916" s="364"/>
      <c r="CH916" s="364"/>
      <c r="CI916" s="364"/>
      <c r="CJ916" s="364"/>
      <c r="CK916" s="364"/>
      <c r="CL916" s="364"/>
      <c r="CM916" s="364"/>
      <c r="CN916" s="364"/>
      <c r="CO916" s="364"/>
      <c r="CP916" s="364"/>
      <c r="CQ916" s="364"/>
      <c r="CR916" s="364"/>
      <c r="CS916" s="364"/>
      <c r="CT916" s="364"/>
      <c r="CU916" s="364"/>
      <c r="CV916" s="364"/>
      <c r="CW916" s="364"/>
      <c r="CX916" s="364"/>
      <c r="CY916" s="302"/>
      <c r="CZ916" s="302"/>
      <c r="DA916" s="302"/>
      <c r="DB916" s="302"/>
      <c r="DC916" s="302"/>
      <c r="DD916" s="302"/>
      <c r="DE916" s="302"/>
      <c r="DF916" s="303"/>
      <c r="DG916" s="363"/>
      <c r="DH916" s="364"/>
      <c r="DI916" s="302"/>
      <c r="DJ916" s="302"/>
      <c r="DK916" s="302"/>
      <c r="DL916" s="302"/>
      <c r="DM916" s="302"/>
      <c r="DN916" s="302"/>
      <c r="DO916" s="302"/>
    </row>
    <row r="917" spans="1:119" hidden="1">
      <c r="A917" s="1"/>
      <c r="B917" s="1"/>
      <c r="C917" s="1"/>
      <c r="D917" s="1402" t="str">
        <f t="shared" ref="D917:AL917" si="1155">D858</f>
        <v>Financing Gap</v>
      </c>
      <c r="E917" s="1403">
        <f t="shared" si="1155"/>
        <v>0</v>
      </c>
      <c r="F917" s="1403">
        <f t="shared" si="1155"/>
        <v>0</v>
      </c>
      <c r="G917" s="1403">
        <f t="shared" si="1155"/>
        <v>0</v>
      </c>
      <c r="H917" s="1403">
        <f t="shared" si="1155"/>
        <v>0</v>
      </c>
      <c r="I917" s="1403">
        <f t="shared" si="1155"/>
        <v>0</v>
      </c>
      <c r="J917" s="1403">
        <f t="shared" si="1155"/>
        <v>0</v>
      </c>
      <c r="K917" s="1403">
        <f t="shared" si="1155"/>
        <v>0</v>
      </c>
      <c r="L917" s="1403">
        <f t="shared" si="1155"/>
        <v>0</v>
      </c>
      <c r="M917" s="1403">
        <f t="shared" si="1155"/>
        <v>0</v>
      </c>
      <c r="N917" s="1403">
        <f t="shared" si="1155"/>
        <v>0</v>
      </c>
      <c r="O917" s="1403">
        <f t="shared" si="1155"/>
        <v>0</v>
      </c>
      <c r="P917" s="1403">
        <f t="shared" si="1155"/>
        <v>0</v>
      </c>
      <c r="Q917" s="1403">
        <f t="shared" si="1155"/>
        <v>0</v>
      </c>
      <c r="R917" s="1403">
        <f t="shared" si="1155"/>
        <v>0</v>
      </c>
      <c r="S917" s="1403">
        <f t="shared" si="1155"/>
        <v>0</v>
      </c>
      <c r="T917" s="1403">
        <f t="shared" si="1155"/>
        <v>0</v>
      </c>
      <c r="U917" s="1403">
        <f t="shared" si="1155"/>
        <v>0</v>
      </c>
      <c r="V917" s="1403">
        <f t="shared" si="1155"/>
        <v>0</v>
      </c>
      <c r="W917" s="1403">
        <f t="shared" si="1155"/>
        <v>0</v>
      </c>
      <c r="X917" s="1403">
        <f t="shared" si="1155"/>
        <v>0</v>
      </c>
      <c r="Y917" s="1403">
        <f t="shared" si="1155"/>
        <v>0</v>
      </c>
      <c r="Z917" s="1403">
        <f t="shared" si="1155"/>
        <v>0</v>
      </c>
      <c r="AA917" s="1404">
        <f t="shared" si="1155"/>
        <v>0</v>
      </c>
      <c r="AB917" s="1404">
        <f t="shared" si="1155"/>
        <v>0</v>
      </c>
      <c r="AC917" s="1404">
        <f t="shared" si="1155"/>
        <v>0</v>
      </c>
      <c r="AD917" s="1405">
        <f t="shared" si="1155"/>
        <v>0</v>
      </c>
      <c r="AE917" s="1406">
        <f t="shared" si="1155"/>
        <v>0</v>
      </c>
      <c r="AF917" s="1406">
        <f t="shared" si="1155"/>
        <v>12.538470713118826</v>
      </c>
      <c r="AG917" s="1406">
        <f t="shared" si="1155"/>
        <v>0</v>
      </c>
      <c r="AH917" s="1406">
        <f t="shared" si="1155"/>
        <v>0</v>
      </c>
      <c r="AI917" s="1406">
        <f t="shared" si="1155"/>
        <v>0</v>
      </c>
      <c r="AJ917" s="1406">
        <f t="shared" si="1155"/>
        <v>0</v>
      </c>
      <c r="AK917" s="1406">
        <f t="shared" si="1155"/>
        <v>0</v>
      </c>
      <c r="AL917" s="1407">
        <f t="shared" si="1155"/>
        <v>0</v>
      </c>
      <c r="AM917" s="1407">
        <f>AM858</f>
        <v>0</v>
      </c>
      <c r="AN917" s="1407">
        <f t="shared" ref="AN917:AO917" si="1156">AN858</f>
        <v>0</v>
      </c>
      <c r="AO917" s="1407">
        <f t="shared" si="1156"/>
        <v>0</v>
      </c>
      <c r="AP917" s="1407"/>
      <c r="AQ917" s="1407"/>
      <c r="AR917" s="1407"/>
      <c r="AS917" s="1407"/>
      <c r="AT917" s="1407"/>
      <c r="AU917" s="364"/>
      <c r="AV917" s="364"/>
      <c r="AW917" s="364"/>
      <c r="AX917" s="364"/>
      <c r="AY917" s="364"/>
      <c r="AZ917" s="364"/>
      <c r="BA917" s="364"/>
      <c r="BB917" s="364"/>
      <c r="BC917" s="364"/>
      <c r="BD917" s="364"/>
      <c r="BE917" s="364"/>
      <c r="BF917" s="364"/>
      <c r="BG917" s="364"/>
      <c r="BH917" s="364"/>
      <c r="BI917" s="364"/>
      <c r="BJ917" s="364"/>
      <c r="BK917" s="364"/>
      <c r="BL917" s="364"/>
      <c r="BM917" s="364"/>
      <c r="BN917" s="364"/>
      <c r="BO917" s="364"/>
      <c r="BP917" s="364"/>
      <c r="BQ917" s="364"/>
      <c r="BR917" s="364"/>
      <c r="BS917" s="364"/>
      <c r="BT917" s="364"/>
      <c r="BU917" s="364"/>
      <c r="BV917" s="364"/>
      <c r="BW917" s="364"/>
      <c r="BX917" s="364"/>
      <c r="BY917" s="364"/>
      <c r="BZ917" s="364"/>
      <c r="CA917" s="364"/>
      <c r="CB917" s="364"/>
      <c r="CC917" s="364"/>
      <c r="CD917" s="364"/>
      <c r="CE917" s="364"/>
      <c r="CF917" s="364"/>
      <c r="CG917" s="364"/>
      <c r="CH917" s="364"/>
      <c r="CI917" s="364"/>
      <c r="CJ917" s="364"/>
      <c r="CK917" s="364"/>
      <c r="CL917" s="364"/>
      <c r="CM917" s="364"/>
      <c r="CN917" s="364"/>
      <c r="CO917" s="364"/>
      <c r="CP917" s="364"/>
      <c r="CQ917" s="364"/>
      <c r="CR917" s="364"/>
      <c r="CS917" s="364"/>
      <c r="CT917" s="364"/>
      <c r="CU917" s="364"/>
      <c r="CV917" s="364"/>
      <c r="CW917" s="364"/>
      <c r="CX917" s="364"/>
      <c r="CY917" s="302"/>
      <c r="CZ917" s="302"/>
      <c r="DA917" s="302"/>
      <c r="DB917" s="302"/>
      <c r="DC917" s="302"/>
      <c r="DD917" s="302"/>
      <c r="DE917" s="302"/>
      <c r="DF917" s="303"/>
      <c r="DG917" s="363"/>
      <c r="DH917" s="364"/>
      <c r="DI917" s="302"/>
      <c r="DJ917" s="302"/>
      <c r="DK917" s="302"/>
      <c r="DL917" s="302"/>
      <c r="DM917" s="302"/>
      <c r="DN917" s="302"/>
      <c r="DO917" s="302"/>
    </row>
    <row r="918" spans="1:119" hidden="1">
      <c r="A918" s="1"/>
      <c r="B918" s="1"/>
      <c r="C918" s="1"/>
      <c r="D918" s="1370" t="str">
        <f t="shared" ref="D918:AL918" si="1157">D859</f>
        <v>Nominal GDP FY</v>
      </c>
      <c r="E918" s="1371">
        <f t="shared" si="1157"/>
        <v>0</v>
      </c>
      <c r="F918" s="1371">
        <f t="shared" si="1157"/>
        <v>0</v>
      </c>
      <c r="G918" s="1371">
        <f t="shared" si="1157"/>
        <v>0</v>
      </c>
      <c r="H918" s="1371">
        <f t="shared" si="1157"/>
        <v>0</v>
      </c>
      <c r="I918" s="1371">
        <f t="shared" si="1157"/>
        <v>0</v>
      </c>
      <c r="J918" s="1371">
        <f t="shared" si="1157"/>
        <v>0</v>
      </c>
      <c r="K918" s="1371">
        <f t="shared" si="1157"/>
        <v>0</v>
      </c>
      <c r="L918" s="1371">
        <f t="shared" si="1157"/>
        <v>0</v>
      </c>
      <c r="M918" s="1371">
        <f t="shared" si="1157"/>
        <v>0</v>
      </c>
      <c r="N918" s="1371">
        <f t="shared" si="1157"/>
        <v>0</v>
      </c>
      <c r="O918" s="1371">
        <f t="shared" si="1157"/>
        <v>0</v>
      </c>
      <c r="P918" s="1371">
        <f t="shared" si="1157"/>
        <v>0</v>
      </c>
      <c r="Q918" s="1371">
        <f t="shared" si="1157"/>
        <v>0</v>
      </c>
      <c r="R918" s="1371">
        <f t="shared" si="1157"/>
        <v>0</v>
      </c>
      <c r="S918" s="1371">
        <f t="shared" si="1157"/>
        <v>0</v>
      </c>
      <c r="T918" s="1371">
        <f t="shared" si="1157"/>
        <v>0</v>
      </c>
      <c r="U918" s="1371">
        <f t="shared" si="1157"/>
        <v>0</v>
      </c>
      <c r="V918" s="1371">
        <f t="shared" si="1157"/>
        <v>0</v>
      </c>
      <c r="W918" s="1371">
        <f t="shared" si="1157"/>
        <v>0</v>
      </c>
      <c r="X918" s="1371">
        <f t="shared" si="1157"/>
        <v>0</v>
      </c>
      <c r="Y918" s="1371">
        <f t="shared" si="1157"/>
        <v>0</v>
      </c>
      <c r="Z918" s="1371">
        <f t="shared" si="1157"/>
        <v>0</v>
      </c>
      <c r="AA918" s="1371">
        <f t="shared" si="1157"/>
        <v>6553</v>
      </c>
      <c r="AB918" s="1371">
        <f t="shared" si="1157"/>
        <v>7234</v>
      </c>
      <c r="AC918" s="1371">
        <f t="shared" si="1157"/>
        <v>8016</v>
      </c>
      <c r="AD918" s="1372">
        <f t="shared" si="1157"/>
        <v>8718</v>
      </c>
      <c r="AE918" s="1373">
        <f t="shared" si="1157"/>
        <v>9386</v>
      </c>
      <c r="AF918" s="1373">
        <f t="shared" si="1157"/>
        <v>10271</v>
      </c>
      <c r="AG918" s="1373">
        <f t="shared" si="1157"/>
        <v>11998</v>
      </c>
      <c r="AH918" s="1373">
        <f t="shared" si="1157"/>
        <v>15291</v>
      </c>
      <c r="AI918" s="1373">
        <f t="shared" si="1157"/>
        <v>17747</v>
      </c>
      <c r="AJ918" s="1373">
        <f t="shared" si="1157"/>
        <v>0</v>
      </c>
      <c r="AK918" s="1373">
        <f t="shared" si="1157"/>
        <v>22653.476238318653</v>
      </c>
      <c r="AL918" s="1374">
        <f t="shared" si="1157"/>
        <v>25562.479815704588</v>
      </c>
      <c r="AM918" s="1374">
        <f>AM859</f>
        <v>28775.072036619156</v>
      </c>
      <c r="AN918" s="1374">
        <f t="shared" ref="AN918:AO918" si="1158">AN859</f>
        <v>32515.831401379644</v>
      </c>
      <c r="AO918" s="1374">
        <f t="shared" si="1158"/>
        <v>36742.889483558996</v>
      </c>
      <c r="AP918" s="1374"/>
      <c r="AQ918" s="1374"/>
      <c r="AR918" s="1374"/>
      <c r="AS918" s="1374"/>
      <c r="AT918" s="1374"/>
      <c r="AU918" s="364"/>
      <c r="AV918" s="364"/>
      <c r="AW918" s="364"/>
      <c r="AX918" s="364"/>
      <c r="AY918" s="364"/>
      <c r="AZ918" s="364"/>
      <c r="BA918" s="364"/>
      <c r="BB918" s="364"/>
      <c r="BC918" s="364"/>
      <c r="BD918" s="364"/>
      <c r="BE918" s="364"/>
      <c r="BF918" s="364"/>
      <c r="BG918" s="364"/>
      <c r="BH918" s="364"/>
      <c r="BI918" s="364"/>
      <c r="BJ918" s="364"/>
      <c r="BK918" s="364"/>
      <c r="BL918" s="364"/>
      <c r="BM918" s="364"/>
      <c r="BN918" s="364"/>
      <c r="BO918" s="364"/>
      <c r="BP918" s="364"/>
      <c r="BQ918" s="364"/>
      <c r="BR918" s="364"/>
      <c r="BS918" s="364"/>
      <c r="BT918" s="364"/>
      <c r="BU918" s="364"/>
      <c r="BV918" s="364"/>
      <c r="BW918" s="364"/>
      <c r="BX918" s="364"/>
      <c r="BY918" s="364"/>
      <c r="BZ918" s="364"/>
      <c r="CA918" s="364"/>
      <c r="CB918" s="364"/>
      <c r="CC918" s="364"/>
      <c r="CD918" s="364"/>
      <c r="CE918" s="364"/>
      <c r="CF918" s="364"/>
      <c r="CG918" s="364"/>
      <c r="CH918" s="364"/>
      <c r="CI918" s="364"/>
      <c r="CJ918" s="364"/>
      <c r="CK918" s="364"/>
      <c r="CL918" s="364"/>
      <c r="CM918" s="364"/>
      <c r="CN918" s="364"/>
      <c r="CO918" s="364"/>
      <c r="CP918" s="364"/>
      <c r="CQ918" s="364"/>
      <c r="CR918" s="364"/>
      <c r="CS918" s="364"/>
      <c r="CT918" s="364"/>
      <c r="CU918" s="364"/>
      <c r="CV918" s="364"/>
      <c r="CW918" s="364"/>
      <c r="CX918" s="364"/>
      <c r="CY918" s="302"/>
      <c r="CZ918" s="302"/>
      <c r="DA918" s="302"/>
      <c r="DB918" s="302"/>
      <c r="DC918" s="302"/>
      <c r="DD918" s="302"/>
      <c r="DE918" s="302"/>
      <c r="DF918" s="303"/>
      <c r="DG918" s="363"/>
      <c r="DH918" s="364"/>
      <c r="DI918" s="302"/>
      <c r="DJ918" s="302"/>
      <c r="DK918" s="302"/>
      <c r="DL918" s="302"/>
      <c r="DM918" s="302"/>
      <c r="DN918" s="302"/>
      <c r="DO918" s="302"/>
    </row>
    <row r="919" spans="1:119" hidden="1">
      <c r="A919" s="1"/>
      <c r="B919" s="1"/>
      <c r="C919" s="1"/>
      <c r="D919" s="766" t="s">
        <v>786</v>
      </c>
      <c r="E919" s="92"/>
      <c r="F919" s="14"/>
      <c r="G919" s="14"/>
      <c r="H919" s="14"/>
      <c r="I919" s="14"/>
      <c r="J919" s="166" t="str">
        <f t="shared" ref="J919:U919" si="1159">+IF(ABS(J901+J903)&gt;1,+J901+J903,"")</f>
        <v/>
      </c>
      <c r="K919" s="166" t="str">
        <f t="shared" si="1159"/>
        <v/>
      </c>
      <c r="L919" s="166" t="str">
        <f t="shared" si="1159"/>
        <v/>
      </c>
      <c r="M919" s="166" t="str">
        <f t="shared" si="1159"/>
        <v/>
      </c>
      <c r="N919" s="166" t="str">
        <f t="shared" si="1159"/>
        <v/>
      </c>
      <c r="O919" s="166" t="str">
        <f t="shared" si="1159"/>
        <v/>
      </c>
      <c r="P919" s="166">
        <f t="shared" si="1159"/>
        <v>-12.233686280000004</v>
      </c>
      <c r="Q919" s="166">
        <f t="shared" si="1159"/>
        <v>-12.23368627999999</v>
      </c>
      <c r="R919" s="166" t="str">
        <f t="shared" si="1159"/>
        <v/>
      </c>
      <c r="S919" s="166" t="str">
        <f t="shared" si="1159"/>
        <v/>
      </c>
      <c r="T919" s="166" t="str">
        <f t="shared" si="1159"/>
        <v/>
      </c>
      <c r="U919" s="166">
        <f t="shared" si="1159"/>
        <v>1.8999999999999311</v>
      </c>
      <c r="V919" s="166">
        <f>+IF(ABS(V901+V903)&gt;1,+V901+V903,"")</f>
        <v>-6.2696256240000423</v>
      </c>
      <c r="W919" s="166">
        <f t="shared" ref="W919:AC919" si="1160">+IF(ABS(W901+W903)&gt;1,+W901+W903,"")</f>
        <v>-5.9000000000000057</v>
      </c>
      <c r="X919" s="166">
        <f t="shared" si="1160"/>
        <v>-24.775565843197541</v>
      </c>
      <c r="Y919" s="166">
        <f t="shared" si="1160"/>
        <v>4.8285252764869995</v>
      </c>
      <c r="Z919" s="166">
        <f t="shared" si="1160"/>
        <v>-99.44695852941328</v>
      </c>
      <c r="AA919" s="166">
        <f t="shared" si="1160"/>
        <v>30.894670162722292</v>
      </c>
      <c r="AB919" s="166" t="str">
        <f t="shared" si="1160"/>
        <v/>
      </c>
      <c r="AC919" s="166">
        <f t="shared" si="1160"/>
        <v>6.7981852251683677</v>
      </c>
      <c r="AD919" s="166">
        <v>935.26007217412496</v>
      </c>
      <c r="AE919" s="166">
        <v>993.23139802284004</v>
      </c>
      <c r="AF919" s="166">
        <v>1039.96708310588</v>
      </c>
      <c r="AG919" s="166">
        <v>1078.8628915812878</v>
      </c>
      <c r="AH919" s="166">
        <v>1113.8276964525976</v>
      </c>
      <c r="AI919" s="166">
        <v>1147.2425273461754</v>
      </c>
      <c r="AJ919" s="166">
        <v>1181.6598031665608</v>
      </c>
      <c r="AK919" s="166" t="e">
        <f>+IF(ABS(AK901+AK903)&gt;1,+AK901+AK903,"")</f>
        <v>#DIV/0!</v>
      </c>
      <c r="AL919" s="166" t="e">
        <f>+IF(ABS(AL901+AL903)&gt;1,+AL901+AL903,"")</f>
        <v>#DIV/0!</v>
      </c>
      <c r="AM919" s="166" t="e">
        <f>+IF(ABS(AM901+AM903)&gt;1,+AM901+AM903,"")</f>
        <v>#DIV/0!</v>
      </c>
      <c r="AN919" s="166" t="e">
        <f t="shared" ref="AN919:AO919" si="1161">+IF(ABS(AN901+AN903)&gt;1,+AN901+AN903,"")</f>
        <v>#DIV/0!</v>
      </c>
      <c r="AO919" s="166" t="e">
        <f t="shared" si="1161"/>
        <v>#DIV/0!</v>
      </c>
      <c r="AP919" s="166"/>
      <c r="AQ919" s="166"/>
      <c r="AR919" s="166"/>
      <c r="AS919" s="166"/>
      <c r="AT919" s="166"/>
      <c r="AU919" s="302"/>
      <c r="AV919" s="302"/>
      <c r="AW919" s="302"/>
      <c r="AX919" s="302"/>
      <c r="AY919" s="302"/>
      <c r="AZ919" s="302"/>
      <c r="BA919" s="302"/>
      <c r="BB919" s="302"/>
      <c r="BC919" s="302"/>
      <c r="BD919" s="302"/>
      <c r="BE919" s="302"/>
      <c r="BF919" s="302"/>
      <c r="BG919" s="302"/>
      <c r="BH919" s="302"/>
      <c r="BI919" s="302"/>
      <c r="BJ919" s="302"/>
      <c r="BK919" s="302"/>
      <c r="BL919" s="302"/>
      <c r="BM919" s="302"/>
      <c r="BN919" s="302"/>
      <c r="BO919" s="302"/>
      <c r="BP919" s="302"/>
      <c r="BQ919" s="302"/>
      <c r="BR919" s="302"/>
      <c r="BS919" s="302"/>
      <c r="BT919" s="302"/>
      <c r="BU919" s="302"/>
      <c r="BV919" s="302"/>
      <c r="BW919" s="302"/>
      <c r="BX919" s="302"/>
      <c r="BY919" s="302"/>
      <c r="BZ919" s="302"/>
      <c r="CA919" s="302"/>
      <c r="CB919" s="302"/>
      <c r="CC919" s="302"/>
      <c r="CD919" s="302"/>
      <c r="CE919" s="302"/>
      <c r="CF919" s="302"/>
      <c r="CG919" s="302"/>
      <c r="CH919" s="302"/>
      <c r="CI919" s="302"/>
      <c r="CJ919" s="302"/>
      <c r="CK919" s="302"/>
      <c r="CL919" s="302"/>
      <c r="CM919" s="302"/>
      <c r="CN919" s="302"/>
      <c r="CO919" s="302"/>
      <c r="CP919" s="302"/>
      <c r="CQ919" s="302"/>
      <c r="CR919" s="302"/>
      <c r="CS919" s="302"/>
      <c r="CT919" s="302"/>
      <c r="CU919" s="302"/>
      <c r="CV919" s="302"/>
      <c r="CW919" s="302"/>
      <c r="CX919" s="302"/>
      <c r="CY919" s="302"/>
      <c r="CZ919" s="302"/>
      <c r="DA919" s="302"/>
      <c r="DB919" s="302"/>
      <c r="DC919" s="302"/>
      <c r="DD919" s="302"/>
      <c r="DE919" s="302"/>
      <c r="DF919" s="303"/>
      <c r="DG919" s="304"/>
      <c r="DH919" s="302"/>
      <c r="DI919" s="302"/>
      <c r="DJ919" s="302"/>
      <c r="DK919" s="302"/>
      <c r="DL919" s="302"/>
      <c r="DM919" s="302"/>
      <c r="DN919" s="302"/>
      <c r="DO919" s="302"/>
    </row>
    <row r="920" spans="1:119" hidden="1">
      <c r="A920" s="1"/>
      <c r="B920" s="1"/>
      <c r="C920" s="1"/>
      <c r="D920" s="14"/>
      <c r="E920" s="92"/>
      <c r="F920" s="1051"/>
      <c r="G920" s="1051"/>
      <c r="H920" s="1051"/>
      <c r="I920" s="1051"/>
      <c r="J920" s="1051" t="str">
        <f t="shared" ref="J920:V920" si="1162">J670</f>
        <v>1998/99</v>
      </c>
      <c r="K920" s="1051" t="str">
        <f t="shared" si="1162"/>
        <v>1999/00</v>
      </c>
      <c r="L920" s="1051" t="str">
        <f t="shared" si="1162"/>
        <v>2000/01</v>
      </c>
      <c r="M920" s="1051" t="str">
        <f t="shared" si="1162"/>
        <v>2001/02</v>
      </c>
      <c r="N920" s="1051" t="str">
        <f t="shared" si="1162"/>
        <v>2002/03</v>
      </c>
      <c r="O920" s="1051" t="str">
        <f t="shared" si="1162"/>
        <v>2003/04</v>
      </c>
      <c r="P920" s="1051" t="str">
        <f t="shared" si="1162"/>
        <v>2004/05</v>
      </c>
      <c r="Q920" s="1051" t="str">
        <f t="shared" si="1162"/>
        <v>2005/06</v>
      </c>
      <c r="R920" s="1051" t="str">
        <f t="shared" si="1162"/>
        <v>2006/07</v>
      </c>
      <c r="S920" s="1051" t="str">
        <f t="shared" si="1162"/>
        <v>2007/08</v>
      </c>
      <c r="T920" s="1051" t="str">
        <f t="shared" si="1162"/>
        <v>2008/09</v>
      </c>
      <c r="U920" s="1051" t="str">
        <f t="shared" si="1162"/>
        <v>2009/10</v>
      </c>
      <c r="V920" s="1051" t="str">
        <f t="shared" si="1162"/>
        <v>2010/11</v>
      </c>
      <c r="W920" s="124" t="s">
        <v>195</v>
      </c>
      <c r="X920" s="124" t="s">
        <v>196</v>
      </c>
      <c r="Y920" s="124" t="s">
        <v>197</v>
      </c>
      <c r="Z920" s="124" t="s">
        <v>198</v>
      </c>
      <c r="AA920" s="124" t="s">
        <v>199</v>
      </c>
      <c r="AB920" s="124" t="s">
        <v>200</v>
      </c>
      <c r="AC920" s="124" t="s">
        <v>201</v>
      </c>
      <c r="AD920" s="124" t="s">
        <v>202</v>
      </c>
      <c r="AE920" s="124" t="s">
        <v>203</v>
      </c>
      <c r="AF920" s="124" t="s">
        <v>1114</v>
      </c>
      <c r="AG920" s="124" t="s">
        <v>1140</v>
      </c>
      <c r="AH920" s="124" t="s">
        <v>1141</v>
      </c>
      <c r="AI920" s="124" t="s">
        <v>1142</v>
      </c>
      <c r="AJ920" s="124" t="s">
        <v>1143</v>
      </c>
      <c r="AK920" s="124" t="s">
        <v>1144</v>
      </c>
      <c r="AL920" s="124" t="s">
        <v>3288</v>
      </c>
      <c r="AM920" s="124" t="s">
        <v>3364</v>
      </c>
      <c r="AN920" s="124" t="s">
        <v>3584</v>
      </c>
      <c r="AO920" s="124" t="s">
        <v>3585</v>
      </c>
      <c r="AP920" s="124"/>
      <c r="AQ920" s="124"/>
      <c r="AR920" s="124"/>
      <c r="AS920" s="124"/>
      <c r="AT920" s="124"/>
      <c r="AU920" s="302"/>
      <c r="AV920" s="302"/>
      <c r="AW920" s="302"/>
      <c r="AX920" s="302"/>
      <c r="AY920" s="302"/>
      <c r="AZ920" s="302"/>
      <c r="BA920" s="302"/>
      <c r="BB920" s="302"/>
      <c r="BC920" s="302"/>
      <c r="BD920" s="302"/>
      <c r="BE920" s="302"/>
      <c r="BF920" s="302"/>
      <c r="BG920" s="302"/>
      <c r="BH920" s="302"/>
      <c r="BI920" s="302"/>
      <c r="BJ920" s="302"/>
      <c r="BK920" s="302"/>
      <c r="BL920" s="302"/>
      <c r="BM920" s="302"/>
      <c r="BN920" s="302"/>
      <c r="BO920" s="302"/>
      <c r="BP920" s="302"/>
      <c r="BQ920" s="302"/>
      <c r="BR920" s="302"/>
      <c r="BS920" s="302"/>
      <c r="BT920" s="302"/>
      <c r="BU920" s="302"/>
      <c r="BV920" s="302"/>
      <c r="BW920" s="302"/>
      <c r="BX920" s="302"/>
      <c r="BY920" s="302"/>
      <c r="BZ920" s="302"/>
      <c r="CA920" s="302"/>
      <c r="CB920" s="302"/>
      <c r="CC920" s="302"/>
      <c r="CD920" s="302"/>
      <c r="CE920" s="302"/>
      <c r="CF920" s="302"/>
      <c r="CG920" s="302"/>
      <c r="CH920" s="302"/>
      <c r="CI920" s="302"/>
      <c r="CJ920" s="302"/>
      <c r="CK920" s="302"/>
      <c r="CL920" s="302"/>
      <c r="CM920" s="302"/>
      <c r="CN920" s="302"/>
      <c r="CO920" s="302"/>
      <c r="CP920" s="302"/>
      <c r="CQ920" s="302"/>
      <c r="CR920" s="302"/>
      <c r="CS920" s="302"/>
      <c r="CT920" s="302"/>
      <c r="CU920" s="302"/>
      <c r="CV920" s="302"/>
      <c r="CW920" s="302"/>
      <c r="CX920" s="302"/>
      <c r="CY920" s="302"/>
      <c r="CZ920" s="302"/>
      <c r="DA920" s="302"/>
      <c r="DB920" s="302"/>
      <c r="DC920" s="302"/>
      <c r="DD920" s="302"/>
      <c r="DE920" s="302"/>
      <c r="DF920" s="303"/>
      <c r="DG920" s="304"/>
      <c r="DH920" s="302"/>
      <c r="DI920" s="302"/>
      <c r="DJ920" s="302"/>
      <c r="DK920" s="302"/>
      <c r="DL920" s="302"/>
      <c r="DM920" s="302"/>
      <c r="DN920" s="302"/>
      <c r="DO920" s="302"/>
    </row>
    <row r="921" spans="1:119" hidden="1">
      <c r="A921" s="1"/>
      <c r="B921" s="1"/>
      <c r="C921" s="1"/>
      <c r="D921" s="755" t="s">
        <v>135</v>
      </c>
      <c r="E921" s="92"/>
      <c r="F921" s="134"/>
      <c r="G921" s="134"/>
      <c r="H921" s="134"/>
      <c r="I921" s="134"/>
      <c r="J921" s="761"/>
      <c r="K921" s="761">
        <f t="shared" ref="K921:AK921" si="1163">+K872/K$284</f>
        <v>0.17910465268676282</v>
      </c>
      <c r="L921" s="761">
        <f t="shared" si="1163"/>
        <v>0.17553225998807395</v>
      </c>
      <c r="M921" s="761">
        <f t="shared" si="1163"/>
        <v>0.17783229916897508</v>
      </c>
      <c r="N921" s="761">
        <f t="shared" si="1163"/>
        <v>0.1772037926068171</v>
      </c>
      <c r="O921" s="761">
        <f t="shared" si="1163"/>
        <v>0.18759012296707656</v>
      </c>
      <c r="P921" s="761">
        <f t="shared" si="1163"/>
        <v>0.20582669951524935</v>
      </c>
      <c r="Q921" s="761">
        <f t="shared" si="1163"/>
        <v>0.20782434731522068</v>
      </c>
      <c r="R921" s="761">
        <f t="shared" si="1163"/>
        <v>0.19137080867850098</v>
      </c>
      <c r="S921" s="761">
        <f t="shared" si="1163"/>
        <v>0.20498417721518988</v>
      </c>
      <c r="T921" s="761">
        <f t="shared" si="1163"/>
        <v>0.22160555004955401</v>
      </c>
      <c r="U921" s="761">
        <f t="shared" si="1163"/>
        <v>0.23577738515901062</v>
      </c>
      <c r="V921" s="761">
        <f t="shared" si="1163"/>
        <v>0.22419027072864192</v>
      </c>
      <c r="W921" s="761">
        <f t="shared" si="1163"/>
        <v>0.23708474576271185</v>
      </c>
      <c r="X921" s="761">
        <f t="shared" si="1163"/>
        <v>0.22439314661825938</v>
      </c>
      <c r="Y921" s="761">
        <f t="shared" si="1163"/>
        <v>0.25039546022174103</v>
      </c>
      <c r="Z921" s="761">
        <f t="shared" si="1163"/>
        <v>0.24313119099784106</v>
      </c>
      <c r="AA921" s="761">
        <f t="shared" si="1163"/>
        <v>0.23525976016729477</v>
      </c>
      <c r="AB921" s="761">
        <f t="shared" si="1163"/>
        <v>0.22335663941000219</v>
      </c>
      <c r="AC921" s="761">
        <f t="shared" si="1163"/>
        <v>0.22709735938012057</v>
      </c>
      <c r="AD921" s="761">
        <f t="shared" si="1163"/>
        <v>0.2368635771142738</v>
      </c>
      <c r="AE921" s="761">
        <f t="shared" si="1163"/>
        <v>0.22182303132274453</v>
      </c>
      <c r="AF921" s="761">
        <f t="shared" si="1163"/>
        <v>0.21142392423320613</v>
      </c>
      <c r="AG921" s="761">
        <f t="shared" si="1163"/>
        <v>0.72117759590071351</v>
      </c>
      <c r="AH921" s="761">
        <f t="shared" si="1163"/>
        <v>0.79031045020791701</v>
      </c>
      <c r="AI921" s="761">
        <f t="shared" si="1163"/>
        <v>0.76897679233623639</v>
      </c>
      <c r="AJ921" s="761" t="e">
        <f t="shared" si="1163"/>
        <v>#DIV/0!</v>
      </c>
      <c r="AK921" s="761" t="e">
        <f t="shared" si="1163"/>
        <v>#DIV/0!</v>
      </c>
      <c r="AL921" s="761" t="e">
        <f t="shared" ref="AL921:AM924" si="1164">+AL872/AL$284</f>
        <v>#DIV/0!</v>
      </c>
      <c r="AM921" s="761" t="e">
        <f t="shared" si="1164"/>
        <v>#DIV/0!</v>
      </c>
      <c r="AN921" s="761">
        <v>3.9640524173051781</v>
      </c>
      <c r="AO921" s="761">
        <v>3.9640524173051781</v>
      </c>
      <c r="AP921" s="761"/>
      <c r="AQ921" s="761"/>
      <c r="AR921" s="761"/>
      <c r="AS921" s="761"/>
      <c r="AT921" s="761"/>
      <c r="AU921" s="364"/>
      <c r="AV921" s="364"/>
      <c r="AW921" s="364"/>
      <c r="AX921" s="364"/>
      <c r="AY921" s="364"/>
      <c r="AZ921" s="364"/>
      <c r="BA921" s="364"/>
      <c r="BB921" s="364"/>
      <c r="BC921" s="364"/>
      <c r="BD921" s="364"/>
      <c r="BE921" s="364"/>
      <c r="BF921" s="364"/>
      <c r="BG921" s="364"/>
      <c r="BH921" s="364"/>
      <c r="BI921" s="364"/>
      <c r="BJ921" s="364"/>
      <c r="BK921" s="364"/>
      <c r="BL921" s="364"/>
      <c r="BM921" s="364"/>
      <c r="BN921" s="364"/>
      <c r="BO921" s="364"/>
      <c r="BP921" s="364"/>
      <c r="BQ921" s="364"/>
      <c r="BR921" s="364"/>
      <c r="BS921" s="364"/>
      <c r="BT921" s="364"/>
      <c r="BU921" s="364"/>
      <c r="BV921" s="364"/>
      <c r="BW921" s="364"/>
      <c r="BX921" s="364"/>
      <c r="BY921" s="364"/>
      <c r="BZ921" s="364"/>
      <c r="CA921" s="364"/>
      <c r="CB921" s="364"/>
      <c r="CC921" s="364"/>
      <c r="CD921" s="364"/>
      <c r="CE921" s="364"/>
      <c r="CF921" s="364"/>
      <c r="CG921" s="364"/>
      <c r="CH921" s="364"/>
      <c r="CI921" s="364"/>
      <c r="CJ921" s="364"/>
      <c r="CK921" s="364"/>
      <c r="CL921" s="364"/>
      <c r="CM921" s="364"/>
      <c r="CN921" s="364"/>
      <c r="CO921" s="364"/>
      <c r="CP921" s="364"/>
      <c r="CQ921" s="364"/>
      <c r="CR921" s="364"/>
      <c r="CS921" s="364"/>
      <c r="CT921" s="364"/>
      <c r="CU921" s="364"/>
      <c r="CV921" s="364"/>
      <c r="CW921" s="364"/>
      <c r="CX921" s="364"/>
      <c r="CY921" s="302"/>
      <c r="CZ921" s="302"/>
      <c r="DA921" s="302"/>
      <c r="DB921" s="302"/>
      <c r="DC921" s="302"/>
      <c r="DD921" s="302"/>
      <c r="DE921" s="302"/>
      <c r="DF921" s="303"/>
      <c r="DG921" s="363"/>
      <c r="DH921" s="364"/>
      <c r="DI921" s="302"/>
      <c r="DJ921" s="302"/>
      <c r="DK921" s="302"/>
      <c r="DL921" s="302"/>
      <c r="DM921" s="302"/>
      <c r="DN921" s="302"/>
      <c r="DO921" s="302"/>
    </row>
    <row r="922" spans="1:119" hidden="1">
      <c r="A922" s="1"/>
      <c r="B922" s="1"/>
      <c r="C922" s="1"/>
      <c r="D922" s="756" t="s">
        <v>137</v>
      </c>
      <c r="E922" s="92"/>
      <c r="F922" s="134"/>
      <c r="G922" s="134"/>
      <c r="H922" s="134"/>
      <c r="I922" s="134"/>
      <c r="J922" s="761"/>
      <c r="K922" s="761">
        <f t="shared" ref="K922:AK922" si="1165">+K873/K$284</f>
        <v>8.7250065530799475E-2</v>
      </c>
      <c r="L922" s="761">
        <f t="shared" si="1165"/>
        <v>9.1528384019081699E-2</v>
      </c>
      <c r="M922" s="761">
        <f t="shared" si="1165"/>
        <v>0.10305722991689752</v>
      </c>
      <c r="N922" s="761">
        <f t="shared" si="1165"/>
        <v>0.1066288046087374</v>
      </c>
      <c r="O922" s="761">
        <f t="shared" si="1165"/>
        <v>0.10631126537088456</v>
      </c>
      <c r="P922" s="761">
        <f t="shared" si="1165"/>
        <v>0.10836071271077127</v>
      </c>
      <c r="Q922" s="761">
        <f t="shared" si="1165"/>
        <v>0.11162080295183155</v>
      </c>
      <c r="R922" s="761">
        <f t="shared" si="1165"/>
        <v>0.1150394477317554</v>
      </c>
      <c r="S922" s="761">
        <f t="shared" si="1165"/>
        <v>0.11483386075949367</v>
      </c>
      <c r="T922" s="761">
        <f t="shared" si="1165"/>
        <v>0.13647175421209118</v>
      </c>
      <c r="U922" s="761">
        <f t="shared" si="1165"/>
        <v>0.11525323910482922</v>
      </c>
      <c r="V922" s="761">
        <f t="shared" si="1165"/>
        <v>0.12576758315788109</v>
      </c>
      <c r="W922" s="761">
        <f t="shared" si="1165"/>
        <v>0.13371751412429381</v>
      </c>
      <c r="X922" s="761">
        <f t="shared" si="1165"/>
        <v>0.15004514335827571</v>
      </c>
      <c r="Y922" s="761">
        <f t="shared" si="1165"/>
        <v>0.16152734308407188</v>
      </c>
      <c r="Z922" s="761">
        <f t="shared" si="1165"/>
        <v>0.17185206545981146</v>
      </c>
      <c r="AA922" s="761">
        <f t="shared" si="1165"/>
        <v>0.17822527057814064</v>
      </c>
      <c r="AB922" s="761">
        <f t="shared" si="1165"/>
        <v>0.17771355343453654</v>
      </c>
      <c r="AC922" s="761">
        <f t="shared" si="1165"/>
        <v>0.18232332284460279</v>
      </c>
      <c r="AD922" s="761">
        <f t="shared" si="1165"/>
        <v>0.1915809865540174</v>
      </c>
      <c r="AE922" s="761">
        <f t="shared" si="1165"/>
        <v>0.17578826913670575</v>
      </c>
      <c r="AF922" s="761">
        <f t="shared" si="1165"/>
        <v>0.16349055017121214</v>
      </c>
      <c r="AG922" s="761">
        <f t="shared" si="1165"/>
        <v>0.65148180206072404</v>
      </c>
      <c r="AH922" s="761">
        <f t="shared" si="1165"/>
        <v>0.74379327324371969</v>
      </c>
      <c r="AI922" s="761">
        <f t="shared" si="1165"/>
        <v>0.72627568000231735</v>
      </c>
      <c r="AJ922" s="761" t="e">
        <f t="shared" si="1165"/>
        <v>#DIV/0!</v>
      </c>
      <c r="AK922" s="761" t="e">
        <f t="shared" si="1165"/>
        <v>#DIV/0!</v>
      </c>
      <c r="AL922" s="761" t="e">
        <f t="shared" si="1164"/>
        <v>#DIV/0!</v>
      </c>
      <c r="AM922" s="761" t="e">
        <f t="shared" si="1164"/>
        <v>#DIV/0!</v>
      </c>
      <c r="AN922" s="761">
        <v>3.9340507857360838</v>
      </c>
      <c r="AO922" s="761">
        <v>3.9340507857360838</v>
      </c>
      <c r="AP922" s="761"/>
      <c r="AQ922" s="761"/>
      <c r="AR922" s="761"/>
      <c r="AS922" s="761"/>
      <c r="AT922" s="761"/>
      <c r="AU922" s="364"/>
      <c r="AV922" s="364"/>
      <c r="AW922" s="364"/>
      <c r="AX922" s="364"/>
      <c r="AY922" s="364"/>
      <c r="AZ922" s="364"/>
      <c r="BA922" s="364"/>
      <c r="BB922" s="364"/>
      <c r="BC922" s="364"/>
      <c r="BD922" s="364"/>
      <c r="BE922" s="364"/>
      <c r="BF922" s="364"/>
      <c r="BG922" s="364"/>
      <c r="BH922" s="364"/>
      <c r="BI922" s="364"/>
      <c r="BJ922" s="364"/>
      <c r="BK922" s="364"/>
      <c r="BL922" s="364"/>
      <c r="BM922" s="364"/>
      <c r="BN922" s="364"/>
      <c r="BO922" s="364"/>
      <c r="BP922" s="364"/>
      <c r="BQ922" s="364"/>
      <c r="BR922" s="364"/>
      <c r="BS922" s="364"/>
      <c r="BT922" s="364"/>
      <c r="BU922" s="364"/>
      <c r="BV922" s="364"/>
      <c r="BW922" s="364"/>
      <c r="BX922" s="364"/>
      <c r="BY922" s="364"/>
      <c r="BZ922" s="364"/>
      <c r="CA922" s="364"/>
      <c r="CB922" s="364"/>
      <c r="CC922" s="364"/>
      <c r="CD922" s="364"/>
      <c r="CE922" s="364"/>
      <c r="CF922" s="364"/>
      <c r="CG922" s="364"/>
      <c r="CH922" s="364"/>
      <c r="CI922" s="364"/>
      <c r="CJ922" s="364"/>
      <c r="CK922" s="364"/>
      <c r="CL922" s="364"/>
      <c r="CM922" s="364"/>
      <c r="CN922" s="364"/>
      <c r="CO922" s="364"/>
      <c r="CP922" s="364"/>
      <c r="CQ922" s="364"/>
      <c r="CR922" s="364"/>
      <c r="CS922" s="364"/>
      <c r="CT922" s="364"/>
      <c r="CU922" s="364"/>
      <c r="CV922" s="364"/>
      <c r="CW922" s="364"/>
      <c r="CX922" s="364"/>
      <c r="CY922" s="302"/>
      <c r="CZ922" s="302"/>
      <c r="DA922" s="302"/>
      <c r="DB922" s="302"/>
      <c r="DC922" s="302"/>
      <c r="DD922" s="302"/>
      <c r="DE922" s="302"/>
      <c r="DF922" s="303"/>
      <c r="DG922" s="363"/>
      <c r="DH922" s="364"/>
      <c r="DI922" s="302"/>
      <c r="DJ922" s="302"/>
      <c r="DK922" s="302"/>
      <c r="DL922" s="302"/>
      <c r="DM922" s="302"/>
      <c r="DN922" s="302"/>
      <c r="DO922" s="302"/>
    </row>
    <row r="923" spans="1:119" hidden="1">
      <c r="A923" s="1"/>
      <c r="B923" s="1"/>
      <c r="C923" s="1"/>
      <c r="D923" s="757" t="s">
        <v>138</v>
      </c>
      <c r="E923" s="92"/>
      <c r="F923" s="134"/>
      <c r="G923" s="134"/>
      <c r="H923" s="134"/>
      <c r="I923" s="134"/>
      <c r="J923" s="761"/>
      <c r="K923" s="761">
        <f t="shared" ref="K923:AK923" si="1166">+K874/K$284</f>
        <v>8.2745347313237211E-2</v>
      </c>
      <c r="L923" s="761">
        <f t="shared" si="1166"/>
        <v>8.5643470483005371E-2</v>
      </c>
      <c r="M923" s="761">
        <f t="shared" si="1166"/>
        <v>9.5696343490304703E-2</v>
      </c>
      <c r="N923" s="761">
        <f t="shared" si="1166"/>
        <v>9.9770379260681691E-2</v>
      </c>
      <c r="O923" s="761">
        <f t="shared" si="1166"/>
        <v>9.8342483141610454E-2</v>
      </c>
      <c r="P923" s="761">
        <f t="shared" si="1166"/>
        <v>9.8300589392619681E-2</v>
      </c>
      <c r="Q923" s="761">
        <f t="shared" si="1166"/>
        <v>0.10226765875194693</v>
      </c>
      <c r="R923" s="761">
        <f t="shared" si="1166"/>
        <v>0.10729783037475343</v>
      </c>
      <c r="S923" s="761">
        <f t="shared" si="1166"/>
        <v>0.10779272151898735</v>
      </c>
      <c r="T923" s="761">
        <f t="shared" si="1166"/>
        <v>0.11939213742979847</v>
      </c>
      <c r="U923" s="761">
        <f t="shared" si="1166"/>
        <v>0.11083627797408717</v>
      </c>
      <c r="V923" s="761">
        <f t="shared" si="1166"/>
        <v>0.12041242015061024</v>
      </c>
      <c r="W923" s="761">
        <f t="shared" si="1166"/>
        <v>0.12587570621468927</v>
      </c>
      <c r="X923" s="761">
        <f t="shared" si="1166"/>
        <v>0.13282835444222027</v>
      </c>
      <c r="Y923" s="761">
        <f t="shared" si="1166"/>
        <v>0.14259375573943106</v>
      </c>
      <c r="Z923" s="761">
        <f t="shared" si="1166"/>
        <v>0.14936706117532134</v>
      </c>
      <c r="AA923" s="995">
        <f t="shared" si="1166"/>
        <v>0.15264977107158692</v>
      </c>
      <c r="AB923" s="996">
        <f t="shared" si="1166"/>
        <v>0.15263245024534919</v>
      </c>
      <c r="AC923" s="996">
        <f t="shared" si="1166"/>
        <v>0.15629785816989056</v>
      </c>
      <c r="AD923" s="996">
        <f t="shared" si="1166"/>
        <v>0.16274269126855651</v>
      </c>
      <c r="AE923" s="997">
        <f t="shared" si="1166"/>
        <v>0.15004067723859257</v>
      </c>
      <c r="AF923" s="761">
        <f t="shared" si="1166"/>
        <v>0.14213545176349529</v>
      </c>
      <c r="AG923" s="761">
        <f t="shared" si="1166"/>
        <v>0.6242651373761261</v>
      </c>
      <c r="AH923" s="761">
        <f t="shared" si="1166"/>
        <v>0.71816876770188076</v>
      </c>
      <c r="AI923" s="761">
        <f t="shared" si="1166"/>
        <v>0.69859371212235577</v>
      </c>
      <c r="AJ923" s="761" t="e">
        <f t="shared" si="1166"/>
        <v>#DIV/0!</v>
      </c>
      <c r="AK923" s="761">
        <f t="shared" si="1166"/>
        <v>3.4482373179934135E-3</v>
      </c>
      <c r="AL923" s="761">
        <f t="shared" si="1164"/>
        <v>3.1635942450075234E-3</v>
      </c>
      <c r="AM923" s="761">
        <f t="shared" si="1164"/>
        <v>2.9156684848192531E-3</v>
      </c>
      <c r="AN923" s="761">
        <v>3.8602025671287872</v>
      </c>
      <c r="AO923" s="761">
        <v>3.8602025671287872</v>
      </c>
      <c r="AP923" s="761"/>
      <c r="AQ923" s="761"/>
      <c r="AR923" s="761"/>
      <c r="AS923" s="761"/>
      <c r="AT923" s="761"/>
      <c r="AU923" s="364"/>
      <c r="AV923" s="364"/>
      <c r="AW923" s="364"/>
      <c r="AX923" s="364"/>
      <c r="AY923" s="364"/>
      <c r="AZ923" s="364"/>
      <c r="BA923" s="364"/>
      <c r="BB923" s="364"/>
      <c r="BC923" s="364"/>
      <c r="BD923" s="364"/>
      <c r="BE923" s="364"/>
      <c r="BF923" s="364"/>
      <c r="BG923" s="364"/>
      <c r="BH923" s="364"/>
      <c r="BI923" s="364"/>
      <c r="BJ923" s="364"/>
      <c r="BK923" s="364"/>
      <c r="BL923" s="364"/>
      <c r="BM923" s="364"/>
      <c r="BN923" s="364"/>
      <c r="BO923" s="364"/>
      <c r="BP923" s="364"/>
      <c r="BQ923" s="364"/>
      <c r="BR923" s="364"/>
      <c r="BS923" s="364"/>
      <c r="BT923" s="364"/>
      <c r="BU923" s="364"/>
      <c r="BV923" s="364"/>
      <c r="BW923" s="364"/>
      <c r="BX923" s="364"/>
      <c r="BY923" s="364"/>
      <c r="BZ923" s="364"/>
      <c r="CA923" s="364"/>
      <c r="CB923" s="364"/>
      <c r="CC923" s="364"/>
      <c r="CD923" s="364"/>
      <c r="CE923" s="364"/>
      <c r="CF923" s="364"/>
      <c r="CG923" s="364"/>
      <c r="CH923" s="364"/>
      <c r="CI923" s="364"/>
      <c r="CJ923" s="364"/>
      <c r="CK923" s="364"/>
      <c r="CL923" s="364"/>
      <c r="CM923" s="364"/>
      <c r="CN923" s="364"/>
      <c r="CO923" s="364"/>
      <c r="CP923" s="364"/>
      <c r="CQ923" s="364"/>
      <c r="CR923" s="364"/>
      <c r="CS923" s="364"/>
      <c r="CT923" s="364"/>
      <c r="CU923" s="364"/>
      <c r="CV923" s="364"/>
      <c r="CW923" s="364"/>
      <c r="CX923" s="364"/>
      <c r="CY923" s="302"/>
      <c r="CZ923" s="302"/>
      <c r="DA923" s="302"/>
      <c r="DB923" s="302"/>
      <c r="DC923" s="302"/>
      <c r="DD923" s="302"/>
      <c r="DE923" s="302"/>
      <c r="DF923" s="303"/>
      <c r="DG923" s="363"/>
      <c r="DH923" s="364"/>
      <c r="DI923" s="302"/>
      <c r="DJ923" s="302"/>
      <c r="DK923" s="302"/>
      <c r="DL923" s="302"/>
      <c r="DM923" s="302"/>
      <c r="DN923" s="302"/>
      <c r="DO923" s="302"/>
    </row>
    <row r="924" spans="1:119" hidden="1">
      <c r="A924" s="1"/>
      <c r="B924" s="1"/>
      <c r="C924" s="1"/>
      <c r="D924" s="757" t="s">
        <v>145</v>
      </c>
      <c r="E924" s="92"/>
      <c r="F924" s="134"/>
      <c r="G924" s="134"/>
      <c r="H924" s="134"/>
      <c r="I924" s="134"/>
      <c r="J924" s="761"/>
      <c r="K924" s="761">
        <f t="shared" ref="K924:AK924" si="1167">+K875/K$284</f>
        <v>4.5047182175622542E-3</v>
      </c>
      <c r="L924" s="761">
        <f t="shared" si="1167"/>
        <v>5.8849135360763269E-3</v>
      </c>
      <c r="M924" s="761">
        <f t="shared" si="1167"/>
        <v>7.3608864265927981E-3</v>
      </c>
      <c r="N924" s="761">
        <f t="shared" si="1167"/>
        <v>6.8584253480556898E-3</v>
      </c>
      <c r="O924" s="761">
        <f t="shared" si="1167"/>
        <v>7.9687822292740969E-3</v>
      </c>
      <c r="P924" s="761">
        <f t="shared" si="1167"/>
        <v>1.0060123318151596E-2</v>
      </c>
      <c r="Q924" s="761">
        <f t="shared" si="1167"/>
        <v>9.3531441998846269E-3</v>
      </c>
      <c r="R924" s="761">
        <f t="shared" si="1167"/>
        <v>7.7416173570019724E-3</v>
      </c>
      <c r="S924" s="761">
        <f t="shared" si="1167"/>
        <v>7.0411392405063293E-3</v>
      </c>
      <c r="T924" s="761">
        <f t="shared" si="1167"/>
        <v>1.7079616782292702E-2</v>
      </c>
      <c r="U924" s="761">
        <f t="shared" si="1167"/>
        <v>4.4169611307420496E-3</v>
      </c>
      <c r="V924" s="761">
        <f t="shared" si="1167"/>
        <v>5.3551630072708389E-3</v>
      </c>
      <c r="W924" s="761">
        <f t="shared" si="1167"/>
        <v>7.8418079096045212E-3</v>
      </c>
      <c r="X924" s="761">
        <f t="shared" si="1167"/>
        <v>1.7216788916055419E-2</v>
      </c>
      <c r="Y924" s="761">
        <f t="shared" si="1167"/>
        <v>1.8933587344640842E-2</v>
      </c>
      <c r="Z924" s="761">
        <f t="shared" si="1167"/>
        <v>2.2485004284490143E-2</v>
      </c>
      <c r="AA924" s="761">
        <f t="shared" si="1167"/>
        <v>2.5575499506553731E-2</v>
      </c>
      <c r="AB924" s="761">
        <f t="shared" si="1167"/>
        <v>2.5081103189187364E-2</v>
      </c>
      <c r="AC924" s="761">
        <f t="shared" si="1167"/>
        <v>2.6025464674712243E-2</v>
      </c>
      <c r="AD924" s="761">
        <f t="shared" si="1167"/>
        <v>2.8838295285460926E-2</v>
      </c>
      <c r="AE924" s="761">
        <f t="shared" si="1167"/>
        <v>2.5747591898113428E-2</v>
      </c>
      <c r="AF924" s="761">
        <f t="shared" si="1167"/>
        <v>2.1355098407716183E-2</v>
      </c>
      <c r="AG924" s="761">
        <f t="shared" si="1167"/>
        <v>2.7216664684597987E-2</v>
      </c>
      <c r="AH924" s="761">
        <f t="shared" si="1167"/>
        <v>2.5624505541838902E-2</v>
      </c>
      <c r="AI924" s="761">
        <f t="shared" si="1167"/>
        <v>2.7681967879961484E-2</v>
      </c>
      <c r="AJ924" s="761" t="e">
        <f t="shared" si="1167"/>
        <v>#DIV/0!</v>
      </c>
      <c r="AK924" s="761" t="e">
        <f t="shared" si="1167"/>
        <v>#DIV/0!</v>
      </c>
      <c r="AL924" s="761" t="e">
        <f t="shared" si="1164"/>
        <v>#DIV/0!</v>
      </c>
      <c r="AM924" s="761" t="e">
        <f t="shared" si="1164"/>
        <v>#DIV/0!</v>
      </c>
      <c r="AN924" s="761">
        <v>7.3848218607296803E-2</v>
      </c>
      <c r="AO924" s="761">
        <v>7.3848218607296803E-2</v>
      </c>
      <c r="AP924" s="761"/>
      <c r="AQ924" s="761"/>
      <c r="AR924" s="761"/>
      <c r="AS924" s="761"/>
      <c r="AT924" s="761"/>
      <c r="AU924" s="364"/>
      <c r="AV924" s="364"/>
      <c r="AW924" s="364"/>
      <c r="AX924" s="364"/>
      <c r="AY924" s="364"/>
      <c r="AZ924" s="364"/>
      <c r="BA924" s="364"/>
      <c r="BB924" s="364"/>
      <c r="BC924" s="364"/>
      <c r="BD924" s="364"/>
      <c r="BE924" s="364"/>
      <c r="BF924" s="364"/>
      <c r="BG924" s="364"/>
      <c r="BH924" s="364"/>
      <c r="BI924" s="364"/>
      <c r="BJ924" s="364"/>
      <c r="BK924" s="364"/>
      <c r="BL924" s="364"/>
      <c r="BM924" s="364"/>
      <c r="BN924" s="364"/>
      <c r="BO924" s="364"/>
      <c r="BP924" s="364"/>
      <c r="BQ924" s="364"/>
      <c r="BR924" s="364"/>
      <c r="BS924" s="364"/>
      <c r="BT924" s="364"/>
      <c r="BU924" s="364"/>
      <c r="BV924" s="364"/>
      <c r="BW924" s="364"/>
      <c r="BX924" s="364"/>
      <c r="BY924" s="364"/>
      <c r="BZ924" s="364"/>
      <c r="CA924" s="364"/>
      <c r="CB924" s="364"/>
      <c r="CC924" s="364"/>
      <c r="CD924" s="364"/>
      <c r="CE924" s="364"/>
      <c r="CF924" s="364"/>
      <c r="CG924" s="364"/>
      <c r="CH924" s="364"/>
      <c r="CI924" s="364"/>
      <c r="CJ924" s="364"/>
      <c r="CK924" s="364"/>
      <c r="CL924" s="364"/>
      <c r="CM924" s="364"/>
      <c r="CN924" s="364"/>
      <c r="CO924" s="364"/>
      <c r="CP924" s="364"/>
      <c r="CQ924" s="364"/>
      <c r="CR924" s="364"/>
      <c r="CS924" s="364"/>
      <c r="CT924" s="364"/>
      <c r="CU924" s="364"/>
      <c r="CV924" s="364"/>
      <c r="CW924" s="364"/>
      <c r="CX924" s="364"/>
      <c r="CY924" s="302"/>
      <c r="CZ924" s="302"/>
      <c r="DA924" s="302"/>
      <c r="DB924" s="302"/>
      <c r="DC924" s="302"/>
      <c r="DD924" s="302"/>
      <c r="DE924" s="302"/>
      <c r="DF924" s="303"/>
      <c r="DG924" s="363"/>
      <c r="DH924" s="364"/>
      <c r="DI924" s="302"/>
      <c r="DJ924" s="302"/>
      <c r="DK924" s="302"/>
      <c r="DL924" s="302"/>
      <c r="DM924" s="302"/>
      <c r="DN924" s="302"/>
      <c r="DO924" s="302"/>
    </row>
    <row r="925" spans="1:119" hidden="1">
      <c r="A925" s="1"/>
      <c r="B925" s="1"/>
      <c r="C925" s="1"/>
      <c r="D925" s="756" t="s">
        <v>146</v>
      </c>
      <c r="E925" s="92"/>
      <c r="F925" s="134"/>
      <c r="G925" s="134"/>
      <c r="H925" s="134"/>
      <c r="I925" s="134"/>
      <c r="J925" s="761"/>
      <c r="K925" s="761">
        <f t="shared" ref="K925:AK925" si="1168">+K877/K$284</f>
        <v>9.1854587155963299E-2</v>
      </c>
      <c r="L925" s="761">
        <f t="shared" si="1168"/>
        <v>8.4003875968992253E-2</v>
      </c>
      <c r="M925" s="761">
        <f t="shared" si="1168"/>
        <v>7.4775069252077553E-2</v>
      </c>
      <c r="N925" s="761">
        <f t="shared" si="1168"/>
        <v>7.0574987998079694E-2</v>
      </c>
      <c r="O925" s="761">
        <f t="shared" si="1168"/>
        <v>8.1278857596191995E-2</v>
      </c>
      <c r="P925" s="761">
        <f t="shared" si="1168"/>
        <v>9.7465986804478072E-2</v>
      </c>
      <c r="Q925" s="761">
        <f t="shared" si="1168"/>
        <v>9.6203544363389099E-2</v>
      </c>
      <c r="R925" s="761">
        <f t="shared" si="1168"/>
        <v>7.6331360946745572E-2</v>
      </c>
      <c r="S925" s="761">
        <f t="shared" si="1168"/>
        <v>9.0150316455696197E-2</v>
      </c>
      <c r="T925" s="761">
        <f t="shared" si="1168"/>
        <v>8.5133795837462833E-2</v>
      </c>
      <c r="U925" s="761">
        <f t="shared" si="1168"/>
        <v>0.12052414605418139</v>
      </c>
      <c r="V925" s="761">
        <f t="shared" si="1168"/>
        <v>9.8422687570760836E-2</v>
      </c>
      <c r="W925" s="761">
        <f t="shared" si="1168"/>
        <v>0.10336723163841807</v>
      </c>
      <c r="X925" s="761">
        <f t="shared" si="1168"/>
        <v>7.4348003259983697E-2</v>
      </c>
      <c r="Y925" s="761">
        <f t="shared" si="1168"/>
        <v>8.8868117137669109E-2</v>
      </c>
      <c r="Z925" s="761">
        <f t="shared" si="1168"/>
        <v>7.1279125538029606E-2</v>
      </c>
      <c r="AA925" s="761">
        <f t="shared" si="1168"/>
        <v>5.7034489589154143E-2</v>
      </c>
      <c r="AB925" s="761">
        <f t="shared" si="1168"/>
        <v>4.564308597546566E-2</v>
      </c>
      <c r="AC925" s="761">
        <f t="shared" si="1168"/>
        <v>4.4774036535517772E-2</v>
      </c>
      <c r="AD925" s="761">
        <f t="shared" si="1168"/>
        <v>4.5282590560256387E-2</v>
      </c>
      <c r="AE925" s="761">
        <f t="shared" si="1168"/>
        <v>4.6034762186038296E-2</v>
      </c>
      <c r="AF925" s="761">
        <f t="shared" si="1168"/>
        <v>4.7933374061994348E-2</v>
      </c>
      <c r="AG925" s="761">
        <f t="shared" si="1168"/>
        <v>6.9695793839989459E-2</v>
      </c>
      <c r="AH925" s="761">
        <f t="shared" si="1168"/>
        <v>4.6517176964197257E-2</v>
      </c>
      <c r="AI925" s="761">
        <f t="shared" si="1168"/>
        <v>4.2701112333919058E-2</v>
      </c>
      <c r="AJ925" s="761" t="e">
        <f t="shared" si="1168"/>
        <v>#DIV/0!</v>
      </c>
      <c r="AK925" s="761">
        <f t="shared" si="1168"/>
        <v>2.583334240602865E-2</v>
      </c>
      <c r="AL925" s="761">
        <f t="shared" ref="AL925:AM927" si="1169">+AL877/AL$284</f>
        <v>2.5821697603293465E-2</v>
      </c>
      <c r="AM925" s="761">
        <f t="shared" si="1169"/>
        <v>2.5708723593603589E-2</v>
      </c>
      <c r="AN925" s="761">
        <v>3.0001631569094026E-2</v>
      </c>
      <c r="AO925" s="761">
        <v>3.0001631569094026E-2</v>
      </c>
      <c r="AP925" s="761"/>
      <c r="AQ925" s="761"/>
      <c r="AR925" s="761"/>
      <c r="AS925" s="761"/>
      <c r="AT925" s="761"/>
      <c r="AU925" s="302"/>
      <c r="AV925" s="302"/>
      <c r="AW925" s="302"/>
      <c r="AX925" s="302"/>
      <c r="AY925" s="302"/>
      <c r="AZ925" s="302"/>
      <c r="BA925" s="302"/>
      <c r="BB925" s="302"/>
      <c r="BC925" s="302"/>
      <c r="BD925" s="302"/>
      <c r="BE925" s="302"/>
      <c r="BF925" s="302"/>
      <c r="BG925" s="302"/>
      <c r="BH925" s="302"/>
      <c r="BI925" s="302"/>
      <c r="BJ925" s="302"/>
      <c r="BK925" s="302"/>
      <c r="BL925" s="302"/>
      <c r="BM925" s="302"/>
      <c r="BN925" s="302"/>
      <c r="BO925" s="302"/>
      <c r="BP925" s="302"/>
      <c r="BQ925" s="302"/>
      <c r="BR925" s="302"/>
      <c r="BS925" s="302"/>
      <c r="BT925" s="302"/>
      <c r="BU925" s="302"/>
      <c r="BV925" s="302"/>
      <c r="BW925" s="302"/>
      <c r="BX925" s="302"/>
      <c r="BY925" s="302"/>
      <c r="BZ925" s="302"/>
      <c r="CA925" s="302"/>
      <c r="CB925" s="302"/>
      <c r="CC925" s="302"/>
      <c r="CD925" s="302"/>
      <c r="CE925" s="302"/>
      <c r="CF925" s="302"/>
      <c r="CG925" s="302"/>
      <c r="CH925" s="302"/>
      <c r="CI925" s="302"/>
      <c r="CJ925" s="302"/>
      <c r="CK925" s="302"/>
      <c r="CL925" s="302"/>
      <c r="CM925" s="302"/>
      <c r="CN925" s="302"/>
      <c r="CO925" s="302"/>
      <c r="CP925" s="302"/>
      <c r="CQ925" s="302"/>
      <c r="CR925" s="302"/>
      <c r="CS925" s="302"/>
      <c r="CT925" s="302"/>
      <c r="CU925" s="302"/>
      <c r="CV925" s="302"/>
      <c r="CW925" s="302"/>
      <c r="CX925" s="302"/>
      <c r="CY925" s="302"/>
      <c r="CZ925" s="302"/>
      <c r="DA925" s="302"/>
      <c r="DB925" s="302"/>
      <c r="DC925" s="302"/>
      <c r="DD925" s="302"/>
      <c r="DE925" s="302"/>
      <c r="DF925" s="303"/>
      <c r="DG925" s="304"/>
      <c r="DH925" s="302"/>
      <c r="DI925" s="302"/>
      <c r="DJ925" s="302"/>
      <c r="DK925" s="302"/>
      <c r="DL925" s="302"/>
      <c r="DM925" s="302"/>
      <c r="DN925" s="302"/>
      <c r="DO925" s="302"/>
    </row>
    <row r="926" spans="1:119" hidden="1">
      <c r="A926" s="1"/>
      <c r="B926" s="1"/>
      <c r="C926" s="1"/>
      <c r="D926" s="757" t="s">
        <v>802</v>
      </c>
      <c r="E926" s="92"/>
      <c r="F926" s="134"/>
      <c r="G926" s="134"/>
      <c r="H926" s="134"/>
      <c r="I926" s="134"/>
      <c r="J926" s="761"/>
      <c r="K926" s="761">
        <f t="shared" ref="K926:AK926" si="1170">+K878/K$284</f>
        <v>3.7229882044560944E-2</v>
      </c>
      <c r="L926" s="761">
        <f t="shared" si="1170"/>
        <v>4.2049612403100775E-2</v>
      </c>
      <c r="M926" s="761">
        <f t="shared" si="1170"/>
        <v>4.0980055401662045E-2</v>
      </c>
      <c r="N926" s="761">
        <f t="shared" si="1170"/>
        <v>4.3811185789726356E-2</v>
      </c>
      <c r="O926" s="761">
        <f t="shared" si="1170"/>
        <v>5.7206743355811183E-2</v>
      </c>
      <c r="P926" s="761">
        <f t="shared" si="1170"/>
        <v>6.7536864464052521E-2</v>
      </c>
      <c r="Q926" s="761">
        <f t="shared" si="1170"/>
        <v>5.3099419759985583E-2</v>
      </c>
      <c r="R926" s="761">
        <f t="shared" si="1170"/>
        <v>0.05</v>
      </c>
      <c r="S926" s="761">
        <f t="shared" si="1170"/>
        <v>6.6495253164556956E-2</v>
      </c>
      <c r="T926" s="761">
        <f t="shared" si="1170"/>
        <v>5.5170135447637922E-2</v>
      </c>
      <c r="U926" s="761">
        <f t="shared" si="1170"/>
        <v>8.3333333333333329E-2</v>
      </c>
      <c r="V926" s="761">
        <f t="shared" si="1170"/>
        <v>5.5836346360685539E-2</v>
      </c>
      <c r="W926" s="761">
        <f t="shared" si="1170"/>
        <v>6.0045197740112993E-2</v>
      </c>
      <c r="X926" s="761">
        <f t="shared" si="1170"/>
        <v>3.8712306438467806E-2</v>
      </c>
      <c r="Y926" s="761">
        <f t="shared" si="1170"/>
        <v>3.2045599759634828E-2</v>
      </c>
      <c r="Z926" s="761">
        <f t="shared" si="1170"/>
        <v>2.9970865467009423E-2</v>
      </c>
      <c r="AA926" s="761">
        <f t="shared" si="1170"/>
        <v>3.1253931066340168E-2</v>
      </c>
      <c r="AB926" s="761">
        <f t="shared" si="1170"/>
        <v>2.5460614313867643E-2</v>
      </c>
      <c r="AC926" s="761">
        <f t="shared" si="1170"/>
        <v>2.3727379848891023E-2</v>
      </c>
      <c r="AD926" s="761">
        <f t="shared" si="1170"/>
        <v>1.8547613272556263E-2</v>
      </c>
      <c r="AE926" s="761">
        <f t="shared" si="1170"/>
        <v>1.8366466258965909E-2</v>
      </c>
      <c r="AF926" s="761">
        <f t="shared" si="1170"/>
        <v>1.9801203329536613E-2</v>
      </c>
      <c r="AG926" s="761">
        <f t="shared" si="1170"/>
        <v>3.860167361732799E-2</v>
      </c>
      <c r="AH926" s="761">
        <f t="shared" si="1170"/>
        <v>1.9901508046066642E-2</v>
      </c>
      <c r="AI926" s="761">
        <f t="shared" si="1170"/>
        <v>1.4215024949387405E-2</v>
      </c>
      <c r="AJ926" s="761" t="e">
        <f t="shared" si="1170"/>
        <v>#DIV/0!</v>
      </c>
      <c r="AK926" s="761">
        <f t="shared" si="1170"/>
        <v>6.4389916873385583E-3</v>
      </c>
      <c r="AL926" s="761">
        <f t="shared" si="1169"/>
        <v>7.3610010832028602E-3</v>
      </c>
      <c r="AM926" s="761">
        <f t="shared" si="1169"/>
        <v>8.2231553641310857E-3</v>
      </c>
      <c r="AN926" s="761">
        <v>1.2693829260953046E-2</v>
      </c>
      <c r="AO926" s="761">
        <v>1.2693829260953046E-2</v>
      </c>
      <c r="AP926" s="761"/>
      <c r="AQ926" s="761"/>
      <c r="AR926" s="761"/>
      <c r="AS926" s="761"/>
      <c r="AT926" s="761"/>
      <c r="AU926" s="302"/>
      <c r="AV926" s="302"/>
      <c r="AW926" s="302"/>
      <c r="AX926" s="302"/>
      <c r="AY926" s="302"/>
      <c r="AZ926" s="302"/>
      <c r="BA926" s="302"/>
      <c r="BB926" s="302"/>
      <c r="BC926" s="302"/>
      <c r="BD926" s="302"/>
      <c r="BE926" s="302"/>
      <c r="BF926" s="302"/>
      <c r="BG926" s="302"/>
      <c r="BH926" s="302"/>
      <c r="BI926" s="302"/>
      <c r="BJ926" s="302"/>
      <c r="BK926" s="302"/>
      <c r="BL926" s="302"/>
      <c r="BM926" s="302"/>
      <c r="BN926" s="302"/>
      <c r="BO926" s="302"/>
      <c r="BP926" s="302"/>
      <c r="BQ926" s="302"/>
      <c r="BR926" s="302"/>
      <c r="BS926" s="302"/>
      <c r="BT926" s="302"/>
      <c r="BU926" s="302"/>
      <c r="BV926" s="302"/>
      <c r="BW926" s="302"/>
      <c r="BX926" s="302"/>
      <c r="BY926" s="302"/>
      <c r="BZ926" s="302"/>
      <c r="CA926" s="302"/>
      <c r="CB926" s="302"/>
      <c r="CC926" s="302"/>
      <c r="CD926" s="302"/>
      <c r="CE926" s="302"/>
      <c r="CF926" s="302"/>
      <c r="CG926" s="302"/>
      <c r="CH926" s="302"/>
      <c r="CI926" s="302"/>
      <c r="CJ926" s="302"/>
      <c r="CK926" s="302"/>
      <c r="CL926" s="302"/>
      <c r="CM926" s="302"/>
      <c r="CN926" s="302"/>
      <c r="CO926" s="302"/>
      <c r="CP926" s="302"/>
      <c r="CQ926" s="302"/>
      <c r="CR926" s="302"/>
      <c r="CS926" s="302"/>
      <c r="CT926" s="302"/>
      <c r="CU926" s="302"/>
      <c r="CV926" s="302"/>
      <c r="CW926" s="302"/>
      <c r="CX926" s="302"/>
      <c r="CY926" s="302"/>
      <c r="CZ926" s="302"/>
      <c r="DA926" s="302"/>
      <c r="DB926" s="302"/>
      <c r="DC926" s="302"/>
      <c r="DD926" s="302"/>
      <c r="DE926" s="302"/>
      <c r="DF926" s="303"/>
      <c r="DG926" s="304"/>
      <c r="DH926" s="302"/>
      <c r="DI926" s="302"/>
      <c r="DJ926" s="302"/>
      <c r="DK926" s="302"/>
      <c r="DL926" s="302"/>
      <c r="DM926" s="302"/>
      <c r="DN926" s="302"/>
      <c r="DO926" s="302"/>
    </row>
    <row r="927" spans="1:119" hidden="1">
      <c r="A927" s="1"/>
      <c r="B927" s="1"/>
      <c r="C927" s="1"/>
      <c r="D927" s="757" t="s">
        <v>148</v>
      </c>
      <c r="E927" s="92"/>
      <c r="F927" s="134"/>
      <c r="G927" s="134"/>
      <c r="H927" s="134"/>
      <c r="I927" s="134"/>
      <c r="J927" s="761"/>
      <c r="K927" s="761">
        <f t="shared" ref="K927:AK927" si="1171">+K879/K$284</f>
        <v>5.4624705111402362E-2</v>
      </c>
      <c r="L927" s="761">
        <f t="shared" si="1171"/>
        <v>4.1954263565891478E-2</v>
      </c>
      <c r="M927" s="761">
        <f t="shared" si="1171"/>
        <v>3.3795013850415515E-2</v>
      </c>
      <c r="N927" s="761">
        <f t="shared" si="1171"/>
        <v>2.6763802208353334E-2</v>
      </c>
      <c r="O927" s="761">
        <f t="shared" si="1171"/>
        <v>2.4072114240380801E-2</v>
      </c>
      <c r="P927" s="761">
        <f t="shared" si="1171"/>
        <v>2.9929122340425534E-2</v>
      </c>
      <c r="Q927" s="761">
        <f t="shared" si="1171"/>
        <v>4.3104124603403522E-2</v>
      </c>
      <c r="R927" s="761">
        <f t="shared" si="1171"/>
        <v>2.6331360946745562E-2</v>
      </c>
      <c r="S927" s="761">
        <f t="shared" si="1171"/>
        <v>2.3655063291139238E-2</v>
      </c>
      <c r="T927" s="761">
        <f t="shared" si="1171"/>
        <v>2.9963660389824912E-2</v>
      </c>
      <c r="U927" s="761">
        <f t="shared" si="1171"/>
        <v>3.7190812720848059E-2</v>
      </c>
      <c r="V927" s="761">
        <f t="shared" si="1171"/>
        <v>4.2586341210075304E-2</v>
      </c>
      <c r="W927" s="761">
        <f t="shared" si="1171"/>
        <v>4.3322033898305079E-2</v>
      </c>
      <c r="X927" s="761">
        <f t="shared" si="1171"/>
        <v>3.5635696821515891E-2</v>
      </c>
      <c r="Y927" s="761">
        <f t="shared" si="1171"/>
        <v>5.682251737803428E-2</v>
      </c>
      <c r="Z927" s="761">
        <f t="shared" si="1171"/>
        <v>4.1308260071020175E-2</v>
      </c>
      <c r="AA927" s="761">
        <f t="shared" si="1171"/>
        <v>2.5780558522813978E-2</v>
      </c>
      <c r="AB927" s="761">
        <f t="shared" si="1171"/>
        <v>2.0182471661598009E-2</v>
      </c>
      <c r="AC927" s="761">
        <f t="shared" si="1171"/>
        <v>2.1046656686626749E-2</v>
      </c>
      <c r="AD927" s="761">
        <f t="shared" si="1171"/>
        <v>2.6734977287700121E-2</v>
      </c>
      <c r="AE927" s="761">
        <f t="shared" si="1171"/>
        <v>2.7668295927072383E-2</v>
      </c>
      <c r="AF927" s="761">
        <f t="shared" si="1171"/>
        <v>2.8132170732457735E-2</v>
      </c>
      <c r="AG927" s="761">
        <f t="shared" si="1171"/>
        <v>3.1094120222661458E-2</v>
      </c>
      <c r="AH927" s="761">
        <f t="shared" si="1171"/>
        <v>2.6615668918130619E-2</v>
      </c>
      <c r="AI927" s="761">
        <f t="shared" si="1171"/>
        <v>2.8486087384531657E-2</v>
      </c>
      <c r="AJ927" s="761" t="e">
        <f t="shared" si="1171"/>
        <v>#DIV/0!</v>
      </c>
      <c r="AK927" s="761">
        <f t="shared" si="1171"/>
        <v>1.9394350718690091E-2</v>
      </c>
      <c r="AL927" s="761">
        <f t="shared" si="1169"/>
        <v>1.8460696520090605E-2</v>
      </c>
      <c r="AM927" s="761">
        <f t="shared" si="1169"/>
        <v>1.74855682294725E-2</v>
      </c>
      <c r="AN927" s="761">
        <v>1.7307802308140982E-2</v>
      </c>
      <c r="AO927" s="761">
        <v>1.7307802308140982E-2</v>
      </c>
      <c r="AP927" s="761"/>
      <c r="AQ927" s="761"/>
      <c r="AR927" s="761"/>
      <c r="AS927" s="761"/>
      <c r="AT927" s="761"/>
      <c r="AU927" s="364"/>
      <c r="AV927" s="364"/>
      <c r="AW927" s="364"/>
      <c r="AX927" s="364"/>
      <c r="AY927" s="364"/>
      <c r="AZ927" s="364"/>
      <c r="BA927" s="364"/>
      <c r="BB927" s="364"/>
      <c r="BC927" s="364"/>
      <c r="BD927" s="364"/>
      <c r="BE927" s="364"/>
      <c r="BF927" s="364"/>
      <c r="BG927" s="364"/>
      <c r="BH927" s="364"/>
      <c r="BI927" s="364"/>
      <c r="BJ927" s="364"/>
      <c r="BK927" s="364"/>
      <c r="BL927" s="364"/>
      <c r="BM927" s="364"/>
      <c r="BN927" s="364"/>
      <c r="BO927" s="364"/>
      <c r="BP927" s="364"/>
      <c r="BQ927" s="364"/>
      <c r="BR927" s="364"/>
      <c r="BS927" s="364"/>
      <c r="BT927" s="364"/>
      <c r="BU927" s="364"/>
      <c r="BV927" s="364"/>
      <c r="BW927" s="364"/>
      <c r="BX927" s="364"/>
      <c r="BY927" s="364"/>
      <c r="BZ927" s="364"/>
      <c r="CA927" s="364"/>
      <c r="CB927" s="364"/>
      <c r="CC927" s="364"/>
      <c r="CD927" s="364"/>
      <c r="CE927" s="364"/>
      <c r="CF927" s="364"/>
      <c r="CG927" s="364"/>
      <c r="CH927" s="364"/>
      <c r="CI927" s="364"/>
      <c r="CJ927" s="364"/>
      <c r="CK927" s="364"/>
      <c r="CL927" s="364"/>
      <c r="CM927" s="364"/>
      <c r="CN927" s="364"/>
      <c r="CO927" s="364"/>
      <c r="CP927" s="364"/>
      <c r="CQ927" s="364"/>
      <c r="CR927" s="364"/>
      <c r="CS927" s="364"/>
      <c r="CT927" s="364"/>
      <c r="CU927" s="364"/>
      <c r="CV927" s="364"/>
      <c r="CW927" s="364"/>
      <c r="CX927" s="364"/>
      <c r="CY927" s="302"/>
      <c r="CZ927" s="302"/>
      <c r="DA927" s="302"/>
      <c r="DB927" s="302"/>
      <c r="DC927" s="302"/>
      <c r="DD927" s="302"/>
      <c r="DE927" s="302"/>
      <c r="DF927" s="303"/>
      <c r="DG927" s="363"/>
      <c r="DH927" s="364"/>
      <c r="DI927" s="302"/>
      <c r="DJ927" s="302"/>
      <c r="DK927" s="302"/>
      <c r="DL927" s="302"/>
      <c r="DM927" s="302"/>
      <c r="DN927" s="302"/>
      <c r="DO927" s="302"/>
    </row>
    <row r="928" spans="1:119" hidden="1">
      <c r="A928" s="1"/>
      <c r="B928" s="1"/>
      <c r="C928" s="1"/>
      <c r="D928" s="755" t="s">
        <v>151</v>
      </c>
      <c r="E928" s="92"/>
      <c r="F928" s="134"/>
      <c r="G928" s="134"/>
      <c r="H928" s="134"/>
      <c r="I928" s="134"/>
      <c r="J928" s="761"/>
      <c r="K928" s="761">
        <f t="shared" ref="K928:AK928" si="1172">+K881/K$284</f>
        <v>0.20253602100720838</v>
      </c>
      <c r="L928" s="761">
        <f t="shared" si="1172"/>
        <v>0.18733255813953489</v>
      </c>
      <c r="M928" s="761">
        <f t="shared" si="1172"/>
        <v>0.19861324099722991</v>
      </c>
      <c r="N928" s="761">
        <f t="shared" si="1172"/>
        <v>0.19528535765722516</v>
      </c>
      <c r="O928" s="761">
        <f t="shared" si="1172"/>
        <v>0.19111831812772712</v>
      </c>
      <c r="P928" s="761">
        <f t="shared" si="1172"/>
        <v>0.19936963659407914</v>
      </c>
      <c r="Q928" s="761">
        <f t="shared" si="1172"/>
        <v>0.20750781914565619</v>
      </c>
      <c r="R928" s="761">
        <f t="shared" si="1172"/>
        <v>0.20428994082840238</v>
      </c>
      <c r="S928" s="761">
        <f t="shared" si="1172"/>
        <v>0.20636867088607591</v>
      </c>
      <c r="T928" s="761">
        <f t="shared" si="1172"/>
        <v>0.24159233564585397</v>
      </c>
      <c r="U928" s="761">
        <f t="shared" si="1172"/>
        <v>0.2367491166077739</v>
      </c>
      <c r="V928" s="761">
        <f t="shared" si="1172"/>
        <v>0.25559298388236823</v>
      </c>
      <c r="W928" s="761">
        <f t="shared" si="1172"/>
        <v>0.24815819209039547</v>
      </c>
      <c r="X928" s="761">
        <f t="shared" si="1172"/>
        <v>0.27212713936430322</v>
      </c>
      <c r="Y928" s="761">
        <f t="shared" si="1172"/>
        <v>0.28855338506969774</v>
      </c>
      <c r="Z928" s="761">
        <f t="shared" si="1172"/>
        <v>0.294898029134533</v>
      </c>
      <c r="AA928" s="761">
        <f t="shared" si="1172"/>
        <v>0.26776125182700672</v>
      </c>
      <c r="AB928" s="761">
        <f t="shared" si="1172"/>
        <v>0.26857893281725187</v>
      </c>
      <c r="AC928" s="761">
        <f t="shared" si="1172"/>
        <v>0.27289667925250133</v>
      </c>
      <c r="AD928" s="761">
        <f t="shared" si="1172"/>
        <v>0.29956846690135241</v>
      </c>
      <c r="AE928" s="761">
        <f t="shared" si="1172"/>
        <v>0.3465936613523441</v>
      </c>
      <c r="AF928" s="761">
        <f t="shared" si="1172"/>
        <v>0.30282000071641868</v>
      </c>
      <c r="AG928" s="761">
        <f t="shared" si="1172"/>
        <v>0.3316415550678749</v>
      </c>
      <c r="AH928" s="761">
        <f t="shared" si="1172"/>
        <v>0.30070001343675484</v>
      </c>
      <c r="AI928" s="761">
        <f t="shared" si="1172"/>
        <v>0.30887180679469173</v>
      </c>
      <c r="AJ928" s="761" t="e">
        <f t="shared" si="1172"/>
        <v>#DIV/0!</v>
      </c>
      <c r="AK928" s="761" t="e">
        <f t="shared" si="1172"/>
        <v>#DIV/0!</v>
      </c>
      <c r="AL928" s="761" t="e">
        <f>+AL881/AL$284</f>
        <v>#DIV/0!</v>
      </c>
      <c r="AM928" s="761" t="e">
        <f>+AM881/AM$284</f>
        <v>#DIV/0!</v>
      </c>
      <c r="AN928" s="761">
        <v>0.29474347704257753</v>
      </c>
      <c r="AO928" s="761">
        <v>0.29474347704257753</v>
      </c>
      <c r="AP928" s="761"/>
      <c r="AQ928" s="761"/>
      <c r="AR928" s="761"/>
      <c r="AS928" s="761"/>
      <c r="AT928" s="761"/>
      <c r="AU928" s="364"/>
      <c r="AV928" s="364"/>
      <c r="AW928" s="364"/>
      <c r="AX928" s="364"/>
      <c r="AY928" s="364"/>
      <c r="AZ928" s="364"/>
      <c r="BA928" s="364"/>
      <c r="BB928" s="364"/>
      <c r="BC928" s="364"/>
      <c r="BD928" s="364"/>
      <c r="BE928" s="364"/>
      <c r="BF928" s="364"/>
      <c r="BG928" s="364"/>
      <c r="BH928" s="364"/>
      <c r="BI928" s="364"/>
      <c r="BJ928" s="364"/>
      <c r="BK928" s="364"/>
      <c r="BL928" s="364"/>
      <c r="BM928" s="364"/>
      <c r="BN928" s="364"/>
      <c r="BO928" s="364"/>
      <c r="BP928" s="364"/>
      <c r="BQ928" s="364"/>
      <c r="BR928" s="364"/>
      <c r="BS928" s="364"/>
      <c r="BT928" s="364"/>
      <c r="BU928" s="364"/>
      <c r="BV928" s="364"/>
      <c r="BW928" s="364"/>
      <c r="BX928" s="364"/>
      <c r="BY928" s="364"/>
      <c r="BZ928" s="364"/>
      <c r="CA928" s="364"/>
      <c r="CB928" s="364"/>
      <c r="CC928" s="364"/>
      <c r="CD928" s="364"/>
      <c r="CE928" s="364"/>
      <c r="CF928" s="364"/>
      <c r="CG928" s="364"/>
      <c r="CH928" s="364"/>
      <c r="CI928" s="364"/>
      <c r="CJ928" s="364"/>
      <c r="CK928" s="364"/>
      <c r="CL928" s="364"/>
      <c r="CM928" s="364"/>
      <c r="CN928" s="364"/>
      <c r="CO928" s="364"/>
      <c r="CP928" s="364"/>
      <c r="CQ928" s="364"/>
      <c r="CR928" s="364"/>
      <c r="CS928" s="364"/>
      <c r="CT928" s="364"/>
      <c r="CU928" s="364"/>
      <c r="CV928" s="364"/>
      <c r="CW928" s="364"/>
      <c r="CX928" s="364"/>
      <c r="CY928" s="302"/>
      <c r="CZ928" s="302"/>
      <c r="DA928" s="302"/>
      <c r="DB928" s="302"/>
      <c r="DC928" s="302"/>
      <c r="DD928" s="302"/>
      <c r="DE928" s="302"/>
      <c r="DF928" s="303"/>
      <c r="DG928" s="363"/>
      <c r="DH928" s="364"/>
      <c r="DI928" s="302"/>
      <c r="DJ928" s="302"/>
      <c r="DK928" s="302"/>
      <c r="DL928" s="302"/>
      <c r="DM928" s="302"/>
      <c r="DN928" s="302"/>
      <c r="DO928" s="302"/>
    </row>
    <row r="929" spans="1:119" hidden="1">
      <c r="A929" s="1"/>
      <c r="B929" s="1"/>
      <c r="C929" s="1"/>
      <c r="D929" s="758" t="s">
        <v>152</v>
      </c>
      <c r="E929" s="92"/>
      <c r="F929" s="134"/>
      <c r="G929" s="134"/>
      <c r="H929" s="134"/>
      <c r="I929" s="134"/>
      <c r="J929" s="761"/>
      <c r="K929" s="761">
        <f t="shared" ref="K929:AK929" si="1173">+K882/K$284</f>
        <v>0.11485711214875492</v>
      </c>
      <c r="L929" s="761">
        <f t="shared" si="1173"/>
        <v>0.11742987477638639</v>
      </c>
      <c r="M929" s="761">
        <f t="shared" si="1173"/>
        <v>0.13409085872576176</v>
      </c>
      <c r="N929" s="761">
        <f t="shared" si="1173"/>
        <v>0.14162635621699471</v>
      </c>
      <c r="O929" s="761">
        <f t="shared" si="1173"/>
        <v>0.12912291947639826</v>
      </c>
      <c r="P929" s="761">
        <f t="shared" si="1173"/>
        <v>0.12625894686901265</v>
      </c>
      <c r="Q929" s="761">
        <f t="shared" si="1173"/>
        <v>0.13464503379924719</v>
      </c>
      <c r="R929" s="761">
        <f t="shared" si="1173"/>
        <v>0.13145956607495071</v>
      </c>
      <c r="S929" s="761">
        <f t="shared" si="1173"/>
        <v>0.1380142405063291</v>
      </c>
      <c r="T929" s="761">
        <f t="shared" si="1173"/>
        <v>0.13270564915758176</v>
      </c>
      <c r="U929" s="761">
        <f t="shared" si="1173"/>
        <v>0.135188457008245</v>
      </c>
      <c r="V929" s="761">
        <f t="shared" si="1173"/>
        <v>0.13684647137003378</v>
      </c>
      <c r="W929" s="761">
        <f t="shared" si="1173"/>
        <v>0.13877966101694914</v>
      </c>
      <c r="X929" s="761">
        <f t="shared" si="1173"/>
        <v>0.1291564792176039</v>
      </c>
      <c r="Y929" s="761">
        <f t="shared" si="1173"/>
        <v>0.14573046544216831</v>
      </c>
      <c r="Z929" s="761">
        <f t="shared" si="1173"/>
        <v>0.14305569837189375</v>
      </c>
      <c r="AA929" s="761">
        <f t="shared" si="1173"/>
        <v>0.1445951578745219</v>
      </c>
      <c r="AB929" s="761">
        <f t="shared" si="1173"/>
        <v>0.14785734033729608</v>
      </c>
      <c r="AC929" s="761">
        <f t="shared" si="1173"/>
        <v>0.14686592618237157</v>
      </c>
      <c r="AD929" s="761">
        <f t="shared" si="1173"/>
        <v>0.15411850094680071</v>
      </c>
      <c r="AE929" s="761">
        <f t="shared" si="1173"/>
        <v>0.1660302455319955</v>
      </c>
      <c r="AF929" s="761">
        <f t="shared" si="1173"/>
        <v>0.16259841219575435</v>
      </c>
      <c r="AG929" s="761">
        <f t="shared" si="1173"/>
        <v>0.19843368998783337</v>
      </c>
      <c r="AH929" s="761">
        <f t="shared" si="1173"/>
        <v>0.17846343342870569</v>
      </c>
      <c r="AI929" s="761">
        <f t="shared" si="1173"/>
        <v>0.18355596695804008</v>
      </c>
      <c r="AJ929" s="761" t="e">
        <f t="shared" si="1173"/>
        <v>#DIV/0!</v>
      </c>
      <c r="AK929" s="761" t="e">
        <f t="shared" si="1173"/>
        <v>#DIV/0!</v>
      </c>
      <c r="AL929" s="761" t="e">
        <f>+AL882/AL$284</f>
        <v>#DIV/0!</v>
      </c>
      <c r="AM929" s="761" t="e">
        <f>+AM882/AM$284</f>
        <v>#DIV/0!</v>
      </c>
      <c r="AN929" s="761">
        <v>0.17779096898906718</v>
      </c>
      <c r="AO929" s="761">
        <v>0.17779096898906718</v>
      </c>
      <c r="AP929" s="761"/>
      <c r="AQ929" s="761"/>
      <c r="AR929" s="761"/>
      <c r="AS929" s="761"/>
      <c r="AT929" s="761"/>
      <c r="AU929" s="364"/>
      <c r="AV929" s="364"/>
      <c r="AW929" s="364"/>
      <c r="AX929" s="364"/>
      <c r="AY929" s="364"/>
      <c r="AZ929" s="364"/>
      <c r="BA929" s="364"/>
      <c r="BB929" s="364"/>
      <c r="BC929" s="364"/>
      <c r="BD929" s="364"/>
      <c r="BE929" s="364"/>
      <c r="BF929" s="364"/>
      <c r="BG929" s="364"/>
      <c r="BH929" s="364"/>
      <c r="BI929" s="364"/>
      <c r="BJ929" s="364"/>
      <c r="BK929" s="364"/>
      <c r="BL929" s="364"/>
      <c r="BM929" s="364"/>
      <c r="BN929" s="364"/>
      <c r="BO929" s="364"/>
      <c r="BP929" s="364"/>
      <c r="BQ929" s="364"/>
      <c r="BR929" s="364"/>
      <c r="BS929" s="364"/>
      <c r="BT929" s="364"/>
      <c r="BU929" s="364"/>
      <c r="BV929" s="364"/>
      <c r="BW929" s="364"/>
      <c r="BX929" s="364"/>
      <c r="BY929" s="364"/>
      <c r="BZ929" s="364"/>
      <c r="CA929" s="364"/>
      <c r="CB929" s="364"/>
      <c r="CC929" s="364"/>
      <c r="CD929" s="364"/>
      <c r="CE929" s="364"/>
      <c r="CF929" s="364"/>
      <c r="CG929" s="364"/>
      <c r="CH929" s="364"/>
      <c r="CI929" s="364"/>
      <c r="CJ929" s="364"/>
      <c r="CK929" s="364"/>
      <c r="CL929" s="364"/>
      <c r="CM929" s="364"/>
      <c r="CN929" s="364"/>
      <c r="CO929" s="364"/>
      <c r="CP929" s="364"/>
      <c r="CQ929" s="364"/>
      <c r="CR929" s="364"/>
      <c r="CS929" s="364"/>
      <c r="CT929" s="364"/>
      <c r="CU929" s="364"/>
      <c r="CV929" s="364"/>
      <c r="CW929" s="364"/>
      <c r="CX929" s="364"/>
      <c r="CY929" s="302"/>
      <c r="CZ929" s="302"/>
      <c r="DA929" s="302"/>
      <c r="DB929" s="302"/>
      <c r="DC929" s="302"/>
      <c r="DD929" s="302"/>
      <c r="DE929" s="302"/>
      <c r="DF929" s="303"/>
      <c r="DG929" s="363"/>
      <c r="DH929" s="364"/>
      <c r="DI929" s="302"/>
      <c r="DJ929" s="302"/>
      <c r="DK929" s="302"/>
      <c r="DL929" s="302"/>
      <c r="DM929" s="302"/>
      <c r="DN929" s="302"/>
      <c r="DO929" s="302"/>
    </row>
    <row r="930" spans="1:119" hidden="1">
      <c r="A930" s="1"/>
      <c r="B930" s="1"/>
      <c r="C930" s="1"/>
      <c r="D930" s="1379" t="str">
        <f>D883</f>
        <v xml:space="preserve">      Of which: PKO expenditure, incl. bonuses</v>
      </c>
      <c r="E930" s="92"/>
      <c r="F930" s="134"/>
      <c r="G930" s="134"/>
      <c r="H930" s="134"/>
      <c r="I930" s="134"/>
      <c r="J930" s="761"/>
      <c r="K930" s="761"/>
      <c r="L930" s="761"/>
      <c r="M930" s="761"/>
      <c r="N930" s="761"/>
      <c r="O930" s="761"/>
      <c r="P930" s="761"/>
      <c r="Q930" s="761"/>
      <c r="R930" s="761"/>
      <c r="S930" s="761"/>
      <c r="T930" s="761"/>
      <c r="U930" s="761"/>
      <c r="V930" s="761"/>
      <c r="W930" s="761"/>
      <c r="X930" s="761"/>
      <c r="Y930" s="761"/>
      <c r="Z930" s="761"/>
      <c r="AA930" s="761"/>
      <c r="AB930" s="761"/>
      <c r="AC930" s="761"/>
      <c r="AD930" s="761"/>
      <c r="AE930" s="761">
        <f>AE883/AE$284</f>
        <v>1.9632432449888965E-2</v>
      </c>
      <c r="AF930" s="761">
        <f t="shared" ref="AF930:AK930" si="1174">AF883/AF$284</f>
        <v>1.3211948921184088E-2</v>
      </c>
      <c r="AG930" s="761">
        <f t="shared" si="1174"/>
        <v>1.1042510699499001E-2</v>
      </c>
      <c r="AH930" s="761">
        <f t="shared" si="1174"/>
        <v>9.9311683994452032E-3</v>
      </c>
      <c r="AI930" s="761">
        <f t="shared" si="1174"/>
        <v>9.9489268995735219E-3</v>
      </c>
      <c r="AJ930" s="761" t="e">
        <f t="shared" si="1174"/>
        <v>#DIV/0!</v>
      </c>
      <c r="AK930" s="761">
        <f t="shared" si="1174"/>
        <v>0</v>
      </c>
      <c r="AL930" s="761">
        <f>AL883/AL$284</f>
        <v>0</v>
      </c>
      <c r="AM930" s="761">
        <f>AM883/AM$284</f>
        <v>0</v>
      </c>
      <c r="AN930" s="761">
        <v>8.2418824569814725E-3</v>
      </c>
      <c r="AO930" s="761">
        <v>8.2418824569814725E-3</v>
      </c>
      <c r="AP930" s="761"/>
      <c r="AQ930" s="761"/>
      <c r="AR930" s="761"/>
      <c r="AS930" s="761"/>
      <c r="AT930" s="761"/>
      <c r="AU930" s="364"/>
      <c r="AV930" s="364"/>
      <c r="AW930" s="364"/>
      <c r="AX930" s="364"/>
      <c r="AY930" s="364"/>
      <c r="AZ930" s="364"/>
      <c r="BA930" s="364"/>
      <c r="BB930" s="364"/>
      <c r="BC930" s="364"/>
      <c r="BD930" s="364"/>
      <c r="BE930" s="364"/>
      <c r="BF930" s="364"/>
      <c r="BG930" s="364"/>
      <c r="BH930" s="364"/>
      <c r="BI930" s="364"/>
      <c r="BJ930" s="364"/>
      <c r="BK930" s="364"/>
      <c r="BL930" s="364"/>
      <c r="BM930" s="364"/>
      <c r="BN930" s="364"/>
      <c r="BO930" s="364"/>
      <c r="BP930" s="364"/>
      <c r="BQ930" s="364"/>
      <c r="BR930" s="364"/>
      <c r="BS930" s="364"/>
      <c r="BT930" s="364"/>
      <c r="BU930" s="364"/>
      <c r="BV930" s="364"/>
      <c r="BW930" s="364"/>
      <c r="BX930" s="364"/>
      <c r="BY930" s="364"/>
      <c r="BZ930" s="364"/>
      <c r="CA930" s="364"/>
      <c r="CB930" s="364"/>
      <c r="CC930" s="364"/>
      <c r="CD930" s="364"/>
      <c r="CE930" s="364"/>
      <c r="CF930" s="364"/>
      <c r="CG930" s="364"/>
      <c r="CH930" s="364"/>
      <c r="CI930" s="364"/>
      <c r="CJ930" s="364"/>
      <c r="CK930" s="364"/>
      <c r="CL930" s="364"/>
      <c r="CM930" s="364"/>
      <c r="CN930" s="364"/>
      <c r="CO930" s="364"/>
      <c r="CP930" s="364"/>
      <c r="CQ930" s="364"/>
      <c r="CR930" s="364"/>
      <c r="CS930" s="364"/>
      <c r="CT930" s="364"/>
      <c r="CU930" s="364"/>
      <c r="CV930" s="364"/>
      <c r="CW930" s="364"/>
      <c r="CX930" s="364"/>
      <c r="CY930" s="302"/>
      <c r="CZ930" s="302"/>
      <c r="DA930" s="302"/>
      <c r="DB930" s="302"/>
      <c r="DC930" s="302"/>
      <c r="DD930" s="302"/>
      <c r="DE930" s="302"/>
      <c r="DF930" s="303"/>
      <c r="DG930" s="363"/>
      <c r="DH930" s="364"/>
      <c r="DI930" s="302"/>
      <c r="DJ930" s="302"/>
      <c r="DK930" s="302"/>
      <c r="DL930" s="302"/>
      <c r="DM930" s="302"/>
      <c r="DN930" s="302"/>
      <c r="DO930" s="302"/>
    </row>
    <row r="931" spans="1:119" hidden="1">
      <c r="A931" s="1"/>
      <c r="B931" s="1"/>
      <c r="C931" s="1"/>
      <c r="D931" s="1380" t="str">
        <f>D884</f>
        <v xml:space="preserve">   Of Which Emergencies</v>
      </c>
      <c r="E931" s="92"/>
      <c r="F931" s="134"/>
      <c r="G931" s="134"/>
      <c r="H931" s="134"/>
      <c r="I931" s="134"/>
      <c r="J931" s="761"/>
      <c r="K931" s="761"/>
      <c r="L931" s="761"/>
      <c r="M931" s="761"/>
      <c r="N931" s="761"/>
      <c r="O931" s="761"/>
      <c r="P931" s="761"/>
      <c r="Q931" s="761"/>
      <c r="R931" s="761"/>
      <c r="S931" s="761"/>
      <c r="T931" s="761"/>
      <c r="U931" s="761"/>
      <c r="V931" s="761"/>
      <c r="W931" s="761"/>
      <c r="X931" s="761"/>
      <c r="Y931" s="761"/>
      <c r="Z931" s="761"/>
      <c r="AA931" s="761"/>
      <c r="AB931" s="761"/>
      <c r="AC931" s="761"/>
      <c r="AD931" s="761"/>
      <c r="AE931" s="1382">
        <f>AE884/$AE$284</f>
        <v>3.5158747070104411E-3</v>
      </c>
      <c r="AF931" s="761">
        <f>AF884/$AE$284</f>
        <v>0</v>
      </c>
      <c r="AG931" s="761"/>
      <c r="AH931" s="761"/>
      <c r="AI931" s="761"/>
      <c r="AJ931" s="761"/>
      <c r="AK931" s="761"/>
      <c r="AL931" s="761"/>
      <c r="AM931" s="761"/>
      <c r="AN931" s="761"/>
      <c r="AO931" s="761"/>
      <c r="AP931" s="761"/>
      <c r="AQ931" s="761"/>
      <c r="AR931" s="761"/>
      <c r="AS931" s="761"/>
      <c r="AT931" s="761"/>
      <c r="AU931" s="364"/>
      <c r="AV931" s="364"/>
      <c r="AW931" s="364"/>
      <c r="AX931" s="364"/>
      <c r="AY931" s="364"/>
      <c r="AZ931" s="364"/>
      <c r="BA931" s="364"/>
      <c r="BB931" s="364"/>
      <c r="BC931" s="364"/>
      <c r="BD931" s="364"/>
      <c r="BE931" s="364"/>
      <c r="BF931" s="364"/>
      <c r="BG931" s="364"/>
      <c r="BH931" s="364"/>
      <c r="BI931" s="364"/>
      <c r="BJ931" s="364"/>
      <c r="BK931" s="364"/>
      <c r="BL931" s="364"/>
      <c r="BM931" s="364"/>
      <c r="BN931" s="364"/>
      <c r="BO931" s="364"/>
      <c r="BP931" s="364"/>
      <c r="BQ931" s="364"/>
      <c r="BR931" s="364"/>
      <c r="BS931" s="364"/>
      <c r="BT931" s="364"/>
      <c r="BU931" s="364"/>
      <c r="BV931" s="364"/>
      <c r="BW931" s="364"/>
      <c r="BX931" s="364"/>
      <c r="BY931" s="364"/>
      <c r="BZ931" s="364"/>
      <c r="CA931" s="364"/>
      <c r="CB931" s="364"/>
      <c r="CC931" s="364"/>
      <c r="CD931" s="364"/>
      <c r="CE931" s="364"/>
      <c r="CF931" s="364"/>
      <c r="CG931" s="364"/>
      <c r="CH931" s="364"/>
      <c r="CI931" s="364"/>
      <c r="CJ931" s="364"/>
      <c r="CK931" s="364"/>
      <c r="CL931" s="364"/>
      <c r="CM931" s="364"/>
      <c r="CN931" s="364"/>
      <c r="CO931" s="364"/>
      <c r="CP931" s="364"/>
      <c r="CQ931" s="364"/>
      <c r="CR931" s="364"/>
      <c r="CS931" s="364"/>
      <c r="CT931" s="364"/>
      <c r="CU931" s="364"/>
      <c r="CV931" s="364"/>
      <c r="CW931" s="364"/>
      <c r="CX931" s="364"/>
      <c r="CY931" s="302"/>
      <c r="CZ931" s="302"/>
      <c r="DA931" s="302"/>
      <c r="DB931" s="302"/>
      <c r="DC931" s="302"/>
      <c r="DD931" s="302"/>
      <c r="DE931" s="302"/>
      <c r="DF931" s="303"/>
      <c r="DG931" s="363"/>
      <c r="DH931" s="364"/>
      <c r="DI931" s="302"/>
      <c r="DJ931" s="302"/>
      <c r="DK931" s="302"/>
      <c r="DL931" s="302"/>
      <c r="DM931" s="302"/>
      <c r="DN931" s="302"/>
      <c r="DO931" s="302"/>
    </row>
    <row r="932" spans="1:119" hidden="1">
      <c r="A932" s="1"/>
      <c r="B932" s="1"/>
      <c r="C932" s="1"/>
      <c r="D932" s="1381" t="str">
        <f>D885</f>
        <v>Of Which  COVID-19 Expenditure</v>
      </c>
      <c r="E932" s="92"/>
      <c r="F932" s="134"/>
      <c r="G932" s="134"/>
      <c r="H932" s="134"/>
      <c r="I932" s="134"/>
      <c r="J932" s="761"/>
      <c r="K932" s="761"/>
      <c r="L932" s="761"/>
      <c r="M932" s="761"/>
      <c r="N932" s="761"/>
      <c r="O932" s="761"/>
      <c r="P932" s="761"/>
      <c r="Q932" s="761"/>
      <c r="R932" s="761"/>
      <c r="S932" s="761"/>
      <c r="T932" s="761"/>
      <c r="U932" s="761"/>
      <c r="V932" s="761"/>
      <c r="W932" s="761"/>
      <c r="X932" s="761"/>
      <c r="Y932" s="761"/>
      <c r="Z932" s="761"/>
      <c r="AA932" s="761"/>
      <c r="AB932" s="761"/>
      <c r="AC932" s="761"/>
      <c r="AD932" s="761"/>
      <c r="AE932" s="1383">
        <f>AE885/AE$284</f>
        <v>6.3924994672917108E-3</v>
      </c>
      <c r="AF932" s="761">
        <f>AF885/AF$284</f>
        <v>5.8416901956966213E-3</v>
      </c>
      <c r="AG932" s="761"/>
      <c r="AH932" s="761"/>
      <c r="AI932" s="761"/>
      <c r="AJ932" s="761"/>
      <c r="AK932" s="761"/>
      <c r="AL932" s="761"/>
      <c r="AM932" s="761"/>
      <c r="AN932" s="761"/>
      <c r="AO932" s="761"/>
      <c r="AP932" s="761"/>
      <c r="AQ932" s="761"/>
      <c r="AR932" s="761"/>
      <c r="AS932" s="761"/>
      <c r="AT932" s="761"/>
      <c r="AU932" s="364"/>
      <c r="AV932" s="364"/>
      <c r="AW932" s="364"/>
      <c r="AX932" s="364"/>
      <c r="AY932" s="364"/>
      <c r="AZ932" s="364"/>
      <c r="BA932" s="364"/>
      <c r="BB932" s="364"/>
      <c r="BC932" s="364"/>
      <c r="BD932" s="364"/>
      <c r="BE932" s="364"/>
      <c r="BF932" s="364"/>
      <c r="BG932" s="364"/>
      <c r="BH932" s="364"/>
      <c r="BI932" s="364"/>
      <c r="BJ932" s="364"/>
      <c r="BK932" s="364"/>
      <c r="BL932" s="364"/>
      <c r="BM932" s="364"/>
      <c r="BN932" s="364"/>
      <c r="BO932" s="364"/>
      <c r="BP932" s="364"/>
      <c r="BQ932" s="364"/>
      <c r="BR932" s="364"/>
      <c r="BS932" s="364"/>
      <c r="BT932" s="364"/>
      <c r="BU932" s="364"/>
      <c r="BV932" s="364"/>
      <c r="BW932" s="364"/>
      <c r="BX932" s="364"/>
      <c r="BY932" s="364"/>
      <c r="BZ932" s="364"/>
      <c r="CA932" s="364"/>
      <c r="CB932" s="364"/>
      <c r="CC932" s="364"/>
      <c r="CD932" s="364"/>
      <c r="CE932" s="364"/>
      <c r="CF932" s="364"/>
      <c r="CG932" s="364"/>
      <c r="CH932" s="364"/>
      <c r="CI932" s="364"/>
      <c r="CJ932" s="364"/>
      <c r="CK932" s="364"/>
      <c r="CL932" s="364"/>
      <c r="CM932" s="364"/>
      <c r="CN932" s="364"/>
      <c r="CO932" s="364"/>
      <c r="CP932" s="364"/>
      <c r="CQ932" s="364"/>
      <c r="CR932" s="364"/>
      <c r="CS932" s="364"/>
      <c r="CT932" s="364"/>
      <c r="CU932" s="364"/>
      <c r="CV932" s="364"/>
      <c r="CW932" s="364"/>
      <c r="CX932" s="364"/>
      <c r="CY932" s="302"/>
      <c r="CZ932" s="302"/>
      <c r="DA932" s="302"/>
      <c r="DB932" s="302"/>
      <c r="DC932" s="302"/>
      <c r="DD932" s="302"/>
      <c r="DE932" s="302"/>
      <c r="DF932" s="303"/>
      <c r="DG932" s="363"/>
      <c r="DH932" s="364"/>
      <c r="DI932" s="302"/>
      <c r="DJ932" s="302"/>
      <c r="DK932" s="302"/>
      <c r="DL932" s="302"/>
      <c r="DM932" s="302"/>
      <c r="DN932" s="302"/>
      <c r="DO932" s="302"/>
    </row>
    <row r="933" spans="1:119" hidden="1">
      <c r="A933" s="1"/>
      <c r="B933" s="1"/>
      <c r="C933" s="1"/>
      <c r="D933" s="756" t="s">
        <v>165</v>
      </c>
      <c r="E933" s="92"/>
      <c r="F933" s="134"/>
      <c r="G933" s="134"/>
      <c r="H933" s="134"/>
      <c r="I933" s="134"/>
      <c r="J933" s="761"/>
      <c r="K933" s="761">
        <f t="shared" ref="K933:AK933" si="1175">+K886/K$284</f>
        <v>8.7040507809960685E-2</v>
      </c>
      <c r="L933" s="761">
        <f t="shared" si="1175"/>
        <v>6.9245736434108529E-2</v>
      </c>
      <c r="M933" s="761">
        <f t="shared" si="1175"/>
        <v>6.3857174515235454E-2</v>
      </c>
      <c r="N933" s="761">
        <f t="shared" si="1175"/>
        <v>5.2302496399423908E-2</v>
      </c>
      <c r="O933" s="761">
        <f t="shared" si="1175"/>
        <v>5.2537683458944863E-2</v>
      </c>
      <c r="P933" s="761">
        <f t="shared" si="1175"/>
        <v>6.3829711622340427E-2</v>
      </c>
      <c r="Q933" s="761">
        <f t="shared" si="1175"/>
        <v>6.8267549657629073E-2</v>
      </c>
      <c r="R933" s="761">
        <f t="shared" si="1175"/>
        <v>6.4990138067061151E-2</v>
      </c>
      <c r="S933" s="761">
        <f t="shared" si="1175"/>
        <v>7.4446202531645564E-2</v>
      </c>
      <c r="T933" s="761">
        <f t="shared" si="1175"/>
        <v>0.1013214403700033</v>
      </c>
      <c r="U933" s="761">
        <f t="shared" si="1175"/>
        <v>9.325677267373382E-2</v>
      </c>
      <c r="V933" s="761">
        <f t="shared" si="1175"/>
        <v>0.11389044136198391</v>
      </c>
      <c r="W933" s="761">
        <f t="shared" si="1175"/>
        <v>0.10912994350282486</v>
      </c>
      <c r="X933" s="761">
        <f t="shared" si="1175"/>
        <v>0.1150162999185004</v>
      </c>
      <c r="Y933" s="761">
        <f t="shared" si="1175"/>
        <v>0.13341322228763855</v>
      </c>
      <c r="Z933" s="761">
        <f t="shared" si="1175"/>
        <v>0.13192802056555269</v>
      </c>
      <c r="AA933" s="761">
        <f t="shared" si="1175"/>
        <v>0.10967275028942972</v>
      </c>
      <c r="AB933" s="761">
        <f t="shared" si="1175"/>
        <v>0.10498476294122601</v>
      </c>
      <c r="AC933" s="761">
        <f t="shared" si="1175"/>
        <v>0.10606535683472555</v>
      </c>
      <c r="AD933" s="761">
        <f t="shared" si="1175"/>
        <v>0.12293063151087197</v>
      </c>
      <c r="AE933" s="761">
        <f t="shared" si="1175"/>
        <v>0.13794417539627654</v>
      </c>
      <c r="AF933" s="1090">
        <f t="shared" si="1175"/>
        <v>0.11103290373950293</v>
      </c>
      <c r="AG933" s="1090">
        <f t="shared" si="1175"/>
        <v>0.11044248864188569</v>
      </c>
      <c r="AH933" s="1090">
        <f t="shared" si="1175"/>
        <v>0.10307395991667222</v>
      </c>
      <c r="AI933" s="1090">
        <f t="shared" si="1175"/>
        <v>0.11101357130513421</v>
      </c>
      <c r="AJ933" s="1090" t="e">
        <f t="shared" si="1175"/>
        <v>#DIV/0!</v>
      </c>
      <c r="AK933" s="1090" t="e">
        <f t="shared" si="1175"/>
        <v>#DIV/0!</v>
      </c>
      <c r="AL933" s="1090" t="e">
        <f>+AL886/AL$284</f>
        <v>#DIV/0!</v>
      </c>
      <c r="AM933" s="1090" t="e">
        <f>+AM886/AM$284</f>
        <v>#DIV/0!</v>
      </c>
      <c r="AN933" s="1090">
        <v>0.1049983186036875</v>
      </c>
      <c r="AO933" s="1090">
        <v>0.10471516387835862</v>
      </c>
      <c r="AP933" s="1090"/>
      <c r="AQ933" s="1090"/>
      <c r="AR933" s="1090"/>
      <c r="AS933" s="1090"/>
      <c r="AT933" s="1090"/>
      <c r="AU933" s="364"/>
      <c r="AV933" s="364"/>
      <c r="AW933" s="364"/>
      <c r="AX933" s="364"/>
      <c r="AY933" s="364"/>
      <c r="AZ933" s="364"/>
      <c r="BA933" s="364"/>
      <c r="BB933" s="364"/>
      <c r="BC933" s="364"/>
      <c r="BD933" s="364"/>
      <c r="BE933" s="364"/>
      <c r="BF933" s="364"/>
      <c r="BG933" s="364"/>
      <c r="BH933" s="364"/>
      <c r="BI933" s="364"/>
      <c r="BJ933" s="364"/>
      <c r="BK933" s="364"/>
      <c r="BL933" s="364"/>
      <c r="BM933" s="364"/>
      <c r="BN933" s="364"/>
      <c r="BO933" s="364"/>
      <c r="BP933" s="364"/>
      <c r="BQ933" s="364"/>
      <c r="BR933" s="364"/>
      <c r="BS933" s="364"/>
      <c r="BT933" s="364"/>
      <c r="BU933" s="364"/>
      <c r="BV933" s="364"/>
      <c r="BW933" s="364"/>
      <c r="BX933" s="364"/>
      <c r="BY933" s="364"/>
      <c r="BZ933" s="364"/>
      <c r="CA933" s="364"/>
      <c r="CB933" s="364"/>
      <c r="CC933" s="364"/>
      <c r="CD933" s="364"/>
      <c r="CE933" s="364"/>
      <c r="CF933" s="364"/>
      <c r="CG933" s="364"/>
      <c r="CH933" s="364"/>
      <c r="CI933" s="364"/>
      <c r="CJ933" s="364"/>
      <c r="CK933" s="364"/>
      <c r="CL933" s="364"/>
      <c r="CM933" s="364"/>
      <c r="CN933" s="364"/>
      <c r="CO933" s="364"/>
      <c r="CP933" s="364"/>
      <c r="CQ933" s="364"/>
      <c r="CR933" s="364"/>
      <c r="CS933" s="364"/>
      <c r="CT933" s="364"/>
      <c r="CU933" s="364"/>
      <c r="CV933" s="364"/>
      <c r="CW933" s="364"/>
      <c r="CX933" s="364"/>
      <c r="CY933" s="302"/>
      <c r="CZ933" s="302"/>
      <c r="DA933" s="302"/>
      <c r="DB933" s="302"/>
      <c r="DC933" s="302"/>
      <c r="DD933" s="302"/>
      <c r="DE933" s="302"/>
      <c r="DF933" s="303"/>
      <c r="DG933" s="363"/>
      <c r="DH933" s="364"/>
      <c r="DI933" s="302"/>
      <c r="DJ933" s="302"/>
      <c r="DK933" s="302"/>
      <c r="DL933" s="302"/>
      <c r="DM933" s="302"/>
      <c r="DN933" s="302"/>
      <c r="DO933" s="302"/>
    </row>
    <row r="934" spans="1:119" hidden="1">
      <c r="A934" s="1"/>
      <c r="B934" s="1"/>
      <c r="C934" s="1"/>
      <c r="D934" s="1381" t="str">
        <f>D888</f>
        <v>Of Which  COVID-19 Expenditure</v>
      </c>
      <c r="E934" s="92"/>
      <c r="F934" s="134"/>
      <c r="G934" s="134"/>
      <c r="H934" s="134"/>
      <c r="I934" s="134"/>
      <c r="J934" s="761"/>
      <c r="K934" s="761"/>
      <c r="L934" s="761"/>
      <c r="M934" s="761"/>
      <c r="N934" s="761"/>
      <c r="O934" s="761"/>
      <c r="P934" s="761"/>
      <c r="Q934" s="761"/>
      <c r="R934" s="761"/>
      <c r="S934" s="761"/>
      <c r="T934" s="761"/>
      <c r="U934" s="761"/>
      <c r="V934" s="761"/>
      <c r="W934" s="761"/>
      <c r="X934" s="761"/>
      <c r="Y934" s="761"/>
      <c r="Z934" s="761"/>
      <c r="AA934" s="761"/>
      <c r="AB934" s="761"/>
      <c r="AC934" s="761"/>
      <c r="AD934" s="761"/>
      <c r="AE934" s="1090">
        <f>+AE888/AE$284</f>
        <v>4.2616663115278078E-3</v>
      </c>
      <c r="AF934" s="1090">
        <f>+AF888/AF$284</f>
        <v>3.8944601304644142E-3</v>
      </c>
      <c r="AG934" s="1090"/>
      <c r="AH934" s="1090"/>
      <c r="AI934" s="1090"/>
      <c r="AJ934" s="1090"/>
      <c r="AK934" s="1090"/>
      <c r="AL934" s="1090"/>
      <c r="AM934" s="1090"/>
      <c r="AN934" s="1090"/>
      <c r="AO934" s="1090"/>
      <c r="AP934" s="1090"/>
      <c r="AQ934" s="1090"/>
      <c r="AR934" s="1090"/>
      <c r="AS934" s="1090"/>
      <c r="AT934" s="1090"/>
      <c r="AU934" s="364"/>
      <c r="AV934" s="364"/>
      <c r="AW934" s="364"/>
      <c r="AX934" s="364"/>
      <c r="AY934" s="364"/>
      <c r="AZ934" s="364"/>
      <c r="BA934" s="364"/>
      <c r="BB934" s="364"/>
      <c r="BC934" s="364"/>
      <c r="BD934" s="364"/>
      <c r="BE934" s="364"/>
      <c r="BF934" s="364"/>
      <c r="BG934" s="364"/>
      <c r="BH934" s="364"/>
      <c r="BI934" s="364"/>
      <c r="BJ934" s="364"/>
      <c r="BK934" s="364"/>
      <c r="BL934" s="364"/>
      <c r="BM934" s="364"/>
      <c r="BN934" s="364"/>
      <c r="BO934" s="364"/>
      <c r="BP934" s="364"/>
      <c r="BQ934" s="364"/>
      <c r="BR934" s="364"/>
      <c r="BS934" s="364"/>
      <c r="BT934" s="364"/>
      <c r="BU934" s="364"/>
      <c r="BV934" s="364"/>
      <c r="BW934" s="364"/>
      <c r="BX934" s="364"/>
      <c r="BY934" s="364"/>
      <c r="BZ934" s="364"/>
      <c r="CA934" s="364"/>
      <c r="CB934" s="364"/>
      <c r="CC934" s="364"/>
      <c r="CD934" s="364"/>
      <c r="CE934" s="364"/>
      <c r="CF934" s="364"/>
      <c r="CG934" s="364"/>
      <c r="CH934" s="364"/>
      <c r="CI934" s="364"/>
      <c r="CJ934" s="364"/>
      <c r="CK934" s="364"/>
      <c r="CL934" s="364"/>
      <c r="CM934" s="364"/>
      <c r="CN934" s="364"/>
      <c r="CO934" s="364"/>
      <c r="CP934" s="364"/>
      <c r="CQ934" s="364"/>
      <c r="CR934" s="364"/>
      <c r="CS934" s="364"/>
      <c r="CT934" s="364"/>
      <c r="CU934" s="364"/>
      <c r="CV934" s="364"/>
      <c r="CW934" s="364"/>
      <c r="CX934" s="364"/>
      <c r="CY934" s="302"/>
      <c r="CZ934" s="302"/>
      <c r="DA934" s="302"/>
      <c r="DB934" s="302"/>
      <c r="DC934" s="302"/>
      <c r="DD934" s="302"/>
      <c r="DE934" s="302"/>
      <c r="DF934" s="303"/>
      <c r="DG934" s="363"/>
      <c r="DH934" s="364"/>
      <c r="DI934" s="302"/>
      <c r="DJ934" s="302"/>
      <c r="DK934" s="302"/>
      <c r="DL934" s="302"/>
      <c r="DM934" s="302"/>
      <c r="DN934" s="302"/>
      <c r="DO934" s="302"/>
    </row>
    <row r="935" spans="1:119" hidden="1">
      <c r="A935" s="1"/>
      <c r="B935" s="1"/>
      <c r="C935" s="1"/>
      <c r="D935" s="758" t="s">
        <v>167</v>
      </c>
      <c r="E935" s="92"/>
      <c r="F935" s="134"/>
      <c r="G935" s="134"/>
      <c r="H935" s="134"/>
      <c r="I935" s="134"/>
      <c r="J935" s="761"/>
      <c r="K935" s="761">
        <f t="shared" ref="K935:AK935" si="1176">+K889/K$284</f>
        <v>6.3840104849279163E-4</v>
      </c>
      <c r="L935" s="761">
        <f t="shared" si="1176"/>
        <v>6.5694692903995222E-4</v>
      </c>
      <c r="M935" s="761">
        <f t="shared" si="1176"/>
        <v>6.6520775623268695E-4</v>
      </c>
      <c r="N935" s="761">
        <f t="shared" si="1176"/>
        <v>1.3565050408065292E-3</v>
      </c>
      <c r="O935" s="761">
        <f t="shared" si="1176"/>
        <v>9.4577151923839753E-3</v>
      </c>
      <c r="P935" s="761">
        <f t="shared" si="1176"/>
        <v>9.2809781027260625E-3</v>
      </c>
      <c r="Q935" s="761">
        <f t="shared" si="1176"/>
        <v>4.5952356887799251E-3</v>
      </c>
      <c r="R935" s="761">
        <f t="shared" si="1176"/>
        <v>7.8402366863905334E-3</v>
      </c>
      <c r="S935" s="761">
        <f t="shared" si="1176"/>
        <v>-6.0917721518987345E-3</v>
      </c>
      <c r="T935" s="761">
        <f t="shared" si="1176"/>
        <v>7.5652461182689123E-3</v>
      </c>
      <c r="U935" s="761">
        <f t="shared" si="1176"/>
        <v>8.3038869257950534E-3</v>
      </c>
      <c r="V935" s="761">
        <f t="shared" si="1176"/>
        <v>4.8560711503505584E-3</v>
      </c>
      <c r="W935" s="761">
        <f t="shared" si="1176"/>
        <v>2.4858757062146895E-4</v>
      </c>
      <c r="X935" s="761">
        <f t="shared" si="1176"/>
        <v>2.7954360228198864E-2</v>
      </c>
      <c r="Y935" s="761">
        <f t="shared" si="1176"/>
        <v>9.4096973398908722E-3</v>
      </c>
      <c r="Z935" s="761">
        <f t="shared" si="1176"/>
        <v>1.9914310197086546E-2</v>
      </c>
      <c r="AA935" s="761">
        <f t="shared" si="1176"/>
        <v>1.3493343663055088E-2</v>
      </c>
      <c r="AB935" s="761">
        <f t="shared" si="1176"/>
        <v>1.5736372852087364E-2</v>
      </c>
      <c r="AC935" s="761">
        <f t="shared" si="1176"/>
        <v>1.9965396235404189E-2</v>
      </c>
      <c r="AD935" s="761">
        <f t="shared" si="1176"/>
        <v>2.2384019925441617E-2</v>
      </c>
      <c r="AE935" s="761">
        <f t="shared" si="1176"/>
        <v>4.2619240424072002E-2</v>
      </c>
      <c r="AF935" s="761">
        <f t="shared" si="1176"/>
        <v>2.9188684781161423E-2</v>
      </c>
      <c r="AG935" s="761">
        <f t="shared" si="1176"/>
        <v>2.2765376438155818E-2</v>
      </c>
      <c r="AH935" s="761">
        <f t="shared" si="1176"/>
        <v>1.916262009137697E-2</v>
      </c>
      <c r="AI935" s="761">
        <f t="shared" si="1176"/>
        <v>1.4302268531517424E-2</v>
      </c>
      <c r="AJ935" s="761" t="e">
        <f t="shared" si="1176"/>
        <v>#DIV/0!</v>
      </c>
      <c r="AK935" s="761">
        <f t="shared" si="1176"/>
        <v>4.5090606844400399E-4</v>
      </c>
      <c r="AL935" s="761">
        <f>+AL889/AL$284</f>
        <v>2.7803620794405559E-4</v>
      </c>
      <c r="AM935" s="761">
        <f>+AM889/AM$284</f>
        <v>2.2775433779843575E-4</v>
      </c>
      <c r="AN935" s="761">
        <v>1.2237344175151708E-2</v>
      </c>
      <c r="AO935" s="761">
        <v>1.2237344175151708E-2</v>
      </c>
      <c r="AP935" s="761"/>
      <c r="AQ935" s="761"/>
      <c r="AR935" s="761"/>
      <c r="AS935" s="761"/>
      <c r="AT935" s="761"/>
      <c r="AU935" s="364"/>
      <c r="AV935" s="364"/>
      <c r="AW935" s="364"/>
      <c r="AX935" s="364"/>
      <c r="AY935" s="364"/>
      <c r="AZ935" s="364"/>
      <c r="BA935" s="364"/>
      <c r="BB935" s="364"/>
      <c r="BC935" s="364"/>
      <c r="BD935" s="364"/>
      <c r="BE935" s="364"/>
      <c r="BF935" s="364"/>
      <c r="BG935" s="364"/>
      <c r="BH935" s="364"/>
      <c r="BI935" s="364"/>
      <c r="BJ935" s="364"/>
      <c r="BK935" s="364"/>
      <c r="BL935" s="364"/>
      <c r="BM935" s="364"/>
      <c r="BN935" s="364"/>
      <c r="BO935" s="364"/>
      <c r="BP935" s="364"/>
      <c r="BQ935" s="364"/>
      <c r="BR935" s="364"/>
      <c r="BS935" s="364"/>
      <c r="BT935" s="364"/>
      <c r="BU935" s="364"/>
      <c r="BV935" s="364"/>
      <c r="BW935" s="364"/>
      <c r="BX935" s="364"/>
      <c r="BY935" s="364"/>
      <c r="BZ935" s="364"/>
      <c r="CA935" s="364"/>
      <c r="CB935" s="364"/>
      <c r="CC935" s="364"/>
      <c r="CD935" s="364"/>
      <c r="CE935" s="364"/>
      <c r="CF935" s="364"/>
      <c r="CG935" s="364"/>
      <c r="CH935" s="364"/>
      <c r="CI935" s="364"/>
      <c r="CJ935" s="364"/>
      <c r="CK935" s="364"/>
      <c r="CL935" s="364"/>
      <c r="CM935" s="364"/>
      <c r="CN935" s="364"/>
      <c r="CO935" s="364"/>
      <c r="CP935" s="364"/>
      <c r="CQ935" s="364"/>
      <c r="CR935" s="364"/>
      <c r="CS935" s="364"/>
      <c r="CT935" s="364"/>
      <c r="CU935" s="364"/>
      <c r="CV935" s="364"/>
      <c r="CW935" s="364"/>
      <c r="CX935" s="364"/>
      <c r="CY935" s="302"/>
      <c r="CZ935" s="302"/>
      <c r="DA935" s="302"/>
      <c r="DB935" s="302"/>
      <c r="DC935" s="302"/>
      <c r="DD935" s="302"/>
      <c r="DE935" s="302"/>
      <c r="DF935" s="303"/>
      <c r="DG935" s="363"/>
      <c r="DH935" s="364"/>
      <c r="DI935" s="302"/>
      <c r="DJ935" s="302"/>
      <c r="DK935" s="302"/>
      <c r="DL935" s="302"/>
      <c r="DM935" s="302"/>
      <c r="DN935" s="302"/>
      <c r="DO935" s="302"/>
    </row>
    <row r="936" spans="1:119" hidden="1">
      <c r="A936" s="1"/>
      <c r="B936" s="1"/>
      <c r="C936" s="1"/>
      <c r="D936" s="755" t="s">
        <v>176</v>
      </c>
      <c r="E936" s="92"/>
      <c r="F936" s="134"/>
      <c r="G936" s="134"/>
      <c r="H936" s="134"/>
      <c r="I936" s="134"/>
      <c r="J936" s="761"/>
      <c r="K936" s="761"/>
      <c r="L936" s="761"/>
      <c r="M936" s="761"/>
      <c r="N936" s="761"/>
      <c r="O936" s="761"/>
      <c r="P936" s="761"/>
      <c r="Q936" s="761"/>
      <c r="R936" s="761"/>
      <c r="S936" s="761"/>
      <c r="T936" s="761"/>
      <c r="U936" s="761"/>
      <c r="V936" s="761"/>
      <c r="W936" s="761"/>
      <c r="X936" s="761"/>
      <c r="Y936" s="761"/>
      <c r="Z936" s="761"/>
      <c r="AA936" s="761"/>
      <c r="AB936" s="761"/>
      <c r="AC936" s="762"/>
      <c r="AD936" s="762"/>
      <c r="AE936" s="762"/>
      <c r="AF936" s="762"/>
      <c r="AG936" s="762"/>
      <c r="AH936" s="762"/>
      <c r="AI936" s="762"/>
      <c r="AJ936" s="762"/>
      <c r="AK936" s="762"/>
      <c r="AL936" s="762"/>
      <c r="AM936" s="762"/>
      <c r="AN936" s="762"/>
      <c r="AO936" s="762"/>
      <c r="AP936" s="762"/>
      <c r="AQ936" s="762"/>
      <c r="AR936" s="762"/>
      <c r="AS936" s="762"/>
      <c r="AT936" s="762"/>
      <c r="AU936" s="364"/>
      <c r="AV936" s="364"/>
      <c r="AW936" s="364"/>
      <c r="AX936" s="364"/>
      <c r="AY936" s="364"/>
      <c r="AZ936" s="364"/>
      <c r="BA936" s="364"/>
      <c r="BB936" s="364"/>
      <c r="BC936" s="364"/>
      <c r="BD936" s="364"/>
      <c r="BE936" s="364"/>
      <c r="BF936" s="364"/>
      <c r="BG936" s="364"/>
      <c r="BH936" s="364"/>
      <c r="BI936" s="364"/>
      <c r="BJ936" s="364"/>
      <c r="BK936" s="364"/>
      <c r="BL936" s="364"/>
      <c r="BM936" s="364"/>
      <c r="BN936" s="364"/>
      <c r="BO936" s="364"/>
      <c r="BP936" s="364"/>
      <c r="BQ936" s="364"/>
      <c r="BR936" s="364"/>
      <c r="BS936" s="364"/>
      <c r="BT936" s="364"/>
      <c r="BU936" s="364"/>
      <c r="BV936" s="364"/>
      <c r="BW936" s="364"/>
      <c r="BX936" s="364"/>
      <c r="BY936" s="364"/>
      <c r="BZ936" s="364"/>
      <c r="CA936" s="364"/>
      <c r="CB936" s="364"/>
      <c r="CC936" s="364"/>
      <c r="CD936" s="364"/>
      <c r="CE936" s="364"/>
      <c r="CF936" s="364"/>
      <c r="CG936" s="364"/>
      <c r="CH936" s="364"/>
      <c r="CI936" s="364"/>
      <c r="CJ936" s="364"/>
      <c r="CK936" s="364"/>
      <c r="CL936" s="364"/>
      <c r="CM936" s="364"/>
      <c r="CN936" s="364"/>
      <c r="CO936" s="364"/>
      <c r="CP936" s="364"/>
      <c r="CQ936" s="364"/>
      <c r="CR936" s="364"/>
      <c r="CS936" s="364"/>
      <c r="CT936" s="364"/>
      <c r="CU936" s="364"/>
      <c r="CV936" s="364"/>
      <c r="CW936" s="364"/>
      <c r="CX936" s="364"/>
      <c r="CY936" s="302"/>
      <c r="CZ936" s="302"/>
      <c r="DA936" s="302"/>
      <c r="DB936" s="302"/>
      <c r="DC936" s="302"/>
      <c r="DD936" s="302"/>
      <c r="DE936" s="302"/>
      <c r="DF936" s="303"/>
      <c r="DG936" s="363"/>
      <c r="DH936" s="364"/>
      <c r="DI936" s="302"/>
      <c r="DJ936" s="302"/>
      <c r="DK936" s="302"/>
      <c r="DL936" s="302"/>
      <c r="DM936" s="302"/>
      <c r="DN936" s="302"/>
      <c r="DO936" s="302"/>
    </row>
    <row r="937" spans="1:119" ht="16" hidden="1" thickBot="1">
      <c r="A937" s="1"/>
      <c r="B937" s="1"/>
      <c r="C937" s="1"/>
      <c r="D937" s="758" t="s">
        <v>177</v>
      </c>
      <c r="E937" s="92"/>
      <c r="F937" s="134"/>
      <c r="G937" s="134"/>
      <c r="H937" s="134"/>
      <c r="I937" s="134"/>
      <c r="J937" s="761"/>
      <c r="K937" s="761">
        <f t="shared" ref="K937:AK937" si="1177">+K891/K$284</f>
        <v>-2.3431368320445609E-2</v>
      </c>
      <c r="L937" s="761">
        <f t="shared" si="1177"/>
        <v>-1.1800298151460937E-2</v>
      </c>
      <c r="M937" s="761">
        <f t="shared" si="1177"/>
        <v>-2.0780941828254851E-2</v>
      </c>
      <c r="N937" s="761">
        <f t="shared" si="1177"/>
        <v>-1.8081565050408085E-2</v>
      </c>
      <c r="O937" s="761">
        <f t="shared" si="1177"/>
        <v>-3.5281951606505545E-3</v>
      </c>
      <c r="P937" s="761">
        <f t="shared" si="1177"/>
        <v>6.4570629211702186E-3</v>
      </c>
      <c r="Q937" s="761">
        <f t="shared" si="1177"/>
        <v>3.1652816956446989E-4</v>
      </c>
      <c r="R937" s="761">
        <f t="shared" si="1177"/>
        <v>-1.2919132149901404E-2</v>
      </c>
      <c r="S937" s="761">
        <f t="shared" si="1177"/>
        <v>-1.3844936708860311E-3</v>
      </c>
      <c r="T937" s="761">
        <f t="shared" si="1177"/>
        <v>-1.9986785596299968E-2</v>
      </c>
      <c r="U937" s="761">
        <f t="shared" si="1177"/>
        <v>-9.7173144876327099E-4</v>
      </c>
      <c r="V937" s="761">
        <f t="shared" si="1177"/>
        <v>-3.1402713153726322E-2</v>
      </c>
      <c r="W937" s="761">
        <f t="shared" si="1177"/>
        <v>-1.1073446327683615E-2</v>
      </c>
      <c r="X937" s="761">
        <f t="shared" si="1177"/>
        <v>-4.7733992746043841E-2</v>
      </c>
      <c r="Y937" s="761">
        <f t="shared" si="1177"/>
        <v>-3.8157924847956708E-2</v>
      </c>
      <c r="Z937" s="761">
        <f t="shared" si="1177"/>
        <v>-5.1766838136691945E-2</v>
      </c>
      <c r="AA937" s="761">
        <f t="shared" si="1177"/>
        <v>-3.2501491659711952E-2</v>
      </c>
      <c r="AB937" s="761">
        <f t="shared" si="1177"/>
        <v>-4.5221473291247989E-2</v>
      </c>
      <c r="AC937" s="761">
        <f t="shared" si="1177"/>
        <v>-4.5799319872380763E-2</v>
      </c>
      <c r="AD937" s="761">
        <f t="shared" si="1177"/>
        <v>-6.2704889787078597E-2</v>
      </c>
      <c r="AE937" s="761">
        <f t="shared" si="1177"/>
        <v>-0.12477063002959958</v>
      </c>
      <c r="AF937" s="761">
        <f t="shared" si="1177"/>
        <v>-9.1396076483212518E-2</v>
      </c>
      <c r="AG937" s="761">
        <f t="shared" si="1177"/>
        <v>0.38953604083283866</v>
      </c>
      <c r="AH937" s="761">
        <f t="shared" si="1177"/>
        <v>0.48961043677116217</v>
      </c>
      <c r="AI937" s="761">
        <f t="shared" si="1177"/>
        <v>0.46010498554154461</v>
      </c>
      <c r="AJ937" s="761" t="e">
        <f t="shared" si="1177"/>
        <v>#DIV/0!</v>
      </c>
      <c r="AK937" s="761" t="e">
        <f t="shared" si="1177"/>
        <v>#DIV/0!</v>
      </c>
      <c r="AL937" s="761" t="e">
        <f t="shared" ref="AL937:AM942" si="1178">+AL891/AL$284</f>
        <v>#DIV/0!</v>
      </c>
      <c r="AM937" s="761" t="e">
        <f t="shared" si="1178"/>
        <v>#DIV/0!</v>
      </c>
      <c r="AN937" s="761">
        <v>3.6693089402626007</v>
      </c>
      <c r="AO937" s="761">
        <v>3.6693089402626007</v>
      </c>
      <c r="AP937" s="761"/>
      <c r="AQ937" s="761"/>
      <c r="AR937" s="761"/>
      <c r="AS937" s="761"/>
      <c r="AT937" s="761"/>
      <c r="AU937" s="302"/>
      <c r="AV937" s="302"/>
      <c r="AW937" s="302"/>
      <c r="AX937" s="302"/>
      <c r="AY937" s="302"/>
      <c r="AZ937" s="302"/>
      <c r="BA937" s="302"/>
      <c r="BB937" s="302"/>
      <c r="BC937" s="302"/>
      <c r="BD937" s="302"/>
      <c r="BE937" s="302"/>
      <c r="BF937" s="302"/>
      <c r="BG937" s="302"/>
      <c r="BH937" s="302"/>
      <c r="BI937" s="302"/>
      <c r="BJ937" s="302"/>
      <c r="BK937" s="302"/>
      <c r="BL937" s="302"/>
      <c r="BM937" s="302"/>
      <c r="BN937" s="302"/>
      <c r="BO937" s="302"/>
      <c r="BP937" s="302"/>
      <c r="BQ937" s="302"/>
      <c r="BR937" s="302"/>
      <c r="BS937" s="302"/>
      <c r="BT937" s="302"/>
      <c r="BU937" s="302"/>
      <c r="BV937" s="302"/>
      <c r="BW937" s="302"/>
      <c r="BX937" s="302"/>
      <c r="BY937" s="302"/>
      <c r="BZ937" s="302"/>
      <c r="CA937" s="302"/>
      <c r="CB937" s="302"/>
      <c r="CC937" s="302"/>
      <c r="CD937" s="302"/>
      <c r="CE937" s="302"/>
      <c r="CF937" s="302"/>
      <c r="CG937" s="302"/>
      <c r="CH937" s="302"/>
      <c r="CI937" s="302"/>
      <c r="CJ937" s="302"/>
      <c r="CK937" s="302"/>
      <c r="CL937" s="302"/>
      <c r="CM937" s="302"/>
      <c r="CN937" s="302"/>
      <c r="CO937" s="302"/>
      <c r="CP937" s="302"/>
      <c r="CQ937" s="302"/>
      <c r="CR937" s="302"/>
      <c r="CS937" s="302"/>
      <c r="CT937" s="302"/>
      <c r="CU937" s="302"/>
      <c r="CV937" s="302"/>
      <c r="CW937" s="302"/>
      <c r="CX937" s="367"/>
      <c r="CY937" s="367"/>
      <c r="CZ937" s="367"/>
      <c r="DA937" s="367"/>
      <c r="DB937" s="367"/>
      <c r="DC937" s="367"/>
      <c r="DD937" s="367"/>
      <c r="DE937" s="367"/>
      <c r="DF937" s="368"/>
      <c r="DG937" s="366"/>
      <c r="DH937" s="367"/>
      <c r="DI937" s="367"/>
      <c r="DJ937" s="367"/>
      <c r="DK937" s="367"/>
      <c r="DL937" s="367"/>
      <c r="DM937" s="367"/>
      <c r="DN937" s="367"/>
      <c r="DO937" s="367"/>
    </row>
    <row r="938" spans="1:119" hidden="1">
      <c r="A938" s="1"/>
      <c r="B938" s="1"/>
      <c r="C938" s="1"/>
      <c r="D938" s="758" t="s">
        <v>178</v>
      </c>
      <c r="E938" s="92"/>
      <c r="F938" s="134"/>
      <c r="G938" s="134"/>
      <c r="H938" s="134"/>
      <c r="I938" s="134"/>
      <c r="J938" s="761"/>
      <c r="K938" s="761">
        <f t="shared" ref="K938:AK938" si="1179">+K892/K$284</f>
        <v>-0.11528595547640891</v>
      </c>
      <c r="L938" s="761">
        <f t="shared" si="1179"/>
        <v>-9.5804174120453195E-2</v>
      </c>
      <c r="M938" s="761">
        <f t="shared" si="1179"/>
        <v>-9.5556011080332431E-2</v>
      </c>
      <c r="N938" s="761">
        <f t="shared" si="1179"/>
        <v>-8.8656553048487796E-2</v>
      </c>
      <c r="O938" s="761">
        <f t="shared" si="1179"/>
        <v>-8.4807052756842555E-2</v>
      </c>
      <c r="P938" s="761">
        <f t="shared" si="1179"/>
        <v>-9.1008923883307849E-2</v>
      </c>
      <c r="Q938" s="761">
        <f t="shared" si="1179"/>
        <v>-9.5887016193824642E-2</v>
      </c>
      <c r="R938" s="761">
        <f t="shared" si="1179"/>
        <v>-8.9250493096646968E-2</v>
      </c>
      <c r="S938" s="761">
        <f t="shared" si="1179"/>
        <v>-9.1534810126582253E-2</v>
      </c>
      <c r="T938" s="761">
        <f t="shared" si="1179"/>
        <v>-0.10512058143376279</v>
      </c>
      <c r="U938" s="761">
        <f t="shared" si="1179"/>
        <v>-0.12149587750294466</v>
      </c>
      <c r="V938" s="761">
        <f t="shared" si="1179"/>
        <v>-0.12982540072448717</v>
      </c>
      <c r="W938" s="761">
        <f t="shared" si="1179"/>
        <v>-0.11444067796610166</v>
      </c>
      <c r="X938" s="761">
        <f t="shared" si="1179"/>
        <v>-0.12208199600602751</v>
      </c>
      <c r="Y938" s="761">
        <f t="shared" si="1179"/>
        <v>-0.12702604198562584</v>
      </c>
      <c r="Z938" s="761">
        <f t="shared" si="1179"/>
        <v>-0.12304596367472154</v>
      </c>
      <c r="AA938" s="761">
        <f t="shared" si="1179"/>
        <v>-8.9535981248866081E-2</v>
      </c>
      <c r="AB938" s="761">
        <f t="shared" si="1179"/>
        <v>-9.0864559266713718E-2</v>
      </c>
      <c r="AC938" s="761">
        <f t="shared" si="1179"/>
        <v>-9.0573356407898542E-2</v>
      </c>
      <c r="AD938" s="761">
        <f t="shared" si="1179"/>
        <v>-0.107987480347335</v>
      </c>
      <c r="AE938" s="761">
        <f t="shared" si="1179"/>
        <v>-0.17080539221563837</v>
      </c>
      <c r="AF938" s="761">
        <f t="shared" si="1179"/>
        <v>-0.13932945054520651</v>
      </c>
      <c r="AG938" s="761">
        <f t="shared" si="1179"/>
        <v>0.31984024699284919</v>
      </c>
      <c r="AH938" s="761">
        <f t="shared" si="1179"/>
        <v>0.4430932598069649</v>
      </c>
      <c r="AI938" s="761">
        <f t="shared" si="1179"/>
        <v>0.41740387320762556</v>
      </c>
      <c r="AJ938" s="761" t="e">
        <f t="shared" si="1179"/>
        <v>#DIV/0!</v>
      </c>
      <c r="AK938" s="761" t="e">
        <f t="shared" si="1179"/>
        <v>#DIV/0!</v>
      </c>
      <c r="AL938" s="761" t="e">
        <f t="shared" si="1178"/>
        <v>#DIV/0!</v>
      </c>
      <c r="AM938" s="761" t="e">
        <f t="shared" si="1178"/>
        <v>#DIV/0!</v>
      </c>
      <c r="AN938" s="761">
        <v>3.6393073086935068</v>
      </c>
      <c r="AO938" s="761">
        <v>3.6393073086935068</v>
      </c>
      <c r="AP938" s="761"/>
      <c r="AQ938" s="761"/>
      <c r="AR938" s="761"/>
      <c r="AS938" s="761"/>
      <c r="AT938" s="761"/>
      <c r="AU938" s="302"/>
      <c r="AV938" s="302"/>
      <c r="AW938" s="302"/>
      <c r="AX938" s="302"/>
      <c r="AY938" s="302"/>
      <c r="AZ938" s="302"/>
      <c r="BA938" s="302"/>
      <c r="BB938" s="302"/>
      <c r="BC938" s="302"/>
      <c r="BD938" s="302"/>
      <c r="BE938" s="302"/>
      <c r="BF938" s="302"/>
      <c r="BG938" s="302"/>
      <c r="BH938" s="302"/>
      <c r="BI938" s="302"/>
      <c r="BJ938" s="302"/>
      <c r="BK938" s="302"/>
      <c r="BL938" s="302"/>
      <c r="BM938" s="302"/>
      <c r="BN938" s="302"/>
      <c r="BO938" s="302"/>
      <c r="BP938" s="302"/>
      <c r="BQ938" s="302"/>
      <c r="BR938" s="302"/>
      <c r="BS938" s="302"/>
      <c r="BT938" s="302"/>
      <c r="BU938" s="302"/>
      <c r="BV938" s="302"/>
      <c r="BW938" s="302"/>
      <c r="BX938" s="302"/>
      <c r="BY938" s="302"/>
      <c r="BZ938" s="302"/>
      <c r="CA938" s="302"/>
      <c r="CB938" s="302"/>
      <c r="CC938" s="302"/>
      <c r="CD938" s="302"/>
      <c r="CE938" s="302"/>
      <c r="CF938" s="302"/>
      <c r="CG938" s="302"/>
      <c r="CH938" s="302"/>
      <c r="CI938" s="302"/>
      <c r="CJ938" s="302"/>
      <c r="CK938" s="302"/>
      <c r="CL938" s="302"/>
      <c r="CM938" s="302"/>
      <c r="CN938" s="302"/>
      <c r="CO938" s="302"/>
      <c r="CP938" s="302"/>
      <c r="CQ938" s="302"/>
      <c r="CR938" s="302"/>
      <c r="CS938" s="302"/>
      <c r="CT938" s="302"/>
      <c r="CU938" s="302"/>
      <c r="CV938" s="302"/>
      <c r="CW938" s="304"/>
      <c r="CX938" s="302"/>
      <c r="CY938" s="302"/>
      <c r="CZ938" s="302"/>
      <c r="DA938" s="302"/>
      <c r="DB938" s="302"/>
      <c r="DC938" s="302"/>
      <c r="DD938" s="302"/>
      <c r="DE938" s="302"/>
      <c r="DF938" s="302"/>
      <c r="DG938" s="304"/>
      <c r="DH938" s="302"/>
      <c r="DI938" s="302"/>
      <c r="DJ938" s="302"/>
      <c r="DK938" s="302"/>
      <c r="DL938" s="302"/>
      <c r="DM938" s="302"/>
      <c r="DN938" s="302"/>
      <c r="DO938" s="302"/>
    </row>
    <row r="939" spans="1:119" hidden="1">
      <c r="A939" s="1"/>
      <c r="B939" s="1"/>
      <c r="C939" s="1"/>
      <c r="D939" s="756" t="str">
        <f>D796</f>
        <v>Excluding PKO Pre-financing</v>
      </c>
      <c r="E939" s="92"/>
      <c r="F939" s="134"/>
      <c r="G939" s="134"/>
      <c r="H939" s="134"/>
      <c r="I939" s="134"/>
      <c r="J939" s="761"/>
      <c r="K939" s="761">
        <f t="shared" ref="K939:AA939" si="1180">+K893/K$284</f>
        <v>-2.343136832044557E-2</v>
      </c>
      <c r="L939" s="761">
        <f t="shared" si="1180"/>
        <v>-1.1800298151460919E-2</v>
      </c>
      <c r="M939" s="761">
        <f t="shared" si="1180"/>
        <v>-2.0780941828254837E-2</v>
      </c>
      <c r="N939" s="761">
        <f t="shared" si="1180"/>
        <v>-1.8081565050408071E-2</v>
      </c>
      <c r="O939" s="761">
        <f t="shared" si="1180"/>
        <v>-3.5281951606505658E-3</v>
      </c>
      <c r="P939" s="761">
        <f t="shared" si="1180"/>
        <v>6.4570629211702186E-3</v>
      </c>
      <c r="Q939" s="761">
        <f t="shared" si="1180"/>
        <v>3.1652816956446989E-4</v>
      </c>
      <c r="R939" s="761">
        <f t="shared" si="1180"/>
        <v>-1.2919132149901404E-2</v>
      </c>
      <c r="S939" s="761">
        <f t="shared" si="1180"/>
        <v>-1.3844936708860311E-3</v>
      </c>
      <c r="T939" s="761">
        <f t="shared" si="1180"/>
        <v>-1.9986785596299968E-2</v>
      </c>
      <c r="U939" s="761">
        <f t="shared" si="1180"/>
        <v>-9.7173144876327099E-4</v>
      </c>
      <c r="V939" s="761">
        <f t="shared" si="1180"/>
        <v>-3.1402713153726322E-2</v>
      </c>
      <c r="W939" s="761">
        <f t="shared" si="1180"/>
        <v>-1.1073446327683615E-2</v>
      </c>
      <c r="X939" s="761">
        <f t="shared" si="1180"/>
        <v>-4.9914106845473351E-2</v>
      </c>
      <c r="Y939" s="761">
        <f t="shared" si="1180"/>
        <v>-3.6828911222951712E-2</v>
      </c>
      <c r="Z939" s="761">
        <f t="shared" si="1180"/>
        <v>-5.1708569070710808E-2</v>
      </c>
      <c r="AA939" s="761">
        <f t="shared" si="1180"/>
        <v>-3.1741498358713288E-2</v>
      </c>
      <c r="AB939" s="761">
        <f>+AB893/AB$284</f>
        <v>-4.5270377246489406E-2</v>
      </c>
      <c r="AC939" s="761">
        <f t="shared" ref="AC939:AK939" si="1181">+AC893/AC$284</f>
        <v>-4.6333515836826863E-2</v>
      </c>
      <c r="AD939" s="761">
        <f t="shared" si="1181"/>
        <v>-5.5641962088242652E-2</v>
      </c>
      <c r="AE939" s="1090">
        <f t="shared" si="1181"/>
        <v>-0.1231733159135277</v>
      </c>
      <c r="AF939" s="1090">
        <f t="shared" si="1181"/>
        <v>-9.2001395704012029E-2</v>
      </c>
      <c r="AG939" s="1090">
        <f t="shared" si="1181"/>
        <v>0.38886095652796809</v>
      </c>
      <c r="AH939" s="1090">
        <f t="shared" si="1181"/>
        <v>0.48961043677116217</v>
      </c>
      <c r="AI939" s="1090">
        <f t="shared" si="1181"/>
        <v>0.46010498554154461</v>
      </c>
      <c r="AJ939" s="1090" t="e">
        <f t="shared" si="1181"/>
        <v>#DIV/0!</v>
      </c>
      <c r="AK939" s="1090" t="e">
        <f t="shared" si="1181"/>
        <v>#DIV/0!</v>
      </c>
      <c r="AL939" s="1090" t="e">
        <f t="shared" si="1178"/>
        <v>#DIV/0!</v>
      </c>
      <c r="AM939" s="1090" t="e">
        <f t="shared" si="1178"/>
        <v>#DIV/0!</v>
      </c>
      <c r="AN939" s="1090">
        <v>3.6693089402626002</v>
      </c>
      <c r="AO939" s="1090">
        <v>3.6693089402626002</v>
      </c>
      <c r="AP939" s="1090"/>
      <c r="AQ939" s="1090"/>
      <c r="AR939" s="1090"/>
      <c r="AS939" s="1090"/>
      <c r="AT939" s="1090"/>
      <c r="AU939" s="302"/>
      <c r="AV939" s="302"/>
      <c r="AW939" s="302"/>
      <c r="AX939" s="302"/>
      <c r="AY939" s="302"/>
      <c r="AZ939" s="302"/>
      <c r="BA939" s="302"/>
      <c r="BB939" s="302"/>
      <c r="BC939" s="302"/>
      <c r="BD939" s="302"/>
      <c r="BE939" s="302"/>
      <c r="BF939" s="302"/>
      <c r="BG939" s="302"/>
      <c r="BH939" s="302"/>
      <c r="BI939" s="302"/>
      <c r="BJ939" s="302"/>
      <c r="BK939" s="302"/>
      <c r="BL939" s="302"/>
      <c r="BM939" s="302"/>
      <c r="BN939" s="302"/>
      <c r="BO939" s="302"/>
      <c r="BP939" s="302"/>
      <c r="BQ939" s="302"/>
      <c r="BR939" s="302"/>
      <c r="BS939" s="302"/>
      <c r="BT939" s="302"/>
      <c r="BU939" s="302"/>
      <c r="BV939" s="302"/>
      <c r="BW939" s="302"/>
      <c r="BX939" s="302"/>
      <c r="BY939" s="302"/>
      <c r="BZ939" s="302"/>
      <c r="CA939" s="302"/>
      <c r="CB939" s="302"/>
      <c r="CC939" s="302"/>
      <c r="CD939" s="302"/>
      <c r="CE939" s="302"/>
      <c r="CF939" s="302"/>
      <c r="CG939" s="302"/>
      <c r="CH939" s="302"/>
      <c r="CI939" s="302"/>
      <c r="CJ939" s="302"/>
      <c r="CK939" s="302"/>
      <c r="CL939" s="302"/>
      <c r="CM939" s="302"/>
      <c r="CN939" s="302"/>
      <c r="CO939" s="302"/>
      <c r="CP939" s="302"/>
      <c r="CQ939" s="302"/>
      <c r="CR939" s="302"/>
      <c r="CS939" s="302"/>
      <c r="CT939" s="302"/>
      <c r="CU939" s="302"/>
      <c r="CV939" s="302"/>
      <c r="CW939" s="304"/>
      <c r="CX939" s="302"/>
      <c r="CY939" s="302"/>
      <c r="CZ939" s="302"/>
      <c r="DA939" s="302"/>
      <c r="DB939" s="302"/>
      <c r="DC939" s="302"/>
      <c r="DD939" s="302"/>
      <c r="DE939" s="302"/>
      <c r="DF939" s="302"/>
      <c r="DG939" s="304"/>
      <c r="DH939" s="302"/>
      <c r="DI939" s="302"/>
      <c r="DJ939" s="302"/>
      <c r="DK939" s="302"/>
      <c r="DL939" s="302"/>
      <c r="DM939" s="302"/>
      <c r="DN939" s="302"/>
      <c r="DO939" s="302"/>
    </row>
    <row r="940" spans="1:119" hidden="1">
      <c r="A940" s="1"/>
      <c r="B940" s="1"/>
      <c r="C940" s="1"/>
      <c r="D940" s="1243" t="str">
        <f>D797</f>
        <v>Excluding Marriott Net lending</v>
      </c>
      <c r="E940" s="92"/>
      <c r="F940" s="134"/>
      <c r="G940" s="134"/>
      <c r="H940" s="134"/>
      <c r="I940" s="134"/>
      <c r="J940" s="761"/>
      <c r="K940" s="1242">
        <f t="shared" ref="K940:Z940" si="1182">+K894/K$284</f>
        <v>-2.343136832044557E-2</v>
      </c>
      <c r="L940" s="1242">
        <f t="shared" si="1182"/>
        <v>-1.1800298151460919E-2</v>
      </c>
      <c r="M940" s="1242">
        <f t="shared" si="1182"/>
        <v>-2.0780941828254837E-2</v>
      </c>
      <c r="N940" s="1242">
        <f t="shared" si="1182"/>
        <v>-1.8081565050408071E-2</v>
      </c>
      <c r="O940" s="1242">
        <f t="shared" si="1182"/>
        <v>-3.5281951606505658E-3</v>
      </c>
      <c r="P940" s="1242">
        <f t="shared" si="1182"/>
        <v>6.4570629211702186E-3</v>
      </c>
      <c r="Q940" s="1242">
        <f t="shared" si="1182"/>
        <v>3.1652816956446989E-4</v>
      </c>
      <c r="R940" s="1242">
        <f t="shared" si="1182"/>
        <v>-1.2919132149901404E-2</v>
      </c>
      <c r="S940" s="1242">
        <f t="shared" si="1182"/>
        <v>-1.3844936708860311E-3</v>
      </c>
      <c r="T940" s="1242">
        <f t="shared" si="1182"/>
        <v>-1.9986785596299968E-2</v>
      </c>
      <c r="U940" s="1242">
        <f t="shared" si="1182"/>
        <v>-9.7173144876327099E-4</v>
      </c>
      <c r="V940" s="1242">
        <f t="shared" si="1182"/>
        <v>-3.1402713153726322E-2</v>
      </c>
      <c r="W940" s="1242">
        <f t="shared" si="1182"/>
        <v>-1.1073446327683615E-2</v>
      </c>
      <c r="X940" s="1242">
        <f t="shared" si="1182"/>
        <v>-4.7733992746043841E-2</v>
      </c>
      <c r="Y940" s="1242">
        <f t="shared" si="1182"/>
        <v>-3.7868042010595356E-2</v>
      </c>
      <c r="Z940" s="1242">
        <f t="shared" si="1182"/>
        <v>-5.1492630767368909E-2</v>
      </c>
      <c r="AA940" s="1242">
        <f>+AA894/AA$284</f>
        <v>-3.2235029273324035E-2</v>
      </c>
      <c r="AB940" s="1242">
        <f t="shared" ref="AB940:AK940" si="1183">+AB894/AB$284</f>
        <v>-4.4866320838408087E-2</v>
      </c>
      <c r="AC940" s="1242">
        <f t="shared" si="1183"/>
        <v>-4.5440574277819876E-2</v>
      </c>
      <c r="AD940" s="1242">
        <f>+AD894/AD$284</f>
        <v>-6.2704889787078597E-2</v>
      </c>
      <c r="AE940" s="1242">
        <f t="shared" si="1183"/>
        <v>-0.11624729740654396</v>
      </c>
      <c r="AF940" s="1242">
        <f t="shared" si="1183"/>
        <v>-9.1396076483212518E-2</v>
      </c>
      <c r="AG940" s="1242">
        <f t="shared" si="1183"/>
        <v>0.38953604083283866</v>
      </c>
      <c r="AH940" s="1242">
        <f t="shared" si="1183"/>
        <v>0.48961043677116217</v>
      </c>
      <c r="AI940" s="1242">
        <f t="shared" si="1183"/>
        <v>0.46010498554154461</v>
      </c>
      <c r="AJ940" s="1242" t="e">
        <f t="shared" si="1183"/>
        <v>#DIV/0!</v>
      </c>
      <c r="AK940" s="1242" t="e">
        <f t="shared" si="1183"/>
        <v>#DIV/0!</v>
      </c>
      <c r="AL940" s="1242" t="e">
        <f t="shared" si="1178"/>
        <v>#DIV/0!</v>
      </c>
      <c r="AM940" s="1242" t="e">
        <f t="shared" si="1178"/>
        <v>#DIV/0!</v>
      </c>
      <c r="AN940" s="1242">
        <v>3.6693089402626007</v>
      </c>
      <c r="AO940" s="1242">
        <v>3.6693089402626007</v>
      </c>
      <c r="AP940" s="1242"/>
      <c r="AQ940" s="1242"/>
      <c r="AR940" s="1242"/>
      <c r="AS940" s="1242"/>
      <c r="AT940" s="1242"/>
      <c r="AU940" s="302"/>
      <c r="AV940" s="302"/>
      <c r="AW940" s="302"/>
      <c r="AX940" s="302"/>
      <c r="AY940" s="302"/>
      <c r="AZ940" s="302"/>
      <c r="BA940" s="302"/>
      <c r="BB940" s="302"/>
      <c r="BC940" s="302"/>
      <c r="BD940" s="302"/>
      <c r="BE940" s="302"/>
      <c r="BF940" s="302"/>
      <c r="BG940" s="302"/>
      <c r="BH940" s="302"/>
      <c r="BI940" s="302"/>
      <c r="BJ940" s="302"/>
      <c r="BK940" s="302"/>
      <c r="BL940" s="302"/>
      <c r="BM940" s="302"/>
      <c r="BN940" s="302"/>
      <c r="BO940" s="302"/>
      <c r="BP940" s="302"/>
      <c r="BQ940" s="302"/>
      <c r="BR940" s="302"/>
      <c r="BS940" s="302"/>
      <c r="BT940" s="302"/>
      <c r="BU940" s="302"/>
      <c r="BV940" s="302"/>
      <c r="BW940" s="302"/>
      <c r="BX940" s="302"/>
      <c r="BY940" s="302"/>
      <c r="BZ940" s="302"/>
      <c r="CA940" s="302"/>
      <c r="CB940" s="302"/>
      <c r="CC940" s="302"/>
      <c r="CD940" s="302"/>
      <c r="CE940" s="302"/>
      <c r="CF940" s="302"/>
      <c r="CG940" s="302"/>
      <c r="CH940" s="302"/>
      <c r="CI940" s="302"/>
      <c r="CJ940" s="302"/>
      <c r="CK940" s="302"/>
      <c r="CL940" s="302"/>
      <c r="CM940" s="302"/>
      <c r="CN940" s="302"/>
      <c r="CO940" s="302"/>
      <c r="CP940" s="302"/>
      <c r="CQ940" s="302"/>
      <c r="CR940" s="302"/>
      <c r="CS940" s="302"/>
      <c r="CT940" s="302"/>
      <c r="CU940" s="302"/>
      <c r="CV940" s="302"/>
      <c r="CW940" s="304"/>
      <c r="CX940" s="302"/>
      <c r="CY940" s="302"/>
      <c r="CZ940" s="302"/>
      <c r="DA940" s="302"/>
      <c r="DB940" s="302"/>
      <c r="DC940" s="302"/>
      <c r="DD940" s="302"/>
      <c r="DE940" s="302"/>
      <c r="DF940" s="302"/>
      <c r="DG940" s="304"/>
      <c r="DH940" s="302"/>
      <c r="DI940" s="302"/>
      <c r="DJ940" s="302"/>
      <c r="DK940" s="302"/>
      <c r="DL940" s="302"/>
      <c r="DM940" s="302"/>
      <c r="DN940" s="302"/>
      <c r="DO940" s="302"/>
    </row>
    <row r="941" spans="1:119" hidden="1">
      <c r="A941" s="1"/>
      <c r="B941" s="1"/>
      <c r="C941" s="1"/>
      <c r="D941" s="1243" t="str">
        <f>D798</f>
        <v>Excluding Marriott and PKO</v>
      </c>
      <c r="E941" s="92"/>
      <c r="F941" s="134"/>
      <c r="G941" s="134"/>
      <c r="H941" s="134"/>
      <c r="I941" s="134"/>
      <c r="J941" s="761"/>
      <c r="K941" s="1242">
        <f t="shared" ref="K941:Z941" si="1184">+K895/K$284</f>
        <v>-2.343136832044557E-2</v>
      </c>
      <c r="L941" s="1242">
        <f t="shared" si="1184"/>
        <v>-1.1800298151460919E-2</v>
      </c>
      <c r="M941" s="1242">
        <f t="shared" si="1184"/>
        <v>-2.0780941828254837E-2</v>
      </c>
      <c r="N941" s="1242">
        <f t="shared" si="1184"/>
        <v>-1.8081565050408071E-2</v>
      </c>
      <c r="O941" s="1242">
        <f t="shared" si="1184"/>
        <v>-3.5281951606505658E-3</v>
      </c>
      <c r="P941" s="1242">
        <f t="shared" si="1184"/>
        <v>6.4570629211702186E-3</v>
      </c>
      <c r="Q941" s="1242">
        <f t="shared" si="1184"/>
        <v>3.1652816956446989E-4</v>
      </c>
      <c r="R941" s="1242">
        <f t="shared" si="1184"/>
        <v>-1.2919132149901404E-2</v>
      </c>
      <c r="S941" s="1242">
        <f t="shared" si="1184"/>
        <v>-1.3844936708860311E-3</v>
      </c>
      <c r="T941" s="1242">
        <f t="shared" si="1184"/>
        <v>-1.9986785596299968E-2</v>
      </c>
      <c r="U941" s="1242">
        <f t="shared" si="1184"/>
        <v>-9.7173144876327099E-4</v>
      </c>
      <c r="V941" s="1242">
        <f t="shared" si="1184"/>
        <v>-3.1402713153726322E-2</v>
      </c>
      <c r="W941" s="1242">
        <f t="shared" si="1184"/>
        <v>-1.1073446327683615E-2</v>
      </c>
      <c r="X941" s="1242">
        <f t="shared" si="1184"/>
        <v>-4.9914106845473351E-2</v>
      </c>
      <c r="Y941" s="1242">
        <f t="shared" si="1184"/>
        <v>-3.6539028385590352E-2</v>
      </c>
      <c r="Z941" s="1242">
        <f t="shared" si="1184"/>
        <v>-5.1434361701387772E-2</v>
      </c>
      <c r="AA941" s="1242">
        <f>+AA895/AA$284</f>
        <v>-3.1475035972325371E-2</v>
      </c>
      <c r="AB941" s="1242">
        <f t="shared" ref="AB941:AK941" si="1185">+AB895/AB$284</f>
        <v>-4.4914404677647811E-2</v>
      </c>
      <c r="AC941" s="1242">
        <f t="shared" si="1185"/>
        <v>-4.5974770242265976E-2</v>
      </c>
      <c r="AD941" s="1242">
        <f t="shared" si="1185"/>
        <v>-5.5641962088242652E-2</v>
      </c>
      <c r="AE941" s="1242">
        <f t="shared" si="1185"/>
        <v>-0.11464998329047209</v>
      </c>
      <c r="AF941" s="1242">
        <f t="shared" si="1185"/>
        <v>-9.2001395704012029E-2</v>
      </c>
      <c r="AG941" s="1242">
        <f t="shared" si="1185"/>
        <v>0.38886095652796809</v>
      </c>
      <c r="AH941" s="1242">
        <f t="shared" si="1185"/>
        <v>0.48961043677116217</v>
      </c>
      <c r="AI941" s="1242">
        <f t="shared" si="1185"/>
        <v>0.46010498554154461</v>
      </c>
      <c r="AJ941" s="1242" t="e">
        <f t="shared" si="1185"/>
        <v>#DIV/0!</v>
      </c>
      <c r="AK941" s="1242" t="e">
        <f t="shared" si="1185"/>
        <v>#DIV/0!</v>
      </c>
      <c r="AL941" s="1242" t="e">
        <f t="shared" si="1178"/>
        <v>#DIV/0!</v>
      </c>
      <c r="AM941" s="1242" t="e">
        <f t="shared" si="1178"/>
        <v>#DIV/0!</v>
      </c>
      <c r="AN941" s="1242">
        <v>3.6693089402626002</v>
      </c>
      <c r="AO941" s="1242">
        <v>3.6693089402626002</v>
      </c>
      <c r="AP941" s="1242"/>
      <c r="AQ941" s="1242"/>
      <c r="AR941" s="1242"/>
      <c r="AS941" s="1242"/>
      <c r="AT941" s="1242"/>
      <c r="AU941" s="302"/>
      <c r="AV941" s="302"/>
      <c r="AW941" s="302"/>
      <c r="AX941" s="302"/>
      <c r="AY941" s="302"/>
      <c r="AZ941" s="302"/>
      <c r="BA941" s="302"/>
      <c r="BB941" s="302"/>
      <c r="BC941" s="302"/>
      <c r="BD941" s="302"/>
      <c r="BE941" s="302"/>
      <c r="BF941" s="302"/>
      <c r="BG941" s="302"/>
      <c r="BH941" s="302"/>
      <c r="BI941" s="302"/>
      <c r="BJ941" s="302"/>
      <c r="BK941" s="302"/>
      <c r="BL941" s="302"/>
      <c r="BM941" s="302"/>
      <c r="BN941" s="302"/>
      <c r="BO941" s="302"/>
      <c r="BP941" s="302"/>
      <c r="BQ941" s="302"/>
      <c r="BR941" s="302"/>
      <c r="BS941" s="302"/>
      <c r="BT941" s="302"/>
      <c r="BU941" s="302"/>
      <c r="BV941" s="302"/>
      <c r="BW941" s="302"/>
      <c r="BX941" s="302"/>
      <c r="BY941" s="302"/>
      <c r="BZ941" s="302"/>
      <c r="CA941" s="302"/>
      <c r="CB941" s="302"/>
      <c r="CC941" s="302"/>
      <c r="CD941" s="302"/>
      <c r="CE941" s="302"/>
      <c r="CF941" s="302"/>
      <c r="CG941" s="302"/>
      <c r="CH941" s="302"/>
      <c r="CI941" s="302"/>
      <c r="CJ941" s="302"/>
      <c r="CK941" s="302"/>
      <c r="CL941" s="302"/>
      <c r="CM941" s="302"/>
      <c r="CN941" s="302"/>
      <c r="CO941" s="302"/>
      <c r="CP941" s="302"/>
      <c r="CQ941" s="302"/>
      <c r="CR941" s="302"/>
      <c r="CS941" s="302"/>
      <c r="CT941" s="302"/>
      <c r="CU941" s="302"/>
      <c r="CV941" s="302"/>
      <c r="CW941" s="304"/>
      <c r="CX941" s="302"/>
      <c r="CY941" s="302"/>
      <c r="CZ941" s="302"/>
      <c r="DA941" s="302"/>
      <c r="DB941" s="302"/>
      <c r="DC941" s="302"/>
      <c r="DD941" s="302"/>
      <c r="DE941" s="302"/>
      <c r="DF941" s="302"/>
      <c r="DG941" s="304"/>
      <c r="DH941" s="302"/>
      <c r="DI941" s="302"/>
      <c r="DJ941" s="302"/>
      <c r="DK941" s="302"/>
      <c r="DL941" s="302"/>
      <c r="DM941" s="302"/>
      <c r="DN941" s="302"/>
      <c r="DO941" s="302"/>
    </row>
    <row r="942" spans="1:119" hidden="1">
      <c r="A942" s="1"/>
      <c r="B942" s="1"/>
      <c r="C942" s="1"/>
      <c r="D942" s="1243" t="str">
        <f>D799</f>
        <v>Excluding Marriott, PKO, Emergencies and COVID-19</v>
      </c>
      <c r="E942" s="92"/>
      <c r="F942" s="134"/>
      <c r="G942" s="134"/>
      <c r="H942" s="134"/>
      <c r="I942" s="134"/>
      <c r="J942" s="761"/>
      <c r="K942" s="1242">
        <f t="shared" ref="K942:Z942" si="1186">+K896/K$284</f>
        <v>-2.343136832044557E-2</v>
      </c>
      <c r="L942" s="1242">
        <f t="shared" si="1186"/>
        <v>-1.1800298151460919E-2</v>
      </c>
      <c r="M942" s="1242">
        <f t="shared" si="1186"/>
        <v>-2.0780941828254837E-2</v>
      </c>
      <c r="N942" s="1242">
        <f t="shared" si="1186"/>
        <v>-1.8081565050408071E-2</v>
      </c>
      <c r="O942" s="1242">
        <f t="shared" si="1186"/>
        <v>-3.5281951606505658E-3</v>
      </c>
      <c r="P942" s="1242">
        <f t="shared" si="1186"/>
        <v>6.4570629211702186E-3</v>
      </c>
      <c r="Q942" s="1242">
        <f t="shared" si="1186"/>
        <v>3.1652816956446989E-4</v>
      </c>
      <c r="R942" s="1242">
        <f t="shared" si="1186"/>
        <v>-1.2919132149901404E-2</v>
      </c>
      <c r="S942" s="1242">
        <f t="shared" si="1186"/>
        <v>-1.3844936708860311E-3</v>
      </c>
      <c r="T942" s="1242">
        <f t="shared" si="1186"/>
        <v>-1.9986785596299968E-2</v>
      </c>
      <c r="U942" s="1242">
        <f t="shared" si="1186"/>
        <v>-9.7173144876327099E-4</v>
      </c>
      <c r="V942" s="1242">
        <f t="shared" si="1186"/>
        <v>-3.1402713153726322E-2</v>
      </c>
      <c r="W942" s="1242">
        <f t="shared" si="1186"/>
        <v>-1.1073446327683615E-2</v>
      </c>
      <c r="X942" s="1242">
        <f t="shared" si="1186"/>
        <v>-4.9914106845473351E-2</v>
      </c>
      <c r="Y942" s="1242">
        <f t="shared" si="1186"/>
        <v>-3.6539028385590352E-2</v>
      </c>
      <c r="Z942" s="1242">
        <f t="shared" si="1186"/>
        <v>-5.1434361701387772E-2</v>
      </c>
      <c r="AA942" s="1242">
        <f>+AA896/AA$284</f>
        <v>-3.1475035972325371E-2</v>
      </c>
      <c r="AB942" s="1242">
        <f>+AB896/AB$284</f>
        <v>-4.4914404677647811E-2</v>
      </c>
      <c r="AC942" s="1242">
        <f>+AC896/AC$284</f>
        <v>-4.5974770242265976E-2</v>
      </c>
      <c r="AD942" s="1242">
        <f>+AD896/AD$284</f>
        <v>-5.5641962088242652E-2</v>
      </c>
      <c r="AE942" s="1242">
        <f t="shared" ref="AE942:AK942" si="1187">+AE896/AE$284</f>
        <v>-6.9912387728782763E-2</v>
      </c>
      <c r="AF942" s="1242">
        <f t="shared" si="1187"/>
        <v>-3.9959544456988433E-2</v>
      </c>
      <c r="AG942" s="1242">
        <f t="shared" si="1187"/>
        <v>0.38886095652796809</v>
      </c>
      <c r="AH942" s="1242">
        <f t="shared" si="1187"/>
        <v>0.48961043677116217</v>
      </c>
      <c r="AI942" s="1242">
        <f t="shared" si="1187"/>
        <v>0.46010498554154461</v>
      </c>
      <c r="AJ942" s="1242" t="e">
        <f t="shared" si="1187"/>
        <v>#DIV/0!</v>
      </c>
      <c r="AK942" s="1242" t="e">
        <f t="shared" si="1187"/>
        <v>#DIV/0!</v>
      </c>
      <c r="AL942" s="1242" t="e">
        <f t="shared" si="1178"/>
        <v>#DIV/0!</v>
      </c>
      <c r="AM942" s="1242" t="e">
        <f t="shared" si="1178"/>
        <v>#DIV/0!</v>
      </c>
      <c r="AN942" s="1242">
        <v>3.6693089402626002</v>
      </c>
      <c r="AO942" s="1242">
        <v>3.6693089402626002</v>
      </c>
      <c r="AP942" s="1242"/>
      <c r="AQ942" s="1242"/>
      <c r="AR942" s="1242"/>
      <c r="AS942" s="1242"/>
      <c r="AT942" s="1242"/>
      <c r="AU942" s="302"/>
      <c r="AV942" s="302"/>
      <c r="AW942" s="302"/>
      <c r="AX942" s="302"/>
      <c r="AY942" s="302"/>
      <c r="AZ942" s="302"/>
      <c r="BA942" s="302"/>
      <c r="BB942" s="302"/>
      <c r="BC942" s="302"/>
      <c r="BD942" s="302"/>
      <c r="BE942" s="302"/>
      <c r="BF942" s="302"/>
      <c r="BG942" s="302"/>
      <c r="BH942" s="302"/>
      <c r="BI942" s="302"/>
      <c r="BJ942" s="302"/>
      <c r="BK942" s="302"/>
      <c r="BL942" s="302"/>
      <c r="BM942" s="302"/>
      <c r="BN942" s="302"/>
      <c r="BO942" s="302"/>
      <c r="BP942" s="302"/>
      <c r="BQ942" s="302"/>
      <c r="BR942" s="302"/>
      <c r="BS942" s="302"/>
      <c r="BT942" s="302"/>
      <c r="BU942" s="302"/>
      <c r="BV942" s="302"/>
      <c r="BW942" s="302"/>
      <c r="BX942" s="302"/>
      <c r="BY942" s="302"/>
      <c r="BZ942" s="302"/>
      <c r="CA942" s="302"/>
      <c r="CB942" s="302"/>
      <c r="CC942" s="302"/>
      <c r="CD942" s="302"/>
      <c r="CE942" s="302"/>
      <c r="CF942" s="302"/>
      <c r="CG942" s="302"/>
      <c r="CH942" s="302"/>
      <c r="CI942" s="302"/>
      <c r="CJ942" s="302"/>
      <c r="CK942" s="302"/>
      <c r="CL942" s="302"/>
      <c r="CM942" s="302"/>
      <c r="CN942" s="302"/>
      <c r="CO942" s="302"/>
      <c r="CP942" s="302"/>
      <c r="CQ942" s="302"/>
      <c r="CR942" s="302"/>
      <c r="CS942" s="302"/>
      <c r="CT942" s="302"/>
      <c r="CU942" s="302"/>
      <c r="CV942" s="302"/>
      <c r="CW942" s="304"/>
      <c r="CX942" s="302"/>
      <c r="CY942" s="302"/>
      <c r="CZ942" s="302"/>
      <c r="DA942" s="302"/>
      <c r="DB942" s="302"/>
      <c r="DC942" s="302"/>
      <c r="DD942" s="302"/>
      <c r="DE942" s="302"/>
      <c r="DF942" s="302"/>
      <c r="DG942" s="304"/>
      <c r="DH942" s="302"/>
      <c r="DI942" s="302"/>
      <c r="DJ942" s="302"/>
      <c r="DK942" s="302"/>
      <c r="DL942" s="302"/>
      <c r="DM942" s="302"/>
      <c r="DN942" s="302"/>
      <c r="DO942" s="302"/>
    </row>
    <row r="943" spans="1:119" hidden="1">
      <c r="A943" s="1"/>
      <c r="B943" s="1"/>
      <c r="C943" s="1"/>
      <c r="D943" s="755" t="s">
        <v>1278</v>
      </c>
      <c r="E943" s="92"/>
      <c r="F943" s="134"/>
      <c r="G943" s="134"/>
      <c r="H943" s="134"/>
      <c r="I943" s="134"/>
      <c r="J943" s="761"/>
      <c r="K943" s="1242"/>
      <c r="L943" s="1242"/>
      <c r="M943" s="1242">
        <f>AVERAGE(K940:O940)</f>
        <v>-1.5524473702243991E-2</v>
      </c>
      <c r="N943" s="1242">
        <f t="shared" ref="N943:AJ943" si="1188">AVERAGE(L940:P940)</f>
        <v>-9.546787453920836E-3</v>
      </c>
      <c r="O943" s="1242">
        <f t="shared" si="1188"/>
        <v>-7.1234221897157586E-3</v>
      </c>
      <c r="P943" s="1242">
        <f t="shared" si="1188"/>
        <v>-5.5510602540450706E-3</v>
      </c>
      <c r="Q943" s="1242">
        <f t="shared" si="1188"/>
        <v>-2.2116459781406626E-3</v>
      </c>
      <c r="R943" s="1242">
        <f t="shared" si="1188"/>
        <v>-5.5033640652705426E-3</v>
      </c>
      <c r="S943" s="1242">
        <f t="shared" si="1188"/>
        <v>-6.9891229392572401E-3</v>
      </c>
      <c r="T943" s="1242">
        <f t="shared" si="1188"/>
        <v>-1.3332971203915401E-2</v>
      </c>
      <c r="U943" s="1242">
        <f t="shared" si="1188"/>
        <v>-1.2963834039471841E-2</v>
      </c>
      <c r="V943" s="1242">
        <f t="shared" si="1188"/>
        <v>-2.2233733854503404E-2</v>
      </c>
      <c r="W943" s="1242">
        <f t="shared" si="1188"/>
        <v>-2.580998513736248E-2</v>
      </c>
      <c r="X943" s="1242">
        <f t="shared" si="1188"/>
        <v>-3.591416500108361E-2</v>
      </c>
      <c r="Y943" s="1242">
        <f t="shared" si="1188"/>
        <v>-3.6080628225003145E-2</v>
      </c>
      <c r="Z943" s="1242">
        <f t="shared" si="1188"/>
        <v>-4.2839203127148041E-2</v>
      </c>
      <c r="AA943" s="1242">
        <f t="shared" si="1188"/>
        <v>-4.2380519433503253E-2</v>
      </c>
      <c r="AB943" s="1242">
        <f t="shared" si="1188"/>
        <v>-4.7347888988799901E-2</v>
      </c>
      <c r="AC943" s="1242">
        <f t="shared" si="1188"/>
        <v>-6.0298822316634901E-2</v>
      </c>
      <c r="AD943" s="1242">
        <f t="shared" si="1188"/>
        <v>-7.2131031758612602E-2</v>
      </c>
      <c r="AE943" s="1242">
        <f t="shared" si="1188"/>
        <v>1.474944057563674E-2</v>
      </c>
      <c r="AF943" s="1242">
        <f t="shared" si="1188"/>
        <v>0.12175964278543314</v>
      </c>
      <c r="AG943" s="1242">
        <f t="shared" si="1188"/>
        <v>0.22632161785115779</v>
      </c>
      <c r="AH943" s="1242" t="e">
        <f t="shared" si="1188"/>
        <v>#DIV/0!</v>
      </c>
      <c r="AI943" s="1242" t="e">
        <f t="shared" si="1188"/>
        <v>#DIV/0!</v>
      </c>
      <c r="AJ943" s="1242" t="e">
        <f t="shared" si="1188"/>
        <v>#DIV/0!</v>
      </c>
      <c r="AK943" s="1242" t="e">
        <f>AVERAGE(AI940:AN940)</f>
        <v>#DIV/0!</v>
      </c>
      <c r="AL943" s="1242" t="e">
        <f>AVERAGE(AJ940:AR940)</f>
        <v>#DIV/0!</v>
      </c>
      <c r="AM943" s="1242" t="e">
        <f t="shared" ref="AM943:AM944" si="1189">AVERAGE(AK940:AR940)</f>
        <v>#DIV/0!</v>
      </c>
      <c r="AN943" s="1242" t="e">
        <f>AVERAGE(AL940:AU940)</f>
        <v>#DIV/0!</v>
      </c>
      <c r="AO943" s="1242" t="e">
        <f>AVERAGE(AM940:AV940)</f>
        <v>#DIV/0!</v>
      </c>
      <c r="AP943" s="1242"/>
      <c r="AQ943" s="1242"/>
      <c r="AR943" s="1242"/>
      <c r="AS943" s="1242"/>
      <c r="AT943" s="1242"/>
      <c r="AU943" s="302"/>
      <c r="AV943" s="302"/>
      <c r="AW943" s="302"/>
      <c r="AX943" s="302"/>
      <c r="AY943" s="302"/>
      <c r="AZ943" s="302"/>
      <c r="BA943" s="302"/>
      <c r="BB943" s="302"/>
      <c r="BC943" s="302"/>
      <c r="BD943" s="302"/>
      <c r="BE943" s="302"/>
      <c r="BF943" s="302"/>
      <c r="BG943" s="302"/>
      <c r="BH943" s="302"/>
      <c r="BI943" s="302"/>
      <c r="BJ943" s="302"/>
      <c r="BK943" s="302"/>
      <c r="BL943" s="302"/>
      <c r="BM943" s="302"/>
      <c r="BN943" s="302"/>
      <c r="BO943" s="302"/>
      <c r="BP943" s="302"/>
      <c r="BQ943" s="302"/>
      <c r="BR943" s="302"/>
      <c r="BS943" s="302"/>
      <c r="BT943" s="302"/>
      <c r="BU943" s="302"/>
      <c r="BV943" s="302"/>
      <c r="BW943" s="302"/>
      <c r="BX943" s="302"/>
      <c r="BY943" s="302"/>
      <c r="BZ943" s="302"/>
      <c r="CA943" s="302"/>
      <c r="CB943" s="302"/>
      <c r="CC943" s="302"/>
      <c r="CD943" s="302"/>
      <c r="CE943" s="302"/>
      <c r="CF943" s="302"/>
      <c r="CG943" s="302"/>
      <c r="CH943" s="302"/>
      <c r="CI943" s="302"/>
      <c r="CJ943" s="302"/>
      <c r="CK943" s="302"/>
      <c r="CL943" s="302"/>
      <c r="CM943" s="302"/>
      <c r="CN943" s="302"/>
      <c r="CO943" s="302"/>
      <c r="CP943" s="302"/>
      <c r="CQ943" s="302"/>
      <c r="CR943" s="302"/>
      <c r="CS943" s="302"/>
      <c r="CT943" s="302"/>
      <c r="CU943" s="302"/>
      <c r="CV943" s="302"/>
      <c r="CW943" s="304"/>
      <c r="CX943" s="302"/>
      <c r="CY943" s="302"/>
      <c r="CZ943" s="302"/>
      <c r="DA943" s="302"/>
      <c r="DB943" s="302"/>
      <c r="DC943" s="302"/>
      <c r="DD943" s="302"/>
      <c r="DE943" s="302"/>
      <c r="DF943" s="302"/>
      <c r="DG943" s="304"/>
      <c r="DH943" s="302"/>
      <c r="DI943" s="302"/>
      <c r="DJ943" s="302"/>
      <c r="DK943" s="302"/>
      <c r="DL943" s="302"/>
      <c r="DM943" s="302"/>
      <c r="DN943" s="302"/>
      <c r="DO943" s="302"/>
    </row>
    <row r="944" spans="1:119" hidden="1">
      <c r="A944" s="1"/>
      <c r="B944" s="1"/>
      <c r="C944" s="1"/>
      <c r="D944" s="755" t="s">
        <v>1277</v>
      </c>
      <c r="E944" s="92"/>
      <c r="F944" s="134"/>
      <c r="G944" s="134"/>
      <c r="H944" s="134"/>
      <c r="I944" s="134"/>
      <c r="J944" s="761"/>
      <c r="K944" s="1244">
        <f>AVERAGE(I941:M941)</f>
        <v>-1.8670869433387107E-2</v>
      </c>
      <c r="L944" s="1244">
        <f t="shared" ref="L944:Z944" si="1190">AVERAGE(J941:N941)</f>
        <v>-1.8523543337642348E-2</v>
      </c>
      <c r="M944" s="1244">
        <f t="shared" si="1190"/>
        <v>-1.5524473702243991E-2</v>
      </c>
      <c r="N944" s="1244">
        <f t="shared" si="1190"/>
        <v>-9.546787453920836E-3</v>
      </c>
      <c r="O944" s="1244">
        <f t="shared" si="1190"/>
        <v>-7.1234221897157586E-3</v>
      </c>
      <c r="P944" s="1244">
        <f t="shared" si="1190"/>
        <v>-5.5510602540450706E-3</v>
      </c>
      <c r="Q944" s="1244">
        <f t="shared" si="1190"/>
        <v>-2.2116459781406626E-3</v>
      </c>
      <c r="R944" s="1244">
        <f t="shared" si="1190"/>
        <v>-5.5033640652705426E-3</v>
      </c>
      <c r="S944" s="1244">
        <f t="shared" si="1190"/>
        <v>-6.9891229392572401E-3</v>
      </c>
      <c r="T944" s="1244">
        <f t="shared" si="1190"/>
        <v>-1.3332971203915401E-2</v>
      </c>
      <c r="U944" s="1244">
        <f t="shared" si="1190"/>
        <v>-1.2963834039471841E-2</v>
      </c>
      <c r="V944" s="1245">
        <f t="shared" si="1190"/>
        <v>-2.2669756674389308E-2</v>
      </c>
      <c r="W944" s="1245">
        <f t="shared" si="1190"/>
        <v>-2.5980205232247384E-2</v>
      </c>
      <c r="X944" s="1245">
        <f t="shared" si="1190"/>
        <v>-3.6072731282772288E-2</v>
      </c>
      <c r="Y944" s="1245">
        <f t="shared" si="1190"/>
        <v>-3.6087195846492094E-2</v>
      </c>
      <c r="Z944" s="1245">
        <f t="shared" si="1190"/>
        <v>-4.2855387516484933E-2</v>
      </c>
      <c r="AA944" s="1245">
        <f t="shared" ref="AA944:AJ944" si="1191">AVERAGE(Y941:AC941)</f>
        <v>-4.2067520195843464E-2</v>
      </c>
      <c r="AB944" s="1245">
        <f t="shared" si="1191"/>
        <v>-4.5888106936373921E-2</v>
      </c>
      <c r="AC944" s="1244">
        <f t="shared" si="1191"/>
        <v>-5.8531231254190783E-2</v>
      </c>
      <c r="AD944" s="1245">
        <f t="shared" si="1191"/>
        <v>-7.0636503200528125E-2</v>
      </c>
      <c r="AE944" s="1245">
        <f t="shared" si="1191"/>
        <v>1.6118569040595065E-2</v>
      </c>
      <c r="AF944" s="1245">
        <f t="shared" si="1191"/>
        <v>0.12323561044328071</v>
      </c>
      <c r="AG944" s="1245">
        <f t="shared" si="1191"/>
        <v>0.22638499996923817</v>
      </c>
      <c r="AH944" s="1245" t="e">
        <f t="shared" si="1191"/>
        <v>#DIV/0!</v>
      </c>
      <c r="AI944" s="1245" t="e">
        <f t="shared" si="1191"/>
        <v>#DIV/0!</v>
      </c>
      <c r="AJ944" s="1245" t="e">
        <f t="shared" si="1191"/>
        <v>#DIV/0!</v>
      </c>
      <c r="AK944" s="1245" t="e">
        <f>AVERAGE(AI941:AN941)</f>
        <v>#DIV/0!</v>
      </c>
      <c r="AL944" s="1245" t="e">
        <f>AVERAGE(AJ941:AR941)</f>
        <v>#DIV/0!</v>
      </c>
      <c r="AM944" s="1245" t="e">
        <f t="shared" si="1189"/>
        <v>#DIV/0!</v>
      </c>
      <c r="AN944" s="1245" t="e">
        <f>AVERAGE(AL941:AU941)</f>
        <v>#DIV/0!</v>
      </c>
      <c r="AO944" s="1245" t="e">
        <f>AVERAGE(AM941:AV941)</f>
        <v>#DIV/0!</v>
      </c>
      <c r="AP944" s="1245"/>
      <c r="AQ944" s="1245"/>
      <c r="AR944" s="1245"/>
      <c r="AS944" s="1245"/>
      <c r="AT944" s="1245"/>
      <c r="AU944" s="302"/>
      <c r="AV944" s="302"/>
      <c r="AW944" s="302"/>
      <c r="AX944" s="302"/>
      <c r="AY944" s="302"/>
      <c r="AZ944" s="302"/>
      <c r="BA944" s="302"/>
      <c r="BB944" s="302"/>
      <c r="BC944" s="302"/>
      <c r="BD944" s="302"/>
      <c r="BE944" s="302"/>
      <c r="BF944" s="302"/>
      <c r="BG944" s="302"/>
      <c r="BH944" s="302"/>
      <c r="BI944" s="302"/>
      <c r="BJ944" s="302"/>
      <c r="BK944" s="302"/>
      <c r="BL944" s="302"/>
      <c r="BM944" s="302"/>
      <c r="BN944" s="302"/>
      <c r="BO944" s="302"/>
      <c r="BP944" s="302"/>
      <c r="BQ944" s="302"/>
      <c r="BR944" s="302"/>
      <c r="BS944" s="302"/>
      <c r="BT944" s="302"/>
      <c r="BU944" s="302"/>
      <c r="BV944" s="302"/>
      <c r="BW944" s="302"/>
      <c r="BX944" s="302"/>
      <c r="BY944" s="302"/>
      <c r="BZ944" s="302"/>
      <c r="CA944" s="302"/>
      <c r="CB944" s="302"/>
      <c r="CC944" s="302"/>
      <c r="CD944" s="302"/>
      <c r="CE944" s="302"/>
      <c r="CF944" s="302"/>
      <c r="CG944" s="302"/>
      <c r="CH944" s="302"/>
      <c r="CI944" s="302"/>
      <c r="CJ944" s="302"/>
      <c r="CK944" s="302"/>
      <c r="CL944" s="302"/>
      <c r="CM944" s="302"/>
      <c r="CN944" s="302"/>
      <c r="CO944" s="302"/>
      <c r="CP944" s="302"/>
      <c r="CQ944" s="302"/>
      <c r="CR944" s="302"/>
      <c r="CS944" s="302"/>
      <c r="CT944" s="302"/>
      <c r="CU944" s="302"/>
      <c r="CV944" s="302"/>
      <c r="CW944" s="304"/>
      <c r="CX944" s="302"/>
      <c r="CY944" s="302"/>
      <c r="CZ944" s="302"/>
      <c r="DA944" s="302"/>
      <c r="DB944" s="302"/>
      <c r="DC944" s="302"/>
      <c r="DD944" s="302"/>
      <c r="DE944" s="302"/>
      <c r="DF944" s="302"/>
      <c r="DG944" s="304"/>
      <c r="DH944" s="302"/>
      <c r="DI944" s="302"/>
      <c r="DJ944" s="302"/>
      <c r="DK944" s="302"/>
      <c r="DL944" s="302"/>
      <c r="DM944" s="302"/>
      <c r="DN944" s="302"/>
      <c r="DO944" s="302"/>
    </row>
    <row r="945" spans="1:119" hidden="1">
      <c r="A945" s="1"/>
      <c r="B945" s="1"/>
      <c r="C945" s="1"/>
      <c r="D945" s="755" t="s">
        <v>1247</v>
      </c>
      <c r="E945" s="92"/>
      <c r="F945" s="134"/>
      <c r="G945" s="134"/>
      <c r="H945" s="134"/>
      <c r="I945" s="134"/>
      <c r="J945" s="1090"/>
      <c r="K945" s="1090">
        <f>AVERAGE(I937:M937)</f>
        <v>-1.8670869433387131E-2</v>
      </c>
      <c r="L945" s="1090">
        <f>AVERAGE(J937:N937)</f>
        <v>-1.8523543337642369E-2</v>
      </c>
      <c r="M945" s="1090">
        <f t="shared" ref="M945:Y945" si="1192">AVERAGE(K937:O937)</f>
        <v>-1.5524473702244006E-2</v>
      </c>
      <c r="N945" s="1090">
        <f t="shared" si="1192"/>
        <v>-9.5467874539208412E-3</v>
      </c>
      <c r="O945" s="1090">
        <f t="shared" si="1192"/>
        <v>-7.1234221897157612E-3</v>
      </c>
      <c r="P945" s="1090">
        <f t="shared" si="1192"/>
        <v>-5.5510602540450706E-3</v>
      </c>
      <c r="Q945" s="1090">
        <f t="shared" si="1192"/>
        <v>-2.21164597814066E-3</v>
      </c>
      <c r="R945" s="1090">
        <f t="shared" si="1192"/>
        <v>-5.5033640652705426E-3</v>
      </c>
      <c r="S945" s="1090">
        <f t="shared" si="1192"/>
        <v>-6.9891229392572401E-3</v>
      </c>
      <c r="T945" s="1090">
        <f t="shared" si="1192"/>
        <v>-1.3332971203915401E-2</v>
      </c>
      <c r="U945" s="1090">
        <f t="shared" si="1192"/>
        <v>-1.2963834039471841E-2</v>
      </c>
      <c r="V945" s="1090">
        <f t="shared" si="1192"/>
        <v>-2.2233733854503404E-2</v>
      </c>
      <c r="W945" s="1090">
        <f t="shared" si="1192"/>
        <v>-2.5867961704834751E-2</v>
      </c>
      <c r="X945" s="1090">
        <f t="shared" si="1192"/>
        <v>-3.6026983042420482E-2</v>
      </c>
      <c r="Y945" s="1090">
        <f t="shared" si="1192"/>
        <v>-3.6246738743617612E-2</v>
      </c>
      <c r="Z945" s="1090">
        <f t="shared" ref="Z945:AI945" si="1193">AVERAGE(X937:AB937)</f>
        <v>-4.3076344136330484E-2</v>
      </c>
      <c r="AA945" s="1090">
        <f t="shared" si="1193"/>
        <v>-4.268940956159787E-2</v>
      </c>
      <c r="AB945" s="1090">
        <f>AVERAGE(Z937:AD937)</f>
        <v>-4.7598802549422246E-2</v>
      </c>
      <c r="AC945" s="1090">
        <f t="shared" si="1193"/>
        <v>-6.2199560928003786E-2</v>
      </c>
      <c r="AD945" s="1090">
        <f t="shared" si="1193"/>
        <v>-7.3978477892703884E-2</v>
      </c>
      <c r="AE945" s="1090">
        <f t="shared" si="1193"/>
        <v>1.2973024932113442E-2</v>
      </c>
      <c r="AF945" s="1090">
        <f>AVERAGE(AD937:AH937)</f>
        <v>0.12005497626082202</v>
      </c>
      <c r="AG945" s="1090">
        <f>AVERAGE(AE937:AI937)</f>
        <v>0.22461695132654666</v>
      </c>
      <c r="AH945" s="1090" t="e">
        <f t="shared" si="1193"/>
        <v>#DIV/0!</v>
      </c>
      <c r="AI945" s="1090" t="e">
        <f t="shared" si="1193"/>
        <v>#DIV/0!</v>
      </c>
      <c r="AJ945" s="1090" t="e">
        <f>AVERAGE(AH937:AL937)</f>
        <v>#DIV/0!</v>
      </c>
      <c r="AK945" s="1090" t="e">
        <f>AVERAGE(AI937:AN937)</f>
        <v>#DIV/0!</v>
      </c>
      <c r="AL945" s="1090" t="e">
        <f>AVERAGE(AJ937:AR937)</f>
        <v>#DIV/0!</v>
      </c>
      <c r="AM945" s="1090" t="e">
        <f>AVERAGE(AK937:AR937)</f>
        <v>#DIV/0!</v>
      </c>
      <c r="AN945" s="1090" t="e">
        <f>AVERAGE(AL937:AU937)</f>
        <v>#DIV/0!</v>
      </c>
      <c r="AO945" s="1090" t="e">
        <f>AVERAGE(AM937:AV937)</f>
        <v>#DIV/0!</v>
      </c>
      <c r="AP945" s="1090"/>
      <c r="AQ945" s="1090"/>
      <c r="AR945" s="1090"/>
      <c r="AS945" s="1090"/>
      <c r="AT945" s="1090"/>
      <c r="AU945" s="302"/>
      <c r="AV945" s="302"/>
      <c r="AW945" s="302"/>
      <c r="AX945" s="302"/>
      <c r="AY945" s="302"/>
      <c r="AZ945" s="302"/>
      <c r="BA945" s="302"/>
      <c r="BB945" s="302"/>
      <c r="BC945" s="302"/>
      <c r="BD945" s="302"/>
      <c r="BE945" s="302"/>
      <c r="BF945" s="302"/>
      <c r="BG945" s="302"/>
      <c r="BH945" s="302"/>
      <c r="BI945" s="302"/>
      <c r="BJ945" s="302"/>
      <c r="BK945" s="302"/>
      <c r="BL945" s="302"/>
      <c r="BM945" s="302"/>
      <c r="BN945" s="302"/>
      <c r="BO945" s="302"/>
      <c r="BP945" s="302"/>
      <c r="BQ945" s="302"/>
      <c r="BR945" s="302"/>
      <c r="BS945" s="302"/>
      <c r="BT945" s="302"/>
      <c r="BU945" s="302"/>
      <c r="BV945" s="302"/>
      <c r="BW945" s="302"/>
      <c r="BX945" s="302"/>
      <c r="BY945" s="302"/>
      <c r="BZ945" s="302"/>
      <c r="CA945" s="302"/>
      <c r="CB945" s="302"/>
      <c r="CC945" s="302"/>
      <c r="CD945" s="302"/>
      <c r="CE945" s="302"/>
      <c r="CF945" s="302"/>
      <c r="CG945" s="302"/>
      <c r="CH945" s="302"/>
      <c r="CI945" s="302"/>
      <c r="CJ945" s="302"/>
      <c r="CK945" s="302"/>
      <c r="CL945" s="302"/>
      <c r="CM945" s="302"/>
      <c r="CN945" s="302"/>
      <c r="CO945" s="302"/>
      <c r="CP945" s="302"/>
      <c r="CQ945" s="302"/>
      <c r="CR945" s="302"/>
      <c r="CS945" s="302"/>
      <c r="CT945" s="302"/>
      <c r="CU945" s="302"/>
      <c r="CV945" s="302"/>
      <c r="CW945" s="304"/>
      <c r="CX945" s="302"/>
      <c r="CY945" s="302"/>
      <c r="CZ945" s="302"/>
      <c r="DA945" s="302"/>
      <c r="DB945" s="302"/>
      <c r="DC945" s="302"/>
      <c r="DD945" s="302"/>
      <c r="DE945" s="302"/>
      <c r="DF945" s="302"/>
      <c r="DG945" s="304"/>
      <c r="DH945" s="302"/>
      <c r="DI945" s="302"/>
      <c r="DJ945" s="302"/>
      <c r="DK945" s="302"/>
      <c r="DL945" s="302"/>
      <c r="DM945" s="302"/>
      <c r="DN945" s="302"/>
      <c r="DO945" s="302"/>
    </row>
    <row r="946" spans="1:119" hidden="1">
      <c r="A946" s="1"/>
      <c r="B946" s="1"/>
      <c r="C946" s="1"/>
      <c r="D946" s="758" t="s">
        <v>2379</v>
      </c>
      <c r="E946" s="92"/>
      <c r="F946" s="134"/>
      <c r="G946" s="134"/>
      <c r="H946" s="134"/>
      <c r="I946" s="134"/>
      <c r="J946" s="1254"/>
      <c r="K946" s="1254"/>
      <c r="L946" s="1254"/>
      <c r="M946" s="1254">
        <f>AVERAGE(K942:O942)</f>
        <v>-1.5524473702243991E-2</v>
      </c>
      <c r="N946" s="1254">
        <f t="shared" ref="N946:AA946" si="1194">AVERAGE(L942:P942)</f>
        <v>-9.546787453920836E-3</v>
      </c>
      <c r="O946" s="1254">
        <f t="shared" si="1194"/>
        <v>-7.1234221897157586E-3</v>
      </c>
      <c r="P946" s="1254">
        <f t="shared" si="1194"/>
        <v>-5.5510602540450706E-3</v>
      </c>
      <c r="Q946" s="1254">
        <f t="shared" si="1194"/>
        <v>-2.2116459781406626E-3</v>
      </c>
      <c r="R946" s="1254">
        <f t="shared" si="1194"/>
        <v>-5.5033640652705426E-3</v>
      </c>
      <c r="S946" s="1254">
        <f t="shared" si="1194"/>
        <v>-6.9891229392572401E-3</v>
      </c>
      <c r="T946" s="1254">
        <f t="shared" si="1194"/>
        <v>-1.3332971203915401E-2</v>
      </c>
      <c r="U946" s="1254">
        <f t="shared" si="1194"/>
        <v>-1.2963834039471841E-2</v>
      </c>
      <c r="V946" s="1254">
        <f t="shared" si="1194"/>
        <v>-2.2669756674389308E-2</v>
      </c>
      <c r="W946" s="1254">
        <f t="shared" si="1194"/>
        <v>-2.5980205232247384E-2</v>
      </c>
      <c r="X946" s="1254">
        <f t="shared" si="1194"/>
        <v>-3.6072731282772288E-2</v>
      </c>
      <c r="Y946" s="1254">
        <f t="shared" si="1194"/>
        <v>-3.6087195846492094E-2</v>
      </c>
      <c r="Z946" s="1254">
        <f t="shared" si="1194"/>
        <v>-4.2855387516484933E-2</v>
      </c>
      <c r="AA946" s="1254">
        <f t="shared" si="1194"/>
        <v>-4.2067520195843464E-2</v>
      </c>
      <c r="AB946" s="1254">
        <f>AVERAGE(Z942:AD942)</f>
        <v>-4.5888106936373921E-2</v>
      </c>
      <c r="AC946" s="1254">
        <f>AVERAGE(Z942:AD942)</f>
        <v>-4.5888106936373921E-2</v>
      </c>
      <c r="AD946" s="1254">
        <f>AVERAGE(Z942:AD942)</f>
        <v>-4.5888106936373921E-2</v>
      </c>
      <c r="AE946" s="1254">
        <v>0</v>
      </c>
      <c r="AF946" s="1254">
        <v>0</v>
      </c>
      <c r="AG946" s="1254" t="e">
        <f>AVERAGE(AG942:AK942)</f>
        <v>#DIV/0!</v>
      </c>
      <c r="AH946" s="1254" t="e">
        <f>AVERAGE(AG942:AK942)</f>
        <v>#DIV/0!</v>
      </c>
      <c r="AI946" s="1254" t="e">
        <f>AVERAGE(AG942:AK942)</f>
        <v>#DIV/0!</v>
      </c>
      <c r="AJ946" s="1254" t="e">
        <f>AVERAGE(AJ942:AR942)</f>
        <v>#DIV/0!</v>
      </c>
      <c r="AK946" s="1254" t="e">
        <f>AVERAGE(AK942:AR942)</f>
        <v>#DIV/0!</v>
      </c>
      <c r="AL946" s="1254" t="e">
        <f>AVERAGE(AL942:AU942)</f>
        <v>#DIV/0!</v>
      </c>
      <c r="AM946" s="1254" t="e">
        <f>AVERAGE(AM942:AV942)</f>
        <v>#DIV/0!</v>
      </c>
      <c r="AN946" s="1254">
        <f>AVERAGE(AN942:AW942)</f>
        <v>3.6693089402626002</v>
      </c>
      <c r="AO946" s="1254">
        <f>AVERAGE(AO942:AX942)</f>
        <v>3.6693089402626002</v>
      </c>
      <c r="AP946" s="1254"/>
      <c r="AQ946" s="1254"/>
      <c r="AR946" s="1254"/>
      <c r="AS946" s="1254"/>
      <c r="AT946" s="1254"/>
      <c r="AU946" s="302"/>
      <c r="AV946" s="302"/>
      <c r="AW946" s="302"/>
      <c r="AX946" s="302"/>
      <c r="AY946" s="302"/>
      <c r="AZ946" s="302"/>
      <c r="BA946" s="302"/>
      <c r="BB946" s="302"/>
      <c r="BC946" s="302"/>
      <c r="BD946" s="302"/>
      <c r="BE946" s="302"/>
      <c r="BF946" s="302"/>
      <c r="BG946" s="302"/>
      <c r="BH946" s="302"/>
      <c r="BI946" s="302"/>
      <c r="BJ946" s="302"/>
      <c r="BK946" s="302"/>
      <c r="BL946" s="302"/>
      <c r="BM946" s="302"/>
      <c r="BN946" s="302"/>
      <c r="BO946" s="302"/>
      <c r="BP946" s="302"/>
      <c r="BQ946" s="302"/>
      <c r="BR946" s="302"/>
      <c r="BS946" s="302"/>
      <c r="BT946" s="302"/>
      <c r="BU946" s="302"/>
      <c r="BV946" s="302"/>
      <c r="BW946" s="302"/>
      <c r="BX946" s="302"/>
      <c r="BY946" s="302"/>
      <c r="BZ946" s="302"/>
      <c r="CA946" s="302"/>
      <c r="CB946" s="302"/>
      <c r="CC946" s="302"/>
      <c r="CD946" s="302"/>
      <c r="CE946" s="302"/>
      <c r="CF946" s="302"/>
      <c r="CG946" s="302"/>
      <c r="CH946" s="302"/>
      <c r="CI946" s="302"/>
      <c r="CJ946" s="302"/>
      <c r="CK946" s="302"/>
      <c r="CL946" s="302"/>
      <c r="CM946" s="302"/>
      <c r="CN946" s="302"/>
      <c r="CO946" s="302"/>
      <c r="CP946" s="302"/>
      <c r="CQ946" s="302"/>
      <c r="CR946" s="302"/>
      <c r="CS946" s="302"/>
      <c r="CT946" s="302"/>
      <c r="CU946" s="302"/>
      <c r="CV946" s="302"/>
      <c r="CW946" s="304"/>
      <c r="CX946" s="302"/>
      <c r="CY946" s="302"/>
      <c r="CZ946" s="302"/>
      <c r="DA946" s="302"/>
      <c r="DB946" s="302"/>
      <c r="DC946" s="302"/>
      <c r="DD946" s="302"/>
      <c r="DE946" s="302"/>
      <c r="DF946" s="302"/>
      <c r="DG946" s="304"/>
      <c r="DH946" s="302"/>
      <c r="DI946" s="302"/>
      <c r="DJ946" s="302"/>
      <c r="DK946" s="302"/>
      <c r="DL946" s="302"/>
      <c r="DM946" s="302"/>
      <c r="DN946" s="302"/>
      <c r="DO946" s="302"/>
    </row>
    <row r="947" spans="1:119" hidden="1">
      <c r="A947" s="1"/>
      <c r="B947" s="1"/>
      <c r="C947" s="1"/>
      <c r="D947" s="758"/>
      <c r="E947" s="92"/>
      <c r="F947" s="134"/>
      <c r="G947" s="134"/>
      <c r="H947" s="134"/>
      <c r="I947" s="134"/>
      <c r="J947" s="761"/>
      <c r="K947" s="761"/>
      <c r="L947" s="761"/>
      <c r="M947" s="761"/>
      <c r="N947" s="761"/>
      <c r="O947" s="761"/>
      <c r="P947" s="761"/>
      <c r="Q947" s="761"/>
      <c r="R947" s="761"/>
      <c r="S947" s="761"/>
      <c r="T947" s="761"/>
      <c r="U947" s="761"/>
      <c r="V947" s="761"/>
      <c r="W947" s="761"/>
      <c r="X947" s="761"/>
      <c r="Y947" s="761"/>
      <c r="Z947" s="761"/>
      <c r="AA947" s="761"/>
      <c r="AB947" s="761"/>
      <c r="AC947" s="761"/>
      <c r="AD947" s="761"/>
      <c r="AE947" s="761"/>
      <c r="AF947" s="761"/>
      <c r="AG947" s="761"/>
      <c r="AH947" s="761"/>
      <c r="AI947" s="761"/>
      <c r="AJ947" s="761"/>
      <c r="AK947" s="761"/>
      <c r="AL947" s="761"/>
      <c r="AM947" s="761"/>
      <c r="AN947" s="761"/>
      <c r="AO947" s="761"/>
      <c r="AP947" s="761"/>
      <c r="AQ947" s="761"/>
      <c r="AR947" s="761"/>
      <c r="AS947" s="761"/>
      <c r="AT947" s="761"/>
      <c r="AU947" s="302"/>
      <c r="AV947" s="302"/>
      <c r="AW947" s="302"/>
      <c r="AX947" s="302"/>
      <c r="AY947" s="302"/>
      <c r="AZ947" s="302"/>
      <c r="BA947" s="302"/>
      <c r="BB947" s="302"/>
      <c r="BC947" s="302"/>
      <c r="BD947" s="302"/>
      <c r="BE947" s="302"/>
      <c r="BF947" s="302"/>
      <c r="BG947" s="302"/>
      <c r="BH947" s="302"/>
      <c r="BI947" s="302"/>
      <c r="BJ947" s="302"/>
      <c r="BK947" s="302"/>
      <c r="BL947" s="302"/>
      <c r="BM947" s="302"/>
      <c r="BN947" s="302"/>
      <c r="BO947" s="302"/>
      <c r="BP947" s="302"/>
      <c r="BQ947" s="302"/>
      <c r="BR947" s="302"/>
      <c r="BS947" s="302"/>
      <c r="BT947" s="302"/>
      <c r="BU947" s="302"/>
      <c r="BV947" s="302"/>
      <c r="BW947" s="302"/>
      <c r="BX947" s="302"/>
      <c r="BY947" s="302"/>
      <c r="BZ947" s="302"/>
      <c r="CA947" s="302"/>
      <c r="CB947" s="302"/>
      <c r="CC947" s="302"/>
      <c r="CD947" s="302"/>
      <c r="CE947" s="302"/>
      <c r="CF947" s="302"/>
      <c r="CG947" s="302"/>
      <c r="CH947" s="302"/>
      <c r="CI947" s="302"/>
      <c r="CJ947" s="302"/>
      <c r="CK947" s="302"/>
      <c r="CL947" s="302"/>
      <c r="CM947" s="302"/>
      <c r="CN947" s="302"/>
      <c r="CO947" s="302"/>
      <c r="CP947" s="302"/>
      <c r="CQ947" s="302"/>
      <c r="CR947" s="302"/>
      <c r="CS947" s="302"/>
      <c r="CT947" s="302"/>
      <c r="CU947" s="302"/>
      <c r="CV947" s="302"/>
      <c r="CW947" s="304"/>
      <c r="CX947" s="302"/>
      <c r="CY947" s="302"/>
      <c r="CZ947" s="302"/>
      <c r="DA947" s="302"/>
      <c r="DB947" s="302"/>
      <c r="DC947" s="302"/>
      <c r="DD947" s="302"/>
      <c r="DE947" s="302"/>
      <c r="DF947" s="302"/>
      <c r="DG947" s="304"/>
      <c r="DH947" s="302"/>
      <c r="DI947" s="302"/>
      <c r="DJ947" s="302"/>
      <c r="DK947" s="302"/>
      <c r="DL947" s="302"/>
      <c r="DM947" s="302"/>
      <c r="DN947" s="302"/>
      <c r="DO947" s="302"/>
    </row>
    <row r="948" spans="1:119" hidden="1">
      <c r="A948" s="1"/>
      <c r="B948" s="1"/>
      <c r="C948" s="1"/>
      <c r="D948" s="755" t="s">
        <v>886</v>
      </c>
      <c r="E948" s="92"/>
      <c r="F948" s="134"/>
      <c r="G948" s="134"/>
      <c r="H948" s="134"/>
      <c r="I948" s="134"/>
      <c r="J948" s="761"/>
      <c r="K948" s="761">
        <f t="shared" ref="K948:AK948" si="1195">+K897/K$284</f>
        <v>-2.3764809960681522E-2</v>
      </c>
      <c r="L948" s="761">
        <f t="shared" si="1195"/>
        <v>-2.0095289206917114E-2</v>
      </c>
      <c r="M948" s="761">
        <f t="shared" si="1195"/>
        <v>-2.6201108033240997E-3</v>
      </c>
      <c r="N948" s="761">
        <f t="shared" si="1195"/>
        <v>-9.6069611137782045E-3</v>
      </c>
      <c r="O948" s="761">
        <f t="shared" si="1195"/>
        <v>-1.0840539468464895E-2</v>
      </c>
      <c r="P948" s="761">
        <f t="shared" si="1195"/>
        <v>-5.602061170212766E-3</v>
      </c>
      <c r="Q948" s="761">
        <f t="shared" si="1195"/>
        <v>-4.9781367176233056E-3</v>
      </c>
      <c r="R948" s="761">
        <f t="shared" si="1195"/>
        <v>-3.4516765285996054E-3</v>
      </c>
      <c r="S948" s="761">
        <f t="shared" si="1195"/>
        <v>-3.4018987341772151E-3</v>
      </c>
      <c r="T948" s="761">
        <f t="shared" si="1195"/>
        <v>-2.973240832507433E-3</v>
      </c>
      <c r="U948" s="761">
        <f t="shared" si="1195"/>
        <v>-3.2979976442873969E-3</v>
      </c>
      <c r="V948" s="761">
        <f t="shared" si="1195"/>
        <v>-3.0777434432614896E-3</v>
      </c>
      <c r="W948" s="761">
        <f t="shared" si="1195"/>
        <v>-3.0960451977401129E-3</v>
      </c>
      <c r="X948" s="761">
        <f t="shared" si="1195"/>
        <v>-1.8541157294213531E-3</v>
      </c>
      <c r="Y948" s="761">
        <f t="shared" si="1195"/>
        <v>-3.0215644976578655E-3</v>
      </c>
      <c r="Z948" s="761">
        <f t="shared" si="1195"/>
        <v>8.5689802913453304E-4</v>
      </c>
      <c r="AA948" s="761">
        <f t="shared" si="1195"/>
        <v>-4.2145621171982318E-3</v>
      </c>
      <c r="AB948" s="761">
        <f t="shared" si="1195"/>
        <v>5.5246377973458688E-3</v>
      </c>
      <c r="AC948" s="761">
        <f t="shared" si="1195"/>
        <v>-3.1264012335329356E-3</v>
      </c>
      <c r="AD948" s="761">
        <f t="shared" si="1195"/>
        <v>6.3228515934847492E-3</v>
      </c>
      <c r="AE948" s="761">
        <f t="shared" si="1195"/>
        <v>-5.8704453441295549E-3</v>
      </c>
      <c r="AF948" s="761">
        <f t="shared" si="1195"/>
        <v>-3.4299407340043909E-3</v>
      </c>
      <c r="AG948" s="761">
        <f t="shared" si="1195"/>
        <v>-3.333888981496916E-3</v>
      </c>
      <c r="AH948" s="761">
        <f t="shared" si="1195"/>
        <v>-2.6159178601791902E-3</v>
      </c>
      <c r="AI948" s="761">
        <f t="shared" si="1195"/>
        <v>-2.2539020679551475E-3</v>
      </c>
      <c r="AJ948" s="761" t="e">
        <f t="shared" si="1195"/>
        <v>#DIV/0!</v>
      </c>
      <c r="AK948" s="761">
        <f t="shared" si="1195"/>
        <v>-1.7657334167698057E-3</v>
      </c>
      <c r="AL948" s="761">
        <f>+AL897/AL$284</f>
        <v>-1.564793411608899E-3</v>
      </c>
      <c r="AM948" s="761">
        <f>+AM897/AM$284</f>
        <v>-1.3900920890518016E-3</v>
      </c>
      <c r="AN948" s="761">
        <v>-1.4486233871554254E-3</v>
      </c>
      <c r="AO948" s="761">
        <v>-1.4486233871554254E-3</v>
      </c>
      <c r="AP948" s="761"/>
      <c r="AQ948" s="761"/>
      <c r="AR948" s="761"/>
      <c r="AS948" s="761"/>
      <c r="AT948" s="761"/>
    </row>
    <row r="949" spans="1:119" hidden="1">
      <c r="A949" s="1"/>
      <c r="B949" s="1"/>
      <c r="C949" s="1"/>
      <c r="D949" s="758" t="s">
        <v>35</v>
      </c>
      <c r="E949" s="92"/>
      <c r="F949" s="134"/>
      <c r="G949" s="134"/>
      <c r="H949" s="134"/>
      <c r="I949" s="134"/>
      <c r="J949" s="761"/>
      <c r="K949" s="761">
        <f t="shared" ref="K949:AK949" si="1196">+K898/K$284</f>
        <v>-6.3224115334207078E-3</v>
      </c>
      <c r="L949" s="761">
        <f t="shared" si="1196"/>
        <v>-1.1775670840787119E-2</v>
      </c>
      <c r="M949" s="761">
        <f t="shared" si="1196"/>
        <v>-9.8059833795013842E-3</v>
      </c>
      <c r="N949" s="761">
        <f t="shared" si="1196"/>
        <v>-2.2704272683629384E-3</v>
      </c>
      <c r="O949" s="761">
        <f t="shared" si="1196"/>
        <v>-7.9378421261404198E-3</v>
      </c>
      <c r="P949" s="761">
        <f t="shared" si="1196"/>
        <v>-9.085438829787235E-3</v>
      </c>
      <c r="Q949" s="761">
        <f t="shared" si="1196"/>
        <v>-4.8603980386501293E-3</v>
      </c>
      <c r="R949" s="761">
        <f t="shared" si="1196"/>
        <v>-3.4516765285996054E-3</v>
      </c>
      <c r="S949" s="761">
        <f t="shared" si="1196"/>
        <v>-3.4018987341772151E-3</v>
      </c>
      <c r="T949" s="761">
        <f t="shared" si="1196"/>
        <v>-2.973240832507433E-3</v>
      </c>
      <c r="U949" s="761">
        <f t="shared" si="1196"/>
        <v>-3.2979976442873969E-3</v>
      </c>
      <c r="V949" s="761">
        <f t="shared" si="1196"/>
        <v>-3.0777434432614896E-3</v>
      </c>
      <c r="W949" s="761">
        <f t="shared" si="1196"/>
        <v>-3.0960451977401129E-3</v>
      </c>
      <c r="X949" s="761">
        <f t="shared" si="1196"/>
        <v>-1.8541157294213531E-3</v>
      </c>
      <c r="Y949" s="761">
        <f t="shared" si="1196"/>
        <v>-3.0215644976578655E-3</v>
      </c>
      <c r="Z949" s="761">
        <f t="shared" si="1196"/>
        <v>8.5689802913453304E-4</v>
      </c>
      <c r="AA949" s="761">
        <f t="shared" si="1196"/>
        <v>-4.2145621171982318E-3</v>
      </c>
      <c r="AB949" s="761">
        <f t="shared" si="1196"/>
        <v>5.5246377973458688E-3</v>
      </c>
      <c r="AC949" s="761">
        <f t="shared" si="1196"/>
        <v>-3.1264012335329356E-3</v>
      </c>
      <c r="AD949" s="761">
        <f t="shared" si="1196"/>
        <v>6.3228515934847492E-3</v>
      </c>
      <c r="AE949" s="761">
        <f t="shared" si="1196"/>
        <v>-5.8704453441295549E-3</v>
      </c>
      <c r="AF949" s="761">
        <f t="shared" si="1196"/>
        <v>-3.4299407340043909E-3</v>
      </c>
      <c r="AG949" s="761">
        <f t="shared" si="1196"/>
        <v>-3.333888981496916E-3</v>
      </c>
      <c r="AH949" s="761">
        <f t="shared" si="1196"/>
        <v>-2.6159178601791902E-3</v>
      </c>
      <c r="AI949" s="761">
        <f t="shared" si="1196"/>
        <v>-2.2539020679551475E-3</v>
      </c>
      <c r="AJ949" s="761" t="e">
        <f t="shared" si="1196"/>
        <v>#DIV/0!</v>
      </c>
      <c r="AK949" s="761">
        <f t="shared" si="1196"/>
        <v>-1.7657334167698057E-3</v>
      </c>
      <c r="AL949" s="761">
        <f>+AL898/AL$284</f>
        <v>-1.564793411608899E-3</v>
      </c>
      <c r="AM949" s="761">
        <f>+AM898/AM$284</f>
        <v>-1.3900920890518016E-3</v>
      </c>
      <c r="AN949" s="761">
        <v>-1.4486233871554254E-3</v>
      </c>
      <c r="AO949" s="761">
        <v>-1.4486233871554254E-3</v>
      </c>
      <c r="AP949" s="761"/>
      <c r="AQ949" s="761"/>
      <c r="AR949" s="761"/>
      <c r="AS949" s="761"/>
      <c r="AT949" s="761"/>
    </row>
    <row r="950" spans="1:119" hidden="1">
      <c r="A950" s="1"/>
      <c r="B950" s="1"/>
      <c r="C950" s="1"/>
      <c r="D950" s="755" t="s">
        <v>180</v>
      </c>
      <c r="E950" s="92"/>
      <c r="F950" s="134"/>
      <c r="G950" s="134"/>
      <c r="H950" s="134"/>
      <c r="I950" s="134"/>
      <c r="J950" s="761"/>
      <c r="K950" s="761">
        <f t="shared" ref="K950:X950" si="1197">+K900/K$284</f>
        <v>0</v>
      </c>
      <c r="L950" s="761">
        <f t="shared" si="1197"/>
        <v>0</v>
      </c>
      <c r="M950" s="761">
        <f t="shared" si="1197"/>
        <v>0</v>
      </c>
      <c r="N950" s="761">
        <f t="shared" si="1197"/>
        <v>0</v>
      </c>
      <c r="O950" s="761">
        <f t="shared" si="1197"/>
        <v>0</v>
      </c>
      <c r="P950" s="761">
        <f t="shared" si="1197"/>
        <v>0</v>
      </c>
      <c r="Q950" s="761">
        <f t="shared" si="1197"/>
        <v>0</v>
      </c>
      <c r="R950" s="761">
        <f t="shared" si="1197"/>
        <v>0</v>
      </c>
      <c r="S950" s="761">
        <f t="shared" si="1197"/>
        <v>0</v>
      </c>
      <c r="T950" s="761">
        <f t="shared" si="1197"/>
        <v>0</v>
      </c>
      <c r="U950" s="761">
        <f t="shared" si="1197"/>
        <v>0</v>
      </c>
      <c r="V950" s="761">
        <f t="shared" si="1197"/>
        <v>0</v>
      </c>
      <c r="W950" s="761">
        <f t="shared" si="1197"/>
        <v>0</v>
      </c>
      <c r="X950" s="761">
        <f t="shared" si="1197"/>
        <v>0</v>
      </c>
      <c r="Y950" s="761"/>
      <c r="Z950" s="761"/>
      <c r="AA950" s="761"/>
      <c r="AB950" s="761"/>
      <c r="AC950" s="761"/>
      <c r="AD950" s="761"/>
      <c r="AE950" s="761"/>
      <c r="AF950" s="761"/>
      <c r="AG950" s="761"/>
      <c r="AH950" s="761"/>
      <c r="AI950" s="761"/>
      <c r="AJ950" s="761"/>
      <c r="AK950" s="761"/>
      <c r="AL950" s="761"/>
      <c r="AM950" s="761"/>
      <c r="AN950" s="761"/>
      <c r="AO950" s="761"/>
      <c r="AP950" s="761"/>
      <c r="AQ950" s="761"/>
      <c r="AR950" s="761"/>
      <c r="AS950" s="761"/>
      <c r="AT950" s="761"/>
    </row>
    <row r="951" spans="1:119" hidden="1">
      <c r="A951" s="1"/>
      <c r="B951" s="1"/>
      <c r="C951" s="1"/>
      <c r="D951" s="758" t="s">
        <v>177</v>
      </c>
      <c r="E951" s="92"/>
      <c r="F951" s="134"/>
      <c r="G951" s="134"/>
      <c r="H951" s="134"/>
      <c r="I951" s="134"/>
      <c r="J951" s="761"/>
      <c r="K951" s="761">
        <f t="shared" ref="K951:X951" si="1198">+K901/K$284</f>
        <v>-3.7563281819790295E-2</v>
      </c>
      <c r="L951" s="761">
        <f t="shared" si="1198"/>
        <v>-3.3425283243887889E-2</v>
      </c>
      <c r="M951" s="761">
        <f t="shared" si="1198"/>
        <v>-3.9451191135734073E-2</v>
      </c>
      <c r="N951" s="761">
        <f t="shared" si="1198"/>
        <v>-2.0351992318771019E-2</v>
      </c>
      <c r="O951" s="761">
        <f t="shared" si="1198"/>
        <v>-1.1466037286790975E-2</v>
      </c>
      <c r="P951" s="761">
        <f t="shared" si="1198"/>
        <v>-2.628375908617015E-3</v>
      </c>
      <c r="Q951" s="761">
        <f t="shared" si="1198"/>
        <v>-4.5438698690856592E-3</v>
      </c>
      <c r="R951" s="761">
        <f t="shared" si="1198"/>
        <v>-1.6370808678501009E-2</v>
      </c>
      <c r="S951" s="761">
        <f t="shared" si="1198"/>
        <v>-4.7863924050632464E-3</v>
      </c>
      <c r="T951" s="761">
        <f t="shared" si="1198"/>
        <v>-2.2960026428807401E-2</v>
      </c>
      <c r="U951" s="761">
        <f t="shared" si="1198"/>
        <v>-4.2697290930506678E-3</v>
      </c>
      <c r="V951" s="761">
        <f t="shared" si="1198"/>
        <v>-3.4480456596987806E-2</v>
      </c>
      <c r="W951" s="761">
        <f t="shared" si="1198"/>
        <v>-1.416949152542373E-2</v>
      </c>
      <c r="X951" s="761">
        <f t="shared" si="1198"/>
        <v>-4.9588108475465194E-2</v>
      </c>
      <c r="Y951" s="761">
        <f t="shared" ref="Y951:AK951" si="1199">+Y901/Y$284</f>
        <v>-4.1179489345614578E-2</v>
      </c>
      <c r="Z951" s="761">
        <f t="shared" si="1199"/>
        <v>-5.0909940107557408E-2</v>
      </c>
      <c r="AA951" s="761">
        <f t="shared" si="1199"/>
        <v>-3.6716053776910187E-2</v>
      </c>
      <c r="AB951" s="761">
        <f t="shared" si="1199"/>
        <v>-4.8002131720747583E-2</v>
      </c>
      <c r="AC951" s="761">
        <f t="shared" si="1199"/>
        <v>-4.89257211059137E-2</v>
      </c>
      <c r="AD951" s="761">
        <f t="shared" si="1199"/>
        <v>-5.6382038193593838E-2</v>
      </c>
      <c r="AE951" s="761">
        <f t="shared" si="1199"/>
        <v>-0.13064107537372913</v>
      </c>
      <c r="AF951" s="761">
        <f t="shared" si="1199"/>
        <v>-9.482601721721691E-2</v>
      </c>
      <c r="AG951" s="761">
        <f t="shared" si="1199"/>
        <v>0.38620215185134177</v>
      </c>
      <c r="AH951" s="761">
        <f t="shared" si="1199"/>
        <v>0.486994518910983</v>
      </c>
      <c r="AI951" s="761">
        <f t="shared" si="1199"/>
        <v>0.45785108347358949</v>
      </c>
      <c r="AJ951" s="761" t="e">
        <f t="shared" si="1199"/>
        <v>#DIV/0!</v>
      </c>
      <c r="AK951" s="761" t="e">
        <f t="shared" si="1199"/>
        <v>#DIV/0!</v>
      </c>
      <c r="AL951" s="761" t="e">
        <f t="shared" ref="AL951:AM956" si="1200">+AL901/AL$284</f>
        <v>#DIV/0!</v>
      </c>
      <c r="AM951" s="761" t="e">
        <f t="shared" si="1200"/>
        <v>#DIV/0!</v>
      </c>
      <c r="AN951" s="761">
        <v>3.6678603168754451</v>
      </c>
      <c r="AO951" s="761">
        <v>3.6678603168754451</v>
      </c>
      <c r="AP951" s="761"/>
      <c r="AQ951" s="761"/>
      <c r="AR951" s="761"/>
      <c r="AS951" s="761"/>
      <c r="AT951" s="761"/>
    </row>
    <row r="952" spans="1:119" hidden="1">
      <c r="A952" s="1"/>
      <c r="B952" s="1"/>
      <c r="C952" s="1"/>
      <c r="D952" s="758" t="s">
        <v>178</v>
      </c>
      <c r="E952" s="92"/>
      <c r="F952" s="134"/>
      <c r="G952" s="134"/>
      <c r="H952" s="134"/>
      <c r="I952" s="134"/>
      <c r="J952" s="761"/>
      <c r="K952" s="761">
        <f t="shared" ref="K952:X952" si="1201">+K902/K$284</f>
        <v>-0.12941786897575361</v>
      </c>
      <c r="L952" s="761">
        <f t="shared" si="1201"/>
        <v>-0.11742915921288014</v>
      </c>
      <c r="M952" s="761">
        <f t="shared" si="1201"/>
        <v>-0.11422626038781164</v>
      </c>
      <c r="N952" s="761">
        <f t="shared" si="1201"/>
        <v>-9.0926980316850717E-2</v>
      </c>
      <c r="O952" s="761">
        <f t="shared" si="1201"/>
        <v>-9.2744894882982973E-2</v>
      </c>
      <c r="P952" s="761">
        <f t="shared" si="1201"/>
        <v>-0.10009436271309509</v>
      </c>
      <c r="Q952" s="761">
        <f t="shared" si="1201"/>
        <v>-0.10074741423247476</v>
      </c>
      <c r="R952" s="761">
        <f t="shared" si="1201"/>
        <v>-9.2702169625246578E-2</v>
      </c>
      <c r="S952" s="761">
        <f t="shared" si="1201"/>
        <v>-9.4936708860759458E-2</v>
      </c>
      <c r="T952" s="761">
        <f t="shared" si="1201"/>
        <v>-0.10809382226627023</v>
      </c>
      <c r="U952" s="761">
        <f t="shared" si="1201"/>
        <v>-0.12479387514723206</v>
      </c>
      <c r="V952" s="761">
        <f t="shared" si="1201"/>
        <v>-0.13290314416774865</v>
      </c>
      <c r="W952" s="761">
        <f t="shared" si="1201"/>
        <v>-0.11753672316384178</v>
      </c>
      <c r="X952" s="761">
        <f t="shared" si="1201"/>
        <v>-0.12393611173544887</v>
      </c>
      <c r="Y952" s="761">
        <f t="shared" ref="Y952:AK952" si="1202">+Y902/Y$284</f>
        <v>-0.1300476064832837</v>
      </c>
      <c r="Z952" s="761">
        <f t="shared" si="1202"/>
        <v>-0.122189065645587</v>
      </c>
      <c r="AA952" s="761">
        <f t="shared" si="1202"/>
        <v>-9.1137219764320293E-2</v>
      </c>
      <c r="AB952" s="761">
        <f t="shared" si="1202"/>
        <v>-9.3645217696213298E-2</v>
      </c>
      <c r="AC952" s="761">
        <f t="shared" si="1202"/>
        <v>-9.3699757641431472E-2</v>
      </c>
      <c r="AD952" s="761">
        <f t="shared" si="1202"/>
        <v>-0.10166462875385027</v>
      </c>
      <c r="AE952" s="761">
        <f t="shared" si="1202"/>
        <v>-0.17667583755976793</v>
      </c>
      <c r="AF952" s="761">
        <f t="shared" si="1202"/>
        <v>-0.14275939127921092</v>
      </c>
      <c r="AG952" s="761">
        <f t="shared" si="1202"/>
        <v>0.31650635801135224</v>
      </c>
      <c r="AH952" s="761">
        <f t="shared" si="1202"/>
        <v>0.44047734194678567</v>
      </c>
      <c r="AI952" s="761">
        <f t="shared" si="1202"/>
        <v>0.41514997113967045</v>
      </c>
      <c r="AJ952" s="761" t="e">
        <f t="shared" si="1202"/>
        <v>#DIV/0!</v>
      </c>
      <c r="AK952" s="761" t="e">
        <f t="shared" si="1202"/>
        <v>#DIV/0!</v>
      </c>
      <c r="AL952" s="761" t="e">
        <f t="shared" si="1200"/>
        <v>#DIV/0!</v>
      </c>
      <c r="AM952" s="761" t="e">
        <f t="shared" si="1200"/>
        <v>#DIV/0!</v>
      </c>
      <c r="AN952" s="761">
        <v>3.6378586853063513</v>
      </c>
      <c r="AO952" s="761">
        <v>3.6378586853063513</v>
      </c>
      <c r="AP952" s="761"/>
      <c r="AQ952" s="761"/>
      <c r="AR952" s="761"/>
      <c r="AS952" s="761"/>
      <c r="AT952" s="761"/>
    </row>
    <row r="953" spans="1:119" hidden="1">
      <c r="A953" s="1"/>
      <c r="B953" s="1"/>
      <c r="C953" s="1"/>
      <c r="D953" s="755" t="s">
        <v>181</v>
      </c>
      <c r="E953" s="92"/>
      <c r="F953" s="134"/>
      <c r="G953" s="134"/>
      <c r="H953" s="134"/>
      <c r="I953" s="134"/>
      <c r="J953" s="761"/>
      <c r="K953" s="761">
        <f t="shared" ref="K953:X953" si="1203">+K903/K$284</f>
        <v>3.7563281819790295E-2</v>
      </c>
      <c r="L953" s="761">
        <f t="shared" si="1203"/>
        <v>3.3425283243887903E-2</v>
      </c>
      <c r="M953" s="761">
        <f t="shared" si="1203"/>
        <v>3.9451191135734073E-2</v>
      </c>
      <c r="N953" s="761">
        <f t="shared" si="1203"/>
        <v>2.0351992318770998E-2</v>
      </c>
      <c r="O953" s="761">
        <f t="shared" si="1203"/>
        <v>1.146603728679095E-2</v>
      </c>
      <c r="P953" s="761">
        <f t="shared" si="1203"/>
        <v>-5.505724011595753E-3</v>
      </c>
      <c r="Q953" s="761">
        <f t="shared" si="1203"/>
        <v>-2.5133474830920108E-3</v>
      </c>
      <c r="R953" s="761">
        <f t="shared" si="1203"/>
        <v>1.6370808678501009E-2</v>
      </c>
      <c r="S953" s="761">
        <f t="shared" si="1203"/>
        <v>4.7863924050632464E-3</v>
      </c>
      <c r="T953" s="761">
        <f t="shared" si="1203"/>
        <v>2.2960026428807401E-2</v>
      </c>
      <c r="U953" s="761">
        <f t="shared" si="1203"/>
        <v>4.8292108362779735E-3</v>
      </c>
      <c r="V953" s="761">
        <f t="shared" si="1203"/>
        <v>3.2852405279407949E-2</v>
      </c>
      <c r="W953" s="761">
        <f t="shared" si="1203"/>
        <v>1.2836158192090394E-2</v>
      </c>
      <c r="X953" s="761">
        <f t="shared" si="1203"/>
        <v>4.4540112174895195E-2</v>
      </c>
      <c r="Y953" s="761">
        <f t="shared" ref="Y953:AK953" si="1204">+Y903/Y$284</f>
        <v>4.2084215835494099E-2</v>
      </c>
      <c r="Z953" s="761">
        <f t="shared" si="1204"/>
        <v>3.3866759554101837E-2</v>
      </c>
      <c r="AA953" s="761">
        <f t="shared" si="1204"/>
        <v>4.1430637961668661E-2</v>
      </c>
      <c r="AB953" s="761">
        <f t="shared" si="1204"/>
        <v>4.8002131720747583E-2</v>
      </c>
      <c r="AC953" s="761">
        <f t="shared" si="1204"/>
        <v>4.9773798105061454E-2</v>
      </c>
      <c r="AD953" s="761">
        <f t="shared" si="1204"/>
        <v>5.7625679429233696E-2</v>
      </c>
      <c r="AE953" s="761">
        <f t="shared" si="1204"/>
        <v>0.13063615456531905</v>
      </c>
      <c r="AF953" s="761">
        <f t="shared" si="1204"/>
        <v>9.4829950881701264E-2</v>
      </c>
      <c r="AG953" s="761">
        <f t="shared" si="1204"/>
        <v>8.2292705373682884E-2</v>
      </c>
      <c r="AH953" s="761">
        <f t="shared" si="1204"/>
        <v>6.1547849623924344E-2</v>
      </c>
      <c r="AI953" s="761">
        <f t="shared" si="1204"/>
        <v>8.8894797393498287E-2</v>
      </c>
      <c r="AJ953" s="761" t="e">
        <f t="shared" si="1204"/>
        <v>#DIV/0!</v>
      </c>
      <c r="AK953" s="761" t="e">
        <f t="shared" si="1204"/>
        <v>#DIV/0!</v>
      </c>
      <c r="AL953" s="761" t="e">
        <f t="shared" si="1200"/>
        <v>#DIV/0!</v>
      </c>
      <c r="AM953" s="761" t="e">
        <f t="shared" si="1200"/>
        <v>#DIV/0!</v>
      </c>
      <c r="AN953" s="761">
        <v>1.7640260452569421E-2</v>
      </c>
      <c r="AO953" s="761">
        <v>1.7640260452569421E-2</v>
      </c>
      <c r="AP953" s="761"/>
      <c r="AQ953" s="761"/>
      <c r="AR953" s="761"/>
      <c r="AS953" s="761"/>
      <c r="AT953" s="761"/>
    </row>
    <row r="954" spans="1:119" hidden="1">
      <c r="A954" s="1"/>
      <c r="B954" s="1"/>
      <c r="C954" s="1"/>
      <c r="D954" s="756" t="s">
        <v>182</v>
      </c>
      <c r="E954" s="92"/>
      <c r="F954" s="134"/>
      <c r="G954" s="134"/>
      <c r="H954" s="134"/>
      <c r="I954" s="134"/>
      <c r="J954" s="761"/>
      <c r="K954" s="761">
        <f t="shared" ref="K954:X954" si="1205">+K904/K$284</f>
        <v>1.1158387942332898E-2</v>
      </c>
      <c r="L954" s="761">
        <f t="shared" si="1205"/>
        <v>4.8268932617769825E-3</v>
      </c>
      <c r="M954" s="761">
        <f t="shared" si="1205"/>
        <v>9.0121883656509687E-3</v>
      </c>
      <c r="N954" s="761">
        <f t="shared" si="1205"/>
        <v>4.5817090734517523E-3</v>
      </c>
      <c r="O954" s="761">
        <f t="shared" si="1205"/>
        <v>1.0917578861562869E-3</v>
      </c>
      <c r="P954" s="761">
        <f t="shared" si="1205"/>
        <v>2.2530639328457351E-4</v>
      </c>
      <c r="Q954" s="761">
        <f t="shared" si="1205"/>
        <v>3.7098644361119111E-3</v>
      </c>
      <c r="R954" s="761">
        <f t="shared" si="1205"/>
        <v>1.9329388560157788E-2</v>
      </c>
      <c r="S954" s="761">
        <f t="shared" si="1205"/>
        <v>1.6930379746835443E-2</v>
      </c>
      <c r="T954" s="761">
        <f t="shared" si="1205"/>
        <v>2.3984142715559958E-2</v>
      </c>
      <c r="U954" s="761">
        <f t="shared" si="1205"/>
        <v>7.6855123674911662E-3</v>
      </c>
      <c r="V954" s="761">
        <f t="shared" si="1205"/>
        <v>1.7795692737211113E-2</v>
      </c>
      <c r="W954" s="761">
        <f t="shared" si="1205"/>
        <v>2.1468926553672316E-2</v>
      </c>
      <c r="X954" s="761">
        <f t="shared" si="1205"/>
        <v>6.8989405052974725E-2</v>
      </c>
      <c r="Y954" s="761">
        <f t="shared" ref="Y954:AK954" si="1206">+Y904/Y$284</f>
        <v>1.9623624383152401E-2</v>
      </c>
      <c r="Z954" s="761">
        <f t="shared" si="1206"/>
        <v>3.2272929219911602E-2</v>
      </c>
      <c r="AA954" s="761">
        <f t="shared" si="1206"/>
        <v>3.4245098071065072E-2</v>
      </c>
      <c r="AB954" s="761">
        <f t="shared" si="1206"/>
        <v>2.2385537042946733E-2</v>
      </c>
      <c r="AC954" s="761">
        <f t="shared" si="1206"/>
        <v>4.4414811736180955E-2</v>
      </c>
      <c r="AD954" s="761">
        <f t="shared" si="1206"/>
        <v>5.1423717210798747E-2</v>
      </c>
      <c r="AE954" s="761">
        <f t="shared" si="1206"/>
        <v>0.12119098888632657</v>
      </c>
      <c r="AF954" s="761">
        <f t="shared" si="1206"/>
        <v>6.897268312208682E-2</v>
      </c>
      <c r="AG954" s="761">
        <f t="shared" si="1206"/>
        <v>6.3539579852762734E-2</v>
      </c>
      <c r="AH954" s="761">
        <f t="shared" si="1206"/>
        <v>5.1048770054039898E-2</v>
      </c>
      <c r="AI954" s="761">
        <f t="shared" si="1206"/>
        <v>7.1930536822347693E-2</v>
      </c>
      <c r="AJ954" s="761" t="e">
        <f t="shared" si="1206"/>
        <v>#DIV/0!</v>
      </c>
      <c r="AK954" s="761">
        <f t="shared" si="1206"/>
        <v>7.9978339454194594E-2</v>
      </c>
      <c r="AL954" s="761">
        <f t="shared" si="1200"/>
        <v>6.3869616901148882E-2</v>
      </c>
      <c r="AM954" s="761">
        <f t="shared" si="1200"/>
        <v>3.4058541643991046E-2</v>
      </c>
      <c r="AN954" s="761">
        <v>2.1591163305453222E-2</v>
      </c>
      <c r="AO954" s="761">
        <v>2.1591163305453222E-2</v>
      </c>
      <c r="AP954" s="761"/>
      <c r="AQ954" s="761"/>
      <c r="AR954" s="761"/>
      <c r="AS954" s="761"/>
      <c r="AT954" s="761"/>
    </row>
    <row r="955" spans="1:119" hidden="1">
      <c r="A955" s="1"/>
      <c r="B955" s="1"/>
      <c r="C955" s="1"/>
      <c r="D955" s="759" t="s">
        <v>803</v>
      </c>
      <c r="E955" s="92"/>
      <c r="F955" s="621"/>
      <c r="G955" s="621"/>
      <c r="H955" s="621"/>
      <c r="I955" s="621"/>
      <c r="J955" s="763"/>
      <c r="K955" s="763"/>
      <c r="L955" s="763"/>
      <c r="M955" s="763"/>
      <c r="N955" s="763"/>
      <c r="O955" s="763"/>
      <c r="P955" s="763"/>
      <c r="Q955" s="763"/>
      <c r="R955" s="763"/>
      <c r="S955" s="763"/>
      <c r="T955" s="763"/>
      <c r="U955" s="763"/>
      <c r="V955" s="763"/>
      <c r="W955" s="763"/>
      <c r="X955" s="763">
        <f>+X905/X$284</f>
        <v>3.3007334963325182E-3</v>
      </c>
      <c r="Y955" s="763">
        <f t="shared" ref="Y955:AK955" si="1207">+Y905/Y$284</f>
        <v>9.2722992577290615E-3</v>
      </c>
      <c r="Z955" s="763">
        <f t="shared" si="1207"/>
        <v>1.7760068551842329E-2</v>
      </c>
      <c r="AA955" s="763">
        <f t="shared" si="1207"/>
        <v>2.1160013316461185E-2</v>
      </c>
      <c r="AB955" s="763">
        <f t="shared" si="1207"/>
        <v>2.5410607981704657E-2</v>
      </c>
      <c r="AC955" s="763">
        <f t="shared" si="1207"/>
        <v>2.6384290650821235E-2</v>
      </c>
      <c r="AD955" s="763">
        <f t="shared" si="1207"/>
        <v>3.0058328596258514E-2</v>
      </c>
      <c r="AE955" s="763">
        <f t="shared" si="1207"/>
        <v>9.6514476119628781E-2</v>
      </c>
      <c r="AF955" s="763">
        <f t="shared" si="1207"/>
        <v>3.3401970849496435E-2</v>
      </c>
      <c r="AG955" s="763">
        <f t="shared" si="1207"/>
        <v>7.0048847822999277E-2</v>
      </c>
      <c r="AH955" s="763">
        <f t="shared" si="1207"/>
        <v>3.390240013147864E-2</v>
      </c>
      <c r="AI955" s="763">
        <f t="shared" si="1207"/>
        <v>4.3546848161190282E-2</v>
      </c>
      <c r="AJ955" s="763" t="e">
        <f t="shared" si="1207"/>
        <v>#DIV/0!</v>
      </c>
      <c r="AK955" s="763">
        <f t="shared" si="1207"/>
        <v>6.7518891550024052E-2</v>
      </c>
      <c r="AL955" s="763">
        <f t="shared" si="1200"/>
        <v>5.5854993120756903E-2</v>
      </c>
      <c r="AM955" s="763">
        <f t="shared" si="1200"/>
        <v>2.8896033309166413E-2</v>
      </c>
      <c r="AN955" s="763">
        <v>1.2333138943629618E-2</v>
      </c>
      <c r="AO955" s="763">
        <v>1.2333138943629618E-2</v>
      </c>
      <c r="AP955" s="763"/>
      <c r="AQ955" s="763"/>
      <c r="AR955" s="763"/>
      <c r="AS955" s="763"/>
      <c r="AT955" s="763"/>
    </row>
    <row r="956" spans="1:119" hidden="1">
      <c r="A956" s="1"/>
      <c r="B956" s="1"/>
      <c r="C956" s="1"/>
      <c r="D956" s="759" t="str">
        <f>+D906</f>
        <v xml:space="preserve">              project loans (gross)</v>
      </c>
      <c r="E956" s="92"/>
      <c r="F956" s="621"/>
      <c r="G956" s="621"/>
      <c r="H956" s="621"/>
      <c r="I956" s="621"/>
      <c r="J956" s="763"/>
      <c r="K956" s="763"/>
      <c r="L956" s="763"/>
      <c r="M956" s="763"/>
      <c r="N956" s="763"/>
      <c r="O956" s="763"/>
      <c r="P956" s="763"/>
      <c r="Q956" s="763"/>
      <c r="R956" s="763"/>
      <c r="S956" s="763"/>
      <c r="T956" s="763"/>
      <c r="U956" s="763"/>
      <c r="V956" s="763"/>
      <c r="W956" s="763"/>
      <c r="X956" s="763">
        <f>+X906/X$284</f>
        <v>6.8846780766096169E-2</v>
      </c>
      <c r="Y956" s="763">
        <f t="shared" ref="Y956:AK956" si="1208">+Y906/Y$284</f>
        <v>1.2419645374846917E-2</v>
      </c>
      <c r="Z956" s="763">
        <f t="shared" si="1208"/>
        <v>1.7006512425021422E-2</v>
      </c>
      <c r="AA956" s="763">
        <f t="shared" si="1208"/>
        <v>1.5697850654911184E-2</v>
      </c>
      <c r="AB956" s="763">
        <f t="shared" si="1208"/>
        <v>0</v>
      </c>
      <c r="AC956" s="763">
        <f t="shared" si="1208"/>
        <v>2.1251299339590819E-2</v>
      </c>
      <c r="AD956" s="763">
        <f t="shared" si="1208"/>
        <v>2.4653414113284238E-2</v>
      </c>
      <c r="AE956" s="763">
        <f t="shared" si="1208"/>
        <v>3.0680913136172633E-2</v>
      </c>
      <c r="AF956" s="763">
        <f t="shared" si="1208"/>
        <v>3.8026486013913834E-2</v>
      </c>
      <c r="AG956" s="763">
        <f t="shared" si="1208"/>
        <v>3.3883252764562416E-2</v>
      </c>
      <c r="AH956" s="763">
        <f t="shared" si="1208"/>
        <v>2.80558273774132E-2</v>
      </c>
      <c r="AI956" s="763">
        <f t="shared" si="1208"/>
        <v>3.5464699689269533E-2</v>
      </c>
      <c r="AJ956" s="763" t="e">
        <f t="shared" si="1208"/>
        <v>#DIV/0!</v>
      </c>
      <c r="AK956" s="763">
        <f t="shared" si="1208"/>
        <v>2.7471155646366416E-2</v>
      </c>
      <c r="AL956" s="763">
        <f t="shared" si="1200"/>
        <v>2.7035864604592032E-2</v>
      </c>
      <c r="AM956" s="763">
        <f t="shared" si="1200"/>
        <v>2.6338868589778949E-2</v>
      </c>
      <c r="AN956" s="763">
        <v>3.4418917937079151E-2</v>
      </c>
      <c r="AO956" s="763">
        <v>3.4418917937079151E-2</v>
      </c>
      <c r="AP956" s="763"/>
      <c r="AQ956" s="763"/>
      <c r="AR956" s="763"/>
      <c r="AS956" s="763"/>
      <c r="AT956" s="763"/>
    </row>
    <row r="957" spans="1:119" hidden="1">
      <c r="A957" s="1"/>
      <c r="B957" s="1"/>
      <c r="C957" s="1"/>
      <c r="D957" s="756" t="s">
        <v>887</v>
      </c>
      <c r="E957" s="92"/>
      <c r="F957" s="134"/>
      <c r="G957" s="134"/>
      <c r="H957" s="134"/>
      <c r="I957" s="134"/>
      <c r="J957" s="761"/>
      <c r="K957" s="761">
        <f t="shared" ref="K957:AK957" si="1209">+K908/K$284</f>
        <v>2.6404893877457404E-2</v>
      </c>
      <c r="L957" s="761">
        <f t="shared" si="1209"/>
        <v>2.8598389982110915E-2</v>
      </c>
      <c r="M957" s="761">
        <f t="shared" si="1209"/>
        <v>3.0439002770083101E-2</v>
      </c>
      <c r="N957" s="761">
        <f t="shared" si="1209"/>
        <v>1.5770283245319251E-2</v>
      </c>
      <c r="O957" s="761">
        <f t="shared" si="1209"/>
        <v>1.0374279400634664E-2</v>
      </c>
      <c r="P957" s="761">
        <f t="shared" si="1209"/>
        <v>-5.7310304048803261E-3</v>
      </c>
      <c r="Q957" s="761">
        <f t="shared" si="1209"/>
        <v>-6.2232119192039215E-3</v>
      </c>
      <c r="R957" s="761">
        <f t="shared" si="1209"/>
        <v>-2.9585798816567804E-3</v>
      </c>
      <c r="S957" s="761">
        <f t="shared" si="1209"/>
        <v>-1.2143987341772198E-2</v>
      </c>
      <c r="T957" s="761">
        <f t="shared" si="1209"/>
        <v>-1.0241162867525584E-3</v>
      </c>
      <c r="U957" s="761">
        <f t="shared" si="1209"/>
        <v>-2.8563015312131922E-3</v>
      </c>
      <c r="V957" s="761">
        <f t="shared" si="1209"/>
        <v>1.5056712542196831E-2</v>
      </c>
      <c r="W957" s="761">
        <f t="shared" si="1209"/>
        <v>-8.6327683615819214E-3</v>
      </c>
      <c r="X957" s="761">
        <f t="shared" si="1209"/>
        <v>-2.4449292878079534E-2</v>
      </c>
      <c r="Y957" s="761">
        <f t="shared" si="1209"/>
        <v>2.246059145234169E-2</v>
      </c>
      <c r="Z957" s="761">
        <f t="shared" si="1209"/>
        <v>1.5938303341902309E-3</v>
      </c>
      <c r="AA957" s="761">
        <f t="shared" si="1209"/>
        <v>7.1855398906035929E-3</v>
      </c>
      <c r="AB957" s="761">
        <f t="shared" si="1209"/>
        <v>3.3952541787922036E-3</v>
      </c>
      <c r="AC957" s="761">
        <f t="shared" si="1209"/>
        <v>5.3589863688804987E-3</v>
      </c>
      <c r="AD957" s="761">
        <f t="shared" si="1209"/>
        <v>6.2019622184349464E-3</v>
      </c>
      <c r="AE957" s="761">
        <f t="shared" si="1209"/>
        <v>9.4451656789924805E-3</v>
      </c>
      <c r="AF957" s="761">
        <f t="shared" si="1209"/>
        <v>2.5857267759614441E-2</v>
      </c>
      <c r="AG957" s="761">
        <f t="shared" si="1209"/>
        <v>1.8753125520920157E-2</v>
      </c>
      <c r="AH957" s="761">
        <f t="shared" si="1209"/>
        <v>1.0499079569884448E-2</v>
      </c>
      <c r="AI957" s="761">
        <f t="shared" si="1209"/>
        <v>1.6964260571150594E-2</v>
      </c>
      <c r="AJ957" s="761" t="e">
        <f t="shared" si="1209"/>
        <v>#DIV/0!</v>
      </c>
      <c r="AK957" s="761" t="e">
        <f t="shared" si="1209"/>
        <v>#DIV/0!</v>
      </c>
      <c r="AL957" s="761" t="e">
        <f>+AL908/AL$284</f>
        <v>#DIV/0!</v>
      </c>
      <c r="AM957" s="761" t="e">
        <f>+AM908/AM$284</f>
        <v>#DIV/0!</v>
      </c>
      <c r="AN957" s="761">
        <v>-3.9509028528838001E-3</v>
      </c>
      <c r="AO957" s="761">
        <v>-3.9509028528838001E-3</v>
      </c>
      <c r="AP957" s="761"/>
      <c r="AQ957" s="761"/>
      <c r="AR957" s="761"/>
      <c r="AS957" s="761"/>
      <c r="AT957" s="761"/>
    </row>
    <row r="958" spans="1:119" hidden="1">
      <c r="A958" s="1"/>
      <c r="B958" s="1"/>
      <c r="C958" s="1"/>
      <c r="D958" s="758" t="s">
        <v>900</v>
      </c>
      <c r="E958" s="92"/>
      <c r="F958" s="134"/>
      <c r="G958" s="134"/>
      <c r="H958" s="134"/>
      <c r="I958" s="134"/>
      <c r="J958" s="761"/>
      <c r="K958" s="761">
        <f t="shared" ref="K958:AK958" si="1210">+K909/K$284</f>
        <v>-3.8951507208387949E-3</v>
      </c>
      <c r="L958" s="761">
        <f t="shared" si="1210"/>
        <v>-8.732259988073943E-3</v>
      </c>
      <c r="M958" s="761">
        <f t="shared" si="1210"/>
        <v>-1.3069861495844874E-2</v>
      </c>
      <c r="N958" s="761">
        <f t="shared" si="1210"/>
        <v>-1.2439270283245306E-3</v>
      </c>
      <c r="O958" s="761">
        <f t="shared" si="1210"/>
        <v>-1.2931376437921457E-2</v>
      </c>
      <c r="P958" s="761">
        <f t="shared" si="1210"/>
        <v>-2.6381648936170211E-2</v>
      </c>
      <c r="Q958" s="761">
        <f t="shared" si="1210"/>
        <v>-1.2310354773579463E-2</v>
      </c>
      <c r="R958" s="761">
        <f t="shared" si="1210"/>
        <v>-3.5502958579881659E-3</v>
      </c>
      <c r="S958" s="761">
        <f t="shared" si="1210"/>
        <v>-5.3006329113924056E-3</v>
      </c>
      <c r="T958" s="761">
        <f t="shared" si="1210"/>
        <v>5.9464816650148661E-3</v>
      </c>
      <c r="U958" s="761">
        <f t="shared" si="1210"/>
        <v>2.4734982332155478E-3</v>
      </c>
      <c r="V958" s="761">
        <f t="shared" si="1210"/>
        <v>2.0150610231108802E-2</v>
      </c>
      <c r="W958" s="761">
        <f t="shared" si="1210"/>
        <v>-3.480225988700565E-3</v>
      </c>
      <c r="X958" s="761">
        <f t="shared" si="1210"/>
        <v>-2.9400393122578312E-2</v>
      </c>
      <c r="Y958" s="761">
        <f t="shared" si="1210"/>
        <v>2.8227402111888258E-2</v>
      </c>
      <c r="Z958" s="761">
        <f t="shared" si="1210"/>
        <v>0</v>
      </c>
      <c r="AA958" s="761">
        <f t="shared" si="1210"/>
        <v>-9.6217991204805358E-5</v>
      </c>
      <c r="AB958" s="761">
        <f t="shared" si="1210"/>
        <v>2.2898099805044236E-3</v>
      </c>
      <c r="AC958" s="761">
        <f t="shared" si="1210"/>
        <v>6.0916618869166677E-3</v>
      </c>
      <c r="AD958" s="761">
        <f t="shared" si="1210"/>
        <v>-1.4725818388029515E-3</v>
      </c>
      <c r="AE958" s="761">
        <f t="shared" si="1210"/>
        <v>9.4451656789924805E-3</v>
      </c>
      <c r="AF958" s="761">
        <f t="shared" si="1210"/>
        <v>2.5857267759614441E-2</v>
      </c>
      <c r="AG958" s="761">
        <f t="shared" si="1210"/>
        <v>1.8753125520920157E-2</v>
      </c>
      <c r="AH958" s="761">
        <f t="shared" si="1210"/>
        <v>1.0499079569884448E-2</v>
      </c>
      <c r="AI958" s="761">
        <f t="shared" si="1210"/>
        <v>1.6964260571150594E-2</v>
      </c>
      <c r="AJ958" s="761" t="e">
        <f t="shared" si="1210"/>
        <v>#DIV/0!</v>
      </c>
      <c r="AK958" s="761" t="e">
        <f t="shared" si="1210"/>
        <v>#DIV/0!</v>
      </c>
      <c r="AL958" s="761" t="e">
        <f>+AL909/AL$284</f>
        <v>#DIV/0!</v>
      </c>
      <c r="AM958" s="761" t="e">
        <f>+AM909/AM$284</f>
        <v>#DIV/0!</v>
      </c>
      <c r="AN958" s="761">
        <v>-3.9509028528838001E-3</v>
      </c>
      <c r="AO958" s="761">
        <v>-3.9509028528838001E-3</v>
      </c>
      <c r="AP958" s="761"/>
      <c r="AQ958" s="761"/>
      <c r="AR958" s="761"/>
      <c r="AS958" s="761"/>
      <c r="AT958" s="761"/>
    </row>
    <row r="959" spans="1:119" hidden="1">
      <c r="A959" s="1"/>
      <c r="B959" s="1"/>
      <c r="C959" s="1"/>
      <c r="D959" s="758" t="s">
        <v>901</v>
      </c>
      <c r="E959" s="92"/>
      <c r="F959" s="134"/>
      <c r="G959" s="134"/>
      <c r="H959" s="134"/>
      <c r="I959" s="134"/>
      <c r="J959" s="761"/>
      <c r="K959" s="761">
        <f t="shared" ref="K959:AK959" si="1211">+K912/K$284</f>
        <v>0</v>
      </c>
      <c r="L959" s="761">
        <f t="shared" si="1211"/>
        <v>0</v>
      </c>
      <c r="M959" s="761">
        <f t="shared" si="1211"/>
        <v>0</v>
      </c>
      <c r="N959" s="761">
        <f t="shared" si="1211"/>
        <v>0</v>
      </c>
      <c r="O959" s="761">
        <f t="shared" si="1211"/>
        <v>0</v>
      </c>
      <c r="P959" s="761">
        <f t="shared" si="1211"/>
        <v>0</v>
      </c>
      <c r="Q959" s="761">
        <f t="shared" si="1211"/>
        <v>0</v>
      </c>
      <c r="R959" s="761">
        <f t="shared" si="1211"/>
        <v>0</v>
      </c>
      <c r="S959" s="761">
        <f t="shared" si="1211"/>
        <v>0</v>
      </c>
      <c r="T959" s="761">
        <f t="shared" si="1211"/>
        <v>0</v>
      </c>
      <c r="U959" s="761">
        <f t="shared" si="1211"/>
        <v>0</v>
      </c>
      <c r="V959" s="761">
        <f t="shared" si="1211"/>
        <v>0</v>
      </c>
      <c r="W959" s="761">
        <f t="shared" si="1211"/>
        <v>0</v>
      </c>
      <c r="X959" s="761">
        <f t="shared" si="1211"/>
        <v>8.0888345558272207E-3</v>
      </c>
      <c r="Y959" s="761">
        <f t="shared" si="1211"/>
        <v>-2.1836050215476919E-3</v>
      </c>
      <c r="Z959" s="761">
        <f t="shared" si="1211"/>
        <v>5.2956298200514135E-3</v>
      </c>
      <c r="AA959" s="761">
        <f t="shared" si="1211"/>
        <v>9.0426980009156079E-3</v>
      </c>
      <c r="AB959" s="761">
        <f t="shared" si="1211"/>
        <v>7.3192208904586577E-3</v>
      </c>
      <c r="AC959" s="761">
        <f t="shared" si="1211"/>
        <v>2.9007430237552481E-3</v>
      </c>
      <c r="AD959" s="761">
        <f t="shared" si="1211"/>
        <v>1.3238988300068822E-2</v>
      </c>
      <c r="AE959" s="761">
        <f t="shared" si="1211"/>
        <v>5.3050272833155762E-3</v>
      </c>
      <c r="AF959" s="761">
        <f t="shared" si="1211"/>
        <v>5.5822173953597115E-3</v>
      </c>
      <c r="AG959" s="761">
        <f t="shared" si="1211"/>
        <v>0</v>
      </c>
      <c r="AH959" s="761">
        <f t="shared" si="1211"/>
        <v>0</v>
      </c>
      <c r="AI959" s="761">
        <f t="shared" si="1211"/>
        <v>0</v>
      </c>
      <c r="AJ959" s="761" t="e">
        <f t="shared" si="1211"/>
        <v>#DIV/0!</v>
      </c>
      <c r="AK959" s="761">
        <f t="shared" si="1211"/>
        <v>0</v>
      </c>
      <c r="AL959" s="761">
        <f>+AL912/AL$284</f>
        <v>0</v>
      </c>
      <c r="AM959" s="761">
        <f>+AM912/AM$284</f>
        <v>0</v>
      </c>
      <c r="AN959" s="761">
        <v>0</v>
      </c>
      <c r="AO959" s="761">
        <v>0</v>
      </c>
      <c r="AP959" s="761"/>
      <c r="AQ959" s="761"/>
      <c r="AR959" s="761"/>
      <c r="AS959" s="761"/>
      <c r="AT959" s="761"/>
    </row>
    <row r="960" spans="1:119" hidden="1">
      <c r="A960" s="1"/>
      <c r="B960" s="1"/>
      <c r="C960" s="1"/>
      <c r="D960" s="1388" t="str">
        <f>D916</f>
        <v>Tax Loss due to COVID-19</v>
      </c>
      <c r="E960" s="1384"/>
      <c r="F960" s="1385"/>
      <c r="G960" s="1385"/>
      <c r="H960" s="1385"/>
      <c r="I960" s="1385"/>
      <c r="J960" s="1386"/>
      <c r="K960" s="1386"/>
      <c r="L960" s="1386"/>
      <c r="M960" s="1386"/>
      <c r="N960" s="1386"/>
      <c r="O960" s="1386"/>
      <c r="P960" s="1386"/>
      <c r="Q960" s="1386"/>
      <c r="R960" s="1386"/>
      <c r="S960" s="1386"/>
      <c r="T960" s="1386"/>
      <c r="U960" s="1386"/>
      <c r="V960" s="1386"/>
      <c r="W960" s="1386"/>
      <c r="X960" s="1386"/>
      <c r="Y960" s="1386"/>
      <c r="Z960" s="1386"/>
      <c r="AA960" s="1386">
        <f>AA916/AA$284</f>
        <v>0</v>
      </c>
      <c r="AB960" s="1386"/>
      <c r="AC960" s="1386"/>
      <c r="AD960" s="1386"/>
      <c r="AE960" s="1386">
        <f>AE916/$AE$284</f>
        <v>2.056253995312167E-2</v>
      </c>
      <c r="AF960" s="1386">
        <f>AF916/$AE$284</f>
        <v>3.9201144712514388E-2</v>
      </c>
      <c r="AG960" s="1386"/>
      <c r="AH960" s="1386"/>
      <c r="AI960" s="1386"/>
      <c r="AJ960" s="1386"/>
      <c r="AK960" s="1386"/>
      <c r="AL960" s="1387"/>
      <c r="AM960" s="1387"/>
      <c r="AN960" s="1387"/>
      <c r="AO960" s="1387"/>
      <c r="AP960" s="1387"/>
      <c r="AQ960" s="1387"/>
      <c r="AR960" s="1387"/>
      <c r="AS960" s="1387"/>
      <c r="AT960" s="1387"/>
    </row>
    <row r="961" spans="1:46" hidden="1">
      <c r="A961" s="1"/>
      <c r="B961" s="1"/>
      <c r="C961" s="1"/>
      <c r="D961" s="1388" t="str">
        <f>D917</f>
        <v>Financing Gap</v>
      </c>
      <c r="E961" s="92"/>
      <c r="F961" s="134"/>
      <c r="G961" s="134"/>
      <c r="H961" s="134"/>
      <c r="I961" s="134"/>
      <c r="J961" s="761"/>
      <c r="K961" s="761"/>
      <c r="L961" s="761"/>
      <c r="M961" s="761"/>
      <c r="N961" s="761"/>
      <c r="O961" s="761"/>
      <c r="P961" s="761"/>
      <c r="Q961" s="761"/>
      <c r="R961" s="761"/>
      <c r="S961" s="761"/>
      <c r="T961" s="761"/>
      <c r="U961" s="761"/>
      <c r="V961" s="761"/>
      <c r="W961" s="761"/>
      <c r="X961" s="761"/>
      <c r="Y961" s="761"/>
      <c r="Z961" s="761"/>
      <c r="AA961" s="1386">
        <f>AA917/AA$284</f>
        <v>0</v>
      </c>
      <c r="AB961" s="1386">
        <f t="shared" ref="AB961:AK961" si="1212">AB917/AB$284</f>
        <v>0</v>
      </c>
      <c r="AC961" s="1386">
        <f t="shared" si="1212"/>
        <v>0</v>
      </c>
      <c r="AD961" s="1386">
        <f t="shared" si="1212"/>
        <v>0</v>
      </c>
      <c r="AE961" s="1386">
        <f t="shared" si="1212"/>
        <v>0</v>
      </c>
      <c r="AF961" s="1386">
        <f t="shared" si="1212"/>
        <v>1.2207643572309246E-3</v>
      </c>
      <c r="AG961" s="1386">
        <f t="shared" si="1212"/>
        <v>0</v>
      </c>
      <c r="AH961" s="1386">
        <f t="shared" si="1212"/>
        <v>0</v>
      </c>
      <c r="AI961" s="1386">
        <f t="shared" si="1212"/>
        <v>0</v>
      </c>
      <c r="AJ961" s="1386" t="e">
        <f t="shared" si="1212"/>
        <v>#DIV/0!</v>
      </c>
      <c r="AK961" s="1386">
        <f t="shared" si="1212"/>
        <v>0</v>
      </c>
      <c r="AL961" s="1386">
        <f>AL917/AL$284</f>
        <v>0</v>
      </c>
      <c r="AM961" s="1386">
        <f>AM917/AM$284</f>
        <v>0</v>
      </c>
      <c r="AN961" s="1386">
        <v>0</v>
      </c>
      <c r="AO961" s="1386">
        <v>0</v>
      </c>
      <c r="AP961" s="1386"/>
      <c r="AQ961" s="1386"/>
      <c r="AR961" s="1386"/>
      <c r="AS961" s="1386"/>
      <c r="AT961" s="1386"/>
    </row>
    <row r="962" spans="1:46" hidden="1">
      <c r="A962" s="1"/>
      <c r="B962" s="1"/>
      <c r="C962" s="1"/>
      <c r="D962" s="760" t="s">
        <v>786</v>
      </c>
      <c r="E962" s="92"/>
      <c r="F962" s="694"/>
      <c r="G962" s="694"/>
      <c r="H962" s="694"/>
      <c r="I962" s="694"/>
      <c r="J962" s="764" t="str">
        <f t="shared" ref="J962:U962" si="1213">+IF(ABS(J951+J953)&gt;0.001,+J951+J953,"")</f>
        <v/>
      </c>
      <c r="K962" s="764" t="str">
        <f t="shared" si="1213"/>
        <v/>
      </c>
      <c r="L962" s="764" t="str">
        <f t="shared" si="1213"/>
        <v/>
      </c>
      <c r="M962" s="764" t="str">
        <f t="shared" si="1213"/>
        <v/>
      </c>
      <c r="N962" s="764" t="str">
        <f t="shared" si="1213"/>
        <v/>
      </c>
      <c r="O962" s="764" t="str">
        <f t="shared" si="1213"/>
        <v/>
      </c>
      <c r="P962" s="764">
        <f t="shared" si="1213"/>
        <v>-8.1340999202127676E-3</v>
      </c>
      <c r="Q962" s="764">
        <f t="shared" si="1213"/>
        <v>-7.05721735217767E-3</v>
      </c>
      <c r="R962" s="764" t="str">
        <f t="shared" si="1213"/>
        <v/>
      </c>
      <c r="S962" s="764" t="str">
        <f t="shared" si="1213"/>
        <v/>
      </c>
      <c r="T962" s="764" t="str">
        <f t="shared" si="1213"/>
        <v/>
      </c>
      <c r="U962" s="764" t="str">
        <f t="shared" si="1213"/>
        <v/>
      </c>
      <c r="V962" s="764">
        <f t="shared" ref="V962:AE962" si="1214">+IF(ABS(V951+V953)&gt;0.001,+V951+V953,"")</f>
        <v>-1.6280513175798567E-3</v>
      </c>
      <c r="W962" s="764">
        <f t="shared" si="1214"/>
        <v>-1.3333333333333357E-3</v>
      </c>
      <c r="X962" s="764">
        <f t="shared" si="1214"/>
        <v>-5.0479963005699985E-3</v>
      </c>
      <c r="Y962" s="764" t="str">
        <f t="shared" si="1214"/>
        <v/>
      </c>
      <c r="Z962" s="764">
        <f t="shared" si="1214"/>
        <v>-1.7043180553455571E-2</v>
      </c>
      <c r="AA962" s="764">
        <f t="shared" si="1214"/>
        <v>4.7145841847584732E-3</v>
      </c>
      <c r="AB962" s="764" t="str">
        <f t="shared" si="1214"/>
        <v/>
      </c>
      <c r="AC962" s="764" t="str">
        <f t="shared" si="1214"/>
        <v/>
      </c>
      <c r="AD962" s="764">
        <f t="shared" si="1214"/>
        <v>1.2436412356398585E-3</v>
      </c>
      <c r="AE962" s="764" t="str">
        <f t="shared" si="1214"/>
        <v/>
      </c>
      <c r="AF962" s="764" t="str">
        <f t="shared" ref="AF962:AK962" si="1215">+IF(ABS(AF951+AF953)&gt;0.001,+AF951+AF953,"")</f>
        <v/>
      </c>
      <c r="AG962" s="764">
        <f t="shared" si="1215"/>
        <v>0.46849485722502465</v>
      </c>
      <c r="AH962" s="764">
        <f t="shared" si="1215"/>
        <v>0.54854236853490734</v>
      </c>
      <c r="AI962" s="764">
        <f t="shared" si="1215"/>
        <v>0.54674588086708775</v>
      </c>
      <c r="AJ962" s="764" t="e">
        <f t="shared" si="1215"/>
        <v>#DIV/0!</v>
      </c>
      <c r="AK962" s="764" t="e">
        <f t="shared" si="1215"/>
        <v>#DIV/0!</v>
      </c>
      <c r="AL962" s="764" t="e">
        <f>+IF(ABS(AL951+AL953)&gt;0.001,+AL951+AL953,"")</f>
        <v>#DIV/0!</v>
      </c>
      <c r="AM962" s="764" t="e">
        <f>+IF(ABS(AM951+AM953)&gt;0.001,+AM951+AM953,"")</f>
        <v>#DIV/0!</v>
      </c>
      <c r="AN962" s="764">
        <f t="shared" ref="AN962:AO962" si="1216">+IF(ABS(AN951+AN953)&gt;0.001,+AN951+AN953,"")</f>
        <v>3.6855005773280145</v>
      </c>
      <c r="AO962" s="764">
        <f t="shared" si="1216"/>
        <v>3.6855005773280145</v>
      </c>
      <c r="AP962" s="764"/>
      <c r="AQ962" s="764"/>
      <c r="AR962" s="764"/>
      <c r="AS962" s="764"/>
      <c r="AT962" s="764"/>
    </row>
    <row r="963" spans="1:46" hidden="1">
      <c r="A963" s="1"/>
      <c r="B963" s="1"/>
      <c r="C963" s="1"/>
      <c r="D963" s="748" t="s">
        <v>888</v>
      </c>
      <c r="E963" s="92"/>
      <c r="F963" s="694"/>
      <c r="G963" s="694"/>
      <c r="H963" s="694"/>
      <c r="I963" s="694"/>
      <c r="J963" s="745"/>
      <c r="K963" s="745"/>
      <c r="L963" s="745"/>
      <c r="M963" s="745"/>
      <c r="N963" s="745"/>
      <c r="O963" s="745"/>
      <c r="P963" s="745"/>
      <c r="Q963" s="745"/>
      <c r="R963" s="745"/>
      <c r="S963" s="745"/>
      <c r="T963" s="745"/>
      <c r="U963" s="745"/>
      <c r="V963" s="745"/>
      <c r="W963" s="745"/>
      <c r="X963" s="745"/>
      <c r="Y963" s="745"/>
      <c r="Z963" s="772" t="str">
        <f t="shared" ref="Z963:AE963" si="1217">+Z920</f>
        <v>2014/15</v>
      </c>
      <c r="AA963" s="772" t="str">
        <f t="shared" si="1217"/>
        <v>2015/16</v>
      </c>
      <c r="AB963" s="772" t="str">
        <f t="shared" si="1217"/>
        <v>2016/17</v>
      </c>
      <c r="AC963" s="772" t="str">
        <f t="shared" si="1217"/>
        <v>2017/18</v>
      </c>
      <c r="AD963" s="772" t="str">
        <f t="shared" si="1217"/>
        <v>2018/19</v>
      </c>
      <c r="AE963" s="772" t="str">
        <f t="shared" si="1217"/>
        <v>2019/20</v>
      </c>
    </row>
    <row r="964" spans="1:46" hidden="1">
      <c r="A964" s="1"/>
      <c r="B964" s="1"/>
      <c r="C964" s="1"/>
      <c r="D964" s="746" t="s">
        <v>896</v>
      </c>
      <c r="E964" s="92"/>
      <c r="F964" s="694"/>
      <c r="G964" s="694"/>
      <c r="H964" s="694"/>
      <c r="I964" s="694"/>
      <c r="J964" s="745"/>
      <c r="K964" s="745"/>
      <c r="L964" s="745"/>
      <c r="M964" s="745"/>
      <c r="N964" s="745"/>
      <c r="O964" s="745"/>
      <c r="P964" s="745"/>
      <c r="Q964" s="745"/>
      <c r="R964" s="745"/>
      <c r="S964" s="745"/>
      <c r="T964" s="745"/>
      <c r="U964" s="745"/>
      <c r="V964" s="745"/>
      <c r="W964" s="745"/>
      <c r="X964" s="745"/>
      <c r="Y964" s="745"/>
      <c r="Z964" s="770">
        <f>+FISCinyear!HS572</f>
        <v>-77.721402080859548</v>
      </c>
      <c r="AA964" s="770">
        <f>+FISCinyear!HV572</f>
        <v>-102.79611411144401</v>
      </c>
      <c r="AB964" s="770">
        <f>+FISCinyear!HY572</f>
        <v>-138.81835282202974</v>
      </c>
      <c r="AC964" s="770">
        <f>+FISCinyear!IB572</f>
        <v>-167.4713859075822</v>
      </c>
      <c r="AD964" s="770"/>
      <c r="AE964" s="770"/>
    </row>
    <row r="965" spans="1:46" hidden="1">
      <c r="A965" s="1"/>
      <c r="B965" s="1"/>
      <c r="C965" s="1"/>
      <c r="D965" s="746" t="s">
        <v>897</v>
      </c>
      <c r="E965" s="92"/>
      <c r="F965" s="694"/>
      <c r="G965" s="694"/>
      <c r="H965" s="694"/>
      <c r="I965" s="694"/>
      <c r="J965" s="745"/>
      <c r="K965" s="745"/>
      <c r="L965" s="745"/>
      <c r="M965" s="745"/>
      <c r="N965" s="745"/>
      <c r="O965" s="745"/>
      <c r="P965" s="745"/>
      <c r="Q965" s="745"/>
      <c r="R965" s="745"/>
      <c r="S965" s="745"/>
      <c r="T965" s="745"/>
      <c r="U965" s="745"/>
      <c r="V965" s="745"/>
      <c r="W965" s="745"/>
      <c r="X965" s="745"/>
      <c r="Y965" s="745"/>
      <c r="Z965" s="770">
        <f>+Z891-Z964</f>
        <v>-224.33809844673794</v>
      </c>
      <c r="AA965" s="770">
        <f>+AA891-AA964</f>
        <v>-110.18616073464841</v>
      </c>
      <c r="AB965" s="770">
        <f>+AB891-AB964</f>
        <v>-188.31378496685824</v>
      </c>
      <c r="AC965" s="770">
        <f>+AC891-AC964</f>
        <v>-199.65596218942198</v>
      </c>
      <c r="AD965" s="770"/>
      <c r="AE965" s="770"/>
    </row>
    <row r="966" spans="1:46" hidden="1">
      <c r="A966" s="1"/>
      <c r="B966" s="1"/>
      <c r="C966" s="1"/>
      <c r="D966" s="746" t="s">
        <v>895</v>
      </c>
      <c r="E966" s="92"/>
      <c r="F966" s="694"/>
      <c r="G966" s="694"/>
      <c r="H966" s="694"/>
      <c r="I966" s="694"/>
      <c r="J966" s="745"/>
      <c r="K966" s="745"/>
      <c r="L966" s="745"/>
      <c r="M966" s="745"/>
      <c r="N966" s="745"/>
      <c r="O966" s="745"/>
      <c r="P966" s="745"/>
      <c r="Q966" s="745"/>
      <c r="R966" s="745"/>
      <c r="S966" s="745"/>
      <c r="T966" s="745"/>
      <c r="U966" s="745"/>
      <c r="V966" s="745"/>
      <c r="W966" s="745"/>
      <c r="X966" s="745"/>
      <c r="Y966" s="745"/>
      <c r="Z966" s="770">
        <f>+FISCinyear!HS596</f>
        <v>-75.054257034104651</v>
      </c>
      <c r="AA966" s="770">
        <f>+FISCinyear!HV596</f>
        <v>-78.13615325913635</v>
      </c>
      <c r="AB966" s="770">
        <f>+FISCinyear!HY596</f>
        <v>-72.650068431331647</v>
      </c>
      <c r="AC966" s="770">
        <f>+FISCinyear!IB596</f>
        <v>-76.513563812377328</v>
      </c>
      <c r="AD966" s="770"/>
      <c r="AE966" s="770"/>
    </row>
    <row r="967" spans="1:46" hidden="1">
      <c r="A967" s="1"/>
      <c r="B967" s="1"/>
      <c r="C967" s="1"/>
      <c r="D967" s="746" t="s">
        <v>890</v>
      </c>
      <c r="E967" s="92"/>
      <c r="F967" s="694"/>
      <c r="G967" s="694"/>
      <c r="H967" s="694"/>
      <c r="I967" s="694"/>
      <c r="J967" s="745"/>
      <c r="K967" s="745"/>
      <c r="L967" s="745"/>
      <c r="M967" s="745"/>
      <c r="N967" s="745"/>
      <c r="O967" s="745"/>
      <c r="P967" s="745"/>
      <c r="Q967" s="745"/>
      <c r="R967" s="745"/>
      <c r="S967" s="745"/>
      <c r="T967" s="745"/>
      <c r="U967" s="745"/>
      <c r="V967" s="745"/>
      <c r="W967" s="745"/>
      <c r="X967" s="745"/>
      <c r="Y967" s="745"/>
      <c r="Z967" s="771">
        <f>+Z908-Z966</f>
        <v>84.354257034104648</v>
      </c>
      <c r="AA967" s="770">
        <f>+AA908-AA966</f>
        <v>125.22299616226169</v>
      </c>
      <c r="AB967" s="770">
        <f>+AB908-AB966</f>
        <v>97.21133716071445</v>
      </c>
      <c r="AC967" s="770">
        <f>+AC908-AC966</f>
        <v>119.4711985453234</v>
      </c>
      <c r="AD967" s="770"/>
      <c r="AE967" s="770"/>
    </row>
    <row r="968" spans="1:46" hidden="1">
      <c r="A968" s="1"/>
      <c r="B968" s="1"/>
      <c r="C968" s="1"/>
      <c r="D968" s="746" t="s">
        <v>894</v>
      </c>
      <c r="E968" s="92"/>
      <c r="F968" s="744"/>
      <c r="G968" s="744"/>
      <c r="H968" s="744"/>
      <c r="I968" s="744"/>
      <c r="J968" s="744"/>
      <c r="K968" s="744"/>
      <c r="L968" s="744"/>
      <c r="M968" s="744"/>
      <c r="N968" s="744"/>
      <c r="O968" s="744"/>
      <c r="P968" s="744"/>
      <c r="Q968" s="744"/>
      <c r="R968" s="744"/>
      <c r="S968" s="744"/>
      <c r="T968" s="744"/>
      <c r="U968" s="744"/>
      <c r="V968" s="745"/>
      <c r="W968" s="745"/>
      <c r="X968" s="745"/>
      <c r="Y968" s="745"/>
      <c r="Z968" s="770">
        <f>+FISCinyear!HS467-FISCinyear!HS486</f>
        <v>417.35422347519284</v>
      </c>
      <c r="AA968" s="770">
        <f>+FISCinyear!HV467-FISCinyear!HV486</f>
        <v>484.04192598929995</v>
      </c>
      <c r="AB968" s="770">
        <f>+FISCinyear!HY467-FISCinyear!HY486+FISCinyear!HY558</f>
        <v>532.05746005302728</v>
      </c>
      <c r="AC968" s="770">
        <f>+FISCinyear!IB467-FISCinyear!IB486+FISCinyear!IB558</f>
        <v>613.30561860667001</v>
      </c>
      <c r="AD968" s="770"/>
      <c r="AE968" s="770"/>
    </row>
    <row r="969" spans="1:46" hidden="1">
      <c r="A969" s="1"/>
      <c r="B969" s="1"/>
      <c r="C969" s="1"/>
      <c r="D969" s="746" t="s">
        <v>891</v>
      </c>
      <c r="E969" s="92"/>
      <c r="F969" s="744"/>
      <c r="G969" s="744"/>
      <c r="H969" s="744"/>
      <c r="I969" s="744"/>
      <c r="J969" s="744"/>
      <c r="K969" s="744"/>
      <c r="L969" s="744"/>
      <c r="M969" s="744"/>
      <c r="N969" s="744"/>
      <c r="O969" s="744"/>
      <c r="P969" s="744"/>
      <c r="Q969" s="744"/>
      <c r="R969" s="744"/>
      <c r="S969" s="744"/>
      <c r="T969" s="744"/>
      <c r="U969" s="744"/>
      <c r="V969" s="745"/>
      <c r="W969" s="745"/>
      <c r="X969" s="745"/>
      <c r="Y969" s="745"/>
      <c r="Z969" s="770">
        <f>+(Z873-Z876)-Z968</f>
        <v>496.40257848280703</v>
      </c>
      <c r="AA969" s="770">
        <f>+(AA873-AA876)-AA968</f>
        <v>560.99178455269998</v>
      </c>
      <c r="AB969" s="770">
        <f>+(AB873-AB876+AB780)-AB968</f>
        <v>615.9365880693498</v>
      </c>
      <c r="AC969" s="770">
        <f>+(AC873-AC876+AC780)-AC968</f>
        <v>697.15539518366597</v>
      </c>
      <c r="AD969" s="770"/>
      <c r="AE969" s="770"/>
    </row>
    <row r="970" spans="1:46" hidden="1">
      <c r="A970" s="1"/>
      <c r="B970" s="1"/>
      <c r="C970" s="1"/>
      <c r="D970" s="746" t="s">
        <v>898</v>
      </c>
      <c r="E970" s="92"/>
      <c r="F970" s="744"/>
      <c r="G970" s="744"/>
      <c r="H970" s="744"/>
      <c r="I970" s="744"/>
      <c r="J970" s="744"/>
      <c r="K970" s="744"/>
      <c r="L970" s="744"/>
      <c r="M970" s="744"/>
      <c r="N970" s="744"/>
      <c r="O970" s="744"/>
      <c r="P970" s="744"/>
      <c r="Q970" s="744"/>
      <c r="R970" s="744"/>
      <c r="S970" s="744"/>
      <c r="T970" s="744"/>
      <c r="U970" s="744"/>
      <c r="V970" s="745"/>
      <c r="W970" s="745"/>
      <c r="X970" s="745"/>
      <c r="Y970" s="745"/>
      <c r="Z970" s="773"/>
      <c r="AA970" s="1033"/>
      <c r="AB970" s="1033">
        <v>338.8</v>
      </c>
      <c r="AC970" s="774"/>
      <c r="AD970" s="770"/>
      <c r="AE970" s="770"/>
    </row>
    <row r="971" spans="1:46" hidden="1">
      <c r="A971" s="1"/>
      <c r="B971" s="1"/>
      <c r="C971" s="1"/>
      <c r="D971" s="746" t="s">
        <v>890</v>
      </c>
      <c r="E971" s="92"/>
      <c r="F971" s="744"/>
      <c r="G971" s="744"/>
      <c r="H971" s="744"/>
      <c r="I971" s="744"/>
      <c r="J971" s="744"/>
      <c r="K971" s="744"/>
      <c r="L971" s="744"/>
      <c r="M971" s="744"/>
      <c r="N971" s="744"/>
      <c r="O971" s="744"/>
      <c r="P971" s="744"/>
      <c r="Q971" s="744"/>
      <c r="R971" s="744"/>
      <c r="S971" s="744"/>
      <c r="T971" s="744"/>
      <c r="U971" s="744"/>
      <c r="V971" s="745"/>
      <c r="W971" s="745"/>
      <c r="X971" s="745"/>
      <c r="Y971" s="745"/>
      <c r="Z971" s="776"/>
      <c r="AA971" s="1034">
        <v>376.1</v>
      </c>
      <c r="AB971" s="1034">
        <f>716-AB970</f>
        <v>377.2</v>
      </c>
      <c r="AC971" s="777"/>
      <c r="AD971" s="770"/>
      <c r="AE971" s="770"/>
    </row>
    <row r="972" spans="1:46" hidden="1">
      <c r="A972" s="1"/>
      <c r="B972" s="1"/>
      <c r="C972" s="1"/>
      <c r="D972" s="747" t="s">
        <v>892</v>
      </c>
      <c r="E972" s="92"/>
      <c r="F972" s="744"/>
      <c r="G972" s="744"/>
      <c r="H972" s="744"/>
      <c r="I972" s="744"/>
      <c r="J972" s="744"/>
      <c r="K972" s="744"/>
      <c r="L972" s="744"/>
      <c r="M972" s="744"/>
      <c r="N972" s="744"/>
      <c r="O972" s="744"/>
      <c r="P972" s="744"/>
      <c r="Q972" s="744"/>
      <c r="R972" s="744"/>
      <c r="S972" s="744"/>
      <c r="T972" s="744"/>
      <c r="U972" s="744"/>
      <c r="V972" s="745"/>
      <c r="W972" s="745"/>
      <c r="X972" s="745"/>
      <c r="Y972" s="745"/>
      <c r="Z972" s="775"/>
      <c r="AA972" s="1032"/>
      <c r="AB972" s="1032">
        <f>+AA973+FISCinyear!HY576</f>
        <v>87.817155379000013</v>
      </c>
      <c r="AC972" s="1029">
        <f>+AB973+FISCinyear!IB576</f>
        <v>174.94123628200001</v>
      </c>
      <c r="AD972" s="770"/>
      <c r="AE972" s="770"/>
    </row>
    <row r="973" spans="1:46" hidden="1">
      <c r="A973" s="1"/>
      <c r="B973" s="1"/>
      <c r="C973" s="1"/>
      <c r="D973" s="746" t="s">
        <v>893</v>
      </c>
      <c r="E973" s="92"/>
      <c r="F973" s="744"/>
      <c r="G973" s="744"/>
      <c r="H973" s="744"/>
      <c r="I973" s="744"/>
      <c r="J973" s="744"/>
      <c r="K973" s="744"/>
      <c r="L973" s="744"/>
      <c r="M973" s="744"/>
      <c r="N973" s="744"/>
      <c r="O973" s="744"/>
      <c r="P973" s="744"/>
      <c r="Q973" s="744"/>
      <c r="R973" s="744"/>
      <c r="S973" s="744"/>
      <c r="T973" s="744"/>
      <c r="U973" s="744"/>
      <c r="V973" s="745"/>
      <c r="W973" s="745"/>
      <c r="X973" s="745"/>
      <c r="Y973" s="745"/>
      <c r="Z973" s="776"/>
      <c r="AA973" s="1030">
        <v>100</v>
      </c>
      <c r="AB973" s="1030">
        <f>+AB972+FISCinyear!HZ576</f>
        <v>139.96522982600001</v>
      </c>
      <c r="AC973" s="1031">
        <f>+AC972+FISCinyear!IC576</f>
        <v>114.903997538</v>
      </c>
      <c r="AD973" s="770"/>
      <c r="AE973" s="770"/>
    </row>
    <row r="974" spans="1:46" hidden="1">
      <c r="A974" s="1"/>
      <c r="B974" s="1"/>
      <c r="C974" s="1"/>
      <c r="D974" s="746" t="s">
        <v>907</v>
      </c>
      <c r="E974" s="92"/>
      <c r="F974" s="744"/>
      <c r="G974" s="744"/>
      <c r="H974" s="744"/>
      <c r="I974" s="744"/>
      <c r="J974" s="744"/>
      <c r="K974" s="744"/>
      <c r="L974" s="744"/>
      <c r="M974" s="744"/>
      <c r="N974" s="744"/>
      <c r="O974" s="744"/>
      <c r="P974" s="744"/>
      <c r="Q974" s="744"/>
      <c r="R974" s="744"/>
      <c r="S974" s="744"/>
      <c r="T974" s="744"/>
      <c r="U974" s="744"/>
      <c r="V974" s="745"/>
      <c r="W974" s="745"/>
      <c r="X974" s="745"/>
      <c r="Y974" s="745"/>
      <c r="Z974" s="770">
        <f>+FISCinyear!HS486</f>
        <v>29.801151600733654</v>
      </c>
      <c r="AA974" s="770">
        <f>+FISCinyear!HV486</f>
        <v>57.098744767604046</v>
      </c>
      <c r="AB974" s="770">
        <f>+FISCinyear!HY486</f>
        <v>66.997889641222542</v>
      </c>
      <c r="AC974" s="770">
        <f>+FISCinyear!IB486</f>
        <v>77.381789827000006</v>
      </c>
      <c r="AD974" s="770"/>
      <c r="AE974" s="770"/>
    </row>
    <row r="975" spans="1:46" hidden="1">
      <c r="A975" s="1"/>
      <c r="B975" s="1"/>
      <c r="C975" s="1"/>
      <c r="D975" s="746" t="s">
        <v>905</v>
      </c>
      <c r="E975" s="92"/>
      <c r="F975" s="744"/>
      <c r="G975" s="744"/>
      <c r="H975" s="744"/>
      <c r="I975" s="744"/>
      <c r="J975" s="744"/>
      <c r="K975" s="744"/>
      <c r="L975" s="744"/>
      <c r="M975" s="744"/>
      <c r="N975" s="744"/>
      <c r="O975" s="744"/>
      <c r="P975" s="744"/>
      <c r="Q975" s="744"/>
      <c r="R975" s="744"/>
      <c r="S975" s="744"/>
      <c r="T975" s="744"/>
      <c r="U975" s="744"/>
      <c r="V975" s="745"/>
      <c r="W975" s="745"/>
      <c r="X975" s="745"/>
      <c r="Y975" s="745"/>
      <c r="Z975" s="770">
        <f>+Z876-Z974</f>
        <v>59.198848399266346</v>
      </c>
      <c r="AA975" s="770">
        <f>+AA876-AA974</f>
        <v>65.777742788951599</v>
      </c>
      <c r="AB975" s="770">
        <f>+AB876-AB974</f>
        <v>61.501410915837624</v>
      </c>
      <c r="AC975" s="770">
        <f>+AC876-AC974</f>
        <v>72.670963542999999</v>
      </c>
      <c r="AD975" s="770"/>
      <c r="AE975" s="770"/>
    </row>
    <row r="976" spans="1:46" hidden="1">
      <c r="A976" s="1"/>
      <c r="B976" s="1"/>
      <c r="C976" s="1"/>
      <c r="D976" s="746" t="s">
        <v>910</v>
      </c>
      <c r="E976" s="14"/>
      <c r="F976" s="744"/>
      <c r="G976" s="744"/>
      <c r="H976" s="744"/>
      <c r="I976" s="744"/>
      <c r="J976" s="744"/>
      <c r="K976" s="744"/>
      <c r="L976" s="744"/>
      <c r="M976" s="744"/>
      <c r="N976" s="744"/>
      <c r="O976" s="744"/>
      <c r="P976" s="744"/>
      <c r="Q976" s="744"/>
      <c r="R976" s="744"/>
      <c r="S976" s="744"/>
      <c r="T976" s="744"/>
      <c r="U976" s="744"/>
      <c r="V976" s="745"/>
      <c r="W976" s="745"/>
      <c r="X976" s="745"/>
      <c r="Y976" s="745"/>
      <c r="Z976" s="770">
        <f>+FISCinyear!HS532</f>
        <v>48.924417888999997</v>
      </c>
      <c r="AA976" s="770">
        <f>+FISCinyear!HV532</f>
        <v>63.510415028000004</v>
      </c>
      <c r="AB976" s="770">
        <f>+FISCinyear!HY532</f>
        <v>91.860969419000014</v>
      </c>
      <c r="AC976" s="770">
        <f>+FISCinyear!IB532</f>
        <v>92.022713533000001</v>
      </c>
      <c r="AD976" s="770"/>
      <c r="AE976" s="770"/>
    </row>
    <row r="977" spans="1:60" hidden="1">
      <c r="A977" s="1"/>
      <c r="B977" s="1"/>
      <c r="C977" s="1"/>
      <c r="D977" s="746" t="s">
        <v>911</v>
      </c>
      <c r="E977" s="14"/>
      <c r="F977" s="744"/>
      <c r="G977" s="744"/>
      <c r="H977" s="744"/>
      <c r="I977" s="744"/>
      <c r="J977" s="744"/>
      <c r="K977" s="744"/>
      <c r="L977" s="744"/>
      <c r="M977" s="744"/>
      <c r="N977" s="744"/>
      <c r="O977" s="744"/>
      <c r="P977" s="744"/>
      <c r="Q977" s="744"/>
      <c r="R977" s="744"/>
      <c r="S977" s="744"/>
      <c r="T977" s="744"/>
      <c r="U977" s="744"/>
      <c r="V977" s="745"/>
      <c r="W977" s="745"/>
      <c r="X977" s="745"/>
      <c r="Y977" s="745"/>
      <c r="Z977" s="770">
        <f>+Z883-Z976</f>
        <v>40.415582111000006</v>
      </c>
      <c r="AA977" s="770">
        <f>+AA883-AA976</f>
        <v>64.346308629999982</v>
      </c>
      <c r="AB977" s="770">
        <f>+AB883-AB976</f>
        <v>36.290492645</v>
      </c>
      <c r="AC977" s="770">
        <f>+AC883-AC976</f>
        <v>53.747924985999987</v>
      </c>
      <c r="AD977" s="770"/>
      <c r="AE977" s="770"/>
    </row>
    <row r="978" spans="1:60" hidden="1">
      <c r="A978" s="1"/>
      <c r="B978" s="1"/>
      <c r="C978" s="1"/>
      <c r="D978" s="746" t="s">
        <v>908</v>
      </c>
      <c r="E978" s="14"/>
      <c r="F978" s="744"/>
      <c r="G978" s="744"/>
      <c r="H978" s="744"/>
      <c r="I978" s="744"/>
      <c r="J978" s="744"/>
      <c r="K978" s="744"/>
      <c r="L978" s="744"/>
      <c r="M978" s="744"/>
      <c r="N978" s="744"/>
      <c r="O978" s="744"/>
      <c r="P978" s="744"/>
      <c r="Q978" s="744"/>
      <c r="R978" s="744"/>
      <c r="S978" s="744"/>
      <c r="T978" s="744"/>
      <c r="U978" s="744"/>
      <c r="V978" s="745"/>
      <c r="W978" s="745"/>
      <c r="X978" s="745"/>
      <c r="Y978" s="745"/>
      <c r="Z978" s="745"/>
      <c r="AA978" s="745"/>
      <c r="AB978" s="771"/>
      <c r="AC978" s="771"/>
      <c r="AD978" s="770"/>
      <c r="AE978" s="770"/>
    </row>
    <row r="979" spans="1:60" hidden="1">
      <c r="A979" s="1"/>
      <c r="B979" s="1"/>
      <c r="C979" s="1"/>
      <c r="D979" s="746" t="s">
        <v>889</v>
      </c>
      <c r="E979" s="14"/>
      <c r="F979" s="744"/>
      <c r="G979" s="744"/>
      <c r="H979" s="744"/>
      <c r="I979" s="744"/>
      <c r="J979" s="744"/>
      <c r="K979" s="744"/>
      <c r="L979" s="744"/>
      <c r="M979" s="744"/>
      <c r="N979" s="744"/>
      <c r="O979" s="744"/>
      <c r="P979" s="744"/>
      <c r="Q979" s="744"/>
      <c r="R979" s="744"/>
      <c r="S979" s="744"/>
      <c r="T979" s="744"/>
      <c r="U979" s="744"/>
      <c r="V979" s="745"/>
      <c r="W979" s="745"/>
      <c r="X979" s="745"/>
      <c r="Y979" s="745"/>
      <c r="Z979" s="745"/>
      <c r="AA979" s="745"/>
      <c r="AB979" s="771"/>
      <c r="AC979" s="771"/>
      <c r="AD979" s="770"/>
      <c r="AE979" s="770"/>
    </row>
    <row r="980" spans="1:60" hidden="1">
      <c r="A980" s="1"/>
      <c r="B980" s="1"/>
      <c r="C980" s="1"/>
      <c r="D980" s="746" t="s">
        <v>912</v>
      </c>
      <c r="E980" s="14"/>
      <c r="F980" s="744"/>
      <c r="G980" s="744"/>
      <c r="H980" s="744"/>
      <c r="I980" s="744"/>
      <c r="J980" s="744"/>
      <c r="K980" s="744"/>
      <c r="L980" s="744"/>
      <c r="M980" s="744"/>
      <c r="N980" s="744"/>
      <c r="O980" s="744"/>
      <c r="P980" s="744"/>
      <c r="Q980" s="744"/>
      <c r="R980" s="744"/>
      <c r="S980" s="744"/>
      <c r="T980" s="744"/>
      <c r="U980" s="744"/>
      <c r="V980" s="745"/>
      <c r="W980" s="745"/>
      <c r="X980" s="745"/>
      <c r="Y980" s="745"/>
      <c r="Z980" s="745"/>
      <c r="AA980" s="745"/>
      <c r="AB980" s="771"/>
      <c r="AC980" s="771"/>
      <c r="AD980" s="770"/>
      <c r="AE980" s="770"/>
    </row>
    <row r="981" spans="1:60" hidden="1">
      <c r="A981" s="1"/>
      <c r="B981" s="1"/>
      <c r="C981" s="1"/>
      <c r="D981" s="746" t="s">
        <v>909</v>
      </c>
      <c r="E981" s="14"/>
      <c r="F981" s="744"/>
      <c r="G981" s="744"/>
      <c r="H981" s="744"/>
      <c r="I981" s="744"/>
      <c r="J981" s="744"/>
      <c r="K981" s="744"/>
      <c r="L981" s="744"/>
      <c r="M981" s="744"/>
      <c r="N981" s="744"/>
      <c r="O981" s="744"/>
      <c r="P981" s="744"/>
      <c r="Q981" s="744"/>
      <c r="R981" s="744"/>
      <c r="S981" s="744"/>
      <c r="T981" s="744"/>
      <c r="U981" s="744"/>
      <c r="V981" s="745"/>
      <c r="W981" s="745"/>
      <c r="X981" s="745"/>
      <c r="Y981" s="745"/>
      <c r="Z981" s="745"/>
      <c r="AA981" s="745"/>
      <c r="AB981" s="771"/>
      <c r="AC981" s="771"/>
      <c r="AD981" s="770"/>
      <c r="AE981" s="770"/>
    </row>
    <row r="982" spans="1:60" hidden="1">
      <c r="A982" s="1"/>
      <c r="B982" s="1"/>
      <c r="C982" s="1"/>
      <c r="D982" s="586" t="s">
        <v>776</v>
      </c>
      <c r="E982" s="14"/>
      <c r="F982" s="14"/>
      <c r="G982" s="14"/>
      <c r="H982" s="14"/>
      <c r="I982" s="14"/>
      <c r="J982" s="14"/>
      <c r="K982" s="14"/>
      <c r="L982" s="14"/>
      <c r="M982" s="14"/>
      <c r="N982" s="14"/>
      <c r="O982" s="14"/>
      <c r="P982" s="14"/>
      <c r="Q982" s="14"/>
      <c r="R982" s="14"/>
      <c r="S982" s="14"/>
      <c r="T982" s="14"/>
      <c r="U982" s="14"/>
      <c r="V982" s="14"/>
      <c r="W982" s="14"/>
      <c r="X982" s="14"/>
      <c r="Y982" s="14"/>
      <c r="Z982" s="14"/>
      <c r="AA982" s="14"/>
      <c r="AB982" s="14"/>
      <c r="AC982" s="14"/>
      <c r="AD982" s="14"/>
      <c r="AE982" s="14"/>
    </row>
    <row r="983" spans="1:60">
      <c r="A983" s="1"/>
      <c r="B983" s="1"/>
      <c r="C983" s="1"/>
      <c r="D983" s="586"/>
      <c r="E983" s="14"/>
      <c r="F983" s="14"/>
      <c r="G983" s="14"/>
      <c r="H983" s="14"/>
      <c r="I983" s="14"/>
      <c r="J983" s="14"/>
      <c r="K983" s="14"/>
      <c r="L983" s="14"/>
      <c r="M983" s="14"/>
      <c r="N983" s="14"/>
      <c r="O983" s="14"/>
      <c r="P983" s="14"/>
      <c r="Q983" s="14"/>
      <c r="R983" s="14"/>
      <c r="S983" s="14"/>
      <c r="T983" s="14"/>
      <c r="U983" s="14"/>
      <c r="V983" s="14"/>
      <c r="W983" s="14"/>
      <c r="X983" s="14"/>
      <c r="Y983" s="14"/>
      <c r="Z983" s="14"/>
      <c r="AA983" s="14"/>
      <c r="AB983" s="14"/>
      <c r="AC983" s="14"/>
      <c r="AD983" s="14"/>
      <c r="AE983" s="14"/>
      <c r="AI983" s="1">
        <f t="shared" ref="AI983:AN983" si="1218">AI998/AH998-1</f>
        <v>0.11686225165018738</v>
      </c>
      <c r="AJ983" s="1">
        <f t="shared" si="1218"/>
        <v>0.54447452261407148</v>
      </c>
      <c r="AK983" s="1">
        <f t="shared" si="1218"/>
        <v>5.5340775105229723E-2</v>
      </c>
      <c r="AL983" s="1">
        <f t="shared" si="1218"/>
        <v>0.13914151827661758</v>
      </c>
      <c r="AM983" s="1">
        <f t="shared" si="1218"/>
        <v>9.3826839724733935E-2</v>
      </c>
      <c r="AN983" s="1">
        <f t="shared" si="1218"/>
        <v>6.4225584605305475E-2</v>
      </c>
      <c r="AO983" s="1">
        <f>AO998/AN998-1</f>
        <v>0.12813141301783171</v>
      </c>
    </row>
    <row r="984" spans="1:60" ht="14.25" customHeight="1">
      <c r="A984" s="1"/>
      <c r="B984" s="1"/>
      <c r="C984" s="1"/>
      <c r="D984" s="487" t="s">
        <v>3330</v>
      </c>
      <c r="E984" s="14"/>
      <c r="F984" s="14"/>
      <c r="G984" s="14"/>
      <c r="H984" s="14"/>
      <c r="I984" s="14"/>
      <c r="J984" s="14"/>
      <c r="K984" s="14"/>
      <c r="L984" s="14"/>
      <c r="M984" s="14"/>
      <c r="N984" s="14"/>
      <c r="O984" s="14"/>
      <c r="P984" s="14"/>
      <c r="Q984" s="14"/>
      <c r="R984" s="14"/>
      <c r="S984" s="14"/>
      <c r="T984" s="14"/>
      <c r="U984" s="14"/>
      <c r="V984" s="14"/>
      <c r="W984" s="14"/>
      <c r="X984" s="14"/>
      <c r="Y984" s="14"/>
      <c r="Z984" s="14"/>
      <c r="AA984" s="14"/>
      <c r="AB984" s="14"/>
      <c r="AC984" s="14"/>
      <c r="AD984" s="14"/>
      <c r="AE984" s="1797" t="s">
        <v>3294</v>
      </c>
      <c r="AF984" s="1798" t="s">
        <v>3298</v>
      </c>
      <c r="AG984" s="1799" t="s">
        <v>3295</v>
      </c>
      <c r="AH984" s="127" t="s">
        <v>3296</v>
      </c>
      <c r="AI984" s="127" t="s">
        <v>3297</v>
      </c>
    </row>
    <row r="985" spans="1:60" ht="14.25" customHeight="1">
      <c r="A985" s="1"/>
      <c r="B985" s="1"/>
      <c r="C985" s="1"/>
      <c r="D985" s="377" t="str">
        <f>+FISCinyear!D663</f>
        <v>III.2 FISCAL  "TOFE" GFS 2014 PRESENTATION - detailed TOFE</v>
      </c>
      <c r="E985" s="310"/>
      <c r="F985" s="310"/>
      <c r="G985" s="310"/>
      <c r="H985" s="388"/>
      <c r="I985" s="388" t="str">
        <f t="shared" ref="I985:AT985" si="1219">I401</f>
        <v>1997/98</v>
      </c>
      <c r="J985" s="388" t="str">
        <f t="shared" si="1219"/>
        <v>1998/99</v>
      </c>
      <c r="K985" s="388" t="str">
        <f t="shared" si="1219"/>
        <v>1999/00</v>
      </c>
      <c r="L985" s="388" t="str">
        <f t="shared" si="1219"/>
        <v>2000/01</v>
      </c>
      <c r="M985" s="388" t="str">
        <f t="shared" si="1219"/>
        <v>2001/02</v>
      </c>
      <c r="N985" s="388" t="str">
        <f t="shared" si="1219"/>
        <v>2002/03</v>
      </c>
      <c r="O985" s="388" t="str">
        <f t="shared" si="1219"/>
        <v>2003/04</v>
      </c>
      <c r="P985" s="388" t="str">
        <f t="shared" si="1219"/>
        <v>2004/05</v>
      </c>
      <c r="Q985" s="388" t="str">
        <f t="shared" si="1219"/>
        <v>2005/06</v>
      </c>
      <c r="R985" s="388" t="str">
        <f t="shared" si="1219"/>
        <v>2006/07</v>
      </c>
      <c r="S985" s="388" t="str">
        <f t="shared" si="1219"/>
        <v>2007/08</v>
      </c>
      <c r="T985" s="388" t="str">
        <f t="shared" si="1219"/>
        <v>2008/09</v>
      </c>
      <c r="U985" s="388" t="str">
        <f t="shared" si="1219"/>
        <v>2009/10</v>
      </c>
      <c r="V985" s="388" t="str">
        <f t="shared" si="1219"/>
        <v>2010/11</v>
      </c>
      <c r="W985" s="388" t="str">
        <f t="shared" si="1219"/>
        <v>2011/12</v>
      </c>
      <c r="X985" s="388" t="str">
        <f t="shared" si="1219"/>
        <v>2012/13</v>
      </c>
      <c r="Y985" s="388" t="str">
        <f t="shared" si="1219"/>
        <v>2013/14</v>
      </c>
      <c r="Z985" s="388" t="str">
        <f t="shared" si="1219"/>
        <v>2014/15</v>
      </c>
      <c r="AA985" s="388" t="str">
        <f t="shared" si="1219"/>
        <v>2015/16</v>
      </c>
      <c r="AB985" s="388" t="str">
        <f t="shared" si="1219"/>
        <v>2016/17</v>
      </c>
      <c r="AC985" s="388" t="str">
        <f t="shared" si="1219"/>
        <v>2017/18</v>
      </c>
      <c r="AD985" s="388" t="str">
        <f t="shared" si="1219"/>
        <v>2018/19</v>
      </c>
      <c r="AE985" s="388" t="str">
        <f t="shared" si="1219"/>
        <v>2019/20</v>
      </c>
      <c r="AF985" s="388" t="str">
        <f t="shared" si="1219"/>
        <v>2020/21</v>
      </c>
      <c r="AG985" s="388" t="str">
        <f t="shared" si="1219"/>
        <v>2021/22</v>
      </c>
      <c r="AH985" s="388" t="str">
        <f t="shared" si="1219"/>
        <v>2022/23</v>
      </c>
      <c r="AI985" s="388" t="str">
        <f t="shared" si="1219"/>
        <v>2023/24</v>
      </c>
      <c r="AJ985" s="388" t="str">
        <f t="shared" si="1219"/>
        <v>2024/25</v>
      </c>
      <c r="AK985" s="388" t="str">
        <f t="shared" si="1219"/>
        <v>2025/26</v>
      </c>
      <c r="AL985" s="388" t="str">
        <f t="shared" si="1219"/>
        <v>2026/27</v>
      </c>
      <c r="AM985" s="388" t="str">
        <f t="shared" si="1219"/>
        <v>2027/28</v>
      </c>
      <c r="AN985" s="388" t="str">
        <f t="shared" si="1219"/>
        <v>2028/29</v>
      </c>
      <c r="AO985" s="388" t="str">
        <f t="shared" si="1219"/>
        <v>2029/30</v>
      </c>
      <c r="AP985" s="388" t="str">
        <f t="shared" si="1219"/>
        <v>2030/31</v>
      </c>
      <c r="AQ985" s="388" t="str">
        <f t="shared" si="1219"/>
        <v>2031/32</v>
      </c>
      <c r="AR985" s="388" t="str">
        <f t="shared" si="1219"/>
        <v>2032/33</v>
      </c>
      <c r="AS985" s="388" t="str">
        <f t="shared" si="1219"/>
        <v>2033/34</v>
      </c>
      <c r="AT985" s="388" t="str">
        <f t="shared" si="1219"/>
        <v>2034/35</v>
      </c>
      <c r="AU985" s="1051"/>
      <c r="AV985" s="1051"/>
      <c r="AW985" s="1051"/>
      <c r="AX985" s="1051"/>
    </row>
    <row r="986" spans="1:60" ht="14.25" customHeight="1">
      <c r="A986" s="1"/>
      <c r="B986" s="1"/>
      <c r="C986" s="1"/>
      <c r="D986" s="378"/>
      <c r="E986" s="302"/>
      <c r="F986" s="302"/>
      <c r="G986" s="302"/>
      <c r="H986" s="302"/>
      <c r="I986" s="302"/>
      <c r="J986" s="302"/>
      <c r="K986" s="302"/>
      <c r="L986" s="302"/>
      <c r="M986" s="302"/>
      <c r="N986" s="302"/>
      <c r="O986" s="302"/>
      <c r="P986" s="302"/>
      <c r="Q986" s="302"/>
      <c r="R986" s="695"/>
      <c r="S986" s="302"/>
      <c r="T986" s="302"/>
      <c r="U986" s="302"/>
      <c r="V986" s="302"/>
      <c r="W986" s="302"/>
      <c r="X986" s="302">
        <f t="shared" ref="X986:AC986" si="1220">X989-W989</f>
        <v>53.53795364000004</v>
      </c>
      <c r="Y986" s="302">
        <f>Y989-X989</f>
        <v>445.95582108419995</v>
      </c>
      <c r="Z986" s="302">
        <f t="shared" si="1220"/>
        <v>102.24400561560014</v>
      </c>
      <c r="AA986" s="302">
        <f t="shared" si="1220"/>
        <v>170.12946904617547</v>
      </c>
      <c r="AB986" s="302">
        <f t="shared" si="1220"/>
        <v>52.05330683023999</v>
      </c>
      <c r="AC986" s="302">
        <f t="shared" si="1220"/>
        <v>146.55288624431205</v>
      </c>
      <c r="AD986" s="302">
        <f>AD989-AC989</f>
        <v>203.54881595834968</v>
      </c>
      <c r="AE986" s="302">
        <f t="shared" ref="AE986:AG986" si="1221">AE989-AD989</f>
        <v>73.08645586945886</v>
      </c>
      <c r="AF986" s="302">
        <f t="shared" si="1221"/>
        <v>146.08056820849879</v>
      </c>
      <c r="AG986" s="302">
        <f t="shared" si="1221"/>
        <v>255.08430865202718</v>
      </c>
      <c r="AH986" s="302">
        <f>AH989-AG989</f>
        <v>410.59820566387816</v>
      </c>
      <c r="AI986" s="302">
        <f t="shared" ref="AI986:AN986" si="1222">AI989-AH989</f>
        <v>305.9497275925869</v>
      </c>
      <c r="AJ986" s="302">
        <f t="shared" si="1222"/>
        <v>513.07847559467291</v>
      </c>
      <c r="AK986" s="302">
        <f t="shared" si="1222"/>
        <v>601.79999999999973</v>
      </c>
      <c r="AL986" s="302">
        <f t="shared" si="1222"/>
        <v>729.69999999999982</v>
      </c>
      <c r="AM986" s="302">
        <f>AM989-AL989</f>
        <v>699.60000000000036</v>
      </c>
      <c r="AN986" s="302">
        <f t="shared" si="1222"/>
        <v>712.39999999999964</v>
      </c>
      <c r="AO986" s="302">
        <f>AO989-AN989</f>
        <v>765.97705221360138</v>
      </c>
      <c r="AP986" s="302"/>
      <c r="AQ986" s="302"/>
      <c r="AR986" s="302"/>
      <c r="AS986" s="302"/>
      <c r="AT986" s="302"/>
      <c r="AV986" s="2168"/>
      <c r="AW986" s="2168"/>
      <c r="AX986" s="2168"/>
      <c r="AY986" s="2168"/>
      <c r="AZ986" s="2168"/>
      <c r="BA986" s="2168"/>
    </row>
    <row r="987" spans="1:60" ht="14.25" customHeight="1">
      <c r="A987" s="1"/>
      <c r="B987" s="1"/>
      <c r="C987" s="1"/>
      <c r="D987" s="379" t="str">
        <f>+D985</f>
        <v>III.2 FISCAL  "TOFE" GFS 2014 PRESENTATION - detailed TOFE</v>
      </c>
      <c r="E987" s="1438"/>
      <c r="F987" s="346"/>
      <c r="G987" s="346"/>
      <c r="H987" s="346"/>
      <c r="I987" s="346"/>
      <c r="J987" s="346"/>
      <c r="K987" s="346"/>
      <c r="L987" s="346"/>
      <c r="M987" s="346"/>
      <c r="N987" s="346"/>
      <c r="O987" s="346"/>
      <c r="P987" s="346"/>
      <c r="Q987" s="346"/>
      <c r="R987" s="346"/>
      <c r="S987" s="346"/>
      <c r="T987" s="346"/>
      <c r="U987" s="346"/>
      <c r="V987" s="393" t="s">
        <v>194</v>
      </c>
      <c r="W987" s="393" t="s">
        <v>195</v>
      </c>
      <c r="X987" s="393" t="s">
        <v>196</v>
      </c>
      <c r="Y987" s="393" t="s">
        <v>197</v>
      </c>
      <c r="Z987" s="393" t="s">
        <v>198</v>
      </c>
      <c r="AA987" s="393" t="s">
        <v>199</v>
      </c>
      <c r="AB987" s="393" t="s">
        <v>200</v>
      </c>
      <c r="AC987" s="393" t="s">
        <v>201</v>
      </c>
      <c r="AD987" s="393" t="s">
        <v>202</v>
      </c>
      <c r="AE987" s="393" t="s">
        <v>203</v>
      </c>
      <c r="AF987" s="393" t="str">
        <f t="shared" ref="AF987:AT987" si="1223">AF401</f>
        <v>2020/21</v>
      </c>
      <c r="AG987" s="393" t="str">
        <f t="shared" si="1223"/>
        <v>2021/22</v>
      </c>
      <c r="AH987" s="393" t="str">
        <f t="shared" si="1223"/>
        <v>2022/23</v>
      </c>
      <c r="AI987" s="393" t="str">
        <f t="shared" si="1223"/>
        <v>2023/24</v>
      </c>
      <c r="AJ987" s="393" t="str">
        <f t="shared" si="1223"/>
        <v>2024/25</v>
      </c>
      <c r="AK987" s="393" t="str">
        <f t="shared" si="1223"/>
        <v>2025/26</v>
      </c>
      <c r="AL987" s="393" t="str">
        <f t="shared" si="1223"/>
        <v>2026/27</v>
      </c>
      <c r="AM987" s="393" t="str">
        <f t="shared" si="1223"/>
        <v>2027/28</v>
      </c>
      <c r="AN987" s="393" t="str">
        <f t="shared" si="1223"/>
        <v>2028/29</v>
      </c>
      <c r="AO987" s="393" t="str">
        <f t="shared" si="1223"/>
        <v>2029/30</v>
      </c>
      <c r="AP987" s="393" t="str">
        <f t="shared" si="1223"/>
        <v>2030/31</v>
      </c>
      <c r="AQ987" s="393" t="str">
        <f t="shared" si="1223"/>
        <v>2031/32</v>
      </c>
      <c r="AR987" s="393" t="str">
        <f t="shared" si="1223"/>
        <v>2032/33</v>
      </c>
      <c r="AS987" s="393" t="str">
        <f t="shared" si="1223"/>
        <v>2033/34</v>
      </c>
      <c r="AT987" s="393" t="str">
        <f t="shared" si="1223"/>
        <v>2034/35</v>
      </c>
    </row>
    <row r="988" spans="1:60" ht="14.25" customHeight="1">
      <c r="A988" s="1"/>
      <c r="B988" s="1"/>
      <c r="C988" s="1"/>
      <c r="D988" s="379" t="s">
        <v>657</v>
      </c>
      <c r="E988" s="1438"/>
      <c r="F988" s="346"/>
      <c r="G988" s="346"/>
      <c r="H988" s="346"/>
      <c r="I988" s="346"/>
      <c r="J988" s="346"/>
      <c r="K988" s="346"/>
      <c r="L988" s="346"/>
      <c r="M988" s="346"/>
      <c r="N988" s="346"/>
      <c r="O988" s="346"/>
      <c r="P988" s="346"/>
      <c r="Q988" s="346"/>
      <c r="R988" s="346"/>
      <c r="S988" s="346"/>
      <c r="T988" s="346"/>
      <c r="U988" s="346"/>
      <c r="V988" s="400">
        <f>+V989+V1039+V1052</f>
        <v>580.54850257600003</v>
      </c>
      <c r="W988" s="400">
        <f>+W989+W1039+W1052</f>
        <v>720.6</v>
      </c>
      <c r="X988" s="400">
        <f>+X989+X1039+X1052</f>
        <v>731.43795363999993</v>
      </c>
      <c r="Y988" s="1596">
        <f>FISCinyear!HR666</f>
        <v>1338.7904887842926</v>
      </c>
      <c r="Z988" s="1596">
        <f>FISCinyear!HU666</f>
        <v>1418.7067005752942</v>
      </c>
      <c r="AA988" s="1596">
        <f>FISCinyear!HX666</f>
        <v>1541.6771034459716</v>
      </c>
      <c r="AB988" s="1649">
        <f>FISCinyear!IA666</f>
        <v>1615.7619294919559</v>
      </c>
      <c r="AC988" s="1649">
        <f>FISCinyear!ID666</f>
        <v>1820.4124327910467</v>
      </c>
      <c r="AD988" s="1649">
        <f>FISCinyear!IG666</f>
        <v>2065.0273714377413</v>
      </c>
      <c r="AE988" s="1649">
        <f>FISCinyear!IJ666+AE1071</f>
        <v>2203.0901479640534</v>
      </c>
      <c r="AF988" s="1649">
        <f>FISCinyear!IM666</f>
        <v>2568.1911970880878</v>
      </c>
      <c r="AG988" s="1649">
        <f>FISCinyear!IP666</f>
        <v>3102.1830053361036</v>
      </c>
      <c r="AH988" s="1649">
        <f>FISCinyear!IS666</f>
        <v>3399.5671834663381</v>
      </c>
      <c r="AI988" s="1649">
        <f>FISCinyear!IV666</f>
        <v>3811.1283616710434</v>
      </c>
      <c r="AJ988" s="1649">
        <f>+AJ989+AJ1039+AJ1052</f>
        <v>4285.1164925549401</v>
      </c>
      <c r="AK988" s="1649">
        <f t="shared" ref="AK988:AT988" si="1224">+AK989+AK1039+AK1052</f>
        <v>4837.8437108979124</v>
      </c>
      <c r="AL988" s="1649">
        <f t="shared" si="1224"/>
        <v>5705.8830961787326</v>
      </c>
      <c r="AM988" s="1649">
        <f t="shared" si="1224"/>
        <v>6570.0178541537625</v>
      </c>
      <c r="AN988" s="1649">
        <f t="shared" si="1224"/>
        <v>7415.2400973101112</v>
      </c>
      <c r="AO988" s="1649">
        <f t="shared" si="1224"/>
        <v>8370.7330940902393</v>
      </c>
      <c r="AP988" s="1649">
        <f t="shared" si="1224"/>
        <v>8443.2979447718208</v>
      </c>
      <c r="AQ988" s="1649">
        <f t="shared" si="1224"/>
        <v>8958.2226646610925</v>
      </c>
      <c r="AR988" s="1649">
        <f t="shared" si="1224"/>
        <v>10564.972235893398</v>
      </c>
      <c r="AS988" s="1649">
        <f t="shared" si="1224"/>
        <v>-16563.614266501078</v>
      </c>
      <c r="AT988" s="1649">
        <f t="shared" si="1224"/>
        <v>-36715.954904102837</v>
      </c>
      <c r="AU988" s="2168"/>
      <c r="AV988" s="2168"/>
      <c r="AW988" s="2168"/>
      <c r="AX988" s="2168"/>
      <c r="AY988" s="2168"/>
      <c r="AZ988" s="2168"/>
      <c r="BA988" s="2168"/>
      <c r="BB988" s="2168"/>
      <c r="BC988" s="2168"/>
      <c r="BD988" s="2168"/>
      <c r="BE988" s="2168"/>
      <c r="BF988" s="2168"/>
      <c r="BG988" s="2168"/>
      <c r="BH988" s="2167"/>
    </row>
    <row r="989" spans="1:60" ht="14.25" customHeight="1">
      <c r="A989" s="1"/>
      <c r="B989" s="1"/>
      <c r="C989" s="1"/>
      <c r="D989" s="1436" t="str">
        <f>+FISCinyear!D667</f>
        <v xml:space="preserve">Taxes </v>
      </c>
      <c r="E989" s="1438"/>
      <c r="F989" s="346"/>
      <c r="G989" s="346"/>
      <c r="H989" s="346"/>
      <c r="I989" s="346"/>
      <c r="J989" s="346"/>
      <c r="K989" s="346"/>
      <c r="L989" s="346"/>
      <c r="M989" s="346"/>
      <c r="N989" s="346"/>
      <c r="O989" s="346"/>
      <c r="P989" s="346"/>
      <c r="Q989" s="346"/>
      <c r="R989" s="346"/>
      <c r="S989" s="346"/>
      <c r="T989" s="346"/>
      <c r="U989" s="346"/>
      <c r="V989" s="1597">
        <f>V990+V995+V996+V1003+V1019+V1028</f>
        <v>180.9</v>
      </c>
      <c r="W989" s="1597">
        <f>W990+W995+W996+W1003+W1019+W1028</f>
        <v>228.49999999999997</v>
      </c>
      <c r="X989" s="1597">
        <f>X990+X995+X996+X1003+X1019+X1028</f>
        <v>282.03795364000001</v>
      </c>
      <c r="Y989" s="1598">
        <f>FISCinyear!HR667</f>
        <v>727.99377472419997</v>
      </c>
      <c r="Z989" s="1598">
        <f>FISCinyear!HU667</f>
        <v>830.23778033980011</v>
      </c>
      <c r="AA989" s="1598">
        <f>FISCinyear!HX667</f>
        <v>1000.3672493859756</v>
      </c>
      <c r="AB989" s="1598">
        <f>FISCinyear!IA667</f>
        <v>1052.4205562162156</v>
      </c>
      <c r="AC989" s="1598">
        <f>FISCinyear!ID667</f>
        <v>1198.9734424605276</v>
      </c>
      <c r="AD989" s="1598">
        <f>FISCinyear!IG667</f>
        <v>1402.5222584188773</v>
      </c>
      <c r="AE989" s="1598">
        <f>FISCinyear!IJ667</f>
        <v>1475.6087142883362</v>
      </c>
      <c r="AF989" s="1598">
        <f>FISCinyear!IM667</f>
        <v>1621.6892824968349</v>
      </c>
      <c r="AG989" s="1598">
        <f>FISCinyear!IP667</f>
        <v>1876.7735911488621</v>
      </c>
      <c r="AH989" s="1598">
        <f>FISCinyear!IS667</f>
        <v>2287.3717968127403</v>
      </c>
      <c r="AI989" s="1598">
        <f>FISCinyear!IV667</f>
        <v>2593.3215244053272</v>
      </c>
      <c r="AJ989" s="1998">
        <f>AJ990+AJ995+AJ996+AJ1003+AJ1019+AJ1028</f>
        <v>3106.4</v>
      </c>
      <c r="AK989" s="1660">
        <f>AK990+AK995+AK996+AK1003+AK1019+AK1028</f>
        <v>3708.2</v>
      </c>
      <c r="AL989" s="1660">
        <f t="shared" ref="AL989:AT989" si="1225">AL990+AL995+AL996+AL1003+AL1019+AL1028</f>
        <v>4437.8999999999996</v>
      </c>
      <c r="AM989" s="1660">
        <f t="shared" si="1225"/>
        <v>5137.5</v>
      </c>
      <c r="AN989" s="1660">
        <f t="shared" si="1225"/>
        <v>5849.9</v>
      </c>
      <c r="AO989" s="1660">
        <f t="shared" si="1225"/>
        <v>6615.877052213601</v>
      </c>
      <c r="AP989" s="1660">
        <f t="shared" si="1225"/>
        <v>7122.2991396235957</v>
      </c>
      <c r="AQ989" s="1660">
        <f t="shared" si="1225"/>
        <v>7569.7524997314322</v>
      </c>
      <c r="AR989" s="1660">
        <f t="shared" si="1225"/>
        <v>8955.8742594997129</v>
      </c>
      <c r="AS989" s="1660">
        <f t="shared" si="1225"/>
        <v>-16630.442801596197</v>
      </c>
      <c r="AT989" s="1660">
        <f t="shared" si="1225"/>
        <v>-35355.225699708979</v>
      </c>
      <c r="AU989" s="2167"/>
      <c r="AV989" s="2168"/>
      <c r="AW989" s="2168"/>
      <c r="AX989" s="2168"/>
      <c r="AY989" s="2168"/>
      <c r="AZ989" s="2168"/>
      <c r="BA989" s="2168"/>
      <c r="BB989" s="2168"/>
      <c r="BC989" s="2168"/>
      <c r="BD989" s="2168"/>
      <c r="BE989" s="2168"/>
      <c r="BF989" s="2168"/>
      <c r="BG989" s="2168"/>
      <c r="BH989" s="2167"/>
    </row>
    <row r="990" spans="1:60" ht="14.25" customHeight="1">
      <c r="A990" s="1"/>
      <c r="B990" s="1"/>
      <c r="C990" s="1437">
        <v>111</v>
      </c>
      <c r="D990" s="381" t="str">
        <f>+FISCinyear!D668</f>
        <v xml:space="preserve">Taxes on income, profits, and capital gains </v>
      </c>
      <c r="E990" s="1438"/>
      <c r="F990" s="346"/>
      <c r="G990" s="346"/>
      <c r="H990" s="346"/>
      <c r="I990" s="346"/>
      <c r="J990" s="346"/>
      <c r="K990" s="346"/>
      <c r="L990" s="346"/>
      <c r="M990" s="346"/>
      <c r="N990" s="346"/>
      <c r="O990" s="346"/>
      <c r="P990" s="346"/>
      <c r="Q990" s="346"/>
      <c r="R990" s="346"/>
      <c r="S990" s="346"/>
      <c r="T990" s="346"/>
      <c r="U990" s="346"/>
      <c r="V990" s="399">
        <f>V991+V993+V994</f>
        <v>180.9</v>
      </c>
      <c r="W990" s="399">
        <f>W991+W993+W994</f>
        <v>228.49999999999997</v>
      </c>
      <c r="X990" s="399">
        <f>X991+X993+X994</f>
        <v>282.03795364000001</v>
      </c>
      <c r="Y990" s="1596">
        <f>FISCinyear!HR668</f>
        <v>287.88498083000002</v>
      </c>
      <c r="Z990" s="1596">
        <f>FISCinyear!HU668</f>
        <v>341.91875787000004</v>
      </c>
      <c r="AA990" s="1596">
        <f>FISCinyear!HX668</f>
        <v>406.98706483391464</v>
      </c>
      <c r="AB990" s="1596">
        <f>FISCinyear!IA668</f>
        <v>421.11287171799745</v>
      </c>
      <c r="AC990" s="1596">
        <f>FISCinyear!ID668</f>
        <v>471.42647422296494</v>
      </c>
      <c r="AD990" s="1596">
        <f>FISCinyear!IG668</f>
        <v>595.37385272420011</v>
      </c>
      <c r="AE990" s="1596">
        <f>FISCinyear!IJ668</f>
        <v>641.47554394712381</v>
      </c>
      <c r="AF990" s="1596">
        <f>FISCinyear!IM668</f>
        <v>702.55260756047778</v>
      </c>
      <c r="AG990" s="1596">
        <f>FISCinyear!IP668</f>
        <v>853.55684608539536</v>
      </c>
      <c r="AH990" s="1596">
        <f>FISCinyear!IS668</f>
        <v>1022.742125332979</v>
      </c>
      <c r="AI990" s="1596">
        <f>FISCinyear!IV668</f>
        <v>1178.5718488090074</v>
      </c>
      <c r="AJ990" s="1660">
        <f>AJ991+AJ993+AJ994</f>
        <v>1371.9398817794195</v>
      </c>
      <c r="AK990" s="1660">
        <f>AK991+AK993+AK994</f>
        <v>1610.6970079467897</v>
      </c>
      <c r="AL990" s="1660">
        <f t="shared" ref="AL990:AT990" si="1226">AL991+AL993+AL994</f>
        <v>1935.0525655316769</v>
      </c>
      <c r="AM990" s="1660">
        <f t="shared" si="1226"/>
        <v>2226.3597745522857</v>
      </c>
      <c r="AN990" s="1660">
        <f>AN991+AN993+AN994</f>
        <v>2523.2075079281144</v>
      </c>
      <c r="AO990" s="1660">
        <f t="shared" si="1226"/>
        <v>2891.7285907952487</v>
      </c>
      <c r="AP990" s="1660">
        <f t="shared" si="1226"/>
        <v>3137.4541350984455</v>
      </c>
      <c r="AQ990" s="1660">
        <f t="shared" si="1226"/>
        <v>3330.0865311136813</v>
      </c>
      <c r="AR990" s="1660">
        <f t="shared" si="1226"/>
        <v>3989.6034699000038</v>
      </c>
      <c r="AS990" s="1660">
        <f t="shared" si="1226"/>
        <v>-3799.3032228121492</v>
      </c>
      <c r="AT990" s="1660">
        <f t="shared" si="1226"/>
        <v>-10731.495315936245</v>
      </c>
      <c r="AV990" s="2168"/>
      <c r="AW990" s="2168"/>
      <c r="AX990" s="2168"/>
      <c r="AY990" s="2168"/>
      <c r="AZ990" s="2168"/>
      <c r="BA990" s="2168"/>
      <c r="BB990" s="2168"/>
      <c r="BC990" s="2168"/>
      <c r="BD990" s="2168"/>
      <c r="BE990" s="2168"/>
      <c r="BF990" s="2168"/>
      <c r="BG990" s="2168"/>
      <c r="BH990" s="2167"/>
    </row>
    <row r="991" spans="1:60" ht="14.25" customHeight="1">
      <c r="A991" s="1"/>
      <c r="B991" s="1"/>
      <c r="C991" s="1"/>
      <c r="D991" s="383" t="s">
        <v>496</v>
      </c>
      <c r="E991" s="1438" t="s">
        <v>30</v>
      </c>
      <c r="F991" s="346"/>
      <c r="G991" s="346"/>
      <c r="H991" s="346"/>
      <c r="I991" s="346"/>
      <c r="J991" s="346"/>
      <c r="K991" s="346"/>
      <c r="L991" s="346"/>
      <c r="M991" s="346"/>
      <c r="N991" s="346"/>
      <c r="O991" s="346"/>
      <c r="P991" s="346"/>
      <c r="Q991" s="346"/>
      <c r="R991" s="346"/>
      <c r="S991" s="346"/>
      <c r="T991" s="346"/>
      <c r="U991" s="346"/>
      <c r="V991" s="126">
        <v>180.9</v>
      </c>
      <c r="W991" s="126">
        <v>228.49999999999997</v>
      </c>
      <c r="X991" s="126">
        <v>282.03795364000001</v>
      </c>
      <c r="Y991" s="707">
        <f>FISCinyear!HR669</f>
        <v>234.45272019200002</v>
      </c>
      <c r="Z991" s="707">
        <f>FISCinyear!HU669</f>
        <v>266.64751284800002</v>
      </c>
      <c r="AA991" s="707">
        <f>FISCinyear!HX669</f>
        <v>327.02110623809989</v>
      </c>
      <c r="AB991" s="707">
        <f>FISCinyear!IA669</f>
        <v>341.59338723121795</v>
      </c>
      <c r="AC991" s="707">
        <f>FISCinyear!ID669</f>
        <v>373.31310573251915</v>
      </c>
      <c r="AD991" s="707">
        <f>FISCinyear!IG669</f>
        <v>320.90121919213806</v>
      </c>
      <c r="AE991" s="707">
        <f>FISCinyear!IJ669</f>
        <v>501.71997872411737</v>
      </c>
      <c r="AF991" s="707">
        <f>FISCinyear!IM669</f>
        <v>552.97350271286916</v>
      </c>
      <c r="AG991" s="707">
        <f>FISCinyear!IP669</f>
        <v>653.12490821150595</v>
      </c>
      <c r="AH991" s="707">
        <f>FISCinyear!IS669</f>
        <v>746.05342489910493</v>
      </c>
      <c r="AI991" s="707">
        <f>FISCinyear!IV669</f>
        <v>845.72964406597964</v>
      </c>
      <c r="AJ991" s="1999">
        <f t="shared" ref="AJ991:AT991" si="1227">AJ404*AJ420</f>
        <v>642.35804996052673</v>
      </c>
      <c r="AK991" s="126">
        <f t="shared" si="1227"/>
        <v>707.24637872609651</v>
      </c>
      <c r="AL991" s="126">
        <f t="shared" si="1227"/>
        <v>812.78259922695247</v>
      </c>
      <c r="AM991" s="126">
        <f t="shared" si="1227"/>
        <v>918.04095672259882</v>
      </c>
      <c r="AN991" s="126">
        <f t="shared" si="1227"/>
        <v>1055.4175547032708</v>
      </c>
      <c r="AO991" s="126">
        <f t="shared" si="1227"/>
        <v>1195.1086178114765</v>
      </c>
      <c r="AP991" s="126">
        <f t="shared" si="1227"/>
        <v>1304.2791258326586</v>
      </c>
      <c r="AQ991" s="126">
        <f t="shared" si="1227"/>
        <v>1392.3790128555474</v>
      </c>
      <c r="AR991" s="126">
        <f t="shared" si="1227"/>
        <v>1782.2102609165684</v>
      </c>
      <c r="AS991" s="126">
        <f t="shared" si="1227"/>
        <v>-1697.60647410043</v>
      </c>
      <c r="AT991" s="126">
        <f t="shared" si="1227"/>
        <v>-4796.1984792114563</v>
      </c>
      <c r="AV991" s="2168"/>
      <c r="AW991" s="2168"/>
      <c r="AX991" s="2168"/>
      <c r="AY991" s="2168"/>
      <c r="AZ991" s="2168"/>
      <c r="BA991" s="2168"/>
      <c r="BB991" s="2168"/>
      <c r="BC991" s="2168"/>
      <c r="BD991" s="2168"/>
      <c r="BE991" s="2168"/>
      <c r="BF991" s="2168"/>
      <c r="BG991" s="2168"/>
      <c r="BH991" s="2167"/>
    </row>
    <row r="992" spans="1:60" ht="14.15" customHeight="1">
      <c r="A992" s="1"/>
      <c r="B992" s="1"/>
      <c r="C992" s="1"/>
      <c r="D992" s="1606" t="s">
        <v>3125</v>
      </c>
      <c r="E992" s="1438"/>
      <c r="F992" s="346"/>
      <c r="G992" s="346"/>
      <c r="H992" s="346"/>
      <c r="I992" s="346"/>
      <c r="J992" s="346"/>
      <c r="K992" s="346"/>
      <c r="L992" s="346"/>
      <c r="M992" s="346"/>
      <c r="N992" s="346"/>
      <c r="O992" s="346"/>
      <c r="P992" s="346"/>
      <c r="Q992" s="346"/>
      <c r="R992" s="346"/>
      <c r="S992" s="346"/>
      <c r="T992" s="346"/>
      <c r="U992" s="346"/>
      <c r="V992" s="126"/>
      <c r="W992" s="126"/>
      <c r="X992" s="126"/>
      <c r="Y992" s="707"/>
      <c r="Z992" s="707"/>
      <c r="AA992" s="707"/>
      <c r="AB992" s="707"/>
      <c r="AC992" s="707"/>
      <c r="AD992" s="707"/>
      <c r="AE992" s="707"/>
      <c r="AF992" s="707">
        <f>FISCinyear!IM670</f>
        <v>0</v>
      </c>
      <c r="AG992" s="707">
        <f>FISCinyear!IP670</f>
        <v>11.965904649003233</v>
      </c>
      <c r="AH992" s="707">
        <f>FISCinyear!IS670</f>
        <v>13.246723222</v>
      </c>
      <c r="AI992" s="707">
        <f>FISCinyear!IV670</f>
        <v>28.887890952999999</v>
      </c>
      <c r="AJ992" s="1999">
        <v>17.857338598391685</v>
      </c>
      <c r="AK992" s="126">
        <v>19.534518715266699</v>
      </c>
      <c r="AL992" s="126">
        <v>22.694541498020001</v>
      </c>
      <c r="AM992" s="126">
        <v>24.952262784525001</v>
      </c>
      <c r="AN992" s="126">
        <v>26.182314254525</v>
      </c>
      <c r="AO992" s="126">
        <v>29.717555145935258</v>
      </c>
      <c r="AP992" s="126">
        <f t="shared" ref="AP992:AT992" si="1228">AO992*(1+10%)</f>
        <v>32.689310660528783</v>
      </c>
      <c r="AQ992" s="126">
        <f t="shared" si="1228"/>
        <v>35.958241726581662</v>
      </c>
      <c r="AR992" s="126">
        <f t="shared" si="1228"/>
        <v>39.554065899239831</v>
      </c>
      <c r="AS992" s="126">
        <f t="shared" si="1228"/>
        <v>43.509472489163819</v>
      </c>
      <c r="AT992" s="126">
        <f t="shared" si="1228"/>
        <v>47.860419738080203</v>
      </c>
      <c r="AV992" s="2168"/>
      <c r="AW992" s="2168"/>
      <c r="AX992" s="2168"/>
      <c r="AY992" s="2168"/>
      <c r="AZ992" s="2168"/>
      <c r="BA992" s="2168"/>
      <c r="BB992" s="2168"/>
      <c r="BC992" s="2168"/>
      <c r="BD992" s="2168"/>
      <c r="BE992" s="2168"/>
      <c r="BF992" s="2168"/>
      <c r="BG992" s="2168"/>
      <c r="BH992" s="2167"/>
    </row>
    <row r="993" spans="1:60" ht="14.25" customHeight="1">
      <c r="A993" s="1"/>
      <c r="B993" s="1"/>
      <c r="C993" s="1"/>
      <c r="D993" s="383" t="s">
        <v>497</v>
      </c>
      <c r="E993" s="1438" t="s">
        <v>30</v>
      </c>
      <c r="F993" s="346"/>
      <c r="G993" s="346"/>
      <c r="H993" s="346"/>
      <c r="I993" s="346"/>
      <c r="J993" s="346"/>
      <c r="K993" s="346"/>
      <c r="L993" s="346"/>
      <c r="M993" s="346"/>
      <c r="N993" s="346"/>
      <c r="O993" s="346"/>
      <c r="P993" s="346"/>
      <c r="Q993" s="346"/>
      <c r="R993" s="346"/>
      <c r="S993" s="346"/>
      <c r="T993" s="346"/>
      <c r="U993" s="346"/>
      <c r="V993" s="126">
        <v>0</v>
      </c>
      <c r="W993" s="126">
        <v>0</v>
      </c>
      <c r="X993" s="126">
        <v>0</v>
      </c>
      <c r="Y993" s="707">
        <f>FISCinyear!HR671</f>
        <v>51.731817833999997</v>
      </c>
      <c r="Z993" s="707">
        <f>FISCinyear!HU671</f>
        <v>65.151942857999998</v>
      </c>
      <c r="AA993" s="707">
        <f>FISCinyear!HX671</f>
        <v>76.713904879026643</v>
      </c>
      <c r="AB993" s="707">
        <f>FISCinyear!IA671</f>
        <v>79.519484486779476</v>
      </c>
      <c r="AC993" s="707">
        <f>FISCinyear!ID671</f>
        <v>98.113368490445737</v>
      </c>
      <c r="AD993" s="707">
        <f>FISCinyear!IG671</f>
        <v>171.19683315555346</v>
      </c>
      <c r="AE993" s="707">
        <f>FISCinyear!IJ671</f>
        <v>137.55577421600651</v>
      </c>
      <c r="AF993" s="707">
        <f>FISCinyear!IM671</f>
        <v>145.62402120815983</v>
      </c>
      <c r="AG993" s="707">
        <f>FISCinyear!IP671</f>
        <v>193.57731840960452</v>
      </c>
      <c r="AH993" s="707">
        <f>FISCinyear!IS671</f>
        <v>272.28278454686705</v>
      </c>
      <c r="AI993" s="707">
        <f>FISCinyear!IV671</f>
        <v>357.11217296902782</v>
      </c>
      <c r="AJ993" s="1999">
        <f t="shared" ref="AJ993:AT993" si="1229">AJ427*AJ404</f>
        <v>729.58183181889262</v>
      </c>
      <c r="AK993" s="126">
        <f t="shared" si="1229"/>
        <v>903.45062922069326</v>
      </c>
      <c r="AL993" s="126">
        <f t="shared" si="1229"/>
        <v>1122.2699663047244</v>
      </c>
      <c r="AM993" s="126">
        <f t="shared" si="1229"/>
        <v>1308.3188178296871</v>
      </c>
      <c r="AN993" s="126">
        <f t="shared" si="1229"/>
        <v>1467.7899532248437</v>
      </c>
      <c r="AO993" s="126">
        <f t="shared" si="1229"/>
        <v>1696.6199729837722</v>
      </c>
      <c r="AP993" s="126">
        <f t="shared" si="1229"/>
        <v>1833.1750092657867</v>
      </c>
      <c r="AQ993" s="126">
        <f t="shared" si="1229"/>
        <v>1937.7075182581341</v>
      </c>
      <c r="AR993" s="126">
        <f t="shared" si="1229"/>
        <v>2207.3932089834352</v>
      </c>
      <c r="AS993" s="126">
        <f t="shared" si="1229"/>
        <v>-2101.6967487117195</v>
      </c>
      <c r="AT993" s="126">
        <f t="shared" si="1229"/>
        <v>-5935.2968367247895</v>
      </c>
      <c r="AV993" s="2168"/>
      <c r="AW993" s="2168"/>
      <c r="AX993" s="2168"/>
      <c r="AY993" s="2168"/>
      <c r="AZ993" s="2168"/>
      <c r="BA993" s="2168"/>
      <c r="BB993" s="2168"/>
      <c r="BC993" s="2168"/>
      <c r="BD993" s="2168"/>
      <c r="BE993" s="2168"/>
      <c r="BF993" s="2168"/>
      <c r="BG993" s="2168"/>
      <c r="BH993" s="2167"/>
    </row>
    <row r="994" spans="1:60" ht="14.25" customHeight="1">
      <c r="A994" s="1"/>
      <c r="B994" s="1"/>
      <c r="C994" s="1"/>
      <c r="D994" s="383" t="s">
        <v>498</v>
      </c>
      <c r="E994" s="1438" t="s">
        <v>30</v>
      </c>
      <c r="F994" s="346"/>
      <c r="G994" s="346"/>
      <c r="H994" s="346"/>
      <c r="I994" s="346"/>
      <c r="J994" s="346"/>
      <c r="K994" s="346"/>
      <c r="L994" s="346"/>
      <c r="M994" s="346"/>
      <c r="N994" s="346"/>
      <c r="O994" s="346"/>
      <c r="P994" s="346"/>
      <c r="Q994" s="346"/>
      <c r="R994" s="346"/>
      <c r="S994" s="346"/>
      <c r="T994" s="346"/>
      <c r="U994" s="346"/>
      <c r="V994" s="126">
        <v>0</v>
      </c>
      <c r="W994" s="126">
        <v>0</v>
      </c>
      <c r="X994" s="126">
        <v>0</v>
      </c>
      <c r="Y994" s="707">
        <f>FISCinyear!HR672</f>
        <v>1.7004428039999999</v>
      </c>
      <c r="Z994" s="707">
        <f>FISCinyear!HU672</f>
        <v>2.7790084300000002</v>
      </c>
      <c r="AA994" s="707">
        <f>FISCinyear!HX672</f>
        <v>3.2520537167881081</v>
      </c>
      <c r="AB994" s="707">
        <f>FISCinyear!IA672</f>
        <v>0</v>
      </c>
      <c r="AC994" s="707">
        <f>FISCinyear!ID672</f>
        <v>0</v>
      </c>
      <c r="AD994" s="707">
        <f>FISCinyear!IG672</f>
        <v>103.27580037650858</v>
      </c>
      <c r="AE994" s="707">
        <f>FISCinyear!IJ672</f>
        <v>0.34634178100000002</v>
      </c>
      <c r="AF994" s="707">
        <f>FISCinyear!IM672</f>
        <v>3.955083639448647</v>
      </c>
      <c r="AG994" s="707">
        <f>FISCinyear!IP672</f>
        <v>6.8546194642849869</v>
      </c>
      <c r="AH994" s="707">
        <f>FISCinyear!IS672</f>
        <v>4.405915887006965</v>
      </c>
      <c r="AI994" s="707">
        <f>FISCinyear!IV672</f>
        <v>4.6179227269999998</v>
      </c>
      <c r="AJ994" s="126">
        <f t="shared" ref="AJ994:AT994" si="1230">AJ431*AJ404</f>
        <v>0</v>
      </c>
      <c r="AK994" s="126">
        <f t="shared" si="1230"/>
        <v>0</v>
      </c>
      <c r="AL994" s="126">
        <f t="shared" si="1230"/>
        <v>0</v>
      </c>
      <c r="AM994" s="126">
        <f t="shared" si="1230"/>
        <v>0</v>
      </c>
      <c r="AN994" s="126">
        <f t="shared" si="1230"/>
        <v>0</v>
      </c>
      <c r="AO994" s="126">
        <f t="shared" si="1230"/>
        <v>0</v>
      </c>
      <c r="AP994" s="126">
        <f t="shared" si="1230"/>
        <v>0</v>
      </c>
      <c r="AQ994" s="126">
        <f t="shared" si="1230"/>
        <v>0</v>
      </c>
      <c r="AR994" s="126">
        <f t="shared" si="1230"/>
        <v>0</v>
      </c>
      <c r="AS994" s="126">
        <f t="shared" si="1230"/>
        <v>0</v>
      </c>
      <c r="AT994" s="126">
        <f t="shared" si="1230"/>
        <v>0</v>
      </c>
      <c r="AV994" s="2168"/>
      <c r="AW994" s="2168"/>
      <c r="AX994" s="2168"/>
      <c r="AY994" s="2168"/>
      <c r="AZ994" s="2168"/>
      <c r="BA994" s="2168"/>
      <c r="BB994" s="2168"/>
      <c r="BC994" s="2168"/>
      <c r="BD994" s="2168"/>
      <c r="BE994" s="2168"/>
      <c r="BF994" s="2168"/>
      <c r="BG994" s="2168"/>
      <c r="BH994" s="2167"/>
    </row>
    <row r="995" spans="1:60" ht="14.25" customHeight="1">
      <c r="A995" s="1"/>
      <c r="B995" s="1"/>
      <c r="C995" s="1437">
        <v>112</v>
      </c>
      <c r="D995" s="381" t="str">
        <f>+FISCinyear!D673</f>
        <v xml:space="preserve">Taxes on payroll and workforce </v>
      </c>
      <c r="E995" s="1438" t="s">
        <v>2466</v>
      </c>
      <c r="F995" s="346"/>
      <c r="G995" s="346"/>
      <c r="H995" s="346"/>
      <c r="I995" s="346"/>
      <c r="J995" s="346"/>
      <c r="K995" s="346"/>
      <c r="L995" s="346"/>
      <c r="M995" s="346"/>
      <c r="N995" s="346"/>
      <c r="O995" s="346"/>
      <c r="P995" s="346"/>
      <c r="Q995" s="346"/>
      <c r="R995" s="346"/>
      <c r="S995" s="346"/>
      <c r="T995" s="346"/>
      <c r="U995" s="346"/>
      <c r="V995" s="399">
        <v>0</v>
      </c>
      <c r="W995" s="399">
        <v>0</v>
      </c>
      <c r="X995" s="399">
        <v>0</v>
      </c>
      <c r="Y995" s="1596">
        <f>FISCinyear!HR673</f>
        <v>0</v>
      </c>
      <c r="Z995" s="1596">
        <f>FISCinyear!HU673</f>
        <v>0</v>
      </c>
      <c r="AA995" s="1596">
        <f>FISCinyear!HX673</f>
        <v>0</v>
      </c>
      <c r="AB995" s="1596">
        <f>FISCinyear!IA673</f>
        <v>0</v>
      </c>
      <c r="AC995" s="1596">
        <f>FISCinyear!ID673</f>
        <v>0</v>
      </c>
      <c r="AD995" s="1596">
        <f>FISCinyear!IG673</f>
        <v>0</v>
      </c>
      <c r="AE995" s="1596">
        <f>FISCinyear!IJ673</f>
        <v>0</v>
      </c>
      <c r="AF995" s="1596">
        <f>FISCinyear!IM673</f>
        <v>0</v>
      </c>
      <c r="AG995" s="1596">
        <f>FISCinyear!IP673</f>
        <v>0</v>
      </c>
      <c r="AH995" s="1596">
        <f>FISCinyear!IS673</f>
        <v>0</v>
      </c>
      <c r="AI995" s="1596">
        <f>FISCinyear!IV673</f>
        <v>0</v>
      </c>
      <c r="AJ995" s="399">
        <v>0</v>
      </c>
      <c r="AK995" s="399">
        <v>0</v>
      </c>
      <c r="AL995" s="399">
        <v>0</v>
      </c>
      <c r="AM995" s="399">
        <v>0</v>
      </c>
      <c r="AN995" s="399">
        <v>0</v>
      </c>
      <c r="AO995" s="399">
        <v>0</v>
      </c>
      <c r="AP995" s="399">
        <v>1</v>
      </c>
      <c r="AQ995" s="399">
        <v>2</v>
      </c>
      <c r="AR995" s="399">
        <v>3</v>
      </c>
      <c r="AS995" s="399">
        <v>4</v>
      </c>
      <c r="AT995" s="399">
        <v>5</v>
      </c>
      <c r="AV995" s="2168"/>
      <c r="AW995" s="2168"/>
      <c r="AX995" s="2168"/>
      <c r="AY995" s="2168"/>
      <c r="AZ995" s="2168"/>
      <c r="BA995" s="2168"/>
      <c r="BB995" s="2168"/>
      <c r="BC995" s="2168"/>
      <c r="BD995" s="2168"/>
      <c r="BE995" s="2168"/>
      <c r="BF995" s="2168"/>
      <c r="BG995" s="2168"/>
      <c r="BH995" s="2167"/>
    </row>
    <row r="996" spans="1:60" ht="14.25" customHeight="1">
      <c r="A996" s="1"/>
      <c r="B996" s="1"/>
      <c r="C996" s="1437">
        <v>113</v>
      </c>
      <c r="D996" s="381" t="str">
        <f>+FISCinyear!D674</f>
        <v xml:space="preserve">Taxes on property </v>
      </c>
      <c r="E996" s="1438"/>
      <c r="F996" s="346"/>
      <c r="G996" s="346"/>
      <c r="H996" s="346"/>
      <c r="I996" s="346"/>
      <c r="J996" s="346"/>
      <c r="K996" s="346"/>
      <c r="L996" s="346"/>
      <c r="M996" s="346"/>
      <c r="N996" s="346"/>
      <c r="O996" s="346"/>
      <c r="P996" s="346"/>
      <c r="Q996" s="346"/>
      <c r="R996" s="346"/>
      <c r="S996" s="346"/>
      <c r="T996" s="346"/>
      <c r="U996" s="346"/>
      <c r="V996" s="399">
        <f>SUM(V997:V1002)</f>
        <v>0</v>
      </c>
      <c r="W996" s="399">
        <f>SUM(W997:W1002)</f>
        <v>0</v>
      </c>
      <c r="X996" s="399">
        <f>SUM(X997:X1002)</f>
        <v>0</v>
      </c>
      <c r="Y996" s="1596">
        <f>FISCinyear!HR674</f>
        <v>1.0475502899999998</v>
      </c>
      <c r="Z996" s="1596">
        <f>FISCinyear!HU674</f>
        <v>1.4744668620000001</v>
      </c>
      <c r="AA996" s="1596">
        <f>FISCinyear!HX674</f>
        <v>0.79905792988831847</v>
      </c>
      <c r="AB996" s="1596">
        <f>FISCinyear!IA674</f>
        <v>0.60978576711347843</v>
      </c>
      <c r="AC996" s="1596">
        <f>FISCinyear!ID674</f>
        <v>4.9652348659568588E-11</v>
      </c>
      <c r="AD996" s="1596">
        <f>FISCinyear!IG674</f>
        <v>19.372400629999998</v>
      </c>
      <c r="AE996" s="1596">
        <f>FISCinyear!IJ674</f>
        <v>4.6428780387518458</v>
      </c>
      <c r="AF996" s="1596">
        <f>FISCinyear!IM674</f>
        <v>19.443675029298234</v>
      </c>
      <c r="AG996" s="1596">
        <f>FISCinyear!IP674</f>
        <v>17.107113807486726</v>
      </c>
      <c r="AH996" s="1596">
        <f>FISCinyear!IS674</f>
        <v>22.576045216121535</v>
      </c>
      <c r="AI996" s="1596">
        <f>FISCinyear!IV674</f>
        <v>30.501623556453502</v>
      </c>
      <c r="AJ996" s="1998">
        <f>(AJ997+AJ999+AJ1000+AJ1001+AJ1002)</f>
        <v>43.249908940631883</v>
      </c>
      <c r="AK996" s="1660">
        <f t="shared" ref="AK996:AT996" si="1231">(AK997+AK999+AK1000+AK1001+AK1002)</f>
        <v>47.731362236668176</v>
      </c>
      <c r="AL996" s="1660">
        <f t="shared" si="1231"/>
        <v>54.596331306029185</v>
      </c>
      <c r="AM996" s="1660">
        <f t="shared" si="1231"/>
        <v>60.862779982023461</v>
      </c>
      <c r="AN996" s="1660">
        <f t="shared" si="1231"/>
        <v>63.091076002384739</v>
      </c>
      <c r="AO996" s="1660">
        <f t="shared" si="1231"/>
        <v>70.550436202037787</v>
      </c>
      <c r="AP996" s="1660">
        <f t="shared" si="1231"/>
        <v>76.507924903320358</v>
      </c>
      <c r="AQ996" s="1660">
        <f t="shared" si="1231"/>
        <v>82.59438442998416</v>
      </c>
      <c r="AR996" s="1660">
        <f t="shared" si="1231"/>
        <v>93.024081124612735</v>
      </c>
      <c r="AS996" s="1660">
        <f t="shared" si="1231"/>
        <v>67.469204283060151</v>
      </c>
      <c r="AT996" s="1660">
        <f t="shared" si="1231"/>
        <v>49.657590174880191</v>
      </c>
      <c r="AV996" s="2168"/>
      <c r="AW996" s="2168"/>
      <c r="AX996" s="2168"/>
      <c r="AY996" s="2168"/>
      <c r="AZ996" s="2168"/>
      <c r="BA996" s="2168"/>
      <c r="BB996" s="2168"/>
      <c r="BC996" s="2168"/>
      <c r="BD996" s="2168"/>
      <c r="BE996" s="2168"/>
      <c r="BF996" s="2168"/>
      <c r="BG996" s="2168"/>
      <c r="BH996" s="2167"/>
    </row>
    <row r="997" spans="1:60" ht="14.25" customHeight="1">
      <c r="A997" s="1"/>
      <c r="B997" s="1"/>
      <c r="C997" s="1"/>
      <c r="D997" s="383" t="s">
        <v>501</v>
      </c>
      <c r="E997" s="1438" t="s">
        <v>30</v>
      </c>
      <c r="F997" s="346"/>
      <c r="G997" s="346"/>
      <c r="H997" s="346"/>
      <c r="I997" s="346"/>
      <c r="J997" s="346"/>
      <c r="K997" s="346"/>
      <c r="L997" s="346"/>
      <c r="M997" s="346"/>
      <c r="N997" s="346"/>
      <c r="O997" s="346"/>
      <c r="P997" s="346"/>
      <c r="Q997" s="346"/>
      <c r="R997" s="346"/>
      <c r="S997" s="346"/>
      <c r="T997" s="346"/>
      <c r="U997" s="346"/>
      <c r="V997" s="126">
        <v>0</v>
      </c>
      <c r="W997" s="126">
        <v>0</v>
      </c>
      <c r="X997" s="126">
        <v>0</v>
      </c>
      <c r="Y997" s="707">
        <f>FISCinyear!HR675</f>
        <v>1.4999999999999998E-3</v>
      </c>
      <c r="Z997" s="707">
        <f>FISCinyear!HU675</f>
        <v>0.73718855299999997</v>
      </c>
      <c r="AA997" s="707">
        <f>FISCinyear!HX675</f>
        <v>4.378955189932289E-3</v>
      </c>
      <c r="AB997" s="707">
        <f>FISCinyear!IA675</f>
        <v>0</v>
      </c>
      <c r="AC997" s="707">
        <f>FISCinyear!ID675</f>
        <v>0</v>
      </c>
      <c r="AD997" s="707">
        <f>FISCinyear!IG675</f>
        <v>19.368797178000005</v>
      </c>
      <c r="AE997" s="707">
        <f>FISCinyear!IJ675</f>
        <v>3.8637292657518461</v>
      </c>
      <c r="AF997" s="707">
        <f>FISCinyear!IM675</f>
        <v>18.608200094000001</v>
      </c>
      <c r="AG997" s="707">
        <f>FISCinyear!IP675</f>
        <v>16.171146985003318</v>
      </c>
      <c r="AH997" s="707">
        <f>FISCinyear!IS675</f>
        <v>22.576045216121535</v>
      </c>
      <c r="AI997" s="707">
        <f>FISCinyear!IV675</f>
        <v>24.427786892</v>
      </c>
      <c r="AJ997" s="707">
        <f t="shared" ref="AJ997:AT997" si="1232">AJ998</f>
        <v>35.971332484091832</v>
      </c>
      <c r="AK997" s="707">
        <f t="shared" si="1232"/>
        <v>37.9620139053294</v>
      </c>
      <c r="AL997" s="707">
        <f>AL998</f>
        <v>43.244106156954999</v>
      </c>
      <c r="AM997" s="707">
        <f t="shared" si="1232"/>
        <v>47.301563974382994</v>
      </c>
      <c r="AN997" s="707">
        <f t="shared" si="1232"/>
        <v>50.339534573382998</v>
      </c>
      <c r="AO997" s="707">
        <f t="shared" si="1232"/>
        <v>56.789610268930559</v>
      </c>
      <c r="AP997" s="707">
        <f t="shared" si="1232"/>
        <v>62.468571295823622</v>
      </c>
      <c r="AQ997" s="707">
        <f t="shared" si="1232"/>
        <v>68.715428425405989</v>
      </c>
      <c r="AR997" s="707">
        <f t="shared" si="1232"/>
        <v>75.586971267946595</v>
      </c>
      <c r="AS997" s="707">
        <f t="shared" si="1232"/>
        <v>83.145668394741264</v>
      </c>
      <c r="AT997" s="707">
        <f t="shared" si="1232"/>
        <v>91.460235234215403</v>
      </c>
      <c r="AV997" s="2168"/>
      <c r="AW997" s="2168"/>
      <c r="AX997" s="2168"/>
      <c r="AY997" s="2168"/>
      <c r="AZ997" s="2168"/>
      <c r="BA997" s="2168"/>
      <c r="BB997" s="2168"/>
      <c r="BC997" s="2168"/>
      <c r="BD997" s="2168"/>
      <c r="BE997" s="2168"/>
      <c r="BF997" s="2168"/>
      <c r="BG997" s="2168"/>
      <c r="BH997" s="2167"/>
    </row>
    <row r="998" spans="1:60" ht="14.25" customHeight="1">
      <c r="A998" s="1"/>
      <c r="B998" s="1"/>
      <c r="C998" s="1"/>
      <c r="D998" s="1677" t="s">
        <v>3126</v>
      </c>
      <c r="E998" s="1438"/>
      <c r="F998" s="346"/>
      <c r="G998" s="346"/>
      <c r="H998" s="346"/>
      <c r="I998" s="346"/>
      <c r="J998" s="346"/>
      <c r="K998" s="346"/>
      <c r="L998" s="346"/>
      <c r="M998" s="346"/>
      <c r="N998" s="346"/>
      <c r="O998" s="346"/>
      <c r="P998" s="346"/>
      <c r="Q998" s="346"/>
      <c r="R998" s="346"/>
      <c r="S998" s="346"/>
      <c r="T998" s="346"/>
      <c r="U998" s="346"/>
      <c r="V998" s="126"/>
      <c r="W998" s="126"/>
      <c r="X998" s="126"/>
      <c r="Y998" s="707"/>
      <c r="Z998" s="707"/>
      <c r="AA998" s="707"/>
      <c r="AB998" s="707"/>
      <c r="AC998" s="707"/>
      <c r="AD998" s="707"/>
      <c r="AE998" s="707"/>
      <c r="AF998" s="707">
        <f>FISCinyear!IM676</f>
        <v>6.8120555139999999</v>
      </c>
      <c r="AG998" s="707">
        <f>FISCinyear!IP676</f>
        <v>16.171146985003318</v>
      </c>
      <c r="AH998" s="707">
        <f>FISCinyear!IS676</f>
        <v>20.853365938</v>
      </c>
      <c r="AI998" s="707">
        <f>FISCinyear!IV676</f>
        <v>23.290337235999999</v>
      </c>
      <c r="AJ998" s="707">
        <v>35.971332484091832</v>
      </c>
      <c r="AK998" s="126">
        <v>37.9620139053294</v>
      </c>
      <c r="AL998" s="126">
        <v>43.244106156954999</v>
      </c>
      <c r="AM998" s="126">
        <v>47.301563974382994</v>
      </c>
      <c r="AN998" s="126">
        <v>50.339534573382998</v>
      </c>
      <c r="AO998" s="126">
        <v>56.789610268930559</v>
      </c>
      <c r="AP998" s="126">
        <f>AO998*(1+0.1)</f>
        <v>62.468571295823622</v>
      </c>
      <c r="AQ998" s="126">
        <f t="shared" ref="AQ998:AT998" si="1233">AP998*(1+0.1)</f>
        <v>68.715428425405989</v>
      </c>
      <c r="AR998" s="126">
        <f t="shared" si="1233"/>
        <v>75.586971267946595</v>
      </c>
      <c r="AS998" s="126">
        <f t="shared" si="1233"/>
        <v>83.145668394741264</v>
      </c>
      <c r="AT998" s="126">
        <f t="shared" si="1233"/>
        <v>91.460235234215403</v>
      </c>
      <c r="AV998" s="2168"/>
      <c r="AW998" s="2168"/>
      <c r="AX998" s="2168"/>
      <c r="AY998" s="2168"/>
      <c r="AZ998" s="2168"/>
      <c r="BA998" s="2168"/>
      <c r="BB998" s="2168"/>
      <c r="BC998" s="2168"/>
      <c r="BD998" s="2168"/>
      <c r="BE998" s="2168"/>
      <c r="BF998" s="2168"/>
      <c r="BG998" s="2168"/>
      <c r="BH998" s="2167"/>
    </row>
    <row r="999" spans="1:60" ht="14.25" customHeight="1">
      <c r="A999" s="1"/>
      <c r="B999" s="1"/>
      <c r="C999" s="1"/>
      <c r="D999" s="383" t="s">
        <v>502</v>
      </c>
      <c r="E999" s="1438" t="s">
        <v>30</v>
      </c>
      <c r="F999" s="346"/>
      <c r="G999" s="346"/>
      <c r="H999" s="346"/>
      <c r="I999" s="346"/>
      <c r="J999" s="346"/>
      <c r="K999" s="346"/>
      <c r="L999" s="346"/>
      <c r="M999" s="346"/>
      <c r="N999" s="346"/>
      <c r="O999" s="346"/>
      <c r="P999" s="346"/>
      <c r="Q999" s="346"/>
      <c r="R999" s="346"/>
      <c r="S999" s="346"/>
      <c r="T999" s="346"/>
      <c r="U999" s="346"/>
      <c r="V999" s="126">
        <v>0</v>
      </c>
      <c r="W999" s="126">
        <v>0</v>
      </c>
      <c r="X999" s="126">
        <v>0</v>
      </c>
      <c r="Y999" s="707">
        <f>FISCinyear!HR677</f>
        <v>0</v>
      </c>
      <c r="Z999" s="707">
        <f>FISCinyear!HU677</f>
        <v>0</v>
      </c>
      <c r="AA999" s="707">
        <f>FISCinyear!HX677</f>
        <v>0</v>
      </c>
      <c r="AB999" s="707">
        <f>FISCinyear!IA677</f>
        <v>0</v>
      </c>
      <c r="AC999" s="707">
        <f>FISCinyear!ID677</f>
        <v>0</v>
      </c>
      <c r="AD999" s="707">
        <f>FISCinyear!IG677</f>
        <v>0</v>
      </c>
      <c r="AE999" s="707">
        <f>FISCinyear!IJ677</f>
        <v>0</v>
      </c>
      <c r="AF999" s="707">
        <f>FISCinyear!IM677</f>
        <v>0</v>
      </c>
      <c r="AG999" s="707">
        <f>FISCinyear!IP677</f>
        <v>0</v>
      </c>
      <c r="AH999" s="707">
        <f>FISCinyear!IS677</f>
        <v>0</v>
      </c>
      <c r="AI999" s="707">
        <f>FISCinyear!IV677</f>
        <v>0</v>
      </c>
      <c r="AJ999" s="707">
        <f t="shared" ref="AJ999:AT999" si="1234">AJ439*AJ404</f>
        <v>0</v>
      </c>
      <c r="AK999" s="707">
        <f t="shared" si="1234"/>
        <v>0</v>
      </c>
      <c r="AL999" s="126">
        <f t="shared" si="1234"/>
        <v>0</v>
      </c>
      <c r="AM999" s="126">
        <f t="shared" si="1234"/>
        <v>0</v>
      </c>
      <c r="AN999" s="126">
        <f t="shared" si="1234"/>
        <v>0</v>
      </c>
      <c r="AO999" s="126">
        <f t="shared" si="1234"/>
        <v>0</v>
      </c>
      <c r="AP999" s="126">
        <f t="shared" si="1234"/>
        <v>0</v>
      </c>
      <c r="AQ999" s="126">
        <f t="shared" si="1234"/>
        <v>0</v>
      </c>
      <c r="AR999" s="126">
        <f t="shared" si="1234"/>
        <v>0</v>
      </c>
      <c r="AS999" s="126">
        <f t="shared" si="1234"/>
        <v>0</v>
      </c>
      <c r="AT999" s="126">
        <f t="shared" si="1234"/>
        <v>0</v>
      </c>
      <c r="AV999" s="2168"/>
      <c r="AW999" s="2168"/>
      <c r="AX999" s="2168"/>
      <c r="AY999" s="2168"/>
      <c r="AZ999" s="2168"/>
      <c r="BA999" s="2168"/>
      <c r="BB999" s="2168"/>
      <c r="BC999" s="2168"/>
      <c r="BD999" s="2168"/>
      <c r="BE999" s="2168"/>
      <c r="BF999" s="2168"/>
      <c r="BG999" s="2168"/>
      <c r="BH999" s="2167"/>
    </row>
    <row r="1000" spans="1:60" ht="14.25" customHeight="1">
      <c r="A1000" s="1"/>
      <c r="B1000" s="1"/>
      <c r="C1000" s="1"/>
      <c r="D1000" s="383" t="s">
        <v>503</v>
      </c>
      <c r="E1000" s="1438" t="s">
        <v>30</v>
      </c>
      <c r="F1000" s="346"/>
      <c r="G1000" s="346"/>
      <c r="H1000" s="346"/>
      <c r="I1000" s="346"/>
      <c r="J1000" s="346"/>
      <c r="K1000" s="346"/>
      <c r="L1000" s="346"/>
      <c r="M1000" s="346"/>
      <c r="N1000" s="346"/>
      <c r="O1000" s="346"/>
      <c r="P1000" s="346"/>
      <c r="Q1000" s="346"/>
      <c r="R1000" s="346"/>
      <c r="S1000" s="346"/>
      <c r="T1000" s="346"/>
      <c r="U1000" s="346"/>
      <c r="V1000" s="126">
        <v>0</v>
      </c>
      <c r="W1000" s="126">
        <v>0</v>
      </c>
      <c r="X1000" s="126">
        <v>0</v>
      </c>
      <c r="Y1000" s="707">
        <f>FISCinyear!HR678</f>
        <v>0</v>
      </c>
      <c r="Z1000" s="707">
        <f>FISCinyear!HU678</f>
        <v>0</v>
      </c>
      <c r="AA1000" s="707">
        <f>FISCinyear!HX678</f>
        <v>0</v>
      </c>
      <c r="AB1000" s="707">
        <f>FISCinyear!IA678</f>
        <v>0</v>
      </c>
      <c r="AC1000" s="707">
        <f>FISCinyear!ID678</f>
        <v>0</v>
      </c>
      <c r="AD1000" s="707">
        <f>FISCinyear!IG678</f>
        <v>0</v>
      </c>
      <c r="AE1000" s="707">
        <f>FISCinyear!IJ678</f>
        <v>0</v>
      </c>
      <c r="AF1000" s="707">
        <f>FISCinyear!IM678</f>
        <v>0</v>
      </c>
      <c r="AG1000" s="707">
        <f>FISCinyear!IP678</f>
        <v>0</v>
      </c>
      <c r="AH1000" s="707">
        <f>FISCinyear!IS678</f>
        <v>0</v>
      </c>
      <c r="AI1000" s="707">
        <f>FISCinyear!IV678</f>
        <v>0</v>
      </c>
      <c r="AJ1000" s="707">
        <f t="shared" ref="AJ1000:AT1000" si="1235">AJ443*AJ404</f>
        <v>0</v>
      </c>
      <c r="AK1000" s="707">
        <f t="shared" si="1235"/>
        <v>0</v>
      </c>
      <c r="AL1000" s="126">
        <f t="shared" si="1235"/>
        <v>0</v>
      </c>
      <c r="AM1000" s="126">
        <f t="shared" si="1235"/>
        <v>0</v>
      </c>
      <c r="AN1000" s="126">
        <f t="shared" si="1235"/>
        <v>0</v>
      </c>
      <c r="AO1000" s="126">
        <f t="shared" si="1235"/>
        <v>0</v>
      </c>
      <c r="AP1000" s="126">
        <f t="shared" si="1235"/>
        <v>0</v>
      </c>
      <c r="AQ1000" s="126">
        <f t="shared" si="1235"/>
        <v>0</v>
      </c>
      <c r="AR1000" s="126">
        <f t="shared" si="1235"/>
        <v>0</v>
      </c>
      <c r="AS1000" s="126">
        <f t="shared" si="1235"/>
        <v>0</v>
      </c>
      <c r="AT1000" s="126">
        <f t="shared" si="1235"/>
        <v>0</v>
      </c>
      <c r="AV1000" s="2168"/>
      <c r="AW1000" s="2168"/>
      <c r="AX1000" s="2168"/>
      <c r="AY1000" s="2168"/>
      <c r="AZ1000" s="2168"/>
      <c r="BA1000" s="2168"/>
      <c r="BB1000" s="2168"/>
      <c r="BC1000" s="2168"/>
      <c r="BD1000" s="2168"/>
      <c r="BE1000" s="2168"/>
      <c r="BF1000" s="2168"/>
      <c r="BG1000" s="2168"/>
      <c r="BH1000" s="2167"/>
    </row>
    <row r="1001" spans="1:60" ht="14.25" customHeight="1">
      <c r="A1001" s="1"/>
      <c r="B1001" s="1"/>
      <c r="C1001" s="1"/>
      <c r="D1001" s="383" t="s">
        <v>505</v>
      </c>
      <c r="E1001" s="1438" t="s">
        <v>30</v>
      </c>
      <c r="F1001" s="346"/>
      <c r="G1001" s="346"/>
      <c r="H1001" s="346"/>
      <c r="I1001" s="346"/>
      <c r="J1001" s="346"/>
      <c r="K1001" s="346"/>
      <c r="L1001" s="346"/>
      <c r="M1001" s="346"/>
      <c r="N1001" s="346"/>
      <c r="O1001" s="346"/>
      <c r="P1001" s="346"/>
      <c r="Q1001" s="346"/>
      <c r="R1001" s="346"/>
      <c r="S1001" s="346"/>
      <c r="T1001" s="346"/>
      <c r="U1001" s="346"/>
      <c r="V1001" s="126">
        <v>0</v>
      </c>
      <c r="W1001" s="126">
        <v>0</v>
      </c>
      <c r="X1001" s="126">
        <v>0</v>
      </c>
      <c r="Y1001" s="707">
        <f>FISCinyear!HR679</f>
        <v>0</v>
      </c>
      <c r="Z1001" s="707">
        <f>FISCinyear!HU679</f>
        <v>0</v>
      </c>
      <c r="AA1001" s="707">
        <f>FISCinyear!HX679</f>
        <v>0</v>
      </c>
      <c r="AB1001" s="707">
        <f>FISCinyear!IA679</f>
        <v>0</v>
      </c>
      <c r="AC1001" s="707">
        <f>FISCinyear!ID679</f>
        <v>0</v>
      </c>
      <c r="AD1001" s="707">
        <f>FISCinyear!IG679</f>
        <v>0</v>
      </c>
      <c r="AE1001" s="707">
        <f>FISCinyear!IJ679</f>
        <v>0</v>
      </c>
      <c r="AF1001" s="707">
        <f>FISCinyear!IM679</f>
        <v>0</v>
      </c>
      <c r="AG1001" s="707">
        <f>FISCinyear!IP679</f>
        <v>0</v>
      </c>
      <c r="AH1001" s="707">
        <f>FISCinyear!IS679</f>
        <v>0</v>
      </c>
      <c r="AI1001" s="707">
        <f>FISCinyear!IV679</f>
        <v>0</v>
      </c>
      <c r="AJ1001" s="707">
        <f t="shared" ref="AJ1001:AT1001" si="1236">AJ451*AJ404</f>
        <v>0</v>
      </c>
      <c r="AK1001" s="707">
        <f t="shared" si="1236"/>
        <v>0</v>
      </c>
      <c r="AL1001" s="126">
        <f t="shared" si="1236"/>
        <v>0</v>
      </c>
      <c r="AM1001" s="126">
        <f t="shared" si="1236"/>
        <v>0</v>
      </c>
      <c r="AN1001" s="126">
        <f t="shared" si="1236"/>
        <v>0</v>
      </c>
      <c r="AO1001" s="126">
        <f t="shared" si="1236"/>
        <v>0</v>
      </c>
      <c r="AP1001" s="126">
        <f t="shared" si="1236"/>
        <v>0</v>
      </c>
      <c r="AQ1001" s="126">
        <f t="shared" si="1236"/>
        <v>0</v>
      </c>
      <c r="AR1001" s="126">
        <f t="shared" si="1236"/>
        <v>0</v>
      </c>
      <c r="AS1001" s="126">
        <f t="shared" si="1236"/>
        <v>0</v>
      </c>
      <c r="AT1001" s="126">
        <f t="shared" si="1236"/>
        <v>0</v>
      </c>
      <c r="AV1001" s="2168"/>
      <c r="AW1001" s="2168"/>
      <c r="AX1001" s="2168"/>
      <c r="AY1001" s="2168"/>
      <c r="AZ1001" s="2168"/>
      <c r="BA1001" s="2168"/>
      <c r="BB1001" s="2168"/>
      <c r="BC1001" s="2168"/>
      <c r="BD1001" s="2168"/>
      <c r="BE1001" s="2168"/>
      <c r="BF1001" s="2168"/>
      <c r="BG1001" s="2168"/>
      <c r="BH1001" s="2167"/>
    </row>
    <row r="1002" spans="1:60" ht="14.25" customHeight="1">
      <c r="A1002" s="1"/>
      <c r="B1002" s="1"/>
      <c r="C1002" s="1"/>
      <c r="D1002" s="383" t="s">
        <v>506</v>
      </c>
      <c r="E1002" s="1438" t="s">
        <v>30</v>
      </c>
      <c r="F1002" s="346"/>
      <c r="G1002" s="346"/>
      <c r="H1002" s="346"/>
      <c r="I1002" s="346"/>
      <c r="J1002" s="346"/>
      <c r="K1002" s="346"/>
      <c r="L1002" s="346"/>
      <c r="M1002" s="346"/>
      <c r="N1002" s="346"/>
      <c r="O1002" s="346"/>
      <c r="P1002" s="346"/>
      <c r="Q1002" s="346"/>
      <c r="R1002" s="346"/>
      <c r="S1002" s="346"/>
      <c r="T1002" s="346"/>
      <c r="U1002" s="346"/>
      <c r="V1002" s="126">
        <v>0</v>
      </c>
      <c r="W1002" s="126">
        <v>0</v>
      </c>
      <c r="X1002" s="126">
        <v>0</v>
      </c>
      <c r="Y1002" s="707">
        <f>FISCinyear!HR680</f>
        <v>1.0460502899999997</v>
      </c>
      <c r="Z1002" s="707">
        <f>FISCinyear!HU680</f>
        <v>0.73727830900000002</v>
      </c>
      <c r="AA1002" s="707">
        <f>FISCinyear!HX680</f>
        <v>0.79467897469838622</v>
      </c>
      <c r="AB1002" s="707">
        <f>FISCinyear!IA680</f>
        <v>0.60978576711347843</v>
      </c>
      <c r="AC1002" s="707">
        <f>FISCinyear!ID680</f>
        <v>4.9652348659568586E-2</v>
      </c>
      <c r="AD1002" s="707">
        <f>FISCinyear!IG680</f>
        <v>3.603452E-3</v>
      </c>
      <c r="AE1002" s="707">
        <f>FISCinyear!IJ680</f>
        <v>0.77914877299999996</v>
      </c>
      <c r="AF1002" s="707">
        <f>FISCinyear!IM680</f>
        <v>0.83547493529823502</v>
      </c>
      <c r="AG1002" s="707">
        <f>FISCinyear!IP680</f>
        <v>0.93596682248341045</v>
      </c>
      <c r="AH1002" s="707">
        <f>FISCinyear!IS680</f>
        <v>0</v>
      </c>
      <c r="AI1002" s="707">
        <f>FISCinyear!IV680</f>
        <v>6.0738366644535002</v>
      </c>
      <c r="AJ1002" s="707">
        <f t="shared" ref="AJ1002:AT1002" si="1237">(AJ455*AJ404)</f>
        <v>7.2785764565400504</v>
      </c>
      <c r="AK1002" s="126">
        <f t="shared" si="1237"/>
        <v>9.7693483313387723</v>
      </c>
      <c r="AL1002" s="126">
        <f t="shared" si="1237"/>
        <v>11.35222514907419</v>
      </c>
      <c r="AM1002" s="126">
        <f t="shared" si="1237"/>
        <v>13.561216007640466</v>
      </c>
      <c r="AN1002" s="126">
        <f t="shared" si="1237"/>
        <v>12.751541429001744</v>
      </c>
      <c r="AO1002" s="126">
        <f t="shared" si="1237"/>
        <v>13.760825933107229</v>
      </c>
      <c r="AP1002" s="126">
        <f t="shared" si="1237"/>
        <v>14.039353607496736</v>
      </c>
      <c r="AQ1002" s="126">
        <f t="shared" si="1237"/>
        <v>13.878956004578177</v>
      </c>
      <c r="AR1002" s="126">
        <f t="shared" si="1237"/>
        <v>17.43710985666614</v>
      </c>
      <c r="AS1002" s="126">
        <f t="shared" si="1237"/>
        <v>-15.676464111681121</v>
      </c>
      <c r="AT1002" s="126">
        <f t="shared" si="1237"/>
        <v>-41.802645059335212</v>
      </c>
      <c r="AV1002" s="2168"/>
      <c r="AW1002" s="2168"/>
      <c r="AX1002" s="2168"/>
      <c r="AY1002" s="2168"/>
      <c r="AZ1002" s="2168"/>
      <c r="BA1002" s="2168"/>
      <c r="BB1002" s="2168"/>
      <c r="BC1002" s="2168"/>
      <c r="BD1002" s="2168"/>
      <c r="BE1002" s="2168"/>
      <c r="BF1002" s="2168"/>
      <c r="BG1002" s="2168"/>
      <c r="BH1002" s="2167"/>
    </row>
    <row r="1003" spans="1:60" ht="14.25" customHeight="1">
      <c r="A1003" s="1"/>
      <c r="B1003" s="1"/>
      <c r="C1003" s="1437">
        <v>114</v>
      </c>
      <c r="D1003" s="381" t="str">
        <f>+FISCinyear!D681</f>
        <v xml:space="preserve">Taxes on goods and services </v>
      </c>
      <c r="E1003" s="1438"/>
      <c r="F1003" s="346"/>
      <c r="G1003" s="346"/>
      <c r="H1003" s="346"/>
      <c r="I1003" s="346"/>
      <c r="J1003" s="346"/>
      <c r="K1003" s="346"/>
      <c r="L1003" s="346"/>
      <c r="M1003" s="346"/>
      <c r="N1003" s="346"/>
      <c r="O1003" s="346"/>
      <c r="P1003" s="346"/>
      <c r="Q1003" s="346"/>
      <c r="R1003" s="346"/>
      <c r="S1003" s="346"/>
      <c r="T1003" s="346"/>
      <c r="U1003" s="346"/>
      <c r="V1003" s="399">
        <f>SUM(V1004:V1018)</f>
        <v>0</v>
      </c>
      <c r="W1003" s="399">
        <f>SUM(W1004:W1018)</f>
        <v>0</v>
      </c>
      <c r="X1003" s="399">
        <f>SUM(X1004:X1018)</f>
        <v>0</v>
      </c>
      <c r="Y1003" s="1596">
        <f>FISCinyear!HR681</f>
        <v>382.8888462832</v>
      </c>
      <c r="Z1003" s="1596">
        <f>FISCinyear!HU681</f>
        <v>422.56020412279997</v>
      </c>
      <c r="AA1003" s="1596">
        <f>FISCinyear!HX681</f>
        <v>516.76897665970478</v>
      </c>
      <c r="AB1003" s="1596">
        <f>FISCinyear!IA681</f>
        <v>530.02666167461143</v>
      </c>
      <c r="AC1003" s="1596">
        <f>FISCinyear!ID681</f>
        <v>605.14216765689798</v>
      </c>
      <c r="AD1003" s="1596">
        <f>FISCinyear!IG681</f>
        <v>676.03063632067722</v>
      </c>
      <c r="AE1003" s="1596">
        <f>FISCinyear!IJ681</f>
        <v>712.20880818108037</v>
      </c>
      <c r="AF1003" s="1596">
        <f>FISCinyear!IM681</f>
        <v>775.95022002114797</v>
      </c>
      <c r="AG1003" s="1596">
        <f>FISCinyear!IP681</f>
        <v>873.08969211644808</v>
      </c>
      <c r="AH1003" s="1596">
        <f>FISCinyear!IS681</f>
        <v>1030.4229988219749</v>
      </c>
      <c r="AI1003" s="1596">
        <f>FISCinyear!IV681</f>
        <v>1189.7617317343922</v>
      </c>
      <c r="AJ1003" s="1998">
        <f>AJ1004+AJ1008+AJ1011+AJ1012+AJ1013+AJ1014+AJ1015+AJ1016</f>
        <v>1468.4732571354521</v>
      </c>
      <c r="AK1003" s="1998">
        <f t="shared" ref="AK1003:AT1003" si="1238">AK1004+AK1008+AK1011+AK1012+AK1013+AK1014+AK1015+AK1016</f>
        <v>1810.69774515316</v>
      </c>
      <c r="AL1003" s="1998">
        <f t="shared" si="1238"/>
        <v>2172.4815321100377</v>
      </c>
      <c r="AM1003" s="1998">
        <f t="shared" si="1238"/>
        <v>2517.0995892247956</v>
      </c>
      <c r="AN1003" s="1998">
        <f t="shared" si="1238"/>
        <v>2879.4663819133752</v>
      </c>
      <c r="AO1003" s="1998">
        <f t="shared" si="1238"/>
        <v>3230.2782095566367</v>
      </c>
      <c r="AP1003" s="1998">
        <f t="shared" si="1238"/>
        <v>3443.111372851633</v>
      </c>
      <c r="AQ1003" s="1998">
        <f t="shared" si="1238"/>
        <v>3642.0445694163591</v>
      </c>
      <c r="AR1003" s="1998">
        <f t="shared" si="1238"/>
        <v>4251.2792446040385</v>
      </c>
      <c r="AS1003" s="1998">
        <f t="shared" si="1238"/>
        <v>-13648.825251620445</v>
      </c>
      <c r="AT1003" s="1998">
        <f t="shared" si="1238"/>
        <v>-25576.519443051064</v>
      </c>
      <c r="AV1003" s="2168"/>
      <c r="AW1003" s="2168"/>
      <c r="AX1003" s="2168"/>
      <c r="AY1003" s="2168"/>
      <c r="AZ1003" s="2168"/>
      <c r="BA1003" s="2168"/>
      <c r="BB1003" s="2168"/>
      <c r="BC1003" s="2168"/>
      <c r="BD1003" s="2168"/>
      <c r="BE1003" s="2168"/>
      <c r="BF1003" s="2168"/>
      <c r="BG1003" s="2168"/>
      <c r="BH1003" s="2167"/>
    </row>
    <row r="1004" spans="1:60" ht="14.25" customHeight="1">
      <c r="A1004" s="1"/>
      <c r="B1004" s="1"/>
      <c r="C1004" s="1"/>
      <c r="D1004" s="383" t="s">
        <v>508</v>
      </c>
      <c r="E1004" s="1438" t="s">
        <v>30</v>
      </c>
      <c r="F1004" s="346"/>
      <c r="G1004" s="346"/>
      <c r="H1004" s="346"/>
      <c r="I1004" s="346"/>
      <c r="J1004" s="346"/>
      <c r="K1004" s="346"/>
      <c r="L1004" s="346"/>
      <c r="M1004" s="346"/>
      <c r="N1004" s="346"/>
      <c r="O1004" s="346"/>
      <c r="P1004" s="346"/>
      <c r="Q1004" s="346"/>
      <c r="R1004" s="346"/>
      <c r="S1004" s="346"/>
      <c r="T1004" s="346"/>
      <c r="U1004" s="346"/>
      <c r="V1004" s="126">
        <v>0</v>
      </c>
      <c r="W1004" s="126">
        <v>0</v>
      </c>
      <c r="X1004" s="126">
        <v>0</v>
      </c>
      <c r="Y1004" s="707">
        <f>FISCinyear!HR682</f>
        <v>257.13014440020004</v>
      </c>
      <c r="Z1004" s="707">
        <f>FISCinyear!HU682</f>
        <v>422.56020412279997</v>
      </c>
      <c r="AA1004" s="707">
        <f>FISCinyear!HX682</f>
        <v>313.14602414006231</v>
      </c>
      <c r="AB1004" s="707">
        <f>FISCinyear!IA682</f>
        <v>368.45089937919278</v>
      </c>
      <c r="AC1004" s="707">
        <f>FISCinyear!ID682</f>
        <v>427.25569619381326</v>
      </c>
      <c r="AD1004" s="707">
        <f>FISCinyear!IG682</f>
        <v>458.58969689067715</v>
      </c>
      <c r="AE1004" s="707">
        <f>FISCinyear!IJ682</f>
        <v>484.01122497871916</v>
      </c>
      <c r="AF1004" s="707">
        <f>FISCinyear!IM682</f>
        <v>525.03193928003964</v>
      </c>
      <c r="AG1004" s="707">
        <f>FISCinyear!IP682</f>
        <v>593.41774393779974</v>
      </c>
      <c r="AH1004" s="707">
        <f>FISCinyear!IS682</f>
        <v>689.94568692738767</v>
      </c>
      <c r="AI1004" s="707">
        <f>FISCinyear!IV682</f>
        <v>792.91608138538868</v>
      </c>
      <c r="AJ1004" s="1999">
        <f t="shared" ref="AJ1004:AT1004" si="1239">AJ1005+AJ1006+AJ1007</f>
        <v>1002.6326121937145</v>
      </c>
      <c r="AK1004" s="126">
        <f t="shared" si="1239"/>
        <v>1237.81096873863</v>
      </c>
      <c r="AL1004" s="126">
        <f t="shared" si="1239"/>
        <v>1531.0883831521335</v>
      </c>
      <c r="AM1004" s="126">
        <f t="shared" si="1239"/>
        <v>1762.2556375054739</v>
      </c>
      <c r="AN1004" s="126">
        <f t="shared" si="1239"/>
        <v>2050.3464497454211</v>
      </c>
      <c r="AO1004" s="126">
        <f t="shared" si="1239"/>
        <v>2311.3670057746335</v>
      </c>
      <c r="AP1004" s="126">
        <f t="shared" si="1239"/>
        <v>2461.1042918551375</v>
      </c>
      <c r="AQ1004" s="126">
        <f t="shared" si="1239"/>
        <v>2595.927704956644</v>
      </c>
      <c r="AR1004" s="126">
        <f t="shared" si="1239"/>
        <v>2958.4404846315342</v>
      </c>
      <c r="AS1004" s="126">
        <f t="shared" si="1239"/>
        <v>-12475.732073824718</v>
      </c>
      <c r="AT1004" s="126">
        <f t="shared" si="1239"/>
        <v>-24227.893660283771</v>
      </c>
      <c r="AV1004" s="2168"/>
      <c r="AW1004" s="2168"/>
      <c r="AX1004" s="2168"/>
      <c r="AY1004" s="2168"/>
      <c r="AZ1004" s="2168"/>
      <c r="BA1004" s="2168"/>
      <c r="BB1004" s="2168"/>
      <c r="BC1004" s="2168"/>
      <c r="BD1004" s="2168"/>
      <c r="BE1004" s="2168"/>
      <c r="BF1004" s="2168"/>
      <c r="BG1004" s="2168"/>
      <c r="BH1004" s="2167"/>
    </row>
    <row r="1005" spans="1:60" ht="14.25" customHeight="1">
      <c r="A1005" s="1"/>
      <c r="B1005" s="1"/>
      <c r="C1005" s="1"/>
      <c r="D1005" s="386" t="s">
        <v>509</v>
      </c>
      <c r="E1005" s="1438" t="s">
        <v>2401</v>
      </c>
      <c r="F1005" s="346"/>
      <c r="G1005" s="346"/>
      <c r="H1005" s="346"/>
      <c r="I1005" s="346"/>
      <c r="J1005" s="346"/>
      <c r="K1005" s="346"/>
      <c r="L1005" s="346"/>
      <c r="M1005" s="346"/>
      <c r="N1005" s="346"/>
      <c r="O1005" s="346"/>
      <c r="P1005" s="346"/>
      <c r="Q1005" s="346"/>
      <c r="R1005" s="346"/>
      <c r="S1005" s="346"/>
      <c r="T1005" s="346"/>
      <c r="U1005" s="346"/>
      <c r="V1005" s="126">
        <v>0</v>
      </c>
      <c r="W1005" s="126">
        <v>0</v>
      </c>
      <c r="X1005" s="126">
        <v>0</v>
      </c>
      <c r="Y1005" s="707">
        <f>FISCinyear!HR683</f>
        <v>257.12892637920004</v>
      </c>
      <c r="Z1005" s="707">
        <f>FISCinyear!HU683</f>
        <v>280.9958439888</v>
      </c>
      <c r="AA1005" s="707">
        <f>FISCinyear!HX683</f>
        <v>313.14573186541088</v>
      </c>
      <c r="AB1005" s="707">
        <f>FISCinyear!IA683</f>
        <v>368.45089937919278</v>
      </c>
      <c r="AC1005" s="707">
        <f>FISCinyear!ID683</f>
        <v>427.25569619381326</v>
      </c>
      <c r="AD1005" s="707">
        <f>FISCinyear!IG683</f>
        <v>458.58969689067715</v>
      </c>
      <c r="AE1005" s="707">
        <f>FISCinyear!IJ683</f>
        <v>484.01122497871916</v>
      </c>
      <c r="AF1005" s="707">
        <f>FISCinyear!IM683</f>
        <v>525.03193928003964</v>
      </c>
      <c r="AG1005" s="707">
        <f>FISCinyear!IP683</f>
        <v>593.41774393779974</v>
      </c>
      <c r="AH1005" s="707">
        <f>FISCinyear!IS683</f>
        <v>689.70983667017458</v>
      </c>
      <c r="AI1005" s="707">
        <f>FISCinyear!IV683</f>
        <v>792.76111214841978</v>
      </c>
      <c r="AJ1005" s="1999">
        <f t="shared" ref="AJ1005:AT1005" si="1240">AJ463*AJ406</f>
        <v>1002.6326121937145</v>
      </c>
      <c r="AK1005" s="126">
        <f t="shared" si="1240"/>
        <v>1237.81096873863</v>
      </c>
      <c r="AL1005" s="126">
        <f t="shared" si="1240"/>
        <v>1531.0883831521335</v>
      </c>
      <c r="AM1005" s="126">
        <f t="shared" si="1240"/>
        <v>1762.2556375054739</v>
      </c>
      <c r="AN1005" s="126">
        <f t="shared" si="1240"/>
        <v>2050.3464497454211</v>
      </c>
      <c r="AO1005" s="126">
        <f t="shared" si="1240"/>
        <v>2311.3670057746335</v>
      </c>
      <c r="AP1005" s="126">
        <f t="shared" si="1240"/>
        <v>2461.1042918551375</v>
      </c>
      <c r="AQ1005" s="126">
        <f t="shared" si="1240"/>
        <v>2595.927704956644</v>
      </c>
      <c r="AR1005" s="126">
        <f t="shared" si="1240"/>
        <v>2958.4404846315342</v>
      </c>
      <c r="AS1005" s="126">
        <f t="shared" si="1240"/>
        <v>-12475.732073824718</v>
      </c>
      <c r="AT1005" s="126">
        <f t="shared" si="1240"/>
        <v>-24227.893660283771</v>
      </c>
      <c r="AV1005" s="2168"/>
      <c r="AW1005" s="2168"/>
      <c r="AX1005" s="2168"/>
      <c r="AY1005" s="2168"/>
      <c r="AZ1005" s="2168"/>
      <c r="BA1005" s="2168"/>
      <c r="BB1005" s="2168"/>
      <c r="BC1005" s="2168"/>
      <c r="BD1005" s="2168"/>
      <c r="BE1005" s="2168"/>
      <c r="BF1005" s="2168"/>
      <c r="BG1005" s="2168"/>
      <c r="BH1005" s="2167"/>
    </row>
    <row r="1006" spans="1:60" ht="14.25" customHeight="1">
      <c r="A1006" s="1"/>
      <c r="B1006" s="1"/>
      <c r="C1006" s="1"/>
      <c r="D1006" s="386" t="s">
        <v>510</v>
      </c>
      <c r="E1006" s="1438" t="s">
        <v>30</v>
      </c>
      <c r="F1006" s="346"/>
      <c r="G1006" s="346"/>
      <c r="H1006" s="346"/>
      <c r="I1006" s="346"/>
      <c r="J1006" s="346"/>
      <c r="K1006" s="346"/>
      <c r="L1006" s="346"/>
      <c r="M1006" s="346"/>
      <c r="N1006" s="346"/>
      <c r="O1006" s="346"/>
      <c r="P1006" s="346"/>
      <c r="Q1006" s="346"/>
      <c r="R1006" s="346"/>
      <c r="S1006" s="346"/>
      <c r="T1006" s="346"/>
      <c r="U1006" s="346"/>
      <c r="V1006" s="126">
        <v>0</v>
      </c>
      <c r="W1006" s="126">
        <v>0</v>
      </c>
      <c r="X1006" s="126">
        <v>0</v>
      </c>
      <c r="Y1006" s="707">
        <f>FISCinyear!HR684</f>
        <v>1.2180209999999999E-3</v>
      </c>
      <c r="Z1006" s="707">
        <f>FISCinyear!HU684</f>
        <v>2.6030900000000002E-4</v>
      </c>
      <c r="AA1006" s="707">
        <f>FISCinyear!HX684</f>
        <v>2.9227465145693937E-4</v>
      </c>
      <c r="AB1006" s="707">
        <f>FISCinyear!IA684</f>
        <v>0</v>
      </c>
      <c r="AC1006" s="707">
        <f>FISCinyear!ID684</f>
        <v>0</v>
      </c>
      <c r="AD1006" s="707">
        <f>FISCinyear!IG684</f>
        <v>0</v>
      </c>
      <c r="AE1006" s="707">
        <f>FISCinyear!IJ684</f>
        <v>0</v>
      </c>
      <c r="AF1006" s="707">
        <f>FISCinyear!IM684</f>
        <v>0</v>
      </c>
      <c r="AG1006" s="707">
        <f>FISCinyear!IP684</f>
        <v>0</v>
      </c>
      <c r="AH1006" s="707">
        <f>FISCinyear!IS684</f>
        <v>0</v>
      </c>
      <c r="AI1006" s="707">
        <f>FISCinyear!IV684</f>
        <v>0</v>
      </c>
      <c r="AJ1006" s="707">
        <f t="shared" ref="AJ1006:AT1006" si="1241">AJ468*AJ404</f>
        <v>0</v>
      </c>
      <c r="AK1006" s="126">
        <f t="shared" si="1241"/>
        <v>0</v>
      </c>
      <c r="AL1006" s="126">
        <f t="shared" si="1241"/>
        <v>0</v>
      </c>
      <c r="AM1006" s="126">
        <f t="shared" si="1241"/>
        <v>0</v>
      </c>
      <c r="AN1006" s="126">
        <f t="shared" si="1241"/>
        <v>0</v>
      </c>
      <c r="AO1006" s="126">
        <f t="shared" si="1241"/>
        <v>0</v>
      </c>
      <c r="AP1006" s="126">
        <f t="shared" si="1241"/>
        <v>0</v>
      </c>
      <c r="AQ1006" s="126">
        <f t="shared" si="1241"/>
        <v>0</v>
      </c>
      <c r="AR1006" s="126">
        <f t="shared" si="1241"/>
        <v>0</v>
      </c>
      <c r="AS1006" s="126">
        <f t="shared" si="1241"/>
        <v>0</v>
      </c>
      <c r="AT1006" s="126">
        <f t="shared" si="1241"/>
        <v>0</v>
      </c>
      <c r="AV1006" s="2168"/>
      <c r="AW1006" s="2168"/>
      <c r="AX1006" s="2168"/>
      <c r="AY1006" s="2168"/>
      <c r="AZ1006" s="2168"/>
      <c r="BA1006" s="2168"/>
      <c r="BB1006" s="2168"/>
      <c r="BC1006" s="2168"/>
      <c r="BD1006" s="2168"/>
      <c r="BE1006" s="2168"/>
      <c r="BF1006" s="2168"/>
      <c r="BG1006" s="2168"/>
      <c r="BH1006" s="2167"/>
    </row>
    <row r="1007" spans="1:60" ht="14.25" customHeight="1">
      <c r="A1007" s="1"/>
      <c r="B1007" s="1"/>
      <c r="C1007" s="1"/>
      <c r="D1007" s="386" t="s">
        <v>511</v>
      </c>
      <c r="E1007" s="1438" t="s">
        <v>30</v>
      </c>
      <c r="F1007" s="346"/>
      <c r="G1007" s="346"/>
      <c r="H1007" s="346"/>
      <c r="I1007" s="346"/>
      <c r="J1007" s="346"/>
      <c r="K1007" s="346"/>
      <c r="L1007" s="346"/>
      <c r="M1007" s="346"/>
      <c r="N1007" s="346"/>
      <c r="O1007" s="346"/>
      <c r="P1007" s="346"/>
      <c r="Q1007" s="346"/>
      <c r="R1007" s="346"/>
      <c r="S1007" s="346"/>
      <c r="T1007" s="346"/>
      <c r="U1007" s="346"/>
      <c r="V1007" s="126">
        <v>0</v>
      </c>
      <c r="W1007" s="126">
        <v>0</v>
      </c>
      <c r="X1007" s="126">
        <v>0</v>
      </c>
      <c r="Y1007" s="707">
        <f>FISCinyear!HR685</f>
        <v>0</v>
      </c>
      <c r="Z1007" s="707">
        <f>FISCinyear!HU685</f>
        <v>0</v>
      </c>
      <c r="AA1007" s="707">
        <f>FISCinyear!HX685</f>
        <v>0</v>
      </c>
      <c r="AB1007" s="707">
        <f>FISCinyear!IA685</f>
        <v>0</v>
      </c>
      <c r="AC1007" s="707">
        <f>FISCinyear!ID685</f>
        <v>0</v>
      </c>
      <c r="AD1007" s="707">
        <f>FISCinyear!IG685</f>
        <v>0</v>
      </c>
      <c r="AE1007" s="707">
        <f>FISCinyear!IJ685</f>
        <v>0</v>
      </c>
      <c r="AF1007" s="707">
        <f>FISCinyear!IM685</f>
        <v>0</v>
      </c>
      <c r="AG1007" s="707">
        <f>FISCinyear!IP685</f>
        <v>0</v>
      </c>
      <c r="AH1007" s="707">
        <f>FISCinyear!IS685</f>
        <v>0</v>
      </c>
      <c r="AI1007" s="707">
        <f>FISCinyear!IV685</f>
        <v>0</v>
      </c>
      <c r="AJ1007" s="707">
        <f t="shared" ref="AJ1007:AT1007" si="1242">AJ472*AJ404</f>
        <v>0</v>
      </c>
      <c r="AK1007" s="126">
        <f t="shared" si="1242"/>
        <v>0</v>
      </c>
      <c r="AL1007" s="126">
        <f t="shared" si="1242"/>
        <v>0</v>
      </c>
      <c r="AM1007" s="126">
        <f t="shared" si="1242"/>
        <v>0</v>
      </c>
      <c r="AN1007" s="126">
        <f t="shared" si="1242"/>
        <v>0</v>
      </c>
      <c r="AO1007" s="126">
        <f t="shared" si="1242"/>
        <v>0</v>
      </c>
      <c r="AP1007" s="126">
        <f t="shared" si="1242"/>
        <v>0</v>
      </c>
      <c r="AQ1007" s="126">
        <f t="shared" si="1242"/>
        <v>0</v>
      </c>
      <c r="AR1007" s="126">
        <f t="shared" si="1242"/>
        <v>0</v>
      </c>
      <c r="AS1007" s="126">
        <f t="shared" si="1242"/>
        <v>0</v>
      </c>
      <c r="AT1007" s="126">
        <f t="shared" si="1242"/>
        <v>0</v>
      </c>
      <c r="AV1007" s="2168"/>
      <c r="AW1007" s="2168"/>
      <c r="AX1007" s="2168"/>
      <c r="AY1007" s="2168"/>
      <c r="AZ1007" s="2168"/>
      <c r="BA1007" s="2168"/>
      <c r="BB1007" s="2168"/>
      <c r="BC1007" s="2168"/>
      <c r="BD1007" s="2168"/>
      <c r="BE1007" s="2168"/>
      <c r="BF1007" s="2168"/>
      <c r="BG1007" s="2168"/>
      <c r="BH1007" s="2167"/>
    </row>
    <row r="1008" spans="1:60" ht="14.25" customHeight="1">
      <c r="A1008" s="1"/>
      <c r="B1008" s="1"/>
      <c r="C1008" s="1"/>
      <c r="D1008" s="383" t="s">
        <v>512</v>
      </c>
      <c r="E1008" s="1438" t="s">
        <v>2401</v>
      </c>
      <c r="F1008" s="346"/>
      <c r="G1008" s="346"/>
      <c r="H1008" s="346"/>
      <c r="I1008" s="346"/>
      <c r="J1008" s="346"/>
      <c r="K1008" s="346"/>
      <c r="L1008" s="346"/>
      <c r="M1008" s="346"/>
      <c r="N1008" s="346"/>
      <c r="O1008" s="346"/>
      <c r="P1008" s="346"/>
      <c r="Q1008" s="346"/>
      <c r="R1008" s="346"/>
      <c r="S1008" s="346"/>
      <c r="T1008" s="346"/>
      <c r="U1008" s="346"/>
      <c r="V1008" s="126">
        <v>0</v>
      </c>
      <c r="W1008" s="126">
        <v>0</v>
      </c>
      <c r="X1008" s="126">
        <v>0</v>
      </c>
      <c r="Y1008" s="707">
        <f>FISCinyear!HR686</f>
        <v>125.75870188299999</v>
      </c>
      <c r="Z1008" s="707">
        <f>FISCinyear!HU686</f>
        <v>137.019465994</v>
      </c>
      <c r="AA1008" s="707">
        <f>FISCinyear!HX686</f>
        <v>166.91650750406944</v>
      </c>
      <c r="AB1008" s="707">
        <f>FISCinyear!IA686</f>
        <v>161.57576229541854</v>
      </c>
      <c r="AC1008" s="707">
        <f>FISCinyear!ID686</f>
        <v>177.88647146308475</v>
      </c>
      <c r="AD1008" s="707">
        <f>FISCinyear!IG686</f>
        <v>214.97804443000001</v>
      </c>
      <c r="AE1008" s="707">
        <f>FISCinyear!IJ686</f>
        <v>213.30783857653682</v>
      </c>
      <c r="AF1008" s="707">
        <f>FISCinyear!IM686</f>
        <v>243.27474064340004</v>
      </c>
      <c r="AG1008" s="707">
        <f>FISCinyear!IP686</f>
        <v>258.78401449573596</v>
      </c>
      <c r="AH1008" s="707">
        <f>FISCinyear!IS686</f>
        <v>329.95008745162204</v>
      </c>
      <c r="AI1008" s="707">
        <f>FISCinyear!IV686</f>
        <v>378.52704908100907</v>
      </c>
      <c r="AJ1008" s="1999">
        <f t="shared" ref="AJ1008:AT1008" si="1243">AJ476*AJ406</f>
        <v>422.08729600531223</v>
      </c>
      <c r="AK1008" s="126">
        <f t="shared" si="1243"/>
        <v>514.48240989802775</v>
      </c>
      <c r="AL1008" s="126">
        <f t="shared" si="1243"/>
        <v>575.66636478559667</v>
      </c>
      <c r="AM1008" s="126">
        <f t="shared" si="1243"/>
        <v>682.0091965751102</v>
      </c>
      <c r="AN1008" s="126">
        <f t="shared" si="1243"/>
        <v>756.01160701836386</v>
      </c>
      <c r="AO1008" s="126">
        <f t="shared" si="1243"/>
        <v>840.98731164722813</v>
      </c>
      <c r="AP1008" s="126">
        <f t="shared" si="1243"/>
        <v>892.14403350245368</v>
      </c>
      <c r="AQ1008" s="126">
        <f t="shared" si="1243"/>
        <v>937.71652922307351</v>
      </c>
      <c r="AR1008" s="126">
        <f t="shared" si="1243"/>
        <v>1116.4221019849736</v>
      </c>
      <c r="AS1008" s="126">
        <f t="shared" si="1243"/>
        <v>-983.95865274817072</v>
      </c>
      <c r="AT1008" s="126">
        <f t="shared" si="1243"/>
        <v>-333.52954489739847</v>
      </c>
      <c r="AV1008" s="2168"/>
      <c r="AW1008" s="2168"/>
      <c r="AX1008" s="2168"/>
      <c r="AY1008" s="2168"/>
      <c r="AZ1008" s="2168"/>
      <c r="BA1008" s="2168"/>
      <c r="BB1008" s="2168"/>
      <c r="BC1008" s="2168"/>
      <c r="BD1008" s="2168"/>
      <c r="BE1008" s="2168"/>
      <c r="BF1008" s="2168"/>
      <c r="BG1008" s="2168"/>
      <c r="BH1008" s="2167"/>
    </row>
    <row r="1009" spans="1:60" ht="14.25" customHeight="1">
      <c r="A1009" s="1"/>
      <c r="B1009" s="1"/>
      <c r="C1009" s="1"/>
      <c r="D1009" s="1606" t="s">
        <v>3144</v>
      </c>
      <c r="E1009" s="1438"/>
      <c r="F1009" s="346"/>
      <c r="G1009" s="346"/>
      <c r="H1009" s="346"/>
      <c r="I1009" s="346"/>
      <c r="J1009" s="346"/>
      <c r="K1009" s="346"/>
      <c r="L1009" s="346"/>
      <c r="M1009" s="346"/>
      <c r="N1009" s="346"/>
      <c r="O1009" s="346"/>
      <c r="P1009" s="346"/>
      <c r="Q1009" s="346"/>
      <c r="R1009" s="346"/>
      <c r="S1009" s="346"/>
      <c r="T1009" s="346"/>
      <c r="U1009" s="346"/>
      <c r="V1009" s="126"/>
      <c r="W1009" s="126"/>
      <c r="X1009" s="126"/>
      <c r="Y1009" s="707"/>
      <c r="Z1009" s="707"/>
      <c r="AA1009" s="707"/>
      <c r="AB1009" s="707"/>
      <c r="AC1009" s="707"/>
      <c r="AD1009" s="707"/>
      <c r="AE1009" s="707"/>
      <c r="AF1009" s="707">
        <f>FISCinyear!IM687</f>
        <v>0</v>
      </c>
      <c r="AG1009" s="707">
        <f>FISCinyear!IP687</f>
        <v>13.710681521000001</v>
      </c>
      <c r="AH1009" s="707">
        <f>FISCinyear!IS687</f>
        <v>15.130781493000001</v>
      </c>
      <c r="AI1009" s="707">
        <f>FISCinyear!IV687</f>
        <v>15.757583561000001</v>
      </c>
      <c r="AJ1009" s="1999">
        <v>17.796982810055678</v>
      </c>
      <c r="AK1009" s="126">
        <v>20.330243796216074</v>
      </c>
      <c r="AL1009" s="126">
        <v>21.510252886349313</v>
      </c>
      <c r="AM1009" s="126">
        <v>25.661199018147244</v>
      </c>
      <c r="AN1009" s="126">
        <v>28.715416217827794</v>
      </c>
      <c r="AO1009" s="126">
        <v>27.188307617987519</v>
      </c>
      <c r="AP1009" s="126">
        <f>AO1009</f>
        <v>27.188307617987519</v>
      </c>
      <c r="AQ1009" s="126">
        <f t="shared" ref="AQ1009:AT1009" si="1244">AVERAGE(AO1009:AP1009)</f>
        <v>27.188307617987519</v>
      </c>
      <c r="AR1009" s="126">
        <f t="shared" si="1244"/>
        <v>27.188307617987519</v>
      </c>
      <c r="AS1009" s="126">
        <f t="shared" si="1244"/>
        <v>27.188307617987519</v>
      </c>
      <c r="AT1009" s="126">
        <f t="shared" si="1244"/>
        <v>27.188307617987519</v>
      </c>
      <c r="AV1009" s="2168"/>
      <c r="AW1009" s="2168"/>
      <c r="AX1009" s="2168"/>
      <c r="AY1009" s="2168"/>
      <c r="AZ1009" s="2168"/>
      <c r="BA1009" s="2168"/>
      <c r="BB1009" s="2168"/>
      <c r="BC1009" s="2168"/>
      <c r="BD1009" s="2168"/>
      <c r="BE1009" s="2168"/>
      <c r="BF1009" s="2168"/>
      <c r="BG1009" s="2168"/>
      <c r="BH1009" s="2167"/>
    </row>
    <row r="1010" spans="1:60" ht="14.25" customHeight="1">
      <c r="A1010" s="1"/>
      <c r="B1010" s="1"/>
      <c r="C1010" s="1"/>
      <c r="D1010" s="1606" t="s">
        <v>3132</v>
      </c>
      <c r="E1010" s="1438" t="s">
        <v>30</v>
      </c>
      <c r="F1010" s="346"/>
      <c r="G1010" s="346"/>
      <c r="H1010" s="346"/>
      <c r="I1010" s="346"/>
      <c r="J1010" s="346"/>
      <c r="K1010" s="346"/>
      <c r="L1010" s="346"/>
      <c r="M1010" s="346"/>
      <c r="N1010" s="346"/>
      <c r="O1010" s="346"/>
      <c r="P1010" s="346"/>
      <c r="Q1010" s="346"/>
      <c r="R1010" s="346"/>
      <c r="S1010" s="346"/>
      <c r="T1010" s="346"/>
      <c r="U1010" s="346"/>
      <c r="V1010" s="126"/>
      <c r="W1010" s="126"/>
      <c r="X1010" s="126"/>
      <c r="Y1010" s="707"/>
      <c r="Z1010" s="707"/>
      <c r="AA1010" s="707"/>
      <c r="AB1010" s="707"/>
      <c r="AC1010" s="707"/>
      <c r="AD1010" s="707"/>
      <c r="AE1010" s="707"/>
      <c r="AF1010" s="707">
        <f>FISCinyear!IM688</f>
        <v>0</v>
      </c>
      <c r="AG1010" s="707">
        <f>FISCinyear!IP688</f>
        <v>14.651173965598407</v>
      </c>
      <c r="AH1010" s="707">
        <f>FISCinyear!IS688</f>
        <v>47.711380504621999</v>
      </c>
      <c r="AI1010" s="707">
        <f>FISCinyear!IV688</f>
        <v>55.384795800000006</v>
      </c>
      <c r="AJ1010" s="2000">
        <v>63.892330160951204</v>
      </c>
      <c r="AK1010" s="989">
        <v>81.103994720900815</v>
      </c>
      <c r="AL1010" s="989">
        <v>85.301645703940707</v>
      </c>
      <c r="AM1010" s="989">
        <v>100.99410181878766</v>
      </c>
      <c r="AN1010" s="126">
        <v>112.24429719143173</v>
      </c>
      <c r="AO1010" s="126">
        <v>106.61919950510969</v>
      </c>
      <c r="AP1010" s="126">
        <f>AO1010</f>
        <v>106.61919950510969</v>
      </c>
      <c r="AQ1010" s="126">
        <f t="shared" ref="AQ1010:AT1010" si="1245">AVERAGE(AO1010:AP1010)</f>
        <v>106.61919950510969</v>
      </c>
      <c r="AR1010" s="126">
        <f t="shared" si="1245"/>
        <v>106.61919950510969</v>
      </c>
      <c r="AS1010" s="126">
        <f t="shared" si="1245"/>
        <v>106.61919950510969</v>
      </c>
      <c r="AT1010" s="126">
        <f t="shared" si="1245"/>
        <v>106.61919950510969</v>
      </c>
      <c r="AV1010" s="2168"/>
      <c r="AW1010" s="2168"/>
      <c r="AX1010" s="2168"/>
      <c r="AY1010" s="2168"/>
      <c r="AZ1010" s="2168"/>
      <c r="BA1010" s="2168"/>
      <c r="BB1010" s="2168"/>
      <c r="BC1010" s="2168"/>
      <c r="BD1010" s="2168"/>
      <c r="BE1010" s="2168"/>
      <c r="BF1010" s="2168"/>
      <c r="BG1010" s="2168"/>
      <c r="BH1010" s="2167"/>
    </row>
    <row r="1011" spans="1:60" ht="14.25" customHeight="1">
      <c r="A1011" s="1"/>
      <c r="B1011" s="1"/>
      <c r="C1011" s="1"/>
      <c r="D1011" s="383" t="s">
        <v>513</v>
      </c>
      <c r="E1011" s="1438" t="s">
        <v>30</v>
      </c>
      <c r="F1011" s="346"/>
      <c r="G1011" s="346"/>
      <c r="H1011" s="346"/>
      <c r="I1011" s="346"/>
      <c r="J1011" s="346"/>
      <c r="K1011" s="346"/>
      <c r="L1011" s="346"/>
      <c r="M1011" s="346"/>
      <c r="N1011" s="346"/>
      <c r="O1011" s="346"/>
      <c r="P1011" s="346"/>
      <c r="Q1011" s="346"/>
      <c r="R1011" s="346"/>
      <c r="S1011" s="346"/>
      <c r="T1011" s="346"/>
      <c r="U1011" s="346"/>
      <c r="V1011" s="126">
        <v>0</v>
      </c>
      <c r="W1011" s="126">
        <v>0</v>
      </c>
      <c r="X1011" s="126">
        <v>0</v>
      </c>
      <c r="Y1011" s="707">
        <f>FISCinyear!HR689</f>
        <v>0</v>
      </c>
      <c r="Z1011" s="707">
        <f>FISCinyear!HU689</f>
        <v>0</v>
      </c>
      <c r="AA1011" s="707">
        <f>FISCinyear!HX689</f>
        <v>0</v>
      </c>
      <c r="AB1011" s="707">
        <f>FISCinyear!IA689</f>
        <v>0</v>
      </c>
      <c r="AC1011" s="707">
        <f>FISCinyear!ID689</f>
        <v>0</v>
      </c>
      <c r="AD1011" s="707">
        <f>FISCinyear!IG689</f>
        <v>0</v>
      </c>
      <c r="AE1011" s="707">
        <f>FISCinyear!IJ689</f>
        <v>0</v>
      </c>
      <c r="AF1011" s="707">
        <f>FISCinyear!IM689</f>
        <v>0</v>
      </c>
      <c r="AG1011" s="707">
        <f>FISCinyear!IP689</f>
        <v>0</v>
      </c>
      <c r="AH1011" s="707">
        <f>FISCinyear!IS689</f>
        <v>0</v>
      </c>
      <c r="AI1011" s="707">
        <f>FISCinyear!IV689</f>
        <v>0</v>
      </c>
      <c r="AJ1011" s="707">
        <f t="shared" ref="AJ1011:AT1011" si="1246">AJ480*AJ404</f>
        <v>0</v>
      </c>
      <c r="AK1011" s="126">
        <f t="shared" si="1246"/>
        <v>0</v>
      </c>
      <c r="AL1011" s="126">
        <f t="shared" si="1246"/>
        <v>0</v>
      </c>
      <c r="AM1011" s="126">
        <f t="shared" si="1246"/>
        <v>0</v>
      </c>
      <c r="AN1011" s="126">
        <f t="shared" si="1246"/>
        <v>0</v>
      </c>
      <c r="AO1011" s="126">
        <f t="shared" si="1246"/>
        <v>0</v>
      </c>
      <c r="AP1011" s="126">
        <f t="shared" si="1246"/>
        <v>0</v>
      </c>
      <c r="AQ1011" s="126">
        <f t="shared" si="1246"/>
        <v>0</v>
      </c>
      <c r="AR1011" s="126">
        <f t="shared" si="1246"/>
        <v>0</v>
      </c>
      <c r="AS1011" s="126">
        <f t="shared" si="1246"/>
        <v>0</v>
      </c>
      <c r="AT1011" s="126">
        <f t="shared" si="1246"/>
        <v>0</v>
      </c>
      <c r="AV1011" s="2168"/>
      <c r="AW1011" s="2168"/>
      <c r="AX1011" s="2168"/>
      <c r="AY1011" s="2168"/>
      <c r="AZ1011" s="2168"/>
      <c r="BA1011" s="2168"/>
      <c r="BB1011" s="2168"/>
      <c r="BC1011" s="2168"/>
      <c r="BD1011" s="2168"/>
      <c r="BE1011" s="2168"/>
      <c r="BF1011" s="2168"/>
      <c r="BG1011" s="2168"/>
      <c r="BH1011" s="2167"/>
    </row>
    <row r="1012" spans="1:60" ht="14.25" customHeight="1">
      <c r="A1012" s="1"/>
      <c r="B1012" s="1"/>
      <c r="C1012" s="1"/>
      <c r="D1012" s="383" t="s">
        <v>514</v>
      </c>
      <c r="E1012" s="1438" t="s">
        <v>30</v>
      </c>
      <c r="F1012" s="346"/>
      <c r="G1012" s="346"/>
      <c r="H1012" s="346"/>
      <c r="I1012" s="346"/>
      <c r="J1012" s="346"/>
      <c r="K1012" s="346"/>
      <c r="L1012" s="346"/>
      <c r="M1012" s="346"/>
      <c r="N1012" s="346"/>
      <c r="O1012" s="346"/>
      <c r="P1012" s="346"/>
      <c r="Q1012" s="346"/>
      <c r="R1012" s="346"/>
      <c r="S1012" s="346"/>
      <c r="T1012" s="346"/>
      <c r="U1012" s="346"/>
      <c r="V1012" s="126">
        <v>0</v>
      </c>
      <c r="W1012" s="126">
        <v>0</v>
      </c>
      <c r="X1012" s="126">
        <v>0</v>
      </c>
      <c r="Y1012" s="707">
        <f>FISCinyear!HR690</f>
        <v>0</v>
      </c>
      <c r="Z1012" s="707">
        <f>FISCinyear!HU690</f>
        <v>0</v>
      </c>
      <c r="AA1012" s="707">
        <f>FISCinyear!HX690</f>
        <v>0</v>
      </c>
      <c r="AB1012" s="707">
        <f>FISCinyear!IA690</f>
        <v>0</v>
      </c>
      <c r="AC1012" s="707">
        <f>FISCinyear!ID690</f>
        <v>0</v>
      </c>
      <c r="AD1012" s="707">
        <f>FISCinyear!IG690</f>
        <v>0</v>
      </c>
      <c r="AE1012" s="707">
        <f>FISCinyear!IJ690</f>
        <v>1.1344763579999999</v>
      </c>
      <c r="AF1012" s="707">
        <f>FISCinyear!IM690</f>
        <v>0.70106161728148952</v>
      </c>
      <c r="AG1012" s="707">
        <f>FISCinyear!IP690</f>
        <v>1.689112855058116</v>
      </c>
      <c r="AH1012" s="707">
        <f>FISCinyear!IS690</f>
        <v>0</v>
      </c>
      <c r="AI1012" s="707">
        <f>FISCinyear!IV690</f>
        <v>3.9784281759999995</v>
      </c>
      <c r="AJ1012" s="707">
        <f>(AJ484*AJ404)</f>
        <v>1.1200000000000001</v>
      </c>
      <c r="AK1012" s="707">
        <f>(AK484*AK404)</f>
        <v>5.6603230942034797</v>
      </c>
      <c r="AL1012" s="707">
        <f>(AL484*AL404)</f>
        <v>6.36522535472099</v>
      </c>
      <c r="AM1012" s="707">
        <f>(AM484*AM404)</f>
        <v>7.1683492552541512</v>
      </c>
      <c r="AN1012" s="707">
        <f>(AN484*AN404)</f>
        <v>8.0830444254582812</v>
      </c>
      <c r="AO1012" s="126">
        <f t="shared" ref="AO1012:AT1012" si="1247">AO484*AO404</f>
        <v>7.8081208822816004</v>
      </c>
      <c r="AP1012" s="126">
        <f t="shared" si="1247"/>
        <v>16.423733153949389</v>
      </c>
      <c r="AQ1012" s="126">
        <f t="shared" si="1247"/>
        <v>33.473745282949018</v>
      </c>
      <c r="AR1012" s="126">
        <f t="shared" si="1247"/>
        <v>86.705121702458385</v>
      </c>
      <c r="AS1012" s="126">
        <f t="shared" si="1247"/>
        <v>-160.70933407769573</v>
      </c>
      <c r="AT1012" s="126">
        <f t="shared" si="1247"/>
        <v>-883.52632105965245</v>
      </c>
      <c r="AV1012" s="2168"/>
      <c r="AW1012" s="2168"/>
      <c r="AX1012" s="2168"/>
      <c r="AY1012" s="2168"/>
      <c r="AZ1012" s="2168"/>
      <c r="BA1012" s="2168"/>
      <c r="BB1012" s="2168"/>
      <c r="BC1012" s="2168"/>
      <c r="BD1012" s="2168"/>
      <c r="BE1012" s="2168"/>
      <c r="BF1012" s="2168"/>
      <c r="BG1012" s="2168"/>
      <c r="BH1012" s="2167"/>
    </row>
    <row r="1013" spans="1:60" ht="14.25" customHeight="1">
      <c r="A1013" s="1"/>
      <c r="B1013" s="1"/>
      <c r="C1013" s="1"/>
      <c r="D1013" s="383" t="s">
        <v>515</v>
      </c>
      <c r="E1013" s="1438" t="s">
        <v>30</v>
      </c>
      <c r="F1013" s="346"/>
      <c r="G1013" s="346"/>
      <c r="H1013" s="346"/>
      <c r="I1013" s="346"/>
      <c r="J1013" s="346"/>
      <c r="K1013" s="346"/>
      <c r="L1013" s="346"/>
      <c r="M1013" s="346"/>
      <c r="N1013" s="346"/>
      <c r="O1013" s="346"/>
      <c r="P1013" s="346"/>
      <c r="Q1013" s="346"/>
      <c r="R1013" s="346"/>
      <c r="S1013" s="346"/>
      <c r="T1013" s="346"/>
      <c r="U1013" s="346"/>
      <c r="V1013" s="126">
        <v>0</v>
      </c>
      <c r="W1013" s="126">
        <v>0</v>
      </c>
      <c r="X1013" s="126">
        <v>0</v>
      </c>
      <c r="Y1013" s="707">
        <f>FISCinyear!HR691</f>
        <v>0</v>
      </c>
      <c r="Z1013" s="707">
        <f>FISCinyear!HU691</f>
        <v>4.5448941400000002</v>
      </c>
      <c r="AA1013" s="707">
        <f>FISCinyear!HX691</f>
        <v>36.706445015572911</v>
      </c>
      <c r="AB1013" s="707">
        <f>FISCinyear!IA691</f>
        <v>0</v>
      </c>
      <c r="AC1013" s="707">
        <f>FISCinyear!ID691</f>
        <v>0</v>
      </c>
      <c r="AD1013" s="707">
        <f>FISCinyear!IG691</f>
        <v>2.4628950000000001</v>
      </c>
      <c r="AE1013" s="707">
        <f>FISCinyear!IJ691</f>
        <v>13.75526826782434</v>
      </c>
      <c r="AF1013" s="707">
        <f>FISCinyear!IM691</f>
        <v>6.9424784804267068</v>
      </c>
      <c r="AG1013" s="707">
        <f>FISCinyear!IP691</f>
        <v>7.1954072838542515</v>
      </c>
      <c r="AH1013" s="707">
        <f>FISCinyear!IS691</f>
        <v>0</v>
      </c>
      <c r="AI1013" s="707">
        <f>FISCinyear!IV691</f>
        <v>0</v>
      </c>
      <c r="AJ1013" s="707">
        <f t="shared" ref="AJ1013:AT1013" si="1248">(AJ488*AJ404)</f>
        <v>0</v>
      </c>
      <c r="AK1013" s="126">
        <f t="shared" si="1248"/>
        <v>0</v>
      </c>
      <c r="AL1013" s="126">
        <f t="shared" si="1248"/>
        <v>0</v>
      </c>
      <c r="AM1013" s="126">
        <f t="shared" si="1248"/>
        <v>0</v>
      </c>
      <c r="AN1013" s="126">
        <f t="shared" si="1248"/>
        <v>0</v>
      </c>
      <c r="AO1013" s="126">
        <f t="shared" si="1248"/>
        <v>0</v>
      </c>
      <c r="AP1013" s="126">
        <f t="shared" si="1248"/>
        <v>0</v>
      </c>
      <c r="AQ1013" s="126">
        <f t="shared" si="1248"/>
        <v>0</v>
      </c>
      <c r="AR1013" s="126">
        <f t="shared" si="1248"/>
        <v>0</v>
      </c>
      <c r="AS1013" s="126">
        <f t="shared" si="1248"/>
        <v>0</v>
      </c>
      <c r="AT1013" s="126">
        <f t="shared" si="1248"/>
        <v>0</v>
      </c>
      <c r="AV1013" s="2168"/>
      <c r="AW1013" s="2168"/>
      <c r="AX1013" s="2168"/>
      <c r="AY1013" s="2168"/>
      <c r="AZ1013" s="2168"/>
      <c r="BA1013" s="2168"/>
      <c r="BB1013" s="2168"/>
      <c r="BC1013" s="2168"/>
      <c r="BD1013" s="2168"/>
      <c r="BE1013" s="2168"/>
      <c r="BF1013" s="2168"/>
      <c r="BG1013" s="2168"/>
      <c r="BH1013" s="2167"/>
    </row>
    <row r="1014" spans="1:60" ht="14.25" customHeight="1">
      <c r="A1014" s="1"/>
      <c r="B1014" s="1"/>
      <c r="C1014" s="1"/>
      <c r="D1014" s="383" t="s">
        <v>516</v>
      </c>
      <c r="E1014" s="1438" t="s">
        <v>2402</v>
      </c>
      <c r="F1014" s="346"/>
      <c r="G1014" s="346"/>
      <c r="H1014" s="346"/>
      <c r="I1014" s="346"/>
      <c r="J1014" s="346"/>
      <c r="K1014" s="346"/>
      <c r="L1014" s="346"/>
      <c r="M1014" s="346"/>
      <c r="N1014" s="346"/>
      <c r="O1014" s="346"/>
      <c r="P1014" s="346"/>
      <c r="Q1014" s="346"/>
      <c r="R1014" s="346"/>
      <c r="S1014" s="346"/>
      <c r="T1014" s="346"/>
      <c r="U1014" s="346"/>
      <c r="V1014" s="126">
        <v>0</v>
      </c>
      <c r="W1014" s="126">
        <v>0</v>
      </c>
      <c r="X1014" s="126">
        <v>0</v>
      </c>
      <c r="Y1014" s="707">
        <f>FISCinyear!HR692</f>
        <v>0</v>
      </c>
      <c r="Z1014" s="707">
        <f>FISCinyear!HU692</f>
        <v>5.6999999999999996E-5</v>
      </c>
      <c r="AA1014" s="707">
        <f>FISCinyear!HX692</f>
        <v>6.3600356013492518E-5</v>
      </c>
      <c r="AB1014" s="707">
        <f>FISCinyear!IA692</f>
        <v>0</v>
      </c>
      <c r="AC1014" s="707">
        <f>FISCinyear!ID692</f>
        <v>0</v>
      </c>
      <c r="AD1014" s="707">
        <f>FISCinyear!IG692</f>
        <v>2.4628950000000001</v>
      </c>
      <c r="AE1014" s="707">
        <f>FISCinyear!IJ692</f>
        <v>0</v>
      </c>
      <c r="AF1014" s="707">
        <f>FISCinyear!IM692</f>
        <v>0</v>
      </c>
      <c r="AG1014" s="707">
        <f>FISCinyear!IP692</f>
        <v>0</v>
      </c>
      <c r="AH1014" s="707">
        <f>FISCinyear!IS692</f>
        <v>0</v>
      </c>
      <c r="AI1014" s="707">
        <f>FISCinyear!IV692</f>
        <v>0</v>
      </c>
      <c r="AJ1014" s="126">
        <f t="shared" ref="AJ1014:AT1014" si="1249">AJ492*AJ407</f>
        <v>0</v>
      </c>
      <c r="AK1014" s="126">
        <f t="shared" si="1249"/>
        <v>0</v>
      </c>
      <c r="AL1014" s="126">
        <f t="shared" si="1249"/>
        <v>0</v>
      </c>
      <c r="AM1014" s="126">
        <f t="shared" si="1249"/>
        <v>0</v>
      </c>
      <c r="AN1014" s="126">
        <f t="shared" si="1249"/>
        <v>0</v>
      </c>
      <c r="AO1014" s="126">
        <f t="shared" si="1249"/>
        <v>0</v>
      </c>
      <c r="AP1014" s="126">
        <f t="shared" si="1249"/>
        <v>0</v>
      </c>
      <c r="AQ1014" s="126">
        <f t="shared" si="1249"/>
        <v>0</v>
      </c>
      <c r="AR1014" s="126">
        <f t="shared" si="1249"/>
        <v>0</v>
      </c>
      <c r="AS1014" s="126">
        <f t="shared" si="1249"/>
        <v>0</v>
      </c>
      <c r="AT1014" s="126">
        <f t="shared" si="1249"/>
        <v>0</v>
      </c>
      <c r="AV1014" s="2168"/>
      <c r="AW1014" s="2168"/>
      <c r="AX1014" s="2168"/>
      <c r="AY1014" s="2168"/>
      <c r="AZ1014" s="2168"/>
      <c r="BA1014" s="2168"/>
      <c r="BB1014" s="2168"/>
      <c r="BC1014" s="2168"/>
      <c r="BD1014" s="2168"/>
      <c r="BE1014" s="2168"/>
      <c r="BF1014" s="2168"/>
      <c r="BG1014" s="2168"/>
      <c r="BH1014" s="2167"/>
    </row>
    <row r="1015" spans="1:60" ht="14.25" customHeight="1">
      <c r="A1015" s="1"/>
      <c r="B1015" s="1"/>
      <c r="C1015" s="1"/>
      <c r="D1015" s="383" t="s">
        <v>517</v>
      </c>
      <c r="E1015" s="1438" t="s">
        <v>30</v>
      </c>
      <c r="F1015" s="346"/>
      <c r="G1015" s="346"/>
      <c r="H1015" s="346"/>
      <c r="I1015" s="346"/>
      <c r="J1015" s="346"/>
      <c r="K1015" s="346"/>
      <c r="L1015" s="346"/>
      <c r="M1015" s="346"/>
      <c r="N1015" s="346"/>
      <c r="O1015" s="346"/>
      <c r="P1015" s="346"/>
      <c r="Q1015" s="346"/>
      <c r="R1015" s="346"/>
      <c r="S1015" s="346"/>
      <c r="T1015" s="346"/>
      <c r="U1015" s="346"/>
      <c r="V1015" s="126">
        <v>0</v>
      </c>
      <c r="W1015" s="126">
        <v>0</v>
      </c>
      <c r="X1015" s="126">
        <v>0</v>
      </c>
      <c r="Y1015" s="707">
        <f>FISCinyear!HR693</f>
        <v>0</v>
      </c>
      <c r="Z1015" s="707">
        <f>FISCinyear!HU693</f>
        <v>4.5448371399999994</v>
      </c>
      <c r="AA1015" s="707">
        <f>FISCinyear!HX693</f>
        <v>36.706381415216896</v>
      </c>
      <c r="AB1015" s="707">
        <f>FISCinyear!IA693</f>
        <v>0</v>
      </c>
      <c r="AC1015" s="707">
        <f>FISCinyear!ID693</f>
        <v>0</v>
      </c>
      <c r="AD1015" s="707">
        <f>FISCinyear!IG693</f>
        <v>0</v>
      </c>
      <c r="AE1015" s="707">
        <f>FISCinyear!IJ693</f>
        <v>14.021075576824341</v>
      </c>
      <c r="AF1015" s="707">
        <f>FISCinyear!IM693</f>
        <v>6.9436724350000008</v>
      </c>
      <c r="AG1015" s="707">
        <f>FISCinyear!IP693</f>
        <v>7.2622734240034506</v>
      </c>
      <c r="AH1015" s="707">
        <f>FISCinyear!IS693</f>
        <v>0</v>
      </c>
      <c r="AI1015" s="707">
        <f>FISCinyear!IV693</f>
        <v>12.926036042000002</v>
      </c>
      <c r="AJ1015" s="1999">
        <f>(AJ496*AJ404)</f>
        <v>24.661357284138859</v>
      </c>
      <c r="AK1015" s="126">
        <f t="shared" ref="AK1015:AT1015" si="1250">AK496*AK404</f>
        <v>29.991801639324297</v>
      </c>
      <c r="AL1015" s="126">
        <f t="shared" si="1250"/>
        <v>33.467372842364796</v>
      </c>
      <c r="AM1015" s="126">
        <f t="shared" si="1250"/>
        <v>37.751936912749741</v>
      </c>
      <c r="AN1015" s="126">
        <f t="shared" si="1250"/>
        <v>35.591045586924409</v>
      </c>
      <c r="AO1015" s="126">
        <f t="shared" si="1250"/>
        <v>41.441419195786359</v>
      </c>
      <c r="AP1015" s="126">
        <f t="shared" si="1250"/>
        <v>44.38502074313493</v>
      </c>
      <c r="AQ1015" s="126">
        <f t="shared" si="1250"/>
        <v>46.062267126860249</v>
      </c>
      <c r="AR1015" s="126">
        <f t="shared" si="1250"/>
        <v>60.752228073177363</v>
      </c>
      <c r="AS1015" s="126">
        <f t="shared" si="1250"/>
        <v>-57.337006489224471</v>
      </c>
      <c r="AT1015" s="126">
        <f t="shared" si="1250"/>
        <v>-160.50547867586974</v>
      </c>
      <c r="AV1015" s="2168"/>
      <c r="AW1015" s="2168"/>
      <c r="AX1015" s="2168"/>
      <c r="AY1015" s="2168"/>
      <c r="AZ1015" s="2168"/>
      <c r="BA1015" s="2168"/>
      <c r="BB1015" s="2168"/>
      <c r="BC1015" s="2168"/>
      <c r="BD1015" s="2168"/>
      <c r="BE1015" s="2168"/>
      <c r="BF1015" s="2168"/>
      <c r="BG1015" s="2168"/>
      <c r="BH1015" s="2167"/>
    </row>
    <row r="1016" spans="1:60" ht="14.25" customHeight="1">
      <c r="A1016" s="1"/>
      <c r="B1016" s="1"/>
      <c r="C1016" s="1"/>
      <c r="D1016" s="1606" t="s">
        <v>3127</v>
      </c>
      <c r="E1016" s="1438"/>
      <c r="F1016" s="346"/>
      <c r="G1016" s="346"/>
      <c r="H1016" s="346"/>
      <c r="I1016" s="346"/>
      <c r="J1016" s="346"/>
      <c r="K1016" s="346"/>
      <c r="L1016" s="346"/>
      <c r="M1016" s="346"/>
      <c r="N1016" s="346"/>
      <c r="O1016" s="346"/>
      <c r="P1016" s="346"/>
      <c r="Q1016" s="346"/>
      <c r="R1016" s="346"/>
      <c r="S1016" s="346"/>
      <c r="T1016" s="346"/>
      <c r="U1016" s="346"/>
      <c r="V1016" s="126"/>
      <c r="W1016" s="126"/>
      <c r="X1016" s="126"/>
      <c r="Y1016" s="707"/>
      <c r="Z1016" s="707"/>
      <c r="AA1016" s="707"/>
      <c r="AB1016" s="707"/>
      <c r="AC1016" s="707"/>
      <c r="AD1016" s="707"/>
      <c r="AE1016" s="707"/>
      <c r="AF1016" s="707">
        <f>FISCinyear!IM694</f>
        <v>0</v>
      </c>
      <c r="AG1016" s="707">
        <f>FISCinyear!IP694</f>
        <v>7.2622734240034506</v>
      </c>
      <c r="AH1016" s="707">
        <f>FISCinyear!IS694</f>
        <v>7.3999999989999985</v>
      </c>
      <c r="AI1016" s="707">
        <f>FISCinyear!IV694</f>
        <v>12.926036042000002</v>
      </c>
      <c r="AJ1016" s="1999">
        <v>17.971991652286473</v>
      </c>
      <c r="AK1016" s="126">
        <v>22.752241782974497</v>
      </c>
      <c r="AL1016" s="126">
        <v>25.894185975221699</v>
      </c>
      <c r="AM1016" s="126">
        <v>27.914468976207502</v>
      </c>
      <c r="AN1016" s="126">
        <v>29.434235137207502</v>
      </c>
      <c r="AO1016" s="126">
        <f>AVERAGE(AM1016:AN1016)</f>
        <v>28.674352056707502</v>
      </c>
      <c r="AP1016" s="126">
        <f t="shared" ref="AP1016:AT1016" si="1251">AVERAGE(AN1016:AO1016)</f>
        <v>29.0542935969575</v>
      </c>
      <c r="AQ1016" s="126">
        <f t="shared" si="1251"/>
        <v>28.864322826832499</v>
      </c>
      <c r="AR1016" s="126">
        <f t="shared" si="1251"/>
        <v>28.959308211894999</v>
      </c>
      <c r="AS1016" s="126">
        <f t="shared" si="1251"/>
        <v>28.911815519363749</v>
      </c>
      <c r="AT1016" s="126">
        <f t="shared" si="1251"/>
        <v>28.935561865629374</v>
      </c>
      <c r="AV1016" s="2168"/>
      <c r="AW1016" s="2168"/>
      <c r="AX1016" s="2168"/>
      <c r="AY1016" s="2168"/>
      <c r="AZ1016" s="2168"/>
      <c r="BA1016" s="2168"/>
      <c r="BB1016" s="2168"/>
      <c r="BC1016" s="2168"/>
      <c r="BD1016" s="2168"/>
      <c r="BE1016" s="2168"/>
      <c r="BF1016" s="2168"/>
      <c r="BG1016" s="2168"/>
      <c r="BH1016" s="2167"/>
    </row>
    <row r="1017" spans="1:60" ht="14.25" customHeight="1">
      <c r="A1017" s="1"/>
      <c r="B1017" s="1"/>
      <c r="C1017" s="1"/>
      <c r="D1017" s="1678" t="s">
        <v>504</v>
      </c>
      <c r="E1017" s="1438" t="s">
        <v>30</v>
      </c>
      <c r="F1017" s="346"/>
      <c r="G1017" s="346"/>
      <c r="H1017" s="346"/>
      <c r="I1017" s="346"/>
      <c r="J1017" s="346"/>
      <c r="K1017" s="346"/>
      <c r="L1017" s="346"/>
      <c r="M1017" s="346"/>
      <c r="N1017" s="346"/>
      <c r="O1017" s="346"/>
      <c r="P1017" s="346"/>
      <c r="Q1017" s="346"/>
      <c r="R1017" s="346"/>
      <c r="S1017" s="346"/>
      <c r="T1017" s="346"/>
      <c r="U1017" s="346"/>
      <c r="V1017" s="126">
        <v>0</v>
      </c>
      <c r="W1017" s="126">
        <v>0</v>
      </c>
      <c r="X1017" s="126">
        <v>0</v>
      </c>
      <c r="Y1017" s="707">
        <f>FISCinyear!HR695</f>
        <v>0</v>
      </c>
      <c r="Z1017" s="707">
        <f>FISCinyear!HU695</f>
        <v>0</v>
      </c>
      <c r="AA1017" s="707">
        <f>FISCinyear!HX695</f>
        <v>0</v>
      </c>
      <c r="AB1017" s="707">
        <f>FISCinyear!IA695</f>
        <v>0</v>
      </c>
      <c r="AC1017" s="707">
        <f>FISCinyear!ID695</f>
        <v>0</v>
      </c>
      <c r="AD1017" s="707">
        <f>FISCinyear!IG695</f>
        <v>0</v>
      </c>
      <c r="AE1017" s="707">
        <f>FISCinyear!IJ695</f>
        <v>0</v>
      </c>
      <c r="AF1017" s="707">
        <f>FISCinyear!IM695</f>
        <v>0</v>
      </c>
      <c r="AG1017" s="707">
        <f>FISCinyear!IP695</f>
        <v>0</v>
      </c>
      <c r="AH1017" s="707">
        <f>FISCinyear!IS695</f>
        <v>0</v>
      </c>
      <c r="AI1017" s="707">
        <f>FISCinyear!IV695</f>
        <v>0.15476923696884104</v>
      </c>
      <c r="AJ1017" s="1651">
        <f t="shared" ref="AJ1017:AT1017" si="1252">AJ447*AJ404</f>
        <v>0</v>
      </c>
      <c r="AK1017" s="1651">
        <f t="shared" si="1252"/>
        <v>0</v>
      </c>
      <c r="AL1017" s="1651">
        <f t="shared" si="1252"/>
        <v>0</v>
      </c>
      <c r="AM1017" s="1651">
        <f t="shared" si="1252"/>
        <v>0</v>
      </c>
      <c r="AN1017" s="1651">
        <f t="shared" si="1252"/>
        <v>0</v>
      </c>
      <c r="AO1017" s="1651">
        <f t="shared" si="1252"/>
        <v>0</v>
      </c>
      <c r="AP1017" s="1651">
        <f t="shared" si="1252"/>
        <v>0</v>
      </c>
      <c r="AQ1017" s="1651">
        <f t="shared" si="1252"/>
        <v>0</v>
      </c>
      <c r="AR1017" s="1651">
        <f t="shared" si="1252"/>
        <v>0</v>
      </c>
      <c r="AS1017" s="1651">
        <f t="shared" si="1252"/>
        <v>0</v>
      </c>
      <c r="AT1017" s="1651">
        <f t="shared" si="1252"/>
        <v>0</v>
      </c>
      <c r="AV1017" s="2168"/>
      <c r="AW1017" s="2168"/>
      <c r="AX1017" s="2168"/>
      <c r="AY1017" s="2168"/>
      <c r="AZ1017" s="2168"/>
      <c r="BA1017" s="2168"/>
      <c r="BB1017" s="2168"/>
      <c r="BC1017" s="2168"/>
      <c r="BD1017" s="2168"/>
      <c r="BE1017" s="2168"/>
      <c r="BF1017" s="2168"/>
      <c r="BG1017" s="2168"/>
      <c r="BH1017" s="2167"/>
    </row>
    <row r="1018" spans="1:60" ht="14.25" customHeight="1">
      <c r="A1018" s="1"/>
      <c r="B1018" s="1"/>
      <c r="C1018" s="1"/>
      <c r="D1018" s="383" t="s">
        <v>518</v>
      </c>
      <c r="E1018" s="1438" t="s">
        <v>30</v>
      </c>
      <c r="F1018" s="346"/>
      <c r="G1018" s="346"/>
      <c r="H1018" s="346"/>
      <c r="I1018" s="346"/>
      <c r="J1018" s="346"/>
      <c r="K1018" s="346"/>
      <c r="L1018" s="346"/>
      <c r="M1018" s="346"/>
      <c r="N1018" s="346"/>
      <c r="O1018" s="346"/>
      <c r="P1018" s="346"/>
      <c r="Q1018" s="346"/>
      <c r="R1018" s="346"/>
      <c r="S1018" s="346"/>
      <c r="T1018" s="346"/>
      <c r="U1018" s="346"/>
      <c r="V1018" s="126">
        <v>0</v>
      </c>
      <c r="W1018" s="126">
        <v>0</v>
      </c>
      <c r="X1018" s="126">
        <v>0</v>
      </c>
      <c r="Y1018" s="707">
        <f>FISCinyear!HR696</f>
        <v>0</v>
      </c>
      <c r="Z1018" s="707">
        <f>FISCinyear!HU696</f>
        <v>0</v>
      </c>
      <c r="AA1018" s="707">
        <f>FISCinyear!HX696</f>
        <v>0</v>
      </c>
      <c r="AB1018" s="707">
        <f>FISCinyear!IA696</f>
        <v>0</v>
      </c>
      <c r="AC1018" s="707">
        <f>FISCinyear!ID696</f>
        <v>0</v>
      </c>
      <c r="AD1018" s="707">
        <f>FISCinyear!IG696</f>
        <v>0</v>
      </c>
      <c r="AE1018" s="707">
        <f>FISCinyear!IJ696</f>
        <v>0</v>
      </c>
      <c r="AF1018" s="707">
        <f>FISCinyear!IM696</f>
        <v>0</v>
      </c>
      <c r="AG1018" s="707">
        <f>FISCinyear!IP696</f>
        <v>12.003413543999999</v>
      </c>
      <c r="AH1018" s="707">
        <f>FISCinyear!IS696</f>
        <v>0</v>
      </c>
      <c r="AI1018" s="707">
        <f>FISCinyear!IV696</f>
        <v>1.414137049994445</v>
      </c>
      <c r="AJ1018" s="126">
        <f t="shared" ref="AJ1018:AT1018" si="1253">(AJ500*AJ404)*0</f>
        <v>0</v>
      </c>
      <c r="AK1018" s="126">
        <f t="shared" si="1253"/>
        <v>0</v>
      </c>
      <c r="AL1018" s="126">
        <f t="shared" si="1253"/>
        <v>0</v>
      </c>
      <c r="AM1018" s="126">
        <f t="shared" si="1253"/>
        <v>0</v>
      </c>
      <c r="AN1018" s="126">
        <f t="shared" si="1253"/>
        <v>0</v>
      </c>
      <c r="AO1018" s="126">
        <f t="shared" si="1253"/>
        <v>0</v>
      </c>
      <c r="AP1018" s="126">
        <f t="shared" si="1253"/>
        <v>0</v>
      </c>
      <c r="AQ1018" s="126">
        <f t="shared" si="1253"/>
        <v>0</v>
      </c>
      <c r="AR1018" s="126">
        <f t="shared" si="1253"/>
        <v>0</v>
      </c>
      <c r="AS1018" s="126">
        <f t="shared" si="1253"/>
        <v>0</v>
      </c>
      <c r="AT1018" s="126">
        <f t="shared" si="1253"/>
        <v>0</v>
      </c>
      <c r="AV1018" s="2168"/>
      <c r="AW1018" s="2168"/>
      <c r="AX1018" s="2168"/>
      <c r="AY1018" s="2168"/>
      <c r="AZ1018" s="2168"/>
      <c r="BA1018" s="2168"/>
      <c r="BB1018" s="2168"/>
      <c r="BC1018" s="2168"/>
      <c r="BD1018" s="2168"/>
      <c r="BE1018" s="2168"/>
      <c r="BF1018" s="2168"/>
      <c r="BG1018" s="2168"/>
      <c r="BH1018" s="2167"/>
    </row>
    <row r="1019" spans="1:60" ht="14.25" customHeight="1">
      <c r="A1019" s="1"/>
      <c r="B1019" s="1"/>
      <c r="C1019" s="1437">
        <v>115</v>
      </c>
      <c r="D1019" s="381" t="str">
        <f>+FISCinyear!D697</f>
        <v xml:space="preserve">Taxes on international trade and transactions </v>
      </c>
      <c r="E1019" s="1438"/>
      <c r="F1019" s="346"/>
      <c r="G1019" s="346"/>
      <c r="H1019" s="346"/>
      <c r="I1019" s="346"/>
      <c r="J1019" s="346"/>
      <c r="K1019" s="346"/>
      <c r="L1019" s="346"/>
      <c r="M1019" s="346"/>
      <c r="N1019" s="346"/>
      <c r="O1019" s="346"/>
      <c r="P1019" s="346"/>
      <c r="Q1019" s="346"/>
      <c r="R1019" s="346"/>
      <c r="S1019" s="346"/>
      <c r="T1019" s="346"/>
      <c r="U1019" s="346"/>
      <c r="V1019" s="399">
        <f>SUM(V1020:V1027)</f>
        <v>0</v>
      </c>
      <c r="W1019" s="399">
        <f>SUM(W1020:W1027)</f>
        <v>0</v>
      </c>
      <c r="X1019" s="399">
        <f>SUM(X1020:X1027)</f>
        <v>0</v>
      </c>
      <c r="Y1019" s="1596">
        <f>FISCinyear!HR697</f>
        <v>56.172397320999998</v>
      </c>
      <c r="Z1019" s="1596">
        <f>FISCinyear!HU697</f>
        <v>64.284351485000002</v>
      </c>
      <c r="AA1019" s="1596">
        <f>FISCinyear!HX697</f>
        <v>75.812149962468069</v>
      </c>
      <c r="AB1019" s="1596">
        <f>FISCinyear!IA697</f>
        <v>80.659855556043809</v>
      </c>
      <c r="AC1019" s="1596">
        <f>FISCinyear!ID697</f>
        <v>83.543020431993199</v>
      </c>
      <c r="AD1019" s="1596">
        <f>FISCinyear!IG697</f>
        <v>111.745368744</v>
      </c>
      <c r="AE1019" s="1596">
        <f>FISCinyear!IJ697</f>
        <v>117.28148412138</v>
      </c>
      <c r="AF1019" s="1596">
        <f>FISCinyear!IM697</f>
        <v>123.74277988591115</v>
      </c>
      <c r="AG1019" s="1596">
        <f>FISCinyear!IP697</f>
        <v>133.01993913953143</v>
      </c>
      <c r="AH1019" s="1596">
        <f>FISCinyear!IS697</f>
        <v>211.6306274416647</v>
      </c>
      <c r="AI1019" s="1596">
        <f>FISCinyear!IV697</f>
        <v>194.48632030547415</v>
      </c>
      <c r="AJ1019" s="1998">
        <f>SUM(AJ1020,AJ1023:AJ1027)</f>
        <v>222.73695214449668</v>
      </c>
      <c r="AK1019" s="1998">
        <f t="shared" ref="AK1019:AT1019" si="1254">SUM(AK1020,AK1023:AK1027)</f>
        <v>239.07388466338222</v>
      </c>
      <c r="AL1019" s="1998">
        <f t="shared" si="1254"/>
        <v>275.76957105225569</v>
      </c>
      <c r="AM1019" s="1998">
        <f t="shared" si="1254"/>
        <v>333.17785624089498</v>
      </c>
      <c r="AN1019" s="1998">
        <f t="shared" si="1254"/>
        <v>384.13503415612513</v>
      </c>
      <c r="AO1019" s="1998">
        <f t="shared" si="1254"/>
        <v>423.31981565967789</v>
      </c>
      <c r="AP1019" s="1998">
        <f t="shared" si="1254"/>
        <v>464.22570677019752</v>
      </c>
      <c r="AQ1019" s="1998">
        <f t="shared" si="1254"/>
        <v>513.02701477140749</v>
      </c>
      <c r="AR1019" s="1998">
        <f t="shared" si="1254"/>
        <v>618.96746387105804</v>
      </c>
      <c r="AS1019" s="1998">
        <f t="shared" si="1254"/>
        <v>746.21646855333654</v>
      </c>
      <c r="AT1019" s="1998">
        <f t="shared" si="1254"/>
        <v>898.13146910344938</v>
      </c>
      <c r="AV1019" s="2168"/>
      <c r="AW1019" s="2168"/>
      <c r="AX1019" s="2168"/>
      <c r="AY1019" s="2168"/>
      <c r="AZ1019" s="2168"/>
      <c r="BA1019" s="2168"/>
      <c r="BB1019" s="2168"/>
      <c r="BC1019" s="2168"/>
      <c r="BD1019" s="2168"/>
      <c r="BE1019" s="2168"/>
      <c r="BF1019" s="2168"/>
      <c r="BG1019" s="2168"/>
      <c r="BH1019" s="2167"/>
    </row>
    <row r="1020" spans="1:60" ht="14.25" customHeight="1">
      <c r="A1020" s="1"/>
      <c r="B1020" s="1"/>
      <c r="C1020" s="1"/>
      <c r="D1020" s="383" t="s">
        <v>520</v>
      </c>
      <c r="E1020" s="1438" t="s">
        <v>2402</v>
      </c>
      <c r="F1020" s="346"/>
      <c r="G1020" s="346"/>
      <c r="H1020" s="346"/>
      <c r="I1020" s="346"/>
      <c r="J1020" s="346"/>
      <c r="K1020" s="346"/>
      <c r="L1020" s="346"/>
      <c r="M1020" s="346"/>
      <c r="N1020" s="346"/>
      <c r="O1020" s="346"/>
      <c r="P1020" s="346"/>
      <c r="Q1020" s="346"/>
      <c r="R1020" s="346"/>
      <c r="S1020" s="346"/>
      <c r="T1020" s="346"/>
      <c r="U1020" s="346"/>
      <c r="V1020" s="126">
        <v>0</v>
      </c>
      <c r="W1020" s="126">
        <v>0</v>
      </c>
      <c r="X1020" s="126">
        <v>0</v>
      </c>
      <c r="Y1020" s="707">
        <f>FISCinyear!HR698</f>
        <v>53.753682969000003</v>
      </c>
      <c r="Z1020" s="707">
        <f>FISCinyear!HU698</f>
        <v>63.547948576999993</v>
      </c>
      <c r="AA1020" s="707">
        <f>FISCinyear!HX698</f>
        <v>74.945398281487357</v>
      </c>
      <c r="AB1020" s="707">
        <f>FISCinyear!IA698</f>
        <v>80.539313690267775</v>
      </c>
      <c r="AC1020" s="707">
        <f>FISCinyear!ID698</f>
        <v>82.745132280267086</v>
      </c>
      <c r="AD1020" s="707">
        <f>FISCinyear!IG698</f>
        <v>111.745368744</v>
      </c>
      <c r="AE1020" s="707">
        <f>FISCinyear!IJ698</f>
        <v>117.17602629737999</v>
      </c>
      <c r="AF1020" s="707">
        <f>FISCinyear!IM698</f>
        <v>123.70457131016821</v>
      </c>
      <c r="AG1020" s="707">
        <f>FISCinyear!IP698</f>
        <v>133.01026309319434</v>
      </c>
      <c r="AH1020" s="707">
        <f>FISCinyear!IS698</f>
        <v>211.5991549783266</v>
      </c>
      <c r="AI1020" s="707">
        <f>FISCinyear!IV698</f>
        <v>194.47515136638492</v>
      </c>
      <c r="AJ1020" s="1999">
        <f t="shared" ref="AJ1020:AT1020" si="1255">AJ504*AJ407</f>
        <v>222.73695214449668</v>
      </c>
      <c r="AK1020" s="126">
        <f t="shared" si="1255"/>
        <v>239.07388466338222</v>
      </c>
      <c r="AL1020" s="126">
        <f t="shared" si="1255"/>
        <v>275.76957105225569</v>
      </c>
      <c r="AM1020" s="126">
        <f t="shared" si="1255"/>
        <v>333.17785624089498</v>
      </c>
      <c r="AN1020" s="126">
        <f t="shared" si="1255"/>
        <v>384.13503415612513</v>
      </c>
      <c r="AO1020" s="126">
        <f t="shared" si="1255"/>
        <v>423.31981565967789</v>
      </c>
      <c r="AP1020" s="126">
        <f t="shared" si="1255"/>
        <v>464.22570677019752</v>
      </c>
      <c r="AQ1020" s="126">
        <f t="shared" si="1255"/>
        <v>513.02701477140749</v>
      </c>
      <c r="AR1020" s="126">
        <f t="shared" si="1255"/>
        <v>618.96746387105804</v>
      </c>
      <c r="AS1020" s="126">
        <f t="shared" si="1255"/>
        <v>746.21646855333654</v>
      </c>
      <c r="AT1020" s="126">
        <f t="shared" si="1255"/>
        <v>898.13146910344938</v>
      </c>
      <c r="AV1020" s="2168"/>
      <c r="AW1020" s="2168"/>
      <c r="AX1020" s="2168"/>
      <c r="AY1020" s="2168"/>
      <c r="AZ1020" s="2168"/>
      <c r="BA1020" s="2168"/>
      <c r="BB1020" s="2168"/>
      <c r="BC1020" s="2168"/>
      <c r="BD1020" s="2168"/>
      <c r="BE1020" s="2168"/>
      <c r="BF1020" s="2168"/>
      <c r="BG1020" s="2168"/>
      <c r="BH1020" s="2167"/>
    </row>
    <row r="1021" spans="1:60" ht="14.25" customHeight="1">
      <c r="A1021" s="1"/>
      <c r="B1021" s="1"/>
      <c r="C1021" s="1"/>
      <c r="D1021" s="1605" t="s">
        <v>3142</v>
      </c>
      <c r="E1021" s="1438"/>
      <c r="F1021" s="346"/>
      <c r="G1021" s="346"/>
      <c r="H1021" s="346"/>
      <c r="I1021" s="346"/>
      <c r="J1021" s="346"/>
      <c r="K1021" s="346"/>
      <c r="L1021" s="346"/>
      <c r="M1021" s="346"/>
      <c r="N1021" s="346"/>
      <c r="O1021" s="346"/>
      <c r="P1021" s="346"/>
      <c r="Q1021" s="346"/>
      <c r="R1021" s="346"/>
      <c r="S1021" s="346"/>
      <c r="T1021" s="346"/>
      <c r="U1021" s="346"/>
      <c r="V1021" s="126"/>
      <c r="W1021" s="126"/>
      <c r="X1021" s="126"/>
      <c r="Y1021" s="707"/>
      <c r="Z1021" s="707"/>
      <c r="AA1021" s="707"/>
      <c r="AB1021" s="707"/>
      <c r="AC1021" s="707"/>
      <c r="AD1021" s="707"/>
      <c r="AE1021" s="707"/>
      <c r="AF1021" s="707">
        <f>FISCinyear!IM699</f>
        <v>7.2977012000000006</v>
      </c>
      <c r="AG1021" s="707">
        <f>FISCinyear!IP699</f>
        <v>18.044360304000001</v>
      </c>
      <c r="AH1021" s="707">
        <f>FISCinyear!IS699</f>
        <v>24.438329283999998</v>
      </c>
      <c r="AI1021" s="707">
        <f>FISCinyear!IV699</f>
        <v>29.189431051</v>
      </c>
      <c r="AJ1021" s="1999">
        <v>29.407058795600001</v>
      </c>
      <c r="AK1021" s="126">
        <v>32.178361564837296</v>
      </c>
      <c r="AL1021" s="126">
        <v>38.631627322603606</v>
      </c>
      <c r="AM1021" s="126">
        <v>45.131254741065213</v>
      </c>
      <c r="AN1021" s="126">
        <f>AVERAGE(AL1021:AM1021)</f>
        <v>41.881441031834413</v>
      </c>
      <c r="AO1021" s="126">
        <f>AVERAGE(AM1021:AN1021)</f>
        <v>43.506347886449817</v>
      </c>
      <c r="AP1021" s="126">
        <f>AO1021</f>
        <v>43.506347886449817</v>
      </c>
      <c r="AQ1021" s="126">
        <f t="shared" ref="AQ1021:AT1021" si="1256">AVERAGE(AO1021:AP1021)</f>
        <v>43.506347886449817</v>
      </c>
      <c r="AR1021" s="126">
        <f t="shared" si="1256"/>
        <v>43.506347886449817</v>
      </c>
      <c r="AS1021" s="126">
        <f t="shared" si="1256"/>
        <v>43.506347886449817</v>
      </c>
      <c r="AT1021" s="126">
        <f t="shared" si="1256"/>
        <v>43.506347886449817</v>
      </c>
      <c r="AV1021" s="2168"/>
      <c r="AW1021" s="2168"/>
      <c r="AX1021" s="2168"/>
      <c r="AY1021" s="2168"/>
      <c r="AZ1021" s="2168"/>
      <c r="BA1021" s="2168"/>
      <c r="BB1021" s="2168"/>
      <c r="BC1021" s="2168"/>
      <c r="BD1021" s="2168"/>
      <c r="BE1021" s="2168"/>
      <c r="BF1021" s="2168"/>
      <c r="BG1021" s="2168"/>
      <c r="BH1021" s="2167"/>
    </row>
    <row r="1022" spans="1:60" ht="14.25" customHeight="1">
      <c r="A1022" s="1"/>
      <c r="B1022" s="1"/>
      <c r="C1022" s="1"/>
      <c r="D1022" s="1605" t="s">
        <v>3143</v>
      </c>
      <c r="E1022" s="1438"/>
      <c r="F1022" s="346"/>
      <c r="G1022" s="346"/>
      <c r="H1022" s="346"/>
      <c r="I1022" s="346"/>
      <c r="J1022" s="346"/>
      <c r="K1022" s="346"/>
      <c r="L1022" s="346"/>
      <c r="M1022" s="346"/>
      <c r="N1022" s="346"/>
      <c r="O1022" s="346"/>
      <c r="P1022" s="346"/>
      <c r="Q1022" s="346"/>
      <c r="R1022" s="346"/>
      <c r="S1022" s="346"/>
      <c r="T1022" s="346"/>
      <c r="U1022" s="346"/>
      <c r="V1022" s="126"/>
      <c r="W1022" s="126"/>
      <c r="X1022" s="126"/>
      <c r="Y1022" s="707"/>
      <c r="Z1022" s="707"/>
      <c r="AA1022" s="707"/>
      <c r="AB1022" s="707"/>
      <c r="AC1022" s="707"/>
      <c r="AD1022" s="707"/>
      <c r="AE1022" s="707"/>
      <c r="AF1022" s="707">
        <f>FISCinyear!IM700</f>
        <v>0</v>
      </c>
      <c r="AG1022" s="707">
        <f>FISCinyear!IP700</f>
        <v>2.3105889770000001</v>
      </c>
      <c r="AH1022" s="707">
        <f>FISCinyear!IS700</f>
        <v>3.0782545700000004</v>
      </c>
      <c r="AI1022" s="707">
        <f>FISCinyear!IV700</f>
        <v>3.6879256939999996</v>
      </c>
      <c r="AJ1022" s="1999">
        <v>3.7787016397007713</v>
      </c>
      <c r="AK1022" s="126">
        <v>4.0202933571488826</v>
      </c>
      <c r="AL1022" s="126">
        <v>4.8495148739890839</v>
      </c>
      <c r="AM1022" s="126">
        <v>5.6846936980359057</v>
      </c>
      <c r="AN1022" s="126">
        <v>6.1</v>
      </c>
      <c r="AO1022" s="126">
        <v>6.1</v>
      </c>
      <c r="AP1022" s="126">
        <f>AO1022</f>
        <v>6.1</v>
      </c>
      <c r="AQ1022" s="126">
        <f t="shared" ref="AQ1022:AT1022" si="1257">AP1022</f>
        <v>6.1</v>
      </c>
      <c r="AR1022" s="126">
        <f t="shared" si="1257"/>
        <v>6.1</v>
      </c>
      <c r="AS1022" s="126">
        <f t="shared" si="1257"/>
        <v>6.1</v>
      </c>
      <c r="AT1022" s="126">
        <f t="shared" si="1257"/>
        <v>6.1</v>
      </c>
      <c r="AV1022" s="2168"/>
      <c r="AW1022" s="2168"/>
      <c r="AX1022" s="2168"/>
      <c r="AY1022" s="2168"/>
      <c r="AZ1022" s="2168"/>
      <c r="BA1022" s="2168"/>
      <c r="BB1022" s="2168"/>
      <c r="BC1022" s="2168"/>
      <c r="BD1022" s="2168"/>
      <c r="BE1022" s="2168"/>
      <c r="BF1022" s="2168"/>
      <c r="BG1022" s="2168"/>
      <c r="BH1022" s="2167"/>
    </row>
    <row r="1023" spans="1:60" ht="14.25" customHeight="1">
      <c r="A1023" s="1"/>
      <c r="B1023" s="1"/>
      <c r="C1023" s="1"/>
      <c r="D1023" s="383" t="s">
        <v>521</v>
      </c>
      <c r="E1023" s="1438" t="s">
        <v>2438</v>
      </c>
      <c r="F1023" s="346"/>
      <c r="G1023" s="346"/>
      <c r="H1023" s="346"/>
      <c r="I1023" s="346"/>
      <c r="J1023" s="346"/>
      <c r="K1023" s="346"/>
      <c r="L1023" s="346"/>
      <c r="M1023" s="346"/>
      <c r="N1023" s="346"/>
      <c r="O1023" s="346"/>
      <c r="P1023" s="346"/>
      <c r="Q1023" s="346"/>
      <c r="R1023" s="346"/>
      <c r="S1023" s="346"/>
      <c r="T1023" s="346"/>
      <c r="U1023" s="346"/>
      <c r="V1023" s="126">
        <v>0</v>
      </c>
      <c r="W1023" s="126">
        <v>0</v>
      </c>
      <c r="X1023" s="126">
        <v>0</v>
      </c>
      <c r="Y1023" s="707">
        <f>FISCinyear!HR701</f>
        <v>0</v>
      </c>
      <c r="Z1023" s="707">
        <f>FISCinyear!HU701</f>
        <v>0</v>
      </c>
      <c r="AA1023" s="707">
        <f>FISCinyear!HX701</f>
        <v>0</v>
      </c>
      <c r="AB1023" s="707">
        <f>FISCinyear!IA701</f>
        <v>0</v>
      </c>
      <c r="AC1023" s="707">
        <f>FISCinyear!ID701</f>
        <v>0</v>
      </c>
      <c r="AD1023" s="707">
        <f>FISCinyear!IG701</f>
        <v>0</v>
      </c>
      <c r="AE1023" s="707">
        <f>FISCinyear!IJ701</f>
        <v>0.10545782400000001</v>
      </c>
      <c r="AF1023" s="707">
        <f>FISCinyear!IM701</f>
        <v>3.8208575742945651E-2</v>
      </c>
      <c r="AG1023" s="707">
        <f>FISCinyear!IP701</f>
        <v>1.3225533088653358E-2</v>
      </c>
      <c r="AH1023" s="707">
        <f>FISCinyear!IS701</f>
        <v>0</v>
      </c>
      <c r="AI1023" s="707">
        <f>FISCinyear!IV701</f>
        <v>1.1168939089214161E-2</v>
      </c>
      <c r="AJ1023" s="126">
        <v>0</v>
      </c>
      <c r="AK1023" s="126">
        <v>0</v>
      </c>
      <c r="AL1023" s="126">
        <v>0</v>
      </c>
      <c r="AM1023" s="126">
        <v>0</v>
      </c>
      <c r="AN1023" s="126">
        <v>0</v>
      </c>
      <c r="AO1023" s="126">
        <v>0</v>
      </c>
      <c r="AP1023" s="126">
        <v>0</v>
      </c>
      <c r="AQ1023" s="126">
        <v>0</v>
      </c>
      <c r="AR1023" s="126">
        <v>0</v>
      </c>
      <c r="AS1023" s="126">
        <v>0</v>
      </c>
      <c r="AT1023" s="126">
        <v>0</v>
      </c>
      <c r="AV1023" s="2168"/>
      <c r="AW1023" s="2168"/>
      <c r="AX1023" s="2168"/>
      <c r="AY1023" s="2168"/>
      <c r="AZ1023" s="2168"/>
      <c r="BA1023" s="2168"/>
      <c r="BB1023" s="2168"/>
      <c r="BC1023" s="2168"/>
      <c r="BD1023" s="2168"/>
      <c r="BE1023" s="2168"/>
      <c r="BF1023" s="2168"/>
      <c r="BG1023" s="2168"/>
      <c r="BH1023" s="2167"/>
    </row>
    <row r="1024" spans="1:60" ht="14.25" customHeight="1">
      <c r="A1024" s="1"/>
      <c r="B1024" s="1"/>
      <c r="C1024" s="1"/>
      <c r="D1024" s="383" t="s">
        <v>522</v>
      </c>
      <c r="E1024" s="1438" t="s">
        <v>30</v>
      </c>
      <c r="F1024" s="346"/>
      <c r="G1024" s="346"/>
      <c r="H1024" s="346"/>
      <c r="I1024" s="346"/>
      <c r="J1024" s="346"/>
      <c r="K1024" s="346"/>
      <c r="L1024" s="346"/>
      <c r="M1024" s="346"/>
      <c r="N1024" s="346"/>
      <c r="O1024" s="346"/>
      <c r="P1024" s="346"/>
      <c r="Q1024" s="346"/>
      <c r="R1024" s="346"/>
      <c r="S1024" s="346"/>
      <c r="T1024" s="346"/>
      <c r="U1024" s="346"/>
      <c r="V1024" s="126">
        <v>0</v>
      </c>
      <c r="W1024" s="126">
        <v>0</v>
      </c>
      <c r="X1024" s="126">
        <v>0</v>
      </c>
      <c r="Y1024" s="707">
        <f>FISCinyear!HR702</f>
        <v>0</v>
      </c>
      <c r="Z1024" s="707">
        <f>FISCinyear!HU702</f>
        <v>0</v>
      </c>
      <c r="AA1024" s="707">
        <f>FISCinyear!HX702</f>
        <v>0</v>
      </c>
      <c r="AB1024" s="707">
        <f>FISCinyear!IA702</f>
        <v>0</v>
      </c>
      <c r="AC1024" s="707">
        <f>FISCinyear!ID702</f>
        <v>0</v>
      </c>
      <c r="AD1024" s="707">
        <f>FISCinyear!IG702</f>
        <v>0</v>
      </c>
      <c r="AE1024" s="707">
        <f>FISCinyear!IJ702</f>
        <v>0</v>
      </c>
      <c r="AF1024" s="707">
        <f>FISCinyear!IM702</f>
        <v>0</v>
      </c>
      <c r="AG1024" s="707">
        <f>FISCinyear!IP702</f>
        <v>0</v>
      </c>
      <c r="AH1024" s="707">
        <f>FISCinyear!IS702</f>
        <v>0</v>
      </c>
      <c r="AI1024" s="707">
        <f>FISCinyear!IV702</f>
        <v>0</v>
      </c>
      <c r="AJ1024" s="126">
        <f t="shared" ref="AJ1024:AT1024" si="1258">AJ512*AJ404</f>
        <v>0</v>
      </c>
      <c r="AK1024" s="126">
        <f t="shared" si="1258"/>
        <v>0</v>
      </c>
      <c r="AL1024" s="126">
        <f t="shared" si="1258"/>
        <v>0</v>
      </c>
      <c r="AM1024" s="126">
        <f t="shared" si="1258"/>
        <v>0</v>
      </c>
      <c r="AN1024" s="126">
        <f t="shared" si="1258"/>
        <v>0</v>
      </c>
      <c r="AO1024" s="126">
        <f t="shared" si="1258"/>
        <v>0</v>
      </c>
      <c r="AP1024" s="126">
        <f t="shared" si="1258"/>
        <v>0</v>
      </c>
      <c r="AQ1024" s="126">
        <f t="shared" si="1258"/>
        <v>0</v>
      </c>
      <c r="AR1024" s="126">
        <f t="shared" si="1258"/>
        <v>0</v>
      </c>
      <c r="AS1024" s="126">
        <f t="shared" si="1258"/>
        <v>0</v>
      </c>
      <c r="AT1024" s="126">
        <f t="shared" si="1258"/>
        <v>0</v>
      </c>
      <c r="AV1024" s="2168"/>
      <c r="AW1024" s="2168"/>
      <c r="AX1024" s="2168"/>
      <c r="AY1024" s="2168"/>
      <c r="AZ1024" s="2168"/>
      <c r="BA1024" s="2168"/>
      <c r="BB1024" s="2168"/>
      <c r="BC1024" s="2168"/>
      <c r="BD1024" s="2168"/>
      <c r="BE1024" s="2168"/>
      <c r="BF1024" s="2168"/>
      <c r="BG1024" s="2168"/>
      <c r="BH1024" s="2167"/>
    </row>
    <row r="1025" spans="1:60" ht="14.25" customHeight="1">
      <c r="A1025" s="1"/>
      <c r="B1025" s="1"/>
      <c r="C1025" s="1"/>
      <c r="D1025" s="383" t="s">
        <v>523</v>
      </c>
      <c r="E1025" s="1438" t="s">
        <v>30</v>
      </c>
      <c r="F1025" s="346"/>
      <c r="G1025" s="346"/>
      <c r="H1025" s="346"/>
      <c r="I1025" s="346"/>
      <c r="J1025" s="346"/>
      <c r="K1025" s="346"/>
      <c r="L1025" s="346"/>
      <c r="M1025" s="346"/>
      <c r="N1025" s="346"/>
      <c r="O1025" s="346"/>
      <c r="P1025" s="346"/>
      <c r="Q1025" s="346"/>
      <c r="R1025" s="346"/>
      <c r="S1025" s="346"/>
      <c r="T1025" s="346"/>
      <c r="U1025" s="346"/>
      <c r="V1025" s="126">
        <v>0</v>
      </c>
      <c r="W1025" s="126">
        <v>0</v>
      </c>
      <c r="X1025" s="126">
        <v>0</v>
      </c>
      <c r="Y1025" s="707">
        <f>FISCinyear!HR703</f>
        <v>0</v>
      </c>
      <c r="Z1025" s="707">
        <f>FISCinyear!HU703</f>
        <v>0</v>
      </c>
      <c r="AA1025" s="707">
        <f>FISCinyear!HX703</f>
        <v>0</v>
      </c>
      <c r="AB1025" s="707">
        <f>FISCinyear!IA703</f>
        <v>0</v>
      </c>
      <c r="AC1025" s="707">
        <f>FISCinyear!ID703</f>
        <v>0</v>
      </c>
      <c r="AD1025" s="707">
        <f>FISCinyear!IG703</f>
        <v>0</v>
      </c>
      <c r="AE1025" s="707">
        <f>FISCinyear!IJ703</f>
        <v>0</v>
      </c>
      <c r="AF1025" s="707">
        <f>FISCinyear!IM703</f>
        <v>0</v>
      </c>
      <c r="AG1025" s="707">
        <f>FISCinyear!IP703</f>
        <v>0</v>
      </c>
      <c r="AH1025" s="707">
        <f>FISCinyear!IS703</f>
        <v>0</v>
      </c>
      <c r="AI1025" s="707">
        <f>FISCinyear!IV703</f>
        <v>0</v>
      </c>
      <c r="AJ1025" s="126">
        <f t="shared" ref="AJ1025:AT1025" si="1259">AJ516*AJ404</f>
        <v>0</v>
      </c>
      <c r="AK1025" s="126">
        <f t="shared" si="1259"/>
        <v>0</v>
      </c>
      <c r="AL1025" s="126">
        <f t="shared" si="1259"/>
        <v>0</v>
      </c>
      <c r="AM1025" s="126">
        <f t="shared" si="1259"/>
        <v>0</v>
      </c>
      <c r="AN1025" s="126">
        <f t="shared" si="1259"/>
        <v>0</v>
      </c>
      <c r="AO1025" s="126">
        <f t="shared" si="1259"/>
        <v>0</v>
      </c>
      <c r="AP1025" s="126">
        <f t="shared" si="1259"/>
        <v>0</v>
      </c>
      <c r="AQ1025" s="126">
        <f t="shared" si="1259"/>
        <v>0</v>
      </c>
      <c r="AR1025" s="126">
        <f t="shared" si="1259"/>
        <v>0</v>
      </c>
      <c r="AS1025" s="126">
        <f t="shared" si="1259"/>
        <v>0</v>
      </c>
      <c r="AT1025" s="126">
        <f t="shared" si="1259"/>
        <v>0</v>
      </c>
      <c r="AV1025" s="2168"/>
      <c r="AW1025" s="2168"/>
      <c r="AX1025" s="2168"/>
      <c r="AY1025" s="2168"/>
      <c r="AZ1025" s="2168"/>
      <c r="BA1025" s="2168"/>
      <c r="BB1025" s="2168"/>
      <c r="BC1025" s="2168"/>
      <c r="BD1025" s="2168"/>
      <c r="BE1025" s="2168"/>
      <c r="BF1025" s="2168"/>
      <c r="BG1025" s="2168"/>
      <c r="BH1025" s="2167"/>
    </row>
    <row r="1026" spans="1:60" ht="14.25" customHeight="1">
      <c r="A1026" s="1"/>
      <c r="B1026" s="1"/>
      <c r="C1026" s="1"/>
      <c r="D1026" s="383" t="s">
        <v>524</v>
      </c>
      <c r="E1026" s="1438" t="s">
        <v>30</v>
      </c>
      <c r="F1026" s="346"/>
      <c r="G1026" s="346"/>
      <c r="H1026" s="346"/>
      <c r="I1026" s="346"/>
      <c r="J1026" s="346"/>
      <c r="K1026" s="346"/>
      <c r="L1026" s="346"/>
      <c r="M1026" s="346"/>
      <c r="N1026" s="346"/>
      <c r="O1026" s="346"/>
      <c r="P1026" s="346"/>
      <c r="Q1026" s="346"/>
      <c r="R1026" s="346"/>
      <c r="S1026" s="346"/>
      <c r="T1026" s="346"/>
      <c r="U1026" s="346"/>
      <c r="V1026" s="126">
        <v>0</v>
      </c>
      <c r="W1026" s="126">
        <v>0</v>
      </c>
      <c r="X1026" s="126">
        <v>0</v>
      </c>
      <c r="Y1026" s="707">
        <f>FISCinyear!HR704</f>
        <v>0</v>
      </c>
      <c r="Z1026" s="707">
        <f>FISCinyear!HU704</f>
        <v>0</v>
      </c>
      <c r="AA1026" s="707">
        <f>FISCinyear!HX704</f>
        <v>0</v>
      </c>
      <c r="AB1026" s="707">
        <f>FISCinyear!IA704</f>
        <v>0</v>
      </c>
      <c r="AC1026" s="707">
        <f>FISCinyear!ID704</f>
        <v>0</v>
      </c>
      <c r="AD1026" s="707">
        <f>FISCinyear!IG704</f>
        <v>0</v>
      </c>
      <c r="AE1026" s="707">
        <f>FISCinyear!IJ704</f>
        <v>0</v>
      </c>
      <c r="AF1026" s="707">
        <f>FISCinyear!IM704</f>
        <v>0</v>
      </c>
      <c r="AG1026" s="707">
        <f>FISCinyear!IP704</f>
        <v>0</v>
      </c>
      <c r="AH1026" s="707">
        <f>FISCinyear!IS704</f>
        <v>0</v>
      </c>
      <c r="AI1026" s="707">
        <f>FISCinyear!IV704</f>
        <v>0</v>
      </c>
      <c r="AJ1026" s="126">
        <f t="shared" ref="AJ1026:AT1026" si="1260">AJ520*AJ404</f>
        <v>0</v>
      </c>
      <c r="AK1026" s="126">
        <f t="shared" si="1260"/>
        <v>0</v>
      </c>
      <c r="AL1026" s="126">
        <f t="shared" si="1260"/>
        <v>0</v>
      </c>
      <c r="AM1026" s="126">
        <f t="shared" si="1260"/>
        <v>0</v>
      </c>
      <c r="AN1026" s="126">
        <f t="shared" si="1260"/>
        <v>0</v>
      </c>
      <c r="AO1026" s="126">
        <f t="shared" si="1260"/>
        <v>0</v>
      </c>
      <c r="AP1026" s="126">
        <f t="shared" si="1260"/>
        <v>0</v>
      </c>
      <c r="AQ1026" s="126">
        <f t="shared" si="1260"/>
        <v>0</v>
      </c>
      <c r="AR1026" s="126">
        <f t="shared" si="1260"/>
        <v>0</v>
      </c>
      <c r="AS1026" s="126">
        <f t="shared" si="1260"/>
        <v>0</v>
      </c>
      <c r="AT1026" s="126">
        <f t="shared" si="1260"/>
        <v>0</v>
      </c>
      <c r="AV1026" s="2168"/>
      <c r="AW1026" s="2168"/>
      <c r="AX1026" s="2168"/>
      <c r="AY1026" s="2168"/>
      <c r="AZ1026" s="2168"/>
      <c r="BA1026" s="2168"/>
      <c r="BB1026" s="2168"/>
      <c r="BC1026" s="2168"/>
      <c r="BD1026" s="2168"/>
      <c r="BE1026" s="2168"/>
      <c r="BF1026" s="2168"/>
      <c r="BG1026" s="2168"/>
      <c r="BH1026" s="2167"/>
    </row>
    <row r="1027" spans="1:60" ht="14.25" customHeight="1">
      <c r="A1027" s="1"/>
      <c r="B1027" s="1"/>
      <c r="C1027" s="1"/>
      <c r="D1027" s="383" t="s">
        <v>525</v>
      </c>
      <c r="E1027" s="1438" t="s">
        <v>30</v>
      </c>
      <c r="F1027" s="346"/>
      <c r="G1027" s="346"/>
      <c r="H1027" s="346"/>
      <c r="I1027" s="346"/>
      <c r="J1027" s="346"/>
      <c r="K1027" s="346"/>
      <c r="L1027" s="346"/>
      <c r="M1027" s="346"/>
      <c r="N1027" s="346"/>
      <c r="O1027" s="346"/>
      <c r="P1027" s="346"/>
      <c r="Q1027" s="346"/>
      <c r="R1027" s="346"/>
      <c r="S1027" s="346"/>
      <c r="T1027" s="346"/>
      <c r="U1027" s="346"/>
      <c r="V1027" s="126">
        <v>0</v>
      </c>
      <c r="W1027" s="126">
        <v>0</v>
      </c>
      <c r="X1027" s="126">
        <v>0</v>
      </c>
      <c r="Y1027" s="707">
        <f>FISCinyear!HR705</f>
        <v>2.4187143519999998</v>
      </c>
      <c r="Z1027" s="707">
        <f>FISCinyear!HU705</f>
        <v>0.73640290800000008</v>
      </c>
      <c r="AA1027" s="707">
        <f>FISCinyear!HX705</f>
        <v>0.8667516809807182</v>
      </c>
      <c r="AB1027" s="707">
        <f>FISCinyear!IA705</f>
        <v>0</v>
      </c>
      <c r="AC1027" s="707">
        <f>FISCinyear!ID705</f>
        <v>0.79788815172613159</v>
      </c>
      <c r="AD1027" s="707">
        <f>FISCinyear!IG705</f>
        <v>0</v>
      </c>
      <c r="AE1027" s="707">
        <f>FISCinyear!IJ705</f>
        <v>0</v>
      </c>
      <c r="AF1027" s="707">
        <f>FISCinyear!IM705</f>
        <v>0</v>
      </c>
      <c r="AG1027" s="707">
        <f>FISCinyear!IP705</f>
        <v>0</v>
      </c>
      <c r="AH1027" s="707">
        <f>FISCinyear!IS705</f>
        <v>0</v>
      </c>
      <c r="AI1027" s="707">
        <f>FISCinyear!IV705</f>
        <v>0</v>
      </c>
      <c r="AJ1027" s="126">
        <f t="shared" ref="AJ1027:AT1027" si="1261">AJ524*AJ404</f>
        <v>0</v>
      </c>
      <c r="AK1027" s="126">
        <f t="shared" si="1261"/>
        <v>0</v>
      </c>
      <c r="AL1027" s="126">
        <f t="shared" si="1261"/>
        <v>0</v>
      </c>
      <c r="AM1027" s="126">
        <f t="shared" si="1261"/>
        <v>0</v>
      </c>
      <c r="AN1027" s="126">
        <f t="shared" si="1261"/>
        <v>0</v>
      </c>
      <c r="AO1027" s="126">
        <f t="shared" si="1261"/>
        <v>0</v>
      </c>
      <c r="AP1027" s="126">
        <f t="shared" si="1261"/>
        <v>0</v>
      </c>
      <c r="AQ1027" s="126">
        <f t="shared" si="1261"/>
        <v>0</v>
      </c>
      <c r="AR1027" s="126">
        <f t="shared" si="1261"/>
        <v>0</v>
      </c>
      <c r="AS1027" s="126">
        <f t="shared" si="1261"/>
        <v>0</v>
      </c>
      <c r="AT1027" s="126">
        <f t="shared" si="1261"/>
        <v>0</v>
      </c>
      <c r="AV1027" s="2168"/>
      <c r="AW1027" s="2168"/>
      <c r="AX1027" s="2168"/>
      <c r="AY1027" s="2168"/>
      <c r="AZ1027" s="2168"/>
      <c r="BA1027" s="2168"/>
      <c r="BB1027" s="2168"/>
      <c r="BC1027" s="2168"/>
      <c r="BD1027" s="2168"/>
      <c r="BE1027" s="2168"/>
      <c r="BF1027" s="2168"/>
      <c r="BG1027" s="2168"/>
      <c r="BH1027" s="2167"/>
    </row>
    <row r="1028" spans="1:60" ht="14.15" customHeight="1">
      <c r="A1028" s="1"/>
      <c r="B1028" s="1"/>
      <c r="C1028" s="1"/>
      <c r="D1028" s="381" t="str">
        <f>+FISCinyear!D706</f>
        <v xml:space="preserve">Other taxes </v>
      </c>
      <c r="E1028" s="1438" t="s">
        <v>30</v>
      </c>
      <c r="F1028" s="346"/>
      <c r="G1028" s="346"/>
      <c r="H1028" s="346"/>
      <c r="I1028" s="346"/>
      <c r="J1028" s="346"/>
      <c r="K1028" s="346"/>
      <c r="L1028" s="346"/>
      <c r="M1028" s="346"/>
      <c r="N1028" s="346"/>
      <c r="O1028" s="346"/>
      <c r="P1028" s="346"/>
      <c r="Q1028" s="346"/>
      <c r="R1028" s="346"/>
      <c r="S1028" s="346"/>
      <c r="T1028" s="346"/>
      <c r="U1028" s="346"/>
      <c r="V1028" s="399"/>
      <c r="W1028" s="399"/>
      <c r="X1028" s="399"/>
      <c r="Y1028" s="1596">
        <f>FISCinyear!HR706</f>
        <v>0</v>
      </c>
      <c r="Z1028" s="1596">
        <f>FISCinyear!HU706</f>
        <v>0</v>
      </c>
      <c r="AA1028" s="1596">
        <f>FISCinyear!HX706</f>
        <v>0</v>
      </c>
      <c r="AB1028" s="1596">
        <f>FISCinyear!IA706</f>
        <v>20.011381500449659</v>
      </c>
      <c r="AC1028" s="1596">
        <f>FISCinyear!ID706</f>
        <v>38.861780148621875</v>
      </c>
      <c r="AD1028" s="1596">
        <f>FISCinyear!IG706</f>
        <v>0</v>
      </c>
      <c r="AE1028" s="1596">
        <f>FISCinyear!IJ706</f>
        <v>0</v>
      </c>
      <c r="AF1028" s="1596">
        <f>FISCinyear!IM706</f>
        <v>0</v>
      </c>
      <c r="AG1028" s="1596">
        <f>FISCinyear!IP706</f>
        <v>0</v>
      </c>
      <c r="AH1028" s="1596">
        <f>FISCinyear!IS706</f>
        <v>0</v>
      </c>
      <c r="AI1028" s="1596">
        <f>FISCinyear!IV706</f>
        <v>0</v>
      </c>
      <c r="AJ1028" s="399">
        <f t="shared" ref="AJ1028:AT1028" si="1262">AJ528*AJ404</f>
        <v>0</v>
      </c>
      <c r="AK1028" s="399">
        <f t="shared" si="1262"/>
        <v>0</v>
      </c>
      <c r="AL1028" s="399">
        <f t="shared" si="1262"/>
        <v>0</v>
      </c>
      <c r="AM1028" s="399">
        <f t="shared" si="1262"/>
        <v>0</v>
      </c>
      <c r="AN1028" s="399">
        <f t="shared" si="1262"/>
        <v>0</v>
      </c>
      <c r="AO1028" s="399">
        <f t="shared" si="1262"/>
        <v>0</v>
      </c>
      <c r="AP1028" s="399">
        <f t="shared" si="1262"/>
        <v>0</v>
      </c>
      <c r="AQ1028" s="399">
        <f t="shared" si="1262"/>
        <v>0</v>
      </c>
      <c r="AR1028" s="399">
        <f t="shared" si="1262"/>
        <v>0</v>
      </c>
      <c r="AS1028" s="399">
        <f t="shared" si="1262"/>
        <v>0</v>
      </c>
      <c r="AT1028" s="399">
        <f t="shared" si="1262"/>
        <v>0</v>
      </c>
      <c r="AV1028" s="2168"/>
      <c r="AW1028" s="2168"/>
      <c r="AX1028" s="2168"/>
      <c r="AY1028" s="2168"/>
      <c r="AZ1028" s="2168"/>
      <c r="BA1028" s="2168"/>
      <c r="BB1028" s="2168"/>
      <c r="BC1028" s="2168"/>
      <c r="BD1028" s="2168"/>
      <c r="BE1028" s="2168"/>
      <c r="BF1028" s="2168"/>
      <c r="BG1028" s="2168"/>
      <c r="BH1028" s="2167"/>
    </row>
    <row r="1029" spans="1:60" ht="14.25" customHeight="1">
      <c r="A1029" s="1"/>
      <c r="B1029" s="1"/>
      <c r="C1029" s="1"/>
      <c r="D1029" s="1436" t="str">
        <f>+FISCinyear!D707</f>
        <v xml:space="preserve">Social contributions </v>
      </c>
      <c r="E1029" s="346"/>
      <c r="F1029" s="346"/>
      <c r="G1029" s="346"/>
      <c r="H1029" s="346"/>
      <c r="I1029" s="346"/>
      <c r="J1029" s="346"/>
      <c r="K1029" s="346"/>
      <c r="L1029" s="346"/>
      <c r="M1029" s="346"/>
      <c r="N1029" s="346"/>
      <c r="O1029" s="346"/>
      <c r="P1029" s="346"/>
      <c r="Q1029" s="346"/>
      <c r="R1029" s="346"/>
      <c r="S1029" s="346"/>
      <c r="T1029" s="346"/>
      <c r="U1029" s="346"/>
      <c r="V1029" s="399"/>
      <c r="W1029" s="399"/>
      <c r="X1029" s="399"/>
      <c r="Y1029" s="1598">
        <f>FISCinyear!HR707</f>
        <v>0</v>
      </c>
      <c r="Z1029" s="1598">
        <f>FISCinyear!HU707</f>
        <v>0</v>
      </c>
      <c r="AA1029" s="1598">
        <f>FISCinyear!HX707</f>
        <v>0</v>
      </c>
      <c r="AB1029" s="1598">
        <f>FISCinyear!IA707</f>
        <v>0</v>
      </c>
      <c r="AC1029" s="1598">
        <f>FISCinyear!ID707</f>
        <v>0</v>
      </c>
      <c r="AD1029" s="1598">
        <f>FISCinyear!IG707</f>
        <v>0</v>
      </c>
      <c r="AE1029" s="1598">
        <f>FISCinyear!IJ707</f>
        <v>0</v>
      </c>
      <c r="AF1029" s="1598">
        <f>FISCinyear!IM707</f>
        <v>0</v>
      </c>
      <c r="AG1029" s="1598">
        <f>FISCinyear!IP707</f>
        <v>0</v>
      </c>
      <c r="AH1029" s="1598">
        <f>FISCinyear!IS707</f>
        <v>0</v>
      </c>
      <c r="AI1029" s="1598">
        <f>FISCinyear!IV707</f>
        <v>0</v>
      </c>
      <c r="AJ1029" s="1598">
        <v>0</v>
      </c>
      <c r="AK1029" s="1598">
        <v>0</v>
      </c>
      <c r="AL1029" s="1598">
        <v>0</v>
      </c>
      <c r="AM1029" s="1598">
        <v>0</v>
      </c>
      <c r="AN1029" s="1598">
        <v>0</v>
      </c>
      <c r="AO1029" s="1598">
        <v>0</v>
      </c>
      <c r="AP1029" s="1598">
        <v>0</v>
      </c>
      <c r="AQ1029" s="1598">
        <v>0</v>
      </c>
      <c r="AR1029" s="1598">
        <v>0</v>
      </c>
      <c r="AS1029" s="1598">
        <v>0</v>
      </c>
      <c r="AT1029" s="1598">
        <v>0</v>
      </c>
      <c r="AV1029" s="2168"/>
      <c r="AW1029" s="2168"/>
      <c r="AX1029" s="2168"/>
      <c r="AY1029" s="2168"/>
      <c r="AZ1029" s="2168"/>
      <c r="BA1029" s="2168"/>
      <c r="BB1029" s="2168"/>
      <c r="BC1029" s="2168"/>
      <c r="BD1029" s="2168"/>
      <c r="BE1029" s="2168"/>
      <c r="BF1029" s="2168"/>
      <c r="BG1029" s="2168"/>
      <c r="BH1029" s="2167"/>
    </row>
    <row r="1030" spans="1:60" ht="14.25" customHeight="1">
      <c r="A1030" s="1"/>
      <c r="B1030" s="1"/>
      <c r="C1030" s="1"/>
      <c r="D1030" s="381" t="str">
        <f>+FISCinyear!D708</f>
        <v xml:space="preserve">Social security contributions </v>
      </c>
      <c r="E1030" s="346"/>
      <c r="F1030" s="346"/>
      <c r="G1030" s="346"/>
      <c r="H1030" s="346"/>
      <c r="I1030" s="346"/>
      <c r="J1030" s="346"/>
      <c r="K1030" s="346"/>
      <c r="L1030" s="346"/>
      <c r="M1030" s="346"/>
      <c r="N1030" s="346"/>
      <c r="O1030" s="346"/>
      <c r="P1030" s="346"/>
      <c r="Q1030" s="346"/>
      <c r="R1030" s="346"/>
      <c r="S1030" s="346"/>
      <c r="T1030" s="346"/>
      <c r="U1030" s="346"/>
      <c r="V1030" s="399"/>
      <c r="W1030" s="399"/>
      <c r="X1030" s="399"/>
      <c r="Y1030" s="1596">
        <f>FISCinyear!HR708</f>
        <v>0</v>
      </c>
      <c r="Z1030" s="1596">
        <f>FISCinyear!HU708</f>
        <v>0</v>
      </c>
      <c r="AA1030" s="1596">
        <f>FISCinyear!HX708</f>
        <v>0</v>
      </c>
      <c r="AB1030" s="1596">
        <f>FISCinyear!IA708</f>
        <v>0</v>
      </c>
      <c r="AC1030" s="1596">
        <f>FISCinyear!ID708</f>
        <v>0</v>
      </c>
      <c r="AD1030" s="1596">
        <f>FISCinyear!IG708</f>
        <v>0</v>
      </c>
      <c r="AE1030" s="1596">
        <f>FISCinyear!IJ708</f>
        <v>0</v>
      </c>
      <c r="AF1030" s="1596">
        <f>FISCinyear!IM708</f>
        <v>0</v>
      </c>
      <c r="AG1030" s="1596">
        <f>FISCinyear!IP708</f>
        <v>0</v>
      </c>
      <c r="AH1030" s="1596">
        <f>FISCinyear!IS708</f>
        <v>0</v>
      </c>
      <c r="AI1030" s="1596">
        <f>FISCinyear!IV708</f>
        <v>0</v>
      </c>
      <c r="AJ1030" s="1596">
        <v>0</v>
      </c>
      <c r="AK1030" s="1596">
        <v>0</v>
      </c>
      <c r="AL1030" s="1596">
        <v>0</v>
      </c>
      <c r="AM1030" s="1596">
        <v>0</v>
      </c>
      <c r="AN1030" s="1596">
        <v>0</v>
      </c>
      <c r="AO1030" s="1596">
        <v>0</v>
      </c>
      <c r="AP1030" s="1596">
        <v>0</v>
      </c>
      <c r="AQ1030" s="1596">
        <v>0</v>
      </c>
      <c r="AR1030" s="1596">
        <v>0</v>
      </c>
      <c r="AS1030" s="1596">
        <v>0</v>
      </c>
      <c r="AT1030" s="1596">
        <v>0</v>
      </c>
      <c r="AV1030" s="2168"/>
      <c r="AW1030" s="2168"/>
      <c r="AX1030" s="2168"/>
      <c r="AY1030" s="2168"/>
      <c r="AZ1030" s="2168"/>
      <c r="BA1030" s="2168"/>
      <c r="BB1030" s="2168"/>
      <c r="BC1030" s="2168"/>
      <c r="BD1030" s="2168"/>
      <c r="BE1030" s="2168"/>
      <c r="BF1030" s="2168"/>
      <c r="BG1030" s="2168"/>
      <c r="BH1030" s="2167"/>
    </row>
    <row r="1031" spans="1:60" ht="14.25" customHeight="1">
      <c r="A1031" s="1"/>
      <c r="B1031" s="1"/>
      <c r="C1031" s="1"/>
      <c r="D1031" s="383" t="s">
        <v>530</v>
      </c>
      <c r="E1031" s="346"/>
      <c r="F1031" s="346"/>
      <c r="G1031" s="346"/>
      <c r="H1031" s="346"/>
      <c r="I1031" s="346"/>
      <c r="J1031" s="346"/>
      <c r="K1031" s="346"/>
      <c r="L1031" s="346"/>
      <c r="M1031" s="346"/>
      <c r="N1031" s="346"/>
      <c r="O1031" s="346"/>
      <c r="P1031" s="346"/>
      <c r="Q1031" s="346"/>
      <c r="R1031" s="346"/>
      <c r="S1031" s="346"/>
      <c r="T1031" s="346"/>
      <c r="U1031" s="346"/>
      <c r="V1031" s="126"/>
      <c r="W1031" s="126"/>
      <c r="X1031" s="126"/>
      <c r="Y1031" s="707">
        <f>FISCinyear!HR709</f>
        <v>0</v>
      </c>
      <c r="Z1031" s="707">
        <f>FISCinyear!HU709</f>
        <v>0</v>
      </c>
      <c r="AA1031" s="707">
        <f>FISCinyear!HX709</f>
        <v>0</v>
      </c>
      <c r="AB1031" s="707">
        <f>FISCinyear!IA709</f>
        <v>0</v>
      </c>
      <c r="AC1031" s="707">
        <f>FISCinyear!ID709</f>
        <v>0</v>
      </c>
      <c r="AD1031" s="707">
        <f>FISCinyear!IG709</f>
        <v>0</v>
      </c>
      <c r="AE1031" s="707">
        <f>FISCinyear!IJ709</f>
        <v>0</v>
      </c>
      <c r="AF1031" s="707">
        <f>FISCinyear!IM709</f>
        <v>0</v>
      </c>
      <c r="AG1031" s="707">
        <f>FISCinyear!IP709</f>
        <v>0</v>
      </c>
      <c r="AH1031" s="707">
        <f>FISCinyear!IS709</f>
        <v>0</v>
      </c>
      <c r="AI1031" s="707">
        <f>FISCinyear!IV709</f>
        <v>0</v>
      </c>
      <c r="AJ1031" s="707">
        <v>0</v>
      </c>
      <c r="AK1031" s="707">
        <v>0</v>
      </c>
      <c r="AL1031" s="707">
        <v>0</v>
      </c>
      <c r="AM1031" s="707">
        <v>0</v>
      </c>
      <c r="AN1031" s="707">
        <v>0</v>
      </c>
      <c r="AO1031" s="707">
        <v>0</v>
      </c>
      <c r="AP1031" s="707">
        <v>0</v>
      </c>
      <c r="AQ1031" s="707">
        <v>0</v>
      </c>
      <c r="AR1031" s="707">
        <v>0</v>
      </c>
      <c r="AS1031" s="707">
        <v>0</v>
      </c>
      <c r="AT1031" s="707">
        <v>0</v>
      </c>
      <c r="AV1031" s="2168"/>
      <c r="AW1031" s="2168"/>
      <c r="AX1031" s="2168"/>
      <c r="AY1031" s="2168"/>
      <c r="AZ1031" s="2168"/>
      <c r="BA1031" s="2168"/>
      <c r="BB1031" s="2168"/>
      <c r="BC1031" s="2168"/>
      <c r="BD1031" s="2168"/>
      <c r="BE1031" s="2168"/>
      <c r="BF1031" s="2168"/>
      <c r="BG1031" s="2168"/>
      <c r="BH1031" s="2167"/>
    </row>
    <row r="1032" spans="1:60" ht="14.25" customHeight="1">
      <c r="A1032" s="1"/>
      <c r="B1032" s="1"/>
      <c r="C1032" s="1"/>
      <c r="D1032" s="383" t="s">
        <v>531</v>
      </c>
      <c r="E1032" s="346"/>
      <c r="F1032" s="346"/>
      <c r="G1032" s="346"/>
      <c r="H1032" s="346"/>
      <c r="I1032" s="346"/>
      <c r="J1032" s="346"/>
      <c r="K1032" s="346"/>
      <c r="L1032" s="346"/>
      <c r="M1032" s="346"/>
      <c r="N1032" s="346"/>
      <c r="O1032" s="346"/>
      <c r="P1032" s="346"/>
      <c r="Q1032" s="346"/>
      <c r="R1032" s="346"/>
      <c r="S1032" s="346"/>
      <c r="T1032" s="346"/>
      <c r="U1032" s="346"/>
      <c r="V1032" s="126"/>
      <c r="W1032" s="126"/>
      <c r="X1032" s="126"/>
      <c r="Y1032" s="707">
        <f>FISCinyear!HR710</f>
        <v>0</v>
      </c>
      <c r="Z1032" s="707">
        <f>FISCinyear!HU710</f>
        <v>0</v>
      </c>
      <c r="AA1032" s="707">
        <f>FISCinyear!HX710</f>
        <v>0</v>
      </c>
      <c r="AB1032" s="707">
        <f>FISCinyear!IA710</f>
        <v>0</v>
      </c>
      <c r="AC1032" s="707">
        <f>FISCinyear!ID710</f>
        <v>0</v>
      </c>
      <c r="AD1032" s="707">
        <f>FISCinyear!IG710</f>
        <v>0</v>
      </c>
      <c r="AE1032" s="707">
        <f>FISCinyear!IJ710</f>
        <v>0</v>
      </c>
      <c r="AF1032" s="707">
        <f>FISCinyear!IM710</f>
        <v>0</v>
      </c>
      <c r="AG1032" s="707">
        <f>FISCinyear!IP710</f>
        <v>0</v>
      </c>
      <c r="AH1032" s="707">
        <f>FISCinyear!IS710</f>
        <v>0</v>
      </c>
      <c r="AI1032" s="707">
        <f>FISCinyear!IV710</f>
        <v>0</v>
      </c>
      <c r="AJ1032" s="707">
        <v>0</v>
      </c>
      <c r="AK1032" s="707">
        <v>0</v>
      </c>
      <c r="AL1032" s="707">
        <v>0</v>
      </c>
      <c r="AM1032" s="707">
        <v>0</v>
      </c>
      <c r="AN1032" s="707">
        <v>0</v>
      </c>
      <c r="AO1032" s="707">
        <v>0</v>
      </c>
      <c r="AP1032" s="707">
        <v>0</v>
      </c>
      <c r="AQ1032" s="707">
        <v>0</v>
      </c>
      <c r="AR1032" s="707">
        <v>0</v>
      </c>
      <c r="AS1032" s="707">
        <v>0</v>
      </c>
      <c r="AT1032" s="707">
        <v>0</v>
      </c>
      <c r="AV1032" s="2168"/>
      <c r="AW1032" s="2168"/>
      <c r="AX1032" s="2168"/>
      <c r="AY1032" s="2168"/>
      <c r="AZ1032" s="2168"/>
      <c r="BA1032" s="2168"/>
      <c r="BB1032" s="2168"/>
      <c r="BC1032" s="2168"/>
      <c r="BD1032" s="2168"/>
      <c r="BE1032" s="2168"/>
      <c r="BF1032" s="2168"/>
      <c r="BG1032" s="2168"/>
      <c r="BH1032" s="2167"/>
    </row>
    <row r="1033" spans="1:60" ht="14.25" customHeight="1">
      <c r="A1033" s="1"/>
      <c r="B1033" s="1"/>
      <c r="C1033" s="1"/>
      <c r="D1033" s="383" t="s">
        <v>532</v>
      </c>
      <c r="E1033" s="346"/>
      <c r="F1033" s="346"/>
      <c r="G1033" s="346"/>
      <c r="H1033" s="346"/>
      <c r="I1033" s="346"/>
      <c r="J1033" s="346"/>
      <c r="K1033" s="346"/>
      <c r="L1033" s="346"/>
      <c r="M1033" s="346"/>
      <c r="N1033" s="346"/>
      <c r="O1033" s="346"/>
      <c r="P1033" s="346"/>
      <c r="Q1033" s="346"/>
      <c r="R1033" s="346"/>
      <c r="S1033" s="346"/>
      <c r="T1033" s="346"/>
      <c r="U1033" s="346"/>
      <c r="V1033" s="126"/>
      <c r="W1033" s="126"/>
      <c r="X1033" s="126"/>
      <c r="Y1033" s="707">
        <f>FISCinyear!HR711</f>
        <v>0</v>
      </c>
      <c r="Z1033" s="707">
        <f>FISCinyear!HU711</f>
        <v>0</v>
      </c>
      <c r="AA1033" s="707">
        <f>FISCinyear!HX711</f>
        <v>0</v>
      </c>
      <c r="AB1033" s="707">
        <f>FISCinyear!IA711</f>
        <v>0</v>
      </c>
      <c r="AC1033" s="707">
        <f>FISCinyear!ID711</f>
        <v>0</v>
      </c>
      <c r="AD1033" s="707">
        <f>FISCinyear!IG711</f>
        <v>0</v>
      </c>
      <c r="AE1033" s="707">
        <f>FISCinyear!IJ711</f>
        <v>0</v>
      </c>
      <c r="AF1033" s="707">
        <f>FISCinyear!IM711</f>
        <v>0</v>
      </c>
      <c r="AG1033" s="707">
        <f>FISCinyear!IP711</f>
        <v>0</v>
      </c>
      <c r="AH1033" s="707">
        <f>FISCinyear!IS711</f>
        <v>0</v>
      </c>
      <c r="AI1033" s="707">
        <f>FISCinyear!IV711</f>
        <v>0</v>
      </c>
      <c r="AJ1033" s="707">
        <v>0</v>
      </c>
      <c r="AK1033" s="707">
        <v>0</v>
      </c>
      <c r="AL1033" s="707">
        <v>0</v>
      </c>
      <c r="AM1033" s="707">
        <v>0</v>
      </c>
      <c r="AN1033" s="707">
        <v>0</v>
      </c>
      <c r="AO1033" s="707">
        <v>0</v>
      </c>
      <c r="AP1033" s="707">
        <v>0</v>
      </c>
      <c r="AQ1033" s="707">
        <v>0</v>
      </c>
      <c r="AR1033" s="707">
        <v>0</v>
      </c>
      <c r="AS1033" s="707">
        <v>0</v>
      </c>
      <c r="AT1033" s="707">
        <v>0</v>
      </c>
      <c r="AV1033" s="2168"/>
      <c r="AW1033" s="2168"/>
      <c r="AX1033" s="2168"/>
      <c r="AY1033" s="2168"/>
      <c r="AZ1033" s="2168"/>
      <c r="BA1033" s="2168"/>
      <c r="BB1033" s="2168"/>
      <c r="BC1033" s="2168"/>
      <c r="BD1033" s="2168"/>
      <c r="BE1033" s="2168"/>
      <c r="BF1033" s="2168"/>
      <c r="BG1033" s="2168"/>
      <c r="BH1033" s="2167"/>
    </row>
    <row r="1034" spans="1:60" ht="14.25" customHeight="1">
      <c r="A1034" s="1"/>
      <c r="B1034" s="1"/>
      <c r="C1034" s="1"/>
      <c r="D1034" s="383" t="s">
        <v>533</v>
      </c>
      <c r="E1034" s="346"/>
      <c r="F1034" s="346"/>
      <c r="G1034" s="346"/>
      <c r="H1034" s="346"/>
      <c r="I1034" s="346"/>
      <c r="J1034" s="346"/>
      <c r="K1034" s="346"/>
      <c r="L1034" s="346"/>
      <c r="M1034" s="346"/>
      <c r="N1034" s="346"/>
      <c r="O1034" s="346"/>
      <c r="P1034" s="346"/>
      <c r="Q1034" s="346"/>
      <c r="R1034" s="346"/>
      <c r="S1034" s="346"/>
      <c r="T1034" s="346"/>
      <c r="U1034" s="346"/>
      <c r="V1034" s="126"/>
      <c r="W1034" s="126"/>
      <c r="X1034" s="126"/>
      <c r="Y1034" s="707">
        <f>FISCinyear!HR712</f>
        <v>0</v>
      </c>
      <c r="Z1034" s="707">
        <f>FISCinyear!HU712</f>
        <v>0</v>
      </c>
      <c r="AA1034" s="707">
        <f>FISCinyear!HX712</f>
        <v>0</v>
      </c>
      <c r="AB1034" s="707">
        <f>FISCinyear!IA712</f>
        <v>0</v>
      </c>
      <c r="AC1034" s="707">
        <f>FISCinyear!ID712</f>
        <v>0</v>
      </c>
      <c r="AD1034" s="707">
        <f>FISCinyear!IG712</f>
        <v>0</v>
      </c>
      <c r="AE1034" s="707">
        <f>FISCinyear!IJ712</f>
        <v>0</v>
      </c>
      <c r="AF1034" s="707">
        <f>FISCinyear!IM712</f>
        <v>0</v>
      </c>
      <c r="AG1034" s="707">
        <f>FISCinyear!IP712</f>
        <v>0</v>
      </c>
      <c r="AH1034" s="707">
        <f>FISCinyear!IS712</f>
        <v>0</v>
      </c>
      <c r="AI1034" s="707">
        <f>FISCinyear!IV712</f>
        <v>0</v>
      </c>
      <c r="AJ1034" s="707">
        <v>0</v>
      </c>
      <c r="AK1034" s="707">
        <v>0</v>
      </c>
      <c r="AL1034" s="707">
        <v>0</v>
      </c>
      <c r="AM1034" s="707">
        <v>0</v>
      </c>
      <c r="AN1034" s="707">
        <v>0</v>
      </c>
      <c r="AO1034" s="707">
        <v>0</v>
      </c>
      <c r="AP1034" s="707">
        <v>0</v>
      </c>
      <c r="AQ1034" s="707">
        <v>0</v>
      </c>
      <c r="AR1034" s="707">
        <v>0</v>
      </c>
      <c r="AS1034" s="707">
        <v>0</v>
      </c>
      <c r="AT1034" s="707">
        <v>0</v>
      </c>
      <c r="AV1034" s="2168"/>
      <c r="AW1034" s="2168"/>
      <c r="AX1034" s="2168"/>
      <c r="AY1034" s="2168"/>
      <c r="AZ1034" s="2168"/>
      <c r="BA1034" s="2168"/>
      <c r="BB1034" s="2168"/>
      <c r="BC1034" s="2168"/>
      <c r="BD1034" s="2168"/>
      <c r="BE1034" s="2168"/>
      <c r="BF1034" s="2168"/>
      <c r="BG1034" s="2168"/>
      <c r="BH1034" s="2167"/>
    </row>
    <row r="1035" spans="1:60" ht="14.25" customHeight="1">
      <c r="A1035" s="1"/>
      <c r="B1035" s="1"/>
      <c r="C1035" s="1"/>
      <c r="D1035" s="381" t="str">
        <f>+FISCinyear!D713</f>
        <v xml:space="preserve">Other social contributions </v>
      </c>
      <c r="E1035" s="346"/>
      <c r="F1035" s="346"/>
      <c r="G1035" s="346"/>
      <c r="H1035" s="346"/>
      <c r="I1035" s="346"/>
      <c r="J1035" s="346"/>
      <c r="K1035" s="346"/>
      <c r="L1035" s="346"/>
      <c r="M1035" s="346"/>
      <c r="N1035" s="346"/>
      <c r="O1035" s="346"/>
      <c r="P1035" s="346"/>
      <c r="Q1035" s="346"/>
      <c r="R1035" s="346"/>
      <c r="S1035" s="346"/>
      <c r="T1035" s="346"/>
      <c r="U1035" s="346"/>
      <c r="V1035" s="126"/>
      <c r="W1035" s="126"/>
      <c r="X1035" s="126"/>
      <c r="Y1035" s="1596">
        <f>FISCinyear!HR713</f>
        <v>0</v>
      </c>
      <c r="Z1035" s="1596">
        <f>FISCinyear!HU713</f>
        <v>0</v>
      </c>
      <c r="AA1035" s="1596">
        <f>FISCinyear!HX713</f>
        <v>0</v>
      </c>
      <c r="AB1035" s="1596">
        <f>FISCinyear!IA713</f>
        <v>0</v>
      </c>
      <c r="AC1035" s="1596">
        <f>FISCinyear!ID713</f>
        <v>0</v>
      </c>
      <c r="AD1035" s="1596">
        <f>FISCinyear!IG713</f>
        <v>0</v>
      </c>
      <c r="AE1035" s="1596">
        <f>FISCinyear!IJ713</f>
        <v>0</v>
      </c>
      <c r="AF1035" s="1596">
        <f>FISCinyear!IM713</f>
        <v>0</v>
      </c>
      <c r="AG1035" s="1596">
        <f>FISCinyear!IP713</f>
        <v>0</v>
      </c>
      <c r="AH1035" s="1596">
        <f>FISCinyear!IS713</f>
        <v>0</v>
      </c>
      <c r="AI1035" s="1596">
        <f>FISCinyear!IV713</f>
        <v>0</v>
      </c>
      <c r="AJ1035" s="1596">
        <v>0</v>
      </c>
      <c r="AK1035" s="1596">
        <v>0</v>
      </c>
      <c r="AL1035" s="1596">
        <v>0</v>
      </c>
      <c r="AM1035" s="1596">
        <v>0</v>
      </c>
      <c r="AN1035" s="1596">
        <v>0</v>
      </c>
      <c r="AO1035" s="1596">
        <v>0</v>
      </c>
      <c r="AP1035" s="1596">
        <v>0</v>
      </c>
      <c r="AQ1035" s="1596">
        <v>0</v>
      </c>
      <c r="AR1035" s="1596">
        <v>0</v>
      </c>
      <c r="AS1035" s="1596">
        <v>0</v>
      </c>
      <c r="AT1035" s="1596">
        <v>0</v>
      </c>
      <c r="AV1035" s="2168"/>
      <c r="AW1035" s="2168"/>
      <c r="AX1035" s="2168"/>
      <c r="AY1035" s="2168"/>
      <c r="AZ1035" s="2168"/>
      <c r="BA1035" s="2168"/>
      <c r="BB1035" s="2168"/>
      <c r="BC1035" s="2168"/>
      <c r="BD1035" s="2168"/>
      <c r="BE1035" s="2168"/>
      <c r="BF1035" s="2168"/>
      <c r="BG1035" s="2168"/>
      <c r="BH1035" s="2167"/>
    </row>
    <row r="1036" spans="1:60" ht="14.25" customHeight="1">
      <c r="A1036" s="1"/>
      <c r="B1036" s="1"/>
      <c r="C1036" s="1"/>
      <c r="D1036" s="383" t="s">
        <v>530</v>
      </c>
      <c r="E1036" s="346"/>
      <c r="F1036" s="346"/>
      <c r="G1036" s="346"/>
      <c r="H1036" s="346"/>
      <c r="I1036" s="346"/>
      <c r="J1036" s="346"/>
      <c r="K1036" s="346"/>
      <c r="L1036" s="346"/>
      <c r="M1036" s="346"/>
      <c r="N1036" s="346"/>
      <c r="O1036" s="346"/>
      <c r="P1036" s="346"/>
      <c r="Q1036" s="346"/>
      <c r="R1036" s="346"/>
      <c r="S1036" s="346"/>
      <c r="T1036" s="346"/>
      <c r="U1036" s="346"/>
      <c r="V1036" s="126"/>
      <c r="W1036" s="126"/>
      <c r="X1036" s="126"/>
      <c r="Y1036" s="707">
        <f>FISCinyear!HR714</f>
        <v>0</v>
      </c>
      <c r="Z1036" s="707">
        <f>FISCinyear!HU714</f>
        <v>0</v>
      </c>
      <c r="AA1036" s="707">
        <f>FISCinyear!HX714</f>
        <v>0</v>
      </c>
      <c r="AB1036" s="707">
        <f>FISCinyear!IA714</f>
        <v>0</v>
      </c>
      <c r="AC1036" s="707">
        <f>FISCinyear!ID714</f>
        <v>0</v>
      </c>
      <c r="AD1036" s="707">
        <f>FISCinyear!IG714</f>
        <v>0</v>
      </c>
      <c r="AE1036" s="707">
        <f>FISCinyear!IJ714</f>
        <v>0</v>
      </c>
      <c r="AF1036" s="707">
        <f>FISCinyear!IM714</f>
        <v>0</v>
      </c>
      <c r="AG1036" s="707">
        <f>FISCinyear!IP714</f>
        <v>0</v>
      </c>
      <c r="AH1036" s="707">
        <f>FISCinyear!IS714</f>
        <v>0</v>
      </c>
      <c r="AI1036" s="707">
        <f>FISCinyear!IV714</f>
        <v>0</v>
      </c>
      <c r="AJ1036" s="707">
        <v>0</v>
      </c>
      <c r="AK1036" s="707">
        <v>0</v>
      </c>
      <c r="AL1036" s="707">
        <v>0</v>
      </c>
      <c r="AM1036" s="707">
        <v>0</v>
      </c>
      <c r="AN1036" s="707">
        <v>0</v>
      </c>
      <c r="AO1036" s="707">
        <v>0</v>
      </c>
      <c r="AP1036" s="707">
        <v>0</v>
      </c>
      <c r="AQ1036" s="707">
        <v>0</v>
      </c>
      <c r="AR1036" s="707">
        <v>0</v>
      </c>
      <c r="AS1036" s="707">
        <v>0</v>
      </c>
      <c r="AT1036" s="707">
        <v>0</v>
      </c>
      <c r="AV1036" s="2168"/>
      <c r="AW1036" s="2168"/>
      <c r="AX1036" s="2168"/>
      <c r="AY1036" s="2168"/>
      <c r="AZ1036" s="2168"/>
      <c r="BA1036" s="2168"/>
      <c r="BB1036" s="2168"/>
      <c r="BC1036" s="2168"/>
      <c r="BD1036" s="2168"/>
      <c r="BE1036" s="2168"/>
      <c r="BF1036" s="2168"/>
      <c r="BG1036" s="2168"/>
      <c r="BH1036" s="2167"/>
    </row>
    <row r="1037" spans="1:60" ht="14.25" customHeight="1">
      <c r="A1037" s="1"/>
      <c r="B1037" s="1"/>
      <c r="C1037" s="1"/>
      <c r="D1037" s="383" t="s">
        <v>531</v>
      </c>
      <c r="E1037" s="346"/>
      <c r="F1037" s="346"/>
      <c r="G1037" s="346"/>
      <c r="H1037" s="346"/>
      <c r="I1037" s="346"/>
      <c r="J1037" s="346"/>
      <c r="K1037" s="346"/>
      <c r="L1037" s="346"/>
      <c r="M1037" s="346"/>
      <c r="N1037" s="346"/>
      <c r="O1037" s="346"/>
      <c r="P1037" s="346"/>
      <c r="Q1037" s="346"/>
      <c r="R1037" s="346"/>
      <c r="S1037" s="346"/>
      <c r="T1037" s="346"/>
      <c r="U1037" s="346"/>
      <c r="V1037" s="126"/>
      <c r="W1037" s="126"/>
      <c r="X1037" s="126"/>
      <c r="Y1037" s="707">
        <f>FISCinyear!HR715</f>
        <v>0</v>
      </c>
      <c r="Z1037" s="707">
        <f>FISCinyear!HU715</f>
        <v>0</v>
      </c>
      <c r="AA1037" s="707">
        <f>FISCinyear!HX715</f>
        <v>0</v>
      </c>
      <c r="AB1037" s="707">
        <f>FISCinyear!IA715</f>
        <v>0</v>
      </c>
      <c r="AC1037" s="707">
        <f>FISCinyear!ID715</f>
        <v>0</v>
      </c>
      <c r="AD1037" s="707">
        <f>FISCinyear!IG715</f>
        <v>0</v>
      </c>
      <c r="AE1037" s="707">
        <f>FISCinyear!IJ715</f>
        <v>0</v>
      </c>
      <c r="AF1037" s="707">
        <f>FISCinyear!IM715</f>
        <v>0</v>
      </c>
      <c r="AG1037" s="707">
        <f>FISCinyear!IP715</f>
        <v>0</v>
      </c>
      <c r="AH1037" s="707">
        <f>FISCinyear!IS715</f>
        <v>0</v>
      </c>
      <c r="AI1037" s="707">
        <f>FISCinyear!IV715</f>
        <v>0</v>
      </c>
      <c r="AJ1037" s="707">
        <v>0</v>
      </c>
      <c r="AK1037" s="707">
        <v>0</v>
      </c>
      <c r="AL1037" s="707">
        <v>0</v>
      </c>
      <c r="AM1037" s="707">
        <v>0</v>
      </c>
      <c r="AN1037" s="707">
        <v>0</v>
      </c>
      <c r="AO1037" s="707">
        <v>0</v>
      </c>
      <c r="AP1037" s="707">
        <v>0</v>
      </c>
      <c r="AQ1037" s="707">
        <v>0</v>
      </c>
      <c r="AR1037" s="707">
        <v>0</v>
      </c>
      <c r="AS1037" s="707">
        <v>0</v>
      </c>
      <c r="AT1037" s="707">
        <v>0</v>
      </c>
      <c r="AV1037" s="2168"/>
      <c r="AW1037" s="2168"/>
      <c r="AX1037" s="2168"/>
      <c r="AY1037" s="2168"/>
      <c r="AZ1037" s="2168"/>
      <c r="BA1037" s="2168"/>
      <c r="BB1037" s="2168"/>
      <c r="BC1037" s="2168"/>
      <c r="BD1037" s="2168"/>
      <c r="BE1037" s="2168"/>
      <c r="BF1037" s="2168"/>
      <c r="BG1037" s="2168"/>
      <c r="BH1037" s="2167"/>
    </row>
    <row r="1038" spans="1:60" ht="14.25" customHeight="1">
      <c r="A1038" s="1"/>
      <c r="B1038" s="1"/>
      <c r="C1038" s="1"/>
      <c r="D1038" s="383" t="s">
        <v>535</v>
      </c>
      <c r="E1038" s="346"/>
      <c r="F1038" s="346"/>
      <c r="G1038" s="346"/>
      <c r="H1038" s="346"/>
      <c r="I1038" s="346"/>
      <c r="J1038" s="346"/>
      <c r="K1038" s="346"/>
      <c r="L1038" s="346"/>
      <c r="M1038" s="346"/>
      <c r="N1038" s="346"/>
      <c r="O1038" s="346"/>
      <c r="P1038" s="346"/>
      <c r="Q1038" s="346"/>
      <c r="R1038" s="346"/>
      <c r="S1038" s="346"/>
      <c r="T1038" s="346"/>
      <c r="U1038" s="346"/>
      <c r="V1038" s="126"/>
      <c r="W1038" s="126"/>
      <c r="X1038" s="126"/>
      <c r="Y1038" s="707">
        <f>FISCinyear!HR716</f>
        <v>0</v>
      </c>
      <c r="Z1038" s="707">
        <f>FISCinyear!HU716</f>
        <v>0</v>
      </c>
      <c r="AA1038" s="707">
        <f>FISCinyear!HX716</f>
        <v>0</v>
      </c>
      <c r="AB1038" s="707">
        <f>FISCinyear!IA716</f>
        <v>0</v>
      </c>
      <c r="AC1038" s="707">
        <f>FISCinyear!ID716</f>
        <v>0</v>
      </c>
      <c r="AD1038" s="707">
        <f>FISCinyear!IG716</f>
        <v>0</v>
      </c>
      <c r="AE1038" s="707">
        <f>FISCinyear!IJ716</f>
        <v>0</v>
      </c>
      <c r="AF1038" s="707">
        <f>FISCinyear!IM716</f>
        <v>0</v>
      </c>
      <c r="AG1038" s="707">
        <f>FISCinyear!IP716</f>
        <v>0</v>
      </c>
      <c r="AH1038" s="707">
        <f>FISCinyear!IS716</f>
        <v>0</v>
      </c>
      <c r="AI1038" s="707">
        <f>FISCinyear!IV716</f>
        <v>0</v>
      </c>
      <c r="AJ1038" s="707">
        <v>0</v>
      </c>
      <c r="AK1038" s="707">
        <v>0</v>
      </c>
      <c r="AL1038" s="707">
        <v>0</v>
      </c>
      <c r="AM1038" s="707">
        <v>0</v>
      </c>
      <c r="AN1038" s="707">
        <v>0</v>
      </c>
      <c r="AO1038" s="707">
        <v>0</v>
      </c>
      <c r="AP1038" s="707">
        <v>0</v>
      </c>
      <c r="AQ1038" s="707">
        <v>0</v>
      </c>
      <c r="AR1038" s="707">
        <v>0</v>
      </c>
      <c r="AS1038" s="707">
        <v>0</v>
      </c>
      <c r="AT1038" s="707">
        <v>0</v>
      </c>
      <c r="AV1038" s="2168"/>
      <c r="AW1038" s="2168"/>
      <c r="AX1038" s="2168"/>
      <c r="AY1038" s="2168"/>
      <c r="AZ1038" s="2168"/>
      <c r="BA1038" s="2168"/>
      <c r="BB1038" s="2168"/>
      <c r="BC1038" s="2168"/>
      <c r="BD1038" s="2168"/>
      <c r="BE1038" s="2168"/>
      <c r="BF1038" s="2168"/>
      <c r="BG1038" s="2168"/>
      <c r="BH1038" s="2167"/>
    </row>
    <row r="1039" spans="1:60" ht="14.25" customHeight="1">
      <c r="A1039" s="1"/>
      <c r="B1039" s="1"/>
      <c r="C1039" s="1"/>
      <c r="D1039" s="379" t="str">
        <f>+FISCinyear!D717</f>
        <v xml:space="preserve">Grants </v>
      </c>
      <c r="E1039" s="346"/>
      <c r="F1039" s="346"/>
      <c r="G1039" s="346"/>
      <c r="H1039" s="346"/>
      <c r="I1039" s="346"/>
      <c r="J1039" s="346"/>
      <c r="K1039" s="346"/>
      <c r="L1039" s="346"/>
      <c r="M1039" s="346"/>
      <c r="N1039" s="346"/>
      <c r="O1039" s="346"/>
      <c r="P1039" s="346"/>
      <c r="Q1039" s="346"/>
      <c r="R1039" s="346"/>
      <c r="S1039" s="346"/>
      <c r="T1039" s="346"/>
      <c r="U1039" s="346"/>
      <c r="V1039" s="399">
        <f>+V1040+V1044</f>
        <v>379.02576983500001</v>
      </c>
      <c r="W1039" s="399">
        <f>+W1040+W1044</f>
        <v>457.4</v>
      </c>
      <c r="X1039" s="399">
        <f>+X1040+X1044</f>
        <v>364.9</v>
      </c>
      <c r="Y1039" s="1596">
        <f>FISCinyear!HR717</f>
        <v>474.31665722262017</v>
      </c>
      <c r="Z1039" s="1596">
        <f>FISCinyear!HU717</f>
        <v>415.92740699529952</v>
      </c>
      <c r="AA1039" s="1596">
        <f>FISCinyear!HX717</f>
        <v>373.71360579354939</v>
      </c>
      <c r="AB1039" s="1596">
        <f>FISCinyear!IA717</f>
        <v>330.18208394651856</v>
      </c>
      <c r="AC1039" s="1596">
        <f>FISCinyear!ID717</f>
        <v>358.90867686871047</v>
      </c>
      <c r="AD1039" s="1596">
        <f>FISCinyear!IG717</f>
        <v>394.75005785621573</v>
      </c>
      <c r="AE1039" s="1596">
        <f>FISCinyear!IJ717</f>
        <v>437.5584046438675</v>
      </c>
      <c r="AF1039" s="1596">
        <f>FISCinyear!IM717</f>
        <v>561.08816780108214</v>
      </c>
      <c r="AG1039" s="1596">
        <f>FISCinyear!IP717</f>
        <v>824.18435942628139</v>
      </c>
      <c r="AH1039" s="1596">
        <f>FISCinyear!IS717</f>
        <v>711.30724575495196</v>
      </c>
      <c r="AI1039" s="1596">
        <f>FISCinyear!IV717</f>
        <v>757.7914095316321</v>
      </c>
      <c r="AJ1039" s="1800">
        <f t="shared" ref="AJ1039:AO1039" si="1263">+AJ1040+AJ1044+AJ1051</f>
        <v>625.76873923411313</v>
      </c>
      <c r="AK1039" s="1800">
        <f t="shared" si="1263"/>
        <v>585.21500835131963</v>
      </c>
      <c r="AL1039" s="1800">
        <f t="shared" si="1263"/>
        <v>660.06662379141665</v>
      </c>
      <c r="AM1039" s="1800">
        <f t="shared" si="1263"/>
        <v>739.77037337547381</v>
      </c>
      <c r="AN1039" s="1800">
        <f t="shared" si="1263"/>
        <v>794.32405102735959</v>
      </c>
      <c r="AO1039" s="1800">
        <f t="shared" si="1263"/>
        <v>864.96623985512781</v>
      </c>
      <c r="AP1039" s="1800">
        <f t="shared" ref="AP1039:AT1039" si="1264">+AP1041+AP1044+AP1051</f>
        <v>355.83804745368525</v>
      </c>
      <c r="AQ1039" s="1800">
        <f t="shared" si="1264"/>
        <v>382.17037462195867</v>
      </c>
      <c r="AR1039" s="1800">
        <f t="shared" si="1264"/>
        <v>403.58025230480609</v>
      </c>
      <c r="AS1039" s="1800">
        <f t="shared" si="1264"/>
        <v>426.64175863562764</v>
      </c>
      <c r="AT1039" s="1800">
        <f t="shared" si="1264"/>
        <v>446.46053736672889</v>
      </c>
      <c r="AV1039" s="2168"/>
      <c r="AW1039" s="2168"/>
      <c r="AX1039" s="2168"/>
      <c r="AY1039" s="2168"/>
      <c r="AZ1039" s="2168"/>
      <c r="BA1039" s="2168"/>
      <c r="BB1039" s="2168"/>
      <c r="BC1039" s="2168"/>
      <c r="BD1039" s="2168"/>
      <c r="BE1039" s="2168"/>
      <c r="BF1039" s="2168"/>
      <c r="BG1039" s="2168"/>
      <c r="BH1039" s="2167"/>
    </row>
    <row r="1040" spans="1:60" ht="14.25" customHeight="1">
      <c r="A1040" s="1"/>
      <c r="B1040" s="1"/>
      <c r="C1040" s="1"/>
      <c r="D1040" s="381" t="str">
        <f>+FISCinyear!D718</f>
        <v xml:space="preserve">From foreign governments </v>
      </c>
      <c r="E1040" s="346"/>
      <c r="F1040" s="346"/>
      <c r="G1040" s="346"/>
      <c r="H1040" s="346"/>
      <c r="I1040" s="346"/>
      <c r="J1040" s="346"/>
      <c r="K1040" s="346"/>
      <c r="L1040" s="346"/>
      <c r="M1040" s="346"/>
      <c r="N1040" s="346"/>
      <c r="O1040" s="346"/>
      <c r="P1040" s="346"/>
      <c r="Q1040" s="346"/>
      <c r="R1040" s="346"/>
      <c r="S1040" s="346"/>
      <c r="T1040" s="346"/>
      <c r="U1040" s="346"/>
      <c r="V1040" s="399"/>
      <c r="W1040" s="399"/>
      <c r="X1040" s="399"/>
      <c r="Y1040" s="1596">
        <f>FISCinyear!HR718</f>
        <v>0</v>
      </c>
      <c r="Z1040" s="1596">
        <f>FISCinyear!HU718</f>
        <v>0</v>
      </c>
      <c r="AA1040" s="1596">
        <f>FISCinyear!HX718</f>
        <v>0</v>
      </c>
      <c r="AB1040" s="1596">
        <f>FISCinyear!IA718</f>
        <v>68.872031182049739</v>
      </c>
      <c r="AC1040" s="1596">
        <f>FISCinyear!ID718</f>
        <v>62.921207006556472</v>
      </c>
      <c r="AD1040" s="1596">
        <f>FISCinyear!IG718</f>
        <v>18.877917492979133</v>
      </c>
      <c r="AE1040" s="1596">
        <f>FISCinyear!IJ718</f>
        <v>24.185845768937916</v>
      </c>
      <c r="AF1040" s="1596">
        <f>FISCinyear!IM718</f>
        <v>9.0172988225571267</v>
      </c>
      <c r="AG1040" s="1596">
        <f>FISCinyear!IP718</f>
        <v>214.52942576870959</v>
      </c>
      <c r="AH1040" s="1596">
        <f>FISCinyear!IS718</f>
        <v>405.61651781281091</v>
      </c>
      <c r="AI1040" s="1596">
        <f>FISCinyear!IV718</f>
        <v>423.76122062019726</v>
      </c>
      <c r="AJ1040" s="1801">
        <f>AJ1041+AJ1043</f>
        <v>320.33611353938386</v>
      </c>
      <c r="AK1040" s="1801">
        <f t="shared" ref="AK1040:AL1040" si="1265">AK1041+AK1043</f>
        <v>317.71428970565637</v>
      </c>
      <c r="AL1040" s="1801">
        <f t="shared" si="1265"/>
        <v>309.10026712495079</v>
      </c>
      <c r="AM1040" s="1801">
        <f t="shared" ref="AM1040:AO1040" si="1266">AM1041+AM1043</f>
        <v>329.56758133972784</v>
      </c>
      <c r="AN1040" s="1801">
        <f>AN1041+AN1043</f>
        <v>348.22310433621101</v>
      </c>
      <c r="AO1040" s="1801">
        <f t="shared" si="1266"/>
        <v>363.44641374224784</v>
      </c>
      <c r="AP1040" s="1801"/>
      <c r="AQ1040" s="1801"/>
      <c r="AR1040" s="1801"/>
      <c r="AS1040" s="1801"/>
      <c r="AT1040" s="1801"/>
      <c r="AV1040" s="2168"/>
      <c r="AW1040" s="2168"/>
      <c r="AX1040" s="2168"/>
      <c r="AY1040" s="2168"/>
      <c r="AZ1040" s="2168"/>
      <c r="BA1040" s="2168"/>
      <c r="BB1040" s="2168"/>
      <c r="BC1040" s="2168"/>
      <c r="BD1040" s="2168"/>
      <c r="BE1040" s="2168"/>
      <c r="BF1040" s="2168"/>
      <c r="BG1040" s="2168"/>
      <c r="BH1040" s="2167"/>
    </row>
    <row r="1041" spans="1:60" ht="14.25" customHeight="1">
      <c r="A1041" s="1"/>
      <c r="B1041" s="1"/>
      <c r="C1041" s="1"/>
      <c r="D1041" s="383" t="str">
        <f>+FISCinyear!D719</f>
        <v xml:space="preserve">Current </v>
      </c>
      <c r="E1041" s="346"/>
      <c r="F1041" s="346"/>
      <c r="G1041" s="346"/>
      <c r="H1041" s="346"/>
      <c r="I1041" s="346"/>
      <c r="J1041" s="346"/>
      <c r="K1041" s="346"/>
      <c r="L1041" s="346"/>
      <c r="M1041" s="346"/>
      <c r="N1041" s="346"/>
      <c r="O1041" s="346"/>
      <c r="P1041" s="346"/>
      <c r="Q1041" s="346"/>
      <c r="R1041" s="346"/>
      <c r="S1041" s="346"/>
      <c r="T1041" s="346"/>
      <c r="U1041" s="346"/>
      <c r="V1041" s="126"/>
      <c r="W1041" s="126"/>
      <c r="X1041" s="126"/>
      <c r="Y1041" s="707">
        <f>FISCinyear!HR719</f>
        <v>0</v>
      </c>
      <c r="Z1041" s="707">
        <f>FISCinyear!HU719</f>
        <v>0</v>
      </c>
      <c r="AA1041" s="707">
        <f>FISCinyear!HX719</f>
        <v>0</v>
      </c>
      <c r="AB1041" s="707">
        <f>FISCinyear!IA719</f>
        <v>68.872031182049739</v>
      </c>
      <c r="AC1041" s="707">
        <f>FISCinyear!ID719</f>
        <v>62.921207006556472</v>
      </c>
      <c r="AD1041" s="707">
        <f>FISCinyear!IG719</f>
        <v>18.877917492979133</v>
      </c>
      <c r="AE1041" s="707">
        <f>FISCinyear!IJ719</f>
        <v>24.185845768937916</v>
      </c>
      <c r="AF1041" s="707">
        <f>FISCinyear!IM719</f>
        <v>9.0172988225571267</v>
      </c>
      <c r="AG1041" s="707">
        <f>FISCinyear!IP719</f>
        <v>214.52942576870959</v>
      </c>
      <c r="AH1041" s="707">
        <f>FISCinyear!IS719</f>
        <v>158.7462235156909</v>
      </c>
      <c r="AI1041" s="707">
        <f>FISCinyear!IV719</f>
        <v>105.79687281258069</v>
      </c>
      <c r="AJ1041" s="399">
        <f t="shared" ref="AJ1041:AO1041" si="1267">(AI100+AJ92)*AJ253/1000</f>
        <v>36.061916334740332</v>
      </c>
      <c r="AK1041" s="399">
        <f t="shared" si="1267"/>
        <v>29.935742938602822</v>
      </c>
      <c r="AL1041" s="399">
        <f t="shared" si="1267"/>
        <v>0</v>
      </c>
      <c r="AM1041" s="399">
        <f t="shared" si="1267"/>
        <v>0</v>
      </c>
      <c r="AN1041" s="399">
        <f t="shared" si="1267"/>
        <v>0</v>
      </c>
      <c r="AO1041" s="399">
        <f t="shared" si="1267"/>
        <v>0</v>
      </c>
      <c r="AP1041" s="399"/>
      <c r="AQ1041" s="399"/>
      <c r="AR1041" s="399"/>
      <c r="AS1041" s="399"/>
      <c r="AT1041" s="399"/>
      <c r="AV1041" s="2168"/>
      <c r="AW1041" s="2168"/>
      <c r="AX1041" s="2168"/>
      <c r="AY1041" s="2168"/>
      <c r="AZ1041" s="2168"/>
      <c r="BA1041" s="2168"/>
      <c r="BB1041" s="2168"/>
      <c r="BC1041" s="2168"/>
      <c r="BD1041" s="2168"/>
      <c r="BE1041" s="2168"/>
      <c r="BF1041" s="2168"/>
      <c r="BG1041" s="2168"/>
      <c r="BH1041" s="2167"/>
    </row>
    <row r="1042" spans="1:60" ht="14.25" customHeight="1">
      <c r="A1042" s="1"/>
      <c r="B1042" s="1"/>
      <c r="C1042" s="1"/>
      <c r="D1042" s="386" t="s">
        <v>3365</v>
      </c>
      <c r="E1042" s="346"/>
      <c r="F1042" s="346"/>
      <c r="G1042" s="346"/>
      <c r="H1042" s="346"/>
      <c r="I1042" s="346"/>
      <c r="J1042" s="346"/>
      <c r="K1042" s="346"/>
      <c r="L1042" s="346"/>
      <c r="M1042" s="346"/>
      <c r="N1042" s="346"/>
      <c r="O1042" s="346"/>
      <c r="P1042" s="346"/>
      <c r="Q1042" s="346"/>
      <c r="R1042" s="346"/>
      <c r="S1042" s="346"/>
      <c r="T1042" s="346"/>
      <c r="U1042" s="346"/>
      <c r="V1042" s="126"/>
      <c r="W1042" s="126"/>
      <c r="X1042" s="126"/>
      <c r="Y1042" s="707"/>
      <c r="Z1042" s="707"/>
      <c r="AA1042" s="707"/>
      <c r="AB1042" s="707"/>
      <c r="AC1042" s="707"/>
      <c r="AD1042" s="707"/>
      <c r="AE1042" s="707"/>
      <c r="AF1042" s="707"/>
      <c r="AG1042" s="707">
        <f>FISCinyear!IP720</f>
        <v>178.58328382937401</v>
      </c>
      <c r="AH1042" s="707">
        <f>FISCinyear!IS720</f>
        <v>21</v>
      </c>
      <c r="AI1042" s="707">
        <f>FISCinyear!IV720</f>
        <v>81.74256614548537</v>
      </c>
      <c r="AJ1042" s="1800">
        <f>66.712844903971*AJ253/1000*0</f>
        <v>0</v>
      </c>
      <c r="AK1042" s="1800">
        <f>68.3533350182855*AK253/1000*0</f>
        <v>0</v>
      </c>
      <c r="AL1042" s="1800">
        <v>0</v>
      </c>
      <c r="AM1042" s="1800">
        <v>0</v>
      </c>
      <c r="AN1042" s="1800">
        <v>0</v>
      </c>
      <c r="AO1042" s="1800">
        <v>0</v>
      </c>
      <c r="AP1042" s="1800"/>
      <c r="AQ1042" s="1800"/>
      <c r="AR1042" s="1800"/>
      <c r="AS1042" s="1800"/>
      <c r="AT1042" s="1800"/>
      <c r="AU1042" s="1241"/>
      <c r="AV1042" s="2168"/>
      <c r="AW1042" s="2168"/>
      <c r="AX1042" s="2168"/>
      <c r="AY1042" s="2168"/>
      <c r="AZ1042" s="2168"/>
      <c r="BA1042" s="2168"/>
      <c r="BB1042" s="2168"/>
      <c r="BC1042" s="2168"/>
      <c r="BD1042" s="2168"/>
      <c r="BE1042" s="2168"/>
      <c r="BF1042" s="2168"/>
      <c r="BG1042" s="2168"/>
      <c r="BH1042" s="2167"/>
    </row>
    <row r="1043" spans="1:60" ht="14.25" customHeight="1">
      <c r="A1043" s="1"/>
      <c r="B1043" s="1"/>
      <c r="C1043" s="1"/>
      <c r="D1043" s="383" t="str">
        <f>+FISCinyear!D721</f>
        <v xml:space="preserve">Capital </v>
      </c>
      <c r="E1043" s="346"/>
      <c r="F1043" s="346"/>
      <c r="G1043" s="346"/>
      <c r="H1043" s="346"/>
      <c r="I1043" s="346"/>
      <c r="J1043" s="346"/>
      <c r="K1043" s="346"/>
      <c r="L1043" s="346"/>
      <c r="M1043" s="346"/>
      <c r="N1043" s="346"/>
      <c r="O1043" s="346"/>
      <c r="P1043" s="346"/>
      <c r="Q1043" s="346"/>
      <c r="R1043" s="346"/>
      <c r="S1043" s="346"/>
      <c r="T1043" s="346"/>
      <c r="U1043" s="346"/>
      <c r="V1043" s="126"/>
      <c r="W1043" s="126"/>
      <c r="X1043" s="126"/>
      <c r="Y1043" s="707">
        <f>FISCinyear!HR721</f>
        <v>0</v>
      </c>
      <c r="Z1043" s="707">
        <f>FISCinyear!HU721</f>
        <v>0</v>
      </c>
      <c r="AA1043" s="707">
        <f>FISCinyear!HX721</f>
        <v>0</v>
      </c>
      <c r="AB1043" s="707">
        <f>FISCinyear!IA721</f>
        <v>0</v>
      </c>
      <c r="AC1043" s="707">
        <f>FISCinyear!ID721</f>
        <v>0</v>
      </c>
      <c r="AD1043" s="707">
        <f>FISCinyear!IG721</f>
        <v>0</v>
      </c>
      <c r="AE1043" s="707">
        <f>FISCinyear!IJ721</f>
        <v>0</v>
      </c>
      <c r="AF1043" s="707">
        <f>FISCinyear!IM721</f>
        <v>0</v>
      </c>
      <c r="AG1043" s="707">
        <f>FISCinyear!IP721</f>
        <v>0</v>
      </c>
      <c r="AH1043" s="707">
        <f>FISCinyear!IS721</f>
        <v>246.87029429712004</v>
      </c>
      <c r="AI1043" s="707">
        <f>FISCinyear!IV721</f>
        <v>317.9643478076166</v>
      </c>
      <c r="AJ1043" s="126">
        <f t="shared" ref="AJ1043:AO1043" si="1268">(AI86+AJ81)*AJ253/1000</f>
        <v>284.27419720464354</v>
      </c>
      <c r="AK1043" s="126">
        <f t="shared" si="1268"/>
        <v>287.77854676705357</v>
      </c>
      <c r="AL1043" s="126">
        <f t="shared" si="1268"/>
        <v>309.10026712495079</v>
      </c>
      <c r="AM1043" s="126">
        <f t="shared" si="1268"/>
        <v>329.56758133972784</v>
      </c>
      <c r="AN1043" s="126">
        <f t="shared" si="1268"/>
        <v>348.22310433621101</v>
      </c>
      <c r="AO1043" s="126">
        <f t="shared" si="1268"/>
        <v>363.44641374224784</v>
      </c>
      <c r="AP1043" s="126"/>
      <c r="AQ1043" s="126"/>
      <c r="AR1043" s="126"/>
      <c r="AS1043" s="126"/>
      <c r="AT1043" s="126"/>
      <c r="AV1043" s="2168"/>
      <c r="AW1043" s="2168"/>
      <c r="AX1043" s="2168"/>
      <c r="AY1043" s="2168"/>
      <c r="AZ1043" s="2168"/>
      <c r="BA1043" s="2168"/>
      <c r="BB1043" s="2168"/>
      <c r="BC1043" s="2168"/>
      <c r="BD1043" s="2168"/>
      <c r="BE1043" s="2168"/>
      <c r="BF1043" s="2168"/>
      <c r="BG1043" s="2168"/>
      <c r="BH1043" s="2167"/>
    </row>
    <row r="1044" spans="1:60" ht="14.25" customHeight="1">
      <c r="A1044" s="1"/>
      <c r="B1044" s="1"/>
      <c r="C1044" s="1"/>
      <c r="D1044" s="381" t="str">
        <f>+FISCinyear!D722</f>
        <v xml:space="preserve">From international organizations </v>
      </c>
      <c r="E1044" s="346"/>
      <c r="F1044" s="346"/>
      <c r="G1044" s="346"/>
      <c r="H1044" s="346"/>
      <c r="I1044" s="346"/>
      <c r="J1044" s="346"/>
      <c r="K1044" s="346"/>
      <c r="L1044" s="346"/>
      <c r="M1044" s="346"/>
      <c r="N1044" s="346"/>
      <c r="O1044" s="346"/>
      <c r="P1044" s="346"/>
      <c r="Q1044" s="346"/>
      <c r="R1044" s="346"/>
      <c r="S1044" s="346"/>
      <c r="T1044" s="346"/>
      <c r="U1044" s="346"/>
      <c r="V1044" s="399">
        <f t="shared" ref="V1044:X1045" si="1269">+V700</f>
        <v>379.02576983500001</v>
      </c>
      <c r="W1044" s="399">
        <f t="shared" si="1269"/>
        <v>457.4</v>
      </c>
      <c r="X1044" s="399">
        <f t="shared" si="1269"/>
        <v>364.9</v>
      </c>
      <c r="Y1044" s="1596">
        <f>FISCinyear!HR722</f>
        <v>474.31665722262017</v>
      </c>
      <c r="Z1044" s="1596">
        <f>FISCinyear!HU722</f>
        <v>415.92740699529952</v>
      </c>
      <c r="AA1044" s="1596">
        <f>FISCinyear!HX722</f>
        <v>373.71360579354939</v>
      </c>
      <c r="AB1044" s="1596">
        <f>FISCinyear!IA722</f>
        <v>261.31005276446876</v>
      </c>
      <c r="AC1044" s="1596">
        <f>FISCinyear!ID722</f>
        <v>295.987469862154</v>
      </c>
      <c r="AD1044" s="1596">
        <f>FISCinyear!IG722</f>
        <v>375.87214036323667</v>
      </c>
      <c r="AE1044" s="1596">
        <f>FISCinyear!IJ722</f>
        <v>413.37255887492961</v>
      </c>
      <c r="AF1044" s="1596">
        <f>FISCinyear!IM722</f>
        <v>557.03927729052498</v>
      </c>
      <c r="AG1044" s="1596">
        <f>FISCinyear!IP722</f>
        <v>609.65493365757186</v>
      </c>
      <c r="AH1044" s="1596">
        <f>FISCinyear!IS722</f>
        <v>305.69072794214094</v>
      </c>
      <c r="AI1044" s="1596">
        <f>FISCinyear!IV722</f>
        <v>334.03018891143483</v>
      </c>
      <c r="AJ1044" s="1800">
        <f t="shared" ref="AJ1044:AT1044" si="1270">AJ1045+AJ1046</f>
        <v>305.43262569472927</v>
      </c>
      <c r="AK1044" s="1800">
        <f t="shared" si="1270"/>
        <v>267.50071864566326</v>
      </c>
      <c r="AL1044" s="1800">
        <f t="shared" si="1270"/>
        <v>286.65894916262528</v>
      </c>
      <c r="AM1044" s="1800">
        <f t="shared" si="1270"/>
        <v>307.35443339277981</v>
      </c>
      <c r="AN1044" s="1800">
        <f t="shared" si="1270"/>
        <v>319.31904759443722</v>
      </c>
      <c r="AO1044" s="1800">
        <f t="shared" si="1270"/>
        <v>331.388405922326</v>
      </c>
      <c r="AP1044" s="1800">
        <f t="shared" si="1270"/>
        <v>198.79077812368575</v>
      </c>
      <c r="AQ1044" s="1800">
        <f t="shared" si="1270"/>
        <v>207.77032293051624</v>
      </c>
      <c r="AR1044" s="1800">
        <f t="shared" si="1270"/>
        <v>222.39493303970312</v>
      </c>
      <c r="AS1044" s="1800">
        <f t="shared" si="1270"/>
        <v>233.51467969168831</v>
      </c>
      <c r="AT1044" s="1800">
        <f t="shared" si="1270"/>
        <v>245.19041367627273</v>
      </c>
      <c r="AV1044" s="2168"/>
      <c r="AW1044" s="2168"/>
      <c r="AX1044" s="2168"/>
      <c r="AY1044" s="2168"/>
      <c r="AZ1044" s="2168"/>
      <c r="BA1044" s="2168"/>
      <c r="BB1044" s="2168"/>
      <c r="BC1044" s="2168"/>
      <c r="BD1044" s="2168"/>
      <c r="BE1044" s="2168"/>
      <c r="BF1044" s="2168"/>
      <c r="BG1044" s="2168"/>
      <c r="BH1044" s="2167"/>
    </row>
    <row r="1045" spans="1:60" ht="14.25" customHeight="1">
      <c r="A1045" s="1"/>
      <c r="B1045" s="1"/>
      <c r="C1045" s="1"/>
      <c r="D1045" s="383" t="str">
        <f>+FISCinyear!D723</f>
        <v xml:space="preserve">Current </v>
      </c>
      <c r="E1045" s="346"/>
      <c r="F1045" s="346"/>
      <c r="G1045" s="346"/>
      <c r="H1045" s="346"/>
      <c r="I1045" s="346"/>
      <c r="J1045" s="346"/>
      <c r="K1045" s="346"/>
      <c r="L1045" s="346"/>
      <c r="M1045" s="346"/>
      <c r="N1045" s="346"/>
      <c r="O1045" s="346"/>
      <c r="P1045" s="346"/>
      <c r="Q1045" s="346"/>
      <c r="R1045" s="346"/>
      <c r="S1045" s="346"/>
      <c r="T1045" s="346"/>
      <c r="U1045" s="346"/>
      <c r="V1045" s="126">
        <f t="shared" si="1269"/>
        <v>215.02576983500001</v>
      </c>
      <c r="W1045" s="126">
        <f t="shared" si="1269"/>
        <v>265.7</v>
      </c>
      <c r="X1045" s="126">
        <f t="shared" si="1269"/>
        <v>190</v>
      </c>
      <c r="Y1045" s="707">
        <f>FISCinyear!HR723</f>
        <v>171.05488197605115</v>
      </c>
      <c r="Z1045" s="707">
        <f>FISCinyear!HU723</f>
        <v>174.90370495494068</v>
      </c>
      <c r="AA1045" s="707">
        <f>FISCinyear!HX723</f>
        <v>204.80701027772713</v>
      </c>
      <c r="AB1045" s="707">
        <f>FISCinyear!IA723</f>
        <v>115.31005276446882</v>
      </c>
      <c r="AC1045" s="707">
        <f>FISCinyear!ID723</f>
        <v>127.27746986215398</v>
      </c>
      <c r="AD1045" s="707">
        <f>FISCinyear!IG723</f>
        <v>142.79660836906694</v>
      </c>
      <c r="AE1045" s="707">
        <f>FISCinyear!IJ723</f>
        <v>153.54471619267954</v>
      </c>
      <c r="AF1045" s="707">
        <f>FISCinyear!IM723</f>
        <v>262.290954510125</v>
      </c>
      <c r="AG1045" s="707">
        <f>FISCinyear!IP723</f>
        <v>232.6014681299319</v>
      </c>
      <c r="AH1045" s="707">
        <f>FISCinyear!IS723</f>
        <v>151.2761174962597</v>
      </c>
      <c r="AI1045" s="707">
        <f>FISCinyear!IV723</f>
        <v>147.91388757351183</v>
      </c>
      <c r="AJ1045" s="126">
        <f t="shared" ref="AJ1045:AO1045" si="1271">(AI102+AJ94)*AJ253/1000</f>
        <v>146.90010402463582</v>
      </c>
      <c r="AK1045" s="126">
        <f t="shared" si="1271"/>
        <v>115.92980224925256</v>
      </c>
      <c r="AL1045" s="126">
        <f t="shared" si="1271"/>
        <v>123.85803410891204</v>
      </c>
      <c r="AM1045" s="126">
        <f t="shared" si="1271"/>
        <v>133.77352932821719</v>
      </c>
      <c r="AN1045" s="126">
        <f t="shared" si="1271"/>
        <v>135.91241208395084</v>
      </c>
      <c r="AO1045" s="126">
        <f t="shared" si="1271"/>
        <v>139.96376148386045</v>
      </c>
      <c r="AP1045" s="126"/>
      <c r="AQ1045" s="126"/>
      <c r="AR1045" s="126"/>
      <c r="AS1045" s="126"/>
      <c r="AT1045" s="126"/>
      <c r="AV1045" s="2168"/>
      <c r="AW1045" s="2168"/>
      <c r="AX1045" s="2168"/>
      <c r="AY1045" s="2168"/>
      <c r="AZ1045" s="2168"/>
      <c r="BA1045" s="2168"/>
      <c r="BB1045" s="2168"/>
      <c r="BC1045" s="2168"/>
      <c r="BD1045" s="2168"/>
      <c r="BE1045" s="2168"/>
      <c r="BF1045" s="2168"/>
      <c r="BG1045" s="2168"/>
      <c r="BH1045" s="2167"/>
    </row>
    <row r="1046" spans="1:60" ht="14.25" customHeight="1">
      <c r="A1046" s="1"/>
      <c r="B1046" s="1"/>
      <c r="C1046" s="1"/>
      <c r="D1046" s="383" t="str">
        <f>+FISCinyear!D724</f>
        <v xml:space="preserve">Capital </v>
      </c>
      <c r="E1046" s="346"/>
      <c r="F1046" s="346"/>
      <c r="G1046" s="346"/>
      <c r="H1046" s="346"/>
      <c r="I1046" s="346"/>
      <c r="J1046" s="346"/>
      <c r="K1046" s="346"/>
      <c r="L1046" s="346"/>
      <c r="M1046" s="346"/>
      <c r="N1046" s="346"/>
      <c r="O1046" s="346"/>
      <c r="P1046" s="346"/>
      <c r="Q1046" s="346"/>
      <c r="R1046" s="346"/>
      <c r="S1046" s="346"/>
      <c r="T1046" s="346"/>
      <c r="U1046" s="346"/>
      <c r="V1046" s="126">
        <f>+V707</f>
        <v>164</v>
      </c>
      <c r="W1046" s="126">
        <f>+W707</f>
        <v>191.7</v>
      </c>
      <c r="X1046" s="126">
        <f>+X707</f>
        <v>174.9</v>
      </c>
      <c r="Y1046" s="707">
        <f>FISCinyear!HR724</f>
        <v>303.26177524656896</v>
      </c>
      <c r="Z1046" s="707">
        <f>FISCinyear!HU724</f>
        <v>241.0237020403589</v>
      </c>
      <c r="AA1046" s="707">
        <f>FISCinyear!HX724</f>
        <v>168.90659551582223</v>
      </c>
      <c r="AB1046" s="707">
        <f>FISCinyear!IA724</f>
        <v>146</v>
      </c>
      <c r="AC1046" s="707">
        <f>FISCinyear!ID724</f>
        <v>168.71</v>
      </c>
      <c r="AD1046" s="707">
        <f>FISCinyear!IG724</f>
        <v>233.07553199416967</v>
      </c>
      <c r="AE1046" s="707">
        <f>FISCinyear!IJ724</f>
        <v>259.82784268225004</v>
      </c>
      <c r="AF1046" s="707">
        <f>FISCinyear!IM724</f>
        <v>294.74832278039997</v>
      </c>
      <c r="AG1046" s="707">
        <f>FISCinyear!IP724</f>
        <v>377.05346552764001</v>
      </c>
      <c r="AH1046" s="707">
        <f>FISCinyear!IS724</f>
        <v>154.41461044588121</v>
      </c>
      <c r="AI1046" s="707">
        <f>FISCinyear!IV724</f>
        <v>186.11630133792301</v>
      </c>
      <c r="AJ1046" s="126">
        <f t="shared" ref="AJ1046:AT1046" si="1272">(AI87+AJ82)*AJ253/1000</f>
        <v>158.53252167009344</v>
      </c>
      <c r="AK1046" s="126">
        <f t="shared" si="1272"/>
        <v>151.57091639641069</v>
      </c>
      <c r="AL1046" s="126">
        <f t="shared" si="1272"/>
        <v>162.80091505371325</v>
      </c>
      <c r="AM1046" s="126">
        <f t="shared" si="1272"/>
        <v>173.58090406456265</v>
      </c>
      <c r="AN1046" s="126">
        <f t="shared" si="1272"/>
        <v>183.40663551048638</v>
      </c>
      <c r="AO1046" s="126">
        <f t="shared" si="1272"/>
        <v>191.42464443846552</v>
      </c>
      <c r="AP1046" s="126">
        <f t="shared" si="1272"/>
        <v>198.79077812368575</v>
      </c>
      <c r="AQ1046" s="126">
        <f t="shared" si="1272"/>
        <v>207.77032293051624</v>
      </c>
      <c r="AR1046" s="126">
        <f t="shared" si="1272"/>
        <v>222.39493303970312</v>
      </c>
      <c r="AS1046" s="126">
        <f t="shared" si="1272"/>
        <v>233.51467969168831</v>
      </c>
      <c r="AT1046" s="126">
        <f t="shared" si="1272"/>
        <v>245.19041367627273</v>
      </c>
      <c r="AV1046" s="2168"/>
      <c r="AW1046" s="2168"/>
      <c r="AX1046" s="2168"/>
      <c r="AY1046" s="2168"/>
      <c r="AZ1046" s="2168"/>
      <c r="BA1046" s="2168"/>
      <c r="BB1046" s="2168"/>
      <c r="BC1046" s="2168"/>
      <c r="BD1046" s="2168"/>
      <c r="BE1046" s="2168"/>
      <c r="BF1046" s="2168"/>
      <c r="BG1046" s="2168"/>
      <c r="BH1046" s="2167"/>
    </row>
    <row r="1047" spans="1:60" ht="14.25" customHeight="1">
      <c r="A1047" s="1"/>
      <c r="B1047" s="1"/>
      <c r="C1047" s="1"/>
      <c r="D1047" s="1664" t="s">
        <v>3223</v>
      </c>
      <c r="E1047" s="346"/>
      <c r="F1047" s="346"/>
      <c r="G1047" s="346"/>
      <c r="H1047" s="346"/>
      <c r="I1047" s="346"/>
      <c r="J1047" s="346"/>
      <c r="K1047" s="346"/>
      <c r="L1047" s="346"/>
      <c r="M1047" s="346"/>
      <c r="N1047" s="346"/>
      <c r="O1047" s="346"/>
      <c r="P1047" s="346"/>
      <c r="Q1047" s="346"/>
      <c r="R1047" s="346"/>
      <c r="S1047" s="346"/>
      <c r="T1047" s="346"/>
      <c r="U1047" s="346"/>
      <c r="V1047" s="126"/>
      <c r="W1047" s="126"/>
      <c r="X1047" s="126"/>
      <c r="Y1047" s="707"/>
      <c r="Z1047" s="126">
        <f t="shared" ref="Z1047:AE1047" si="1273">(Y88+Z83)*Z253/1000</f>
        <v>0</v>
      </c>
      <c r="AA1047" s="126">
        <f t="shared" si="1273"/>
        <v>0</v>
      </c>
      <c r="AB1047" s="126">
        <f t="shared" si="1273"/>
        <v>0</v>
      </c>
      <c r="AC1047" s="126">
        <f t="shared" si="1273"/>
        <v>0</v>
      </c>
      <c r="AD1047" s="126">
        <f t="shared" si="1273"/>
        <v>0</v>
      </c>
      <c r="AE1047" s="126">
        <f t="shared" si="1273"/>
        <v>0</v>
      </c>
      <c r="AF1047" s="126">
        <f>FISCinyear!IM725</f>
        <v>0</v>
      </c>
      <c r="AG1047" s="126">
        <f>FISCinyear!IP725</f>
        <v>0</v>
      </c>
      <c r="AH1047" s="126">
        <f>FISCinyear!IS725</f>
        <v>0</v>
      </c>
      <c r="AI1047" s="126">
        <f>FISCinyear!IV725</f>
        <v>0</v>
      </c>
      <c r="AJ1047" s="126">
        <f t="shared" ref="AJ1047:AO1047" si="1274">(AI88+AJ83)*AJ253/1000</f>
        <v>0</v>
      </c>
      <c r="AK1047" s="126">
        <f t="shared" si="1274"/>
        <v>0</v>
      </c>
      <c r="AL1047" s="126">
        <f t="shared" si="1274"/>
        <v>0</v>
      </c>
      <c r="AM1047" s="126">
        <f t="shared" si="1274"/>
        <v>0</v>
      </c>
      <c r="AN1047" s="126">
        <f t="shared" si="1274"/>
        <v>0</v>
      </c>
      <c r="AO1047" s="126">
        <f t="shared" si="1274"/>
        <v>0</v>
      </c>
      <c r="AP1047" s="126"/>
      <c r="AQ1047" s="126"/>
      <c r="AR1047" s="126"/>
      <c r="AS1047" s="126"/>
      <c r="AT1047" s="126"/>
      <c r="AV1047" s="2168"/>
      <c r="AW1047" s="2168"/>
      <c r="AX1047" s="2168"/>
      <c r="AY1047" s="2168"/>
      <c r="AZ1047" s="2168"/>
      <c r="BA1047" s="2168"/>
      <c r="BB1047" s="2168"/>
      <c r="BC1047" s="2168"/>
      <c r="BD1047" s="2168"/>
      <c r="BE1047" s="2168"/>
      <c r="BF1047" s="2168"/>
      <c r="BG1047" s="2168"/>
      <c r="BH1047" s="2167"/>
    </row>
    <row r="1048" spans="1:60" ht="14.25" customHeight="1">
      <c r="A1048" s="1"/>
      <c r="B1048" s="1"/>
      <c r="C1048" s="1"/>
      <c r="D1048" s="381" t="str">
        <f>+FISCinyear!D726</f>
        <v xml:space="preserve">From other general government units </v>
      </c>
      <c r="E1048" s="346"/>
      <c r="F1048" s="346"/>
      <c r="G1048" s="346"/>
      <c r="H1048" s="346"/>
      <c r="I1048" s="346"/>
      <c r="J1048" s="346"/>
      <c r="K1048" s="346"/>
      <c r="L1048" s="346"/>
      <c r="M1048" s="346"/>
      <c r="N1048" s="346"/>
      <c r="O1048" s="346"/>
      <c r="P1048" s="346"/>
      <c r="Q1048" s="346"/>
      <c r="R1048" s="346"/>
      <c r="S1048" s="346"/>
      <c r="T1048" s="346"/>
      <c r="U1048" s="346"/>
      <c r="V1048" s="399"/>
      <c r="W1048" s="399"/>
      <c r="X1048" s="399"/>
      <c r="Y1048" s="1596">
        <f>FISCinyear!HR726</f>
        <v>0</v>
      </c>
      <c r="Z1048" s="1596">
        <f>FISCinyear!HU726</f>
        <v>0</v>
      </c>
      <c r="AA1048" s="1596">
        <f>FISCinyear!HX726</f>
        <v>0</v>
      </c>
      <c r="AB1048" s="1596">
        <f>FISCinyear!IA726</f>
        <v>0</v>
      </c>
      <c r="AC1048" s="1596">
        <f>FISCinyear!ID726</f>
        <v>0</v>
      </c>
      <c r="AD1048" s="1596">
        <f>FISCinyear!IG726</f>
        <v>0</v>
      </c>
      <c r="AE1048" s="1596">
        <f>FISCinyear!IJ726</f>
        <v>0</v>
      </c>
      <c r="AF1048" s="1596">
        <f>FISCinyear!IM726</f>
        <v>0</v>
      </c>
      <c r="AG1048" s="1596">
        <f>FISCinyear!IP726</f>
        <v>0</v>
      </c>
      <c r="AH1048" s="1596">
        <f>FISCinyear!IS726</f>
        <v>0</v>
      </c>
      <c r="AI1048" s="1596">
        <f>FISCinyear!IV726</f>
        <v>0</v>
      </c>
      <c r="AJ1048" s="399">
        <f t="shared" ref="AJ1048:AM1048" si="1275">AI1048</f>
        <v>0</v>
      </c>
      <c r="AK1048" s="399">
        <f t="shared" si="1275"/>
        <v>0</v>
      </c>
      <c r="AL1048" s="399">
        <f t="shared" si="1275"/>
        <v>0</v>
      </c>
      <c r="AM1048" s="399">
        <f t="shared" si="1275"/>
        <v>0</v>
      </c>
      <c r="AN1048" s="399">
        <f t="shared" ref="AN1048:AN1050" si="1276">AM1048</f>
        <v>0</v>
      </c>
      <c r="AO1048" s="399">
        <f t="shared" ref="AO1048:AO1050" si="1277">AN1048</f>
        <v>0</v>
      </c>
      <c r="AP1048" s="399">
        <f t="shared" ref="AP1048:AP1050" si="1278">AO1048</f>
        <v>0</v>
      </c>
      <c r="AQ1048" s="399">
        <f t="shared" ref="AQ1048:AQ1050" si="1279">AP1048</f>
        <v>0</v>
      </c>
      <c r="AR1048" s="399">
        <f t="shared" ref="AR1048:AR1050" si="1280">AQ1048</f>
        <v>0</v>
      </c>
      <c r="AS1048" s="399">
        <f t="shared" ref="AS1048:AS1050" si="1281">AR1048</f>
        <v>0</v>
      </c>
      <c r="AT1048" s="399">
        <f t="shared" ref="AT1048:AT1050" si="1282">AS1048</f>
        <v>0</v>
      </c>
      <c r="AV1048" s="2168"/>
      <c r="AW1048" s="2168"/>
      <c r="AX1048" s="2168"/>
      <c r="AY1048" s="2168"/>
      <c r="AZ1048" s="2168"/>
      <c r="BA1048" s="2168"/>
      <c r="BB1048" s="2168"/>
      <c r="BC1048" s="2168"/>
      <c r="BD1048" s="2168"/>
      <c r="BE1048" s="2168"/>
      <c r="BF1048" s="2168"/>
      <c r="BG1048" s="2168"/>
      <c r="BH1048" s="2167"/>
    </row>
    <row r="1049" spans="1:60" ht="14.25" customHeight="1">
      <c r="A1049" s="1"/>
      <c r="B1049" s="1"/>
      <c r="C1049" s="1"/>
      <c r="D1049" s="383" t="s">
        <v>538</v>
      </c>
      <c r="E1049" s="346"/>
      <c r="F1049" s="346"/>
      <c r="G1049" s="346"/>
      <c r="H1049" s="346"/>
      <c r="I1049" s="346"/>
      <c r="J1049" s="346"/>
      <c r="K1049" s="346"/>
      <c r="L1049" s="346"/>
      <c r="M1049" s="346"/>
      <c r="N1049" s="346"/>
      <c r="O1049" s="346"/>
      <c r="P1049" s="346"/>
      <c r="Q1049" s="346"/>
      <c r="R1049" s="346"/>
      <c r="S1049" s="346"/>
      <c r="T1049" s="346"/>
      <c r="U1049" s="346"/>
      <c r="V1049" s="126"/>
      <c r="W1049" s="126"/>
      <c r="X1049" s="126"/>
      <c r="Y1049" s="707">
        <f>FISCinyear!HR727</f>
        <v>0</v>
      </c>
      <c r="Z1049" s="707">
        <f>FISCinyear!HU727</f>
        <v>0</v>
      </c>
      <c r="AA1049" s="707">
        <f>FISCinyear!HX727</f>
        <v>0</v>
      </c>
      <c r="AB1049" s="707">
        <f>FISCinyear!IA727</f>
        <v>0</v>
      </c>
      <c r="AC1049" s="707">
        <f>FISCinyear!ID727</f>
        <v>0</v>
      </c>
      <c r="AD1049" s="707">
        <f>FISCinyear!IG727</f>
        <v>0</v>
      </c>
      <c r="AE1049" s="707">
        <f>FISCinyear!IJ727</f>
        <v>0</v>
      </c>
      <c r="AF1049" s="707">
        <f>FISCinyear!IM727</f>
        <v>0</v>
      </c>
      <c r="AG1049" s="707">
        <f>FISCinyear!IP727</f>
        <v>0</v>
      </c>
      <c r="AH1049" s="707">
        <f>FISCinyear!IS727</f>
        <v>0</v>
      </c>
      <c r="AI1049" s="707">
        <f>FISCinyear!IV727</f>
        <v>0</v>
      </c>
      <c r="AJ1049" s="126">
        <f t="shared" ref="AJ1049:AM1050" si="1283">AI1049</f>
        <v>0</v>
      </c>
      <c r="AK1049" s="126">
        <f t="shared" si="1283"/>
        <v>0</v>
      </c>
      <c r="AL1049" s="126">
        <f t="shared" si="1283"/>
        <v>0</v>
      </c>
      <c r="AM1049" s="126">
        <f t="shared" si="1283"/>
        <v>0</v>
      </c>
      <c r="AN1049" s="126">
        <f t="shared" si="1276"/>
        <v>0</v>
      </c>
      <c r="AO1049" s="126">
        <f t="shared" si="1277"/>
        <v>0</v>
      </c>
      <c r="AP1049" s="126">
        <f t="shared" si="1278"/>
        <v>0</v>
      </c>
      <c r="AQ1049" s="126">
        <f t="shared" si="1279"/>
        <v>0</v>
      </c>
      <c r="AR1049" s="126">
        <f t="shared" si="1280"/>
        <v>0</v>
      </c>
      <c r="AS1049" s="126">
        <f t="shared" si="1281"/>
        <v>0</v>
      </c>
      <c r="AT1049" s="126">
        <f t="shared" si="1282"/>
        <v>0</v>
      </c>
      <c r="AV1049" s="2168"/>
      <c r="AW1049" s="2168"/>
      <c r="AX1049" s="2168"/>
      <c r="AY1049" s="2168"/>
      <c r="AZ1049" s="2168"/>
      <c r="BA1049" s="2168"/>
      <c r="BB1049" s="2168"/>
      <c r="BC1049" s="2168"/>
      <c r="BD1049" s="2168"/>
      <c r="BE1049" s="2168"/>
      <c r="BF1049" s="2168"/>
      <c r="BG1049" s="2168"/>
      <c r="BH1049" s="2167"/>
    </row>
    <row r="1050" spans="1:60" ht="14.25" customHeight="1">
      <c r="A1050" s="1"/>
      <c r="B1050" s="1"/>
      <c r="C1050" s="1"/>
      <c r="D1050" s="383" t="s">
        <v>539</v>
      </c>
      <c r="E1050" s="346"/>
      <c r="F1050" s="346"/>
      <c r="G1050" s="346"/>
      <c r="H1050" s="346"/>
      <c r="I1050" s="346"/>
      <c r="J1050" s="346"/>
      <c r="K1050" s="346"/>
      <c r="L1050" s="346"/>
      <c r="M1050" s="346"/>
      <c r="N1050" s="346"/>
      <c r="O1050" s="346"/>
      <c r="P1050" s="346"/>
      <c r="Q1050" s="346"/>
      <c r="R1050" s="346"/>
      <c r="S1050" s="346"/>
      <c r="T1050" s="346"/>
      <c r="U1050" s="346"/>
      <c r="V1050" s="126"/>
      <c r="W1050" s="126"/>
      <c r="X1050" s="126"/>
      <c r="Y1050" s="707">
        <f>FISCinyear!HR728</f>
        <v>0</v>
      </c>
      <c r="Z1050" s="707">
        <f>FISCinyear!HU728</f>
        <v>0</v>
      </c>
      <c r="AA1050" s="707">
        <f>FISCinyear!HX728</f>
        <v>0</v>
      </c>
      <c r="AB1050" s="707">
        <f>FISCinyear!IA728</f>
        <v>0</v>
      </c>
      <c r="AC1050" s="707">
        <f>FISCinyear!ID728</f>
        <v>0</v>
      </c>
      <c r="AD1050" s="707">
        <f>FISCinyear!IG728</f>
        <v>0</v>
      </c>
      <c r="AE1050" s="707">
        <f>FISCinyear!IJ728</f>
        <v>0</v>
      </c>
      <c r="AF1050" s="707">
        <f>FISCinyear!IM728</f>
        <v>0</v>
      </c>
      <c r="AG1050" s="707">
        <f>FISCinyear!IP728</f>
        <v>0</v>
      </c>
      <c r="AH1050" s="707">
        <f>FISCinyear!IS728</f>
        <v>0</v>
      </c>
      <c r="AI1050" s="707">
        <f>FISCinyear!IV728</f>
        <v>0</v>
      </c>
      <c r="AJ1050" s="126">
        <f t="shared" si="1283"/>
        <v>0</v>
      </c>
      <c r="AK1050" s="126">
        <f t="shared" si="1283"/>
        <v>0</v>
      </c>
      <c r="AL1050" s="126">
        <f t="shared" si="1283"/>
        <v>0</v>
      </c>
      <c r="AM1050" s="126">
        <f t="shared" si="1283"/>
        <v>0</v>
      </c>
      <c r="AN1050" s="126">
        <f t="shared" si="1276"/>
        <v>0</v>
      </c>
      <c r="AO1050" s="126">
        <f t="shared" si="1277"/>
        <v>0</v>
      </c>
      <c r="AP1050" s="126">
        <f t="shared" si="1278"/>
        <v>0</v>
      </c>
      <c r="AQ1050" s="126">
        <f t="shared" si="1279"/>
        <v>0</v>
      </c>
      <c r="AR1050" s="126">
        <f t="shared" si="1280"/>
        <v>0</v>
      </c>
      <c r="AS1050" s="126">
        <f t="shared" si="1281"/>
        <v>0</v>
      </c>
      <c r="AT1050" s="126">
        <f t="shared" si="1282"/>
        <v>0</v>
      </c>
      <c r="AV1050" s="2168"/>
      <c r="AW1050" s="2168"/>
      <c r="AX1050" s="2168"/>
      <c r="AY1050" s="2168"/>
      <c r="AZ1050" s="2168"/>
      <c r="BA1050" s="2168"/>
      <c r="BB1050" s="2168"/>
      <c r="BC1050" s="2168"/>
      <c r="BD1050" s="2168"/>
      <c r="BE1050" s="2168"/>
      <c r="BF1050" s="2168"/>
      <c r="BG1050" s="2168"/>
      <c r="BH1050" s="2167"/>
    </row>
    <row r="1051" spans="1:60" ht="14.25" customHeight="1">
      <c r="A1051" s="1"/>
      <c r="B1051" s="1"/>
      <c r="C1051" s="1"/>
      <c r="D1051" s="1647" t="s">
        <v>3187</v>
      </c>
      <c r="E1051" s="346"/>
      <c r="F1051" s="346"/>
      <c r="G1051" s="346"/>
      <c r="H1051" s="346"/>
      <c r="I1051" s="346"/>
      <c r="J1051" s="346"/>
      <c r="K1051" s="346"/>
      <c r="L1051" s="346"/>
      <c r="M1051" s="346"/>
      <c r="N1051" s="346"/>
      <c r="O1051" s="346"/>
      <c r="P1051" s="346"/>
      <c r="Q1051" s="346"/>
      <c r="R1051" s="346"/>
      <c r="S1051" s="346"/>
      <c r="T1051" s="346"/>
      <c r="U1051" s="346"/>
      <c r="V1051" s="126"/>
      <c r="W1051" s="126"/>
      <c r="X1051" s="126"/>
      <c r="Y1051" s="707"/>
      <c r="Z1051" s="707">
        <v>0</v>
      </c>
      <c r="AA1051" s="707">
        <v>0</v>
      </c>
      <c r="AB1051" s="707">
        <v>0</v>
      </c>
      <c r="AC1051" s="707">
        <v>0</v>
      </c>
      <c r="AD1051" s="707">
        <v>0</v>
      </c>
      <c r="AE1051" s="707">
        <v>0</v>
      </c>
      <c r="AF1051" s="707">
        <f>FISCinyear!IM729</f>
        <v>0</v>
      </c>
      <c r="AG1051" s="707">
        <f>FISCinyear!IP729</f>
        <v>0</v>
      </c>
      <c r="AH1051" s="707">
        <f>FISCinyear!IS729</f>
        <v>0</v>
      </c>
      <c r="AI1051" s="707">
        <f>FISCinyear!IV729</f>
        <v>0</v>
      </c>
      <c r="AJ1051" s="1800">
        <f t="shared" ref="AJ1051:AT1051" si="1284">(AI105+AJ97)*AJ253/1000</f>
        <v>0</v>
      </c>
      <c r="AK1051" s="1800">
        <f t="shared" si="1284"/>
        <v>0</v>
      </c>
      <c r="AL1051" s="1800">
        <f t="shared" si="1284"/>
        <v>64.307407503840665</v>
      </c>
      <c r="AM1051" s="1800">
        <f t="shared" si="1284"/>
        <v>102.84835864296606</v>
      </c>
      <c r="AN1051" s="1800">
        <f t="shared" si="1284"/>
        <v>126.78189909671127</v>
      </c>
      <c r="AO1051" s="1800">
        <f t="shared" si="1284"/>
        <v>170.13142019055397</v>
      </c>
      <c r="AP1051" s="1800">
        <f t="shared" si="1284"/>
        <v>157.04726932999947</v>
      </c>
      <c r="AQ1051" s="1800">
        <f t="shared" si="1284"/>
        <v>174.4000516914424</v>
      </c>
      <c r="AR1051" s="1800">
        <f t="shared" si="1284"/>
        <v>181.18531926510295</v>
      </c>
      <c r="AS1051" s="1800">
        <f t="shared" si="1284"/>
        <v>193.1270789439393</v>
      </c>
      <c r="AT1051" s="1800">
        <f t="shared" si="1284"/>
        <v>201.27012369045616</v>
      </c>
      <c r="AV1051" s="2168"/>
      <c r="AW1051" s="2168"/>
      <c r="AX1051" s="2168"/>
      <c r="AY1051" s="2168"/>
      <c r="AZ1051" s="2168"/>
      <c r="BA1051" s="2168"/>
      <c r="BB1051" s="2168"/>
      <c r="BC1051" s="2168"/>
      <c r="BD1051" s="2168"/>
      <c r="BE1051" s="2168"/>
      <c r="BF1051" s="2168"/>
      <c r="BG1051" s="2168"/>
      <c r="BH1051" s="2167"/>
    </row>
    <row r="1052" spans="1:60" ht="14.25" customHeight="1">
      <c r="A1052" s="1"/>
      <c r="B1052" s="1"/>
      <c r="C1052" s="1"/>
      <c r="D1052" s="1436" t="str">
        <f>+FISCinyear!D730</f>
        <v xml:space="preserve">Other revenue </v>
      </c>
      <c r="E1052" s="346"/>
      <c r="F1052" s="346"/>
      <c r="G1052" s="346"/>
      <c r="H1052" s="346"/>
      <c r="I1052" s="346"/>
      <c r="J1052" s="346"/>
      <c r="K1052" s="346"/>
      <c r="L1052" s="346"/>
      <c r="M1052" s="346"/>
      <c r="N1052" s="346"/>
      <c r="O1052" s="346"/>
      <c r="P1052" s="346"/>
      <c r="Q1052" s="346"/>
      <c r="R1052" s="346"/>
      <c r="S1052" s="346"/>
      <c r="T1052" s="346"/>
      <c r="U1052" s="346"/>
      <c r="V1052" s="399">
        <f>+V691</f>
        <v>20.622732741</v>
      </c>
      <c r="W1052" s="399">
        <f>+W691</f>
        <v>34.700000000000003</v>
      </c>
      <c r="X1052" s="399">
        <f>+X691</f>
        <v>84.5</v>
      </c>
      <c r="Y1052" s="1596">
        <f>FISCinyear!HR730</f>
        <v>136.48005683747238</v>
      </c>
      <c r="Z1052" s="1596">
        <f>FISCinyear!HU730</f>
        <v>172.54151324019472</v>
      </c>
      <c r="AA1052" s="1596">
        <f>FISCinyear!HX730</f>
        <v>167.59624826644659</v>
      </c>
      <c r="AB1052" s="1596">
        <f>FISCinyear!IA730</f>
        <v>233.15928932922185</v>
      </c>
      <c r="AC1052" s="1596">
        <f>FISCinyear!ID730</f>
        <v>262.53031346180853</v>
      </c>
      <c r="AD1052" s="1596">
        <f>FISCinyear!IG730</f>
        <v>267.75505516264832</v>
      </c>
      <c r="AE1052" s="1596">
        <f>FISCinyear!IJ730+AE1074</f>
        <v>289.92302903184969</v>
      </c>
      <c r="AF1052" s="1596">
        <f>FISCinyear!IM730</f>
        <v>385.41374679017065</v>
      </c>
      <c r="AG1052" s="1596">
        <f>FISCinyear!IP730</f>
        <v>401.22505476096023</v>
      </c>
      <c r="AH1052" s="1596">
        <f>FISCinyear!IS730</f>
        <v>400.88814089864593</v>
      </c>
      <c r="AI1052" s="1596">
        <f>FISCinyear!IV730</f>
        <v>460.01542773408448</v>
      </c>
      <c r="AJ1052" s="1802">
        <f t="shared" ref="AJ1052:AT1052" si="1285">AJ1053+AJ1059+AJ1069+AJ1071+AJ1075</f>
        <v>552.94775332082679</v>
      </c>
      <c r="AK1052" s="1802">
        <f t="shared" si="1285"/>
        <v>544.42870254659238</v>
      </c>
      <c r="AL1052" s="1802">
        <f t="shared" si="1285"/>
        <v>607.91647238731673</v>
      </c>
      <c r="AM1052" s="1802">
        <f t="shared" si="1285"/>
        <v>692.74748077828906</v>
      </c>
      <c r="AN1052" s="1802">
        <f>AN1053+AN1059+AN1069+AN1071+AN1075</f>
        <v>771.01604628275186</v>
      </c>
      <c r="AO1052" s="1802">
        <f t="shared" si="1285"/>
        <v>889.88980202151072</v>
      </c>
      <c r="AP1052" s="1802">
        <f t="shared" si="1285"/>
        <v>965.16075769453914</v>
      </c>
      <c r="AQ1052" s="1802">
        <f t="shared" si="1285"/>
        <v>1006.2997903077018</v>
      </c>
      <c r="AR1052" s="1802">
        <f t="shared" si="1285"/>
        <v>1205.5177240888788</v>
      </c>
      <c r="AS1052" s="1802">
        <f t="shared" si="1285"/>
        <v>-359.813223540509</v>
      </c>
      <c r="AT1052" s="1802">
        <f t="shared" si="1285"/>
        <v>-1807.1897417605844</v>
      </c>
      <c r="AV1052" s="2168"/>
      <c r="AW1052" s="2168"/>
      <c r="AX1052" s="2168"/>
      <c r="AY1052" s="2168"/>
      <c r="AZ1052" s="2168"/>
      <c r="BA1052" s="2168"/>
      <c r="BB1052" s="2168"/>
      <c r="BC1052" s="2168"/>
      <c r="BD1052" s="2168"/>
      <c r="BE1052" s="2168"/>
      <c r="BF1052" s="2168"/>
      <c r="BG1052" s="2168"/>
      <c r="BH1052" s="2167"/>
    </row>
    <row r="1053" spans="1:60" ht="14.25" customHeight="1">
      <c r="A1053" s="1"/>
      <c r="B1053" s="1"/>
      <c r="C1053" s="1"/>
      <c r="D1053" s="381" t="str">
        <f>+FISCinyear!D731</f>
        <v xml:space="preserve">Property income </v>
      </c>
      <c r="E1053" s="346"/>
      <c r="F1053" s="346"/>
      <c r="G1053" s="346"/>
      <c r="H1053" s="346"/>
      <c r="I1053" s="346"/>
      <c r="J1053" s="346"/>
      <c r="K1053" s="346"/>
      <c r="L1053" s="346"/>
      <c r="M1053" s="346"/>
      <c r="N1053" s="346"/>
      <c r="O1053" s="346"/>
      <c r="P1053" s="346"/>
      <c r="Q1053" s="346"/>
      <c r="R1053" s="346"/>
      <c r="S1053" s="346"/>
      <c r="T1053" s="346"/>
      <c r="U1053" s="346"/>
      <c r="V1053" s="399">
        <v>0</v>
      </c>
      <c r="W1053" s="399">
        <v>0</v>
      </c>
      <c r="X1053" s="399">
        <v>0</v>
      </c>
      <c r="Y1053" s="1596">
        <f>FISCinyear!HR731</f>
        <v>6.7644080859999995</v>
      </c>
      <c r="Z1053" s="1596">
        <f>FISCinyear!HU731</f>
        <v>9.7019287829999996</v>
      </c>
      <c r="AA1053" s="1596">
        <f>FISCinyear!HX731</f>
        <v>4.9000000000000004</v>
      </c>
      <c r="AB1053" s="1596">
        <f>FISCinyear!IA731</f>
        <v>7.5717338740370295</v>
      </c>
      <c r="AC1053" s="1596">
        <f>FISCinyear!ID731</f>
        <v>9.6429404242133145</v>
      </c>
      <c r="AD1053" s="1596">
        <f>FISCinyear!IG731</f>
        <v>4.7370362420000003</v>
      </c>
      <c r="AE1053" s="1596">
        <f>FISCinyear!IJ731</f>
        <v>20.327638891539998</v>
      </c>
      <c r="AF1053" s="1596">
        <f>FISCinyear!IM731</f>
        <v>19.584410687289058</v>
      </c>
      <c r="AG1053" s="1596">
        <f>FISCinyear!IP731</f>
        <v>13.349443622742999</v>
      </c>
      <c r="AH1053" s="1596">
        <f>FISCinyear!IS731</f>
        <v>14.630219605303161</v>
      </c>
      <c r="AI1053" s="1596">
        <f>FISCinyear!IV731</f>
        <v>24.476467754939073</v>
      </c>
      <c r="AJ1053" s="1802">
        <f t="shared" ref="AJ1053:AT1053" si="1286">AJ404*AJ532</f>
        <v>24.536088380129197</v>
      </c>
      <c r="AK1053" s="1802">
        <f t="shared" si="1286"/>
        <v>26.396938397542488</v>
      </c>
      <c r="AL1053" s="1802">
        <f t="shared" si="1286"/>
        <v>29.476193147379913</v>
      </c>
      <c r="AM1053" s="1802">
        <f t="shared" si="1286"/>
        <v>31.974271472554101</v>
      </c>
      <c r="AN1053" s="1802">
        <f t="shared" si="1286"/>
        <v>36.130926763986118</v>
      </c>
      <c r="AO1053" s="1802">
        <f t="shared" si="1286"/>
        <v>40.827947243304322</v>
      </c>
      <c r="AP1053" s="1802">
        <f t="shared" si="1286"/>
        <v>42.436926531912142</v>
      </c>
      <c r="AQ1053" s="1802">
        <f t="shared" si="1286"/>
        <v>42.740281259913246</v>
      </c>
      <c r="AR1053" s="1802">
        <f t="shared" si="1286"/>
        <v>54.706489477789908</v>
      </c>
      <c r="AS1053" s="1802">
        <f t="shared" si="1286"/>
        <v>-50.106748581537573</v>
      </c>
      <c r="AT1053" s="1802">
        <f t="shared" si="1286"/>
        <v>-136.12429356555933</v>
      </c>
      <c r="AV1053" s="2168"/>
      <c r="AW1053" s="2168"/>
      <c r="AX1053" s="2168"/>
      <c r="AY1053" s="2168"/>
      <c r="AZ1053" s="2168"/>
      <c r="BA1053" s="2168"/>
      <c r="BB1053" s="2168"/>
      <c r="BC1053" s="2168"/>
      <c r="BD1053" s="2168"/>
      <c r="BE1053" s="2168"/>
      <c r="BF1053" s="2168"/>
      <c r="BG1053" s="2168"/>
      <c r="BH1053" s="2167"/>
    </row>
    <row r="1054" spans="1:60" ht="14.25" customHeight="1">
      <c r="A1054" s="1"/>
      <c r="B1054" s="1"/>
      <c r="C1054" s="1"/>
      <c r="D1054" s="383" t="s">
        <v>544</v>
      </c>
      <c r="E1054" s="346"/>
      <c r="F1054" s="346"/>
      <c r="G1054" s="346"/>
      <c r="H1054" s="346"/>
      <c r="I1054" s="346"/>
      <c r="J1054" s="346"/>
      <c r="K1054" s="346"/>
      <c r="L1054" s="346"/>
      <c r="M1054" s="346"/>
      <c r="N1054" s="346"/>
      <c r="O1054" s="346"/>
      <c r="P1054" s="346"/>
      <c r="Q1054" s="346"/>
      <c r="R1054" s="346"/>
      <c r="S1054" s="346"/>
      <c r="T1054" s="346"/>
      <c r="U1054" s="346"/>
      <c r="V1054" s="126">
        <v>0</v>
      </c>
      <c r="W1054" s="126">
        <v>0</v>
      </c>
      <c r="X1054" s="126">
        <v>0</v>
      </c>
      <c r="Y1054" s="707">
        <f>FISCinyear!HR732</f>
        <v>4.7801637389999998</v>
      </c>
      <c r="Z1054" s="707">
        <f>FISCinyear!HU732</f>
        <v>6.3099287830000002</v>
      </c>
      <c r="AA1054" s="707">
        <f>FISCinyear!HX732</f>
        <v>1.554</v>
      </c>
      <c r="AB1054" s="707">
        <f>FISCinyear!IA732</f>
        <v>4.3102816600370293</v>
      </c>
      <c r="AC1054" s="707">
        <f>FISCinyear!ID732</f>
        <v>6.2909772782133135</v>
      </c>
      <c r="AD1054" s="707">
        <f>FISCinyear!IG732</f>
        <v>0</v>
      </c>
      <c r="AE1054" s="707">
        <f>FISCinyear!IJ732</f>
        <v>17.023480611540002</v>
      </c>
      <c r="AF1054" s="707">
        <f>FISCinyear!IM732</f>
        <v>14.591966880367661</v>
      </c>
      <c r="AG1054" s="707">
        <f>FISCinyear!IP732</f>
        <v>12.753411200344212</v>
      </c>
      <c r="AH1054" s="707">
        <f>FISCinyear!IS732</f>
        <v>5.4768785642355429</v>
      </c>
      <c r="AI1054" s="707">
        <f>FISCinyear!IV732</f>
        <v>4.2560209199390719</v>
      </c>
      <c r="AJ1054" s="126">
        <v>23.4723526692386</v>
      </c>
      <c r="AK1054" s="126">
        <v>25.2525275364215</v>
      </c>
      <c r="AL1054" s="126">
        <v>28.198284509857668</v>
      </c>
      <c r="AM1054" s="126">
        <v>30.588061337176097</v>
      </c>
      <c r="AN1054" s="126">
        <v>34.564509311008983</v>
      </c>
      <c r="AO1054" s="126">
        <v>39.057895521440145</v>
      </c>
      <c r="AP1054" s="126">
        <v>39.057895521440145</v>
      </c>
      <c r="AQ1054" s="126">
        <v>39.057895521440145</v>
      </c>
      <c r="AR1054" s="126">
        <v>39.057895521440145</v>
      </c>
      <c r="AS1054" s="126">
        <v>39.057895521440145</v>
      </c>
      <c r="AT1054" s="126">
        <v>39.057895521440145</v>
      </c>
      <c r="AV1054" s="2168"/>
      <c r="AW1054" s="2168"/>
      <c r="AX1054" s="2168"/>
      <c r="AY1054" s="2168"/>
      <c r="AZ1054" s="2168"/>
      <c r="BA1054" s="2168"/>
      <c r="BB1054" s="2168"/>
      <c r="BC1054" s="2168"/>
      <c r="BD1054" s="2168"/>
      <c r="BE1054" s="2168"/>
      <c r="BF1054" s="2168"/>
      <c r="BG1054" s="2168"/>
      <c r="BH1054" s="2167"/>
    </row>
    <row r="1055" spans="1:60" ht="14.25" customHeight="1">
      <c r="A1055" s="1"/>
      <c r="B1055" s="1"/>
      <c r="C1055" s="1"/>
      <c r="D1055" s="386" t="s">
        <v>545</v>
      </c>
      <c r="E1055" s="346"/>
      <c r="F1055" s="346"/>
      <c r="G1055" s="346"/>
      <c r="H1055" s="346"/>
      <c r="I1055" s="346"/>
      <c r="J1055" s="346"/>
      <c r="K1055" s="346"/>
      <c r="L1055" s="346"/>
      <c r="M1055" s="346"/>
      <c r="N1055" s="346"/>
      <c r="O1055" s="346"/>
      <c r="P1055" s="346"/>
      <c r="Q1055" s="346"/>
      <c r="R1055" s="346"/>
      <c r="S1055" s="346"/>
      <c r="T1055" s="346"/>
      <c r="U1055" s="346"/>
      <c r="V1055" s="126">
        <v>0</v>
      </c>
      <c r="W1055" s="126">
        <v>0</v>
      </c>
      <c r="X1055" s="126">
        <v>0</v>
      </c>
      <c r="Y1055" s="707">
        <f>FISCinyear!HR733</f>
        <v>1.9842443469999997</v>
      </c>
      <c r="Z1055" s="707">
        <f>FISCinyear!HU733</f>
        <v>3.3920000000000003</v>
      </c>
      <c r="AA1055" s="707">
        <f>FISCinyear!HX733</f>
        <v>3.3459999999999996</v>
      </c>
      <c r="AB1055" s="707">
        <f>FISCinyear!IA733</f>
        <v>3.2614522140000002</v>
      </c>
      <c r="AC1055" s="707">
        <f>FISCinyear!ID733</f>
        <v>3.3519631460000001</v>
      </c>
      <c r="AD1055" s="707">
        <f>FISCinyear!IG733</f>
        <v>0</v>
      </c>
      <c r="AE1055" s="707">
        <f>FISCinyear!IJ733</f>
        <v>0</v>
      </c>
      <c r="AF1055" s="707">
        <f>FISCinyear!IM733</f>
        <v>0</v>
      </c>
      <c r="AG1055" s="707">
        <f>FISCinyear!IP733</f>
        <v>0</v>
      </c>
      <c r="AH1055" s="707">
        <f>FISCinyear!IS733</f>
        <v>0</v>
      </c>
      <c r="AI1055" s="707">
        <f>FISCinyear!IV733</f>
        <v>9.3539999999999992</v>
      </c>
      <c r="AJ1055" s="126">
        <v>0</v>
      </c>
      <c r="AK1055" s="126">
        <f t="shared" ref="AK1055:AM1055" si="1287">AJ1055</f>
        <v>0</v>
      </c>
      <c r="AL1055" s="126">
        <f t="shared" si="1287"/>
        <v>0</v>
      </c>
      <c r="AM1055" s="126">
        <f t="shared" si="1287"/>
        <v>0</v>
      </c>
      <c r="AN1055" s="126">
        <f t="shared" ref="AN1055:AN1056" si="1288">AM1055</f>
        <v>0</v>
      </c>
      <c r="AO1055" s="126">
        <f t="shared" ref="AO1055:AO1056" si="1289">AN1055</f>
        <v>0</v>
      </c>
      <c r="AP1055" s="126">
        <f t="shared" ref="AP1055:AP1056" si="1290">AO1055</f>
        <v>0</v>
      </c>
      <c r="AQ1055" s="126">
        <f t="shared" ref="AQ1055:AQ1056" si="1291">AP1055</f>
        <v>0</v>
      </c>
      <c r="AR1055" s="126">
        <f t="shared" ref="AR1055:AR1056" si="1292">AQ1055</f>
        <v>0</v>
      </c>
      <c r="AS1055" s="126">
        <f t="shared" ref="AS1055:AS1056" si="1293">AR1055</f>
        <v>0</v>
      </c>
      <c r="AT1055" s="126">
        <f t="shared" ref="AT1055:AT1056" si="1294">AS1055</f>
        <v>0</v>
      </c>
      <c r="AV1055" s="2168"/>
      <c r="AW1055" s="2168"/>
      <c r="AX1055" s="2168"/>
      <c r="AY1055" s="2168"/>
      <c r="AZ1055" s="2168"/>
      <c r="BA1055" s="2168"/>
      <c r="BB1055" s="2168"/>
      <c r="BC1055" s="2168"/>
      <c r="BD1055" s="2168"/>
      <c r="BE1055" s="2168"/>
      <c r="BF1055" s="2168"/>
      <c r="BG1055" s="2168"/>
      <c r="BH1055" s="2167"/>
    </row>
    <row r="1056" spans="1:60" ht="14.25" customHeight="1">
      <c r="A1056" s="1"/>
      <c r="B1056" s="1"/>
      <c r="C1056" s="1"/>
      <c r="D1056" s="386" t="s">
        <v>546</v>
      </c>
      <c r="E1056" s="346"/>
      <c r="F1056" s="346"/>
      <c r="G1056" s="346"/>
      <c r="H1056" s="346"/>
      <c r="I1056" s="346"/>
      <c r="J1056" s="346"/>
      <c r="K1056" s="346"/>
      <c r="L1056" s="346"/>
      <c r="M1056" s="346"/>
      <c r="N1056" s="346"/>
      <c r="O1056" s="346"/>
      <c r="P1056" s="346"/>
      <c r="Q1056" s="346"/>
      <c r="R1056" s="346"/>
      <c r="S1056" s="346"/>
      <c r="T1056" s="346"/>
      <c r="U1056" s="346"/>
      <c r="V1056" s="126">
        <v>0</v>
      </c>
      <c r="W1056" s="126">
        <v>0</v>
      </c>
      <c r="X1056" s="126">
        <v>0</v>
      </c>
      <c r="Y1056" s="707">
        <f>FISCinyear!HR734</f>
        <v>0</v>
      </c>
      <c r="Z1056" s="707">
        <f>FISCinyear!HU734</f>
        <v>0</v>
      </c>
      <c r="AA1056" s="707">
        <f>FISCinyear!HX734</f>
        <v>0</v>
      </c>
      <c r="AB1056" s="707">
        <f>FISCinyear!IA734</f>
        <v>0</v>
      </c>
      <c r="AC1056" s="707">
        <f>FISCinyear!ID734</f>
        <v>0</v>
      </c>
      <c r="AD1056" s="707">
        <f>FISCinyear!IG734</f>
        <v>0</v>
      </c>
      <c r="AE1056" s="707">
        <f>FISCinyear!IJ734</f>
        <v>0</v>
      </c>
      <c r="AF1056" s="707">
        <f>FISCinyear!IM734</f>
        <v>0</v>
      </c>
      <c r="AG1056" s="707">
        <f>FISCinyear!IP734</f>
        <v>0</v>
      </c>
      <c r="AH1056" s="707">
        <f>FISCinyear!IS734</f>
        <v>0</v>
      </c>
      <c r="AI1056" s="707">
        <f>FISCinyear!IV734</f>
        <v>0</v>
      </c>
      <c r="AJ1056" s="126">
        <f t="shared" ref="AJ1056:AM1056" si="1295">AI1056</f>
        <v>0</v>
      </c>
      <c r="AK1056" s="126">
        <f t="shared" si="1295"/>
        <v>0</v>
      </c>
      <c r="AL1056" s="126">
        <f t="shared" si="1295"/>
        <v>0</v>
      </c>
      <c r="AM1056" s="126">
        <f t="shared" si="1295"/>
        <v>0</v>
      </c>
      <c r="AN1056" s="126">
        <f t="shared" si="1288"/>
        <v>0</v>
      </c>
      <c r="AO1056" s="126">
        <f t="shared" si="1289"/>
        <v>0</v>
      </c>
      <c r="AP1056" s="126">
        <f t="shared" si="1290"/>
        <v>0</v>
      </c>
      <c r="AQ1056" s="126">
        <f t="shared" si="1291"/>
        <v>0</v>
      </c>
      <c r="AR1056" s="126">
        <f t="shared" si="1292"/>
        <v>0</v>
      </c>
      <c r="AS1056" s="126">
        <f t="shared" si="1293"/>
        <v>0</v>
      </c>
      <c r="AT1056" s="126">
        <f t="shared" si="1294"/>
        <v>0</v>
      </c>
      <c r="AV1056" s="2168"/>
      <c r="AW1056" s="2168"/>
      <c r="AX1056" s="2168"/>
      <c r="AY1056" s="2168"/>
      <c r="AZ1056" s="2168"/>
      <c r="BA1056" s="2168"/>
      <c r="BB1056" s="2168"/>
      <c r="BC1056" s="2168"/>
      <c r="BD1056" s="2168"/>
      <c r="BE1056" s="2168"/>
      <c r="BF1056" s="2168"/>
      <c r="BG1056" s="2168"/>
      <c r="BH1056" s="2167"/>
    </row>
    <row r="1057" spans="1:60" ht="14.25" customHeight="1">
      <c r="A1057" s="1"/>
      <c r="B1057" s="1"/>
      <c r="C1057" s="1"/>
      <c r="D1057" s="1689" t="s">
        <v>3229</v>
      </c>
      <c r="E1057" s="346"/>
      <c r="F1057" s="346"/>
      <c r="G1057" s="346"/>
      <c r="H1057" s="346"/>
      <c r="I1057" s="346"/>
      <c r="J1057" s="346"/>
      <c r="K1057" s="346"/>
      <c r="L1057" s="346"/>
      <c r="M1057" s="346"/>
      <c r="N1057" s="346"/>
      <c r="O1057" s="346"/>
      <c r="P1057" s="346"/>
      <c r="Q1057" s="346"/>
      <c r="R1057" s="346"/>
      <c r="S1057" s="346"/>
      <c r="T1057" s="346"/>
      <c r="U1057" s="346"/>
      <c r="V1057" s="126">
        <v>0</v>
      </c>
      <c r="W1057" s="126">
        <v>0</v>
      </c>
      <c r="X1057" s="126">
        <v>0</v>
      </c>
      <c r="Y1057" s="707">
        <f>FISCinyear!HR735</f>
        <v>0</v>
      </c>
      <c r="Z1057" s="707">
        <f>FISCinyear!HU735</f>
        <v>0</v>
      </c>
      <c r="AA1057" s="707">
        <f>FISCinyear!HX735</f>
        <v>0</v>
      </c>
      <c r="AB1057" s="707">
        <f>FISCinyear!IA735</f>
        <v>0</v>
      </c>
      <c r="AC1057" s="707">
        <f>FISCinyear!ID735</f>
        <v>0</v>
      </c>
      <c r="AD1057" s="707">
        <f>FISCinyear!IG735</f>
        <v>0</v>
      </c>
      <c r="AE1057" s="707">
        <f>FISCinyear!IJ735</f>
        <v>0</v>
      </c>
      <c r="AF1057" s="707">
        <f>FISCinyear!IM735</f>
        <v>0</v>
      </c>
      <c r="AG1057" s="707">
        <f>FISCinyear!IP735</f>
        <v>0</v>
      </c>
      <c r="AH1057" s="707">
        <f>FISCinyear!IS735</f>
        <v>0</v>
      </c>
      <c r="AI1057" s="707">
        <f>FISCinyear!IV735</f>
        <v>0</v>
      </c>
      <c r="AJ1057" s="707">
        <f>FISCinyear!IQ735</f>
        <v>0</v>
      </c>
      <c r="AK1057" s="707">
        <f>FISCinyear!IR735</f>
        <v>0</v>
      </c>
      <c r="AL1057" s="126">
        <f>AK1057*1.1</f>
        <v>0</v>
      </c>
      <c r="AM1057" s="126">
        <f>AL1057*1.1</f>
        <v>0</v>
      </c>
      <c r="AN1057" s="126">
        <f t="shared" ref="AN1057:AO1057" si="1296">AM1057*1.1</f>
        <v>0</v>
      </c>
      <c r="AO1057" s="126">
        <f t="shared" si="1296"/>
        <v>0</v>
      </c>
      <c r="AP1057" s="126">
        <f t="shared" ref="AP1057" si="1297">AO1057*1.1</f>
        <v>0</v>
      </c>
      <c r="AQ1057" s="126">
        <f t="shared" ref="AQ1057" si="1298">AP1057*1.1</f>
        <v>0</v>
      </c>
      <c r="AR1057" s="126">
        <f t="shared" ref="AR1057" si="1299">AQ1057*1.1</f>
        <v>0</v>
      </c>
      <c r="AS1057" s="126">
        <f t="shared" ref="AS1057" si="1300">AR1057*1.1</f>
        <v>0</v>
      </c>
      <c r="AT1057" s="126">
        <f t="shared" ref="AT1057" si="1301">AS1057*1.1</f>
        <v>0</v>
      </c>
      <c r="AV1057" s="2168"/>
      <c r="AW1057" s="2168"/>
      <c r="AX1057" s="2168"/>
      <c r="AY1057" s="2168"/>
      <c r="AZ1057" s="2168"/>
      <c r="BA1057" s="2168"/>
      <c r="BB1057" s="2168"/>
      <c r="BC1057" s="2168"/>
      <c r="BD1057" s="2168"/>
      <c r="BE1057" s="2168"/>
      <c r="BF1057" s="2168"/>
      <c r="BG1057" s="2168"/>
      <c r="BH1057" s="2167"/>
    </row>
    <row r="1058" spans="1:60" ht="14.25" customHeight="1">
      <c r="A1058" s="1"/>
      <c r="B1058" s="1"/>
      <c r="C1058" s="1602"/>
      <c r="D1058" s="383" t="s">
        <v>3361</v>
      </c>
      <c r="E1058" s="346"/>
      <c r="F1058" s="346"/>
      <c r="G1058" s="346"/>
      <c r="H1058" s="346"/>
      <c r="I1058" s="346"/>
      <c r="J1058" s="346"/>
      <c r="K1058" s="346"/>
      <c r="L1058" s="346"/>
      <c r="M1058" s="346"/>
      <c r="N1058" s="346"/>
      <c r="O1058" s="346"/>
      <c r="P1058" s="346"/>
      <c r="Q1058" s="346"/>
      <c r="R1058" s="346"/>
      <c r="S1058" s="346"/>
      <c r="T1058" s="346"/>
      <c r="U1058" s="346"/>
      <c r="V1058" s="126">
        <v>0</v>
      </c>
      <c r="W1058" s="126">
        <v>0</v>
      </c>
      <c r="X1058" s="126">
        <v>0</v>
      </c>
      <c r="Y1058" s="707">
        <f>FISCinyear!HR736</f>
        <v>0</v>
      </c>
      <c r="Z1058" s="707">
        <f>FISCinyear!HU736</f>
        <v>0</v>
      </c>
      <c r="AA1058" s="707">
        <f>FISCinyear!HX736</f>
        <v>0</v>
      </c>
      <c r="AB1058" s="707">
        <f>FISCinyear!IA736</f>
        <v>0</v>
      </c>
      <c r="AC1058" s="707">
        <f>FISCinyear!ID736</f>
        <v>0</v>
      </c>
      <c r="AD1058" s="707">
        <f>FISCinyear!IG736</f>
        <v>4.7370362420000003</v>
      </c>
      <c r="AE1058" s="707">
        <f>FISCinyear!IJ736</f>
        <v>3.3041582800000002</v>
      </c>
      <c r="AF1058" s="707">
        <f>FISCinyear!IM736</f>
        <v>4.992443806921397</v>
      </c>
      <c r="AG1058" s="707">
        <f>FISCinyear!IP736</f>
        <v>4.324182857227056</v>
      </c>
      <c r="AH1058" s="707">
        <f>FISCinyear!IS736</f>
        <v>9.1533410410676197</v>
      </c>
      <c r="AI1058" s="707">
        <f>FISCinyear!IV736</f>
        <v>10.866446835000001</v>
      </c>
      <c r="AJ1058" s="126">
        <f>(AI1058/AI1053)*AJ1053*0+1.06373571089057</f>
        <v>1.0637357108905701</v>
      </c>
      <c r="AK1058" s="126">
        <f t="shared" ref="AK1058:AM1058" si="1302">(AJ1058/AJ1053)*AK1053</f>
        <v>1.1444108611209931</v>
      </c>
      <c r="AL1058" s="126">
        <f t="shared" si="1302"/>
        <v>1.2779086375222302</v>
      </c>
      <c r="AM1058" s="126">
        <f t="shared" si="1302"/>
        <v>1.3862101353779979</v>
      </c>
      <c r="AN1058" s="126">
        <f t="shared" ref="AN1058" si="1303">(AM1058/AM1053)*AN1053</f>
        <v>1.5664174529771371</v>
      </c>
      <c r="AO1058" s="126">
        <f t="shared" ref="AO1058" si="1304">(AN1058/AN1053)*AO1053</f>
        <v>1.7700517218641652</v>
      </c>
      <c r="AP1058" s="126">
        <f t="shared" ref="AP1058" si="1305">(AO1058/AO1053)*AP1053</f>
        <v>1.8398072876601193</v>
      </c>
      <c r="AQ1058" s="126">
        <f t="shared" ref="AQ1058" si="1306">(AP1058/AP1053)*AQ1053</f>
        <v>1.8529589054829341</v>
      </c>
      <c r="AR1058" s="126">
        <f t="shared" ref="AR1058" si="1307">(AQ1058/AQ1053)*AR1053</f>
        <v>2.371740987129503</v>
      </c>
      <c r="AS1058" s="126">
        <f t="shared" ref="AS1058" si="1308">(AR1058/AR1053)*AS1053</f>
        <v>-2.1723241698934688</v>
      </c>
      <c r="AT1058" s="126">
        <f t="shared" ref="AT1058" si="1309">(AS1058/AS1053)*AT1053</f>
        <v>-5.9015222778014165</v>
      </c>
      <c r="AV1058" s="2168"/>
      <c r="AW1058" s="2168"/>
      <c r="AX1058" s="2168"/>
      <c r="AY1058" s="2168"/>
      <c r="AZ1058" s="2168"/>
      <c r="BA1058" s="2168"/>
      <c r="BB1058" s="2168"/>
      <c r="BC1058" s="2168"/>
      <c r="BD1058" s="2168"/>
      <c r="BE1058" s="2168"/>
      <c r="BF1058" s="2168"/>
      <c r="BG1058" s="2168"/>
      <c r="BH1058" s="2167"/>
    </row>
    <row r="1059" spans="1:60" ht="14.25" customHeight="1">
      <c r="A1059" s="1"/>
      <c r="B1059" s="1"/>
      <c r="C1059" s="1"/>
      <c r="D1059" s="381" t="str">
        <f>+FISCinyear!D737</f>
        <v xml:space="preserve">Sales of goods and services </v>
      </c>
      <c r="E1059" s="346"/>
      <c r="F1059" s="346"/>
      <c r="G1059" s="346"/>
      <c r="H1059" s="346"/>
      <c r="I1059" s="346"/>
      <c r="J1059" s="346"/>
      <c r="K1059" s="346"/>
      <c r="L1059" s="346"/>
      <c r="M1059" s="346"/>
      <c r="N1059" s="346"/>
      <c r="O1059" s="346"/>
      <c r="P1059" s="346"/>
      <c r="Q1059" s="346"/>
      <c r="R1059" s="346"/>
      <c r="S1059" s="346"/>
      <c r="T1059" s="346"/>
      <c r="U1059" s="346"/>
      <c r="V1059" s="399">
        <v>0</v>
      </c>
      <c r="W1059" s="399">
        <v>0</v>
      </c>
      <c r="X1059" s="399">
        <v>0</v>
      </c>
      <c r="Y1059" s="1596">
        <f>FISCinyear!HR737</f>
        <v>101.6455802076724</v>
      </c>
      <c r="Z1059" s="1596">
        <f>FISCinyear!HU737</f>
        <v>128.23033017019469</v>
      </c>
      <c r="AA1059" s="1596">
        <f>FISCinyear!HX737</f>
        <v>157.06824826644657</v>
      </c>
      <c r="AB1059" s="1596">
        <f>FISCinyear!IA737</f>
        <v>190.4939429820059</v>
      </c>
      <c r="AC1059" s="1596">
        <f>FISCinyear!ID737</f>
        <v>217.79376056441629</v>
      </c>
      <c r="AD1059" s="1596">
        <f>FISCinyear!IG737</f>
        <v>254.60815363064833</v>
      </c>
      <c r="AE1059" s="1596">
        <f>FISCinyear!IJ737</f>
        <v>239.49112674760897</v>
      </c>
      <c r="AF1059" s="1596">
        <f>FISCinyear!IM737</f>
        <v>301.35411425052644</v>
      </c>
      <c r="AG1059" s="1596">
        <f>FISCinyear!IP737</f>
        <v>328.663104256206</v>
      </c>
      <c r="AH1059" s="1596">
        <f>FISCinyear!IS737</f>
        <v>321.33059108164434</v>
      </c>
      <c r="AI1059" s="1596">
        <f>FISCinyear!IV737</f>
        <v>395.34517266296109</v>
      </c>
      <c r="AJ1059" s="1802">
        <f>AJ1060+AJ1061+AJ1065+AJ1068</f>
        <v>439.51913110398027</v>
      </c>
      <c r="AK1059" s="1802">
        <f>AK1060+AK1061+AK1065+AK1068</f>
        <v>476.24084250109007</v>
      </c>
      <c r="AL1059" s="1802">
        <f t="shared" ref="AL1059:AT1059" si="1310">AL1060+AL1061+AL1065+AL1068</f>
        <v>531.80579863579715</v>
      </c>
      <c r="AM1059" s="1802">
        <f t="shared" si="1310"/>
        <v>608.46675772478352</v>
      </c>
      <c r="AN1059" s="1802">
        <f t="shared" si="1310"/>
        <v>679.44907603987951</v>
      </c>
      <c r="AO1059" s="1802">
        <f t="shared" si="1310"/>
        <v>790.49621940138536</v>
      </c>
      <c r="AP1059" s="1802">
        <f t="shared" si="1310"/>
        <v>867.93755949745912</v>
      </c>
      <c r="AQ1059" s="1802">
        <f t="shared" si="1310"/>
        <v>913.89939540710338</v>
      </c>
      <c r="AR1059" s="1802">
        <f t="shared" si="1310"/>
        <v>1093.6039031701455</v>
      </c>
      <c r="AS1059" s="1802">
        <f t="shared" si="1310"/>
        <v>-262.54888797422802</v>
      </c>
      <c r="AT1059" s="1802">
        <f t="shared" si="1310"/>
        <v>-1555.7643349388381</v>
      </c>
      <c r="AV1059" s="2168"/>
      <c r="AW1059" s="2168"/>
      <c r="AX1059" s="2168"/>
      <c r="AY1059" s="2168"/>
      <c r="AZ1059" s="2168"/>
      <c r="BA1059" s="2168"/>
      <c r="BB1059" s="2168"/>
      <c r="BC1059" s="2168"/>
      <c r="BD1059" s="2168"/>
      <c r="BE1059" s="2168"/>
      <c r="BF1059" s="2168"/>
      <c r="BG1059" s="2168"/>
      <c r="BH1059" s="2167"/>
    </row>
    <row r="1060" spans="1:60" ht="14.25" customHeight="1">
      <c r="A1060" s="1"/>
      <c r="B1060" s="1"/>
      <c r="C1060" s="1"/>
      <c r="D1060" s="383" t="s">
        <v>550</v>
      </c>
      <c r="E1060" s="346"/>
      <c r="F1060" s="346"/>
      <c r="G1060" s="346"/>
      <c r="H1060" s="346"/>
      <c r="I1060" s="346"/>
      <c r="J1060" s="346"/>
      <c r="K1060" s="346"/>
      <c r="L1060" s="346"/>
      <c r="M1060" s="346"/>
      <c r="N1060" s="346"/>
      <c r="O1060" s="346"/>
      <c r="P1060" s="346"/>
      <c r="Q1060" s="346"/>
      <c r="R1060" s="346"/>
      <c r="S1060" s="346"/>
      <c r="T1060" s="346"/>
      <c r="U1060" s="346"/>
      <c r="V1060" s="126">
        <v>0</v>
      </c>
      <c r="W1060" s="126">
        <v>0</v>
      </c>
      <c r="X1060" s="126">
        <v>0</v>
      </c>
      <c r="Y1060" s="707">
        <f>FISCinyear!HR738</f>
        <v>0</v>
      </c>
      <c r="Z1060" s="707">
        <f>FISCinyear!HU738</f>
        <v>0</v>
      </c>
      <c r="AA1060" s="707">
        <f>FISCinyear!HX738</f>
        <v>0</v>
      </c>
      <c r="AB1060" s="707">
        <f>FISCinyear!IA738</f>
        <v>0</v>
      </c>
      <c r="AC1060" s="707">
        <f>FISCinyear!ID738</f>
        <v>0</v>
      </c>
      <c r="AD1060" s="707">
        <f>FISCinyear!IG738</f>
        <v>0</v>
      </c>
      <c r="AE1060" s="707">
        <f>FISCinyear!IJ738</f>
        <v>0</v>
      </c>
      <c r="AF1060" s="707">
        <f>FISCinyear!IM738</f>
        <v>0</v>
      </c>
      <c r="AG1060" s="707">
        <f>FISCinyear!IP738</f>
        <v>0</v>
      </c>
      <c r="AH1060" s="707">
        <f>FISCinyear!IS738</f>
        <v>0</v>
      </c>
      <c r="AI1060" s="707">
        <f>FISCinyear!IV738</f>
        <v>0</v>
      </c>
      <c r="AJ1060" s="126">
        <f t="shared" ref="AJ1060:AM1060" si="1311">AI1060</f>
        <v>0</v>
      </c>
      <c r="AK1060" s="126">
        <f t="shared" si="1311"/>
        <v>0</v>
      </c>
      <c r="AL1060" s="126">
        <f t="shared" si="1311"/>
        <v>0</v>
      </c>
      <c r="AM1060" s="126">
        <f t="shared" si="1311"/>
        <v>0</v>
      </c>
      <c r="AN1060" s="126">
        <f t="shared" ref="AN1060" si="1312">AM1060</f>
        <v>0</v>
      </c>
      <c r="AO1060" s="126">
        <f t="shared" ref="AO1060" si="1313">AN1060</f>
        <v>0</v>
      </c>
      <c r="AP1060" s="126">
        <f t="shared" ref="AP1060" si="1314">AO1060</f>
        <v>0</v>
      </c>
      <c r="AQ1060" s="126">
        <f t="shared" ref="AQ1060" si="1315">AP1060</f>
        <v>0</v>
      </c>
      <c r="AR1060" s="126">
        <f t="shared" ref="AR1060" si="1316">AQ1060</f>
        <v>0</v>
      </c>
      <c r="AS1060" s="126">
        <f t="shared" ref="AS1060" si="1317">AR1060</f>
        <v>0</v>
      </c>
      <c r="AT1060" s="126">
        <f t="shared" ref="AT1060" si="1318">AS1060</f>
        <v>0</v>
      </c>
      <c r="AV1060" s="2168"/>
      <c r="AW1060" s="2168"/>
      <c r="AX1060" s="2168"/>
      <c r="AY1060" s="2168"/>
      <c r="AZ1060" s="2168"/>
      <c r="BA1060" s="2168"/>
      <c r="BB1060" s="2168"/>
      <c r="BC1060" s="2168"/>
      <c r="BD1060" s="2168"/>
      <c r="BE1060" s="2168"/>
      <c r="BF1060" s="2168"/>
      <c r="BG1060" s="2168"/>
      <c r="BH1060" s="2167"/>
    </row>
    <row r="1061" spans="1:60" ht="14.25" customHeight="1">
      <c r="A1061" s="1"/>
      <c r="B1061" s="1"/>
      <c r="C1061" s="1"/>
      <c r="D1061" s="383" t="s">
        <v>551</v>
      </c>
      <c r="E1061" s="346" t="s">
        <v>30</v>
      </c>
      <c r="F1061" s="346"/>
      <c r="G1061" s="346"/>
      <c r="H1061" s="346"/>
      <c r="I1061" s="346"/>
      <c r="J1061" s="346"/>
      <c r="K1061" s="346"/>
      <c r="L1061" s="346"/>
      <c r="M1061" s="346"/>
      <c r="N1061" s="346"/>
      <c r="O1061" s="346"/>
      <c r="P1061" s="346"/>
      <c r="Q1061" s="346"/>
      <c r="R1061" s="346"/>
      <c r="S1061" s="346"/>
      <c r="T1061" s="346"/>
      <c r="U1061" s="346"/>
      <c r="V1061" s="126">
        <v>0</v>
      </c>
      <c r="W1061" s="126">
        <v>0</v>
      </c>
      <c r="X1061" s="126">
        <v>0</v>
      </c>
      <c r="Y1061" s="707">
        <f>FISCinyear!HR739</f>
        <v>12.102955922</v>
      </c>
      <c r="Z1061" s="707">
        <f>FISCinyear!HU739</f>
        <v>12.413099453000001</v>
      </c>
      <c r="AA1061" s="707">
        <f>FISCinyear!HX739</f>
        <v>32.383153776</v>
      </c>
      <c r="AB1061" s="707">
        <f>FISCinyear!IA739</f>
        <v>51.147192611141264</v>
      </c>
      <c r="AC1061" s="707">
        <f>FISCinyear!ID739</f>
        <v>56.960235014416284</v>
      </c>
      <c r="AD1061" s="707">
        <f>FISCinyear!IG739</f>
        <v>91.974588324099983</v>
      </c>
      <c r="AE1061" s="707">
        <f>FISCinyear!IJ739</f>
        <v>85.537376291807462</v>
      </c>
      <c r="AF1061" s="707">
        <f>FISCinyear!IM739</f>
        <v>76.997334211164087</v>
      </c>
      <c r="AG1061" s="707">
        <f>FISCinyear!IP739</f>
        <v>166.31454336831683</v>
      </c>
      <c r="AH1061" s="707">
        <f>FISCinyear!IS739</f>
        <v>116.33063407307799</v>
      </c>
      <c r="AI1061" s="707">
        <f>FISCinyear!IV739</f>
        <v>153.71862569203336</v>
      </c>
      <c r="AJ1061" s="1661">
        <f t="shared" ref="AJ1061:AT1061" si="1319">AJ404*AJ536</f>
        <v>202.31572577626207</v>
      </c>
      <c r="AK1061" s="1661">
        <f t="shared" si="1319"/>
        <v>249.55430059122105</v>
      </c>
      <c r="AL1061" s="1661">
        <f t="shared" si="1319"/>
        <v>288.12836674410102</v>
      </c>
      <c r="AM1061" s="1661">
        <f t="shared" si="1319"/>
        <v>343.4837059650049</v>
      </c>
      <c r="AN1061" s="1661">
        <f t="shared" si="1319"/>
        <v>395.89931949526465</v>
      </c>
      <c r="AO1061" s="1661">
        <f t="shared" si="1319"/>
        <v>492.10285413261403</v>
      </c>
      <c r="AP1061" s="1661">
        <f t="shared" si="1319"/>
        <v>535.27035010868349</v>
      </c>
      <c r="AQ1061" s="1661">
        <f t="shared" si="1319"/>
        <v>542.58999625816932</v>
      </c>
      <c r="AR1061" s="1661">
        <f t="shared" si="1319"/>
        <v>694.50160471667084</v>
      </c>
      <c r="AS1061" s="1661">
        <f t="shared" si="1319"/>
        <v>-684.75716872474459</v>
      </c>
      <c r="AT1061" s="1661">
        <f t="shared" si="1319"/>
        <v>-2002.5435184390421</v>
      </c>
      <c r="AV1061" s="2168"/>
      <c r="AW1061" s="2168"/>
      <c r="AX1061" s="2168"/>
      <c r="AY1061" s="2168"/>
      <c r="AZ1061" s="2168"/>
      <c r="BA1061" s="2168"/>
      <c r="BB1061" s="2168"/>
      <c r="BC1061" s="2168"/>
      <c r="BD1061" s="2168"/>
      <c r="BE1061" s="2168"/>
      <c r="BF1061" s="2168"/>
      <c r="BG1061" s="2168"/>
      <c r="BH1061" s="2167"/>
    </row>
    <row r="1062" spans="1:60" ht="14.25" customHeight="1">
      <c r="A1062" s="1"/>
      <c r="B1062" s="1"/>
      <c r="C1062" s="1"/>
      <c r="D1062" s="1605" t="s">
        <v>3189</v>
      </c>
      <c r="E1062" s="346"/>
      <c r="F1062" s="346"/>
      <c r="G1062" s="346"/>
      <c r="H1062" s="346"/>
      <c r="I1062" s="346"/>
      <c r="J1062" s="346"/>
      <c r="K1062" s="346"/>
      <c r="L1062" s="346"/>
      <c r="M1062" s="346"/>
      <c r="N1062" s="346"/>
      <c r="O1062" s="346"/>
      <c r="P1062" s="346"/>
      <c r="Q1062" s="346"/>
      <c r="R1062" s="346"/>
      <c r="S1062" s="346"/>
      <c r="T1062" s="346"/>
      <c r="U1062" s="346"/>
      <c r="V1062" s="126"/>
      <c r="W1062" s="126"/>
      <c r="X1062" s="126"/>
      <c r="Y1062" s="707"/>
      <c r="Z1062" s="707"/>
      <c r="AA1062" s="707"/>
      <c r="AB1062" s="707"/>
      <c r="AC1062" s="707"/>
      <c r="AD1062" s="707"/>
      <c r="AE1062" s="707"/>
      <c r="AF1062" s="707">
        <f>FISCinyear!IM740</f>
        <v>9.1052140446290366</v>
      </c>
      <c r="AG1062" s="707">
        <f>FISCinyear!IP740</f>
        <v>22.973369909460004</v>
      </c>
      <c r="AH1062" s="707">
        <f>FISCinyear!IS740</f>
        <v>21.44671286007798</v>
      </c>
      <c r="AI1062" s="707">
        <f>FISCinyear!IV740</f>
        <v>48.838144233154182</v>
      </c>
      <c r="AJ1062" s="126">
        <v>45.298811154537169</v>
      </c>
      <c r="AK1062" s="126">
        <f>AJ1062*1.1</f>
        <v>49.828692269990889</v>
      </c>
      <c r="AL1062" s="126">
        <f t="shared" ref="AL1062:AO1062" si="1320">AK1062*1.1</f>
        <v>54.811561496989981</v>
      </c>
      <c r="AM1062" s="126">
        <f t="shared" si="1320"/>
        <v>60.292717646688985</v>
      </c>
      <c r="AN1062" s="126">
        <f t="shared" si="1320"/>
        <v>66.32198941135789</v>
      </c>
      <c r="AO1062" s="126">
        <f t="shared" si="1320"/>
        <v>72.954188352493688</v>
      </c>
      <c r="AP1062" s="126">
        <f t="shared" ref="AP1062" si="1321">AO1062*1.09826543012</f>
        <v>80.123063050006976</v>
      </c>
      <c r="AQ1062" s="126">
        <f t="shared" ref="AQ1062" si="1322">AP1062*1.09826543012</f>
        <v>87.996390303147805</v>
      </c>
      <c r="AR1062" s="126">
        <f t="shared" ref="AR1062" si="1323">AQ1062*1.09826543012</f>
        <v>96.643393445294038</v>
      </c>
      <c r="AS1062" s="126">
        <f t="shared" ref="AS1062" si="1324">AR1062*1.09826543012</f>
        <v>106.14009807045225</v>
      </c>
      <c r="AT1062" s="126">
        <f t="shared" ref="AT1062" si="1325">AS1062*1.09826543012</f>
        <v>116.57000046032424</v>
      </c>
      <c r="AV1062" s="2168"/>
      <c r="AW1062" s="2168"/>
      <c r="AX1062" s="2168"/>
      <c r="AY1062" s="2168"/>
      <c r="AZ1062" s="2168"/>
      <c r="BA1062" s="2168"/>
      <c r="BB1062" s="2168"/>
      <c r="BC1062" s="2168"/>
      <c r="BD1062" s="2168"/>
      <c r="BE1062" s="2168"/>
      <c r="BF1062" s="2168"/>
      <c r="BG1062" s="2168"/>
      <c r="BH1062" s="2167"/>
    </row>
    <row r="1063" spans="1:60" ht="14.25" customHeight="1">
      <c r="A1063" s="1"/>
      <c r="B1063" s="1"/>
      <c r="C1063" s="1"/>
      <c r="D1063" s="1605" t="s">
        <v>3140</v>
      </c>
      <c r="E1063" s="346"/>
      <c r="F1063" s="346"/>
      <c r="G1063" s="346"/>
      <c r="H1063" s="346"/>
      <c r="I1063" s="346"/>
      <c r="J1063" s="346"/>
      <c r="K1063" s="346"/>
      <c r="L1063" s="346"/>
      <c r="M1063" s="346"/>
      <c r="N1063" s="346"/>
      <c r="O1063" s="346"/>
      <c r="P1063" s="346"/>
      <c r="Q1063" s="346"/>
      <c r="R1063" s="346"/>
      <c r="S1063" s="346"/>
      <c r="T1063" s="346"/>
      <c r="U1063" s="346"/>
      <c r="V1063" s="989">
        <f t="shared" ref="V1063:AE1063" si="1326">V539</f>
        <v>0</v>
      </c>
      <c r="W1063" s="989">
        <f t="shared" si="1326"/>
        <v>0</v>
      </c>
      <c r="X1063" s="989">
        <f t="shared" si="1326"/>
        <v>0</v>
      </c>
      <c r="Y1063" s="989">
        <f t="shared" si="1326"/>
        <v>0</v>
      </c>
      <c r="Z1063" s="989">
        <f t="shared" si="1326"/>
        <v>0</v>
      </c>
      <c r="AA1063" s="989">
        <f t="shared" si="1326"/>
        <v>0</v>
      </c>
      <c r="AB1063" s="989">
        <f t="shared" si="1326"/>
        <v>0</v>
      </c>
      <c r="AC1063" s="989">
        <f t="shared" si="1326"/>
        <v>0</v>
      </c>
      <c r="AD1063" s="989">
        <f t="shared" si="1326"/>
        <v>0</v>
      </c>
      <c r="AE1063" s="989">
        <f t="shared" si="1326"/>
        <v>0</v>
      </c>
      <c r="AF1063" s="989">
        <f>FISCinyear!IM741</f>
        <v>19.722913615500001</v>
      </c>
      <c r="AG1063" s="989">
        <f>FISCinyear!IP741</f>
        <v>39.532223072000001</v>
      </c>
      <c r="AH1063" s="989">
        <f>FISCinyear!IS741</f>
        <v>44.972336129999995</v>
      </c>
      <c r="AI1063" s="989">
        <f>FISCinyear!IV741</f>
        <v>38.939928277999996</v>
      </c>
      <c r="AJ1063" s="989">
        <v>61.195540272506179</v>
      </c>
      <c r="AK1063" s="989">
        <v>67.208946358809797</v>
      </c>
      <c r="AL1063" s="989">
        <v>67.208946358809783</v>
      </c>
      <c r="AM1063" s="989">
        <v>67.208946358809783</v>
      </c>
      <c r="AN1063" s="989">
        <v>67.208946358809783</v>
      </c>
      <c r="AO1063" s="989">
        <v>67.208946358809783</v>
      </c>
      <c r="AP1063" s="989">
        <v>67.208946358809783</v>
      </c>
      <c r="AQ1063" s="989">
        <v>67.208946358809783</v>
      </c>
      <c r="AR1063" s="989">
        <v>67.208946358809783</v>
      </c>
      <c r="AS1063" s="989">
        <v>67.208946358809783</v>
      </c>
      <c r="AT1063" s="989">
        <v>67.208946358809783</v>
      </c>
      <c r="AV1063" s="2168"/>
      <c r="AW1063" s="2168"/>
      <c r="AX1063" s="2168"/>
      <c r="AY1063" s="2168"/>
      <c r="AZ1063" s="2168"/>
      <c r="BA1063" s="2168"/>
      <c r="BB1063" s="2168"/>
      <c r="BC1063" s="2168"/>
      <c r="BD1063" s="2168"/>
      <c r="BE1063" s="2168"/>
      <c r="BF1063" s="2168"/>
      <c r="BG1063" s="2168"/>
      <c r="BH1063" s="2167"/>
    </row>
    <row r="1064" spans="1:60" ht="14.25" customHeight="1">
      <c r="A1064" s="1"/>
      <c r="B1064" s="1"/>
      <c r="C1064" s="1"/>
      <c r="D1064" s="1605" t="s">
        <v>3141</v>
      </c>
      <c r="E1064" s="346"/>
      <c r="F1064" s="346"/>
      <c r="G1064" s="346"/>
      <c r="H1064" s="346"/>
      <c r="I1064" s="346"/>
      <c r="J1064" s="346"/>
      <c r="K1064" s="346"/>
      <c r="L1064" s="346"/>
      <c r="M1064" s="346"/>
      <c r="N1064" s="346"/>
      <c r="O1064" s="346"/>
      <c r="P1064" s="346"/>
      <c r="Q1064" s="346"/>
      <c r="R1064" s="346"/>
      <c r="S1064" s="346"/>
      <c r="T1064" s="346"/>
      <c r="U1064" s="346"/>
      <c r="V1064" s="989">
        <v>0</v>
      </c>
      <c r="W1064" s="989">
        <v>0</v>
      </c>
      <c r="X1064" s="989">
        <v>0</v>
      </c>
      <c r="Y1064" s="989">
        <v>0</v>
      </c>
      <c r="Z1064" s="989">
        <v>0</v>
      </c>
      <c r="AA1064" s="989">
        <v>0</v>
      </c>
      <c r="AB1064" s="989">
        <v>0</v>
      </c>
      <c r="AC1064" s="989">
        <v>0</v>
      </c>
      <c r="AD1064" s="989">
        <v>0</v>
      </c>
      <c r="AE1064" s="989">
        <v>0</v>
      </c>
      <c r="AF1064" s="989">
        <f>FISCinyear!IM742</f>
        <v>8.8921222545000003</v>
      </c>
      <c r="AG1064" s="989">
        <f>FISCinyear!IP742</f>
        <v>106.04437596212674</v>
      </c>
      <c r="AH1064" s="989">
        <f>FISCinyear!IS742</f>
        <v>49.911585083000006</v>
      </c>
      <c r="AI1064" s="989">
        <f>FISCinyear!IV742</f>
        <v>56.476471918999998</v>
      </c>
      <c r="AJ1064" s="1904">
        <v>53.634300000000003</v>
      </c>
      <c r="AK1064" s="1904">
        <v>72.552801731541152</v>
      </c>
      <c r="AL1064" s="989">
        <v>82.694752855768201</v>
      </c>
      <c r="AM1064" s="989">
        <v>92.857008033263156</v>
      </c>
      <c r="AN1064" s="989">
        <v>103.30533676934694</v>
      </c>
      <c r="AO1064" s="989">
        <v>115.70035770442146</v>
      </c>
      <c r="AP1064" s="989">
        <v>115.70035770442146</v>
      </c>
      <c r="AQ1064" s="989">
        <v>115.70035770442146</v>
      </c>
      <c r="AR1064" s="989">
        <v>115.70035770442146</v>
      </c>
      <c r="AS1064" s="989">
        <v>115.70035770442146</v>
      </c>
      <c r="AT1064" s="989">
        <v>115.70035770442146</v>
      </c>
      <c r="AV1064" s="2168"/>
      <c r="AW1064" s="2168"/>
      <c r="AX1064" s="2168"/>
      <c r="AY1064" s="2168"/>
      <c r="AZ1064" s="2168"/>
      <c r="BA1064" s="2168"/>
      <c r="BB1064" s="2168"/>
      <c r="BC1064" s="2168"/>
      <c r="BD1064" s="2168"/>
      <c r="BE1064" s="2168"/>
      <c r="BF1064" s="2168"/>
      <c r="BG1064" s="2168"/>
      <c r="BH1064" s="2167"/>
    </row>
    <row r="1065" spans="1:60" ht="14.25" customHeight="1">
      <c r="A1065" s="1"/>
      <c r="B1065" s="1"/>
      <c r="C1065" s="1"/>
      <c r="D1065" s="383" t="s">
        <v>552</v>
      </c>
      <c r="E1065" s="346"/>
      <c r="F1065" s="346"/>
      <c r="G1065" s="346"/>
      <c r="H1065" s="346"/>
      <c r="I1065" s="346"/>
      <c r="J1065" s="346"/>
      <c r="K1065" s="346"/>
      <c r="L1065" s="346"/>
      <c r="M1065" s="346"/>
      <c r="N1065" s="346"/>
      <c r="O1065" s="346"/>
      <c r="P1065" s="346"/>
      <c r="Q1065" s="346"/>
      <c r="R1065" s="346"/>
      <c r="S1065" s="346"/>
      <c r="T1065" s="346"/>
      <c r="U1065" s="346"/>
      <c r="V1065" s="126">
        <v>0</v>
      </c>
      <c r="W1065" s="126">
        <v>0</v>
      </c>
      <c r="X1065" s="126">
        <v>0</v>
      </c>
      <c r="Y1065" s="707">
        <f>FISCinyear!HR743</f>
        <v>89.542624285672389</v>
      </c>
      <c r="Z1065" s="1609">
        <f>FISCinyear!HU743</f>
        <v>115.81723071719469</v>
      </c>
      <c r="AA1065" s="1609">
        <f>FISCinyear!HX743</f>
        <v>124.68509449044659</v>
      </c>
      <c r="AB1065" s="707">
        <f>FISCinyear!IA743</f>
        <v>139.34675037086464</v>
      </c>
      <c r="AC1065" s="707">
        <f>FISCinyear!ID743</f>
        <v>160.83352554999999</v>
      </c>
      <c r="AD1065" s="1609">
        <f>FISCinyear!IG743</f>
        <v>162.63356530654838</v>
      </c>
      <c r="AE1065" s="707">
        <f>FISCinyear!IJ743</f>
        <v>153.9537504558015</v>
      </c>
      <c r="AF1065" s="707">
        <f>FISCinyear!IM743</f>
        <v>224.35678003936238</v>
      </c>
      <c r="AG1065" s="707">
        <f>FISCinyear!IP743</f>
        <v>162.34856088788916</v>
      </c>
      <c r="AH1065" s="707">
        <f>FISCinyear!IS743</f>
        <v>146.45347324939121</v>
      </c>
      <c r="AI1065" s="707">
        <f>FISCinyear!IV743</f>
        <v>241.62654697092771</v>
      </c>
      <c r="AJ1065" s="126">
        <f>AJ1066+AJ1067</f>
        <v>237.20340532771823</v>
      </c>
      <c r="AK1065" s="126">
        <f t="shared" ref="AK1065:AM1065" si="1327">AK1066+AK1067</f>
        <v>226.68654190986902</v>
      </c>
      <c r="AL1065" s="126">
        <f t="shared" si="1327"/>
        <v>243.6774318916961</v>
      </c>
      <c r="AM1065" s="126">
        <f t="shared" si="1327"/>
        <v>264.98305175977868</v>
      </c>
      <c r="AN1065" s="126">
        <f t="shared" ref="AN1065:AT1065" si="1328">AN1066+AN1067</f>
        <v>283.54975654461487</v>
      </c>
      <c r="AO1065" s="126">
        <f t="shared" si="1328"/>
        <v>298.39336526877139</v>
      </c>
      <c r="AP1065" s="126">
        <f t="shared" si="1328"/>
        <v>332.66720938877563</v>
      </c>
      <c r="AQ1065" s="126">
        <f t="shared" si="1328"/>
        <v>371.30939914893401</v>
      </c>
      <c r="AR1065" s="126">
        <f t="shared" si="1328"/>
        <v>399.10229845347465</v>
      </c>
      <c r="AS1065" s="126">
        <f t="shared" si="1328"/>
        <v>422.20828075051656</v>
      </c>
      <c r="AT1065" s="126">
        <f t="shared" si="1328"/>
        <v>446.779183500204</v>
      </c>
      <c r="AV1065" s="2168"/>
      <c r="AW1065" s="2168"/>
      <c r="AX1065" s="2168"/>
      <c r="AY1065" s="2168"/>
      <c r="AZ1065" s="2168"/>
      <c r="BA1065" s="2168"/>
      <c r="BB1065" s="2168"/>
      <c r="BC1065" s="2168"/>
      <c r="BD1065" s="2168"/>
      <c r="BE1065" s="2168"/>
      <c r="BF1065" s="2168"/>
      <c r="BG1065" s="2168"/>
      <c r="BH1065" s="2167"/>
    </row>
    <row r="1066" spans="1:60" ht="14.25" customHeight="1">
      <c r="A1066" s="1"/>
      <c r="B1066" s="1"/>
      <c r="C1066" s="1"/>
      <c r="D1066" s="1606" t="s">
        <v>3128</v>
      </c>
      <c r="E1066" s="346"/>
      <c r="F1066" s="346"/>
      <c r="G1066" s="346"/>
      <c r="H1066" s="346"/>
      <c r="I1066" s="346"/>
      <c r="J1066" s="346"/>
      <c r="K1066" s="346"/>
      <c r="L1066" s="346"/>
      <c r="M1066" s="346"/>
      <c r="N1066" s="346"/>
      <c r="O1066" s="346"/>
      <c r="P1066" s="346"/>
      <c r="Q1066" s="346"/>
      <c r="R1066" s="346"/>
      <c r="S1066" s="346"/>
      <c r="T1066" s="346"/>
      <c r="U1066" s="346"/>
      <c r="V1066" s="989">
        <v>0</v>
      </c>
      <c r="W1066" s="989">
        <v>0</v>
      </c>
      <c r="X1066" s="989">
        <v>0</v>
      </c>
      <c r="Y1066" s="1609">
        <f t="shared" ref="Y1066:AE1066" si="1329">X417+Y416</f>
        <v>0</v>
      </c>
      <c r="Z1066" s="1609">
        <f t="shared" si="1329"/>
        <v>69.539250323148991</v>
      </c>
      <c r="AA1066" s="1609">
        <f t="shared" si="1329"/>
        <v>121.6195684522404</v>
      </c>
      <c r="AB1066" s="1609">
        <f t="shared" si="1329"/>
        <v>132.01834234264999</v>
      </c>
      <c r="AC1066" s="1609">
        <f t="shared" si="1329"/>
        <v>128.04260530427499</v>
      </c>
      <c r="AD1066" s="1609">
        <f t="shared" si="1329"/>
        <v>151.47193310323161</v>
      </c>
      <c r="AE1066" s="1609">
        <f t="shared" si="1329"/>
        <v>169.21778673992497</v>
      </c>
      <c r="AF1066" s="1609">
        <f>FISCinyear!IM744</f>
        <v>122.21989487944499</v>
      </c>
      <c r="AG1066" s="1609">
        <f>FISCinyear!IP744</f>
        <v>143.73850162214455</v>
      </c>
      <c r="AH1066" s="1609">
        <f>FISCinyear!IS744</f>
        <v>146.45347324939121</v>
      </c>
      <c r="AI1066" s="1609">
        <f>FISCinyear!IV744</f>
        <v>209.56263076001727</v>
      </c>
      <c r="AJ1066" s="1803">
        <f t="shared" ref="AJ1066:AT1066" si="1330">AI417+AJ416</f>
        <v>209.99611745433467</v>
      </c>
      <c r="AK1066" s="1803">
        <f t="shared" si="1330"/>
        <v>197.24899460437902</v>
      </c>
      <c r="AL1066" s="1803">
        <f t="shared" si="1330"/>
        <v>211.8633150639069</v>
      </c>
      <c r="AM1066" s="1803">
        <f t="shared" si="1330"/>
        <v>225.89200899008975</v>
      </c>
      <c r="AN1066" s="1803">
        <f t="shared" si="1330"/>
        <v>238.67886609328386</v>
      </c>
      <c r="AO1066" s="1803">
        <f t="shared" si="1330"/>
        <v>249.11321746737292</v>
      </c>
      <c r="AP1066" s="1803">
        <f t="shared" si="1330"/>
        <v>278.54452666729554</v>
      </c>
      <c r="AQ1066" s="1803">
        <f t="shared" si="1330"/>
        <v>311.86832773057938</v>
      </c>
      <c r="AR1066" s="1803">
        <f t="shared" si="1330"/>
        <v>333.82022458540177</v>
      </c>
      <c r="AS1066" s="1803">
        <f t="shared" si="1330"/>
        <v>350.51123581467192</v>
      </c>
      <c r="AT1066" s="1803">
        <f t="shared" si="1330"/>
        <v>368.03679760540558</v>
      </c>
      <c r="AV1066" s="2168"/>
      <c r="AW1066" s="2168"/>
      <c r="AX1066" s="2168"/>
      <c r="AY1066" s="2168"/>
      <c r="AZ1066" s="2168"/>
      <c r="BA1066" s="2168"/>
      <c r="BB1066" s="2168"/>
      <c r="BC1066" s="2168"/>
      <c r="BD1066" s="2168"/>
      <c r="BE1066" s="2168"/>
      <c r="BF1066" s="2168"/>
      <c r="BG1066" s="2168"/>
      <c r="BH1066" s="2167"/>
    </row>
    <row r="1067" spans="1:60" ht="14.25" customHeight="1">
      <c r="A1067" s="1"/>
      <c r="B1067" s="1"/>
      <c r="C1067" s="1"/>
      <c r="D1067" s="1606" t="s">
        <v>3129</v>
      </c>
      <c r="E1067" s="346" t="s">
        <v>3131</v>
      </c>
      <c r="F1067" s="346"/>
      <c r="G1067" s="346"/>
      <c r="H1067" s="346"/>
      <c r="I1067" s="346"/>
      <c r="J1067" s="346"/>
      <c r="K1067" s="346"/>
      <c r="L1067" s="346"/>
      <c r="M1067" s="346"/>
      <c r="N1067" s="346"/>
      <c r="O1067" s="346"/>
      <c r="P1067" s="346"/>
      <c r="Q1067" s="346"/>
      <c r="R1067" s="346"/>
      <c r="S1067" s="346"/>
      <c r="T1067" s="346"/>
      <c r="U1067" s="346"/>
      <c r="V1067" s="989">
        <v>0</v>
      </c>
      <c r="W1067" s="989">
        <v>0</v>
      </c>
      <c r="X1067" s="989">
        <v>0</v>
      </c>
      <c r="Y1067" s="989">
        <v>0</v>
      </c>
      <c r="Z1067" s="989">
        <v>0</v>
      </c>
      <c r="AA1067" s="989">
        <v>0</v>
      </c>
      <c r="AB1067" s="989">
        <v>0</v>
      </c>
      <c r="AC1067" s="989">
        <v>0</v>
      </c>
      <c r="AD1067" s="989">
        <v>0</v>
      </c>
      <c r="AE1067" s="989">
        <v>0</v>
      </c>
      <c r="AF1067" s="989">
        <f>FISCinyear!IM745</f>
        <v>6.6782439365000004</v>
      </c>
      <c r="AG1067" s="989">
        <f>FISCinyear!IP745</f>
        <v>13.006930306181594</v>
      </c>
      <c r="AH1067" s="989">
        <f>FISCinyear!IS745</f>
        <v>0</v>
      </c>
      <c r="AI1067" s="989">
        <f>FISCinyear!IV745</f>
        <v>25.592636208242396</v>
      </c>
      <c r="AJ1067" s="1904">
        <v>27.207287873383571</v>
      </c>
      <c r="AK1067" s="989">
        <v>29.437547305490003</v>
      </c>
      <c r="AL1067" s="989">
        <v>31.814116827789213</v>
      </c>
      <c r="AM1067" s="989">
        <v>39.091042769688947</v>
      </c>
      <c r="AN1067" s="989">
        <v>44.870890451331022</v>
      </c>
      <c r="AO1067" s="989">
        <f>AN1067*1.09826543012</f>
        <v>49.280147801398471</v>
      </c>
      <c r="AP1067" s="989">
        <f t="shared" ref="AP1067:AT1067" si="1331">AO1067*1.09826543012</f>
        <v>54.122682721480068</v>
      </c>
      <c r="AQ1067" s="989">
        <f t="shared" si="1331"/>
        <v>59.441071418354603</v>
      </c>
      <c r="AR1067" s="989">
        <f t="shared" si="1331"/>
        <v>65.282073868072857</v>
      </c>
      <c r="AS1067" s="989">
        <f t="shared" si="1331"/>
        <v>71.697044935844659</v>
      </c>
      <c r="AT1067" s="989">
        <f t="shared" si="1331"/>
        <v>78.742385894798403</v>
      </c>
      <c r="AV1067" s="2168"/>
      <c r="AW1067" s="2168"/>
      <c r="AX1067" s="2168"/>
      <c r="AY1067" s="2168"/>
      <c r="AZ1067" s="2168"/>
      <c r="BA1067" s="2168"/>
      <c r="BB1067" s="2168"/>
      <c r="BC1067" s="2168"/>
      <c r="BD1067" s="2168"/>
      <c r="BE1067" s="2168"/>
      <c r="BF1067" s="2168"/>
      <c r="BG1067" s="2168"/>
      <c r="BH1067" s="2167"/>
    </row>
    <row r="1068" spans="1:60" ht="14.25" customHeight="1">
      <c r="A1068" s="1"/>
      <c r="B1068" s="1"/>
      <c r="C1068" s="1"/>
      <c r="D1068" s="383" t="s">
        <v>553</v>
      </c>
      <c r="E1068" s="346"/>
      <c r="F1068" s="346"/>
      <c r="G1068" s="346"/>
      <c r="H1068" s="346"/>
      <c r="I1068" s="346"/>
      <c r="J1068" s="346"/>
      <c r="K1068" s="346"/>
      <c r="L1068" s="346"/>
      <c r="M1068" s="346"/>
      <c r="N1068" s="346"/>
      <c r="O1068" s="346"/>
      <c r="P1068" s="346"/>
      <c r="Q1068" s="346"/>
      <c r="R1068" s="346"/>
      <c r="S1068" s="346"/>
      <c r="T1068" s="346"/>
      <c r="U1068" s="346"/>
      <c r="V1068" s="126">
        <v>0</v>
      </c>
      <c r="W1068" s="126">
        <v>0</v>
      </c>
      <c r="X1068" s="126">
        <v>0</v>
      </c>
      <c r="Y1068" s="707">
        <f>FISCinyear!HR746</f>
        <v>0</v>
      </c>
      <c r="Z1068" s="707">
        <f>FISCinyear!HU746</f>
        <v>0</v>
      </c>
      <c r="AA1068" s="707">
        <f>FISCinyear!HX746</f>
        <v>0</v>
      </c>
      <c r="AB1068" s="707">
        <f>FISCinyear!IA746</f>
        <v>0</v>
      </c>
      <c r="AC1068" s="707">
        <f>FISCinyear!ID746</f>
        <v>0</v>
      </c>
      <c r="AD1068" s="707">
        <f>FISCinyear!IG746</f>
        <v>0</v>
      </c>
      <c r="AE1068" s="707">
        <f>FISCinyear!IJ746</f>
        <v>0</v>
      </c>
      <c r="AF1068" s="707">
        <f>FISCinyear!IM746</f>
        <v>0</v>
      </c>
      <c r="AG1068" s="707">
        <f>FISCinyear!IP746</f>
        <v>0</v>
      </c>
      <c r="AH1068" s="707">
        <f>FISCinyear!IS746</f>
        <v>0</v>
      </c>
      <c r="AI1068" s="707">
        <f>FISCinyear!IV746</f>
        <v>0</v>
      </c>
      <c r="AJ1068" s="126">
        <f t="shared" ref="AJ1068:AM1068" si="1332">AI1068</f>
        <v>0</v>
      </c>
      <c r="AK1068" s="126">
        <f t="shared" si="1332"/>
        <v>0</v>
      </c>
      <c r="AL1068" s="126">
        <f t="shared" si="1332"/>
        <v>0</v>
      </c>
      <c r="AM1068" s="126">
        <f t="shared" si="1332"/>
        <v>0</v>
      </c>
      <c r="AN1068" s="126">
        <f t="shared" ref="AN1068" si="1333">AM1068</f>
        <v>0</v>
      </c>
      <c r="AO1068" s="126">
        <f t="shared" ref="AO1068" si="1334">AN1068</f>
        <v>0</v>
      </c>
      <c r="AP1068" s="126">
        <f t="shared" ref="AP1068" si="1335">AO1068</f>
        <v>0</v>
      </c>
      <c r="AQ1068" s="126">
        <f t="shared" ref="AQ1068" si="1336">AP1068</f>
        <v>0</v>
      </c>
      <c r="AR1068" s="126">
        <f t="shared" ref="AR1068" si="1337">AQ1068</f>
        <v>0</v>
      </c>
      <c r="AS1068" s="126">
        <f t="shared" ref="AS1068" si="1338">AR1068</f>
        <v>0</v>
      </c>
      <c r="AT1068" s="126">
        <f t="shared" ref="AT1068" si="1339">AS1068</f>
        <v>0</v>
      </c>
      <c r="AV1068" s="2168"/>
      <c r="AW1068" s="2168"/>
      <c r="AX1068" s="2168"/>
      <c r="AY1068" s="2168"/>
      <c r="AZ1068" s="2168"/>
      <c r="BA1068" s="2168"/>
      <c r="BB1068" s="2168"/>
      <c r="BC1068" s="2168"/>
      <c r="BD1068" s="2168"/>
      <c r="BE1068" s="2168"/>
      <c r="BF1068" s="2168"/>
      <c r="BG1068" s="2168"/>
      <c r="BH1068" s="2167"/>
    </row>
    <row r="1069" spans="1:60" ht="14.25" customHeight="1">
      <c r="A1069" s="1"/>
      <c r="B1069" s="1"/>
      <c r="C1069" s="1"/>
      <c r="D1069" s="381" t="str">
        <f>+FISCinyear!D747</f>
        <v xml:space="preserve">Fines, penalties, and forfeits </v>
      </c>
      <c r="E1069" s="513"/>
      <c r="F1069" s="513"/>
      <c r="G1069" s="513"/>
      <c r="H1069" s="513"/>
      <c r="I1069" s="513"/>
      <c r="J1069" s="513"/>
      <c r="K1069" s="513"/>
      <c r="L1069" s="513"/>
      <c r="M1069" s="513"/>
      <c r="N1069" s="513"/>
      <c r="O1069" s="513"/>
      <c r="P1069" s="513"/>
      <c r="Q1069" s="513"/>
      <c r="R1069" s="513"/>
      <c r="S1069" s="513"/>
      <c r="T1069" s="513"/>
      <c r="U1069" s="513"/>
      <c r="V1069" s="399">
        <v>0</v>
      </c>
      <c r="W1069" s="399">
        <v>0</v>
      </c>
      <c r="X1069" s="399">
        <v>0</v>
      </c>
      <c r="Y1069" s="1596">
        <f>FISCinyear!HR747</f>
        <v>23.849760413799999</v>
      </c>
      <c r="Z1069" s="1596">
        <f>FISCinyear!HU747</f>
        <v>29.543254287000003</v>
      </c>
      <c r="AA1069" s="1596">
        <f>FISCinyear!HX747</f>
        <v>0</v>
      </c>
      <c r="AB1069" s="1596">
        <f>FISCinyear!IA747</f>
        <v>35.093612473178922</v>
      </c>
      <c r="AC1069" s="1596">
        <f>FISCinyear!ID747</f>
        <v>35.093612473178922</v>
      </c>
      <c r="AD1069" s="1596">
        <f>FISCinyear!IG747</f>
        <v>8.4098652900000008</v>
      </c>
      <c r="AE1069" s="1596">
        <f>FISCinyear!IJ747</f>
        <v>19.975779267939984</v>
      </c>
      <c r="AF1069" s="1596">
        <f>FISCinyear!IM747</f>
        <v>29.170397677880317</v>
      </c>
      <c r="AG1069" s="1596">
        <f>FISCinyear!IP747</f>
        <v>36.726644461011233</v>
      </c>
      <c r="AH1069" s="1596">
        <f>FISCinyear!IS747</f>
        <v>64.927330211698447</v>
      </c>
      <c r="AI1069" s="1596">
        <f>FISCinyear!IV747</f>
        <v>40.193787316184228</v>
      </c>
      <c r="AJ1069" s="399">
        <f t="shared" ref="AJ1069:AT1069" si="1340">AJ546*AJ404</f>
        <v>36.821955189717301</v>
      </c>
      <c r="AK1069" s="399">
        <f t="shared" si="1340"/>
        <v>41.790921647959763</v>
      </c>
      <c r="AL1069" s="399">
        <f t="shared" si="1340"/>
        <v>46.634480604139689</v>
      </c>
      <c r="AM1069" s="399">
        <f t="shared" si="1340"/>
        <v>52.306451580951503</v>
      </c>
      <c r="AN1069" s="399">
        <f t="shared" si="1340"/>
        <v>55.436043478886219</v>
      </c>
      <c r="AO1069" s="399">
        <f t="shared" si="1340"/>
        <v>58.565635376820964</v>
      </c>
      <c r="AP1069" s="399">
        <f t="shared" si="1340"/>
        <v>54.786271665167931</v>
      </c>
      <c r="AQ1069" s="399">
        <f t="shared" si="1340"/>
        <v>49.660113640685132</v>
      </c>
      <c r="AR1069" s="399">
        <f t="shared" si="1340"/>
        <v>57.20733144094325</v>
      </c>
      <c r="AS1069" s="399">
        <f t="shared" si="1340"/>
        <v>-47.157586984743432</v>
      </c>
      <c r="AT1069" s="399">
        <f t="shared" si="1340"/>
        <v>-115.30111325618699</v>
      </c>
      <c r="AV1069" s="2168"/>
      <c r="AW1069" s="2168"/>
      <c r="AX1069" s="2168"/>
      <c r="AY1069" s="2168"/>
      <c r="AZ1069" s="2168"/>
      <c r="BA1069" s="2168"/>
      <c r="BB1069" s="2168"/>
      <c r="BC1069" s="2168"/>
      <c r="BD1069" s="2168"/>
      <c r="BE1069" s="2168"/>
      <c r="BF1069" s="2168"/>
      <c r="BG1069" s="2168"/>
      <c r="BH1069" s="2167"/>
    </row>
    <row r="1070" spans="1:60" ht="14.25" customHeight="1">
      <c r="A1070" s="1"/>
      <c r="B1070" s="1"/>
      <c r="C1070" s="1"/>
      <c r="D1070" s="1603" t="s">
        <v>3130</v>
      </c>
      <c r="E1070" s="513"/>
      <c r="F1070" s="513"/>
      <c r="G1070" s="513"/>
      <c r="H1070" s="513"/>
      <c r="I1070" s="513"/>
      <c r="J1070" s="513"/>
      <c r="K1070" s="513"/>
      <c r="L1070" s="513"/>
      <c r="M1070" s="513"/>
      <c r="N1070" s="513"/>
      <c r="O1070" s="513"/>
      <c r="P1070" s="513"/>
      <c r="Q1070" s="513"/>
      <c r="R1070" s="513"/>
      <c r="S1070" s="513"/>
      <c r="T1070" s="513"/>
      <c r="U1070" s="513"/>
      <c r="V1070" s="989">
        <v>0</v>
      </c>
      <c r="W1070" s="989">
        <v>0</v>
      </c>
      <c r="X1070" s="989">
        <v>0</v>
      </c>
      <c r="Y1070" s="989">
        <v>0</v>
      </c>
      <c r="Z1070" s="989">
        <v>0</v>
      </c>
      <c r="AA1070" s="989">
        <v>0</v>
      </c>
      <c r="AB1070" s="989">
        <v>0</v>
      </c>
      <c r="AC1070" s="989">
        <v>0</v>
      </c>
      <c r="AD1070" s="989">
        <v>0</v>
      </c>
      <c r="AE1070" s="989">
        <v>0</v>
      </c>
      <c r="AF1070" s="989">
        <f>FISCinyear!IM748</f>
        <v>6.3</v>
      </c>
      <c r="AG1070" s="989">
        <f>FISCinyear!IP748</f>
        <v>16.836645441000002</v>
      </c>
      <c r="AH1070" s="989">
        <f>FISCinyear!IS748</f>
        <v>23.225637565</v>
      </c>
      <c r="AI1070" s="989">
        <f>FISCinyear!IV748</f>
        <v>28.055101799999999</v>
      </c>
      <c r="AJ1070" s="1904">
        <v>26.011753918</v>
      </c>
      <c r="AK1070" s="1904">
        <v>29.065873368999998</v>
      </c>
      <c r="AL1070" s="989">
        <v>31.859875281000001</v>
      </c>
      <c r="AM1070" s="989">
        <v>34.653877193</v>
      </c>
      <c r="AN1070" s="989">
        <v>37.447879104999998</v>
      </c>
      <c r="AO1070" s="989">
        <v>40.241881016999997</v>
      </c>
      <c r="AP1070" s="989">
        <v>27.609294142698928</v>
      </c>
      <c r="AQ1070" s="989">
        <v>27.609294142698928</v>
      </c>
      <c r="AR1070" s="989">
        <v>27.609294142698928</v>
      </c>
      <c r="AS1070" s="989">
        <v>27.609294142698928</v>
      </c>
      <c r="AT1070" s="989">
        <v>27.609294142698928</v>
      </c>
      <c r="AV1070" s="2168"/>
      <c r="AW1070" s="2168"/>
      <c r="AX1070" s="2168"/>
      <c r="AY1070" s="2168"/>
      <c r="AZ1070" s="2168"/>
      <c r="BA1070" s="2168"/>
      <c r="BB1070" s="2168"/>
      <c r="BC1070" s="2168"/>
      <c r="BD1070" s="2168"/>
      <c r="BE1070" s="2168"/>
      <c r="BF1070" s="2168"/>
      <c r="BG1070" s="2168"/>
      <c r="BH1070" s="2167"/>
    </row>
    <row r="1071" spans="1:60">
      <c r="A1071" s="1"/>
      <c r="B1071" s="1"/>
      <c r="C1071" s="1"/>
      <c r="D1071" s="1679" t="s">
        <v>3230</v>
      </c>
      <c r="E1071" s="513"/>
      <c r="F1071" s="513"/>
      <c r="G1071" s="513"/>
      <c r="H1071" s="513"/>
      <c r="I1071" s="513"/>
      <c r="J1071" s="513"/>
      <c r="K1071" s="513"/>
      <c r="L1071" s="513"/>
      <c r="M1071" s="513"/>
      <c r="N1071" s="513"/>
      <c r="O1071" s="513"/>
      <c r="P1071" s="513"/>
      <c r="Q1071" s="513"/>
      <c r="R1071" s="513"/>
      <c r="S1071" s="513"/>
      <c r="T1071" s="513"/>
      <c r="U1071" s="513"/>
      <c r="V1071" s="399">
        <v>0</v>
      </c>
      <c r="W1071" s="399">
        <v>0</v>
      </c>
      <c r="X1071" s="399">
        <v>0</v>
      </c>
      <c r="Y1071" s="1596">
        <f>FISCinyear!HR749</f>
        <v>0</v>
      </c>
      <c r="Z1071" s="1596">
        <f>FISCinyear!HU749</f>
        <v>0</v>
      </c>
      <c r="AA1071" s="1596">
        <f>FISCinyear!HX749</f>
        <v>0</v>
      </c>
      <c r="AB1071" s="1596">
        <f>FISCinyear!IA749</f>
        <v>0</v>
      </c>
      <c r="AC1071" s="1596">
        <f>FISCinyear!ID749</f>
        <v>0</v>
      </c>
      <c r="AD1071" s="1596">
        <f>FISCinyear!IG749</f>
        <v>0</v>
      </c>
      <c r="AE1071" s="399">
        <f>AE1072+AE1073</f>
        <v>10.128484124760766</v>
      </c>
      <c r="AF1071" s="399">
        <f>FISCinyear!IM749</f>
        <v>35.304824174474774</v>
      </c>
      <c r="AG1071" s="399">
        <f>FISCinyear!IP749</f>
        <v>22.485862421</v>
      </c>
      <c r="AH1071" s="399">
        <f>FISCinyear!IS749</f>
        <v>0</v>
      </c>
      <c r="AI1071" s="399">
        <f>FISCinyear!IV749</f>
        <v>0</v>
      </c>
      <c r="AJ1071" s="399">
        <f t="shared" ref="AJ1071:AM1071" si="1341">AJ1072+AJ1073</f>
        <v>52.070578646999998</v>
      </c>
      <c r="AK1071" s="399">
        <f t="shared" si="1341"/>
        <v>0</v>
      </c>
      <c r="AL1071" s="399">
        <f t="shared" si="1341"/>
        <v>0</v>
      </c>
      <c r="AM1071" s="399">
        <f t="shared" si="1341"/>
        <v>0</v>
      </c>
      <c r="AN1071" s="399">
        <f t="shared" ref="AN1071:AO1071" si="1342">AN1072+AN1073</f>
        <v>0</v>
      </c>
      <c r="AO1071" s="399">
        <f t="shared" si="1342"/>
        <v>0</v>
      </c>
      <c r="AP1071" s="399">
        <f t="shared" ref="AP1071:AT1071" si="1343">AP1072+AP1073</f>
        <v>0</v>
      </c>
      <c r="AQ1071" s="399">
        <f t="shared" si="1343"/>
        <v>0</v>
      </c>
      <c r="AR1071" s="399">
        <f t="shared" si="1343"/>
        <v>0</v>
      </c>
      <c r="AS1071" s="399">
        <f t="shared" si="1343"/>
        <v>0</v>
      </c>
      <c r="AT1071" s="399">
        <f t="shared" si="1343"/>
        <v>0</v>
      </c>
      <c r="AV1071" s="2168"/>
      <c r="AW1071" s="2168"/>
      <c r="AX1071" s="2168"/>
      <c r="AY1071" s="2168"/>
      <c r="AZ1071" s="2168"/>
      <c r="BA1071" s="2168"/>
      <c r="BB1071" s="2168"/>
      <c r="BC1071" s="2168"/>
      <c r="BD1071" s="2168"/>
      <c r="BE1071" s="2168"/>
      <c r="BF1071" s="2168"/>
      <c r="BG1071" s="2168"/>
      <c r="BH1071" s="2167"/>
    </row>
    <row r="1072" spans="1:60">
      <c r="A1072" s="1"/>
      <c r="B1072" s="1"/>
      <c r="C1072" s="1"/>
      <c r="D1072" s="383" t="s">
        <v>538</v>
      </c>
      <c r="E1072" s="346"/>
      <c r="F1072" s="346"/>
      <c r="G1072" s="346"/>
      <c r="H1072" s="346"/>
      <c r="I1072" s="346"/>
      <c r="J1072" s="346"/>
      <c r="K1072" s="346"/>
      <c r="L1072" s="346"/>
      <c r="M1072" s="346"/>
      <c r="N1072" s="346"/>
      <c r="O1072" s="346"/>
      <c r="P1072" s="346"/>
      <c r="Q1072" s="346"/>
      <c r="R1072" s="346"/>
      <c r="S1072" s="346"/>
      <c r="T1072" s="346"/>
      <c r="U1072" s="346"/>
      <c r="V1072" s="126">
        <v>0</v>
      </c>
      <c r="W1072" s="126">
        <v>0</v>
      </c>
      <c r="X1072" s="126">
        <v>0</v>
      </c>
      <c r="Y1072" s="707">
        <f>FISCinyear!HR750</f>
        <v>0</v>
      </c>
      <c r="Z1072" s="707">
        <f>FISCinyear!HU750</f>
        <v>0</v>
      </c>
      <c r="AA1072" s="707">
        <f>FISCinyear!HX750</f>
        <v>0</v>
      </c>
      <c r="AB1072" s="707">
        <f>FISCinyear!IA750</f>
        <v>0</v>
      </c>
      <c r="AC1072" s="707">
        <f>FISCinyear!ID750</f>
        <v>0</v>
      </c>
      <c r="AD1072" s="707">
        <f>FISCinyear!IG750</f>
        <v>0</v>
      </c>
      <c r="AE1072" s="126">
        <f>AD1072</f>
        <v>0</v>
      </c>
      <c r="AF1072" s="126">
        <f>FISCinyear!IM750</f>
        <v>0</v>
      </c>
      <c r="AG1072" s="126">
        <f>FISCinyear!IP750</f>
        <v>0</v>
      </c>
      <c r="AH1072" s="126">
        <f>FISCinyear!IS750</f>
        <v>0</v>
      </c>
      <c r="AI1072" s="126">
        <f>FISCinyear!IV750</f>
        <v>0</v>
      </c>
      <c r="AJ1072" s="126">
        <f>AI1072+((52070578647/1000000000))</f>
        <v>52.070578646999998</v>
      </c>
      <c r="AK1072" s="126">
        <v>0</v>
      </c>
      <c r="AL1072" s="126">
        <f t="shared" ref="AL1072:AM1072" si="1344">AK1072</f>
        <v>0</v>
      </c>
      <c r="AM1072" s="126">
        <f t="shared" si="1344"/>
        <v>0</v>
      </c>
      <c r="AN1072" s="126">
        <f t="shared" ref="AN1072" si="1345">AM1072</f>
        <v>0</v>
      </c>
      <c r="AO1072" s="126">
        <f t="shared" ref="AO1072" si="1346">AN1072</f>
        <v>0</v>
      </c>
      <c r="AP1072" s="126">
        <f t="shared" ref="AP1072" si="1347">AO1072</f>
        <v>0</v>
      </c>
      <c r="AQ1072" s="126">
        <f t="shared" ref="AQ1072" si="1348">AP1072</f>
        <v>0</v>
      </c>
      <c r="AR1072" s="126">
        <f t="shared" ref="AR1072" si="1349">AQ1072</f>
        <v>0</v>
      </c>
      <c r="AS1072" s="126">
        <f t="shared" ref="AS1072" si="1350">AR1072</f>
        <v>0</v>
      </c>
      <c r="AT1072" s="126">
        <f t="shared" ref="AT1072" si="1351">AS1072</f>
        <v>0</v>
      </c>
      <c r="AV1072" s="2168"/>
      <c r="AW1072" s="2168"/>
      <c r="AX1072" s="2168"/>
      <c r="AY1072" s="2168"/>
      <c r="AZ1072" s="2168"/>
      <c r="BA1072" s="2168"/>
      <c r="BB1072" s="2168"/>
      <c r="BC1072" s="2168"/>
      <c r="BD1072" s="2168"/>
      <c r="BE1072" s="2168"/>
      <c r="BF1072" s="2168"/>
      <c r="BG1072" s="2168"/>
      <c r="BH1072" s="2167"/>
    </row>
    <row r="1073" spans="1:60">
      <c r="A1073" s="1"/>
      <c r="B1073" s="1"/>
      <c r="C1073" s="1"/>
      <c r="D1073" s="383" t="s">
        <v>539</v>
      </c>
      <c r="E1073" s="346"/>
      <c r="F1073" s="346"/>
      <c r="G1073" s="346"/>
      <c r="H1073" s="346"/>
      <c r="I1073" s="346"/>
      <c r="J1073" s="346"/>
      <c r="K1073" s="346"/>
      <c r="L1073" s="346"/>
      <c r="M1073" s="346"/>
      <c r="N1073" s="346"/>
      <c r="O1073" s="346"/>
      <c r="P1073" s="346"/>
      <c r="Q1073" s="346"/>
      <c r="R1073" s="346"/>
      <c r="S1073" s="346"/>
      <c r="T1073" s="346"/>
      <c r="U1073" s="346"/>
      <c r="V1073" s="126">
        <v>0</v>
      </c>
      <c r="W1073" s="126">
        <v>0</v>
      </c>
      <c r="X1073" s="126">
        <v>0</v>
      </c>
      <c r="Y1073" s="707">
        <f>FISCinyear!HR751</f>
        <v>0</v>
      </c>
      <c r="Z1073" s="707">
        <f>FISCinyear!HU751</f>
        <v>0</v>
      </c>
      <c r="AA1073" s="707">
        <f>FISCinyear!HX751</f>
        <v>0</v>
      </c>
      <c r="AB1073" s="707">
        <f>FISCinyear!IA751</f>
        <v>0</v>
      </c>
      <c r="AC1073" s="707">
        <f>FISCinyear!ID751</f>
        <v>0</v>
      </c>
      <c r="AD1073" s="707">
        <f>FISCinyear!IG751</f>
        <v>0</v>
      </c>
      <c r="AE1073" s="126">
        <f>AE1074</f>
        <v>10.128484124760766</v>
      </c>
      <c r="AF1073" s="126">
        <f>FISCinyear!IM751</f>
        <v>35.304824174474774</v>
      </c>
      <c r="AG1073" s="126">
        <f>FISCinyear!IP751</f>
        <v>22.485862421</v>
      </c>
      <c r="AH1073" s="126">
        <f>FISCinyear!IS751</f>
        <v>0</v>
      </c>
      <c r="AI1073" s="126">
        <f>FISCinyear!IV751</f>
        <v>0</v>
      </c>
      <c r="AJ1073" s="126">
        <v>0</v>
      </c>
      <c r="AK1073" s="126">
        <v>0</v>
      </c>
      <c r="AL1073" s="126">
        <v>0</v>
      </c>
      <c r="AM1073" s="126">
        <v>0</v>
      </c>
      <c r="AN1073" s="126">
        <v>0</v>
      </c>
      <c r="AO1073" s="126">
        <v>0</v>
      </c>
      <c r="AP1073" s="126">
        <v>0</v>
      </c>
      <c r="AQ1073" s="126">
        <v>0</v>
      </c>
      <c r="AR1073" s="126">
        <v>0</v>
      </c>
      <c r="AS1073" s="126">
        <v>0</v>
      </c>
      <c r="AT1073" s="126">
        <v>0</v>
      </c>
      <c r="AV1073" s="2168"/>
      <c r="AW1073" s="2168"/>
      <c r="AX1073" s="2168"/>
      <c r="AY1073" s="2168"/>
      <c r="AZ1073" s="2168"/>
      <c r="BA1073" s="2168"/>
      <c r="BB1073" s="2168"/>
      <c r="BC1073" s="2168"/>
      <c r="BD1073" s="2168"/>
      <c r="BE1073" s="2168"/>
      <c r="BF1073" s="2168"/>
      <c r="BG1073" s="2168"/>
      <c r="BH1073" s="2167"/>
    </row>
    <row r="1074" spans="1:60">
      <c r="A1074" s="1"/>
      <c r="B1074" s="1"/>
      <c r="C1074" s="1"/>
      <c r="D1074" s="1604" t="s">
        <v>3188</v>
      </c>
      <c r="E1074" s="346"/>
      <c r="F1074" s="346"/>
      <c r="G1074" s="346"/>
      <c r="H1074" s="346"/>
      <c r="I1074" s="346"/>
      <c r="J1074" s="346"/>
      <c r="K1074" s="346"/>
      <c r="L1074" s="346"/>
      <c r="M1074" s="346"/>
      <c r="N1074" s="346"/>
      <c r="O1074" s="346"/>
      <c r="P1074" s="346"/>
      <c r="Q1074" s="346"/>
      <c r="R1074" s="346"/>
      <c r="S1074" s="346"/>
      <c r="T1074" s="346"/>
      <c r="U1074" s="346"/>
      <c r="V1074" s="126"/>
      <c r="W1074" s="126"/>
      <c r="X1074" s="126"/>
      <c r="Y1074" s="707"/>
      <c r="Z1074" s="707"/>
      <c r="AA1074" s="707"/>
      <c r="AB1074" s="707"/>
      <c r="AC1074" s="707"/>
      <c r="AD1074" s="707"/>
      <c r="AE1074" s="1652">
        <f>AE586*AE253/1000</f>
        <v>10.128484124760766</v>
      </c>
      <c r="AF1074" s="126">
        <f>FISCinyear!IM752</f>
        <v>0</v>
      </c>
      <c r="AG1074" s="126">
        <f>FISCinyear!IP752</f>
        <v>22.485862421</v>
      </c>
      <c r="AH1074" s="126">
        <f>FISCinyear!IS752</f>
        <v>0</v>
      </c>
      <c r="AI1074" s="126">
        <f>FISCinyear!IV752</f>
        <v>0</v>
      </c>
      <c r="AJ1074" s="126">
        <v>0</v>
      </c>
      <c r="AK1074" s="126">
        <v>0</v>
      </c>
      <c r="AL1074" s="126">
        <v>0</v>
      </c>
      <c r="AM1074" s="126">
        <v>0</v>
      </c>
      <c r="AN1074" s="126">
        <v>0</v>
      </c>
      <c r="AO1074" s="126">
        <v>0</v>
      </c>
      <c r="AP1074" s="126">
        <v>0</v>
      </c>
      <c r="AQ1074" s="126">
        <v>0</v>
      </c>
      <c r="AR1074" s="126">
        <v>0</v>
      </c>
      <c r="AS1074" s="126">
        <v>0</v>
      </c>
      <c r="AT1074" s="126">
        <v>0</v>
      </c>
      <c r="AV1074" s="2168"/>
      <c r="AW1074" s="2168"/>
      <c r="AX1074" s="2168"/>
      <c r="AY1074" s="2168"/>
      <c r="AZ1074" s="2168"/>
      <c r="BA1074" s="2168"/>
      <c r="BB1074" s="2168"/>
      <c r="BC1074" s="2168"/>
      <c r="BD1074" s="2168"/>
      <c r="BE1074" s="2168"/>
      <c r="BF1074" s="2168"/>
      <c r="BG1074" s="2168"/>
      <c r="BH1074" s="2167"/>
    </row>
    <row r="1075" spans="1:60">
      <c r="A1075" s="1"/>
      <c r="B1075" s="1"/>
      <c r="C1075" s="1"/>
      <c r="D1075" s="1679" t="s">
        <v>3231</v>
      </c>
      <c r="E1075" s="513"/>
      <c r="F1075" s="513"/>
      <c r="G1075" s="513"/>
      <c r="H1075" s="513"/>
      <c r="I1075" s="513"/>
      <c r="J1075" s="513"/>
      <c r="K1075" s="513"/>
      <c r="L1075" s="513"/>
      <c r="M1075" s="513"/>
      <c r="N1075" s="513"/>
      <c r="O1075" s="513"/>
      <c r="P1075" s="513"/>
      <c r="Q1075" s="513"/>
      <c r="R1075" s="513"/>
      <c r="S1075" s="513"/>
      <c r="T1075" s="513"/>
      <c r="U1075" s="513"/>
      <c r="V1075" s="399">
        <v>0</v>
      </c>
      <c r="W1075" s="399">
        <v>0</v>
      </c>
      <c r="X1075" s="399">
        <v>0</v>
      </c>
      <c r="Y1075" s="1596">
        <f>FISCinyear!HR753</f>
        <v>4.2203081299999994</v>
      </c>
      <c r="Z1075" s="1596">
        <f>FISCinyear!HU753</f>
        <v>5.0660000000000007</v>
      </c>
      <c r="AA1075" s="1596">
        <f>FISCinyear!HX753</f>
        <v>5.6280000000000001</v>
      </c>
      <c r="AB1075" s="1596">
        <f>FISCinyear!IA753</f>
        <v>0</v>
      </c>
      <c r="AC1075" s="1596">
        <f>FISCinyear!ID753</f>
        <v>0</v>
      </c>
      <c r="AD1075" s="1596">
        <f>FISCinyear!IG753</f>
        <v>0</v>
      </c>
      <c r="AE1075" s="1596">
        <f>FISCinyear!IJ753</f>
        <v>0</v>
      </c>
      <c r="AF1075" s="1596">
        <f>FISCinyear!IM753</f>
        <v>0</v>
      </c>
      <c r="AG1075" s="1596">
        <f>FISCinyear!IP753</f>
        <v>0</v>
      </c>
      <c r="AH1075" s="1596">
        <f>FISCinyear!IS753</f>
        <v>0</v>
      </c>
      <c r="AI1075" s="1596">
        <f>FISCinyear!IV753</f>
        <v>0</v>
      </c>
      <c r="AJ1075" s="399">
        <f>0</f>
        <v>0</v>
      </c>
      <c r="AK1075" s="399">
        <v>0</v>
      </c>
      <c r="AL1075" s="399">
        <f t="shared" ref="AL1075:AM1075" si="1352">AK1075</f>
        <v>0</v>
      </c>
      <c r="AM1075" s="399">
        <f t="shared" si="1352"/>
        <v>0</v>
      </c>
      <c r="AN1075" s="399">
        <f t="shared" ref="AN1075" si="1353">AM1075</f>
        <v>0</v>
      </c>
      <c r="AO1075" s="399">
        <f t="shared" ref="AO1075" si="1354">AN1075</f>
        <v>0</v>
      </c>
      <c r="AP1075" s="399">
        <f t="shared" ref="AP1075" si="1355">AO1075</f>
        <v>0</v>
      </c>
      <c r="AQ1075" s="399">
        <f t="shared" ref="AQ1075" si="1356">AP1075</f>
        <v>0</v>
      </c>
      <c r="AR1075" s="399">
        <f t="shared" ref="AR1075" si="1357">AQ1075</f>
        <v>0</v>
      </c>
      <c r="AS1075" s="399">
        <f t="shared" ref="AS1075" si="1358">AR1075</f>
        <v>0</v>
      </c>
      <c r="AT1075" s="399">
        <f t="shared" ref="AT1075" si="1359">AS1075</f>
        <v>0</v>
      </c>
      <c r="AV1075" s="2168"/>
      <c r="AW1075" s="2168"/>
      <c r="AX1075" s="2168"/>
      <c r="AY1075" s="2168"/>
      <c r="AZ1075" s="2168"/>
      <c r="BA1075" s="2168"/>
      <c r="BB1075" s="2168"/>
      <c r="BC1075" s="2168"/>
      <c r="BD1075" s="2168"/>
      <c r="BE1075" s="2168"/>
      <c r="BF1075" s="2168"/>
      <c r="BG1075" s="2168"/>
      <c r="BH1075" s="2167"/>
    </row>
    <row r="1076" spans="1:60">
      <c r="A1076" s="1"/>
      <c r="B1076" s="1"/>
      <c r="C1076" s="1"/>
      <c r="D1076" s="379" t="str">
        <f>+FISCinyear!D754</f>
        <v xml:space="preserve">EXPENSE </v>
      </c>
      <c r="E1076" s="513"/>
      <c r="F1076" s="513"/>
      <c r="G1076" s="513"/>
      <c r="H1076" s="513"/>
      <c r="I1076" s="513"/>
      <c r="J1076" s="513"/>
      <c r="K1076" s="513"/>
      <c r="L1076" s="513"/>
      <c r="M1076" s="513"/>
      <c r="N1076" s="513"/>
      <c r="O1076" s="513"/>
      <c r="P1076" s="513"/>
      <c r="Q1076" s="513"/>
      <c r="R1076" s="513"/>
      <c r="S1076" s="513"/>
      <c r="T1076" s="513"/>
      <c r="U1076" s="513"/>
      <c r="V1076" s="399">
        <f>+V1077+V1079+V1095+V1103+V1111</f>
        <v>511.39571000000001</v>
      </c>
      <c r="W1076" s="399">
        <f>+W1077+W1079+W1095+W1103+W1111</f>
        <v>614.1</v>
      </c>
      <c r="X1076" s="399">
        <f>+X1077+X1079+X1095+X1103+X1111</f>
        <v>660.90000000000009</v>
      </c>
      <c r="Y1076" s="1596">
        <f>FISCinyear!HR754</f>
        <v>903.06533710626275</v>
      </c>
      <c r="Z1076" s="1596">
        <f>FISCinyear!HU754</f>
        <v>987.20422279108391</v>
      </c>
      <c r="AA1076" s="1596">
        <f>FISCinyear!HX754</f>
        <v>1146.9565422527439</v>
      </c>
      <c r="AB1076" s="1596">
        <f>FISCinyear!IA754</f>
        <v>1323.4574341216144</v>
      </c>
      <c r="AC1076" s="1596">
        <f>FISCinyear!ID754</f>
        <v>1436.9221960448904</v>
      </c>
      <c r="AD1076" s="1596">
        <f>FISCinyear!IG754</f>
        <v>1666.8635925906065</v>
      </c>
      <c r="AE1076" s="1596">
        <f>FISCinyear!IJ754</f>
        <v>1901.1315501950596</v>
      </c>
      <c r="AF1076" s="1596">
        <f>FISCinyear!IM754</f>
        <v>2089.3574379793054</v>
      </c>
      <c r="AG1076" s="1596">
        <f>FISCinyear!IP754</f>
        <v>2467.9009633912874</v>
      </c>
      <c r="AH1076" s="399">
        <f t="shared" ref="AH1076:AT1076" si="1360">+AH1077+AH1079+AH1095+AH1103+AH1111+AH1127+AH1129</f>
        <v>2856.6946330541014</v>
      </c>
      <c r="AI1076" s="399">
        <f t="shared" si="1360"/>
        <v>3172.9419577729877</v>
      </c>
      <c r="AJ1076" s="399">
        <f t="shared" si="1360"/>
        <v>3549.5443813801176</v>
      </c>
      <c r="AK1076" s="399">
        <f t="shared" si="1360"/>
        <v>4039.902522731179</v>
      </c>
      <c r="AL1076" s="399">
        <f t="shared" si="1360"/>
        <v>4361.4327087884567</v>
      </c>
      <c r="AM1076" s="399">
        <f t="shared" si="1360"/>
        <v>4968.1485965831152</v>
      </c>
      <c r="AN1076" s="399">
        <f t="shared" si="1360"/>
        <v>5509.2379377663965</v>
      </c>
      <c r="AO1076" s="399">
        <f t="shared" si="1360"/>
        <v>6280.1047110884228</v>
      </c>
      <c r="AP1076" s="399">
        <f t="shared" si="1360"/>
        <v>6713.5750578588313</v>
      </c>
      <c r="AQ1076" s="399">
        <f t="shared" si="1360"/>
        <v>7081.4724231103564</v>
      </c>
      <c r="AR1076" s="399">
        <f t="shared" si="1360"/>
        <v>7975.8281137256936</v>
      </c>
      <c r="AS1076" s="399">
        <f t="shared" si="1360"/>
        <v>4358.7627355285558</v>
      </c>
      <c r="AT1076" s="399">
        <f t="shared" si="1360"/>
        <v>4558.7497992580666</v>
      </c>
      <c r="AU1076" s="1241"/>
      <c r="AV1076" s="2168"/>
      <c r="AW1076" s="2168"/>
      <c r="AX1076" s="2168"/>
      <c r="AY1076" s="2168"/>
      <c r="AZ1076" s="2168"/>
      <c r="BA1076" s="2168"/>
      <c r="BB1076" s="2168"/>
      <c r="BC1076" s="2168"/>
      <c r="BD1076" s="2168"/>
      <c r="BE1076" s="2168"/>
      <c r="BF1076" s="2168"/>
      <c r="BG1076" s="2168"/>
      <c r="BH1076" s="2167"/>
    </row>
    <row r="1077" spans="1:60">
      <c r="A1077" s="1"/>
      <c r="B1077" s="1"/>
      <c r="C1077" s="1"/>
      <c r="D1077" s="380" t="str">
        <f>+FISCinyear!D755</f>
        <v xml:space="preserve">Compensation of employees </v>
      </c>
      <c r="E1077" s="346"/>
      <c r="F1077" s="346"/>
      <c r="G1077" s="346"/>
      <c r="H1077" s="346"/>
      <c r="I1077" s="346"/>
      <c r="J1077" s="346"/>
      <c r="K1077" s="346"/>
      <c r="L1077" s="346"/>
      <c r="M1077" s="346"/>
      <c r="N1077" s="346"/>
      <c r="O1077" s="346"/>
      <c r="P1077" s="346"/>
      <c r="Q1077" s="346"/>
      <c r="R1077" s="346"/>
      <c r="S1077" s="346"/>
      <c r="T1077" s="346"/>
      <c r="U1077" s="346">
        <v>0</v>
      </c>
      <c r="V1077" s="126">
        <f>+V717+V744</f>
        <v>180.32915428176796</v>
      </c>
      <c r="W1077" s="126">
        <f>+W717+W744</f>
        <v>214</v>
      </c>
      <c r="X1077" s="126">
        <f>+X717+X744</f>
        <v>258.5</v>
      </c>
      <c r="Y1077" s="1609">
        <f>FISCinyear!HR755</f>
        <v>177.309138545</v>
      </c>
      <c r="Z1077" s="707">
        <f>FISCinyear!HU755</f>
        <v>187.50813387599999</v>
      </c>
      <c r="AA1077" s="707">
        <f>FISCinyear!HX755</f>
        <v>214.76086487499998</v>
      </c>
      <c r="AB1077" s="707">
        <f>FISCinyear!IA755</f>
        <v>236.99999213499999</v>
      </c>
      <c r="AC1077" s="707">
        <f>FISCinyear!ID755</f>
        <v>251.71972672700002</v>
      </c>
      <c r="AD1077" s="1609">
        <f>FISCinyear!IG755</f>
        <v>241.88892202</v>
      </c>
      <c r="AE1077" s="707">
        <f>FISCinyear!IJ755</f>
        <v>266.32706490700002</v>
      </c>
      <c r="AF1077" s="707">
        <f>FISCinyear!IM755</f>
        <v>302.26335928600002</v>
      </c>
      <c r="AG1077" s="707">
        <f>FISCinyear!IP755</f>
        <v>317.73342893999995</v>
      </c>
      <c r="AH1077" s="707">
        <f>FISCinyear!IS755</f>
        <v>367.71383238600004</v>
      </c>
      <c r="AI1077" s="707">
        <f>FISCinyear!IV755</f>
        <v>467.40752950900003</v>
      </c>
      <c r="AJ1077" s="126">
        <f>AI1077*(1+AJ592)+18.4458834097047</f>
        <v>568.61029605741351</v>
      </c>
      <c r="AK1077" s="126">
        <f>(AJ1077-18.4458834097047)*(1+AK592)+36.8917668194093</f>
        <v>672.6705647057039</v>
      </c>
      <c r="AL1077" s="126">
        <f>(AK1077-36.8917668194093)*(1+AL592)+43.0403946226442</f>
        <v>757.14714040853039</v>
      </c>
      <c r="AM1077" s="126">
        <f>(AL1077-43.0403946226442)*(1+AM592)+55.337650229114</f>
        <v>857.42234709582158</v>
      </c>
      <c r="AN1077" s="126">
        <f>(AM1077-55.337650229114)*(1+AN592)+67.6349058355838</f>
        <v>968.53643735626986</v>
      </c>
      <c r="AO1077" s="126">
        <f>(AN1077-67.6349058355838)*(1+AO592)+79.9321614420536</f>
        <v>1091.8247616460883</v>
      </c>
      <c r="AP1077" s="126">
        <f>(AO1077)*(1+AP592)</f>
        <v>1226.3375722808867</v>
      </c>
      <c r="AQ1077" s="126">
        <f t="shared" ref="AQ1077:AT1077" si="1361">(AP1077)*(1+AQ592)</f>
        <v>1377.4223611858922</v>
      </c>
      <c r="AR1077" s="126">
        <f t="shared" si="1361"/>
        <v>1547.1207960839945</v>
      </c>
      <c r="AS1077" s="126">
        <f t="shared" si="1361"/>
        <v>1737.726078161543</v>
      </c>
      <c r="AT1077" s="126">
        <f t="shared" si="1361"/>
        <v>1951.8139309910455</v>
      </c>
      <c r="AU1077" s="1241"/>
      <c r="AV1077" s="2168"/>
      <c r="AW1077" s="2168"/>
      <c r="AX1077" s="2168"/>
      <c r="AY1077" s="2168"/>
      <c r="AZ1077" s="2168"/>
      <c r="BA1077" s="2168"/>
      <c r="BB1077" s="2168"/>
      <c r="BC1077" s="2168"/>
      <c r="BD1077" s="2168"/>
      <c r="BE1077" s="2168"/>
      <c r="BF1077" s="2168"/>
      <c r="BG1077" s="2168"/>
      <c r="BH1077" s="2167"/>
    </row>
    <row r="1078" spans="1:60">
      <c r="A1078" s="1"/>
      <c r="B1078" s="1"/>
      <c r="C1078" s="1"/>
      <c r="D1078" s="1604" t="s">
        <v>3245</v>
      </c>
      <c r="E1078" s="346"/>
      <c r="F1078" s="346"/>
      <c r="G1078" s="346"/>
      <c r="H1078" s="346"/>
      <c r="I1078" s="346"/>
      <c r="J1078" s="346"/>
      <c r="K1078" s="346"/>
      <c r="L1078" s="346"/>
      <c r="M1078" s="346"/>
      <c r="N1078" s="346"/>
      <c r="O1078" s="346"/>
      <c r="P1078" s="346"/>
      <c r="Q1078" s="346"/>
      <c r="R1078" s="346"/>
      <c r="S1078" s="346"/>
      <c r="T1078" s="346"/>
      <c r="U1078" s="346"/>
      <c r="V1078" s="126"/>
      <c r="W1078" s="126"/>
      <c r="X1078" s="126"/>
      <c r="Y1078" s="1609"/>
      <c r="Z1078" s="707"/>
      <c r="AA1078" s="707"/>
      <c r="AB1078" s="707"/>
      <c r="AC1078" s="707"/>
      <c r="AD1078" s="1609"/>
      <c r="AE1078" s="707"/>
      <c r="AF1078" s="707">
        <f>FISCinyear!IM756</f>
        <v>30.456305773067402</v>
      </c>
      <c r="AG1078" s="707">
        <f>FISCinyear!IP756</f>
        <v>0</v>
      </c>
      <c r="AH1078" s="707">
        <f>FISCinyear!IS756</f>
        <v>0</v>
      </c>
      <c r="AI1078" s="707">
        <f>FISCinyear!IV756</f>
        <v>0</v>
      </c>
      <c r="AJ1078" s="126"/>
      <c r="AK1078" s="126"/>
      <c r="AL1078" s="126"/>
      <c r="AM1078" s="126"/>
      <c r="AN1078" s="126"/>
      <c r="AO1078" s="126"/>
      <c r="AP1078" s="126"/>
      <c r="AQ1078" s="126"/>
      <c r="AR1078" s="126"/>
      <c r="AS1078" s="126"/>
      <c r="AT1078" s="126"/>
      <c r="AU1078" s="1241"/>
      <c r="AV1078" s="2168"/>
      <c r="AW1078" s="2168"/>
      <c r="AX1078" s="2168"/>
      <c r="AY1078" s="2168"/>
      <c r="AZ1078" s="2168"/>
      <c r="BA1078" s="2168"/>
      <c r="BB1078" s="2168"/>
      <c r="BC1078" s="2168"/>
      <c r="BD1078" s="2168"/>
      <c r="BE1078" s="2168"/>
      <c r="BF1078" s="2168"/>
      <c r="BG1078" s="2168"/>
      <c r="BH1078" s="2167"/>
    </row>
    <row r="1079" spans="1:60">
      <c r="A1079" s="1"/>
      <c r="B1079" s="1"/>
      <c r="C1079" s="1"/>
      <c r="D1079" s="380" t="str">
        <f>+FISCinyear!D757</f>
        <v xml:space="preserve">Use of goods and services </v>
      </c>
      <c r="E1079" s="346"/>
      <c r="F1079" s="346"/>
      <c r="G1079" s="346"/>
      <c r="H1079" s="346"/>
      <c r="I1079" s="346"/>
      <c r="J1079" s="346"/>
      <c r="K1079" s="346"/>
      <c r="L1079" s="346"/>
      <c r="M1079" s="346"/>
      <c r="N1079" s="346"/>
      <c r="O1079" s="346"/>
      <c r="P1079" s="346"/>
      <c r="Q1079" s="346"/>
      <c r="R1079" s="346"/>
      <c r="S1079" s="346"/>
      <c r="T1079" s="346"/>
      <c r="U1079" s="346"/>
      <c r="V1079" s="126">
        <f>+V721+V746</f>
        <v>192.21753999999999</v>
      </c>
      <c r="W1079" s="126">
        <f>+W721+W746</f>
        <v>225.3</v>
      </c>
      <c r="X1079" s="126">
        <f>+X721+X746</f>
        <v>203.5</v>
      </c>
      <c r="Y1079" s="707">
        <f>FISCinyear!HR757</f>
        <v>278.613616374</v>
      </c>
      <c r="Z1079" s="707">
        <f>FISCinyear!HU757</f>
        <v>256.967540977</v>
      </c>
      <c r="AA1079" s="707">
        <f>FISCinyear!HX757</f>
        <v>329.76520424299997</v>
      </c>
      <c r="AB1079" s="707">
        <f>FISCinyear!IA757</f>
        <v>427.20220221199997</v>
      </c>
      <c r="AC1079" s="707">
        <f>FISCinyear!ID757</f>
        <v>442.45447598700002</v>
      </c>
      <c r="AD1079" s="707">
        <f>FISCinyear!IG757</f>
        <v>482.06752374844802</v>
      </c>
      <c r="AE1079" s="707">
        <f>FISCinyear!IJ757</f>
        <v>572.34668941100017</v>
      </c>
      <c r="AF1079" s="707">
        <f>FISCinyear!IM757</f>
        <v>623.976412063</v>
      </c>
      <c r="AG1079" s="707">
        <f>FISCinyear!IP757</f>
        <v>688.41308788700007</v>
      </c>
      <c r="AH1079" s="707">
        <f>FISCinyear!IS757</f>
        <v>743.2</v>
      </c>
      <c r="AI1079" s="707">
        <f>FISCinyear!IV757</f>
        <v>798.7</v>
      </c>
      <c r="AJ1079" s="126">
        <f>(AI1079-AI1092)*(1+AJ603)+AJ1090+AJ1092+AJ1080</f>
        <v>866.23772227569987</v>
      </c>
      <c r="AK1079" s="126">
        <f>(AJ1079-AJ1092-AJ1080)*(1+AK603)+AK1090+AK1092</f>
        <v>889.35801738094347</v>
      </c>
      <c r="AL1079" s="126">
        <f>(AK1079-AK1092)*(1+AL603)+AL1090+AL1092</f>
        <v>1000.2503833888859</v>
      </c>
      <c r="AM1079" s="126">
        <f>(AL1079-AL1092)*(1+AM603)+AM1090+AM1092</f>
        <v>1135.3467888454895</v>
      </c>
      <c r="AN1079" s="126">
        <f>(AM1079-AM1092)*(1+AN603)+AN1090+AN1092</f>
        <v>1274.6990500732081</v>
      </c>
      <c r="AO1079" s="126">
        <f>(AN1079-AN1092)*(1+AO603)+AO1090+AO1092</f>
        <v>1348.3682832845941</v>
      </c>
      <c r="AP1079" s="126">
        <f t="shared" ref="AP1079:AT1079" si="1362">(AO1079-AO1092)*(1+AP603)+AP1090+AP1092</f>
        <v>1367.2609466434556</v>
      </c>
      <c r="AQ1079" s="126">
        <f t="shared" si="1362"/>
        <v>1480.9402163696122</v>
      </c>
      <c r="AR1079" s="126">
        <f t="shared" si="1362"/>
        <v>1725.8163509780011</v>
      </c>
      <c r="AS1079" s="126">
        <f t="shared" si="1362"/>
        <v>608.99915257743328</v>
      </c>
      <c r="AT1079" s="126">
        <f t="shared" si="1362"/>
        <v>608.99915257743328</v>
      </c>
      <c r="AU1079" s="1241"/>
      <c r="AV1079" s="2168"/>
      <c r="AW1079" s="2168"/>
      <c r="AX1079" s="2168"/>
      <c r="AY1079" s="2168"/>
      <c r="AZ1079" s="2168"/>
      <c r="BA1079" s="2168"/>
      <c r="BB1079" s="2168"/>
      <c r="BC1079" s="2168"/>
      <c r="BD1079" s="2168"/>
      <c r="BE1079" s="2168"/>
      <c r="BF1079" s="2168"/>
      <c r="BG1079" s="2168"/>
      <c r="BH1079" s="2167"/>
    </row>
    <row r="1080" spans="1:60">
      <c r="A1080" s="1"/>
      <c r="B1080" s="1"/>
      <c r="C1080" s="1"/>
      <c r="D1080" s="1604" t="s">
        <v>3671</v>
      </c>
      <c r="E1080" s="346"/>
      <c r="F1080" s="346"/>
      <c r="G1080" s="346"/>
      <c r="H1080" s="346"/>
      <c r="I1080" s="346"/>
      <c r="J1080" s="346"/>
      <c r="K1080" s="346"/>
      <c r="L1080" s="346"/>
      <c r="M1080" s="346"/>
      <c r="N1080" s="346"/>
      <c r="O1080" s="346"/>
      <c r="P1080" s="346"/>
      <c r="Q1080" s="346"/>
      <c r="R1080" s="346"/>
      <c r="S1080" s="346"/>
      <c r="T1080" s="346"/>
      <c r="U1080" s="346"/>
      <c r="V1080" s="126"/>
      <c r="W1080" s="126"/>
      <c r="X1080" s="126"/>
      <c r="Y1080" s="707"/>
      <c r="Z1080" s="707"/>
      <c r="AA1080" s="707"/>
      <c r="AB1080" s="707"/>
      <c r="AC1080" s="707"/>
      <c r="AD1080" s="707"/>
      <c r="AE1080" s="707"/>
      <c r="AF1080" s="707"/>
      <c r="AG1080" s="707"/>
      <c r="AH1080" s="707"/>
      <c r="AI1080" s="707"/>
      <c r="AJ1080" s="126">
        <f>82.8</f>
        <v>82.8</v>
      </c>
      <c r="AK1080" s="126"/>
      <c r="AL1080" s="126"/>
      <c r="AM1080" s="126"/>
      <c r="AN1080" s="126"/>
      <c r="AO1080" s="126"/>
      <c r="AP1080" s="126"/>
      <c r="AQ1080" s="126"/>
      <c r="AR1080" s="126"/>
      <c r="AS1080" s="126"/>
      <c r="AT1080" s="126"/>
      <c r="AU1080" s="1241"/>
      <c r="AV1080" s="2168"/>
      <c r="AW1080" s="2168"/>
      <c r="AX1080" s="2168"/>
      <c r="AY1080" s="2168"/>
      <c r="AZ1080" s="2168"/>
      <c r="BA1080" s="2168"/>
      <c r="BB1080" s="2168"/>
      <c r="BC1080" s="2168"/>
      <c r="BD1080" s="2168"/>
      <c r="BE1080" s="2168"/>
      <c r="BF1080" s="2168"/>
      <c r="BG1080" s="2168"/>
      <c r="BH1080" s="2167"/>
    </row>
    <row r="1081" spans="1:60">
      <c r="A1081" s="1"/>
      <c r="B1081" s="1"/>
      <c r="C1081" s="1"/>
      <c r="D1081" s="1604" t="s">
        <v>3689</v>
      </c>
      <c r="E1081" s="346"/>
      <c r="F1081" s="346"/>
      <c r="G1081" s="346"/>
      <c r="H1081" s="346"/>
      <c r="I1081" s="346"/>
      <c r="J1081" s="346"/>
      <c r="K1081" s="346"/>
      <c r="L1081" s="346"/>
      <c r="M1081" s="346"/>
      <c r="N1081" s="346"/>
      <c r="O1081" s="346"/>
      <c r="P1081" s="346"/>
      <c r="Q1081" s="346"/>
      <c r="R1081" s="346"/>
      <c r="S1081" s="346"/>
      <c r="T1081" s="346"/>
      <c r="U1081" s="346"/>
      <c r="V1081" s="126"/>
      <c r="W1081" s="126"/>
      <c r="X1081" s="126"/>
      <c r="Y1081" s="707"/>
      <c r="Z1081" s="707"/>
      <c r="AA1081" s="707"/>
      <c r="AB1081" s="707"/>
      <c r="AC1081" s="707"/>
      <c r="AD1081" s="707"/>
      <c r="AE1081" s="707"/>
      <c r="AF1081" s="707"/>
      <c r="AG1081" s="707"/>
      <c r="AH1081" s="707"/>
      <c r="AI1081" s="707"/>
      <c r="AJ1081" s="126">
        <v>50</v>
      </c>
      <c r="AK1081" s="126">
        <v>0</v>
      </c>
      <c r="AL1081" s="126"/>
      <c r="AM1081" s="126"/>
      <c r="AN1081" s="126"/>
      <c r="AO1081" s="126"/>
      <c r="AP1081" s="126"/>
      <c r="AQ1081" s="126"/>
      <c r="AR1081" s="126"/>
      <c r="AS1081" s="126"/>
      <c r="AT1081" s="126"/>
      <c r="AU1081" s="1241"/>
      <c r="AV1081" s="2168"/>
      <c r="AW1081" s="2168"/>
      <c r="AX1081" s="2168"/>
      <c r="AY1081" s="2168"/>
      <c r="AZ1081" s="2168"/>
      <c r="BA1081" s="2168"/>
      <c r="BB1081" s="2168"/>
      <c r="BC1081" s="2168"/>
      <c r="BD1081" s="2168"/>
      <c r="BE1081" s="2168"/>
      <c r="BF1081" s="2168"/>
      <c r="BG1081" s="2168"/>
      <c r="BH1081" s="2167"/>
    </row>
    <row r="1082" spans="1:60">
      <c r="A1082" s="1"/>
      <c r="B1082" s="1"/>
      <c r="C1082" s="1"/>
      <c r="D1082" s="1604" t="s">
        <v>3191</v>
      </c>
      <c r="E1082" s="346"/>
      <c r="F1082" s="346"/>
      <c r="G1082" s="346"/>
      <c r="H1082" s="346"/>
      <c r="I1082" s="346"/>
      <c r="J1082" s="346"/>
      <c r="K1082" s="346"/>
      <c r="L1082" s="346"/>
      <c r="M1082" s="346"/>
      <c r="N1082" s="346"/>
      <c r="O1082" s="346"/>
      <c r="P1082" s="346"/>
      <c r="Q1082" s="346"/>
      <c r="R1082" s="346"/>
      <c r="S1082" s="346"/>
      <c r="T1082" s="346"/>
      <c r="U1082" s="346"/>
      <c r="V1082" s="126"/>
      <c r="W1082" s="126"/>
      <c r="X1082" s="126"/>
      <c r="Y1082" s="707"/>
      <c r="Z1082" s="707"/>
      <c r="AA1082" s="707"/>
      <c r="AB1082" s="707"/>
      <c r="AC1082" s="707"/>
      <c r="AD1082" s="707"/>
      <c r="AE1082" s="1701">
        <v>64.8</v>
      </c>
      <c r="AF1082" s="1701">
        <f>FISCinyear!IM760</f>
        <v>11.463177382</v>
      </c>
      <c r="AG1082" s="1701">
        <f>FISCinyear!IP760</f>
        <v>0</v>
      </c>
      <c r="AH1082" s="1701">
        <f>FISCinyear!IS760</f>
        <v>0</v>
      </c>
      <c r="AI1082" s="1701">
        <f>FISCinyear!IV760</f>
        <v>0</v>
      </c>
      <c r="AJ1082" s="1702">
        <v>0</v>
      </c>
      <c r="AK1082" s="1702"/>
      <c r="AL1082" s="1703"/>
      <c r="AM1082" s="1703"/>
      <c r="AN1082" s="1703"/>
      <c r="AO1082" s="1703"/>
      <c r="AP1082" s="1703"/>
      <c r="AQ1082" s="1703"/>
      <c r="AR1082" s="1703"/>
      <c r="AS1082" s="1703"/>
      <c r="AT1082" s="1703"/>
      <c r="AU1082" s="1241"/>
      <c r="AV1082" s="2168"/>
      <c r="AW1082" s="2168"/>
      <c r="AX1082" s="2168"/>
      <c r="AY1082" s="2168"/>
      <c r="AZ1082" s="2168"/>
      <c r="BA1082" s="2168"/>
      <c r="BB1082" s="2168"/>
      <c r="BC1082" s="2168"/>
      <c r="BD1082" s="2168"/>
      <c r="BE1082" s="2168"/>
      <c r="BF1082" s="2168"/>
      <c r="BG1082" s="2168"/>
      <c r="BH1082" s="2167"/>
    </row>
    <row r="1083" spans="1:60">
      <c r="A1083" s="1"/>
      <c r="B1083" s="1"/>
      <c r="C1083" s="1"/>
      <c r="D1083" s="1605" t="s">
        <v>3210</v>
      </c>
      <c r="E1083" s="346"/>
      <c r="F1083" s="346"/>
      <c r="G1083" s="346"/>
      <c r="H1083" s="346"/>
      <c r="I1083" s="346"/>
      <c r="J1083" s="346"/>
      <c r="K1083" s="346"/>
      <c r="L1083" s="346"/>
      <c r="M1083" s="346"/>
      <c r="N1083" s="346"/>
      <c r="O1083" s="346"/>
      <c r="P1083" s="346"/>
      <c r="Q1083" s="346"/>
      <c r="R1083" s="346"/>
      <c r="S1083" s="346"/>
      <c r="T1083" s="346"/>
      <c r="U1083" s="346"/>
      <c r="V1083" s="126"/>
      <c r="W1083" s="126"/>
      <c r="X1083" s="126"/>
      <c r="Y1083" s="707"/>
      <c r="Z1083" s="707"/>
      <c r="AA1083" s="707"/>
      <c r="AB1083" s="707"/>
      <c r="AC1083" s="707"/>
      <c r="AD1083" s="707"/>
      <c r="AE1083" s="1704"/>
      <c r="AF1083" s="1704">
        <f>FISCinyear!IM761</f>
        <v>0</v>
      </c>
      <c r="AG1083" s="1704">
        <f>FISCinyear!IP761</f>
        <v>0</v>
      </c>
      <c r="AH1083" s="1704">
        <f>FISCinyear!IS761</f>
        <v>0</v>
      </c>
      <c r="AI1083" s="1704">
        <f>FISCinyear!IV761</f>
        <v>0</v>
      </c>
      <c r="AJ1083" s="1705"/>
      <c r="AK1083" s="1705"/>
      <c r="AL1083" s="1706"/>
      <c r="AM1083" s="1706"/>
      <c r="AN1083" s="1706"/>
      <c r="AO1083" s="1706"/>
      <c r="AP1083" s="1706"/>
      <c r="AQ1083" s="1706"/>
      <c r="AR1083" s="1706"/>
      <c r="AS1083" s="1706"/>
      <c r="AT1083" s="1706"/>
      <c r="AU1083" s="1241"/>
      <c r="AV1083" s="2168"/>
      <c r="AW1083" s="2168"/>
      <c r="AX1083" s="2168"/>
      <c r="AY1083" s="2168"/>
      <c r="AZ1083" s="2168"/>
      <c r="BA1083" s="2168"/>
      <c r="BB1083" s="2168"/>
      <c r="BC1083" s="2168"/>
      <c r="BD1083" s="2168"/>
      <c r="BE1083" s="2168"/>
      <c r="BF1083" s="2168"/>
      <c r="BG1083" s="2168"/>
      <c r="BH1083" s="2167"/>
    </row>
    <row r="1084" spans="1:60">
      <c r="A1084" s="1"/>
      <c r="B1084" s="1"/>
      <c r="C1084" s="1"/>
      <c r="D1084" s="1604" t="s">
        <v>3192</v>
      </c>
      <c r="E1084" s="346"/>
      <c r="F1084" s="346"/>
      <c r="G1084" s="346"/>
      <c r="H1084" s="346"/>
      <c r="I1084" s="346"/>
      <c r="J1084" s="346"/>
      <c r="K1084" s="346"/>
      <c r="L1084" s="346"/>
      <c r="M1084" s="346"/>
      <c r="N1084" s="346"/>
      <c r="O1084" s="346"/>
      <c r="P1084" s="346"/>
      <c r="Q1084" s="346"/>
      <c r="R1084" s="346"/>
      <c r="S1084" s="346"/>
      <c r="T1084" s="346"/>
      <c r="U1084" s="346"/>
      <c r="V1084" s="126"/>
      <c r="W1084" s="126"/>
      <c r="X1084" s="126"/>
      <c r="Y1084" s="707"/>
      <c r="Z1084" s="707"/>
      <c r="AA1084" s="707"/>
      <c r="AB1084" s="707"/>
      <c r="AC1084" s="707"/>
      <c r="AD1084" s="707"/>
      <c r="AE1084" s="1608">
        <v>32.799999999999997</v>
      </c>
      <c r="AF1084" s="1608">
        <f>FISCinyear!IM762</f>
        <v>0</v>
      </c>
      <c r="AG1084" s="1608">
        <f>FISCinyear!IP762</f>
        <v>0</v>
      </c>
      <c r="AH1084" s="1608">
        <f>FISCinyear!IS762</f>
        <v>0</v>
      </c>
      <c r="AI1084" s="1608">
        <f>FISCinyear!IV762</f>
        <v>0</v>
      </c>
      <c r="AJ1084" s="989">
        <v>0</v>
      </c>
      <c r="AK1084" s="989"/>
      <c r="AL1084" s="126"/>
      <c r="AM1084" s="126"/>
      <c r="AN1084" s="126"/>
      <c r="AO1084" s="126"/>
      <c r="AP1084" s="126"/>
      <c r="AQ1084" s="126"/>
      <c r="AR1084" s="126"/>
      <c r="AS1084" s="126"/>
      <c r="AT1084" s="126"/>
      <c r="AU1084" s="1241"/>
      <c r="AV1084" s="2168"/>
      <c r="AW1084" s="2168"/>
      <c r="AX1084" s="2168"/>
      <c r="AY1084" s="2168"/>
      <c r="AZ1084" s="2168"/>
      <c r="BA1084" s="2168"/>
      <c r="BB1084" s="2168"/>
      <c r="BC1084" s="2168"/>
      <c r="BD1084" s="2168"/>
      <c r="BE1084" s="2168"/>
      <c r="BF1084" s="2168"/>
      <c r="BG1084" s="2168"/>
      <c r="BH1084" s="2167"/>
    </row>
    <row r="1085" spans="1:60">
      <c r="A1085" s="1"/>
      <c r="B1085" s="1"/>
      <c r="C1085" s="1"/>
      <c r="D1085" s="1604" t="s">
        <v>3122</v>
      </c>
      <c r="E1085" s="346"/>
      <c r="F1085" s="346"/>
      <c r="G1085" s="346"/>
      <c r="H1085" s="346"/>
      <c r="I1085" s="346"/>
      <c r="J1085" s="346"/>
      <c r="K1085" s="346"/>
      <c r="L1085" s="346"/>
      <c r="M1085" s="346"/>
      <c r="N1085" s="346"/>
      <c r="O1085" s="346"/>
      <c r="P1085" s="346"/>
      <c r="Q1085" s="346"/>
      <c r="R1085" s="346"/>
      <c r="S1085" s="346"/>
      <c r="T1085" s="346"/>
      <c r="U1085" s="346"/>
      <c r="V1085" s="126"/>
      <c r="W1085" s="126"/>
      <c r="X1085" s="126"/>
      <c r="Y1085" s="707"/>
      <c r="Z1085" s="707"/>
      <c r="AA1085" s="707"/>
      <c r="AB1085" s="707"/>
      <c r="AC1085" s="707"/>
      <c r="AD1085" s="707"/>
      <c r="AE1085" s="707"/>
      <c r="AF1085" s="707">
        <f>FISCinyear!IM763</f>
        <v>0</v>
      </c>
      <c r="AG1085" s="707">
        <f>FISCinyear!IP763</f>
        <v>0</v>
      </c>
      <c r="AH1085" s="707">
        <f>FISCinyear!IS763</f>
        <v>0</v>
      </c>
      <c r="AI1085" s="707">
        <f>FISCinyear!IV763</f>
        <v>0</v>
      </c>
      <c r="AJ1085" s="346"/>
      <c r="AK1085" s="346"/>
      <c r="AL1085" s="346"/>
      <c r="AM1085" s="346"/>
      <c r="AN1085" s="346"/>
      <c r="AO1085" s="346"/>
      <c r="AP1085" s="346"/>
      <c r="AQ1085" s="346"/>
      <c r="AR1085" s="346"/>
      <c r="AS1085" s="346"/>
      <c r="AT1085" s="346"/>
      <c r="AU1085" s="1241"/>
      <c r="AV1085" s="2168"/>
      <c r="AW1085" s="2168"/>
      <c r="AX1085" s="2168"/>
      <c r="AY1085" s="2168"/>
      <c r="AZ1085" s="2168"/>
      <c r="BA1085" s="2168"/>
      <c r="BB1085" s="2168"/>
      <c r="BC1085" s="2168"/>
      <c r="BD1085" s="2168"/>
      <c r="BE1085" s="2168"/>
      <c r="BF1085" s="2168"/>
      <c r="BG1085" s="2168"/>
      <c r="BH1085" s="2167"/>
    </row>
    <row r="1086" spans="1:60">
      <c r="A1086" s="1"/>
      <c r="B1086" s="1"/>
      <c r="C1086" s="1"/>
      <c r="D1086" s="1604" t="s">
        <v>3121</v>
      </c>
      <c r="E1086" s="346"/>
      <c r="F1086" s="346"/>
      <c r="G1086" s="346"/>
      <c r="H1086" s="346"/>
      <c r="I1086" s="346"/>
      <c r="J1086" s="346"/>
      <c r="K1086" s="346"/>
      <c r="L1086" s="346"/>
      <c r="M1086" s="346"/>
      <c r="N1086" s="346"/>
      <c r="O1086" s="346"/>
      <c r="P1086" s="346"/>
      <c r="Q1086" s="346"/>
      <c r="R1086" s="346"/>
      <c r="S1086" s="346"/>
      <c r="T1086" s="346"/>
      <c r="U1086" s="346"/>
      <c r="V1086" s="126"/>
      <c r="W1086" s="126"/>
      <c r="X1086" s="126"/>
      <c r="Y1086" s="707"/>
      <c r="Z1086" s="707"/>
      <c r="AA1086" s="707"/>
      <c r="AB1086" s="707"/>
      <c r="AC1086" s="707"/>
      <c r="AD1086" s="707">
        <v>151.39410771096675</v>
      </c>
      <c r="AE1086" s="707">
        <v>169.11860390324617</v>
      </c>
      <c r="AF1086" s="707">
        <f>FISCinyear!IM764</f>
        <v>91.545131231999989</v>
      </c>
      <c r="AG1086" s="707">
        <f>FISCinyear!IP764</f>
        <v>0</v>
      </c>
      <c r="AH1086" s="707">
        <f>FISCinyear!IS764</f>
        <v>146.45347324939121</v>
      </c>
      <c r="AI1086" s="707">
        <f>FISCinyear!IV764</f>
        <v>209.56263076001727</v>
      </c>
      <c r="AJ1086" s="989">
        <f t="shared" ref="AJ1086:AT1086" si="1363">AJ1066</f>
        <v>209.99611745433467</v>
      </c>
      <c r="AK1086" s="989">
        <f t="shared" si="1363"/>
        <v>197.24899460437902</v>
      </c>
      <c r="AL1086" s="989">
        <f t="shared" si="1363"/>
        <v>211.8633150639069</v>
      </c>
      <c r="AM1086" s="989">
        <f t="shared" si="1363"/>
        <v>225.89200899008975</v>
      </c>
      <c r="AN1086" s="989">
        <f t="shared" si="1363"/>
        <v>238.67886609328386</v>
      </c>
      <c r="AO1086" s="989">
        <f t="shared" si="1363"/>
        <v>249.11321746737292</v>
      </c>
      <c r="AP1086" s="989">
        <f t="shared" si="1363"/>
        <v>278.54452666729554</v>
      </c>
      <c r="AQ1086" s="989">
        <f t="shared" si="1363"/>
        <v>311.86832773057938</v>
      </c>
      <c r="AR1086" s="989">
        <f t="shared" si="1363"/>
        <v>333.82022458540177</v>
      </c>
      <c r="AS1086" s="989">
        <f t="shared" si="1363"/>
        <v>350.51123581467192</v>
      </c>
      <c r="AT1086" s="989">
        <f t="shared" si="1363"/>
        <v>368.03679760540558</v>
      </c>
      <c r="AU1086" s="1241"/>
      <c r="AV1086" s="2168"/>
      <c r="AW1086" s="2168"/>
      <c r="AX1086" s="2168"/>
      <c r="AY1086" s="2168"/>
      <c r="AZ1086" s="2168"/>
      <c r="BA1086" s="2168"/>
      <c r="BB1086" s="2168"/>
      <c r="BC1086" s="2168"/>
      <c r="BD1086" s="2168"/>
      <c r="BE1086" s="2168"/>
      <c r="BF1086" s="2168"/>
      <c r="BG1086" s="2168"/>
      <c r="BH1086" s="2167"/>
    </row>
    <row r="1087" spans="1:60">
      <c r="A1087" s="1"/>
      <c r="B1087" s="1"/>
      <c r="C1087" s="1"/>
      <c r="D1087" s="1604" t="s">
        <v>3292</v>
      </c>
      <c r="E1087" s="346"/>
      <c r="F1087" s="346"/>
      <c r="G1087" s="346"/>
      <c r="H1087" s="346"/>
      <c r="I1087" s="346"/>
      <c r="J1087" s="346"/>
      <c r="K1087" s="346"/>
      <c r="L1087" s="346"/>
      <c r="M1087" s="346"/>
      <c r="N1087" s="346"/>
      <c r="O1087" s="346"/>
      <c r="P1087" s="346"/>
      <c r="Q1087" s="346"/>
      <c r="R1087" s="346"/>
      <c r="S1087" s="346"/>
      <c r="T1087" s="346"/>
      <c r="U1087" s="346"/>
      <c r="V1087" s="126"/>
      <c r="W1087" s="126"/>
      <c r="X1087" s="126"/>
      <c r="Y1087" s="707"/>
      <c r="Z1087" s="707"/>
      <c r="AA1087" s="707"/>
      <c r="AB1087" s="707"/>
      <c r="AC1087" s="707"/>
      <c r="AD1087" s="707"/>
      <c r="AE1087" s="707"/>
      <c r="AF1087" s="707"/>
      <c r="AG1087" s="707">
        <f>FISCinyear!IP765</f>
        <v>0</v>
      </c>
      <c r="AH1087" s="707">
        <f>FISCinyear!IS765</f>
        <v>0</v>
      </c>
      <c r="AI1087" s="707">
        <f>FISCinyear!IV765</f>
        <v>0</v>
      </c>
      <c r="AJ1087" s="989"/>
      <c r="AK1087" s="989"/>
      <c r="AL1087" s="989"/>
      <c r="AM1087" s="989"/>
      <c r="AN1087" s="989"/>
      <c r="AO1087" s="989"/>
      <c r="AP1087" s="989"/>
      <c r="AQ1087" s="989"/>
      <c r="AR1087" s="989"/>
      <c r="AS1087" s="989"/>
      <c r="AT1087" s="989"/>
      <c r="AU1087" s="1241"/>
      <c r="AV1087" s="2168"/>
      <c r="AW1087" s="2168"/>
      <c r="AX1087" s="2168"/>
      <c r="AY1087" s="2168"/>
      <c r="AZ1087" s="2168"/>
      <c r="BA1087" s="2168"/>
      <c r="BB1087" s="2168"/>
      <c r="BC1087" s="2168"/>
      <c r="BD1087" s="2168"/>
      <c r="BE1087" s="2168"/>
      <c r="BF1087" s="2168"/>
      <c r="BG1087" s="2168"/>
      <c r="BH1087" s="2167"/>
    </row>
    <row r="1088" spans="1:60">
      <c r="A1088" s="1"/>
      <c r="B1088" s="1"/>
      <c r="C1088" s="1"/>
      <c r="D1088" s="1604" t="s">
        <v>3299</v>
      </c>
      <c r="E1088" s="346"/>
      <c r="F1088" s="346"/>
      <c r="G1088" s="346"/>
      <c r="H1088" s="346"/>
      <c r="I1088" s="346"/>
      <c r="J1088" s="346"/>
      <c r="K1088" s="346"/>
      <c r="L1088" s="346"/>
      <c r="M1088" s="346"/>
      <c r="N1088" s="346"/>
      <c r="O1088" s="346"/>
      <c r="P1088" s="346"/>
      <c r="Q1088" s="346"/>
      <c r="R1088" s="346"/>
      <c r="S1088" s="346"/>
      <c r="T1088" s="346"/>
      <c r="U1088" s="346"/>
      <c r="V1088" s="126"/>
      <c r="W1088" s="126"/>
      <c r="X1088" s="126"/>
      <c r="Y1088" s="707"/>
      <c r="Z1088" s="707"/>
      <c r="AA1088" s="707"/>
      <c r="AB1088" s="707"/>
      <c r="AC1088" s="707"/>
      <c r="AD1088" s="707"/>
      <c r="AE1088" s="707"/>
      <c r="AF1088" s="707"/>
      <c r="AG1088" s="707">
        <f>FISCinyear!IP766</f>
        <v>0</v>
      </c>
      <c r="AH1088" s="707">
        <f>FISCinyear!IS766</f>
        <v>0</v>
      </c>
      <c r="AI1088" s="707">
        <f>FISCinyear!IV766</f>
        <v>0</v>
      </c>
      <c r="AJ1088" s="989"/>
      <c r="AK1088" s="989"/>
      <c r="AL1088" s="989"/>
      <c r="AM1088" s="989"/>
      <c r="AN1088" s="989"/>
      <c r="AO1088" s="989"/>
      <c r="AP1088" s="989"/>
      <c r="AQ1088" s="989"/>
      <c r="AR1088" s="989"/>
      <c r="AS1088" s="989"/>
      <c r="AT1088" s="989"/>
      <c r="AU1088" s="1241"/>
      <c r="AV1088" s="2168"/>
      <c r="AW1088" s="2168"/>
      <c r="AX1088" s="2168"/>
      <c r="AY1088" s="2168"/>
      <c r="AZ1088" s="2168"/>
      <c r="BA1088" s="2168"/>
      <c r="BB1088" s="2168"/>
      <c r="BC1088" s="2168"/>
      <c r="BD1088" s="2168"/>
      <c r="BE1088" s="2168"/>
      <c r="BF1088" s="2168"/>
      <c r="BG1088" s="2168"/>
      <c r="BH1088" s="2167"/>
    </row>
    <row r="1089" spans="1:60">
      <c r="A1089" s="1"/>
      <c r="B1089" s="1"/>
      <c r="C1089" s="1"/>
      <c r="D1089" s="1604" t="s">
        <v>3403</v>
      </c>
      <c r="E1089" s="346"/>
      <c r="F1089" s="346"/>
      <c r="G1089" s="346"/>
      <c r="H1089" s="346"/>
      <c r="I1089" s="346"/>
      <c r="J1089" s="346"/>
      <c r="K1089" s="346"/>
      <c r="L1089" s="346"/>
      <c r="M1089" s="346"/>
      <c r="N1089" s="346"/>
      <c r="O1089" s="346"/>
      <c r="P1089" s="346"/>
      <c r="Q1089" s="346"/>
      <c r="R1089" s="346"/>
      <c r="S1089" s="346"/>
      <c r="T1089" s="346"/>
      <c r="U1089" s="346"/>
      <c r="V1089" s="126"/>
      <c r="W1089" s="126"/>
      <c r="X1089" s="126"/>
      <c r="Y1089" s="707"/>
      <c r="Z1089" s="707"/>
      <c r="AA1089" s="707"/>
      <c r="AB1089" s="707"/>
      <c r="AC1089" s="707"/>
      <c r="AD1089" s="707"/>
      <c r="AE1089" s="707"/>
      <c r="AF1089" s="707"/>
      <c r="AG1089" s="707">
        <f>FISCinyear!IP767</f>
        <v>0</v>
      </c>
      <c r="AH1089" s="707">
        <f>FISCinyear!IS767</f>
        <v>0</v>
      </c>
      <c r="AI1089" s="707">
        <f>FISCinyear!IV767</f>
        <v>0</v>
      </c>
      <c r="AJ1089" s="989"/>
      <c r="AK1089" s="989"/>
      <c r="AL1089" s="989"/>
      <c r="AM1089" s="989"/>
      <c r="AN1089" s="989"/>
      <c r="AO1089" s="989"/>
      <c r="AP1089" s="989"/>
      <c r="AQ1089" s="989"/>
      <c r="AR1089" s="989"/>
      <c r="AS1089" s="989"/>
      <c r="AT1089" s="989"/>
      <c r="AU1089" s="1241"/>
      <c r="AV1089" s="2168"/>
      <c r="AW1089" s="2168"/>
      <c r="AX1089" s="2168"/>
      <c r="AY1089" s="2168"/>
      <c r="AZ1089" s="2168"/>
      <c r="BA1089" s="2168"/>
      <c r="BB1089" s="2168"/>
      <c r="BC1089" s="2168"/>
      <c r="BD1089" s="2168"/>
      <c r="BE1089" s="2168"/>
      <c r="BF1089" s="2168"/>
      <c r="BG1089" s="2168"/>
      <c r="BH1089" s="2167"/>
    </row>
    <row r="1090" spans="1:60">
      <c r="A1090" s="1"/>
      <c r="B1090" s="1"/>
      <c r="C1090" s="1"/>
      <c r="D1090" s="1604" t="s">
        <v>3798</v>
      </c>
      <c r="E1090" s="346"/>
      <c r="F1090" s="346"/>
      <c r="G1090" s="346"/>
      <c r="H1090" s="346"/>
      <c r="I1090" s="346"/>
      <c r="J1090" s="346"/>
      <c r="K1090" s="346"/>
      <c r="L1090" s="346"/>
      <c r="M1090" s="346"/>
      <c r="N1090" s="346"/>
      <c r="O1090" s="346"/>
      <c r="P1090" s="346"/>
      <c r="Q1090" s="346"/>
      <c r="R1090" s="346"/>
      <c r="S1090" s="346"/>
      <c r="T1090" s="346"/>
      <c r="U1090" s="346"/>
      <c r="V1090" s="126"/>
      <c r="W1090" s="126"/>
      <c r="X1090" s="126"/>
      <c r="Y1090" s="707"/>
      <c r="Z1090" s="707"/>
      <c r="AA1090" s="707"/>
      <c r="AB1090" s="707"/>
      <c r="AC1090" s="707"/>
      <c r="AD1090" s="707"/>
      <c r="AE1090" s="707"/>
      <c r="AF1090" s="707"/>
      <c r="AG1090" s="707"/>
      <c r="AH1090" s="707">
        <v>0</v>
      </c>
      <c r="AI1090" s="707">
        <v>0</v>
      </c>
      <c r="AJ1090" s="707">
        <v>40.645215962722908</v>
      </c>
      <c r="AK1090" s="707">
        <v>57.075150136318676</v>
      </c>
      <c r="AL1090" s="707">
        <v>37.45235216078288</v>
      </c>
      <c r="AM1090" s="707">
        <v>28.368653011145522</v>
      </c>
      <c r="AN1090" s="707">
        <v>24.704630492957708</v>
      </c>
      <c r="AO1090" s="707">
        <v>23.276125707676655</v>
      </c>
      <c r="AP1090" s="989"/>
      <c r="AQ1090" s="989"/>
      <c r="AR1090" s="989"/>
      <c r="AS1090" s="989"/>
      <c r="AT1090" s="989"/>
      <c r="AU1090" s="1241"/>
      <c r="AV1090" s="2168"/>
      <c r="AW1090" s="2168"/>
      <c r="AX1090" s="2168"/>
      <c r="AY1090" s="2168"/>
      <c r="AZ1090" s="2168"/>
      <c r="BA1090" s="2168"/>
      <c r="BB1090" s="2168"/>
      <c r="BC1090" s="2168"/>
      <c r="BD1090" s="2168"/>
      <c r="BE1090" s="2168"/>
      <c r="BF1090" s="2168"/>
      <c r="BG1090" s="2168"/>
      <c r="BH1090" s="2167"/>
    </row>
    <row r="1091" spans="1:60">
      <c r="A1091" s="1"/>
      <c r="B1091" s="1"/>
      <c r="C1091" s="1"/>
      <c r="D1091" s="1604" t="s">
        <v>3402</v>
      </c>
      <c r="E1091" s="346"/>
      <c r="F1091" s="346"/>
      <c r="G1091" s="346"/>
      <c r="H1091" s="346"/>
      <c r="I1091" s="346"/>
      <c r="J1091" s="346"/>
      <c r="K1091" s="346"/>
      <c r="L1091" s="346"/>
      <c r="M1091" s="346"/>
      <c r="N1091" s="346"/>
      <c r="O1091" s="346"/>
      <c r="P1091" s="346"/>
      <c r="Q1091" s="346"/>
      <c r="R1091" s="346"/>
      <c r="S1091" s="346"/>
      <c r="T1091" s="346"/>
      <c r="U1091" s="346"/>
      <c r="V1091" s="126"/>
      <c r="W1091" s="126"/>
      <c r="X1091" s="126"/>
      <c r="Y1091" s="707"/>
      <c r="Z1091" s="707"/>
      <c r="AA1091" s="707"/>
      <c r="AB1091" s="707"/>
      <c r="AC1091" s="707"/>
      <c r="AD1091" s="707"/>
      <c r="AE1091" s="707"/>
      <c r="AF1091" s="707"/>
      <c r="AG1091" s="707"/>
      <c r="AH1091" s="707">
        <f>FISCinyear!IS776</f>
        <v>0</v>
      </c>
      <c r="AI1091" s="707">
        <f>FISCinyear!IV776</f>
        <v>0</v>
      </c>
      <c r="AJ1091" s="989"/>
      <c r="AK1091" s="989"/>
      <c r="AL1091" s="989"/>
      <c r="AM1091" s="989"/>
      <c r="AN1091" s="989"/>
      <c r="AO1091" s="989"/>
      <c r="AP1091" s="989"/>
      <c r="AQ1091" s="989"/>
      <c r="AR1091" s="989"/>
      <c r="AS1091" s="989"/>
      <c r="AT1091" s="989"/>
      <c r="AU1091" s="1241"/>
      <c r="AV1091" s="2168"/>
      <c r="AW1091" s="2168"/>
      <c r="AX1091" s="2168"/>
      <c r="AY1091" s="2168"/>
      <c r="AZ1091" s="2168"/>
      <c r="BA1091" s="2168"/>
      <c r="BB1091" s="2168"/>
      <c r="BC1091" s="2168"/>
      <c r="BD1091" s="2168"/>
      <c r="BE1091" s="2168"/>
      <c r="BF1091" s="2168"/>
      <c r="BG1091" s="2168"/>
      <c r="BH1091" s="2167"/>
    </row>
    <row r="1092" spans="1:60">
      <c r="A1092" s="1"/>
      <c r="B1092" s="1"/>
      <c r="C1092" s="1"/>
      <c r="D1092" s="1906" t="s">
        <v>3404</v>
      </c>
      <c r="E1092" s="346"/>
      <c r="F1092" s="346"/>
      <c r="G1092" s="346"/>
      <c r="H1092" s="346"/>
      <c r="I1092" s="346"/>
      <c r="J1092" s="346"/>
      <c r="K1092" s="346"/>
      <c r="L1092" s="346"/>
      <c r="M1092" s="346"/>
      <c r="N1092" s="346"/>
      <c r="O1092" s="346"/>
      <c r="P1092" s="346"/>
      <c r="Q1092" s="346"/>
      <c r="R1092" s="346"/>
      <c r="S1092" s="346"/>
      <c r="T1092" s="346"/>
      <c r="U1092" s="346"/>
      <c r="V1092" s="126"/>
      <c r="W1092" s="126"/>
      <c r="X1092" s="126"/>
      <c r="Y1092" s="707"/>
      <c r="Z1092" s="707"/>
      <c r="AA1092" s="707"/>
      <c r="AB1092" s="707"/>
      <c r="AC1092" s="707"/>
      <c r="AD1092" s="707"/>
      <c r="AE1092" s="707"/>
      <c r="AF1092" s="707"/>
      <c r="AG1092" s="707"/>
      <c r="AH1092" s="1910">
        <f>FISCinyear!IS777</f>
        <v>23.1</v>
      </c>
      <c r="AI1092" s="1910">
        <f>FISCinyear!IV777</f>
        <v>0</v>
      </c>
      <c r="AJ1092" s="1910">
        <f t="shared" ref="AJ1092:AO1092" si="1364">AJ605</f>
        <v>1</v>
      </c>
      <c r="AK1092" s="1910">
        <f t="shared" si="1364"/>
        <v>0</v>
      </c>
      <c r="AL1092" s="1910">
        <f t="shared" si="1364"/>
        <v>0</v>
      </c>
      <c r="AM1092" s="1910">
        <f t="shared" si="1364"/>
        <v>0</v>
      </c>
      <c r="AN1092" s="1910">
        <f t="shared" si="1364"/>
        <v>0</v>
      </c>
      <c r="AO1092" s="1910">
        <f t="shared" si="1364"/>
        <v>0</v>
      </c>
      <c r="AP1092" s="1910"/>
      <c r="AQ1092" s="1910"/>
      <c r="AR1092" s="1910"/>
      <c r="AS1092" s="1910"/>
      <c r="AT1092" s="1910"/>
      <c r="AU1092" s="1241"/>
      <c r="AV1092" s="2168"/>
      <c r="AW1092" s="2168"/>
      <c r="AX1092" s="2168"/>
      <c r="AY1092" s="2168"/>
      <c r="AZ1092" s="2168"/>
      <c r="BA1092" s="2168"/>
      <c r="BB1092" s="2168"/>
      <c r="BC1092" s="2168"/>
      <c r="BD1092" s="2168"/>
      <c r="BE1092" s="2168"/>
      <c r="BF1092" s="2168"/>
      <c r="BG1092" s="2168"/>
      <c r="BH1092" s="2167"/>
    </row>
    <row r="1093" spans="1:60">
      <c r="A1093" s="1"/>
      <c r="B1093" s="1"/>
      <c r="C1093" s="1"/>
      <c r="D1093" s="2001" t="s">
        <v>3601</v>
      </c>
      <c r="E1093" s="346"/>
      <c r="F1093" s="346"/>
      <c r="G1093" s="346"/>
      <c r="H1093" s="346"/>
      <c r="I1093" s="346"/>
      <c r="J1093" s="346"/>
      <c r="K1093" s="346"/>
      <c r="L1093" s="346"/>
      <c r="M1093" s="346"/>
      <c r="N1093" s="346"/>
      <c r="O1093" s="346"/>
      <c r="P1093" s="346"/>
      <c r="Q1093" s="346"/>
      <c r="R1093" s="346"/>
      <c r="S1093" s="346"/>
      <c r="T1093" s="346"/>
      <c r="U1093" s="346"/>
      <c r="V1093" s="126"/>
      <c r="W1093" s="126"/>
      <c r="X1093" s="126"/>
      <c r="Y1093" s="707"/>
      <c r="Z1093" s="707"/>
      <c r="AA1093" s="707"/>
      <c r="AB1093" s="707"/>
      <c r="AC1093" s="707"/>
      <c r="AD1093" s="707"/>
      <c r="AE1093" s="707"/>
      <c r="AF1093" s="707"/>
      <c r="AG1093" s="707"/>
      <c r="AH1093" s="1910"/>
      <c r="AI1093" s="1910">
        <f>FISCinyear!IV778</f>
        <v>0</v>
      </c>
      <c r="AJ1093" s="1910">
        <v>33.67</v>
      </c>
      <c r="AK1093" s="1910"/>
      <c r="AL1093" s="1910"/>
      <c r="AM1093" s="1910"/>
      <c r="AN1093" s="1910"/>
      <c r="AO1093" s="1910"/>
      <c r="AP1093" s="1910"/>
      <c r="AQ1093" s="1910"/>
      <c r="AR1093" s="1910"/>
      <c r="AS1093" s="1910"/>
      <c r="AT1093" s="1910"/>
      <c r="AU1093" s="1241"/>
      <c r="AV1093" s="2168"/>
      <c r="AW1093" s="2168"/>
      <c r="AX1093" s="2168"/>
      <c r="AY1093" s="2168"/>
      <c r="AZ1093" s="2168"/>
      <c r="BA1093" s="2168"/>
      <c r="BB1093" s="2168"/>
      <c r="BC1093" s="2168"/>
      <c r="BD1093" s="2168"/>
      <c r="BE1093" s="2168"/>
      <c r="BF1093" s="2168"/>
      <c r="BG1093" s="2168"/>
      <c r="BH1093" s="2167"/>
    </row>
    <row r="1094" spans="1:60">
      <c r="A1094" s="1"/>
      <c r="B1094" s="1"/>
      <c r="C1094" s="1"/>
      <c r="D1094" s="380" t="str">
        <f>+FISCinyear!D779</f>
        <v xml:space="preserve">Consumption of fixed capital </v>
      </c>
      <c r="E1094" s="346"/>
      <c r="F1094" s="346"/>
      <c r="G1094" s="346"/>
      <c r="H1094" s="346"/>
      <c r="I1094" s="346"/>
      <c r="J1094" s="346"/>
      <c r="K1094" s="346"/>
      <c r="L1094" s="346"/>
      <c r="M1094" s="346"/>
      <c r="N1094" s="346"/>
      <c r="O1094" s="346"/>
      <c r="P1094" s="346"/>
      <c r="Q1094" s="346"/>
      <c r="R1094" s="346"/>
      <c r="S1094" s="346"/>
      <c r="T1094" s="346"/>
      <c r="U1094" s="346"/>
      <c r="V1094" s="126">
        <v>0</v>
      </c>
      <c r="W1094" s="126">
        <v>0</v>
      </c>
      <c r="X1094" s="126">
        <v>0</v>
      </c>
      <c r="Y1094" s="707">
        <f>FISCinyear!HR779</f>
        <v>0</v>
      </c>
      <c r="Z1094" s="707">
        <f>FISCinyear!HU779</f>
        <v>0</v>
      </c>
      <c r="AA1094" s="707">
        <f>FISCinyear!HX779</f>
        <v>0</v>
      </c>
      <c r="AB1094" s="707">
        <f>FISCinyear!IA779</f>
        <v>0</v>
      </c>
      <c r="AC1094" s="707">
        <f>FISCinyear!ID779</f>
        <v>0</v>
      </c>
      <c r="AD1094" s="707">
        <f>FISCinyear!IG779</f>
        <v>0</v>
      </c>
      <c r="AE1094" s="707">
        <f>FISCinyear!IJ779</f>
        <v>0</v>
      </c>
      <c r="AF1094" s="707">
        <f>FISCinyear!IM779</f>
        <v>0</v>
      </c>
      <c r="AG1094" s="707">
        <f>FISCinyear!IP779</f>
        <v>0</v>
      </c>
      <c r="AH1094" s="707">
        <f>FISCinyear!IS779</f>
        <v>0</v>
      </c>
      <c r="AI1094" s="707">
        <f>FISCinyear!IV779</f>
        <v>0</v>
      </c>
      <c r="AJ1094" s="126">
        <f t="shared" ref="AJ1094:AM1094" si="1365">AI1094</f>
        <v>0</v>
      </c>
      <c r="AK1094" s="126">
        <f t="shared" si="1365"/>
        <v>0</v>
      </c>
      <c r="AL1094" s="126">
        <f t="shared" si="1365"/>
        <v>0</v>
      </c>
      <c r="AM1094" s="126">
        <f t="shared" si="1365"/>
        <v>0</v>
      </c>
      <c r="AN1094" s="126">
        <f t="shared" ref="AN1094" si="1366">AM1094</f>
        <v>0</v>
      </c>
      <c r="AO1094" s="126">
        <f t="shared" ref="AO1094" si="1367">AN1094</f>
        <v>0</v>
      </c>
      <c r="AP1094" s="126"/>
      <c r="AQ1094" s="126"/>
      <c r="AR1094" s="126"/>
      <c r="AS1094" s="126"/>
      <c r="AT1094" s="126"/>
      <c r="AU1094" s="1241"/>
      <c r="AV1094" s="2168"/>
      <c r="AW1094" s="2168"/>
      <c r="AX1094" s="2168"/>
      <c r="AY1094" s="2168"/>
      <c r="AZ1094" s="2168"/>
      <c r="BA1094" s="2168"/>
      <c r="BB1094" s="2168"/>
      <c r="BC1094" s="2168"/>
      <c r="BD1094" s="2168"/>
      <c r="BE1094" s="2168"/>
      <c r="BF1094" s="2168"/>
      <c r="BG1094" s="2168"/>
      <c r="BH1094" s="2167"/>
    </row>
    <row r="1095" spans="1:60">
      <c r="A1095" s="1"/>
      <c r="B1095" s="1"/>
      <c r="C1095" s="1"/>
      <c r="D1095" s="380" t="str">
        <f>+FISCinyear!D780</f>
        <v xml:space="preserve">Interest </v>
      </c>
      <c r="E1095" s="346"/>
      <c r="F1095" s="346"/>
      <c r="G1095" s="346"/>
      <c r="H1095" s="346"/>
      <c r="I1095" s="346"/>
      <c r="J1095" s="346"/>
      <c r="K1095" s="346"/>
      <c r="L1095" s="346"/>
      <c r="M1095" s="346"/>
      <c r="N1095" s="346"/>
      <c r="O1095" s="346"/>
      <c r="P1095" s="346"/>
      <c r="Q1095" s="346"/>
      <c r="R1095" s="346"/>
      <c r="S1095" s="346"/>
      <c r="T1095" s="346"/>
      <c r="U1095" s="346"/>
      <c r="V1095" s="126">
        <f>V1096+V1102</f>
        <v>0</v>
      </c>
      <c r="W1095" s="126">
        <f>+W1096+W1102</f>
        <v>18.399999999999999</v>
      </c>
      <c r="X1095" s="126">
        <f>+X1096+X1102</f>
        <v>30.7</v>
      </c>
      <c r="Y1095" s="707">
        <f>FISCinyear!HR780</f>
        <v>43.576804800562741</v>
      </c>
      <c r="Z1095" s="707">
        <f>FISCinyear!HU780</f>
        <v>45.872275573083982</v>
      </c>
      <c r="AA1095" s="707">
        <f>FISCinyear!HX780</f>
        <v>56.842062232496403</v>
      </c>
      <c r="AB1095" s="707">
        <f>FISCinyear!IA780</f>
        <v>72.191874699195651</v>
      </c>
      <c r="AC1095" s="707">
        <f>FISCinyear!ID780</f>
        <v>91.578582652050613</v>
      </c>
      <c r="AD1095" s="707">
        <f>FISCinyear!IG780</f>
        <v>102.49247013915866</v>
      </c>
      <c r="AE1095" s="707">
        <f>FISCinyear!IJ780</f>
        <v>139.11880432605938</v>
      </c>
      <c r="AF1095" s="707">
        <f>FISCinyear!IM780</f>
        <v>180.68587590230521</v>
      </c>
      <c r="AG1095" s="707">
        <f>FISCinyear!IP780</f>
        <v>220.33496040005542</v>
      </c>
      <c r="AH1095" s="707">
        <f>FISCinyear!IS780</f>
        <v>303.5028569211014</v>
      </c>
      <c r="AI1095" s="707">
        <f>FISCinyear!IV780</f>
        <v>417.72068484998749</v>
      </c>
      <c r="AJ1095" s="1152">
        <f>AJ1096+AJ1102</f>
        <v>502.94296772257599</v>
      </c>
      <c r="AK1095" s="1152">
        <f>AK1096+AK1102</f>
        <v>604.0949919615241</v>
      </c>
      <c r="AL1095" s="1152">
        <f>AL1096+AL1102</f>
        <v>695.56878154798801</v>
      </c>
      <c r="AM1095" s="1152">
        <f>AM1096+AM1102</f>
        <v>771.76202482229019</v>
      </c>
      <c r="AN1095" s="1152">
        <f t="shared" ref="AN1095:AT1095" si="1368">AN1096+AN1102</f>
        <v>819.70676695596444</v>
      </c>
      <c r="AO1095" s="1152">
        <f t="shared" si="1368"/>
        <v>1143.4104406764118</v>
      </c>
      <c r="AP1095" s="1152">
        <f t="shared" si="1368"/>
        <v>1264.4001499610354</v>
      </c>
      <c r="AQ1095" s="1152">
        <f t="shared" si="1368"/>
        <v>1195.1052679666498</v>
      </c>
      <c r="AR1095" s="1152">
        <f t="shared" si="1368"/>
        <v>1130.6693752030715</v>
      </c>
      <c r="AS1095" s="1152">
        <f t="shared" si="1368"/>
        <v>1116.0528276847976</v>
      </c>
      <c r="AT1095" s="1152">
        <f t="shared" si="1368"/>
        <v>1101.9520385848061</v>
      </c>
      <c r="AU1095" s="1241"/>
      <c r="AV1095" s="2168"/>
      <c r="AW1095" s="2168"/>
      <c r="AX1095" s="2168"/>
      <c r="AY1095" s="2168"/>
      <c r="AZ1095" s="2168"/>
      <c r="BA1095" s="2168"/>
      <c r="BB1095" s="2168"/>
      <c r="BC1095" s="2168"/>
      <c r="BD1095" s="2168"/>
      <c r="BE1095" s="2168"/>
      <c r="BF1095" s="2168"/>
      <c r="BG1095" s="2168"/>
      <c r="BH1095" s="2167"/>
    </row>
    <row r="1096" spans="1:60">
      <c r="A1096" s="1"/>
      <c r="B1096" s="1"/>
      <c r="C1096" s="1"/>
      <c r="D1096" s="383" t="str">
        <f>+FISCinyear!D781</f>
        <v>To nonresidents</v>
      </c>
      <c r="E1096" s="346"/>
      <c r="F1096" s="346"/>
      <c r="G1096" s="346"/>
      <c r="H1096" s="346"/>
      <c r="I1096" s="346"/>
      <c r="J1096" s="346"/>
      <c r="K1096" s="346"/>
      <c r="L1096" s="346"/>
      <c r="M1096" s="346"/>
      <c r="N1096" s="346"/>
      <c r="O1096" s="346"/>
      <c r="P1096" s="346"/>
      <c r="Q1096" s="346"/>
      <c r="R1096" s="346"/>
      <c r="S1096" s="346"/>
      <c r="T1096" s="346"/>
      <c r="U1096" s="346"/>
      <c r="V1096" s="126">
        <v>0</v>
      </c>
      <c r="W1096" s="126">
        <f>+W730</f>
        <v>13.2</v>
      </c>
      <c r="X1096" s="126">
        <f>+X730</f>
        <v>15.7</v>
      </c>
      <c r="Y1096" s="707">
        <f>FISCinyear!HR781</f>
        <v>25.531452209697722</v>
      </c>
      <c r="Z1096" s="707">
        <f>FISCinyear!HU781</f>
        <v>27.610652279868326</v>
      </c>
      <c r="AA1096" s="707">
        <f>FISCinyear!HX781</f>
        <v>31.347239564619255</v>
      </c>
      <c r="AB1096" s="707">
        <f>FISCinyear!IA781</f>
        <v>36.938619403195652</v>
      </c>
      <c r="AC1096" s="707">
        <f>FISCinyear!ID781</f>
        <v>42.678570124050616</v>
      </c>
      <c r="AD1096" s="707">
        <f>FISCinyear!IG781</f>
        <v>47.888981172885451</v>
      </c>
      <c r="AE1096" s="707">
        <f>FISCinyear!IJ781</f>
        <v>60.817013922059381</v>
      </c>
      <c r="AF1096" s="707">
        <f>FISCinyear!IM781</f>
        <v>67.176994500599847</v>
      </c>
      <c r="AG1096" s="707">
        <f>FISCinyear!IP781</f>
        <v>69.967521029055391</v>
      </c>
      <c r="AH1096" s="707">
        <f>FISCinyear!IS781</f>
        <v>100.84906284410137</v>
      </c>
      <c r="AI1096" s="707">
        <f>FISCinyear!IV781</f>
        <v>183.25187678098752</v>
      </c>
      <c r="AJ1096" s="1152">
        <f>+(((AI145+AI151+AJ133+AJ139)*AJ253/1000))+(AJ644*AJ253/1000)</f>
        <v>238.97211835453751</v>
      </c>
      <c r="AK1096" s="1152">
        <f>+(((AJ145+AJ151+AK133+AK139)*AK253/1000))+(AK644*AK253/1000)</f>
        <v>327.79301948552416</v>
      </c>
      <c r="AL1096" s="1152">
        <f>+(((AK145+AK151+AL133+AL139)*AL253/1000))+(AL644*AL253/1000)</f>
        <v>429.78765490998796</v>
      </c>
      <c r="AM1096" s="1152">
        <f>+(((AL145+AL151+AM133+AM139)*AM253/1000))+(AM644*AM253/1000)</f>
        <v>511.32712094529018</v>
      </c>
      <c r="AN1096" s="1152">
        <f>+(((AM145+AM151+AN133+AN139)*AN253/1000))+(AN644*AN253/1000)</f>
        <v>571.71862821396439</v>
      </c>
      <c r="AO1096" s="1152">
        <f t="shared" ref="AO1096:AT1096" si="1369">(+(((AN145+AN151+AO133+AO139)*AO253/1000))+(AO644*AO253/1000))*1.5</f>
        <v>903.56593629441181</v>
      </c>
      <c r="AP1096" s="1152">
        <f t="shared" si="1369"/>
        <v>918.42732703103525</v>
      </c>
      <c r="AQ1096" s="1152">
        <f t="shared" si="1369"/>
        <v>869.17467898514974</v>
      </c>
      <c r="AR1096" s="1152">
        <f t="shared" si="1369"/>
        <v>823.65003756857152</v>
      </c>
      <c r="AS1096" s="1152">
        <f t="shared" si="1369"/>
        <v>813.25820419879756</v>
      </c>
      <c r="AT1096" s="1152">
        <f t="shared" si="1369"/>
        <v>807.37461965380612</v>
      </c>
      <c r="AU1096" s="1241"/>
      <c r="AV1096" s="2168"/>
      <c r="AW1096" s="2168"/>
      <c r="AX1096" s="2168"/>
      <c r="AY1096" s="2168"/>
      <c r="AZ1096" s="2168"/>
      <c r="BA1096" s="2168"/>
      <c r="BB1096" s="2168"/>
      <c r="BC1096" s="2168"/>
      <c r="BD1096" s="2168"/>
      <c r="BE1096" s="2168"/>
      <c r="BF1096" s="2168"/>
      <c r="BG1096" s="2168"/>
      <c r="BH1096" s="2167"/>
    </row>
    <row r="1097" spans="1:60">
      <c r="A1097" s="1"/>
      <c r="B1097" s="1"/>
      <c r="C1097" s="1"/>
      <c r="D1097" s="1606" t="s">
        <v>3702</v>
      </c>
      <c r="E1097" s="346"/>
      <c r="F1097" s="346"/>
      <c r="G1097" s="346"/>
      <c r="H1097" s="346"/>
      <c r="I1097" s="346"/>
      <c r="J1097" s="346"/>
      <c r="K1097" s="346"/>
      <c r="L1097" s="346"/>
      <c r="M1097" s="346"/>
      <c r="N1097" s="346"/>
      <c r="O1097" s="346"/>
      <c r="P1097" s="346"/>
      <c r="Q1097" s="346"/>
      <c r="R1097" s="346"/>
      <c r="S1097" s="346"/>
      <c r="T1097" s="346"/>
      <c r="U1097" s="346"/>
      <c r="V1097" s="126"/>
      <c r="W1097" s="126"/>
      <c r="X1097" s="126"/>
      <c r="Y1097" s="707"/>
      <c r="Z1097" s="707"/>
      <c r="AA1097" s="707"/>
      <c r="AB1097" s="707"/>
      <c r="AC1097" s="707"/>
      <c r="AD1097" s="707"/>
      <c r="AE1097" s="707"/>
      <c r="AF1097" s="707"/>
      <c r="AG1097" s="707"/>
      <c r="AH1097" s="707"/>
      <c r="AI1097" s="707"/>
      <c r="AJ1097" s="1152">
        <f t="shared" ref="AJ1097:AO1097" si="1370">(AI146+AI152+AJ134+AJ140)*AJ253/1000</f>
        <v>0</v>
      </c>
      <c r="AK1097" s="1152">
        <f t="shared" si="1370"/>
        <v>0</v>
      </c>
      <c r="AL1097" s="1152">
        <f t="shared" si="1370"/>
        <v>19.908736321896146</v>
      </c>
      <c r="AM1097" s="1152">
        <f t="shared" si="1370"/>
        <v>56.014544881223067</v>
      </c>
      <c r="AN1097" s="1152">
        <f t="shared" si="1370"/>
        <v>72.308436420489798</v>
      </c>
      <c r="AO1097" s="1152">
        <f t="shared" si="1370"/>
        <v>65.302557746418429</v>
      </c>
      <c r="AP1097" s="1152">
        <f>(AO146+AO152+AP134+AP140)*AP252/1000</f>
        <v>32.209485277482081</v>
      </c>
      <c r="AQ1097" s="1152">
        <f>(AP146+AP152+AQ134+AQ140)*AQ252/1000</f>
        <v>24.046836791915716</v>
      </c>
      <c r="AR1097" s="1152">
        <f>(AQ146+AQ152+AR134+AR140)*AR252/1000</f>
        <v>15.884188306349349</v>
      </c>
      <c r="AS1097" s="1152">
        <f>(AR146+AR152+AS134+AS140)*AS252/1000</f>
        <v>7.7215398207829828</v>
      </c>
      <c r="AT1097" s="1152">
        <f>(AS146+AS152+AT134+AT140)*AT252/1000</f>
        <v>1.9624307586803129</v>
      </c>
      <c r="AU1097" s="1241"/>
      <c r="AV1097" s="2168"/>
      <c r="AW1097" s="2168"/>
      <c r="AX1097" s="2168"/>
      <c r="AY1097" s="2168"/>
      <c r="AZ1097" s="2168"/>
      <c r="BA1097" s="2168"/>
      <c r="BB1097" s="2168"/>
      <c r="BC1097" s="2168"/>
      <c r="BD1097" s="2168"/>
      <c r="BE1097" s="2168"/>
      <c r="BF1097" s="2168"/>
      <c r="BG1097" s="2168"/>
      <c r="BH1097" s="2167"/>
    </row>
    <row r="1098" spans="1:60">
      <c r="A1098" s="1"/>
      <c r="B1098" s="1"/>
      <c r="C1098" s="1"/>
      <c r="D1098" s="1606" t="s">
        <v>3701</v>
      </c>
      <c r="E1098" s="346"/>
      <c r="F1098" s="346"/>
      <c r="G1098" s="346"/>
      <c r="H1098" s="346"/>
      <c r="I1098" s="346"/>
      <c r="J1098" s="346"/>
      <c r="K1098" s="346"/>
      <c r="L1098" s="346"/>
      <c r="M1098" s="346"/>
      <c r="N1098" s="346"/>
      <c r="O1098" s="346"/>
      <c r="P1098" s="346"/>
      <c r="Q1098" s="346"/>
      <c r="R1098" s="346"/>
      <c r="S1098" s="346"/>
      <c r="T1098" s="346"/>
      <c r="U1098" s="346"/>
      <c r="V1098" s="126">
        <f t="shared" ref="V1098:AE1098" si="1371">(U147+U153+V135+V141)*V253/1000</f>
        <v>0</v>
      </c>
      <c r="W1098" s="126">
        <f t="shared" si="1371"/>
        <v>0</v>
      </c>
      <c r="X1098" s="126">
        <f t="shared" si="1371"/>
        <v>0</v>
      </c>
      <c r="Y1098" s="126">
        <f t="shared" si="1371"/>
        <v>0</v>
      </c>
      <c r="Z1098" s="126">
        <f t="shared" si="1371"/>
        <v>0</v>
      </c>
      <c r="AA1098" s="126">
        <f t="shared" si="1371"/>
        <v>0</v>
      </c>
      <c r="AB1098" s="126">
        <f t="shared" si="1371"/>
        <v>0</v>
      </c>
      <c r="AC1098" s="126">
        <f t="shared" si="1371"/>
        <v>3.3611482890763016</v>
      </c>
      <c r="AD1098" s="126">
        <f t="shared" si="1371"/>
        <v>6.6505236899803579</v>
      </c>
      <c r="AE1098" s="126">
        <f t="shared" si="1371"/>
        <v>6.0172330405343653</v>
      </c>
      <c r="AF1098" s="126">
        <f>FISCinyear!IM782</f>
        <v>2.243714128537631</v>
      </c>
      <c r="AG1098" s="126">
        <f>FISCinyear!IP782</f>
        <v>1.5999406759999999</v>
      </c>
      <c r="AH1098" s="126">
        <f>FISCinyear!IS782</f>
        <v>0</v>
      </c>
      <c r="AI1098" s="126">
        <f>FISCinyear!IV782</f>
        <v>0</v>
      </c>
      <c r="AJ1098" s="1152">
        <f>((AI147+AI153+AJ135+AJ141)*AJ253/1000)+(AJ644*AJ253/1000)</f>
        <v>0</v>
      </c>
      <c r="AK1098" s="1152">
        <f>((AJ147+AJ153+AK135+AK141)*AK253/1000)+(AK644*AK253/1000)*0</f>
        <v>0</v>
      </c>
      <c r="AL1098" s="1152">
        <f>((AK147+AK153+AL135+AL141)*AL253/1000)+(AL644*AL253/1000)*0</f>
        <v>1.3674411535089031</v>
      </c>
      <c r="AM1098" s="1152">
        <f>((AL147+AL153+AM135+AM141)*AM253/1000)+(AM644*AM253/1000)*0</f>
        <v>6.8012347106582389</v>
      </c>
      <c r="AN1098" s="1152">
        <f>((AM147+AM153+AN135+AN141)*AN253/1000)+(AN644*AN253/1000)*0</f>
        <v>12.315561345745316</v>
      </c>
      <c r="AO1098" s="1152">
        <f>((AN147+AN153+AO135+AO141)*AO253/1000)+(AO644*AO253/1000)*0</f>
        <v>18.717078393372965</v>
      </c>
      <c r="AP1098" s="1152">
        <f>((AO148+AO154+AP136+AP142)*AP253/1000)+(AP644*AP253/1000)</f>
        <v>153.12108759674948</v>
      </c>
      <c r="AQ1098" s="1152">
        <f>((AP148+AP154+AQ136+AQ142)*AQ253/1000)+(AQ644*AQ253/1000)</f>
        <v>160.03769449332361</v>
      </c>
      <c r="AR1098" s="1152">
        <f>((AQ148+AQ154+AR136+AR142)*AR253/1000)+(AR644*AR253/1000)</f>
        <v>171.30248366882461</v>
      </c>
      <c r="AS1098" s="1152">
        <f>((AR148+AR154+AS136+AS142)*AS253/1000)+(AS644*AS253/1000)</f>
        <v>179.86760785226585</v>
      </c>
      <c r="AT1098" s="1152">
        <f>((AS148+AS154+AT136+AT142)*AT253/1000)+(AT644*AT253/1000)</f>
        <v>188.86098824487914</v>
      </c>
      <c r="AU1098" s="1241"/>
      <c r="AV1098" s="2168"/>
      <c r="AW1098" s="2168"/>
      <c r="AX1098" s="2168"/>
      <c r="AY1098" s="2168"/>
      <c r="AZ1098" s="2168"/>
      <c r="BA1098" s="2168"/>
      <c r="BB1098" s="2168"/>
      <c r="BC1098" s="2168"/>
      <c r="BD1098" s="2168"/>
      <c r="BE1098" s="2168"/>
      <c r="BF1098" s="2168"/>
      <c r="BG1098" s="2168"/>
      <c r="BH1098" s="2167"/>
    </row>
    <row r="1099" spans="1:60">
      <c r="A1099" s="1"/>
      <c r="B1099" s="1"/>
      <c r="C1099" s="1"/>
      <c r="D1099" s="1606" t="s">
        <v>3778</v>
      </c>
      <c r="E1099" s="346"/>
      <c r="F1099" s="346"/>
      <c r="G1099" s="346"/>
      <c r="H1099" s="346"/>
      <c r="I1099" s="346"/>
      <c r="J1099" s="346"/>
      <c r="K1099" s="346"/>
      <c r="L1099" s="346"/>
      <c r="M1099" s="346"/>
      <c r="N1099" s="346"/>
      <c r="O1099" s="346"/>
      <c r="P1099" s="346"/>
      <c r="Q1099" s="346"/>
      <c r="R1099" s="346"/>
      <c r="S1099" s="346"/>
      <c r="T1099" s="346"/>
      <c r="U1099" s="346"/>
      <c r="V1099" s="126"/>
      <c r="W1099" s="126"/>
      <c r="X1099" s="126"/>
      <c r="Y1099" s="126"/>
      <c r="Z1099" s="126"/>
      <c r="AA1099" s="126"/>
      <c r="AB1099" s="126"/>
      <c r="AC1099" s="126"/>
      <c r="AD1099" s="126"/>
      <c r="AE1099" s="126"/>
      <c r="AF1099" s="126"/>
      <c r="AG1099" s="126"/>
      <c r="AH1099" s="126"/>
      <c r="AI1099" s="126"/>
      <c r="AJ1099" s="1152">
        <f t="shared" ref="AJ1099:AT1099" si="1372">((AI148+AI154+AJ136+AJ142)*AJ253/1000)+(AJ645*AJ253/1000)</f>
        <v>0</v>
      </c>
      <c r="AK1099" s="1152">
        <f t="shared" si="1372"/>
        <v>58.374698730275497</v>
      </c>
      <c r="AL1099" s="1152">
        <f t="shared" si="1372"/>
        <v>125.39944463248931</v>
      </c>
      <c r="AM1099" s="1152">
        <f t="shared" si="1372"/>
        <v>133.70286623585588</v>
      </c>
      <c r="AN1099" s="1152">
        <f t="shared" si="1372"/>
        <v>141.27125899347826</v>
      </c>
      <c r="AO1099" s="1152">
        <f t="shared" si="1372"/>
        <v>147.44723083181341</v>
      </c>
      <c r="AP1099" s="1152">
        <f t="shared" si="1372"/>
        <v>153.12108759674948</v>
      </c>
      <c r="AQ1099" s="1152">
        <f t="shared" si="1372"/>
        <v>160.03769449332361</v>
      </c>
      <c r="AR1099" s="1152">
        <f t="shared" si="1372"/>
        <v>171.30248366882461</v>
      </c>
      <c r="AS1099" s="1152">
        <f t="shared" si="1372"/>
        <v>179.86760785226585</v>
      </c>
      <c r="AT1099" s="1152">
        <f t="shared" si="1372"/>
        <v>188.86098824487914</v>
      </c>
      <c r="AU1099" s="1241"/>
      <c r="AV1099" s="2168"/>
      <c r="AW1099" s="2168"/>
      <c r="AX1099" s="2168"/>
      <c r="AY1099" s="2168"/>
      <c r="AZ1099" s="2168"/>
      <c r="BA1099" s="2168"/>
      <c r="BB1099" s="2168"/>
      <c r="BC1099" s="2168"/>
      <c r="BD1099" s="2168"/>
      <c r="BE1099" s="2168"/>
      <c r="BF1099" s="2168"/>
      <c r="BG1099" s="2168"/>
      <c r="BH1099" s="2167"/>
    </row>
    <row r="1100" spans="1:60">
      <c r="A1100" s="1"/>
      <c r="B1100" s="1"/>
      <c r="C1100" s="1"/>
      <c r="D1100" s="1606" t="s">
        <v>3779</v>
      </c>
      <c r="E1100" s="346"/>
      <c r="F1100" s="346"/>
      <c r="G1100" s="346"/>
      <c r="H1100" s="346"/>
      <c r="I1100" s="346"/>
      <c r="J1100" s="346"/>
      <c r="K1100" s="346"/>
      <c r="L1100" s="346"/>
      <c r="M1100" s="346"/>
      <c r="N1100" s="346"/>
      <c r="O1100" s="346"/>
      <c r="P1100" s="346"/>
      <c r="Q1100" s="346"/>
      <c r="R1100" s="346"/>
      <c r="S1100" s="346"/>
      <c r="T1100" s="346"/>
      <c r="U1100" s="346"/>
      <c r="V1100" s="126"/>
      <c r="W1100" s="126"/>
      <c r="X1100" s="126"/>
      <c r="Y1100" s="126"/>
      <c r="Z1100" s="126"/>
      <c r="AA1100" s="126"/>
      <c r="AB1100" s="126"/>
      <c r="AC1100" s="126"/>
      <c r="AD1100" s="126"/>
      <c r="AE1100" s="126"/>
      <c r="AF1100" s="126"/>
      <c r="AG1100" s="126"/>
      <c r="AH1100" s="126"/>
      <c r="AI1100" s="126"/>
      <c r="AJ1100" s="1152">
        <v>0</v>
      </c>
      <c r="AK1100" s="1152">
        <f>AK644*AK253/1000</f>
        <v>18.270806904184909</v>
      </c>
      <c r="AL1100" s="1152">
        <f>AL644*AL253/1000</f>
        <v>0</v>
      </c>
      <c r="AM1100" s="1152">
        <f>AM644*AM253/1000</f>
        <v>0</v>
      </c>
      <c r="AN1100" s="1152">
        <f>AN644*AN253/1000</f>
        <v>0</v>
      </c>
      <c r="AO1100" s="1152">
        <f>AO644*AO253/1000</f>
        <v>0</v>
      </c>
      <c r="AP1100" s="1152"/>
      <c r="AQ1100" s="1152"/>
      <c r="AR1100" s="1152"/>
      <c r="AS1100" s="1152"/>
      <c r="AT1100" s="1152"/>
      <c r="AU1100" s="1241"/>
      <c r="AV1100" s="2168"/>
      <c r="AW1100" s="2168"/>
      <c r="AX1100" s="2168"/>
      <c r="AY1100" s="2168"/>
      <c r="AZ1100" s="2168"/>
      <c r="BA1100" s="2168"/>
      <c r="BB1100" s="2168"/>
      <c r="BC1100" s="2168"/>
      <c r="BD1100" s="2168"/>
      <c r="BE1100" s="2168"/>
      <c r="BF1100" s="2168"/>
      <c r="BG1100" s="2168"/>
      <c r="BH1100" s="2167"/>
    </row>
    <row r="1101" spans="1:60">
      <c r="A1101" s="1"/>
      <c r="B1101" s="1"/>
      <c r="C1101" s="1"/>
      <c r="D1101" s="1606" t="s">
        <v>3314</v>
      </c>
      <c r="E1101" s="346"/>
      <c r="F1101" s="346"/>
      <c r="G1101" s="346"/>
      <c r="H1101" s="346"/>
      <c r="I1101" s="346"/>
      <c r="J1101" s="346"/>
      <c r="K1101" s="346"/>
      <c r="L1101" s="346"/>
      <c r="M1101" s="346"/>
      <c r="N1101" s="346"/>
      <c r="O1101" s="346"/>
      <c r="P1101" s="346"/>
      <c r="Q1101" s="346"/>
      <c r="R1101" s="346"/>
      <c r="S1101" s="346"/>
      <c r="T1101" s="346"/>
      <c r="U1101" s="346"/>
      <c r="V1101" s="126"/>
      <c r="W1101" s="126"/>
      <c r="X1101" s="126"/>
      <c r="Y1101" s="126"/>
      <c r="Z1101" s="126"/>
      <c r="AA1101" s="126"/>
      <c r="AB1101" s="126"/>
      <c r="AC1101" s="126"/>
      <c r="AD1101" s="126"/>
      <c r="AE1101" s="126"/>
      <c r="AF1101" s="126"/>
      <c r="AG1101" s="126">
        <f>FISCinyear!IP787</f>
        <v>0</v>
      </c>
      <c r="AH1101" s="126">
        <f>FISCinyear!IS787</f>
        <v>0</v>
      </c>
      <c r="AI1101" s="126">
        <f>FISCinyear!IV787</f>
        <v>0</v>
      </c>
      <c r="AJ1101" s="1804">
        <f>71274*AJ253/1000000000</f>
        <v>9.8468837338422682E-2</v>
      </c>
      <c r="AK1101" s="1804"/>
      <c r="AL1101" s="126"/>
      <c r="AM1101" s="126"/>
      <c r="AN1101" s="126"/>
      <c r="AO1101" s="126"/>
      <c r="AP1101" s="126"/>
      <c r="AQ1101" s="126"/>
      <c r="AR1101" s="126"/>
      <c r="AS1101" s="126"/>
      <c r="AT1101" s="126"/>
      <c r="AU1101" s="1241"/>
      <c r="AV1101" s="2168"/>
      <c r="AW1101" s="2168"/>
      <c r="AX1101" s="2168"/>
      <c r="AY1101" s="2168"/>
      <c r="AZ1101" s="2168"/>
      <c r="BA1101" s="2168"/>
      <c r="BB1101" s="2168"/>
      <c r="BC1101" s="2168"/>
      <c r="BD1101" s="2168"/>
      <c r="BE1101" s="2168"/>
      <c r="BF1101" s="2168"/>
      <c r="BG1101" s="2168"/>
      <c r="BH1101" s="2167"/>
    </row>
    <row r="1102" spans="1:60">
      <c r="A1102" s="1"/>
      <c r="B1102" s="1"/>
      <c r="C1102" s="1"/>
      <c r="D1102" s="383" t="str">
        <f>+FISCinyear!D788</f>
        <v>To residents other than general government</v>
      </c>
      <c r="E1102" s="346"/>
      <c r="F1102" s="346"/>
      <c r="G1102" s="346"/>
      <c r="H1102" s="346"/>
      <c r="I1102" s="346"/>
      <c r="J1102" s="346"/>
      <c r="K1102" s="346"/>
      <c r="L1102" s="346"/>
      <c r="M1102" s="346"/>
      <c r="N1102" s="346"/>
      <c r="O1102" s="346"/>
      <c r="P1102" s="346"/>
      <c r="Q1102" s="346"/>
      <c r="R1102" s="346"/>
      <c r="S1102" s="346"/>
      <c r="T1102" s="346"/>
      <c r="U1102" s="346"/>
      <c r="V1102" s="126">
        <f>V178+W176</f>
        <v>0</v>
      </c>
      <c r="W1102" s="126">
        <f>+W733</f>
        <v>5.2</v>
      </c>
      <c r="X1102" s="126">
        <f>+X733</f>
        <v>15</v>
      </c>
      <c r="Y1102" s="707">
        <f>FISCinyear!HR788</f>
        <v>18.045352590865015</v>
      </c>
      <c r="Z1102" s="707">
        <f>FISCinyear!HU788</f>
        <v>18.261623293215649</v>
      </c>
      <c r="AA1102" s="707">
        <f>FISCinyear!HX788</f>
        <v>25.494822667877145</v>
      </c>
      <c r="AB1102" s="707">
        <f>FISCinyear!IA788</f>
        <v>35.253255295999999</v>
      </c>
      <c r="AC1102" s="707">
        <f>FISCinyear!ID788</f>
        <v>48.900012527999998</v>
      </c>
      <c r="AD1102" s="707">
        <f>FISCinyear!IG788</f>
        <v>54.603488966273204</v>
      </c>
      <c r="AE1102" s="707">
        <f>FISCinyear!IJ788</f>
        <v>78.301790404000002</v>
      </c>
      <c r="AF1102" s="707">
        <f>FISCinyear!IM788</f>
        <v>113.50888140170532</v>
      </c>
      <c r="AG1102" s="707">
        <f>FISCinyear!IP788</f>
        <v>150.36743937099999</v>
      </c>
      <c r="AH1102" s="707">
        <f>FISCinyear!IS788</f>
        <v>202.65379407699999</v>
      </c>
      <c r="AI1102" s="707">
        <f>FISCinyear!IV788</f>
        <v>234.46880806899998</v>
      </c>
      <c r="AJ1102" s="1661">
        <f>(AI178+AJ176)+(AJ646*AJ253/1000)</f>
        <v>263.97084936803844</v>
      </c>
      <c r="AK1102" s="1661">
        <f>(AJ178+AK176)+(AK646*AK253/1000)</f>
        <v>276.301972476</v>
      </c>
      <c r="AL1102" s="1661">
        <f>(AK178+AL176)+(AL646*AL253/1000)</f>
        <v>265.78112663799999</v>
      </c>
      <c r="AM1102" s="1661">
        <f>(AL178+AM176)+(AM646*AM253/1000)</f>
        <v>260.43490387700001</v>
      </c>
      <c r="AN1102" s="1661">
        <f>(AM178+AN176)+(AN646*AN253/1000)</f>
        <v>247.98813874199999</v>
      </c>
      <c r="AO1102" s="1661">
        <f>((AN178+AO176)+(AO646*AO253/1000))</f>
        <v>239.844504382</v>
      </c>
      <c r="AP1102" s="1661">
        <f>((AO178+AP176)+(AP646*AP253/1000))*1.5</f>
        <v>345.97282293000001</v>
      </c>
      <c r="AQ1102" s="1661">
        <f>((AP178+AQ176)+(AQ646*AQ253/1000))*1.5</f>
        <v>325.93058898150002</v>
      </c>
      <c r="AR1102" s="1661">
        <f>((AQ178+AR176)+(AR646*AR253/1000))*1.5</f>
        <v>307.0193376345</v>
      </c>
      <c r="AS1102" s="1661">
        <f>((AR178+AS176)+(AS646*AS253/1000))*1.5</f>
        <v>302.79462348599998</v>
      </c>
      <c r="AT1102" s="1661">
        <f>((AS178+AT176)+(AT646*AT253/1000))*1.5</f>
        <v>294.57741893100001</v>
      </c>
      <c r="AU1102" s="1241"/>
      <c r="AV1102" s="2168"/>
      <c r="AW1102" s="2168"/>
      <c r="AX1102" s="2168"/>
      <c r="AY1102" s="2168"/>
      <c r="AZ1102" s="2168"/>
      <c r="BA1102" s="2168"/>
      <c r="BB1102" s="2168"/>
      <c r="BC1102" s="2168"/>
      <c r="BD1102" s="2168"/>
      <c r="BE1102" s="2168"/>
      <c r="BF1102" s="2168"/>
      <c r="BG1102" s="2168"/>
      <c r="BH1102" s="2167"/>
    </row>
    <row r="1103" spans="1:60">
      <c r="A1103" s="1"/>
      <c r="B1103" s="1"/>
      <c r="C1103" s="1"/>
      <c r="D1103" s="380" t="str">
        <f>+FISCinyear!D789</f>
        <v xml:space="preserve">Subsidies </v>
      </c>
      <c r="E1103" s="346"/>
      <c r="F1103" s="346"/>
      <c r="G1103" s="346"/>
      <c r="H1103" s="346"/>
      <c r="I1103" s="346"/>
      <c r="J1103" s="346"/>
      <c r="K1103" s="346"/>
      <c r="L1103" s="346"/>
      <c r="M1103" s="346"/>
      <c r="N1103" s="346"/>
      <c r="O1103" s="346"/>
      <c r="P1103" s="346"/>
      <c r="Q1103" s="346"/>
      <c r="R1103" s="346"/>
      <c r="S1103" s="346"/>
      <c r="T1103" s="346"/>
      <c r="U1103" s="346"/>
      <c r="V1103" s="126">
        <f>+V1104</f>
        <v>0</v>
      </c>
      <c r="W1103" s="126">
        <f>+W1104</f>
        <v>0</v>
      </c>
      <c r="X1103" s="126">
        <f>+X1104</f>
        <v>27</v>
      </c>
      <c r="Y1103" s="707">
        <f>FISCinyear!HR789</f>
        <v>63.001978688000001</v>
      </c>
      <c r="Z1103" s="707">
        <f>FISCinyear!HU789</f>
        <v>70.684104777000002</v>
      </c>
      <c r="AA1103" s="707">
        <f>FISCinyear!HX789</f>
        <v>84.373377361999999</v>
      </c>
      <c r="AB1103" s="707">
        <f>FISCinyear!IA789</f>
        <v>86.226021179</v>
      </c>
      <c r="AC1103" s="707">
        <f>FISCinyear!ID789</f>
        <v>99.527043106000008</v>
      </c>
      <c r="AD1103" s="707">
        <f>FISCinyear!IG789</f>
        <v>172.02613069400002</v>
      </c>
      <c r="AE1103" s="707">
        <f>FISCinyear!IJ789</f>
        <v>251.94730264100002</v>
      </c>
      <c r="AF1103" s="707">
        <f>FISCinyear!IM789</f>
        <v>260.16227530600003</v>
      </c>
      <c r="AG1103" s="707">
        <f>FISCinyear!IP789</f>
        <v>382.17384569900003</v>
      </c>
      <c r="AH1103" s="707">
        <f>FISCinyear!IS789</f>
        <v>298.87794374700002</v>
      </c>
      <c r="AI1103" s="707">
        <f>FISCinyear!IV789</f>
        <v>307.42047619799996</v>
      </c>
      <c r="AJ1103" s="573">
        <f t="shared" ref="AJ1103:AT1103" si="1373">(AI1103-AI1110)*(1+AJ614)+AJ1110</f>
        <v>322.57291333448478</v>
      </c>
      <c r="AK1103" s="573">
        <f t="shared" si="1373"/>
        <v>490.28749774375359</v>
      </c>
      <c r="AL1103" s="573">
        <f t="shared" si="1373"/>
        <v>313.41647841501413</v>
      </c>
      <c r="AM1103" s="573">
        <f t="shared" si="1373"/>
        <v>345.25037758872924</v>
      </c>
      <c r="AN1103" s="573">
        <f t="shared" si="1373"/>
        <v>361.51566957946307</v>
      </c>
      <c r="AO1103" s="573">
        <f t="shared" si="1373"/>
        <v>362.4623260877496</v>
      </c>
      <c r="AP1103" s="573">
        <f t="shared" si="1373"/>
        <v>385.54362638105414</v>
      </c>
      <c r="AQ1103" s="573">
        <f t="shared" si="1373"/>
        <v>412.25659462251559</v>
      </c>
      <c r="AR1103" s="573">
        <f t="shared" si="1373"/>
        <v>514.50765132497963</v>
      </c>
      <c r="AS1103" s="573">
        <f t="shared" si="1373"/>
        <v>136.12709590989112</v>
      </c>
      <c r="AT1103" s="573">
        <f t="shared" si="1373"/>
        <v>136.12709590989112</v>
      </c>
      <c r="AU1103" s="1241"/>
      <c r="AV1103" s="2168"/>
      <c r="AW1103" s="2168"/>
      <c r="AX1103" s="2168"/>
      <c r="AY1103" s="2168"/>
      <c r="AZ1103" s="2168"/>
      <c r="BA1103" s="2168"/>
      <c r="BB1103" s="2168"/>
      <c r="BC1103" s="2168"/>
      <c r="BD1103" s="2168"/>
      <c r="BE1103" s="2168"/>
      <c r="BF1103" s="2168"/>
      <c r="BG1103" s="2168"/>
      <c r="BH1103" s="2167"/>
    </row>
    <row r="1104" spans="1:60">
      <c r="A1104" s="1"/>
      <c r="B1104" s="1"/>
      <c r="C1104" s="1"/>
      <c r="D1104" s="383" t="str">
        <f>+FISCinyear!D790</f>
        <v>of which Rwandair working capital</v>
      </c>
      <c r="E1104" s="346"/>
      <c r="F1104" s="346"/>
      <c r="G1104" s="346"/>
      <c r="H1104" s="346"/>
      <c r="I1104" s="346"/>
      <c r="J1104" s="346"/>
      <c r="K1104" s="346"/>
      <c r="L1104" s="346"/>
      <c r="M1104" s="346"/>
      <c r="N1104" s="346"/>
      <c r="O1104" s="346"/>
      <c r="P1104" s="346"/>
      <c r="Q1104" s="346"/>
      <c r="R1104" s="346"/>
      <c r="S1104" s="346"/>
      <c r="T1104" s="346"/>
      <c r="U1104" s="346"/>
      <c r="V1104" s="126">
        <f>+V774</f>
        <v>0</v>
      </c>
      <c r="W1104" s="126">
        <f>+W774</f>
        <v>0</v>
      </c>
      <c r="X1104" s="126">
        <f>+X774</f>
        <v>27</v>
      </c>
      <c r="Y1104" s="707">
        <f>FISCinyear!HR790</f>
        <v>31.426778254999999</v>
      </c>
      <c r="Z1104" s="707">
        <f>FISCinyear!HU790</f>
        <v>46.041863857999999</v>
      </c>
      <c r="AA1104" s="707">
        <f>FISCinyear!HX790</f>
        <v>39.6</v>
      </c>
      <c r="AB1104" s="707">
        <f>FISCinyear!IA790</f>
        <v>80.861739053000008</v>
      </c>
      <c r="AC1104" s="707">
        <f>FISCinyear!ID790</f>
        <v>75.644475446999991</v>
      </c>
      <c r="AD1104" s="707">
        <f>FISCinyear!IG790</f>
        <v>117.83587177299999</v>
      </c>
      <c r="AE1104" s="707">
        <f>FISCinyear!IJ790</f>
        <v>127.92333151299999</v>
      </c>
      <c r="AF1104" s="707">
        <f>FISCinyear!IM790</f>
        <v>146.21061789099997</v>
      </c>
      <c r="AG1104" s="707">
        <f>FISCinyear!IP790</f>
        <v>260.06328746499997</v>
      </c>
      <c r="AH1104" s="707">
        <f>FISCinyear!IS790</f>
        <v>177.2</v>
      </c>
      <c r="AI1104" s="707">
        <f>FISCinyear!IV790</f>
        <v>176.54582574299999</v>
      </c>
      <c r="AJ1104" s="126">
        <f>AJ638</f>
        <v>161.82803506374094</v>
      </c>
      <c r="AK1104" s="126">
        <f t="shared" ref="AK1104:AT1104" si="1374">AK638*AK253/1000</f>
        <v>169.39295807671687</v>
      </c>
      <c r="AL1104" s="126">
        <f t="shared" si="1374"/>
        <v>91.122075562754773</v>
      </c>
      <c r="AM1104" s="126">
        <f t="shared" si="1374"/>
        <v>86.323620296277937</v>
      </c>
      <c r="AN1104" s="126">
        <f t="shared" si="1374"/>
        <v>69.833686894532789</v>
      </c>
      <c r="AO1104" s="126">
        <f t="shared" si="1374"/>
        <v>39.682030892073456</v>
      </c>
      <c r="AP1104" s="126">
        <f t="shared" si="1374"/>
        <v>0</v>
      </c>
      <c r="AQ1104" s="126">
        <f t="shared" si="1374"/>
        <v>0</v>
      </c>
      <c r="AR1104" s="126">
        <f t="shared" si="1374"/>
        <v>0</v>
      </c>
      <c r="AS1104" s="126">
        <f t="shared" si="1374"/>
        <v>0</v>
      </c>
      <c r="AT1104" s="126">
        <f t="shared" si="1374"/>
        <v>0</v>
      </c>
      <c r="AU1104" s="1241"/>
      <c r="AV1104" s="2168"/>
      <c r="AW1104" s="2168"/>
      <c r="AX1104" s="2168"/>
      <c r="AY1104" s="2168"/>
      <c r="AZ1104" s="2168"/>
      <c r="BA1104" s="2168"/>
      <c r="BB1104" s="2168"/>
      <c r="BC1104" s="2168"/>
      <c r="BD1104" s="2168"/>
      <c r="BE1104" s="2168"/>
      <c r="BF1104" s="2168"/>
      <c r="BG1104" s="2168"/>
      <c r="BH1104" s="2167"/>
    </row>
    <row r="1105" spans="1:60" s="2179" customFormat="1">
      <c r="D1105" s="2180" t="s">
        <v>3730</v>
      </c>
      <c r="E1105" s="2181"/>
      <c r="F1105" s="2181"/>
      <c r="G1105" s="2181"/>
      <c r="H1105" s="2181"/>
      <c r="I1105" s="2181"/>
      <c r="J1105" s="2181"/>
      <c r="K1105" s="2181"/>
      <c r="L1105" s="2181"/>
      <c r="M1105" s="2181"/>
      <c r="N1105" s="2181"/>
      <c r="O1105" s="2181"/>
      <c r="P1105" s="2181"/>
      <c r="Q1105" s="2181"/>
      <c r="R1105" s="2181"/>
      <c r="S1105" s="2181"/>
      <c r="T1105" s="2181"/>
      <c r="U1105" s="2181"/>
      <c r="V1105" s="149"/>
      <c r="W1105" s="149"/>
      <c r="X1105" s="149"/>
      <c r="Y1105" s="2182"/>
      <c r="Z1105" s="2182"/>
      <c r="AA1105" s="2182"/>
      <c r="AB1105" s="2182"/>
      <c r="AC1105" s="2182"/>
      <c r="AD1105" s="2182"/>
      <c r="AE1105" s="2182"/>
      <c r="AF1105" s="2182"/>
      <c r="AG1105" s="2182"/>
      <c r="AH1105" s="2182"/>
      <c r="AI1105" s="2182"/>
      <c r="AJ1105" s="149">
        <v>0</v>
      </c>
      <c r="AK1105" s="149">
        <v>149.43554173586898</v>
      </c>
      <c r="AL1105" s="149">
        <v>166.63249823306981</v>
      </c>
      <c r="AM1105" s="149">
        <v>178.75097689140489</v>
      </c>
      <c r="AN1105" s="149">
        <v>201.27359997972187</v>
      </c>
      <c r="AO1105" s="149">
        <v>226.63407357716679</v>
      </c>
      <c r="AP1105" s="149"/>
      <c r="AQ1105" s="149"/>
      <c r="AR1105" s="149"/>
      <c r="AS1105" s="149"/>
      <c r="AT1105" s="149"/>
      <c r="AU1105" s="1"/>
      <c r="AV1105" s="2168"/>
      <c r="AW1105" s="2168"/>
      <c r="AX1105" s="2168"/>
      <c r="AY1105" s="2168"/>
      <c r="AZ1105" s="2168"/>
      <c r="BA1105" s="2168"/>
      <c r="BB1105" s="2168"/>
      <c r="BC1105" s="2168"/>
      <c r="BD1105" s="2168"/>
      <c r="BE1105" s="2168"/>
      <c r="BF1105" s="2168"/>
      <c r="BG1105" s="2168"/>
      <c r="BH1105" s="2167"/>
    </row>
    <row r="1106" spans="1:60" s="2179" customFormat="1">
      <c r="D1106" s="2180" t="s">
        <v>3731</v>
      </c>
      <c r="E1106" s="2181"/>
      <c r="F1106" s="2181"/>
      <c r="G1106" s="2181"/>
      <c r="H1106" s="2181"/>
      <c r="I1106" s="2181"/>
      <c r="J1106" s="2181"/>
      <c r="K1106" s="2181"/>
      <c r="L1106" s="2181"/>
      <c r="M1106" s="2181"/>
      <c r="N1106" s="2181"/>
      <c r="O1106" s="2181"/>
      <c r="P1106" s="2181"/>
      <c r="Q1106" s="2181"/>
      <c r="R1106" s="2181"/>
      <c r="S1106" s="2181"/>
      <c r="T1106" s="2181"/>
      <c r="U1106" s="2181"/>
      <c r="V1106" s="149"/>
      <c r="W1106" s="149"/>
      <c r="X1106" s="149"/>
      <c r="Y1106" s="2182"/>
      <c r="Z1106" s="2182"/>
      <c r="AA1106" s="2182"/>
      <c r="AB1106" s="2182"/>
      <c r="AC1106" s="2182"/>
      <c r="AD1106" s="2182"/>
      <c r="AE1106" s="2182"/>
      <c r="AF1106" s="2182"/>
      <c r="AG1106" s="2182"/>
      <c r="AH1106" s="2182"/>
      <c r="AI1106" s="2182"/>
      <c r="AJ1106" s="149"/>
      <c r="AK1106" s="149">
        <f>AK638*AK253/1000</f>
        <v>169.39295807671687</v>
      </c>
      <c r="AL1106" s="149">
        <f>AL638*AL253/1000</f>
        <v>91.122075562754773</v>
      </c>
      <c r="AM1106" s="149">
        <f>AM638*AM253/1000</f>
        <v>86.323620296277937</v>
      </c>
      <c r="AN1106" s="149">
        <f>AN638*AN253/1000</f>
        <v>69.833686894532789</v>
      </c>
      <c r="AO1106" s="149">
        <f>AO638*AO253/1000</f>
        <v>39.682030892073456</v>
      </c>
      <c r="AP1106" s="149"/>
      <c r="AQ1106" s="149"/>
      <c r="AR1106" s="149"/>
      <c r="AS1106" s="149"/>
      <c r="AT1106" s="149"/>
      <c r="AV1106" s="2168"/>
      <c r="AW1106" s="2168"/>
      <c r="AX1106" s="2168"/>
      <c r="AY1106" s="2168"/>
      <c r="AZ1106" s="2168"/>
      <c r="BA1106" s="2168"/>
      <c r="BB1106" s="2168"/>
      <c r="BC1106" s="2168"/>
      <c r="BD1106" s="2168"/>
      <c r="BE1106" s="2168"/>
      <c r="BF1106" s="2168"/>
      <c r="BG1106" s="2168"/>
      <c r="BH1106" s="2167"/>
    </row>
    <row r="1107" spans="1:60">
      <c r="A1107" s="1"/>
      <c r="B1107" s="1"/>
      <c r="C1107" s="1"/>
      <c r="D1107" s="383" t="s">
        <v>3711</v>
      </c>
      <c r="E1107" s="346"/>
      <c r="F1107" s="346"/>
      <c r="G1107" s="346"/>
      <c r="H1107" s="346"/>
      <c r="I1107" s="346"/>
      <c r="J1107" s="346"/>
      <c r="K1107" s="346"/>
      <c r="L1107" s="346"/>
      <c r="M1107" s="346"/>
      <c r="N1107" s="346"/>
      <c r="O1107" s="346"/>
      <c r="P1107" s="346"/>
      <c r="Q1107" s="346"/>
      <c r="R1107" s="346"/>
      <c r="S1107" s="346"/>
      <c r="T1107" s="346"/>
      <c r="U1107" s="346"/>
      <c r="V1107" s="126"/>
      <c r="W1107" s="126"/>
      <c r="X1107" s="126"/>
      <c r="Y1107" s="707"/>
      <c r="Z1107" s="707"/>
      <c r="AA1107" s="707"/>
      <c r="AB1107" s="707"/>
      <c r="AC1107" s="707"/>
      <c r="AD1107" s="707"/>
      <c r="AE1107" s="707"/>
      <c r="AF1107" s="707">
        <f>FISCinyear!IM791</f>
        <v>0</v>
      </c>
      <c r="AG1107" s="707">
        <f>FISCinyear!IP791</f>
        <v>101.47101130509982</v>
      </c>
      <c r="AH1107" s="707">
        <f>FISCinyear!IS791</f>
        <v>0</v>
      </c>
      <c r="AI1107" s="707">
        <f>FISCinyear!IV791</f>
        <v>0</v>
      </c>
      <c r="AJ1107" s="1246">
        <f>(72363999)*0+(81000000*0)/1000000*AJ1248/1000</f>
        <v>0</v>
      </c>
      <c r="AK1107" s="1246">
        <f>(72363999)*0+(81.39166173*AK253/1000)</f>
        <v>121.82599314474984</v>
      </c>
      <c r="AL1107" s="126"/>
      <c r="AM1107" s="126"/>
      <c r="AN1107" s="126"/>
      <c r="AO1107" s="126"/>
      <c r="AP1107" s="126"/>
      <c r="AQ1107" s="126"/>
      <c r="AR1107" s="126"/>
      <c r="AS1107" s="126"/>
      <c r="AT1107" s="126"/>
      <c r="AV1107" s="2168"/>
      <c r="AW1107" s="2168"/>
      <c r="AX1107" s="2168"/>
      <c r="AY1107" s="2168"/>
      <c r="AZ1107" s="2168"/>
      <c r="BA1107" s="2168"/>
      <c r="BB1107" s="2168"/>
      <c r="BC1107" s="2168"/>
      <c r="BD1107" s="2168"/>
      <c r="BE1107" s="2168"/>
      <c r="BF1107" s="2168"/>
      <c r="BG1107" s="2168"/>
      <c r="BH1107" s="2167"/>
    </row>
    <row r="1108" spans="1:60">
      <c r="A1108" s="1"/>
      <c r="B1108" s="1"/>
      <c r="C1108" s="1"/>
      <c r="D1108" s="1603" t="s">
        <v>3120</v>
      </c>
      <c r="E1108" s="346"/>
      <c r="F1108" s="346"/>
      <c r="G1108" s="346"/>
      <c r="H1108" s="346"/>
      <c r="I1108" s="346"/>
      <c r="J1108" s="346"/>
      <c r="K1108" s="346"/>
      <c r="L1108" s="346"/>
      <c r="M1108" s="346"/>
      <c r="N1108" s="346"/>
      <c r="O1108" s="346"/>
      <c r="P1108" s="346"/>
      <c r="Q1108" s="346"/>
      <c r="R1108" s="346"/>
      <c r="S1108" s="346"/>
      <c r="T1108" s="346"/>
      <c r="U1108" s="346"/>
      <c r="V1108" s="126">
        <f t="shared" ref="V1108:AE1108" si="1375">V648</f>
        <v>0</v>
      </c>
      <c r="W1108" s="126">
        <f t="shared" si="1375"/>
        <v>0</v>
      </c>
      <c r="X1108" s="126">
        <f t="shared" si="1375"/>
        <v>0</v>
      </c>
      <c r="Y1108" s="126">
        <f t="shared" si="1375"/>
        <v>0</v>
      </c>
      <c r="Z1108" s="126">
        <f t="shared" si="1375"/>
        <v>29.4</v>
      </c>
      <c r="AA1108" s="126">
        <f t="shared" si="1375"/>
        <v>29.4</v>
      </c>
      <c r="AB1108" s="126">
        <f t="shared" si="1375"/>
        <v>31.25</v>
      </c>
      <c r="AC1108" s="126">
        <f t="shared" si="1375"/>
        <v>43.76</v>
      </c>
      <c r="AD1108" s="126">
        <f t="shared" si="1375"/>
        <v>49.674370664146352</v>
      </c>
      <c r="AE1108" s="126">
        <f t="shared" si="1375"/>
        <v>102.75929201700001</v>
      </c>
      <c r="AF1108" s="126">
        <f>FISCinyear!IM792</f>
        <v>66.655878622000003</v>
      </c>
      <c r="AG1108" s="126">
        <f>FISCinyear!IP792</f>
        <v>102.361767415</v>
      </c>
      <c r="AH1108" s="126">
        <f>FISCinyear!IS792</f>
        <v>113.3</v>
      </c>
      <c r="AI1108" s="126">
        <f>FISCinyear!IV792</f>
        <v>119.62825384899998</v>
      </c>
      <c r="AJ1108" s="126">
        <f t="shared" ref="AJ1108:AT1108" si="1376">AJ648</f>
        <v>126.78750000000001</v>
      </c>
      <c r="AK1108" s="126">
        <f t="shared" si="1376"/>
        <v>133.12687500000001</v>
      </c>
      <c r="AL1108" s="126">
        <f t="shared" si="1376"/>
        <v>148.43646562500001</v>
      </c>
      <c r="AM1108" s="126">
        <f t="shared" si="1376"/>
        <v>155.85828890625001</v>
      </c>
      <c r="AN1108" s="126">
        <f t="shared" si="1376"/>
        <v>163.65120335156251</v>
      </c>
      <c r="AO1108" s="126">
        <f t="shared" si="1376"/>
        <v>171.83376351914066</v>
      </c>
      <c r="AP1108" s="126">
        <f t="shared" si="1376"/>
        <v>0</v>
      </c>
      <c r="AQ1108" s="126">
        <f t="shared" si="1376"/>
        <v>0</v>
      </c>
      <c r="AR1108" s="126">
        <f t="shared" si="1376"/>
        <v>0</v>
      </c>
      <c r="AS1108" s="126">
        <f t="shared" si="1376"/>
        <v>0</v>
      </c>
      <c r="AT1108" s="126">
        <f t="shared" si="1376"/>
        <v>0</v>
      </c>
      <c r="AV1108" s="2168"/>
      <c r="AW1108" s="2168"/>
      <c r="AX1108" s="2168"/>
      <c r="AY1108" s="2168"/>
      <c r="AZ1108" s="2168"/>
      <c r="BA1108" s="2168"/>
      <c r="BB1108" s="2168"/>
      <c r="BC1108" s="2168"/>
      <c r="BD1108" s="2168"/>
      <c r="BE1108" s="2168"/>
      <c r="BF1108" s="2168"/>
      <c r="BG1108" s="2168"/>
      <c r="BH1108" s="2167"/>
    </row>
    <row r="1109" spans="1:60">
      <c r="A1109" s="1"/>
      <c r="B1109" s="1"/>
      <c r="C1109" s="1"/>
      <c r="D1109" s="1604" t="s">
        <v>3214</v>
      </c>
      <c r="E1109" s="346"/>
      <c r="F1109" s="346"/>
      <c r="G1109" s="346"/>
      <c r="H1109" s="346"/>
      <c r="I1109" s="346"/>
      <c r="J1109" s="346"/>
      <c r="K1109" s="346"/>
      <c r="L1109" s="346"/>
      <c r="M1109" s="346"/>
      <c r="N1109" s="346"/>
      <c r="O1109" s="346"/>
      <c r="P1109" s="346"/>
      <c r="Q1109" s="346"/>
      <c r="R1109" s="346"/>
      <c r="S1109" s="346"/>
      <c r="T1109" s="346"/>
      <c r="U1109" s="346"/>
      <c r="V1109" s="126"/>
      <c r="W1109" s="126"/>
      <c r="X1109" s="126"/>
      <c r="Y1109" s="126"/>
      <c r="Z1109" s="126"/>
      <c r="AA1109" s="126"/>
      <c r="AB1109" s="126"/>
      <c r="AC1109" s="126"/>
      <c r="AD1109" s="126"/>
      <c r="AE1109" s="1707"/>
      <c r="AF1109" s="1707">
        <f>FISCinyear!IM793</f>
        <v>12.3</v>
      </c>
      <c r="AG1109" s="1707">
        <f>FISCinyear!IP793</f>
        <v>0</v>
      </c>
      <c r="AH1109" s="1707">
        <f>FISCinyear!IS793</f>
        <v>0</v>
      </c>
      <c r="AI1109" s="1707">
        <f>FISCinyear!IV793</f>
        <v>0</v>
      </c>
      <c r="AJ1109" s="1708"/>
      <c r="AK1109" s="1708"/>
      <c r="AL1109" s="1708"/>
      <c r="AM1109" s="1708"/>
      <c r="AN1109" s="1708"/>
      <c r="AO1109" s="1708"/>
      <c r="AP1109" s="1709"/>
      <c r="AQ1109" s="1709"/>
      <c r="AR1109" s="1709"/>
      <c r="AS1109" s="1709"/>
      <c r="AT1109" s="1709"/>
      <c r="AV1109" s="2168"/>
      <c r="AW1109" s="2168"/>
      <c r="AX1109" s="2168"/>
      <c r="AY1109" s="2168"/>
      <c r="AZ1109" s="2168"/>
      <c r="BA1109" s="2168"/>
      <c r="BB1109" s="2168"/>
      <c r="BC1109" s="2168"/>
      <c r="BD1109" s="2168"/>
      <c r="BE1109" s="2168"/>
      <c r="BF1109" s="2168"/>
      <c r="BG1109" s="2168"/>
      <c r="BH1109" s="2167"/>
    </row>
    <row r="1110" spans="1:60">
      <c r="A1110" s="1"/>
      <c r="B1110" s="1"/>
      <c r="C1110" s="1"/>
      <c r="D1110" s="1906" t="s">
        <v>3404</v>
      </c>
      <c r="E1110" s="346"/>
      <c r="F1110" s="346"/>
      <c r="G1110" s="346"/>
      <c r="H1110" s="346"/>
      <c r="I1110" s="346"/>
      <c r="J1110" s="346"/>
      <c r="K1110" s="346"/>
      <c r="L1110" s="346"/>
      <c r="M1110" s="346"/>
      <c r="N1110" s="346"/>
      <c r="O1110" s="346"/>
      <c r="P1110" s="346"/>
      <c r="Q1110" s="346"/>
      <c r="R1110" s="346"/>
      <c r="S1110" s="346"/>
      <c r="T1110" s="346"/>
      <c r="U1110" s="346"/>
      <c r="V1110" s="126"/>
      <c r="W1110" s="126"/>
      <c r="X1110" s="126"/>
      <c r="Y1110" s="126"/>
      <c r="Z1110" s="126"/>
      <c r="AA1110" s="126"/>
      <c r="AB1110" s="126"/>
      <c r="AC1110" s="126"/>
      <c r="AD1110" s="126"/>
      <c r="AE1110" s="126"/>
      <c r="AF1110" s="126"/>
      <c r="AG1110" s="126"/>
      <c r="AH1110" s="126">
        <f>FISCinyear!IS794</f>
        <v>0</v>
      </c>
      <c r="AI1110" s="126">
        <f>FISCinyear!IV794</f>
        <v>0</v>
      </c>
      <c r="AJ1110" s="1910">
        <f t="shared" ref="AJ1110:AT1110" si="1377">AJ616</f>
        <v>3.3019919856434474</v>
      </c>
      <c r="AK1110" s="1910">
        <f t="shared" si="1377"/>
        <v>0</v>
      </c>
      <c r="AL1110" s="1910">
        <f t="shared" si="1377"/>
        <v>0</v>
      </c>
      <c r="AM1110" s="1910">
        <f t="shared" si="1377"/>
        <v>0</v>
      </c>
      <c r="AN1110" s="1910">
        <f t="shared" si="1377"/>
        <v>0</v>
      </c>
      <c r="AO1110" s="1910">
        <f t="shared" si="1377"/>
        <v>0</v>
      </c>
      <c r="AP1110" s="1910">
        <f t="shared" si="1377"/>
        <v>0</v>
      </c>
      <c r="AQ1110" s="1910">
        <f t="shared" si="1377"/>
        <v>0</v>
      </c>
      <c r="AR1110" s="1910">
        <f t="shared" si="1377"/>
        <v>0</v>
      </c>
      <c r="AS1110" s="1910">
        <f t="shared" si="1377"/>
        <v>0</v>
      </c>
      <c r="AT1110" s="1910">
        <f t="shared" si="1377"/>
        <v>0</v>
      </c>
      <c r="AV1110" s="2168"/>
      <c r="AW1110" s="2168"/>
      <c r="AX1110" s="2168"/>
      <c r="AY1110" s="2168"/>
      <c r="AZ1110" s="2168"/>
      <c r="BA1110" s="2168"/>
      <c r="BB1110" s="2168"/>
      <c r="BC1110" s="2168"/>
      <c r="BD1110" s="2168"/>
      <c r="BE1110" s="2168"/>
      <c r="BF1110" s="2168"/>
      <c r="BG1110" s="2168"/>
      <c r="BH1110" s="2167"/>
    </row>
    <row r="1111" spans="1:60">
      <c r="A1111" s="1"/>
      <c r="B1111" s="1"/>
      <c r="C1111" s="1"/>
      <c r="D1111" s="380" t="str">
        <f>+FISCinyear!D795</f>
        <v xml:space="preserve">Grants </v>
      </c>
      <c r="E1111" s="346"/>
      <c r="F1111" s="346"/>
      <c r="G1111" s="346"/>
      <c r="H1111" s="346"/>
      <c r="I1111" s="346"/>
      <c r="J1111" s="346"/>
      <c r="K1111" s="346"/>
      <c r="L1111" s="346"/>
      <c r="M1111" s="346"/>
      <c r="N1111" s="346"/>
      <c r="O1111" s="346"/>
      <c r="P1111" s="346"/>
      <c r="Q1111" s="346"/>
      <c r="R1111" s="346"/>
      <c r="S1111" s="346"/>
      <c r="T1111" s="346"/>
      <c r="U1111" s="346"/>
      <c r="V1111" s="126">
        <f>+V736-V744</f>
        <v>138.84901571823204</v>
      </c>
      <c r="W1111" s="126">
        <f>+W736-W744</f>
        <v>156.4</v>
      </c>
      <c r="X1111" s="126">
        <f>+X736-X744</f>
        <v>141.20000000000002</v>
      </c>
      <c r="Y1111" s="707">
        <f>FISCinyear!HR795</f>
        <v>285.47491793799998</v>
      </c>
      <c r="Z1111" s="707">
        <f>FISCinyear!HU795</f>
        <v>335.93441379699999</v>
      </c>
      <c r="AA1111" s="707">
        <f>FISCinyear!HX795</f>
        <v>365.17264152624739</v>
      </c>
      <c r="AB1111" s="707">
        <f>FISCinyear!IA795</f>
        <v>389.63701686441863</v>
      </c>
      <c r="AC1111" s="707">
        <f>FISCinyear!ID795</f>
        <v>418.66815094384003</v>
      </c>
      <c r="AD1111" s="707">
        <f>FISCinyear!IG795</f>
        <v>471.94577035000003</v>
      </c>
      <c r="AE1111" s="707">
        <f>FISCinyear!IJ795</f>
        <v>500.37254378500006</v>
      </c>
      <c r="AF1111" s="707">
        <f>FISCinyear!IM795</f>
        <v>548.9739452849999</v>
      </c>
      <c r="AG1111" s="707">
        <f>FISCinyear!IP795</f>
        <v>655.56111270923248</v>
      </c>
      <c r="AH1111" s="707">
        <f>FISCinyear!IS795</f>
        <v>969.60000000000014</v>
      </c>
      <c r="AI1111" s="707">
        <f>FISCinyear!IV795</f>
        <v>993.64042799000003</v>
      </c>
      <c r="AJ1111" s="126">
        <f>AI1111*(1+AJ608)</f>
        <v>1077.4382112050305</v>
      </c>
      <c r="AK1111" s="126">
        <f>(AJ1111)*(1+AK608)</f>
        <v>1155.5882263547962</v>
      </c>
      <c r="AL1111" s="126">
        <f>(AK1111)*(1+AL608)</f>
        <v>1349.7030006039429</v>
      </c>
      <c r="AM1111" s="126">
        <f t="shared" ref="AM1111:AT1111" si="1378">AL1111*(1+AM608)</f>
        <v>1582.1449450199918</v>
      </c>
      <c r="AN1111" s="126">
        <f t="shared" si="1378"/>
        <v>1773.9558824809005</v>
      </c>
      <c r="AO1111" s="126">
        <f t="shared" si="1378"/>
        <v>1984.2906102572167</v>
      </c>
      <c r="AP1111" s="126">
        <f t="shared" si="1378"/>
        <v>2098.0127924905755</v>
      </c>
      <c r="AQ1111" s="126">
        <f t="shared" si="1378"/>
        <v>2223.1072437129324</v>
      </c>
      <c r="AR1111" s="126">
        <f t="shared" si="1378"/>
        <v>2600.1493467966752</v>
      </c>
      <c r="AS1111" s="126">
        <f t="shared" si="1378"/>
        <v>638.79633143111857</v>
      </c>
      <c r="AT1111" s="126">
        <f t="shared" si="1378"/>
        <v>638.79633143111857</v>
      </c>
      <c r="AV1111" s="2168"/>
      <c r="AW1111" s="2168"/>
      <c r="AX1111" s="2168"/>
      <c r="AY1111" s="2168"/>
      <c r="AZ1111" s="2168"/>
      <c r="BA1111" s="2168"/>
      <c r="BB1111" s="2168"/>
      <c r="BC1111" s="2168"/>
      <c r="BD1111" s="2168"/>
      <c r="BE1111" s="2168"/>
      <c r="BF1111" s="2168"/>
      <c r="BG1111" s="2168"/>
      <c r="BH1111" s="2167"/>
    </row>
    <row r="1112" spans="1:60">
      <c r="A1112" s="1"/>
      <c r="B1112" s="1"/>
      <c r="C1112" s="1"/>
      <c r="D1112" s="1604" t="s">
        <v>3123</v>
      </c>
      <c r="E1112" s="346">
        <f>AVERAGE(AE1112:AK1112)/AVERAGE(AE1111:AK1111)</f>
        <v>6.9054663015433823E-2</v>
      </c>
      <c r="F1112" s="346"/>
      <c r="G1112" s="346"/>
      <c r="H1112" s="346"/>
      <c r="I1112" s="346"/>
      <c r="J1112" s="346"/>
      <c r="K1112" s="346"/>
      <c r="L1112" s="346"/>
      <c r="M1112" s="346"/>
      <c r="N1112" s="346"/>
      <c r="O1112" s="346"/>
      <c r="P1112" s="346"/>
      <c r="Q1112" s="346"/>
      <c r="R1112" s="346"/>
      <c r="S1112" s="346"/>
      <c r="T1112" s="346"/>
      <c r="U1112" s="346"/>
      <c r="V1112" s="1775">
        <f>$E$1112*V1111</f>
        <v>9.5881719904471883</v>
      </c>
      <c r="W1112" s="1776">
        <f t="shared" ref="W1112:AC1112" si="1379">$E$1112*W1111</f>
        <v>10.800149295613851</v>
      </c>
      <c r="X1112" s="1776">
        <f t="shared" si="1379"/>
        <v>9.7505184177792579</v>
      </c>
      <c r="Y1112" s="1776">
        <f t="shared" si="1379"/>
        <v>19.713374257567214</v>
      </c>
      <c r="Z1112" s="1776">
        <f t="shared" si="1379"/>
        <v>23.197837740039137</v>
      </c>
      <c r="AA1112" s="1776">
        <f t="shared" si="1379"/>
        <v>25.21687370305083</v>
      </c>
      <c r="AB1112" s="1776">
        <f t="shared" si="1379"/>
        <v>26.906252897911333</v>
      </c>
      <c r="AC1112" s="1776">
        <f t="shared" si="1379"/>
        <v>28.910988078721655</v>
      </c>
      <c r="AD1112" s="1777">
        <f>$E$1112*AD1111</f>
        <v>32.590056133078569</v>
      </c>
      <c r="AE1112" s="126">
        <v>31.110170836000002</v>
      </c>
      <c r="AF1112" s="126">
        <f>FISCinyear!IM796</f>
        <v>29.109678345999999</v>
      </c>
      <c r="AG1112" s="126">
        <f>FISCinyear!IP796</f>
        <v>31.955556845572509</v>
      </c>
      <c r="AH1112" s="126">
        <f>FISCinyear!IS796</f>
        <v>52.557892147159194</v>
      </c>
      <c r="AI1112" s="126">
        <f>FISCinyear!IV796</f>
        <v>68.443846874999991</v>
      </c>
      <c r="AJ1112" s="989">
        <f>88.2287350285366+2.84073197125112</f>
        <v>91.069466999787721</v>
      </c>
      <c r="AK1112" s="989">
        <f>97.5755382446687+5.68146394250225</f>
        <v>103.25700218717095</v>
      </c>
      <c r="AL1112" s="989">
        <f>108.7+6.62837459958595</f>
        <v>115.32837459958596</v>
      </c>
      <c r="AM1112" s="989">
        <f>108.7+8.52219591375337</f>
        <v>117.22219591375337</v>
      </c>
      <c r="AN1112" s="989">
        <f>108.7+10.4160172279208</f>
        <v>119.11601722792081</v>
      </c>
      <c r="AO1112" s="989">
        <f>108.7+12.3098385420882</f>
        <v>121.0098385420882</v>
      </c>
      <c r="AP1112" s="989">
        <f t="shared" ref="AP1112:AT1112" si="1380">93.9931139460736+12.3098385420882</f>
        <v>106.30295248816181</v>
      </c>
      <c r="AQ1112" s="989">
        <f t="shared" si="1380"/>
        <v>106.30295248816181</v>
      </c>
      <c r="AR1112" s="989">
        <f t="shared" si="1380"/>
        <v>106.30295248816181</v>
      </c>
      <c r="AS1112" s="989">
        <f t="shared" si="1380"/>
        <v>106.30295248816181</v>
      </c>
      <c r="AT1112" s="989">
        <f t="shared" si="1380"/>
        <v>106.30295248816181</v>
      </c>
      <c r="AV1112" s="2168"/>
      <c r="AW1112" s="2168"/>
      <c r="AX1112" s="2168"/>
      <c r="AY1112" s="2168"/>
      <c r="AZ1112" s="2168"/>
      <c r="BA1112" s="2168"/>
      <c r="BB1112" s="2168"/>
      <c r="BC1112" s="2168"/>
      <c r="BD1112" s="2168"/>
      <c r="BE1112" s="2168"/>
      <c r="BF1112" s="2168"/>
      <c r="BG1112" s="2168"/>
      <c r="BH1112" s="2167"/>
    </row>
    <row r="1113" spans="1:60">
      <c r="A1113" s="1"/>
      <c r="B1113" s="1"/>
      <c r="C1113" s="1"/>
      <c r="D1113" s="1605" t="s">
        <v>586</v>
      </c>
      <c r="E1113" s="346">
        <f>AVERAGE(AE1113:AK1113)/AVERAGE(AE1112:AK1112)</f>
        <v>0.61698857661794093</v>
      </c>
      <c r="F1113" s="346"/>
      <c r="G1113" s="346"/>
      <c r="H1113" s="346"/>
      <c r="I1113" s="346"/>
      <c r="J1113" s="346"/>
      <c r="K1113" s="346"/>
      <c r="L1113" s="346"/>
      <c r="M1113" s="346"/>
      <c r="N1113" s="346"/>
      <c r="O1113" s="346"/>
      <c r="P1113" s="346"/>
      <c r="Q1113" s="346"/>
      <c r="R1113" s="346"/>
      <c r="S1113" s="346"/>
      <c r="T1113" s="346"/>
      <c r="U1113" s="346"/>
      <c r="V1113" s="1778">
        <f>V1112*$E$1113</f>
        <v>5.9157925887540204</v>
      </c>
      <c r="W1113" s="573">
        <f t="shared" ref="W1113:AC1113" si="1381">W1112*$E$1113</f>
        <v>6.663568741162047</v>
      </c>
      <c r="X1113" s="573">
        <f t="shared" si="1381"/>
        <v>6.0159584798726415</v>
      </c>
      <c r="Y1113" s="573">
        <f t="shared" si="1381"/>
        <v>12.162926723513154</v>
      </c>
      <c r="Z1113" s="573">
        <f t="shared" si="1381"/>
        <v>14.3128008878407</v>
      </c>
      <c r="AA1113" s="573">
        <f t="shared" si="1381"/>
        <v>15.558523012799716</v>
      </c>
      <c r="AB1113" s="573">
        <f t="shared" si="1381"/>
        <v>16.600850677604662</v>
      </c>
      <c r="AC1113" s="573">
        <f t="shared" si="1381"/>
        <v>17.837749383308733</v>
      </c>
      <c r="AD1113" s="1779">
        <f>AD1112*$E$1113</f>
        <v>20.107692345446942</v>
      </c>
      <c r="AE1113" s="707">
        <v>17.389476883</v>
      </c>
      <c r="AF1113" s="707">
        <f>FISCinyear!IM797</f>
        <v>18.422083312000002</v>
      </c>
      <c r="AG1113" s="707">
        <f>FISCinyear!IP797</f>
        <v>25.055556845572504</v>
      </c>
      <c r="AH1113" s="707">
        <f>FISCinyear!IS797</f>
        <v>37.329946228975587</v>
      </c>
      <c r="AI1113" s="707">
        <f>FISCinyear!IV797</f>
        <v>41.952938625000002</v>
      </c>
      <c r="AJ1113" s="126">
        <f>48.9299414791717+2.84073197125112</f>
        <v>51.770673450422819</v>
      </c>
      <c r="AK1113" s="126">
        <f>53.8229356270889+5.68146394250225</f>
        <v>59.504399569591151</v>
      </c>
      <c r="AL1113" s="126">
        <f>60+6.62837459958595</f>
        <v>66.628374599585953</v>
      </c>
      <c r="AM1113" s="126">
        <f>60+8.52219591375337</f>
        <v>68.522195913753364</v>
      </c>
      <c r="AN1113" s="126">
        <f>60+10.4160172279208</f>
        <v>70.416017227920804</v>
      </c>
      <c r="AO1113" s="126">
        <f>60+12.3098385420882</f>
        <v>72.309838542088201</v>
      </c>
      <c r="AP1113" s="126">
        <f t="shared" ref="AP1113:AT1113" si="1382">53.8229356270889+12.3098385420882</f>
        <v>66.132774169177097</v>
      </c>
      <c r="AQ1113" s="126">
        <f t="shared" si="1382"/>
        <v>66.132774169177097</v>
      </c>
      <c r="AR1113" s="126">
        <f t="shared" si="1382"/>
        <v>66.132774169177097</v>
      </c>
      <c r="AS1113" s="126">
        <f t="shared" si="1382"/>
        <v>66.132774169177097</v>
      </c>
      <c r="AT1113" s="126">
        <f t="shared" si="1382"/>
        <v>66.132774169177097</v>
      </c>
      <c r="AV1113" s="2168"/>
      <c r="AW1113" s="2168"/>
      <c r="AX1113" s="2168"/>
      <c r="AY1113" s="2168"/>
      <c r="AZ1113" s="2168"/>
      <c r="BA1113" s="2168"/>
      <c r="BB1113" s="2168"/>
      <c r="BC1113" s="2168"/>
      <c r="BD1113" s="2168"/>
      <c r="BE1113" s="2168"/>
      <c r="BF1113" s="2168"/>
      <c r="BG1113" s="2168"/>
      <c r="BH1113" s="2167"/>
    </row>
    <row r="1114" spans="1:60">
      <c r="A1114" s="1"/>
      <c r="B1114" s="1"/>
      <c r="C1114" s="1"/>
      <c r="D1114" s="1606" t="s">
        <v>3197</v>
      </c>
      <c r="E1114" s="346">
        <f>AVERAGE(AE1114:AK1114)/AVERAGE(AE1113:AK1113)</f>
        <v>0.77485887749655724</v>
      </c>
      <c r="F1114" s="346"/>
      <c r="G1114" s="346"/>
      <c r="H1114" s="346"/>
      <c r="I1114" s="346"/>
      <c r="J1114" s="346"/>
      <c r="K1114" s="346"/>
      <c r="L1114" s="346"/>
      <c r="M1114" s="346"/>
      <c r="N1114" s="346"/>
      <c r="O1114" s="346"/>
      <c r="P1114" s="346"/>
      <c r="Q1114" s="346"/>
      <c r="R1114" s="346"/>
      <c r="S1114" s="346"/>
      <c r="T1114" s="346"/>
      <c r="U1114" s="346"/>
      <c r="V1114" s="1778">
        <f>V1113*$E$1114</f>
        <v>4.5839044048243931</v>
      </c>
      <c r="W1114" s="573">
        <f t="shared" ref="W1114:AC1114" si="1383">W1113*$E$1114</f>
        <v>5.1633253948979707</v>
      </c>
      <c r="X1114" s="573">
        <f t="shared" si="1383"/>
        <v>4.6615188347800096</v>
      </c>
      <c r="Y1114" s="573">
        <f t="shared" si="1383"/>
        <v>9.4245517480542809</v>
      </c>
      <c r="Z1114" s="573">
        <f t="shared" si="1383"/>
        <v>11.090400829783972</v>
      </c>
      <c r="AA1114" s="573">
        <f t="shared" si="1383"/>
        <v>12.055659677202343</v>
      </c>
      <c r="AB1114" s="573">
        <f t="shared" si="1383"/>
        <v>12.86331652153671</v>
      </c>
      <c r="AC1114" s="573">
        <f t="shared" si="1383"/>
        <v>13.82173846421551</v>
      </c>
      <c r="AD1114" s="1779">
        <f>AD1113*$E$1114</f>
        <v>15.580623919839134</v>
      </c>
      <c r="AE1114" s="707">
        <v>15.603922534999999</v>
      </c>
      <c r="AF1114" s="707">
        <f>FISCinyear!IM798</f>
        <v>16.913033359</v>
      </c>
      <c r="AG1114" s="707">
        <f>FISCinyear!IP798</f>
        <v>23.107968718572504</v>
      </c>
      <c r="AH1114" s="707">
        <f>FISCinyear!IS798</f>
        <v>27.519180298459524</v>
      </c>
      <c r="AI1114" s="707">
        <f>FISCinyear!IV798</f>
        <v>33.952650497999997</v>
      </c>
      <c r="AJ1114" s="989">
        <f>34.5+2.84073197125112</f>
        <v>37.340731971251117</v>
      </c>
      <c r="AK1114" s="989">
        <f>34.7+5.68146394250225</f>
        <v>40.381463942502251</v>
      </c>
      <c r="AL1114" s="989">
        <f>38.7+6.62837459958595</f>
        <v>45.328374599585956</v>
      </c>
      <c r="AM1114" s="989">
        <f>38.7+8.52219591375337</f>
        <v>47.222195913753374</v>
      </c>
      <c r="AN1114" s="989">
        <f>38.7+10.4160172279208</f>
        <v>49.116017227920807</v>
      </c>
      <c r="AO1114" s="989">
        <f>38.7+12.3098385420882</f>
        <v>51.009838542088204</v>
      </c>
      <c r="AP1114" s="989">
        <f t="shared" ref="AP1114:AT1114" si="1384">34.7+12.3098385420882</f>
        <v>47.009838542088204</v>
      </c>
      <c r="AQ1114" s="989">
        <f t="shared" si="1384"/>
        <v>47.009838542088204</v>
      </c>
      <c r="AR1114" s="989">
        <f t="shared" si="1384"/>
        <v>47.009838542088204</v>
      </c>
      <c r="AS1114" s="989">
        <f t="shared" si="1384"/>
        <v>47.009838542088204</v>
      </c>
      <c r="AT1114" s="989">
        <f t="shared" si="1384"/>
        <v>47.009838542088204</v>
      </c>
      <c r="AV1114" s="2168"/>
      <c r="AW1114" s="2168"/>
      <c r="AX1114" s="2168"/>
      <c r="AY1114" s="2168"/>
      <c r="AZ1114" s="2168"/>
      <c r="BA1114" s="2168"/>
      <c r="BB1114" s="2168"/>
      <c r="BC1114" s="2168"/>
      <c r="BD1114" s="2168"/>
      <c r="BE1114" s="2168"/>
      <c r="BF1114" s="2168"/>
      <c r="BG1114" s="2168"/>
      <c r="BH1114" s="2167"/>
    </row>
    <row r="1115" spans="1:60">
      <c r="A1115" s="1"/>
      <c r="B1115" s="1"/>
      <c r="C1115" s="1"/>
      <c r="D1115" s="1605" t="s">
        <v>587</v>
      </c>
      <c r="E1115" s="346"/>
      <c r="F1115" s="346"/>
      <c r="G1115" s="346"/>
      <c r="H1115" s="346"/>
      <c r="I1115" s="346"/>
      <c r="J1115" s="346"/>
      <c r="K1115" s="346"/>
      <c r="L1115" s="346"/>
      <c r="M1115" s="346"/>
      <c r="N1115" s="346"/>
      <c r="O1115" s="346"/>
      <c r="P1115" s="346"/>
      <c r="Q1115" s="346"/>
      <c r="R1115" s="346"/>
      <c r="S1115" s="346"/>
      <c r="T1115" s="346"/>
      <c r="U1115" s="346"/>
      <c r="V1115" s="1778">
        <f>V1112-V1113</f>
        <v>3.6723794016931679</v>
      </c>
      <c r="W1115" s="573">
        <f t="shared" ref="W1115:AD1115" si="1385">W1112-W1113</f>
        <v>4.1365805544518039</v>
      </c>
      <c r="X1115" s="573">
        <f t="shared" si="1385"/>
        <v>3.7345599379066163</v>
      </c>
      <c r="Y1115" s="573">
        <f t="shared" si="1385"/>
        <v>7.5504475340540598</v>
      </c>
      <c r="Z1115" s="573">
        <f t="shared" si="1385"/>
        <v>8.8850368521984375</v>
      </c>
      <c r="AA1115" s="573">
        <f t="shared" si="1385"/>
        <v>9.6583506902511136</v>
      </c>
      <c r="AB1115" s="573">
        <f t="shared" si="1385"/>
        <v>10.305402220306672</v>
      </c>
      <c r="AC1115" s="573">
        <f t="shared" si="1385"/>
        <v>11.073238695412922</v>
      </c>
      <c r="AD1115" s="1779">
        <f t="shared" si="1385"/>
        <v>12.482363787631627</v>
      </c>
      <c r="AE1115" s="707">
        <v>13.720693953</v>
      </c>
      <c r="AF1115" s="707">
        <f>FISCinyear!IM799</f>
        <v>10.687595033999999</v>
      </c>
      <c r="AG1115" s="707">
        <f>FISCinyear!IP799</f>
        <v>6.9</v>
      </c>
      <c r="AH1115" s="707">
        <f>FISCinyear!IS799</f>
        <v>15.227945918183609</v>
      </c>
      <c r="AI1115" s="707">
        <f>FISCinyear!IV799</f>
        <v>26.490908250000004</v>
      </c>
      <c r="AJ1115" s="126">
        <f t="shared" ref="AJ1115:AM1115" si="1386">AJ1112-AJ1113</f>
        <v>39.298793549364902</v>
      </c>
      <c r="AK1115" s="126">
        <f t="shared" si="1386"/>
        <v>43.752602617579804</v>
      </c>
      <c r="AL1115" s="126">
        <f t="shared" si="1386"/>
        <v>48.7</v>
      </c>
      <c r="AM1115" s="126">
        <f t="shared" si="1386"/>
        <v>48.7</v>
      </c>
      <c r="AN1115" s="126">
        <f t="shared" ref="AN1115:AT1115" si="1387">AN1112-AN1113</f>
        <v>48.7</v>
      </c>
      <c r="AO1115" s="126">
        <f t="shared" si="1387"/>
        <v>48.7</v>
      </c>
      <c r="AP1115" s="126">
        <f t="shared" si="1387"/>
        <v>40.170178318984711</v>
      </c>
      <c r="AQ1115" s="126">
        <f t="shared" si="1387"/>
        <v>40.170178318984711</v>
      </c>
      <c r="AR1115" s="126">
        <f t="shared" si="1387"/>
        <v>40.170178318984711</v>
      </c>
      <c r="AS1115" s="126">
        <f t="shared" si="1387"/>
        <v>40.170178318984711</v>
      </c>
      <c r="AT1115" s="126">
        <f t="shared" si="1387"/>
        <v>40.170178318984711</v>
      </c>
      <c r="AV1115" s="2168"/>
      <c r="AW1115" s="2168"/>
      <c r="AX1115" s="2168"/>
      <c r="AY1115" s="2168"/>
      <c r="AZ1115" s="2168"/>
      <c r="BA1115" s="2168"/>
      <c r="BB1115" s="2168"/>
      <c r="BC1115" s="2168"/>
      <c r="BD1115" s="2168"/>
      <c r="BE1115" s="2168"/>
      <c r="BF1115" s="2168"/>
      <c r="BG1115" s="2168"/>
      <c r="BH1115" s="2167"/>
    </row>
    <row r="1116" spans="1:60">
      <c r="A1116" s="1"/>
      <c r="B1116" s="1"/>
      <c r="C1116" s="1"/>
      <c r="D1116" s="1604" t="s">
        <v>3124</v>
      </c>
      <c r="E1116" s="346"/>
      <c r="F1116" s="346"/>
      <c r="G1116" s="346"/>
      <c r="H1116" s="346"/>
      <c r="I1116" s="346"/>
      <c r="J1116" s="346"/>
      <c r="K1116" s="346"/>
      <c r="L1116" s="346"/>
      <c r="M1116" s="346"/>
      <c r="N1116" s="346"/>
      <c r="O1116" s="346"/>
      <c r="P1116" s="346"/>
      <c r="Q1116" s="346"/>
      <c r="R1116" s="346"/>
      <c r="S1116" s="346"/>
      <c r="T1116" s="346"/>
      <c r="U1116" s="346"/>
      <c r="V1116" s="1778">
        <f>V1111-V1112</f>
        <v>129.26084372778485</v>
      </c>
      <c r="W1116" s="573">
        <f t="shared" ref="W1116:AD1116" si="1388">W1111-W1112</f>
        <v>145.59985070438614</v>
      </c>
      <c r="X1116" s="573">
        <f t="shared" si="1388"/>
        <v>131.44948158222076</v>
      </c>
      <c r="Y1116" s="573">
        <f t="shared" si="1388"/>
        <v>265.76154368043274</v>
      </c>
      <c r="Z1116" s="573">
        <f t="shared" si="1388"/>
        <v>312.73657605696087</v>
      </c>
      <c r="AA1116" s="573">
        <f t="shared" si="1388"/>
        <v>339.95576782319654</v>
      </c>
      <c r="AB1116" s="573">
        <f t="shared" si="1388"/>
        <v>362.73076396650731</v>
      </c>
      <c r="AC1116" s="573">
        <f t="shared" si="1388"/>
        <v>389.7571628651184</v>
      </c>
      <c r="AD1116" s="1779">
        <f t="shared" si="1388"/>
        <v>439.35571421692146</v>
      </c>
      <c r="AE1116" s="707">
        <v>469.262372949</v>
      </c>
      <c r="AF1116" s="707">
        <f>FISCinyear!IM800</f>
        <v>342.29124910500002</v>
      </c>
      <c r="AG1116" s="707">
        <f>FISCinyear!IP800</f>
        <v>623.60555586366002</v>
      </c>
      <c r="AH1116" s="707">
        <f>FISCinyear!IS800</f>
        <v>917.0421078528409</v>
      </c>
      <c r="AI1116" s="707">
        <f>FISCinyear!IV800</f>
        <v>925.19658111500007</v>
      </c>
      <c r="AJ1116" s="707">
        <f>AJ1111-AJ1112</f>
        <v>986.36874420524282</v>
      </c>
      <c r="AK1116" s="707">
        <f>AK1111-AK1112</f>
        <v>1052.3312241676254</v>
      </c>
      <c r="AL1116" s="707">
        <f t="shared" ref="AL1116:AM1116" si="1389">AL1111-AL1112</f>
        <v>1234.374626004357</v>
      </c>
      <c r="AM1116" s="707">
        <f t="shared" si="1389"/>
        <v>1464.9227491062384</v>
      </c>
      <c r="AN1116" s="707">
        <f t="shared" ref="AN1116:AT1116" si="1390">AN1111-AN1112</f>
        <v>1654.8398652529797</v>
      </c>
      <c r="AO1116" s="707">
        <f t="shared" si="1390"/>
        <v>1863.2807717151286</v>
      </c>
      <c r="AP1116" s="707">
        <f t="shared" si="1390"/>
        <v>1991.7098400024138</v>
      </c>
      <c r="AQ1116" s="707">
        <f t="shared" si="1390"/>
        <v>2116.8042912247706</v>
      </c>
      <c r="AR1116" s="707">
        <f t="shared" si="1390"/>
        <v>2493.8463943085135</v>
      </c>
      <c r="AS1116" s="707">
        <f t="shared" si="1390"/>
        <v>532.49337894295672</v>
      </c>
      <c r="AT1116" s="707">
        <f t="shared" si="1390"/>
        <v>532.49337894295672</v>
      </c>
      <c r="AV1116" s="2168"/>
      <c r="AW1116" s="2168"/>
      <c r="AX1116" s="2168"/>
      <c r="AY1116" s="2168"/>
      <c r="AZ1116" s="2168"/>
      <c r="BA1116" s="2168"/>
      <c r="BB1116" s="2168"/>
      <c r="BC1116" s="2168"/>
      <c r="BD1116" s="2168"/>
      <c r="BE1116" s="2168"/>
      <c r="BF1116" s="2168"/>
      <c r="BG1116" s="2168"/>
      <c r="BH1116" s="2167"/>
    </row>
    <row r="1117" spans="1:60">
      <c r="A1117" s="1"/>
      <c r="B1117" s="1"/>
      <c r="C1117" s="1"/>
      <c r="D1117" s="1605" t="s">
        <v>586</v>
      </c>
      <c r="E1117" s="346">
        <f>AVERAGE(AE1117:AK1117)/AVERAGE(AE1116:AK1116)</f>
        <v>0.76510018437276928</v>
      </c>
      <c r="F1117" s="346"/>
      <c r="G1117" s="346"/>
      <c r="H1117" s="346"/>
      <c r="I1117" s="346"/>
      <c r="J1117" s="346"/>
      <c r="K1117" s="346"/>
      <c r="L1117" s="346"/>
      <c r="M1117" s="346"/>
      <c r="N1117" s="346"/>
      <c r="O1117" s="346"/>
      <c r="P1117" s="346"/>
      <c r="Q1117" s="346"/>
      <c r="R1117" s="346"/>
      <c r="S1117" s="346"/>
      <c r="T1117" s="346"/>
      <c r="U1117" s="346"/>
      <c r="V1117" s="1778">
        <f>V1116*$E$1117</f>
        <v>98.897495368307901</v>
      </c>
      <c r="W1117" s="573">
        <f t="shared" ref="W1117:AD1117" si="1391">W1116*$E$1117</f>
        <v>111.39847261857352</v>
      </c>
      <c r="X1117" s="573">
        <f t="shared" si="1391"/>
        <v>100.57202259426204</v>
      </c>
      <c r="Y1117" s="573">
        <f t="shared" si="1391"/>
        <v>203.33420606909087</v>
      </c>
      <c r="Z1117" s="573">
        <f t="shared" si="1391"/>
        <v>239.27481200128935</v>
      </c>
      <c r="AA1117" s="573">
        <f t="shared" si="1391"/>
        <v>260.100220640114</v>
      </c>
      <c r="AB1117" s="573">
        <f t="shared" si="1391"/>
        <v>277.52537438845019</v>
      </c>
      <c r="AC1117" s="573">
        <f t="shared" si="1391"/>
        <v>298.20327716870958</v>
      </c>
      <c r="AD1117" s="1779">
        <f t="shared" si="1391"/>
        <v>336.15113795259634</v>
      </c>
      <c r="AE1117" s="707">
        <v>279.08657524199998</v>
      </c>
      <c r="AF1117" s="707">
        <f>FISCinyear!IM801</f>
        <v>319.57322756299999</v>
      </c>
      <c r="AG1117" s="707">
        <f>FISCinyear!IP801</f>
        <v>488.18254872565996</v>
      </c>
      <c r="AH1117" s="707">
        <f>FISCinyear!IS801</f>
        <v>696.26414528325677</v>
      </c>
      <c r="AI1117" s="707">
        <f>FISCinyear!IV801</f>
        <v>703.73034491099997</v>
      </c>
      <c r="AJ1117" s="126">
        <f>(AJ1116*0.771835963402181)+5.91330412160301</f>
        <v>767.22817407505602</v>
      </c>
      <c r="AK1117" s="126">
        <f>(AK1116*0.77283881673584)</f>
        <v>813.2824180998856</v>
      </c>
      <c r="AL1117" s="126">
        <f>(AL1116*0.769620748157998)</f>
        <v>950.00032317272212</v>
      </c>
      <c r="AM1117" s="126">
        <f>(AM1116*0.748845243645153)</f>
        <v>1097.0004329757885</v>
      </c>
      <c r="AN1117" s="126">
        <f>(AN1116*0.749124744765082)</f>
        <v>1239.6814916847211</v>
      </c>
      <c r="AO1117" s="126">
        <f>(AO1116*0.749288851289729)</f>
        <v>1396.1355090686684</v>
      </c>
      <c r="AP1117" s="126">
        <f t="shared" ref="AP1117:AT1117" si="1392">(AP1116*0.749288851289729)</f>
        <v>1492.3659781178585</v>
      </c>
      <c r="AQ1117" s="126">
        <f t="shared" si="1392"/>
        <v>1586.0978557769774</v>
      </c>
      <c r="AR1117" s="126">
        <f t="shared" si="1392"/>
        <v>1868.6113000844587</v>
      </c>
      <c r="AS1117" s="126">
        <f t="shared" si="1392"/>
        <v>398.99135222755439</v>
      </c>
      <c r="AT1117" s="126">
        <f t="shared" si="1392"/>
        <v>398.99135222755439</v>
      </c>
      <c r="AU1117" s="1241"/>
      <c r="AV1117" s="2168"/>
      <c r="AW1117" s="2168"/>
      <c r="AX1117" s="2168"/>
      <c r="AY1117" s="2168"/>
      <c r="AZ1117" s="2168"/>
      <c r="BA1117" s="2168"/>
      <c r="BB1117" s="2168"/>
      <c r="BC1117" s="2168"/>
      <c r="BD1117" s="2168"/>
      <c r="BE1117" s="2168"/>
      <c r="BF1117" s="2168"/>
      <c r="BG1117" s="2168"/>
      <c r="BH1117" s="2167"/>
    </row>
    <row r="1118" spans="1:60">
      <c r="A1118" s="1"/>
      <c r="B1118" s="1"/>
      <c r="C1118" s="1"/>
      <c r="D1118" s="1606" t="s">
        <v>3197</v>
      </c>
      <c r="E1118" s="346">
        <f>AVERAGE(AE1118:AK1118)/AVERAGE(AE1117:AK1117)</f>
        <v>0.72039616726703615</v>
      </c>
      <c r="F1118" s="346"/>
      <c r="G1118" s="346"/>
      <c r="H1118" s="346"/>
      <c r="I1118" s="346"/>
      <c r="J1118" s="346"/>
      <c r="K1118" s="346"/>
      <c r="L1118" s="346"/>
      <c r="M1118" s="346"/>
      <c r="N1118" s="346"/>
      <c r="O1118" s="346"/>
      <c r="P1118" s="346"/>
      <c r="Q1118" s="346"/>
      <c r="R1118" s="346"/>
      <c r="S1118" s="346"/>
      <c r="T1118" s="346"/>
      <c r="U1118" s="346"/>
      <c r="V1118" s="1778">
        <f>V1117*$E$1118</f>
        <v>71.245376615638477</v>
      </c>
      <c r="W1118" s="573">
        <f t="shared" ref="W1118:AD1118" si="1393">W1117*$E$1118</f>
        <v>80.251032713822241</v>
      </c>
      <c r="X1118" s="573">
        <f t="shared" si="1393"/>
        <v>72.451699611200127</v>
      </c>
      <c r="Y1118" s="573">
        <f t="shared" si="1393"/>
        <v>146.48118272645877</v>
      </c>
      <c r="Z1118" s="573">
        <f t="shared" si="1393"/>
        <v>172.37265748926947</v>
      </c>
      <c r="AA1118" s="573">
        <f t="shared" si="1393"/>
        <v>187.37520205444858</v>
      </c>
      <c r="AB1118" s="573">
        <f t="shared" si="1393"/>
        <v>199.9282160287888</v>
      </c>
      <c r="AC1118" s="573">
        <f t="shared" si="1393"/>
        <v>214.82449793880804</v>
      </c>
      <c r="AD1118" s="1779">
        <f t="shared" si="1393"/>
        <v>242.16199140350315</v>
      </c>
      <c r="AE1118" s="707">
        <v>171.34550633200001</v>
      </c>
      <c r="AF1118" s="707">
        <f>FISCinyear!IM802</f>
        <v>232.29483212399998</v>
      </c>
      <c r="AG1118" s="707">
        <f>FISCinyear!IP802</f>
        <v>308.14194859999998</v>
      </c>
      <c r="AH1118" s="707">
        <f>FISCinyear!IS802</f>
        <v>435.05203846906761</v>
      </c>
      <c r="AI1118" s="707">
        <f>FISCinyear!IV802</f>
        <v>503.040755107</v>
      </c>
      <c r="AJ1118" s="126">
        <f>AI1118*(1+0.15294216181531)</f>
        <v>579.97689567427051</v>
      </c>
      <c r="AK1118" s="126">
        <f>AJ1118*0+AK402*0.0309113497042036</f>
        <v>700.24952601853454</v>
      </c>
      <c r="AL1118" s="126">
        <f>AK1118*0+AL402*0.0308697147749181</f>
        <v>789.10646085040162</v>
      </c>
      <c r="AM1118" s="126">
        <f>AL1118*0+AM402*0.0311471531407786</f>
        <v>896.26157536151288</v>
      </c>
      <c r="AN1118" s="126">
        <f>AM1118*0+AN402*0.0313853334159396</f>
        <v>1014.7948029501683</v>
      </c>
      <c r="AO1118" s="126">
        <f>AN1118*0+AO402*0.03</f>
        <v>1089.8257082761731</v>
      </c>
      <c r="AP1118" s="126">
        <f>AO1118*0+AP402*0.0323702803297165</f>
        <v>1250.8145051649453</v>
      </c>
      <c r="AQ1118" s="126">
        <f>AP1118*0+AQ402*0.0323702803297165</f>
        <v>1320.1461519434224</v>
      </c>
      <c r="AR1118" s="126">
        <f>AQ1118*0+AR402*0.0323702803297165</f>
        <v>1538.4346981201991</v>
      </c>
      <c r="AS1118" s="126">
        <f>AR1118*0+AS402*0.0323702803297165</f>
        <v>407.03505023258759</v>
      </c>
      <c r="AT1118" s="126">
        <f>AS1118*0+AT402*0.0323702803297165</f>
        <v>407.03505023258759</v>
      </c>
      <c r="AU1118" s="2168"/>
      <c r="AV1118" s="2168"/>
      <c r="AW1118" s="2168"/>
      <c r="AX1118" s="2168"/>
      <c r="AY1118" s="2168"/>
      <c r="AZ1118" s="2168"/>
      <c r="BA1118" s="2168"/>
      <c r="BB1118" s="2168"/>
      <c r="BC1118" s="2168"/>
      <c r="BD1118" s="2168"/>
      <c r="BE1118" s="2168"/>
      <c r="BF1118" s="2168"/>
      <c r="BG1118" s="2168"/>
      <c r="BH1118" s="2167"/>
    </row>
    <row r="1119" spans="1:60">
      <c r="A1119" s="1"/>
      <c r="B1119" s="1"/>
      <c r="C1119" s="1"/>
      <c r="D1119" s="1606" t="s">
        <v>3366</v>
      </c>
      <c r="E1119" s="346"/>
      <c r="F1119" s="346"/>
      <c r="G1119" s="346"/>
      <c r="H1119" s="346"/>
      <c r="I1119" s="346"/>
      <c r="J1119" s="346"/>
      <c r="K1119" s="346"/>
      <c r="L1119" s="346"/>
      <c r="M1119" s="346"/>
      <c r="N1119" s="346"/>
      <c r="O1119" s="346"/>
      <c r="P1119" s="346"/>
      <c r="Q1119" s="346"/>
      <c r="R1119" s="346"/>
      <c r="S1119" s="346"/>
      <c r="T1119" s="346"/>
      <c r="U1119" s="346"/>
      <c r="V1119" s="573"/>
      <c r="W1119" s="573"/>
      <c r="X1119" s="573"/>
      <c r="Y1119" s="1662"/>
      <c r="Z1119" s="1662"/>
      <c r="AA1119" s="1662"/>
      <c r="AB1119" s="1662"/>
      <c r="AC1119" s="1662"/>
      <c r="AD1119" s="1662"/>
      <c r="AE1119" s="707"/>
      <c r="AF1119" s="707"/>
      <c r="AG1119" s="707">
        <f>FISCinyear!IP803</f>
        <v>0</v>
      </c>
      <c r="AH1119" s="707">
        <f>FISCinyear!IS803</f>
        <v>0</v>
      </c>
      <c r="AI1119" s="707">
        <f>FISCinyear!IV803</f>
        <v>0</v>
      </c>
      <c r="AJ1119" s="126"/>
      <c r="AK1119" s="126"/>
      <c r="AL1119" s="707"/>
      <c r="AM1119" s="707"/>
      <c r="AN1119" s="707"/>
      <c r="AO1119" s="707"/>
      <c r="AP1119" s="707"/>
      <c r="AQ1119" s="707"/>
      <c r="AR1119" s="707"/>
      <c r="AS1119" s="707"/>
      <c r="AT1119" s="707"/>
      <c r="AU1119" s="2168"/>
      <c r="AV1119" s="2168"/>
      <c r="AW1119" s="2168"/>
      <c r="AX1119" s="2168"/>
      <c r="AY1119" s="2168"/>
      <c r="AZ1119" s="2168"/>
      <c r="BA1119" s="2168"/>
      <c r="BB1119" s="2168"/>
      <c r="BC1119" s="2168"/>
      <c r="BD1119" s="2168"/>
      <c r="BE1119" s="2168"/>
      <c r="BF1119" s="2168"/>
      <c r="BG1119" s="2168"/>
      <c r="BH1119" s="2167"/>
    </row>
    <row r="1120" spans="1:60">
      <c r="A1120" s="1"/>
      <c r="B1120" s="1"/>
      <c r="C1120" s="1"/>
      <c r="D1120" s="1605" t="s">
        <v>587</v>
      </c>
      <c r="E1120" s="346"/>
      <c r="F1120" s="346"/>
      <c r="G1120" s="346"/>
      <c r="H1120" s="346"/>
      <c r="I1120" s="346"/>
      <c r="J1120" s="346"/>
      <c r="K1120" s="346"/>
      <c r="L1120" s="346"/>
      <c r="M1120" s="346"/>
      <c r="N1120" s="346"/>
      <c r="O1120" s="346"/>
      <c r="P1120" s="346"/>
      <c r="Q1120" s="346"/>
      <c r="R1120" s="346"/>
      <c r="S1120" s="346"/>
      <c r="T1120" s="346"/>
      <c r="U1120" s="346"/>
      <c r="V1120" s="1778">
        <f t="shared" ref="V1120:AD1120" si="1394">V1116-V1117</f>
        <v>30.363348359476944</v>
      </c>
      <c r="W1120" s="573">
        <f t="shared" si="1394"/>
        <v>34.201378085812621</v>
      </c>
      <c r="X1120" s="573">
        <f t="shared" si="1394"/>
        <v>30.877458987958718</v>
      </c>
      <c r="Y1120" s="573">
        <f t="shared" si="1394"/>
        <v>62.427337611341869</v>
      </c>
      <c r="Z1120" s="573">
        <f t="shared" si="1394"/>
        <v>73.461764055671523</v>
      </c>
      <c r="AA1120" s="573">
        <f t="shared" si="1394"/>
        <v>79.855547183082535</v>
      </c>
      <c r="AB1120" s="573">
        <f t="shared" si="1394"/>
        <v>85.205389578057122</v>
      </c>
      <c r="AC1120" s="573">
        <f t="shared" si="1394"/>
        <v>91.553885696408827</v>
      </c>
      <c r="AD1120" s="1779">
        <f t="shared" si="1394"/>
        <v>103.20457626432511</v>
      </c>
      <c r="AE1120" s="707">
        <v>128.219590143</v>
      </c>
      <c r="AF1120" s="707">
        <f>FISCinyear!IM804</f>
        <v>169.40523530799999</v>
      </c>
      <c r="AG1120" s="707">
        <f>FISCinyear!IP804</f>
        <v>135.423007138</v>
      </c>
      <c r="AH1120" s="707">
        <f>FISCinyear!IS804</f>
        <v>220.77796256958413</v>
      </c>
      <c r="AI1120" s="707">
        <f>FISCinyear!IV804</f>
        <v>221.46623620400004</v>
      </c>
      <c r="AJ1120" s="126">
        <f t="shared" ref="AJ1120:AT1120" si="1395">AJ1116-AJ1117</f>
        <v>219.1405701301868</v>
      </c>
      <c r="AK1120" s="126">
        <f t="shared" si="1395"/>
        <v>239.04880606773975</v>
      </c>
      <c r="AL1120" s="126">
        <f t="shared" si="1395"/>
        <v>284.37430283163485</v>
      </c>
      <c r="AM1120" s="126">
        <f t="shared" si="1395"/>
        <v>367.92231613044987</v>
      </c>
      <c r="AN1120" s="126">
        <f t="shared" si="1395"/>
        <v>415.15837356825864</v>
      </c>
      <c r="AO1120" s="126">
        <f t="shared" si="1395"/>
        <v>467.1452626464602</v>
      </c>
      <c r="AP1120" s="126">
        <f t="shared" si="1395"/>
        <v>499.34386188455528</v>
      </c>
      <c r="AQ1120" s="126">
        <f t="shared" si="1395"/>
        <v>530.70643544779318</v>
      </c>
      <c r="AR1120" s="126">
        <f t="shared" si="1395"/>
        <v>625.23509422405482</v>
      </c>
      <c r="AS1120" s="126">
        <f t="shared" si="1395"/>
        <v>133.50202671540234</v>
      </c>
      <c r="AT1120" s="126">
        <f t="shared" si="1395"/>
        <v>133.50202671540234</v>
      </c>
      <c r="AU1120" s="1241"/>
      <c r="AV1120" s="2168"/>
      <c r="AW1120" s="2168"/>
      <c r="AX1120" s="2168"/>
      <c r="AY1120" s="2168"/>
      <c r="AZ1120" s="2168"/>
      <c r="BA1120" s="2168"/>
      <c r="BB1120" s="2168"/>
      <c r="BC1120" s="2168"/>
      <c r="BD1120" s="2168"/>
      <c r="BE1120" s="2168"/>
      <c r="BF1120" s="2168"/>
      <c r="BG1120" s="2168"/>
      <c r="BH1120" s="2167"/>
    </row>
    <row r="1121" spans="1:60">
      <c r="A1121" s="1"/>
      <c r="B1121" s="1"/>
      <c r="C1121" s="1"/>
      <c r="D1121" s="1606" t="s">
        <v>3191</v>
      </c>
      <c r="E1121" s="346"/>
      <c r="F1121" s="346"/>
      <c r="G1121" s="346"/>
      <c r="H1121" s="346"/>
      <c r="I1121" s="346"/>
      <c r="J1121" s="346"/>
      <c r="K1121" s="346"/>
      <c r="L1121" s="346"/>
      <c r="M1121" s="346"/>
      <c r="N1121" s="346"/>
      <c r="O1121" s="346"/>
      <c r="P1121" s="346"/>
      <c r="Q1121" s="346"/>
      <c r="R1121" s="346"/>
      <c r="S1121" s="346"/>
      <c r="T1121" s="346"/>
      <c r="U1121" s="346"/>
      <c r="V1121" s="1780"/>
      <c r="W1121" s="1781"/>
      <c r="X1121" s="1781"/>
      <c r="Y1121" s="1782"/>
      <c r="Z1121" s="1782"/>
      <c r="AA1121" s="1782"/>
      <c r="AB1121" s="1782"/>
      <c r="AC1121" s="1782"/>
      <c r="AD1121" s="1783"/>
      <c r="AE1121" s="707">
        <v>0</v>
      </c>
      <c r="AF1121" s="707">
        <f>FISCinyear!IM805</f>
        <v>0</v>
      </c>
      <c r="AG1121" s="707">
        <f>FISCinyear!IP805</f>
        <v>0</v>
      </c>
      <c r="AH1121" s="707">
        <f>FISCinyear!IS805</f>
        <v>0</v>
      </c>
      <c r="AI1121" s="707">
        <f>FISCinyear!IV805</f>
        <v>0</v>
      </c>
      <c r="AJ1121" s="126">
        <v>0</v>
      </c>
      <c r="AK1121" s="126">
        <v>0</v>
      </c>
      <c r="AL1121" s="707">
        <v>0</v>
      </c>
      <c r="AM1121" s="707">
        <v>0</v>
      </c>
      <c r="AN1121" s="707">
        <v>0</v>
      </c>
      <c r="AO1121" s="707">
        <v>0</v>
      </c>
      <c r="AP1121" s="707">
        <v>0</v>
      </c>
      <c r="AQ1121" s="707">
        <v>0</v>
      </c>
      <c r="AR1121" s="707">
        <v>0</v>
      </c>
      <c r="AS1121" s="707">
        <v>0</v>
      </c>
      <c r="AT1121" s="707">
        <v>0</v>
      </c>
      <c r="AV1121" s="2168"/>
      <c r="AW1121" s="2168"/>
      <c r="AX1121" s="2168"/>
      <c r="AY1121" s="2168"/>
      <c r="AZ1121" s="2168"/>
      <c r="BA1121" s="2168"/>
      <c r="BB1121" s="2168"/>
      <c r="BC1121" s="2168"/>
      <c r="BD1121" s="2168"/>
      <c r="BE1121" s="2168"/>
      <c r="BF1121" s="2168"/>
      <c r="BG1121" s="2168"/>
      <c r="BH1121" s="2167"/>
    </row>
    <row r="1122" spans="1:60">
      <c r="A1122" s="1"/>
      <c r="B1122" s="1"/>
      <c r="C1122" s="1"/>
      <c r="D1122" s="1604" t="s">
        <v>3367</v>
      </c>
      <c r="E1122" s="346"/>
      <c r="F1122" s="346"/>
      <c r="G1122" s="346"/>
      <c r="H1122" s="346"/>
      <c r="I1122" s="346"/>
      <c r="J1122" s="346"/>
      <c r="K1122" s="346"/>
      <c r="L1122" s="346"/>
      <c r="M1122" s="346"/>
      <c r="N1122" s="346"/>
      <c r="O1122" s="346"/>
      <c r="P1122" s="346"/>
      <c r="Q1122" s="346"/>
      <c r="R1122" s="346"/>
      <c r="S1122" s="346"/>
      <c r="T1122" s="346"/>
      <c r="U1122" s="346"/>
      <c r="V1122" s="573"/>
      <c r="W1122" s="573"/>
      <c r="X1122" s="573"/>
      <c r="Y1122" s="1662"/>
      <c r="Z1122" s="1662"/>
      <c r="AA1122" s="1662"/>
      <c r="AB1122" s="1662">
        <v>0</v>
      </c>
      <c r="AC1122" s="1662">
        <v>0</v>
      </c>
      <c r="AD1122" s="1662"/>
      <c r="AE1122" s="707"/>
      <c r="AF1122" s="707"/>
      <c r="AG1122" s="707">
        <f>FISCinyear!IP806</f>
        <v>0</v>
      </c>
      <c r="AH1122" s="707">
        <f>FISCinyear!IS806</f>
        <v>0</v>
      </c>
      <c r="AI1122" s="707">
        <f>FISCinyear!IV806</f>
        <v>0</v>
      </c>
      <c r="AJ1122" s="126"/>
      <c r="AK1122" s="126"/>
      <c r="AL1122" s="707"/>
      <c r="AM1122" s="707"/>
      <c r="AN1122" s="707"/>
      <c r="AO1122" s="707"/>
      <c r="AP1122" s="707"/>
      <c r="AQ1122" s="707"/>
      <c r="AR1122" s="707"/>
      <c r="AS1122" s="707"/>
      <c r="AT1122" s="707"/>
      <c r="AV1122" s="2168"/>
      <c r="AW1122" s="2168"/>
      <c r="AX1122" s="2168"/>
      <c r="AY1122" s="2168"/>
      <c r="AZ1122" s="2168"/>
      <c r="BA1122" s="2168"/>
      <c r="BB1122" s="2168"/>
      <c r="BC1122" s="2168"/>
      <c r="BD1122" s="2168"/>
      <c r="BE1122" s="2168"/>
      <c r="BF1122" s="2168"/>
      <c r="BG1122" s="2168"/>
      <c r="BH1122" s="2167"/>
    </row>
    <row r="1123" spans="1:60">
      <c r="A1123" s="1"/>
      <c r="B1123" s="1"/>
      <c r="C1123" s="1"/>
      <c r="D1123" s="1604" t="s">
        <v>3368</v>
      </c>
      <c r="E1123" s="346"/>
      <c r="F1123" s="346"/>
      <c r="G1123" s="346"/>
      <c r="H1123" s="346"/>
      <c r="I1123" s="346"/>
      <c r="J1123" s="346"/>
      <c r="K1123" s="346"/>
      <c r="L1123" s="346"/>
      <c r="M1123" s="346"/>
      <c r="N1123" s="346"/>
      <c r="O1123" s="346"/>
      <c r="P1123" s="346"/>
      <c r="Q1123" s="346"/>
      <c r="R1123" s="346"/>
      <c r="S1123" s="346"/>
      <c r="T1123" s="346"/>
      <c r="U1123" s="346"/>
      <c r="V1123" s="573"/>
      <c r="W1123" s="573"/>
      <c r="X1123" s="573"/>
      <c r="Y1123" s="1662"/>
      <c r="Z1123" s="1662"/>
      <c r="AA1123" s="1662"/>
      <c r="AB1123" s="1662"/>
      <c r="AC1123" s="1662"/>
      <c r="AD1123" s="1662"/>
      <c r="AE1123" s="707"/>
      <c r="AF1123" s="707"/>
      <c r="AG1123" s="707">
        <f>FISCinyear!IP807</f>
        <v>0</v>
      </c>
      <c r="AH1123" s="707">
        <f>FISCinyear!IS807</f>
        <v>0</v>
      </c>
      <c r="AI1123" s="707">
        <f>FISCinyear!IV807</f>
        <v>0</v>
      </c>
      <c r="AJ1123" s="126"/>
      <c r="AK1123" s="126"/>
      <c r="AL1123" s="707"/>
      <c r="AM1123" s="707"/>
      <c r="AN1123" s="707"/>
      <c r="AO1123" s="707"/>
      <c r="AP1123" s="707"/>
      <c r="AQ1123" s="707"/>
      <c r="AR1123" s="707"/>
      <c r="AS1123" s="707"/>
      <c r="AT1123" s="707"/>
      <c r="AV1123" s="2168"/>
      <c r="AW1123" s="2168"/>
      <c r="AX1123" s="2168"/>
      <c r="AY1123" s="2168"/>
      <c r="AZ1123" s="2168"/>
      <c r="BA1123" s="2168"/>
      <c r="BB1123" s="2168"/>
      <c r="BC1123" s="2168"/>
      <c r="BD1123" s="2168"/>
      <c r="BE1123" s="2168"/>
      <c r="BF1123" s="2168"/>
      <c r="BG1123" s="2168"/>
      <c r="BH1123" s="2167"/>
    </row>
    <row r="1124" spans="1:60">
      <c r="A1124" s="1"/>
      <c r="B1124" s="1"/>
      <c r="C1124" s="1"/>
      <c r="D1124" s="1604" t="s">
        <v>466</v>
      </c>
      <c r="E1124" s="346"/>
      <c r="F1124" s="346"/>
      <c r="G1124" s="346"/>
      <c r="H1124" s="346"/>
      <c r="I1124" s="346"/>
      <c r="J1124" s="346"/>
      <c r="K1124" s="346"/>
      <c r="L1124" s="346"/>
      <c r="M1124" s="346"/>
      <c r="N1124" s="346"/>
      <c r="O1124" s="346"/>
      <c r="P1124" s="346"/>
      <c r="Q1124" s="346"/>
      <c r="R1124" s="346"/>
      <c r="S1124" s="346"/>
      <c r="T1124" s="346"/>
      <c r="U1124" s="346"/>
      <c r="V1124" s="126"/>
      <c r="W1124" s="126"/>
      <c r="X1124" s="126"/>
      <c r="Y1124" s="707">
        <v>0</v>
      </c>
      <c r="Z1124" s="707">
        <v>0</v>
      </c>
      <c r="AA1124" s="707">
        <v>0</v>
      </c>
      <c r="AB1124" s="707">
        <v>0</v>
      </c>
      <c r="AC1124" s="707">
        <v>0</v>
      </c>
      <c r="AD1124" s="707">
        <v>0</v>
      </c>
      <c r="AE1124" s="707">
        <v>0</v>
      </c>
      <c r="AF1124" s="707">
        <f>FISCinyear!IM808</f>
        <v>0</v>
      </c>
      <c r="AG1124" s="707">
        <f>FISCinyear!IP808</f>
        <v>0</v>
      </c>
      <c r="AH1124" s="707">
        <f>FISCinyear!IS808</f>
        <v>0</v>
      </c>
      <c r="AI1124" s="707">
        <f>FISCinyear!IV808</f>
        <v>0</v>
      </c>
      <c r="AJ1124" s="707">
        <v>0</v>
      </c>
      <c r="AK1124" s="707">
        <v>0</v>
      </c>
      <c r="AL1124" s="707">
        <v>0</v>
      </c>
      <c r="AM1124" s="707">
        <v>0</v>
      </c>
      <c r="AN1124" s="707">
        <v>0</v>
      </c>
      <c r="AO1124" s="707">
        <v>0</v>
      </c>
      <c r="AP1124" s="707">
        <v>0</v>
      </c>
      <c r="AQ1124" s="707">
        <v>0</v>
      </c>
      <c r="AR1124" s="707">
        <v>0</v>
      </c>
      <c r="AS1124" s="707">
        <v>0</v>
      </c>
      <c r="AT1124" s="707">
        <v>0</v>
      </c>
      <c r="AV1124" s="2168"/>
      <c r="AW1124" s="2168"/>
      <c r="AX1124" s="2168"/>
      <c r="AY1124" s="2168"/>
      <c r="AZ1124" s="2168"/>
      <c r="BA1124" s="2168"/>
      <c r="BB1124" s="2168"/>
      <c r="BC1124" s="2168"/>
      <c r="BD1124" s="2168"/>
      <c r="BE1124" s="2168"/>
      <c r="BF1124" s="2168"/>
      <c r="BG1124" s="2168"/>
      <c r="BH1124" s="2167"/>
    </row>
    <row r="1125" spans="1:60">
      <c r="A1125" s="1"/>
      <c r="B1125" s="1"/>
      <c r="C1125" s="1"/>
      <c r="D1125" s="2002" t="s">
        <v>3602</v>
      </c>
      <c r="E1125" s="346"/>
      <c r="F1125" s="346"/>
      <c r="G1125" s="346"/>
      <c r="H1125" s="346"/>
      <c r="I1125" s="346"/>
      <c r="J1125" s="346"/>
      <c r="K1125" s="346"/>
      <c r="L1125" s="346"/>
      <c r="M1125" s="346"/>
      <c r="N1125" s="346"/>
      <c r="O1125" s="346"/>
      <c r="P1125" s="346"/>
      <c r="Q1125" s="346"/>
      <c r="R1125" s="346"/>
      <c r="S1125" s="346"/>
      <c r="T1125" s="346"/>
      <c r="U1125" s="346"/>
      <c r="V1125" s="126"/>
      <c r="W1125" s="126"/>
      <c r="X1125" s="126"/>
      <c r="Y1125" s="707"/>
      <c r="Z1125" s="707"/>
      <c r="AA1125" s="707"/>
      <c r="AB1125" s="707"/>
      <c r="AC1125" s="707"/>
      <c r="AD1125" s="707"/>
      <c r="AE1125" s="707"/>
      <c r="AF1125" s="707"/>
      <c r="AG1125" s="707"/>
      <c r="AH1125" s="707"/>
      <c r="AI1125" s="707">
        <f>FISCinyear!IV809</f>
        <v>1.9</v>
      </c>
      <c r="AJ1125" s="707"/>
      <c r="AK1125" s="707"/>
      <c r="AL1125" s="707"/>
      <c r="AM1125" s="707"/>
      <c r="AN1125" s="707"/>
      <c r="AO1125" s="707"/>
      <c r="AP1125" s="707"/>
      <c r="AQ1125" s="707"/>
      <c r="AR1125" s="707"/>
      <c r="AS1125" s="707"/>
      <c r="AT1125" s="707"/>
      <c r="AV1125" s="2168"/>
      <c r="AW1125" s="2168"/>
      <c r="AX1125" s="2168"/>
      <c r="AY1125" s="2168"/>
      <c r="AZ1125" s="2168"/>
      <c r="BA1125" s="2168"/>
      <c r="BB1125" s="2168"/>
      <c r="BC1125" s="2168"/>
      <c r="BD1125" s="2168"/>
      <c r="BE1125" s="2168"/>
      <c r="BF1125" s="2168"/>
      <c r="BG1125" s="2168"/>
      <c r="BH1125" s="2167"/>
    </row>
    <row r="1126" spans="1:60">
      <c r="A1126" s="1"/>
      <c r="B1126" s="1"/>
      <c r="C1126" s="1"/>
      <c r="D1126" s="2001" t="s">
        <v>3601</v>
      </c>
      <c r="E1126" s="346"/>
      <c r="F1126" s="346"/>
      <c r="G1126" s="346"/>
      <c r="H1126" s="346"/>
      <c r="I1126" s="346"/>
      <c r="J1126" s="346"/>
      <c r="K1126" s="346"/>
      <c r="L1126" s="346"/>
      <c r="M1126" s="346"/>
      <c r="N1126" s="346"/>
      <c r="O1126" s="346"/>
      <c r="P1126" s="346"/>
      <c r="Q1126" s="346"/>
      <c r="R1126" s="346"/>
      <c r="S1126" s="346"/>
      <c r="T1126" s="346"/>
      <c r="U1126" s="346"/>
      <c r="V1126" s="126"/>
      <c r="W1126" s="126"/>
      <c r="X1126" s="126"/>
      <c r="Y1126" s="707"/>
      <c r="Z1126" s="707"/>
      <c r="AA1126" s="707"/>
      <c r="AB1126" s="707"/>
      <c r="AC1126" s="707"/>
      <c r="AD1126" s="707"/>
      <c r="AE1126" s="707"/>
      <c r="AF1126" s="707"/>
      <c r="AG1126" s="707"/>
      <c r="AH1126" s="707"/>
      <c r="AI1126" s="707">
        <f>FISCinyear!IV810</f>
        <v>0</v>
      </c>
      <c r="AJ1126" s="707">
        <v>19.239999999999998</v>
      </c>
      <c r="AK1126" s="707"/>
      <c r="AL1126" s="707"/>
      <c r="AM1126" s="707"/>
      <c r="AN1126" s="707"/>
      <c r="AO1126" s="707"/>
      <c r="AP1126" s="707"/>
      <c r="AQ1126" s="707"/>
      <c r="AR1126" s="707"/>
      <c r="AS1126" s="707"/>
      <c r="AT1126" s="707"/>
      <c r="AV1126" s="2168"/>
      <c r="AW1126" s="2168"/>
      <c r="AX1126" s="2168"/>
      <c r="AY1126" s="2168"/>
      <c r="AZ1126" s="2168"/>
      <c r="BA1126" s="2168"/>
      <c r="BB1126" s="2168"/>
      <c r="BC1126" s="2168"/>
      <c r="BD1126" s="2168"/>
      <c r="BE1126" s="2168"/>
      <c r="BF1126" s="2168"/>
      <c r="BG1126" s="2168"/>
      <c r="BH1126" s="2167"/>
    </row>
    <row r="1127" spans="1:60">
      <c r="A1127" s="1"/>
      <c r="B1127" s="1"/>
      <c r="C1127" s="1"/>
      <c r="D1127" s="380" t="str">
        <f>+FISCinyear!D811</f>
        <v xml:space="preserve">Social benefits </v>
      </c>
      <c r="E1127" s="346"/>
      <c r="F1127" s="346"/>
      <c r="G1127" s="346"/>
      <c r="H1127" s="346"/>
      <c r="I1127" s="346"/>
      <c r="J1127" s="346"/>
      <c r="K1127" s="346"/>
      <c r="L1127" s="346"/>
      <c r="M1127" s="346"/>
      <c r="N1127" s="346"/>
      <c r="O1127" s="346"/>
      <c r="P1127" s="346"/>
      <c r="Q1127" s="346"/>
      <c r="R1127" s="346"/>
      <c r="S1127" s="346"/>
      <c r="T1127" s="346"/>
      <c r="U1127" s="346"/>
      <c r="V1127" s="126"/>
      <c r="W1127" s="126"/>
      <c r="X1127" s="126"/>
      <c r="Y1127" s="707">
        <f>FISCinyear!HR811</f>
        <v>22.879524976999996</v>
      </c>
      <c r="Z1127" s="707">
        <f>FISCinyear!HU811</f>
        <v>22.560662956999998</v>
      </c>
      <c r="AA1127" s="707">
        <f>FISCinyear!HX811</f>
        <v>24.607141763000001</v>
      </c>
      <c r="AB1127" s="707">
        <f>FISCinyear!IA811</f>
        <v>23.676644539000002</v>
      </c>
      <c r="AC1127" s="707">
        <f>FISCinyear!ID811</f>
        <v>25.178800748</v>
      </c>
      <c r="AD1127" s="707">
        <f>FISCinyear!IG811</f>
        <v>25.820247301999999</v>
      </c>
      <c r="AE1127" s="707">
        <f>FISCinyear!IJ811</f>
        <v>26.669207106000002</v>
      </c>
      <c r="AF1127" s="707">
        <f>FISCinyear!IM811</f>
        <v>41.034068239</v>
      </c>
      <c r="AG1127" s="707">
        <f>FISCinyear!IP811</f>
        <v>56.665979002000007</v>
      </c>
      <c r="AH1127" s="707">
        <f>FISCinyear!IS811</f>
        <v>46.100000000000009</v>
      </c>
      <c r="AI1127" s="707">
        <f>FISCinyear!IV811</f>
        <v>48.931605560999998</v>
      </c>
      <c r="AJ1127" s="126">
        <f t="shared" ref="AJ1127:AT1127" si="1396">AJ617+AJ1128</f>
        <v>67.445155092479808</v>
      </c>
      <c r="AK1127" s="126">
        <f t="shared" si="1396"/>
        <v>74.919976098871814</v>
      </c>
      <c r="AL1127" s="126">
        <f t="shared" si="1396"/>
        <v>76.687439447113761</v>
      </c>
      <c r="AM1127" s="126">
        <f t="shared" si="1396"/>
        <v>86.325216109857465</v>
      </c>
      <c r="AN1127" s="126">
        <f t="shared" si="1396"/>
        <v>97.000225184938145</v>
      </c>
      <c r="AO1127" s="126">
        <f t="shared" si="1396"/>
        <v>108.98257082761732</v>
      </c>
      <c r="AP1127" s="126">
        <f t="shared" si="1396"/>
        <v>115.92249054605887</v>
      </c>
      <c r="AQ1127" s="126">
        <f t="shared" si="1396"/>
        <v>122.34798140424239</v>
      </c>
      <c r="AR1127" s="126">
        <f t="shared" si="1396"/>
        <v>142.57844069776763</v>
      </c>
      <c r="AS1127" s="126">
        <f t="shared" si="1396"/>
        <v>37.723032925876964</v>
      </c>
      <c r="AT1127" s="126">
        <f t="shared" si="1396"/>
        <v>37.723032925876964</v>
      </c>
      <c r="AV1127" s="2168"/>
      <c r="AW1127" s="2168"/>
      <c r="AX1127" s="2168"/>
      <c r="AY1127" s="2168"/>
      <c r="AZ1127" s="2168"/>
      <c r="BA1127" s="2168"/>
      <c r="BB1127" s="2168"/>
      <c r="BC1127" s="2168"/>
      <c r="BD1127" s="2168"/>
      <c r="BE1127" s="2168"/>
      <c r="BF1127" s="2168"/>
      <c r="BG1127" s="2168"/>
      <c r="BH1127" s="2167"/>
    </row>
    <row r="1128" spans="1:60">
      <c r="A1128" s="1"/>
      <c r="B1128" s="1"/>
      <c r="C1128" s="1"/>
      <c r="D1128" s="1906" t="s">
        <v>3404</v>
      </c>
      <c r="E1128" s="346"/>
      <c r="F1128" s="346"/>
      <c r="G1128" s="346"/>
      <c r="H1128" s="346"/>
      <c r="I1128" s="346"/>
      <c r="J1128" s="346"/>
      <c r="K1128" s="346"/>
      <c r="L1128" s="346"/>
      <c r="M1128" s="346"/>
      <c r="N1128" s="346"/>
      <c r="O1128" s="346"/>
      <c r="P1128" s="346"/>
      <c r="Q1128" s="346"/>
      <c r="R1128" s="346"/>
      <c r="S1128" s="346"/>
      <c r="T1128" s="346"/>
      <c r="U1128" s="346"/>
      <c r="V1128" s="126"/>
      <c r="W1128" s="126"/>
      <c r="X1128" s="126"/>
      <c r="Y1128" s="707"/>
      <c r="Z1128" s="707"/>
      <c r="AA1128" s="707"/>
      <c r="AB1128" s="707"/>
      <c r="AC1128" s="707"/>
      <c r="AD1128" s="707"/>
      <c r="AE1128" s="707"/>
      <c r="AF1128" s="707"/>
      <c r="AG1128" s="707"/>
      <c r="AH1128" s="707">
        <f>FISCinyear!IS812</f>
        <v>0</v>
      </c>
      <c r="AI1128" s="707">
        <f>FISCinyear!IV812</f>
        <v>1.2</v>
      </c>
      <c r="AJ1128" s="1910">
        <f t="shared" ref="AJ1128:AT1128" si="1397">AJ619</f>
        <v>7.3440856232414617</v>
      </c>
      <c r="AK1128" s="1910">
        <f t="shared" si="1397"/>
        <v>0</v>
      </c>
      <c r="AL1128" s="1910">
        <f t="shared" si="1397"/>
        <v>0</v>
      </c>
      <c r="AM1128" s="1910">
        <f t="shared" si="1397"/>
        <v>0</v>
      </c>
      <c r="AN1128" s="1910">
        <f t="shared" si="1397"/>
        <v>0</v>
      </c>
      <c r="AO1128" s="1910">
        <f t="shared" si="1397"/>
        <v>0</v>
      </c>
      <c r="AP1128" s="1910">
        <f t="shared" si="1397"/>
        <v>0</v>
      </c>
      <c r="AQ1128" s="1910">
        <f t="shared" si="1397"/>
        <v>0</v>
      </c>
      <c r="AR1128" s="1910">
        <f t="shared" si="1397"/>
        <v>0</v>
      </c>
      <c r="AS1128" s="1910">
        <f t="shared" si="1397"/>
        <v>0</v>
      </c>
      <c r="AT1128" s="1910">
        <f t="shared" si="1397"/>
        <v>0</v>
      </c>
      <c r="AV1128" s="2168"/>
      <c r="AW1128" s="2168"/>
      <c r="AX1128" s="2168"/>
      <c r="AY1128" s="2168"/>
      <c r="AZ1128" s="2168"/>
      <c r="BA1128" s="2168"/>
      <c r="BB1128" s="2168"/>
      <c r="BC1128" s="2168"/>
      <c r="BD1128" s="2168"/>
      <c r="BE1128" s="2168"/>
      <c r="BF1128" s="2168"/>
      <c r="BG1128" s="2168"/>
      <c r="BH1128" s="2167"/>
    </row>
    <row r="1129" spans="1:60">
      <c r="A1129" s="1"/>
      <c r="B1129" s="1"/>
      <c r="C1129" s="1"/>
      <c r="D1129" s="380" t="str">
        <f>+FISCinyear!D813</f>
        <v xml:space="preserve">Other expense </v>
      </c>
      <c r="E1129" s="346"/>
      <c r="F1129" s="346"/>
      <c r="G1129" s="346"/>
      <c r="H1129" s="346"/>
      <c r="I1129" s="346"/>
      <c r="J1129" s="346"/>
      <c r="K1129" s="346"/>
      <c r="L1129" s="346"/>
      <c r="M1129" s="346"/>
      <c r="N1129" s="346"/>
      <c r="O1129" s="346"/>
      <c r="P1129" s="346"/>
      <c r="Q1129" s="346"/>
      <c r="R1129" s="346"/>
      <c r="S1129" s="346"/>
      <c r="T1129" s="346"/>
      <c r="U1129" s="346"/>
      <c r="V1129" s="126"/>
      <c r="W1129" s="126"/>
      <c r="X1129" s="126"/>
      <c r="Y1129" s="707">
        <f>FISCinyear!HR813</f>
        <v>32.209355783700005</v>
      </c>
      <c r="Z1129" s="707">
        <f>FISCinyear!HU813</f>
        <v>67.677090833999998</v>
      </c>
      <c r="AA1129" s="707">
        <f>FISCinyear!HX813</f>
        <v>71.435250250999999</v>
      </c>
      <c r="AB1129" s="707">
        <f>FISCinyear!IA813</f>
        <v>87.523682492999995</v>
      </c>
      <c r="AC1129" s="707">
        <f>FISCinyear!ID813</f>
        <v>107.795415881</v>
      </c>
      <c r="AD1129" s="707">
        <f>FISCinyear!IG813</f>
        <v>170.62252833700001</v>
      </c>
      <c r="AE1129" s="707">
        <f>FISCinyear!IJ813</f>
        <v>144.34993801900001</v>
      </c>
      <c r="AF1129" s="707">
        <f>FISCinyear!IM813</f>
        <v>132.26150189800001</v>
      </c>
      <c r="AG1129" s="707">
        <f>FISCinyear!IP813</f>
        <v>147.01854875399999</v>
      </c>
      <c r="AH1129" s="707">
        <f>FISCinyear!IS813</f>
        <v>127.70000000000002</v>
      </c>
      <c r="AI1129" s="707">
        <f>FISCinyear!IV813</f>
        <v>139.12123366500001</v>
      </c>
      <c r="AJ1129" s="126">
        <f t="shared" ref="AJ1129:AT1129" si="1398">AI1129*(1+AJ622)</f>
        <v>144.29711569243307</v>
      </c>
      <c r="AK1129" s="126">
        <f t="shared" si="1398"/>
        <v>152.98324848558599</v>
      </c>
      <c r="AL1129" s="126">
        <f t="shared" si="1398"/>
        <v>168.65948497698193</v>
      </c>
      <c r="AM1129" s="126">
        <f t="shared" si="1398"/>
        <v>189.89689710093501</v>
      </c>
      <c r="AN1129" s="126">
        <f t="shared" si="1398"/>
        <v>213.82390613565281</v>
      </c>
      <c r="AO1129" s="126">
        <f t="shared" si="1398"/>
        <v>240.76571830874502</v>
      </c>
      <c r="AP1129" s="126">
        <f t="shared" si="1398"/>
        <v>256.0974795557662</v>
      </c>
      <c r="AQ1129" s="126">
        <f t="shared" si="1398"/>
        <v>270.29275784851126</v>
      </c>
      <c r="AR1129" s="126">
        <f t="shared" si="1398"/>
        <v>314.98615264120519</v>
      </c>
      <c r="AS1129" s="126">
        <f t="shared" si="1398"/>
        <v>83.338216837894876</v>
      </c>
      <c r="AT1129" s="126">
        <f t="shared" si="1398"/>
        <v>83.338216837894876</v>
      </c>
      <c r="AV1129" s="2168"/>
      <c r="AW1129" s="2168"/>
      <c r="AX1129" s="2168"/>
      <c r="AY1129" s="2168"/>
      <c r="AZ1129" s="2168"/>
      <c r="BA1129" s="2168"/>
      <c r="BB1129" s="2168"/>
      <c r="BC1129" s="2168"/>
      <c r="BD1129" s="2168"/>
      <c r="BE1129" s="2168"/>
      <c r="BF1129" s="2168"/>
      <c r="BG1129" s="2168"/>
      <c r="BH1129" s="2167"/>
    </row>
    <row r="1130" spans="1:60">
      <c r="A1130" s="1"/>
      <c r="B1130" s="1"/>
      <c r="C1130" s="1"/>
      <c r="D1130" s="379" t="str">
        <f>+FISCinyear!D814</f>
        <v>NET OPERATING BALANCE</v>
      </c>
      <c r="E1130" s="346"/>
      <c r="F1130" s="346"/>
      <c r="G1130" s="346"/>
      <c r="H1130" s="346"/>
      <c r="I1130" s="346"/>
      <c r="J1130" s="346"/>
      <c r="K1130" s="346"/>
      <c r="L1130" s="346"/>
      <c r="M1130" s="346"/>
      <c r="N1130" s="346"/>
      <c r="O1130" s="346"/>
      <c r="P1130" s="346"/>
      <c r="Q1130" s="346"/>
      <c r="R1130" s="346"/>
      <c r="S1130" s="346"/>
      <c r="T1130" s="346"/>
      <c r="U1130" s="346"/>
      <c r="V1130" s="399"/>
      <c r="W1130" s="399"/>
      <c r="X1130" s="399"/>
      <c r="Y1130" s="399"/>
      <c r="Z1130" s="399"/>
      <c r="AA1130" s="399"/>
      <c r="AB1130" s="399"/>
      <c r="AC1130" s="399"/>
      <c r="AD1130" s="399"/>
      <c r="AE1130" s="399"/>
      <c r="AF1130" s="399"/>
      <c r="AG1130" s="399">
        <f>FISCinyear!IP814</f>
        <v>0</v>
      </c>
      <c r="AH1130" s="399">
        <f>FISCinyear!IS814</f>
        <v>0</v>
      </c>
      <c r="AI1130" s="399"/>
      <c r="AJ1130" s="399"/>
      <c r="AK1130" s="399"/>
      <c r="AL1130" s="399"/>
      <c r="AM1130" s="399"/>
      <c r="AN1130" s="399"/>
      <c r="AO1130" s="399"/>
      <c r="AP1130" s="399"/>
      <c r="AQ1130" s="399"/>
      <c r="AR1130" s="399"/>
      <c r="AS1130" s="399"/>
      <c r="AT1130" s="399"/>
      <c r="AV1130" s="2168"/>
      <c r="AW1130" s="2168"/>
      <c r="AX1130" s="2168"/>
      <c r="AY1130" s="2168"/>
      <c r="AZ1130" s="2168"/>
      <c r="BA1130" s="2168"/>
      <c r="BB1130" s="2168"/>
      <c r="BC1130" s="2168"/>
      <c r="BD1130" s="2168"/>
      <c r="BE1130" s="2168"/>
      <c r="BF1130" s="2168"/>
      <c r="BG1130" s="2168"/>
      <c r="BH1130" s="2167"/>
    </row>
    <row r="1131" spans="1:60">
      <c r="A1131" s="1"/>
      <c r="B1131" s="1"/>
      <c r="C1131" s="1"/>
      <c r="D1131" s="384" t="str">
        <f>+FISCinyear!D815</f>
        <v>including grants</v>
      </c>
      <c r="E1131" s="346"/>
      <c r="F1131" s="346"/>
      <c r="G1131" s="346"/>
      <c r="H1131" s="346"/>
      <c r="I1131" s="346"/>
      <c r="J1131" s="399"/>
      <c r="K1131" s="399"/>
      <c r="L1131" s="399"/>
      <c r="M1131" s="399"/>
      <c r="N1131" s="399"/>
      <c r="O1131" s="399"/>
      <c r="P1131" s="399"/>
      <c r="Q1131" s="399"/>
      <c r="R1131" s="399"/>
      <c r="S1131" s="399"/>
      <c r="T1131" s="399"/>
      <c r="U1131" s="346"/>
      <c r="V1131" s="399">
        <f>+V988-V1076</f>
        <v>69.152792576000024</v>
      </c>
      <c r="W1131" s="399">
        <f>+W988-W1076</f>
        <v>106.5</v>
      </c>
      <c r="X1131" s="399">
        <f>+X988-X1076</f>
        <v>70.537953639999841</v>
      </c>
      <c r="Y1131" s="1596">
        <f>FISCinyear!HR815</f>
        <v>435.72515167802987</v>
      </c>
      <c r="Z1131" s="1596">
        <f>FISCinyear!HU815</f>
        <v>431.50247778421027</v>
      </c>
      <c r="AA1131" s="1596">
        <f>FISCinyear!HX815</f>
        <v>394.72056119322792</v>
      </c>
      <c r="AB1131" s="1596">
        <f>FISCinyear!IA815</f>
        <v>292.30449537034173</v>
      </c>
      <c r="AC1131" s="1596">
        <f>FISCinyear!ID815</f>
        <v>383.49023674615614</v>
      </c>
      <c r="AD1131" s="1596">
        <f>FISCinyear!IG815</f>
        <v>398.16377884713467</v>
      </c>
      <c r="AE1131" s="1596">
        <f>FISCinyear!IJ815</f>
        <v>291.83011364423294</v>
      </c>
      <c r="AF1131" s="1596">
        <f>FISCinyear!IM815</f>
        <v>478.8337591087826</v>
      </c>
      <c r="AG1131" s="1596">
        <f>FISCinyear!IP815</f>
        <v>623.21271928181579</v>
      </c>
      <c r="AH1131" s="399">
        <f t="shared" ref="AH1131:AT1131" si="1399">+AH988-AH1076</f>
        <v>542.87255041223671</v>
      </c>
      <c r="AI1131" s="399">
        <f t="shared" si="1399"/>
        <v>638.18640389805569</v>
      </c>
      <c r="AJ1131" s="399">
        <f t="shared" si="1399"/>
        <v>735.57211117482257</v>
      </c>
      <c r="AK1131" s="399">
        <f t="shared" si="1399"/>
        <v>797.94118816673335</v>
      </c>
      <c r="AL1131" s="399">
        <f t="shared" si="1399"/>
        <v>1344.4503873902759</v>
      </c>
      <c r="AM1131" s="399">
        <f t="shared" si="1399"/>
        <v>1601.8692575706473</v>
      </c>
      <c r="AN1131" s="399">
        <f t="shared" si="1399"/>
        <v>1906.0021595437147</v>
      </c>
      <c r="AO1131" s="399">
        <f t="shared" si="1399"/>
        <v>2090.6283830018165</v>
      </c>
      <c r="AP1131" s="399">
        <f t="shared" si="1399"/>
        <v>1729.7228869129895</v>
      </c>
      <c r="AQ1131" s="399">
        <f t="shared" si="1399"/>
        <v>1876.7502415507361</v>
      </c>
      <c r="AR1131" s="399">
        <f t="shared" si="1399"/>
        <v>2589.1441221677042</v>
      </c>
      <c r="AS1131" s="399">
        <f t="shared" si="1399"/>
        <v>-20922.377002029632</v>
      </c>
      <c r="AT1131" s="399">
        <f t="shared" si="1399"/>
        <v>-41274.704703360905</v>
      </c>
      <c r="AV1131" s="2168"/>
      <c r="AW1131" s="2168"/>
      <c r="AX1131" s="2168"/>
      <c r="AY1131" s="2168"/>
      <c r="AZ1131" s="2168"/>
      <c r="BA1131" s="2168"/>
      <c r="BB1131" s="2168"/>
      <c r="BC1131" s="2168"/>
      <c r="BD1131" s="2168"/>
      <c r="BE1131" s="2168"/>
      <c r="BF1131" s="2168"/>
      <c r="BG1131" s="2168"/>
      <c r="BH1131" s="2167"/>
    </row>
    <row r="1132" spans="1:60">
      <c r="A1132" s="1"/>
      <c r="B1132" s="1"/>
      <c r="C1132" s="1"/>
      <c r="D1132" s="384" t="str">
        <f>+FISCinyear!D816</f>
        <v>excluding grants</v>
      </c>
      <c r="E1132" s="346"/>
      <c r="F1132" s="346"/>
      <c r="G1132" s="346"/>
      <c r="H1132" s="346"/>
      <c r="I1132" s="346"/>
      <c r="J1132" s="399"/>
      <c r="K1132" s="399"/>
      <c r="L1132" s="399"/>
      <c r="M1132" s="399"/>
      <c r="N1132" s="399"/>
      <c r="O1132" s="399"/>
      <c r="P1132" s="399"/>
      <c r="Q1132" s="399"/>
      <c r="R1132" s="399"/>
      <c r="S1132" s="399"/>
      <c r="T1132" s="399"/>
      <c r="U1132" s="399"/>
      <c r="V1132" s="399">
        <f>+V1131-V1039</f>
        <v>-309.87297725899998</v>
      </c>
      <c r="W1132" s="399">
        <f>+W1131-W1039</f>
        <v>-350.9</v>
      </c>
      <c r="X1132" s="399">
        <f>+X1131-X1039</f>
        <v>-294.36204636000014</v>
      </c>
      <c r="Y1132" s="1596">
        <f>FISCinyear!HR816</f>
        <v>-38.591505544590241</v>
      </c>
      <c r="Z1132" s="1596">
        <f>FISCinyear!HU816</f>
        <v>15.575070788910715</v>
      </c>
      <c r="AA1132" s="1596">
        <f>FISCinyear!HX816</f>
        <v>21.006955399678517</v>
      </c>
      <c r="AB1132" s="1596">
        <f>FISCinyear!IA816</f>
        <v>-37.877588576176791</v>
      </c>
      <c r="AC1132" s="1596">
        <f>FISCinyear!ID816</f>
        <v>24.581559877445599</v>
      </c>
      <c r="AD1132" s="1596">
        <f>FISCinyear!IG816</f>
        <v>3.4137209909188897</v>
      </c>
      <c r="AE1132" s="1596">
        <f>FISCinyear!IJ816</f>
        <v>-145.72829099963465</v>
      </c>
      <c r="AF1132" s="1596">
        <f>FISCinyear!IM816</f>
        <v>-82.254408692299535</v>
      </c>
      <c r="AG1132" s="1596">
        <f>FISCinyear!IP816</f>
        <v>-200.97164014446568</v>
      </c>
      <c r="AH1132" s="399">
        <f t="shared" ref="AH1132:AT1132" si="1400">+AH1131-AH1039</f>
        <v>-168.43469534271526</v>
      </c>
      <c r="AI1132" s="399">
        <f t="shared" si="1400"/>
        <v>-119.60500563357641</v>
      </c>
      <c r="AJ1132" s="399">
        <f t="shared" si="1400"/>
        <v>109.80337194070944</v>
      </c>
      <c r="AK1132" s="399">
        <f t="shared" si="1400"/>
        <v>212.72617981541373</v>
      </c>
      <c r="AL1132" s="399">
        <f t="shared" si="1400"/>
        <v>684.38376359885922</v>
      </c>
      <c r="AM1132" s="399">
        <f t="shared" si="1400"/>
        <v>862.09888419517347</v>
      </c>
      <c r="AN1132" s="399">
        <f t="shared" si="1400"/>
        <v>1111.6781085163552</v>
      </c>
      <c r="AO1132" s="399">
        <f t="shared" si="1400"/>
        <v>1225.6621431466888</v>
      </c>
      <c r="AP1132" s="399">
        <f t="shared" si="1400"/>
        <v>1373.8848394593042</v>
      </c>
      <c r="AQ1132" s="399">
        <f t="shared" si="1400"/>
        <v>1494.5798669287774</v>
      </c>
      <c r="AR1132" s="399">
        <f t="shared" si="1400"/>
        <v>2185.5638698628982</v>
      </c>
      <c r="AS1132" s="399">
        <f t="shared" si="1400"/>
        <v>-21349.018760665262</v>
      </c>
      <c r="AT1132" s="399">
        <f t="shared" si="1400"/>
        <v>-41721.165240727634</v>
      </c>
      <c r="AV1132" s="2168"/>
      <c r="AW1132" s="2168"/>
      <c r="AX1132" s="2168"/>
      <c r="AY1132" s="2168"/>
      <c r="AZ1132" s="2168"/>
      <c r="BA1132" s="2168"/>
      <c r="BB1132" s="2168"/>
      <c r="BC1132" s="2168"/>
      <c r="BD1132" s="2168"/>
      <c r="BE1132" s="2168"/>
      <c r="BF1132" s="2168"/>
      <c r="BG1132" s="2168"/>
      <c r="BH1132" s="2167"/>
    </row>
    <row r="1133" spans="1:60">
      <c r="A1133" s="1"/>
      <c r="B1133" s="1"/>
      <c r="C1133" s="1"/>
      <c r="D1133" s="379" t="str">
        <f>+FISCinyear!D817</f>
        <v xml:space="preserve">Net Investment in nonfinancial assets </v>
      </c>
      <c r="E1133" s="346"/>
      <c r="F1133" s="346"/>
      <c r="G1133" s="346"/>
      <c r="H1133" s="346"/>
      <c r="I1133" s="399"/>
      <c r="J1133" s="399">
        <f t="shared" ref="J1133:U1133" si="1401">J886</f>
        <v>58.127957459000001</v>
      </c>
      <c r="K1133" s="399">
        <f t="shared" si="1401"/>
        <v>66.411907459000005</v>
      </c>
      <c r="L1133" s="399">
        <f t="shared" si="1401"/>
        <v>58.062550000000002</v>
      </c>
      <c r="M1133" s="399">
        <f t="shared" si="1401"/>
        <v>57.631100000000004</v>
      </c>
      <c r="N1133" s="399">
        <f t="shared" si="1401"/>
        <v>54.473050000000001</v>
      </c>
      <c r="O1133" s="399">
        <f t="shared" si="1401"/>
        <v>66.223749999999995</v>
      </c>
      <c r="P1133" s="399">
        <f t="shared" si="1401"/>
        <v>95.999886279999998</v>
      </c>
      <c r="Q1133" s="399">
        <f t="shared" si="1401"/>
        <v>118.3417973315</v>
      </c>
      <c r="R1133" s="399">
        <f t="shared" si="1401"/>
        <v>131.80000000000001</v>
      </c>
      <c r="S1133" s="399">
        <f t="shared" si="1401"/>
        <v>188.2</v>
      </c>
      <c r="T1133" s="399">
        <f t="shared" si="1401"/>
        <v>306.7</v>
      </c>
      <c r="U1133" s="399">
        <f t="shared" si="1401"/>
        <v>316.70000000000005</v>
      </c>
      <c r="V1133" s="399">
        <f>+V1134+V1138</f>
        <v>382.85996</v>
      </c>
      <c r="W1133" s="399">
        <f>+W1134+W1138</f>
        <v>423.29999999999995</v>
      </c>
      <c r="X1133" s="399">
        <f>+X1134+X1138</f>
        <v>417.23164803700001</v>
      </c>
      <c r="Y1133" s="1596">
        <f>FISCinyear!HR817</f>
        <v>643.37428311067902</v>
      </c>
      <c r="Z1133" s="1596">
        <f>FISCinyear!HU817</f>
        <v>636.11393903343833</v>
      </c>
      <c r="AA1133" s="1596">
        <f>FISCinyear!HX817</f>
        <v>617.4371785504552</v>
      </c>
      <c r="AB1133" s="1596">
        <f>FISCinyear!IA817</f>
        <v>606.86568859482907</v>
      </c>
      <c r="AC1133" s="1596">
        <f>FISCinyear!ID817</f>
        <v>680.76867016215999</v>
      </c>
      <c r="AD1133" s="1596">
        <f>FISCinyear!IG817</f>
        <v>914.67796591778165</v>
      </c>
      <c r="AE1133" s="1596">
        <f>FISCinyear!IJ817</f>
        <v>1033.0979244993659</v>
      </c>
      <c r="AF1133" s="1596">
        <f>FISCinyear!IM817</f>
        <v>1254.856355703309</v>
      </c>
      <c r="AG1133" s="1596">
        <f>FISCinyear!IP817</f>
        <v>1593.17841072333</v>
      </c>
      <c r="AH1133" s="1596">
        <f>FISCinyear!IS817</f>
        <v>1518.4242141577595</v>
      </c>
      <c r="AI1133" s="1596">
        <f>FISCinyear!IV817</f>
        <v>1754.9915240248883</v>
      </c>
      <c r="AJ1133" s="399">
        <f t="shared" ref="AJ1133:AT1133" si="1402">+AJ1134+AJ1138</f>
        <v>1674.3381377769974</v>
      </c>
      <c r="AK1133" s="399">
        <f t="shared" si="1402"/>
        <v>1708.6295175800399</v>
      </c>
      <c r="AL1133" s="399">
        <f t="shared" si="1402"/>
        <v>2122.0559270065419</v>
      </c>
      <c r="AM1133" s="399">
        <f t="shared" si="1402"/>
        <v>2489.9716226419996</v>
      </c>
      <c r="AN1133" s="399">
        <f t="shared" si="1402"/>
        <v>2862.4837753405709</v>
      </c>
      <c r="AO1133" s="399">
        <f t="shared" si="1402"/>
        <v>3200.646815876436</v>
      </c>
      <c r="AP1133" s="399">
        <f t="shared" si="1402"/>
        <v>2983.9522707797332</v>
      </c>
      <c r="AQ1133" s="399">
        <f t="shared" si="1402"/>
        <v>3083.5236033817928</v>
      </c>
      <c r="AR1133" s="399">
        <f t="shared" si="1402"/>
        <v>4003.4811115046623</v>
      </c>
      <c r="AS1133" s="399">
        <f t="shared" si="1402"/>
        <v>-6314.3465309500025</v>
      </c>
      <c r="AT1133" s="399">
        <f t="shared" si="1402"/>
        <v>-6334.4507380113</v>
      </c>
      <c r="AV1133" s="2168"/>
      <c r="AW1133" s="2168"/>
      <c r="AX1133" s="2168"/>
      <c r="AY1133" s="2168"/>
      <c r="AZ1133" s="2168"/>
      <c r="BA1133" s="2168"/>
      <c r="BB1133" s="2168"/>
      <c r="BC1133" s="2168"/>
      <c r="BD1133" s="2168"/>
      <c r="BE1133" s="2168"/>
      <c r="BF1133" s="2168"/>
      <c r="BG1133" s="2168"/>
      <c r="BH1133" s="2167"/>
    </row>
    <row r="1134" spans="1:60">
      <c r="A1134" s="1"/>
      <c r="B1134" s="1"/>
      <c r="C1134" s="1"/>
      <c r="D1134" s="381" t="str">
        <f>+FISCinyear!D818</f>
        <v>Foreign financed</v>
      </c>
      <c r="E1134" s="346"/>
      <c r="F1134" s="346"/>
      <c r="G1134" s="346"/>
      <c r="H1134" s="346"/>
      <c r="I1134" s="346"/>
      <c r="J1134" s="346"/>
      <c r="K1134" s="346"/>
      <c r="L1134" s="346"/>
      <c r="M1134" s="346"/>
      <c r="N1134" s="346"/>
      <c r="O1134" s="346"/>
      <c r="P1134" s="346"/>
      <c r="Q1134" s="346"/>
      <c r="R1134" s="346"/>
      <c r="S1134" s="346"/>
      <c r="T1134" s="346"/>
      <c r="U1134" s="346"/>
      <c r="V1134" s="399">
        <f>V1043+V1046+V1050+V1255</f>
        <v>164</v>
      </c>
      <c r="W1134" s="399">
        <f>W1043+W1046+W1050+W1255</f>
        <v>191.7</v>
      </c>
      <c r="X1134" s="399">
        <f>X1043+X1046+X1050+X1255</f>
        <v>174.9</v>
      </c>
      <c r="Y1134" s="1596">
        <f>FISCinyear!HR818</f>
        <v>369.97105465167897</v>
      </c>
      <c r="Z1134" s="1596">
        <f>FISCinyear!HU818</f>
        <v>340.25690310813093</v>
      </c>
      <c r="AA1134" s="1596">
        <f>FISCinyear!HX818</f>
        <v>271.77461085745529</v>
      </c>
      <c r="AB1134" s="1596">
        <f>FISCinyear!IA818</f>
        <v>306.74917716982901</v>
      </c>
      <c r="AC1134" s="1596">
        <f>FISCinyear!ID818</f>
        <v>339.06041550615998</v>
      </c>
      <c r="AD1134" s="1596">
        <f>FISCinyear!IG818</f>
        <v>448.00399623378166</v>
      </c>
      <c r="AE1134" s="1596">
        <f>FISCinyear!IJ818</f>
        <v>547.79889337836607</v>
      </c>
      <c r="AF1134" s="1596">
        <f>FISCinyear!IM818</f>
        <v>685.31836062930893</v>
      </c>
      <c r="AG1134" s="1596">
        <f>FISCinyear!IP818</f>
        <v>788.70905168233003</v>
      </c>
      <c r="AH1134" s="1596">
        <f>FISCinyear!IS818</f>
        <v>771.47065498229631</v>
      </c>
      <c r="AI1134" s="1596">
        <f>FISCinyear!IV818</f>
        <v>1097.7924341418884</v>
      </c>
      <c r="AJ1134" s="399">
        <f t="shared" ref="AJ1134:AO1134" si="1403">AJ1043+AJ1046+AJ1255-AJ1200-AJ1256</f>
        <v>1007.815081052132</v>
      </c>
      <c r="AK1134" s="399">
        <f t="shared" si="1403"/>
        <v>1036.873794081589</v>
      </c>
      <c r="AL1134" s="399">
        <f t="shared" si="1403"/>
        <v>1163.00492543367</v>
      </c>
      <c r="AM1134" s="399">
        <f t="shared" si="1403"/>
        <v>1261.0513264382253</v>
      </c>
      <c r="AN1134" s="399">
        <f t="shared" si="1403"/>
        <v>1398.5236902448032</v>
      </c>
      <c r="AO1134" s="399">
        <f t="shared" si="1403"/>
        <v>1533.5721423521254</v>
      </c>
      <c r="AP1134" s="399">
        <f>AP1046+AP1255-AP1200</f>
        <v>1211.0841085919567</v>
      </c>
      <c r="AQ1134" s="399">
        <f>AQ1046+AQ1255-AQ1200</f>
        <v>624.99539714588786</v>
      </c>
      <c r="AR1134" s="399">
        <f>AR1046+AR1255-AR1200</f>
        <v>328.22567897148275</v>
      </c>
      <c r="AS1134" s="399">
        <f>AS1046+AS1255-AS1200</f>
        <v>265.2946207375698</v>
      </c>
      <c r="AT1134" s="399">
        <f>AT1046+AT1255-AT1200</f>
        <v>245.19041367627273</v>
      </c>
      <c r="AV1134" s="2168"/>
      <c r="AW1134" s="2168"/>
      <c r="AX1134" s="2168"/>
      <c r="AY1134" s="2168"/>
      <c r="AZ1134" s="2168"/>
      <c r="BA1134" s="2168"/>
      <c r="BB1134" s="2168"/>
      <c r="BC1134" s="2168"/>
      <c r="BD1134" s="2168"/>
      <c r="BE1134" s="2168"/>
      <c r="BF1134" s="2168"/>
      <c r="BG1134" s="2168"/>
      <c r="BH1134" s="2167"/>
    </row>
    <row r="1135" spans="1:60">
      <c r="A1135" s="1"/>
      <c r="B1135" s="1"/>
      <c r="C1135" s="1"/>
      <c r="D1135" s="380" t="s">
        <v>3215</v>
      </c>
      <c r="E1135" s="346"/>
      <c r="F1135" s="346"/>
      <c r="G1135" s="346"/>
      <c r="H1135" s="346"/>
      <c r="I1135" s="346"/>
      <c r="J1135" s="346"/>
      <c r="K1135" s="346"/>
      <c r="L1135" s="346"/>
      <c r="M1135" s="346"/>
      <c r="N1135" s="346"/>
      <c r="O1135" s="346"/>
      <c r="P1135" s="346"/>
      <c r="Q1135" s="346"/>
      <c r="R1135" s="346"/>
      <c r="S1135" s="346"/>
      <c r="T1135" s="346"/>
      <c r="U1135" s="346"/>
      <c r="V1135" s="399"/>
      <c r="W1135" s="399"/>
      <c r="X1135" s="399"/>
      <c r="Y1135" s="1596"/>
      <c r="Z1135" s="1596"/>
      <c r="AA1135" s="1596"/>
      <c r="AB1135" s="1596"/>
      <c r="AC1135" s="1596"/>
      <c r="AD1135" s="1596"/>
      <c r="AE1135" s="126">
        <v>108.650260876</v>
      </c>
      <c r="AF1135" s="126">
        <f>FISCinyear!IM819</f>
        <v>0</v>
      </c>
      <c r="AG1135" s="126">
        <f>FISCinyear!IP819</f>
        <v>0</v>
      </c>
      <c r="AH1135" s="126">
        <f>FISCinyear!IS819</f>
        <v>0</v>
      </c>
      <c r="AI1135" s="126">
        <f>FISCinyear!IV819</f>
        <v>0</v>
      </c>
      <c r="AJ1135" s="399"/>
      <c r="AK1135" s="399"/>
      <c r="AL1135" s="399"/>
      <c r="AM1135" s="399"/>
      <c r="AN1135" s="399"/>
      <c r="AO1135" s="399"/>
      <c r="AP1135" s="399"/>
      <c r="AQ1135" s="399"/>
      <c r="AR1135" s="399"/>
      <c r="AS1135" s="399"/>
      <c r="AT1135" s="399"/>
      <c r="AV1135" s="2168"/>
      <c r="AW1135" s="2168"/>
      <c r="AX1135" s="2168"/>
      <c r="AY1135" s="2168"/>
      <c r="AZ1135" s="2168"/>
      <c r="BA1135" s="2168"/>
      <c r="BB1135" s="2168"/>
      <c r="BC1135" s="2168"/>
      <c r="BD1135" s="2168"/>
      <c r="BE1135" s="2168"/>
      <c r="BF1135" s="2168"/>
      <c r="BG1135" s="2168"/>
      <c r="BH1135" s="2167"/>
    </row>
    <row r="1136" spans="1:60">
      <c r="A1136" s="1"/>
      <c r="B1136" s="1"/>
      <c r="C1136" s="1"/>
      <c r="D1136" s="386" t="s">
        <v>3211</v>
      </c>
      <c r="E1136" s="346"/>
      <c r="F1136" s="346"/>
      <c r="G1136" s="346"/>
      <c r="H1136" s="346"/>
      <c r="I1136" s="346"/>
      <c r="J1136" s="346"/>
      <c r="K1136" s="346"/>
      <c r="L1136" s="346"/>
      <c r="M1136" s="346"/>
      <c r="N1136" s="346"/>
      <c r="O1136" s="346"/>
      <c r="P1136" s="346"/>
      <c r="Q1136" s="346"/>
      <c r="R1136" s="346"/>
      <c r="S1136" s="346"/>
      <c r="T1136" s="346"/>
      <c r="U1136" s="346"/>
      <c r="V1136" s="399"/>
      <c r="W1136" s="399"/>
      <c r="X1136" s="399"/>
      <c r="Y1136" s="1596"/>
      <c r="Z1136" s="1596"/>
      <c r="AA1136" s="1596"/>
      <c r="AB1136" s="1596"/>
      <c r="AC1136" s="1596"/>
      <c r="AD1136" s="1596"/>
      <c r="AE1136" s="1596"/>
      <c r="AF1136" s="1596">
        <f>FISCinyear!IM820</f>
        <v>0</v>
      </c>
      <c r="AG1136" s="1596">
        <f>FISCinyear!IP820</f>
        <v>0</v>
      </c>
      <c r="AH1136" s="1596">
        <f>FISCinyear!IS820</f>
        <v>0</v>
      </c>
      <c r="AI1136" s="1596">
        <f>FISCinyear!IV820</f>
        <v>0</v>
      </c>
      <c r="AJ1136" s="399"/>
      <c r="AK1136" s="399"/>
      <c r="AL1136" s="399"/>
      <c r="AM1136" s="399"/>
      <c r="AN1136" s="399"/>
      <c r="AO1136" s="399"/>
      <c r="AP1136" s="399"/>
      <c r="AQ1136" s="399"/>
      <c r="AR1136" s="399"/>
      <c r="AS1136" s="399"/>
      <c r="AT1136" s="399"/>
      <c r="AV1136" s="2168"/>
      <c r="AW1136" s="2168"/>
      <c r="AX1136" s="2168"/>
      <c r="AY1136" s="2168"/>
      <c r="AZ1136" s="2168"/>
      <c r="BA1136" s="2168"/>
      <c r="BB1136" s="2168"/>
      <c r="BC1136" s="2168"/>
      <c r="BD1136" s="2168"/>
      <c r="BE1136" s="2168"/>
      <c r="BF1136" s="2168"/>
      <c r="BG1136" s="2168"/>
      <c r="BH1136" s="2167"/>
    </row>
    <row r="1137" spans="1:238">
      <c r="A1137" s="1"/>
      <c r="B1137" s="1"/>
      <c r="C1137" s="1"/>
      <c r="D1137" s="1906" t="s">
        <v>3404</v>
      </c>
      <c r="E1137" s="346"/>
      <c r="F1137" s="346"/>
      <c r="G1137" s="346"/>
      <c r="H1137" s="346"/>
      <c r="I1137" s="346"/>
      <c r="J1137" s="346"/>
      <c r="K1137" s="346"/>
      <c r="L1137" s="346"/>
      <c r="M1137" s="346"/>
      <c r="N1137" s="346"/>
      <c r="O1137" s="346"/>
      <c r="P1137" s="346"/>
      <c r="Q1137" s="346"/>
      <c r="R1137" s="346"/>
      <c r="S1137" s="346"/>
      <c r="T1137" s="346"/>
      <c r="U1137" s="346"/>
      <c r="V1137" s="399"/>
      <c r="W1137" s="399"/>
      <c r="X1137" s="399"/>
      <c r="Y1137" s="1596"/>
      <c r="Z1137" s="1596"/>
      <c r="AA1137" s="1596"/>
      <c r="AB1137" s="1596"/>
      <c r="AC1137" s="1596"/>
      <c r="AD1137" s="1596"/>
      <c r="AE1137" s="1596"/>
      <c r="AF1137" s="1596">
        <f>FISCinyear!IM821</f>
        <v>0</v>
      </c>
      <c r="AG1137" s="1596">
        <f>FISCinyear!IP821</f>
        <v>0</v>
      </c>
      <c r="AH1137" s="1596">
        <f>FISCinyear!IS821</f>
        <v>0</v>
      </c>
      <c r="AI1137" s="1596">
        <f>FISCinyear!IV821</f>
        <v>3.3149512113488204</v>
      </c>
      <c r="AJ1137" s="1910">
        <f>58.5082399999738*AJ253/1000</f>
        <v>80.832258151848023</v>
      </c>
      <c r="AK1137" s="1910">
        <f>16.0992190569069*AK253/1000</f>
        <v>24.097104159991034</v>
      </c>
      <c r="AL1137" s="1910">
        <f>2*AL253/1000</f>
        <v>3.2153703751920335</v>
      </c>
      <c r="AM1137" s="1910">
        <f>2*AM253/1000</f>
        <v>3.4282786214322023</v>
      </c>
      <c r="AN1137" s="1910">
        <f t="shared" ref="AN1137:AT1137" si="1404">2*AW254/1000</f>
        <v>0</v>
      </c>
      <c r="AO1137" s="1910">
        <f t="shared" si="1404"/>
        <v>0</v>
      </c>
      <c r="AP1137" s="1910">
        <f t="shared" si="1404"/>
        <v>0</v>
      </c>
      <c r="AQ1137" s="1910">
        <f t="shared" si="1404"/>
        <v>0</v>
      </c>
      <c r="AR1137" s="1910">
        <f t="shared" si="1404"/>
        <v>0</v>
      </c>
      <c r="AS1137" s="1910">
        <f t="shared" si="1404"/>
        <v>0</v>
      </c>
      <c r="AT1137" s="1910">
        <f t="shared" si="1404"/>
        <v>0</v>
      </c>
      <c r="AV1137" s="2168"/>
      <c r="AW1137" s="2168"/>
      <c r="AX1137" s="2168"/>
      <c r="AY1137" s="2168"/>
      <c r="AZ1137" s="2168"/>
      <c r="BA1137" s="2168"/>
      <c r="BB1137" s="2168"/>
      <c r="BC1137" s="2168"/>
      <c r="BD1137" s="2168"/>
      <c r="BE1137" s="2168"/>
      <c r="BF1137" s="2168"/>
      <c r="BG1137" s="2168"/>
      <c r="BH1137" s="2167"/>
    </row>
    <row r="1138" spans="1:238">
      <c r="A1138" s="1"/>
      <c r="B1138" s="1"/>
      <c r="C1138" s="1"/>
      <c r="D1138" s="381" t="str">
        <f>+FISCinyear!D822</f>
        <v>Domestically financed</v>
      </c>
      <c r="E1138" s="346"/>
      <c r="F1138" s="346"/>
      <c r="G1138" s="346"/>
      <c r="H1138" s="346"/>
      <c r="I1138" s="346"/>
      <c r="J1138" s="346"/>
      <c r="K1138" s="346"/>
      <c r="L1138" s="346"/>
      <c r="M1138" s="346"/>
      <c r="N1138" s="346"/>
      <c r="O1138" s="346"/>
      <c r="P1138" s="346"/>
      <c r="Q1138" s="346"/>
      <c r="R1138" s="346"/>
      <c r="S1138" s="346"/>
      <c r="T1138" s="346"/>
      <c r="U1138" s="346"/>
      <c r="V1138" s="399">
        <f>+V1145+V1146+V1147+V1148</f>
        <v>218.85996</v>
      </c>
      <c r="W1138" s="399">
        <f>+W1145+W1146+W1147+W1148</f>
        <v>231.6</v>
      </c>
      <c r="X1138" s="399">
        <f>+X1145+X1146+X1147+X1148</f>
        <v>242.33164803700001</v>
      </c>
      <c r="Y1138" s="1596">
        <f>FISCinyear!HR822</f>
        <v>273.40322845899999</v>
      </c>
      <c r="Z1138" s="1596">
        <f>FISCinyear!HU822</f>
        <v>295.85703592530751</v>
      </c>
      <c r="AA1138" s="1596">
        <f>FISCinyear!HX822</f>
        <v>345.66256769300003</v>
      </c>
      <c r="AB1138" s="1596">
        <f>FISCinyear!IA822</f>
        <v>300.116511425</v>
      </c>
      <c r="AC1138" s="1596">
        <f>FISCinyear!ID822</f>
        <v>341.70825465600001</v>
      </c>
      <c r="AD1138" s="1596">
        <f>FISCinyear!IG822</f>
        <v>466.67396968400004</v>
      </c>
      <c r="AE1138" s="1596">
        <f>FISCinyear!IJ822</f>
        <v>485.29903112100004</v>
      </c>
      <c r="AF1138" s="1596">
        <f>FISCinyear!IM822</f>
        <v>569.53799507400004</v>
      </c>
      <c r="AG1138" s="1596">
        <f>FISCinyear!IP822</f>
        <v>804.46935904099996</v>
      </c>
      <c r="AH1138" s="1596">
        <f>FISCinyear!IS822</f>
        <v>746.95355917546317</v>
      </c>
      <c r="AI1138" s="1596">
        <f>FISCinyear!IV822</f>
        <v>657.19908988299994</v>
      </c>
      <c r="AJ1138" s="126">
        <f>+AJ1145+AJ1146+AJ1147+AJ1148+AJ1139-AJ1144</f>
        <v>666.52305672486546</v>
      </c>
      <c r="AK1138" s="126">
        <f>+AK1145+AK1146+AK1147+AK1148-AK1144</f>
        <v>671.75572349845083</v>
      </c>
      <c r="AL1138" s="126">
        <f t="shared" ref="AL1138:AM1138" si="1405">+AL1145+AL1146+AL1147+AL1148</f>
        <v>959.05100157287177</v>
      </c>
      <c r="AM1138" s="126">
        <f t="shared" si="1405"/>
        <v>1228.9202962037741</v>
      </c>
      <c r="AN1138" s="126">
        <f t="shared" ref="AN1138:AT1138" si="1406">+AN1145+AN1146+AN1147+AN1148</f>
        <v>1463.9600850957679</v>
      </c>
      <c r="AO1138" s="126">
        <f t="shared" si="1406"/>
        <v>1667.0746735243106</v>
      </c>
      <c r="AP1138" s="126">
        <f>+AP1145+AP1146+AP1147+AP1148</f>
        <v>1772.8681621877768</v>
      </c>
      <c r="AQ1138" s="126">
        <f t="shared" si="1406"/>
        <v>2458.5282062359051</v>
      </c>
      <c r="AR1138" s="126">
        <f t="shared" si="1406"/>
        <v>3675.2554325331794</v>
      </c>
      <c r="AS1138" s="126">
        <f t="shared" si="1406"/>
        <v>-6579.6411516875723</v>
      </c>
      <c r="AT1138" s="126">
        <f t="shared" si="1406"/>
        <v>-6579.6411516875723</v>
      </c>
      <c r="AV1138" s="2168"/>
      <c r="AW1138" s="2168"/>
      <c r="AX1138" s="2168"/>
      <c r="AY1138" s="2168"/>
      <c r="AZ1138" s="2168"/>
      <c r="BA1138" s="2168"/>
      <c r="BB1138" s="2168"/>
      <c r="BC1138" s="2168"/>
      <c r="BD1138" s="2168"/>
      <c r="BE1138" s="2168"/>
      <c r="BF1138" s="2168"/>
      <c r="BG1138" s="2168"/>
      <c r="BH1138" s="2167"/>
    </row>
    <row r="1139" spans="1:238">
      <c r="A1139" s="1"/>
      <c r="B1139" s="1"/>
      <c r="C1139" s="1"/>
      <c r="D1139" s="386" t="s">
        <v>3674</v>
      </c>
      <c r="E1139" s="346"/>
      <c r="F1139" s="346"/>
      <c r="G1139" s="346"/>
      <c r="H1139" s="346"/>
      <c r="I1139" s="346"/>
      <c r="J1139" s="346"/>
      <c r="K1139" s="346"/>
      <c r="L1139" s="346"/>
      <c r="M1139" s="346"/>
      <c r="N1139" s="346"/>
      <c r="O1139" s="346"/>
      <c r="P1139" s="346"/>
      <c r="Q1139" s="346"/>
      <c r="R1139" s="346"/>
      <c r="S1139" s="346"/>
      <c r="T1139" s="346"/>
      <c r="U1139" s="346"/>
      <c r="V1139" s="399"/>
      <c r="W1139" s="399"/>
      <c r="X1139" s="399"/>
      <c r="Y1139" s="1596"/>
      <c r="Z1139" s="1596"/>
      <c r="AA1139" s="1596"/>
      <c r="AB1139" s="1596"/>
      <c r="AC1139" s="1596"/>
      <c r="AD1139" s="1596"/>
      <c r="AE1139" s="1596"/>
      <c r="AF1139" s="1596"/>
      <c r="AG1139" s="1596"/>
      <c r="AH1139" s="1596"/>
      <c r="AI1139" s="1596"/>
      <c r="AJ1139" s="126">
        <f>20</f>
        <v>20</v>
      </c>
      <c r="AK1139" s="126"/>
      <c r="AL1139" s="126"/>
      <c r="AM1139" s="126"/>
      <c r="AN1139" s="126"/>
      <c r="AO1139" s="126"/>
      <c r="AP1139" s="126"/>
      <c r="AQ1139" s="126"/>
      <c r="AR1139" s="126"/>
      <c r="AS1139" s="126"/>
      <c r="AT1139" s="126"/>
      <c r="AV1139" s="2168"/>
      <c r="AW1139" s="2168"/>
      <c r="AX1139" s="2168"/>
      <c r="AY1139" s="2168"/>
      <c r="AZ1139" s="2168"/>
      <c r="BA1139" s="2168"/>
      <c r="BB1139" s="2168"/>
      <c r="BC1139" s="2168"/>
      <c r="BD1139" s="2168"/>
      <c r="BE1139" s="2168"/>
      <c r="BF1139" s="2168"/>
      <c r="BG1139" s="2168"/>
      <c r="BH1139" s="2167"/>
    </row>
    <row r="1140" spans="1:238">
      <c r="A1140" s="1"/>
      <c r="B1140" s="1"/>
      <c r="C1140" s="1"/>
      <c r="D1140" s="386" t="s">
        <v>3198</v>
      </c>
      <c r="E1140" s="346"/>
      <c r="F1140" s="346"/>
      <c r="G1140" s="346"/>
      <c r="H1140" s="346"/>
      <c r="I1140" s="346"/>
      <c r="J1140" s="346"/>
      <c r="K1140" s="346"/>
      <c r="L1140" s="346"/>
      <c r="M1140" s="346"/>
      <c r="N1140" s="346"/>
      <c r="O1140" s="346"/>
      <c r="P1140" s="346"/>
      <c r="Q1140" s="346"/>
      <c r="R1140" s="346"/>
      <c r="S1140" s="346"/>
      <c r="T1140" s="346"/>
      <c r="U1140" s="346"/>
      <c r="V1140" s="399"/>
      <c r="W1140" s="399"/>
      <c r="X1140" s="399"/>
      <c r="Y1140" s="1596"/>
      <c r="Z1140" s="1596"/>
      <c r="AA1140" s="1596"/>
      <c r="AB1140" s="1596"/>
      <c r="AC1140" s="1596"/>
      <c r="AD1140" s="1596"/>
      <c r="AE1140" s="707">
        <v>27.4</v>
      </c>
      <c r="AF1140" s="707">
        <f>FISCinyear!IM824</f>
        <v>0</v>
      </c>
      <c r="AG1140" s="707">
        <f>FISCinyear!IP824</f>
        <v>0</v>
      </c>
      <c r="AH1140" s="707">
        <f>FISCinyear!IS824</f>
        <v>0</v>
      </c>
      <c r="AI1140" s="707">
        <f>FISCinyear!IV824</f>
        <v>0</v>
      </c>
      <c r="AJ1140" s="126">
        <v>0</v>
      </c>
      <c r="AK1140" s="126">
        <v>0</v>
      </c>
      <c r="AL1140" s="126">
        <v>0</v>
      </c>
      <c r="AM1140" s="126">
        <v>0</v>
      </c>
      <c r="AN1140" s="126">
        <v>0</v>
      </c>
      <c r="AO1140" s="126">
        <v>0</v>
      </c>
      <c r="AP1140" s="126">
        <v>0</v>
      </c>
      <c r="AQ1140" s="126">
        <v>0</v>
      </c>
      <c r="AR1140" s="126">
        <v>0</v>
      </c>
      <c r="AS1140" s="126">
        <v>0</v>
      </c>
      <c r="AT1140" s="126">
        <v>0</v>
      </c>
      <c r="AV1140" s="2168"/>
      <c r="AW1140" s="2168"/>
      <c r="AX1140" s="2168"/>
      <c r="AY1140" s="2168"/>
      <c r="AZ1140" s="2168"/>
      <c r="BA1140" s="2168"/>
      <c r="BB1140" s="2168"/>
      <c r="BC1140" s="2168"/>
      <c r="BD1140" s="2168"/>
      <c r="BE1140" s="2168"/>
      <c r="BF1140" s="2168"/>
      <c r="BG1140" s="2168"/>
      <c r="BH1140" s="2167"/>
    </row>
    <row r="1141" spans="1:238">
      <c r="A1141" s="1"/>
      <c r="B1141" s="1"/>
      <c r="C1141" s="1"/>
      <c r="D1141" s="1658" t="s">
        <v>3227</v>
      </c>
      <c r="E1141" s="346"/>
      <c r="F1141" s="346"/>
      <c r="G1141" s="346"/>
      <c r="H1141" s="346"/>
      <c r="I1141" s="346"/>
      <c r="J1141" s="346"/>
      <c r="K1141" s="346"/>
      <c r="L1141" s="346"/>
      <c r="M1141" s="346"/>
      <c r="N1141" s="346"/>
      <c r="O1141" s="346"/>
      <c r="P1141" s="346"/>
      <c r="Q1141" s="346"/>
      <c r="R1141" s="346"/>
      <c r="S1141" s="346"/>
      <c r="T1141" s="346"/>
      <c r="U1141" s="346"/>
      <c r="V1141" s="399"/>
      <c r="W1141" s="399"/>
      <c r="X1141" s="399"/>
      <c r="Y1141" s="1596"/>
      <c r="Z1141" s="1596"/>
      <c r="AA1141" s="1596"/>
      <c r="AB1141" s="1596"/>
      <c r="AC1141" s="1596"/>
      <c r="AD1141" s="1596"/>
      <c r="AE1141" s="1596"/>
      <c r="AF1141" s="1596">
        <f>FISCinyear!IM825</f>
        <v>0</v>
      </c>
      <c r="AG1141" s="1596">
        <f>FISCinyear!IP825</f>
        <v>0</v>
      </c>
      <c r="AH1141" s="1596">
        <f>FISCinyear!IS825</f>
        <v>0</v>
      </c>
      <c r="AI1141" s="1596">
        <f>FISCinyear!IV825</f>
        <v>0</v>
      </c>
      <c r="AJ1141" s="126"/>
      <c r="AK1141" s="126"/>
      <c r="AL1141" s="126"/>
      <c r="AM1141" s="126"/>
      <c r="AN1141" s="126"/>
      <c r="AO1141" s="126"/>
      <c r="AP1141" s="126"/>
      <c r="AQ1141" s="126"/>
      <c r="AR1141" s="126"/>
      <c r="AS1141" s="126"/>
      <c r="AT1141" s="126"/>
      <c r="AV1141" s="2168"/>
      <c r="AW1141" s="2168"/>
      <c r="AX1141" s="2168"/>
      <c r="AY1141" s="2168"/>
      <c r="AZ1141" s="2168"/>
      <c r="BA1141" s="2168"/>
      <c r="BB1141" s="2168"/>
      <c r="BC1141" s="2168"/>
      <c r="BD1141" s="2168"/>
      <c r="BE1141" s="2168"/>
      <c r="BF1141" s="2168"/>
      <c r="BG1141" s="2168"/>
      <c r="BH1141" s="2167"/>
    </row>
    <row r="1142" spans="1:238">
      <c r="A1142" s="1"/>
      <c r="B1142" s="1"/>
      <c r="C1142" s="1"/>
      <c r="D1142" s="2113" t="s">
        <v>3404</v>
      </c>
      <c r="E1142" s="346"/>
      <c r="F1142" s="346"/>
      <c r="G1142" s="346"/>
      <c r="H1142" s="346"/>
      <c r="I1142" s="346"/>
      <c r="J1142" s="346"/>
      <c r="K1142" s="346"/>
      <c r="L1142" s="346"/>
      <c r="M1142" s="346"/>
      <c r="N1142" s="346"/>
      <c r="O1142" s="346"/>
      <c r="P1142" s="346"/>
      <c r="Q1142" s="346"/>
      <c r="R1142" s="346"/>
      <c r="S1142" s="346"/>
      <c r="T1142" s="346"/>
      <c r="U1142" s="346"/>
      <c r="V1142" s="399"/>
      <c r="W1142" s="399"/>
      <c r="X1142" s="399"/>
      <c r="Y1142" s="1596"/>
      <c r="Z1142" s="1596"/>
      <c r="AA1142" s="1596"/>
      <c r="AB1142" s="1596"/>
      <c r="AC1142" s="1596"/>
      <c r="AD1142" s="1596"/>
      <c r="AE1142" s="1596"/>
      <c r="AF1142" s="1596"/>
      <c r="AG1142" s="1596"/>
      <c r="AH1142" s="1596">
        <f>FISCinyear!IS826</f>
        <v>0</v>
      </c>
      <c r="AI1142" s="1596">
        <f>FISCinyear!IV826</f>
        <v>44.964103286382404</v>
      </c>
      <c r="AJ1142" s="1910">
        <f t="shared" ref="AJ1142:AT1142" si="1407">AJ635</f>
        <v>0</v>
      </c>
      <c r="AK1142" s="1910">
        <f t="shared" si="1407"/>
        <v>0</v>
      </c>
      <c r="AL1142" s="1910">
        <f t="shared" si="1407"/>
        <v>0</v>
      </c>
      <c r="AM1142" s="1910">
        <f t="shared" si="1407"/>
        <v>0</v>
      </c>
      <c r="AN1142" s="1910">
        <f t="shared" si="1407"/>
        <v>0</v>
      </c>
      <c r="AO1142" s="1910">
        <f t="shared" si="1407"/>
        <v>0</v>
      </c>
      <c r="AP1142" s="1910">
        <f t="shared" si="1407"/>
        <v>0</v>
      </c>
      <c r="AQ1142" s="1910">
        <f t="shared" si="1407"/>
        <v>0</v>
      </c>
      <c r="AR1142" s="1910">
        <f t="shared" si="1407"/>
        <v>0</v>
      </c>
      <c r="AS1142" s="1910">
        <f t="shared" si="1407"/>
        <v>0</v>
      </c>
      <c r="AT1142" s="1910">
        <f t="shared" si="1407"/>
        <v>0</v>
      </c>
      <c r="AV1142" s="2168"/>
      <c r="AW1142" s="2168"/>
      <c r="AX1142" s="2168"/>
      <c r="AY1142" s="2168"/>
      <c r="AZ1142" s="2168"/>
      <c r="BA1142" s="2168"/>
      <c r="BB1142" s="2168"/>
      <c r="BC1142" s="2168"/>
      <c r="BD1142" s="2168"/>
      <c r="BE1142" s="2168"/>
      <c r="BF1142" s="2168"/>
      <c r="BG1142" s="2168"/>
      <c r="BH1142" s="2167"/>
    </row>
    <row r="1143" spans="1:238">
      <c r="A1143" s="1"/>
      <c r="B1143" s="1"/>
      <c r="C1143" s="1"/>
      <c r="D1143" s="2114" t="s">
        <v>3602</v>
      </c>
      <c r="E1143" s="346"/>
      <c r="F1143" s="346"/>
      <c r="G1143" s="346"/>
      <c r="H1143" s="346"/>
      <c r="I1143" s="346"/>
      <c r="J1143" s="346"/>
      <c r="K1143" s="346"/>
      <c r="L1143" s="346"/>
      <c r="M1143" s="346"/>
      <c r="N1143" s="346"/>
      <c r="O1143" s="346"/>
      <c r="P1143" s="346"/>
      <c r="Q1143" s="346"/>
      <c r="R1143" s="346"/>
      <c r="S1143" s="346"/>
      <c r="T1143" s="346"/>
      <c r="U1143" s="346"/>
      <c r="V1143" s="399"/>
      <c r="W1143" s="399"/>
      <c r="X1143" s="399"/>
      <c r="Y1143" s="1596"/>
      <c r="Z1143" s="1596"/>
      <c r="AA1143" s="1596"/>
      <c r="AB1143" s="1596"/>
      <c r="AC1143" s="1596"/>
      <c r="AD1143" s="1596"/>
      <c r="AE1143" s="1596"/>
      <c r="AF1143" s="1596"/>
      <c r="AG1143" s="1596"/>
      <c r="AH1143" s="1596"/>
      <c r="AI1143" s="1596">
        <f>FISCinyear!IV827</f>
        <v>17.140287192999999</v>
      </c>
      <c r="AJ1143" s="1910"/>
      <c r="AK1143" s="1910"/>
      <c r="AL1143" s="1910"/>
      <c r="AM1143" s="1910"/>
      <c r="AN1143" s="1910"/>
      <c r="AO1143" s="1910"/>
      <c r="AP1143" s="1910"/>
      <c r="AQ1143" s="1910"/>
      <c r="AR1143" s="1910"/>
      <c r="AS1143" s="1910"/>
      <c r="AT1143" s="1910"/>
      <c r="AV1143" s="2168"/>
      <c r="AW1143" s="2168"/>
      <c r="AX1143" s="2168"/>
      <c r="AY1143" s="2168"/>
      <c r="AZ1143" s="2168"/>
      <c r="BA1143" s="2168"/>
      <c r="BB1143" s="2168"/>
      <c r="BC1143" s="2168"/>
      <c r="BD1143" s="2168"/>
      <c r="BE1143" s="2168"/>
      <c r="BF1143" s="2168"/>
      <c r="BG1143" s="2168"/>
      <c r="BH1143" s="2167"/>
    </row>
    <row r="1144" spans="1:238">
      <c r="A1144" s="1"/>
      <c r="B1144" s="1"/>
      <c r="C1144" s="1"/>
      <c r="D1144" s="2115" t="s">
        <v>3601</v>
      </c>
      <c r="E1144" s="346"/>
      <c r="F1144" s="346"/>
      <c r="G1144" s="346"/>
      <c r="H1144" s="346"/>
      <c r="I1144" s="346"/>
      <c r="J1144" s="346"/>
      <c r="K1144" s="346"/>
      <c r="L1144" s="346"/>
      <c r="M1144" s="346"/>
      <c r="N1144" s="346"/>
      <c r="O1144" s="346"/>
      <c r="P1144" s="346"/>
      <c r="Q1144" s="346"/>
      <c r="R1144" s="346"/>
      <c r="S1144" s="346"/>
      <c r="T1144" s="346"/>
      <c r="U1144" s="346"/>
      <c r="V1144" s="399"/>
      <c r="W1144" s="399"/>
      <c r="X1144" s="399"/>
      <c r="Y1144" s="1596"/>
      <c r="Z1144" s="1596"/>
      <c r="AA1144" s="1596"/>
      <c r="AB1144" s="1596"/>
      <c r="AC1144" s="1596"/>
      <c r="AD1144" s="1596"/>
      <c r="AE1144" s="1596"/>
      <c r="AF1144" s="1596"/>
      <c r="AG1144" s="1596"/>
      <c r="AH1144" s="1596"/>
      <c r="AI1144" s="1596">
        <f>FISCinyear!IV828</f>
        <v>0</v>
      </c>
      <c r="AJ1144" s="1910"/>
      <c r="AK1144" s="1910"/>
      <c r="AL1144" s="1910"/>
      <c r="AM1144" s="1910"/>
      <c r="AN1144" s="1910"/>
      <c r="AO1144" s="1910"/>
      <c r="AP1144" s="1910"/>
      <c r="AQ1144" s="1910"/>
      <c r="AR1144" s="1910"/>
      <c r="AS1144" s="1910"/>
      <c r="AT1144" s="1910"/>
      <c r="AV1144" s="2168"/>
      <c r="AW1144" s="2168"/>
      <c r="AX1144" s="2168"/>
      <c r="AY1144" s="2168"/>
      <c r="AZ1144" s="2168"/>
      <c r="BA1144" s="2168"/>
      <c r="BB1144" s="2168"/>
      <c r="BC1144" s="2168"/>
      <c r="BD1144" s="2168"/>
      <c r="BE1144" s="2168"/>
      <c r="BF1144" s="2168"/>
      <c r="BG1144" s="2168"/>
      <c r="BH1144" s="2167"/>
    </row>
    <row r="1145" spans="1:238">
      <c r="A1145" s="1"/>
      <c r="B1145" s="1"/>
      <c r="C1145" s="1"/>
      <c r="D1145" s="382" t="str">
        <f>+FISCinyear!D829</f>
        <v xml:space="preserve">Fixed assets </v>
      </c>
      <c r="E1145" s="346"/>
      <c r="F1145" s="346"/>
      <c r="G1145" s="346"/>
      <c r="H1145" s="346"/>
      <c r="I1145" s="346"/>
      <c r="J1145" s="346"/>
      <c r="K1145" s="346"/>
      <c r="L1145" s="346"/>
      <c r="M1145" s="346"/>
      <c r="N1145" s="346"/>
      <c r="O1145" s="346"/>
      <c r="P1145" s="346"/>
      <c r="Q1145" s="346"/>
      <c r="R1145" s="346"/>
      <c r="S1145" s="346"/>
      <c r="T1145" s="346"/>
      <c r="U1145" s="346"/>
      <c r="V1145" s="126">
        <f>+V754</f>
        <v>218.85996</v>
      </c>
      <c r="W1145" s="126">
        <f>+W754</f>
        <v>231.6</v>
      </c>
      <c r="X1145" s="126">
        <f>+X754</f>
        <v>239.4</v>
      </c>
      <c r="Y1145" s="707">
        <f>FISCinyear!HR829</f>
        <v>269.53389808000003</v>
      </c>
      <c r="Z1145" s="707">
        <f>FISCinyear!HU829</f>
        <v>290.09552457930749</v>
      </c>
      <c r="AA1145" s="707">
        <f>FISCinyear!HX829</f>
        <v>332.663038046</v>
      </c>
      <c r="AB1145" s="707">
        <f>FISCinyear!IA829</f>
        <v>291.91221423499996</v>
      </c>
      <c r="AC1145" s="707">
        <f>FISCinyear!ID829</f>
        <v>332.97099340099999</v>
      </c>
      <c r="AD1145" s="707">
        <f>FISCinyear!IG829</f>
        <v>450.37263312300001</v>
      </c>
      <c r="AE1145" s="707">
        <f>FISCinyear!IJ829</f>
        <v>465.15369179000004</v>
      </c>
      <c r="AF1145" s="707">
        <f>FISCinyear!IM829</f>
        <v>556.65389308900001</v>
      </c>
      <c r="AG1145" s="707">
        <f>FISCinyear!IP829</f>
        <v>800.17701534499997</v>
      </c>
      <c r="AH1145" s="707">
        <f>FISCinyear!IS829</f>
        <v>746.95355917546317</v>
      </c>
      <c r="AI1145" s="707">
        <f>FISCinyear!IV829</f>
        <v>657.19908988299994</v>
      </c>
      <c r="AJ1145" s="126">
        <f t="shared" ref="AJ1145:AT1145" si="1408">(AI1145-AI1142)*(1+AJ630)+AJ1142</f>
        <v>640.79993179686551</v>
      </c>
      <c r="AK1145" s="126">
        <f t="shared" si="1408"/>
        <v>666.03259857045089</v>
      </c>
      <c r="AL1145" s="126">
        <f t="shared" si="1408"/>
        <v>953.32787664487182</v>
      </c>
      <c r="AM1145" s="126">
        <f t="shared" si="1408"/>
        <v>1223.1971712757741</v>
      </c>
      <c r="AN1145" s="126">
        <f t="shared" si="1408"/>
        <v>1458.2369601677678</v>
      </c>
      <c r="AO1145" s="126">
        <f t="shared" si="1408"/>
        <v>1661.3515485963105</v>
      </c>
      <c r="AP1145" s="126">
        <f t="shared" si="1408"/>
        <v>1767.1450372597767</v>
      </c>
      <c r="AQ1145" s="126">
        <f t="shared" si="1408"/>
        <v>2452.8050813079053</v>
      </c>
      <c r="AR1145" s="126">
        <f t="shared" si="1408"/>
        <v>3669.5323076051795</v>
      </c>
      <c r="AS1145" s="126">
        <f t="shared" si="1408"/>
        <v>-6585.3642766155726</v>
      </c>
      <c r="AT1145" s="126">
        <f t="shared" si="1408"/>
        <v>-6585.3642766155726</v>
      </c>
      <c r="AV1145" s="2168"/>
      <c r="AW1145" s="2168"/>
      <c r="AX1145" s="2168"/>
      <c r="AY1145" s="2168"/>
      <c r="AZ1145" s="2168"/>
      <c r="BA1145" s="2168"/>
      <c r="BB1145" s="2168"/>
      <c r="BC1145" s="2168"/>
      <c r="BD1145" s="2168"/>
      <c r="BE1145" s="2168"/>
      <c r="BF1145" s="2168"/>
      <c r="BG1145" s="2168"/>
      <c r="BH1145" s="2167"/>
    </row>
    <row r="1146" spans="1:238">
      <c r="A1146" s="1"/>
      <c r="B1146" s="1"/>
      <c r="C1146" s="1"/>
      <c r="D1146" s="382" t="str">
        <f>+FISCinyear!D830</f>
        <v xml:space="preserve">Inventories </v>
      </c>
      <c r="E1146" s="346"/>
      <c r="F1146" s="346"/>
      <c r="G1146" s="346"/>
      <c r="H1146" s="346"/>
      <c r="I1146" s="346"/>
      <c r="J1146" s="346"/>
      <c r="K1146" s="346"/>
      <c r="L1146" s="346"/>
      <c r="M1146" s="346"/>
      <c r="N1146" s="346"/>
      <c r="O1146" s="346"/>
      <c r="P1146" s="346"/>
      <c r="Q1146" s="346"/>
      <c r="R1146" s="346"/>
      <c r="S1146" s="346"/>
      <c r="T1146" s="346"/>
      <c r="U1146" s="346"/>
      <c r="V1146" s="126"/>
      <c r="W1146" s="126"/>
      <c r="X1146" s="707">
        <f>FISCinyear!HQ830</f>
        <v>1.153835459</v>
      </c>
      <c r="Y1146" s="707">
        <f>FISCinyear!HR830</f>
        <v>2.0915178010000002</v>
      </c>
      <c r="Z1146" s="707">
        <f>FISCinyear!HU830</f>
        <v>1.6960090000000001</v>
      </c>
      <c r="AA1146" s="707">
        <f>FISCinyear!HX830</f>
        <v>2.2406839769999998</v>
      </c>
      <c r="AB1146" s="707">
        <f>FISCinyear!IA830</f>
        <v>0</v>
      </c>
      <c r="AC1146" s="707">
        <f>FISCinyear!ID830</f>
        <v>0</v>
      </c>
      <c r="AD1146" s="707">
        <f>FISCinyear!IG830</f>
        <v>0</v>
      </c>
      <c r="AE1146" s="707">
        <f>FISCinyear!IJ830</f>
        <v>6.978548</v>
      </c>
      <c r="AF1146" s="707">
        <f>FISCinyear!IM830</f>
        <v>5.8519398650000003</v>
      </c>
      <c r="AG1146" s="707">
        <f>FISCinyear!IP830</f>
        <v>4.2923436959999997</v>
      </c>
      <c r="AH1146" s="707">
        <f>FISCinyear!IS830</f>
        <v>0</v>
      </c>
      <c r="AI1146" s="707">
        <f>FISCinyear!IV830</f>
        <v>0</v>
      </c>
      <c r="AJ1146" s="126">
        <v>5.7231249279999998</v>
      </c>
      <c r="AK1146" s="126">
        <v>5.7231249279999998</v>
      </c>
      <c r="AL1146" s="126">
        <v>5.7231249279999998</v>
      </c>
      <c r="AM1146" s="126">
        <v>5.7231249279999998</v>
      </c>
      <c r="AN1146" s="126">
        <v>5.7231249279999998</v>
      </c>
      <c r="AO1146" s="126">
        <v>5.7231249279999998</v>
      </c>
      <c r="AP1146" s="126">
        <v>5.7231249279999998</v>
      </c>
      <c r="AQ1146" s="126">
        <v>5.7231249279999998</v>
      </c>
      <c r="AR1146" s="126">
        <v>5.7231249279999998</v>
      </c>
      <c r="AS1146" s="126">
        <v>5.7231249279999998</v>
      </c>
      <c r="AT1146" s="126">
        <v>5.7231249279999998</v>
      </c>
      <c r="AV1146" s="2168"/>
      <c r="AW1146" s="2168"/>
      <c r="AX1146" s="2168"/>
      <c r="AY1146" s="2168"/>
      <c r="AZ1146" s="2168"/>
      <c r="BA1146" s="2168"/>
      <c r="BB1146" s="2168"/>
      <c r="BC1146" s="2168"/>
      <c r="BD1146" s="2168"/>
      <c r="BE1146" s="2168"/>
      <c r="BF1146" s="2168"/>
      <c r="BG1146" s="2168"/>
      <c r="BH1146" s="2167"/>
    </row>
    <row r="1147" spans="1:238">
      <c r="A1147" s="1"/>
      <c r="B1147" s="1"/>
      <c r="C1147" s="1"/>
      <c r="D1147" s="382" t="str">
        <f>+FISCinyear!D831</f>
        <v xml:space="preserve">Valuables </v>
      </c>
      <c r="E1147" s="346"/>
      <c r="F1147" s="346"/>
      <c r="G1147" s="346"/>
      <c r="H1147" s="346"/>
      <c r="I1147" s="346"/>
      <c r="J1147" s="346"/>
      <c r="K1147" s="346"/>
      <c r="L1147" s="346"/>
      <c r="M1147" s="346"/>
      <c r="N1147" s="346"/>
      <c r="O1147" s="346"/>
      <c r="P1147" s="346"/>
      <c r="Q1147" s="346"/>
      <c r="R1147" s="346"/>
      <c r="S1147" s="346"/>
      <c r="T1147" s="346"/>
      <c r="U1147" s="346"/>
      <c r="V1147" s="126"/>
      <c r="W1147" s="126"/>
      <c r="X1147" s="707">
        <f>FISCinyear!HQ831</f>
        <v>0</v>
      </c>
      <c r="Y1147" s="707">
        <f>FISCinyear!HR831</f>
        <v>0</v>
      </c>
      <c r="Z1147" s="707">
        <f>FISCinyear!HU831</f>
        <v>0</v>
      </c>
      <c r="AA1147" s="707">
        <f>FISCinyear!HX831</f>
        <v>0</v>
      </c>
      <c r="AB1147" s="707">
        <f>FISCinyear!IA831</f>
        <v>7.9305466779999998</v>
      </c>
      <c r="AC1147" s="707">
        <f>FISCinyear!ID831</f>
        <v>8.6864717049999989</v>
      </c>
      <c r="AD1147" s="707">
        <f>FISCinyear!IG831</f>
        <v>0</v>
      </c>
      <c r="AE1147" s="707">
        <f>FISCinyear!IJ831</f>
        <v>0</v>
      </c>
      <c r="AF1147" s="707">
        <f>FISCinyear!IM831</f>
        <v>0</v>
      </c>
      <c r="AG1147" s="707">
        <f>FISCinyear!IP831</f>
        <v>0</v>
      </c>
      <c r="AH1147" s="707">
        <f>FISCinyear!IS831</f>
        <v>0</v>
      </c>
      <c r="AI1147" s="707">
        <f>FISCinyear!IV831</f>
        <v>0</v>
      </c>
      <c r="AJ1147" s="126">
        <f t="shared" ref="AJ1147:AM1147" si="1409">AI1147</f>
        <v>0</v>
      </c>
      <c r="AK1147" s="126">
        <f t="shared" si="1409"/>
        <v>0</v>
      </c>
      <c r="AL1147" s="126">
        <f t="shared" si="1409"/>
        <v>0</v>
      </c>
      <c r="AM1147" s="126">
        <f t="shared" si="1409"/>
        <v>0</v>
      </c>
      <c r="AN1147" s="126">
        <f t="shared" ref="AN1147" si="1410">AM1147</f>
        <v>0</v>
      </c>
      <c r="AO1147" s="126">
        <f t="shared" ref="AO1147" si="1411">AN1147</f>
        <v>0</v>
      </c>
      <c r="AP1147" s="126">
        <f t="shared" ref="AP1147" si="1412">AO1147</f>
        <v>0</v>
      </c>
      <c r="AQ1147" s="126">
        <f t="shared" ref="AQ1147" si="1413">AP1147</f>
        <v>0</v>
      </c>
      <c r="AR1147" s="126">
        <f t="shared" ref="AR1147" si="1414">AQ1147</f>
        <v>0</v>
      </c>
      <c r="AS1147" s="126">
        <f t="shared" ref="AS1147" si="1415">AR1147</f>
        <v>0</v>
      </c>
      <c r="AT1147" s="126">
        <f t="shared" ref="AT1147" si="1416">AS1147</f>
        <v>0</v>
      </c>
      <c r="AU1147" s="1746"/>
      <c r="AV1147" s="2168"/>
      <c r="AW1147" s="2168"/>
      <c r="AX1147" s="2168"/>
      <c r="AY1147" s="2168"/>
      <c r="AZ1147" s="2168"/>
      <c r="BA1147" s="2168"/>
      <c r="BB1147" s="2168"/>
      <c r="BC1147" s="2168"/>
      <c r="BD1147" s="2168"/>
      <c r="BE1147" s="2168"/>
      <c r="BF1147" s="2168"/>
      <c r="BG1147" s="2168"/>
      <c r="BH1147" s="2167"/>
      <c r="CF1147" s="16"/>
      <c r="CG1147" s="16"/>
      <c r="CH1147" s="16"/>
      <c r="CI1147" s="16"/>
      <c r="CJ1147" s="16"/>
      <c r="CK1147" s="16"/>
      <c r="CL1147" s="16"/>
      <c r="CM1147" s="16"/>
      <c r="CN1147" s="16"/>
      <c r="CO1147" s="16"/>
      <c r="CP1147" s="16"/>
      <c r="CQ1147" s="16"/>
      <c r="CR1147" s="16"/>
      <c r="CS1147" s="16"/>
      <c r="CT1147" s="16"/>
      <c r="CU1147" s="16"/>
      <c r="CV1147" s="16"/>
      <c r="CW1147" s="16"/>
      <c r="CX1147" s="16"/>
      <c r="CY1147" s="16"/>
      <c r="CZ1147" s="16"/>
      <c r="DA1147" s="16"/>
      <c r="DB1147" s="16"/>
      <c r="DC1147" s="16"/>
      <c r="DD1147" s="16"/>
      <c r="DE1147" s="16"/>
      <c r="DF1147" s="16"/>
      <c r="DG1147" s="16"/>
      <c r="DH1147" s="16"/>
      <c r="DI1147" s="16"/>
      <c r="DJ1147" s="16"/>
      <c r="DK1147" s="16"/>
      <c r="DL1147" s="16"/>
      <c r="DM1147" s="16"/>
      <c r="DN1147" s="16"/>
      <c r="DO1147" s="16"/>
      <c r="DP1147" s="16"/>
      <c r="DQ1147" s="16"/>
      <c r="DR1147" s="16"/>
      <c r="DS1147" s="16"/>
      <c r="DT1147" s="16"/>
      <c r="DU1147" s="16"/>
      <c r="DV1147" s="16"/>
      <c r="DW1147" s="16"/>
      <c r="DX1147" s="16"/>
      <c r="DY1147" s="16"/>
      <c r="DZ1147" s="16"/>
      <c r="EA1147" s="16"/>
      <c r="EB1147" s="16"/>
      <c r="EC1147" s="16"/>
      <c r="ED1147" s="16"/>
      <c r="EE1147" s="16"/>
      <c r="EF1147" s="16"/>
      <c r="EG1147" s="16"/>
      <c r="EH1147" s="16"/>
      <c r="EI1147" s="16"/>
      <c r="EJ1147" s="16"/>
      <c r="EK1147" s="16"/>
      <c r="EL1147" s="16"/>
      <c r="EM1147" s="16"/>
      <c r="EN1147" s="16"/>
      <c r="EO1147" s="16"/>
      <c r="EP1147" s="16"/>
      <c r="EQ1147" s="16"/>
      <c r="ER1147" s="16"/>
      <c r="ES1147" s="16"/>
      <c r="ET1147" s="16"/>
      <c r="EU1147" s="16"/>
      <c r="EV1147" s="16"/>
      <c r="EW1147" s="16"/>
      <c r="EX1147" s="16"/>
      <c r="EY1147" s="16"/>
      <c r="EZ1147" s="16"/>
      <c r="FA1147" s="16"/>
      <c r="FB1147" s="16"/>
      <c r="FC1147" s="16"/>
      <c r="FD1147" s="16"/>
      <c r="FE1147" s="16"/>
      <c r="FF1147" s="16"/>
      <c r="FG1147" s="16"/>
      <c r="FH1147" s="16"/>
      <c r="FI1147" s="16"/>
      <c r="FJ1147" s="16"/>
      <c r="FK1147" s="16"/>
      <c r="FL1147" s="16"/>
      <c r="FM1147" s="16"/>
      <c r="FN1147" s="16"/>
      <c r="FO1147" s="16"/>
      <c r="FP1147" s="16"/>
      <c r="FQ1147" s="16"/>
      <c r="FR1147" s="16"/>
      <c r="FS1147" s="16"/>
      <c r="FT1147" s="16"/>
      <c r="FU1147" s="16"/>
      <c r="FV1147" s="16"/>
      <c r="FW1147" s="16"/>
      <c r="FX1147" s="16"/>
      <c r="FY1147" s="16"/>
      <c r="FZ1147" s="16"/>
      <c r="GA1147" s="16"/>
      <c r="GB1147" s="16"/>
      <c r="GC1147" s="16"/>
      <c r="GD1147" s="16"/>
      <c r="GE1147" s="16"/>
      <c r="GF1147" s="16"/>
      <c r="GG1147" s="16"/>
      <c r="GH1147" s="16"/>
      <c r="GI1147" s="16"/>
      <c r="GJ1147" s="16"/>
      <c r="GK1147" s="16"/>
      <c r="GL1147" s="16"/>
      <c r="GM1147" s="16"/>
      <c r="GN1147" s="16"/>
      <c r="GO1147" s="16"/>
      <c r="GP1147" s="16"/>
      <c r="GQ1147" s="16"/>
      <c r="GR1147" s="16"/>
      <c r="GS1147" s="16"/>
      <c r="GT1147" s="16"/>
      <c r="GU1147" s="16"/>
      <c r="GV1147" s="16"/>
      <c r="GW1147" s="16"/>
      <c r="GX1147" s="16"/>
      <c r="GY1147" s="16"/>
      <c r="GZ1147" s="16"/>
      <c r="HA1147" s="16"/>
      <c r="HB1147" s="16"/>
      <c r="HC1147" s="16"/>
      <c r="HD1147" s="16"/>
      <c r="HE1147" s="16"/>
      <c r="HF1147" s="16"/>
      <c r="HG1147" s="16"/>
      <c r="HH1147" s="16"/>
      <c r="HI1147" s="16"/>
      <c r="HJ1147" s="16"/>
      <c r="HK1147" s="16"/>
      <c r="HL1147" s="16"/>
      <c r="HM1147" s="16"/>
      <c r="HN1147" s="16"/>
      <c r="HO1147" s="16"/>
      <c r="HP1147" s="16"/>
      <c r="HQ1147" s="16"/>
      <c r="HR1147" s="16"/>
      <c r="HS1147" s="16"/>
      <c r="HT1147" s="16"/>
      <c r="HU1147" s="16"/>
      <c r="HV1147" s="16"/>
      <c r="HW1147" s="16"/>
      <c r="HX1147" s="16"/>
      <c r="HY1147" s="16"/>
      <c r="HZ1147" s="16"/>
      <c r="IA1147" s="16"/>
      <c r="IB1147" s="16"/>
      <c r="IC1147" s="16"/>
      <c r="ID1147" s="16"/>
    </row>
    <row r="1148" spans="1:238" ht="16" thickBot="1">
      <c r="A1148" s="1"/>
      <c r="B1148" s="1"/>
      <c r="C1148" s="1"/>
      <c r="D1148" s="382" t="str">
        <f>+FISCinyear!D832</f>
        <v xml:space="preserve">Nonproduced assets </v>
      </c>
      <c r="E1148" s="346"/>
      <c r="F1148" s="346"/>
      <c r="G1148" s="346"/>
      <c r="H1148" s="346"/>
      <c r="I1148" s="346"/>
      <c r="J1148" s="346"/>
      <c r="K1148" s="346"/>
      <c r="L1148" s="346"/>
      <c r="M1148" s="346"/>
      <c r="N1148" s="346"/>
      <c r="O1148" s="346"/>
      <c r="P1148" s="346"/>
      <c r="Q1148" s="346"/>
      <c r="R1148" s="346"/>
      <c r="S1148" s="346"/>
      <c r="T1148" s="346"/>
      <c r="U1148" s="346"/>
      <c r="V1148" s="126"/>
      <c r="W1148" s="126"/>
      <c r="X1148" s="707">
        <f>FISCinyear!HQ832</f>
        <v>1.777812578</v>
      </c>
      <c r="Y1148" s="707">
        <f>FISCinyear!HR832</f>
        <v>1.777812578</v>
      </c>
      <c r="Z1148" s="707">
        <f>FISCinyear!HU832</f>
        <v>4.0655023459999997</v>
      </c>
      <c r="AA1148" s="707">
        <f>FISCinyear!HX832</f>
        <v>10.758845669999999</v>
      </c>
      <c r="AB1148" s="707">
        <f>FISCinyear!IA832</f>
        <v>0.273750512</v>
      </c>
      <c r="AC1148" s="707">
        <f>FISCinyear!ID832</f>
        <v>5.0789550000000003E-2</v>
      </c>
      <c r="AD1148" s="707">
        <f>FISCinyear!IG832</f>
        <v>16.301336560999999</v>
      </c>
      <c r="AE1148" s="707">
        <f>FISCinyear!IJ832</f>
        <v>13.166791331000001</v>
      </c>
      <c r="AF1148" s="707">
        <f>FISCinyear!IM832</f>
        <v>7.0321621199999989</v>
      </c>
      <c r="AG1148" s="707">
        <f>FISCinyear!IP832</f>
        <v>0</v>
      </c>
      <c r="AH1148" s="707">
        <f>FISCinyear!IS832</f>
        <v>0</v>
      </c>
      <c r="AI1148" s="707">
        <f>FISCinyear!IV832</f>
        <v>0</v>
      </c>
      <c r="AJ1148" s="126">
        <v>0</v>
      </c>
      <c r="AK1148" s="126">
        <v>0</v>
      </c>
      <c r="AL1148" s="126">
        <v>0</v>
      </c>
      <c r="AM1148" s="126">
        <v>0</v>
      </c>
      <c r="AN1148" s="126">
        <v>0</v>
      </c>
      <c r="AO1148" s="126">
        <v>0</v>
      </c>
      <c r="AP1148" s="126">
        <v>0</v>
      </c>
      <c r="AQ1148" s="126">
        <v>0</v>
      </c>
      <c r="AR1148" s="126">
        <v>0</v>
      </c>
      <c r="AS1148" s="126">
        <v>0</v>
      </c>
      <c r="AT1148" s="126">
        <v>0</v>
      </c>
      <c r="AV1148" s="2168"/>
      <c r="AW1148" s="2168"/>
      <c r="AX1148" s="2168"/>
      <c r="AY1148" s="2168"/>
      <c r="AZ1148" s="2168"/>
      <c r="BA1148" s="2168"/>
      <c r="BB1148" s="2168"/>
      <c r="BC1148" s="2168"/>
      <c r="BD1148" s="2168"/>
      <c r="BE1148" s="2168"/>
      <c r="BF1148" s="2168"/>
      <c r="BG1148" s="2168"/>
      <c r="BH1148" s="2167"/>
      <c r="BI1148"/>
      <c r="BJ1148"/>
      <c r="BK1148"/>
      <c r="BL1148"/>
      <c r="BM1148"/>
      <c r="BN1148"/>
      <c r="BO1148"/>
      <c r="BP1148"/>
      <c r="BQ1148"/>
      <c r="BR1148"/>
      <c r="BS1148"/>
      <c r="BT1148"/>
      <c r="BU1148"/>
      <c r="BV1148"/>
      <c r="BW1148"/>
      <c r="BX1148"/>
      <c r="BY1148"/>
      <c r="BZ1148"/>
      <c r="CA1148"/>
      <c r="CB1148"/>
      <c r="CC1148"/>
      <c r="CD1148"/>
      <c r="CE1148"/>
      <c r="CF1148"/>
      <c r="CG1148"/>
      <c r="CH1148"/>
      <c r="CI1148"/>
      <c r="CJ1148"/>
      <c r="CK1148"/>
      <c r="CL1148"/>
      <c r="CM1148"/>
      <c r="CN1148"/>
      <c r="CO1148"/>
      <c r="CP1148"/>
      <c r="CQ1148"/>
      <c r="CR1148"/>
      <c r="CS1148"/>
      <c r="CT1148"/>
      <c r="CU1148"/>
      <c r="CV1148"/>
      <c r="CW1148"/>
      <c r="CX1148"/>
      <c r="CY1148"/>
      <c r="CZ1148"/>
      <c r="DA1148"/>
      <c r="DB1148"/>
      <c r="DC1148"/>
      <c r="DD1148"/>
      <c r="DE1148"/>
      <c r="DF1148"/>
      <c r="DG1148"/>
      <c r="DH1148"/>
      <c r="DI1148"/>
      <c r="DJ1148"/>
      <c r="DK1148"/>
      <c r="DL1148"/>
      <c r="DM1148"/>
      <c r="DN1148"/>
      <c r="DO1148"/>
      <c r="DP1148"/>
      <c r="DQ1148"/>
      <c r="DR1148"/>
      <c r="DS1148"/>
      <c r="DT1148"/>
      <c r="DU1148"/>
      <c r="DV1148"/>
      <c r="DW1148"/>
      <c r="DX1148"/>
      <c r="DY1148"/>
      <c r="DZ1148"/>
      <c r="EA1148"/>
      <c r="EB1148"/>
      <c r="EC1148"/>
      <c r="ED1148"/>
      <c r="EE1148"/>
      <c r="EF1148"/>
      <c r="EG1148"/>
      <c r="EH1148"/>
      <c r="EI1148"/>
      <c r="EJ1148"/>
      <c r="EK1148"/>
      <c r="EL1148"/>
      <c r="EM1148"/>
      <c r="EN1148"/>
      <c r="EO1148"/>
      <c r="EP1148"/>
      <c r="EQ1148"/>
      <c r="ER1148"/>
      <c r="ES1148"/>
      <c r="ET1148"/>
      <c r="EU1148"/>
      <c r="EV1148"/>
      <c r="EW1148"/>
      <c r="EX1148"/>
      <c r="EY1148"/>
      <c r="EZ1148"/>
      <c r="FA1148"/>
      <c r="FB1148"/>
      <c r="FC1148"/>
      <c r="FD1148"/>
      <c r="FE1148"/>
      <c r="FF1148"/>
      <c r="FG1148"/>
      <c r="FH1148"/>
      <c r="FI1148"/>
      <c r="FJ1148"/>
      <c r="FK1148"/>
      <c r="FL1148"/>
      <c r="FM1148"/>
      <c r="FN1148"/>
      <c r="FO1148"/>
      <c r="FP1148"/>
      <c r="FQ1148"/>
      <c r="FR1148"/>
      <c r="FS1148"/>
      <c r="FT1148"/>
      <c r="FU1148"/>
      <c r="FV1148"/>
      <c r="FW1148"/>
      <c r="FX1148"/>
      <c r="FY1148"/>
      <c r="FZ1148"/>
      <c r="GA1148"/>
      <c r="GB1148"/>
      <c r="GC1148"/>
      <c r="GD1148"/>
      <c r="GE1148"/>
      <c r="GF1148"/>
      <c r="GG1148"/>
      <c r="GH1148"/>
      <c r="GI1148"/>
      <c r="GJ1148"/>
      <c r="GK1148"/>
      <c r="GL1148"/>
      <c r="GM1148"/>
      <c r="GN1148"/>
      <c r="GO1148"/>
      <c r="GP1148"/>
      <c r="GQ1148"/>
      <c r="GR1148"/>
      <c r="GS1148"/>
      <c r="GT1148"/>
      <c r="GU1148"/>
      <c r="GV1148"/>
      <c r="GW1148"/>
      <c r="GX1148"/>
      <c r="GY1148"/>
      <c r="GZ1148"/>
      <c r="HA1148"/>
      <c r="HB1148"/>
      <c r="HC1148"/>
      <c r="HD1148"/>
      <c r="HE1148"/>
      <c r="HF1148"/>
      <c r="HG1148"/>
      <c r="HH1148"/>
      <c r="HI1148"/>
      <c r="HJ1148"/>
      <c r="HK1148"/>
      <c r="HL1148"/>
      <c r="HM1148"/>
      <c r="HN1148"/>
      <c r="HO1148"/>
      <c r="HP1148"/>
      <c r="HQ1148"/>
      <c r="HR1148"/>
      <c r="HS1148"/>
      <c r="HT1148"/>
      <c r="HU1148"/>
      <c r="HV1148"/>
      <c r="HW1148"/>
      <c r="HX1148"/>
      <c r="HY1148"/>
      <c r="HZ1148"/>
      <c r="IA1148"/>
      <c r="IB1148"/>
      <c r="IC1148"/>
      <c r="ID1148"/>
    </row>
    <row r="1149" spans="1:238">
      <c r="A1149" s="1"/>
      <c r="B1149" s="1"/>
      <c r="C1149" s="1"/>
      <c r="D1149" s="1665" t="str">
        <f>+FISCinyear!D833</f>
        <v>Net lending (+) / borrowing (-) {deficit/Surplus}</v>
      </c>
      <c r="E1149" s="1669"/>
      <c r="F1149" s="1669"/>
      <c r="G1149" s="1669"/>
      <c r="H1149" s="1669"/>
      <c r="I1149" s="1669"/>
      <c r="J1149" s="1669"/>
      <c r="K1149" s="1669"/>
      <c r="L1149" s="1669"/>
      <c r="M1149" s="1669"/>
      <c r="N1149" s="1669"/>
      <c r="O1149" s="1669"/>
      <c r="P1149" s="1669"/>
      <c r="Q1149" s="1669"/>
      <c r="R1149" s="1669"/>
      <c r="S1149" s="1669"/>
      <c r="T1149" s="1669"/>
      <c r="U1149" s="1669"/>
      <c r="V1149" s="1670"/>
      <c r="W1149" s="1670"/>
      <c r="X1149" s="1670"/>
      <c r="Y1149" s="1671"/>
      <c r="Z1149" s="1671"/>
      <c r="AA1149" s="1671"/>
      <c r="AB1149" s="1671"/>
      <c r="AC1149" s="1671"/>
      <c r="AD1149" s="1671"/>
      <c r="AE1149" s="1671"/>
      <c r="AF1149" s="1671"/>
      <c r="AG1149" s="1671">
        <f>FISCinyear!IP833</f>
        <v>0</v>
      </c>
      <c r="AH1149" s="1671">
        <f>FISCinyear!IS833</f>
        <v>0</v>
      </c>
      <c r="AI1149" s="1671"/>
      <c r="AJ1149" s="1669"/>
      <c r="AK1149" s="1669"/>
      <c r="AL1149" s="1672"/>
      <c r="AM1149" s="1672"/>
      <c r="AN1149" s="1672"/>
      <c r="AO1149" s="1672"/>
      <c r="AP1149" s="1672"/>
      <c r="AQ1149" s="1672"/>
      <c r="AR1149" s="1672"/>
      <c r="AS1149" s="1672"/>
      <c r="AT1149" s="1672"/>
      <c r="AV1149" s="2168"/>
      <c r="AW1149" s="2168"/>
      <c r="AX1149" s="2168"/>
      <c r="AY1149" s="2168"/>
      <c r="AZ1149" s="2168"/>
      <c r="BA1149" s="2168"/>
      <c r="BB1149" s="2168"/>
      <c r="BC1149" s="2168"/>
      <c r="BD1149" s="2168"/>
      <c r="BE1149" s="2168"/>
      <c r="BF1149" s="2168"/>
      <c r="BG1149" s="2168"/>
      <c r="BH1149" s="2167"/>
    </row>
    <row r="1150" spans="1:238">
      <c r="A1150" s="1"/>
      <c r="B1150" s="1"/>
      <c r="C1150" s="1"/>
      <c r="D1150" s="1673" t="str">
        <f>+FISCinyear!D834</f>
        <v>including grants</v>
      </c>
      <c r="E1150" s="346"/>
      <c r="F1150" s="346"/>
      <c r="G1150" s="346"/>
      <c r="H1150" s="346"/>
      <c r="I1150" s="346"/>
      <c r="J1150" s="346"/>
      <c r="K1150" s="346"/>
      <c r="L1150" s="346"/>
      <c r="M1150" s="346"/>
      <c r="N1150" s="346"/>
      <c r="O1150" s="346"/>
      <c r="P1150" s="346"/>
      <c r="Q1150" s="346"/>
      <c r="R1150" s="346"/>
      <c r="S1150" s="346"/>
      <c r="T1150" s="346"/>
      <c r="U1150" s="346"/>
      <c r="V1150" s="126">
        <f>+V988-V1076-V1133</f>
        <v>-313.70716742399998</v>
      </c>
      <c r="W1150" s="126">
        <f>+W988-W1076-W1133</f>
        <v>-316.79999999999995</v>
      </c>
      <c r="X1150" s="126">
        <f>+X988-X1076-X1133</f>
        <v>-346.69369439700017</v>
      </c>
      <c r="Y1150" s="707">
        <f>FISCinyear!HR834</f>
        <v>-207.64913143264909</v>
      </c>
      <c r="Z1150" s="707">
        <f>FISCinyear!HU834</f>
        <v>-204.61146124922811</v>
      </c>
      <c r="AA1150" s="707">
        <f>FISCinyear!HX834</f>
        <v>-222.71661735722734</v>
      </c>
      <c r="AB1150" s="707">
        <f>FISCinyear!IA834</f>
        <v>-314.56119322448728</v>
      </c>
      <c r="AC1150" s="707">
        <f>FISCinyear!ID834</f>
        <v>-297.27843341600385</v>
      </c>
      <c r="AD1150" s="707">
        <f>FISCinyear!IG834</f>
        <v>-516.51418707064704</v>
      </c>
      <c r="AE1150" s="707">
        <f>FISCinyear!IJ834</f>
        <v>-741.26781085513312</v>
      </c>
      <c r="AF1150" s="707">
        <f>FISCinyear!IM834</f>
        <v>-776.02259659452648</v>
      </c>
      <c r="AG1150" s="707">
        <f>FISCinyear!IP834</f>
        <v>-769.75700010412629</v>
      </c>
      <c r="AH1150" s="126">
        <f t="shared" ref="AH1150:AT1150" si="1417">+AH988-AH1076-AH1133</f>
        <v>-975.55166374552277</v>
      </c>
      <c r="AI1150" s="126">
        <f t="shared" si="1417"/>
        <v>-1116.8051201268327</v>
      </c>
      <c r="AJ1150" s="126">
        <f t="shared" si="1417"/>
        <v>-938.76602660217486</v>
      </c>
      <c r="AK1150" s="126">
        <f t="shared" si="1417"/>
        <v>-910.68832941330652</v>
      </c>
      <c r="AL1150" s="126">
        <f t="shared" si="1417"/>
        <v>-777.60553961626601</v>
      </c>
      <c r="AM1150" s="126">
        <f t="shared" si="1417"/>
        <v>-888.10236507135232</v>
      </c>
      <c r="AN1150" s="126">
        <f t="shared" si="1417"/>
        <v>-956.4816157968562</v>
      </c>
      <c r="AO1150" s="126">
        <f t="shared" si="1417"/>
        <v>-1110.0184328746195</v>
      </c>
      <c r="AP1150" s="126">
        <f t="shared" si="1417"/>
        <v>-1254.2293838667438</v>
      </c>
      <c r="AQ1150" s="126">
        <f t="shared" si="1417"/>
        <v>-1206.7733618310567</v>
      </c>
      <c r="AR1150" s="126">
        <f t="shared" si="1417"/>
        <v>-1414.3369893369581</v>
      </c>
      <c r="AS1150" s="126">
        <f t="shared" si="1417"/>
        <v>-14608.03047107963</v>
      </c>
      <c r="AT1150" s="126">
        <f t="shared" si="1417"/>
        <v>-34940.253965349606</v>
      </c>
      <c r="AV1150" s="2168"/>
      <c r="AW1150" s="2168"/>
      <c r="AX1150" s="2168"/>
      <c r="AY1150" s="2168"/>
      <c r="AZ1150" s="2168"/>
      <c r="BA1150" s="2168"/>
      <c r="BB1150" s="2168"/>
      <c r="BC1150" s="2168"/>
      <c r="BD1150" s="2168"/>
      <c r="BE1150" s="2168"/>
      <c r="BF1150" s="2168"/>
      <c r="BG1150" s="2168"/>
      <c r="BH1150" s="2167"/>
    </row>
    <row r="1151" spans="1:238">
      <c r="A1151" s="1"/>
      <c r="B1151" s="1"/>
      <c r="C1151" s="1"/>
      <c r="D1151" s="384" t="str">
        <f>+FISCinyear!D835</f>
        <v>excluding grants</v>
      </c>
      <c r="E1151" s="346"/>
      <c r="F1151" s="346"/>
      <c r="G1151" s="346"/>
      <c r="H1151" s="346"/>
      <c r="I1151" s="346"/>
      <c r="J1151" s="346"/>
      <c r="K1151" s="346"/>
      <c r="L1151" s="346"/>
      <c r="M1151" s="346"/>
      <c r="N1151" s="346"/>
      <c r="O1151" s="346"/>
      <c r="P1151" s="346"/>
      <c r="Q1151" s="346"/>
      <c r="R1151" s="346"/>
      <c r="S1151" s="346"/>
      <c r="T1151" s="346"/>
      <c r="U1151" s="346"/>
      <c r="V1151" s="126">
        <f>+V1150-V1039</f>
        <v>-692.73293725899998</v>
      </c>
      <c r="W1151" s="126">
        <f>+W1150-W1039</f>
        <v>-774.19999999999993</v>
      </c>
      <c r="X1151" s="126">
        <f>+X1150-X1039</f>
        <v>-711.59369439700015</v>
      </c>
      <c r="Y1151" s="707">
        <f>FISCinyear!HR835</f>
        <v>-681.96578865526931</v>
      </c>
      <c r="Z1151" s="707">
        <f>FISCinyear!HU835</f>
        <v>-620.53886824452775</v>
      </c>
      <c r="AA1151" s="707">
        <f>FISCinyear!HX835</f>
        <v>-596.43022315077678</v>
      </c>
      <c r="AB1151" s="707">
        <f>FISCinyear!IA835</f>
        <v>-644.74327717100573</v>
      </c>
      <c r="AC1151" s="707">
        <f>FISCinyear!ID835</f>
        <v>-656.18711028471432</v>
      </c>
      <c r="AD1151" s="707">
        <f>FISCinyear!IG835</f>
        <v>-911.26424492686283</v>
      </c>
      <c r="AE1151" s="707">
        <f>FISCinyear!IJ835</f>
        <v>-1178.8262154990007</v>
      </c>
      <c r="AF1151" s="707">
        <f>FISCinyear!IM835</f>
        <v>-1337.1107643956084</v>
      </c>
      <c r="AG1151" s="707">
        <f>FISCinyear!IP835</f>
        <v>-1593.9413595304077</v>
      </c>
      <c r="AH1151" s="126">
        <f t="shared" ref="AH1151:AT1151" si="1418">+AH1150-AH1039</f>
        <v>-1686.8589095004747</v>
      </c>
      <c r="AI1151" s="126">
        <f t="shared" si="1418"/>
        <v>-1874.5965296584648</v>
      </c>
      <c r="AJ1151" s="126">
        <f t="shared" si="1418"/>
        <v>-1564.534765836288</v>
      </c>
      <c r="AK1151" s="126">
        <f t="shared" si="1418"/>
        <v>-1495.903337764626</v>
      </c>
      <c r="AL1151" s="126">
        <f t="shared" si="1418"/>
        <v>-1437.6721634076825</v>
      </c>
      <c r="AM1151" s="126">
        <f t="shared" si="1418"/>
        <v>-1627.8727384468261</v>
      </c>
      <c r="AN1151" s="126">
        <f t="shared" si="1418"/>
        <v>-1750.8056668242157</v>
      </c>
      <c r="AO1151" s="126">
        <f t="shared" si="1418"/>
        <v>-1974.9846727297472</v>
      </c>
      <c r="AP1151" s="126">
        <f t="shared" si="1418"/>
        <v>-1610.067431320429</v>
      </c>
      <c r="AQ1151" s="126">
        <f t="shared" si="1418"/>
        <v>-1588.9437364530154</v>
      </c>
      <c r="AR1151" s="126">
        <f t="shared" si="1418"/>
        <v>-1817.9172416417641</v>
      </c>
      <c r="AS1151" s="126">
        <f t="shared" si="1418"/>
        <v>-15034.672229715257</v>
      </c>
      <c r="AT1151" s="126">
        <f t="shared" si="1418"/>
        <v>-35386.714502716335</v>
      </c>
      <c r="AV1151" s="2168"/>
      <c r="AW1151" s="2168"/>
      <c r="AX1151" s="2168"/>
      <c r="AY1151" s="2168"/>
      <c r="AZ1151" s="2168"/>
      <c r="BA1151" s="2168"/>
      <c r="BB1151" s="2168"/>
      <c r="BC1151" s="2168"/>
      <c r="BD1151" s="2168"/>
      <c r="BE1151" s="2168"/>
      <c r="BF1151" s="2168"/>
      <c r="BG1151" s="2168"/>
      <c r="BH1151" s="2167"/>
    </row>
    <row r="1152" spans="1:238">
      <c r="A1152" s="1"/>
      <c r="B1152" s="1"/>
      <c r="C1152" s="1"/>
      <c r="D1152" s="1700" t="s">
        <v>3104</v>
      </c>
      <c r="E1152" s="1141"/>
      <c r="F1152" s="1141"/>
      <c r="G1152" s="1141"/>
      <c r="H1152" s="1141"/>
      <c r="I1152" s="1141"/>
      <c r="J1152" s="1141"/>
      <c r="K1152" s="1141"/>
      <c r="L1152" s="1141"/>
      <c r="M1152" s="1141"/>
      <c r="N1152" s="1141"/>
      <c r="O1152" s="1141"/>
      <c r="P1152" s="1141"/>
      <c r="Q1152" s="1141"/>
      <c r="R1152" s="1141"/>
      <c r="S1152" s="1141"/>
      <c r="T1152" s="1141"/>
      <c r="U1152" s="1141"/>
      <c r="V1152" s="1152"/>
      <c r="W1152" s="1152"/>
      <c r="X1152" s="1152"/>
      <c r="Y1152" s="1698"/>
      <c r="Z1152" s="1698"/>
      <c r="AA1152" s="1698"/>
      <c r="AB1152" s="1152"/>
      <c r="AC1152" s="1152"/>
      <c r="AD1152" s="1152"/>
      <c r="AE1152" s="1152"/>
      <c r="AF1152" s="1152"/>
      <c r="AG1152" s="1152">
        <f>FISCinyear!IP836</f>
        <v>0</v>
      </c>
      <c r="AH1152" s="1152"/>
      <c r="AI1152" s="1152"/>
      <c r="AJ1152" s="1152"/>
      <c r="AK1152" s="1152"/>
      <c r="AL1152" s="1152"/>
      <c r="AM1152" s="1152"/>
      <c r="AN1152" s="1152"/>
      <c r="AO1152" s="1152"/>
      <c r="AP1152" s="1152"/>
      <c r="AQ1152" s="1152"/>
      <c r="AR1152" s="1152"/>
      <c r="AS1152" s="1152"/>
      <c r="AT1152" s="1152"/>
      <c r="AV1152" s="2168"/>
      <c r="AW1152" s="2168"/>
      <c r="AX1152" s="2168"/>
      <c r="AY1152" s="2168"/>
      <c r="AZ1152" s="2168"/>
      <c r="BA1152" s="2168"/>
      <c r="BB1152" s="2168"/>
      <c r="BC1152" s="2168"/>
      <c r="BD1152" s="2168"/>
      <c r="BE1152" s="2168"/>
      <c r="BF1152" s="2168"/>
      <c r="BG1152" s="2168"/>
      <c r="BH1152" s="2167"/>
    </row>
    <row r="1153" spans="1:60">
      <c r="A1153" s="1"/>
      <c r="B1153" s="1"/>
      <c r="C1153" s="1"/>
      <c r="D1153" s="1682" t="s">
        <v>3225</v>
      </c>
      <c r="E1153" s="1141"/>
      <c r="F1153" s="1141"/>
      <c r="G1153" s="1141"/>
      <c r="H1153" s="1141"/>
      <c r="I1153" s="1141"/>
      <c r="J1153" s="1141"/>
      <c r="K1153" s="1141"/>
      <c r="L1153" s="1141"/>
      <c r="M1153" s="1141"/>
      <c r="N1153" s="1141"/>
      <c r="O1153" s="1141"/>
      <c r="P1153" s="1141"/>
      <c r="Q1153" s="1141"/>
      <c r="R1153" s="1141"/>
      <c r="S1153" s="1141"/>
      <c r="T1153" s="1141"/>
      <c r="U1153" s="1141"/>
      <c r="V1153" s="1152"/>
      <c r="W1153" s="1152"/>
      <c r="X1153" s="1152">
        <f t="shared" ref="X1153:AC1153" si="1419">X1150-(X1066-X1086-X1194-X1199)</f>
        <v>-346.69369439700017</v>
      </c>
      <c r="Y1153" s="1152">
        <f t="shared" si="1419"/>
        <v>-207.64913143264909</v>
      </c>
      <c r="Z1153" s="1152">
        <f t="shared" si="1419"/>
        <v>-274.15071157237708</v>
      </c>
      <c r="AA1153" s="1152">
        <f t="shared" si="1419"/>
        <v>-344.33618580946774</v>
      </c>
      <c r="AB1153" s="1152">
        <f t="shared" si="1419"/>
        <v>-446.57953556713727</v>
      </c>
      <c r="AC1153" s="1152">
        <f t="shared" si="1419"/>
        <v>-425.32103872027881</v>
      </c>
      <c r="AD1153" s="1152">
        <f t="shared" ref="AD1153:AT1153" si="1420">AD1150-(AD1066-AD1086-AD1098-AD1194)</f>
        <v>-509.94148877293156</v>
      </c>
      <c r="AE1153" s="1152">
        <f t="shared" si="1420"/>
        <v>-711.70219671927759</v>
      </c>
      <c r="AF1153" s="1152">
        <f t="shared" si="1420"/>
        <v>-785.81733044043381</v>
      </c>
      <c r="AG1153" s="1152">
        <f t="shared" si="1420"/>
        <v>-880.5163430012708</v>
      </c>
      <c r="AH1153" s="1152">
        <f t="shared" si="1420"/>
        <v>-939.75481169252282</v>
      </c>
      <c r="AI1153" s="1152">
        <f t="shared" si="1420"/>
        <v>-1081.6893161918326</v>
      </c>
      <c r="AJ1153" s="1152">
        <f t="shared" si="1420"/>
        <v>-902.79634941417487</v>
      </c>
      <c r="AK1153" s="1152">
        <f t="shared" si="1420"/>
        <v>-876.71865222530653</v>
      </c>
      <c r="AL1153" s="1152">
        <f t="shared" si="1420"/>
        <v>-743.7342554175035</v>
      </c>
      <c r="AM1153" s="1152">
        <f t="shared" si="1420"/>
        <v>-851.26084938069403</v>
      </c>
      <c r="AN1153" s="1152">
        <f t="shared" si="1420"/>
        <v>-914.12577347111085</v>
      </c>
      <c r="AO1153" s="1152">
        <f t="shared" si="1420"/>
        <v>-1062.4098601452465</v>
      </c>
      <c r="AP1153" s="1152">
        <f t="shared" si="1420"/>
        <v>-1101.1082962699943</v>
      </c>
      <c r="AQ1153" s="1152">
        <f t="shared" si="1420"/>
        <v>-1046.735667337733</v>
      </c>
      <c r="AR1153" s="1152">
        <f t="shared" si="1420"/>
        <v>-1243.0345056681335</v>
      </c>
      <c r="AS1153" s="1152">
        <f t="shared" si="1420"/>
        <v>-14428.162863227364</v>
      </c>
      <c r="AT1153" s="1152">
        <f t="shared" si="1420"/>
        <v>-34751.392977104726</v>
      </c>
      <c r="AV1153" s="2168"/>
      <c r="AW1153" s="2168"/>
      <c r="AX1153" s="2168"/>
      <c r="AY1153" s="2168"/>
      <c r="AZ1153" s="2168"/>
      <c r="BA1153" s="2168"/>
      <c r="BB1153" s="2168"/>
      <c r="BC1153" s="2168"/>
      <c r="BD1153" s="2168"/>
      <c r="BE1153" s="2168"/>
      <c r="BF1153" s="2168"/>
      <c r="BG1153" s="2168"/>
      <c r="BH1153" s="2167"/>
    </row>
    <row r="1154" spans="1:60">
      <c r="A1154" s="1"/>
      <c r="B1154" s="1"/>
      <c r="C1154" s="1"/>
      <c r="D1154" s="1682" t="s">
        <v>3246</v>
      </c>
      <c r="E1154" s="1141"/>
      <c r="F1154" s="1141"/>
      <c r="G1154" s="1141"/>
      <c r="H1154" s="1141"/>
      <c r="I1154" s="1141"/>
      <c r="J1154" s="1141"/>
      <c r="K1154" s="1141"/>
      <c r="L1154" s="1141"/>
      <c r="M1154" s="1141"/>
      <c r="N1154" s="1141"/>
      <c r="O1154" s="1141"/>
      <c r="P1154" s="1141"/>
      <c r="Q1154" s="1141"/>
      <c r="R1154" s="1141"/>
      <c r="S1154" s="1141"/>
      <c r="T1154" s="1141"/>
      <c r="U1154" s="1141"/>
      <c r="V1154" s="1152"/>
      <c r="W1154" s="1152"/>
      <c r="X1154" s="1152">
        <f t="shared" ref="X1154:AD1154" si="1421">X1150-(-X1078-X1082-X1109-X1108-X1121-X1128-X1135-X1140)</f>
        <v>-346.69369439700017</v>
      </c>
      <c r="Y1154" s="1152">
        <f t="shared" si="1421"/>
        <v>-207.64913143264909</v>
      </c>
      <c r="Z1154" s="1152">
        <f t="shared" si="1421"/>
        <v>-175.21146124922811</v>
      </c>
      <c r="AA1154" s="1152">
        <f t="shared" si="1421"/>
        <v>-193.31661735722733</v>
      </c>
      <c r="AB1154" s="1152">
        <f t="shared" si="1421"/>
        <v>-283.31119322448728</v>
      </c>
      <c r="AC1154" s="1152">
        <f t="shared" si="1421"/>
        <v>-253.51843341600386</v>
      </c>
      <c r="AD1154" s="1152">
        <f t="shared" si="1421"/>
        <v>-466.83981640650069</v>
      </c>
      <c r="AE1154" s="1152">
        <f t="shared" ref="AE1154:AT1154" si="1422">AE1150-(-AE1078-AE1082-AE1109-AE1121-AE1128-AE1135-AE1140)</f>
        <v>-540.41754997913313</v>
      </c>
      <c r="AF1154" s="1152">
        <f t="shared" si="1422"/>
        <v>-721.80311343945903</v>
      </c>
      <c r="AG1154" s="1152">
        <f t="shared" si="1422"/>
        <v>-769.75700010412629</v>
      </c>
      <c r="AH1154" s="1152">
        <f t="shared" si="1422"/>
        <v>-975.55166374552277</v>
      </c>
      <c r="AI1154" s="1152">
        <f t="shared" si="1422"/>
        <v>-1115.6051201268326</v>
      </c>
      <c r="AJ1154" s="1152">
        <f t="shared" si="1422"/>
        <v>-931.42194097893343</v>
      </c>
      <c r="AK1154" s="1152">
        <f t="shared" si="1422"/>
        <v>-910.68832941330652</v>
      </c>
      <c r="AL1154" s="1152">
        <f t="shared" si="1422"/>
        <v>-777.60553961626601</v>
      </c>
      <c r="AM1154" s="1152">
        <f t="shared" si="1422"/>
        <v>-888.10236507135232</v>
      </c>
      <c r="AN1154" s="1152">
        <f t="shared" si="1422"/>
        <v>-956.4816157968562</v>
      </c>
      <c r="AO1154" s="1152">
        <f t="shared" si="1422"/>
        <v>-1110.0184328746195</v>
      </c>
      <c r="AP1154" s="1152">
        <f t="shared" si="1422"/>
        <v>-1254.2293838667438</v>
      </c>
      <c r="AQ1154" s="1152">
        <f t="shared" si="1422"/>
        <v>-1206.7733618310567</v>
      </c>
      <c r="AR1154" s="1152">
        <f t="shared" si="1422"/>
        <v>-1414.3369893369581</v>
      </c>
      <c r="AS1154" s="1152">
        <f t="shared" si="1422"/>
        <v>-14608.03047107963</v>
      </c>
      <c r="AT1154" s="1152">
        <f t="shared" si="1422"/>
        <v>-34940.253965349606</v>
      </c>
      <c r="AV1154" s="2168"/>
      <c r="AW1154" s="2168"/>
      <c r="AX1154" s="2168"/>
      <c r="AY1154" s="2168"/>
      <c r="AZ1154" s="2168"/>
      <c r="BA1154" s="2168"/>
      <c r="BB1154" s="2168"/>
      <c r="BC1154" s="2168"/>
      <c r="BD1154" s="2168"/>
      <c r="BE1154" s="2168"/>
      <c r="BF1154" s="2168"/>
      <c r="BG1154" s="2168"/>
      <c r="BH1154" s="2167"/>
    </row>
    <row r="1155" spans="1:60">
      <c r="A1155" s="1"/>
      <c r="B1155" s="1"/>
      <c r="C1155" s="1"/>
      <c r="D1155" s="1682" t="s">
        <v>3247</v>
      </c>
      <c r="E1155" s="1141"/>
      <c r="F1155" s="1141"/>
      <c r="G1155" s="1141"/>
      <c r="H1155" s="1141"/>
      <c r="I1155" s="1141"/>
      <c r="J1155" s="1141"/>
      <c r="K1155" s="1141"/>
      <c r="L1155" s="1141"/>
      <c r="M1155" s="1141"/>
      <c r="N1155" s="1141"/>
      <c r="O1155" s="1141"/>
      <c r="P1155" s="1141"/>
      <c r="Q1155" s="1141"/>
      <c r="R1155" s="1141"/>
      <c r="S1155" s="1141"/>
      <c r="T1155" s="1141"/>
      <c r="U1155" s="1141"/>
      <c r="V1155" s="1152"/>
      <c r="W1155" s="1152"/>
      <c r="X1155" s="1152">
        <f t="shared" ref="X1155:AT1155" si="1423">X1150-(-X1083-X1200-X1109)</f>
        <v>-346.69369439700017</v>
      </c>
      <c r="Y1155" s="1152">
        <f t="shared" si="1423"/>
        <v>-207.64913143264909</v>
      </c>
      <c r="Z1155" s="1152">
        <f t="shared" si="1423"/>
        <v>-204.61146124922811</v>
      </c>
      <c r="AA1155" s="1152">
        <f t="shared" si="1423"/>
        <v>-222.71661735722734</v>
      </c>
      <c r="AB1155" s="1152">
        <f t="shared" si="1423"/>
        <v>-314.56119322448728</v>
      </c>
      <c r="AC1155" s="1152">
        <f t="shared" si="1423"/>
        <v>-297.27843341600385</v>
      </c>
      <c r="AD1155" s="1152">
        <f t="shared" si="1423"/>
        <v>-516.51418707064704</v>
      </c>
      <c r="AE1155" s="1152">
        <f t="shared" si="1423"/>
        <v>-741.26781085513312</v>
      </c>
      <c r="AF1155" s="1152">
        <f t="shared" si="1423"/>
        <v>-674.74715732852644</v>
      </c>
      <c r="AG1155" s="1152">
        <f t="shared" si="1423"/>
        <v>-706.65369854012624</v>
      </c>
      <c r="AH1155" s="1152">
        <f t="shared" si="1423"/>
        <v>-919.26568007155277</v>
      </c>
      <c r="AI1155" s="1152">
        <f t="shared" si="1423"/>
        <v>-1070.5051201268327</v>
      </c>
      <c r="AJ1155" s="1152">
        <f t="shared" si="1423"/>
        <v>-895.0997658438032</v>
      </c>
      <c r="AK1155" s="1152">
        <f t="shared" si="1423"/>
        <v>-885.89548865731626</v>
      </c>
      <c r="AL1155" s="1152">
        <f t="shared" si="1423"/>
        <v>-777.60553961626601</v>
      </c>
      <c r="AM1155" s="1152">
        <f t="shared" si="1423"/>
        <v>-888.10236507135232</v>
      </c>
      <c r="AN1155" s="1152">
        <f t="shared" si="1423"/>
        <v>-956.4816157968562</v>
      </c>
      <c r="AO1155" s="1152">
        <f t="shared" si="1423"/>
        <v>-1110.0184328746195</v>
      </c>
      <c r="AP1155" s="1152">
        <f t="shared" si="1423"/>
        <v>-1254.2293838667438</v>
      </c>
      <c r="AQ1155" s="1152">
        <f t="shared" si="1423"/>
        <v>-1206.7733618310567</v>
      </c>
      <c r="AR1155" s="1152">
        <f t="shared" si="1423"/>
        <v>-1414.3369893369581</v>
      </c>
      <c r="AS1155" s="1152">
        <f t="shared" si="1423"/>
        <v>-14608.03047107963</v>
      </c>
      <c r="AT1155" s="1152">
        <f t="shared" si="1423"/>
        <v>-34940.253965349606</v>
      </c>
      <c r="AV1155" s="2168"/>
      <c r="AW1155" s="2168"/>
      <c r="AX1155" s="2168"/>
      <c r="AY1155" s="2168"/>
      <c r="AZ1155" s="2168"/>
      <c r="BA1155" s="2168"/>
      <c r="BB1155" s="2168"/>
      <c r="BC1155" s="2168"/>
      <c r="BD1155" s="2168"/>
      <c r="BE1155" s="2168"/>
      <c r="BF1155" s="2168"/>
      <c r="BG1155" s="2168"/>
      <c r="BH1155" s="2167"/>
    </row>
    <row r="1156" spans="1:60">
      <c r="A1156" s="1"/>
      <c r="B1156" s="1"/>
      <c r="C1156" s="1"/>
      <c r="D1156" s="1682" t="s">
        <v>3226</v>
      </c>
      <c r="E1156" s="1141"/>
      <c r="F1156" s="1141"/>
      <c r="G1156" s="1141"/>
      <c r="H1156" s="1141"/>
      <c r="I1156" s="1141"/>
      <c r="J1156" s="1141"/>
      <c r="K1156" s="1141"/>
      <c r="L1156" s="1141"/>
      <c r="M1156" s="1141"/>
      <c r="N1156" s="1141"/>
      <c r="O1156" s="1141"/>
      <c r="P1156" s="1141"/>
      <c r="Q1156" s="1141"/>
      <c r="R1156" s="1141"/>
      <c r="S1156" s="1141"/>
      <c r="T1156" s="1141"/>
      <c r="U1156" s="1141"/>
      <c r="V1156" s="1152"/>
      <c r="W1156" s="1152"/>
      <c r="X1156" s="1152">
        <f t="shared" ref="X1156:AC1156" si="1424">X1150-(X1066-X1086-X1194-X1199-X1078-X1082-X1109-X1121-X1128-X1135-X1140)</f>
        <v>-346.69369439700017</v>
      </c>
      <c r="Y1156" s="1152">
        <f t="shared" si="1424"/>
        <v>-207.64913143264909</v>
      </c>
      <c r="Z1156" s="1152">
        <f t="shared" si="1424"/>
        <v>-274.15071157237708</v>
      </c>
      <c r="AA1156" s="1152">
        <f t="shared" si="1424"/>
        <v>-344.33618580946774</v>
      </c>
      <c r="AB1156" s="1152">
        <f t="shared" si="1424"/>
        <v>-446.57953556713727</v>
      </c>
      <c r="AC1156" s="1152">
        <f t="shared" si="1424"/>
        <v>-425.32103872027881</v>
      </c>
      <c r="AD1156" s="1152">
        <f t="shared" ref="AD1156:AT1156" si="1425">AD1150-(-AD1066-AD1086-AD1194-AD1199-AD1078-AD1082-AD1109-AD1121-AD1128-AD1135-AD1140)</f>
        <v>-213.64814625644868</v>
      </c>
      <c r="AE1156" s="1152">
        <f t="shared" si="1425"/>
        <v>-178.43359540396193</v>
      </c>
      <c r="AF1156" s="1152">
        <f t="shared" si="1425"/>
        <v>-489.40177165501404</v>
      </c>
      <c r="AG1156" s="1152">
        <f t="shared" si="1425"/>
        <v>-594.63928043298176</v>
      </c>
      <c r="AH1156" s="1152">
        <f t="shared" si="1425"/>
        <v>-646.84786519374029</v>
      </c>
      <c r="AI1156" s="1152">
        <f t="shared" si="1425"/>
        <v>-661.36405467179816</v>
      </c>
      <c r="AJ1156" s="1152">
        <f t="shared" si="1425"/>
        <v>-475.46002888226406</v>
      </c>
      <c r="AK1156" s="1152">
        <f t="shared" si="1425"/>
        <v>-482.22066301654849</v>
      </c>
      <c r="AL1156" s="1152">
        <f t="shared" si="1425"/>
        <v>-321.37506644319859</v>
      </c>
      <c r="AM1156" s="1152">
        <f t="shared" si="1425"/>
        <v>-406.27806611117285</v>
      </c>
      <c r="AN1156" s="1152">
        <f t="shared" si="1425"/>
        <v>-449.08360263028851</v>
      </c>
      <c r="AO1156" s="1152">
        <f t="shared" si="1425"/>
        <v>-582.90050360387363</v>
      </c>
      <c r="AP1156" s="1152">
        <f t="shared" si="1425"/>
        <v>-697.14033053215269</v>
      </c>
      <c r="AQ1156" s="1152">
        <f t="shared" si="1425"/>
        <v>-583.03670636989796</v>
      </c>
      <c r="AR1156" s="1152">
        <f t="shared" si="1425"/>
        <v>-746.69654016615459</v>
      </c>
      <c r="AS1156" s="1152">
        <f t="shared" si="1425"/>
        <v>-13907.007999450287</v>
      </c>
      <c r="AT1156" s="1152">
        <f t="shared" si="1425"/>
        <v>-34204.180370138798</v>
      </c>
      <c r="AV1156" s="2168"/>
      <c r="AW1156" s="2168"/>
      <c r="AX1156" s="2168"/>
      <c r="AY1156" s="2168"/>
      <c r="AZ1156" s="2168"/>
      <c r="BA1156" s="2168"/>
      <c r="BB1156" s="2168"/>
      <c r="BC1156" s="2168"/>
      <c r="BD1156" s="2168"/>
      <c r="BE1156" s="2168"/>
      <c r="BF1156" s="2168"/>
      <c r="BG1156" s="2168"/>
      <c r="BH1156" s="2167"/>
    </row>
    <row r="1157" spans="1:60">
      <c r="A1157" s="1"/>
      <c r="B1157" s="1"/>
      <c r="C1157" s="1"/>
      <c r="D1157" s="1696" t="s">
        <v>3244</v>
      </c>
      <c r="E1157" s="638"/>
      <c r="F1157" s="638"/>
      <c r="G1157" s="638"/>
      <c r="H1157" s="638"/>
      <c r="I1157" s="638"/>
      <c r="J1157" s="638"/>
      <c r="K1157" s="638"/>
      <c r="L1157" s="638"/>
      <c r="M1157" s="638"/>
      <c r="N1157" s="638"/>
      <c r="O1157" s="638"/>
      <c r="P1157" s="638"/>
      <c r="Q1157" s="638"/>
      <c r="R1157" s="638"/>
      <c r="S1157" s="638"/>
      <c r="T1157" s="638"/>
      <c r="U1157" s="638"/>
      <c r="V1157" s="573"/>
      <c r="W1157" s="573"/>
      <c r="X1157" s="573"/>
      <c r="Y1157" s="1662"/>
      <c r="Z1157" s="1662"/>
      <c r="AA1157" s="1662"/>
      <c r="AB1157" s="1662"/>
      <c r="AC1157" s="1662"/>
      <c r="AD1157" s="1662"/>
      <c r="AE1157" s="1662"/>
      <c r="AF1157" s="1662"/>
      <c r="AG1157" s="1662"/>
      <c r="AH1157" s="573"/>
      <c r="AI1157" s="573"/>
      <c r="AJ1157" s="573"/>
      <c r="AK1157" s="573"/>
      <c r="AL1157" s="573"/>
      <c r="AM1157" s="573"/>
      <c r="AN1157" s="573"/>
      <c r="AO1157" s="573"/>
      <c r="AP1157" s="573"/>
      <c r="AQ1157" s="573"/>
      <c r="AR1157" s="573"/>
      <c r="AS1157" s="573"/>
      <c r="AT1157" s="573"/>
      <c r="AV1157" s="2168"/>
      <c r="AW1157" s="2168"/>
      <c r="AX1157" s="2168"/>
      <c r="AY1157" s="2168"/>
      <c r="AZ1157" s="2168"/>
      <c r="BA1157" s="2168"/>
      <c r="BB1157" s="2168"/>
      <c r="BC1157" s="2168"/>
      <c r="BD1157" s="2168"/>
      <c r="BE1157" s="2168"/>
      <c r="BF1157" s="2168"/>
      <c r="BG1157" s="2168"/>
      <c r="BH1157" s="2167"/>
    </row>
    <row r="1158" spans="1:60">
      <c r="A1158" s="1"/>
      <c r="B1158" s="1"/>
      <c r="C1158" s="1"/>
      <c r="D1158" s="1697" t="s">
        <v>592</v>
      </c>
      <c r="E1158" s="638"/>
      <c r="F1158" s="638"/>
      <c r="G1158" s="638"/>
      <c r="H1158" s="638"/>
      <c r="I1158" s="638"/>
      <c r="J1158" s="638"/>
      <c r="K1158" s="638"/>
      <c r="L1158" s="638"/>
      <c r="M1158" s="638"/>
      <c r="N1158" s="638"/>
      <c r="O1158" s="638"/>
      <c r="P1158" s="638"/>
      <c r="Q1158" s="638"/>
      <c r="R1158" s="638"/>
      <c r="S1158" s="638"/>
      <c r="T1158" s="638"/>
      <c r="U1158" s="638"/>
      <c r="V1158" s="573"/>
      <c r="W1158" s="573"/>
      <c r="X1158" s="573">
        <f>+X988-X1076-X1133-X1193-X1202</f>
        <v>-236.49369439700016</v>
      </c>
      <c r="Y1158" s="573">
        <f>+Y988-Y1076-Y1133-Y1193-Y1202</f>
        <v>-233.67094087264914</v>
      </c>
      <c r="Z1158" s="573">
        <f>+Z988-Z1076-Z1133-Z1193-Z1202</f>
        <v>-268.29256383922802</v>
      </c>
      <c r="AA1158" s="573">
        <f>+AA988-AA1076-AA1133-AA1193-AA1202</f>
        <v>-273.06533902922752</v>
      </c>
      <c r="AB1158" s="573">
        <f>+AB988-AB1076-AB1133-AB1193-AB1202</f>
        <v>-340.99932683448753</v>
      </c>
      <c r="AC1158" s="573">
        <f>+AC988-AC1076-AC1133-AC1193-AC1202-AC1208-AC1209-AC1210</f>
        <v>-354.2886541390036</v>
      </c>
      <c r="AD1158" s="573">
        <f>+AD988-AD1076-AD1133-AD1193-AD1202-AD1208-AD1209-AD1210</f>
        <v>-546.48294480264678</v>
      </c>
      <c r="AE1158" s="573">
        <f>+AE988-AE1076-AE1133-AE1193-AE1202-AE1208-AE1209-AE1210</f>
        <v>-834.78689066237223</v>
      </c>
      <c r="AF1158" s="573">
        <f>+AF988-AF1076-AF1133-AF1193-AF1202-AF1208-AF1209-AF1210</f>
        <v>-889.78935153352643</v>
      </c>
      <c r="AG1158" s="573">
        <f>FISCinyear!IP842</f>
        <v>-1115.8269037455138</v>
      </c>
      <c r="AH1158" s="573">
        <f>+AH988-AH1076-AH1133-AH1193-AH1202-AH1208-AH1209-AH1210</f>
        <v>-1116.9868303734927</v>
      </c>
      <c r="AI1158" s="573">
        <f>+AI988-AI1076-AI1133-AI1193-AI1202-AI1208-AI1209-AI1210</f>
        <v>-1228.2109644458326</v>
      </c>
      <c r="AJ1158" s="573">
        <f>+AJ988-AJ1076-AJ1133-AJ1193-AJ1202-AJ1208-AJ1209-AJ1210</f>
        <v>-1093.8329360575465</v>
      </c>
      <c r="AK1158" s="573">
        <f>+AK988-AK1076-AK1133-AK1193-AK1202-AK1208-AK1209-AK1210</f>
        <v>-1671.2071561101307</v>
      </c>
      <c r="AL1158" s="573">
        <f t="shared" ref="AL1158:AT1158" si="1426">+AL988-AL1076-AL1133-AL1193-AL1202</f>
        <v>-1393.0137390038808</v>
      </c>
      <c r="AM1158" s="573">
        <f t="shared" si="1426"/>
        <v>-1026.3410849647996</v>
      </c>
      <c r="AN1158" s="573">
        <f t="shared" si="1426"/>
        <v>-1049.5078672724312</v>
      </c>
      <c r="AO1158" s="573">
        <f t="shared" si="1426"/>
        <v>-1174.8917712412597</v>
      </c>
      <c r="AP1158" s="573">
        <f t="shared" si="1426"/>
        <v>-1254.2293838667438</v>
      </c>
      <c r="AQ1158" s="573">
        <f t="shared" si="1426"/>
        <v>-1206.7733618310567</v>
      </c>
      <c r="AR1158" s="573">
        <f t="shared" si="1426"/>
        <v>-1414.3369893369581</v>
      </c>
      <c r="AS1158" s="573">
        <f t="shared" si="1426"/>
        <v>-14608.03047107963</v>
      </c>
      <c r="AT1158" s="573">
        <f t="shared" si="1426"/>
        <v>-34940.253965349606</v>
      </c>
      <c r="AV1158" s="2168"/>
      <c r="AW1158" s="2168"/>
      <c r="AX1158" s="2168"/>
      <c r="AY1158" s="2168"/>
      <c r="AZ1158" s="2168"/>
      <c r="BA1158" s="2168"/>
      <c r="BB1158" s="2168"/>
      <c r="BC1158" s="2168"/>
      <c r="BD1158" s="2168"/>
      <c r="BE1158" s="2168"/>
      <c r="BF1158" s="2168"/>
      <c r="BG1158" s="2168"/>
      <c r="BH1158" s="2167"/>
    </row>
    <row r="1159" spans="1:60">
      <c r="A1159" s="1"/>
      <c r="B1159" s="1"/>
      <c r="C1159" s="1"/>
      <c r="D1159" s="1697" t="s">
        <v>593</v>
      </c>
      <c r="E1159" s="638"/>
      <c r="F1159" s="638"/>
      <c r="G1159" s="638"/>
      <c r="H1159" s="638"/>
      <c r="I1159" s="638"/>
      <c r="J1159" s="638"/>
      <c r="K1159" s="638"/>
      <c r="L1159" s="638"/>
      <c r="M1159" s="638"/>
      <c r="N1159" s="638"/>
      <c r="O1159" s="638"/>
      <c r="P1159" s="638"/>
      <c r="Q1159" s="638"/>
      <c r="R1159" s="638"/>
      <c r="S1159" s="638"/>
      <c r="T1159" s="638"/>
      <c r="U1159" s="638"/>
      <c r="V1159" s="573"/>
      <c r="W1159" s="573"/>
      <c r="X1159" s="573">
        <f>+(X988-X1039)-X1076-X1133-X1193-X1202</f>
        <v>-601.3936943970001</v>
      </c>
      <c r="Y1159" s="573">
        <f>+(Y988-Y1039)-Y1076-Y1133-Y1193-Y1202</f>
        <v>-707.98759809526928</v>
      </c>
      <c r="Z1159" s="573">
        <f>+(Z988-Z1039)-Z1076-Z1133-Z1193-Z1202</f>
        <v>-684.21997083452754</v>
      </c>
      <c r="AA1159" s="573">
        <f>+(AA988-AA1039)-AA1076-AA1133-AA1193-AA1202</f>
        <v>-646.77894482277702</v>
      </c>
      <c r="AB1159" s="573">
        <f>+(AB988-AB1039)-AB1076-AB1133-AB1193-AB1202</f>
        <v>-671.18141078100609</v>
      </c>
      <c r="AC1159" s="573">
        <f t="shared" ref="AC1159:AK1159" si="1427">AC1158-AC1039</f>
        <v>-713.19733100771407</v>
      </c>
      <c r="AD1159" s="573">
        <f t="shared" si="1427"/>
        <v>-941.23300265886246</v>
      </c>
      <c r="AE1159" s="573">
        <f t="shared" si="1427"/>
        <v>-1272.3452953062397</v>
      </c>
      <c r="AF1159" s="573">
        <f t="shared" si="1427"/>
        <v>-1450.8775193346087</v>
      </c>
      <c r="AG1159" s="573">
        <f t="shared" si="1427"/>
        <v>-1940.0112631717952</v>
      </c>
      <c r="AH1159" s="573">
        <f t="shared" si="1427"/>
        <v>-1828.2940761284447</v>
      </c>
      <c r="AI1159" s="573">
        <f t="shared" si="1427"/>
        <v>-1986.0023739774647</v>
      </c>
      <c r="AJ1159" s="573">
        <f t="shared" si="1427"/>
        <v>-1719.6016752916596</v>
      </c>
      <c r="AK1159" s="573">
        <f t="shared" si="1427"/>
        <v>-2256.4221644614504</v>
      </c>
      <c r="AL1159" s="573">
        <f t="shared" ref="AL1159:AT1159" si="1428">+(AL988-AL1039)-AL1076-AL1133-AL1193-AL1202</f>
        <v>-2053.0803627952973</v>
      </c>
      <c r="AM1159" s="573">
        <f t="shared" si="1428"/>
        <v>-1766.111458340273</v>
      </c>
      <c r="AN1159" s="573">
        <f t="shared" si="1428"/>
        <v>-1843.8319182997911</v>
      </c>
      <c r="AO1159" s="573">
        <f t="shared" si="1428"/>
        <v>-2039.8580110963878</v>
      </c>
      <c r="AP1159" s="573">
        <f t="shared" si="1428"/>
        <v>-1610.067431320429</v>
      </c>
      <c r="AQ1159" s="573">
        <f t="shared" si="1428"/>
        <v>-1588.9437364530158</v>
      </c>
      <c r="AR1159" s="573">
        <f t="shared" si="1428"/>
        <v>-1817.9172416417641</v>
      </c>
      <c r="AS1159" s="573">
        <f t="shared" si="1428"/>
        <v>-15034.672229715259</v>
      </c>
      <c r="AT1159" s="573">
        <f t="shared" si="1428"/>
        <v>-35386.714502716335</v>
      </c>
      <c r="AV1159" s="2168"/>
      <c r="AW1159" s="2168"/>
      <c r="AX1159" s="2168"/>
      <c r="AY1159" s="2168"/>
      <c r="AZ1159" s="2168"/>
      <c r="BA1159" s="2168"/>
      <c r="BB1159" s="2168"/>
      <c r="BC1159" s="2168"/>
      <c r="BD1159" s="2168"/>
      <c r="BE1159" s="2168"/>
      <c r="BF1159" s="2168"/>
      <c r="BG1159" s="2168"/>
      <c r="BH1159" s="2167"/>
    </row>
    <row r="1160" spans="1:60">
      <c r="A1160" s="1"/>
      <c r="B1160" s="1"/>
      <c r="C1160" s="1"/>
      <c r="D1160" s="1697" t="s">
        <v>3476</v>
      </c>
      <c r="E1160" s="638"/>
      <c r="F1160" s="638"/>
      <c r="G1160" s="638"/>
      <c r="H1160" s="638"/>
      <c r="I1160" s="638"/>
      <c r="J1160" s="638"/>
      <c r="K1160" s="638"/>
      <c r="L1160" s="638"/>
      <c r="M1160" s="638"/>
      <c r="N1160" s="638"/>
      <c r="O1160" s="638"/>
      <c r="P1160" s="638"/>
      <c r="Q1160" s="638"/>
      <c r="R1160" s="638"/>
      <c r="S1160" s="638"/>
      <c r="T1160" s="638"/>
      <c r="U1160" s="638"/>
      <c r="V1160" s="573"/>
      <c r="W1160" s="573"/>
      <c r="X1160" s="573"/>
      <c r="Y1160" s="573"/>
      <c r="Z1160" s="573"/>
      <c r="AA1160" s="573"/>
      <c r="AB1160" s="573"/>
      <c r="AC1160" s="573"/>
      <c r="AD1160" s="573"/>
      <c r="AE1160" s="573"/>
      <c r="AF1160" s="573"/>
      <c r="AG1160" s="573">
        <f t="shared" ref="AG1160:AO1160" si="1429">AG1158+AG1092+AG1110+AG1128+AG1137+AG1142</f>
        <v>-1115.8269037455138</v>
      </c>
      <c r="AH1160" s="573">
        <f t="shared" si="1429"/>
        <v>-1093.8868303734928</v>
      </c>
      <c r="AI1160" s="573">
        <f t="shared" si="1429"/>
        <v>-1178.7319099481012</v>
      </c>
      <c r="AJ1160" s="573">
        <f t="shared" si="1429"/>
        <v>-1001.3546002968135</v>
      </c>
      <c r="AK1160" s="573">
        <f t="shared" si="1429"/>
        <v>-1647.1100519501397</v>
      </c>
      <c r="AL1160" s="573">
        <f t="shared" si="1429"/>
        <v>-1389.7983686286889</v>
      </c>
      <c r="AM1160" s="573">
        <f t="shared" si="1429"/>
        <v>-1022.9128063433674</v>
      </c>
      <c r="AN1160" s="573">
        <f t="shared" si="1429"/>
        <v>-1049.5078672724312</v>
      </c>
      <c r="AO1160" s="573">
        <f t="shared" si="1429"/>
        <v>-1174.8917712412597</v>
      </c>
      <c r="AP1160" s="573">
        <f t="shared" ref="AP1160:AT1160" si="1430">AP1158+AP1092+AP1110+AP1128+AP1137+AP1142</f>
        <v>-1254.2293838667438</v>
      </c>
      <c r="AQ1160" s="573">
        <f t="shared" si="1430"/>
        <v>-1206.7733618310567</v>
      </c>
      <c r="AR1160" s="573">
        <f t="shared" si="1430"/>
        <v>-1414.3369893369581</v>
      </c>
      <c r="AS1160" s="573">
        <f t="shared" si="1430"/>
        <v>-14608.03047107963</v>
      </c>
      <c r="AT1160" s="573">
        <f t="shared" si="1430"/>
        <v>-34940.253965349606</v>
      </c>
      <c r="AV1160" s="2168"/>
      <c r="AW1160" s="2168"/>
      <c r="AX1160" s="2168"/>
      <c r="AY1160" s="2168"/>
      <c r="AZ1160" s="2168"/>
      <c r="BA1160" s="2168"/>
      <c r="BB1160" s="2168"/>
      <c r="BC1160" s="2168"/>
      <c r="BD1160" s="2168"/>
      <c r="BE1160" s="2168"/>
      <c r="BF1160" s="2168"/>
      <c r="BG1160" s="2168"/>
      <c r="BH1160" s="2167"/>
    </row>
    <row r="1161" spans="1:60">
      <c r="A1161" s="1"/>
      <c r="B1161" s="1"/>
      <c r="C1161" s="1"/>
      <c r="D1161" s="1697" t="s">
        <v>3477</v>
      </c>
      <c r="E1161" s="638"/>
      <c r="F1161" s="638"/>
      <c r="G1161" s="638"/>
      <c r="H1161" s="638"/>
      <c r="I1161" s="638"/>
      <c r="J1161" s="638"/>
      <c r="K1161" s="638"/>
      <c r="L1161" s="638"/>
      <c r="M1161" s="638"/>
      <c r="N1161" s="638"/>
      <c r="O1161" s="638"/>
      <c r="P1161" s="638"/>
      <c r="Q1161" s="638"/>
      <c r="R1161" s="638"/>
      <c r="S1161" s="638"/>
      <c r="T1161" s="638"/>
      <c r="U1161" s="638"/>
      <c r="V1161" s="573"/>
      <c r="W1161" s="573"/>
      <c r="X1161" s="573"/>
      <c r="Y1161" s="573"/>
      <c r="Z1161" s="573"/>
      <c r="AA1161" s="573"/>
      <c r="AB1161" s="573"/>
      <c r="AC1161" s="573"/>
      <c r="AD1161" s="573"/>
      <c r="AE1161" s="573"/>
      <c r="AF1161" s="573"/>
      <c r="AG1161" s="573">
        <f t="shared" ref="AG1161:AT1161" si="1431">AG1158-AG1051</f>
        <v>-1115.8269037455138</v>
      </c>
      <c r="AH1161" s="573">
        <f t="shared" si="1431"/>
        <v>-1116.9868303734927</v>
      </c>
      <c r="AI1161" s="573">
        <f t="shared" si="1431"/>
        <v>-1228.2109644458326</v>
      </c>
      <c r="AJ1161" s="573">
        <f t="shared" si="1431"/>
        <v>-1093.8329360575465</v>
      </c>
      <c r="AK1161" s="573">
        <f t="shared" si="1431"/>
        <v>-1671.2071561101307</v>
      </c>
      <c r="AL1161" s="573">
        <f t="shared" si="1431"/>
        <v>-1457.3211465077216</v>
      </c>
      <c r="AM1161" s="573">
        <f t="shared" si="1431"/>
        <v>-1129.1894436077657</v>
      </c>
      <c r="AN1161" s="573">
        <f t="shared" si="1431"/>
        <v>-1176.2897663691424</v>
      </c>
      <c r="AO1161" s="573">
        <f t="shared" si="1431"/>
        <v>-1345.0231914318138</v>
      </c>
      <c r="AP1161" s="573">
        <f t="shared" si="1431"/>
        <v>-1411.2766531967432</v>
      </c>
      <c r="AQ1161" s="573">
        <f t="shared" si="1431"/>
        <v>-1381.1734135224992</v>
      </c>
      <c r="AR1161" s="573">
        <f t="shared" si="1431"/>
        <v>-1595.522308602061</v>
      </c>
      <c r="AS1161" s="573">
        <f t="shared" si="1431"/>
        <v>-14801.157550023569</v>
      </c>
      <c r="AT1161" s="573">
        <f t="shared" si="1431"/>
        <v>-35141.52408904006</v>
      </c>
      <c r="AV1161" s="2168"/>
      <c r="AW1161" s="2168"/>
      <c r="AX1161" s="2168"/>
      <c r="AY1161" s="2168"/>
      <c r="AZ1161" s="2168"/>
      <c r="BA1161" s="2168"/>
      <c r="BB1161" s="2168"/>
      <c r="BC1161" s="2168"/>
      <c r="BD1161" s="2168"/>
      <c r="BE1161" s="2168"/>
      <c r="BF1161" s="2168"/>
      <c r="BG1161" s="2168"/>
      <c r="BH1161" s="2167"/>
    </row>
    <row r="1162" spans="1:60">
      <c r="A1162" s="1"/>
      <c r="B1162" s="1"/>
      <c r="C1162" s="1"/>
      <c r="D1162" s="1811" t="s">
        <v>3723</v>
      </c>
      <c r="E1162" s="349"/>
      <c r="F1162" s="349"/>
      <c r="G1162" s="349"/>
      <c r="H1162" s="349"/>
      <c r="I1162" s="349"/>
      <c r="J1162" s="349"/>
      <c r="K1162" s="349"/>
      <c r="L1162" s="349"/>
      <c r="M1162" s="349"/>
      <c r="N1162" s="349"/>
      <c r="O1162" s="349"/>
      <c r="P1162" s="349"/>
      <c r="Q1162" s="349"/>
      <c r="R1162" s="349"/>
      <c r="S1162" s="349"/>
      <c r="T1162" s="349"/>
      <c r="U1162" s="349"/>
      <c r="V1162" s="1812"/>
      <c r="W1162" s="1812"/>
      <c r="X1162" s="1812"/>
      <c r="Y1162" s="1812"/>
      <c r="Z1162" s="1812"/>
      <c r="AA1162" s="1812"/>
      <c r="AB1162" s="1812"/>
      <c r="AC1162" s="1812"/>
      <c r="AD1162" s="1812"/>
      <c r="AE1162" s="1812"/>
      <c r="AF1162" s="1812"/>
      <c r="AG1162" s="1812"/>
      <c r="AH1162" s="1812"/>
      <c r="AI1162" s="1812"/>
      <c r="AJ1162" s="1812"/>
      <c r="AK1162" s="1812"/>
      <c r="AL1162" s="1812"/>
      <c r="AM1162" s="1812"/>
      <c r="AN1162" s="1812"/>
      <c r="AO1162" s="1812"/>
      <c r="AP1162" s="1812"/>
      <c r="AQ1162" s="1812"/>
      <c r="AR1162" s="1812"/>
      <c r="AS1162" s="1812"/>
      <c r="AT1162" s="1812"/>
      <c r="AV1162" s="2168"/>
      <c r="AW1162" s="2168"/>
      <c r="AX1162" s="2168"/>
      <c r="AY1162" s="2168"/>
      <c r="AZ1162" s="2168"/>
      <c r="BA1162" s="2168"/>
      <c r="BB1162" s="2168"/>
      <c r="BC1162" s="2168"/>
      <c r="BD1162" s="2168"/>
      <c r="BE1162" s="2168"/>
      <c r="BF1162" s="2168"/>
      <c r="BG1162" s="2168"/>
      <c r="BH1162" s="2167"/>
    </row>
    <row r="1163" spans="1:60">
      <c r="A1163" s="1"/>
      <c r="B1163" s="1"/>
      <c r="C1163" s="1"/>
      <c r="D1163" s="1813" t="s">
        <v>592</v>
      </c>
      <c r="E1163" s="349"/>
      <c r="F1163" s="349"/>
      <c r="G1163" s="349"/>
      <c r="H1163" s="349"/>
      <c r="I1163" s="349"/>
      <c r="J1163" s="349"/>
      <c r="K1163" s="349"/>
      <c r="L1163" s="349"/>
      <c r="M1163" s="349"/>
      <c r="N1163" s="349"/>
      <c r="O1163" s="349"/>
      <c r="P1163" s="349"/>
      <c r="Q1163" s="349"/>
      <c r="R1163" s="349"/>
      <c r="S1163" s="349"/>
      <c r="T1163" s="349"/>
      <c r="U1163" s="349"/>
      <c r="V1163" s="1812"/>
      <c r="W1163" s="1812"/>
      <c r="X1163" s="1812"/>
      <c r="Y1163" s="1812"/>
      <c r="Z1163" s="1812"/>
      <c r="AA1163" s="1812">
        <f>AA988-AA1076+AA1088-AA1133+AA1142-AA1193-AA1202</f>
        <v>-273.06533902922752</v>
      </c>
      <c r="AB1163" s="1812">
        <f>AB988-AB1076+AB1088-AB1133+AB1142-AB1193-AB1202</f>
        <v>-340.99932683448753</v>
      </c>
      <c r="AC1163" s="1812">
        <f t="shared" ref="AC1163:AO1163" si="1432">AC1158+AC1095</f>
        <v>-262.71007148695298</v>
      </c>
      <c r="AD1163" s="1812">
        <f t="shared" si="1432"/>
        <v>-443.99047466348816</v>
      </c>
      <c r="AE1163" s="1812">
        <f t="shared" si="1432"/>
        <v>-695.66808633631285</v>
      </c>
      <c r="AF1163" s="1812">
        <f t="shared" si="1432"/>
        <v>-709.10347563122127</v>
      </c>
      <c r="AG1163" s="1812">
        <f>AG1158+AG1095</f>
        <v>-895.49194334545837</v>
      </c>
      <c r="AH1163" s="1812">
        <f t="shared" si="1432"/>
        <v>-813.4839734523913</v>
      </c>
      <c r="AI1163" s="1812">
        <f t="shared" si="1432"/>
        <v>-810.4902795958451</v>
      </c>
      <c r="AJ1163" s="1812">
        <f>AJ1158+AJ1095</f>
        <v>-590.88996833497049</v>
      </c>
      <c r="AK1163" s="1812">
        <f t="shared" si="1432"/>
        <v>-1067.1121641486066</v>
      </c>
      <c r="AL1163" s="1812">
        <f t="shared" si="1432"/>
        <v>-697.44495745589279</v>
      </c>
      <c r="AM1163" s="1812">
        <f t="shared" si="1432"/>
        <v>-254.57906014250943</v>
      </c>
      <c r="AN1163" s="1812">
        <f t="shared" si="1432"/>
        <v>-229.80110031646677</v>
      </c>
      <c r="AO1163" s="1812">
        <f t="shared" si="1432"/>
        <v>-31.481330564847894</v>
      </c>
      <c r="AP1163" s="1812">
        <f>AP988-AP1076+AP1088-AP1133+AP1142-AP1193-AP1202</f>
        <v>-1254.2293838667438</v>
      </c>
      <c r="AQ1163" s="1812">
        <f>AQ988-AQ1076+AQ1088-AQ1133+AQ1142-AQ1193-AQ1202</f>
        <v>-1206.7733618310567</v>
      </c>
      <c r="AR1163" s="1812">
        <f>AR988-AR1076+AR1088-AR1133+AR1142-AR1193-AR1202</f>
        <v>-1414.3369893369581</v>
      </c>
      <c r="AS1163" s="1812">
        <f>AS988-AS1076+AS1088-AS1133+AS1142-AS1193-AS1202</f>
        <v>-14608.03047107963</v>
      </c>
      <c r="AT1163" s="1812">
        <f>AT988-AT1076+AT1088-AT1133+AT1142-AT1193-AT1202</f>
        <v>-34940.253965349606</v>
      </c>
      <c r="AV1163" s="2168"/>
      <c r="AW1163" s="2168"/>
      <c r="AX1163" s="2168"/>
      <c r="AY1163" s="2168"/>
      <c r="AZ1163" s="2168"/>
      <c r="BA1163" s="2168"/>
      <c r="BB1163" s="2168"/>
      <c r="BC1163" s="2168"/>
      <c r="BD1163" s="2168"/>
      <c r="BE1163" s="2168"/>
      <c r="BF1163" s="2168"/>
      <c r="BG1163" s="2168"/>
      <c r="BH1163" s="2167"/>
    </row>
    <row r="1164" spans="1:60">
      <c r="A1164" s="1"/>
      <c r="B1164" s="1"/>
      <c r="C1164" s="1"/>
      <c r="D1164" s="1814" t="s">
        <v>3732</v>
      </c>
      <c r="E1164" s="349"/>
      <c r="F1164" s="349"/>
      <c r="G1164" s="349"/>
      <c r="H1164" s="349"/>
      <c r="I1164" s="349"/>
      <c r="J1164" s="349"/>
      <c r="K1164" s="349"/>
      <c r="L1164" s="349"/>
      <c r="M1164" s="349"/>
      <c r="N1164" s="349"/>
      <c r="O1164" s="349"/>
      <c r="P1164" s="349"/>
      <c r="Q1164" s="349"/>
      <c r="R1164" s="349"/>
      <c r="S1164" s="349"/>
      <c r="T1164" s="349"/>
      <c r="U1164" s="349"/>
      <c r="V1164" s="1812"/>
      <c r="W1164" s="1812"/>
      <c r="X1164" s="1812"/>
      <c r="Y1164" s="1812"/>
      <c r="Z1164" s="1812"/>
      <c r="AA1164" s="1812"/>
      <c r="AB1164" s="1812"/>
      <c r="AC1164" s="1812"/>
      <c r="AD1164" s="1812"/>
      <c r="AE1164" s="1812">
        <f t="shared" ref="AE1164:AO1164" si="1433">AE1163+(AE1105-AE1106)+AE1204</f>
        <v>-695.66808633631285</v>
      </c>
      <c r="AF1164" s="1812">
        <f t="shared" si="1433"/>
        <v>-709.10347563122127</v>
      </c>
      <c r="AG1164" s="1812">
        <f t="shared" si="1433"/>
        <v>-872.50442717345834</v>
      </c>
      <c r="AH1164" s="1812">
        <f t="shared" si="1433"/>
        <v>-790.45232444339126</v>
      </c>
      <c r="AI1164" s="1812">
        <f t="shared" si="1433"/>
        <v>-790.81533465784514</v>
      </c>
      <c r="AJ1164" s="1812">
        <f t="shared" si="1433"/>
        <v>-554.90812430497044</v>
      </c>
      <c r="AK1164" s="1812">
        <f t="shared" si="1433"/>
        <v>-387.66584880087271</v>
      </c>
      <c r="AL1164" s="1812">
        <f t="shared" si="1433"/>
        <v>-39.030178443216755</v>
      </c>
      <c r="AM1164" s="1812">
        <f t="shared" si="1433"/>
        <v>-53.953264633935248</v>
      </c>
      <c r="AN1164" s="1812">
        <f t="shared" si="1433"/>
        <v>-35.375216735702644</v>
      </c>
      <c r="AO1164" s="1812">
        <f t="shared" si="1433"/>
        <v>191.45255615088541</v>
      </c>
      <c r="AP1164" s="1812"/>
      <c r="AQ1164" s="1812"/>
      <c r="AR1164" s="1812"/>
      <c r="AS1164" s="1812"/>
      <c r="AT1164" s="1812"/>
      <c r="AV1164" s="2168"/>
      <c r="AW1164" s="2168"/>
      <c r="AX1164" s="2168"/>
      <c r="AY1164" s="2168"/>
      <c r="AZ1164" s="2168"/>
      <c r="BA1164" s="2168"/>
      <c r="BB1164" s="2168"/>
      <c r="BC1164" s="2168"/>
      <c r="BD1164" s="2168"/>
      <c r="BE1164" s="2168"/>
      <c r="BF1164" s="2168"/>
      <c r="BG1164" s="2168"/>
      <c r="BH1164" s="2167"/>
    </row>
    <row r="1165" spans="1:60">
      <c r="A1165" s="1"/>
      <c r="B1165" s="1"/>
      <c r="C1165" s="1"/>
      <c r="D1165" s="1699" t="s">
        <v>3243</v>
      </c>
      <c r="E1165" s="1661"/>
      <c r="F1165" s="1661"/>
      <c r="G1165" s="1690"/>
      <c r="H1165" s="1690"/>
      <c r="I1165" s="1690"/>
      <c r="J1165" s="1690"/>
      <c r="K1165" s="1690"/>
      <c r="L1165" s="1690"/>
      <c r="M1165" s="1690"/>
      <c r="N1165" s="1690"/>
      <c r="O1165" s="1690"/>
      <c r="P1165" s="1690"/>
      <c r="Q1165" s="1690"/>
      <c r="R1165" s="1690"/>
      <c r="S1165" s="1690"/>
      <c r="T1165" s="1690"/>
      <c r="U1165" s="1690"/>
      <c r="V1165" s="1661"/>
      <c r="W1165" s="1661"/>
      <c r="X1165" s="1661"/>
      <c r="Y1165" s="1691"/>
      <c r="Z1165" s="1691"/>
      <c r="AA1165" s="1691"/>
      <c r="AB1165" s="1691"/>
      <c r="AC1165" s="1691"/>
      <c r="AD1165" s="1691"/>
      <c r="AE1165" s="1691"/>
      <c r="AF1165" s="1691"/>
      <c r="AG1165" s="1691"/>
      <c r="AH1165" s="1661"/>
      <c r="AI1165" s="1661"/>
      <c r="AJ1165" s="1661"/>
      <c r="AK1165" s="1661"/>
      <c r="AL1165" s="1661"/>
      <c r="AM1165" s="1661"/>
      <c r="AN1165" s="1661"/>
      <c r="AO1165" s="1661"/>
      <c r="AP1165" s="1661"/>
      <c r="AQ1165" s="1661"/>
      <c r="AR1165" s="1661"/>
      <c r="AS1165" s="1661"/>
      <c r="AT1165" s="1661"/>
      <c r="AV1165" s="2168"/>
      <c r="AW1165" s="2168"/>
      <c r="AX1165" s="2168"/>
      <c r="AY1165" s="2168"/>
      <c r="AZ1165" s="2168"/>
      <c r="BA1165" s="2168"/>
      <c r="BB1165" s="2168"/>
      <c r="BC1165" s="2168"/>
      <c r="BD1165" s="2168"/>
      <c r="BE1165" s="2168"/>
      <c r="BF1165" s="2168"/>
      <c r="BG1165" s="2168"/>
      <c r="BH1165" s="2167"/>
    </row>
    <row r="1166" spans="1:60">
      <c r="A1166" s="1"/>
      <c r="B1166" s="1"/>
      <c r="C1166" s="1"/>
      <c r="D1166" s="2169" t="s">
        <v>3729</v>
      </c>
      <c r="E1166" s="2170"/>
      <c r="F1166" s="2170"/>
      <c r="G1166" s="2170"/>
      <c r="H1166" s="2170"/>
      <c r="I1166" s="2170"/>
      <c r="J1166" s="2170"/>
      <c r="K1166" s="2170"/>
      <c r="L1166" s="2170"/>
      <c r="M1166" s="2170"/>
      <c r="N1166" s="2170"/>
      <c r="O1166" s="2170"/>
      <c r="P1166" s="2170"/>
      <c r="Q1166" s="2170"/>
      <c r="R1166" s="2170"/>
      <c r="S1166" s="2170"/>
      <c r="T1166" s="2170"/>
      <c r="U1166" s="2170"/>
      <c r="V1166" s="2171"/>
      <c r="W1166" s="2171"/>
      <c r="X1166" s="2171">
        <f t="shared" ref="X1166:AC1166" si="1434">X1158-(X1066-X1086-X1194-X1199)</f>
        <v>-236.49369439700016</v>
      </c>
      <c r="Y1166" s="2171">
        <f t="shared" si="1434"/>
        <v>-233.67094087264914</v>
      </c>
      <c r="Z1166" s="2171">
        <f t="shared" si="1434"/>
        <v>-337.83181416237699</v>
      </c>
      <c r="AA1166" s="2171">
        <f t="shared" si="1434"/>
        <v>-394.68490748146792</v>
      </c>
      <c r="AB1166" s="2171">
        <f t="shared" si="1434"/>
        <v>-473.01766917713752</v>
      </c>
      <c r="AC1166" s="2171">
        <f t="shared" si="1434"/>
        <v>-482.33125944327855</v>
      </c>
      <c r="AD1166" s="2171">
        <f>AD1158-AD1066-(-AD1086-AD1194-AD1199)</f>
        <v>-546.5607701949117</v>
      </c>
      <c r="AE1166" s="2171">
        <f>AE1158-AE1066-(-AE1086-AE1194-AE1199)</f>
        <v>-811.23850956705098</v>
      </c>
      <c r="AF1166" s="2171">
        <f>AF1158-AF1066-(-AF1086-AF1194-AF1199)+(AF1105-AF1106)+AF1107</f>
        <v>-901.82779950797135</v>
      </c>
      <c r="AG1166" s="2171">
        <f>AG1158-AG1066-(-AG1086-AG1194-AG1199)+(AG1105-AG1106)+AG1107</f>
        <v>-1126.7151760135587</v>
      </c>
      <c r="AH1166" s="2171">
        <f>AH1158-AH1066-(-AH1086-AH1194-AH1199)+(AH1105-AH1106)+AH1107</f>
        <v>-1081.1899783204926</v>
      </c>
      <c r="AI1166" s="2171">
        <f>AI1158-AI1066-(-AI1086-AI1194-AI1199)+(AI1105-AI1106)+AI1107</f>
        <v>-1193.0951605108326</v>
      </c>
      <c r="AJ1166" s="2171">
        <f>AJ1158+(AJ1105-AJ1106)+AJ1107</f>
        <v>-1093.8329360575465</v>
      </c>
      <c r="AK1166" s="2171">
        <f t="shared" ref="AK1166:AO1166" si="1435">AK1158+(AK1105-AK1106)+AK1107</f>
        <v>-1569.3385793062287</v>
      </c>
      <c r="AL1166" s="2171">
        <f t="shared" si="1435"/>
        <v>-1317.5033163335659</v>
      </c>
      <c r="AM1166" s="2171">
        <f t="shared" si="1435"/>
        <v>-933.91372836967264</v>
      </c>
      <c r="AN1166" s="2171">
        <f t="shared" si="1435"/>
        <v>-918.06795418724209</v>
      </c>
      <c r="AO1166" s="2171">
        <f t="shared" si="1435"/>
        <v>-987.9397285561663</v>
      </c>
      <c r="AP1166" s="2171">
        <f>AP1158-AP1066-(-AP1086-AP1194-AP1199)+(AP1104-AP1106*0)+AP1107</f>
        <v>-1254.2293838667438</v>
      </c>
      <c r="AQ1166" s="2171">
        <f>AQ1158-AQ1066-(-AQ1086-AQ1194-AQ1199)+(AQ1104-AQ1106*0)+AQ1107</f>
        <v>-1206.7733618310567</v>
      </c>
      <c r="AR1166" s="2171">
        <f>AR1158-AR1066-(-AR1086-AR1194-AR1199)+(AR1104-AR1106*0)+AR1107</f>
        <v>-1414.3369893369581</v>
      </c>
      <c r="AS1166" s="2171">
        <f>AS1158-AS1066-(-AS1086-AS1194-AS1199)+(AS1104-AS1106*0)+AS1107</f>
        <v>-14608.03047107963</v>
      </c>
      <c r="AT1166" s="2171">
        <f>AT1158-AT1066-(-AT1086-AT1194-AT1199)+(AT1104-AT1106*0)+AT1107</f>
        <v>-34940.253965349606</v>
      </c>
      <c r="AV1166" s="2168"/>
      <c r="AW1166" s="2168"/>
      <c r="AX1166" s="2168"/>
      <c r="AY1166" s="2168"/>
      <c r="AZ1166" s="2168"/>
      <c r="BA1166" s="2168"/>
      <c r="BB1166" s="2168"/>
      <c r="BC1166" s="2168"/>
      <c r="BD1166" s="2168"/>
      <c r="BE1166" s="2168"/>
      <c r="BF1166" s="2168"/>
      <c r="BG1166" s="2168"/>
      <c r="BH1166" s="2167"/>
    </row>
    <row r="1167" spans="1:60">
      <c r="A1167" s="1"/>
      <c r="B1167" s="1"/>
      <c r="C1167" s="1"/>
      <c r="D1167" s="2169" t="s">
        <v>3724</v>
      </c>
      <c r="E1167" s="2170"/>
      <c r="F1167" s="2170"/>
      <c r="G1167" s="2170"/>
      <c r="H1167" s="2170"/>
      <c r="I1167" s="2170"/>
      <c r="J1167" s="2170"/>
      <c r="K1167" s="2170"/>
      <c r="L1167" s="2170"/>
      <c r="M1167" s="2170"/>
      <c r="N1167" s="2170"/>
      <c r="O1167" s="2170"/>
      <c r="P1167" s="2170"/>
      <c r="Q1167" s="2170"/>
      <c r="R1167" s="2170"/>
      <c r="S1167" s="2170"/>
      <c r="T1167" s="2170"/>
      <c r="U1167" s="2170"/>
      <c r="V1167" s="2171"/>
      <c r="W1167" s="2171"/>
      <c r="X1167" s="2171">
        <f t="shared" ref="X1167:AI1167" si="1436">X1158-(-X1078-X1082-X1109-X1121-X1128-X1135-X1140)</f>
        <v>-236.49369439700016</v>
      </c>
      <c r="Y1167" s="2171">
        <f t="shared" si="1436"/>
        <v>-233.67094087264914</v>
      </c>
      <c r="Z1167" s="2171">
        <f t="shared" si="1436"/>
        <v>-268.29256383922802</v>
      </c>
      <c r="AA1167" s="2171">
        <f t="shared" si="1436"/>
        <v>-273.06533902922752</v>
      </c>
      <c r="AB1167" s="2171">
        <f t="shared" si="1436"/>
        <v>-340.99932683448753</v>
      </c>
      <c r="AC1167" s="2171">
        <f t="shared" si="1436"/>
        <v>-354.2886541390036</v>
      </c>
      <c r="AD1167" s="2171">
        <f t="shared" si="1436"/>
        <v>-546.48294480264678</v>
      </c>
      <c r="AE1167" s="2171">
        <f t="shared" si="1436"/>
        <v>-633.93662978637224</v>
      </c>
      <c r="AF1167" s="2171">
        <f t="shared" si="1436"/>
        <v>-835.56986837845898</v>
      </c>
      <c r="AG1167" s="2171">
        <f t="shared" si="1436"/>
        <v>-1115.8269037455138</v>
      </c>
      <c r="AH1167" s="2171">
        <f t="shared" si="1436"/>
        <v>-1116.9868303734927</v>
      </c>
      <c r="AI1167" s="2171">
        <f t="shared" si="1436"/>
        <v>-1227.0109644458325</v>
      </c>
      <c r="AJ1167" s="2171">
        <f>AJ1158+AJ1204</f>
        <v>-1057.8510920275464</v>
      </c>
      <c r="AK1167" s="2171">
        <f>AK1158-(-AK1078-AK1082-AK1109-AK1121-AK1128-AK1135-AK1140)+AK1204</f>
        <v>-971.80342442154893</v>
      </c>
      <c r="AL1167" s="2171">
        <f>AL1158-(-AL1078-AL1082-AL1109-AL1121-AL1128-AL1135-AL1140)+AL1204</f>
        <v>-810.10938266151982</v>
      </c>
      <c r="AM1167" s="2171">
        <f>AM1158-(-AM1078-AM1082-AM1109-AM1121-AM1128-AM1135-AM1140)+AM1204</f>
        <v>-918.14264605135236</v>
      </c>
      <c r="AN1167" s="2171">
        <f>AN1158-(-AN1078-AN1082-AN1109-AN1121-AN1128-AN1135-AN1140)+AN1204</f>
        <v>-986.52189677685612</v>
      </c>
      <c r="AO1167" s="2171">
        <f>AO1158-(-AO1078-AO1082-AO1109-AO1121-AO1128-AO1135-AO1140)+AO1204</f>
        <v>-1138.9099272106196</v>
      </c>
      <c r="AP1167" s="2171">
        <f>AP1158-(-AP1078-AP1082-AP1109-AP1121-AP1128-AP1135-AP1140)</f>
        <v>-1254.2293838667438</v>
      </c>
      <c r="AQ1167" s="2171">
        <f>AQ1158-(-AQ1078-AQ1082-AQ1109-AQ1121-AQ1128-AQ1135-AQ1140)</f>
        <v>-1206.7733618310567</v>
      </c>
      <c r="AR1167" s="2171">
        <f>AR1158-(-AR1078-AR1082-AR1109-AR1121-AR1128-AR1135-AR1140)</f>
        <v>-1414.3369893369581</v>
      </c>
      <c r="AS1167" s="2171">
        <f>AS1158-(-AS1078-AS1082-AS1109-AS1121-AS1128-AS1135-AS1140)</f>
        <v>-14608.03047107963</v>
      </c>
      <c r="AT1167" s="2171">
        <f>AT1158-(-AT1078-AT1082-AT1109-AT1121-AT1128-AT1135-AT1140)</f>
        <v>-34940.253965349606</v>
      </c>
      <c r="AV1167" s="2168"/>
      <c r="AW1167" s="2168"/>
      <c r="AX1167" s="2168"/>
      <c r="AY1167" s="2168"/>
      <c r="AZ1167" s="2168"/>
      <c r="BA1167" s="2168"/>
      <c r="BB1167" s="2168"/>
      <c r="BC1167" s="2168"/>
      <c r="BD1167" s="2168"/>
      <c r="BE1167" s="2168"/>
      <c r="BF1167" s="2168"/>
      <c r="BG1167" s="2168"/>
      <c r="BH1167" s="2167"/>
    </row>
    <row r="1168" spans="1:60">
      <c r="A1168" s="1"/>
      <c r="B1168" s="1"/>
      <c r="C1168" s="1"/>
      <c r="D1168" s="2169" t="s">
        <v>3727</v>
      </c>
      <c r="E1168" s="2170"/>
      <c r="F1168" s="2170"/>
      <c r="G1168" s="2170"/>
      <c r="H1168" s="2170"/>
      <c r="I1168" s="2170"/>
      <c r="J1168" s="2170"/>
      <c r="K1168" s="2170"/>
      <c r="L1168" s="2170"/>
      <c r="M1168" s="2170"/>
      <c r="N1168" s="2170"/>
      <c r="O1168" s="2170"/>
      <c r="P1168" s="2170"/>
      <c r="Q1168" s="2170"/>
      <c r="R1168" s="2170"/>
      <c r="S1168" s="2170"/>
      <c r="T1168" s="2170"/>
      <c r="U1168" s="2170"/>
      <c r="V1168" s="2171"/>
      <c r="W1168" s="2171"/>
      <c r="X1168" s="2171">
        <f t="shared" ref="X1168:AI1168" si="1437">X1158-(-X1083-X1200)</f>
        <v>-236.49369439700016</v>
      </c>
      <c r="Y1168" s="2171">
        <f t="shared" si="1437"/>
        <v>-233.67094087264914</v>
      </c>
      <c r="Z1168" s="2171">
        <f t="shared" si="1437"/>
        <v>-268.29256383922802</v>
      </c>
      <c r="AA1168" s="2171">
        <f t="shared" si="1437"/>
        <v>-273.06533902922752</v>
      </c>
      <c r="AB1168" s="2171">
        <f t="shared" si="1437"/>
        <v>-340.99932683448753</v>
      </c>
      <c r="AC1168" s="2171">
        <f t="shared" si="1437"/>
        <v>-354.2886541390036</v>
      </c>
      <c r="AD1168" s="2171">
        <f t="shared" si="1437"/>
        <v>-546.48294480264678</v>
      </c>
      <c r="AE1168" s="2171">
        <f t="shared" si="1437"/>
        <v>-834.78689066237223</v>
      </c>
      <c r="AF1168" s="2171">
        <f t="shared" si="1437"/>
        <v>-800.81391226752646</v>
      </c>
      <c r="AG1168" s="2171">
        <f t="shared" si="1437"/>
        <v>-1052.7236021815138</v>
      </c>
      <c r="AH1168" s="2171">
        <f t="shared" si="1437"/>
        <v>-1060.7008466995228</v>
      </c>
      <c r="AI1168" s="2171">
        <f t="shared" si="1437"/>
        <v>-1181.9109644458326</v>
      </c>
      <c r="AJ1168" s="2171">
        <f t="shared" ref="AJ1168:AO1168" si="1438">AJ1158-(-AJ1083-AJ1200)+(AJ1105-AJ1106)+AJ1107+AJ1204</f>
        <v>-1014.1848312691748</v>
      </c>
      <c r="AK1168" s="2171">
        <f t="shared" si="1438"/>
        <v>-845.14200686165668</v>
      </c>
      <c r="AL1168" s="2171">
        <f t="shared" si="1438"/>
        <v>-734.59895999120488</v>
      </c>
      <c r="AM1168" s="2171">
        <f t="shared" si="1438"/>
        <v>-825.71528945622538</v>
      </c>
      <c r="AN1168" s="2171">
        <f t="shared" si="1438"/>
        <v>-855.08198369166701</v>
      </c>
      <c r="AO1168" s="2171">
        <f t="shared" si="1438"/>
        <v>-951.95788452552631</v>
      </c>
      <c r="AP1168" s="2171">
        <f>AP1158-(-AP1083-AP1200)</f>
        <v>-1254.2293838667438</v>
      </c>
      <c r="AQ1168" s="2171">
        <f>AQ1158-(-AQ1083-AQ1200)</f>
        <v>-1206.7733618310567</v>
      </c>
      <c r="AR1168" s="2171">
        <f>AR1158-(-AR1083-AR1200)</f>
        <v>-1414.3369893369581</v>
      </c>
      <c r="AS1168" s="2171">
        <f>AS1158-(-AS1083-AS1200)</f>
        <v>-14608.03047107963</v>
      </c>
      <c r="AT1168" s="2171">
        <f>AT1158-(-AT1083-AT1200)</f>
        <v>-34940.253965349606</v>
      </c>
      <c r="AV1168" s="2168"/>
      <c r="AW1168" s="2168"/>
      <c r="AX1168" s="2168"/>
      <c r="AY1168" s="2168"/>
      <c r="AZ1168" s="2168"/>
      <c r="BA1168" s="2168"/>
      <c r="BB1168" s="2168"/>
      <c r="BC1168" s="2168"/>
      <c r="BD1168" s="2168"/>
      <c r="BE1168" s="2168"/>
      <c r="BF1168" s="2168"/>
      <c r="BG1168" s="2168"/>
      <c r="BH1168" s="2167"/>
    </row>
    <row r="1169" spans="1:60" ht="16" thickBot="1">
      <c r="A1169" s="1"/>
      <c r="B1169" s="1"/>
      <c r="C1169" s="1"/>
      <c r="D1169" s="2176" t="s">
        <v>3728</v>
      </c>
      <c r="E1169" s="1693"/>
      <c r="F1169" s="1693"/>
      <c r="G1169" s="1693"/>
      <c r="H1169" s="1693"/>
      <c r="I1169" s="1693"/>
      <c r="J1169" s="1693"/>
      <c r="K1169" s="1693"/>
      <c r="L1169" s="1693"/>
      <c r="M1169" s="1693"/>
      <c r="N1169" s="1693"/>
      <c r="O1169" s="1693"/>
      <c r="P1169" s="1693"/>
      <c r="Q1169" s="1693"/>
      <c r="R1169" s="1693"/>
      <c r="S1169" s="1693"/>
      <c r="T1169" s="1693"/>
      <c r="U1169" s="1693"/>
      <c r="V1169" s="1694"/>
      <c r="W1169" s="1694"/>
      <c r="X1169" s="1694">
        <f t="shared" ref="X1169:AC1169" si="1439">X1158-(X1066-X1086-X1194-X1199-X1078-X1082-X1109-X1121-X1128-X1135-X1140)</f>
        <v>-236.49369439700016</v>
      </c>
      <c r="Y1169" s="1694">
        <f t="shared" si="1439"/>
        <v>-233.67094087264914</v>
      </c>
      <c r="Z1169" s="1694">
        <f t="shared" si="1439"/>
        <v>-337.83181416237699</v>
      </c>
      <c r="AA1169" s="1694">
        <f t="shared" si="1439"/>
        <v>-394.68490748146792</v>
      </c>
      <c r="AB1169" s="1694">
        <f t="shared" si="1439"/>
        <v>-473.01766917713752</v>
      </c>
      <c r="AC1169" s="1694">
        <f t="shared" si="1439"/>
        <v>-482.33125944327855</v>
      </c>
      <c r="AD1169" s="1694">
        <f>AD1158-AD1066-(-AD1086-AD1194-AD1199-AD1078-AD1082-AD1109-AD1121-AD1128-AD1135-AD1140)</f>
        <v>-546.5607701949117</v>
      </c>
      <c r="AE1169" s="1694">
        <f>AE1158-AE1066-(-AE1086-AE1194-AE1199-AE1078-AE1082-AE1109-AE1121-AE1128-AE1135-AE1140)</f>
        <v>-610.38824869105099</v>
      </c>
      <c r="AF1169" s="1694">
        <f>AF1158-AF1066-(-AF1086-AF1194-AF1199-AF1078-AF1082-AF1109-AF1121-AF1128-AF1135-AF1140)</f>
        <v>-847.60831635290401</v>
      </c>
      <c r="AG1169" s="1694">
        <f>AG1158-AG1066-(-AG1086-AG1194-AG1199-AG1078-AG1082-AG1109-AG1121-AG1128-AG1135-AG1140)</f>
        <v>-1228.1861873186585</v>
      </c>
      <c r="AH1169" s="1694">
        <f>AH1158-AH1066-(-AH1086-AH1194-AH1199-AH1078-AH1082-AH1109-AH1121-AH1128-AH1135-AH1140)</f>
        <v>-1081.1899783204926</v>
      </c>
      <c r="AI1169" s="1694">
        <f>AI1163+AI1095</f>
        <v>-392.7695947458576</v>
      </c>
      <c r="AJ1169" s="1694">
        <f t="shared" ref="AJ1169:AO1169" si="1440">AJ1163+AJ1095</f>
        <v>-87.947000612394504</v>
      </c>
      <c r="AK1169" s="1694">
        <f t="shared" si="1440"/>
        <v>-463.01717218708245</v>
      </c>
      <c r="AL1169" s="1694">
        <f t="shared" si="1440"/>
        <v>-1.8761759079047806</v>
      </c>
      <c r="AM1169" s="1694">
        <f t="shared" si="1440"/>
        <v>517.18296467978075</v>
      </c>
      <c r="AN1169" s="1694">
        <f t="shared" si="1440"/>
        <v>589.90566663949767</v>
      </c>
      <c r="AO1169" s="1694">
        <f t="shared" si="1440"/>
        <v>1111.9291101115639</v>
      </c>
      <c r="AP1169" s="1694">
        <f>AP1158-AP1066-(-AP1086-AP1194-AP1199-AP1078-AP1082-AP1109-AP1121-AP1128-AP1135-AP1140)</f>
        <v>-1254.2293838667438</v>
      </c>
      <c r="AQ1169" s="1694">
        <f>AQ1158-AQ1066-(-AQ1086-AQ1194-AQ1199-AQ1078-AQ1082-AQ1109-AQ1121-AQ1128-AQ1135-AQ1140)</f>
        <v>-1206.7733618310567</v>
      </c>
      <c r="AR1169" s="1694">
        <f>AR1158-AR1066-(-AR1086-AR1194-AR1199-AR1078-AR1082-AR1109-AR1121-AR1128-AR1135-AR1140)</f>
        <v>-1414.3369893369581</v>
      </c>
      <c r="AS1169" s="1694">
        <f>AS1158-AS1066-(-AS1086-AS1194-AS1199-AS1078-AS1082-AS1109-AS1121-AS1128-AS1135-AS1140)</f>
        <v>-14608.03047107963</v>
      </c>
      <c r="AT1169" s="1694">
        <f>AT1158-AT1066-(-AT1086-AT1194-AT1199-AT1078-AT1082-AT1109-AT1121-AT1128-AT1135-AT1140)</f>
        <v>-34940.253965349606</v>
      </c>
      <c r="AV1169" s="2168"/>
      <c r="AW1169" s="2168"/>
      <c r="AX1169" s="2168"/>
      <c r="AY1169" s="2168"/>
      <c r="AZ1169" s="2168"/>
      <c r="BA1169" s="2168"/>
      <c r="BB1169" s="2168"/>
      <c r="BC1169" s="2168"/>
      <c r="BD1169" s="2168"/>
      <c r="BE1169" s="2168"/>
      <c r="BF1169" s="2168"/>
      <c r="BG1169" s="2168"/>
      <c r="BH1169" s="2167"/>
    </row>
    <row r="1170" spans="1:60" ht="16" thickBot="1">
      <c r="A1170" s="1"/>
      <c r="B1170" s="1"/>
      <c r="C1170" s="1"/>
      <c r="D1170" s="2177" t="s">
        <v>3254</v>
      </c>
      <c r="E1170" s="1739"/>
      <c r="F1170" s="1739"/>
      <c r="G1170" s="1739"/>
      <c r="H1170" s="1739"/>
      <c r="I1170" s="1739"/>
      <c r="J1170" s="1739"/>
      <c r="K1170" s="1739"/>
      <c r="L1170" s="1739"/>
      <c r="M1170" s="1739"/>
      <c r="N1170" s="1739"/>
      <c r="O1170" s="1739"/>
      <c r="P1170" s="1739"/>
      <c r="Q1170" s="1739"/>
      <c r="R1170" s="1739"/>
      <c r="S1170" s="1739"/>
      <c r="T1170" s="1739"/>
      <c r="U1170" s="1739"/>
      <c r="V1170" s="1740"/>
      <c r="W1170" s="1740"/>
      <c r="X1170" s="1740"/>
      <c r="Y1170" s="1740"/>
      <c r="Z1170" s="1740"/>
      <c r="AA1170" s="1740"/>
      <c r="AB1170" s="1740"/>
      <c r="AC1170" s="1740"/>
      <c r="AD1170" s="1740">
        <f>AD1150-(-AD1107-AD1141-AD1207)</f>
        <v>-516.51418707064704</v>
      </c>
      <c r="AE1170" s="1740">
        <f t="shared" ref="AE1170:AT1170" si="1441">AE1158-(-AE1107-AE1141-AE1207)</f>
        <v>-834.78689066237223</v>
      </c>
      <c r="AF1170" s="1740">
        <f t="shared" si="1441"/>
        <v>-889.78935153352643</v>
      </c>
      <c r="AG1170" s="1740">
        <f t="shared" si="1441"/>
        <v>-979.55039325841403</v>
      </c>
      <c r="AH1170" s="1740">
        <f t="shared" si="1441"/>
        <v>-1095.3198197504928</v>
      </c>
      <c r="AI1170" s="1740">
        <f t="shared" si="1441"/>
        <v>-1226.3721623788326</v>
      </c>
      <c r="AJ1170" s="1740">
        <f t="shared" si="1441"/>
        <v>-1093.8329360575465</v>
      </c>
      <c r="AK1170" s="1740">
        <f t="shared" si="1441"/>
        <v>-1549.3811629653808</v>
      </c>
      <c r="AL1170" s="1740">
        <f t="shared" si="1441"/>
        <v>-1393.0137390038808</v>
      </c>
      <c r="AM1170" s="1740">
        <f t="shared" si="1441"/>
        <v>-1026.3410849647996</v>
      </c>
      <c r="AN1170" s="1740">
        <f t="shared" si="1441"/>
        <v>-1049.5078672724312</v>
      </c>
      <c r="AO1170" s="1740">
        <f t="shared" si="1441"/>
        <v>-1174.8917712412597</v>
      </c>
      <c r="AP1170" s="1740">
        <f t="shared" si="1441"/>
        <v>-1254.2293838667438</v>
      </c>
      <c r="AQ1170" s="1740">
        <f t="shared" si="1441"/>
        <v>-1206.7733618310567</v>
      </c>
      <c r="AR1170" s="1740">
        <f t="shared" si="1441"/>
        <v>-1414.3369893369581</v>
      </c>
      <c r="AS1170" s="1740">
        <f t="shared" si="1441"/>
        <v>-14608.03047107963</v>
      </c>
      <c r="AT1170" s="1740">
        <f t="shared" si="1441"/>
        <v>-34940.253965349606</v>
      </c>
      <c r="AV1170" s="2168"/>
      <c r="AW1170" s="2168"/>
      <c r="AX1170" s="2168"/>
      <c r="AY1170" s="2168"/>
      <c r="AZ1170" s="2168"/>
      <c r="BA1170" s="2168"/>
      <c r="BB1170" s="2168"/>
      <c r="BC1170" s="2168"/>
      <c r="BD1170" s="2168"/>
      <c r="BE1170" s="2168"/>
      <c r="BF1170" s="2168"/>
      <c r="BG1170" s="2168"/>
      <c r="BH1170" s="2167"/>
    </row>
    <row r="1171" spans="1:60">
      <c r="A1171" s="1"/>
      <c r="B1171" s="1"/>
      <c r="C1171" s="1"/>
      <c r="D1171" s="638"/>
      <c r="E1171" s="638"/>
      <c r="F1171" s="638"/>
      <c r="G1171" s="638"/>
      <c r="H1171" s="638"/>
      <c r="I1171" s="638"/>
      <c r="J1171" s="638"/>
      <c r="K1171" s="638"/>
      <c r="L1171" s="638"/>
      <c r="M1171" s="638"/>
      <c r="N1171" s="638"/>
      <c r="O1171" s="638"/>
      <c r="P1171" s="638"/>
      <c r="Q1171" s="638"/>
      <c r="R1171" s="638"/>
      <c r="S1171" s="638"/>
      <c r="T1171" s="638"/>
      <c r="U1171" s="573"/>
      <c r="V1171" s="573"/>
      <c r="W1171" s="573"/>
      <c r="X1171" s="1662"/>
      <c r="Y1171" s="1662"/>
      <c r="Z1171" s="1662"/>
      <c r="AA1171" s="573"/>
      <c r="AB1171" s="573"/>
      <c r="AC1171" s="573"/>
      <c r="AD1171" s="573"/>
      <c r="AE1171" s="573"/>
      <c r="AF1171" s="573"/>
      <c r="AG1171" s="573"/>
      <c r="AH1171" s="573"/>
      <c r="AI1171" s="573"/>
      <c r="AJ1171" s="573"/>
      <c r="AK1171" s="573"/>
      <c r="AL1171" s="573"/>
      <c r="AM1171" s="573"/>
      <c r="AN1171" s="573"/>
      <c r="AO1171" s="573"/>
      <c r="AP1171" s="573"/>
      <c r="AQ1171" s="573"/>
      <c r="AR1171" s="573"/>
      <c r="AS1171" s="573"/>
      <c r="AT1171" s="573"/>
      <c r="AV1171" s="2168"/>
      <c r="AW1171" s="2168"/>
      <c r="AX1171" s="2168"/>
      <c r="AY1171" s="2168"/>
      <c r="AZ1171" s="2168"/>
      <c r="BA1171" s="2168"/>
      <c r="BB1171" s="2168"/>
      <c r="BC1171" s="2168"/>
      <c r="BD1171" s="2168"/>
      <c r="BE1171" s="2168"/>
      <c r="BF1171" s="2168"/>
      <c r="BG1171" s="2168"/>
      <c r="BH1171" s="2167"/>
    </row>
    <row r="1172" spans="1:60">
      <c r="A1172" s="1"/>
      <c r="B1172" s="1"/>
      <c r="C1172" s="1"/>
      <c r="D1172" s="385" t="str">
        <f>+FISCinyear!D855</f>
        <v>check</v>
      </c>
      <c r="E1172" s="346"/>
      <c r="F1172" s="346"/>
      <c r="G1172" s="346"/>
      <c r="H1172" s="346"/>
      <c r="I1172" s="346"/>
      <c r="J1172" s="346"/>
      <c r="K1172" s="346"/>
      <c r="L1172" s="346"/>
      <c r="M1172" s="346"/>
      <c r="N1172" s="346"/>
      <c r="O1172" s="346"/>
      <c r="P1172" s="346"/>
      <c r="Q1172" s="346"/>
      <c r="R1172" s="346"/>
      <c r="S1172" s="346"/>
      <c r="T1172" s="346"/>
      <c r="U1172" s="346"/>
      <c r="V1172" s="126"/>
      <c r="W1172" s="126"/>
      <c r="X1172" s="126"/>
      <c r="Y1172" s="707"/>
      <c r="Z1172" s="707"/>
      <c r="AA1172" s="707"/>
      <c r="AB1172" s="707"/>
      <c r="AC1172" s="707"/>
      <c r="AD1172" s="707"/>
      <c r="AE1172" s="707"/>
      <c r="AF1172" s="707"/>
      <c r="AG1172" s="707"/>
      <c r="AH1172" s="707"/>
      <c r="AI1172" s="707"/>
      <c r="AJ1172" s="346"/>
      <c r="AK1172" s="346"/>
      <c r="AL1172" s="346"/>
      <c r="AM1172" s="346"/>
      <c r="AN1172" s="346"/>
      <c r="AO1172" s="346"/>
      <c r="AP1172" s="346"/>
      <c r="AQ1172" s="346"/>
      <c r="AR1172" s="346"/>
      <c r="AS1172" s="346"/>
      <c r="AT1172" s="346"/>
      <c r="AV1172" s="2168"/>
      <c r="AW1172" s="2168"/>
      <c r="AX1172" s="2168"/>
      <c r="AY1172" s="2168"/>
      <c r="AZ1172" s="2168"/>
      <c r="BA1172" s="2168"/>
      <c r="BB1172" s="2168"/>
      <c r="BC1172" s="2168"/>
      <c r="BD1172" s="2168"/>
      <c r="BE1172" s="2168"/>
      <c r="BF1172" s="2168"/>
      <c r="BG1172" s="2168"/>
      <c r="BH1172" s="2167"/>
    </row>
    <row r="1173" spans="1:60">
      <c r="A1173" s="1"/>
      <c r="B1173" s="1"/>
      <c r="C1173" s="1"/>
      <c r="D1173" s="379" t="str">
        <f>+FISCinyear!D856</f>
        <v>Net acquisition of financial assets</v>
      </c>
      <c r="E1173" s="346"/>
      <c r="F1173" s="346"/>
      <c r="G1173" s="346"/>
      <c r="H1173" s="346"/>
      <c r="I1173" s="346"/>
      <c r="J1173" s="346"/>
      <c r="K1173" s="346"/>
      <c r="L1173" s="346"/>
      <c r="M1173" s="346"/>
      <c r="N1173" s="346"/>
      <c r="O1173" s="346"/>
      <c r="P1173" s="346"/>
      <c r="Q1173" s="346"/>
      <c r="R1173" s="346"/>
      <c r="S1173" s="346"/>
      <c r="T1173" s="346"/>
      <c r="U1173" s="346"/>
      <c r="V1173" s="399"/>
      <c r="W1173" s="1624">
        <f>+W1174+W1211</f>
        <v>3.0000000000000155</v>
      </c>
      <c r="X1173" s="1624">
        <f>+X1174+X1211</f>
        <v>1.5000000000000426</v>
      </c>
      <c r="Y1173" s="1625">
        <f>FISCinyear!HR856</f>
        <v>-65.311885181128815</v>
      </c>
      <c r="Z1173" s="1625">
        <f>FISCinyear!HU856</f>
        <v>18.294475781874169</v>
      </c>
      <c r="AA1173" s="1625">
        <f>FISCinyear!HX856</f>
        <v>79.353571507967018</v>
      </c>
      <c r="AB1173" s="1625">
        <f>FISCinyear!IA856</f>
        <v>30.50310398653383</v>
      </c>
      <c r="AC1173" s="1625">
        <f>FISCinyear!ID856</f>
        <v>114.821911149787</v>
      </c>
      <c r="AD1173" s="1625">
        <f>FISCinyear!IG856</f>
        <v>68.604597171861514</v>
      </c>
      <c r="AE1173" s="1625">
        <f>FISCinyear!IJ856</f>
        <v>421.19002190420133</v>
      </c>
      <c r="AF1173" s="1625">
        <f>FISCinyear!IM856</f>
        <v>156.93077594139189</v>
      </c>
      <c r="AG1173" s="1625">
        <f>FISCinyear!IP856</f>
        <v>519.48844970961886</v>
      </c>
      <c r="AH1173" s="1625">
        <f>FISCinyear!IS856</f>
        <v>-4.5231374883770883</v>
      </c>
      <c r="AI1173" s="1625">
        <f>FISCinyear!IV856</f>
        <v>81.317297446793845</v>
      </c>
      <c r="AJ1173" s="1624">
        <f t="shared" ref="AJ1173:AT1173" si="1442">+AJ1174+AJ1211</f>
        <v>324.76453314902864</v>
      </c>
      <c r="AK1173" s="1624">
        <f t="shared" si="1442"/>
        <v>870.75810901171985</v>
      </c>
      <c r="AL1173" s="1624">
        <f t="shared" si="1442"/>
        <v>739.30038599237776</v>
      </c>
      <c r="AM1173" s="1624">
        <f t="shared" si="1442"/>
        <v>277.65352748694568</v>
      </c>
      <c r="AN1173" s="1624">
        <f t="shared" si="1442"/>
        <v>190.0264766605132</v>
      </c>
      <c r="AO1173" s="1624">
        <f t="shared" si="1442"/>
        <v>173.85590919425732</v>
      </c>
      <c r="AP1173" s="1624">
        <f t="shared" si="1442"/>
        <v>115.92249054605887</v>
      </c>
      <c r="AQ1173" s="1624">
        <f t="shared" si="1442"/>
        <v>122.34798140424239</v>
      </c>
      <c r="AR1173" s="1624">
        <f t="shared" si="1442"/>
        <v>142.57844069776763</v>
      </c>
      <c r="AS1173" s="1624">
        <f t="shared" si="1442"/>
        <v>37.723032925876964</v>
      </c>
      <c r="AT1173" s="1624">
        <f t="shared" si="1442"/>
        <v>37.723032925876964</v>
      </c>
      <c r="AV1173" s="2168"/>
      <c r="AW1173" s="2168"/>
      <c r="AX1173" s="2168"/>
      <c r="AY1173" s="2168"/>
      <c r="AZ1173" s="2168"/>
      <c r="BA1173" s="2168"/>
      <c r="BB1173" s="2168"/>
      <c r="BC1173" s="2168"/>
      <c r="BD1173" s="2168"/>
      <c r="BE1173" s="2168"/>
      <c r="BF1173" s="2168"/>
      <c r="BG1173" s="2168"/>
      <c r="BH1173" s="2167"/>
    </row>
    <row r="1174" spans="1:60">
      <c r="A1174" s="1"/>
      <c r="B1174" s="1"/>
      <c r="C1174" s="1"/>
      <c r="D1174" s="381" t="str">
        <f>+FISCinyear!D857</f>
        <v xml:space="preserve">Domestic </v>
      </c>
      <c r="E1174" s="346"/>
      <c r="F1174" s="346"/>
      <c r="G1174" s="346"/>
      <c r="H1174" s="346"/>
      <c r="I1174" s="346"/>
      <c r="J1174" s="346"/>
      <c r="K1174" s="346"/>
      <c r="L1174" s="346"/>
      <c r="M1174" s="346"/>
      <c r="N1174" s="346"/>
      <c r="O1174" s="346"/>
      <c r="P1174" s="346"/>
      <c r="Q1174" s="346"/>
      <c r="R1174" s="346"/>
      <c r="S1174" s="346"/>
      <c r="T1174" s="346"/>
      <c r="U1174" s="346"/>
      <c r="V1174" s="399"/>
      <c r="W1174" s="1624">
        <f>+W1176+W1192+W1193</f>
        <v>3.0000000000000155</v>
      </c>
      <c r="X1174" s="1624">
        <f>+X1176+X1192+X1193</f>
        <v>1.5000000000000426</v>
      </c>
      <c r="Y1174" s="1625">
        <f>FISCinyear!HR857</f>
        <v>-65.311885181128815</v>
      </c>
      <c r="Z1174" s="1625">
        <f>FISCinyear!HU857</f>
        <v>18.294475781874169</v>
      </c>
      <c r="AA1174" s="1625">
        <f>FISCinyear!HX857</f>
        <v>79.353571507967018</v>
      </c>
      <c r="AB1174" s="1625">
        <f>FISCinyear!IA857</f>
        <v>30.50310398653383</v>
      </c>
      <c r="AC1174" s="1625">
        <f>FISCinyear!ID857</f>
        <v>114.821911149787</v>
      </c>
      <c r="AD1174" s="1625">
        <f>FISCinyear!IG857</f>
        <v>68.604597171861514</v>
      </c>
      <c r="AE1174" s="1625">
        <f>FISCinyear!IJ857</f>
        <v>421.19002190420133</v>
      </c>
      <c r="AF1174" s="1624">
        <f>AF1176+AF1193+AF1202+AF1211+AF1209+AF1210+AF1208</f>
        <v>156.93077594139191</v>
      </c>
      <c r="AG1174" s="1624">
        <f>FISCinyear!IP857</f>
        <v>365.64008623461882</v>
      </c>
      <c r="AH1174" s="1624">
        <f>FISCinyear!IS857</f>
        <v>63.591187285642917</v>
      </c>
      <c r="AI1174" s="1624">
        <f>FISCinyear!IV857</f>
        <v>81.317297446793845</v>
      </c>
      <c r="AJ1174" s="1624">
        <f t="shared" ref="AJ1174:AT1174" si="1443">AJ1176+AJ1193+AJ1202+AJ1209+AJ1210+AJ1208</f>
        <v>324.76453314902864</v>
      </c>
      <c r="AK1174" s="1624">
        <f t="shared" si="1443"/>
        <v>870.75810901171985</v>
      </c>
      <c r="AL1174" s="1624">
        <f t="shared" si="1443"/>
        <v>739.30038599237776</v>
      </c>
      <c r="AM1174" s="1624">
        <f t="shared" si="1443"/>
        <v>277.65352748694568</v>
      </c>
      <c r="AN1174" s="1624">
        <f t="shared" si="1443"/>
        <v>190.0264766605132</v>
      </c>
      <c r="AO1174" s="1624">
        <f t="shared" si="1443"/>
        <v>173.85590919425732</v>
      </c>
      <c r="AP1174" s="1624">
        <f t="shared" si="1443"/>
        <v>115.92249054605887</v>
      </c>
      <c r="AQ1174" s="1624">
        <f t="shared" si="1443"/>
        <v>122.34798140424239</v>
      </c>
      <c r="AR1174" s="1624">
        <f t="shared" si="1443"/>
        <v>142.57844069776763</v>
      </c>
      <c r="AS1174" s="1624">
        <f t="shared" si="1443"/>
        <v>37.723032925876964</v>
      </c>
      <c r="AT1174" s="1624">
        <f t="shared" si="1443"/>
        <v>37.723032925876964</v>
      </c>
      <c r="AV1174" s="2168"/>
      <c r="AW1174" s="2168"/>
      <c r="AX1174" s="2168"/>
      <c r="AY1174" s="2168"/>
      <c r="AZ1174" s="2168"/>
      <c r="BA1174" s="2168"/>
      <c r="BB1174" s="2168"/>
      <c r="BC1174" s="2168"/>
      <c r="BD1174" s="2168"/>
      <c r="BE1174" s="2168"/>
      <c r="BF1174" s="2168"/>
      <c r="BG1174" s="2168"/>
      <c r="BH1174" s="2167"/>
    </row>
    <row r="1175" spans="1:60">
      <c r="A1175" s="1"/>
      <c r="B1175" s="1"/>
      <c r="C1175" s="1"/>
      <c r="D1175" s="1793" t="s">
        <v>3290</v>
      </c>
      <c r="E1175" s="346"/>
      <c r="F1175" s="346"/>
      <c r="G1175" s="346"/>
      <c r="H1175" s="346"/>
      <c r="I1175" s="346"/>
      <c r="J1175" s="346"/>
      <c r="K1175" s="346"/>
      <c r="L1175" s="346"/>
      <c r="M1175" s="346"/>
      <c r="N1175" s="346"/>
      <c r="O1175" s="346"/>
      <c r="P1175" s="346"/>
      <c r="Q1175" s="346"/>
      <c r="R1175" s="346"/>
      <c r="S1175" s="346"/>
      <c r="T1175" s="346"/>
      <c r="U1175" s="346"/>
      <c r="V1175" s="399"/>
      <c r="W1175" s="1624"/>
      <c r="X1175" s="1624"/>
      <c r="Y1175" s="1625"/>
      <c r="Z1175" s="1625"/>
      <c r="AA1175" s="1625"/>
      <c r="AB1175" s="1625"/>
      <c r="AC1175" s="1625"/>
      <c r="AD1175" s="1625"/>
      <c r="AE1175" s="1625"/>
      <c r="AF1175" s="1628"/>
      <c r="AG1175" s="1628">
        <f>FISCinyear!IP858</f>
        <v>0</v>
      </c>
      <c r="AH1175" s="1628">
        <f>FISCinyear!IS858</f>
        <v>0</v>
      </c>
      <c r="AI1175" s="1628">
        <f>FISCinyear!IV858</f>
        <v>0</v>
      </c>
      <c r="AJ1175" s="1628">
        <v>0</v>
      </c>
      <c r="AK1175" s="1628">
        <v>0</v>
      </c>
      <c r="AL1175" s="1628">
        <v>0</v>
      </c>
      <c r="AM1175" s="1628">
        <v>0</v>
      </c>
      <c r="AN1175" s="1628">
        <v>0</v>
      </c>
      <c r="AO1175" s="1628">
        <v>0</v>
      </c>
      <c r="AP1175" s="1628">
        <v>0</v>
      </c>
      <c r="AQ1175" s="1628">
        <v>0</v>
      </c>
      <c r="AR1175" s="1628">
        <v>0</v>
      </c>
      <c r="AS1175" s="1628">
        <v>0</v>
      </c>
      <c r="AT1175" s="1628">
        <v>0</v>
      </c>
      <c r="AV1175" s="2168"/>
      <c r="AW1175" s="2168"/>
      <c r="AX1175" s="2168"/>
      <c r="AY1175" s="2168"/>
      <c r="AZ1175" s="2168"/>
      <c r="BA1175" s="2168"/>
      <c r="BB1175" s="2168"/>
      <c r="BC1175" s="2168"/>
      <c r="BD1175" s="2168"/>
      <c r="BE1175" s="2168"/>
      <c r="BF1175" s="2168"/>
      <c r="BG1175" s="2168"/>
      <c r="BH1175" s="2167"/>
    </row>
    <row r="1176" spans="1:60">
      <c r="A1176" s="1"/>
      <c r="B1176" s="1"/>
      <c r="C1176" s="1" t="s">
        <v>3317</v>
      </c>
      <c r="D1176" s="382" t="str">
        <f>+FISCinyear!D859</f>
        <v xml:space="preserve">Currency and deposits </v>
      </c>
      <c r="E1176" s="1" t="s">
        <v>651</v>
      </c>
      <c r="F1176" s="346"/>
      <c r="G1176" s="346"/>
      <c r="H1176" s="346"/>
      <c r="I1176" s="346"/>
      <c r="J1176" s="346"/>
      <c r="K1176" s="346"/>
      <c r="L1176" s="346"/>
      <c r="M1176" s="346"/>
      <c r="N1176" s="346"/>
      <c r="O1176" s="346"/>
      <c r="P1176" s="346"/>
      <c r="Q1176" s="346"/>
      <c r="R1176" s="346"/>
      <c r="S1176" s="346"/>
      <c r="T1176" s="346"/>
      <c r="U1176" s="346"/>
      <c r="V1176" s="126" t="str">
        <f>V390</f>
        <v>Mon Survey</v>
      </c>
      <c r="W1176" s="1627">
        <f>W390</f>
        <v>4.1000000000000156</v>
      </c>
      <c r="X1176" s="1627">
        <f>X390</f>
        <v>111.70000000000006</v>
      </c>
      <c r="Y1176" s="1628">
        <f>FISCinyear!HR859</f>
        <v>-91.333694621128842</v>
      </c>
      <c r="Z1176" s="1628">
        <f>FISCinyear!HU859</f>
        <v>-45.386626808125826</v>
      </c>
      <c r="AA1176" s="1628">
        <f>FISCinyear!HX859</f>
        <v>29.004849835967008</v>
      </c>
      <c r="AB1176" s="1628">
        <f>FISCinyear!IA859</f>
        <v>12.844015336533829</v>
      </c>
      <c r="AC1176" s="1628">
        <f>FISCinyear!ID859</f>
        <v>48.186332582787003</v>
      </c>
      <c r="AD1176" s="1628">
        <f>FISCinyear!IG859</f>
        <v>38.635839439861542</v>
      </c>
      <c r="AE1176" s="1628">
        <f>FISCinyear!IJ859</f>
        <v>307.54245797220136</v>
      </c>
      <c r="AF1176" s="1628">
        <f>FISCinyear!IM859</f>
        <v>43.164021002391905</v>
      </c>
      <c r="AG1176" s="1628">
        <f>FISCinyear!IP859</f>
        <v>208.70955126761885</v>
      </c>
      <c r="AH1176" s="1628">
        <f>FISCinyear!IS859</f>
        <v>-77.843979342327088</v>
      </c>
      <c r="AI1176" s="1628">
        <f>FISCinyear!IV859</f>
        <v>-30.088546872206166</v>
      </c>
      <c r="AJ1176" s="1806">
        <f>AJ402*0.00847061251283625</f>
        <v>169.69762369365699</v>
      </c>
      <c r="AK1176" s="1806">
        <f>AK402*0.00486632961560331</f>
        <v>110.23928231489592</v>
      </c>
      <c r="AL1176" s="1806">
        <f>AL402*0.00484664193372384</f>
        <v>123.89218660476311</v>
      </c>
      <c r="AM1176" s="1806">
        <f>AM402*0.00484498552831003</f>
        <v>139.41480759349844</v>
      </c>
      <c r="AN1176" s="1806">
        <f t="shared" ref="AN1176:AT1176" si="1444">AN402*0.003</f>
        <v>97.000225184938145</v>
      </c>
      <c r="AO1176" s="1806">
        <f t="shared" si="1444"/>
        <v>108.98257082761732</v>
      </c>
      <c r="AP1176" s="1806">
        <f t="shared" si="1444"/>
        <v>115.92249054605887</v>
      </c>
      <c r="AQ1176" s="1806">
        <f t="shared" si="1444"/>
        <v>122.34798140424239</v>
      </c>
      <c r="AR1176" s="1806">
        <f t="shared" si="1444"/>
        <v>142.57844069776763</v>
      </c>
      <c r="AS1176" s="1806">
        <f t="shared" si="1444"/>
        <v>37.723032925876964</v>
      </c>
      <c r="AT1176" s="1806">
        <f t="shared" si="1444"/>
        <v>37.723032925876964</v>
      </c>
      <c r="AV1176" s="2168"/>
      <c r="AW1176" s="2168"/>
      <c r="AX1176" s="2168"/>
      <c r="AY1176" s="2168"/>
      <c r="AZ1176" s="2168"/>
      <c r="BA1176" s="2168"/>
      <c r="BB1176" s="2168"/>
      <c r="BC1176" s="2168"/>
      <c r="BD1176" s="2168"/>
      <c r="BE1176" s="2168"/>
      <c r="BF1176" s="2168"/>
      <c r="BG1176" s="2168"/>
      <c r="BH1176" s="2167"/>
    </row>
    <row r="1177" spans="1:60">
      <c r="A1177" s="1"/>
      <c r="B1177" s="1"/>
      <c r="C1177" s="1"/>
      <c r="D1177" s="1680" t="s">
        <v>3232</v>
      </c>
      <c r="E1177" s="169"/>
      <c r="F1177" s="346"/>
      <c r="G1177" s="346"/>
      <c r="H1177" s="346"/>
      <c r="I1177" s="346"/>
      <c r="J1177" s="346"/>
      <c r="K1177" s="346"/>
      <c r="L1177" s="346"/>
      <c r="M1177" s="346"/>
      <c r="N1177" s="346"/>
      <c r="O1177" s="346"/>
      <c r="P1177" s="346"/>
      <c r="Q1177" s="346"/>
      <c r="R1177" s="346"/>
      <c r="S1177" s="346"/>
      <c r="T1177" s="346"/>
      <c r="U1177" s="346"/>
      <c r="V1177" s="126"/>
      <c r="W1177" s="1627"/>
      <c r="X1177" s="1627"/>
      <c r="Y1177" s="1628"/>
      <c r="Z1177" s="1628"/>
      <c r="AA1177" s="1628"/>
      <c r="AB1177" s="1628"/>
      <c r="AC1177" s="1628"/>
      <c r="AD1177" s="1628"/>
      <c r="AE1177" s="1628"/>
      <c r="AF1177" s="1628">
        <f>FISCinyear!IM860</f>
        <v>0</v>
      </c>
      <c r="AG1177" s="1628">
        <f>FISCinyear!IP860</f>
        <v>0</v>
      </c>
      <c r="AH1177" s="1628">
        <f>FISCinyear!IS860</f>
        <v>0</v>
      </c>
      <c r="AI1177" s="1628">
        <f>FISCinyear!IV860</f>
        <v>0</v>
      </c>
      <c r="AJ1177" s="1628">
        <f>FISCinyear!IQ860</f>
        <v>0</v>
      </c>
      <c r="AK1177" s="1628">
        <f>FISCinyear!IR860</f>
        <v>0</v>
      </c>
      <c r="AL1177" s="1628">
        <f>FISCinyear!IS860</f>
        <v>0</v>
      </c>
      <c r="AM1177" s="1628">
        <f>FISCinyear!IT860</f>
        <v>0</v>
      </c>
      <c r="AN1177" s="1628">
        <f>FISCinyear!IU860</f>
        <v>0</v>
      </c>
      <c r="AO1177" s="1628">
        <f>FISCinyear!IV860</f>
        <v>0</v>
      </c>
      <c r="AP1177" s="1628">
        <f>FISCinyear!IW860</f>
        <v>0</v>
      </c>
      <c r="AQ1177" s="1628">
        <f>FISCinyear!IX860</f>
        <v>0</v>
      </c>
      <c r="AR1177" s="1628">
        <f>FISCinyear!IY860</f>
        <v>0</v>
      </c>
      <c r="AS1177" s="1628">
        <f>FISCinyear!IZ860</f>
        <v>0</v>
      </c>
      <c r="AT1177" s="1628">
        <f>FISCinyear!JA860</f>
        <v>0</v>
      </c>
      <c r="AV1177" s="2168"/>
      <c r="AW1177" s="2168"/>
      <c r="AX1177" s="2168"/>
      <c r="AY1177" s="2168"/>
      <c r="AZ1177" s="2168"/>
      <c r="BA1177" s="2168"/>
      <c r="BB1177" s="2168"/>
      <c r="BC1177" s="2168"/>
      <c r="BD1177" s="2168"/>
      <c r="BE1177" s="2168"/>
      <c r="BF1177" s="2168"/>
      <c r="BG1177" s="2168"/>
      <c r="BH1177" s="2167"/>
    </row>
    <row r="1178" spans="1:60">
      <c r="A1178" s="1"/>
      <c r="B1178" s="1"/>
      <c r="C1178" s="1"/>
      <c r="D1178" s="1663" t="str">
        <f>+FISCinyear!D861</f>
        <v>of which infrastructure levy accumulation</v>
      </c>
      <c r="E1178" s="169"/>
      <c r="F1178" s="346"/>
      <c r="G1178" s="346"/>
      <c r="H1178" s="346"/>
      <c r="I1178" s="346"/>
      <c r="J1178" s="346"/>
      <c r="K1178" s="346"/>
      <c r="L1178" s="346"/>
      <c r="M1178" s="346"/>
      <c r="N1178" s="346"/>
      <c r="O1178" s="346"/>
      <c r="P1178" s="346"/>
      <c r="Q1178" s="346"/>
      <c r="R1178" s="346"/>
      <c r="S1178" s="346"/>
      <c r="T1178" s="346"/>
      <c r="U1178" s="346"/>
      <c r="V1178" s="126">
        <f>-V840</f>
        <v>0</v>
      </c>
      <c r="W1178" s="1627">
        <f>-W840</f>
        <v>0</v>
      </c>
      <c r="X1178" s="1627">
        <f>-X840</f>
        <v>0</v>
      </c>
      <c r="Y1178" s="1628">
        <f>FISCinyear!HR861</f>
        <v>0</v>
      </c>
      <c r="Z1178" s="1628">
        <f>FISCinyear!HU861</f>
        <v>0</v>
      </c>
      <c r="AA1178" s="1628">
        <f>FISCinyear!HX861</f>
        <v>0</v>
      </c>
      <c r="AB1178" s="1628">
        <f>FISCinyear!IA861</f>
        <v>0</v>
      </c>
      <c r="AC1178" s="1628">
        <f>FISCinyear!ID861</f>
        <v>0</v>
      </c>
      <c r="AD1178" s="1628">
        <f>FISCinyear!IG861</f>
        <v>0</v>
      </c>
      <c r="AE1178" s="1628">
        <f>FISCinyear!IJ861</f>
        <v>0</v>
      </c>
      <c r="AF1178" s="1628">
        <f>FISCinyear!IM861</f>
        <v>7.2977012000000006</v>
      </c>
      <c r="AG1178" s="1628">
        <f>FISCinyear!IP861</f>
        <v>0</v>
      </c>
      <c r="AH1178" s="1628">
        <f>FISCinyear!IS861</f>
        <v>24.438329283999998</v>
      </c>
      <c r="AI1178" s="1628">
        <f>FISCinyear!IV861</f>
        <v>29.189431051</v>
      </c>
      <c r="AJ1178" s="1628">
        <f t="shared" ref="AJ1178:AM1178" si="1445">AJ1179+AJ1180</f>
        <v>29.407058795600001</v>
      </c>
      <c r="AK1178" s="1628">
        <f t="shared" si="1445"/>
        <v>32.178361564837296</v>
      </c>
      <c r="AL1178" s="1628">
        <f t="shared" si="1445"/>
        <v>39.631627322603606</v>
      </c>
      <c r="AM1178" s="1628">
        <f t="shared" si="1445"/>
        <v>47.131254741065213</v>
      </c>
      <c r="AN1178" s="1628">
        <f t="shared" ref="AN1178:AO1178" si="1446">AN1179+AN1180</f>
        <v>44.881441031834413</v>
      </c>
      <c r="AO1178" s="1628">
        <f t="shared" si="1446"/>
        <v>47.506347886449817</v>
      </c>
      <c r="AP1178" s="1628">
        <f t="shared" ref="AP1178:AT1178" si="1447">AP1179+AP1180</f>
        <v>48.506347886449817</v>
      </c>
      <c r="AQ1178" s="1628">
        <f t="shared" si="1447"/>
        <v>49.506347886449817</v>
      </c>
      <c r="AR1178" s="1628">
        <f t="shared" si="1447"/>
        <v>50.506347886449817</v>
      </c>
      <c r="AS1178" s="1628">
        <f t="shared" si="1447"/>
        <v>51.506347886449817</v>
      </c>
      <c r="AT1178" s="1628">
        <f t="shared" si="1447"/>
        <v>52.506347886449817</v>
      </c>
      <c r="AV1178" s="2168"/>
      <c r="AW1178" s="2168"/>
      <c r="AX1178" s="2168"/>
      <c r="AY1178" s="2168"/>
      <c r="AZ1178" s="2168"/>
      <c r="BA1178" s="2168"/>
      <c r="BB1178" s="2168"/>
      <c r="BC1178" s="2168"/>
      <c r="BD1178" s="2168"/>
      <c r="BE1178" s="2168"/>
      <c r="BF1178" s="2168"/>
      <c r="BG1178" s="2168"/>
      <c r="BH1178" s="2167"/>
    </row>
    <row r="1179" spans="1:60">
      <c r="A1179" s="1"/>
      <c r="B1179" s="1"/>
      <c r="C1179" s="1"/>
      <c r="D1179" s="386" t="s">
        <v>3219</v>
      </c>
      <c r="E1179" s="169"/>
      <c r="F1179" s="346"/>
      <c r="G1179" s="346"/>
      <c r="H1179" s="346"/>
      <c r="I1179" s="346"/>
      <c r="J1179" s="346"/>
      <c r="K1179" s="346"/>
      <c r="L1179" s="346"/>
      <c r="M1179" s="346"/>
      <c r="N1179" s="346"/>
      <c r="O1179" s="346"/>
      <c r="P1179" s="346"/>
      <c r="Q1179" s="346"/>
      <c r="R1179" s="346"/>
      <c r="S1179" s="346"/>
      <c r="T1179" s="346"/>
      <c r="U1179" s="346"/>
      <c r="V1179" s="126"/>
      <c r="W1179" s="1627"/>
      <c r="X1179" s="1627"/>
      <c r="Y1179" s="1628"/>
      <c r="Z1179" s="1628"/>
      <c r="AA1179" s="1628"/>
      <c r="AB1179" s="1628"/>
      <c r="AC1179" s="1628"/>
      <c r="AD1179" s="1628"/>
      <c r="AE1179" s="1628"/>
      <c r="AF1179" s="1628">
        <f>FISCinyear!IM862</f>
        <v>7.2977012000000006</v>
      </c>
      <c r="AG1179" s="1628">
        <f>FISCinyear!IP862</f>
        <v>0</v>
      </c>
      <c r="AH1179" s="1628">
        <f>FISCinyear!IS862</f>
        <v>24.438329283999998</v>
      </c>
      <c r="AI1179" s="1628">
        <f>FISCinyear!IV862</f>
        <v>29.189431051</v>
      </c>
      <c r="AJ1179" s="1628">
        <f t="shared" ref="AJ1179:AT1179" si="1448">AJ1021</f>
        <v>29.407058795600001</v>
      </c>
      <c r="AK1179" s="1628">
        <f t="shared" si="1448"/>
        <v>32.178361564837296</v>
      </c>
      <c r="AL1179" s="1628">
        <f t="shared" si="1448"/>
        <v>38.631627322603606</v>
      </c>
      <c r="AM1179" s="1628">
        <f t="shared" si="1448"/>
        <v>45.131254741065213</v>
      </c>
      <c r="AN1179" s="1628">
        <f t="shared" si="1448"/>
        <v>41.881441031834413</v>
      </c>
      <c r="AO1179" s="1628">
        <f t="shared" si="1448"/>
        <v>43.506347886449817</v>
      </c>
      <c r="AP1179" s="1628">
        <f t="shared" si="1448"/>
        <v>43.506347886449817</v>
      </c>
      <c r="AQ1179" s="1628">
        <f t="shared" si="1448"/>
        <v>43.506347886449817</v>
      </c>
      <c r="AR1179" s="1628">
        <f t="shared" si="1448"/>
        <v>43.506347886449817</v>
      </c>
      <c r="AS1179" s="1628">
        <f t="shared" si="1448"/>
        <v>43.506347886449817</v>
      </c>
      <c r="AT1179" s="1628">
        <f t="shared" si="1448"/>
        <v>43.506347886449817</v>
      </c>
      <c r="AV1179" s="2168"/>
      <c r="AW1179" s="2168"/>
      <c r="AX1179" s="2168"/>
      <c r="AY1179" s="2168"/>
      <c r="AZ1179" s="2168"/>
      <c r="BA1179" s="2168"/>
      <c r="BB1179" s="2168"/>
      <c r="BC1179" s="2168"/>
      <c r="BD1179" s="2168"/>
      <c r="BE1179" s="2168"/>
      <c r="BF1179" s="2168"/>
      <c r="BG1179" s="2168"/>
      <c r="BH1179" s="2167"/>
    </row>
    <row r="1180" spans="1:60">
      <c r="A1180" s="1"/>
      <c r="B1180" s="1"/>
      <c r="C1180" s="1"/>
      <c r="D1180" s="386" t="s">
        <v>3220</v>
      </c>
      <c r="E1180" s="169"/>
      <c r="F1180" s="346"/>
      <c r="G1180" s="346"/>
      <c r="H1180" s="346"/>
      <c r="I1180" s="346"/>
      <c r="J1180" s="346"/>
      <c r="K1180" s="346"/>
      <c r="L1180" s="346"/>
      <c r="M1180" s="346"/>
      <c r="N1180" s="346"/>
      <c r="O1180" s="346"/>
      <c r="P1180" s="346"/>
      <c r="Q1180" s="346"/>
      <c r="R1180" s="346"/>
      <c r="S1180" s="346"/>
      <c r="T1180" s="346"/>
      <c r="U1180" s="346"/>
      <c r="V1180" s="126"/>
      <c r="W1180" s="1627"/>
      <c r="X1180" s="1627"/>
      <c r="Y1180" s="1628"/>
      <c r="Z1180" s="1628"/>
      <c r="AA1180" s="1628"/>
      <c r="AB1180" s="1628"/>
      <c r="AC1180" s="1628"/>
      <c r="AD1180" s="1628"/>
      <c r="AE1180" s="1628"/>
      <c r="AF1180" s="1628">
        <f>FISCinyear!IM863</f>
        <v>0</v>
      </c>
      <c r="AG1180" s="1628">
        <f>FISCinyear!IP863</f>
        <v>0</v>
      </c>
      <c r="AH1180" s="1628">
        <f>FISCinyear!IS863</f>
        <v>0</v>
      </c>
      <c r="AI1180" s="1628">
        <f>FISCinyear!IV863</f>
        <v>0</v>
      </c>
      <c r="AJ1180" s="1628">
        <v>0</v>
      </c>
      <c r="AK1180" s="1628">
        <v>0</v>
      </c>
      <c r="AL1180" s="1628">
        <v>1</v>
      </c>
      <c r="AM1180" s="1628">
        <v>2</v>
      </c>
      <c r="AN1180" s="1628">
        <v>3</v>
      </c>
      <c r="AO1180" s="1628">
        <v>4</v>
      </c>
      <c r="AP1180" s="1628">
        <v>5</v>
      </c>
      <c r="AQ1180" s="1628">
        <v>6</v>
      </c>
      <c r="AR1180" s="1628">
        <v>7</v>
      </c>
      <c r="AS1180" s="1628">
        <v>8</v>
      </c>
      <c r="AT1180" s="1628">
        <v>9</v>
      </c>
      <c r="AV1180" s="2168"/>
      <c r="AW1180" s="2168"/>
      <c r="AX1180" s="2168"/>
      <c r="AY1180" s="2168"/>
      <c r="AZ1180" s="2168"/>
      <c r="BA1180" s="2168"/>
      <c r="BB1180" s="2168"/>
      <c r="BC1180" s="2168"/>
      <c r="BD1180" s="2168"/>
      <c r="BE1180" s="2168"/>
      <c r="BF1180" s="2168"/>
      <c r="BG1180" s="2168"/>
      <c r="BH1180" s="2167"/>
    </row>
    <row r="1181" spans="1:60">
      <c r="A1181" s="1"/>
      <c r="B1181" s="1"/>
      <c r="C1181" s="1"/>
      <c r="D1181" s="1663" t="str">
        <f>+FISCinyear!D864</f>
        <v>of which strategic reserves accumulation</v>
      </c>
      <c r="E1181" s="169"/>
      <c r="F1181" s="346"/>
      <c r="G1181" s="346"/>
      <c r="H1181" s="346"/>
      <c r="I1181" s="346"/>
      <c r="J1181" s="346"/>
      <c r="K1181" s="346"/>
      <c r="L1181" s="346"/>
      <c r="M1181" s="346"/>
      <c r="N1181" s="346"/>
      <c r="O1181" s="346"/>
      <c r="P1181" s="346"/>
      <c r="Q1181" s="346"/>
      <c r="R1181" s="346"/>
      <c r="S1181" s="346"/>
      <c r="T1181" s="346"/>
      <c r="U1181" s="346"/>
      <c r="V1181" s="126"/>
      <c r="W1181" s="1627"/>
      <c r="X1181" s="1627"/>
      <c r="Y1181" s="1628">
        <f>FISCinyear!HR864</f>
        <v>0</v>
      </c>
      <c r="Z1181" s="1628">
        <f>FISCinyear!HU864</f>
        <v>0</v>
      </c>
      <c r="AA1181" s="1628">
        <f>FISCinyear!HX864</f>
        <v>0</v>
      </c>
      <c r="AB1181" s="1628">
        <f>FISCinyear!IA864</f>
        <v>0</v>
      </c>
      <c r="AC1181" s="1628">
        <f>FISCinyear!ID864</f>
        <v>0</v>
      </c>
      <c r="AD1181" s="1628">
        <f>FISCinyear!IG864</f>
        <v>0</v>
      </c>
      <c r="AE1181" s="1628">
        <f>FISCinyear!IJ864</f>
        <v>0</v>
      </c>
      <c r="AF1181" s="1628">
        <f>FISCinyear!IM864</f>
        <v>6.0835916900000004</v>
      </c>
      <c r="AG1181" s="1628">
        <f>FISCinyear!IP864</f>
        <v>0</v>
      </c>
      <c r="AH1181" s="1628">
        <f>FISCinyear!IS864</f>
        <v>15.130781493000001</v>
      </c>
      <c r="AI1181" s="1628">
        <f>FISCinyear!IV864</f>
        <v>15.757583561000001</v>
      </c>
      <c r="AJ1181" s="1628">
        <f t="shared" ref="AJ1181:AM1181" si="1449">SUM(AJ1182:AJ1186)</f>
        <v>17.796982810055678</v>
      </c>
      <c r="AK1181" s="1628">
        <f t="shared" si="1449"/>
        <v>20.330243796216074</v>
      </c>
      <c r="AL1181" s="1628">
        <f t="shared" si="1449"/>
        <v>21.510252886349313</v>
      </c>
      <c r="AM1181" s="1628">
        <f t="shared" si="1449"/>
        <v>25.661199018147244</v>
      </c>
      <c r="AN1181" s="1628">
        <f t="shared" ref="AN1181:AO1181" si="1450">SUM(AN1182:AN1186)</f>
        <v>28.715416217827794</v>
      </c>
      <c r="AO1181" s="1628">
        <f t="shared" si="1450"/>
        <v>27.188307617987519</v>
      </c>
      <c r="AP1181" s="1628">
        <f t="shared" ref="AP1181:AT1181" si="1451">SUM(AP1182:AP1186)</f>
        <v>27.188307617987519</v>
      </c>
      <c r="AQ1181" s="1628">
        <f t="shared" si="1451"/>
        <v>27.188307617987519</v>
      </c>
      <c r="AR1181" s="1628">
        <f t="shared" si="1451"/>
        <v>27.188307617987519</v>
      </c>
      <c r="AS1181" s="1628">
        <f t="shared" si="1451"/>
        <v>27.188307617987519</v>
      </c>
      <c r="AT1181" s="1628">
        <f t="shared" si="1451"/>
        <v>27.188307617987519</v>
      </c>
      <c r="AV1181" s="2168"/>
      <c r="AW1181" s="2168"/>
      <c r="AX1181" s="2168"/>
      <c r="AY1181" s="2168"/>
      <c r="AZ1181" s="2168"/>
      <c r="BA1181" s="2168"/>
      <c r="BB1181" s="2168"/>
      <c r="BC1181" s="2168"/>
      <c r="BD1181" s="2168"/>
      <c r="BE1181" s="2168"/>
      <c r="BF1181" s="2168"/>
      <c r="BG1181" s="2168"/>
      <c r="BH1181" s="2167"/>
    </row>
    <row r="1182" spans="1:60">
      <c r="A1182" s="1"/>
      <c r="B1182" s="1"/>
      <c r="C1182" s="1"/>
      <c r="D1182" s="386" t="s">
        <v>1206</v>
      </c>
      <c r="E1182" s="169"/>
      <c r="F1182" s="346"/>
      <c r="G1182" s="346"/>
      <c r="H1182" s="346"/>
      <c r="I1182" s="346"/>
      <c r="J1182" s="346"/>
      <c r="K1182" s="346"/>
      <c r="L1182" s="346"/>
      <c r="M1182" s="346"/>
      <c r="N1182" s="346"/>
      <c r="O1182" s="346"/>
      <c r="P1182" s="346"/>
      <c r="Q1182" s="346"/>
      <c r="R1182" s="346"/>
      <c r="S1182" s="346"/>
      <c r="T1182" s="346"/>
      <c r="U1182" s="346"/>
      <c r="V1182" s="126"/>
      <c r="W1182" s="1627"/>
      <c r="X1182" s="1627"/>
      <c r="Y1182" s="1628"/>
      <c r="Z1182" s="1628"/>
      <c r="AA1182" s="1628"/>
      <c r="AB1182" s="1628"/>
      <c r="AC1182" s="1628"/>
      <c r="AD1182" s="1628"/>
      <c r="AE1182" s="1628"/>
      <c r="AF1182" s="1628">
        <f>FISCinyear!IM865</f>
        <v>6.0835916900000004</v>
      </c>
      <c r="AG1182" s="1628">
        <f>FISCinyear!IP865</f>
        <v>0</v>
      </c>
      <c r="AH1182" s="1628">
        <f>FISCinyear!IS865</f>
        <v>15.130781493000001</v>
      </c>
      <c r="AI1182" s="1628">
        <f>FISCinyear!IV865</f>
        <v>15.757583561000001</v>
      </c>
      <c r="AJ1182" s="1628">
        <f t="shared" ref="AJ1182:AT1182" si="1452">AJ1009</f>
        <v>17.796982810055678</v>
      </c>
      <c r="AK1182" s="1628">
        <f t="shared" si="1452"/>
        <v>20.330243796216074</v>
      </c>
      <c r="AL1182" s="1628">
        <f t="shared" si="1452"/>
        <v>21.510252886349313</v>
      </c>
      <c r="AM1182" s="1628">
        <f t="shared" si="1452"/>
        <v>25.661199018147244</v>
      </c>
      <c r="AN1182" s="1628">
        <f t="shared" si="1452"/>
        <v>28.715416217827794</v>
      </c>
      <c r="AO1182" s="1628">
        <f t="shared" si="1452"/>
        <v>27.188307617987519</v>
      </c>
      <c r="AP1182" s="1628">
        <f t="shared" si="1452"/>
        <v>27.188307617987519</v>
      </c>
      <c r="AQ1182" s="1628">
        <f t="shared" si="1452"/>
        <v>27.188307617987519</v>
      </c>
      <c r="AR1182" s="1628">
        <f t="shared" si="1452"/>
        <v>27.188307617987519</v>
      </c>
      <c r="AS1182" s="1628">
        <f t="shared" si="1452"/>
        <v>27.188307617987519</v>
      </c>
      <c r="AT1182" s="1628">
        <f t="shared" si="1452"/>
        <v>27.188307617987519</v>
      </c>
      <c r="AV1182" s="2168"/>
      <c r="AW1182" s="2168"/>
      <c r="AX1182" s="2168"/>
      <c r="AY1182" s="2168"/>
      <c r="AZ1182" s="2168"/>
      <c r="BA1182" s="2168"/>
      <c r="BB1182" s="2168"/>
      <c r="BC1182" s="2168"/>
      <c r="BD1182" s="2168"/>
      <c r="BE1182" s="2168"/>
      <c r="BF1182" s="2168"/>
      <c r="BG1182" s="2168"/>
      <c r="BH1182" s="2167"/>
    </row>
    <row r="1183" spans="1:60">
      <c r="A1183" s="1"/>
      <c r="B1183" s="1"/>
      <c r="C1183" s="1"/>
      <c r="D1183" s="386" t="s">
        <v>1244</v>
      </c>
      <c r="E1183" s="169"/>
      <c r="F1183" s="346"/>
      <c r="G1183" s="346"/>
      <c r="H1183" s="346"/>
      <c r="I1183" s="346"/>
      <c r="J1183" s="346"/>
      <c r="K1183" s="346"/>
      <c r="L1183" s="346"/>
      <c r="M1183" s="346"/>
      <c r="N1183" s="346"/>
      <c r="O1183" s="346"/>
      <c r="P1183" s="346"/>
      <c r="Q1183" s="346"/>
      <c r="R1183" s="346"/>
      <c r="S1183" s="346"/>
      <c r="T1183" s="346"/>
      <c r="U1183" s="346"/>
      <c r="V1183" s="126"/>
      <c r="W1183" s="1627"/>
      <c r="X1183" s="1627"/>
      <c r="Y1183" s="1628"/>
      <c r="Z1183" s="1628"/>
      <c r="AA1183" s="1628"/>
      <c r="AB1183" s="1628"/>
      <c r="AC1183" s="1628"/>
      <c r="AD1183" s="1628"/>
      <c r="AE1183" s="1628"/>
      <c r="AF1183" s="1628">
        <f>FISCinyear!IM866</f>
        <v>0</v>
      </c>
      <c r="AG1183" s="1628">
        <f>FISCinyear!IP866</f>
        <v>0</v>
      </c>
      <c r="AH1183" s="1628">
        <f>FISCinyear!IS866</f>
        <v>0</v>
      </c>
      <c r="AI1183" s="1628">
        <f>FISCinyear!IV866</f>
        <v>0</v>
      </c>
      <c r="AJ1183" s="1628">
        <v>0</v>
      </c>
      <c r="AK1183" s="1628">
        <v>0</v>
      </c>
      <c r="AL1183" s="1628">
        <v>0</v>
      </c>
      <c r="AM1183" s="1628">
        <v>0</v>
      </c>
      <c r="AN1183" s="1628">
        <v>0</v>
      </c>
      <c r="AO1183" s="1628">
        <v>0</v>
      </c>
      <c r="AP1183" s="1628">
        <v>0</v>
      </c>
      <c r="AQ1183" s="1628">
        <v>0</v>
      </c>
      <c r="AR1183" s="1628">
        <v>0</v>
      </c>
      <c r="AS1183" s="1628">
        <v>0</v>
      </c>
      <c r="AT1183" s="1628">
        <v>0</v>
      </c>
      <c r="AV1183" s="2168"/>
      <c r="AW1183" s="2168"/>
      <c r="AX1183" s="2168"/>
      <c r="AY1183" s="2168"/>
      <c r="AZ1183" s="2168"/>
      <c r="BA1183" s="2168"/>
      <c r="BB1183" s="2168"/>
      <c r="BC1183" s="2168"/>
      <c r="BD1183" s="2168"/>
      <c r="BE1183" s="2168"/>
      <c r="BF1183" s="2168"/>
      <c r="BG1183" s="2168"/>
      <c r="BH1183" s="2167"/>
    </row>
    <row r="1184" spans="1:60">
      <c r="A1184" s="1"/>
      <c r="B1184" s="1"/>
      <c r="C1184" s="1"/>
      <c r="D1184" s="386" t="s">
        <v>3216</v>
      </c>
      <c r="E1184" s="169"/>
      <c r="F1184" s="346"/>
      <c r="G1184" s="346"/>
      <c r="H1184" s="346"/>
      <c r="I1184" s="346"/>
      <c r="J1184" s="346"/>
      <c r="K1184" s="346"/>
      <c r="L1184" s="346"/>
      <c r="M1184" s="346"/>
      <c r="N1184" s="346"/>
      <c r="O1184" s="346"/>
      <c r="P1184" s="346"/>
      <c r="Q1184" s="346"/>
      <c r="R1184" s="346"/>
      <c r="S1184" s="346"/>
      <c r="T1184" s="346"/>
      <c r="U1184" s="346"/>
      <c r="V1184" s="126"/>
      <c r="W1184" s="1627"/>
      <c r="X1184" s="1627"/>
      <c r="Y1184" s="1628"/>
      <c r="Z1184" s="1628"/>
      <c r="AA1184" s="1628"/>
      <c r="AB1184" s="1628"/>
      <c r="AC1184" s="1628"/>
      <c r="AD1184" s="1628"/>
      <c r="AE1184" s="1628"/>
      <c r="AF1184" s="1628">
        <f>FISCinyear!IM867</f>
        <v>0</v>
      </c>
      <c r="AG1184" s="1628">
        <f>FISCinyear!IP867</f>
        <v>0</v>
      </c>
      <c r="AH1184" s="1628">
        <f>FISCinyear!IS867</f>
        <v>0</v>
      </c>
      <c r="AI1184" s="1628">
        <f>FISCinyear!IV867</f>
        <v>0</v>
      </c>
      <c r="AJ1184" s="1628">
        <v>0</v>
      </c>
      <c r="AK1184" s="1628">
        <v>0</v>
      </c>
      <c r="AL1184" s="1628">
        <v>0</v>
      </c>
      <c r="AM1184" s="1628">
        <v>0</v>
      </c>
      <c r="AN1184" s="1628">
        <v>0</v>
      </c>
      <c r="AO1184" s="1628">
        <v>0</v>
      </c>
      <c r="AP1184" s="1628">
        <v>0</v>
      </c>
      <c r="AQ1184" s="1628">
        <v>0</v>
      </c>
      <c r="AR1184" s="1628">
        <v>0</v>
      </c>
      <c r="AS1184" s="1628">
        <v>0</v>
      </c>
      <c r="AT1184" s="1628">
        <v>0</v>
      </c>
      <c r="AV1184" s="2168"/>
      <c r="AW1184" s="2168"/>
      <c r="AX1184" s="2168"/>
      <c r="AY1184" s="2168"/>
      <c r="AZ1184" s="2168"/>
      <c r="BA1184" s="2168"/>
      <c r="BB1184" s="2168"/>
      <c r="BC1184" s="2168"/>
      <c r="BD1184" s="2168"/>
      <c r="BE1184" s="2168"/>
      <c r="BF1184" s="2168"/>
      <c r="BG1184" s="2168"/>
      <c r="BH1184" s="2167"/>
    </row>
    <row r="1185" spans="1:60">
      <c r="A1185" s="1"/>
      <c r="B1185" s="1"/>
      <c r="C1185" s="1"/>
      <c r="D1185" s="386" t="s">
        <v>3217</v>
      </c>
      <c r="E1185" s="169"/>
      <c r="F1185" s="346"/>
      <c r="G1185" s="346"/>
      <c r="H1185" s="346"/>
      <c r="I1185" s="346"/>
      <c r="J1185" s="346"/>
      <c r="K1185" s="346"/>
      <c r="L1185" s="346"/>
      <c r="M1185" s="346"/>
      <c r="N1185" s="346"/>
      <c r="O1185" s="346"/>
      <c r="P1185" s="346"/>
      <c r="Q1185" s="346"/>
      <c r="R1185" s="346"/>
      <c r="S1185" s="346"/>
      <c r="T1185" s="346"/>
      <c r="U1185" s="346"/>
      <c r="V1185" s="126"/>
      <c r="W1185" s="1627"/>
      <c r="X1185" s="1627"/>
      <c r="Y1185" s="1628"/>
      <c r="Z1185" s="1628"/>
      <c r="AA1185" s="1628"/>
      <c r="AB1185" s="1628"/>
      <c r="AC1185" s="1628"/>
      <c r="AD1185" s="1628"/>
      <c r="AE1185" s="1628"/>
      <c r="AF1185" s="1628">
        <f>FISCinyear!IM868</f>
        <v>0</v>
      </c>
      <c r="AG1185" s="1628">
        <f>FISCinyear!IP868</f>
        <v>0</v>
      </c>
      <c r="AH1185" s="1628">
        <f>FISCinyear!IS868</f>
        <v>0</v>
      </c>
      <c r="AI1185" s="1628">
        <f>FISCinyear!IV868</f>
        <v>0</v>
      </c>
      <c r="AJ1185" s="1628">
        <v>0</v>
      </c>
      <c r="AK1185" s="1628">
        <v>0</v>
      </c>
      <c r="AL1185" s="1628">
        <v>0</v>
      </c>
      <c r="AM1185" s="1628">
        <v>0</v>
      </c>
      <c r="AN1185" s="1628">
        <v>0</v>
      </c>
      <c r="AO1185" s="1628">
        <v>0</v>
      </c>
      <c r="AP1185" s="1628">
        <v>0</v>
      </c>
      <c r="AQ1185" s="1628">
        <v>0</v>
      </c>
      <c r="AR1185" s="1628">
        <v>0</v>
      </c>
      <c r="AS1185" s="1628">
        <v>0</v>
      </c>
      <c r="AT1185" s="1628">
        <v>0</v>
      </c>
      <c r="AV1185" s="2168"/>
      <c r="AW1185" s="2168"/>
      <c r="AX1185" s="2168"/>
      <c r="AY1185" s="2168"/>
      <c r="AZ1185" s="2168"/>
      <c r="BA1185" s="2168"/>
      <c r="BB1185" s="2168"/>
      <c r="BC1185" s="2168"/>
      <c r="BD1185" s="2168"/>
      <c r="BE1185" s="2168"/>
      <c r="BF1185" s="2168"/>
      <c r="BG1185" s="2168"/>
      <c r="BH1185" s="2167"/>
    </row>
    <row r="1186" spans="1:60">
      <c r="A1186" s="1"/>
      <c r="B1186" s="1"/>
      <c r="C1186" s="1"/>
      <c r="D1186" s="386" t="s">
        <v>3218</v>
      </c>
      <c r="E1186" s="169"/>
      <c r="F1186" s="346"/>
      <c r="G1186" s="346"/>
      <c r="H1186" s="346"/>
      <c r="I1186" s="346"/>
      <c r="J1186" s="346"/>
      <c r="K1186" s="346"/>
      <c r="L1186" s="346"/>
      <c r="M1186" s="346"/>
      <c r="N1186" s="346"/>
      <c r="O1186" s="346"/>
      <c r="P1186" s="346"/>
      <c r="Q1186" s="346"/>
      <c r="R1186" s="346"/>
      <c r="S1186" s="346"/>
      <c r="T1186" s="346"/>
      <c r="U1186" s="346"/>
      <c r="V1186" s="126"/>
      <c r="W1186" s="1627"/>
      <c r="X1186" s="1627"/>
      <c r="Y1186" s="1628"/>
      <c r="Z1186" s="1628"/>
      <c r="AA1186" s="1628"/>
      <c r="AB1186" s="1628"/>
      <c r="AC1186" s="1628"/>
      <c r="AD1186" s="1628"/>
      <c r="AE1186" s="1628"/>
      <c r="AF1186" s="1628">
        <f>FISCinyear!IM869</f>
        <v>0</v>
      </c>
      <c r="AG1186" s="1628">
        <f>FISCinyear!IP869</f>
        <v>0</v>
      </c>
      <c r="AH1186" s="1628">
        <f>FISCinyear!IS869</f>
        <v>0</v>
      </c>
      <c r="AI1186" s="1628">
        <f>FISCinyear!IV869</f>
        <v>0</v>
      </c>
      <c r="AJ1186" s="1628">
        <v>0</v>
      </c>
      <c r="AK1186" s="1628">
        <v>0</v>
      </c>
      <c r="AL1186" s="1628">
        <v>0</v>
      </c>
      <c r="AM1186" s="1628">
        <v>0</v>
      </c>
      <c r="AN1186" s="1628">
        <v>0</v>
      </c>
      <c r="AO1186" s="1628">
        <v>0</v>
      </c>
      <c r="AP1186" s="1628">
        <v>0</v>
      </c>
      <c r="AQ1186" s="1628">
        <v>0</v>
      </c>
      <c r="AR1186" s="1628">
        <v>0</v>
      </c>
      <c r="AS1186" s="1628">
        <v>0</v>
      </c>
      <c r="AT1186" s="1628">
        <v>0</v>
      </c>
      <c r="AV1186" s="2168"/>
      <c r="AW1186" s="2168"/>
      <c r="AX1186" s="2168"/>
      <c r="AY1186" s="2168"/>
      <c r="AZ1186" s="2168"/>
      <c r="BA1186" s="2168"/>
      <c r="BB1186" s="2168"/>
      <c r="BC1186" s="2168"/>
      <c r="BD1186" s="2168"/>
      <c r="BE1186" s="2168"/>
      <c r="BF1186" s="2168"/>
      <c r="BG1186" s="2168"/>
      <c r="BH1186" s="2167"/>
    </row>
    <row r="1187" spans="1:60">
      <c r="A1187" s="1"/>
      <c r="B1187" s="1"/>
      <c r="C1187" s="1"/>
      <c r="D1187" s="1663" t="str">
        <f>+FISCinyear!D870</f>
        <v>of which African Union levy accumulation</v>
      </c>
      <c r="E1187" s="169"/>
      <c r="F1187" s="346"/>
      <c r="G1187" s="346"/>
      <c r="H1187" s="346"/>
      <c r="I1187" s="346"/>
      <c r="J1187" s="346"/>
      <c r="K1187" s="346"/>
      <c r="L1187" s="346"/>
      <c r="M1187" s="346"/>
      <c r="N1187" s="346"/>
      <c r="O1187" s="346"/>
      <c r="P1187" s="346"/>
      <c r="Q1187" s="346"/>
      <c r="R1187" s="346"/>
      <c r="S1187" s="346"/>
      <c r="T1187" s="346"/>
      <c r="U1187" s="346"/>
      <c r="V1187" s="126"/>
      <c r="W1187" s="1627"/>
      <c r="X1187" s="1627"/>
      <c r="Y1187" s="1628"/>
      <c r="Z1187" s="1628"/>
      <c r="AA1187" s="1628"/>
      <c r="AB1187" s="1628"/>
      <c r="AC1187" s="1628"/>
      <c r="AD1187" s="1628"/>
      <c r="AE1187" s="1628"/>
      <c r="AF1187" s="1628">
        <f>FISCinyear!IM870</f>
        <v>0</v>
      </c>
      <c r="AG1187" s="1628">
        <f>FISCinyear!IP870</f>
        <v>0</v>
      </c>
      <c r="AH1187" s="1628">
        <f>FISCinyear!IS870</f>
        <v>3.0782545700000004</v>
      </c>
      <c r="AI1187" s="1628">
        <f>FISCinyear!IV870</f>
        <v>3.6879256939999996</v>
      </c>
      <c r="AJ1187" s="1628">
        <f t="shared" ref="AJ1187:AM1187" si="1453">AJ1188+AJ1189</f>
        <v>3.7787016397007713</v>
      </c>
      <c r="AK1187" s="1628">
        <f t="shared" si="1453"/>
        <v>4.0202933571488826</v>
      </c>
      <c r="AL1187" s="1628">
        <f t="shared" si="1453"/>
        <v>4.8495148739890839</v>
      </c>
      <c r="AM1187" s="1628">
        <f t="shared" si="1453"/>
        <v>5.6846936980359057</v>
      </c>
      <c r="AN1187" s="1628">
        <f t="shared" ref="AN1187:AO1187" si="1454">AN1188+AN1189</f>
        <v>6.1</v>
      </c>
      <c r="AO1187" s="1628">
        <f t="shared" si="1454"/>
        <v>6.1</v>
      </c>
      <c r="AP1187" s="1628">
        <f t="shared" ref="AP1187:AT1187" si="1455">AP1188+AP1189</f>
        <v>6.1</v>
      </c>
      <c r="AQ1187" s="1628">
        <f t="shared" si="1455"/>
        <v>6.1</v>
      </c>
      <c r="AR1187" s="1628">
        <f t="shared" si="1455"/>
        <v>6.1</v>
      </c>
      <c r="AS1187" s="1628">
        <f t="shared" si="1455"/>
        <v>6.1</v>
      </c>
      <c r="AT1187" s="1628">
        <f t="shared" si="1455"/>
        <v>6.1</v>
      </c>
      <c r="AV1187" s="2168"/>
      <c r="AW1187" s="2168"/>
      <c r="AX1187" s="2168"/>
      <c r="AY1187" s="2168"/>
      <c r="AZ1187" s="2168"/>
      <c r="BA1187" s="2168"/>
      <c r="BB1187" s="2168"/>
      <c r="BC1187" s="2168"/>
      <c r="BD1187" s="2168"/>
      <c r="BE1187" s="2168"/>
      <c r="BF1187" s="2168"/>
      <c r="BG1187" s="2168"/>
      <c r="BH1187" s="2167"/>
    </row>
    <row r="1188" spans="1:60">
      <c r="A1188" s="1"/>
      <c r="B1188" s="1"/>
      <c r="C1188" s="1"/>
      <c r="D1188" s="386" t="s">
        <v>3221</v>
      </c>
      <c r="E1188" s="169"/>
      <c r="F1188" s="346"/>
      <c r="G1188" s="346"/>
      <c r="H1188" s="346"/>
      <c r="I1188" s="346"/>
      <c r="J1188" s="346"/>
      <c r="K1188" s="346"/>
      <c r="L1188" s="346"/>
      <c r="M1188" s="346"/>
      <c r="N1188" s="346"/>
      <c r="O1188" s="346"/>
      <c r="P1188" s="346"/>
      <c r="Q1188" s="346"/>
      <c r="R1188" s="346"/>
      <c r="S1188" s="346"/>
      <c r="T1188" s="346"/>
      <c r="U1188" s="346"/>
      <c r="V1188" s="126"/>
      <c r="W1188" s="1627"/>
      <c r="X1188" s="1627"/>
      <c r="Y1188" s="1628"/>
      <c r="Z1188" s="1628"/>
      <c r="AA1188" s="1628"/>
      <c r="AB1188" s="1628"/>
      <c r="AC1188" s="1628"/>
      <c r="AD1188" s="1628"/>
      <c r="AE1188" s="1628"/>
      <c r="AF1188" s="1628">
        <f>FISCinyear!IM871</f>
        <v>0</v>
      </c>
      <c r="AG1188" s="1628">
        <f>FISCinyear!IP871</f>
        <v>0</v>
      </c>
      <c r="AH1188" s="1628">
        <f>FISCinyear!IS871</f>
        <v>3.0782545700000004</v>
      </c>
      <c r="AI1188" s="1628">
        <f>FISCinyear!IV871</f>
        <v>3.6879256939999996</v>
      </c>
      <c r="AJ1188" s="1628">
        <f t="shared" ref="AJ1188:AT1188" si="1456">AJ1022</f>
        <v>3.7787016397007713</v>
      </c>
      <c r="AK1188" s="1628">
        <f t="shared" si="1456"/>
        <v>4.0202933571488826</v>
      </c>
      <c r="AL1188" s="1628">
        <f t="shared" si="1456"/>
        <v>4.8495148739890839</v>
      </c>
      <c r="AM1188" s="1628">
        <f t="shared" si="1456"/>
        <v>5.6846936980359057</v>
      </c>
      <c r="AN1188" s="1628">
        <f t="shared" si="1456"/>
        <v>6.1</v>
      </c>
      <c r="AO1188" s="1628">
        <f t="shared" si="1456"/>
        <v>6.1</v>
      </c>
      <c r="AP1188" s="1628">
        <f t="shared" si="1456"/>
        <v>6.1</v>
      </c>
      <c r="AQ1188" s="1628">
        <f t="shared" si="1456"/>
        <v>6.1</v>
      </c>
      <c r="AR1188" s="1628">
        <f t="shared" si="1456"/>
        <v>6.1</v>
      </c>
      <c r="AS1188" s="1628">
        <f t="shared" si="1456"/>
        <v>6.1</v>
      </c>
      <c r="AT1188" s="1628">
        <f t="shared" si="1456"/>
        <v>6.1</v>
      </c>
      <c r="AV1188" s="2168"/>
      <c r="AW1188" s="2168"/>
      <c r="AX1188" s="2168"/>
      <c r="AY1188" s="2168"/>
      <c r="AZ1188" s="2168"/>
      <c r="BA1188" s="2168"/>
      <c r="BB1188" s="2168"/>
      <c r="BC1188" s="2168"/>
      <c r="BD1188" s="2168"/>
      <c r="BE1188" s="2168"/>
      <c r="BF1188" s="2168"/>
      <c r="BG1188" s="2168"/>
      <c r="BH1188" s="2167"/>
    </row>
    <row r="1189" spans="1:60">
      <c r="A1189" s="1"/>
      <c r="B1189" s="1"/>
      <c r="C1189" s="1"/>
      <c r="D1189" s="386" t="s">
        <v>3222</v>
      </c>
      <c r="E1189" s="169"/>
      <c r="F1189" s="346"/>
      <c r="G1189" s="346"/>
      <c r="H1189" s="346"/>
      <c r="I1189" s="346"/>
      <c r="J1189" s="346"/>
      <c r="K1189" s="346"/>
      <c r="L1189" s="346"/>
      <c r="M1189" s="346"/>
      <c r="N1189" s="346"/>
      <c r="O1189" s="346"/>
      <c r="P1189" s="346"/>
      <c r="Q1189" s="346"/>
      <c r="R1189" s="346"/>
      <c r="S1189" s="346"/>
      <c r="T1189" s="346"/>
      <c r="U1189" s="346"/>
      <c r="V1189" s="126"/>
      <c r="W1189" s="1627"/>
      <c r="X1189" s="1627"/>
      <c r="Y1189" s="1628"/>
      <c r="Z1189" s="1628"/>
      <c r="AA1189" s="1628"/>
      <c r="AB1189" s="1628"/>
      <c r="AC1189" s="1628"/>
      <c r="AD1189" s="1628"/>
      <c r="AE1189" s="1628"/>
      <c r="AF1189" s="1628">
        <f>FISCinyear!IM872</f>
        <v>0</v>
      </c>
      <c r="AG1189" s="1628">
        <f>FISCinyear!IP872</f>
        <v>0</v>
      </c>
      <c r="AH1189" s="1628">
        <f>FISCinyear!IS872</f>
        <v>0</v>
      </c>
      <c r="AI1189" s="1628">
        <f>FISCinyear!IV872</f>
        <v>0</v>
      </c>
      <c r="AJ1189" s="1628">
        <v>0</v>
      </c>
      <c r="AK1189" s="1628">
        <v>0</v>
      </c>
      <c r="AL1189" s="1628">
        <v>0</v>
      </c>
      <c r="AM1189" s="1628">
        <v>0</v>
      </c>
      <c r="AN1189" s="1628">
        <v>0</v>
      </c>
      <c r="AO1189" s="1628">
        <v>0</v>
      </c>
      <c r="AP1189" s="1628">
        <v>0</v>
      </c>
      <c r="AQ1189" s="1628">
        <v>0</v>
      </c>
      <c r="AR1189" s="1628">
        <v>0</v>
      </c>
      <c r="AS1189" s="1628">
        <v>0</v>
      </c>
      <c r="AT1189" s="1628">
        <v>0</v>
      </c>
      <c r="AV1189" s="2168"/>
      <c r="AW1189" s="2168"/>
      <c r="AX1189" s="2168"/>
      <c r="AY1189" s="2168"/>
      <c r="AZ1189" s="2168"/>
      <c r="BA1189" s="2168"/>
      <c r="BB1189" s="2168"/>
      <c r="BC1189" s="2168"/>
      <c r="BD1189" s="2168"/>
      <c r="BE1189" s="2168"/>
      <c r="BF1189" s="2168"/>
      <c r="BG1189" s="2168"/>
      <c r="BH1189" s="2167"/>
    </row>
    <row r="1190" spans="1:60">
      <c r="A1190" s="1"/>
      <c r="B1190" s="1"/>
      <c r="C1190" s="1"/>
      <c r="D1190" s="1678" t="s">
        <v>3233</v>
      </c>
      <c r="E1190" s="169"/>
      <c r="F1190" s="346"/>
      <c r="G1190" s="346"/>
      <c r="H1190" s="346"/>
      <c r="I1190" s="346"/>
      <c r="J1190" s="346"/>
      <c r="K1190" s="346"/>
      <c r="L1190" s="346"/>
      <c r="M1190" s="346"/>
      <c r="N1190" s="346"/>
      <c r="O1190" s="346"/>
      <c r="P1190" s="346"/>
      <c r="Q1190" s="346"/>
      <c r="R1190" s="346"/>
      <c r="S1190" s="346"/>
      <c r="T1190" s="346"/>
      <c r="U1190" s="346"/>
      <c r="V1190" s="126"/>
      <c r="W1190" s="1627"/>
      <c r="X1190" s="1627"/>
      <c r="Y1190" s="1628"/>
      <c r="Z1190" s="1628"/>
      <c r="AA1190" s="1628"/>
      <c r="AB1190" s="1628"/>
      <c r="AC1190" s="1628"/>
      <c r="AD1190" s="1628"/>
      <c r="AE1190" s="1628"/>
      <c r="AF1190" s="1628">
        <f>FISCinyear!IM873</f>
        <v>0</v>
      </c>
      <c r="AG1190" s="1628">
        <f>FISCinyear!IP873</f>
        <v>0</v>
      </c>
      <c r="AH1190" s="1628">
        <f>FISCinyear!IS873</f>
        <v>0</v>
      </c>
      <c r="AI1190" s="1628">
        <f>FISCinyear!IV873</f>
        <v>0</v>
      </c>
      <c r="AJ1190" s="1627">
        <v>0</v>
      </c>
      <c r="AK1190" s="1627">
        <v>0</v>
      </c>
      <c r="AL1190" s="1627">
        <v>0</v>
      </c>
      <c r="AM1190" s="1627">
        <v>0</v>
      </c>
      <c r="AN1190" s="1627">
        <v>0</v>
      </c>
      <c r="AO1190" s="1627">
        <v>0</v>
      </c>
      <c r="AP1190" s="1627">
        <v>0</v>
      </c>
      <c r="AQ1190" s="1627">
        <v>0</v>
      </c>
      <c r="AR1190" s="1627">
        <v>0</v>
      </c>
      <c r="AS1190" s="1627">
        <v>0</v>
      </c>
      <c r="AT1190" s="1627">
        <v>0</v>
      </c>
      <c r="AV1190" s="2168"/>
      <c r="AW1190" s="2168"/>
      <c r="AX1190" s="2168"/>
      <c r="AY1190" s="2168"/>
      <c r="AZ1190" s="2168"/>
      <c r="BA1190" s="2168"/>
      <c r="BB1190" s="2168"/>
      <c r="BC1190" s="2168"/>
      <c r="BD1190" s="2168"/>
      <c r="BE1190" s="2168"/>
      <c r="BF1190" s="2168"/>
      <c r="BG1190" s="2168"/>
      <c r="BH1190" s="2167"/>
    </row>
    <row r="1191" spans="1:60">
      <c r="A1191" s="1"/>
      <c r="B1191" s="1"/>
      <c r="C1191" s="1"/>
      <c r="D1191" s="383" t="str">
        <f>+FISCinyear!D874</f>
        <v>of which drawdowns</v>
      </c>
      <c r="E1191" s="169"/>
      <c r="F1191" s="346"/>
      <c r="G1191" s="346"/>
      <c r="H1191" s="346"/>
      <c r="I1191" s="346"/>
      <c r="J1191" s="346"/>
      <c r="K1191" s="346"/>
      <c r="L1191" s="346"/>
      <c r="M1191" s="346"/>
      <c r="N1191" s="346"/>
      <c r="O1191" s="346"/>
      <c r="P1191" s="346"/>
      <c r="Q1191" s="346"/>
      <c r="R1191" s="346"/>
      <c r="S1191" s="346"/>
      <c r="T1191" s="346"/>
      <c r="U1191" s="346"/>
      <c r="V1191" s="126"/>
      <c r="W1191" s="1627"/>
      <c r="X1191" s="1627"/>
      <c r="Y1191" s="1628">
        <f>FISCinyear!HR874</f>
        <v>0</v>
      </c>
      <c r="Z1191" s="1628">
        <f>FISCinyear!HU874</f>
        <v>0</v>
      </c>
      <c r="AA1191" s="1628">
        <f>FISCinyear!HX874</f>
        <v>0</v>
      </c>
      <c r="AB1191" s="1628">
        <f>FISCinyear!IA874</f>
        <v>0</v>
      </c>
      <c r="AC1191" s="1628">
        <f>FISCinyear!ID874</f>
        <v>0</v>
      </c>
      <c r="AD1191" s="1628">
        <f>FISCinyear!IG874</f>
        <v>0</v>
      </c>
      <c r="AE1191" s="1628">
        <f>FISCinyear!IJ874</f>
        <v>0</v>
      </c>
      <c r="AF1191" s="1628">
        <f>FISCinyear!IM874</f>
        <v>0</v>
      </c>
      <c r="AG1191" s="1628">
        <f>FISCinyear!IP874</f>
        <v>0</v>
      </c>
      <c r="AH1191" s="1628">
        <f>FISCinyear!IS874</f>
        <v>0</v>
      </c>
      <c r="AI1191" s="1628">
        <f>FISCinyear!IV874</f>
        <v>0</v>
      </c>
      <c r="AJ1191" s="1628">
        <v>0</v>
      </c>
      <c r="AK1191" s="1628">
        <v>0</v>
      </c>
      <c r="AL1191" s="1628">
        <v>0</v>
      </c>
      <c r="AM1191" s="1628">
        <v>0</v>
      </c>
      <c r="AN1191" s="1628">
        <v>0</v>
      </c>
      <c r="AO1191" s="1628">
        <v>0</v>
      </c>
      <c r="AP1191" s="1628">
        <v>0</v>
      </c>
      <c r="AQ1191" s="1628">
        <v>0</v>
      </c>
      <c r="AR1191" s="1628">
        <v>0</v>
      </c>
      <c r="AS1191" s="1628">
        <v>0</v>
      </c>
      <c r="AT1191" s="1628">
        <v>0</v>
      </c>
      <c r="AV1191" s="2168"/>
      <c r="AW1191" s="2168"/>
      <c r="AX1191" s="2168"/>
      <c r="AY1191" s="2168"/>
      <c r="AZ1191" s="2168"/>
      <c r="BA1191" s="2168"/>
      <c r="BB1191" s="2168"/>
      <c r="BC1191" s="2168"/>
      <c r="BD1191" s="2168"/>
      <c r="BE1191" s="2168"/>
      <c r="BF1191" s="2168"/>
      <c r="BG1191" s="2168"/>
      <c r="BH1191" s="2167"/>
    </row>
    <row r="1192" spans="1:60">
      <c r="A1192" s="1"/>
      <c r="B1192" s="1"/>
      <c r="C1192" s="1"/>
      <c r="D1192" s="382" t="str">
        <f>+FISCinyear!D875</f>
        <v xml:space="preserve">Securities other than shares </v>
      </c>
      <c r="E1192" s="169"/>
      <c r="F1192" s="346"/>
      <c r="G1192" s="346"/>
      <c r="H1192" s="346"/>
      <c r="I1192" s="346"/>
      <c r="J1192" s="346"/>
      <c r="K1192" s="346"/>
      <c r="L1192" s="346"/>
      <c r="M1192" s="346"/>
      <c r="N1192" s="346"/>
      <c r="O1192" s="346"/>
      <c r="P1192" s="346"/>
      <c r="Q1192" s="346"/>
      <c r="R1192" s="346"/>
      <c r="S1192" s="346"/>
      <c r="T1192" s="346"/>
      <c r="U1192" s="346"/>
      <c r="V1192" s="346"/>
      <c r="W1192" s="1626"/>
      <c r="X1192" s="1626"/>
      <c r="Y1192" s="1628">
        <f>FISCinyear!HR875</f>
        <v>0</v>
      </c>
      <c r="Z1192" s="1628">
        <f>FISCinyear!HU875</f>
        <v>0</v>
      </c>
      <c r="AA1192" s="1628">
        <f>FISCinyear!HX875</f>
        <v>0</v>
      </c>
      <c r="AB1192" s="1628">
        <f>FISCinyear!IA875</f>
        <v>0</v>
      </c>
      <c r="AC1192" s="1628">
        <f>FISCinyear!ID875</f>
        <v>0</v>
      </c>
      <c r="AD1192" s="1628">
        <f>FISCinyear!IG875</f>
        <v>0</v>
      </c>
      <c r="AE1192" s="1628">
        <f>FISCinyear!IJ875</f>
        <v>0</v>
      </c>
      <c r="AF1192" s="1628">
        <f>FISCinyear!IM875</f>
        <v>0</v>
      </c>
      <c r="AG1192" s="1628">
        <f>FISCinyear!IP875</f>
        <v>0</v>
      </c>
      <c r="AH1192" s="1628">
        <f>FISCinyear!IS875</f>
        <v>0</v>
      </c>
      <c r="AI1192" s="1628">
        <f>FISCinyear!IV875</f>
        <v>0</v>
      </c>
      <c r="AJ1192" s="1628">
        <v>0</v>
      </c>
      <c r="AK1192" s="1628">
        <v>0</v>
      </c>
      <c r="AL1192" s="1628">
        <v>0</v>
      </c>
      <c r="AM1192" s="1628">
        <v>0</v>
      </c>
      <c r="AN1192" s="1628">
        <v>0</v>
      </c>
      <c r="AO1192" s="1628">
        <v>0</v>
      </c>
      <c r="AP1192" s="1628">
        <v>0</v>
      </c>
      <c r="AQ1192" s="1628">
        <v>0</v>
      </c>
      <c r="AR1192" s="1628">
        <v>0</v>
      </c>
      <c r="AS1192" s="1628">
        <v>0</v>
      </c>
      <c r="AT1192" s="1628">
        <v>0</v>
      </c>
      <c r="AV1192" s="2168"/>
      <c r="AW1192" s="2168"/>
      <c r="AX1192" s="2168"/>
      <c r="AY1192" s="2168"/>
      <c r="AZ1192" s="2168"/>
      <c r="BA1192" s="2168"/>
      <c r="BB1192" s="2168"/>
      <c r="BC1192" s="2168"/>
      <c r="BD1192" s="2168"/>
      <c r="BE1192" s="2168"/>
      <c r="BF1192" s="2168"/>
      <c r="BG1192" s="2168"/>
      <c r="BH1192" s="2167"/>
    </row>
    <row r="1193" spans="1:60">
      <c r="A1193" s="1"/>
      <c r="B1193" s="1"/>
      <c r="C1193" s="1"/>
      <c r="D1193" s="382" t="str">
        <f>+FISCinyear!D876</f>
        <v xml:space="preserve">Loans </v>
      </c>
      <c r="E1193" s="169" t="s">
        <v>650</v>
      </c>
      <c r="F1193" s="346"/>
      <c r="G1193" s="346"/>
      <c r="H1193" s="346"/>
      <c r="I1193" s="346"/>
      <c r="J1193" s="346"/>
      <c r="K1193" s="346"/>
      <c r="L1193" s="346"/>
      <c r="M1193" s="346"/>
      <c r="N1193" s="346"/>
      <c r="O1193" s="346"/>
      <c r="P1193" s="346"/>
      <c r="Q1193" s="346"/>
      <c r="R1193" s="346"/>
      <c r="S1193" s="346"/>
      <c r="T1193" s="346"/>
      <c r="U1193" s="346"/>
      <c r="V1193" s="126">
        <f>-(V770-V774)</f>
        <v>-18.70073</v>
      </c>
      <c r="W1193" s="1627">
        <f>-(W770-W774)</f>
        <v>-1.1000000000000001</v>
      </c>
      <c r="X1193" s="1627">
        <f>-(X770-X774)</f>
        <v>-110.20000000000002</v>
      </c>
      <c r="Y1193" s="1628">
        <f>FISCinyear!HR876</f>
        <v>26.021809439999998</v>
      </c>
      <c r="Z1193" s="1628">
        <f>FISCinyear!HU876</f>
        <v>63.681102590000002</v>
      </c>
      <c r="AA1193" s="1628">
        <f>FISCinyear!HX876</f>
        <v>50.348721671999996</v>
      </c>
      <c r="AB1193" s="1628">
        <f>FISCinyear!IA876</f>
        <v>26.438133610000001</v>
      </c>
      <c r="AC1193" s="1628">
        <f>FISCinyear!ID876</f>
        <v>57.010220723000003</v>
      </c>
      <c r="AD1193" s="1628">
        <f>FISCinyear!IG876</f>
        <v>29.968757732</v>
      </c>
      <c r="AE1193" s="1628">
        <f>FISCinyear!IJ876</f>
        <v>103.647563932</v>
      </c>
      <c r="AF1193" s="1628">
        <f>FISCinyear!IM876</f>
        <v>107.61175493900001</v>
      </c>
      <c r="AG1193" s="1628">
        <f>FISCinyear!IP876</f>
        <v>94.482519613000008</v>
      </c>
      <c r="AH1193" s="1628">
        <f>FISCinyear!IS876</f>
        <v>92.082835726969989</v>
      </c>
      <c r="AI1193" s="1628">
        <f>FISCinyear!IV876</f>
        <v>82.891332118999998</v>
      </c>
      <c r="AJ1193" s="1627">
        <f>AJ1194+AJ1199+AJ1200+AJ1198+AJ1201+AJ1195</f>
        <v>115.08506542537162</v>
      </c>
      <c r="AK1193" s="1627">
        <f t="shared" ref="AK1193:AT1193" si="1457">AK1194+AK1199+AK1200+AK1198+AK1201</f>
        <v>58.762517943990304</v>
      </c>
      <c r="AL1193" s="1627">
        <f t="shared" si="1457"/>
        <v>32.503843045253639</v>
      </c>
      <c r="AM1193" s="1627">
        <f t="shared" si="1457"/>
        <v>30.040280979999999</v>
      </c>
      <c r="AN1193" s="1627">
        <f t="shared" si="1457"/>
        <v>30.040280979999999</v>
      </c>
      <c r="AO1193" s="1627">
        <f t="shared" si="1457"/>
        <v>28.891494336000001</v>
      </c>
      <c r="AP1193" s="1627">
        <f t="shared" si="1457"/>
        <v>0</v>
      </c>
      <c r="AQ1193" s="1627">
        <f t="shared" si="1457"/>
        <v>0</v>
      </c>
      <c r="AR1193" s="1627">
        <f t="shared" si="1457"/>
        <v>0</v>
      </c>
      <c r="AS1193" s="1627">
        <f t="shared" si="1457"/>
        <v>0</v>
      </c>
      <c r="AT1193" s="1627">
        <f t="shared" si="1457"/>
        <v>0</v>
      </c>
      <c r="AV1193" s="2168"/>
      <c r="AW1193" s="2168"/>
      <c r="AX1193" s="2168"/>
      <c r="AY1193" s="2168"/>
      <c r="AZ1193" s="2168"/>
      <c r="BA1193" s="2168"/>
      <c r="BB1193" s="2168"/>
      <c r="BC1193" s="2168"/>
      <c r="BD1193" s="2168"/>
      <c r="BE1193" s="2168"/>
      <c r="BF1193" s="2168"/>
      <c r="BG1193" s="2168"/>
      <c r="BH1193" s="2167"/>
    </row>
    <row r="1194" spans="1:60">
      <c r="A1194" s="1"/>
      <c r="B1194" s="1"/>
      <c r="C1194" s="1"/>
      <c r="D1194" s="1603" t="str">
        <f>+FISCinyear!D877</f>
        <v>o/w KCC</v>
      </c>
      <c r="E1194" s="346"/>
      <c r="F1194" s="346"/>
      <c r="G1194" s="346"/>
      <c r="H1194" s="346"/>
      <c r="I1194" s="346"/>
      <c r="J1194" s="346"/>
      <c r="K1194" s="346"/>
      <c r="L1194" s="346"/>
      <c r="M1194" s="346"/>
      <c r="N1194" s="346"/>
      <c r="O1194" s="346"/>
      <c r="P1194" s="346"/>
      <c r="Q1194" s="346"/>
      <c r="R1194" s="346"/>
      <c r="S1194" s="346"/>
      <c r="T1194" s="346"/>
      <c r="U1194" s="346"/>
      <c r="V1194" s="126"/>
      <c r="W1194" s="1627"/>
      <c r="X1194" s="1627"/>
      <c r="Y1194" s="1628">
        <f>FISCinyear!HR877</f>
        <v>0</v>
      </c>
      <c r="Z1194" s="1628">
        <f>FISCinyear!HU877</f>
        <v>0</v>
      </c>
      <c r="AA1194" s="1628">
        <f>FISCinyear!HX877</f>
        <v>0</v>
      </c>
      <c r="AB1194" s="1628">
        <f>FISCinyear!IA877</f>
        <v>0</v>
      </c>
      <c r="AC1194" s="1628">
        <f>FISCinyear!ID877</f>
        <v>0</v>
      </c>
      <c r="AD1194" s="1628">
        <f>FISCinyear!IG877</f>
        <v>0</v>
      </c>
      <c r="AE1194" s="1628">
        <f>FISCinyear!IJ877</f>
        <v>23.647563932000001</v>
      </c>
      <c r="AF1194" s="1628">
        <f>FISCinyear!IM877</f>
        <v>18.636315672999999</v>
      </c>
      <c r="AG1194" s="1628">
        <f>FISCinyear!IP877</f>
        <v>31.379218048999999</v>
      </c>
      <c r="AH1194" s="1628">
        <f>FISCinyear!IS877</f>
        <v>35.796852052999995</v>
      </c>
      <c r="AI1194" s="1628">
        <f>FISCinyear!IV877</f>
        <v>35.115803935000002</v>
      </c>
      <c r="AJ1194" s="1648">
        <v>35.969677187999999</v>
      </c>
      <c r="AK1194" s="1648">
        <v>33.969677187999999</v>
      </c>
      <c r="AL1194" s="1648">
        <v>32.503843045253639</v>
      </c>
      <c r="AM1194" s="1648">
        <v>30.040280979999999</v>
      </c>
      <c r="AN1194" s="1648">
        <v>30.040280979999999</v>
      </c>
      <c r="AO1194" s="1648">
        <v>28.891494336000001</v>
      </c>
      <c r="AP1194" s="1648"/>
      <c r="AQ1194" s="1648"/>
      <c r="AR1194" s="1648"/>
      <c r="AS1194" s="1648"/>
      <c r="AT1194" s="1648"/>
      <c r="AV1194" s="2168"/>
      <c r="AW1194" s="2168"/>
      <c r="AX1194" s="2168"/>
      <c r="AY1194" s="2168"/>
      <c r="AZ1194" s="2168"/>
      <c r="BA1194" s="2168"/>
      <c r="BB1194" s="2168"/>
      <c r="BC1194" s="2168"/>
      <c r="BD1194" s="2168"/>
      <c r="BE1194" s="2168"/>
      <c r="BF1194" s="2168"/>
      <c r="BG1194" s="2168"/>
      <c r="BH1194" s="2167"/>
    </row>
    <row r="1195" spans="1:60">
      <c r="A1195" s="1"/>
      <c r="B1195" s="1"/>
      <c r="C1195" s="1"/>
      <c r="D1195" s="1606" t="s">
        <v>3677</v>
      </c>
      <c r="E1195" s="346"/>
      <c r="F1195" s="346"/>
      <c r="G1195" s="346"/>
      <c r="H1195" s="346"/>
      <c r="I1195" s="346"/>
      <c r="J1195" s="346"/>
      <c r="K1195" s="346"/>
      <c r="L1195" s="346"/>
      <c r="M1195" s="346"/>
      <c r="N1195" s="346"/>
      <c r="O1195" s="346"/>
      <c r="P1195" s="346"/>
      <c r="Q1195" s="346"/>
      <c r="R1195" s="346"/>
      <c r="S1195" s="346"/>
      <c r="T1195" s="346"/>
      <c r="U1195" s="346"/>
      <c r="V1195" s="126"/>
      <c r="W1195" s="1627"/>
      <c r="X1195" s="1627"/>
      <c r="Y1195" s="1628"/>
      <c r="Z1195" s="1628"/>
      <c r="AA1195" s="1628"/>
      <c r="AB1195" s="1628"/>
      <c r="AC1195" s="1628"/>
      <c r="AD1195" s="1628"/>
      <c r="AE1195" s="1628"/>
      <c r="AF1195" s="1628">
        <v>0</v>
      </c>
      <c r="AG1195" s="1628">
        <v>0</v>
      </c>
      <c r="AH1195" s="1628">
        <v>0</v>
      </c>
      <c r="AI1195" s="1628">
        <v>0</v>
      </c>
      <c r="AJ1195" s="1900">
        <f>AJ1196+AJ1197</f>
        <v>55.139928963999999</v>
      </c>
      <c r="AK1195" s="1900">
        <f t="shared" ref="AK1195:AT1195" si="1458">AK1196+AK1197</f>
        <v>0</v>
      </c>
      <c r="AL1195" s="1900">
        <f t="shared" si="1458"/>
        <v>0</v>
      </c>
      <c r="AM1195" s="1900">
        <f t="shared" si="1458"/>
        <v>0</v>
      </c>
      <c r="AN1195" s="1900">
        <f t="shared" si="1458"/>
        <v>0</v>
      </c>
      <c r="AO1195" s="1900">
        <f t="shared" si="1458"/>
        <v>0</v>
      </c>
      <c r="AP1195" s="1900">
        <f t="shared" si="1458"/>
        <v>0</v>
      </c>
      <c r="AQ1195" s="1900">
        <f t="shared" si="1458"/>
        <v>0</v>
      </c>
      <c r="AR1195" s="1900">
        <f t="shared" si="1458"/>
        <v>0</v>
      </c>
      <c r="AS1195" s="1900">
        <f t="shared" si="1458"/>
        <v>0</v>
      </c>
      <c r="AT1195" s="1900">
        <f t="shared" si="1458"/>
        <v>0</v>
      </c>
      <c r="AV1195" s="2168"/>
      <c r="AW1195" s="2168"/>
      <c r="AX1195" s="2168"/>
      <c r="AY1195" s="2168"/>
      <c r="AZ1195" s="2168"/>
      <c r="BA1195" s="2168"/>
      <c r="BB1195" s="2168"/>
      <c r="BC1195" s="2168"/>
      <c r="BD1195" s="2168"/>
      <c r="BE1195" s="2168"/>
      <c r="BF1195" s="2168"/>
      <c r="BG1195" s="2168"/>
      <c r="BH1195" s="2167"/>
    </row>
    <row r="1196" spans="1:60">
      <c r="A1196" s="1"/>
      <c r="B1196" s="1"/>
      <c r="C1196" s="1"/>
      <c r="D1196" s="2152" t="s">
        <v>3687</v>
      </c>
      <c r="E1196" s="346"/>
      <c r="F1196" s="346"/>
      <c r="G1196" s="346"/>
      <c r="H1196" s="346"/>
      <c r="I1196" s="346"/>
      <c r="J1196" s="346"/>
      <c r="K1196" s="346"/>
      <c r="L1196" s="346"/>
      <c r="M1196" s="346"/>
      <c r="N1196" s="346"/>
      <c r="O1196" s="346"/>
      <c r="P1196" s="346"/>
      <c r="Q1196" s="346"/>
      <c r="R1196" s="346"/>
      <c r="S1196" s="346"/>
      <c r="T1196" s="346"/>
      <c r="U1196" s="346"/>
      <c r="V1196" s="126"/>
      <c r="W1196" s="1627"/>
      <c r="X1196" s="1627"/>
      <c r="Y1196" s="1628"/>
      <c r="Z1196" s="1628"/>
      <c r="AA1196" s="1628"/>
      <c r="AB1196" s="1628"/>
      <c r="AC1196" s="1628"/>
      <c r="AD1196" s="1628"/>
      <c r="AE1196" s="1628"/>
      <c r="AF1196" s="1628"/>
      <c r="AG1196" s="1628"/>
      <c r="AH1196" s="1628"/>
      <c r="AI1196" s="1628"/>
      <c r="AJ1196" s="1900">
        <v>55.139928963999999</v>
      </c>
      <c r="AK1196" s="1900"/>
      <c r="AL1196" s="1900"/>
      <c r="AM1196" s="1900"/>
      <c r="AN1196" s="1900"/>
      <c r="AO1196" s="1900"/>
      <c r="AP1196" s="1900"/>
      <c r="AQ1196" s="1900"/>
      <c r="AR1196" s="1900"/>
      <c r="AS1196" s="1900"/>
      <c r="AT1196" s="1900"/>
      <c r="AV1196" s="2168"/>
      <c r="AW1196" s="2168"/>
      <c r="AX1196" s="2168"/>
      <c r="AY1196" s="2168"/>
      <c r="AZ1196" s="2168"/>
      <c r="BA1196" s="2168"/>
      <c r="BB1196" s="2168"/>
      <c r="BC1196" s="2168"/>
      <c r="BD1196" s="2168"/>
      <c r="BE1196" s="2168"/>
      <c r="BF1196" s="2168"/>
      <c r="BG1196" s="2168"/>
      <c r="BH1196" s="2167"/>
    </row>
    <row r="1197" spans="1:60">
      <c r="A1197" s="1"/>
      <c r="B1197" s="1"/>
      <c r="C1197" s="1"/>
      <c r="D1197" s="2152" t="s">
        <v>3688</v>
      </c>
      <c r="E1197" s="346"/>
      <c r="F1197" s="346"/>
      <c r="G1197" s="346"/>
      <c r="H1197" s="346"/>
      <c r="I1197" s="346"/>
      <c r="J1197" s="346"/>
      <c r="K1197" s="346"/>
      <c r="L1197" s="346"/>
      <c r="M1197" s="346"/>
      <c r="N1197" s="346"/>
      <c r="O1197" s="346"/>
      <c r="P1197" s="346"/>
      <c r="Q1197" s="346"/>
      <c r="R1197" s="346"/>
      <c r="S1197" s="346"/>
      <c r="T1197" s="346"/>
      <c r="U1197" s="346"/>
      <c r="V1197" s="126"/>
      <c r="W1197" s="1627"/>
      <c r="X1197" s="1627"/>
      <c r="Y1197" s="1628"/>
      <c r="Z1197" s="1628"/>
      <c r="AA1197" s="1628"/>
      <c r="AB1197" s="1628"/>
      <c r="AC1197" s="1628"/>
      <c r="AD1197" s="1628"/>
      <c r="AE1197" s="1628"/>
      <c r="AF1197" s="1628"/>
      <c r="AG1197" s="1628"/>
      <c r="AH1197" s="1628"/>
      <c r="AI1197" s="1628"/>
      <c r="AJ1197" s="1900">
        <f>-AJ1196*0</f>
        <v>0</v>
      </c>
      <c r="AK1197" s="1900"/>
      <c r="AL1197" s="1900"/>
      <c r="AM1197" s="1900"/>
      <c r="AN1197" s="1900"/>
      <c r="AO1197" s="1900"/>
      <c r="AP1197" s="1900"/>
      <c r="AQ1197" s="1900"/>
      <c r="AR1197" s="1900"/>
      <c r="AS1197" s="1900"/>
      <c r="AT1197" s="1900"/>
      <c r="AV1197" s="2168"/>
      <c r="AW1197" s="2168"/>
      <c r="AX1197" s="2168"/>
      <c r="AY1197" s="2168"/>
      <c r="AZ1197" s="2168"/>
      <c r="BA1197" s="2168"/>
      <c r="BB1197" s="2168"/>
      <c r="BC1197" s="2168"/>
      <c r="BD1197" s="2168"/>
      <c r="BE1197" s="2168"/>
      <c r="BF1197" s="2168"/>
      <c r="BG1197" s="2168"/>
      <c r="BH1197" s="2167"/>
    </row>
    <row r="1198" spans="1:60">
      <c r="A1198" s="1"/>
      <c r="B1198" s="1"/>
      <c r="C1198" s="1"/>
      <c r="D1198" s="1606" t="s">
        <v>3224</v>
      </c>
      <c r="E1198" s="346"/>
      <c r="F1198" s="346"/>
      <c r="G1198" s="346"/>
      <c r="H1198" s="346"/>
      <c r="I1198" s="346"/>
      <c r="J1198" s="346"/>
      <c r="K1198" s="346"/>
      <c r="L1198" s="346"/>
      <c r="M1198" s="346"/>
      <c r="N1198" s="346"/>
      <c r="O1198" s="346"/>
      <c r="P1198" s="346"/>
      <c r="Q1198" s="346"/>
      <c r="R1198" s="346"/>
      <c r="S1198" s="346"/>
      <c r="T1198" s="346"/>
      <c r="U1198" s="346"/>
      <c r="V1198" s="126"/>
      <c r="W1198" s="1627"/>
      <c r="X1198" s="1627"/>
      <c r="Y1198" s="1628"/>
      <c r="Z1198" s="1628"/>
      <c r="AA1198" s="1628"/>
      <c r="AB1198" s="1628"/>
      <c r="AC1198" s="1628"/>
      <c r="AD1198" s="1628"/>
      <c r="AE1198" s="1628"/>
      <c r="AF1198" s="1628">
        <f>FISCinyear!IM879</f>
        <v>0</v>
      </c>
      <c r="AG1198" s="1628">
        <f>FISCinyear!IP879</f>
        <v>0</v>
      </c>
      <c r="AH1198" s="1628">
        <f>FISCinyear!IS879</f>
        <v>0</v>
      </c>
      <c r="AI1198" s="1628">
        <f>FISCinyear!IV879</f>
        <v>0</v>
      </c>
      <c r="AJ1198" s="1648">
        <v>0</v>
      </c>
      <c r="AK1198" s="1648">
        <v>0</v>
      </c>
      <c r="AL1198" s="1648">
        <v>0</v>
      </c>
      <c r="AM1198" s="1648">
        <v>0</v>
      </c>
      <c r="AN1198" s="1648">
        <v>0</v>
      </c>
      <c r="AO1198" s="1648">
        <v>0</v>
      </c>
      <c r="AP1198" s="1648">
        <v>0</v>
      </c>
      <c r="AQ1198" s="1648">
        <v>0</v>
      </c>
      <c r="AR1198" s="1648">
        <v>0</v>
      </c>
      <c r="AS1198" s="1648">
        <v>0</v>
      </c>
      <c r="AT1198" s="1648">
        <v>0</v>
      </c>
      <c r="AV1198" s="2168"/>
      <c r="AW1198" s="2168"/>
      <c r="AX1198" s="2168"/>
      <c r="AY1198" s="2168"/>
      <c r="AZ1198" s="2168"/>
      <c r="BA1198" s="2168"/>
      <c r="BB1198" s="2168"/>
      <c r="BC1198" s="2168"/>
      <c r="BD1198" s="2168"/>
      <c r="BE1198" s="2168"/>
      <c r="BF1198" s="2168"/>
      <c r="BG1198" s="2168"/>
      <c r="BH1198" s="2167"/>
    </row>
    <row r="1199" spans="1:60">
      <c r="A1199" s="1"/>
      <c r="B1199" s="1"/>
      <c r="C1199" s="1"/>
      <c r="D1199" s="1603" t="s">
        <v>3138</v>
      </c>
      <c r="E1199" s="346"/>
      <c r="F1199" s="346"/>
      <c r="G1199" s="346"/>
      <c r="H1199" s="346"/>
      <c r="I1199" s="346"/>
      <c r="J1199" s="346"/>
      <c r="K1199" s="346"/>
      <c r="L1199" s="346"/>
      <c r="M1199" s="346"/>
      <c r="N1199" s="346"/>
      <c r="O1199" s="346"/>
      <c r="P1199" s="346"/>
      <c r="Q1199" s="346"/>
      <c r="R1199" s="346"/>
      <c r="S1199" s="346"/>
      <c r="T1199" s="346"/>
      <c r="U1199" s="346"/>
      <c r="V1199" s="126"/>
      <c r="W1199" s="1627"/>
      <c r="X1199" s="1627"/>
      <c r="Y1199" s="1628"/>
      <c r="Z1199" s="1628"/>
      <c r="AA1199" s="1628"/>
      <c r="AB1199" s="1628"/>
      <c r="AC1199" s="1628"/>
      <c r="AD1199" s="1628"/>
      <c r="AE1199" s="1628"/>
      <c r="AF1199" s="1628">
        <f>FISCinyear!IM880</f>
        <v>0</v>
      </c>
      <c r="AG1199" s="1628">
        <f>FISCinyear!IP880</f>
        <v>0</v>
      </c>
      <c r="AH1199" s="1628">
        <f>FISCinyear!IS880</f>
        <v>0</v>
      </c>
      <c r="AI1199" s="1628">
        <f>FISCinyear!IV880</f>
        <v>0</v>
      </c>
      <c r="AJ1199" s="1627">
        <v>0</v>
      </c>
      <c r="AK1199" s="1627">
        <v>0</v>
      </c>
      <c r="AL1199" s="1627">
        <v>0</v>
      </c>
      <c r="AM1199" s="1627">
        <v>0</v>
      </c>
      <c r="AN1199" s="1627">
        <v>0</v>
      </c>
      <c r="AO1199" s="1627">
        <v>0</v>
      </c>
      <c r="AP1199" s="1627">
        <v>0</v>
      </c>
      <c r="AQ1199" s="1627">
        <v>0</v>
      </c>
      <c r="AR1199" s="1627">
        <v>0</v>
      </c>
      <c r="AS1199" s="1627">
        <v>0</v>
      </c>
      <c r="AT1199" s="1627">
        <v>0</v>
      </c>
      <c r="AV1199" s="2168"/>
      <c r="AW1199" s="2168"/>
      <c r="AX1199" s="2168"/>
      <c r="AY1199" s="2168"/>
      <c r="AZ1199" s="2168"/>
      <c r="BA1199" s="2168"/>
      <c r="BB1199" s="2168"/>
      <c r="BC1199" s="2168"/>
      <c r="BD1199" s="2168"/>
      <c r="BE1199" s="2168"/>
      <c r="BF1199" s="2168"/>
      <c r="BG1199" s="2168"/>
      <c r="BH1199" s="2167"/>
    </row>
    <row r="1200" spans="1:60" ht="11.15" customHeight="1">
      <c r="A1200" s="1"/>
      <c r="B1200" s="1"/>
      <c r="C1200" s="1"/>
      <c r="D1200" s="1603" t="s">
        <v>3137</v>
      </c>
      <c r="E1200" s="346"/>
      <c r="F1200" s="346"/>
      <c r="G1200" s="346"/>
      <c r="H1200" s="346"/>
      <c r="I1200" s="346"/>
      <c r="J1200" s="346"/>
      <c r="K1200" s="346"/>
      <c r="L1200" s="346"/>
      <c r="M1200" s="346"/>
      <c r="N1200" s="346"/>
      <c r="O1200" s="346"/>
      <c r="P1200" s="346"/>
      <c r="Q1200" s="346"/>
      <c r="R1200" s="346"/>
      <c r="S1200" s="346"/>
      <c r="T1200" s="346"/>
      <c r="U1200" s="346"/>
      <c r="V1200" s="126"/>
      <c r="W1200" s="1627"/>
      <c r="X1200" s="1627"/>
      <c r="Y1200" s="1628"/>
      <c r="Z1200" s="1628"/>
      <c r="AA1200" s="1628"/>
      <c r="AB1200" s="1628"/>
      <c r="AC1200" s="1628"/>
      <c r="AD1200" s="1628"/>
      <c r="AE1200" s="1628"/>
      <c r="AF1200" s="1628">
        <f>FISCinyear!IM881</f>
        <v>88.975439265999995</v>
      </c>
      <c r="AG1200" s="1628">
        <f>FISCinyear!IP881</f>
        <v>63.103301563999999</v>
      </c>
      <c r="AH1200" s="1628">
        <f>FISCinyear!IS881</f>
        <v>56.285983673969994</v>
      </c>
      <c r="AI1200" s="1628">
        <f>FISCinyear!IV881</f>
        <v>46.3</v>
      </c>
      <c r="AJ1200" s="1794">
        <f t="shared" ref="AJ1200:AN1200" si="1459">AJ1257</f>
        <v>43.666260758371628</v>
      </c>
      <c r="AK1200" s="1794">
        <f t="shared" si="1459"/>
        <v>24.792840755990309</v>
      </c>
      <c r="AL1200" s="1794">
        <f t="shared" si="1459"/>
        <v>0</v>
      </c>
      <c r="AM1200" s="1794">
        <f t="shared" si="1459"/>
        <v>0</v>
      </c>
      <c r="AN1200" s="1794">
        <f t="shared" si="1459"/>
        <v>0</v>
      </c>
      <c r="AO1200" s="1794">
        <f t="shared" ref="AO1200:AT1200" si="1460">AO1257</f>
        <v>0</v>
      </c>
      <c r="AP1200" s="1794">
        <f t="shared" si="1460"/>
        <v>0</v>
      </c>
      <c r="AQ1200" s="1794">
        <f t="shared" si="1460"/>
        <v>0</v>
      </c>
      <c r="AR1200" s="1794">
        <f t="shared" si="1460"/>
        <v>0</v>
      </c>
      <c r="AS1200" s="1794">
        <f t="shared" si="1460"/>
        <v>0</v>
      </c>
      <c r="AT1200" s="1794">
        <f t="shared" si="1460"/>
        <v>0</v>
      </c>
      <c r="AV1200" s="2168"/>
      <c r="AW1200" s="2168"/>
      <c r="AX1200" s="2168"/>
      <c r="AY1200" s="2168"/>
      <c r="AZ1200" s="2168"/>
      <c r="BA1200" s="2168"/>
      <c r="BB1200" s="2168"/>
      <c r="BC1200" s="2168"/>
      <c r="BD1200" s="2168"/>
      <c r="BE1200" s="2168"/>
      <c r="BF1200" s="2168"/>
      <c r="BG1200" s="2168"/>
      <c r="BH1200" s="2167"/>
    </row>
    <row r="1201" spans="1:60" ht="11.15" customHeight="1">
      <c r="A1201" s="1"/>
      <c r="B1201" s="1"/>
      <c r="C1201" s="1"/>
      <c r="D1201" s="2022" t="s">
        <v>3662</v>
      </c>
      <c r="E1201" s="346"/>
      <c r="F1201" s="346"/>
      <c r="G1201" s="346"/>
      <c r="H1201" s="346"/>
      <c r="I1201" s="346"/>
      <c r="J1201" s="346"/>
      <c r="K1201" s="346"/>
      <c r="L1201" s="346"/>
      <c r="M1201" s="346"/>
      <c r="N1201" s="346"/>
      <c r="O1201" s="346"/>
      <c r="P1201" s="346"/>
      <c r="Q1201" s="346"/>
      <c r="R1201" s="346"/>
      <c r="S1201" s="346"/>
      <c r="T1201" s="346"/>
      <c r="U1201" s="346"/>
      <c r="V1201" s="126"/>
      <c r="W1201" s="1627"/>
      <c r="X1201" s="1627"/>
      <c r="Y1201" s="1628"/>
      <c r="Z1201" s="1628"/>
      <c r="AA1201" s="1628"/>
      <c r="AB1201" s="1628"/>
      <c r="AC1201" s="1628"/>
      <c r="AD1201" s="1628"/>
      <c r="AE1201" s="1628"/>
      <c r="AF1201" s="1628"/>
      <c r="AG1201" s="1628"/>
      <c r="AH1201" s="1628"/>
      <c r="AI1201" s="1628"/>
      <c r="AJ1201" s="2023">
        <f>-(10000000000+9690801485)/1000000000</f>
        <v>-19.690801485000001</v>
      </c>
      <c r="AK1201" s="992"/>
      <c r="AL1201" s="992"/>
      <c r="AM1201" s="992"/>
      <c r="AN1201" s="992"/>
      <c r="AO1201" s="992"/>
      <c r="AP1201" s="992"/>
      <c r="AQ1201" s="992"/>
      <c r="AR1201" s="992"/>
      <c r="AS1201" s="992"/>
      <c r="AT1201" s="992"/>
      <c r="AV1201" s="2168"/>
      <c r="AW1201" s="2168"/>
      <c r="AX1201" s="2168"/>
      <c r="AY1201" s="2168"/>
      <c r="AZ1201" s="2168"/>
      <c r="BA1201" s="2168"/>
      <c r="BB1201" s="2168"/>
      <c r="BC1201" s="2168"/>
      <c r="BD1201" s="2168"/>
      <c r="BE1201" s="2168"/>
      <c r="BF1201" s="2168"/>
      <c r="BG1201" s="2168"/>
      <c r="BH1201" s="2167"/>
    </row>
    <row r="1202" spans="1:60">
      <c r="A1202" s="1"/>
      <c r="B1202" s="1"/>
      <c r="C1202" s="1"/>
      <c r="D1202" s="382" t="s">
        <v>3133</v>
      </c>
      <c r="E1202" s="346"/>
      <c r="F1202" s="346"/>
      <c r="G1202" s="346"/>
      <c r="H1202" s="346"/>
      <c r="I1202" s="346"/>
      <c r="J1202" s="346"/>
      <c r="K1202" s="346"/>
      <c r="L1202" s="346"/>
      <c r="M1202" s="346"/>
      <c r="N1202" s="346"/>
      <c r="O1202" s="346"/>
      <c r="P1202" s="346"/>
      <c r="Q1202" s="346"/>
      <c r="R1202" s="346"/>
      <c r="S1202" s="346"/>
      <c r="T1202" s="346"/>
      <c r="U1202" s="346"/>
      <c r="V1202" s="126"/>
      <c r="W1202" s="1627"/>
      <c r="X1202" s="1627"/>
      <c r="Y1202" s="1628">
        <f>FISCinyear!HR881</f>
        <v>0</v>
      </c>
      <c r="Z1202" s="1628">
        <f>FISCinyear!HU881</f>
        <v>0</v>
      </c>
      <c r="AA1202" s="1628">
        <f>FISCinyear!HX881</f>
        <v>0</v>
      </c>
      <c r="AB1202" s="1628">
        <f>FISCinyear!IA881</f>
        <v>0</v>
      </c>
      <c r="AC1202" s="1628">
        <f>FISCinyear!ID881</f>
        <v>0</v>
      </c>
      <c r="AD1202" s="1628">
        <f>FISCinyear!IG881</f>
        <v>0</v>
      </c>
      <c r="AE1202" s="1628">
        <f>FISCinyear!IJ881</f>
        <v>0</v>
      </c>
      <c r="AF1202" s="1628">
        <f>FISCinyear!IM883</f>
        <v>6.1550000000000002</v>
      </c>
      <c r="AG1202" s="1628">
        <f>FISCinyear!IP883</f>
        <v>62.448015353999999</v>
      </c>
      <c r="AH1202" s="1628">
        <f>FISCinyear!IS883</f>
        <v>49.352330901000002</v>
      </c>
      <c r="AI1202" s="1628">
        <f>FISCinyear!IV883</f>
        <v>28.514512200000002</v>
      </c>
      <c r="AJ1202" s="1627">
        <f t="shared" ref="AJ1202:AT1202" si="1461">+AJ1203+AJ1204+AJ1207</f>
        <v>39.981844029999998</v>
      </c>
      <c r="AK1202" s="1627">
        <f>+AK1203+AK1204+AK1207</f>
        <v>701.75630875283366</v>
      </c>
      <c r="AL1202" s="1627">
        <f t="shared" si="1461"/>
        <v>582.90435634236098</v>
      </c>
      <c r="AM1202" s="1627">
        <f t="shared" si="1461"/>
        <v>108.19843891344723</v>
      </c>
      <c r="AN1202" s="1627">
        <f t="shared" si="1461"/>
        <v>62.985970495575067</v>
      </c>
      <c r="AO1202" s="1627">
        <f t="shared" si="1461"/>
        <v>35.981844030639998</v>
      </c>
      <c r="AP1202" s="1627">
        <f t="shared" si="1461"/>
        <v>0</v>
      </c>
      <c r="AQ1202" s="1627">
        <f t="shared" si="1461"/>
        <v>0</v>
      </c>
      <c r="AR1202" s="1627">
        <f t="shared" si="1461"/>
        <v>0</v>
      </c>
      <c r="AS1202" s="1627">
        <f t="shared" si="1461"/>
        <v>0</v>
      </c>
      <c r="AT1202" s="1627">
        <f t="shared" si="1461"/>
        <v>0</v>
      </c>
      <c r="AV1202" s="2168"/>
      <c r="AW1202" s="2168"/>
      <c r="AX1202" s="2168"/>
      <c r="AY1202" s="2168"/>
      <c r="AZ1202" s="2168"/>
      <c r="BA1202" s="2168"/>
      <c r="BB1202" s="2168"/>
      <c r="BC1202" s="2168"/>
      <c r="BD1202" s="2168"/>
      <c r="BE1202" s="2168"/>
      <c r="BF1202" s="2168"/>
      <c r="BG1202" s="2168"/>
      <c r="BH1202" s="2167"/>
    </row>
    <row r="1203" spans="1:60" ht="11.15" customHeight="1">
      <c r="A1203" s="1"/>
      <c r="B1203" s="1"/>
      <c r="C1203" s="1"/>
      <c r="D1203" s="382" t="s">
        <v>3209</v>
      </c>
      <c r="E1203" s="346"/>
      <c r="F1203" s="346"/>
      <c r="G1203" s="346"/>
      <c r="H1203" s="346"/>
      <c r="I1203" s="346"/>
      <c r="J1203" s="346"/>
      <c r="K1203" s="346"/>
      <c r="L1203" s="346"/>
      <c r="M1203" s="346"/>
      <c r="N1203" s="346"/>
      <c r="O1203" s="346"/>
      <c r="P1203" s="346"/>
      <c r="Q1203" s="346"/>
      <c r="R1203" s="346"/>
      <c r="S1203" s="346"/>
      <c r="T1203" s="346"/>
      <c r="U1203" s="346"/>
      <c r="V1203" s="126"/>
      <c r="W1203" s="1627"/>
      <c r="X1203" s="1627"/>
      <c r="Y1203" s="1628"/>
      <c r="Z1203" s="1628"/>
      <c r="AA1203" s="1628"/>
      <c r="AB1203" s="1628"/>
      <c r="AC1203" s="1628"/>
      <c r="AD1203" s="1628"/>
      <c r="AE1203" s="1628"/>
      <c r="AF1203" s="1628">
        <f>FISCinyear!IM884</f>
        <v>5.6388771082249995</v>
      </c>
      <c r="AG1203" s="1628">
        <f>FISCinyear!IP884</f>
        <v>4.6550000000000002</v>
      </c>
      <c r="AH1203" s="1628">
        <f>FISCinyear!IS884</f>
        <v>4.6536712690000002</v>
      </c>
      <c r="AI1203" s="1628">
        <f>FISCinyear!IV884</f>
        <v>7.0007651949999996</v>
      </c>
      <c r="AJ1203" s="1627">
        <f>4000000000/1000000000</f>
        <v>4</v>
      </c>
      <c r="AK1203" s="1627">
        <f>2352577064.25189/1000000000</f>
        <v>2.3525770642518902</v>
      </c>
      <c r="AL1203" s="1627">
        <v>0</v>
      </c>
      <c r="AM1203" s="1627">
        <v>0</v>
      </c>
      <c r="AN1203" s="1627">
        <v>0</v>
      </c>
      <c r="AO1203" s="1627">
        <v>0</v>
      </c>
      <c r="AP1203" s="1627">
        <v>0</v>
      </c>
      <c r="AQ1203" s="1627">
        <v>0</v>
      </c>
      <c r="AR1203" s="1627">
        <v>0</v>
      </c>
      <c r="AS1203" s="1627">
        <v>0</v>
      </c>
      <c r="AT1203" s="1627">
        <v>0</v>
      </c>
      <c r="AV1203" s="2168"/>
      <c r="AW1203" s="2168"/>
      <c r="AX1203" s="2168"/>
      <c r="AY1203" s="2168"/>
      <c r="AZ1203" s="2168"/>
      <c r="BA1203" s="2168"/>
      <c r="BB1203" s="2168"/>
      <c r="BC1203" s="2168"/>
      <c r="BD1203" s="2168"/>
      <c r="BE1203" s="2168"/>
      <c r="BF1203" s="2168"/>
      <c r="BG1203" s="2168"/>
      <c r="BH1203" s="2167"/>
    </row>
    <row r="1204" spans="1:60" ht="11.25" customHeight="1">
      <c r="A1204" s="1"/>
      <c r="B1204" s="1"/>
      <c r="C1204" s="1"/>
      <c r="D1204" s="1681" t="s">
        <v>3208</v>
      </c>
      <c r="E1204" s="346"/>
      <c r="F1204" s="346"/>
      <c r="G1204" s="346"/>
      <c r="H1204" s="346"/>
      <c r="I1204" s="346"/>
      <c r="J1204" s="346"/>
      <c r="K1204" s="346"/>
      <c r="L1204" s="346"/>
      <c r="M1204" s="346"/>
      <c r="N1204" s="346"/>
      <c r="O1204" s="346"/>
      <c r="P1204" s="346"/>
      <c r="Q1204" s="346"/>
      <c r="R1204" s="346"/>
      <c r="S1204" s="346"/>
      <c r="T1204" s="346"/>
      <c r="U1204" s="346"/>
      <c r="V1204" s="126"/>
      <c r="W1204" s="1627"/>
      <c r="X1204" s="1627"/>
      <c r="Y1204" s="1628"/>
      <c r="Z1204" s="1628"/>
      <c r="AA1204" s="1628"/>
      <c r="AB1204" s="1628"/>
      <c r="AC1204" s="1628"/>
      <c r="AD1204" s="1628"/>
      <c r="AE1204" s="1628"/>
      <c r="AF1204" s="1628">
        <f>FISCinyear!IM885</f>
        <v>0</v>
      </c>
      <c r="AG1204" s="1628">
        <f>FISCinyear!IP885</f>
        <v>22.987516171999999</v>
      </c>
      <c r="AH1204" s="1628">
        <f>FISCinyear!IS885</f>
        <v>23.031649008999999</v>
      </c>
      <c r="AI1204" s="1628">
        <f>FISCinyear!IV885</f>
        <v>19.674944938000003</v>
      </c>
      <c r="AJ1204" s="1794">
        <f>AJ1205+AJ1206</f>
        <v>35.981844029999998</v>
      </c>
      <c r="AK1204" s="1794">
        <f>AK1205+AK1206</f>
        <v>699.40373168858173</v>
      </c>
      <c r="AL1204" s="1794">
        <f>AL1205+AL1206</f>
        <v>582.90435634236098</v>
      </c>
      <c r="AM1204" s="1794">
        <f>AM1205+AM1206</f>
        <v>108.19843891344723</v>
      </c>
      <c r="AN1204" s="1794">
        <f>AN1205+AN1206</f>
        <v>62.985970495575067</v>
      </c>
      <c r="AO1204" s="1794">
        <f t="shared" ref="AO1204:AT1204" si="1462">AO1205+AO1206</f>
        <v>35.981844030639998</v>
      </c>
      <c r="AP1204" s="1794">
        <f t="shared" si="1462"/>
        <v>0</v>
      </c>
      <c r="AQ1204" s="1794">
        <f t="shared" si="1462"/>
        <v>0</v>
      </c>
      <c r="AR1204" s="1794">
        <f t="shared" si="1462"/>
        <v>0</v>
      </c>
      <c r="AS1204" s="1794">
        <f t="shared" si="1462"/>
        <v>0</v>
      </c>
      <c r="AT1204" s="1794">
        <f t="shared" si="1462"/>
        <v>0</v>
      </c>
      <c r="AV1204" s="2168"/>
      <c r="AW1204" s="2168"/>
      <c r="AX1204" s="2168"/>
      <c r="AY1204" s="2168"/>
      <c r="AZ1204" s="2168"/>
      <c r="BA1204" s="2168"/>
      <c r="BB1204" s="2168"/>
      <c r="BC1204" s="2168"/>
      <c r="BD1204" s="2168"/>
      <c r="BE1204" s="2168"/>
      <c r="BF1204" s="2168"/>
      <c r="BG1204" s="2168"/>
      <c r="BH1204" s="2167"/>
    </row>
    <row r="1205" spans="1:60" ht="11.25" customHeight="1">
      <c r="A1205" s="1"/>
      <c r="B1205" s="1"/>
      <c r="C1205" s="1"/>
      <c r="D1205" s="2239" t="s">
        <v>3751</v>
      </c>
      <c r="E1205" s="346"/>
      <c r="F1205" s="346"/>
      <c r="G1205" s="346"/>
      <c r="H1205" s="346"/>
      <c r="I1205" s="346"/>
      <c r="J1205" s="346"/>
      <c r="K1205" s="346"/>
      <c r="L1205" s="346"/>
      <c r="M1205" s="346"/>
      <c r="N1205" s="346"/>
      <c r="O1205" s="346"/>
      <c r="P1205" s="346"/>
      <c r="Q1205" s="346"/>
      <c r="R1205" s="346"/>
      <c r="S1205" s="346"/>
      <c r="T1205" s="346"/>
      <c r="U1205" s="346"/>
      <c r="V1205" s="126"/>
      <c r="W1205" s="1627"/>
      <c r="X1205" s="1627"/>
      <c r="Y1205" s="1628"/>
      <c r="Z1205" s="1628"/>
      <c r="AA1205" s="1628"/>
      <c r="AB1205" s="1628"/>
      <c r="AC1205" s="1628"/>
      <c r="AD1205" s="1628"/>
      <c r="AE1205" s="1628"/>
      <c r="AF1205" s="1628"/>
      <c r="AG1205" s="1628"/>
      <c r="AH1205" s="1628"/>
      <c r="AI1205" s="1628"/>
      <c r="AJ1205" s="1900">
        <v>35.981844029999998</v>
      </c>
      <c r="AK1205" s="1900">
        <v>35.981844030639998</v>
      </c>
      <c r="AL1205" s="1900">
        <v>35.981844030639998</v>
      </c>
      <c r="AM1205" s="1900">
        <v>35.981844030639998</v>
      </c>
      <c r="AN1205" s="1900">
        <v>35.981844030639998</v>
      </c>
      <c r="AO1205" s="1900">
        <v>35.981844030639998</v>
      </c>
      <c r="AP1205" s="1900"/>
      <c r="AQ1205" s="1900"/>
      <c r="AR1205" s="1900"/>
      <c r="AS1205" s="1900"/>
      <c r="AT1205" s="1900"/>
      <c r="AV1205" s="2168"/>
      <c r="AW1205" s="2168"/>
      <c r="AX1205" s="2168"/>
      <c r="AY1205" s="2168"/>
      <c r="AZ1205" s="2168"/>
      <c r="BA1205" s="2168"/>
      <c r="BB1205" s="2168"/>
      <c r="BC1205" s="2168"/>
      <c r="BD1205" s="2168"/>
      <c r="BE1205" s="2168"/>
      <c r="BF1205" s="2168"/>
      <c r="BG1205" s="2168"/>
      <c r="BH1205" s="2167"/>
    </row>
    <row r="1206" spans="1:60" ht="11.25" customHeight="1">
      <c r="A1206" s="1"/>
      <c r="B1206" s="1"/>
      <c r="C1206" s="1"/>
      <c r="D1206" s="2239" t="s">
        <v>3750</v>
      </c>
      <c r="E1206" s="346"/>
      <c r="F1206" s="346"/>
      <c r="G1206" s="346"/>
      <c r="H1206" s="346"/>
      <c r="I1206" s="346"/>
      <c r="J1206" s="346"/>
      <c r="K1206" s="346"/>
      <c r="L1206" s="346"/>
      <c r="M1206" s="346"/>
      <c r="N1206" s="346"/>
      <c r="O1206" s="346"/>
      <c r="P1206" s="346"/>
      <c r="Q1206" s="346"/>
      <c r="R1206" s="346"/>
      <c r="S1206" s="346"/>
      <c r="T1206" s="346"/>
      <c r="U1206" s="346"/>
      <c r="V1206" s="126"/>
      <c r="W1206" s="1627"/>
      <c r="X1206" s="1627"/>
      <c r="Y1206" s="1628"/>
      <c r="Z1206" s="1628"/>
      <c r="AA1206" s="1628"/>
      <c r="AB1206" s="1628"/>
      <c r="AC1206" s="1628"/>
      <c r="AD1206" s="1628"/>
      <c r="AE1206" s="1628"/>
      <c r="AF1206" s="1628"/>
      <c r="AG1206" s="1628"/>
      <c r="AH1206" s="1628"/>
      <c r="AI1206" s="1628"/>
      <c r="AJ1206" s="1900">
        <f>+(AJ647*AJ253/1000)-(AJ642*AJ253/1000)</f>
        <v>0</v>
      </c>
      <c r="AK1206" s="1900">
        <f>+(AK647*AK253/1000)-(AK642*AK253/1000)*0</f>
        <v>663.42188765794174</v>
      </c>
      <c r="AL1206" s="1900">
        <f>+(AL647*AL253/1000)-(AL642*AL253/1000)*0</f>
        <v>546.92251231172099</v>
      </c>
      <c r="AM1206" s="1900">
        <f>+(AM647*AM253/1000)-(AM642*AM253/1000)*0</f>
        <v>72.216594882807243</v>
      </c>
      <c r="AN1206" s="1900">
        <f>+(AN647*AN253/1000)-(AN642*AN253/1000)*0</f>
        <v>27.004126464935069</v>
      </c>
      <c r="AO1206" s="1900">
        <f>+(AO647*AO253/1000)-(AN642*AO253/1000)*0</f>
        <v>0</v>
      </c>
      <c r="AP1206" s="1900"/>
      <c r="AQ1206" s="1900"/>
      <c r="AR1206" s="1900"/>
      <c r="AS1206" s="1900"/>
      <c r="AT1206" s="1900"/>
      <c r="AV1206" s="2168"/>
      <c r="AW1206" s="2168"/>
      <c r="AX1206" s="2168"/>
      <c r="AY1206" s="2168"/>
      <c r="AZ1206" s="2168"/>
      <c r="BA1206" s="2168"/>
      <c r="BB1206" s="2168"/>
      <c r="BC1206" s="2168"/>
      <c r="BD1206" s="2168"/>
      <c r="BE1206" s="2168"/>
      <c r="BF1206" s="2168"/>
      <c r="BG1206" s="2168"/>
      <c r="BH1206" s="2167"/>
    </row>
    <row r="1207" spans="1:60" ht="11.25" customHeight="1">
      <c r="A1207" s="1"/>
      <c r="B1207" s="1"/>
      <c r="C1207" s="1"/>
      <c r="D1207" s="1681" t="s">
        <v>3255</v>
      </c>
      <c r="E1207" s="346"/>
      <c r="F1207" s="346"/>
      <c r="G1207" s="346"/>
      <c r="H1207" s="346"/>
      <c r="I1207" s="346"/>
      <c r="J1207" s="346"/>
      <c r="K1207" s="346"/>
      <c r="L1207" s="346"/>
      <c r="M1207" s="346"/>
      <c r="N1207" s="346"/>
      <c r="O1207" s="346"/>
      <c r="P1207" s="346"/>
      <c r="Q1207" s="346"/>
      <c r="R1207" s="346"/>
      <c r="S1207" s="346"/>
      <c r="T1207" s="346"/>
      <c r="U1207" s="346"/>
      <c r="V1207" s="126"/>
      <c r="W1207" s="1627"/>
      <c r="X1207" s="1627"/>
      <c r="Y1207" s="1628"/>
      <c r="Z1207" s="1628"/>
      <c r="AA1207" s="1628"/>
      <c r="AB1207" s="1628"/>
      <c r="AC1207" s="1628"/>
      <c r="AD1207" s="1628"/>
      <c r="AE1207" s="1628"/>
      <c r="AF1207" s="1628">
        <f>FISCinyear!IM886</f>
        <v>0</v>
      </c>
      <c r="AG1207" s="1628">
        <f>FISCinyear!IP886</f>
        <v>34.805499181999998</v>
      </c>
      <c r="AH1207" s="1628">
        <f>FISCinyear!IS886</f>
        <v>21.667010622999999</v>
      </c>
      <c r="AI1207" s="1628">
        <f>FISCinyear!IV886</f>
        <v>1.838802067</v>
      </c>
      <c r="AJ1207" s="1627">
        <v>0</v>
      </c>
      <c r="AK1207" s="1627">
        <v>0</v>
      </c>
      <c r="AL1207" s="1627">
        <v>0</v>
      </c>
      <c r="AM1207" s="1627">
        <v>0</v>
      </c>
      <c r="AN1207" s="1627">
        <v>0</v>
      </c>
      <c r="AO1207" s="1627">
        <v>0</v>
      </c>
      <c r="AP1207" s="1627">
        <v>0</v>
      </c>
      <c r="AQ1207" s="1627">
        <v>0</v>
      </c>
      <c r="AR1207" s="1627">
        <v>0</v>
      </c>
      <c r="AS1207" s="1627">
        <v>0</v>
      </c>
      <c r="AT1207" s="1627">
        <v>0</v>
      </c>
      <c r="AV1207" s="2168"/>
      <c r="AW1207" s="2168"/>
      <c r="AX1207" s="2168"/>
      <c r="AY1207" s="2168"/>
      <c r="AZ1207" s="2168"/>
      <c r="BA1207" s="2168"/>
      <c r="BB1207" s="2168"/>
      <c r="BC1207" s="2168"/>
      <c r="BD1207" s="2168"/>
      <c r="BE1207" s="2168"/>
      <c r="BF1207" s="2168"/>
      <c r="BG1207" s="2168"/>
      <c r="BH1207" s="2167"/>
    </row>
    <row r="1208" spans="1:60" ht="11.25" customHeight="1">
      <c r="A1208" s="1"/>
      <c r="B1208" s="1"/>
      <c r="C1208" s="1"/>
      <c r="D1208" s="382" t="s">
        <v>3134</v>
      </c>
      <c r="E1208" s="346"/>
      <c r="F1208" s="346"/>
      <c r="G1208" s="346"/>
      <c r="H1208" s="346"/>
      <c r="I1208" s="346"/>
      <c r="J1208" s="346"/>
      <c r="K1208" s="346"/>
      <c r="L1208" s="346"/>
      <c r="M1208" s="346"/>
      <c r="N1208" s="346"/>
      <c r="O1208" s="346"/>
      <c r="P1208" s="346"/>
      <c r="Q1208" s="346"/>
      <c r="R1208" s="346"/>
      <c r="S1208" s="346"/>
      <c r="T1208" s="346"/>
      <c r="U1208" s="346"/>
      <c r="V1208" s="126"/>
      <c r="W1208" s="1627"/>
      <c r="X1208" s="1627"/>
      <c r="Y1208" s="1628">
        <v>0</v>
      </c>
      <c r="Z1208" s="1628">
        <v>0</v>
      </c>
      <c r="AA1208" s="1628">
        <v>0</v>
      </c>
      <c r="AB1208" s="1628">
        <v>0</v>
      </c>
      <c r="AC1208" s="1628">
        <v>0</v>
      </c>
      <c r="AD1208" s="1628">
        <v>0</v>
      </c>
      <c r="AE1208" s="1628">
        <v>0</v>
      </c>
      <c r="AF1208" s="1628">
        <f>FISCinyear!IM887</f>
        <v>0</v>
      </c>
      <c r="AG1208" s="1628">
        <v>2</v>
      </c>
      <c r="AH1208" s="1628">
        <f>FISCinyear!IS887</f>
        <v>0</v>
      </c>
      <c r="AI1208" s="1628">
        <f>FISCinyear!IV887</f>
        <v>0</v>
      </c>
      <c r="AJ1208" s="1627">
        <v>0</v>
      </c>
      <c r="AK1208" s="1627">
        <v>0</v>
      </c>
      <c r="AL1208" s="1627">
        <v>0</v>
      </c>
      <c r="AM1208" s="1627">
        <v>0</v>
      </c>
      <c r="AN1208" s="1627">
        <v>0</v>
      </c>
      <c r="AO1208" s="1627">
        <v>0</v>
      </c>
      <c r="AP1208" s="1627">
        <v>0</v>
      </c>
      <c r="AQ1208" s="1627">
        <v>0</v>
      </c>
      <c r="AR1208" s="1627">
        <v>0</v>
      </c>
      <c r="AS1208" s="1627">
        <v>0</v>
      </c>
      <c r="AT1208" s="1627">
        <v>0</v>
      </c>
      <c r="AV1208" s="2168"/>
      <c r="AW1208" s="2168"/>
      <c r="AX1208" s="2168"/>
      <c r="AY1208" s="2168"/>
      <c r="AZ1208" s="2168"/>
      <c r="BA1208" s="2168"/>
      <c r="BB1208" s="2168"/>
      <c r="BC1208" s="2168"/>
      <c r="BD1208" s="2168"/>
      <c r="BE1208" s="2168"/>
      <c r="BF1208" s="2168"/>
      <c r="BG1208" s="2168"/>
      <c r="BH1208" s="2167"/>
    </row>
    <row r="1209" spans="1:60" ht="11.25" customHeight="1">
      <c r="A1209" s="1"/>
      <c r="B1209" s="1"/>
      <c r="C1209" s="1"/>
      <c r="D1209" s="382" t="s">
        <v>3135</v>
      </c>
      <c r="E1209" s="346"/>
      <c r="F1209" s="346"/>
      <c r="G1209" s="346"/>
      <c r="H1209" s="346"/>
      <c r="I1209" s="346"/>
      <c r="J1209" s="346"/>
      <c r="K1209" s="346"/>
      <c r="L1209" s="346"/>
      <c r="M1209" s="346"/>
      <c r="N1209" s="346"/>
      <c r="O1209" s="346"/>
      <c r="P1209" s="346"/>
      <c r="Q1209" s="346"/>
      <c r="R1209" s="346"/>
      <c r="S1209" s="346"/>
      <c r="T1209" s="346"/>
      <c r="U1209" s="346"/>
      <c r="V1209" s="126"/>
      <c r="W1209" s="1627"/>
      <c r="X1209" s="1627"/>
      <c r="Y1209" s="1628">
        <v>0</v>
      </c>
      <c r="Z1209" s="1628">
        <v>0</v>
      </c>
      <c r="AA1209" s="1628">
        <v>0</v>
      </c>
      <c r="AB1209" s="1628">
        <v>0</v>
      </c>
      <c r="AC1209" s="1628">
        <v>0</v>
      </c>
      <c r="AD1209" s="1628">
        <v>0</v>
      </c>
      <c r="AE1209" s="1628">
        <v>0</v>
      </c>
      <c r="AF1209" s="1628">
        <f>FISCinyear!IM888</f>
        <v>0</v>
      </c>
      <c r="AG1209" s="1628">
        <f>FISCinyear!IP888</f>
        <v>0</v>
      </c>
      <c r="AH1209" s="1628">
        <f>FISCinyear!IS888</f>
        <v>0</v>
      </c>
      <c r="AI1209" s="1628">
        <f>FISCinyear!IV888</f>
        <v>0</v>
      </c>
      <c r="AJ1209" s="1627">
        <v>0</v>
      </c>
      <c r="AK1209" s="1627">
        <v>0</v>
      </c>
      <c r="AL1209" s="1627">
        <v>0</v>
      </c>
      <c r="AM1209" s="1627">
        <v>0</v>
      </c>
      <c r="AN1209" s="1627">
        <v>0</v>
      </c>
      <c r="AO1209" s="1627">
        <v>0</v>
      </c>
      <c r="AP1209" s="1627">
        <v>0</v>
      </c>
      <c r="AQ1209" s="1627">
        <v>0</v>
      </c>
      <c r="AR1209" s="1627">
        <v>0</v>
      </c>
      <c r="AS1209" s="1627">
        <v>0</v>
      </c>
      <c r="AT1209" s="1627">
        <v>0</v>
      </c>
      <c r="AV1209" s="2168"/>
      <c r="AW1209" s="2168"/>
      <c r="AX1209" s="2168"/>
      <c r="AY1209" s="2168"/>
      <c r="AZ1209" s="2168"/>
      <c r="BA1209" s="2168"/>
      <c r="BB1209" s="2168"/>
      <c r="BC1209" s="2168"/>
      <c r="BD1209" s="2168"/>
      <c r="BE1209" s="2168"/>
      <c r="BF1209" s="2168"/>
      <c r="BG1209" s="2168"/>
      <c r="BH1209" s="2167"/>
    </row>
    <row r="1210" spans="1:60" ht="11.25" customHeight="1">
      <c r="A1210" s="1"/>
      <c r="B1210" s="1"/>
      <c r="C1210" s="1"/>
      <c r="D1210" s="382" t="s">
        <v>3136</v>
      </c>
      <c r="E1210" s="346"/>
      <c r="F1210" s="346"/>
      <c r="G1210" s="346"/>
      <c r="H1210" s="346"/>
      <c r="I1210" s="346"/>
      <c r="J1210" s="346"/>
      <c r="K1210" s="346"/>
      <c r="L1210" s="346"/>
      <c r="M1210" s="346"/>
      <c r="N1210" s="346"/>
      <c r="O1210" s="346"/>
      <c r="P1210" s="346"/>
      <c r="Q1210" s="346"/>
      <c r="R1210" s="346"/>
      <c r="S1210" s="346"/>
      <c r="T1210" s="346"/>
      <c r="U1210" s="346"/>
      <c r="V1210" s="126"/>
      <c r="W1210" s="1627"/>
      <c r="X1210" s="1627"/>
      <c r="Y1210" s="1628">
        <v>0</v>
      </c>
      <c r="Z1210" s="1628">
        <v>0</v>
      </c>
      <c r="AA1210" s="1628">
        <v>0</v>
      </c>
      <c r="AB1210" s="1628">
        <v>0</v>
      </c>
      <c r="AC1210" s="1628">
        <v>0</v>
      </c>
      <c r="AD1210" s="1628">
        <v>0</v>
      </c>
      <c r="AE1210" s="1628">
        <v>0</v>
      </c>
      <c r="AF1210" s="1628">
        <f>FISCinyear!IM889</f>
        <v>0</v>
      </c>
      <c r="AG1210" s="1628">
        <f>FISCinyear!IP889</f>
        <v>0</v>
      </c>
      <c r="AH1210" s="1628">
        <f>FISCinyear!IS889</f>
        <v>0</v>
      </c>
      <c r="AI1210" s="1628">
        <f>FISCinyear!IV889</f>
        <v>0</v>
      </c>
      <c r="AJ1210" s="1627">
        <v>0</v>
      </c>
      <c r="AK1210" s="1627">
        <v>0</v>
      </c>
      <c r="AL1210" s="1627">
        <v>0</v>
      </c>
      <c r="AM1210" s="1627">
        <v>0</v>
      </c>
      <c r="AN1210" s="1627">
        <v>0</v>
      </c>
      <c r="AO1210" s="1627">
        <v>0</v>
      </c>
      <c r="AP1210" s="1627">
        <v>0</v>
      </c>
      <c r="AQ1210" s="1627">
        <v>0</v>
      </c>
      <c r="AR1210" s="1627">
        <v>0</v>
      </c>
      <c r="AS1210" s="1627">
        <v>0</v>
      </c>
      <c r="AT1210" s="1627">
        <v>0</v>
      </c>
      <c r="AV1210" s="2168"/>
      <c r="AW1210" s="2168"/>
      <c r="AX1210" s="2168"/>
      <c r="AY1210" s="2168"/>
      <c r="AZ1210" s="2168"/>
      <c r="BA1210" s="2168"/>
      <c r="BB1210" s="2168"/>
      <c r="BC1210" s="2168"/>
      <c r="BD1210" s="2168"/>
      <c r="BE1210" s="2168"/>
      <c r="BF1210" s="2168"/>
      <c r="BG1210" s="2168"/>
      <c r="BH1210" s="2167"/>
    </row>
    <row r="1211" spans="1:60">
      <c r="A1211" s="1"/>
      <c r="B1211" s="1"/>
      <c r="C1211" s="1"/>
      <c r="D1211" s="381" t="str">
        <f>+FISCinyear!D890</f>
        <v xml:space="preserve">Foreign </v>
      </c>
      <c r="E1211" s="346"/>
      <c r="F1211" s="346"/>
      <c r="G1211" s="346"/>
      <c r="H1211" s="346"/>
      <c r="I1211" s="346"/>
      <c r="J1211" s="346"/>
      <c r="K1211" s="346"/>
      <c r="L1211" s="346"/>
      <c r="M1211" s="346"/>
      <c r="N1211" s="346"/>
      <c r="O1211" s="346"/>
      <c r="P1211" s="346"/>
      <c r="Q1211" s="346"/>
      <c r="R1211" s="346"/>
      <c r="S1211" s="346"/>
      <c r="T1211" s="346"/>
      <c r="U1211" s="346"/>
      <c r="V1211" s="399"/>
      <c r="W1211" s="1624"/>
      <c r="X1211" s="1624"/>
      <c r="Y1211" s="1625">
        <f>FISCinyear!HR890</f>
        <v>0</v>
      </c>
      <c r="Z1211" s="1625">
        <f>FISCinyear!HU890</f>
        <v>0</v>
      </c>
      <c r="AA1211" s="1625">
        <f>FISCinyear!HX890</f>
        <v>0</v>
      </c>
      <c r="AB1211" s="1625">
        <f>FISCinyear!IA890</f>
        <v>0</v>
      </c>
      <c r="AC1211" s="1625">
        <f>FISCinyear!ID890</f>
        <v>0</v>
      </c>
      <c r="AD1211" s="1625">
        <f>FISCinyear!IG890</f>
        <v>0</v>
      </c>
      <c r="AE1211" s="1625">
        <f>FISCinyear!IJ890</f>
        <v>0</v>
      </c>
      <c r="AF1211" s="1625">
        <f>FISCinyear!IM890</f>
        <v>0</v>
      </c>
      <c r="AG1211" s="1625">
        <f>FISCinyear!IP890</f>
        <v>153.84836347500001</v>
      </c>
      <c r="AH1211" s="1625">
        <f>FISCinyear!IS890</f>
        <v>-68.114324774020005</v>
      </c>
      <c r="AI1211" s="1625">
        <f>FISCinyear!IV890</f>
        <v>0</v>
      </c>
      <c r="AJ1211" s="1624">
        <v>0</v>
      </c>
      <c r="AK1211" s="1624">
        <v>0</v>
      </c>
      <c r="AL1211" s="1624">
        <v>0</v>
      </c>
      <c r="AM1211" s="1624">
        <v>0</v>
      </c>
      <c r="AN1211" s="1624">
        <v>0</v>
      </c>
      <c r="AO1211" s="1624">
        <v>0</v>
      </c>
      <c r="AP1211" s="1624">
        <v>0</v>
      </c>
      <c r="AQ1211" s="1624">
        <v>0</v>
      </c>
      <c r="AR1211" s="1624">
        <v>0</v>
      </c>
      <c r="AS1211" s="1624">
        <v>0</v>
      </c>
      <c r="AT1211" s="1624">
        <v>0</v>
      </c>
      <c r="AV1211" s="2168"/>
      <c r="AW1211" s="2168"/>
      <c r="AX1211" s="2168"/>
      <c r="AY1211" s="2168"/>
      <c r="AZ1211" s="2168"/>
      <c r="BA1211" s="2168"/>
      <c r="BB1211" s="2168"/>
      <c r="BC1211" s="2168"/>
      <c r="BD1211" s="2168"/>
      <c r="BE1211" s="2168"/>
      <c r="BF1211" s="2168"/>
      <c r="BG1211" s="2168"/>
      <c r="BH1211" s="2167"/>
    </row>
    <row r="1212" spans="1:60">
      <c r="A1212" s="1"/>
      <c r="B1212" s="1"/>
      <c r="C1212" s="1"/>
      <c r="D1212" s="1793" t="s">
        <v>3290</v>
      </c>
      <c r="E1212" s="346"/>
      <c r="F1212" s="346"/>
      <c r="G1212" s="346"/>
      <c r="H1212" s="346"/>
      <c r="I1212" s="346"/>
      <c r="J1212" s="346"/>
      <c r="K1212" s="346"/>
      <c r="L1212" s="346"/>
      <c r="M1212" s="346"/>
      <c r="N1212" s="346"/>
      <c r="O1212" s="346"/>
      <c r="P1212" s="346"/>
      <c r="Q1212" s="346"/>
      <c r="R1212" s="346"/>
      <c r="S1212" s="346"/>
      <c r="T1212" s="346"/>
      <c r="U1212" s="346"/>
      <c r="V1212" s="399"/>
      <c r="W1212" s="1624"/>
      <c r="X1212" s="1624"/>
      <c r="Y1212" s="1625"/>
      <c r="Z1212" s="1625"/>
      <c r="AA1212" s="1625"/>
      <c r="AB1212" s="1625"/>
      <c r="AC1212" s="1625"/>
      <c r="AD1212" s="1625"/>
      <c r="AE1212" s="1625"/>
      <c r="AF1212" s="1625"/>
      <c r="AG1212" s="1625">
        <f>FISCinyear!IP891</f>
        <v>0</v>
      </c>
      <c r="AH1212" s="1625">
        <f>FISCinyear!IS891</f>
        <v>-68.114324774020005</v>
      </c>
      <c r="AI1212" s="1625">
        <f>FISCinyear!IV891</f>
        <v>0</v>
      </c>
      <c r="AJ1212" s="1624"/>
      <c r="AK1212" s="1624"/>
      <c r="AL1212" s="1624"/>
      <c r="AM1212" s="1624"/>
      <c r="AN1212" s="1624"/>
      <c r="AO1212" s="1624"/>
      <c r="AP1212" s="1624"/>
      <c r="AQ1212" s="1624"/>
      <c r="AR1212" s="1624"/>
      <c r="AS1212" s="1624"/>
      <c r="AT1212" s="1624"/>
      <c r="AV1212" s="2168"/>
      <c r="AW1212" s="2168"/>
      <c r="AX1212" s="2168"/>
      <c r="AY1212" s="2168"/>
      <c r="AZ1212" s="2168"/>
      <c r="BA1212" s="2168"/>
      <c r="BB1212" s="2168"/>
      <c r="BC1212" s="2168"/>
      <c r="BD1212" s="2168"/>
      <c r="BE1212" s="2168"/>
      <c r="BF1212" s="2168"/>
      <c r="BG1212" s="2168"/>
      <c r="BH1212" s="2167"/>
    </row>
    <row r="1213" spans="1:60">
      <c r="A1213" s="1"/>
      <c r="B1213" s="1"/>
      <c r="C1213" s="1"/>
      <c r="D1213" s="379" t="str">
        <f>+FISCinyear!D892</f>
        <v>Net incurrence of liabilities</v>
      </c>
      <c r="E1213" s="346"/>
      <c r="F1213" s="346"/>
      <c r="G1213" s="346"/>
      <c r="H1213" s="346"/>
      <c r="I1213" s="346"/>
      <c r="J1213" s="346"/>
      <c r="K1213" s="346"/>
      <c r="L1213" s="346"/>
      <c r="M1213" s="346"/>
      <c r="N1213" s="346"/>
      <c r="O1213" s="346"/>
      <c r="P1213" s="346"/>
      <c r="Q1213" s="346"/>
      <c r="R1213" s="346"/>
      <c r="S1213" s="346"/>
      <c r="T1213" s="346"/>
      <c r="U1213" s="346"/>
      <c r="V1213" s="399"/>
      <c r="W1213" s="1624">
        <f>+W1214+W1239</f>
        <v>44.899999999999991</v>
      </c>
      <c r="X1213" s="1624">
        <f>+X1214+X1239</f>
        <v>-215.32156360241689</v>
      </c>
      <c r="Y1213" s="1625">
        <f>FISCinyear!HR892</f>
        <v>129.81269811865718</v>
      </c>
      <c r="Z1213" s="1625">
        <f>FISCinyear!HU892</f>
        <v>280.45901483237139</v>
      </c>
      <c r="AA1213" s="1625">
        <f>FISCinyear!HX892</f>
        <v>319.24217878668935</v>
      </c>
      <c r="AB1213" s="1625">
        <f>FISCinyear!IA892</f>
        <v>362.2904834733713</v>
      </c>
      <c r="AC1213" s="1625">
        <f>FISCinyear!ID892</f>
        <v>448.29536942264849</v>
      </c>
      <c r="AD1213" s="1625">
        <f>FISCinyear!IG892</f>
        <v>556.25291535625433</v>
      </c>
      <c r="AE1213" s="1625">
        <f>FISCinyear!IJ892</f>
        <v>1159.9910756300992</v>
      </c>
      <c r="AF1213" s="1625">
        <f>FISCinyear!IM892</f>
        <v>910.73834533448655</v>
      </c>
      <c r="AG1213" s="1625">
        <f>FISCinyear!IP892</f>
        <v>1252.239191303966</v>
      </c>
      <c r="AH1213" s="1625">
        <f>FISCinyear!IS892</f>
        <v>950.83591187057448</v>
      </c>
      <c r="AI1213" s="1625">
        <f>FISCinyear!IV892</f>
        <v>1281.5282433489474</v>
      </c>
      <c r="AJ1213" s="1624">
        <f t="shared" ref="AJ1213:AT1213" si="1463">-AJ1150+AJ1173</f>
        <v>1263.5305597512036</v>
      </c>
      <c r="AK1213" s="1624">
        <f t="shared" si="1463"/>
        <v>1781.4464384250264</v>
      </c>
      <c r="AL1213" s="1624">
        <f t="shared" si="1463"/>
        <v>1516.9059256086439</v>
      </c>
      <c r="AM1213" s="1624">
        <f t="shared" si="1463"/>
        <v>1165.755892558298</v>
      </c>
      <c r="AN1213" s="1624">
        <f t="shared" si="1463"/>
        <v>1146.5080924573695</v>
      </c>
      <c r="AO1213" s="1624">
        <f t="shared" si="1463"/>
        <v>1283.8743420688768</v>
      </c>
      <c r="AP1213" s="1624">
        <f t="shared" si="1463"/>
        <v>1370.1518744128027</v>
      </c>
      <c r="AQ1213" s="1624">
        <f t="shared" si="1463"/>
        <v>1329.121343235299</v>
      </c>
      <c r="AR1213" s="1624">
        <f t="shared" si="1463"/>
        <v>1556.9154300347259</v>
      </c>
      <c r="AS1213" s="1624">
        <f t="shared" si="1463"/>
        <v>14645.753504005506</v>
      </c>
      <c r="AT1213" s="1624">
        <f t="shared" si="1463"/>
        <v>34977.976998275481</v>
      </c>
      <c r="AV1213" s="2168"/>
      <c r="AW1213" s="2168"/>
      <c r="AX1213" s="2168"/>
      <c r="AY1213" s="2168"/>
      <c r="AZ1213" s="2168"/>
      <c r="BA1213" s="2168"/>
      <c r="BB1213" s="2168"/>
      <c r="BC1213" s="2168"/>
      <c r="BD1213" s="2168"/>
      <c r="BE1213" s="2168"/>
      <c r="BF1213" s="2168"/>
      <c r="BG1213" s="2168"/>
      <c r="BH1213" s="2167"/>
    </row>
    <row r="1214" spans="1:60">
      <c r="A1214" s="1"/>
      <c r="B1214" s="1"/>
      <c r="C1214" s="1"/>
      <c r="D1214" s="381" t="str">
        <f>+FISCinyear!D893</f>
        <v xml:space="preserve">Domestic </v>
      </c>
      <c r="E1214" s="346"/>
      <c r="F1214" s="346"/>
      <c r="G1214" s="346"/>
      <c r="H1214" s="346"/>
      <c r="I1214" s="346"/>
      <c r="J1214" s="346"/>
      <c r="K1214" s="346"/>
      <c r="L1214" s="346"/>
      <c r="M1214" s="346"/>
      <c r="N1214" s="346"/>
      <c r="O1214" s="346"/>
      <c r="P1214" s="346"/>
      <c r="Q1214" s="346"/>
      <c r="R1214" s="346"/>
      <c r="S1214" s="346"/>
      <c r="T1214" s="346"/>
      <c r="U1214" s="346"/>
      <c r="V1214" s="1599"/>
      <c r="W1214" s="1629">
        <f>+W1216+W1219+W1230+W1238</f>
        <v>-50.100000000000009</v>
      </c>
      <c r="X1214" s="1629">
        <f>+X1216+X1219+X1230+X1238</f>
        <v>-216.02156360241688</v>
      </c>
      <c r="Y1214" s="1625">
        <f>FISCinyear!HR893</f>
        <v>24.655782745918764</v>
      </c>
      <c r="Z1214" s="1625">
        <f>FISCinyear!HU893</f>
        <v>92.272436026139232</v>
      </c>
      <c r="AA1214" s="1625">
        <f>FISCinyear!HX893</f>
        <v>94.834051126999995</v>
      </c>
      <c r="AB1214" s="1625">
        <f>FISCinyear!IA893</f>
        <v>39.301549082000022</v>
      </c>
      <c r="AC1214" s="1625">
        <f>FISCinyear!ID893</f>
        <v>92.266238545422084</v>
      </c>
      <c r="AD1214" s="1625">
        <f>FISCinyear!IG893</f>
        <v>107.94094871251076</v>
      </c>
      <c r="AE1214" s="1625">
        <f>FISCinyear!IJ893</f>
        <v>205.97138405200027</v>
      </c>
      <c r="AF1214" s="1625">
        <f>FISCinyear!IM893</f>
        <v>253.46590520499987</v>
      </c>
      <c r="AG1214" s="1625">
        <f>FISCinyear!IP893</f>
        <v>220.58644761457262</v>
      </c>
      <c r="AH1214" s="1625">
        <f>FISCinyear!IS893</f>
        <v>142.32728891000002</v>
      </c>
      <c r="AI1214" s="1625">
        <f>FISCinyear!IV893</f>
        <v>-25.685910036448661</v>
      </c>
      <c r="AJ1214" s="1629">
        <f t="shared" ref="AJ1214:AM1214" si="1464">AJ1213-AJ1239</f>
        <v>-21.092943713551676</v>
      </c>
      <c r="AK1214" s="1629">
        <f t="shared" si="1464"/>
        <v>-30.340973980754143</v>
      </c>
      <c r="AL1214" s="1629">
        <f t="shared" si="1464"/>
        <v>-115.75986726375913</v>
      </c>
      <c r="AM1214" s="1629">
        <f t="shared" si="1464"/>
        <v>185.71890329026223</v>
      </c>
      <c r="AN1214" s="1629">
        <f t="shared" ref="AN1214:AT1214" si="1465">AN1213-AN1239</f>
        <v>374.81497734589118</v>
      </c>
      <c r="AO1214" s="1629">
        <f t="shared" si="1465"/>
        <v>951.38051466931415</v>
      </c>
      <c r="AP1214" s="1629">
        <f t="shared" si="1465"/>
        <v>843.26235572538144</v>
      </c>
      <c r="AQ1214" s="1629">
        <f t="shared" si="1465"/>
        <v>2833.0017808415541</v>
      </c>
      <c r="AR1214" s="1629">
        <f t="shared" si="1465"/>
        <v>2110.661430808449</v>
      </c>
      <c r="AS1214" s="1629">
        <f t="shared" si="1465"/>
        <v>15368.778863819412</v>
      </c>
      <c r="AT1214" s="1629">
        <f t="shared" si="1465"/>
        <v>35732.948722221845</v>
      </c>
      <c r="AV1214" s="2168"/>
      <c r="AW1214" s="2168"/>
      <c r="AX1214" s="2168"/>
      <c r="AY1214" s="2168"/>
      <c r="AZ1214" s="2168"/>
      <c r="BA1214" s="2168"/>
      <c r="BB1214" s="2168"/>
      <c r="BC1214" s="2168"/>
      <c r="BD1214" s="2168"/>
      <c r="BE1214" s="2168"/>
      <c r="BF1214" s="2168"/>
      <c r="BG1214" s="2168"/>
      <c r="BH1214" s="2167"/>
    </row>
    <row r="1215" spans="1:60">
      <c r="A1215" s="1"/>
      <c r="B1215" s="1"/>
      <c r="C1215" s="1"/>
      <c r="D1215" s="1793" t="s">
        <v>3290</v>
      </c>
      <c r="E1215" s="346"/>
      <c r="F1215" s="346"/>
      <c r="G1215" s="346"/>
      <c r="H1215" s="346"/>
      <c r="I1215" s="346"/>
      <c r="J1215" s="346"/>
      <c r="K1215" s="346"/>
      <c r="L1215" s="346"/>
      <c r="M1215" s="346"/>
      <c r="N1215" s="346"/>
      <c r="O1215" s="346"/>
      <c r="P1215" s="346"/>
      <c r="Q1215" s="346"/>
      <c r="R1215" s="346"/>
      <c r="S1215" s="346"/>
      <c r="T1215" s="346"/>
      <c r="U1215" s="346"/>
      <c r="V1215" s="1599"/>
      <c r="W1215" s="1629"/>
      <c r="X1215" s="1629"/>
      <c r="Y1215" s="1625"/>
      <c r="Z1215" s="1625"/>
      <c r="AA1215" s="1625"/>
      <c r="AB1215" s="1625"/>
      <c r="AC1215" s="1625"/>
      <c r="AD1215" s="1625"/>
      <c r="AE1215" s="1625"/>
      <c r="AF1215" s="1625">
        <v>0</v>
      </c>
      <c r="AG1215" s="1625">
        <f>FISCinyear!IP894</f>
        <v>0</v>
      </c>
      <c r="AH1215" s="1625">
        <f>FISCinyear!IS894</f>
        <v>0</v>
      </c>
      <c r="AI1215" s="1625">
        <f>FISCinyear!IV894</f>
        <v>0</v>
      </c>
      <c r="AJ1215" s="1625">
        <v>0</v>
      </c>
      <c r="AK1215" s="1625">
        <v>0</v>
      </c>
      <c r="AL1215" s="1625">
        <v>0</v>
      </c>
      <c r="AM1215" s="1625">
        <v>0</v>
      </c>
      <c r="AN1215" s="1625">
        <v>0</v>
      </c>
      <c r="AO1215" s="1625">
        <v>0</v>
      </c>
      <c r="AP1215" s="1625">
        <v>0</v>
      </c>
      <c r="AQ1215" s="1625">
        <v>0</v>
      </c>
      <c r="AR1215" s="1625">
        <v>0</v>
      </c>
      <c r="AS1215" s="1625">
        <v>0</v>
      </c>
      <c r="AT1215" s="1625">
        <v>0</v>
      </c>
      <c r="AV1215" s="2168"/>
      <c r="AW1215" s="2168"/>
      <c r="AX1215" s="2168"/>
      <c r="AY1215" s="2168"/>
      <c r="AZ1215" s="2168"/>
      <c r="BA1215" s="2168"/>
      <c r="BB1215" s="2168"/>
      <c r="BC1215" s="2168"/>
      <c r="BD1215" s="2168"/>
      <c r="BE1215" s="2168"/>
      <c r="BF1215" s="2168"/>
      <c r="BG1215" s="2168"/>
      <c r="BH1215" s="2167"/>
    </row>
    <row r="1216" spans="1:60">
      <c r="A1216" s="1"/>
      <c r="B1216" s="1"/>
      <c r="C1216" s="1"/>
      <c r="D1216" s="382" t="str">
        <f>+FISCinyear!D895</f>
        <v xml:space="preserve">Currency and deposits </v>
      </c>
      <c r="E1216" s="346"/>
      <c r="F1216" s="346"/>
      <c r="G1216" s="346"/>
      <c r="H1216" s="346"/>
      <c r="I1216" s="346"/>
      <c r="J1216" s="346"/>
      <c r="K1216" s="346"/>
      <c r="L1216" s="346"/>
      <c r="M1216" s="346"/>
      <c r="N1216" s="346"/>
      <c r="O1216" s="346"/>
      <c r="P1216" s="346"/>
      <c r="Q1216" s="346"/>
      <c r="R1216" s="346"/>
      <c r="S1216" s="346"/>
      <c r="T1216" s="346"/>
      <c r="U1216" s="346"/>
      <c r="V1216" s="126"/>
      <c r="W1216" s="1627"/>
      <c r="X1216" s="1627"/>
      <c r="Y1216" s="1628">
        <f>FISCinyear!HR895</f>
        <v>0</v>
      </c>
      <c r="Z1216" s="1628">
        <f>FISCinyear!HU895</f>
        <v>0</v>
      </c>
      <c r="AA1216" s="1628">
        <f>FISCinyear!HX895</f>
        <v>0</v>
      </c>
      <c r="AB1216" s="1628">
        <f>FISCinyear!IA895</f>
        <v>0</v>
      </c>
      <c r="AC1216" s="1628">
        <f>FISCinyear!ID895</f>
        <v>0</v>
      </c>
      <c r="AD1216" s="1628">
        <f>FISCinyear!IG895</f>
        <v>0</v>
      </c>
      <c r="AE1216" s="1628">
        <f>FISCinyear!IJ895</f>
        <v>0</v>
      </c>
      <c r="AF1216" s="1628">
        <f>FISCinyear!IM895</f>
        <v>0</v>
      </c>
      <c r="AG1216" s="1628">
        <f>FISCinyear!IP895</f>
        <v>0</v>
      </c>
      <c r="AH1216" s="1628">
        <f>FISCinyear!IS895</f>
        <v>0</v>
      </c>
      <c r="AI1216" s="1628">
        <f>FISCinyear!IV895</f>
        <v>0</v>
      </c>
      <c r="AJ1216" s="1627">
        <f t="shared" ref="AJ1216:AM1218" si="1466">AI1216</f>
        <v>0</v>
      </c>
      <c r="AK1216" s="1627">
        <f t="shared" si="1466"/>
        <v>0</v>
      </c>
      <c r="AL1216" s="1627">
        <f t="shared" si="1466"/>
        <v>0</v>
      </c>
      <c r="AM1216" s="1627">
        <f t="shared" si="1466"/>
        <v>0</v>
      </c>
      <c r="AN1216" s="1627">
        <f t="shared" ref="AN1216:AN1218" si="1467">AM1216</f>
        <v>0</v>
      </c>
      <c r="AO1216" s="1627">
        <f t="shared" ref="AO1216:AO1218" si="1468">AN1216</f>
        <v>0</v>
      </c>
      <c r="AP1216" s="1627">
        <f t="shared" ref="AP1216:AP1218" si="1469">AO1216</f>
        <v>0</v>
      </c>
      <c r="AQ1216" s="1627">
        <f t="shared" ref="AQ1216:AQ1218" si="1470">AP1216</f>
        <v>0</v>
      </c>
      <c r="AR1216" s="1627">
        <f t="shared" ref="AR1216:AR1218" si="1471">AQ1216</f>
        <v>0</v>
      </c>
      <c r="AS1216" s="1627">
        <f t="shared" ref="AS1216:AS1218" si="1472">AR1216</f>
        <v>0</v>
      </c>
      <c r="AT1216" s="1627">
        <f t="shared" ref="AT1216:AT1218" si="1473">AS1216</f>
        <v>0</v>
      </c>
      <c r="AV1216" s="2168"/>
      <c r="AW1216" s="2168"/>
      <c r="AX1216" s="2168"/>
      <c r="AY1216" s="2168"/>
      <c r="AZ1216" s="2168"/>
      <c r="BA1216" s="2168"/>
      <c r="BB1216" s="2168"/>
      <c r="BC1216" s="2168"/>
      <c r="BD1216" s="2168"/>
      <c r="BE1216" s="2168"/>
      <c r="BF1216" s="2168"/>
      <c r="BG1216" s="2168"/>
      <c r="BH1216" s="2167"/>
    </row>
    <row r="1217" spans="1:60">
      <c r="A1217" s="1"/>
      <c r="B1217" s="1"/>
      <c r="C1217" s="1"/>
      <c r="D1217" s="1680" t="s">
        <v>3232</v>
      </c>
      <c r="E1217" s="346"/>
      <c r="F1217" s="346"/>
      <c r="G1217" s="346"/>
      <c r="H1217" s="346"/>
      <c r="I1217" s="346"/>
      <c r="J1217" s="346"/>
      <c r="K1217" s="346"/>
      <c r="L1217" s="346"/>
      <c r="M1217" s="346"/>
      <c r="N1217" s="346"/>
      <c r="O1217" s="346"/>
      <c r="P1217" s="346"/>
      <c r="Q1217" s="346"/>
      <c r="R1217" s="346"/>
      <c r="S1217" s="346"/>
      <c r="T1217" s="346"/>
      <c r="U1217" s="346"/>
      <c r="V1217" s="126"/>
      <c r="W1217" s="1627"/>
      <c r="X1217" s="1627"/>
      <c r="Y1217" s="1628"/>
      <c r="Z1217" s="1628">
        <f>FISCinyear!HU896</f>
        <v>0</v>
      </c>
      <c r="AA1217" s="1628">
        <f>FISCinyear!HX896</f>
        <v>0</v>
      </c>
      <c r="AB1217" s="1628">
        <f>FISCinyear!IA896</f>
        <v>0</v>
      </c>
      <c r="AC1217" s="1628">
        <f>FISCinyear!ID896</f>
        <v>0</v>
      </c>
      <c r="AD1217" s="1628">
        <f>FISCinyear!IG896</f>
        <v>0</v>
      </c>
      <c r="AE1217" s="1628">
        <f>FISCinyear!IJ896</f>
        <v>0</v>
      </c>
      <c r="AF1217" s="1628">
        <f>FISCinyear!IM896</f>
        <v>0</v>
      </c>
      <c r="AG1217" s="1628">
        <f>FISCinyear!IP896</f>
        <v>0</v>
      </c>
      <c r="AH1217" s="1628">
        <f>FISCinyear!IS896</f>
        <v>0</v>
      </c>
      <c r="AI1217" s="1628">
        <f>FISCinyear!IV896</f>
        <v>0</v>
      </c>
      <c r="AJ1217" s="1627">
        <f t="shared" si="1466"/>
        <v>0</v>
      </c>
      <c r="AK1217" s="1627">
        <f t="shared" si="1466"/>
        <v>0</v>
      </c>
      <c r="AL1217" s="1627">
        <f t="shared" si="1466"/>
        <v>0</v>
      </c>
      <c r="AM1217" s="1627">
        <f t="shared" si="1466"/>
        <v>0</v>
      </c>
      <c r="AN1217" s="1627">
        <f t="shared" si="1467"/>
        <v>0</v>
      </c>
      <c r="AO1217" s="1627">
        <f t="shared" si="1468"/>
        <v>0</v>
      </c>
      <c r="AP1217" s="1627">
        <f t="shared" si="1469"/>
        <v>0</v>
      </c>
      <c r="AQ1217" s="1627">
        <f t="shared" si="1470"/>
        <v>0</v>
      </c>
      <c r="AR1217" s="1627">
        <f t="shared" si="1471"/>
        <v>0</v>
      </c>
      <c r="AS1217" s="1627">
        <f t="shared" si="1472"/>
        <v>0</v>
      </c>
      <c r="AT1217" s="1627">
        <f t="shared" si="1473"/>
        <v>0</v>
      </c>
      <c r="AV1217" s="2168"/>
      <c r="AW1217" s="2168"/>
      <c r="AX1217" s="2168"/>
      <c r="AY1217" s="2168"/>
      <c r="AZ1217" s="2168"/>
      <c r="BA1217" s="2168"/>
      <c r="BB1217" s="2168"/>
      <c r="BC1217" s="2168"/>
      <c r="BD1217" s="2168"/>
      <c r="BE1217" s="2168"/>
      <c r="BF1217" s="2168"/>
      <c r="BG1217" s="2168"/>
      <c r="BH1217" s="2167"/>
    </row>
    <row r="1218" spans="1:60">
      <c r="A1218" s="1"/>
      <c r="B1218" s="1"/>
      <c r="C1218" s="1"/>
      <c r="D1218" s="1680" t="s">
        <v>3233</v>
      </c>
      <c r="E1218" s="346"/>
      <c r="F1218" s="346"/>
      <c r="G1218" s="346"/>
      <c r="H1218" s="346"/>
      <c r="I1218" s="346"/>
      <c r="J1218" s="346"/>
      <c r="K1218" s="346"/>
      <c r="L1218" s="346"/>
      <c r="M1218" s="346"/>
      <c r="N1218" s="346"/>
      <c r="O1218" s="346"/>
      <c r="P1218" s="346"/>
      <c r="Q1218" s="346"/>
      <c r="R1218" s="346"/>
      <c r="S1218" s="346"/>
      <c r="T1218" s="346"/>
      <c r="U1218" s="346"/>
      <c r="V1218" s="126"/>
      <c r="W1218" s="1627"/>
      <c r="X1218" s="1627"/>
      <c r="Y1218" s="1628"/>
      <c r="Z1218" s="1628">
        <f>FISCinyear!HU897</f>
        <v>0</v>
      </c>
      <c r="AA1218" s="1628">
        <f>FISCinyear!HX897</f>
        <v>0</v>
      </c>
      <c r="AB1218" s="1628">
        <f>FISCinyear!IA897</f>
        <v>0</v>
      </c>
      <c r="AC1218" s="1628">
        <f>FISCinyear!ID897</f>
        <v>0</v>
      </c>
      <c r="AD1218" s="1628">
        <f>FISCinyear!IG897</f>
        <v>0</v>
      </c>
      <c r="AE1218" s="1628">
        <f>FISCinyear!IJ897</f>
        <v>0</v>
      </c>
      <c r="AF1218" s="1628">
        <f>FISCinyear!IM897</f>
        <v>0</v>
      </c>
      <c r="AG1218" s="1628">
        <f>FISCinyear!IP897</f>
        <v>0</v>
      </c>
      <c r="AH1218" s="1628">
        <f>FISCinyear!IS897</f>
        <v>0</v>
      </c>
      <c r="AI1218" s="1628">
        <f>FISCinyear!IV897</f>
        <v>0</v>
      </c>
      <c r="AJ1218" s="1627">
        <f t="shared" si="1466"/>
        <v>0</v>
      </c>
      <c r="AK1218" s="1627">
        <f t="shared" si="1466"/>
        <v>0</v>
      </c>
      <c r="AL1218" s="1627">
        <f t="shared" si="1466"/>
        <v>0</v>
      </c>
      <c r="AM1218" s="1627">
        <f t="shared" si="1466"/>
        <v>0</v>
      </c>
      <c r="AN1218" s="1627">
        <f t="shared" si="1467"/>
        <v>0</v>
      </c>
      <c r="AO1218" s="1627">
        <f t="shared" si="1468"/>
        <v>0</v>
      </c>
      <c r="AP1218" s="1627">
        <f t="shared" si="1469"/>
        <v>0</v>
      </c>
      <c r="AQ1218" s="1627">
        <f t="shared" si="1470"/>
        <v>0</v>
      </c>
      <c r="AR1218" s="1627">
        <f t="shared" si="1471"/>
        <v>0</v>
      </c>
      <c r="AS1218" s="1627">
        <f t="shared" si="1472"/>
        <v>0</v>
      </c>
      <c r="AT1218" s="1627">
        <f t="shared" si="1473"/>
        <v>0</v>
      </c>
      <c r="AV1218" s="2168"/>
      <c r="AW1218" s="2168"/>
      <c r="AX1218" s="2168"/>
      <c r="AY1218" s="2168"/>
      <c r="AZ1218" s="2168"/>
      <c r="BA1218" s="2168"/>
      <c r="BB1218" s="2168"/>
      <c r="BC1218" s="2168"/>
      <c r="BD1218" s="2168"/>
      <c r="BE1218" s="2168"/>
      <c r="BF1218" s="2168"/>
      <c r="BG1218" s="2168"/>
      <c r="BH1218" s="2167"/>
    </row>
    <row r="1219" spans="1:60">
      <c r="A1219" s="1"/>
      <c r="B1219" s="1"/>
      <c r="C1219" s="1"/>
      <c r="D1219" s="1680" t="s">
        <v>3234</v>
      </c>
      <c r="E1219" s="346"/>
      <c r="F1219" s="346"/>
      <c r="G1219" s="346"/>
      <c r="H1219" s="346"/>
      <c r="I1219" s="346"/>
      <c r="J1219" s="346"/>
      <c r="K1219" s="346"/>
      <c r="L1219" s="346"/>
      <c r="M1219" s="346"/>
      <c r="N1219" s="346"/>
      <c r="O1219" s="346"/>
      <c r="P1219" s="346"/>
      <c r="Q1219" s="346"/>
      <c r="R1219" s="346"/>
      <c r="S1219" s="346"/>
      <c r="T1219" s="346"/>
      <c r="U1219" s="346"/>
      <c r="V1219" s="126"/>
      <c r="W1219" s="1627">
        <f>+W1220+W1227</f>
        <v>-19.500000000000014</v>
      </c>
      <c r="X1219" s="1627">
        <f>+X1220+X1227</f>
        <v>-216.29712944561442</v>
      </c>
      <c r="Y1219" s="1628">
        <f>FISCinyear!HR898</f>
        <v>35.36639999999997</v>
      </c>
      <c r="Z1219" s="1628">
        <f>FISCinyear!HU898</f>
        <v>111.00500000000001</v>
      </c>
      <c r="AA1219" s="1628">
        <f>FISCinyear!HX898</f>
        <v>91.668699999999973</v>
      </c>
      <c r="AB1219" s="1628">
        <f>FISCinyear!IA898</f>
        <v>56.070000000000036</v>
      </c>
      <c r="AC1219" s="1628">
        <f>FISCinyear!ID898</f>
        <v>86.51825607842207</v>
      </c>
      <c r="AD1219" s="1628">
        <f>FISCinyear!IG898</f>
        <v>205.49459999999993</v>
      </c>
      <c r="AE1219" s="1628">
        <f>FISCinyear!IJ898</f>
        <v>271.3882000000001</v>
      </c>
      <c r="AF1219" s="1628">
        <f>FISCinyear!IM898</f>
        <v>277.26262999999989</v>
      </c>
      <c r="AG1219" s="1628">
        <f>FISCinyear!IP898</f>
        <v>223.80487000000005</v>
      </c>
      <c r="AH1219" s="1628">
        <f>FISCinyear!IS898</f>
        <v>294.62932000000012</v>
      </c>
      <c r="AI1219" s="1628">
        <f>FISCinyear!IV898</f>
        <v>154.48750000000004</v>
      </c>
      <c r="AJ1219" s="1627">
        <f t="shared" ref="AJ1219:AM1219" si="1474">AJ1214-AJ1230-AJ1238</f>
        <v>155.22174208680832</v>
      </c>
      <c r="AK1219" s="1627">
        <f t="shared" si="1474"/>
        <v>136.58524019660587</v>
      </c>
      <c r="AL1219" s="1627">
        <f t="shared" si="1474"/>
        <v>13.186098768600871</v>
      </c>
      <c r="AM1219" s="1627">
        <f t="shared" si="1474"/>
        <v>309.45686767662221</v>
      </c>
      <c r="AN1219" s="1627">
        <f t="shared" ref="AN1219:AT1219" si="1475">AN1214-AN1230-AN1238</f>
        <v>430.69661463925115</v>
      </c>
      <c r="AO1219" s="1627">
        <f t="shared" si="1475"/>
        <v>1060.7114892986742</v>
      </c>
      <c r="AP1219" s="1627">
        <f t="shared" si="1475"/>
        <v>958.69296650274146</v>
      </c>
      <c r="AQ1219" s="1627">
        <f t="shared" si="1475"/>
        <v>2949.719120322914</v>
      </c>
      <c r="AR1219" s="1627">
        <f t="shared" si="1475"/>
        <v>2111.4757303618089</v>
      </c>
      <c r="AS1219" s="1627">
        <f t="shared" si="1475"/>
        <v>15407.854650530773</v>
      </c>
      <c r="AT1219" s="1627">
        <f t="shared" si="1475"/>
        <v>35830.591316399208</v>
      </c>
      <c r="AV1219" s="2168"/>
      <c r="AW1219" s="2168"/>
      <c r="AX1219" s="2168"/>
      <c r="AY1219" s="2168"/>
      <c r="AZ1219" s="2168"/>
      <c r="BA1219" s="2168"/>
      <c r="BB1219" s="2168"/>
      <c r="BC1219" s="2168"/>
      <c r="BD1219" s="2168"/>
      <c r="BE1219" s="2168"/>
      <c r="BF1219" s="2168"/>
      <c r="BG1219" s="2168"/>
      <c r="BH1219" s="2167"/>
    </row>
    <row r="1220" spans="1:60">
      <c r="A1220" s="1"/>
      <c r="B1220" s="1"/>
      <c r="C1220" s="1"/>
      <c r="D1220" s="383" t="str">
        <f>+FISCinyear!D899</f>
        <v>Held by Banks</v>
      </c>
      <c r="E1220" s="346"/>
      <c r="F1220" s="346"/>
      <c r="G1220" s="346"/>
      <c r="H1220" s="346"/>
      <c r="I1220" s="346"/>
      <c r="J1220" s="346"/>
      <c r="K1220" s="346"/>
      <c r="L1220" s="346"/>
      <c r="M1220" s="346"/>
      <c r="N1220" s="346"/>
      <c r="O1220" s="346"/>
      <c r="P1220" s="346"/>
      <c r="Q1220" s="346"/>
      <c r="R1220" s="346"/>
      <c r="S1220" s="346"/>
      <c r="T1220" s="346"/>
      <c r="U1220" s="346"/>
      <c r="V1220" s="126"/>
      <c r="W1220" s="1627">
        <f>+W829-W1176</f>
        <v>-19.500000000000014</v>
      </c>
      <c r="X1220" s="1627">
        <f>+X829-X1176</f>
        <v>-255.99712944561441</v>
      </c>
      <c r="Y1220" s="1628">
        <f>FISCinyear!HR899</f>
        <v>47.020299999999999</v>
      </c>
      <c r="Z1220" s="1628">
        <f>FISCinyear!HU899</f>
        <v>80.097300000000018</v>
      </c>
      <c r="AA1220" s="1628">
        <f>FISCinyear!HX899</f>
        <v>32.411899999999982</v>
      </c>
      <c r="AB1220" s="1628">
        <f>FISCinyear!IA899</f>
        <v>-2.666499999999985</v>
      </c>
      <c r="AC1220" s="1628">
        <f>FISCinyear!ID899</f>
        <v>63.265900000000016</v>
      </c>
      <c r="AD1220" s="1628">
        <f>FISCinyear!IG899</f>
        <v>90.077099999999973</v>
      </c>
      <c r="AE1220" s="1628">
        <f>FISCinyear!IJ899</f>
        <v>181.27750000000006</v>
      </c>
      <c r="AF1220" s="1628">
        <f>FISCinyear!IM899</f>
        <v>122.98772</v>
      </c>
      <c r="AG1220" s="1628">
        <f>FISCinyear!IP899</f>
        <v>196.3978800000001</v>
      </c>
      <c r="AH1220" s="1628">
        <f>FISCinyear!IS899</f>
        <v>42.202685000000031</v>
      </c>
      <c r="AI1220" s="1628">
        <f>FISCinyear!IV899</f>
        <v>35.737500000000011</v>
      </c>
      <c r="AJ1220" s="1835">
        <f t="shared" ref="AJ1220:AM1220" si="1476">AJ1214-AJ1227-AJ1230-AJ1238</f>
        <v>-11.092943713551676</v>
      </c>
      <c r="AK1220" s="1835">
        <f t="shared" si="1476"/>
        <v>-10.340973980754157</v>
      </c>
      <c r="AL1220" s="1835">
        <f t="shared" si="1476"/>
        <v>-95.759867263759133</v>
      </c>
      <c r="AM1220" s="1835">
        <f t="shared" si="1476"/>
        <v>124.71890329026223</v>
      </c>
      <c r="AN1220" s="1835">
        <f t="shared" ref="AN1220:AT1220" si="1477">AN1214-AN1227-AN1230-AN1238</f>
        <v>312.81497734589118</v>
      </c>
      <c r="AO1220" s="1835">
        <f t="shared" si="1477"/>
        <v>888.38051466931415</v>
      </c>
      <c r="AP1220" s="1835">
        <f t="shared" si="1477"/>
        <v>779.26235572538144</v>
      </c>
      <c r="AQ1220" s="1835">
        <f t="shared" si="1477"/>
        <v>2768.0017808415541</v>
      </c>
      <c r="AR1220" s="1835">
        <f t="shared" si="1477"/>
        <v>2044.661430808449</v>
      </c>
      <c r="AS1220" s="1835">
        <f t="shared" si="1477"/>
        <v>15301.778863819412</v>
      </c>
      <c r="AT1220" s="1835">
        <f t="shared" si="1477"/>
        <v>35664.948722221845</v>
      </c>
      <c r="AV1220" s="2168"/>
      <c r="AW1220" s="2168"/>
      <c r="AX1220" s="2168"/>
      <c r="AY1220" s="2168"/>
      <c r="AZ1220" s="2168"/>
      <c r="BA1220" s="2168"/>
      <c r="BB1220" s="2168"/>
      <c r="BC1220" s="2168"/>
      <c r="BD1220" s="2168"/>
      <c r="BE1220" s="2168"/>
      <c r="BF1220" s="2168"/>
      <c r="BG1220" s="2168"/>
      <c r="BH1220" s="2167"/>
    </row>
    <row r="1221" spans="1:60">
      <c r="A1221" s="1"/>
      <c r="B1221" s="1"/>
      <c r="C1221" s="1" t="s">
        <v>3369</v>
      </c>
      <c r="D1221" s="386" t="str">
        <f>+FISCinyear!D900</f>
        <v>T-bills</v>
      </c>
      <c r="E1221" s="346"/>
      <c r="F1221" s="346"/>
      <c r="G1221" s="346"/>
      <c r="H1221" s="346"/>
      <c r="I1221" s="346"/>
      <c r="J1221" s="346"/>
      <c r="K1221" s="346"/>
      <c r="L1221" s="346"/>
      <c r="M1221" s="346"/>
      <c r="N1221" s="346"/>
      <c r="O1221" s="346"/>
      <c r="P1221" s="346"/>
      <c r="Q1221" s="346"/>
      <c r="R1221" s="346"/>
      <c r="S1221" s="346"/>
      <c r="T1221" s="346"/>
      <c r="U1221" s="346"/>
      <c r="V1221" s="126"/>
      <c r="W1221" s="1627"/>
      <c r="X1221" s="1627"/>
      <c r="Y1221" s="1628">
        <f>FISCinyear!HR900</f>
        <v>42.914299999999997</v>
      </c>
      <c r="Z1221" s="1628">
        <f>FISCinyear!HU900</f>
        <v>57.520100000000014</v>
      </c>
      <c r="AA1221" s="1628">
        <f>FISCinyear!HX900</f>
        <v>10.538199999999989</v>
      </c>
      <c r="AB1221" s="1628">
        <f>FISCinyear!IA900</f>
        <v>-6.0853999999999928</v>
      </c>
      <c r="AC1221" s="1628">
        <f>FISCinyear!ID900</f>
        <v>41.609700000000004</v>
      </c>
      <c r="AD1221" s="1628">
        <f>FISCinyear!IG900</f>
        <v>47.420099999999991</v>
      </c>
      <c r="AE1221" s="1628">
        <f>FISCinyear!IJ900</f>
        <v>83.960500000000081</v>
      </c>
      <c r="AF1221" s="1628">
        <f>FISCinyear!IM900</f>
        <v>1.5303999999999292</v>
      </c>
      <c r="AG1221" s="1628">
        <f>FISCinyear!IP900</f>
        <v>98.314200000000142</v>
      </c>
      <c r="AH1221" s="1628">
        <f>FISCinyear!IS900</f>
        <v>-18.560999999999979</v>
      </c>
      <c r="AI1221" s="1628">
        <f>FISCinyear!IV900</f>
        <v>1.0083999999999946</v>
      </c>
      <c r="AJ1221" s="1627">
        <f>AJ1222+AJ1223</f>
        <v>-8.6524960965703084</v>
      </c>
      <c r="AK1221" s="1627">
        <f t="shared" ref="AK1221:AM1221" si="1478">AK1222+AK1223</f>
        <v>-8.0659597049882432</v>
      </c>
      <c r="AL1221" s="1627">
        <f t="shared" si="1478"/>
        <v>-74.692696465732126</v>
      </c>
      <c r="AM1221" s="1627">
        <f t="shared" si="1478"/>
        <v>97.28074456640455</v>
      </c>
      <c r="AN1221" s="1627">
        <f t="shared" ref="AN1221:AO1221" si="1479">AN1222+AN1223</f>
        <v>243.99568232979513</v>
      </c>
      <c r="AO1221" s="1627">
        <f t="shared" si="1479"/>
        <v>692.93680144206508</v>
      </c>
      <c r="AP1221" s="1627">
        <f t="shared" ref="AP1221:AT1221" si="1480">AP1222+AP1223</f>
        <v>608.82463746579754</v>
      </c>
      <c r="AQ1221" s="1627">
        <f t="shared" si="1480"/>
        <v>2161.0413890564123</v>
      </c>
      <c r="AR1221" s="1627">
        <f t="shared" si="1480"/>
        <v>1597.8359160305904</v>
      </c>
      <c r="AS1221" s="1627">
        <f t="shared" si="1480"/>
        <v>11939.387513779142</v>
      </c>
      <c r="AT1221" s="1627">
        <f t="shared" si="1480"/>
        <v>27823.66000333304</v>
      </c>
      <c r="AV1221" s="2168"/>
      <c r="AW1221" s="2168"/>
      <c r="AX1221" s="2168"/>
      <c r="AY1221" s="2168"/>
      <c r="AZ1221" s="2168"/>
      <c r="BA1221" s="2168"/>
      <c r="BB1221" s="2168"/>
      <c r="BC1221" s="2168"/>
      <c r="BD1221" s="2168"/>
      <c r="BE1221" s="2168"/>
      <c r="BF1221" s="2168"/>
      <c r="BG1221" s="2168"/>
      <c r="BH1221" s="2167"/>
    </row>
    <row r="1222" spans="1:60">
      <c r="A1222" s="1"/>
      <c r="B1222" s="1"/>
      <c r="C1222" s="1" t="s">
        <v>3370</v>
      </c>
      <c r="D1222" s="1689" t="s">
        <v>3232</v>
      </c>
      <c r="E1222" s="346"/>
      <c r="F1222" s="346"/>
      <c r="G1222" s="346"/>
      <c r="H1222" s="346"/>
      <c r="I1222" s="346"/>
      <c r="J1222" s="346"/>
      <c r="K1222" s="346"/>
      <c r="L1222" s="346"/>
      <c r="M1222" s="346"/>
      <c r="N1222" s="346"/>
      <c r="O1222" s="346"/>
      <c r="P1222" s="346"/>
      <c r="Q1222" s="346"/>
      <c r="R1222" s="346"/>
      <c r="S1222" s="346"/>
      <c r="T1222" s="346"/>
      <c r="U1222" s="346"/>
      <c r="V1222" s="126"/>
      <c r="W1222" s="1627"/>
      <c r="X1222" s="1627"/>
      <c r="Y1222" s="1628"/>
      <c r="Z1222" s="1628">
        <v>0</v>
      </c>
      <c r="AA1222" s="1628">
        <v>0</v>
      </c>
      <c r="AB1222" s="1628">
        <v>0</v>
      </c>
      <c r="AC1222" s="1628">
        <v>0</v>
      </c>
      <c r="AD1222" s="1628">
        <v>0</v>
      </c>
      <c r="AE1222" s="1628">
        <v>0</v>
      </c>
      <c r="AF1222" s="1628">
        <f>FISCinyear!IM901</f>
        <v>0</v>
      </c>
      <c r="AG1222" s="1628">
        <f>FISCinyear!IP901</f>
        <v>0</v>
      </c>
      <c r="AH1222" s="1628">
        <f>FISCinyear!IS901</f>
        <v>0</v>
      </c>
      <c r="AI1222" s="1628">
        <f>FISCinyear!IV901</f>
        <v>0</v>
      </c>
      <c r="AJ1222" s="1628">
        <v>0</v>
      </c>
      <c r="AK1222" s="1628">
        <v>0</v>
      </c>
      <c r="AL1222" s="1628">
        <v>0</v>
      </c>
      <c r="AM1222" s="1628">
        <v>0</v>
      </c>
      <c r="AN1222" s="1628">
        <v>0</v>
      </c>
      <c r="AO1222" s="1628">
        <v>0</v>
      </c>
      <c r="AP1222" s="1628">
        <v>1</v>
      </c>
      <c r="AQ1222" s="1628">
        <v>2</v>
      </c>
      <c r="AR1222" s="1628">
        <v>3</v>
      </c>
      <c r="AS1222" s="1628">
        <v>4</v>
      </c>
      <c r="AT1222" s="1628">
        <v>5</v>
      </c>
      <c r="AV1222" s="2168"/>
      <c r="AW1222" s="2168"/>
      <c r="AX1222" s="2168"/>
      <c r="AY1222" s="2168"/>
      <c r="AZ1222" s="2168"/>
      <c r="BA1222" s="2168"/>
      <c r="BB1222" s="2168"/>
      <c r="BC1222" s="2168"/>
      <c r="BD1222" s="2168"/>
      <c r="BE1222" s="2168"/>
      <c r="BF1222" s="2168"/>
      <c r="BG1222" s="2168"/>
      <c r="BH1222" s="2167"/>
    </row>
    <row r="1223" spans="1:60">
      <c r="A1223" s="1"/>
      <c r="B1223" s="1"/>
      <c r="C1223" s="1" t="s">
        <v>3316</v>
      </c>
      <c r="D1223" s="1689" t="s">
        <v>3233</v>
      </c>
      <c r="E1223" s="346"/>
      <c r="F1223" s="346"/>
      <c r="G1223" s="346"/>
      <c r="H1223" s="346"/>
      <c r="I1223" s="346"/>
      <c r="J1223" s="346"/>
      <c r="K1223" s="346"/>
      <c r="L1223" s="346"/>
      <c r="M1223" s="346"/>
      <c r="N1223" s="346"/>
      <c r="O1223" s="346"/>
      <c r="P1223" s="346"/>
      <c r="Q1223" s="346"/>
      <c r="R1223" s="346"/>
      <c r="S1223" s="346"/>
      <c r="T1223" s="346"/>
      <c r="U1223" s="346"/>
      <c r="V1223" s="126"/>
      <c r="W1223" s="1627"/>
      <c r="X1223" s="1627"/>
      <c r="Y1223" s="1628"/>
      <c r="Z1223" s="1628">
        <v>0</v>
      </c>
      <c r="AA1223" s="1628">
        <v>0</v>
      </c>
      <c r="AB1223" s="1628">
        <v>0</v>
      </c>
      <c r="AC1223" s="1628">
        <v>0</v>
      </c>
      <c r="AD1223" s="1628">
        <v>0</v>
      </c>
      <c r="AE1223" s="1628">
        <v>0</v>
      </c>
      <c r="AF1223" s="1628">
        <f>FISCinyear!IM902</f>
        <v>61.54669999999993</v>
      </c>
      <c r="AG1223" s="1628">
        <f>FISCinyear!IP902</f>
        <v>98.314200000000142</v>
      </c>
      <c r="AH1223" s="1628">
        <f>FISCinyear!IS902</f>
        <v>-18.560999999999979</v>
      </c>
      <c r="AI1223" s="1628">
        <f>FISCinyear!IV902</f>
        <v>1.0083999999999946</v>
      </c>
      <c r="AJ1223" s="1627">
        <f>AJ1220*0.78</f>
        <v>-8.6524960965703084</v>
      </c>
      <c r="AK1223" s="1627">
        <f t="shared" ref="AK1223:AM1223" si="1481">AK1220*0.78</f>
        <v>-8.0659597049882432</v>
      </c>
      <c r="AL1223" s="1627">
        <f t="shared" si="1481"/>
        <v>-74.692696465732126</v>
      </c>
      <c r="AM1223" s="1627">
        <f t="shared" si="1481"/>
        <v>97.28074456640455</v>
      </c>
      <c r="AN1223" s="1627">
        <f t="shared" ref="AN1223:AO1223" si="1482">AN1220*0.78</f>
        <v>243.99568232979513</v>
      </c>
      <c r="AO1223" s="1627">
        <f t="shared" si="1482"/>
        <v>692.93680144206508</v>
      </c>
      <c r="AP1223" s="1627">
        <f t="shared" ref="AP1223:AT1223" si="1483">AP1220*0.78</f>
        <v>607.82463746579754</v>
      </c>
      <c r="AQ1223" s="1627">
        <f t="shared" si="1483"/>
        <v>2159.0413890564123</v>
      </c>
      <c r="AR1223" s="1627">
        <f t="shared" si="1483"/>
        <v>1594.8359160305904</v>
      </c>
      <c r="AS1223" s="1627">
        <f t="shared" si="1483"/>
        <v>11935.387513779142</v>
      </c>
      <c r="AT1223" s="1627">
        <f t="shared" si="1483"/>
        <v>27818.66000333304</v>
      </c>
      <c r="AV1223" s="2168"/>
      <c r="AW1223" s="2168"/>
      <c r="AX1223" s="2168"/>
      <c r="AY1223" s="2168"/>
      <c r="AZ1223" s="2168"/>
      <c r="BA1223" s="2168"/>
      <c r="BB1223" s="2168"/>
      <c r="BC1223" s="2168"/>
      <c r="BD1223" s="2168"/>
      <c r="BE1223" s="2168"/>
      <c r="BF1223" s="2168"/>
      <c r="BG1223" s="2168"/>
      <c r="BH1223" s="2167"/>
    </row>
    <row r="1224" spans="1:60">
      <c r="A1224" s="1"/>
      <c r="B1224" s="1"/>
      <c r="C1224" s="1"/>
      <c r="D1224" s="386" t="str">
        <f>+FISCinyear!D903</f>
        <v>T-bonds</v>
      </c>
      <c r="E1224" s="346"/>
      <c r="F1224" s="346"/>
      <c r="G1224" s="346"/>
      <c r="H1224" s="346"/>
      <c r="I1224" s="346"/>
      <c r="J1224" s="346"/>
      <c r="K1224" s="346"/>
      <c r="L1224" s="346"/>
      <c r="M1224" s="346"/>
      <c r="N1224" s="346"/>
      <c r="O1224" s="346"/>
      <c r="P1224" s="346"/>
      <c r="Q1224" s="346"/>
      <c r="R1224" s="346"/>
      <c r="S1224" s="346"/>
      <c r="T1224" s="346"/>
      <c r="U1224" s="346"/>
      <c r="V1224" s="126"/>
      <c r="W1224" s="1627"/>
      <c r="X1224" s="1627"/>
      <c r="Y1224" s="1628">
        <f>FISCinyear!HR903</f>
        <v>4.1059999999999999</v>
      </c>
      <c r="Z1224" s="1628">
        <f>FISCinyear!HU903</f>
        <v>22.577200000000001</v>
      </c>
      <c r="AA1224" s="1628">
        <f>FISCinyear!HX903</f>
        <v>20.252999999999993</v>
      </c>
      <c r="AB1224" s="1628">
        <f>FISCinyear!IA903</f>
        <v>3.4189000000000078</v>
      </c>
      <c r="AC1224" s="1628">
        <f>FISCinyear!ID903</f>
        <v>21.656200000000005</v>
      </c>
      <c r="AD1224" s="1628">
        <f>FISCinyear!IG903</f>
        <v>42.656999999999982</v>
      </c>
      <c r="AE1224" s="1628">
        <f>FISCinyear!IJ903</f>
        <v>97.316999999999979</v>
      </c>
      <c r="AF1224" s="1628">
        <f>FISCinyear!IM903</f>
        <v>61.441020000000037</v>
      </c>
      <c r="AG1224" s="1628">
        <f>FISCinyear!IP903</f>
        <v>98.083679999999958</v>
      </c>
      <c r="AH1224" s="1628">
        <f>FISCinyear!IS903</f>
        <v>60.763685000000009</v>
      </c>
      <c r="AI1224" s="1628">
        <f>FISCinyear!IV903</f>
        <v>34.729100000000017</v>
      </c>
      <c r="AJ1224" s="1627">
        <f>AJ1225+AJ1226</f>
        <v>-2.440447616981368</v>
      </c>
      <c r="AK1224" s="1627">
        <f t="shared" ref="AK1224:AM1224" si="1484">AK1225+AK1226</f>
        <v>-2.2750142757659138</v>
      </c>
      <c r="AL1224" s="1627">
        <f t="shared" si="1484"/>
        <v>-21.067170798027007</v>
      </c>
      <c r="AM1224" s="1627">
        <f t="shared" si="1484"/>
        <v>27.438158723857683</v>
      </c>
      <c r="AN1224" s="1627">
        <f t="shared" ref="AN1224:AO1224" si="1485">AN1225+AN1226</f>
        <v>68.819295016096049</v>
      </c>
      <c r="AO1224" s="1627">
        <f t="shared" si="1485"/>
        <v>195.44371322724908</v>
      </c>
      <c r="AP1224" s="1627">
        <f t="shared" ref="AP1224:AT1224" si="1486">AP1225+AP1226</f>
        <v>171.4377182595839</v>
      </c>
      <c r="AQ1224" s="1627">
        <f t="shared" si="1486"/>
        <v>608.96039178514184</v>
      </c>
      <c r="AR1224" s="1627">
        <f t="shared" si="1486"/>
        <v>449.82551477785864</v>
      </c>
      <c r="AS1224" s="1627">
        <f t="shared" si="1486"/>
        <v>3366.3913500402705</v>
      </c>
      <c r="AT1224" s="1627">
        <f t="shared" si="1486"/>
        <v>7846.2887188888053</v>
      </c>
      <c r="AV1224" s="2168"/>
      <c r="AW1224" s="2168"/>
      <c r="AX1224" s="2168"/>
      <c r="AY1224" s="2168"/>
      <c r="AZ1224" s="2168"/>
      <c r="BA1224" s="2168"/>
      <c r="BB1224" s="2168"/>
      <c r="BC1224" s="2168"/>
      <c r="BD1224" s="2168"/>
      <c r="BE1224" s="2168"/>
      <c r="BF1224" s="2168"/>
      <c r="BG1224" s="2168"/>
      <c r="BH1224" s="2167"/>
    </row>
    <row r="1225" spans="1:60">
      <c r="A1225" s="1"/>
      <c r="B1225" s="1"/>
      <c r="C1225" s="1"/>
      <c r="D1225" s="1689" t="s">
        <v>3232</v>
      </c>
      <c r="E1225" s="346"/>
      <c r="F1225" s="346"/>
      <c r="G1225" s="346"/>
      <c r="H1225" s="346"/>
      <c r="I1225" s="346"/>
      <c r="J1225" s="346"/>
      <c r="K1225" s="346"/>
      <c r="L1225" s="346"/>
      <c r="M1225" s="346"/>
      <c r="N1225" s="346"/>
      <c r="O1225" s="346"/>
      <c r="P1225" s="346"/>
      <c r="Q1225" s="346"/>
      <c r="R1225" s="346"/>
      <c r="S1225" s="346"/>
      <c r="T1225" s="346"/>
      <c r="U1225" s="346"/>
      <c r="V1225" s="126"/>
      <c r="W1225" s="1627"/>
      <c r="X1225" s="1627"/>
      <c r="Y1225" s="1628"/>
      <c r="Z1225" s="1628">
        <v>0</v>
      </c>
      <c r="AA1225" s="1628">
        <v>0</v>
      </c>
      <c r="AB1225" s="1628">
        <v>0</v>
      </c>
      <c r="AC1225" s="1628">
        <v>0</v>
      </c>
      <c r="AD1225" s="1628">
        <v>0</v>
      </c>
      <c r="AE1225" s="1628">
        <v>0</v>
      </c>
      <c r="AF1225" s="1628">
        <f>FISCinyear!IM904</f>
        <v>0</v>
      </c>
      <c r="AG1225" s="1628">
        <f>FISCinyear!IP904</f>
        <v>0</v>
      </c>
      <c r="AH1225" s="1628">
        <f>FISCinyear!IS904</f>
        <v>0</v>
      </c>
      <c r="AI1225" s="1628">
        <f>FISCinyear!IV904</f>
        <v>0</v>
      </c>
      <c r="AJ1225" s="1628">
        <v>0</v>
      </c>
      <c r="AK1225" s="1628">
        <v>0</v>
      </c>
      <c r="AL1225" s="1628">
        <v>0</v>
      </c>
      <c r="AM1225" s="1628">
        <v>0</v>
      </c>
      <c r="AN1225" s="1628">
        <v>0</v>
      </c>
      <c r="AO1225" s="1628">
        <v>0</v>
      </c>
      <c r="AP1225" s="1628">
        <v>0</v>
      </c>
      <c r="AQ1225" s="1628">
        <v>0</v>
      </c>
      <c r="AR1225" s="1628">
        <v>0</v>
      </c>
      <c r="AS1225" s="1628">
        <v>0</v>
      </c>
      <c r="AT1225" s="1628">
        <v>0</v>
      </c>
      <c r="AV1225" s="2168"/>
      <c r="AW1225" s="2168"/>
      <c r="AX1225" s="2168"/>
      <c r="AY1225" s="2168"/>
      <c r="AZ1225" s="2168"/>
      <c r="BA1225" s="2168"/>
      <c r="BB1225" s="2168"/>
      <c r="BC1225" s="2168"/>
      <c r="BD1225" s="2168"/>
      <c r="BE1225" s="2168"/>
      <c r="BF1225" s="2168"/>
      <c r="BG1225" s="2168"/>
      <c r="BH1225" s="2167"/>
    </row>
    <row r="1226" spans="1:60">
      <c r="A1226" s="1"/>
      <c r="B1226" s="1"/>
      <c r="C1226" s="715" t="s">
        <v>3371</v>
      </c>
      <c r="D1226" s="1689" t="s">
        <v>3233</v>
      </c>
      <c r="E1226" s="346"/>
      <c r="F1226" s="346"/>
      <c r="G1226" s="346"/>
      <c r="H1226" s="346"/>
      <c r="I1226" s="346"/>
      <c r="J1226" s="346"/>
      <c r="K1226" s="346"/>
      <c r="L1226" s="346"/>
      <c r="M1226" s="346"/>
      <c r="N1226" s="346"/>
      <c r="O1226" s="346"/>
      <c r="P1226" s="346"/>
      <c r="Q1226" s="346"/>
      <c r="R1226" s="346"/>
      <c r="S1226" s="346"/>
      <c r="T1226" s="346"/>
      <c r="U1226" s="346"/>
      <c r="V1226" s="126"/>
      <c r="W1226" s="1627"/>
      <c r="X1226" s="1627"/>
      <c r="Y1226" s="1628"/>
      <c r="Z1226" s="1628">
        <v>0</v>
      </c>
      <c r="AA1226" s="1628">
        <v>0</v>
      </c>
      <c r="AB1226" s="1628">
        <v>0</v>
      </c>
      <c r="AC1226" s="1628">
        <v>0</v>
      </c>
      <c r="AD1226" s="1628">
        <v>0</v>
      </c>
      <c r="AE1226" s="1628">
        <v>0</v>
      </c>
      <c r="AF1226" s="1628">
        <f>FISCinyear!IM905</f>
        <v>61.441020000000037</v>
      </c>
      <c r="AG1226" s="1628">
        <f>FISCinyear!IP905</f>
        <v>98.083679999999958</v>
      </c>
      <c r="AH1226" s="1628">
        <f>FISCinyear!IS905</f>
        <v>60.763685000000009</v>
      </c>
      <c r="AI1226" s="1628">
        <f>FISCinyear!IV905</f>
        <v>34.729100000000017</v>
      </c>
      <c r="AJ1226" s="1833">
        <f>AJ1220-AJ1223</f>
        <v>-2.440447616981368</v>
      </c>
      <c r="AK1226" s="1833">
        <f t="shared" ref="AK1226:AM1226" si="1487">AK1220-AK1223</f>
        <v>-2.2750142757659138</v>
      </c>
      <c r="AL1226" s="1833">
        <f t="shared" si="1487"/>
        <v>-21.067170798027007</v>
      </c>
      <c r="AM1226" s="1833">
        <f t="shared" si="1487"/>
        <v>27.438158723857683</v>
      </c>
      <c r="AN1226" s="1833">
        <f t="shared" ref="AN1226:AT1226" si="1488">AN1220-AN1223</f>
        <v>68.819295016096049</v>
      </c>
      <c r="AO1226" s="1833">
        <f t="shared" si="1488"/>
        <v>195.44371322724908</v>
      </c>
      <c r="AP1226" s="1833">
        <f t="shared" si="1488"/>
        <v>171.4377182595839</v>
      </c>
      <c r="AQ1226" s="1833">
        <f t="shared" si="1488"/>
        <v>608.96039178514184</v>
      </c>
      <c r="AR1226" s="1833">
        <f t="shared" si="1488"/>
        <v>449.82551477785864</v>
      </c>
      <c r="AS1226" s="1833">
        <f t="shared" si="1488"/>
        <v>3366.3913500402705</v>
      </c>
      <c r="AT1226" s="1833">
        <f t="shared" si="1488"/>
        <v>7846.2887188888053</v>
      </c>
      <c r="AV1226" s="2168"/>
      <c r="AW1226" s="2168"/>
      <c r="AX1226" s="2168"/>
      <c r="AY1226" s="2168"/>
      <c r="AZ1226" s="2168"/>
      <c r="BA1226" s="2168"/>
      <c r="BB1226" s="2168"/>
      <c r="BC1226" s="2168"/>
      <c r="BD1226" s="2168"/>
      <c r="BE1226" s="2168"/>
      <c r="BF1226" s="2168"/>
      <c r="BG1226" s="2168"/>
      <c r="BH1226" s="2167"/>
    </row>
    <row r="1227" spans="1:60">
      <c r="A1227" s="1"/>
      <c r="B1227" s="1"/>
      <c r="C1227" s="1"/>
      <c r="D1227" s="383" t="str">
        <f>+FISCinyear!D906</f>
        <v>Held by Non-Banks</v>
      </c>
      <c r="E1227" s="346"/>
      <c r="F1227" s="346"/>
      <c r="G1227" s="346"/>
      <c r="H1227" s="346"/>
      <c r="I1227" s="346"/>
      <c r="J1227" s="346"/>
      <c r="K1227" s="346"/>
      <c r="L1227" s="346"/>
      <c r="M1227" s="346"/>
      <c r="N1227" s="346"/>
      <c r="O1227" s="346"/>
      <c r="P1227" s="346"/>
      <c r="Q1227" s="346"/>
      <c r="R1227" s="346"/>
      <c r="S1227" s="346"/>
      <c r="T1227" s="346"/>
      <c r="U1227" s="346"/>
      <c r="V1227" s="126">
        <f>+V844</f>
        <v>0</v>
      </c>
      <c r="W1227" s="1627">
        <f>+W844</f>
        <v>0</v>
      </c>
      <c r="X1227" s="1627">
        <f>+X844</f>
        <v>39.700000000000003</v>
      </c>
      <c r="Y1227" s="1628">
        <f>FISCinyear!HR906</f>
        <v>-11.653900000000029</v>
      </c>
      <c r="Z1227" s="1628">
        <f>FISCinyear!HU906</f>
        <v>30.907699999999998</v>
      </c>
      <c r="AA1227" s="1628">
        <f>FISCinyear!HX906</f>
        <v>59.256799999999984</v>
      </c>
      <c r="AB1227" s="1628">
        <f>FISCinyear!IA906</f>
        <v>58.736500000000021</v>
      </c>
      <c r="AC1227" s="1628">
        <f>FISCinyear!ID906</f>
        <v>23.252356078422068</v>
      </c>
      <c r="AD1227" s="1628">
        <f>FISCinyear!IG906</f>
        <v>115.41749999999998</v>
      </c>
      <c r="AE1227" s="1628">
        <f>FISCinyear!IJ906</f>
        <v>90.11069999999998</v>
      </c>
      <c r="AF1227" s="1628">
        <f>FISCinyear!IM906</f>
        <v>154.27490999999989</v>
      </c>
      <c r="AG1227" s="1628">
        <f>FISCinyear!IP906</f>
        <v>27.406989999999936</v>
      </c>
      <c r="AH1227" s="1628">
        <f>FISCinyear!IS906</f>
        <v>252.42663500000006</v>
      </c>
      <c r="AI1227" s="1628">
        <f>FISCinyear!IV906</f>
        <v>118.75000000000001</v>
      </c>
      <c r="AJ1227" s="1627">
        <f t="shared" ref="AJ1227:AM1227" si="1489">(AJ1228+AJ1229)</f>
        <v>166.31468580036</v>
      </c>
      <c r="AK1227" s="1627">
        <f t="shared" si="1489"/>
        <v>146.92621417736001</v>
      </c>
      <c r="AL1227" s="1627">
        <f t="shared" si="1489"/>
        <v>108.94596603236</v>
      </c>
      <c r="AM1227" s="1627">
        <f t="shared" si="1489"/>
        <v>184.73796438635998</v>
      </c>
      <c r="AN1227" s="1627">
        <f t="shared" ref="AN1227:AO1227" si="1490">(AN1228+AN1229)</f>
        <v>117.88163729336</v>
      </c>
      <c r="AO1227" s="1627">
        <f t="shared" si="1490"/>
        <v>172.33097462935999</v>
      </c>
      <c r="AP1227" s="1627">
        <f t="shared" ref="AP1227:AT1227" si="1491">(AP1228+AP1229)</f>
        <v>179.43061077735999</v>
      </c>
      <c r="AQ1227" s="1627">
        <f t="shared" si="1491"/>
        <v>181.71733948135997</v>
      </c>
      <c r="AR1227" s="1627">
        <f t="shared" si="1491"/>
        <v>66.814299553360001</v>
      </c>
      <c r="AS1227" s="1627">
        <f t="shared" si="1491"/>
        <v>106.07578671136</v>
      </c>
      <c r="AT1227" s="1627">
        <f t="shared" si="1491"/>
        <v>165.64259417736</v>
      </c>
      <c r="AU1227" s="1241"/>
      <c r="AV1227" s="2168"/>
      <c r="AW1227" s="2168"/>
      <c r="AX1227" s="2168"/>
      <c r="AY1227" s="2168"/>
      <c r="AZ1227" s="2168"/>
      <c r="BA1227" s="2168"/>
      <c r="BB1227" s="2168"/>
      <c r="BC1227" s="2168"/>
      <c r="BD1227" s="2168"/>
      <c r="BE1227" s="2168"/>
      <c r="BF1227" s="2168"/>
      <c r="BG1227" s="2168"/>
      <c r="BH1227" s="2167"/>
    </row>
    <row r="1228" spans="1:60">
      <c r="A1228" s="1"/>
      <c r="B1228" s="1"/>
      <c r="C1228" s="1"/>
      <c r="D1228" s="386" t="str">
        <f>+FISCinyear!D907</f>
        <v>T-bills</v>
      </c>
      <c r="E1228" s="346"/>
      <c r="F1228" s="346"/>
      <c r="G1228" s="346"/>
      <c r="H1228" s="346"/>
      <c r="I1228" s="346"/>
      <c r="J1228" s="346"/>
      <c r="K1228" s="346"/>
      <c r="L1228" s="346"/>
      <c r="M1228" s="346"/>
      <c r="N1228" s="346"/>
      <c r="O1228" s="346"/>
      <c r="P1228" s="346"/>
      <c r="Q1228" s="346"/>
      <c r="R1228" s="346"/>
      <c r="S1228" s="346"/>
      <c r="T1228" s="346"/>
      <c r="U1228" s="346"/>
      <c r="V1228" s="126"/>
      <c r="W1228" s="1627"/>
      <c r="X1228" s="1627"/>
      <c r="Y1228" s="1628">
        <f>FISCinyear!HR907</f>
        <v>-32.547900000000027</v>
      </c>
      <c r="Z1228" s="1628">
        <f>FISCinyear!HU907</f>
        <v>-1.5151000000000003</v>
      </c>
      <c r="AA1228" s="1628">
        <f>FISCinyear!HX907</f>
        <v>29.630500000000005</v>
      </c>
      <c r="AB1228" s="1628">
        <f>FISCinyear!IA907</f>
        <v>27.1554</v>
      </c>
      <c r="AC1228" s="1628">
        <f>FISCinyear!ID907</f>
        <v>4.9085560784220803</v>
      </c>
      <c r="AD1228" s="1628">
        <f>FISCinyear!IG907</f>
        <v>53.790799999999976</v>
      </c>
      <c r="AE1228" s="1628">
        <f>FISCinyear!IJ907</f>
        <v>-67.602999999999994</v>
      </c>
      <c r="AF1228" s="1628">
        <f>FISCinyear!IM907</f>
        <v>35.732310000000012</v>
      </c>
      <c r="AG1228" s="1628">
        <f>FISCinyear!IP907</f>
        <v>-29.421810000000008</v>
      </c>
      <c r="AH1228" s="1628">
        <f>FISCinyear!IS907</f>
        <v>8.8130999999999915</v>
      </c>
      <c r="AI1228" s="1628">
        <f>FISCinyear!IV907</f>
        <v>24.952000000000012</v>
      </c>
      <c r="AJ1228" s="1627">
        <f>-AJ1230</f>
        <v>96.314685800359996</v>
      </c>
      <c r="AK1228" s="1627">
        <f>-AK1230</f>
        <v>126.92621417736</v>
      </c>
      <c r="AL1228" s="1627">
        <f>-AL1230</f>
        <v>88.945966032360005</v>
      </c>
      <c r="AM1228" s="1627">
        <f>-AM1230</f>
        <v>163.73796438635998</v>
      </c>
      <c r="AN1228" s="1627">
        <f t="shared" ref="AN1228:AO1228" si="1492">-AN1230</f>
        <v>95.881637293360001</v>
      </c>
      <c r="AO1228" s="1627">
        <f t="shared" si="1492"/>
        <v>149.33097462935999</v>
      </c>
      <c r="AP1228" s="1627">
        <f t="shared" ref="AP1228:AT1228" si="1493">-AP1230</f>
        <v>155.43061077735999</v>
      </c>
      <c r="AQ1228" s="1627">
        <f t="shared" si="1493"/>
        <v>156.71733948135997</v>
      </c>
      <c r="AR1228" s="1627">
        <f t="shared" si="1493"/>
        <v>40.814299553360001</v>
      </c>
      <c r="AS1228" s="1627">
        <f t="shared" si="1493"/>
        <v>79.075786711359996</v>
      </c>
      <c r="AT1228" s="1627">
        <f t="shared" si="1493"/>
        <v>137.64259417736</v>
      </c>
      <c r="AV1228" s="2168"/>
      <c r="AW1228" s="2168"/>
      <c r="AX1228" s="2168"/>
      <c r="AY1228" s="2168"/>
      <c r="AZ1228" s="2168"/>
      <c r="BA1228" s="2168"/>
      <c r="BB1228" s="2168"/>
      <c r="BC1228" s="2168"/>
      <c r="BD1228" s="2168"/>
      <c r="BE1228" s="2168"/>
      <c r="BF1228" s="2168"/>
      <c r="BG1228" s="2168"/>
      <c r="BH1228" s="2167"/>
    </row>
    <row r="1229" spans="1:60">
      <c r="A1229" s="1"/>
      <c r="B1229" s="1"/>
      <c r="C1229" s="715" t="s">
        <v>3371</v>
      </c>
      <c r="D1229" s="386" t="str">
        <f>+FISCinyear!D908</f>
        <v>T-bonds</v>
      </c>
      <c r="E1229" s="346"/>
      <c r="F1229" s="346"/>
      <c r="G1229" s="346"/>
      <c r="H1229" s="346"/>
      <c r="I1229" s="346"/>
      <c r="J1229" s="346"/>
      <c r="K1229" s="346"/>
      <c r="L1229" s="346"/>
      <c r="M1229" s="346"/>
      <c r="N1229" s="346"/>
      <c r="O1229" s="346"/>
      <c r="P1229" s="346"/>
      <c r="Q1229" s="346"/>
      <c r="R1229" s="346"/>
      <c r="S1229" s="346"/>
      <c r="T1229" s="346"/>
      <c r="U1229" s="346"/>
      <c r="V1229" s="126"/>
      <c r="W1229" s="1627"/>
      <c r="X1229" s="1627"/>
      <c r="Y1229" s="1628">
        <f>FISCinyear!HR908</f>
        <v>20.893999999999998</v>
      </c>
      <c r="Z1229" s="1628">
        <f>FISCinyear!HU908</f>
        <v>32.422799999999995</v>
      </c>
      <c r="AA1229" s="1628">
        <f>FISCinyear!HX908</f>
        <v>29.626299999999986</v>
      </c>
      <c r="AB1229" s="1628">
        <f>FISCinyear!IA908</f>
        <v>31.581100000000021</v>
      </c>
      <c r="AC1229" s="1628">
        <f>FISCinyear!ID908</f>
        <v>18.343799999999987</v>
      </c>
      <c r="AD1229" s="1628">
        <f>FISCinyear!IG908</f>
        <v>61.6267</v>
      </c>
      <c r="AE1229" s="1628">
        <f>FISCinyear!IJ908</f>
        <v>157.71369999999999</v>
      </c>
      <c r="AF1229" s="1628">
        <f>FISCinyear!IM908</f>
        <v>118.54259999999988</v>
      </c>
      <c r="AG1229" s="1628">
        <f>FISCinyear!IP908</f>
        <v>56.828799999999944</v>
      </c>
      <c r="AH1229" s="1628">
        <f>FISCinyear!IS908</f>
        <v>243.61353500000007</v>
      </c>
      <c r="AI1229" s="1628">
        <f>FISCinyear!IV908</f>
        <v>93.798000000000002</v>
      </c>
      <c r="AJ1229" s="1836">
        <v>70</v>
      </c>
      <c r="AK1229" s="1836">
        <v>20</v>
      </c>
      <c r="AL1229" s="1836">
        <v>20</v>
      </c>
      <c r="AM1229" s="1836">
        <v>21</v>
      </c>
      <c r="AN1229" s="1836">
        <v>22</v>
      </c>
      <c r="AO1229" s="1836">
        <v>23</v>
      </c>
      <c r="AP1229" s="1836">
        <v>24</v>
      </c>
      <c r="AQ1229" s="1836">
        <v>25</v>
      </c>
      <c r="AR1229" s="1836">
        <v>26</v>
      </c>
      <c r="AS1229" s="1836">
        <v>27</v>
      </c>
      <c r="AT1229" s="1836">
        <v>28</v>
      </c>
      <c r="AV1229" s="2168"/>
      <c r="AW1229" s="2168"/>
      <c r="AX1229" s="2168"/>
      <c r="AY1229" s="2168"/>
      <c r="AZ1229" s="2168"/>
      <c r="BA1229" s="2168"/>
      <c r="BB1229" s="2168"/>
      <c r="BC1229" s="2168"/>
      <c r="BD1229" s="2168"/>
      <c r="BE1229" s="2168"/>
      <c r="BF1229" s="2168"/>
      <c r="BG1229" s="2168"/>
      <c r="BH1229" s="2167"/>
    </row>
    <row r="1230" spans="1:60">
      <c r="A1230" s="1"/>
      <c r="B1230" s="1"/>
      <c r="C1230" s="1"/>
      <c r="D1230" s="382" t="str">
        <f>+FISCinyear!D909</f>
        <v>Loans</v>
      </c>
      <c r="E1230" s="169" t="s">
        <v>652</v>
      </c>
      <c r="F1230" s="346"/>
      <c r="G1230" s="346"/>
      <c r="H1230" s="346"/>
      <c r="I1230" s="346"/>
      <c r="J1230" s="346"/>
      <c r="K1230" s="346"/>
      <c r="L1230" s="346"/>
      <c r="M1230" s="346"/>
      <c r="N1230" s="346"/>
      <c r="O1230" s="346"/>
      <c r="P1230" s="346"/>
      <c r="Q1230" s="346"/>
      <c r="R1230" s="346"/>
      <c r="S1230" s="346"/>
      <c r="T1230" s="346"/>
      <c r="U1230" s="346"/>
      <c r="V1230" s="126">
        <f>+V843+V848</f>
        <v>-13.346974375999956</v>
      </c>
      <c r="W1230" s="1627">
        <f>+W843+W848</f>
        <v>-16.899999999999995</v>
      </c>
      <c r="X1230" s="1627">
        <f>+X847+X848</f>
        <v>9.3755658431975402</v>
      </c>
      <c r="Y1230" s="1628">
        <f>FISCinyear!HR909</f>
        <v>-11.721398732081221</v>
      </c>
      <c r="Z1230" s="1628">
        <f>FISCinyear!HU909</f>
        <v>-28.856118811860764</v>
      </c>
      <c r="AA1230" s="1628">
        <f>FISCinyear!HX909</f>
        <v>-15.039440599999999</v>
      </c>
      <c r="AB1230" s="1628">
        <f>FISCinyear!IA909</f>
        <v>-26.413184871000002</v>
      </c>
      <c r="AC1230" s="1628">
        <f>FISCinyear!ID909</f>
        <v>-29.125483030999998</v>
      </c>
      <c r="AD1230" s="1628">
        <f>FISCinyear!IG909</f>
        <v>-152.67627147948929</v>
      </c>
      <c r="AE1230" s="1628">
        <f>FISCinyear!IJ909</f>
        <v>-38.554066509999998</v>
      </c>
      <c r="AF1230" s="1628">
        <f>FISCinyear!IM909</f>
        <v>-46.7</v>
      </c>
      <c r="AG1230" s="1628">
        <f>FISCinyear!IP909</f>
        <v>-81.435384072000005</v>
      </c>
      <c r="AH1230" s="1628">
        <f>FISCinyear!IS909</f>
        <v>-222.10203108999994</v>
      </c>
      <c r="AI1230" s="1628">
        <f>FISCinyear!IV909</f>
        <v>-95.788626077000004</v>
      </c>
      <c r="AJ1230" s="573">
        <f t="shared" ref="AJ1230:AT1230" si="1494">+AJ1231+AJ1234+((-AJ645*AJ253/1000))</f>
        <v>-96.314685800359996</v>
      </c>
      <c r="AK1230" s="573">
        <f t="shared" si="1494"/>
        <v>-126.92621417736</v>
      </c>
      <c r="AL1230" s="573">
        <f t="shared" si="1494"/>
        <v>-88.945966032360005</v>
      </c>
      <c r="AM1230" s="573">
        <f t="shared" si="1494"/>
        <v>-163.73796438635998</v>
      </c>
      <c r="AN1230" s="573">
        <f t="shared" si="1494"/>
        <v>-95.881637293360001</v>
      </c>
      <c r="AO1230" s="573">
        <f t="shared" si="1494"/>
        <v>-149.33097462935999</v>
      </c>
      <c r="AP1230" s="573">
        <f t="shared" si="1494"/>
        <v>-155.43061077735999</v>
      </c>
      <c r="AQ1230" s="573">
        <f t="shared" si="1494"/>
        <v>-156.71733948135997</v>
      </c>
      <c r="AR1230" s="573">
        <f t="shared" si="1494"/>
        <v>-40.814299553360001</v>
      </c>
      <c r="AS1230" s="573">
        <f t="shared" si="1494"/>
        <v>-79.075786711359996</v>
      </c>
      <c r="AT1230" s="573">
        <f t="shared" si="1494"/>
        <v>-137.64259417736</v>
      </c>
      <c r="AV1230" s="2168"/>
      <c r="AW1230" s="2168"/>
      <c r="AX1230" s="2168"/>
      <c r="AY1230" s="2168"/>
      <c r="AZ1230" s="2168"/>
      <c r="BA1230" s="2168"/>
      <c r="BB1230" s="2168"/>
      <c r="BC1230" s="2168"/>
      <c r="BD1230" s="2168"/>
      <c r="BE1230" s="2168"/>
      <c r="BF1230" s="2168"/>
      <c r="BG1230" s="2168"/>
      <c r="BH1230" s="2167"/>
    </row>
    <row r="1231" spans="1:60">
      <c r="A1231" s="1"/>
      <c r="B1231" s="1"/>
      <c r="C1231" s="1"/>
      <c r="D1231" s="1680" t="s">
        <v>3235</v>
      </c>
      <c r="E1231" s="169"/>
      <c r="F1231" s="346"/>
      <c r="G1231" s="346"/>
      <c r="H1231" s="346"/>
      <c r="I1231" s="346"/>
      <c r="J1231" s="346"/>
      <c r="K1231" s="346"/>
      <c r="L1231" s="346"/>
      <c r="M1231" s="346"/>
      <c r="N1231" s="346"/>
      <c r="O1231" s="346"/>
      <c r="P1231" s="346"/>
      <c r="Q1231" s="346"/>
      <c r="R1231" s="346"/>
      <c r="S1231" s="346"/>
      <c r="T1231" s="346"/>
      <c r="U1231" s="346"/>
      <c r="V1231" s="126"/>
      <c r="W1231" s="1627"/>
      <c r="X1231" s="1627"/>
      <c r="Y1231" s="1628"/>
      <c r="Z1231" s="1628">
        <v>0</v>
      </c>
      <c r="AA1231" s="1628">
        <v>0</v>
      </c>
      <c r="AB1231" s="1628">
        <v>0</v>
      </c>
      <c r="AC1231" s="1628">
        <v>0</v>
      </c>
      <c r="AD1231" s="1628">
        <v>0</v>
      </c>
      <c r="AE1231" s="1628">
        <v>0</v>
      </c>
      <c r="AF1231" s="1628">
        <f>FISCinyear!IM910</f>
        <v>0</v>
      </c>
      <c r="AG1231" s="1628">
        <f>FISCinyear!IP910</f>
        <v>0</v>
      </c>
      <c r="AH1231" s="1628">
        <f>FISCinyear!IS910</f>
        <v>-88.54703108999999</v>
      </c>
      <c r="AI1231" s="1628">
        <f>FISCinyear!IV910</f>
        <v>-30.788626076999996</v>
      </c>
      <c r="AJ1231" s="1628">
        <f>AJ1232+AJ1233</f>
        <v>-30.74256080036</v>
      </c>
      <c r="AK1231" s="1628">
        <f t="shared" ref="AK1231:AM1231" si="1495">AK1232+AK1233</f>
        <v>-2.6425941773600004</v>
      </c>
      <c r="AL1231" s="1628">
        <f t="shared" si="1495"/>
        <v>-5.0980660323600002</v>
      </c>
      <c r="AM1231" s="1628">
        <f t="shared" si="1495"/>
        <v>-5.4532643863600008</v>
      </c>
      <c r="AN1231" s="1628">
        <f t="shared" ref="AN1231:AO1231" si="1496">AN1232+AN1233</f>
        <v>-5.8816372933600007</v>
      </c>
      <c r="AO1231" s="1628">
        <f t="shared" si="1496"/>
        <v>-6.3527746293600007</v>
      </c>
      <c r="AP1231" s="1628">
        <f t="shared" ref="AP1231:AT1231" si="1497">AP1232+AP1233</f>
        <v>-6.900110777360001</v>
      </c>
      <c r="AQ1231" s="1628">
        <f t="shared" si="1497"/>
        <v>-7.5246394813600004</v>
      </c>
      <c r="AR1231" s="1628">
        <f t="shared" si="1497"/>
        <v>-8.2510995533600013</v>
      </c>
      <c r="AS1231" s="1628">
        <f t="shared" si="1497"/>
        <v>-9.075786711360001</v>
      </c>
      <c r="AT1231" s="1628">
        <f t="shared" si="1497"/>
        <v>-2.6425941773600004</v>
      </c>
      <c r="AV1231" s="2168"/>
      <c r="AW1231" s="2168"/>
      <c r="AX1231" s="2168"/>
      <c r="AY1231" s="2168"/>
      <c r="AZ1231" s="2168"/>
      <c r="BA1231" s="2168"/>
      <c r="BB1231" s="2168"/>
      <c r="BC1231" s="2168"/>
      <c r="BD1231" s="2168"/>
      <c r="BE1231" s="2168"/>
      <c r="BF1231" s="2168"/>
      <c r="BG1231" s="2168"/>
      <c r="BH1231" s="2167"/>
    </row>
    <row r="1232" spans="1:60">
      <c r="A1232" s="1"/>
      <c r="B1232" s="1"/>
      <c r="C1232" s="1"/>
      <c r="D1232" s="1678" t="s">
        <v>3232</v>
      </c>
      <c r="E1232" s="169"/>
      <c r="F1232" s="346"/>
      <c r="G1232" s="346"/>
      <c r="H1232" s="346"/>
      <c r="I1232" s="346"/>
      <c r="J1232" s="346"/>
      <c r="K1232" s="346"/>
      <c r="L1232" s="346"/>
      <c r="M1232" s="346"/>
      <c r="N1232" s="346"/>
      <c r="O1232" s="346"/>
      <c r="P1232" s="346"/>
      <c r="Q1232" s="346"/>
      <c r="R1232" s="346"/>
      <c r="S1232" s="346"/>
      <c r="T1232" s="346"/>
      <c r="U1232" s="346"/>
      <c r="V1232" s="126"/>
      <c r="W1232" s="1627"/>
      <c r="X1232" s="1627"/>
      <c r="Y1232" s="1628"/>
      <c r="Z1232" s="1628">
        <v>0</v>
      </c>
      <c r="AA1232" s="1628">
        <v>0</v>
      </c>
      <c r="AB1232" s="1628">
        <v>0</v>
      </c>
      <c r="AC1232" s="1628">
        <v>0</v>
      </c>
      <c r="AD1232" s="1628">
        <v>0</v>
      </c>
      <c r="AE1232" s="1628">
        <v>0</v>
      </c>
      <c r="AF1232" s="1628">
        <f>FISCinyear!IM911</f>
        <v>0</v>
      </c>
      <c r="AG1232" s="1628">
        <f>FISCinyear!IP911</f>
        <v>0</v>
      </c>
      <c r="AH1232" s="1628">
        <f>FISCinyear!IS911</f>
        <v>0</v>
      </c>
      <c r="AI1232" s="1628">
        <f>FISCinyear!IV911</f>
        <v>0</v>
      </c>
      <c r="AJ1232" s="1628">
        <v>0</v>
      </c>
      <c r="AK1232" s="1628">
        <v>0</v>
      </c>
      <c r="AL1232" s="1628">
        <v>0</v>
      </c>
      <c r="AM1232" s="1628">
        <v>0</v>
      </c>
      <c r="AN1232" s="1628">
        <v>0</v>
      </c>
      <c r="AO1232" s="1628">
        <v>0</v>
      </c>
      <c r="AP1232" s="1628">
        <v>0</v>
      </c>
      <c r="AQ1232" s="1628">
        <v>0</v>
      </c>
      <c r="AR1232" s="1628">
        <v>0</v>
      </c>
      <c r="AS1232" s="1628">
        <v>0</v>
      </c>
      <c r="AT1232" s="1628">
        <v>0</v>
      </c>
      <c r="AV1232" s="2168"/>
      <c r="AW1232" s="2168"/>
      <c r="AX1232" s="2168"/>
      <c r="AY1232" s="2168"/>
      <c r="AZ1232" s="2168"/>
      <c r="BA1232" s="2168"/>
      <c r="BB1232" s="2168"/>
      <c r="BC1232" s="2168"/>
      <c r="BD1232" s="2168"/>
      <c r="BE1232" s="2168"/>
      <c r="BF1232" s="2168"/>
      <c r="BG1232" s="2168"/>
      <c r="BH1232" s="2167"/>
    </row>
    <row r="1233" spans="1:60">
      <c r="A1233" s="1"/>
      <c r="B1233" s="1"/>
      <c r="C1233" s="1"/>
      <c r="D1233" s="1678" t="s">
        <v>3233</v>
      </c>
      <c r="E1233" s="169"/>
      <c r="F1233" s="346"/>
      <c r="G1233" s="346"/>
      <c r="H1233" s="346"/>
      <c r="I1233" s="346"/>
      <c r="J1233" s="346"/>
      <c r="K1233" s="346"/>
      <c r="L1233" s="346"/>
      <c r="M1233" s="346"/>
      <c r="N1233" s="346"/>
      <c r="O1233" s="346"/>
      <c r="P1233" s="346"/>
      <c r="Q1233" s="346"/>
      <c r="R1233" s="346"/>
      <c r="S1233" s="346"/>
      <c r="T1233" s="346"/>
      <c r="U1233" s="346"/>
      <c r="V1233" s="126"/>
      <c r="W1233" s="1627"/>
      <c r="X1233" s="1627"/>
      <c r="Y1233" s="1628"/>
      <c r="Z1233" s="1628">
        <v>0</v>
      </c>
      <c r="AA1233" s="1628">
        <v>0</v>
      </c>
      <c r="AB1233" s="1628">
        <v>0</v>
      </c>
      <c r="AC1233" s="1628">
        <v>0</v>
      </c>
      <c r="AD1233" s="1628">
        <v>0</v>
      </c>
      <c r="AE1233" s="1628">
        <v>0</v>
      </c>
      <c r="AF1233" s="1628">
        <f>FISCinyear!IM912</f>
        <v>0</v>
      </c>
      <c r="AG1233" s="1628">
        <f>FISCinyear!IP912</f>
        <v>0</v>
      </c>
      <c r="AH1233" s="1628">
        <f>FISCinyear!IS912</f>
        <v>-88.54703108999999</v>
      </c>
      <c r="AI1233" s="1628">
        <f>FISCinyear!IV912</f>
        <v>-30.788626076999996</v>
      </c>
      <c r="AJ1233" s="573">
        <f>-SUM('PRINCIPAL DOMDEBT'!K4:K10)/1000000000</f>
        <v>-30.74256080036</v>
      </c>
      <c r="AK1233" s="573">
        <f>-SUM('PRINCIPAL DOMDEBT'!N4:N10)/1000000000</f>
        <v>-2.6425941773600004</v>
      </c>
      <c r="AL1233" s="573">
        <f>-SUM('PRINCIPAL DOMDEBT'!Q4:Q10)/1000000000</f>
        <v>-5.0980660323600002</v>
      </c>
      <c r="AM1233" s="573">
        <f>-SUM('PRINCIPAL DOMDEBT'!T4:T10)/1000000000</f>
        <v>-5.4532643863600008</v>
      </c>
      <c r="AN1233" s="573">
        <f>-SUM('PRINCIPAL DOMDEBT'!W4:W10)/1000000000</f>
        <v>-5.8816372933600007</v>
      </c>
      <c r="AO1233" s="573">
        <f>-SUM('PRINCIPAL DOMDEBT'!Z4:Z10)/1000000000</f>
        <v>-6.3527746293600007</v>
      </c>
      <c r="AP1233" s="573">
        <f>-SUM('PRINCIPAL DOMDEBT'!AC4:AC10)/1000000000</f>
        <v>-6.900110777360001</v>
      </c>
      <c r="AQ1233" s="573">
        <f>-SUM('PRINCIPAL DOMDEBT'!AF4:AF10)/1000000000</f>
        <v>-7.5246394813600004</v>
      </c>
      <c r="AR1233" s="573">
        <f>-SUM('PRINCIPAL DOMDEBT'!AI4:AI10)/1000000000</f>
        <v>-8.2510995533600013</v>
      </c>
      <c r="AS1233" s="573">
        <f>-SUM('PRINCIPAL DOMDEBT'!AL4:AL10)/1000000000</f>
        <v>-9.075786711360001</v>
      </c>
      <c r="AT1233" s="573">
        <f>-SUM('PRINCIPAL DOMDEBT'!AO4:AO10)/1000000000</f>
        <v>-2.6425941773600004</v>
      </c>
      <c r="AV1233" s="2168"/>
      <c r="AW1233" s="2168"/>
      <c r="AX1233" s="2168"/>
      <c r="AY1233" s="2168"/>
      <c r="AZ1233" s="2168"/>
      <c r="BA1233" s="2168"/>
      <c r="BB1233" s="2168"/>
      <c r="BC1233" s="2168"/>
      <c r="BD1233" s="2168"/>
      <c r="BE1233" s="2168"/>
      <c r="BF1233" s="2168"/>
      <c r="BG1233" s="2168"/>
      <c r="BH1233" s="2167"/>
    </row>
    <row r="1234" spans="1:60">
      <c r="A1234" s="1"/>
      <c r="B1234" s="1"/>
      <c r="C1234" s="1"/>
      <c r="D1234" s="1680" t="s">
        <v>3236</v>
      </c>
      <c r="E1234" s="169"/>
      <c r="F1234" s="346"/>
      <c r="G1234" s="346"/>
      <c r="H1234" s="346"/>
      <c r="I1234" s="346"/>
      <c r="J1234" s="346"/>
      <c r="K1234" s="346"/>
      <c r="L1234" s="346"/>
      <c r="M1234" s="346"/>
      <c r="N1234" s="346"/>
      <c r="O1234" s="346"/>
      <c r="P1234" s="346"/>
      <c r="Q1234" s="346"/>
      <c r="R1234" s="346"/>
      <c r="S1234" s="346"/>
      <c r="T1234" s="346"/>
      <c r="U1234" s="346"/>
      <c r="V1234" s="126"/>
      <c r="W1234" s="1627"/>
      <c r="X1234" s="1627"/>
      <c r="Y1234" s="1628"/>
      <c r="Z1234" s="1628">
        <v>0</v>
      </c>
      <c r="AA1234" s="1628">
        <v>0</v>
      </c>
      <c r="AB1234" s="1628">
        <v>0</v>
      </c>
      <c r="AC1234" s="1628">
        <v>0</v>
      </c>
      <c r="AD1234" s="1628">
        <v>0</v>
      </c>
      <c r="AE1234" s="1628">
        <v>-38.554066509999998</v>
      </c>
      <c r="AF1234" s="1628">
        <f>FISCinyear!IM915</f>
        <v>0</v>
      </c>
      <c r="AG1234" s="1628">
        <f>FISCinyear!IP915</f>
        <v>0</v>
      </c>
      <c r="AH1234" s="1628">
        <f>FISCinyear!IS915</f>
        <v>-133.55500000000001</v>
      </c>
      <c r="AI1234" s="1628">
        <f>FISCinyear!IV915</f>
        <v>-65</v>
      </c>
      <c r="AJ1234" s="573">
        <f>(-'PRINCIPAL DOMDEBT'!K3)/1000000000-AJ1233-572125000/1000000000</f>
        <v>-65.572125</v>
      </c>
      <c r="AK1234" s="573">
        <f>(-'PRINCIPAL DOMDEBT'!N3)/1000000000-AK1233</f>
        <v>-124.28362</v>
      </c>
      <c r="AL1234" s="573">
        <f>(-'PRINCIPAL DOMDEBT'!Q3)/1000000000-AL1233</f>
        <v>-83.84790000000001</v>
      </c>
      <c r="AM1234" s="573">
        <f>(-'PRINCIPAL DOMDEBT'!T3)/1000000000-AM1233</f>
        <v>-158.28469999999999</v>
      </c>
      <c r="AN1234" s="573">
        <f>(-'PRINCIPAL DOMDEBT'!W3)/1000000000-AN1233</f>
        <v>-90</v>
      </c>
      <c r="AO1234" s="573">
        <f>(-'PRINCIPAL DOMDEBT'!Z3)/1000000000-AO1233</f>
        <v>-142.97819999999999</v>
      </c>
      <c r="AP1234" s="573">
        <f>(-'PRINCIPAL DOMDEBT'!AC3)/1000000000-AP1233</f>
        <v>-148.53049999999999</v>
      </c>
      <c r="AQ1234" s="573">
        <f>(-'PRINCIPAL DOMDEBT'!AF3)/1000000000-AQ1233</f>
        <v>-149.19269999999997</v>
      </c>
      <c r="AR1234" s="573">
        <f>(-'PRINCIPAL DOMDEBT'!AI3)/1000000000-AR1233</f>
        <v>-32.563200000000002</v>
      </c>
      <c r="AS1234" s="573">
        <f>(-'PRINCIPAL DOMDEBT'!AL3)/1000000000-AS1233</f>
        <v>-70</v>
      </c>
      <c r="AT1234" s="573">
        <f>(-'PRINCIPAL DOMDEBT'!AO3)/1000000000-AT1233</f>
        <v>-135</v>
      </c>
      <c r="AV1234" s="2168"/>
      <c r="AW1234" s="2168"/>
      <c r="AX1234" s="2168"/>
      <c r="AY1234" s="2168"/>
      <c r="AZ1234" s="2168"/>
      <c r="BA1234" s="2168"/>
      <c r="BB1234" s="2168"/>
      <c r="BC1234" s="2168"/>
      <c r="BD1234" s="2168"/>
      <c r="BE1234" s="2168"/>
      <c r="BF1234" s="2168"/>
      <c r="BG1234" s="2168"/>
      <c r="BH1234" s="2167"/>
    </row>
    <row r="1235" spans="1:60" ht="11.25" customHeight="1">
      <c r="A1235" s="1"/>
      <c r="B1235" s="1"/>
      <c r="C1235" s="1"/>
      <c r="D1235" s="1607" t="s">
        <v>3133</v>
      </c>
      <c r="E1235" s="346"/>
      <c r="F1235" s="346"/>
      <c r="G1235" s="346"/>
      <c r="H1235" s="346"/>
      <c r="I1235" s="346"/>
      <c r="J1235" s="346"/>
      <c r="K1235" s="346"/>
      <c r="L1235" s="346"/>
      <c r="M1235" s="346"/>
      <c r="N1235" s="346"/>
      <c r="O1235" s="346"/>
      <c r="P1235" s="346"/>
      <c r="Q1235" s="346"/>
      <c r="R1235" s="346"/>
      <c r="S1235" s="346"/>
      <c r="T1235" s="346"/>
      <c r="U1235" s="346"/>
      <c r="V1235" s="126"/>
      <c r="W1235" s="1627"/>
      <c r="X1235" s="1627"/>
      <c r="Y1235" s="1628">
        <f>FISCinyear!ID916</f>
        <v>0</v>
      </c>
      <c r="Z1235" s="1628">
        <f>FISCinyear!IE916</f>
        <v>0</v>
      </c>
      <c r="AA1235" s="1628">
        <f>FISCinyear!IF916</f>
        <v>0</v>
      </c>
      <c r="AB1235" s="1628">
        <f>FISCinyear!IG916</f>
        <v>0</v>
      </c>
      <c r="AC1235" s="1628">
        <f>FISCinyear!IH916</f>
        <v>0</v>
      </c>
      <c r="AD1235" s="1628">
        <f>FISCinyear!II916</f>
        <v>0</v>
      </c>
      <c r="AE1235" s="1628">
        <f>FISCinyear!IJ916</f>
        <v>0</v>
      </c>
      <c r="AF1235" s="1628">
        <f>FISCinyear!IM916</f>
        <v>0</v>
      </c>
      <c r="AG1235" s="1628">
        <f>FISCinyear!IP916</f>
        <v>0</v>
      </c>
      <c r="AH1235" s="1628">
        <f>FISCinyear!IS916</f>
        <v>0</v>
      </c>
      <c r="AI1235" s="1628">
        <f>FISCinyear!IV916</f>
        <v>0</v>
      </c>
      <c r="AJ1235" s="1628">
        <v>0</v>
      </c>
      <c r="AK1235" s="1628">
        <v>0</v>
      </c>
      <c r="AL1235" s="1628">
        <v>0</v>
      </c>
      <c r="AM1235" s="1628">
        <v>0</v>
      </c>
      <c r="AN1235" s="1628">
        <v>0</v>
      </c>
      <c r="AO1235" s="1628">
        <v>0</v>
      </c>
      <c r="AP1235" s="1628">
        <v>0</v>
      </c>
      <c r="AQ1235" s="1628">
        <v>0</v>
      </c>
      <c r="AR1235" s="1628">
        <v>0</v>
      </c>
      <c r="AS1235" s="1628">
        <v>0</v>
      </c>
      <c r="AT1235" s="1628">
        <v>0</v>
      </c>
      <c r="AV1235" s="2168"/>
      <c r="AW1235" s="2168"/>
      <c r="AX1235" s="2168"/>
      <c r="AY1235" s="2168"/>
      <c r="AZ1235" s="2168"/>
      <c r="BA1235" s="2168"/>
      <c r="BB1235" s="2168"/>
      <c r="BC1235" s="2168"/>
      <c r="BD1235" s="2168"/>
      <c r="BE1235" s="2168"/>
      <c r="BF1235" s="2168"/>
      <c r="BG1235" s="2168"/>
      <c r="BH1235" s="2167"/>
    </row>
    <row r="1236" spans="1:60" ht="11.25" customHeight="1">
      <c r="A1236" s="1"/>
      <c r="B1236" s="1"/>
      <c r="C1236" s="1"/>
      <c r="D1236" s="382" t="s">
        <v>3134</v>
      </c>
      <c r="E1236" s="346"/>
      <c r="F1236" s="346"/>
      <c r="G1236" s="346"/>
      <c r="H1236" s="346"/>
      <c r="I1236" s="346"/>
      <c r="J1236" s="346"/>
      <c r="K1236" s="346"/>
      <c r="L1236" s="346"/>
      <c r="M1236" s="346"/>
      <c r="N1236" s="346"/>
      <c r="O1236" s="346"/>
      <c r="P1236" s="346"/>
      <c r="Q1236" s="346"/>
      <c r="R1236" s="346"/>
      <c r="S1236" s="346"/>
      <c r="T1236" s="346"/>
      <c r="U1236" s="346"/>
      <c r="V1236" s="126"/>
      <c r="W1236" s="1627"/>
      <c r="X1236" s="1627"/>
      <c r="Y1236" s="1628"/>
      <c r="Z1236" s="1628">
        <v>0</v>
      </c>
      <c r="AA1236" s="1628">
        <v>0</v>
      </c>
      <c r="AB1236" s="1628">
        <v>0</v>
      </c>
      <c r="AC1236" s="1628">
        <v>0</v>
      </c>
      <c r="AD1236" s="1628">
        <v>0</v>
      </c>
      <c r="AE1236" s="1628">
        <v>0</v>
      </c>
      <c r="AF1236" s="1628">
        <f>FISCinyear!IM917</f>
        <v>0</v>
      </c>
      <c r="AG1236" s="1628">
        <f>FISCinyear!IP917</f>
        <v>0</v>
      </c>
      <c r="AH1236" s="1628">
        <f>FISCinyear!IS917</f>
        <v>0</v>
      </c>
      <c r="AI1236" s="1628">
        <f>FISCinyear!IV917</f>
        <v>0</v>
      </c>
      <c r="AJ1236" s="1628">
        <v>0</v>
      </c>
      <c r="AK1236" s="1628">
        <v>0</v>
      </c>
      <c r="AL1236" s="1628">
        <v>0</v>
      </c>
      <c r="AM1236" s="1628">
        <v>0</v>
      </c>
      <c r="AN1236" s="1628">
        <v>0</v>
      </c>
      <c r="AO1236" s="1628">
        <v>0</v>
      </c>
      <c r="AP1236" s="1628">
        <v>0</v>
      </c>
      <c r="AQ1236" s="1628">
        <v>0</v>
      </c>
      <c r="AR1236" s="1628">
        <v>0</v>
      </c>
      <c r="AS1236" s="1628">
        <v>0</v>
      </c>
      <c r="AT1236" s="1628">
        <v>0</v>
      </c>
      <c r="AV1236" s="2168"/>
      <c r="AW1236" s="2168"/>
      <c r="AX1236" s="2168"/>
      <c r="AY1236" s="2168"/>
      <c r="AZ1236" s="2168"/>
      <c r="BA1236" s="2168"/>
      <c r="BB1236" s="2168"/>
      <c r="BC1236" s="2168"/>
      <c r="BD1236" s="2168"/>
      <c r="BE1236" s="2168"/>
      <c r="BF1236" s="2168"/>
      <c r="BG1236" s="2168"/>
      <c r="BH1236" s="2167"/>
    </row>
    <row r="1237" spans="1:60" ht="11.25" customHeight="1">
      <c r="A1237" s="1"/>
      <c r="B1237" s="1"/>
      <c r="C1237" s="1"/>
      <c r="D1237" s="382" t="s">
        <v>3135</v>
      </c>
      <c r="E1237" s="346"/>
      <c r="F1237" s="346"/>
      <c r="G1237" s="346"/>
      <c r="H1237" s="346"/>
      <c r="I1237" s="346"/>
      <c r="J1237" s="346"/>
      <c r="K1237" s="346"/>
      <c r="L1237" s="346"/>
      <c r="M1237" s="346"/>
      <c r="N1237" s="346"/>
      <c r="O1237" s="346"/>
      <c r="P1237" s="346"/>
      <c r="Q1237" s="346"/>
      <c r="R1237" s="346"/>
      <c r="S1237" s="346"/>
      <c r="T1237" s="346"/>
      <c r="U1237" s="346"/>
      <c r="V1237" s="126"/>
      <c r="W1237" s="1627"/>
      <c r="X1237" s="1627"/>
      <c r="Y1237" s="1628"/>
      <c r="Z1237" s="1628">
        <v>0</v>
      </c>
      <c r="AA1237" s="1628">
        <v>0</v>
      </c>
      <c r="AB1237" s="1628">
        <v>0</v>
      </c>
      <c r="AC1237" s="1628">
        <v>0</v>
      </c>
      <c r="AD1237" s="1628">
        <v>0</v>
      </c>
      <c r="AE1237" s="1628">
        <v>0</v>
      </c>
      <c r="AF1237" s="1628">
        <f>FISCinyear!IM918</f>
        <v>0</v>
      </c>
      <c r="AG1237" s="1628">
        <f>FISCinyear!IP918</f>
        <v>0</v>
      </c>
      <c r="AH1237" s="1628">
        <f>FISCinyear!IS918</f>
        <v>0</v>
      </c>
      <c r="AI1237" s="1628">
        <f>FISCinyear!IV918</f>
        <v>0</v>
      </c>
      <c r="AJ1237" s="1628">
        <v>0</v>
      </c>
      <c r="AK1237" s="1628">
        <v>0</v>
      </c>
      <c r="AL1237" s="1628">
        <v>0</v>
      </c>
      <c r="AM1237" s="1628">
        <v>0</v>
      </c>
      <c r="AN1237" s="1628">
        <v>0</v>
      </c>
      <c r="AO1237" s="1628">
        <v>0</v>
      </c>
      <c r="AP1237" s="1628">
        <v>0</v>
      </c>
      <c r="AQ1237" s="1628">
        <v>0</v>
      </c>
      <c r="AR1237" s="1628">
        <v>0</v>
      </c>
      <c r="AS1237" s="1628">
        <v>0</v>
      </c>
      <c r="AT1237" s="1628">
        <v>0</v>
      </c>
      <c r="AV1237" s="2168"/>
      <c r="AW1237" s="2168"/>
      <c r="AX1237" s="2168"/>
      <c r="AY1237" s="2168"/>
      <c r="AZ1237" s="2168"/>
      <c r="BA1237" s="2168"/>
      <c r="BB1237" s="2168"/>
      <c r="BC1237" s="2168"/>
      <c r="BD1237" s="2168"/>
      <c r="BE1237" s="2168"/>
      <c r="BF1237" s="2168"/>
      <c r="BG1237" s="2168"/>
      <c r="BH1237" s="2167"/>
    </row>
    <row r="1238" spans="1:60">
      <c r="A1238" s="1"/>
      <c r="B1238" s="1"/>
      <c r="C1238" s="1"/>
      <c r="D1238" s="382" t="str">
        <f>+FISCinyear!D919</f>
        <v xml:space="preserve">Other accounts payable </v>
      </c>
      <c r="E1238" s="169" t="s">
        <v>688</v>
      </c>
      <c r="F1238" s="346"/>
      <c r="G1238" s="346"/>
      <c r="H1238" s="346"/>
      <c r="I1238" s="346"/>
      <c r="J1238" s="346"/>
      <c r="K1238" s="346"/>
      <c r="L1238" s="346"/>
      <c r="M1238" s="346"/>
      <c r="N1238" s="346"/>
      <c r="O1238" s="346"/>
      <c r="P1238" s="346"/>
      <c r="Q1238" s="346"/>
      <c r="R1238" s="346"/>
      <c r="S1238" s="346"/>
      <c r="T1238" s="346"/>
      <c r="U1238" s="346"/>
      <c r="V1238" s="126">
        <f>+V801</f>
        <v>-11.852389999999996</v>
      </c>
      <c r="W1238" s="1627">
        <f>+W801</f>
        <v>-13.7</v>
      </c>
      <c r="X1238" s="1627">
        <f>+X801</f>
        <v>-9.1000000000000014</v>
      </c>
      <c r="Y1238" s="1628">
        <f>FISCinyear!HR919</f>
        <v>1.0107814780000055</v>
      </c>
      <c r="Z1238" s="1628">
        <f>FISCinyear!HU919</f>
        <v>10.12355483799999</v>
      </c>
      <c r="AA1238" s="1628">
        <f>FISCinyear!HX919</f>
        <v>18.204791727000007</v>
      </c>
      <c r="AB1238" s="1628">
        <f>FISCinyear!IA919</f>
        <v>9.6447339529999851</v>
      </c>
      <c r="AC1238" s="1628">
        <f>FISCinyear!ID919</f>
        <v>34.873465498000002</v>
      </c>
      <c r="AD1238" s="1628">
        <f>FISCinyear!IG919</f>
        <v>55.122620192000099</v>
      </c>
      <c r="AE1238" s="1628">
        <f>FISCinyear!IJ919</f>
        <v>-26.86274943799981</v>
      </c>
      <c r="AF1238" s="1628">
        <f>FISCinyear!IM919</f>
        <v>22.903275205</v>
      </c>
      <c r="AG1238" s="1628">
        <f>FISCinyear!IP919</f>
        <v>78.216961686572503</v>
      </c>
      <c r="AH1238" s="1628">
        <f>FISCinyear!IS919</f>
        <v>69.800000000000011</v>
      </c>
      <c r="AI1238" s="1628">
        <f>FISCinyear!IV919</f>
        <v>-84.384783959448697</v>
      </c>
      <c r="AJ1238" s="1627">
        <f>-40*2</f>
        <v>-80</v>
      </c>
      <c r="AK1238" s="1627">
        <f>-40</f>
        <v>-40</v>
      </c>
      <c r="AL1238" s="1627">
        <f>-40</f>
        <v>-40</v>
      </c>
      <c r="AM1238" s="1627">
        <f>40</f>
        <v>40</v>
      </c>
      <c r="AN1238" s="1627">
        <f>40</f>
        <v>40</v>
      </c>
      <c r="AO1238" s="1627">
        <f>40</f>
        <v>40</v>
      </c>
      <c r="AP1238" s="1627">
        <f>40</f>
        <v>40</v>
      </c>
      <c r="AQ1238" s="1627">
        <f>40</f>
        <v>40</v>
      </c>
      <c r="AR1238" s="1627">
        <f>40</f>
        <v>40</v>
      </c>
      <c r="AS1238" s="1627">
        <f>40</f>
        <v>40</v>
      </c>
      <c r="AT1238" s="1627">
        <f>40</f>
        <v>40</v>
      </c>
      <c r="AV1238" s="2168"/>
      <c r="AW1238" s="2168"/>
      <c r="AX1238" s="2168"/>
      <c r="AY1238" s="2168"/>
      <c r="AZ1238" s="2168"/>
      <c r="BA1238" s="2168"/>
      <c r="BB1238" s="2168"/>
      <c r="BC1238" s="2168"/>
      <c r="BD1238" s="2168"/>
      <c r="BE1238" s="2168"/>
      <c r="BF1238" s="2168"/>
      <c r="BG1238" s="2168"/>
      <c r="BH1238" s="2167"/>
    </row>
    <row r="1239" spans="1:60">
      <c r="A1239" s="1"/>
      <c r="B1239" s="1"/>
      <c r="C1239" s="1"/>
      <c r="D1239" s="381" t="str">
        <f>+FISCinyear!D920</f>
        <v xml:space="preserve">Foreign </v>
      </c>
      <c r="E1239" s="346"/>
      <c r="F1239" s="346"/>
      <c r="G1239" s="346"/>
      <c r="H1239" s="346"/>
      <c r="I1239" s="346"/>
      <c r="J1239" s="346"/>
      <c r="K1239" s="346"/>
      <c r="L1239" s="346"/>
      <c r="M1239" s="346"/>
      <c r="N1239" s="346"/>
      <c r="O1239" s="346"/>
      <c r="P1239" s="346"/>
      <c r="Q1239" s="346"/>
      <c r="R1239" s="346"/>
      <c r="S1239" s="346"/>
      <c r="T1239" s="346"/>
      <c r="U1239" s="346"/>
      <c r="V1239" s="1599">
        <f>+V1247</f>
        <v>68.531212730999997</v>
      </c>
      <c r="W1239" s="1627">
        <f>+W1247</f>
        <v>95</v>
      </c>
      <c r="X1239" s="1627">
        <f>+X1247</f>
        <v>0.69999999999999929</v>
      </c>
      <c r="Y1239" s="1625">
        <f>FISCinyear!HR920</f>
        <v>105.15691537273837</v>
      </c>
      <c r="Z1239" s="1625">
        <f>FISCinyear!HU920</f>
        <v>188.18657880623221</v>
      </c>
      <c r="AA1239" s="1625">
        <f>FISCinyear!HX920</f>
        <v>224.4081276596894</v>
      </c>
      <c r="AB1239" s="1625">
        <f>FISCinyear!IA920</f>
        <v>322.98893439137123</v>
      </c>
      <c r="AC1239" s="1625">
        <f>FISCinyear!ID920</f>
        <v>356.02913087722652</v>
      </c>
      <c r="AD1239" s="1625">
        <f>FISCinyear!IG920</f>
        <v>448.31196664374346</v>
      </c>
      <c r="AE1239" s="1625">
        <f>FISCinyear!IJ920</f>
        <v>954.0196915780989</v>
      </c>
      <c r="AF1239" s="1625">
        <f>FISCinyear!IM920</f>
        <v>657.27244012948665</v>
      </c>
      <c r="AG1239" s="1625">
        <f>FISCinyear!IP920</f>
        <v>1031.6527436893934</v>
      </c>
      <c r="AH1239" s="1625">
        <f>FISCinyear!IS920</f>
        <v>808.50862296057437</v>
      </c>
      <c r="AI1239" s="1625">
        <f>FISCinyear!IV920</f>
        <v>1307.214153385396</v>
      </c>
      <c r="AJ1239" s="1624">
        <f>+AJ1247+AJ1241+AJ1240</f>
        <v>1284.6235034647552</v>
      </c>
      <c r="AK1239" s="1624">
        <f>+AK1247+AK1241+AK1240</f>
        <v>1811.7874124057805</v>
      </c>
      <c r="AL1239" s="1624">
        <f>+AL1247+AL1241</f>
        <v>1632.665792872403</v>
      </c>
      <c r="AM1239" s="1624">
        <f>+AM1247+AM1241</f>
        <v>980.03698926803577</v>
      </c>
      <c r="AN1239" s="1624">
        <f t="shared" ref="AN1239:AT1239" si="1498">+AN1247+AN1241</f>
        <v>771.69311511147828</v>
      </c>
      <c r="AO1239" s="1624">
        <f t="shared" si="1498"/>
        <v>332.49382739956263</v>
      </c>
      <c r="AP1239" s="1624">
        <f t="shared" si="1498"/>
        <v>526.88951868742129</v>
      </c>
      <c r="AQ1239" s="1624">
        <f t="shared" si="1498"/>
        <v>-1503.8804376062551</v>
      </c>
      <c r="AR1239" s="1624">
        <f t="shared" si="1498"/>
        <v>-553.74600077372338</v>
      </c>
      <c r="AS1239" s="1624">
        <f t="shared" si="1498"/>
        <v>-723.02535981390565</v>
      </c>
      <c r="AT1239" s="1624">
        <f t="shared" si="1498"/>
        <v>-754.97172394636664</v>
      </c>
      <c r="AV1239" s="2168"/>
      <c r="AW1239" s="2168"/>
      <c r="AX1239" s="2168"/>
      <c r="AY1239" s="2168"/>
      <c r="AZ1239" s="2168"/>
      <c r="BA1239" s="2168"/>
      <c r="BB1239" s="2168"/>
      <c r="BC1239" s="2168"/>
      <c r="BD1239" s="2168"/>
      <c r="BE1239" s="2168"/>
      <c r="BF1239" s="2168"/>
      <c r="BG1239" s="2168"/>
      <c r="BH1239" s="2167"/>
    </row>
    <row r="1240" spans="1:60">
      <c r="A1240" s="1"/>
      <c r="B1240" s="1"/>
      <c r="C1240" s="1"/>
      <c r="D1240" s="1793" t="s">
        <v>3290</v>
      </c>
      <c r="E1240" s="346"/>
      <c r="F1240" s="346"/>
      <c r="G1240" s="346"/>
      <c r="H1240" s="346"/>
      <c r="I1240" s="346"/>
      <c r="J1240" s="346"/>
      <c r="K1240" s="346"/>
      <c r="L1240" s="346"/>
      <c r="M1240" s="346"/>
      <c r="N1240" s="346"/>
      <c r="O1240" s="346"/>
      <c r="P1240" s="346"/>
      <c r="Q1240" s="346"/>
      <c r="R1240" s="346"/>
      <c r="S1240" s="346"/>
      <c r="T1240" s="346"/>
      <c r="U1240" s="346"/>
      <c r="V1240" s="1599"/>
      <c r="W1240" s="1627"/>
      <c r="X1240" s="1627"/>
      <c r="Y1240" s="1625"/>
      <c r="Z1240" s="1625"/>
      <c r="AA1240" s="1625"/>
      <c r="AB1240" s="1625"/>
      <c r="AC1240" s="1625"/>
      <c r="AD1240" s="1625"/>
      <c r="AE1240" s="1625"/>
      <c r="AF1240" s="1625"/>
      <c r="AG1240" s="1625">
        <f>FISCinyear!IP921</f>
        <v>222.42967109467429</v>
      </c>
      <c r="AH1240" s="1625">
        <f>FISCinyear!IS921</f>
        <v>0</v>
      </c>
      <c r="AI1240" s="1625">
        <f>FISCinyear!IV921</f>
        <v>0</v>
      </c>
      <c r="AJ1240" s="1624"/>
      <c r="AK1240" s="1624"/>
      <c r="AL1240" s="1624"/>
      <c r="AM1240" s="1624"/>
      <c r="AN1240" s="1624"/>
      <c r="AO1240" s="1624"/>
      <c r="AP1240" s="1624"/>
      <c r="AQ1240" s="1624"/>
      <c r="AR1240" s="1624"/>
      <c r="AS1240" s="1624"/>
      <c r="AT1240" s="1624"/>
      <c r="AV1240" s="2168"/>
      <c r="AW1240" s="2168"/>
      <c r="AX1240" s="2168"/>
      <c r="AY1240" s="2168"/>
      <c r="AZ1240" s="2168"/>
      <c r="BA1240" s="2168"/>
      <c r="BB1240" s="2168"/>
      <c r="BC1240" s="2168"/>
      <c r="BD1240" s="2168"/>
      <c r="BE1240" s="2168"/>
      <c r="BF1240" s="2168"/>
      <c r="BG1240" s="2168"/>
      <c r="BH1240" s="2167"/>
    </row>
    <row r="1241" spans="1:60" ht="17.25" customHeight="1">
      <c r="A1241" s="1"/>
      <c r="B1241" s="1"/>
      <c r="C1241" s="1"/>
      <c r="D1241" s="1679" t="s">
        <v>3237</v>
      </c>
      <c r="E1241" s="346"/>
      <c r="F1241" s="346"/>
      <c r="G1241" s="346"/>
      <c r="H1241" s="346"/>
      <c r="I1241" s="346"/>
      <c r="J1241" s="346"/>
      <c r="K1241" s="346"/>
      <c r="L1241" s="346"/>
      <c r="M1241" s="346"/>
      <c r="N1241" s="346"/>
      <c r="O1241" s="346"/>
      <c r="P1241" s="346"/>
      <c r="Q1241" s="346"/>
      <c r="R1241" s="346"/>
      <c r="S1241" s="346"/>
      <c r="T1241" s="346"/>
      <c r="U1241" s="346"/>
      <c r="V1241" s="1599"/>
      <c r="W1241" s="1627"/>
      <c r="X1241" s="1624">
        <f t="shared" ref="X1241:AE1241" si="1499">X1243-X1245</f>
        <v>0</v>
      </c>
      <c r="Y1241" s="1624">
        <f t="shared" si="1499"/>
        <v>0</v>
      </c>
      <c r="Z1241" s="1624">
        <f t="shared" si="1499"/>
        <v>0</v>
      </c>
      <c r="AA1241" s="1624">
        <f t="shared" si="1499"/>
        <v>0</v>
      </c>
      <c r="AB1241" s="1624">
        <f t="shared" si="1499"/>
        <v>0</v>
      </c>
      <c r="AC1241" s="1624">
        <f t="shared" si="1499"/>
        <v>0</v>
      </c>
      <c r="AD1241" s="1624">
        <f t="shared" si="1499"/>
        <v>0</v>
      </c>
      <c r="AE1241" s="1624">
        <f t="shared" si="1499"/>
        <v>0</v>
      </c>
      <c r="AF1241" s="1624">
        <f>FISCinyear!IM922</f>
        <v>0</v>
      </c>
      <c r="AG1241" s="1624">
        <f>FISCinyear!IP922</f>
        <v>274.62635669999997</v>
      </c>
      <c r="AH1241" s="1624">
        <f>FISCinyear!IS922</f>
        <v>-68.114324774020005</v>
      </c>
      <c r="AI1241" s="1624">
        <f>FISCinyear!IV922</f>
        <v>0</v>
      </c>
      <c r="AJ1241" s="1624">
        <f>AJ1242-AJ1245</f>
        <v>0</v>
      </c>
      <c r="AK1241" s="1624">
        <f>AK1242-AK1245</f>
        <v>0</v>
      </c>
      <c r="AL1241" s="1624">
        <f>AL1243-AL1245</f>
        <v>0</v>
      </c>
      <c r="AM1241" s="1624">
        <f>AM1243-AM1245</f>
        <v>0</v>
      </c>
      <c r="AN1241" s="1624">
        <f t="shared" ref="AN1241:AT1241" si="1500">AN1243-AN1245</f>
        <v>0</v>
      </c>
      <c r="AO1241" s="1624">
        <f t="shared" si="1500"/>
        <v>0</v>
      </c>
      <c r="AP1241" s="1624">
        <f t="shared" si="1500"/>
        <v>0</v>
      </c>
      <c r="AQ1241" s="1624">
        <f t="shared" si="1500"/>
        <v>0</v>
      </c>
      <c r="AR1241" s="1624">
        <f t="shared" si="1500"/>
        <v>0</v>
      </c>
      <c r="AS1241" s="1624">
        <f t="shared" si="1500"/>
        <v>0</v>
      </c>
      <c r="AT1241" s="1624">
        <f t="shared" si="1500"/>
        <v>0</v>
      </c>
      <c r="AV1241" s="2168"/>
      <c r="AW1241" s="2168"/>
      <c r="AX1241" s="2168"/>
      <c r="AY1241" s="2168"/>
      <c r="AZ1241" s="2168"/>
      <c r="BA1241" s="2168"/>
      <c r="BB1241" s="2168"/>
      <c r="BC1241" s="2168"/>
      <c r="BD1241" s="2168"/>
      <c r="BE1241" s="2168"/>
      <c r="BF1241" s="2168"/>
      <c r="BG1241" s="2168"/>
      <c r="BH1241" s="2167"/>
    </row>
    <row r="1242" spans="1:60">
      <c r="A1242" s="1"/>
      <c r="B1242" s="1"/>
      <c r="C1242" s="1"/>
      <c r="D1242" s="1679" t="s">
        <v>3238</v>
      </c>
      <c r="E1242" s="346"/>
      <c r="F1242" s="346"/>
      <c r="G1242" s="346"/>
      <c r="H1242" s="346"/>
      <c r="I1242" s="346"/>
      <c r="J1242" s="346"/>
      <c r="K1242" s="346"/>
      <c r="L1242" s="346"/>
      <c r="M1242" s="346"/>
      <c r="N1242" s="346"/>
      <c r="O1242" s="346"/>
      <c r="P1242" s="346"/>
      <c r="Q1242" s="346"/>
      <c r="R1242" s="346"/>
      <c r="S1242" s="346"/>
      <c r="T1242" s="346"/>
      <c r="U1242" s="346"/>
      <c r="V1242" s="1599"/>
      <c r="W1242" s="1627"/>
      <c r="X1242" s="1625">
        <f t="shared" ref="X1242:AE1242" si="1501">X1243</f>
        <v>0</v>
      </c>
      <c r="Y1242" s="1625">
        <f t="shared" si="1501"/>
        <v>0</v>
      </c>
      <c r="Z1242" s="1625">
        <f t="shared" si="1501"/>
        <v>0</v>
      </c>
      <c r="AA1242" s="1625">
        <f t="shared" si="1501"/>
        <v>0</v>
      </c>
      <c r="AB1242" s="1625">
        <f t="shared" si="1501"/>
        <v>0</v>
      </c>
      <c r="AC1242" s="1625">
        <f t="shared" si="1501"/>
        <v>0</v>
      </c>
      <c r="AD1242" s="1625">
        <f t="shared" si="1501"/>
        <v>0</v>
      </c>
      <c r="AE1242" s="1625">
        <f t="shared" si="1501"/>
        <v>0</v>
      </c>
      <c r="AF1242" s="1625">
        <f>FISCinyear!IM923</f>
        <v>0</v>
      </c>
      <c r="AG1242" s="1625">
        <f>FISCinyear!IP923</f>
        <v>614.23347672</v>
      </c>
      <c r="AH1242" s="1625">
        <f>FISCinyear!IS923</f>
        <v>0</v>
      </c>
      <c r="AI1242" s="1625">
        <f>FISCinyear!IV923</f>
        <v>0</v>
      </c>
      <c r="AJ1242" s="1625">
        <f>AJ1243</f>
        <v>0</v>
      </c>
      <c r="AK1242" s="1625">
        <f>AK1243</f>
        <v>0</v>
      </c>
      <c r="AL1242" s="1625">
        <f>AL1243</f>
        <v>0</v>
      </c>
      <c r="AM1242" s="1625">
        <f>AM1243</f>
        <v>0</v>
      </c>
      <c r="AN1242" s="1625">
        <f t="shared" ref="AN1242:AT1242" si="1502">AN1243</f>
        <v>0</v>
      </c>
      <c r="AO1242" s="1625">
        <f>AO1243</f>
        <v>0</v>
      </c>
      <c r="AP1242" s="1625">
        <f t="shared" si="1502"/>
        <v>0</v>
      </c>
      <c r="AQ1242" s="1625">
        <f t="shared" si="1502"/>
        <v>0</v>
      </c>
      <c r="AR1242" s="1625">
        <f t="shared" si="1502"/>
        <v>0</v>
      </c>
      <c r="AS1242" s="1625">
        <f t="shared" si="1502"/>
        <v>0</v>
      </c>
      <c r="AT1242" s="1625">
        <f t="shared" si="1502"/>
        <v>0</v>
      </c>
      <c r="AV1242" s="2168"/>
      <c r="AW1242" s="2168"/>
      <c r="AX1242" s="2168"/>
      <c r="AY1242" s="2168"/>
      <c r="AZ1242" s="2168"/>
      <c r="BA1242" s="2168"/>
      <c r="BB1242" s="2168"/>
      <c r="BC1242" s="2168"/>
      <c r="BD1242" s="2168"/>
      <c r="BE1242" s="2168"/>
      <c r="BF1242" s="2168"/>
      <c r="BG1242" s="2168"/>
      <c r="BH1242" s="2167"/>
    </row>
    <row r="1243" spans="1:60">
      <c r="A1243" s="1"/>
      <c r="B1243" s="1"/>
      <c r="C1243" s="1"/>
      <c r="D1243" s="1681" t="s">
        <v>3241</v>
      </c>
      <c r="E1243" s="346"/>
      <c r="F1243" s="346"/>
      <c r="G1243" s="346"/>
      <c r="H1243" s="346"/>
      <c r="I1243" s="346"/>
      <c r="J1243" s="346"/>
      <c r="K1243" s="346"/>
      <c r="L1243" s="346"/>
      <c r="M1243" s="346"/>
      <c r="N1243" s="346"/>
      <c r="O1243" s="346"/>
      <c r="P1243" s="346"/>
      <c r="Q1243" s="346"/>
      <c r="R1243" s="346"/>
      <c r="S1243" s="346"/>
      <c r="T1243" s="346"/>
      <c r="U1243" s="346"/>
      <c r="V1243" s="1599"/>
      <c r="W1243" s="1627"/>
      <c r="X1243" s="1624">
        <f t="shared" ref="X1243:AE1243" si="1503">X67*X253/1000</f>
        <v>0</v>
      </c>
      <c r="Y1243" s="1624">
        <f t="shared" si="1503"/>
        <v>0</v>
      </c>
      <c r="Z1243" s="1624">
        <f t="shared" si="1503"/>
        <v>0</v>
      </c>
      <c r="AA1243" s="1624">
        <f t="shared" si="1503"/>
        <v>0</v>
      </c>
      <c r="AB1243" s="1624">
        <f t="shared" si="1503"/>
        <v>0</v>
      </c>
      <c r="AC1243" s="1624">
        <f t="shared" si="1503"/>
        <v>0</v>
      </c>
      <c r="AD1243" s="1624">
        <f t="shared" si="1503"/>
        <v>0</v>
      </c>
      <c r="AE1243" s="1624">
        <f t="shared" si="1503"/>
        <v>0</v>
      </c>
      <c r="AF1243" s="1624">
        <f>FISCinyear!IM924</f>
        <v>0</v>
      </c>
      <c r="AG1243" s="1624">
        <f>FISCinyear!IP924</f>
        <v>0</v>
      </c>
      <c r="AH1243" s="1624">
        <f>FISCinyear!IS924</f>
        <v>0</v>
      </c>
      <c r="AI1243" s="1624">
        <f>FISCinyear!IV924</f>
        <v>0</v>
      </c>
      <c r="AJ1243" s="1624">
        <v>0</v>
      </c>
      <c r="AK1243" s="1624">
        <v>0</v>
      </c>
      <c r="AL1243" s="1624">
        <v>0</v>
      </c>
      <c r="AM1243" s="1624">
        <v>0</v>
      </c>
      <c r="AN1243" s="1624">
        <v>0</v>
      </c>
      <c r="AO1243" s="1624">
        <v>0</v>
      </c>
      <c r="AP1243" s="1624">
        <v>0</v>
      </c>
      <c r="AQ1243" s="1624">
        <v>0</v>
      </c>
      <c r="AR1243" s="1624">
        <v>0</v>
      </c>
      <c r="AS1243" s="1624">
        <v>0</v>
      </c>
      <c r="AT1243" s="1624">
        <v>0</v>
      </c>
      <c r="AV1243" s="2168"/>
      <c r="AW1243" s="2168"/>
      <c r="AX1243" s="2168"/>
      <c r="AY1243" s="2168"/>
      <c r="AZ1243" s="2168"/>
      <c r="BA1243" s="2168"/>
      <c r="BB1243" s="2168"/>
      <c r="BC1243" s="2168"/>
      <c r="BD1243" s="2168"/>
      <c r="BE1243" s="2168"/>
      <c r="BF1243" s="2168"/>
      <c r="BG1243" s="2168"/>
      <c r="BH1243" s="2167"/>
    </row>
    <row r="1244" spans="1:60">
      <c r="A1244" s="1"/>
      <c r="B1244" s="1"/>
      <c r="C1244" s="1"/>
      <c r="D1244" s="1681" t="s">
        <v>3360</v>
      </c>
      <c r="E1244" s="346"/>
      <c r="F1244" s="346"/>
      <c r="G1244" s="346"/>
      <c r="H1244" s="346"/>
      <c r="I1244" s="346"/>
      <c r="J1244" s="346"/>
      <c r="K1244" s="346"/>
      <c r="L1244" s="346"/>
      <c r="M1244" s="346"/>
      <c r="N1244" s="346"/>
      <c r="O1244" s="346"/>
      <c r="P1244" s="346"/>
      <c r="Q1244" s="346"/>
      <c r="R1244" s="346"/>
      <c r="S1244" s="346"/>
      <c r="T1244" s="346"/>
      <c r="U1244" s="346"/>
      <c r="V1244" s="1599"/>
      <c r="W1244" s="1627"/>
      <c r="X1244" s="1624"/>
      <c r="Y1244" s="1624"/>
      <c r="Z1244" s="1624"/>
      <c r="AA1244" s="1624"/>
      <c r="AB1244" s="1624"/>
      <c r="AC1244" s="1624"/>
      <c r="AD1244" s="1624"/>
      <c r="AE1244" s="1624"/>
      <c r="AF1244" s="1624"/>
      <c r="AG1244" s="1624">
        <f>FISCinyear!IP925</f>
        <v>0</v>
      </c>
      <c r="AH1244" s="1624">
        <f>FISCinyear!IS925</f>
        <v>0</v>
      </c>
      <c r="AI1244" s="1624">
        <f>FISCinyear!IV925</f>
        <v>0</v>
      </c>
      <c r="AJ1244" s="1624"/>
      <c r="AK1244" s="1624"/>
      <c r="AL1244" s="1624"/>
      <c r="AM1244" s="1624"/>
      <c r="AN1244" s="1624"/>
      <c r="AO1244" s="1624"/>
      <c r="AP1244" s="1624"/>
      <c r="AQ1244" s="1624"/>
      <c r="AR1244" s="1624"/>
      <c r="AS1244" s="1624"/>
      <c r="AT1244" s="1624"/>
      <c r="AV1244" s="2168"/>
      <c r="AW1244" s="2168"/>
      <c r="AX1244" s="2168"/>
      <c r="AY1244" s="2168"/>
      <c r="AZ1244" s="2168"/>
      <c r="BA1244" s="2168"/>
      <c r="BB1244" s="2168"/>
      <c r="BC1244" s="2168"/>
      <c r="BD1244" s="2168"/>
      <c r="BE1244" s="2168"/>
      <c r="BF1244" s="2168"/>
      <c r="BG1244" s="2168"/>
      <c r="BH1244" s="2167"/>
    </row>
    <row r="1245" spans="1:60">
      <c r="A1245" s="1"/>
      <c r="B1245" s="1"/>
      <c r="C1245" s="1"/>
      <c r="D1245" s="1679" t="s">
        <v>3239</v>
      </c>
      <c r="E1245" s="346"/>
      <c r="F1245" s="346"/>
      <c r="G1245" s="346"/>
      <c r="H1245" s="346"/>
      <c r="I1245" s="346"/>
      <c r="J1245" s="346"/>
      <c r="K1245" s="346"/>
      <c r="L1245" s="346"/>
      <c r="M1245" s="346"/>
      <c r="N1245" s="346"/>
      <c r="O1245" s="346"/>
      <c r="P1245" s="346"/>
      <c r="Q1245" s="346"/>
      <c r="R1245" s="346"/>
      <c r="S1245" s="346"/>
      <c r="T1245" s="346"/>
      <c r="U1245" s="346"/>
      <c r="V1245" s="1599"/>
      <c r="W1245" s="1627"/>
      <c r="X1245" s="1624">
        <f t="shared" ref="X1245:AE1245" si="1504">X1246</f>
        <v>0</v>
      </c>
      <c r="Y1245" s="1624">
        <f t="shared" si="1504"/>
        <v>0</v>
      </c>
      <c r="Z1245" s="1624">
        <f t="shared" si="1504"/>
        <v>0</v>
      </c>
      <c r="AA1245" s="1624">
        <f t="shared" si="1504"/>
        <v>0</v>
      </c>
      <c r="AB1245" s="1624">
        <f t="shared" si="1504"/>
        <v>0</v>
      </c>
      <c r="AC1245" s="1624">
        <f t="shared" si="1504"/>
        <v>0</v>
      </c>
      <c r="AD1245" s="1624">
        <f t="shared" si="1504"/>
        <v>0</v>
      </c>
      <c r="AE1245" s="1624">
        <f t="shared" si="1504"/>
        <v>0</v>
      </c>
      <c r="AF1245" s="1624">
        <f>FISCinyear!IM926</f>
        <v>0</v>
      </c>
      <c r="AG1245" s="1624">
        <f>FISCinyear!IP926</f>
        <v>339.60712002000002</v>
      </c>
      <c r="AH1245" s="1624">
        <f>FISCinyear!IS926</f>
        <v>68.114324774020005</v>
      </c>
      <c r="AI1245" s="1624">
        <f>FISCinyear!IV926</f>
        <v>0</v>
      </c>
      <c r="AJ1245" s="1624">
        <f t="shared" ref="AJ1245:AT1245" si="1505">AJ1246</f>
        <v>0</v>
      </c>
      <c r="AK1245" s="1624">
        <f t="shared" si="1505"/>
        <v>0</v>
      </c>
      <c r="AL1245" s="1624">
        <f t="shared" si="1505"/>
        <v>0</v>
      </c>
      <c r="AM1245" s="1624">
        <f t="shared" si="1505"/>
        <v>0</v>
      </c>
      <c r="AN1245" s="1624">
        <f t="shared" si="1505"/>
        <v>0</v>
      </c>
      <c r="AO1245" s="1624">
        <f t="shared" si="1505"/>
        <v>0</v>
      </c>
      <c r="AP1245" s="1624">
        <f t="shared" si="1505"/>
        <v>0</v>
      </c>
      <c r="AQ1245" s="1624">
        <f t="shared" si="1505"/>
        <v>0</v>
      </c>
      <c r="AR1245" s="1624">
        <f t="shared" si="1505"/>
        <v>0</v>
      </c>
      <c r="AS1245" s="1624">
        <f t="shared" si="1505"/>
        <v>0</v>
      </c>
      <c r="AT1245" s="1624">
        <f t="shared" si="1505"/>
        <v>0</v>
      </c>
      <c r="AV1245" s="2168"/>
      <c r="AW1245" s="2168"/>
      <c r="AX1245" s="2168"/>
      <c r="AY1245" s="2168"/>
      <c r="AZ1245" s="2168"/>
      <c r="BA1245" s="2168"/>
      <c r="BB1245" s="2168"/>
      <c r="BC1245" s="2168"/>
      <c r="BD1245" s="2168"/>
      <c r="BE1245" s="2168"/>
      <c r="BF1245" s="2168"/>
      <c r="BG1245" s="2168"/>
      <c r="BH1245" s="2167"/>
    </row>
    <row r="1246" spans="1:60">
      <c r="A1246" s="1"/>
      <c r="B1246" s="1"/>
      <c r="C1246" s="1"/>
      <c r="D1246" s="1681" t="s">
        <v>3242</v>
      </c>
      <c r="E1246" s="346"/>
      <c r="F1246" s="346"/>
      <c r="G1246" s="346"/>
      <c r="H1246" s="346"/>
      <c r="I1246" s="346"/>
      <c r="J1246" s="346"/>
      <c r="K1246" s="346"/>
      <c r="L1246" s="346"/>
      <c r="M1246" s="346"/>
      <c r="N1246" s="346"/>
      <c r="O1246" s="346"/>
      <c r="P1246" s="346"/>
      <c r="Q1246" s="346"/>
      <c r="R1246" s="346"/>
      <c r="S1246" s="346"/>
      <c r="T1246" s="346"/>
      <c r="U1246" s="346"/>
      <c r="V1246" s="1599"/>
      <c r="W1246" s="1627"/>
      <c r="X1246" s="1627"/>
      <c r="Y1246" s="1625"/>
      <c r="Z1246" s="1628">
        <v>0</v>
      </c>
      <c r="AA1246" s="1628">
        <v>0</v>
      </c>
      <c r="AB1246" s="1628">
        <v>0</v>
      </c>
      <c r="AC1246" s="1628">
        <v>0</v>
      </c>
      <c r="AD1246" s="1628">
        <v>0</v>
      </c>
      <c r="AE1246" s="1628">
        <v>0</v>
      </c>
      <c r="AF1246" s="1628">
        <f>FISCinyear!IM927</f>
        <v>0</v>
      </c>
      <c r="AG1246" s="1628">
        <f>FISCinyear!IP927</f>
        <v>339.60712002000002</v>
      </c>
      <c r="AH1246" s="1628">
        <f>FISCinyear!IS927</f>
        <v>68.114324774020005</v>
      </c>
      <c r="AI1246" s="1628">
        <f>FISCinyear!IV927</f>
        <v>0</v>
      </c>
      <c r="AJ1246" s="1628">
        <f>AJ119*AJ253/1000</f>
        <v>0</v>
      </c>
      <c r="AK1246" s="1628">
        <f>AK119*AK253/1000</f>
        <v>0</v>
      </c>
      <c r="AL1246" s="1628">
        <f>AL119*AL253/1000</f>
        <v>0</v>
      </c>
      <c r="AM1246" s="1628">
        <f>AM119*AM253/1000</f>
        <v>0</v>
      </c>
      <c r="AN1246" s="1628">
        <f t="shared" ref="AN1246:AT1246" si="1506">AN119*AW254/1000</f>
        <v>0</v>
      </c>
      <c r="AO1246" s="1628">
        <f t="shared" si="1506"/>
        <v>0</v>
      </c>
      <c r="AP1246" s="1628">
        <f t="shared" si="1506"/>
        <v>0</v>
      </c>
      <c r="AQ1246" s="1628">
        <f t="shared" si="1506"/>
        <v>0</v>
      </c>
      <c r="AR1246" s="1628">
        <f t="shared" si="1506"/>
        <v>0</v>
      </c>
      <c r="AS1246" s="1628">
        <f t="shared" si="1506"/>
        <v>0</v>
      </c>
      <c r="AT1246" s="1628">
        <f t="shared" si="1506"/>
        <v>0</v>
      </c>
      <c r="AV1246" s="2168"/>
      <c r="AW1246" s="2168"/>
      <c r="AX1246" s="2168"/>
      <c r="AY1246" s="2168"/>
      <c r="AZ1246" s="2168"/>
      <c r="BA1246" s="2168"/>
      <c r="BB1246" s="2168"/>
      <c r="BC1246" s="2168"/>
      <c r="BD1246" s="2168"/>
      <c r="BE1246" s="2168"/>
      <c r="BF1246" s="2168"/>
      <c r="BG1246" s="2168"/>
      <c r="BH1246" s="2167"/>
    </row>
    <row r="1247" spans="1:60">
      <c r="A1247" s="1"/>
      <c r="B1247" s="1"/>
      <c r="C1247" s="1"/>
      <c r="D1247" s="382" t="str">
        <f>+FISCinyear!D928</f>
        <v xml:space="preserve">Loans </v>
      </c>
      <c r="E1247" s="346"/>
      <c r="F1247" s="346"/>
      <c r="G1247" s="346"/>
      <c r="H1247" s="346"/>
      <c r="I1247" s="346"/>
      <c r="J1247" s="346"/>
      <c r="K1247" s="346"/>
      <c r="L1247" s="346"/>
      <c r="M1247" s="346"/>
      <c r="N1247" s="346"/>
      <c r="O1247" s="346"/>
      <c r="P1247" s="346"/>
      <c r="Q1247" s="346"/>
      <c r="R1247" s="346"/>
      <c r="S1247" s="346"/>
      <c r="T1247" s="346"/>
      <c r="U1247" s="346"/>
      <c r="V1247" s="126">
        <f>+V1248+V1258</f>
        <v>68.531212730999997</v>
      </c>
      <c r="W1247" s="1627">
        <f>+W1248+W1258</f>
        <v>95</v>
      </c>
      <c r="X1247" s="1627">
        <f>+X1248+X1258</f>
        <v>0.69999999999999929</v>
      </c>
      <c r="Y1247" s="1628">
        <f>FISCinyear!HR928</f>
        <v>105.15691537273837</v>
      </c>
      <c r="Z1247" s="1628">
        <f>FISCinyear!HU928</f>
        <v>188.18657880623221</v>
      </c>
      <c r="AA1247" s="1628">
        <f>FISCinyear!HX928</f>
        <v>224.4081276596894</v>
      </c>
      <c r="AB1247" s="1628">
        <f>FISCinyear!IA928</f>
        <v>322.98893439137123</v>
      </c>
      <c r="AC1247" s="1628">
        <f>FISCinyear!ID928</f>
        <v>356.02913087722652</v>
      </c>
      <c r="AD1247" s="1628">
        <f>FISCinyear!IG928</f>
        <v>448.31196664374346</v>
      </c>
      <c r="AE1247" s="1628">
        <f>FISCinyear!IJ928</f>
        <v>954.0196915780989</v>
      </c>
      <c r="AF1247" s="1628">
        <f>FISCinyear!IM928</f>
        <v>657.27244012948665</v>
      </c>
      <c r="AG1247" s="1628">
        <f>FISCinyear!IP928</f>
        <v>534.5967158947193</v>
      </c>
      <c r="AH1247" s="1628">
        <f>FISCinyear!IS928</f>
        <v>876.62294773459439</v>
      </c>
      <c r="AI1247" s="1628">
        <f>FISCinyear!IV928</f>
        <v>1307.214153385396</v>
      </c>
      <c r="AJ1247" s="1627">
        <f t="shared" ref="AJ1247:AT1247" si="1507">AJ1248-AJ1258</f>
        <v>1284.6235034647552</v>
      </c>
      <c r="AK1247" s="1627">
        <f t="shared" si="1507"/>
        <v>1811.7874124057805</v>
      </c>
      <c r="AL1247" s="1628">
        <f t="shared" si="1507"/>
        <v>1632.665792872403</v>
      </c>
      <c r="AM1247" s="1628">
        <f t="shared" si="1507"/>
        <v>980.03698926803577</v>
      </c>
      <c r="AN1247" s="1628">
        <f t="shared" si="1507"/>
        <v>771.69311511147828</v>
      </c>
      <c r="AO1247" s="1628">
        <f>AO1248-AO1258</f>
        <v>332.49382739956263</v>
      </c>
      <c r="AP1247" s="1628">
        <f t="shared" si="1507"/>
        <v>526.88951868742129</v>
      </c>
      <c r="AQ1247" s="1628">
        <f t="shared" si="1507"/>
        <v>-1503.8804376062551</v>
      </c>
      <c r="AR1247" s="1628">
        <f t="shared" si="1507"/>
        <v>-553.74600077372338</v>
      </c>
      <c r="AS1247" s="1628">
        <f t="shared" si="1507"/>
        <v>-723.02535981390565</v>
      </c>
      <c r="AT1247" s="1628">
        <f t="shared" si="1507"/>
        <v>-754.97172394636664</v>
      </c>
      <c r="AV1247" s="2168"/>
      <c r="AW1247" s="2168"/>
      <c r="AX1247" s="2168"/>
      <c r="AY1247" s="2168"/>
      <c r="AZ1247" s="2168"/>
      <c r="BA1247" s="2168"/>
      <c r="BB1247" s="2168"/>
      <c r="BC1247" s="2168"/>
      <c r="BD1247" s="2168"/>
      <c r="BE1247" s="2168"/>
      <c r="BF1247" s="2168"/>
      <c r="BG1247" s="2168"/>
      <c r="BH1247" s="2167"/>
    </row>
    <row r="1248" spans="1:60">
      <c r="A1248" s="1"/>
      <c r="B1248" s="1"/>
      <c r="C1248" s="1"/>
      <c r="D1248" s="383" t="str">
        <f>+FISCinyear!D929</f>
        <v>Disbursements</v>
      </c>
      <c r="E1248" s="346"/>
      <c r="F1248" s="346"/>
      <c r="G1248" s="346"/>
      <c r="H1248" s="346"/>
      <c r="I1248" s="346"/>
      <c r="J1248" s="346"/>
      <c r="K1248" s="346"/>
      <c r="L1248" s="346"/>
      <c r="M1248" s="346"/>
      <c r="N1248" s="346"/>
      <c r="O1248" s="346"/>
      <c r="P1248" s="346"/>
      <c r="Q1248" s="346"/>
      <c r="R1248" s="346"/>
      <c r="S1248" s="346"/>
      <c r="T1248" s="346"/>
      <c r="U1248" s="346"/>
      <c r="V1248" s="126">
        <f>+V810</f>
        <v>76.410784410999995</v>
      </c>
      <c r="W1248" s="1627">
        <f>+W810</f>
        <v>104.7</v>
      </c>
      <c r="X1248" s="1627">
        <f>+X1249+X1255</f>
        <v>16.2</v>
      </c>
      <c r="Y1248" s="1628">
        <f>FISCinyear!HR929</f>
        <v>116.19554054391202</v>
      </c>
      <c r="Z1248" s="1628">
        <f>FISCinyear!HU929</f>
        <v>202.82364204301467</v>
      </c>
      <c r="AA1248" s="1628">
        <f>FISCinyear!HX929</f>
        <v>241.52958260440312</v>
      </c>
      <c r="AB1248" s="1628">
        <f>FISCinyear!IA929</f>
        <v>344.56951530948049</v>
      </c>
      <c r="AC1248" s="1628">
        <f>FISCinyear!ID929</f>
        <v>381.84688936314302</v>
      </c>
      <c r="AD1248" s="1628">
        <f>FISCinyear!IG929</f>
        <v>476.97697294179375</v>
      </c>
      <c r="AE1248" s="1628">
        <f>FISCinyear!IJ929</f>
        <v>1008.9224010840712</v>
      </c>
      <c r="AF1248" s="1628">
        <f>FISCinyear!IM929</f>
        <v>733.64168044408689</v>
      </c>
      <c r="AG1248" s="1628">
        <f>FISCinyear!IP929</f>
        <v>629.74779491723564</v>
      </c>
      <c r="AH1248" s="1628">
        <f>FISCinyear!IS929</f>
        <v>961.8386415433049</v>
      </c>
      <c r="AI1248" s="1628">
        <f>FISCinyear!IV929</f>
        <v>1431.9563672136446</v>
      </c>
      <c r="AJ1248" s="1627">
        <f t="shared" ref="AJ1248:AM1248" si="1508">AJ1249+AJ1255</f>
        <v>1472.7509103049756</v>
      </c>
      <c r="AK1248" s="1627">
        <f t="shared" si="1508"/>
        <v>2151.8547770401988</v>
      </c>
      <c r="AL1248" s="1627">
        <f t="shared" si="1508"/>
        <v>2118.895877510673</v>
      </c>
      <c r="AM1248" s="1627">
        <f t="shared" si="1508"/>
        <v>1589.388281077745</v>
      </c>
      <c r="AN1248" s="1627">
        <f t="shared" ref="AN1248:AT1248" si="1509">AN1249+AN1255</f>
        <v>1560.6660586667708</v>
      </c>
      <c r="AO1248" s="1627">
        <f>AO1249+AO1255</f>
        <v>1338.3568405397598</v>
      </c>
      <c r="AP1248" s="1627">
        <f t="shared" si="1509"/>
        <v>1597.8220055713796</v>
      </c>
      <c r="AQ1248" s="1627">
        <f t="shared" si="1509"/>
        <v>929.25206844361924</v>
      </c>
      <c r="AR1248" s="1627">
        <f t="shared" si="1509"/>
        <v>691.14370863817544</v>
      </c>
      <c r="AS1248" s="1627">
        <f t="shared" si="1509"/>
        <v>634.11153945674414</v>
      </c>
      <c r="AT1248" s="1627">
        <f t="shared" si="1509"/>
        <v>639.73417168982792</v>
      </c>
      <c r="AV1248" s="2168"/>
      <c r="AW1248" s="2168"/>
      <c r="AX1248" s="2168"/>
      <c r="AY1248" s="2168"/>
      <c r="AZ1248" s="2168"/>
      <c r="BA1248" s="2168"/>
      <c r="BB1248" s="2168"/>
      <c r="BC1248" s="2168"/>
      <c r="BD1248" s="2168"/>
      <c r="BE1248" s="2168"/>
      <c r="BF1248" s="2168"/>
      <c r="BG1248" s="2168"/>
      <c r="BH1248" s="2167"/>
    </row>
    <row r="1249" spans="1:60">
      <c r="A1249" s="1"/>
      <c r="B1249" s="1"/>
      <c r="C1249" s="1"/>
      <c r="D1249" s="386" t="str">
        <f>+FISCinyear!D930</f>
        <v xml:space="preserve">Current </v>
      </c>
      <c r="E1249" s="346"/>
      <c r="F1249" s="346"/>
      <c r="G1249" s="346"/>
      <c r="H1249" s="346"/>
      <c r="I1249" s="346"/>
      <c r="J1249" s="346"/>
      <c r="K1249" s="346"/>
      <c r="L1249" s="346"/>
      <c r="M1249" s="346"/>
      <c r="N1249" s="346"/>
      <c r="O1249" s="346"/>
      <c r="P1249" s="346"/>
      <c r="Q1249" s="346"/>
      <c r="R1249" s="346"/>
      <c r="S1249" s="346"/>
      <c r="T1249" s="346"/>
      <c r="U1249" s="346"/>
      <c r="V1249" s="126"/>
      <c r="W1249" s="1627"/>
      <c r="X1249" s="1627">
        <f>+X811</f>
        <v>16.2</v>
      </c>
      <c r="Y1249" s="1628">
        <f>FISCinyear!HR930</f>
        <v>49.486261138802</v>
      </c>
      <c r="Z1249" s="1628">
        <f>FISCinyear!HU930</f>
        <v>103.59044097524267</v>
      </c>
      <c r="AA1249" s="1628">
        <f>FISCinyear!HX930</f>
        <v>138.66156726277015</v>
      </c>
      <c r="AB1249" s="1628">
        <f>FISCinyear!IA930</f>
        <v>183.82033813965148</v>
      </c>
      <c r="AC1249" s="1628">
        <f>FISCinyear!ID930</f>
        <v>211.49647385698302</v>
      </c>
      <c r="AD1249" s="1628">
        <f>FISCinyear!IG930</f>
        <v>262.04850870218172</v>
      </c>
      <c r="AE1249" s="1628">
        <f>FISCinyear!IJ930</f>
        <v>720.95135038795513</v>
      </c>
      <c r="AF1249" s="1628">
        <f>FISCinyear!IM930</f>
        <v>343.07164259517788</v>
      </c>
      <c r="AG1249" s="1628">
        <f>FISCinyear!IP930</f>
        <v>218.09220876254562</v>
      </c>
      <c r="AH1249" s="1628">
        <f>FISCinyear!IS930</f>
        <v>535.3669076300398</v>
      </c>
      <c r="AI1249" s="1628">
        <f>FISCinyear!IV930</f>
        <v>791.94458221729565</v>
      </c>
      <c r="AJ1249" s="1627">
        <f>+((AI72+AJ65)*AJ$253/1000)+AJ1253</f>
        <v>864.07628736920913</v>
      </c>
      <c r="AK1249" s="1627">
        <f t="shared" ref="AK1249:AT1249" si="1510">+((AJ72+AK65)*AK$253/1000+AK1253)</f>
        <v>1529.5376053660839</v>
      </c>
      <c r="AL1249" s="1628">
        <f t="shared" si="1510"/>
        <v>1427.792134255667</v>
      </c>
      <c r="AM1249" s="1628">
        <f t="shared" si="1510"/>
        <v>831.48544004381017</v>
      </c>
      <c r="AN1249" s="1628">
        <f t="shared" si="1510"/>
        <v>693.77210826866508</v>
      </c>
      <c r="AO1249" s="1628">
        <f t="shared" si="1510"/>
        <v>359.65575636834785</v>
      </c>
      <c r="AP1249" s="1628">
        <f t="shared" si="1510"/>
        <v>585.52867510310864</v>
      </c>
      <c r="AQ1249" s="1628">
        <f t="shared" si="1510"/>
        <v>512.02699422824764</v>
      </c>
      <c r="AR1249" s="1628">
        <f t="shared" si="1510"/>
        <v>585.31296270639587</v>
      </c>
      <c r="AS1249" s="1628">
        <f t="shared" si="1510"/>
        <v>602.33159841086263</v>
      </c>
      <c r="AT1249" s="1628">
        <f t="shared" si="1510"/>
        <v>639.73417168982792</v>
      </c>
      <c r="AV1249" s="2168"/>
      <c r="AW1249" s="2168"/>
      <c r="AX1249" s="2168"/>
      <c r="AY1249" s="2168"/>
      <c r="AZ1249" s="2168"/>
      <c r="BA1249" s="2168"/>
      <c r="BB1249" s="2168"/>
      <c r="BC1249" s="2168"/>
      <c r="BD1249" s="2168"/>
      <c r="BE1249" s="2168"/>
      <c r="BF1249" s="2168"/>
      <c r="BG1249" s="2168"/>
      <c r="BH1249" s="2167"/>
    </row>
    <row r="1250" spans="1:60">
      <c r="A1250" s="1"/>
      <c r="B1250" s="1"/>
      <c r="C1250" s="1"/>
      <c r="D1250" s="1606" t="s">
        <v>3256</v>
      </c>
      <c r="E1250" s="346"/>
      <c r="F1250" s="346"/>
      <c r="G1250" s="346"/>
      <c r="H1250" s="346"/>
      <c r="I1250" s="346"/>
      <c r="J1250" s="346"/>
      <c r="K1250" s="346"/>
      <c r="L1250" s="346"/>
      <c r="M1250" s="346"/>
      <c r="N1250" s="346"/>
      <c r="O1250" s="346"/>
      <c r="P1250" s="346"/>
      <c r="Q1250" s="346"/>
      <c r="R1250" s="346"/>
      <c r="S1250" s="346"/>
      <c r="T1250" s="346"/>
      <c r="U1250" s="346"/>
      <c r="V1250" s="126"/>
      <c r="W1250" s="1627"/>
      <c r="X1250" s="1627"/>
      <c r="Y1250" s="1628"/>
      <c r="Z1250" s="1628">
        <f t="shared" ref="Z1250:AE1250" si="1511">(Y73+Z66)*Z253/1000</f>
        <v>0</v>
      </c>
      <c r="AA1250" s="1628">
        <f t="shared" si="1511"/>
        <v>0</v>
      </c>
      <c r="AB1250" s="1628">
        <f t="shared" si="1511"/>
        <v>0</v>
      </c>
      <c r="AC1250" s="1628">
        <f t="shared" si="1511"/>
        <v>0</v>
      </c>
      <c r="AD1250" s="1628">
        <f t="shared" si="1511"/>
        <v>0</v>
      </c>
      <c r="AE1250" s="1628">
        <f t="shared" si="1511"/>
        <v>0</v>
      </c>
      <c r="AF1250" s="1628">
        <f>FISCinyear!IM931</f>
        <v>0</v>
      </c>
      <c r="AG1250" s="1628">
        <f>FISCinyear!IP931</f>
        <v>0</v>
      </c>
      <c r="AH1250" s="1628">
        <f>FISCinyear!IS931</f>
        <v>0</v>
      </c>
      <c r="AI1250" s="1628">
        <f>FISCinyear!IV931</f>
        <v>0</v>
      </c>
      <c r="AJ1250" s="1628">
        <f>(AI73+AJ66)*AJ253/1000</f>
        <v>0</v>
      </c>
      <c r="AK1250" s="1628">
        <f>(AJ73+AK66)*AK253/1000</f>
        <v>0</v>
      </c>
      <c r="AL1250" s="1628">
        <f>(AK73+AL66)*AL253/1000</f>
        <v>0</v>
      </c>
      <c r="AM1250" s="1628">
        <f>(AL73+AM66)*AM253/1000</f>
        <v>0</v>
      </c>
      <c r="AN1250" s="1628">
        <f>(AM73+AN66)*AN253/1000</f>
        <v>0</v>
      </c>
      <c r="AO1250" s="1628">
        <f t="shared" ref="AO1250:AT1250" si="1512">(AN73+AO66)*AO254/1000</f>
        <v>0</v>
      </c>
      <c r="AP1250" s="1628">
        <f t="shared" si="1512"/>
        <v>0</v>
      </c>
      <c r="AQ1250" s="1628">
        <f t="shared" si="1512"/>
        <v>0</v>
      </c>
      <c r="AR1250" s="1628">
        <f t="shared" si="1512"/>
        <v>0</v>
      </c>
      <c r="AS1250" s="1628">
        <f t="shared" si="1512"/>
        <v>0</v>
      </c>
      <c r="AT1250" s="1628">
        <f t="shared" si="1512"/>
        <v>0</v>
      </c>
      <c r="AV1250" s="2168"/>
      <c r="AW1250" s="2168"/>
      <c r="AX1250" s="2168"/>
      <c r="AY1250" s="2168"/>
      <c r="AZ1250" s="2168"/>
      <c r="BA1250" s="2168"/>
      <c r="BB1250" s="2168"/>
      <c r="BC1250" s="2168"/>
      <c r="BD1250" s="2168"/>
      <c r="BE1250" s="2168"/>
      <c r="BF1250" s="2168"/>
      <c r="BG1250" s="2168"/>
      <c r="BH1250" s="2167"/>
    </row>
    <row r="1251" spans="1:60">
      <c r="A1251" s="1"/>
      <c r="B1251" s="1"/>
      <c r="C1251" s="1"/>
      <c r="D1251" s="1606" t="s">
        <v>3702</v>
      </c>
      <c r="E1251" s="346"/>
      <c r="F1251" s="346"/>
      <c r="G1251" s="346"/>
      <c r="H1251" s="346"/>
      <c r="I1251" s="346"/>
      <c r="J1251" s="346"/>
      <c r="K1251" s="346"/>
      <c r="L1251" s="346"/>
      <c r="M1251" s="346"/>
      <c r="N1251" s="346"/>
      <c r="O1251" s="346"/>
      <c r="P1251" s="346"/>
      <c r="Q1251" s="346"/>
      <c r="R1251" s="346"/>
      <c r="S1251" s="346"/>
      <c r="T1251" s="346"/>
      <c r="U1251" s="346"/>
      <c r="V1251" s="126"/>
      <c r="W1251" s="1627"/>
      <c r="X1251" s="1627"/>
      <c r="Y1251" s="1628"/>
      <c r="Z1251" s="1628"/>
      <c r="AA1251" s="1628"/>
      <c r="AB1251" s="1628"/>
      <c r="AC1251" s="1628"/>
      <c r="AD1251" s="1628"/>
      <c r="AE1251" s="1628"/>
      <c r="AF1251" s="1628"/>
      <c r="AG1251" s="1628"/>
      <c r="AH1251" s="1628"/>
      <c r="AI1251" s="1628"/>
      <c r="AJ1251" s="1609">
        <f>(AJ68+AI75)*AJ253/1000</f>
        <v>0</v>
      </c>
      <c r="AK1251" s="1609">
        <f t="shared" ref="AK1251:AT1251" si="1513">(AJ75+AK68)*AK253/1000</f>
        <v>663.42188765794174</v>
      </c>
      <c r="AL1251" s="1609">
        <f t="shared" si="1513"/>
        <v>546.92251231172099</v>
      </c>
      <c r="AM1251" s="1609">
        <f t="shared" si="1513"/>
        <v>72.216594882807243</v>
      </c>
      <c r="AN1251" s="1609">
        <f t="shared" si="1513"/>
        <v>27.004126464935069</v>
      </c>
      <c r="AO1251" s="1609">
        <f t="shared" si="1513"/>
        <v>0</v>
      </c>
      <c r="AP1251" s="1609">
        <f t="shared" si="1513"/>
        <v>0</v>
      </c>
      <c r="AQ1251" s="1609">
        <f t="shared" si="1513"/>
        <v>0</v>
      </c>
      <c r="AR1251" s="1609">
        <f t="shared" si="1513"/>
        <v>0</v>
      </c>
      <c r="AS1251" s="1609">
        <f t="shared" si="1513"/>
        <v>0</v>
      </c>
      <c r="AT1251" s="1609">
        <f t="shared" si="1513"/>
        <v>0</v>
      </c>
      <c r="AV1251" s="2168"/>
      <c r="AW1251" s="2168"/>
      <c r="AX1251" s="2168"/>
      <c r="AY1251" s="2168"/>
      <c r="AZ1251" s="2168"/>
      <c r="BA1251" s="2168"/>
      <c r="BB1251" s="2168"/>
      <c r="BC1251" s="2168"/>
      <c r="BD1251" s="2168"/>
      <c r="BE1251" s="2168"/>
      <c r="BF1251" s="2168"/>
      <c r="BG1251" s="2168"/>
      <c r="BH1251" s="2167"/>
    </row>
    <row r="1252" spans="1:60">
      <c r="A1252" s="1"/>
      <c r="B1252" s="1"/>
      <c r="C1252" s="1"/>
      <c r="D1252" s="1606" t="s">
        <v>3701</v>
      </c>
      <c r="E1252" s="346"/>
      <c r="F1252" s="346"/>
      <c r="G1252" s="346"/>
      <c r="H1252" s="346"/>
      <c r="I1252" s="346"/>
      <c r="J1252" s="346"/>
      <c r="K1252" s="346"/>
      <c r="L1252" s="346"/>
      <c r="M1252" s="346"/>
      <c r="N1252" s="346"/>
      <c r="O1252" s="346"/>
      <c r="P1252" s="346"/>
      <c r="Q1252" s="346"/>
      <c r="R1252" s="346"/>
      <c r="S1252" s="346"/>
      <c r="T1252" s="346"/>
      <c r="U1252" s="346"/>
      <c r="V1252" s="126"/>
      <c r="W1252" s="1627"/>
      <c r="X1252" s="1627"/>
      <c r="Y1252" s="1628"/>
      <c r="Z1252" s="1628"/>
      <c r="AA1252" s="1628"/>
      <c r="AB1252" s="1628"/>
      <c r="AC1252" s="1628"/>
      <c r="AD1252" s="1628"/>
      <c r="AE1252" s="1628"/>
      <c r="AF1252" s="1628"/>
      <c r="AG1252" s="1628"/>
      <c r="AH1252" s="1628"/>
      <c r="AI1252" s="1628"/>
      <c r="AJ1252" s="1609">
        <f t="shared" ref="AJ1252:AT1252" si="1514">(AI76+AJ69)*AJ253/1000</f>
        <v>0</v>
      </c>
      <c r="AK1252" s="1609">
        <f t="shared" si="1514"/>
        <v>309.48975784664992</v>
      </c>
      <c r="AL1252" s="1609">
        <f t="shared" si="1514"/>
        <v>91.122075562754773</v>
      </c>
      <c r="AM1252" s="1609">
        <f t="shared" si="1514"/>
        <v>86.323620296277937</v>
      </c>
      <c r="AN1252" s="1609">
        <f t="shared" si="1514"/>
        <v>69.833686894532789</v>
      </c>
      <c r="AO1252" s="1609">
        <f t="shared" si="1514"/>
        <v>36.631945546877233</v>
      </c>
      <c r="AP1252" s="1609">
        <f t="shared" si="1514"/>
        <v>0</v>
      </c>
      <c r="AQ1252" s="1609">
        <f t="shared" si="1514"/>
        <v>0</v>
      </c>
      <c r="AR1252" s="1609">
        <f t="shared" si="1514"/>
        <v>0</v>
      </c>
      <c r="AS1252" s="1609">
        <f t="shared" si="1514"/>
        <v>0</v>
      </c>
      <c r="AT1252" s="1609">
        <f t="shared" si="1514"/>
        <v>0</v>
      </c>
      <c r="AV1252" s="2168"/>
      <c r="AW1252" s="2168"/>
      <c r="AX1252" s="2168"/>
      <c r="AY1252" s="2168"/>
      <c r="AZ1252" s="2168"/>
      <c r="BA1252" s="2168"/>
      <c r="BB1252" s="2168"/>
      <c r="BC1252" s="2168"/>
      <c r="BD1252" s="2168"/>
      <c r="BE1252" s="2168"/>
      <c r="BF1252" s="2168"/>
      <c r="BG1252" s="2168"/>
      <c r="BH1252" s="2167"/>
    </row>
    <row r="1253" spans="1:60">
      <c r="A1253" s="1"/>
      <c r="B1253" s="1"/>
      <c r="C1253" s="1"/>
      <c r="D1253" s="1606" t="s">
        <v>3172</v>
      </c>
      <c r="E1253" s="346"/>
      <c r="F1253" s="346"/>
      <c r="G1253" s="346"/>
      <c r="H1253" s="346"/>
      <c r="I1253" s="346"/>
      <c r="J1253" s="346"/>
      <c r="K1253" s="346"/>
      <c r="L1253" s="346"/>
      <c r="M1253" s="346"/>
      <c r="N1253" s="346"/>
      <c r="O1253" s="346"/>
      <c r="P1253" s="346"/>
      <c r="Q1253" s="346"/>
      <c r="R1253" s="346"/>
      <c r="S1253" s="346"/>
      <c r="T1253" s="346"/>
      <c r="U1253" s="346"/>
      <c r="V1253" s="126"/>
      <c r="W1253" s="1627"/>
      <c r="X1253" s="1627"/>
      <c r="Y1253" s="1628"/>
      <c r="Z1253" s="1628">
        <v>0</v>
      </c>
      <c r="AA1253" s="1628">
        <v>0</v>
      </c>
      <c r="AB1253" s="1628">
        <v>0</v>
      </c>
      <c r="AC1253" s="1628">
        <v>0</v>
      </c>
      <c r="AD1253" s="1628">
        <v>0</v>
      </c>
      <c r="AE1253" s="1628">
        <v>0</v>
      </c>
      <c r="AF1253" s="1628">
        <f>FISCinyear!IM933</f>
        <v>0</v>
      </c>
      <c r="AG1253" s="1628">
        <f>FISCinyear!IP933</f>
        <v>0</v>
      </c>
      <c r="AH1253" s="1628">
        <f>FISCinyear!IS933</f>
        <v>0</v>
      </c>
      <c r="AI1253" s="1628">
        <f>FISCinyear!IV933</f>
        <v>0</v>
      </c>
      <c r="AJ1253" s="1627">
        <f t="shared" ref="AJ1253:AT1253" si="1515">+(AI77+AJ70)*AJ253/1000</f>
        <v>0</v>
      </c>
      <c r="AK1253" s="1627">
        <f t="shared" si="1515"/>
        <v>0</v>
      </c>
      <c r="AL1253" s="1628">
        <f t="shared" si="1515"/>
        <v>115.75333350691321</v>
      </c>
      <c r="AM1253" s="1628">
        <f t="shared" si="1515"/>
        <v>17.141393107161011</v>
      </c>
      <c r="AN1253" s="1628">
        <f t="shared" si="1515"/>
        <v>144.89359896767002</v>
      </c>
      <c r="AO1253" s="1628">
        <f t="shared" si="1515"/>
        <v>151.22792905827018</v>
      </c>
      <c r="AP1253" s="1628">
        <f t="shared" si="1515"/>
        <v>137.41636066374951</v>
      </c>
      <c r="AQ1253" s="1628">
        <f t="shared" si="1515"/>
        <v>157.30200740796764</v>
      </c>
      <c r="AR1253" s="1628">
        <f t="shared" si="1515"/>
        <v>165.93402976467337</v>
      </c>
      <c r="AS1253" s="1628">
        <f t="shared" si="1515"/>
        <v>170.8144424048109</v>
      </c>
      <c r="AT1253" s="1628">
        <f t="shared" si="1515"/>
        <v>182.64334254134405</v>
      </c>
      <c r="AV1253" s="2168"/>
      <c r="AW1253" s="2168"/>
      <c r="AX1253" s="2168"/>
      <c r="AY1253" s="2168"/>
      <c r="AZ1253" s="2168"/>
      <c r="BA1253" s="2168"/>
      <c r="BB1253" s="2168"/>
      <c r="BC1253" s="2168"/>
      <c r="BD1253" s="2168"/>
      <c r="BE1253" s="2168"/>
      <c r="BF1253" s="2168"/>
      <c r="BG1253" s="2168"/>
      <c r="BH1253" s="2167"/>
    </row>
    <row r="1254" spans="1:60">
      <c r="A1254" s="1"/>
      <c r="B1254" s="1"/>
      <c r="C1254" s="1"/>
      <c r="D1254" s="1606" t="s">
        <v>3398</v>
      </c>
      <c r="E1254" s="346"/>
      <c r="F1254" s="346"/>
      <c r="G1254" s="346"/>
      <c r="H1254" s="346"/>
      <c r="I1254" s="346"/>
      <c r="J1254" s="346"/>
      <c r="K1254" s="346"/>
      <c r="L1254" s="346"/>
      <c r="M1254" s="346"/>
      <c r="N1254" s="346"/>
      <c r="O1254" s="346"/>
      <c r="P1254" s="346"/>
      <c r="Q1254" s="346"/>
      <c r="R1254" s="346"/>
      <c r="S1254" s="346"/>
      <c r="T1254" s="346"/>
      <c r="U1254" s="346"/>
      <c r="V1254" s="126"/>
      <c r="W1254" s="1627"/>
      <c r="X1254" s="1627"/>
      <c r="Y1254" s="1628"/>
      <c r="Z1254" s="1628"/>
      <c r="AA1254" s="1628"/>
      <c r="AB1254" s="1628"/>
      <c r="AC1254" s="1628"/>
      <c r="AD1254" s="1628"/>
      <c r="AE1254" s="1628"/>
      <c r="AF1254" s="1628"/>
      <c r="AG1254" s="1628"/>
      <c r="AH1254" s="1628">
        <f>FISCinyear!IS934</f>
        <v>106.24015742291022</v>
      </c>
      <c r="AI1254" s="1628">
        <f>FISCinyear!IV934</f>
        <v>206.34023911927198</v>
      </c>
      <c r="AJ1254" s="1627">
        <f>(AJ67+AI74)*AJ253/1000</f>
        <v>159.38796246727082</v>
      </c>
      <c r="AK1254" s="1627">
        <f>(AK67+AJ74)*AK253/1000</f>
        <v>0</v>
      </c>
      <c r="AL1254" s="1627">
        <f>(AL67+AK74)*AL253/1000</f>
        <v>0</v>
      </c>
      <c r="AM1254" s="1628"/>
      <c r="AN1254" s="1628"/>
      <c r="AO1254" s="1628"/>
      <c r="AP1254" s="1628"/>
      <c r="AQ1254" s="1628"/>
      <c r="AR1254" s="1628"/>
      <c r="AS1254" s="1628"/>
      <c r="AT1254" s="1628"/>
      <c r="AV1254" s="2168"/>
      <c r="AW1254" s="2168"/>
      <c r="AX1254" s="2168"/>
      <c r="AY1254" s="2168"/>
      <c r="AZ1254" s="2168"/>
      <c r="BA1254" s="2168"/>
      <c r="BB1254" s="2168"/>
      <c r="BC1254" s="2168"/>
      <c r="BD1254" s="2168"/>
      <c r="BE1254" s="2168"/>
      <c r="BF1254" s="2168"/>
      <c r="BG1254" s="2168"/>
      <c r="BH1254" s="2167"/>
    </row>
    <row r="1255" spans="1:60">
      <c r="A1255" s="1"/>
      <c r="B1255" s="1"/>
      <c r="C1255" s="1"/>
      <c r="D1255" s="386" t="str">
        <f>+FISCinyear!D935</f>
        <v xml:space="preserve">Capital </v>
      </c>
      <c r="E1255" s="346"/>
      <c r="F1255" s="346"/>
      <c r="G1255" s="346"/>
      <c r="H1255" s="346"/>
      <c r="I1255" s="346"/>
      <c r="J1255" s="346"/>
      <c r="K1255" s="346"/>
      <c r="L1255" s="346"/>
      <c r="M1255" s="346"/>
      <c r="N1255" s="346"/>
      <c r="O1255" s="346"/>
      <c r="P1255" s="346"/>
      <c r="Q1255" s="346"/>
      <c r="R1255" s="346"/>
      <c r="S1255" s="346"/>
      <c r="T1255" s="346"/>
      <c r="U1255" s="346"/>
      <c r="V1255" s="707">
        <f>+((U61+V58)*V$253/1000)</f>
        <v>0</v>
      </c>
      <c r="W1255" s="1627">
        <f>+((V61+W58)*W$253/1000)</f>
        <v>0</v>
      </c>
      <c r="X1255" s="1627">
        <f>+((W61+X58)*X$253/1000)</f>
        <v>0</v>
      </c>
      <c r="Y1255" s="1628">
        <f>FISCinyear!HR935</f>
        <v>66.70927940511001</v>
      </c>
      <c r="Z1255" s="1628">
        <f>FISCinyear!HU935</f>
        <v>99.233201067772001</v>
      </c>
      <c r="AA1255" s="1628">
        <f>FISCinyear!HX935</f>
        <v>102.868015341633</v>
      </c>
      <c r="AB1255" s="1628">
        <f>FISCinyear!IA935</f>
        <v>160.74917716982901</v>
      </c>
      <c r="AC1255" s="1628">
        <f>FISCinyear!ID935</f>
        <v>170.35041550616</v>
      </c>
      <c r="AD1255" s="1628">
        <f>FISCinyear!IG935</f>
        <v>214.928464239612</v>
      </c>
      <c r="AE1255" s="1628">
        <f>FISCinyear!IJ935</f>
        <v>287.97105069611598</v>
      </c>
      <c r="AF1255" s="1628">
        <f>FISCinyear!IM935</f>
        <v>390.57003784890901</v>
      </c>
      <c r="AG1255" s="1628">
        <f>FISCinyear!IP935</f>
        <v>411.65558615469001</v>
      </c>
      <c r="AH1255" s="1628">
        <f>FISCinyear!IS935</f>
        <v>426.47173391326498</v>
      </c>
      <c r="AI1255" s="1628">
        <f>FISCinyear!IV935</f>
        <v>640.01178499634898</v>
      </c>
      <c r="AJ1255" s="1627">
        <f t="shared" ref="AJ1255:AT1255" si="1516">+((AI61+AJ58)*AJ$253/1000)</f>
        <v>608.67462293576659</v>
      </c>
      <c r="AK1255" s="1627">
        <f t="shared" si="1516"/>
        <v>622.31717167411489</v>
      </c>
      <c r="AL1255" s="1628">
        <f t="shared" si="1516"/>
        <v>691.10374325500595</v>
      </c>
      <c r="AM1255" s="1628">
        <f t="shared" si="1516"/>
        <v>757.90284103393492</v>
      </c>
      <c r="AN1255" s="1628">
        <f t="shared" si="1516"/>
        <v>866.89395039810574</v>
      </c>
      <c r="AO1255" s="1628">
        <f t="shared" si="1516"/>
        <v>978.70108417141194</v>
      </c>
      <c r="AP1255" s="1628">
        <f t="shared" si="1516"/>
        <v>1012.2933304682709</v>
      </c>
      <c r="AQ1255" s="1628">
        <f t="shared" si="1516"/>
        <v>417.22507421537165</v>
      </c>
      <c r="AR1255" s="1628">
        <f t="shared" si="1516"/>
        <v>105.83074593177962</v>
      </c>
      <c r="AS1255" s="1628">
        <f t="shared" si="1516"/>
        <v>31.779941045881468</v>
      </c>
      <c r="AT1255" s="1628">
        <f t="shared" si="1516"/>
        <v>0</v>
      </c>
      <c r="AV1255" s="2168"/>
      <c r="AW1255" s="2168"/>
      <c r="AX1255" s="2168"/>
      <c r="AY1255" s="2168"/>
      <c r="AZ1255" s="2168"/>
      <c r="BA1255" s="2168"/>
      <c r="BB1255" s="2168"/>
      <c r="BC1255" s="2168"/>
      <c r="BD1255" s="2168"/>
      <c r="BE1255" s="2168"/>
      <c r="BF1255" s="2168"/>
      <c r="BG1255" s="2168"/>
      <c r="BH1255" s="2167"/>
    </row>
    <row r="1256" spans="1:60">
      <c r="A1256" s="1"/>
      <c r="B1256" s="1"/>
      <c r="C1256" s="1"/>
      <c r="D1256" s="1606" t="s">
        <v>3700</v>
      </c>
      <c r="E1256" s="346"/>
      <c r="F1256" s="346"/>
      <c r="G1256" s="346"/>
      <c r="H1256" s="346"/>
      <c r="I1256" s="346"/>
      <c r="J1256" s="346"/>
      <c r="K1256" s="346"/>
      <c r="L1256" s="346"/>
      <c r="M1256" s="346"/>
      <c r="N1256" s="346"/>
      <c r="O1256" s="346"/>
      <c r="P1256" s="346"/>
      <c r="Q1256" s="346"/>
      <c r="R1256" s="346"/>
      <c r="S1256" s="346"/>
      <c r="T1256" s="346"/>
      <c r="U1256" s="346"/>
      <c r="V1256" s="707"/>
      <c r="W1256" s="1627"/>
      <c r="X1256" s="1627"/>
      <c r="Y1256" s="1628"/>
      <c r="Z1256" s="1628">
        <f t="shared" ref="Z1256:AE1256" si="1517">(Y62+Z59)*Z253/1000</f>
        <v>0</v>
      </c>
      <c r="AA1256" s="1628">
        <f t="shared" si="1517"/>
        <v>0</v>
      </c>
      <c r="AB1256" s="1628">
        <f t="shared" si="1517"/>
        <v>0</v>
      </c>
      <c r="AC1256" s="1628">
        <f t="shared" si="1517"/>
        <v>0</v>
      </c>
      <c r="AD1256" s="1628">
        <f t="shared" si="1517"/>
        <v>0</v>
      </c>
      <c r="AE1256" s="1628">
        <f t="shared" si="1517"/>
        <v>0</v>
      </c>
      <c r="AF1256" s="1628">
        <f>FISCinyear!IM936</f>
        <v>0</v>
      </c>
      <c r="AG1256" s="1628">
        <f>FISCinyear!IP936</f>
        <v>0</v>
      </c>
      <c r="AH1256" s="1628">
        <f>FISCinyear!IS936</f>
        <v>0</v>
      </c>
      <c r="AI1256" s="1628">
        <f>FISCinyear!IV936</f>
        <v>0</v>
      </c>
      <c r="AJ1256" s="1628">
        <f t="shared" ref="AJ1256:AT1256" si="1518">(AI62+AJ59)*AJ253/1000</f>
        <v>0</v>
      </c>
      <c r="AK1256" s="1628">
        <f t="shared" si="1518"/>
        <v>0</v>
      </c>
      <c r="AL1256" s="1628">
        <f t="shared" si="1518"/>
        <v>0</v>
      </c>
      <c r="AM1256" s="1628">
        <f t="shared" si="1518"/>
        <v>0</v>
      </c>
      <c r="AN1256" s="1628">
        <f t="shared" si="1518"/>
        <v>0</v>
      </c>
      <c r="AO1256" s="1628">
        <f t="shared" si="1518"/>
        <v>0</v>
      </c>
      <c r="AP1256" s="1628">
        <f t="shared" si="1518"/>
        <v>0</v>
      </c>
      <c r="AQ1256" s="1628">
        <f t="shared" si="1518"/>
        <v>0</v>
      </c>
      <c r="AR1256" s="1628">
        <f t="shared" si="1518"/>
        <v>0</v>
      </c>
      <c r="AS1256" s="1628">
        <f t="shared" si="1518"/>
        <v>0</v>
      </c>
      <c r="AT1256" s="1628">
        <f t="shared" si="1518"/>
        <v>0</v>
      </c>
      <c r="AV1256" s="2168"/>
      <c r="AW1256" s="2168"/>
      <c r="AX1256" s="2168"/>
      <c r="AY1256" s="2168"/>
      <c r="AZ1256" s="2168"/>
      <c r="BA1256" s="2168"/>
      <c r="BB1256" s="2168"/>
      <c r="BC1256" s="2168"/>
      <c r="BD1256" s="2168"/>
      <c r="BE1256" s="2168"/>
      <c r="BF1256" s="2168"/>
      <c r="BG1256" s="2168"/>
      <c r="BH1256" s="2167"/>
    </row>
    <row r="1257" spans="1:60">
      <c r="A1257" s="1"/>
      <c r="B1257" s="1"/>
      <c r="C1257" s="1"/>
      <c r="D1257" s="1606" t="s">
        <v>3199</v>
      </c>
      <c r="E1257" s="346"/>
      <c r="F1257" s="346"/>
      <c r="G1257" s="346"/>
      <c r="H1257" s="346"/>
      <c r="I1257" s="346"/>
      <c r="J1257" s="346"/>
      <c r="K1257" s="346"/>
      <c r="L1257" s="346"/>
      <c r="M1257" s="346"/>
      <c r="N1257" s="346"/>
      <c r="O1257" s="346"/>
      <c r="P1257" s="346"/>
      <c r="Q1257" s="346"/>
      <c r="R1257" s="346"/>
      <c r="S1257" s="346"/>
      <c r="T1257" s="346"/>
      <c r="U1257" s="346"/>
      <c r="V1257" s="707"/>
      <c r="W1257" s="1627"/>
      <c r="X1257" s="1627"/>
      <c r="Y1257" s="1628"/>
      <c r="Z1257" s="1628">
        <v>0</v>
      </c>
      <c r="AA1257" s="1628">
        <v>0</v>
      </c>
      <c r="AB1257" s="1628">
        <v>0</v>
      </c>
      <c r="AC1257" s="1628">
        <v>0</v>
      </c>
      <c r="AD1257" s="1628">
        <v>0</v>
      </c>
      <c r="AE1257" s="1628">
        <v>0</v>
      </c>
      <c r="AF1257" s="1628">
        <f>FISCinyear!IM937</f>
        <v>0</v>
      </c>
      <c r="AG1257" s="1628">
        <f>AG1200</f>
        <v>63.103301563999999</v>
      </c>
      <c r="AH1257" s="1628">
        <f>FISCinyear!IS937</f>
        <v>56.285983673969994</v>
      </c>
      <c r="AI1257" s="1628">
        <f>FISCinyear!IV937</f>
        <v>46.333522475126998</v>
      </c>
      <c r="AJ1257" s="1796">
        <v>43.666260758371628</v>
      </c>
      <c r="AK1257" s="1796">
        <v>24.792840755990309</v>
      </c>
      <c r="AL1257" s="1795">
        <v>0</v>
      </c>
      <c r="AM1257" s="1795">
        <v>0</v>
      </c>
      <c r="AN1257" s="1795">
        <v>0</v>
      </c>
      <c r="AO1257" s="1795">
        <v>0</v>
      </c>
      <c r="AP1257" s="1795">
        <v>0</v>
      </c>
      <c r="AQ1257" s="1795">
        <v>0</v>
      </c>
      <c r="AR1257" s="1795">
        <v>0</v>
      </c>
      <c r="AS1257" s="1795">
        <v>0</v>
      </c>
      <c r="AT1257" s="1795">
        <v>0</v>
      </c>
      <c r="AV1257" s="2168"/>
      <c r="AW1257" s="2168"/>
      <c r="AX1257" s="2168"/>
      <c r="AY1257" s="2168"/>
      <c r="AZ1257" s="2168"/>
      <c r="BA1257" s="2168"/>
      <c r="BB1257" s="2168"/>
      <c r="BC1257" s="2168"/>
      <c r="BD1257" s="2168"/>
      <c r="BE1257" s="2168"/>
      <c r="BF1257" s="2168"/>
      <c r="BG1257" s="2168"/>
      <c r="BH1257" s="2167"/>
    </row>
    <row r="1258" spans="1:60">
      <c r="A1258" s="1"/>
      <c r="B1258" s="1"/>
      <c r="C1258" s="1"/>
      <c r="D1258" s="383" t="str">
        <f>+FISCinyear!D938</f>
        <v>Reimbursements</v>
      </c>
      <c r="E1258" s="346"/>
      <c r="F1258" s="346"/>
      <c r="G1258" s="346"/>
      <c r="H1258" s="346"/>
      <c r="I1258" s="346"/>
      <c r="J1258" s="346"/>
      <c r="K1258" s="346"/>
      <c r="L1258" s="346"/>
      <c r="M1258" s="346"/>
      <c r="N1258" s="346"/>
      <c r="O1258" s="346"/>
      <c r="P1258" s="346"/>
      <c r="Q1258" s="346"/>
      <c r="R1258" s="346"/>
      <c r="S1258" s="346"/>
      <c r="T1258" s="346"/>
      <c r="U1258" s="346"/>
      <c r="V1258" s="126">
        <f>+V826</f>
        <v>-7.8795716799999997</v>
      </c>
      <c r="W1258" s="1627">
        <f>+W826</f>
        <v>-9.6999999999999993</v>
      </c>
      <c r="X1258" s="1627">
        <f>+X826</f>
        <v>-15.5</v>
      </c>
      <c r="Y1258" s="1628">
        <f>FISCinyear!HR938</f>
        <v>11.038625171173628</v>
      </c>
      <c r="Z1258" s="1628">
        <f>FISCinyear!HU938</f>
        <v>14.637063236782467</v>
      </c>
      <c r="AA1258" s="1628">
        <f>FISCinyear!HX938</f>
        <v>17.121454944713733</v>
      </c>
      <c r="AB1258" s="1628">
        <f>FISCinyear!IA938</f>
        <v>21.580580918109234</v>
      </c>
      <c r="AC1258" s="1628">
        <f>FISCinyear!ID938</f>
        <v>25.817758485916514</v>
      </c>
      <c r="AD1258" s="1628">
        <f>FISCinyear!IG938</f>
        <v>28.665006298050265</v>
      </c>
      <c r="AE1258" s="1628">
        <f>FISCinyear!IJ938</f>
        <v>54.902709505972297</v>
      </c>
      <c r="AF1258" s="1628">
        <f>FISCinyear!IM938</f>
        <v>76.369240314600148</v>
      </c>
      <c r="AG1258" s="1628">
        <f>FISCinyear!IP938</f>
        <v>95.151079022516313</v>
      </c>
      <c r="AH1258" s="1628">
        <f>FISCinyear!IS938</f>
        <v>85.215693808710483</v>
      </c>
      <c r="AI1258" s="1628">
        <f>FISCinyear!IV938</f>
        <v>124.74221382824851</v>
      </c>
      <c r="AJ1258" s="1628">
        <f t="shared" ref="AJ1258:AT1258" si="1519">((AI121+AI126+AJ111+AJ116)*AJ253/1000)+(AJ643*AJ253/1000)</f>
        <v>188.12740684022049</v>
      </c>
      <c r="AK1258" s="1628">
        <f t="shared" si="1519"/>
        <v>340.06736463441831</v>
      </c>
      <c r="AL1258" s="1628">
        <f t="shared" si="1519"/>
        <v>486.23008463827006</v>
      </c>
      <c r="AM1258" s="1628">
        <f t="shared" si="1519"/>
        <v>609.35129180970921</v>
      </c>
      <c r="AN1258" s="1628">
        <f t="shared" si="1519"/>
        <v>788.97294355529255</v>
      </c>
      <c r="AO1258" s="1628">
        <f t="shared" si="1519"/>
        <v>1005.8630131401972</v>
      </c>
      <c r="AP1258" s="1628">
        <f t="shared" si="1519"/>
        <v>1070.9324868839583</v>
      </c>
      <c r="AQ1258" s="1628">
        <f t="shared" si="1519"/>
        <v>2433.1325060498743</v>
      </c>
      <c r="AR1258" s="1628">
        <f t="shared" si="1519"/>
        <v>1244.8897094118988</v>
      </c>
      <c r="AS1258" s="1628">
        <f t="shared" si="1519"/>
        <v>1357.1368992706498</v>
      </c>
      <c r="AT1258" s="1628">
        <f t="shared" si="1519"/>
        <v>1394.7058956361946</v>
      </c>
      <c r="AV1258" s="2168"/>
      <c r="AW1258" s="2168"/>
      <c r="AX1258" s="2168"/>
      <c r="AY1258" s="2168"/>
      <c r="AZ1258" s="2168"/>
      <c r="BA1258" s="2168"/>
      <c r="BB1258" s="2168"/>
      <c r="BC1258" s="2168"/>
      <c r="BD1258" s="2168"/>
      <c r="BE1258" s="2168"/>
      <c r="BF1258" s="2168"/>
      <c r="BG1258" s="2168"/>
      <c r="BH1258" s="2167"/>
    </row>
    <row r="1259" spans="1:60">
      <c r="A1259" s="1"/>
      <c r="B1259" s="1"/>
      <c r="C1259" s="1"/>
      <c r="D1259" s="1603" t="s">
        <v>3702</v>
      </c>
      <c r="E1259" s="346"/>
      <c r="F1259" s="346"/>
      <c r="G1259" s="346"/>
      <c r="H1259" s="346"/>
      <c r="I1259" s="346"/>
      <c r="J1259" s="346"/>
      <c r="K1259" s="346"/>
      <c r="L1259" s="346"/>
      <c r="M1259" s="346"/>
      <c r="N1259" s="346"/>
      <c r="O1259" s="346"/>
      <c r="P1259" s="346"/>
      <c r="Q1259" s="346"/>
      <c r="R1259" s="346"/>
      <c r="S1259" s="346"/>
      <c r="T1259" s="346"/>
      <c r="U1259" s="346"/>
      <c r="V1259" s="126"/>
      <c r="W1259" s="1627"/>
      <c r="X1259" s="1627"/>
      <c r="Y1259" s="1628"/>
      <c r="Z1259" s="1628"/>
      <c r="AA1259" s="1628"/>
      <c r="AB1259" s="1628"/>
      <c r="AC1259" s="1628"/>
      <c r="AD1259" s="1628"/>
      <c r="AE1259" s="1628"/>
      <c r="AF1259" s="1628"/>
      <c r="AG1259" s="1628"/>
      <c r="AH1259" s="1628"/>
      <c r="AI1259" s="1628"/>
      <c r="AJ1259" s="1628">
        <f t="shared" ref="AJ1259:AO1259" si="1520">(AI122+AI127+AJ112+AJ117)*AJ253/1000</f>
        <v>0</v>
      </c>
      <c r="AK1259" s="1628">
        <f t="shared" si="1520"/>
        <v>0</v>
      </c>
      <c r="AL1259" s="1628">
        <f t="shared" si="1520"/>
        <v>0</v>
      </c>
      <c r="AM1259" s="1628">
        <f t="shared" si="1520"/>
        <v>32.162134480721321</v>
      </c>
      <c r="AN1259" s="1628">
        <f t="shared" si="1520"/>
        <v>89.674708622493043</v>
      </c>
      <c r="AO1259" s="1628">
        <f t="shared" si="1520"/>
        <v>118.35361069484607</v>
      </c>
      <c r="AP1259" s="1628">
        <f>(AO122+AO127+AP112+AP117)*AP252/1000</f>
        <v>74.205895323330608</v>
      </c>
      <c r="AQ1259" s="1628">
        <f>(AP122+AP127+AQ112+AQ117)*AQ252/1000</f>
        <v>74.205895323330608</v>
      </c>
      <c r="AR1259" s="1628">
        <f>(AQ122+AQ127+AR112+AR117)*AR252/1000</f>
        <v>74.205895323330608</v>
      </c>
      <c r="AS1259" s="1628">
        <f>(AR122+AR127+AS112+AS117)*AS252/1000</f>
        <v>52.355536928206099</v>
      </c>
      <c r="AT1259" s="1628">
        <f>(AS122+AS127+AT112+AT117)*AT252/1000</f>
        <v>16.546434445453638</v>
      </c>
      <c r="AV1259" s="2168"/>
      <c r="AW1259" s="2168"/>
      <c r="AX1259" s="2168"/>
      <c r="AY1259" s="2168"/>
      <c r="AZ1259" s="2168"/>
      <c r="BA1259" s="2168"/>
      <c r="BB1259" s="2168"/>
      <c r="BC1259" s="2168"/>
      <c r="BD1259" s="2168"/>
      <c r="BE1259" s="2168"/>
      <c r="BF1259" s="2168"/>
      <c r="BG1259" s="2168"/>
      <c r="BH1259" s="2167"/>
    </row>
    <row r="1260" spans="1:60">
      <c r="A1260" s="1"/>
      <c r="B1260" s="1"/>
      <c r="C1260" s="1"/>
      <c r="D1260" s="1603" t="s">
        <v>3701</v>
      </c>
      <c r="E1260" s="346"/>
      <c r="F1260" s="346"/>
      <c r="G1260" s="346"/>
      <c r="H1260" s="346"/>
      <c r="I1260" s="346"/>
      <c r="J1260" s="346"/>
      <c r="K1260" s="346"/>
      <c r="L1260" s="346"/>
      <c r="M1260" s="346"/>
      <c r="N1260" s="346"/>
      <c r="O1260" s="346"/>
      <c r="P1260" s="346"/>
      <c r="Q1260" s="346"/>
      <c r="R1260" s="346"/>
      <c r="S1260" s="346"/>
      <c r="T1260" s="346"/>
      <c r="U1260" s="346"/>
      <c r="V1260" s="126"/>
      <c r="W1260" s="1627"/>
      <c r="X1260" s="1627"/>
      <c r="Y1260" s="1628"/>
      <c r="Z1260" s="1628">
        <v>0</v>
      </c>
      <c r="AA1260" s="1628">
        <v>0</v>
      </c>
      <c r="AB1260" s="1628">
        <f>(AA123+AA128+AB113+AB118)*AB253/1000</f>
        <v>0</v>
      </c>
      <c r="AC1260" s="1628">
        <f>(AB123+AB128+AC113+AC118)*AC253/1000</f>
        <v>0</v>
      </c>
      <c r="AD1260" s="1628">
        <f>(AC123+AC128+AD113+AD118)*AD253/1000</f>
        <v>0</v>
      </c>
      <c r="AE1260" s="1628">
        <f>(AD123+AD128+AE113+AE118)*AE253/1000</f>
        <v>15.952745202723367</v>
      </c>
      <c r="AF1260" s="1628">
        <v>0</v>
      </c>
      <c r="AG1260" s="1628">
        <v>0</v>
      </c>
      <c r="AH1260" s="1628">
        <v>0</v>
      </c>
      <c r="AI1260" s="1628">
        <v>0</v>
      </c>
      <c r="AJ1260" s="1628">
        <f t="shared" ref="AJ1260:AT1260" si="1521">((AI123+AI128+AJ113+AJ118)*AJ253/1000)++(AJ643*AJ253/1000)</f>
        <v>0</v>
      </c>
      <c r="AK1260" s="1628">
        <f t="shared" si="1521"/>
        <v>0</v>
      </c>
      <c r="AL1260" s="1628">
        <f t="shared" si="1521"/>
        <v>0</v>
      </c>
      <c r="AM1260" s="1628">
        <f t="shared" si="1521"/>
        <v>4.8599577711802286</v>
      </c>
      <c r="AN1260" s="1628">
        <f t="shared" si="1521"/>
        <v>18.819011558094342</v>
      </c>
      <c r="AO1260" s="1628">
        <f t="shared" si="1521"/>
        <v>35.013225858381766</v>
      </c>
      <c r="AP1260" s="1628">
        <f t="shared" si="1521"/>
        <v>48.517111256184585</v>
      </c>
      <c r="AQ1260" s="1628">
        <f t="shared" si="1521"/>
        <v>56.414800920105989</v>
      </c>
      <c r="AR1260" s="1628">
        <f t="shared" si="1521"/>
        <v>60.385745645064915</v>
      </c>
      <c r="AS1260" s="1628">
        <f t="shared" si="1521"/>
        <v>56.867035626473537</v>
      </c>
      <c r="AT1260" s="1628">
        <f t="shared" si="1521"/>
        <v>41.416755188612377</v>
      </c>
      <c r="AV1260" s="2168"/>
      <c r="AW1260" s="2168"/>
      <c r="AX1260" s="2168"/>
      <c r="AY1260" s="2168"/>
      <c r="AZ1260" s="2168"/>
      <c r="BA1260" s="2168"/>
      <c r="BB1260" s="2168"/>
      <c r="BC1260" s="2168"/>
      <c r="BD1260" s="2168"/>
      <c r="BE1260" s="2168"/>
      <c r="BF1260" s="2168"/>
      <c r="BG1260" s="2168"/>
      <c r="BH1260" s="2167"/>
    </row>
    <row r="1261" spans="1:60">
      <c r="A1261" s="1"/>
      <c r="B1261" s="1"/>
      <c r="C1261" s="1"/>
      <c r="D1261" s="387" t="str">
        <f>+FISCinyear!D941</f>
        <v>Statistical discrepancy</v>
      </c>
      <c r="E1261" s="346"/>
      <c r="F1261" s="346"/>
      <c r="G1261" s="346"/>
      <c r="H1261" s="346"/>
      <c r="I1261" s="346"/>
      <c r="J1261" s="346"/>
      <c r="K1261" s="346"/>
      <c r="L1261" s="346"/>
      <c r="M1261" s="346"/>
      <c r="N1261" s="346"/>
      <c r="O1261" s="346"/>
      <c r="P1261" s="346"/>
      <c r="Q1261" s="346"/>
      <c r="R1261" s="346"/>
      <c r="S1261" s="346"/>
      <c r="T1261" s="346"/>
      <c r="U1261" s="346"/>
      <c r="V1261" s="126">
        <f>+V1150+V1173+V1213</f>
        <v>-313.70716742399998</v>
      </c>
      <c r="W1261" s="1627">
        <f>+W1150+W1173+W1213</f>
        <v>-268.89999999999998</v>
      </c>
      <c r="X1261" s="1627">
        <f>+X1150+X1173+X1213</f>
        <v>-560.51525799941703</v>
      </c>
      <c r="Y1261" s="1628">
        <f>FISCinyear!HR941</f>
        <v>-12.524548132863121</v>
      </c>
      <c r="Z1261" s="1628">
        <f>FISCinyear!HU941</f>
        <v>57.553077801269133</v>
      </c>
      <c r="AA1261" s="1628">
        <f>FISCinyear!HX941</f>
        <v>17.17198992149504</v>
      </c>
      <c r="AB1261" s="1628">
        <f>FISCinyear!IA941</f>
        <v>17.226186262350204</v>
      </c>
      <c r="AC1261" s="1628">
        <f>FISCinyear!ID941</f>
        <v>36.1950248568577</v>
      </c>
      <c r="AD1261" s="1628">
        <f>FISCinyear!IG941</f>
        <v>-28.86586888625434</v>
      </c>
      <c r="AE1261" s="1628">
        <f>FISCinyear!IJ941</f>
        <v>-2.4667571292353898</v>
      </c>
      <c r="AF1261" s="1628">
        <f>FISCinyear!IM941</f>
        <v>-22.215027201431745</v>
      </c>
      <c r="AG1261" s="1628">
        <f>FISCinyear!IP941</f>
        <v>-37.006258509779173</v>
      </c>
      <c r="AH1261" s="1628">
        <f>FISCinyear!IS941</f>
        <v>-20.192614386571222</v>
      </c>
      <c r="AI1261" s="1628">
        <f>FISCinyear!IV941</f>
        <v>83.405825775321318</v>
      </c>
      <c r="AJ1261" s="1628">
        <f t="shared" ref="AJ1261:AT1261" si="1522">AJ1150-AJ1173+AJ1213</f>
        <v>0</v>
      </c>
      <c r="AK1261" s="1628">
        <f t="shared" si="1522"/>
        <v>0</v>
      </c>
      <c r="AL1261" s="1628">
        <f t="shared" si="1522"/>
        <v>0</v>
      </c>
      <c r="AM1261" s="1628">
        <f t="shared" si="1522"/>
        <v>0</v>
      </c>
      <c r="AN1261" s="1628">
        <f t="shared" si="1522"/>
        <v>0</v>
      </c>
      <c r="AO1261" s="1628">
        <f t="shared" si="1522"/>
        <v>0</v>
      </c>
      <c r="AP1261" s="1628">
        <f t="shared" si="1522"/>
        <v>0</v>
      </c>
      <c r="AQ1261" s="1628">
        <f t="shared" si="1522"/>
        <v>0</v>
      </c>
      <c r="AR1261" s="1628">
        <f t="shared" si="1522"/>
        <v>0</v>
      </c>
      <c r="AS1261" s="1628">
        <f t="shared" si="1522"/>
        <v>0</v>
      </c>
      <c r="AT1261" s="1628">
        <f t="shared" si="1522"/>
        <v>0</v>
      </c>
      <c r="AV1261" s="2168"/>
      <c r="AW1261" s="2168"/>
      <c r="AX1261" s="2168"/>
      <c r="AY1261" s="2168"/>
      <c r="AZ1261" s="2168"/>
      <c r="BA1261" s="2168"/>
      <c r="BB1261" s="2168"/>
      <c r="BC1261" s="2168"/>
      <c r="BD1261" s="2168"/>
      <c r="BE1261" s="2168"/>
      <c r="BF1261" s="2168"/>
      <c r="BG1261" s="2168"/>
      <c r="BH1261" s="2167"/>
    </row>
    <row r="1262" spans="1:60" ht="15" customHeight="1">
      <c r="A1262" s="1"/>
      <c r="B1262" s="1"/>
      <c r="C1262" s="1"/>
      <c r="D1262" s="1911" t="s">
        <v>3405</v>
      </c>
      <c r="E1262" s="1912"/>
      <c r="F1262" s="1912"/>
      <c r="G1262" s="1912"/>
      <c r="H1262" s="1912"/>
      <c r="I1262" s="1912"/>
      <c r="J1262" s="1912"/>
      <c r="K1262" s="1912"/>
      <c r="L1262" s="1912"/>
      <c r="M1262" s="1912"/>
      <c r="N1262" s="1912"/>
      <c r="O1262" s="1912"/>
      <c r="P1262" s="1912"/>
      <c r="Q1262" s="1912"/>
      <c r="R1262" s="1912"/>
      <c r="S1262" s="1912"/>
      <c r="T1262" s="1912"/>
      <c r="U1262" s="1912"/>
      <c r="V1262" s="1913"/>
      <c r="W1262" s="1913"/>
      <c r="X1262" s="1913"/>
      <c r="Y1262" s="1914"/>
      <c r="Z1262" s="1915"/>
      <c r="AA1262" s="1915"/>
      <c r="AB1262" s="1915"/>
      <c r="AC1262" s="1915"/>
      <c r="AD1262" s="1915"/>
      <c r="AE1262" s="1915"/>
      <c r="AF1262" s="1915"/>
      <c r="AG1262" s="1915"/>
      <c r="AH1262" s="1915">
        <v>-1090.5037619428024</v>
      </c>
      <c r="AI1262" s="1915">
        <v>-1113.5275759053932</v>
      </c>
      <c r="AJ1262" s="1915">
        <v>-913.91647617676131</v>
      </c>
      <c r="AK1262" s="1915">
        <v>-698.94119096299164</v>
      </c>
      <c r="AL1262" s="1916">
        <v>-728.20893030625939</v>
      </c>
      <c r="AM1262" s="1916">
        <v>-1131.8397529988906</v>
      </c>
      <c r="AN1262" s="1916">
        <v>-1130.8397529988899</v>
      </c>
      <c r="AO1262" s="1916">
        <v>-1129.8397529988899</v>
      </c>
      <c r="AP1262" s="1916">
        <v>-1128.8397529988899</v>
      </c>
      <c r="AQ1262" s="1916">
        <v>-1127.8397529988899</v>
      </c>
      <c r="AR1262" s="1916">
        <v>-1126.8397529988899</v>
      </c>
      <c r="AS1262" s="1916">
        <v>-1125.8397529988899</v>
      </c>
      <c r="AT1262" s="1916">
        <v>-1124.8397529988899</v>
      </c>
      <c r="BC1262" s="2167"/>
      <c r="BD1262" s="2167"/>
      <c r="BE1262" s="2167"/>
      <c r="BF1262" s="2167"/>
      <c r="BG1262" s="2167"/>
      <c r="BH1262" s="2167"/>
    </row>
    <row r="1263" spans="1:60" ht="15" customHeight="1">
      <c r="A1263" s="1"/>
      <c r="B1263" s="1"/>
      <c r="C1263" s="1"/>
      <c r="D1263" s="1911" t="s">
        <v>3406</v>
      </c>
      <c r="E1263" s="1912"/>
      <c r="F1263" s="1912"/>
      <c r="G1263" s="1912"/>
      <c r="H1263" s="1912"/>
      <c r="I1263" s="1912"/>
      <c r="J1263" s="1912"/>
      <c r="K1263" s="1912"/>
      <c r="L1263" s="1912"/>
      <c r="M1263" s="1912"/>
      <c r="N1263" s="1912"/>
      <c r="O1263" s="1912"/>
      <c r="P1263" s="1912"/>
      <c r="Q1263" s="1912"/>
      <c r="R1263" s="1912"/>
      <c r="S1263" s="1912"/>
      <c r="T1263" s="1912"/>
      <c r="U1263" s="1912"/>
      <c r="V1263" s="1913"/>
      <c r="W1263" s="1913"/>
      <c r="X1263" s="1913"/>
      <c r="Y1263" s="1917"/>
      <c r="Z1263" s="1917"/>
      <c r="AA1263" s="1917"/>
      <c r="AB1263" s="1917"/>
      <c r="AC1263" s="1917"/>
      <c r="AD1263" s="1917"/>
      <c r="AE1263" s="1917"/>
      <c r="AF1263" s="1917"/>
      <c r="AG1263" s="1917"/>
      <c r="AH1263" s="1917">
        <f t="shared" ref="AH1263:AT1263" si="1523">AH1158-AH1262</f>
        <v>-26.483068430690309</v>
      </c>
      <c r="AI1263" s="1917">
        <f t="shared" si="1523"/>
        <v>-114.68338854043941</v>
      </c>
      <c r="AJ1263" s="1917">
        <f t="shared" si="1523"/>
        <v>-179.91645988078517</v>
      </c>
      <c r="AK1263" s="1917">
        <f>AK1158-AK1262</f>
        <v>-972.26596514713901</v>
      </c>
      <c r="AL1263" s="1917">
        <f t="shared" si="1523"/>
        <v>-664.80480869762141</v>
      </c>
      <c r="AM1263" s="1917">
        <f t="shared" si="1523"/>
        <v>105.498668034091</v>
      </c>
      <c r="AN1263" s="1917">
        <f t="shared" si="1523"/>
        <v>81.331885726458722</v>
      </c>
      <c r="AO1263" s="1917">
        <f t="shared" si="1523"/>
        <v>-45.052018242369741</v>
      </c>
      <c r="AP1263" s="1917">
        <f t="shared" si="1523"/>
        <v>-125.38963086785384</v>
      </c>
      <c r="AQ1263" s="1917">
        <f t="shared" si="1523"/>
        <v>-78.933608832166783</v>
      </c>
      <c r="AR1263" s="1917">
        <f t="shared" si="1523"/>
        <v>-287.49723633806821</v>
      </c>
      <c r="AS1263" s="1917">
        <f t="shared" si="1523"/>
        <v>-13482.190718080739</v>
      </c>
      <c r="AT1263" s="1917">
        <f t="shared" si="1523"/>
        <v>-33815.414212350719</v>
      </c>
      <c r="BC1263" s="2167"/>
      <c r="BD1263" s="2167"/>
      <c r="BE1263" s="2167"/>
      <c r="BF1263" s="2167"/>
      <c r="BG1263" s="2167"/>
      <c r="BH1263" s="2167"/>
    </row>
    <row r="1264" spans="1:60">
      <c r="A1264" s="1"/>
      <c r="B1264" s="1"/>
      <c r="C1264" s="1"/>
      <c r="D1264" s="387"/>
      <c r="E1264" s="346"/>
      <c r="F1264" s="302"/>
      <c r="G1264" s="302"/>
      <c r="H1264" s="302"/>
      <c r="I1264" s="302"/>
      <c r="J1264" s="302"/>
      <c r="K1264" s="302"/>
      <c r="L1264" s="302"/>
      <c r="M1264" s="302"/>
      <c r="N1264" s="302"/>
      <c r="O1264" s="302"/>
      <c r="P1264" s="302"/>
      <c r="Q1264" s="302"/>
      <c r="R1264" s="302"/>
      <c r="S1264" s="302"/>
      <c r="T1264" s="302"/>
      <c r="U1264" s="302"/>
      <c r="V1264" s="126"/>
      <c r="W1264" s="1627"/>
      <c r="X1264" s="1627"/>
      <c r="Y1264" s="1834"/>
      <c r="Z1264" s="1834"/>
      <c r="AA1264" s="1834"/>
      <c r="AB1264" s="1834"/>
      <c r="AC1264" s="1834"/>
      <c r="AD1264" s="1834"/>
      <c r="AE1264" s="1834"/>
      <c r="AF1264" s="1834"/>
      <c r="AG1264" s="1834"/>
      <c r="AH1264" s="1834"/>
      <c r="AI1264" s="1834"/>
      <c r="AJ1264" s="1834"/>
      <c r="AK1264" s="1834"/>
      <c r="AL1264" s="1834"/>
      <c r="AM1264" s="1834"/>
      <c r="AN1264" s="1834"/>
      <c r="AO1264" s="1834"/>
      <c r="AP1264" s="1834"/>
      <c r="AQ1264" s="1834"/>
      <c r="AR1264" s="1834"/>
      <c r="AS1264" s="1834"/>
      <c r="AT1264" s="1834"/>
    </row>
    <row r="1265" spans="1:253">
      <c r="A1265" s="1"/>
      <c r="B1265" s="1"/>
      <c r="C1265" s="1"/>
      <c r="D1265" s="1838" t="s">
        <v>3318</v>
      </c>
      <c r="E1265" s="1839"/>
      <c r="F1265" s="1840"/>
      <c r="G1265" s="1840"/>
      <c r="H1265" s="1840"/>
      <c r="I1265" s="1840"/>
      <c r="J1265" s="1840"/>
      <c r="K1265" s="1840"/>
      <c r="L1265" s="1840"/>
      <c r="M1265" s="1840"/>
      <c r="N1265" s="1840"/>
      <c r="O1265" s="1840"/>
      <c r="P1265" s="1840"/>
      <c r="Q1265" s="1840"/>
      <c r="R1265" s="1840"/>
      <c r="S1265" s="1840"/>
      <c r="T1265" s="1840"/>
      <c r="U1265" s="1840"/>
      <c r="V1265" s="1841"/>
      <c r="W1265" s="1842"/>
      <c r="X1265" s="1842"/>
      <c r="Y1265" s="1843"/>
      <c r="Z1265" s="1843"/>
      <c r="AA1265" s="1843"/>
      <c r="AB1265" s="1843"/>
      <c r="AC1265" s="1843"/>
      <c r="AD1265" s="1843"/>
      <c r="AE1265" s="1843"/>
      <c r="AF1265" s="1843"/>
      <c r="AG1265" s="1843"/>
      <c r="AH1265" s="1843"/>
      <c r="AI1265" s="1843"/>
      <c r="AJ1265" s="1843"/>
      <c r="AK1265" s="1844"/>
      <c r="AL1265" s="1844"/>
      <c r="AM1265" s="1844"/>
      <c r="AN1265" s="1844"/>
      <c r="AO1265" s="1844"/>
      <c r="AP1265" s="1834"/>
      <c r="AQ1265" s="1834"/>
      <c r="AR1265" s="1834"/>
      <c r="AS1265" s="1834"/>
      <c r="AT1265" s="1834"/>
    </row>
    <row r="1266" spans="1:253">
      <c r="A1266" s="1"/>
      <c r="B1266" s="1"/>
      <c r="C1266" s="1"/>
      <c r="D1266" s="1845" t="s">
        <v>3319</v>
      </c>
      <c r="E1266" s="346"/>
      <c r="F1266" s="302"/>
      <c r="G1266" s="302"/>
      <c r="H1266" s="302"/>
      <c r="I1266" s="302"/>
      <c r="J1266" s="302"/>
      <c r="K1266" s="302"/>
      <c r="L1266" s="302"/>
      <c r="M1266" s="302"/>
      <c r="N1266" s="302"/>
      <c r="O1266" s="302"/>
      <c r="P1266" s="302"/>
      <c r="Q1266" s="302"/>
      <c r="R1266" s="302"/>
      <c r="S1266" s="302"/>
      <c r="T1266" s="302"/>
      <c r="U1266" s="302"/>
      <c r="V1266" s="126"/>
      <c r="W1266" s="1627"/>
      <c r="X1266" s="1627"/>
      <c r="Y1266" s="1834"/>
      <c r="Z1266" s="1834"/>
      <c r="AA1266" s="1834"/>
      <c r="AB1266" s="1834"/>
      <c r="AC1266" s="1834">
        <f>AC1267-(AC1268+AC1269)</f>
        <v>48.186332582787003</v>
      </c>
      <c r="AD1266" s="1834">
        <f t="shared" ref="AD1266:AO1266" si="1524">AD1267-(AD1268+AD1269)</f>
        <v>38.635839439861542</v>
      </c>
      <c r="AE1266" s="1834">
        <f t="shared" si="1524"/>
        <v>307.54245797220136</v>
      </c>
      <c r="AF1266" s="1834">
        <f t="shared" si="1524"/>
        <v>-79.823698997608062</v>
      </c>
      <c r="AG1266" s="1834">
        <f t="shared" si="1524"/>
        <v>12.311671267618749</v>
      </c>
      <c r="AH1266" s="1834">
        <f t="shared" si="1524"/>
        <v>-31.499633252327129</v>
      </c>
      <c r="AI1266" s="1834">
        <f t="shared" si="1524"/>
        <v>-35.037420795206181</v>
      </c>
      <c r="AJ1266" s="1834">
        <f t="shared" si="1524"/>
        <v>211.53312820756867</v>
      </c>
      <c r="AK1266" s="1846">
        <f t="shared" si="1524"/>
        <v>123.22285047301007</v>
      </c>
      <c r="AL1266" s="1846">
        <f t="shared" si="1524"/>
        <v>224.75011990088223</v>
      </c>
      <c r="AM1266" s="1846">
        <f t="shared" si="1524"/>
        <v>20.149168689596209</v>
      </c>
      <c r="AN1266" s="1846">
        <f t="shared" si="1524"/>
        <v>-209.93311486759308</v>
      </c>
      <c r="AO1266" s="1846">
        <f t="shared" si="1524"/>
        <v>-773.04516921233676</v>
      </c>
      <c r="AP1266" s="1846">
        <f t="shared" ref="AP1266:AT1266" si="1525">AP1267-(AP1268+AP1269)</f>
        <v>-657.43975440196255</v>
      </c>
      <c r="AQ1266" s="1846">
        <f t="shared" si="1525"/>
        <v>-2640.1291599559518</v>
      </c>
      <c r="AR1266" s="1846">
        <f t="shared" si="1525"/>
        <v>-1896.8318905573215</v>
      </c>
      <c r="AS1266" s="1846">
        <f t="shared" si="1525"/>
        <v>-15258.980044182175</v>
      </c>
      <c r="AT1266" s="1846">
        <f t="shared" si="1525"/>
        <v>-35629.583095118607</v>
      </c>
    </row>
    <row r="1267" spans="1:253">
      <c r="A1267" s="1"/>
      <c r="B1267" s="1"/>
      <c r="C1267" s="1"/>
      <c r="D1267" s="1847" t="s">
        <v>3320</v>
      </c>
      <c r="E1267" s="346"/>
      <c r="F1267" s="302"/>
      <c r="G1267" s="302"/>
      <c r="H1267" s="302"/>
      <c r="I1267" s="302"/>
      <c r="J1267" s="302"/>
      <c r="K1267" s="302"/>
      <c r="L1267" s="302"/>
      <c r="M1267" s="302"/>
      <c r="N1267" s="302"/>
      <c r="O1267" s="302"/>
      <c r="P1267" s="302"/>
      <c r="Q1267" s="302"/>
      <c r="R1267" s="302"/>
      <c r="S1267" s="302"/>
      <c r="T1267" s="302"/>
      <c r="U1267" s="302"/>
      <c r="V1267" s="126"/>
      <c r="W1267" s="1627"/>
      <c r="X1267" s="1627"/>
      <c r="Y1267" s="1834"/>
      <c r="Z1267" s="1834"/>
      <c r="AA1267" s="1834"/>
      <c r="AB1267" s="1834"/>
      <c r="AC1267" s="1834">
        <f t="shared" ref="AC1267:AT1267" si="1526">AC1176</f>
        <v>48.186332582787003</v>
      </c>
      <c r="AD1267" s="1834">
        <f t="shared" si="1526"/>
        <v>38.635839439861542</v>
      </c>
      <c r="AE1267" s="1834">
        <f t="shared" si="1526"/>
        <v>307.54245797220136</v>
      </c>
      <c r="AF1267" s="1834">
        <f t="shared" si="1526"/>
        <v>43.164021002391905</v>
      </c>
      <c r="AG1267" s="1834">
        <f t="shared" si="1526"/>
        <v>208.70955126761885</v>
      </c>
      <c r="AH1267" s="1834">
        <f t="shared" si="1526"/>
        <v>-77.843979342327088</v>
      </c>
      <c r="AI1267" s="1834">
        <f t="shared" si="1526"/>
        <v>-30.088546872206166</v>
      </c>
      <c r="AJ1267" s="1834">
        <f t="shared" si="1526"/>
        <v>169.69762369365699</v>
      </c>
      <c r="AK1267" s="1846">
        <f t="shared" si="1526"/>
        <v>110.23928231489592</v>
      </c>
      <c r="AL1267" s="1846">
        <f t="shared" si="1526"/>
        <v>123.89218660476311</v>
      </c>
      <c r="AM1267" s="1846">
        <f t="shared" si="1526"/>
        <v>139.41480759349844</v>
      </c>
      <c r="AN1267" s="1846">
        <f t="shared" si="1526"/>
        <v>97.000225184938145</v>
      </c>
      <c r="AO1267" s="1846">
        <f t="shared" si="1526"/>
        <v>108.98257082761732</v>
      </c>
      <c r="AP1267" s="1846">
        <f t="shared" si="1526"/>
        <v>115.92249054605887</v>
      </c>
      <c r="AQ1267" s="1846">
        <f t="shared" si="1526"/>
        <v>122.34798140424239</v>
      </c>
      <c r="AR1267" s="1846">
        <f t="shared" si="1526"/>
        <v>142.57844069776763</v>
      </c>
      <c r="AS1267" s="1846">
        <f t="shared" si="1526"/>
        <v>37.723032925876964</v>
      </c>
      <c r="AT1267" s="1846">
        <f t="shared" si="1526"/>
        <v>37.723032925876964</v>
      </c>
    </row>
    <row r="1268" spans="1:253">
      <c r="A1268" s="1"/>
      <c r="B1268" s="1"/>
      <c r="C1268" s="1"/>
      <c r="D1268" s="1847" t="s">
        <v>3321</v>
      </c>
      <c r="E1268" s="346"/>
      <c r="F1268" s="302"/>
      <c r="G1268" s="302"/>
      <c r="H1268" s="302"/>
      <c r="I1268" s="302"/>
      <c r="J1268" s="302"/>
      <c r="K1268" s="302"/>
      <c r="L1268" s="302"/>
      <c r="M1268" s="302"/>
      <c r="N1268" s="302"/>
      <c r="O1268" s="302"/>
      <c r="P1268" s="302"/>
      <c r="Q1268" s="302"/>
      <c r="R1268" s="302"/>
      <c r="S1268" s="302"/>
      <c r="T1268" s="302"/>
      <c r="U1268" s="302"/>
      <c r="V1268" s="126"/>
      <c r="W1268" s="1627"/>
      <c r="X1268" s="1627"/>
      <c r="Y1268" s="1834"/>
      <c r="Z1268" s="1834"/>
      <c r="AA1268" s="1834"/>
      <c r="AB1268" s="1834"/>
      <c r="AC1268" s="1834">
        <f t="shared" ref="AC1268:AO1268" si="1527">AC1217+AC1222+AC1225+AC1232</f>
        <v>0</v>
      </c>
      <c r="AD1268" s="1834">
        <f t="shared" si="1527"/>
        <v>0</v>
      </c>
      <c r="AE1268" s="1834">
        <f t="shared" si="1527"/>
        <v>0</v>
      </c>
      <c r="AF1268" s="1834">
        <f t="shared" si="1527"/>
        <v>0</v>
      </c>
      <c r="AG1268" s="1834">
        <f t="shared" si="1527"/>
        <v>0</v>
      </c>
      <c r="AH1268" s="1834">
        <f t="shared" si="1527"/>
        <v>0</v>
      </c>
      <c r="AI1268" s="1834">
        <f t="shared" si="1527"/>
        <v>0</v>
      </c>
      <c r="AJ1268" s="1834">
        <f t="shared" si="1527"/>
        <v>0</v>
      </c>
      <c r="AK1268" s="1846">
        <f t="shared" si="1527"/>
        <v>0</v>
      </c>
      <c r="AL1268" s="1846">
        <f t="shared" si="1527"/>
        <v>0</v>
      </c>
      <c r="AM1268" s="1846">
        <f t="shared" si="1527"/>
        <v>0</v>
      </c>
      <c r="AN1268" s="1846">
        <f t="shared" si="1527"/>
        <v>0</v>
      </c>
      <c r="AO1268" s="1846">
        <f t="shared" si="1527"/>
        <v>0</v>
      </c>
      <c r="AP1268" s="1846">
        <f t="shared" ref="AP1268:AT1268" si="1528">AP1217+AP1222+AP1225+AP1232</f>
        <v>1</v>
      </c>
      <c r="AQ1268" s="1846">
        <f t="shared" si="1528"/>
        <v>2</v>
      </c>
      <c r="AR1268" s="1846">
        <f t="shared" si="1528"/>
        <v>3</v>
      </c>
      <c r="AS1268" s="1846">
        <f t="shared" si="1528"/>
        <v>4</v>
      </c>
      <c r="AT1268" s="1846">
        <f t="shared" si="1528"/>
        <v>5</v>
      </c>
    </row>
    <row r="1269" spans="1:253">
      <c r="A1269" s="1"/>
      <c r="B1269" s="1"/>
      <c r="C1269" s="1"/>
      <c r="D1269" s="1848" t="s">
        <v>3322</v>
      </c>
      <c r="E1269" s="1849"/>
      <c r="F1269" s="1850"/>
      <c r="G1269" s="1850"/>
      <c r="H1269" s="1850"/>
      <c r="I1269" s="1850"/>
      <c r="J1269" s="1850"/>
      <c r="K1269" s="1850"/>
      <c r="L1269" s="1850"/>
      <c r="M1269" s="1850"/>
      <c r="N1269" s="1850"/>
      <c r="O1269" s="1850"/>
      <c r="P1269" s="1850"/>
      <c r="Q1269" s="1850"/>
      <c r="R1269" s="1850"/>
      <c r="S1269" s="1850"/>
      <c r="T1269" s="1850"/>
      <c r="U1269" s="1850"/>
      <c r="V1269" s="1851"/>
      <c r="W1269" s="1852"/>
      <c r="X1269" s="1852"/>
      <c r="Y1269" s="1853"/>
      <c r="Z1269" s="1853"/>
      <c r="AA1269" s="1853"/>
      <c r="AB1269" s="1853"/>
      <c r="AC1269" s="1853">
        <f t="shared" ref="AC1269:AO1269" si="1529">AC1218+AC1223+AC1226+AC1233</f>
        <v>0</v>
      </c>
      <c r="AD1269" s="1853">
        <f t="shared" si="1529"/>
        <v>0</v>
      </c>
      <c r="AE1269" s="1853">
        <f t="shared" si="1529"/>
        <v>0</v>
      </c>
      <c r="AF1269" s="1853">
        <f t="shared" si="1529"/>
        <v>122.98771999999997</v>
      </c>
      <c r="AG1269" s="1853">
        <f t="shared" si="1529"/>
        <v>196.3978800000001</v>
      </c>
      <c r="AH1269" s="1853">
        <f t="shared" si="1529"/>
        <v>-46.344346089999959</v>
      </c>
      <c r="AI1269" s="1853">
        <f t="shared" si="1529"/>
        <v>4.9488739230000149</v>
      </c>
      <c r="AJ1269" s="1853">
        <f t="shared" si="1529"/>
        <v>-41.835504513911673</v>
      </c>
      <c r="AK1269" s="1854">
        <f t="shared" si="1529"/>
        <v>-12.983568158114156</v>
      </c>
      <c r="AL1269" s="1854">
        <f t="shared" si="1529"/>
        <v>-100.85793329611913</v>
      </c>
      <c r="AM1269" s="1854">
        <f t="shared" si="1529"/>
        <v>119.26563890390223</v>
      </c>
      <c r="AN1269" s="1854">
        <f t="shared" si="1529"/>
        <v>306.93334005253121</v>
      </c>
      <c r="AO1269" s="1854">
        <f t="shared" si="1529"/>
        <v>882.0277400399541</v>
      </c>
      <c r="AP1269" s="1854">
        <f t="shared" ref="AP1269:AT1269" si="1530">AP1218+AP1223+AP1226+AP1233</f>
        <v>772.36224494802138</v>
      </c>
      <c r="AQ1269" s="1854">
        <f t="shared" si="1530"/>
        <v>2760.4771413601943</v>
      </c>
      <c r="AR1269" s="1854">
        <f t="shared" si="1530"/>
        <v>2036.410331255089</v>
      </c>
      <c r="AS1269" s="1854">
        <f t="shared" si="1530"/>
        <v>15292.703077108052</v>
      </c>
      <c r="AT1269" s="1854">
        <f t="shared" si="1530"/>
        <v>35662.306128044482</v>
      </c>
    </row>
    <row r="1270" spans="1:253" s="1932" customFormat="1">
      <c r="D1270" s="1933"/>
      <c r="E1270" s="1934"/>
      <c r="F1270" s="1935"/>
      <c r="G1270" s="1935"/>
      <c r="H1270" s="1935"/>
      <c r="I1270" s="1935"/>
      <c r="J1270" s="1935"/>
      <c r="K1270" s="1935"/>
      <c r="L1270" s="1935"/>
      <c r="M1270" s="1935"/>
      <c r="N1270" s="1935"/>
      <c r="O1270" s="1935"/>
      <c r="P1270" s="1935"/>
      <c r="Q1270" s="1935"/>
      <c r="R1270" s="1935"/>
      <c r="S1270" s="1935"/>
      <c r="T1270" s="1935"/>
      <c r="U1270" s="1935"/>
      <c r="V1270" s="1936"/>
      <c r="W1270" s="1936"/>
      <c r="X1270" s="1936"/>
      <c r="Y1270" s="1937"/>
      <c r="Z1270" s="1937"/>
      <c r="AA1270" s="1937"/>
      <c r="AB1270" s="1937"/>
      <c r="AC1270" s="1937"/>
      <c r="AD1270" s="1937"/>
      <c r="AE1270" s="1937"/>
      <c r="AF1270" s="1937"/>
      <c r="AG1270" s="1937"/>
      <c r="AH1270" s="1937"/>
      <c r="AI1270" s="1937"/>
      <c r="AJ1270" s="1937"/>
      <c r="AK1270" s="1937"/>
      <c r="AL1270" s="1937"/>
      <c r="AM1270" s="1937"/>
      <c r="AN1270" s="1937"/>
      <c r="AO1270" s="1937"/>
      <c r="AP1270" s="1937"/>
      <c r="AQ1270" s="1937"/>
      <c r="AR1270" s="1937"/>
      <c r="AS1270" s="1937"/>
      <c r="AT1270" s="1937"/>
      <c r="AU1270" s="1"/>
      <c r="AV1270" s="1"/>
      <c r="AW1270" s="1"/>
      <c r="AX1270" s="1"/>
    </row>
    <row r="1271" spans="1:253" s="1935" customFormat="1">
      <c r="A1271" s="1938"/>
      <c r="B1271" s="1938"/>
      <c r="C1271" s="1938"/>
      <c r="D1271" s="1938" t="s">
        <v>3478</v>
      </c>
      <c r="V1271" s="1935">
        <f t="shared" ref="V1271:AT1271" si="1531">V989+V1052</f>
        <v>201.522732741</v>
      </c>
      <c r="W1271" s="1935">
        <f t="shared" si="1531"/>
        <v>263.2</v>
      </c>
      <c r="X1271" s="1935">
        <f t="shared" si="1531"/>
        <v>366.53795364000001</v>
      </c>
      <c r="Y1271" s="1935">
        <f t="shared" si="1531"/>
        <v>864.47383156167234</v>
      </c>
      <c r="Z1271" s="1935">
        <f t="shared" si="1531"/>
        <v>1002.7792935799948</v>
      </c>
      <c r="AA1271" s="1935">
        <f t="shared" si="1531"/>
        <v>1167.9634976524221</v>
      </c>
      <c r="AB1271" s="1935">
        <f t="shared" si="1531"/>
        <v>1285.5798455454374</v>
      </c>
      <c r="AC1271" s="1935">
        <f t="shared" si="1531"/>
        <v>1461.503755922336</v>
      </c>
      <c r="AD1271" s="1935">
        <f t="shared" si="1531"/>
        <v>1670.2773135815255</v>
      </c>
      <c r="AE1271" s="1935">
        <f t="shared" si="1531"/>
        <v>1765.5317433201858</v>
      </c>
      <c r="AF1271" s="1935">
        <f t="shared" si="1531"/>
        <v>2007.1030292870055</v>
      </c>
      <c r="AG1271" s="1935">
        <f t="shared" si="1531"/>
        <v>2277.9986459098222</v>
      </c>
      <c r="AH1271" s="1935">
        <f t="shared" si="1531"/>
        <v>2688.2599377113861</v>
      </c>
      <c r="AI1271" s="1935">
        <f t="shared" si="1531"/>
        <v>3053.3369521394116</v>
      </c>
      <c r="AJ1271" s="1935">
        <f t="shared" si="1531"/>
        <v>3659.347753320827</v>
      </c>
      <c r="AK1271" s="1935">
        <f t="shared" si="1531"/>
        <v>4252.6287025465917</v>
      </c>
      <c r="AL1271" s="1935">
        <f t="shared" si="1531"/>
        <v>5045.816472387316</v>
      </c>
      <c r="AM1271" s="1935">
        <f t="shared" si="1531"/>
        <v>5830.2474807782892</v>
      </c>
      <c r="AN1271" s="1935">
        <f t="shared" si="1531"/>
        <v>6620.9160462827513</v>
      </c>
      <c r="AO1271" s="1935">
        <f t="shared" si="1531"/>
        <v>7505.7668542351121</v>
      </c>
      <c r="AP1271" s="1935">
        <f t="shared" si="1531"/>
        <v>8087.4598973181346</v>
      </c>
      <c r="AQ1271" s="1935">
        <f t="shared" si="1531"/>
        <v>8576.0522900391334</v>
      </c>
      <c r="AR1271" s="1935">
        <f t="shared" si="1531"/>
        <v>10161.391983588592</v>
      </c>
      <c r="AS1271" s="1935">
        <f t="shared" si="1531"/>
        <v>-16990.256025136707</v>
      </c>
      <c r="AT1271" s="1935">
        <f t="shared" si="1531"/>
        <v>-37162.415441469566</v>
      </c>
      <c r="AU1271" s="1"/>
      <c r="AV1271" s="1"/>
      <c r="AW1271" s="1"/>
      <c r="AX1271" s="1"/>
      <c r="DE1271" s="1939"/>
      <c r="DQ1271" s="1940"/>
      <c r="EC1271" s="1940"/>
      <c r="ED1271" s="1933"/>
      <c r="EE1271" s="1933"/>
      <c r="EF1271" s="1933"/>
      <c r="EG1271" s="1933"/>
      <c r="EH1271" s="1933"/>
      <c r="EI1271" s="1933"/>
      <c r="EJ1271" s="1933"/>
      <c r="EK1271" s="1933"/>
      <c r="EL1271" s="1933"/>
      <c r="EM1271" s="1933"/>
      <c r="EN1271" s="1933"/>
      <c r="EO1271" s="1941"/>
      <c r="EP1271" s="1933"/>
      <c r="EQ1271" s="1933"/>
      <c r="ER1271" s="1933"/>
      <c r="ES1271" s="1933"/>
      <c r="ET1271" s="1933"/>
      <c r="EU1271" s="1933"/>
      <c r="EV1271" s="1933"/>
      <c r="EW1271" s="1933"/>
      <c r="EX1271" s="1933"/>
      <c r="EY1271" s="1933"/>
      <c r="EZ1271" s="1933"/>
      <c r="FA1271" s="1941"/>
      <c r="FB1271" s="1933"/>
      <c r="FC1271" s="1933"/>
      <c r="FD1271" s="1933"/>
      <c r="FE1271" s="1933"/>
      <c r="FF1271" s="1933"/>
      <c r="FG1271" s="1933"/>
      <c r="FH1271" s="1933"/>
      <c r="FI1271" s="1933"/>
      <c r="FJ1271" s="1933"/>
      <c r="FK1271" s="1933"/>
      <c r="FL1271" s="1933"/>
      <c r="FM1271" s="1941"/>
      <c r="FN1271" s="1933"/>
      <c r="FO1271" s="1933"/>
      <c r="FP1271" s="1933"/>
      <c r="FQ1271" s="1933"/>
      <c r="FR1271" s="1933"/>
      <c r="FS1271" s="1933"/>
      <c r="FT1271" s="1933"/>
      <c r="FU1271" s="1933"/>
      <c r="FV1271" s="1933"/>
      <c r="FW1271" s="1933"/>
      <c r="FX1271" s="1933"/>
      <c r="FY1271" s="1933"/>
      <c r="FZ1271" s="1933"/>
      <c r="GA1271" s="1933"/>
      <c r="GB1271" s="1933"/>
      <c r="GC1271" s="1933"/>
      <c r="GD1271" s="1933"/>
      <c r="GE1271" s="1933"/>
      <c r="GF1271" s="1933"/>
      <c r="GG1271" s="1933"/>
      <c r="GH1271" s="1933"/>
      <c r="GI1271" s="1933"/>
      <c r="GJ1271" s="1933"/>
      <c r="GK1271" s="1933"/>
      <c r="GL1271" s="1933"/>
      <c r="GM1271" s="1933"/>
      <c r="GN1271" s="1933"/>
      <c r="GO1271" s="1933"/>
      <c r="GP1271" s="1933"/>
      <c r="GQ1271" s="1933"/>
      <c r="GR1271" s="1933"/>
      <c r="GS1271" s="1933"/>
      <c r="GT1271" s="1933"/>
      <c r="GU1271" s="1933"/>
      <c r="GV1271" s="1933"/>
      <c r="GW1271" s="1933"/>
      <c r="GX1271" s="1933"/>
    </row>
    <row r="1272" spans="1:253" s="1935" customFormat="1">
      <c r="A1272" s="1938"/>
      <c r="B1272" s="1938"/>
      <c r="C1272" s="1938"/>
      <c r="D1272" s="1938" t="s">
        <v>3479</v>
      </c>
      <c r="V1272" s="1935">
        <f t="shared" ref="V1272:AT1272" si="1532">V1077+V1079+V1113+V1115+V1117+V1120+V1129+V1133</f>
        <v>894.25567000000001</v>
      </c>
      <c r="W1272" s="1935">
        <f t="shared" si="1532"/>
        <v>1019</v>
      </c>
      <c r="X1272" s="1935">
        <f t="shared" si="1532"/>
        <v>1020.4316480370001</v>
      </c>
      <c r="Y1272" s="1935">
        <f t="shared" si="1532"/>
        <v>1416.9813117513791</v>
      </c>
      <c r="Z1272" s="1935">
        <f t="shared" si="1532"/>
        <v>1484.2011185174383</v>
      </c>
      <c r="AA1272" s="1935">
        <f t="shared" si="1532"/>
        <v>1598.5711394457026</v>
      </c>
      <c r="AB1272" s="1935">
        <f t="shared" si="1532"/>
        <v>1748.2285822992476</v>
      </c>
      <c r="AC1272" s="1935">
        <f t="shared" si="1532"/>
        <v>1901.4064397010002</v>
      </c>
      <c r="AD1272" s="1935">
        <f t="shared" si="1532"/>
        <v>2281.2027103732298</v>
      </c>
      <c r="AE1272" s="1935">
        <f t="shared" si="1532"/>
        <v>2454.5379530573664</v>
      </c>
      <c r="AF1272" s="1935">
        <f t="shared" si="1532"/>
        <v>2831.4457701673091</v>
      </c>
      <c r="AG1272" s="1935">
        <f t="shared" si="1532"/>
        <v>3401.9045890135626</v>
      </c>
      <c r="AH1272" s="1935">
        <f t="shared" si="1532"/>
        <v>3726.6380465437596</v>
      </c>
      <c r="AI1272" s="1935">
        <f t="shared" si="1532"/>
        <v>4153.8607151888882</v>
      </c>
      <c r="AJ1272" s="1935">
        <f t="shared" si="1532"/>
        <v>4330.9214830075744</v>
      </c>
      <c r="AK1272" s="1935">
        <f t="shared" si="1532"/>
        <v>4579.2295745070696</v>
      </c>
      <c r="AL1272" s="1935">
        <f t="shared" si="1532"/>
        <v>5397.8159363848827</v>
      </c>
      <c r="AM1272" s="1935">
        <f t="shared" si="1532"/>
        <v>6254.7826007042368</v>
      </c>
      <c r="AN1272" s="1935">
        <f t="shared" si="1532"/>
        <v>7093.4990513866014</v>
      </c>
      <c r="AO1272" s="1935">
        <f t="shared" si="1532"/>
        <v>7865.8961893730793</v>
      </c>
      <c r="AP1272" s="1935">
        <f t="shared" si="1532"/>
        <v>7931.6610617504166</v>
      </c>
      <c r="AQ1272" s="1935">
        <f t="shared" si="1532"/>
        <v>8435.2861824987413</v>
      </c>
      <c r="AR1272" s="1935">
        <f t="shared" si="1532"/>
        <v>10191.553758004538</v>
      </c>
      <c r="AS1272" s="1935">
        <f t="shared" si="1532"/>
        <v>-3245.4867519420131</v>
      </c>
      <c r="AT1272" s="1935">
        <f t="shared" si="1532"/>
        <v>-3051.5031061738082</v>
      </c>
      <c r="AU1272" s="1"/>
      <c r="AV1272" s="1"/>
      <c r="AW1272" s="1"/>
      <c r="AX1272" s="1"/>
      <c r="DE1272" s="1939"/>
      <c r="DQ1272" s="1940"/>
      <c r="EC1272" s="1940"/>
      <c r="ED1272" s="1933"/>
      <c r="EE1272" s="1933"/>
      <c r="EF1272" s="1933"/>
      <c r="EG1272" s="1933"/>
      <c r="EH1272" s="1933"/>
      <c r="EI1272" s="1933"/>
      <c r="EJ1272" s="1933"/>
      <c r="EK1272" s="1933"/>
      <c r="EL1272" s="1933"/>
      <c r="EM1272" s="1933"/>
      <c r="EN1272" s="1933"/>
      <c r="EO1272" s="1941"/>
      <c r="EP1272" s="1933"/>
      <c r="EQ1272" s="1933"/>
      <c r="ER1272" s="1933"/>
      <c r="ES1272" s="1933"/>
      <c r="ET1272" s="1933"/>
      <c r="EU1272" s="1933"/>
      <c r="EV1272" s="1933"/>
      <c r="EW1272" s="1933"/>
      <c r="EX1272" s="1933"/>
      <c r="EY1272" s="1933"/>
      <c r="EZ1272" s="1933"/>
      <c r="FA1272" s="1941"/>
      <c r="FB1272" s="1933"/>
      <c r="FC1272" s="1933"/>
      <c r="FD1272" s="1933"/>
      <c r="FE1272" s="1933"/>
      <c r="FF1272" s="1933"/>
      <c r="FG1272" s="1933"/>
      <c r="FH1272" s="1933"/>
      <c r="FI1272" s="1933"/>
      <c r="FJ1272" s="1933"/>
      <c r="FK1272" s="1933"/>
      <c r="FL1272" s="1933"/>
      <c r="FM1272" s="1941"/>
      <c r="FN1272" s="1933"/>
      <c r="FO1272" s="1933"/>
      <c r="FP1272" s="1933"/>
      <c r="FQ1272" s="1933"/>
      <c r="FR1272" s="1933"/>
      <c r="FS1272" s="1933"/>
      <c r="FT1272" s="1933"/>
      <c r="FU1272" s="1933"/>
      <c r="FV1272" s="1933"/>
      <c r="FW1272" s="1933"/>
      <c r="FX1272" s="1933"/>
      <c r="FY1272" s="1933"/>
      <c r="FZ1272" s="1933"/>
      <c r="GA1272" s="1933"/>
      <c r="GB1272" s="1933"/>
      <c r="GC1272" s="1933"/>
      <c r="GD1272" s="1933"/>
      <c r="GE1272" s="1933"/>
      <c r="GF1272" s="1933"/>
      <c r="GG1272" s="1933"/>
      <c r="GH1272" s="1933"/>
      <c r="GI1272" s="1933"/>
      <c r="GJ1272" s="1933"/>
      <c r="GK1272" s="1933"/>
      <c r="GL1272" s="1933"/>
      <c r="GM1272" s="1933"/>
      <c r="GN1272" s="1933"/>
      <c r="GO1272" s="1933"/>
      <c r="GP1272" s="1933"/>
      <c r="GQ1272" s="1933"/>
      <c r="GR1272" s="1933"/>
      <c r="GS1272" s="1933"/>
      <c r="GT1272" s="1933"/>
      <c r="GU1272" s="1933"/>
      <c r="GV1272" s="1933"/>
      <c r="GW1272" s="1933"/>
      <c r="GX1272" s="1933"/>
    </row>
    <row r="1273" spans="1:253" s="1935" customFormat="1">
      <c r="A1273" s="1938"/>
      <c r="B1273" s="1938"/>
      <c r="C1273" s="1938"/>
      <c r="D1273" s="1938" t="s">
        <v>3480</v>
      </c>
      <c r="V1273" s="1935">
        <f t="shared" ref="V1273:AT1273" si="1533">V1095+V1103+V1127+V1193+V1202+V1208+V1209+V1210</f>
        <v>-18.70073</v>
      </c>
      <c r="W1273" s="1935">
        <f t="shared" si="1533"/>
        <v>17.299999999999997</v>
      </c>
      <c r="X1273" s="1935">
        <f t="shared" si="1533"/>
        <v>-52.500000000000014</v>
      </c>
      <c r="Y1273" s="1935">
        <f t="shared" si="1533"/>
        <v>155.48011790556274</v>
      </c>
      <c r="Z1273" s="1935">
        <f t="shared" si="1533"/>
        <v>202.79814589708397</v>
      </c>
      <c r="AA1273" s="1935">
        <f t="shared" si="1533"/>
        <v>216.17130302949641</v>
      </c>
      <c r="AB1273" s="1935">
        <f t="shared" si="1533"/>
        <v>208.53267402719564</v>
      </c>
      <c r="AC1273" s="1935">
        <f t="shared" si="1533"/>
        <v>273.29464722905061</v>
      </c>
      <c r="AD1273" s="1935">
        <f t="shared" si="1533"/>
        <v>330.3076058671586</v>
      </c>
      <c r="AE1273" s="1935">
        <f t="shared" si="1533"/>
        <v>521.38287800505941</v>
      </c>
      <c r="AF1273" s="1935">
        <f t="shared" si="1533"/>
        <v>595.64897438630521</v>
      </c>
      <c r="AG1273" s="1935">
        <f t="shared" si="1533"/>
        <v>818.10532006805533</v>
      </c>
      <c r="AH1273" s="1935">
        <f t="shared" si="1533"/>
        <v>789.91596729607136</v>
      </c>
      <c r="AI1273" s="1935">
        <f t="shared" si="1533"/>
        <v>885.47861092798746</v>
      </c>
      <c r="AJ1273" s="1935">
        <f t="shared" si="1533"/>
        <v>1048.0279456049122</v>
      </c>
      <c r="AK1273" s="1935">
        <f t="shared" si="1533"/>
        <v>1929.8212925009734</v>
      </c>
      <c r="AL1273" s="1935">
        <f t="shared" si="1533"/>
        <v>1701.0808987977307</v>
      </c>
      <c r="AM1273" s="1935">
        <f t="shared" si="1533"/>
        <v>1341.576338414324</v>
      </c>
      <c r="AN1273" s="1935">
        <f t="shared" si="1533"/>
        <v>1371.2489131959408</v>
      </c>
      <c r="AO1273" s="1935">
        <f t="shared" si="1533"/>
        <v>1679.728675958419</v>
      </c>
      <c r="AP1273" s="1935">
        <f t="shared" si="1533"/>
        <v>1765.8662668881484</v>
      </c>
      <c r="AQ1273" s="1935">
        <f t="shared" si="1533"/>
        <v>1729.7098439934077</v>
      </c>
      <c r="AR1273" s="1935">
        <f t="shared" si="1533"/>
        <v>1787.7554672258188</v>
      </c>
      <c r="AS1273" s="1935">
        <f t="shared" si="1533"/>
        <v>1289.9029565205656</v>
      </c>
      <c r="AT1273" s="1935">
        <f t="shared" si="1533"/>
        <v>1275.8021674205743</v>
      </c>
      <c r="AU1273" s="1"/>
      <c r="AV1273" s="1"/>
      <c r="AW1273" s="1"/>
      <c r="AX1273" s="1"/>
      <c r="DE1273" s="1939"/>
      <c r="DQ1273" s="1940"/>
      <c r="EC1273" s="1940"/>
      <c r="ED1273" s="1933"/>
      <c r="EE1273" s="1933"/>
      <c r="EF1273" s="1933"/>
      <c r="EG1273" s="1933"/>
      <c r="EH1273" s="1933"/>
      <c r="EI1273" s="1933"/>
      <c r="EJ1273" s="1933"/>
      <c r="EK1273" s="1933"/>
      <c r="EL1273" s="1933"/>
      <c r="EM1273" s="1933"/>
      <c r="EN1273" s="1933"/>
      <c r="EO1273" s="1941"/>
      <c r="EP1273" s="1933"/>
      <c r="EQ1273" s="1933"/>
      <c r="ER1273" s="1933"/>
      <c r="ES1273" s="1933"/>
      <c r="ET1273" s="1933"/>
      <c r="EU1273" s="1933"/>
      <c r="EV1273" s="1933"/>
      <c r="EW1273" s="1933"/>
      <c r="EX1273" s="1933"/>
      <c r="EY1273" s="1933"/>
      <c r="EZ1273" s="1933"/>
      <c r="FA1273" s="1941"/>
      <c r="FB1273" s="1933"/>
      <c r="FC1273" s="1933"/>
      <c r="FD1273" s="1933"/>
      <c r="FE1273" s="1933"/>
      <c r="FF1273" s="1933"/>
      <c r="FG1273" s="1933"/>
      <c r="FH1273" s="1933"/>
      <c r="FI1273" s="1933"/>
      <c r="FJ1273" s="1933"/>
      <c r="FK1273" s="1933"/>
      <c r="FL1273" s="1933"/>
      <c r="FM1273" s="1941"/>
      <c r="FN1273" s="1933"/>
      <c r="FO1273" s="1933"/>
      <c r="FP1273" s="1933"/>
      <c r="FQ1273" s="1933"/>
      <c r="FR1273" s="1933"/>
      <c r="FS1273" s="1933"/>
      <c r="FT1273" s="1933"/>
      <c r="FU1273" s="1933"/>
      <c r="FV1273" s="1933"/>
      <c r="FW1273" s="1933"/>
      <c r="FX1273" s="1933"/>
      <c r="FY1273" s="1933"/>
      <c r="FZ1273" s="1933"/>
      <c r="GA1273" s="1933"/>
      <c r="GB1273" s="1933"/>
      <c r="GC1273" s="1933"/>
      <c r="GD1273" s="1933"/>
      <c r="GE1273" s="1933"/>
      <c r="GF1273" s="1933"/>
      <c r="GG1273" s="1933"/>
      <c r="GH1273" s="1933"/>
      <c r="GI1273" s="1933"/>
      <c r="GJ1273" s="1933"/>
      <c r="GK1273" s="1933"/>
      <c r="GL1273" s="1933"/>
      <c r="GM1273" s="1933"/>
      <c r="GN1273" s="1933"/>
      <c r="GO1273" s="1933"/>
      <c r="GP1273" s="1933"/>
      <c r="GQ1273" s="1933"/>
      <c r="GR1273" s="1933"/>
      <c r="GS1273" s="1933"/>
      <c r="GT1273" s="1933"/>
      <c r="GU1273" s="1933"/>
      <c r="GV1273" s="1933"/>
      <c r="GW1273" s="1933"/>
      <c r="GX1273" s="1933"/>
    </row>
    <row r="1274" spans="1:253" s="1935" customFormat="1">
      <c r="A1274" s="1938"/>
      <c r="B1274" s="1938"/>
      <c r="C1274" s="1938"/>
      <c r="D1274" s="1938" t="s">
        <v>3481</v>
      </c>
      <c r="V1274" s="1935">
        <f t="shared" ref="V1274:AT1274" si="1534">V1076+V1133+V1193+V1202+V1208+V1209+V1210</f>
        <v>875.55493999999999</v>
      </c>
      <c r="W1274" s="1935">
        <f t="shared" si="1534"/>
        <v>1036.3000000000002</v>
      </c>
      <c r="X1274" s="1935">
        <f t="shared" si="1534"/>
        <v>967.93164803700006</v>
      </c>
      <c r="Y1274" s="1935">
        <f t="shared" si="1534"/>
        <v>1572.4614296569418</v>
      </c>
      <c r="Z1274" s="1935">
        <f t="shared" si="1534"/>
        <v>1686.999264414522</v>
      </c>
      <c r="AA1274" s="1935">
        <f t="shared" si="1534"/>
        <v>1814.7424424751991</v>
      </c>
      <c r="AB1274" s="1935">
        <f t="shared" si="1534"/>
        <v>1956.7612563264433</v>
      </c>
      <c r="AC1274" s="1935">
        <f t="shared" si="1534"/>
        <v>2174.7010869300507</v>
      </c>
      <c r="AD1274" s="1935">
        <f t="shared" si="1534"/>
        <v>2611.5103162403884</v>
      </c>
      <c r="AE1274" s="1935">
        <f t="shared" si="1534"/>
        <v>3037.8770386264255</v>
      </c>
      <c r="AF1274" s="1935">
        <f t="shared" si="1534"/>
        <v>3457.9805486216146</v>
      </c>
      <c r="AG1274" s="1935">
        <f t="shared" si="1534"/>
        <v>4220.0099090816166</v>
      </c>
      <c r="AH1274" s="1935">
        <f t="shared" si="1534"/>
        <v>4516.554013839831</v>
      </c>
      <c r="AI1274" s="1935">
        <f t="shared" si="1534"/>
        <v>5039.3393261168767</v>
      </c>
      <c r="AJ1274" s="1935">
        <f t="shared" si="1534"/>
        <v>5378.9494286124864</v>
      </c>
      <c r="AK1274" s="1935">
        <f t="shared" si="1534"/>
        <v>6509.0508670080426</v>
      </c>
      <c r="AL1274" s="1935">
        <f t="shared" si="1534"/>
        <v>7098.8968351826124</v>
      </c>
      <c r="AM1274" s="1935">
        <f t="shared" si="1534"/>
        <v>7596.3589391185615</v>
      </c>
      <c r="AN1274" s="1935">
        <f t="shared" si="1534"/>
        <v>8464.7479645825406</v>
      </c>
      <c r="AO1274" s="1935">
        <f t="shared" si="1534"/>
        <v>9545.6248653314997</v>
      </c>
      <c r="AP1274" s="1935">
        <f t="shared" si="1534"/>
        <v>9697.5273286385636</v>
      </c>
      <c r="AQ1274" s="1935">
        <f t="shared" si="1534"/>
        <v>10164.99602649215</v>
      </c>
      <c r="AR1274" s="1935">
        <f t="shared" si="1534"/>
        <v>11979.309225230356</v>
      </c>
      <c r="AS1274" s="1935">
        <f t="shared" si="1534"/>
        <v>-1955.5837954214467</v>
      </c>
      <c r="AT1274" s="1935">
        <f t="shared" si="1534"/>
        <v>-1775.7009387532335</v>
      </c>
      <c r="AU1274" s="1"/>
      <c r="AV1274" s="1"/>
      <c r="AW1274" s="1"/>
      <c r="AX1274" s="1"/>
      <c r="DE1274" s="1939"/>
      <c r="DQ1274" s="1940"/>
      <c r="EC1274" s="1940"/>
      <c r="ED1274" s="1933"/>
      <c r="EE1274" s="1933"/>
      <c r="EF1274" s="1933"/>
      <c r="EG1274" s="1933"/>
      <c r="EH1274" s="1933"/>
      <c r="EI1274" s="1933"/>
      <c r="EJ1274" s="1933"/>
      <c r="EK1274" s="1933"/>
      <c r="EL1274" s="1933"/>
      <c r="EM1274" s="1933"/>
      <c r="EN1274" s="1933"/>
      <c r="EO1274" s="1941"/>
      <c r="EP1274" s="1933"/>
      <c r="EQ1274" s="1933"/>
      <c r="ER1274" s="1933"/>
      <c r="ES1274" s="1933"/>
      <c r="ET1274" s="1933"/>
      <c r="EU1274" s="1933"/>
      <c r="EV1274" s="1933"/>
      <c r="EW1274" s="1933"/>
      <c r="EX1274" s="1933"/>
      <c r="EY1274" s="1933"/>
      <c r="EZ1274" s="1933"/>
      <c r="FA1274" s="1941"/>
      <c r="FB1274" s="1933"/>
      <c r="FC1274" s="1933"/>
      <c r="FD1274" s="1933"/>
      <c r="FE1274" s="1933"/>
      <c r="FF1274" s="1933"/>
      <c r="FG1274" s="1933"/>
      <c r="FH1274" s="1933"/>
      <c r="FI1274" s="1933"/>
      <c r="FJ1274" s="1933"/>
      <c r="FK1274" s="1933"/>
      <c r="FL1274" s="1933"/>
      <c r="FM1274" s="1941"/>
      <c r="FN1274" s="1933"/>
      <c r="FO1274" s="1933"/>
      <c r="FP1274" s="1933"/>
      <c r="FQ1274" s="1933"/>
      <c r="FR1274" s="1933"/>
      <c r="FS1274" s="1933"/>
      <c r="FT1274" s="1933"/>
      <c r="FU1274" s="1933"/>
      <c r="FV1274" s="1933"/>
      <c r="FW1274" s="1933"/>
      <c r="FX1274" s="1933"/>
      <c r="FY1274" s="1933"/>
      <c r="FZ1274" s="1933"/>
      <c r="GA1274" s="1933"/>
      <c r="GB1274" s="1933"/>
      <c r="GC1274" s="1933"/>
      <c r="GD1274" s="1933"/>
      <c r="GE1274" s="1933"/>
      <c r="GF1274" s="1933"/>
      <c r="GG1274" s="1933"/>
      <c r="GH1274" s="1933"/>
      <c r="GI1274" s="1933"/>
      <c r="GJ1274" s="1933"/>
      <c r="GK1274" s="1933"/>
      <c r="GL1274" s="1933"/>
      <c r="GM1274" s="1933"/>
      <c r="GN1274" s="1933"/>
      <c r="GO1274" s="1933"/>
      <c r="GP1274" s="1933"/>
      <c r="GQ1274" s="1933"/>
      <c r="GR1274" s="1933"/>
      <c r="GS1274" s="1933"/>
      <c r="GT1274" s="1933"/>
      <c r="GU1274" s="1933"/>
      <c r="GV1274" s="1933"/>
      <c r="GW1274" s="1933"/>
      <c r="GX1274" s="1933"/>
    </row>
    <row r="1275" spans="1:253" s="1935" customFormat="1">
      <c r="A1275" s="1938"/>
      <c r="B1275" s="1938"/>
      <c r="C1275" s="1938"/>
      <c r="D1275" s="1938" t="s">
        <v>3482</v>
      </c>
      <c r="V1275" s="1947">
        <f t="shared" ref="V1275:AT1275" si="1535">V1159</f>
        <v>0</v>
      </c>
      <c r="W1275" s="1947">
        <f t="shared" si="1535"/>
        <v>0</v>
      </c>
      <c r="X1275" s="1935">
        <f t="shared" si="1535"/>
        <v>-601.3936943970001</v>
      </c>
      <c r="Y1275" s="1935">
        <f t="shared" si="1535"/>
        <v>-707.98759809526928</v>
      </c>
      <c r="Z1275" s="1935">
        <f t="shared" si="1535"/>
        <v>-684.21997083452754</v>
      </c>
      <c r="AA1275" s="1935">
        <f t="shared" si="1535"/>
        <v>-646.77894482277702</v>
      </c>
      <c r="AB1275" s="1935">
        <f t="shared" si="1535"/>
        <v>-671.18141078100609</v>
      </c>
      <c r="AC1275" s="1935">
        <f t="shared" si="1535"/>
        <v>-713.19733100771407</v>
      </c>
      <c r="AD1275" s="1935">
        <f t="shared" si="1535"/>
        <v>-941.23300265886246</v>
      </c>
      <c r="AE1275" s="1935">
        <f t="shared" si="1535"/>
        <v>-1272.3452953062397</v>
      </c>
      <c r="AF1275" s="1935">
        <f t="shared" si="1535"/>
        <v>-1450.8775193346087</v>
      </c>
      <c r="AG1275" s="1935">
        <f t="shared" si="1535"/>
        <v>-1940.0112631717952</v>
      </c>
      <c r="AH1275" s="1935">
        <f t="shared" si="1535"/>
        <v>-1828.2940761284447</v>
      </c>
      <c r="AI1275" s="1935">
        <f t="shared" si="1535"/>
        <v>-1986.0023739774647</v>
      </c>
      <c r="AJ1275" s="1935">
        <f t="shared" si="1535"/>
        <v>-1719.6016752916596</v>
      </c>
      <c r="AK1275" s="1935">
        <f t="shared" si="1535"/>
        <v>-2256.4221644614504</v>
      </c>
      <c r="AL1275" s="1935">
        <f t="shared" si="1535"/>
        <v>-2053.0803627952973</v>
      </c>
      <c r="AM1275" s="1935">
        <f t="shared" si="1535"/>
        <v>-1766.111458340273</v>
      </c>
      <c r="AN1275" s="1935">
        <f t="shared" si="1535"/>
        <v>-1843.8319182997911</v>
      </c>
      <c r="AO1275" s="1935">
        <f t="shared" si="1535"/>
        <v>-2039.8580110963878</v>
      </c>
      <c r="AP1275" s="1935">
        <f t="shared" si="1535"/>
        <v>-1610.067431320429</v>
      </c>
      <c r="AQ1275" s="1935">
        <f t="shared" si="1535"/>
        <v>-1588.9437364530158</v>
      </c>
      <c r="AR1275" s="1935">
        <f t="shared" si="1535"/>
        <v>-1817.9172416417641</v>
      </c>
      <c r="AS1275" s="1935">
        <f t="shared" si="1535"/>
        <v>-15034.672229715259</v>
      </c>
      <c r="AT1275" s="1935">
        <f t="shared" si="1535"/>
        <v>-35386.714502716335</v>
      </c>
      <c r="AU1275" s="1"/>
      <c r="AV1275" s="1"/>
      <c r="AW1275" s="1"/>
      <c r="AX1275" s="1"/>
      <c r="DE1275" s="1939"/>
      <c r="DQ1275" s="1940"/>
      <c r="EC1275" s="1940"/>
      <c r="ED1275" s="1933"/>
      <c r="EE1275" s="1933"/>
      <c r="EF1275" s="1933"/>
      <c r="EG1275" s="1933"/>
      <c r="EH1275" s="1933"/>
      <c r="EI1275" s="1933"/>
      <c r="EJ1275" s="1933"/>
      <c r="EK1275" s="1933"/>
      <c r="EL1275" s="1933"/>
      <c r="EM1275" s="1933"/>
      <c r="EN1275" s="1933"/>
      <c r="EO1275" s="1941"/>
      <c r="EP1275" s="1933"/>
      <c r="EQ1275" s="1933"/>
      <c r="ER1275" s="1933"/>
      <c r="ES1275" s="1933"/>
      <c r="ET1275" s="1933"/>
      <c r="EU1275" s="1933"/>
      <c r="EV1275" s="1933"/>
      <c r="EW1275" s="1933"/>
      <c r="EX1275" s="1933"/>
      <c r="EY1275" s="1933"/>
      <c r="EZ1275" s="1933"/>
      <c r="FA1275" s="1941"/>
      <c r="FB1275" s="1933"/>
      <c r="FC1275" s="1933"/>
      <c r="FD1275" s="1933"/>
      <c r="FE1275" s="1933"/>
      <c r="FF1275" s="1933"/>
      <c r="FG1275" s="1933"/>
      <c r="FH1275" s="1933"/>
      <c r="FI1275" s="1933"/>
      <c r="FJ1275" s="1933"/>
      <c r="FK1275" s="1933"/>
      <c r="FL1275" s="1933"/>
      <c r="FM1275" s="1941"/>
      <c r="FN1275" s="1933"/>
      <c r="FO1275" s="1933"/>
      <c r="FP1275" s="1933"/>
      <c r="FQ1275" s="1933"/>
      <c r="FR1275" s="1933"/>
      <c r="FS1275" s="1933"/>
      <c r="FT1275" s="1933"/>
      <c r="FU1275" s="1933"/>
      <c r="FV1275" s="1933"/>
      <c r="FW1275" s="1933"/>
      <c r="FX1275" s="1933"/>
      <c r="FY1275" s="1933"/>
      <c r="FZ1275" s="1933"/>
      <c r="GA1275" s="1933"/>
      <c r="GB1275" s="1933"/>
      <c r="GC1275" s="1933"/>
      <c r="GD1275" s="1933"/>
      <c r="GE1275" s="1933"/>
      <c r="GF1275" s="1933"/>
      <c r="GG1275" s="1933"/>
      <c r="GH1275" s="1933"/>
      <c r="GI1275" s="1933"/>
      <c r="GJ1275" s="1933"/>
      <c r="GK1275" s="1933"/>
      <c r="GL1275" s="1933"/>
      <c r="GM1275" s="1933"/>
      <c r="GN1275" s="1933"/>
      <c r="GO1275" s="1933"/>
      <c r="GP1275" s="1933"/>
      <c r="GQ1275" s="1933"/>
      <c r="GR1275" s="1933"/>
      <c r="GS1275" s="1933"/>
      <c r="GT1275" s="1933"/>
      <c r="GU1275" s="1933"/>
      <c r="GV1275" s="1933"/>
      <c r="GW1275" s="1933"/>
      <c r="GX1275" s="1933"/>
    </row>
    <row r="1276" spans="1:253" s="1935" customFormat="1">
      <c r="A1276" s="1938"/>
      <c r="B1276" s="1938"/>
      <c r="C1276" s="1938"/>
      <c r="D1276" s="1942" t="s">
        <v>3483</v>
      </c>
      <c r="V1276" s="1943" t="str">
        <f>IF(ABS(V1271-V1274-V1275)&gt;0.000001,"Check","")</f>
        <v>Check</v>
      </c>
      <c r="W1276" s="1943" t="str">
        <f t="shared" ref="W1276:AM1276" si="1536">IF(ABS(W1271-W1274-W1275)&gt;0.000001,"Check","")</f>
        <v>Check</v>
      </c>
      <c r="X1276" s="1943" t="str">
        <f t="shared" si="1536"/>
        <v/>
      </c>
      <c r="Y1276" s="1943" t="str">
        <f t="shared" si="1536"/>
        <v/>
      </c>
      <c r="Z1276" s="1943" t="str">
        <f t="shared" si="1536"/>
        <v/>
      </c>
      <c r="AA1276" s="1943" t="str">
        <f t="shared" si="1536"/>
        <v/>
      </c>
      <c r="AB1276" s="1943" t="str">
        <f t="shared" si="1536"/>
        <v/>
      </c>
      <c r="AC1276" s="1943" t="str">
        <f t="shared" si="1536"/>
        <v/>
      </c>
      <c r="AD1276" s="1943" t="str">
        <f t="shared" si="1536"/>
        <v/>
      </c>
      <c r="AE1276" s="1943" t="str">
        <f t="shared" si="1536"/>
        <v/>
      </c>
      <c r="AF1276" s="1943" t="str">
        <f t="shared" si="1536"/>
        <v/>
      </c>
      <c r="AG1276" s="1943" t="str">
        <f t="shared" si="1536"/>
        <v>Check</v>
      </c>
      <c r="AH1276" s="1943" t="str">
        <f t="shared" si="1536"/>
        <v/>
      </c>
      <c r="AI1276" s="1943" t="str">
        <f t="shared" si="1536"/>
        <v/>
      </c>
      <c r="AJ1276" s="1943" t="str">
        <f t="shared" si="1536"/>
        <v/>
      </c>
      <c r="AK1276" s="1943" t="str">
        <f t="shared" si="1536"/>
        <v/>
      </c>
      <c r="AL1276" s="1943" t="str">
        <f t="shared" si="1536"/>
        <v/>
      </c>
      <c r="AM1276" s="1943" t="str">
        <f t="shared" si="1536"/>
        <v/>
      </c>
      <c r="AN1276" s="1943" t="str">
        <f t="shared" ref="AN1276:AO1276" si="1537">IF(ABS(AN1271-AN1274-AN1275)&gt;0.000001,"Check","")</f>
        <v/>
      </c>
      <c r="AO1276" s="1943" t="str">
        <f t="shared" si="1537"/>
        <v/>
      </c>
      <c r="AP1276" s="1943" t="str">
        <f t="shared" ref="AP1276:AT1276" si="1538">IF(ABS(AP1271-AP1274-AP1275)&gt;0.000001,"Check","")</f>
        <v/>
      </c>
      <c r="AQ1276" s="1943" t="str">
        <f t="shared" si="1538"/>
        <v/>
      </c>
      <c r="AR1276" s="1943" t="str">
        <f t="shared" si="1538"/>
        <v/>
      </c>
      <c r="AS1276" s="1943" t="str">
        <f t="shared" si="1538"/>
        <v/>
      </c>
      <c r="AT1276" s="1943" t="str">
        <f t="shared" si="1538"/>
        <v/>
      </c>
      <c r="AU1276" s="1"/>
      <c r="AV1276" s="1"/>
      <c r="AW1276" s="1"/>
      <c r="AX1276" s="1"/>
      <c r="DE1276" s="1939"/>
      <c r="DQ1276" s="1940"/>
      <c r="EC1276" s="1940"/>
      <c r="ED1276" s="1933"/>
      <c r="EE1276" s="1933"/>
      <c r="EF1276" s="1933"/>
      <c r="EG1276" s="1933"/>
      <c r="EH1276" s="1933"/>
      <c r="EI1276" s="1933"/>
      <c r="EJ1276" s="1933"/>
      <c r="EK1276" s="1933"/>
      <c r="EL1276" s="1933"/>
      <c r="EM1276" s="1933"/>
      <c r="EN1276" s="1933"/>
      <c r="EO1276" s="1941"/>
      <c r="EP1276" s="1933"/>
      <c r="EQ1276" s="1933"/>
      <c r="ER1276" s="1933"/>
      <c r="ES1276" s="1933"/>
      <c r="ET1276" s="1933"/>
      <c r="EU1276" s="1933"/>
      <c r="EV1276" s="1933"/>
      <c r="EW1276" s="1933"/>
      <c r="EX1276" s="1933"/>
      <c r="EY1276" s="1933"/>
      <c r="EZ1276" s="1933"/>
      <c r="FA1276" s="1941"/>
      <c r="FB1276" s="1933"/>
      <c r="FC1276" s="1933"/>
      <c r="FD1276" s="1933"/>
      <c r="FE1276" s="1933"/>
      <c r="FF1276" s="1933"/>
      <c r="FG1276" s="1933"/>
      <c r="FH1276" s="1933"/>
      <c r="FI1276" s="1933"/>
      <c r="FJ1276" s="1933"/>
      <c r="FK1276" s="1933"/>
      <c r="FL1276" s="1933"/>
      <c r="FM1276" s="1941"/>
      <c r="FN1276" s="1933"/>
      <c r="FO1276" s="1933"/>
      <c r="FP1276" s="1933"/>
      <c r="FQ1276" s="1933"/>
      <c r="FR1276" s="1933"/>
      <c r="FS1276" s="1933"/>
      <c r="FT1276" s="1933"/>
      <c r="FU1276" s="1933"/>
      <c r="FV1276" s="1933"/>
      <c r="FW1276" s="1933"/>
      <c r="FX1276" s="1933"/>
      <c r="FY1276" s="1933"/>
      <c r="FZ1276" s="1933"/>
      <c r="GA1276" s="1933"/>
      <c r="GB1276" s="1933"/>
      <c r="GC1276" s="1933"/>
      <c r="GD1276" s="1933"/>
      <c r="GE1276" s="1933"/>
      <c r="GF1276" s="1933"/>
      <c r="GG1276" s="1933"/>
      <c r="GH1276" s="1933"/>
      <c r="GI1276" s="1933"/>
      <c r="GJ1276" s="1933"/>
      <c r="GK1276" s="1933"/>
      <c r="GL1276" s="1933"/>
      <c r="GM1276" s="1933"/>
      <c r="GN1276" s="1933"/>
      <c r="GO1276" s="1933"/>
      <c r="GP1276" s="1933"/>
      <c r="GQ1276" s="1933"/>
      <c r="GR1276" s="1933"/>
      <c r="GS1276" s="1933"/>
      <c r="GT1276" s="1933"/>
      <c r="GU1276" s="1933"/>
      <c r="GV1276" s="1933"/>
      <c r="GW1276" s="1933"/>
      <c r="GX1276" s="1933"/>
      <c r="IE1276" s="1943"/>
      <c r="IF1276" s="1943"/>
      <c r="IG1276" s="1943"/>
      <c r="IH1276" s="1943"/>
      <c r="II1276" s="1943"/>
      <c r="IJ1276" s="1943"/>
      <c r="IK1276" s="1943"/>
      <c r="IL1276" s="1943"/>
      <c r="IM1276" s="1943"/>
      <c r="IN1276" s="1943"/>
      <c r="IO1276" s="1943"/>
      <c r="IP1276" s="1943"/>
      <c r="IQ1276" s="1943"/>
      <c r="IR1276" s="1943"/>
      <c r="IS1276" s="1943"/>
    </row>
    <row r="1277" spans="1:253" s="1935" customFormat="1">
      <c r="A1277" s="1938"/>
      <c r="B1277" s="1938"/>
      <c r="C1277" s="1938"/>
      <c r="D1277" s="1938"/>
      <c r="AU1277" s="1"/>
      <c r="AV1277" s="1"/>
      <c r="AW1277" s="1"/>
      <c r="AX1277" s="1"/>
      <c r="DE1277" s="1939"/>
      <c r="DQ1277" s="1940"/>
      <c r="EC1277" s="1940"/>
      <c r="ED1277" s="1933"/>
      <c r="EE1277" s="1933"/>
      <c r="EF1277" s="1933"/>
      <c r="EG1277" s="1933"/>
      <c r="EH1277" s="1933"/>
      <c r="EI1277" s="1933"/>
      <c r="EJ1277" s="1933"/>
      <c r="EK1277" s="1933"/>
      <c r="EL1277" s="1933"/>
      <c r="EM1277" s="1933"/>
      <c r="EN1277" s="1933"/>
      <c r="EO1277" s="1941"/>
      <c r="EP1277" s="1933"/>
      <c r="EQ1277" s="1933"/>
      <c r="ER1277" s="1933"/>
      <c r="ES1277" s="1933"/>
      <c r="ET1277" s="1933"/>
      <c r="EU1277" s="1933"/>
      <c r="EV1277" s="1933"/>
      <c r="EW1277" s="1933"/>
      <c r="EX1277" s="1933"/>
      <c r="EY1277" s="1933"/>
      <c r="EZ1277" s="1933"/>
      <c r="FA1277" s="1941"/>
      <c r="FB1277" s="1933"/>
      <c r="FC1277" s="1933"/>
      <c r="FD1277" s="1933"/>
      <c r="FE1277" s="1933"/>
      <c r="FF1277" s="1933"/>
      <c r="FG1277" s="1933"/>
      <c r="FH1277" s="1933"/>
      <c r="FI1277" s="1933"/>
      <c r="FJ1277" s="1933"/>
      <c r="FK1277" s="1933"/>
      <c r="FL1277" s="1933"/>
      <c r="FM1277" s="1941"/>
      <c r="FN1277" s="1933"/>
      <c r="FO1277" s="1933"/>
      <c r="FP1277" s="1933"/>
      <c r="FQ1277" s="1933"/>
      <c r="FR1277" s="1933"/>
      <c r="FS1277" s="1933"/>
      <c r="FT1277" s="1933"/>
      <c r="FU1277" s="1933"/>
      <c r="FV1277" s="1933"/>
      <c r="FW1277" s="1933"/>
      <c r="FX1277" s="1933"/>
      <c r="FY1277" s="1933"/>
      <c r="FZ1277" s="1933"/>
      <c r="GA1277" s="1933"/>
      <c r="GB1277" s="1933"/>
      <c r="GC1277" s="1933"/>
      <c r="GD1277" s="1933"/>
      <c r="GE1277" s="1933"/>
      <c r="GF1277" s="1933"/>
      <c r="GG1277" s="1933"/>
      <c r="GH1277" s="1933"/>
      <c r="GI1277" s="1933"/>
      <c r="GJ1277" s="1933"/>
      <c r="GK1277" s="1933"/>
      <c r="GL1277" s="1933"/>
      <c r="GM1277" s="1933"/>
      <c r="GN1277" s="1933"/>
      <c r="GO1277" s="1933"/>
      <c r="GP1277" s="1933"/>
      <c r="GQ1277" s="1933"/>
      <c r="GR1277" s="1933"/>
      <c r="GS1277" s="1933"/>
      <c r="GT1277" s="1933"/>
      <c r="GU1277" s="1933"/>
      <c r="GV1277" s="1933"/>
      <c r="GW1277" s="1933"/>
      <c r="GX1277" s="1933"/>
      <c r="IF1277" s="1944"/>
    </row>
    <row r="1278" spans="1:253" s="1935" customFormat="1">
      <c r="A1278" s="1938"/>
      <c r="B1278" s="1938"/>
      <c r="C1278" s="1938"/>
      <c r="D1278" s="1938" t="s">
        <v>3484</v>
      </c>
      <c r="V1278" s="1935">
        <f t="shared" ref="V1278:AT1278" si="1539">V402</f>
        <v>3822</v>
      </c>
      <c r="W1278" s="1935">
        <f t="shared" si="1539"/>
        <v>4425</v>
      </c>
      <c r="X1278" s="1935">
        <f t="shared" si="1539"/>
        <v>4908</v>
      </c>
      <c r="Y1278" s="1935">
        <f t="shared" si="1539"/>
        <v>5337</v>
      </c>
      <c r="Z1278" s="1935">
        <f t="shared" si="1539"/>
        <v>5835</v>
      </c>
      <c r="AA1278" s="1935">
        <f t="shared" si="1539"/>
        <v>6553</v>
      </c>
      <c r="AB1278" s="1935">
        <f t="shared" si="1539"/>
        <v>7234</v>
      </c>
      <c r="AC1278" s="1935">
        <f t="shared" si="1539"/>
        <v>8016</v>
      </c>
      <c r="AD1278" s="1935">
        <f t="shared" si="1539"/>
        <v>8718</v>
      </c>
      <c r="AE1278" s="1935">
        <f t="shared" si="1539"/>
        <v>9386</v>
      </c>
      <c r="AF1278" s="1935">
        <f t="shared" si="1539"/>
        <v>10271</v>
      </c>
      <c r="AG1278" s="1935">
        <f t="shared" si="1539"/>
        <v>11998</v>
      </c>
      <c r="AH1278" s="1935">
        <f t="shared" si="1539"/>
        <v>15291</v>
      </c>
      <c r="AI1278" s="1935">
        <f t="shared" si="1539"/>
        <v>17747</v>
      </c>
      <c r="AJ1278" s="1935">
        <f t="shared" si="1539"/>
        <v>20033.689823079447</v>
      </c>
      <c r="AK1278" s="1935">
        <f t="shared" si="1539"/>
        <v>22653.476238318653</v>
      </c>
      <c r="AL1278" s="1935">
        <f t="shared" si="1539"/>
        <v>25562.479815704588</v>
      </c>
      <c r="AM1278" s="1935">
        <f t="shared" si="1539"/>
        <v>28775.072036619156</v>
      </c>
      <c r="AN1278" s="1935">
        <f t="shared" si="1539"/>
        <v>32333.408394979382</v>
      </c>
      <c r="AO1278" s="1935">
        <f t="shared" si="1539"/>
        <v>36327.523609205775</v>
      </c>
      <c r="AP1278" s="1935">
        <f t="shared" si="1539"/>
        <v>38640.830182019621</v>
      </c>
      <c r="AQ1278" s="1935">
        <f t="shared" si="1539"/>
        <v>40782.660468080794</v>
      </c>
      <c r="AR1278" s="1935">
        <f t="shared" si="1539"/>
        <v>47526.146899255873</v>
      </c>
      <c r="AS1278" s="1935">
        <f t="shared" si="1539"/>
        <v>12574.344308625654</v>
      </c>
      <c r="AT1278" s="1935">
        <f t="shared" si="1539"/>
        <v>12574.344308625654</v>
      </c>
      <c r="AU1278" s="1"/>
      <c r="AV1278" s="1"/>
      <c r="AW1278" s="1"/>
      <c r="AX1278" s="1"/>
      <c r="DE1278" s="1939"/>
      <c r="DQ1278" s="1940"/>
      <c r="EC1278" s="1940"/>
      <c r="ED1278" s="1933"/>
      <c r="EE1278" s="1933"/>
      <c r="EF1278" s="1933"/>
      <c r="EG1278" s="1933"/>
      <c r="EH1278" s="1933"/>
      <c r="EI1278" s="1933"/>
      <c r="EJ1278" s="1933"/>
      <c r="EK1278" s="1933"/>
      <c r="EL1278" s="1933"/>
      <c r="EM1278" s="1933"/>
      <c r="EN1278" s="1933"/>
      <c r="EO1278" s="1941"/>
      <c r="EP1278" s="1933"/>
      <c r="EQ1278" s="1933"/>
      <c r="ER1278" s="1933"/>
      <c r="ES1278" s="1933"/>
      <c r="ET1278" s="1933"/>
      <c r="EU1278" s="1933"/>
      <c r="EV1278" s="1933"/>
      <c r="EW1278" s="1933"/>
      <c r="EX1278" s="1933"/>
      <c r="EY1278" s="1933"/>
      <c r="EZ1278" s="1933"/>
      <c r="FA1278" s="1941"/>
      <c r="FB1278" s="1933"/>
      <c r="FC1278" s="1933"/>
      <c r="FD1278" s="1933"/>
      <c r="FE1278" s="1933"/>
      <c r="FF1278" s="1933"/>
      <c r="FG1278" s="1933"/>
      <c r="FH1278" s="1933"/>
      <c r="FI1278" s="1933"/>
      <c r="FJ1278" s="1933"/>
      <c r="FK1278" s="1933"/>
      <c r="FL1278" s="1933"/>
      <c r="FM1278" s="1941"/>
      <c r="FN1278" s="1933"/>
      <c r="FO1278" s="1933"/>
      <c r="FP1278" s="1933"/>
      <c r="FQ1278" s="1933"/>
      <c r="FR1278" s="1933"/>
      <c r="FS1278" s="1933"/>
      <c r="FT1278" s="1933"/>
      <c r="FU1278" s="1933"/>
      <c r="FV1278" s="1933"/>
      <c r="FW1278" s="1933"/>
      <c r="FX1278" s="1933"/>
      <c r="FY1278" s="1933"/>
      <c r="FZ1278" s="1933"/>
      <c r="GA1278" s="1933"/>
      <c r="GB1278" s="1933"/>
      <c r="GC1278" s="1933"/>
      <c r="GD1278" s="1933"/>
      <c r="GE1278" s="1933"/>
      <c r="GF1278" s="1933"/>
      <c r="GG1278" s="1933"/>
      <c r="GH1278" s="1933"/>
      <c r="GI1278" s="1933"/>
      <c r="GJ1278" s="1933"/>
      <c r="GK1278" s="1933"/>
      <c r="GL1278" s="1933"/>
      <c r="GM1278" s="1933"/>
      <c r="GN1278" s="1933"/>
      <c r="GO1278" s="1933"/>
      <c r="GP1278" s="1933"/>
      <c r="GQ1278" s="1933"/>
      <c r="GR1278" s="1933"/>
      <c r="GS1278" s="1933"/>
      <c r="GT1278" s="1933"/>
      <c r="GU1278" s="1933"/>
      <c r="GV1278" s="1933"/>
      <c r="GW1278" s="1933"/>
      <c r="GX1278" s="1933"/>
    </row>
    <row r="1279" spans="1:253" s="1935" customFormat="1">
      <c r="A1279" s="1938"/>
      <c r="B1279" s="1938"/>
      <c r="C1279" s="1938"/>
      <c r="D1279" s="1938" t="s">
        <v>3485</v>
      </c>
      <c r="V1279" s="1946">
        <f>V1271/V$1278</f>
        <v>5.2727036300627944E-2</v>
      </c>
      <c r="W1279" s="1946">
        <f t="shared" ref="W1279:AM1283" si="1540">W1271/W$1278</f>
        <v>5.9480225988700564E-2</v>
      </c>
      <c r="X1279" s="1946">
        <f t="shared" si="1540"/>
        <v>7.4681734645476769E-2</v>
      </c>
      <c r="Y1279" s="1946">
        <f t="shared" si="1540"/>
        <v>0.16197748389763394</v>
      </c>
      <c r="Z1279" s="1946">
        <f t="shared" si="1540"/>
        <v>0.17185592006512337</v>
      </c>
      <c r="AA1279" s="1946">
        <f t="shared" si="1540"/>
        <v>0.17823340418929073</v>
      </c>
      <c r="AB1279" s="1946">
        <f t="shared" si="1540"/>
        <v>0.17771355343453654</v>
      </c>
      <c r="AC1279" s="1946">
        <f t="shared" si="1540"/>
        <v>0.18232332284460279</v>
      </c>
      <c r="AD1279" s="1946">
        <f t="shared" si="1540"/>
        <v>0.19158950603137481</v>
      </c>
      <c r="AE1279" s="1946">
        <f t="shared" si="1540"/>
        <v>0.18810267881101489</v>
      </c>
      <c r="AF1279" s="1946">
        <f t="shared" si="1540"/>
        <v>0.19541456813231481</v>
      </c>
      <c r="AG1279" s="1946">
        <f t="shared" si="1540"/>
        <v>0.18986486463659127</v>
      </c>
      <c r="AH1279" s="1946">
        <f t="shared" si="1540"/>
        <v>0.17580667959658533</v>
      </c>
      <c r="AI1279" s="1946">
        <f t="shared" si="1540"/>
        <v>0.17204806176477216</v>
      </c>
      <c r="AJ1279" s="1946">
        <f t="shared" si="1540"/>
        <v>0.18265969901885684</v>
      </c>
      <c r="AK1279" s="1946">
        <f t="shared" si="1540"/>
        <v>0.18772521523002347</v>
      </c>
      <c r="AL1279" s="1946">
        <f t="shared" si="1540"/>
        <v>0.19739150930448318</v>
      </c>
      <c r="AM1279" s="1946">
        <f t="shared" si="1540"/>
        <v>0.20261452250610237</v>
      </c>
      <c r="AN1279" s="1946">
        <f t="shared" ref="AN1279:AO1279" si="1541">AN1271/AN$1278</f>
        <v>0.20477012399691286</v>
      </c>
      <c r="AO1279" s="1946">
        <f t="shared" si="1541"/>
        <v>0.20661377678750092</v>
      </c>
      <c r="AP1279" s="1946">
        <f t="shared" ref="AP1279:AT1279" si="1542">AP1271/AP$1278</f>
        <v>0.20929829559100407</v>
      </c>
      <c r="AQ1279" s="1946">
        <f t="shared" si="1542"/>
        <v>0.21028672949748628</v>
      </c>
      <c r="AR1279" s="1946">
        <f t="shared" si="1542"/>
        <v>0.21380634969479698</v>
      </c>
      <c r="AS1279" s="1946">
        <f t="shared" si="1542"/>
        <v>-1.3511842532800584</v>
      </c>
      <c r="AT1279" s="1946">
        <f t="shared" si="1542"/>
        <v>-2.9554157679599382</v>
      </c>
      <c r="AU1279" s="1"/>
      <c r="AV1279" s="1"/>
      <c r="AW1279" s="1"/>
      <c r="AX1279" s="1"/>
      <c r="DE1279" s="1939"/>
      <c r="DQ1279" s="1940"/>
      <c r="EC1279" s="1940"/>
      <c r="ED1279" s="1933"/>
      <c r="EE1279" s="1933"/>
      <c r="EF1279" s="1933"/>
      <c r="EG1279" s="1933"/>
      <c r="EH1279" s="1933"/>
      <c r="EI1279" s="1933"/>
      <c r="EJ1279" s="1933"/>
      <c r="EK1279" s="1933"/>
      <c r="EL1279" s="1933"/>
      <c r="EM1279" s="1933"/>
      <c r="EN1279" s="1933"/>
      <c r="EO1279" s="1941"/>
      <c r="EP1279" s="1933"/>
      <c r="EQ1279" s="1933"/>
      <c r="ER1279" s="1933"/>
      <c r="ES1279" s="1933"/>
      <c r="ET1279" s="1933"/>
      <c r="EU1279" s="1933"/>
      <c r="EV1279" s="1933"/>
      <c r="EW1279" s="1933"/>
      <c r="EX1279" s="1933"/>
      <c r="EY1279" s="1933"/>
      <c r="EZ1279" s="1933"/>
      <c r="FA1279" s="1941"/>
      <c r="FB1279" s="1933"/>
      <c r="FC1279" s="1933"/>
      <c r="FD1279" s="1933"/>
      <c r="FE1279" s="1933"/>
      <c r="FF1279" s="1933"/>
      <c r="FG1279" s="1933"/>
      <c r="FH1279" s="1933"/>
      <c r="FI1279" s="1933"/>
      <c r="FJ1279" s="1933"/>
      <c r="FK1279" s="1933"/>
      <c r="FL1279" s="1933"/>
      <c r="FM1279" s="1941"/>
      <c r="FN1279" s="1933"/>
      <c r="FO1279" s="1933"/>
      <c r="FP1279" s="1933"/>
      <c r="FQ1279" s="1933"/>
      <c r="FR1279" s="1933"/>
      <c r="FS1279" s="1933"/>
      <c r="FT1279" s="1933"/>
      <c r="FU1279" s="1933"/>
      <c r="FV1279" s="1933"/>
      <c r="FW1279" s="1933"/>
      <c r="FX1279" s="1933"/>
      <c r="FY1279" s="1933"/>
      <c r="FZ1279" s="1933"/>
      <c r="GA1279" s="1933"/>
      <c r="GB1279" s="1933"/>
      <c r="GC1279" s="1933"/>
      <c r="GD1279" s="1933"/>
      <c r="GE1279" s="1933"/>
      <c r="GF1279" s="1933"/>
      <c r="GG1279" s="1933"/>
      <c r="GH1279" s="1933"/>
      <c r="GI1279" s="1933"/>
      <c r="GJ1279" s="1933"/>
      <c r="GK1279" s="1933"/>
      <c r="GL1279" s="1933"/>
      <c r="GM1279" s="1933"/>
      <c r="GN1279" s="1933"/>
      <c r="GO1279" s="1933"/>
      <c r="GP1279" s="1933"/>
      <c r="GQ1279" s="1933"/>
      <c r="GR1279" s="1933"/>
      <c r="GS1279" s="1933"/>
      <c r="GT1279" s="1933"/>
      <c r="GU1279" s="1933"/>
      <c r="GV1279" s="1933"/>
      <c r="GW1279" s="1933"/>
      <c r="GX1279" s="1933"/>
      <c r="IE1279" s="1945"/>
      <c r="IF1279" s="1945"/>
      <c r="IG1279" s="1945"/>
      <c r="IH1279" s="1945"/>
      <c r="II1279" s="1945"/>
      <c r="IJ1279" s="1945"/>
      <c r="IK1279" s="1945"/>
      <c r="IL1279" s="1945"/>
      <c r="IM1279" s="1945"/>
      <c r="IN1279" s="1945"/>
      <c r="IO1279" s="1945"/>
      <c r="IP1279" s="1945"/>
      <c r="IQ1279" s="1945"/>
      <c r="IR1279" s="1945"/>
      <c r="IS1279" s="1945"/>
    </row>
    <row r="1280" spans="1:253" s="1935" customFormat="1">
      <c r="A1280" s="1938"/>
      <c r="B1280" s="1938"/>
      <c r="C1280" s="1938"/>
      <c r="D1280" s="1938" t="s">
        <v>3486</v>
      </c>
      <c r="V1280" s="1946">
        <f t="shared" ref="V1280:AK1283" si="1543">V1272/V$1278</f>
        <v>0.23397584249084249</v>
      </c>
      <c r="W1280" s="1946">
        <f t="shared" si="1543"/>
        <v>0.23028248587570621</v>
      </c>
      <c r="X1280" s="1946">
        <f t="shared" si="1543"/>
        <v>0.20791190872799512</v>
      </c>
      <c r="Y1280" s="1946">
        <f t="shared" si="1543"/>
        <v>0.26550146369709182</v>
      </c>
      <c r="Z1280" s="1946">
        <f t="shared" si="1543"/>
        <v>0.25436180265937247</v>
      </c>
      <c r="AA1280" s="1946">
        <f t="shared" si="1543"/>
        <v>0.24394493200758471</v>
      </c>
      <c r="AB1280" s="1946">
        <f t="shared" si="1543"/>
        <v>0.24166831383733034</v>
      </c>
      <c r="AC1280" s="1946">
        <f t="shared" si="1543"/>
        <v>0.2372014021583084</v>
      </c>
      <c r="AD1280" s="1946">
        <f t="shared" si="1543"/>
        <v>0.26166583050851455</v>
      </c>
      <c r="AE1280" s="1946">
        <f t="shared" si="1543"/>
        <v>0.26151054262277501</v>
      </c>
      <c r="AF1280" s="1946">
        <f t="shared" si="1543"/>
        <v>0.27567381658721735</v>
      </c>
      <c r="AG1280" s="1946">
        <f t="shared" si="1543"/>
        <v>0.28353930563540281</v>
      </c>
      <c r="AH1280" s="1946">
        <f t="shared" si="1543"/>
        <v>0.24371447560942774</v>
      </c>
      <c r="AI1280" s="1946">
        <f t="shared" si="1543"/>
        <v>0.23405988139904707</v>
      </c>
      <c r="AJ1280" s="1946">
        <f t="shared" si="1543"/>
        <v>0.21618191762249483</v>
      </c>
      <c r="AK1280" s="1946">
        <f t="shared" si="1543"/>
        <v>0.20214246706919278</v>
      </c>
      <c r="AL1280" s="1946">
        <f t="shared" si="1540"/>
        <v>0.2111616703583146</v>
      </c>
      <c r="AM1280" s="1946">
        <f t="shared" si="1540"/>
        <v>0.21736809529944531</v>
      </c>
      <c r="AN1280" s="1946">
        <f t="shared" ref="AN1280" si="1544">AN1272/AN$1278</f>
        <v>0.21938605929611971</v>
      </c>
      <c r="AO1280" s="1946">
        <f>AO1272/AO$1278</f>
        <v>0.21652717851044984</v>
      </c>
      <c r="AP1280" s="1946">
        <f t="shared" ref="AP1280:AT1280" si="1545">AP1272/AP$1278</f>
        <v>0.20526632125624419</v>
      </c>
      <c r="AQ1280" s="1946">
        <f t="shared" si="1545"/>
        <v>0.20683511290541612</v>
      </c>
      <c r="AR1280" s="1946">
        <f t="shared" si="1545"/>
        <v>0.21444098507729248</v>
      </c>
      <c r="AS1280" s="1946">
        <f t="shared" si="1545"/>
        <v>-0.25810385593749796</v>
      </c>
      <c r="AT1280" s="1946">
        <f t="shared" si="1545"/>
        <v>-0.2426769166866666</v>
      </c>
      <c r="AU1280" s="1"/>
      <c r="AV1280" s="1"/>
      <c r="AW1280" s="1"/>
      <c r="AX1280" s="1"/>
      <c r="DE1280" s="1939"/>
      <c r="DQ1280" s="1940"/>
      <c r="EC1280" s="1940"/>
      <c r="ED1280" s="1933"/>
      <c r="EE1280" s="1933"/>
      <c r="EF1280" s="1933"/>
      <c r="EG1280" s="1933"/>
      <c r="EH1280" s="1933"/>
      <c r="EI1280" s="1933"/>
      <c r="EJ1280" s="1933"/>
      <c r="EK1280" s="1933"/>
      <c r="EL1280" s="1933"/>
      <c r="EM1280" s="1933"/>
      <c r="EN1280" s="1933"/>
      <c r="EO1280" s="1941"/>
      <c r="EP1280" s="1933"/>
      <c r="EQ1280" s="1933"/>
      <c r="ER1280" s="1933"/>
      <c r="ES1280" s="1933"/>
      <c r="ET1280" s="1933"/>
      <c r="EU1280" s="1933"/>
      <c r="EV1280" s="1933"/>
      <c r="EW1280" s="1933"/>
      <c r="EX1280" s="1933"/>
      <c r="EY1280" s="1933"/>
      <c r="EZ1280" s="1933"/>
      <c r="FA1280" s="1941"/>
      <c r="FB1280" s="1933"/>
      <c r="FC1280" s="1933"/>
      <c r="FD1280" s="1933"/>
      <c r="FE1280" s="1933"/>
      <c r="FF1280" s="1933"/>
      <c r="FG1280" s="1933"/>
      <c r="FH1280" s="1933"/>
      <c r="FI1280" s="1933"/>
      <c r="FJ1280" s="1933"/>
      <c r="FK1280" s="1933"/>
      <c r="FL1280" s="1933"/>
      <c r="FM1280" s="1941"/>
      <c r="FN1280" s="1933"/>
      <c r="FO1280" s="1933"/>
      <c r="FP1280" s="1933"/>
      <c r="FQ1280" s="1933"/>
      <c r="FR1280" s="1933"/>
      <c r="FS1280" s="1933"/>
      <c r="FT1280" s="1933"/>
      <c r="FU1280" s="1933"/>
      <c r="FV1280" s="1933"/>
      <c r="FW1280" s="1933"/>
      <c r="FX1280" s="1933"/>
      <c r="FY1280" s="1933"/>
      <c r="FZ1280" s="1933"/>
      <c r="GA1280" s="1933"/>
      <c r="GB1280" s="1933"/>
      <c r="GC1280" s="1933"/>
      <c r="GD1280" s="1933"/>
      <c r="GE1280" s="1933"/>
      <c r="GF1280" s="1933"/>
      <c r="GG1280" s="1933"/>
      <c r="GH1280" s="1933"/>
      <c r="GI1280" s="1933"/>
      <c r="GJ1280" s="1933"/>
      <c r="GK1280" s="1933"/>
      <c r="GL1280" s="1933"/>
      <c r="GM1280" s="1933"/>
      <c r="GN1280" s="1933"/>
      <c r="GO1280" s="1933"/>
      <c r="GP1280" s="1933"/>
      <c r="GQ1280" s="1933"/>
      <c r="GR1280" s="1933"/>
      <c r="GS1280" s="1933"/>
      <c r="GT1280" s="1933"/>
      <c r="GU1280" s="1933"/>
      <c r="GV1280" s="1933"/>
      <c r="GW1280" s="1933"/>
      <c r="GX1280" s="1933"/>
      <c r="IE1280" s="1945"/>
      <c r="IF1280" s="1945"/>
      <c r="IG1280" s="1945"/>
      <c r="IH1280" s="1945"/>
      <c r="II1280" s="1945"/>
      <c r="IJ1280" s="1945"/>
      <c r="IK1280" s="1945"/>
      <c r="IL1280" s="1945"/>
      <c r="IM1280" s="1945"/>
      <c r="IN1280" s="1945"/>
      <c r="IO1280" s="1945"/>
      <c r="IP1280" s="1945"/>
      <c r="IQ1280" s="1945"/>
      <c r="IR1280" s="1945"/>
      <c r="IS1280" s="1945"/>
    </row>
    <row r="1281" spans="1:253" s="1935" customFormat="1">
      <c r="A1281" s="1938"/>
      <c r="B1281" s="1938"/>
      <c r="C1281" s="1938"/>
      <c r="D1281" s="1938" t="s">
        <v>3487</v>
      </c>
      <c r="V1281" s="1946">
        <f t="shared" si="1543"/>
        <v>-4.8929173207744635E-3</v>
      </c>
      <c r="W1281" s="1946">
        <f t="shared" si="1540"/>
        <v>3.9096045197740108E-3</v>
      </c>
      <c r="X1281" s="1946">
        <f t="shared" si="1540"/>
        <v>-1.0696821515892423E-2</v>
      </c>
      <c r="Y1281" s="1946">
        <f t="shared" si="1540"/>
        <v>2.9132493517999389E-2</v>
      </c>
      <c r="Z1281" s="1946">
        <f t="shared" si="1540"/>
        <v>3.4755466306269744E-2</v>
      </c>
      <c r="AA1281" s="1946">
        <f t="shared" si="1540"/>
        <v>3.2988143297649382E-2</v>
      </c>
      <c r="AB1281" s="1946">
        <f t="shared" si="1540"/>
        <v>2.8826745096377612E-2</v>
      </c>
      <c r="AC1281" s="1946">
        <f t="shared" si="1540"/>
        <v>3.4093643616398529E-2</v>
      </c>
      <c r="AD1281" s="1946">
        <f t="shared" si="1540"/>
        <v>3.7888002508276966E-2</v>
      </c>
      <c r="AE1281" s="1946">
        <f t="shared" si="1540"/>
        <v>5.554899616503936E-2</v>
      </c>
      <c r="AF1281" s="1946">
        <f t="shared" si="1540"/>
        <v>5.7993279562487121E-2</v>
      </c>
      <c r="AG1281" s="1946">
        <f t="shared" si="1540"/>
        <v>6.8186807806972435E-2</v>
      </c>
      <c r="AH1281" s="1946">
        <f t="shared" si="1540"/>
        <v>5.165888217226286E-2</v>
      </c>
      <c r="AI1281" s="1946">
        <f t="shared" si="1540"/>
        <v>4.9894551807516056E-2</v>
      </c>
      <c r="AJ1281" s="1946">
        <f t="shared" si="1540"/>
        <v>5.2313276029538544E-2</v>
      </c>
      <c r="AK1281" s="1946">
        <f t="shared" si="1540"/>
        <v>8.5188748614071663E-2</v>
      </c>
      <c r="AL1281" s="1946">
        <f t="shared" si="1540"/>
        <v>6.6546004576310824E-2</v>
      </c>
      <c r="AM1281" s="1946">
        <f t="shared" si="1540"/>
        <v>4.6622866372220857E-2</v>
      </c>
      <c r="AN1281" s="1946">
        <f t="shared" ref="AN1281:AO1281" si="1546">AN1273/AN$1278</f>
        <v>4.2409661748152215E-2</v>
      </c>
      <c r="AO1281" s="1946">
        <f t="shared" si="1546"/>
        <v>4.6238458036064925E-2</v>
      </c>
      <c r="AP1281" s="1946">
        <f t="shared" ref="AP1281:AT1281" si="1547">AP1273/AP$1278</f>
        <v>4.5699490890075196E-2</v>
      </c>
      <c r="AQ1281" s="1946">
        <f t="shared" si="1547"/>
        <v>4.2412874102394402E-2</v>
      </c>
      <c r="AR1281" s="1946">
        <f t="shared" si="1547"/>
        <v>3.7616250924263545E-2</v>
      </c>
      <c r="AS1281" s="1946">
        <f t="shared" si="1547"/>
        <v>0.10258212475029237</v>
      </c>
      <c r="AT1281" s="1946">
        <f t="shared" si="1547"/>
        <v>0.1014607311607818</v>
      </c>
      <c r="AU1281" s="1"/>
      <c r="AV1281" s="1"/>
      <c r="AW1281" s="1"/>
      <c r="AX1281" s="1"/>
      <c r="DE1281" s="1939"/>
      <c r="DQ1281" s="1940"/>
      <c r="EC1281" s="1940"/>
      <c r="ED1281" s="1933"/>
      <c r="EE1281" s="1933"/>
      <c r="EF1281" s="1933"/>
      <c r="EG1281" s="1933"/>
      <c r="EH1281" s="1933"/>
      <c r="EI1281" s="1933"/>
      <c r="EJ1281" s="1933"/>
      <c r="EK1281" s="1933"/>
      <c r="EL1281" s="1933"/>
      <c r="EM1281" s="1933"/>
      <c r="EN1281" s="1933"/>
      <c r="EO1281" s="1941"/>
      <c r="EP1281" s="1933"/>
      <c r="EQ1281" s="1933"/>
      <c r="ER1281" s="1933"/>
      <c r="ES1281" s="1933"/>
      <c r="ET1281" s="1933"/>
      <c r="EU1281" s="1933"/>
      <c r="EV1281" s="1933"/>
      <c r="EW1281" s="1933"/>
      <c r="EX1281" s="1933"/>
      <c r="EY1281" s="1933"/>
      <c r="EZ1281" s="1933"/>
      <c r="FA1281" s="1941"/>
      <c r="FB1281" s="1933"/>
      <c r="FC1281" s="1933"/>
      <c r="FD1281" s="1933"/>
      <c r="FE1281" s="1933"/>
      <c r="FF1281" s="1933"/>
      <c r="FG1281" s="1933"/>
      <c r="FH1281" s="1933"/>
      <c r="FI1281" s="1933"/>
      <c r="FJ1281" s="1933"/>
      <c r="FK1281" s="1933"/>
      <c r="FL1281" s="1933"/>
      <c r="FM1281" s="1941"/>
      <c r="FN1281" s="1933"/>
      <c r="FO1281" s="1933"/>
      <c r="FP1281" s="1933"/>
      <c r="FQ1281" s="1933"/>
      <c r="FR1281" s="1933"/>
      <c r="FS1281" s="1933"/>
      <c r="FT1281" s="1933"/>
      <c r="FU1281" s="1933"/>
      <c r="FV1281" s="1933"/>
      <c r="FW1281" s="1933"/>
      <c r="FX1281" s="1933"/>
      <c r="FY1281" s="1933"/>
      <c r="FZ1281" s="1933"/>
      <c r="GA1281" s="1933"/>
      <c r="GB1281" s="1933"/>
      <c r="GC1281" s="1933"/>
      <c r="GD1281" s="1933"/>
      <c r="GE1281" s="1933"/>
      <c r="GF1281" s="1933"/>
      <c r="GG1281" s="1933"/>
      <c r="GH1281" s="1933"/>
      <c r="GI1281" s="1933"/>
      <c r="GJ1281" s="1933"/>
      <c r="GK1281" s="1933"/>
      <c r="GL1281" s="1933"/>
      <c r="GM1281" s="1933"/>
      <c r="GN1281" s="1933"/>
      <c r="GO1281" s="1933"/>
      <c r="GP1281" s="1933"/>
      <c r="GQ1281" s="1933"/>
      <c r="GR1281" s="1933"/>
      <c r="GS1281" s="1933"/>
      <c r="GT1281" s="1933"/>
      <c r="GU1281" s="1933"/>
      <c r="GV1281" s="1933"/>
      <c r="GW1281" s="1933"/>
      <c r="GX1281" s="1933"/>
      <c r="IE1281" s="1945"/>
      <c r="IF1281" s="1945"/>
      <c r="IG1281" s="1945"/>
      <c r="IH1281" s="1945"/>
      <c r="II1281" s="1945"/>
      <c r="IJ1281" s="1945"/>
      <c r="IK1281" s="1945"/>
      <c r="IL1281" s="1945"/>
      <c r="IM1281" s="1945"/>
      <c r="IN1281" s="1945"/>
      <c r="IO1281" s="1945"/>
      <c r="IP1281" s="1945"/>
      <c r="IQ1281" s="1945"/>
      <c r="IR1281" s="1945"/>
      <c r="IS1281" s="1945"/>
    </row>
    <row r="1282" spans="1:253" s="1935" customFormat="1">
      <c r="A1282" s="1938"/>
      <c r="B1282" s="1938"/>
      <c r="C1282" s="1938"/>
      <c r="D1282" s="1938" t="s">
        <v>3488</v>
      </c>
      <c r="V1282" s="1946">
        <f t="shared" si="1543"/>
        <v>0.22908292517006804</v>
      </c>
      <c r="W1282" s="1946">
        <f t="shared" si="1540"/>
        <v>0.23419209039548028</v>
      </c>
      <c r="X1282" s="1946">
        <f t="shared" si="1540"/>
        <v>0.19721508721210271</v>
      </c>
      <c r="Y1282" s="1946">
        <f t="shared" si="1540"/>
        <v>0.29463395721509122</v>
      </c>
      <c r="Z1282" s="1946">
        <f t="shared" si="1540"/>
        <v>0.28911726896564216</v>
      </c>
      <c r="AA1282" s="1946">
        <f t="shared" si="1540"/>
        <v>0.27693307530523409</v>
      </c>
      <c r="AB1282" s="1946">
        <f t="shared" si="1540"/>
        <v>0.27049505893370795</v>
      </c>
      <c r="AC1282" s="1946">
        <f t="shared" si="1540"/>
        <v>0.27129504577470692</v>
      </c>
      <c r="AD1282" s="1946">
        <f t="shared" si="1540"/>
        <v>0.2995538330167915</v>
      </c>
      <c r="AE1282" s="1946">
        <f t="shared" si="1540"/>
        <v>0.32366045585195241</v>
      </c>
      <c r="AF1282" s="1946">
        <f t="shared" si="1540"/>
        <v>0.33667418446320851</v>
      </c>
      <c r="AG1282" s="1946">
        <f t="shared" si="1540"/>
        <v>0.35172611344237509</v>
      </c>
      <c r="AH1282" s="1946">
        <f t="shared" si="1540"/>
        <v>0.2953733577816906</v>
      </c>
      <c r="AI1282" s="1946">
        <f t="shared" si="1540"/>
        <v>0.28395443320656316</v>
      </c>
      <c r="AJ1282" s="1946">
        <f t="shared" si="1540"/>
        <v>0.26849519365203339</v>
      </c>
      <c r="AK1282" s="1946">
        <f t="shared" si="1540"/>
        <v>0.28733121568326442</v>
      </c>
      <c r="AL1282" s="1946">
        <f t="shared" si="1540"/>
        <v>0.27770767493462539</v>
      </c>
      <c r="AM1282" s="1946">
        <f t="shared" si="1540"/>
        <v>0.26399096167166619</v>
      </c>
      <c r="AN1282" s="1946">
        <f t="shared" ref="AN1282:AO1282" si="1548">AN1274/AN$1278</f>
        <v>0.26179572104427185</v>
      </c>
      <c r="AO1282" s="1946">
        <f t="shared" si="1548"/>
        <v>0.2627656365465148</v>
      </c>
      <c r="AP1282" s="1946">
        <f t="shared" ref="AP1282:AT1282" si="1549">AP1274/AP$1278</f>
        <v>0.25096581214631936</v>
      </c>
      <c r="AQ1282" s="1946">
        <f t="shared" si="1549"/>
        <v>0.24924798700781053</v>
      </c>
      <c r="AR1282" s="1946">
        <f t="shared" si="1549"/>
        <v>0.252057236001556</v>
      </c>
      <c r="AS1282" s="1946">
        <f t="shared" si="1549"/>
        <v>-0.15552173118720553</v>
      </c>
      <c r="AT1282" s="1946">
        <f t="shared" si="1549"/>
        <v>-0.14121618552588475</v>
      </c>
      <c r="AU1282" s="1"/>
      <c r="AV1282" s="1"/>
      <c r="AW1282" s="1"/>
      <c r="AX1282" s="1"/>
      <c r="DE1282" s="1939"/>
      <c r="DQ1282" s="1940"/>
      <c r="EC1282" s="1940"/>
      <c r="ED1282" s="1933"/>
      <c r="EE1282" s="1933"/>
      <c r="EF1282" s="1933"/>
      <c r="EG1282" s="1933"/>
      <c r="EH1282" s="1933"/>
      <c r="EI1282" s="1933"/>
      <c r="EJ1282" s="1933"/>
      <c r="EK1282" s="1933"/>
      <c r="EL1282" s="1933"/>
      <c r="EM1282" s="1933"/>
      <c r="EN1282" s="1933"/>
      <c r="EO1282" s="1941"/>
      <c r="EP1282" s="1933"/>
      <c r="EQ1282" s="1933"/>
      <c r="ER1282" s="1933"/>
      <c r="ES1282" s="1933"/>
      <c r="ET1282" s="1933"/>
      <c r="EU1282" s="1933"/>
      <c r="EV1282" s="1933"/>
      <c r="EW1282" s="1933"/>
      <c r="EX1282" s="1933"/>
      <c r="EY1282" s="1933"/>
      <c r="EZ1282" s="1933"/>
      <c r="FA1282" s="1941"/>
      <c r="FB1282" s="1933"/>
      <c r="FC1282" s="1933"/>
      <c r="FD1282" s="1933"/>
      <c r="FE1282" s="1933"/>
      <c r="FF1282" s="1933"/>
      <c r="FG1282" s="1933"/>
      <c r="FH1282" s="1933"/>
      <c r="FI1282" s="1933"/>
      <c r="FJ1282" s="1933"/>
      <c r="FK1282" s="1933"/>
      <c r="FL1282" s="1933"/>
      <c r="FM1282" s="1941"/>
      <c r="FN1282" s="1933"/>
      <c r="FO1282" s="1933"/>
      <c r="FP1282" s="1933"/>
      <c r="FQ1282" s="1933"/>
      <c r="FR1282" s="1933"/>
      <c r="FS1282" s="1933"/>
      <c r="FT1282" s="1933"/>
      <c r="FU1282" s="1933"/>
      <c r="FV1282" s="1933"/>
      <c r="FW1282" s="1933"/>
      <c r="FX1282" s="1933"/>
      <c r="FY1282" s="1933"/>
      <c r="FZ1282" s="1933"/>
      <c r="GA1282" s="1933"/>
      <c r="GB1282" s="1933"/>
      <c r="GC1282" s="1933"/>
      <c r="GD1282" s="1933"/>
      <c r="GE1282" s="1933"/>
      <c r="GF1282" s="1933"/>
      <c r="GG1282" s="1933"/>
      <c r="GH1282" s="1933"/>
      <c r="GI1282" s="1933"/>
      <c r="GJ1282" s="1933"/>
      <c r="GK1282" s="1933"/>
      <c r="GL1282" s="1933"/>
      <c r="GM1282" s="1933"/>
      <c r="GN1282" s="1933"/>
      <c r="GO1282" s="1933"/>
      <c r="GP1282" s="1933"/>
      <c r="GQ1282" s="1933"/>
      <c r="GR1282" s="1933"/>
      <c r="GS1282" s="1933"/>
      <c r="GT1282" s="1933"/>
      <c r="GU1282" s="1933"/>
      <c r="GV1282" s="1933"/>
      <c r="GW1282" s="1933"/>
      <c r="GX1282" s="1933"/>
      <c r="IE1282" s="1945"/>
      <c r="IF1282" s="1945"/>
      <c r="IG1282" s="1945"/>
      <c r="IH1282" s="1945"/>
      <c r="II1282" s="1945"/>
      <c r="IJ1282" s="1945"/>
      <c r="IK1282" s="1945"/>
      <c r="IL1282" s="1945"/>
      <c r="IM1282" s="1945"/>
      <c r="IN1282" s="1945"/>
      <c r="IO1282" s="1945"/>
      <c r="IP1282" s="1945"/>
      <c r="IQ1282" s="1945"/>
      <c r="IR1282" s="1945"/>
      <c r="IS1282" s="1945"/>
    </row>
    <row r="1283" spans="1:253" s="1935" customFormat="1">
      <c r="A1283" s="1938"/>
      <c r="B1283" s="1938"/>
      <c r="C1283" s="1938"/>
      <c r="D1283" s="1938" t="s">
        <v>3489</v>
      </c>
      <c r="V1283" s="1946">
        <f t="shared" si="1543"/>
        <v>0</v>
      </c>
      <c r="W1283" s="1946">
        <f t="shared" si="1540"/>
        <v>0</v>
      </c>
      <c r="X1283" s="1946">
        <f t="shared" si="1540"/>
        <v>-0.12253335256662594</v>
      </c>
      <c r="Y1283" s="1946">
        <f t="shared" si="1540"/>
        <v>-0.13265647331745722</v>
      </c>
      <c r="Z1283" s="1946">
        <f t="shared" si="1540"/>
        <v>-0.11726134890051886</v>
      </c>
      <c r="AA1283" s="1946">
        <f t="shared" si="1540"/>
        <v>-9.8699671115943383E-2</v>
      </c>
      <c r="AB1283" s="1946">
        <f t="shared" si="1540"/>
        <v>-9.2781505499171427E-2</v>
      </c>
      <c r="AC1283" s="1946">
        <f t="shared" si="1540"/>
        <v>-8.8971722930104052E-2</v>
      </c>
      <c r="AD1283" s="1946">
        <f t="shared" si="1540"/>
        <v>-0.10796432698541666</v>
      </c>
      <c r="AE1283" s="1946">
        <f t="shared" si="1540"/>
        <v>-0.13555777704093752</v>
      </c>
      <c r="AF1283" s="1946">
        <f t="shared" si="1540"/>
        <v>-0.14125961633089365</v>
      </c>
      <c r="AG1283" s="1946">
        <f t="shared" si="1540"/>
        <v>-0.16169455435670904</v>
      </c>
      <c r="AH1283" s="1946">
        <f t="shared" si="1540"/>
        <v>-0.11956667818510527</v>
      </c>
      <c r="AI1283" s="1946">
        <f t="shared" si="1540"/>
        <v>-0.11190637144179098</v>
      </c>
      <c r="AJ1283" s="1946">
        <f t="shared" si="1540"/>
        <v>-8.5835494633176551E-2</v>
      </c>
      <c r="AK1283" s="1946">
        <f t="shared" si="1540"/>
        <v>-9.9606000453240931E-2</v>
      </c>
      <c r="AL1283" s="1946">
        <f t="shared" si="1540"/>
        <v>-8.0316165630142225E-2</v>
      </c>
      <c r="AM1283" s="1946">
        <f t="shared" si="1540"/>
        <v>-6.1376439165563845E-2</v>
      </c>
      <c r="AN1283" s="1946">
        <f t="shared" ref="AN1283:AO1283" si="1550">AN1275/AN$1278</f>
        <v>-5.7025597047359065E-2</v>
      </c>
      <c r="AO1283" s="1946">
        <f t="shared" si="1550"/>
        <v>-5.6151859759013864E-2</v>
      </c>
      <c r="AP1283" s="1946">
        <f t="shared" ref="AP1283:AT1283" si="1551">AP1275/AP$1278</f>
        <v>-4.1667516555315282E-2</v>
      </c>
      <c r="AQ1283" s="1946">
        <f t="shared" si="1551"/>
        <v>-3.8961257510324226E-2</v>
      </c>
      <c r="AR1283" s="1946">
        <f t="shared" si="1551"/>
        <v>-3.8250886306759019E-2</v>
      </c>
      <c r="AS1283" s="1946">
        <f t="shared" si="1551"/>
        <v>-1.1956625220928527</v>
      </c>
      <c r="AT1283" s="1946">
        <f t="shared" si="1551"/>
        <v>-2.8141995824340538</v>
      </c>
      <c r="AU1283" s="1"/>
      <c r="AV1283" s="1"/>
      <c r="AW1283" s="1"/>
      <c r="AX1283" s="1"/>
      <c r="DE1283" s="1939"/>
      <c r="DQ1283" s="1940"/>
      <c r="EC1283" s="1940"/>
      <c r="ED1283" s="1933"/>
      <c r="EE1283" s="1933"/>
      <c r="EF1283" s="1933"/>
      <c r="EG1283" s="1933"/>
      <c r="EH1283" s="1933"/>
      <c r="EI1283" s="1933"/>
      <c r="EJ1283" s="1933"/>
      <c r="EK1283" s="1933"/>
      <c r="EL1283" s="1933"/>
      <c r="EM1283" s="1933"/>
      <c r="EN1283" s="1933"/>
      <c r="EO1283" s="1941"/>
      <c r="EP1283" s="1933"/>
      <c r="EQ1283" s="1933"/>
      <c r="ER1283" s="1933"/>
      <c r="ES1283" s="1933"/>
      <c r="ET1283" s="1933"/>
      <c r="EU1283" s="1933"/>
      <c r="EV1283" s="1933"/>
      <c r="EW1283" s="1933"/>
      <c r="EX1283" s="1933"/>
      <c r="EY1283" s="1933"/>
      <c r="EZ1283" s="1933"/>
      <c r="FA1283" s="1941"/>
      <c r="FB1283" s="1933"/>
      <c r="FC1283" s="1933"/>
      <c r="FD1283" s="1933"/>
      <c r="FE1283" s="1933"/>
      <c r="FF1283" s="1933"/>
      <c r="FG1283" s="1933"/>
      <c r="FH1283" s="1933"/>
      <c r="FI1283" s="1933"/>
      <c r="FJ1283" s="1933"/>
      <c r="FK1283" s="1933"/>
      <c r="FL1283" s="1933"/>
      <c r="FM1283" s="1941"/>
      <c r="FN1283" s="1933"/>
      <c r="FO1283" s="1933"/>
      <c r="FP1283" s="1933"/>
      <c r="FQ1283" s="1933"/>
      <c r="FR1283" s="1933"/>
      <c r="FS1283" s="1933"/>
      <c r="FT1283" s="1933"/>
      <c r="FU1283" s="1933"/>
      <c r="FV1283" s="1933"/>
      <c r="FW1283" s="1933"/>
      <c r="FX1283" s="1933"/>
      <c r="FY1283" s="1933"/>
      <c r="FZ1283" s="1933"/>
      <c r="GA1283" s="1933"/>
      <c r="GB1283" s="1933"/>
      <c r="GC1283" s="1933"/>
      <c r="GD1283" s="1933"/>
      <c r="GE1283" s="1933"/>
      <c r="GF1283" s="1933"/>
      <c r="GG1283" s="1933"/>
      <c r="GH1283" s="1933"/>
      <c r="GI1283" s="1933"/>
      <c r="GJ1283" s="1933"/>
      <c r="GK1283" s="1933"/>
      <c r="GL1283" s="1933"/>
      <c r="GM1283" s="1933"/>
      <c r="GN1283" s="1933"/>
      <c r="GO1283" s="1933"/>
      <c r="GP1283" s="1933"/>
      <c r="GQ1283" s="1933"/>
      <c r="GR1283" s="1933"/>
      <c r="GS1283" s="1933"/>
      <c r="GT1283" s="1933"/>
      <c r="GU1283" s="1933"/>
      <c r="GV1283" s="1933"/>
      <c r="GW1283" s="1933"/>
      <c r="GX1283" s="1933"/>
      <c r="IE1283" s="1945"/>
      <c r="IF1283" s="1945"/>
      <c r="IG1283" s="1945"/>
      <c r="IH1283" s="1945"/>
      <c r="II1283" s="1945"/>
      <c r="IJ1283" s="1945"/>
      <c r="IK1283" s="1945"/>
      <c r="IL1283" s="1945"/>
      <c r="IM1283" s="1945"/>
      <c r="IN1283" s="1945"/>
      <c r="IO1283" s="1945"/>
      <c r="IP1283" s="1945"/>
      <c r="IQ1283" s="1945"/>
      <c r="IR1283" s="1945"/>
      <c r="IS1283" s="1945"/>
    </row>
    <row r="1284" spans="1:253">
      <c r="A1284" s="1"/>
      <c r="B1284" s="1"/>
      <c r="C1284" s="1"/>
      <c r="D1284" s="378"/>
      <c r="E1284" s="302"/>
      <c r="F1284" s="302"/>
      <c r="G1284" s="302"/>
      <c r="H1284" s="302"/>
      <c r="I1284" s="302"/>
      <c r="J1284" s="302"/>
      <c r="K1284" s="302"/>
      <c r="L1284" s="302"/>
      <c r="M1284" s="302"/>
      <c r="N1284" s="302"/>
      <c r="O1284" s="302"/>
      <c r="P1284" s="302"/>
      <c r="Q1284" s="302"/>
      <c r="R1284" s="302"/>
      <c r="S1284" s="302"/>
      <c r="T1284" s="302"/>
      <c r="U1284" s="302"/>
      <c r="V1284" s="302"/>
      <c r="W1284" s="302"/>
      <c r="X1284" s="302"/>
      <c r="Y1284" s="302"/>
      <c r="Z1284" s="302"/>
      <c r="AA1284" s="302"/>
      <c r="AB1284" s="302"/>
      <c r="AC1284" s="2012"/>
      <c r="AD1284" s="2012"/>
      <c r="AE1284" s="2012"/>
      <c r="AF1284" s="2012"/>
      <c r="AG1284" s="2012"/>
      <c r="AH1284" s="1040"/>
      <c r="AI1284" s="1040">
        <f t="shared" ref="AI1284:AO1284" si="1552">AI1202/AI402</f>
        <v>1.6067229503578071E-3</v>
      </c>
      <c r="AJ1284" s="1040">
        <f t="shared" si="1552"/>
        <v>1.995730411276491E-3</v>
      </c>
      <c r="AK1284" s="1040">
        <f t="shared" si="1552"/>
        <v>3.0977864119847692E-2</v>
      </c>
      <c r="AL1284" s="1040">
        <f t="shared" si="1552"/>
        <v>2.2803122410066309E-2</v>
      </c>
      <c r="AM1284" s="1040">
        <f t="shared" si="1552"/>
        <v>3.7601448495334401E-3</v>
      </c>
      <c r="AN1284" s="1040">
        <f t="shared" si="1552"/>
        <v>1.9480151837427478E-3</v>
      </c>
      <c r="AO1284" s="1040">
        <f t="shared" si="1552"/>
        <v>9.9048436160184116E-4</v>
      </c>
      <c r="AP1284" s="1040"/>
      <c r="AQ1284" s="1040"/>
      <c r="AR1284" s="1040"/>
      <c r="AS1284" s="1040"/>
      <c r="AT1284" s="1040"/>
    </row>
    <row r="1285" spans="1:253">
      <c r="A1285" s="1"/>
      <c r="B1285" s="1"/>
      <c r="C1285" s="1"/>
      <c r="D1285" s="487" t="s">
        <v>3329</v>
      </c>
      <c r="E1285" s="302"/>
      <c r="F1285" s="302"/>
      <c r="G1285" s="302"/>
      <c r="H1285" s="302"/>
      <c r="I1285" s="302"/>
      <c r="J1285" s="302"/>
      <c r="K1285" s="302"/>
      <c r="L1285" s="302"/>
      <c r="M1285" s="302"/>
      <c r="N1285" s="302"/>
      <c r="O1285" s="302"/>
      <c r="P1285" s="302"/>
      <c r="Q1285" s="302"/>
      <c r="R1285" s="302"/>
      <c r="S1285" s="302"/>
      <c r="T1285" s="302"/>
      <c r="U1285" s="302"/>
      <c r="V1285" s="302"/>
      <c r="W1285" s="302">
        <f t="shared" ref="W1285:AB1285" si="1553">W1289/V1289-1</f>
        <v>0.26312880044223319</v>
      </c>
      <c r="X1285" s="302">
        <f t="shared" si="1553"/>
        <v>0.23430176647702439</v>
      </c>
      <c r="Y1285" s="302">
        <f t="shared" si="1553"/>
        <v>1.5811908125437211</v>
      </c>
      <c r="Z1285" s="302">
        <f t="shared" si="1553"/>
        <v>0.14044626364330526</v>
      </c>
      <c r="AA1285" s="302">
        <f t="shared" si="1553"/>
        <v>0.20491655893633887</v>
      </c>
      <c r="AB1285" s="302">
        <f t="shared" si="1553"/>
        <v>5.2034197303230556E-2</v>
      </c>
      <c r="AC1285" s="2012"/>
      <c r="AD1285" s="2012"/>
      <c r="AE1285" s="2012"/>
      <c r="AF1285" s="2012"/>
      <c r="AG1285" s="2012"/>
      <c r="AH1285" s="2012"/>
      <c r="AI1285" s="2012"/>
    </row>
    <row r="1286" spans="1:253">
      <c r="A1286" s="1"/>
      <c r="B1286" s="1"/>
      <c r="C1286" s="1"/>
      <c r="D1286" s="377" t="str">
        <f>+FISCinyear!D972</f>
        <v>IV.2 FISCAL GFS 2014 to OUTPUT &amp;SUMMARY</v>
      </c>
      <c r="E1286" s="310"/>
      <c r="F1286" s="310"/>
      <c r="G1286" s="310"/>
      <c r="H1286" s="310"/>
      <c r="I1286" s="310"/>
      <c r="J1286" s="310"/>
      <c r="K1286" s="310"/>
      <c r="L1286" s="310"/>
      <c r="M1286" s="310"/>
      <c r="N1286" s="310"/>
      <c r="O1286" s="310"/>
      <c r="P1286" s="310"/>
      <c r="Q1286" s="310"/>
      <c r="R1286" s="310"/>
      <c r="S1286" s="310"/>
      <c r="T1286" s="310"/>
      <c r="U1286" s="310"/>
      <c r="V1286" s="388" t="s">
        <v>194</v>
      </c>
      <c r="W1286" s="388" t="s">
        <v>195</v>
      </c>
      <c r="X1286" s="388" t="s">
        <v>196</v>
      </c>
      <c r="Y1286" s="388" t="s">
        <v>197</v>
      </c>
      <c r="Z1286" s="388" t="s">
        <v>198</v>
      </c>
      <c r="AA1286" s="388" t="s">
        <v>199</v>
      </c>
      <c r="AB1286" s="388" t="s">
        <v>200</v>
      </c>
      <c r="AC1286" s="388" t="s">
        <v>201</v>
      </c>
      <c r="AD1286" s="388" t="s">
        <v>202</v>
      </c>
      <c r="AE1286" s="388" t="s">
        <v>203</v>
      </c>
      <c r="AF1286" s="388" t="s">
        <v>1114</v>
      </c>
      <c r="AG1286" s="388" t="s">
        <v>1140</v>
      </c>
      <c r="AH1286" s="388" t="s">
        <v>1141</v>
      </c>
      <c r="AI1286" s="388" t="s">
        <v>1142</v>
      </c>
      <c r="AJ1286" s="388" t="s">
        <v>1143</v>
      </c>
      <c r="AK1286" s="388" t="s">
        <v>1144</v>
      </c>
      <c r="AL1286" s="388" t="s">
        <v>3289</v>
      </c>
      <c r="AM1286" s="388" t="s">
        <v>3363</v>
      </c>
      <c r="AN1286" s="388" t="s">
        <v>3582</v>
      </c>
      <c r="AO1286" s="388" t="s">
        <v>3583</v>
      </c>
      <c r="AP1286" s="388" t="s">
        <v>3717</v>
      </c>
      <c r="AQ1286" s="388" t="s">
        <v>3718</v>
      </c>
      <c r="AR1286" s="388" t="s">
        <v>3719</v>
      </c>
      <c r="AS1286" s="388" t="s">
        <v>3720</v>
      </c>
      <c r="AT1286" s="388" t="s">
        <v>3721</v>
      </c>
    </row>
    <row r="1287" spans="1:253">
      <c r="A1287" s="1"/>
      <c r="B1287" s="1"/>
      <c r="C1287" s="1"/>
      <c r="D1287" s="378"/>
      <c r="E1287" s="302"/>
      <c r="F1287" s="302"/>
      <c r="G1287" s="302"/>
      <c r="H1287" s="302"/>
      <c r="I1287" s="302"/>
      <c r="J1287" s="302"/>
      <c r="K1287" s="302"/>
      <c r="L1287" s="302"/>
      <c r="M1287" s="302"/>
      <c r="N1287" s="302"/>
      <c r="O1287" s="302"/>
      <c r="P1287" s="302"/>
      <c r="Q1287" s="302"/>
      <c r="R1287" s="302"/>
      <c r="S1287" s="302"/>
      <c r="T1287" s="302"/>
      <c r="U1287" s="302"/>
      <c r="V1287" s="302"/>
      <c r="W1287" s="302"/>
      <c r="X1287" s="302"/>
      <c r="Y1287" s="302"/>
      <c r="Z1287" s="302"/>
      <c r="AA1287" s="302"/>
      <c r="AB1287" s="302"/>
      <c r="AC1287" s="302"/>
      <c r="AD1287" s="302"/>
      <c r="AE1287" s="302"/>
    </row>
    <row r="1288" spans="1:253">
      <c r="A1288" s="1"/>
      <c r="B1288" s="1"/>
      <c r="C1288" s="1"/>
      <c r="D1288" s="522" t="str">
        <f>+FISCinyear!D975</f>
        <v xml:space="preserve">REVENUE </v>
      </c>
      <c r="E1288" s="523"/>
      <c r="F1288" s="523"/>
      <c r="G1288" s="523"/>
      <c r="H1288" s="523"/>
      <c r="I1288" s="523"/>
      <c r="J1288" s="523"/>
      <c r="K1288" s="523"/>
      <c r="L1288" s="523"/>
      <c r="M1288" s="523"/>
      <c r="N1288" s="523"/>
      <c r="O1288" s="523"/>
      <c r="P1288" s="523"/>
      <c r="Q1288" s="523"/>
      <c r="R1288" s="523"/>
      <c r="S1288" s="523"/>
      <c r="T1288" s="523"/>
      <c r="U1288" s="523"/>
      <c r="V1288" s="524">
        <f>V1289+V1296+V1297+V1308</f>
        <v>559.92576983499998</v>
      </c>
      <c r="W1288" s="524">
        <f t="shared" ref="W1288:AK1288" si="1554">W1289+W1296+W1297+W1308</f>
        <v>685.9</v>
      </c>
      <c r="X1288" s="524">
        <f t="shared" si="1554"/>
        <v>646.93795363999993</v>
      </c>
      <c r="Y1288" s="524">
        <f t="shared" si="1554"/>
        <v>1338.7904887842924</v>
      </c>
      <c r="Z1288" s="524">
        <f t="shared" si="1554"/>
        <v>1418.7067005752942</v>
      </c>
      <c r="AA1288" s="524">
        <f t="shared" si="1554"/>
        <v>1541.6771034459719</v>
      </c>
      <c r="AB1288" s="528">
        <f t="shared" si="1554"/>
        <v>1615.7619294919562</v>
      </c>
      <c r="AC1288" s="528">
        <f t="shared" si="1554"/>
        <v>1820.4124327910467</v>
      </c>
      <c r="AD1288" s="528">
        <f t="shared" si="1554"/>
        <v>2065.0273714377413</v>
      </c>
      <c r="AE1288" s="1873">
        <f t="shared" si="1554"/>
        <v>2203.0901479640534</v>
      </c>
      <c r="AF1288" s="1873">
        <f t="shared" si="1554"/>
        <v>2573.1596054000879</v>
      </c>
      <c r="AG1288" s="1873">
        <f t="shared" si="1554"/>
        <v>3102.1830053361036</v>
      </c>
      <c r="AH1288" s="1873">
        <f t="shared" si="1554"/>
        <v>3399.5671834663381</v>
      </c>
      <c r="AI1288" s="1873">
        <f t="shared" si="1554"/>
        <v>3811.1283616710443</v>
      </c>
      <c r="AJ1288" s="1873">
        <f t="shared" si="1554"/>
        <v>4285.1164925549401</v>
      </c>
      <c r="AK1288" s="1873">
        <f t="shared" si="1554"/>
        <v>4837.8437108979124</v>
      </c>
      <c r="AL1288" s="528">
        <f>AL1289+AL1296+AL1297+AL1308</f>
        <v>5705.8830961787326</v>
      </c>
      <c r="AM1288" s="528">
        <f>AM1289+AM1296+AM1297+AM1308</f>
        <v>6570.0178541537625</v>
      </c>
      <c r="AN1288" s="528">
        <f t="shared" ref="AN1288:AO1288" si="1555">AN1289+AN1296+AN1297+AN1308</f>
        <v>7415.2400973101112</v>
      </c>
      <c r="AO1288" s="528">
        <f t="shared" si="1555"/>
        <v>8370.7330940902393</v>
      </c>
      <c r="AP1288" s="528">
        <f t="shared" ref="AP1288:AT1288" si="1556">AP1289+AP1296+AP1297+AP1308</f>
        <v>8443.2979447718208</v>
      </c>
      <c r="AQ1288" s="528">
        <f t="shared" si="1556"/>
        <v>8958.2226646610925</v>
      </c>
      <c r="AR1288" s="528">
        <f t="shared" si="1556"/>
        <v>10564.972235893398</v>
      </c>
      <c r="AS1288" s="528">
        <f t="shared" si="1556"/>
        <v>-16563.614266501078</v>
      </c>
      <c r="AT1288" s="528">
        <f t="shared" si="1556"/>
        <v>-36715.954904102837</v>
      </c>
    </row>
    <row r="1289" spans="1:253">
      <c r="A1289" s="1"/>
      <c r="B1289" s="1"/>
      <c r="C1289" s="1"/>
      <c r="D1289" s="525" t="str">
        <f>+FISCinyear!D976</f>
        <v xml:space="preserve">Taxes </v>
      </c>
      <c r="E1289" s="523"/>
      <c r="F1289" s="523"/>
      <c r="G1289" s="523"/>
      <c r="H1289" s="523"/>
      <c r="I1289" s="523"/>
      <c r="J1289" s="523"/>
      <c r="K1289" s="523"/>
      <c r="L1289" s="523"/>
      <c r="M1289" s="523"/>
      <c r="N1289" s="523"/>
      <c r="O1289" s="523"/>
      <c r="P1289" s="523"/>
      <c r="Q1289" s="523"/>
      <c r="R1289" s="523"/>
      <c r="S1289" s="523"/>
      <c r="T1289" s="523"/>
      <c r="U1289" s="523"/>
      <c r="V1289" s="526">
        <f>V1290+V1291+V1292+V1293+V1294+V1295</f>
        <v>180.9</v>
      </c>
      <c r="W1289" s="526">
        <f t="shared" ref="W1289:AK1289" si="1557">W1290+W1291+W1292+W1293+W1294+W1295</f>
        <v>228.49999999999997</v>
      </c>
      <c r="X1289" s="526">
        <f t="shared" si="1557"/>
        <v>282.03795364000001</v>
      </c>
      <c r="Y1289" s="526">
        <f t="shared" si="1557"/>
        <v>727.99377472419997</v>
      </c>
      <c r="Z1289" s="526">
        <f t="shared" si="1557"/>
        <v>830.2377803398</v>
      </c>
      <c r="AA1289" s="526">
        <f t="shared" si="1557"/>
        <v>1000.3672493859758</v>
      </c>
      <c r="AB1289" s="526">
        <f t="shared" si="1557"/>
        <v>1052.4205562162158</v>
      </c>
      <c r="AC1289" s="526">
        <f t="shared" si="1557"/>
        <v>1198.9734424605276</v>
      </c>
      <c r="AD1289" s="526">
        <f t="shared" si="1557"/>
        <v>1402.5222584188773</v>
      </c>
      <c r="AE1289" s="1874">
        <f t="shared" si="1557"/>
        <v>1475.6087142883362</v>
      </c>
      <c r="AF1289" s="1874">
        <f t="shared" si="1557"/>
        <v>1621.6892824968352</v>
      </c>
      <c r="AG1289" s="1874">
        <f t="shared" si="1557"/>
        <v>1876.7735911488617</v>
      </c>
      <c r="AH1289" s="1874">
        <f t="shared" si="1557"/>
        <v>2287.3717968127403</v>
      </c>
      <c r="AI1289" s="1874">
        <f t="shared" si="1557"/>
        <v>2593.3215244053276</v>
      </c>
      <c r="AJ1289" s="1874">
        <f t="shared" si="1557"/>
        <v>3106.4</v>
      </c>
      <c r="AK1289" s="1874">
        <f t="shared" si="1557"/>
        <v>3708.2</v>
      </c>
      <c r="AL1289" s="526">
        <f>AL1290+AL1291+AL1292+AL1293+AL1294+AL1295</f>
        <v>4437.8999999999996</v>
      </c>
      <c r="AM1289" s="526">
        <f>AM1290+AM1291+AM1292+AM1293+AM1294+AM1295</f>
        <v>5137.5</v>
      </c>
      <c r="AN1289" s="526">
        <f t="shared" ref="AN1289:AO1289" si="1558">AN1290+AN1291+AN1292+AN1293+AN1294+AN1295</f>
        <v>5849.9</v>
      </c>
      <c r="AO1289" s="526">
        <f t="shared" si="1558"/>
        <v>6615.877052213601</v>
      </c>
      <c r="AP1289" s="526">
        <f t="shared" ref="AP1289:AT1289" si="1559">AP1290+AP1291+AP1292+AP1293+AP1294+AP1295</f>
        <v>7122.2991396235957</v>
      </c>
      <c r="AQ1289" s="526">
        <f t="shared" si="1559"/>
        <v>7569.7524997314322</v>
      </c>
      <c r="AR1289" s="526">
        <f t="shared" si="1559"/>
        <v>8955.8742594997129</v>
      </c>
      <c r="AS1289" s="526">
        <f t="shared" si="1559"/>
        <v>-16630.442801596197</v>
      </c>
      <c r="AT1289" s="526">
        <f t="shared" si="1559"/>
        <v>-35355.225699708979</v>
      </c>
      <c r="AU1289" s="1241"/>
      <c r="AV1289" s="1241"/>
      <c r="AW1289" s="1241"/>
      <c r="AX1289" s="1241"/>
    </row>
    <row r="1290" spans="1:253">
      <c r="A1290" s="1"/>
      <c r="B1290" s="1"/>
      <c r="C1290" s="1"/>
      <c r="D1290" s="1462" t="s">
        <v>495</v>
      </c>
      <c r="E1290" s="523"/>
      <c r="F1290" s="523"/>
      <c r="G1290" s="523"/>
      <c r="H1290" s="523"/>
      <c r="I1290" s="523"/>
      <c r="J1290" s="523"/>
      <c r="K1290" s="523"/>
      <c r="L1290" s="523"/>
      <c r="M1290" s="523"/>
      <c r="N1290" s="523"/>
      <c r="O1290" s="523"/>
      <c r="P1290" s="523"/>
      <c r="Q1290" s="523"/>
      <c r="R1290" s="523"/>
      <c r="S1290" s="523"/>
      <c r="T1290" s="523"/>
      <c r="U1290" s="523"/>
      <c r="V1290" s="526">
        <f t="shared" ref="V1290:AT1290" si="1560">V990</f>
        <v>180.9</v>
      </c>
      <c r="W1290" s="526">
        <f t="shared" si="1560"/>
        <v>228.49999999999997</v>
      </c>
      <c r="X1290" s="526">
        <f t="shared" si="1560"/>
        <v>282.03795364000001</v>
      </c>
      <c r="Y1290" s="526">
        <f t="shared" si="1560"/>
        <v>287.88498083000002</v>
      </c>
      <c r="Z1290" s="526">
        <f t="shared" si="1560"/>
        <v>341.91875787000004</v>
      </c>
      <c r="AA1290" s="526">
        <f t="shared" si="1560"/>
        <v>406.98706483391464</v>
      </c>
      <c r="AB1290" s="526">
        <f t="shared" si="1560"/>
        <v>421.11287171799745</v>
      </c>
      <c r="AC1290" s="526">
        <f t="shared" si="1560"/>
        <v>471.42647422296494</v>
      </c>
      <c r="AD1290" s="526">
        <f t="shared" si="1560"/>
        <v>595.37385272420011</v>
      </c>
      <c r="AE1290" s="1874">
        <f t="shared" si="1560"/>
        <v>641.47554394712381</v>
      </c>
      <c r="AF1290" s="1874">
        <f t="shared" si="1560"/>
        <v>702.55260756047778</v>
      </c>
      <c r="AG1290" s="1874">
        <f t="shared" si="1560"/>
        <v>853.55684608539536</v>
      </c>
      <c r="AH1290" s="1874">
        <f t="shared" si="1560"/>
        <v>1022.742125332979</v>
      </c>
      <c r="AI1290" s="1874">
        <f t="shared" si="1560"/>
        <v>1178.5718488090074</v>
      </c>
      <c r="AJ1290" s="1874">
        <f t="shared" si="1560"/>
        <v>1371.9398817794195</v>
      </c>
      <c r="AK1290" s="1874">
        <f t="shared" si="1560"/>
        <v>1610.6970079467897</v>
      </c>
      <c r="AL1290" s="526">
        <f t="shared" si="1560"/>
        <v>1935.0525655316769</v>
      </c>
      <c r="AM1290" s="526">
        <f t="shared" si="1560"/>
        <v>2226.3597745522857</v>
      </c>
      <c r="AN1290" s="526">
        <f t="shared" si="1560"/>
        <v>2523.2075079281144</v>
      </c>
      <c r="AO1290" s="526">
        <f t="shared" si="1560"/>
        <v>2891.7285907952487</v>
      </c>
      <c r="AP1290" s="526">
        <f t="shared" si="1560"/>
        <v>3137.4541350984455</v>
      </c>
      <c r="AQ1290" s="526">
        <f t="shared" si="1560"/>
        <v>3330.0865311136813</v>
      </c>
      <c r="AR1290" s="526">
        <f t="shared" si="1560"/>
        <v>3989.6034699000038</v>
      </c>
      <c r="AS1290" s="526">
        <f t="shared" si="1560"/>
        <v>-3799.3032228121492</v>
      </c>
      <c r="AT1290" s="526">
        <f t="shared" si="1560"/>
        <v>-10731.495315936245</v>
      </c>
    </row>
    <row r="1291" spans="1:253">
      <c r="A1291" s="1"/>
      <c r="B1291" s="1"/>
      <c r="C1291" s="1"/>
      <c r="D1291" s="1462" t="s">
        <v>499</v>
      </c>
      <c r="E1291" s="523"/>
      <c r="F1291" s="523"/>
      <c r="G1291" s="523"/>
      <c r="H1291" s="523"/>
      <c r="I1291" s="523"/>
      <c r="J1291" s="523"/>
      <c r="K1291" s="523"/>
      <c r="L1291" s="523"/>
      <c r="M1291" s="523"/>
      <c r="N1291" s="523"/>
      <c r="O1291" s="523"/>
      <c r="P1291" s="523"/>
      <c r="Q1291" s="523"/>
      <c r="R1291" s="523"/>
      <c r="S1291" s="523"/>
      <c r="T1291" s="523"/>
      <c r="U1291" s="523"/>
      <c r="V1291" s="526">
        <f t="shared" ref="V1291:AT1291" si="1561">V995</f>
        <v>0</v>
      </c>
      <c r="W1291" s="526">
        <f t="shared" si="1561"/>
        <v>0</v>
      </c>
      <c r="X1291" s="526">
        <f t="shared" si="1561"/>
        <v>0</v>
      </c>
      <c r="Y1291" s="526">
        <f t="shared" si="1561"/>
        <v>0</v>
      </c>
      <c r="Z1291" s="526">
        <f t="shared" si="1561"/>
        <v>0</v>
      </c>
      <c r="AA1291" s="526">
        <f t="shared" si="1561"/>
        <v>0</v>
      </c>
      <c r="AB1291" s="526">
        <f t="shared" si="1561"/>
        <v>0</v>
      </c>
      <c r="AC1291" s="526">
        <f t="shared" si="1561"/>
        <v>0</v>
      </c>
      <c r="AD1291" s="526">
        <f t="shared" si="1561"/>
        <v>0</v>
      </c>
      <c r="AE1291" s="1874">
        <f t="shared" si="1561"/>
        <v>0</v>
      </c>
      <c r="AF1291" s="1874">
        <f t="shared" si="1561"/>
        <v>0</v>
      </c>
      <c r="AG1291" s="1874">
        <f t="shared" si="1561"/>
        <v>0</v>
      </c>
      <c r="AH1291" s="1874">
        <f t="shared" si="1561"/>
        <v>0</v>
      </c>
      <c r="AI1291" s="1874">
        <f t="shared" si="1561"/>
        <v>0</v>
      </c>
      <c r="AJ1291" s="1874">
        <f t="shared" si="1561"/>
        <v>0</v>
      </c>
      <c r="AK1291" s="1874">
        <f t="shared" si="1561"/>
        <v>0</v>
      </c>
      <c r="AL1291" s="526">
        <f t="shared" si="1561"/>
        <v>0</v>
      </c>
      <c r="AM1291" s="526">
        <f t="shared" si="1561"/>
        <v>0</v>
      </c>
      <c r="AN1291" s="526">
        <f t="shared" si="1561"/>
        <v>0</v>
      </c>
      <c r="AO1291" s="526">
        <f t="shared" si="1561"/>
        <v>0</v>
      </c>
      <c r="AP1291" s="526">
        <f t="shared" si="1561"/>
        <v>1</v>
      </c>
      <c r="AQ1291" s="526">
        <f t="shared" si="1561"/>
        <v>2</v>
      </c>
      <c r="AR1291" s="526">
        <f t="shared" si="1561"/>
        <v>3</v>
      </c>
      <c r="AS1291" s="526">
        <f t="shared" si="1561"/>
        <v>4</v>
      </c>
      <c r="AT1291" s="526">
        <f t="shared" si="1561"/>
        <v>5</v>
      </c>
    </row>
    <row r="1292" spans="1:253">
      <c r="A1292" s="1"/>
      <c r="B1292" s="1"/>
      <c r="C1292" s="1"/>
      <c r="D1292" s="1462" t="s">
        <v>500</v>
      </c>
      <c r="E1292" s="523"/>
      <c r="F1292" s="523"/>
      <c r="G1292" s="523"/>
      <c r="H1292" s="523"/>
      <c r="I1292" s="523"/>
      <c r="J1292" s="523"/>
      <c r="K1292" s="523"/>
      <c r="L1292" s="523"/>
      <c r="M1292" s="523"/>
      <c r="N1292" s="523"/>
      <c r="O1292" s="523"/>
      <c r="P1292" s="523"/>
      <c r="Q1292" s="523"/>
      <c r="R1292" s="523"/>
      <c r="S1292" s="523"/>
      <c r="T1292" s="523"/>
      <c r="U1292" s="523"/>
      <c r="V1292" s="526">
        <f t="shared" ref="V1292:AT1292" si="1562">V996</f>
        <v>0</v>
      </c>
      <c r="W1292" s="526">
        <f t="shared" si="1562"/>
        <v>0</v>
      </c>
      <c r="X1292" s="526">
        <f t="shared" si="1562"/>
        <v>0</v>
      </c>
      <c r="Y1292" s="526">
        <f t="shared" si="1562"/>
        <v>1.0475502899999998</v>
      </c>
      <c r="Z1292" s="526">
        <f t="shared" si="1562"/>
        <v>1.4744668620000001</v>
      </c>
      <c r="AA1292" s="526">
        <f t="shared" si="1562"/>
        <v>0.79905792988831847</v>
      </c>
      <c r="AB1292" s="526">
        <f t="shared" si="1562"/>
        <v>0.60978576711347843</v>
      </c>
      <c r="AC1292" s="526">
        <f t="shared" si="1562"/>
        <v>4.9652348659568588E-11</v>
      </c>
      <c r="AD1292" s="526">
        <f t="shared" si="1562"/>
        <v>19.372400629999998</v>
      </c>
      <c r="AE1292" s="1874">
        <f t="shared" si="1562"/>
        <v>4.6428780387518458</v>
      </c>
      <c r="AF1292" s="1874">
        <f t="shared" si="1562"/>
        <v>19.443675029298234</v>
      </c>
      <c r="AG1292" s="1874">
        <f t="shared" si="1562"/>
        <v>17.107113807486726</v>
      </c>
      <c r="AH1292" s="1874">
        <f t="shared" si="1562"/>
        <v>22.576045216121535</v>
      </c>
      <c r="AI1292" s="1874">
        <f t="shared" si="1562"/>
        <v>30.501623556453502</v>
      </c>
      <c r="AJ1292" s="1874">
        <f t="shared" si="1562"/>
        <v>43.249908940631883</v>
      </c>
      <c r="AK1292" s="1874">
        <f t="shared" si="1562"/>
        <v>47.731362236668176</v>
      </c>
      <c r="AL1292" s="526">
        <f t="shared" si="1562"/>
        <v>54.596331306029185</v>
      </c>
      <c r="AM1292" s="526">
        <f t="shared" si="1562"/>
        <v>60.862779982023461</v>
      </c>
      <c r="AN1292" s="526">
        <f t="shared" si="1562"/>
        <v>63.091076002384739</v>
      </c>
      <c r="AO1292" s="526">
        <f t="shared" si="1562"/>
        <v>70.550436202037787</v>
      </c>
      <c r="AP1292" s="526">
        <f t="shared" si="1562"/>
        <v>76.507924903320358</v>
      </c>
      <c r="AQ1292" s="526">
        <f t="shared" si="1562"/>
        <v>82.59438442998416</v>
      </c>
      <c r="AR1292" s="526">
        <f t="shared" si="1562"/>
        <v>93.024081124612735</v>
      </c>
      <c r="AS1292" s="526">
        <f t="shared" si="1562"/>
        <v>67.469204283060151</v>
      </c>
      <c r="AT1292" s="526">
        <f t="shared" si="1562"/>
        <v>49.657590174880191</v>
      </c>
    </row>
    <row r="1293" spans="1:253">
      <c r="A1293" s="1"/>
      <c r="B1293" s="1"/>
      <c r="C1293" s="1"/>
      <c r="D1293" s="1462" t="s">
        <v>507</v>
      </c>
      <c r="E1293" s="523"/>
      <c r="F1293" s="523"/>
      <c r="G1293" s="523"/>
      <c r="H1293" s="523"/>
      <c r="I1293" s="523"/>
      <c r="J1293" s="523"/>
      <c r="K1293" s="523"/>
      <c r="L1293" s="523"/>
      <c r="M1293" s="523"/>
      <c r="N1293" s="523"/>
      <c r="O1293" s="523"/>
      <c r="P1293" s="523"/>
      <c r="Q1293" s="523"/>
      <c r="R1293" s="523"/>
      <c r="S1293" s="523"/>
      <c r="T1293" s="523"/>
      <c r="U1293" s="523"/>
      <c r="V1293" s="526">
        <f t="shared" ref="V1293:AT1293" si="1563">V1003</f>
        <v>0</v>
      </c>
      <c r="W1293" s="526">
        <f t="shared" si="1563"/>
        <v>0</v>
      </c>
      <c r="X1293" s="526">
        <f t="shared" si="1563"/>
        <v>0</v>
      </c>
      <c r="Y1293" s="526">
        <f t="shared" si="1563"/>
        <v>382.8888462832</v>
      </c>
      <c r="Z1293" s="526">
        <f t="shared" si="1563"/>
        <v>422.56020412279997</v>
      </c>
      <c r="AA1293" s="526">
        <f t="shared" si="1563"/>
        <v>516.76897665970478</v>
      </c>
      <c r="AB1293" s="526">
        <f t="shared" si="1563"/>
        <v>530.02666167461143</v>
      </c>
      <c r="AC1293" s="526">
        <f t="shared" si="1563"/>
        <v>605.14216765689798</v>
      </c>
      <c r="AD1293" s="526">
        <f t="shared" si="1563"/>
        <v>676.03063632067722</v>
      </c>
      <c r="AE1293" s="1874">
        <f t="shared" si="1563"/>
        <v>712.20880818108037</v>
      </c>
      <c r="AF1293" s="1874">
        <f t="shared" si="1563"/>
        <v>775.95022002114797</v>
      </c>
      <c r="AG1293" s="1874">
        <f t="shared" si="1563"/>
        <v>873.08969211644808</v>
      </c>
      <c r="AH1293" s="1874">
        <f t="shared" si="1563"/>
        <v>1030.4229988219749</v>
      </c>
      <c r="AI1293" s="1874">
        <f t="shared" si="1563"/>
        <v>1189.7617317343922</v>
      </c>
      <c r="AJ1293" s="1874">
        <f t="shared" si="1563"/>
        <v>1468.4732571354521</v>
      </c>
      <c r="AK1293" s="1874">
        <f t="shared" si="1563"/>
        <v>1810.69774515316</v>
      </c>
      <c r="AL1293" s="526">
        <f t="shared" si="1563"/>
        <v>2172.4815321100377</v>
      </c>
      <c r="AM1293" s="526">
        <f t="shared" si="1563"/>
        <v>2517.0995892247956</v>
      </c>
      <c r="AN1293" s="526">
        <f t="shared" si="1563"/>
        <v>2879.4663819133752</v>
      </c>
      <c r="AO1293" s="526">
        <f t="shared" si="1563"/>
        <v>3230.2782095566367</v>
      </c>
      <c r="AP1293" s="526">
        <f t="shared" si="1563"/>
        <v>3443.111372851633</v>
      </c>
      <c r="AQ1293" s="526">
        <f t="shared" si="1563"/>
        <v>3642.0445694163591</v>
      </c>
      <c r="AR1293" s="526">
        <f t="shared" si="1563"/>
        <v>4251.2792446040385</v>
      </c>
      <c r="AS1293" s="526">
        <f t="shared" si="1563"/>
        <v>-13648.825251620445</v>
      </c>
      <c r="AT1293" s="526">
        <f t="shared" si="1563"/>
        <v>-25576.519443051064</v>
      </c>
    </row>
    <row r="1294" spans="1:253">
      <c r="A1294" s="1"/>
      <c r="B1294" s="1"/>
      <c r="C1294" s="1"/>
      <c r="D1294" s="1462" t="s">
        <v>519</v>
      </c>
      <c r="E1294" s="523"/>
      <c r="F1294" s="523"/>
      <c r="G1294" s="523"/>
      <c r="H1294" s="523"/>
      <c r="I1294" s="523"/>
      <c r="J1294" s="523"/>
      <c r="K1294" s="523"/>
      <c r="L1294" s="523"/>
      <c r="M1294" s="523"/>
      <c r="N1294" s="523"/>
      <c r="O1294" s="523"/>
      <c r="P1294" s="523"/>
      <c r="Q1294" s="523"/>
      <c r="R1294" s="523"/>
      <c r="S1294" s="523"/>
      <c r="T1294" s="523"/>
      <c r="U1294" s="523"/>
      <c r="V1294" s="526">
        <f t="shared" ref="V1294:AT1294" si="1564">V1019</f>
        <v>0</v>
      </c>
      <c r="W1294" s="526">
        <f t="shared" si="1564"/>
        <v>0</v>
      </c>
      <c r="X1294" s="526">
        <f t="shared" si="1564"/>
        <v>0</v>
      </c>
      <c r="Y1294" s="526">
        <f t="shared" si="1564"/>
        <v>56.172397320999998</v>
      </c>
      <c r="Z1294" s="526">
        <f t="shared" si="1564"/>
        <v>64.284351485000002</v>
      </c>
      <c r="AA1294" s="526">
        <f t="shared" si="1564"/>
        <v>75.812149962468069</v>
      </c>
      <c r="AB1294" s="526">
        <f t="shared" si="1564"/>
        <v>80.659855556043809</v>
      </c>
      <c r="AC1294" s="526">
        <f t="shared" si="1564"/>
        <v>83.543020431993199</v>
      </c>
      <c r="AD1294" s="526">
        <f t="shared" si="1564"/>
        <v>111.745368744</v>
      </c>
      <c r="AE1294" s="1874">
        <f t="shared" si="1564"/>
        <v>117.28148412138</v>
      </c>
      <c r="AF1294" s="1874">
        <f t="shared" si="1564"/>
        <v>123.74277988591115</v>
      </c>
      <c r="AG1294" s="1874">
        <f t="shared" si="1564"/>
        <v>133.01993913953143</v>
      </c>
      <c r="AH1294" s="1874">
        <f t="shared" si="1564"/>
        <v>211.6306274416647</v>
      </c>
      <c r="AI1294" s="1874">
        <f t="shared" si="1564"/>
        <v>194.48632030547415</v>
      </c>
      <c r="AJ1294" s="1874">
        <f t="shared" si="1564"/>
        <v>222.73695214449668</v>
      </c>
      <c r="AK1294" s="1874">
        <f t="shared" si="1564"/>
        <v>239.07388466338222</v>
      </c>
      <c r="AL1294" s="526">
        <f t="shared" si="1564"/>
        <v>275.76957105225569</v>
      </c>
      <c r="AM1294" s="526">
        <f t="shared" si="1564"/>
        <v>333.17785624089498</v>
      </c>
      <c r="AN1294" s="526">
        <f t="shared" si="1564"/>
        <v>384.13503415612513</v>
      </c>
      <c r="AO1294" s="526">
        <f t="shared" si="1564"/>
        <v>423.31981565967789</v>
      </c>
      <c r="AP1294" s="526">
        <f t="shared" si="1564"/>
        <v>464.22570677019752</v>
      </c>
      <c r="AQ1294" s="526">
        <f t="shared" si="1564"/>
        <v>513.02701477140749</v>
      </c>
      <c r="AR1294" s="526">
        <f t="shared" si="1564"/>
        <v>618.96746387105804</v>
      </c>
      <c r="AS1294" s="526">
        <f t="shared" si="1564"/>
        <v>746.21646855333654</v>
      </c>
      <c r="AT1294" s="526">
        <f t="shared" si="1564"/>
        <v>898.13146910344938</v>
      </c>
    </row>
    <row r="1295" spans="1:253">
      <c r="A1295" s="1"/>
      <c r="B1295" s="1"/>
      <c r="C1295" s="1"/>
      <c r="D1295" s="1462" t="s">
        <v>526</v>
      </c>
      <c r="E1295" s="523"/>
      <c r="F1295" s="523"/>
      <c r="G1295" s="523"/>
      <c r="H1295" s="523"/>
      <c r="I1295" s="523"/>
      <c r="J1295" s="523"/>
      <c r="K1295" s="523"/>
      <c r="L1295" s="523"/>
      <c r="M1295" s="523"/>
      <c r="N1295" s="523"/>
      <c r="O1295" s="523"/>
      <c r="P1295" s="523"/>
      <c r="Q1295" s="523"/>
      <c r="R1295" s="523"/>
      <c r="S1295" s="523"/>
      <c r="T1295" s="523"/>
      <c r="U1295" s="523"/>
      <c r="V1295" s="526">
        <f t="shared" ref="V1295:AT1295" si="1565">V1028</f>
        <v>0</v>
      </c>
      <c r="W1295" s="526">
        <f t="shared" si="1565"/>
        <v>0</v>
      </c>
      <c r="X1295" s="526">
        <f t="shared" si="1565"/>
        <v>0</v>
      </c>
      <c r="Y1295" s="526">
        <f t="shared" si="1565"/>
        <v>0</v>
      </c>
      <c r="Z1295" s="526">
        <f t="shared" si="1565"/>
        <v>0</v>
      </c>
      <c r="AA1295" s="526">
        <f t="shared" si="1565"/>
        <v>0</v>
      </c>
      <c r="AB1295" s="526">
        <f t="shared" si="1565"/>
        <v>20.011381500449659</v>
      </c>
      <c r="AC1295" s="526">
        <f t="shared" si="1565"/>
        <v>38.861780148621875</v>
      </c>
      <c r="AD1295" s="526">
        <f t="shared" si="1565"/>
        <v>0</v>
      </c>
      <c r="AE1295" s="1874">
        <f t="shared" si="1565"/>
        <v>0</v>
      </c>
      <c r="AF1295" s="1874">
        <f t="shared" si="1565"/>
        <v>0</v>
      </c>
      <c r="AG1295" s="1874">
        <f t="shared" si="1565"/>
        <v>0</v>
      </c>
      <c r="AH1295" s="1874">
        <f t="shared" si="1565"/>
        <v>0</v>
      </c>
      <c r="AI1295" s="1874">
        <f t="shared" si="1565"/>
        <v>0</v>
      </c>
      <c r="AJ1295" s="1874">
        <f t="shared" si="1565"/>
        <v>0</v>
      </c>
      <c r="AK1295" s="1874">
        <f t="shared" si="1565"/>
        <v>0</v>
      </c>
      <c r="AL1295" s="526">
        <f t="shared" si="1565"/>
        <v>0</v>
      </c>
      <c r="AM1295" s="526">
        <f t="shared" si="1565"/>
        <v>0</v>
      </c>
      <c r="AN1295" s="526">
        <f t="shared" si="1565"/>
        <v>0</v>
      </c>
      <c r="AO1295" s="526">
        <f t="shared" si="1565"/>
        <v>0</v>
      </c>
      <c r="AP1295" s="526">
        <f t="shared" si="1565"/>
        <v>0</v>
      </c>
      <c r="AQ1295" s="526">
        <f t="shared" si="1565"/>
        <v>0</v>
      </c>
      <c r="AR1295" s="526">
        <f t="shared" si="1565"/>
        <v>0</v>
      </c>
      <c r="AS1295" s="526">
        <f t="shared" si="1565"/>
        <v>0</v>
      </c>
      <c r="AT1295" s="526">
        <f t="shared" si="1565"/>
        <v>0</v>
      </c>
    </row>
    <row r="1296" spans="1:253">
      <c r="A1296" s="1"/>
      <c r="B1296" s="1"/>
      <c r="C1296" s="1"/>
      <c r="D1296" s="525" t="str">
        <f>+FISCinyear!D977</f>
        <v xml:space="preserve">Social contributions </v>
      </c>
      <c r="E1296" s="523"/>
      <c r="F1296" s="523"/>
      <c r="G1296" s="523"/>
      <c r="H1296" s="523"/>
      <c r="I1296" s="523"/>
      <c r="J1296" s="523"/>
      <c r="K1296" s="523"/>
      <c r="L1296" s="523"/>
      <c r="M1296" s="523"/>
      <c r="N1296" s="523"/>
      <c r="O1296" s="523"/>
      <c r="P1296" s="523"/>
      <c r="Q1296" s="523"/>
      <c r="R1296" s="523"/>
      <c r="S1296" s="523"/>
      <c r="T1296" s="523"/>
      <c r="U1296" s="523"/>
      <c r="V1296" s="526">
        <f t="shared" ref="V1296:AT1296" si="1566">E1029</f>
        <v>0</v>
      </c>
      <c r="W1296" s="526">
        <f t="shared" si="1566"/>
        <v>0</v>
      </c>
      <c r="X1296" s="526">
        <f t="shared" si="1566"/>
        <v>0</v>
      </c>
      <c r="Y1296" s="526">
        <f t="shared" si="1566"/>
        <v>0</v>
      </c>
      <c r="Z1296" s="526">
        <f t="shared" si="1566"/>
        <v>0</v>
      </c>
      <c r="AA1296" s="526">
        <f t="shared" si="1566"/>
        <v>0</v>
      </c>
      <c r="AB1296" s="526">
        <f t="shared" si="1566"/>
        <v>0</v>
      </c>
      <c r="AC1296" s="526">
        <f t="shared" si="1566"/>
        <v>0</v>
      </c>
      <c r="AD1296" s="526">
        <f t="shared" si="1566"/>
        <v>0</v>
      </c>
      <c r="AE1296" s="1874">
        <f t="shared" si="1566"/>
        <v>0</v>
      </c>
      <c r="AF1296" s="1874">
        <f t="shared" si="1566"/>
        <v>0</v>
      </c>
      <c r="AG1296" s="1874">
        <f t="shared" si="1566"/>
        <v>0</v>
      </c>
      <c r="AH1296" s="1874">
        <f t="shared" si="1566"/>
        <v>0</v>
      </c>
      <c r="AI1296" s="1874">
        <f t="shared" si="1566"/>
        <v>0</v>
      </c>
      <c r="AJ1296" s="1874">
        <f t="shared" si="1566"/>
        <v>0</v>
      </c>
      <c r="AK1296" s="1874">
        <f t="shared" si="1566"/>
        <v>0</v>
      </c>
      <c r="AL1296" s="526">
        <f t="shared" si="1566"/>
        <v>0</v>
      </c>
      <c r="AM1296" s="526">
        <f t="shared" si="1566"/>
        <v>0</v>
      </c>
      <c r="AN1296" s="526">
        <f t="shared" si="1566"/>
        <v>0</v>
      </c>
      <c r="AO1296" s="526">
        <f t="shared" si="1566"/>
        <v>0</v>
      </c>
      <c r="AP1296" s="526">
        <f t="shared" si="1566"/>
        <v>0</v>
      </c>
      <c r="AQ1296" s="526">
        <f t="shared" si="1566"/>
        <v>0</v>
      </c>
      <c r="AR1296" s="526">
        <f t="shared" si="1566"/>
        <v>0</v>
      </c>
      <c r="AS1296" s="526">
        <f t="shared" si="1566"/>
        <v>0</v>
      </c>
      <c r="AT1296" s="526">
        <f t="shared" si="1566"/>
        <v>0</v>
      </c>
    </row>
    <row r="1297" spans="1:46">
      <c r="A1297" s="1"/>
      <c r="B1297" s="1"/>
      <c r="C1297" s="1"/>
      <c r="D1297" s="525" t="str">
        <f>+FISCinyear!D978</f>
        <v xml:space="preserve">Grants </v>
      </c>
      <c r="E1297" s="523"/>
      <c r="F1297" s="523"/>
      <c r="G1297" s="523"/>
      <c r="H1297" s="523"/>
      <c r="I1297" s="523"/>
      <c r="J1297" s="523"/>
      <c r="K1297" s="523"/>
      <c r="L1297" s="523"/>
      <c r="M1297" s="523"/>
      <c r="N1297" s="523"/>
      <c r="O1297" s="523"/>
      <c r="P1297" s="523"/>
      <c r="Q1297" s="523"/>
      <c r="R1297" s="523"/>
      <c r="S1297" s="523"/>
      <c r="T1297" s="523"/>
      <c r="U1297" s="523"/>
      <c r="V1297" s="526">
        <f t="shared" ref="V1297:AA1297" si="1567">V1298+V1301+V1304</f>
        <v>379.02576983500001</v>
      </c>
      <c r="W1297" s="526">
        <f t="shared" si="1567"/>
        <v>457.4</v>
      </c>
      <c r="X1297" s="526">
        <f t="shared" si="1567"/>
        <v>364.9</v>
      </c>
      <c r="Y1297" s="526">
        <f t="shared" si="1567"/>
        <v>474.31665722262011</v>
      </c>
      <c r="Z1297" s="526">
        <f t="shared" si="1567"/>
        <v>415.92740699529958</v>
      </c>
      <c r="AA1297" s="526">
        <f t="shared" si="1567"/>
        <v>373.71360579354939</v>
      </c>
      <c r="AB1297" s="526">
        <f>AB1298+AB1301+AB1304+AB1307</f>
        <v>330.18208394651856</v>
      </c>
      <c r="AC1297" s="526">
        <f t="shared" ref="AC1297:AK1297" si="1568">AC1298+AC1301+AC1304+AC1307</f>
        <v>358.90867686871047</v>
      </c>
      <c r="AD1297" s="526">
        <f t="shared" si="1568"/>
        <v>394.75005785621573</v>
      </c>
      <c r="AE1297" s="1874">
        <f t="shared" si="1568"/>
        <v>437.5584046438675</v>
      </c>
      <c r="AF1297" s="1874">
        <f t="shared" si="1568"/>
        <v>566.05657611308209</v>
      </c>
      <c r="AG1297" s="1874">
        <f t="shared" si="1568"/>
        <v>824.18435942628162</v>
      </c>
      <c r="AH1297" s="1874">
        <f t="shared" si="1568"/>
        <v>711.30724575495185</v>
      </c>
      <c r="AI1297" s="1874">
        <f t="shared" si="1568"/>
        <v>757.7914095316321</v>
      </c>
      <c r="AJ1297" s="1874">
        <f t="shared" si="1568"/>
        <v>625.76873923411313</v>
      </c>
      <c r="AK1297" s="1874">
        <f t="shared" si="1568"/>
        <v>585.21500835131963</v>
      </c>
      <c r="AL1297" s="526">
        <f>AL1298+AL1301+AL1304+AL1307</f>
        <v>660.06662379141665</v>
      </c>
      <c r="AM1297" s="526">
        <f>AM1298+AM1301+AM1304+AM1307</f>
        <v>739.77037337547381</v>
      </c>
      <c r="AN1297" s="526">
        <f t="shared" ref="AN1297:AO1297" si="1569">AN1298+AN1301+AN1304+AN1307</f>
        <v>794.32405102735959</v>
      </c>
      <c r="AO1297" s="526">
        <f t="shared" si="1569"/>
        <v>864.96623985512781</v>
      </c>
      <c r="AP1297" s="526">
        <f t="shared" ref="AP1297:AT1297" si="1570">AP1298+AP1301+AP1304+AP1307</f>
        <v>355.83804745368525</v>
      </c>
      <c r="AQ1297" s="526">
        <f t="shared" si="1570"/>
        <v>382.17037462195867</v>
      </c>
      <c r="AR1297" s="526">
        <f t="shared" si="1570"/>
        <v>403.58025230480609</v>
      </c>
      <c r="AS1297" s="526">
        <f t="shared" si="1570"/>
        <v>426.64175863562764</v>
      </c>
      <c r="AT1297" s="526">
        <f t="shared" si="1570"/>
        <v>446.46053736672889</v>
      </c>
    </row>
    <row r="1298" spans="1:46">
      <c r="A1298" s="1"/>
      <c r="B1298" s="1"/>
      <c r="C1298" s="1"/>
      <c r="D1298" s="525" t="s">
        <v>3092</v>
      </c>
      <c r="E1298" s="523"/>
      <c r="F1298" s="523"/>
      <c r="G1298" s="523"/>
      <c r="H1298" s="523"/>
      <c r="I1298" s="523"/>
      <c r="J1298" s="523"/>
      <c r="K1298" s="523"/>
      <c r="L1298" s="523"/>
      <c r="M1298" s="523"/>
      <c r="N1298" s="523"/>
      <c r="O1298" s="523"/>
      <c r="P1298" s="523"/>
      <c r="Q1298" s="523"/>
      <c r="R1298" s="523"/>
      <c r="S1298" s="523"/>
      <c r="T1298" s="523"/>
      <c r="U1298" s="523"/>
      <c r="V1298" s="526">
        <f>V1299+V1300</f>
        <v>0</v>
      </c>
      <c r="W1298" s="526">
        <f t="shared" ref="W1298:AK1298" si="1571">W1299+W1300</f>
        <v>0</v>
      </c>
      <c r="X1298" s="526">
        <f t="shared" si="1571"/>
        <v>0</v>
      </c>
      <c r="Y1298" s="526">
        <f t="shared" si="1571"/>
        <v>0</v>
      </c>
      <c r="Z1298" s="526">
        <f t="shared" si="1571"/>
        <v>0</v>
      </c>
      <c r="AA1298" s="526">
        <f t="shared" si="1571"/>
        <v>0</v>
      </c>
      <c r="AB1298" s="526">
        <f t="shared" si="1571"/>
        <v>68.872031182049739</v>
      </c>
      <c r="AC1298" s="526">
        <f t="shared" si="1571"/>
        <v>62.921207006556472</v>
      </c>
      <c r="AD1298" s="526">
        <f t="shared" si="1571"/>
        <v>18.877917492979133</v>
      </c>
      <c r="AE1298" s="1874">
        <f t="shared" si="1571"/>
        <v>24.185845768937916</v>
      </c>
      <c r="AF1298" s="1874">
        <f t="shared" si="1571"/>
        <v>9.0172988225571267</v>
      </c>
      <c r="AG1298" s="1874">
        <f t="shared" si="1571"/>
        <v>214.52942576870959</v>
      </c>
      <c r="AH1298" s="1874">
        <f t="shared" si="1571"/>
        <v>405.61651781281091</v>
      </c>
      <c r="AI1298" s="1874">
        <f t="shared" si="1571"/>
        <v>423.76122062019726</v>
      </c>
      <c r="AJ1298" s="1874">
        <f t="shared" si="1571"/>
        <v>320.33611353938386</v>
      </c>
      <c r="AK1298" s="1874">
        <f t="shared" si="1571"/>
        <v>317.71428970565637</v>
      </c>
      <c r="AL1298" s="526">
        <f>AL1299+AL1300</f>
        <v>309.10026712495079</v>
      </c>
      <c r="AM1298" s="526">
        <f>AM1299+AM1300</f>
        <v>329.56758133972784</v>
      </c>
      <c r="AN1298" s="526">
        <f t="shared" ref="AN1298:AO1298" si="1572">AN1299+AN1300</f>
        <v>348.22310433621101</v>
      </c>
      <c r="AO1298" s="526">
        <f t="shared" si="1572"/>
        <v>363.44641374224784</v>
      </c>
      <c r="AP1298" s="526">
        <f t="shared" ref="AP1298:AT1298" si="1573">AP1299+AP1300</f>
        <v>0</v>
      </c>
      <c r="AQ1298" s="526">
        <f t="shared" si="1573"/>
        <v>0</v>
      </c>
      <c r="AR1298" s="526">
        <f t="shared" si="1573"/>
        <v>0</v>
      </c>
      <c r="AS1298" s="526">
        <f t="shared" si="1573"/>
        <v>0</v>
      </c>
      <c r="AT1298" s="526">
        <f t="shared" si="1573"/>
        <v>0</v>
      </c>
    </row>
    <row r="1299" spans="1:46">
      <c r="A1299" s="1"/>
      <c r="B1299" s="1"/>
      <c r="C1299" s="1"/>
      <c r="D1299" s="527" t="str">
        <f>+FISCinyear!D979</f>
        <v xml:space="preserve">Current </v>
      </c>
      <c r="E1299" s="523"/>
      <c r="F1299" s="523"/>
      <c r="G1299" s="523"/>
      <c r="H1299" s="523"/>
      <c r="I1299" s="523"/>
      <c r="J1299" s="523"/>
      <c r="K1299" s="523"/>
      <c r="L1299" s="523"/>
      <c r="M1299" s="523"/>
      <c r="N1299" s="523"/>
      <c r="O1299" s="523"/>
      <c r="P1299" s="523"/>
      <c r="Q1299" s="523"/>
      <c r="R1299" s="523"/>
      <c r="S1299" s="523"/>
      <c r="T1299" s="523"/>
      <c r="U1299" s="523"/>
      <c r="V1299" s="526">
        <f t="shared" ref="V1299:AT1299" si="1574">V1041</f>
        <v>0</v>
      </c>
      <c r="W1299" s="526">
        <f t="shared" si="1574"/>
        <v>0</v>
      </c>
      <c r="X1299" s="526">
        <f t="shared" si="1574"/>
        <v>0</v>
      </c>
      <c r="Y1299" s="526">
        <f t="shared" si="1574"/>
        <v>0</v>
      </c>
      <c r="Z1299" s="526">
        <f t="shared" si="1574"/>
        <v>0</v>
      </c>
      <c r="AA1299" s="526">
        <f t="shared" si="1574"/>
        <v>0</v>
      </c>
      <c r="AB1299" s="526">
        <f t="shared" si="1574"/>
        <v>68.872031182049739</v>
      </c>
      <c r="AC1299" s="526">
        <f t="shared" si="1574"/>
        <v>62.921207006556472</v>
      </c>
      <c r="AD1299" s="526">
        <f t="shared" si="1574"/>
        <v>18.877917492979133</v>
      </c>
      <c r="AE1299" s="1874">
        <f t="shared" si="1574"/>
        <v>24.185845768937916</v>
      </c>
      <c r="AF1299" s="1874">
        <f t="shared" si="1574"/>
        <v>9.0172988225571267</v>
      </c>
      <c r="AG1299" s="1874">
        <f t="shared" si="1574"/>
        <v>214.52942576870959</v>
      </c>
      <c r="AH1299" s="1874">
        <f t="shared" si="1574"/>
        <v>158.7462235156909</v>
      </c>
      <c r="AI1299" s="1874">
        <f t="shared" si="1574"/>
        <v>105.79687281258069</v>
      </c>
      <c r="AJ1299" s="1874">
        <f t="shared" si="1574"/>
        <v>36.061916334740332</v>
      </c>
      <c r="AK1299" s="1874">
        <f t="shared" si="1574"/>
        <v>29.935742938602822</v>
      </c>
      <c r="AL1299" s="526">
        <f t="shared" si="1574"/>
        <v>0</v>
      </c>
      <c r="AM1299" s="526">
        <f t="shared" si="1574"/>
        <v>0</v>
      </c>
      <c r="AN1299" s="526">
        <f t="shared" si="1574"/>
        <v>0</v>
      </c>
      <c r="AO1299" s="526">
        <f t="shared" si="1574"/>
        <v>0</v>
      </c>
      <c r="AP1299" s="526">
        <f t="shared" si="1574"/>
        <v>0</v>
      </c>
      <c r="AQ1299" s="526">
        <f t="shared" si="1574"/>
        <v>0</v>
      </c>
      <c r="AR1299" s="526">
        <f t="shared" si="1574"/>
        <v>0</v>
      </c>
      <c r="AS1299" s="526">
        <f t="shared" si="1574"/>
        <v>0</v>
      </c>
      <c r="AT1299" s="526">
        <f t="shared" si="1574"/>
        <v>0</v>
      </c>
    </row>
    <row r="1300" spans="1:46" ht="15.75" customHeight="1">
      <c r="A1300" s="1"/>
      <c r="B1300" s="1"/>
      <c r="C1300" s="1"/>
      <c r="D1300" s="527" t="str">
        <f>+FISCinyear!D980</f>
        <v xml:space="preserve">Capital </v>
      </c>
      <c r="E1300" s="523"/>
      <c r="F1300" s="523"/>
      <c r="G1300" s="523"/>
      <c r="H1300" s="523"/>
      <c r="I1300" s="523"/>
      <c r="J1300" s="523"/>
      <c r="K1300" s="523"/>
      <c r="L1300" s="523"/>
      <c r="M1300" s="523"/>
      <c r="N1300" s="523"/>
      <c r="O1300" s="523"/>
      <c r="P1300" s="523"/>
      <c r="Q1300" s="523"/>
      <c r="R1300" s="523"/>
      <c r="S1300" s="523"/>
      <c r="T1300" s="523"/>
      <c r="U1300" s="523"/>
      <c r="V1300" s="526">
        <f t="shared" ref="V1300:AT1300" si="1575">V1043</f>
        <v>0</v>
      </c>
      <c r="W1300" s="526">
        <f t="shared" si="1575"/>
        <v>0</v>
      </c>
      <c r="X1300" s="526">
        <f t="shared" si="1575"/>
        <v>0</v>
      </c>
      <c r="Y1300" s="526">
        <f t="shared" si="1575"/>
        <v>0</v>
      </c>
      <c r="Z1300" s="526">
        <f t="shared" si="1575"/>
        <v>0</v>
      </c>
      <c r="AA1300" s="526">
        <f t="shared" si="1575"/>
        <v>0</v>
      </c>
      <c r="AB1300" s="526">
        <f t="shared" si="1575"/>
        <v>0</v>
      </c>
      <c r="AC1300" s="526">
        <f t="shared" si="1575"/>
        <v>0</v>
      </c>
      <c r="AD1300" s="526">
        <f t="shared" si="1575"/>
        <v>0</v>
      </c>
      <c r="AE1300" s="1874">
        <f t="shared" si="1575"/>
        <v>0</v>
      </c>
      <c r="AF1300" s="1874">
        <f t="shared" si="1575"/>
        <v>0</v>
      </c>
      <c r="AG1300" s="1874">
        <f t="shared" si="1575"/>
        <v>0</v>
      </c>
      <c r="AH1300" s="1874">
        <f t="shared" si="1575"/>
        <v>246.87029429712004</v>
      </c>
      <c r="AI1300" s="1874">
        <f t="shared" si="1575"/>
        <v>317.9643478076166</v>
      </c>
      <c r="AJ1300" s="1874">
        <f t="shared" si="1575"/>
        <v>284.27419720464354</v>
      </c>
      <c r="AK1300" s="1874">
        <f t="shared" si="1575"/>
        <v>287.77854676705357</v>
      </c>
      <c r="AL1300" s="526">
        <f t="shared" si="1575"/>
        <v>309.10026712495079</v>
      </c>
      <c r="AM1300" s="526">
        <f t="shared" si="1575"/>
        <v>329.56758133972784</v>
      </c>
      <c r="AN1300" s="526">
        <f t="shared" si="1575"/>
        <v>348.22310433621101</v>
      </c>
      <c r="AO1300" s="526">
        <f t="shared" si="1575"/>
        <v>363.44641374224784</v>
      </c>
      <c r="AP1300" s="526">
        <f t="shared" si="1575"/>
        <v>0</v>
      </c>
      <c r="AQ1300" s="526">
        <f t="shared" si="1575"/>
        <v>0</v>
      </c>
      <c r="AR1300" s="526">
        <f t="shared" si="1575"/>
        <v>0</v>
      </c>
      <c r="AS1300" s="526">
        <f t="shared" si="1575"/>
        <v>0</v>
      </c>
      <c r="AT1300" s="526">
        <f t="shared" si="1575"/>
        <v>0</v>
      </c>
    </row>
    <row r="1301" spans="1:46" ht="15.75" customHeight="1">
      <c r="A1301" s="1"/>
      <c r="B1301" s="1"/>
      <c r="C1301" s="1"/>
      <c r="D1301" s="1461" t="s">
        <v>3093</v>
      </c>
      <c r="E1301" s="523"/>
      <c r="F1301" s="523"/>
      <c r="G1301" s="523"/>
      <c r="H1301" s="523"/>
      <c r="I1301" s="523"/>
      <c r="J1301" s="523"/>
      <c r="K1301" s="523"/>
      <c r="L1301" s="523"/>
      <c r="M1301" s="523"/>
      <c r="N1301" s="523"/>
      <c r="O1301" s="523"/>
      <c r="P1301" s="523"/>
      <c r="Q1301" s="523"/>
      <c r="R1301" s="523"/>
      <c r="S1301" s="523"/>
      <c r="T1301" s="523"/>
      <c r="U1301" s="523"/>
      <c r="V1301" s="526">
        <f>V1302+V1303</f>
        <v>379.02576983500001</v>
      </c>
      <c r="W1301" s="526">
        <f t="shared" ref="W1301:AK1301" si="1576">W1302+W1303</f>
        <v>457.4</v>
      </c>
      <c r="X1301" s="526">
        <f t="shared" si="1576"/>
        <v>364.9</v>
      </c>
      <c r="Y1301" s="526">
        <f t="shared" si="1576"/>
        <v>474.31665722262011</v>
      </c>
      <c r="Z1301" s="526">
        <f>Z1302+Z1303</f>
        <v>415.92740699529958</v>
      </c>
      <c r="AA1301" s="526">
        <f t="shared" si="1576"/>
        <v>373.71360579354939</v>
      </c>
      <c r="AB1301" s="526">
        <f t="shared" si="1576"/>
        <v>261.31005276446882</v>
      </c>
      <c r="AC1301" s="526">
        <f t="shared" si="1576"/>
        <v>295.987469862154</v>
      </c>
      <c r="AD1301" s="526">
        <f t="shared" si="1576"/>
        <v>375.87214036323661</v>
      </c>
      <c r="AE1301" s="1874">
        <f t="shared" si="1576"/>
        <v>413.37255887492961</v>
      </c>
      <c r="AF1301" s="1874">
        <f t="shared" si="1576"/>
        <v>557.03927729052498</v>
      </c>
      <c r="AG1301" s="1874">
        <f t="shared" si="1576"/>
        <v>609.65493365757197</v>
      </c>
      <c r="AH1301" s="1874">
        <f t="shared" si="1576"/>
        <v>305.69072794214094</v>
      </c>
      <c r="AI1301" s="1874">
        <f t="shared" si="1576"/>
        <v>334.03018891143483</v>
      </c>
      <c r="AJ1301" s="1874">
        <f t="shared" si="1576"/>
        <v>305.43262569472927</v>
      </c>
      <c r="AK1301" s="1874">
        <f t="shared" si="1576"/>
        <v>267.50071864566326</v>
      </c>
      <c r="AL1301" s="526">
        <f>AL1302+AL1303</f>
        <v>286.65894916262528</v>
      </c>
      <c r="AM1301" s="526">
        <f>AM1302+AM1303</f>
        <v>307.35443339277981</v>
      </c>
      <c r="AN1301" s="526">
        <f t="shared" ref="AN1301:AO1301" si="1577">AN1302+AN1303</f>
        <v>319.31904759443722</v>
      </c>
      <c r="AO1301" s="526">
        <f t="shared" si="1577"/>
        <v>331.388405922326</v>
      </c>
      <c r="AP1301" s="526">
        <f t="shared" ref="AP1301:AT1301" si="1578">AP1302+AP1303</f>
        <v>198.79077812368575</v>
      </c>
      <c r="AQ1301" s="526">
        <f t="shared" si="1578"/>
        <v>207.77032293051624</v>
      </c>
      <c r="AR1301" s="526">
        <f t="shared" si="1578"/>
        <v>222.39493303970312</v>
      </c>
      <c r="AS1301" s="526">
        <f t="shared" si="1578"/>
        <v>233.51467969168831</v>
      </c>
      <c r="AT1301" s="526">
        <f t="shared" si="1578"/>
        <v>245.19041367627273</v>
      </c>
    </row>
    <row r="1302" spans="1:46" ht="15.75" customHeight="1">
      <c r="A1302" s="1"/>
      <c r="B1302" s="1"/>
      <c r="C1302" s="1"/>
      <c r="D1302" s="527" t="s">
        <v>538</v>
      </c>
      <c r="E1302" s="523"/>
      <c r="F1302" s="523"/>
      <c r="G1302" s="523"/>
      <c r="H1302" s="523"/>
      <c r="I1302" s="523"/>
      <c r="J1302" s="523"/>
      <c r="K1302" s="523"/>
      <c r="L1302" s="523"/>
      <c r="M1302" s="523"/>
      <c r="N1302" s="523"/>
      <c r="O1302" s="523"/>
      <c r="P1302" s="523"/>
      <c r="Q1302" s="523"/>
      <c r="R1302" s="523"/>
      <c r="S1302" s="523"/>
      <c r="T1302" s="523"/>
      <c r="U1302" s="523"/>
      <c r="V1302" s="526">
        <f t="shared" ref="V1302:AT1302" si="1579">V1045</f>
        <v>215.02576983500001</v>
      </c>
      <c r="W1302" s="526">
        <f t="shared" si="1579"/>
        <v>265.7</v>
      </c>
      <c r="X1302" s="526">
        <f t="shared" si="1579"/>
        <v>190</v>
      </c>
      <c r="Y1302" s="526">
        <f t="shared" si="1579"/>
        <v>171.05488197605115</v>
      </c>
      <c r="Z1302" s="526">
        <f t="shared" si="1579"/>
        <v>174.90370495494068</v>
      </c>
      <c r="AA1302" s="526">
        <f t="shared" si="1579"/>
        <v>204.80701027772713</v>
      </c>
      <c r="AB1302" s="526">
        <f t="shared" si="1579"/>
        <v>115.31005276446882</v>
      </c>
      <c r="AC1302" s="526">
        <f t="shared" si="1579"/>
        <v>127.27746986215398</v>
      </c>
      <c r="AD1302" s="526">
        <f t="shared" si="1579"/>
        <v>142.79660836906694</v>
      </c>
      <c r="AE1302" s="1874">
        <f t="shared" si="1579"/>
        <v>153.54471619267954</v>
      </c>
      <c r="AF1302" s="1874">
        <f t="shared" si="1579"/>
        <v>262.290954510125</v>
      </c>
      <c r="AG1302" s="1874">
        <f t="shared" si="1579"/>
        <v>232.6014681299319</v>
      </c>
      <c r="AH1302" s="1874">
        <f t="shared" si="1579"/>
        <v>151.2761174962597</v>
      </c>
      <c r="AI1302" s="1874">
        <f t="shared" si="1579"/>
        <v>147.91388757351183</v>
      </c>
      <c r="AJ1302" s="1874">
        <f t="shared" si="1579"/>
        <v>146.90010402463582</v>
      </c>
      <c r="AK1302" s="1874">
        <f t="shared" si="1579"/>
        <v>115.92980224925256</v>
      </c>
      <c r="AL1302" s="526">
        <f t="shared" si="1579"/>
        <v>123.85803410891204</v>
      </c>
      <c r="AM1302" s="526">
        <f t="shared" si="1579"/>
        <v>133.77352932821719</v>
      </c>
      <c r="AN1302" s="526">
        <f t="shared" si="1579"/>
        <v>135.91241208395084</v>
      </c>
      <c r="AO1302" s="526">
        <f t="shared" si="1579"/>
        <v>139.96376148386045</v>
      </c>
      <c r="AP1302" s="526">
        <f t="shared" si="1579"/>
        <v>0</v>
      </c>
      <c r="AQ1302" s="526">
        <f t="shared" si="1579"/>
        <v>0</v>
      </c>
      <c r="AR1302" s="526">
        <f t="shared" si="1579"/>
        <v>0</v>
      </c>
      <c r="AS1302" s="526">
        <f t="shared" si="1579"/>
        <v>0</v>
      </c>
      <c r="AT1302" s="526">
        <f t="shared" si="1579"/>
        <v>0</v>
      </c>
    </row>
    <row r="1303" spans="1:46" ht="15.75" customHeight="1">
      <c r="A1303" s="1"/>
      <c r="B1303" s="1"/>
      <c r="C1303" s="1"/>
      <c r="D1303" s="527" t="s">
        <v>539</v>
      </c>
      <c r="E1303" s="523"/>
      <c r="F1303" s="523"/>
      <c r="G1303" s="523"/>
      <c r="H1303" s="523"/>
      <c r="I1303" s="523"/>
      <c r="J1303" s="523"/>
      <c r="K1303" s="523"/>
      <c r="L1303" s="523"/>
      <c r="M1303" s="523"/>
      <c r="N1303" s="523"/>
      <c r="O1303" s="523"/>
      <c r="P1303" s="523"/>
      <c r="Q1303" s="523"/>
      <c r="R1303" s="523"/>
      <c r="S1303" s="523"/>
      <c r="T1303" s="523"/>
      <c r="U1303" s="523"/>
      <c r="V1303" s="526">
        <f t="shared" ref="V1303:AT1303" si="1580">V1046</f>
        <v>164</v>
      </c>
      <c r="W1303" s="526">
        <f t="shared" si="1580"/>
        <v>191.7</v>
      </c>
      <c r="X1303" s="526">
        <f t="shared" si="1580"/>
        <v>174.9</v>
      </c>
      <c r="Y1303" s="526">
        <f t="shared" si="1580"/>
        <v>303.26177524656896</v>
      </c>
      <c r="Z1303" s="526">
        <f t="shared" si="1580"/>
        <v>241.0237020403589</v>
      </c>
      <c r="AA1303" s="526">
        <f t="shared" si="1580"/>
        <v>168.90659551582223</v>
      </c>
      <c r="AB1303" s="526">
        <f t="shared" si="1580"/>
        <v>146</v>
      </c>
      <c r="AC1303" s="526">
        <f t="shared" si="1580"/>
        <v>168.71</v>
      </c>
      <c r="AD1303" s="526">
        <f t="shared" si="1580"/>
        <v>233.07553199416967</v>
      </c>
      <c r="AE1303" s="1874">
        <f t="shared" si="1580"/>
        <v>259.82784268225004</v>
      </c>
      <c r="AF1303" s="1874">
        <f t="shared" si="1580"/>
        <v>294.74832278039997</v>
      </c>
      <c r="AG1303" s="1874">
        <f t="shared" si="1580"/>
        <v>377.05346552764001</v>
      </c>
      <c r="AH1303" s="1874">
        <f t="shared" si="1580"/>
        <v>154.41461044588121</v>
      </c>
      <c r="AI1303" s="1874">
        <f t="shared" si="1580"/>
        <v>186.11630133792301</v>
      </c>
      <c r="AJ1303" s="1874">
        <f t="shared" si="1580"/>
        <v>158.53252167009344</v>
      </c>
      <c r="AK1303" s="1874">
        <f t="shared" si="1580"/>
        <v>151.57091639641069</v>
      </c>
      <c r="AL1303" s="526">
        <f t="shared" si="1580"/>
        <v>162.80091505371325</v>
      </c>
      <c r="AM1303" s="526">
        <f t="shared" si="1580"/>
        <v>173.58090406456265</v>
      </c>
      <c r="AN1303" s="526">
        <f t="shared" si="1580"/>
        <v>183.40663551048638</v>
      </c>
      <c r="AO1303" s="526">
        <f t="shared" si="1580"/>
        <v>191.42464443846552</v>
      </c>
      <c r="AP1303" s="526">
        <f t="shared" si="1580"/>
        <v>198.79077812368575</v>
      </c>
      <c r="AQ1303" s="526">
        <f t="shared" si="1580"/>
        <v>207.77032293051624</v>
      </c>
      <c r="AR1303" s="526">
        <f t="shared" si="1580"/>
        <v>222.39493303970312</v>
      </c>
      <c r="AS1303" s="526">
        <f t="shared" si="1580"/>
        <v>233.51467969168831</v>
      </c>
      <c r="AT1303" s="526">
        <f t="shared" si="1580"/>
        <v>245.19041367627273</v>
      </c>
    </row>
    <row r="1304" spans="1:46" ht="15.75" customHeight="1">
      <c r="A1304" s="1"/>
      <c r="B1304" s="1"/>
      <c r="C1304" s="1"/>
      <c r="D1304" s="1461" t="s">
        <v>3094</v>
      </c>
      <c r="E1304" s="523"/>
      <c r="F1304" s="523"/>
      <c r="G1304" s="523"/>
      <c r="H1304" s="523"/>
      <c r="I1304" s="523"/>
      <c r="J1304" s="523"/>
      <c r="K1304" s="523"/>
      <c r="L1304" s="523"/>
      <c r="M1304" s="523"/>
      <c r="N1304" s="523"/>
      <c r="O1304" s="523"/>
      <c r="P1304" s="523"/>
      <c r="Q1304" s="523"/>
      <c r="R1304" s="523"/>
      <c r="S1304" s="523"/>
      <c r="T1304" s="523"/>
      <c r="U1304" s="523"/>
      <c r="V1304" s="526">
        <f>V1305+V1306</f>
        <v>0</v>
      </c>
      <c r="W1304" s="526">
        <f t="shared" ref="W1304:AK1304" si="1581">W1305+W1306</f>
        <v>0</v>
      </c>
      <c r="X1304" s="526">
        <f t="shared" si="1581"/>
        <v>0</v>
      </c>
      <c r="Y1304" s="526">
        <f t="shared" si="1581"/>
        <v>0</v>
      </c>
      <c r="Z1304" s="526">
        <f t="shared" si="1581"/>
        <v>0</v>
      </c>
      <c r="AA1304" s="526">
        <f t="shared" si="1581"/>
        <v>0</v>
      </c>
      <c r="AB1304" s="526">
        <f t="shared" si="1581"/>
        <v>0</v>
      </c>
      <c r="AC1304" s="526">
        <f t="shared" si="1581"/>
        <v>0</v>
      </c>
      <c r="AD1304" s="526">
        <f t="shared" si="1581"/>
        <v>0</v>
      </c>
      <c r="AE1304" s="1874">
        <f t="shared" si="1581"/>
        <v>0</v>
      </c>
      <c r="AF1304" s="1874">
        <f t="shared" si="1581"/>
        <v>0</v>
      </c>
      <c r="AG1304" s="1874">
        <f t="shared" si="1581"/>
        <v>0</v>
      </c>
      <c r="AH1304" s="1874">
        <f t="shared" si="1581"/>
        <v>0</v>
      </c>
      <c r="AI1304" s="1874">
        <f t="shared" si="1581"/>
        <v>0</v>
      </c>
      <c r="AJ1304" s="1874">
        <f t="shared" si="1581"/>
        <v>0</v>
      </c>
      <c r="AK1304" s="1874">
        <f t="shared" si="1581"/>
        <v>0</v>
      </c>
      <c r="AL1304" s="526">
        <f>AL1305+AL1306</f>
        <v>0</v>
      </c>
      <c r="AM1304" s="526">
        <f>AM1305+AM1306</f>
        <v>0</v>
      </c>
      <c r="AN1304" s="526">
        <f t="shared" ref="AN1304:AO1304" si="1582">AN1305+AN1306</f>
        <v>0</v>
      </c>
      <c r="AO1304" s="526">
        <f t="shared" si="1582"/>
        <v>0</v>
      </c>
      <c r="AP1304" s="526">
        <f t="shared" ref="AP1304:AT1304" si="1583">AP1305+AP1306</f>
        <v>0</v>
      </c>
      <c r="AQ1304" s="526">
        <f t="shared" si="1583"/>
        <v>0</v>
      </c>
      <c r="AR1304" s="526">
        <f t="shared" si="1583"/>
        <v>0</v>
      </c>
      <c r="AS1304" s="526">
        <f t="shared" si="1583"/>
        <v>0</v>
      </c>
      <c r="AT1304" s="526">
        <f t="shared" si="1583"/>
        <v>0</v>
      </c>
    </row>
    <row r="1305" spans="1:46" ht="15.75" customHeight="1">
      <c r="A1305" s="1"/>
      <c r="B1305" s="1"/>
      <c r="C1305" s="1"/>
      <c r="D1305" s="527" t="s">
        <v>3173</v>
      </c>
      <c r="E1305" s="523"/>
      <c r="F1305" s="523"/>
      <c r="G1305" s="523"/>
      <c r="H1305" s="523"/>
      <c r="I1305" s="523"/>
      <c r="J1305" s="523"/>
      <c r="K1305" s="523"/>
      <c r="L1305" s="523"/>
      <c r="M1305" s="523"/>
      <c r="N1305" s="523"/>
      <c r="O1305" s="523"/>
      <c r="P1305" s="523"/>
      <c r="Q1305" s="523"/>
      <c r="R1305" s="523"/>
      <c r="S1305" s="523"/>
      <c r="T1305" s="523"/>
      <c r="U1305" s="523"/>
      <c r="V1305" s="526">
        <f t="shared" ref="V1305:AT1305" si="1584">V1049</f>
        <v>0</v>
      </c>
      <c r="W1305" s="526">
        <f t="shared" si="1584"/>
        <v>0</v>
      </c>
      <c r="X1305" s="526">
        <f t="shared" si="1584"/>
        <v>0</v>
      </c>
      <c r="Y1305" s="526">
        <f t="shared" si="1584"/>
        <v>0</v>
      </c>
      <c r="Z1305" s="526">
        <f t="shared" si="1584"/>
        <v>0</v>
      </c>
      <c r="AA1305" s="526">
        <f t="shared" si="1584"/>
        <v>0</v>
      </c>
      <c r="AB1305" s="526">
        <f t="shared" si="1584"/>
        <v>0</v>
      </c>
      <c r="AC1305" s="526">
        <f t="shared" si="1584"/>
        <v>0</v>
      </c>
      <c r="AD1305" s="526">
        <f t="shared" si="1584"/>
        <v>0</v>
      </c>
      <c r="AE1305" s="1874">
        <f t="shared" si="1584"/>
        <v>0</v>
      </c>
      <c r="AF1305" s="1874">
        <f t="shared" si="1584"/>
        <v>0</v>
      </c>
      <c r="AG1305" s="1874">
        <f t="shared" si="1584"/>
        <v>0</v>
      </c>
      <c r="AH1305" s="1874">
        <f t="shared" si="1584"/>
        <v>0</v>
      </c>
      <c r="AI1305" s="1874">
        <f t="shared" si="1584"/>
        <v>0</v>
      </c>
      <c r="AJ1305" s="1874">
        <f t="shared" si="1584"/>
        <v>0</v>
      </c>
      <c r="AK1305" s="1874">
        <f t="shared" si="1584"/>
        <v>0</v>
      </c>
      <c r="AL1305" s="526">
        <f t="shared" si="1584"/>
        <v>0</v>
      </c>
      <c r="AM1305" s="526">
        <f t="shared" si="1584"/>
        <v>0</v>
      </c>
      <c r="AN1305" s="526">
        <f t="shared" si="1584"/>
        <v>0</v>
      </c>
      <c r="AO1305" s="526">
        <f t="shared" si="1584"/>
        <v>0</v>
      </c>
      <c r="AP1305" s="526">
        <f t="shared" si="1584"/>
        <v>0</v>
      </c>
      <c r="AQ1305" s="526">
        <f t="shared" si="1584"/>
        <v>0</v>
      </c>
      <c r="AR1305" s="526">
        <f t="shared" si="1584"/>
        <v>0</v>
      </c>
      <c r="AS1305" s="526">
        <f t="shared" si="1584"/>
        <v>0</v>
      </c>
      <c r="AT1305" s="526">
        <f t="shared" si="1584"/>
        <v>0</v>
      </c>
    </row>
    <row r="1306" spans="1:46" ht="15.75" customHeight="1">
      <c r="A1306" s="1"/>
      <c r="B1306" s="1"/>
      <c r="C1306" s="1"/>
      <c r="D1306" s="527" t="s">
        <v>539</v>
      </c>
      <c r="E1306" s="523"/>
      <c r="F1306" s="523"/>
      <c r="G1306" s="523"/>
      <c r="H1306" s="523"/>
      <c r="I1306" s="523"/>
      <c r="J1306" s="523"/>
      <c r="K1306" s="523"/>
      <c r="L1306" s="523"/>
      <c r="M1306" s="523"/>
      <c r="N1306" s="523"/>
      <c r="O1306" s="523"/>
      <c r="P1306" s="523"/>
      <c r="Q1306" s="523"/>
      <c r="R1306" s="523"/>
      <c r="S1306" s="523"/>
      <c r="T1306" s="523"/>
      <c r="U1306" s="523"/>
      <c r="V1306" s="526">
        <f t="shared" ref="V1306:AT1306" si="1585">V1050</f>
        <v>0</v>
      </c>
      <c r="W1306" s="526">
        <f t="shared" si="1585"/>
        <v>0</v>
      </c>
      <c r="X1306" s="526">
        <f t="shared" si="1585"/>
        <v>0</v>
      </c>
      <c r="Y1306" s="526">
        <f t="shared" si="1585"/>
        <v>0</v>
      </c>
      <c r="Z1306" s="526">
        <f t="shared" si="1585"/>
        <v>0</v>
      </c>
      <c r="AA1306" s="526">
        <f t="shared" si="1585"/>
        <v>0</v>
      </c>
      <c r="AB1306" s="526">
        <f t="shared" si="1585"/>
        <v>0</v>
      </c>
      <c r="AC1306" s="526">
        <f t="shared" si="1585"/>
        <v>0</v>
      </c>
      <c r="AD1306" s="526">
        <f t="shared" si="1585"/>
        <v>0</v>
      </c>
      <c r="AE1306" s="1874">
        <f t="shared" si="1585"/>
        <v>0</v>
      </c>
      <c r="AF1306" s="1874">
        <f t="shared" si="1585"/>
        <v>0</v>
      </c>
      <c r="AG1306" s="1874">
        <f t="shared" si="1585"/>
        <v>0</v>
      </c>
      <c r="AH1306" s="1874">
        <f t="shared" si="1585"/>
        <v>0</v>
      </c>
      <c r="AI1306" s="1874">
        <f t="shared" si="1585"/>
        <v>0</v>
      </c>
      <c r="AJ1306" s="1874">
        <f t="shared" si="1585"/>
        <v>0</v>
      </c>
      <c r="AK1306" s="1874">
        <f t="shared" si="1585"/>
        <v>0</v>
      </c>
      <c r="AL1306" s="526">
        <f t="shared" si="1585"/>
        <v>0</v>
      </c>
      <c r="AM1306" s="526">
        <f t="shared" si="1585"/>
        <v>0</v>
      </c>
      <c r="AN1306" s="526">
        <f t="shared" si="1585"/>
        <v>0</v>
      </c>
      <c r="AO1306" s="526">
        <f t="shared" si="1585"/>
        <v>0</v>
      </c>
      <c r="AP1306" s="526">
        <f t="shared" si="1585"/>
        <v>0</v>
      </c>
      <c r="AQ1306" s="526">
        <f t="shared" si="1585"/>
        <v>0</v>
      </c>
      <c r="AR1306" s="526">
        <f t="shared" si="1585"/>
        <v>0</v>
      </c>
      <c r="AS1306" s="526">
        <f t="shared" si="1585"/>
        <v>0</v>
      </c>
      <c r="AT1306" s="526">
        <f t="shared" si="1585"/>
        <v>0</v>
      </c>
    </row>
    <row r="1307" spans="1:46" ht="15.75" customHeight="1">
      <c r="A1307" s="1"/>
      <c r="B1307" s="1"/>
      <c r="C1307" s="1"/>
      <c r="D1307" s="1461" t="s">
        <v>3187</v>
      </c>
      <c r="E1307" s="523"/>
      <c r="F1307" s="523"/>
      <c r="G1307" s="523"/>
      <c r="H1307" s="523"/>
      <c r="I1307" s="523"/>
      <c r="J1307" s="523"/>
      <c r="K1307" s="523"/>
      <c r="L1307" s="523"/>
      <c r="M1307" s="523"/>
      <c r="N1307" s="523"/>
      <c r="O1307" s="523"/>
      <c r="P1307" s="523"/>
      <c r="Q1307" s="523"/>
      <c r="R1307" s="523"/>
      <c r="S1307" s="523"/>
      <c r="T1307" s="523"/>
      <c r="U1307" s="523"/>
      <c r="V1307" s="526"/>
      <c r="W1307" s="526"/>
      <c r="X1307" s="526"/>
      <c r="Y1307" s="526"/>
      <c r="Z1307" s="526"/>
      <c r="AA1307" s="526"/>
      <c r="AB1307" s="526">
        <f t="shared" ref="AB1307:AT1307" si="1586">AB1051</f>
        <v>0</v>
      </c>
      <c r="AC1307" s="526">
        <f t="shared" si="1586"/>
        <v>0</v>
      </c>
      <c r="AD1307" s="526">
        <f t="shared" si="1586"/>
        <v>0</v>
      </c>
      <c r="AE1307" s="1874">
        <f t="shared" si="1586"/>
        <v>0</v>
      </c>
      <c r="AF1307" s="1874">
        <f t="shared" si="1586"/>
        <v>0</v>
      </c>
      <c r="AG1307" s="1874">
        <f t="shared" si="1586"/>
        <v>0</v>
      </c>
      <c r="AH1307" s="1874">
        <f t="shared" si="1586"/>
        <v>0</v>
      </c>
      <c r="AI1307" s="1874">
        <f t="shared" si="1586"/>
        <v>0</v>
      </c>
      <c r="AJ1307" s="1874">
        <f t="shared" si="1586"/>
        <v>0</v>
      </c>
      <c r="AK1307" s="1874">
        <f t="shared" si="1586"/>
        <v>0</v>
      </c>
      <c r="AL1307" s="526">
        <f t="shared" si="1586"/>
        <v>64.307407503840665</v>
      </c>
      <c r="AM1307" s="526">
        <f t="shared" si="1586"/>
        <v>102.84835864296606</v>
      </c>
      <c r="AN1307" s="526">
        <f t="shared" si="1586"/>
        <v>126.78189909671127</v>
      </c>
      <c r="AO1307" s="526">
        <f t="shared" si="1586"/>
        <v>170.13142019055397</v>
      </c>
      <c r="AP1307" s="526">
        <f t="shared" si="1586"/>
        <v>157.04726932999947</v>
      </c>
      <c r="AQ1307" s="526">
        <f t="shared" si="1586"/>
        <v>174.4000516914424</v>
      </c>
      <c r="AR1307" s="526">
        <f t="shared" si="1586"/>
        <v>181.18531926510295</v>
      </c>
      <c r="AS1307" s="526">
        <f t="shared" si="1586"/>
        <v>193.1270789439393</v>
      </c>
      <c r="AT1307" s="526">
        <f t="shared" si="1586"/>
        <v>201.27012369045616</v>
      </c>
    </row>
    <row r="1308" spans="1:46">
      <c r="A1308" s="1"/>
      <c r="B1308" s="1"/>
      <c r="C1308" s="1"/>
      <c r="D1308" s="525" t="str">
        <f>+FISCinyear!D981</f>
        <v xml:space="preserve">Other revenue </v>
      </c>
      <c r="E1308" s="523"/>
      <c r="F1308" s="523"/>
      <c r="G1308" s="523"/>
      <c r="H1308" s="523"/>
      <c r="I1308" s="523"/>
      <c r="J1308" s="523"/>
      <c r="K1308" s="523"/>
      <c r="L1308" s="523"/>
      <c r="M1308" s="523"/>
      <c r="N1308" s="523"/>
      <c r="O1308" s="523"/>
      <c r="P1308" s="523"/>
      <c r="Q1308" s="523"/>
      <c r="R1308" s="523"/>
      <c r="S1308" s="523"/>
      <c r="T1308" s="523"/>
      <c r="U1308" s="523"/>
      <c r="V1308" s="526">
        <f>V1309+V1310+V1311+V1312+V1313</f>
        <v>0</v>
      </c>
      <c r="W1308" s="526">
        <f t="shared" ref="W1308:AK1308" si="1587">W1309+W1310+W1311+W1312+W1313</f>
        <v>0</v>
      </c>
      <c r="X1308" s="526">
        <f t="shared" si="1587"/>
        <v>0</v>
      </c>
      <c r="Y1308" s="526">
        <f t="shared" si="1587"/>
        <v>136.4800568374724</v>
      </c>
      <c r="Z1308" s="526">
        <f t="shared" si="1587"/>
        <v>172.54151324019469</v>
      </c>
      <c r="AA1308" s="526">
        <f t="shared" si="1587"/>
        <v>167.59624826644659</v>
      </c>
      <c r="AB1308" s="526">
        <f t="shared" si="1587"/>
        <v>233.15928932922185</v>
      </c>
      <c r="AC1308" s="526">
        <f t="shared" si="1587"/>
        <v>262.53031346180853</v>
      </c>
      <c r="AD1308" s="526">
        <f t="shared" si="1587"/>
        <v>267.75505516264838</v>
      </c>
      <c r="AE1308" s="1874">
        <f t="shared" si="1587"/>
        <v>289.92302903184969</v>
      </c>
      <c r="AF1308" s="1874">
        <f t="shared" si="1587"/>
        <v>385.41374679017059</v>
      </c>
      <c r="AG1308" s="1874">
        <f t="shared" si="1587"/>
        <v>401.22505476096023</v>
      </c>
      <c r="AH1308" s="1874">
        <f t="shared" si="1587"/>
        <v>400.88814089864599</v>
      </c>
      <c r="AI1308" s="1874">
        <f t="shared" si="1587"/>
        <v>460.01542773408437</v>
      </c>
      <c r="AJ1308" s="1874">
        <f t="shared" si="1587"/>
        <v>552.94775332082679</v>
      </c>
      <c r="AK1308" s="1874">
        <f t="shared" si="1587"/>
        <v>544.42870254659238</v>
      </c>
      <c r="AL1308" s="526">
        <f>AL1309+AL1310+AL1311+AL1312+AL1313</f>
        <v>607.91647238731673</v>
      </c>
      <c r="AM1308" s="526">
        <f>AM1309+AM1310+AM1311+AM1312+AM1313</f>
        <v>692.74748077828906</v>
      </c>
      <c r="AN1308" s="526">
        <f t="shared" ref="AN1308:AO1308" si="1588">AN1309+AN1310+AN1311+AN1312+AN1313</f>
        <v>771.01604628275186</v>
      </c>
      <c r="AO1308" s="526">
        <f t="shared" si="1588"/>
        <v>889.88980202151072</v>
      </c>
      <c r="AP1308" s="526">
        <f t="shared" ref="AP1308:AT1308" si="1589">AP1309+AP1310+AP1311+AP1312+AP1313</f>
        <v>965.16075769453914</v>
      </c>
      <c r="AQ1308" s="526">
        <f t="shared" si="1589"/>
        <v>1006.2997903077018</v>
      </c>
      <c r="AR1308" s="526">
        <f t="shared" si="1589"/>
        <v>1205.5177240888788</v>
      </c>
      <c r="AS1308" s="526">
        <f t="shared" si="1589"/>
        <v>-359.813223540509</v>
      </c>
      <c r="AT1308" s="526">
        <f t="shared" si="1589"/>
        <v>-1807.1897417605844</v>
      </c>
    </row>
    <row r="1309" spans="1:46">
      <c r="A1309" s="1"/>
      <c r="B1309" s="1"/>
      <c r="C1309" s="1"/>
      <c r="D1309" s="527" t="s">
        <v>3095</v>
      </c>
      <c r="E1309" s="523"/>
      <c r="F1309" s="523"/>
      <c r="G1309" s="523"/>
      <c r="H1309" s="523"/>
      <c r="I1309" s="523"/>
      <c r="J1309" s="523"/>
      <c r="K1309" s="523"/>
      <c r="L1309" s="523"/>
      <c r="M1309" s="523"/>
      <c r="N1309" s="523"/>
      <c r="O1309" s="523"/>
      <c r="P1309" s="523"/>
      <c r="Q1309" s="523"/>
      <c r="R1309" s="523"/>
      <c r="S1309" s="523"/>
      <c r="T1309" s="523"/>
      <c r="U1309" s="523"/>
      <c r="V1309" s="526">
        <f t="shared" ref="V1309:AT1309" si="1590">V1053</f>
        <v>0</v>
      </c>
      <c r="W1309" s="526">
        <f t="shared" si="1590"/>
        <v>0</v>
      </c>
      <c r="X1309" s="526">
        <f t="shared" si="1590"/>
        <v>0</v>
      </c>
      <c r="Y1309" s="526">
        <f t="shared" si="1590"/>
        <v>6.7644080859999995</v>
      </c>
      <c r="Z1309" s="526">
        <f t="shared" si="1590"/>
        <v>9.7019287829999996</v>
      </c>
      <c r="AA1309" s="526">
        <f t="shared" si="1590"/>
        <v>4.9000000000000004</v>
      </c>
      <c r="AB1309" s="526">
        <f t="shared" si="1590"/>
        <v>7.5717338740370295</v>
      </c>
      <c r="AC1309" s="526">
        <f t="shared" si="1590"/>
        <v>9.6429404242133145</v>
      </c>
      <c r="AD1309" s="526">
        <f t="shared" si="1590"/>
        <v>4.7370362420000003</v>
      </c>
      <c r="AE1309" s="1874">
        <f t="shared" si="1590"/>
        <v>20.327638891539998</v>
      </c>
      <c r="AF1309" s="1874">
        <f t="shared" si="1590"/>
        <v>19.584410687289058</v>
      </c>
      <c r="AG1309" s="1874">
        <f t="shared" si="1590"/>
        <v>13.349443622742999</v>
      </c>
      <c r="AH1309" s="1874">
        <f t="shared" si="1590"/>
        <v>14.630219605303161</v>
      </c>
      <c r="AI1309" s="1874">
        <f t="shared" si="1590"/>
        <v>24.476467754939073</v>
      </c>
      <c r="AJ1309" s="1874">
        <f t="shared" si="1590"/>
        <v>24.536088380129197</v>
      </c>
      <c r="AK1309" s="1874">
        <f t="shared" si="1590"/>
        <v>26.396938397542488</v>
      </c>
      <c r="AL1309" s="526">
        <f t="shared" si="1590"/>
        <v>29.476193147379913</v>
      </c>
      <c r="AM1309" s="526">
        <f t="shared" si="1590"/>
        <v>31.974271472554101</v>
      </c>
      <c r="AN1309" s="526">
        <f t="shared" si="1590"/>
        <v>36.130926763986118</v>
      </c>
      <c r="AO1309" s="526">
        <f t="shared" si="1590"/>
        <v>40.827947243304322</v>
      </c>
      <c r="AP1309" s="526">
        <f t="shared" si="1590"/>
        <v>42.436926531912142</v>
      </c>
      <c r="AQ1309" s="526">
        <f t="shared" si="1590"/>
        <v>42.740281259913246</v>
      </c>
      <c r="AR1309" s="526">
        <f t="shared" si="1590"/>
        <v>54.706489477789908</v>
      </c>
      <c r="AS1309" s="526">
        <f t="shared" si="1590"/>
        <v>-50.106748581537573</v>
      </c>
      <c r="AT1309" s="526">
        <f t="shared" si="1590"/>
        <v>-136.12429356555933</v>
      </c>
    </row>
    <row r="1310" spans="1:46">
      <c r="A1310" s="1"/>
      <c r="B1310" s="1"/>
      <c r="C1310" s="1"/>
      <c r="D1310" s="527" t="s">
        <v>3096</v>
      </c>
      <c r="E1310" s="523"/>
      <c r="F1310" s="523"/>
      <c r="G1310" s="523"/>
      <c r="H1310" s="523"/>
      <c r="I1310" s="523"/>
      <c r="J1310" s="523"/>
      <c r="K1310" s="523"/>
      <c r="L1310" s="523"/>
      <c r="M1310" s="523"/>
      <c r="N1310" s="523"/>
      <c r="O1310" s="523"/>
      <c r="P1310" s="523"/>
      <c r="Q1310" s="523"/>
      <c r="R1310" s="523"/>
      <c r="S1310" s="523"/>
      <c r="T1310" s="523"/>
      <c r="U1310" s="523"/>
      <c r="V1310" s="526">
        <f t="shared" ref="V1310:AT1310" si="1591">V1059</f>
        <v>0</v>
      </c>
      <c r="W1310" s="526">
        <f t="shared" si="1591"/>
        <v>0</v>
      </c>
      <c r="X1310" s="526">
        <f t="shared" si="1591"/>
        <v>0</v>
      </c>
      <c r="Y1310" s="526">
        <f t="shared" si="1591"/>
        <v>101.6455802076724</v>
      </c>
      <c r="Z1310" s="526">
        <f t="shared" si="1591"/>
        <v>128.23033017019469</v>
      </c>
      <c r="AA1310" s="526">
        <f t="shared" si="1591"/>
        <v>157.06824826644657</v>
      </c>
      <c r="AB1310" s="526">
        <f t="shared" si="1591"/>
        <v>190.4939429820059</v>
      </c>
      <c r="AC1310" s="526">
        <f t="shared" si="1591"/>
        <v>217.79376056441629</v>
      </c>
      <c r="AD1310" s="526">
        <f t="shared" si="1591"/>
        <v>254.60815363064833</v>
      </c>
      <c r="AE1310" s="1874">
        <f t="shared" si="1591"/>
        <v>239.49112674760897</v>
      </c>
      <c r="AF1310" s="1874">
        <f t="shared" si="1591"/>
        <v>301.35411425052644</v>
      </c>
      <c r="AG1310" s="1874">
        <f t="shared" si="1591"/>
        <v>328.663104256206</v>
      </c>
      <c r="AH1310" s="1874">
        <f t="shared" si="1591"/>
        <v>321.33059108164434</v>
      </c>
      <c r="AI1310" s="1874">
        <f t="shared" si="1591"/>
        <v>395.34517266296109</v>
      </c>
      <c r="AJ1310" s="1874">
        <f t="shared" si="1591"/>
        <v>439.51913110398027</v>
      </c>
      <c r="AK1310" s="1874">
        <f t="shared" si="1591"/>
        <v>476.24084250109007</v>
      </c>
      <c r="AL1310" s="526">
        <f t="shared" si="1591"/>
        <v>531.80579863579715</v>
      </c>
      <c r="AM1310" s="526">
        <f t="shared" si="1591"/>
        <v>608.46675772478352</v>
      </c>
      <c r="AN1310" s="526">
        <f t="shared" si="1591"/>
        <v>679.44907603987951</v>
      </c>
      <c r="AO1310" s="526">
        <f t="shared" si="1591"/>
        <v>790.49621940138536</v>
      </c>
      <c r="AP1310" s="526">
        <f t="shared" si="1591"/>
        <v>867.93755949745912</v>
      </c>
      <c r="AQ1310" s="526">
        <f t="shared" si="1591"/>
        <v>913.89939540710338</v>
      </c>
      <c r="AR1310" s="526">
        <f t="shared" si="1591"/>
        <v>1093.6039031701455</v>
      </c>
      <c r="AS1310" s="526">
        <f t="shared" si="1591"/>
        <v>-262.54888797422802</v>
      </c>
      <c r="AT1310" s="526">
        <f t="shared" si="1591"/>
        <v>-1555.7643349388381</v>
      </c>
    </row>
    <row r="1311" spans="1:46">
      <c r="A1311" s="1"/>
      <c r="B1311" s="1"/>
      <c r="C1311" s="1"/>
      <c r="D1311" s="527" t="s">
        <v>3097</v>
      </c>
      <c r="E1311" s="523"/>
      <c r="F1311" s="523"/>
      <c r="G1311" s="523"/>
      <c r="H1311" s="523"/>
      <c r="I1311" s="523"/>
      <c r="J1311" s="523"/>
      <c r="K1311" s="523"/>
      <c r="L1311" s="523"/>
      <c r="M1311" s="523"/>
      <c r="N1311" s="523"/>
      <c r="O1311" s="523"/>
      <c r="P1311" s="523"/>
      <c r="Q1311" s="523"/>
      <c r="R1311" s="523"/>
      <c r="S1311" s="523"/>
      <c r="T1311" s="523"/>
      <c r="U1311" s="523"/>
      <c r="V1311" s="526">
        <f t="shared" ref="V1311:AT1311" si="1592">V1069</f>
        <v>0</v>
      </c>
      <c r="W1311" s="526">
        <f t="shared" si="1592"/>
        <v>0</v>
      </c>
      <c r="X1311" s="526">
        <f t="shared" si="1592"/>
        <v>0</v>
      </c>
      <c r="Y1311" s="526">
        <f t="shared" si="1592"/>
        <v>23.849760413799999</v>
      </c>
      <c r="Z1311" s="526">
        <f t="shared" si="1592"/>
        <v>29.543254287000003</v>
      </c>
      <c r="AA1311" s="526">
        <f t="shared" si="1592"/>
        <v>0</v>
      </c>
      <c r="AB1311" s="526">
        <f t="shared" si="1592"/>
        <v>35.093612473178922</v>
      </c>
      <c r="AC1311" s="526">
        <f t="shared" si="1592"/>
        <v>35.093612473178922</v>
      </c>
      <c r="AD1311" s="526">
        <f t="shared" si="1592"/>
        <v>8.4098652900000008</v>
      </c>
      <c r="AE1311" s="1874">
        <f t="shared" si="1592"/>
        <v>19.975779267939984</v>
      </c>
      <c r="AF1311" s="1874">
        <f t="shared" si="1592"/>
        <v>29.170397677880317</v>
      </c>
      <c r="AG1311" s="1874">
        <f t="shared" si="1592"/>
        <v>36.726644461011233</v>
      </c>
      <c r="AH1311" s="1874">
        <f t="shared" si="1592"/>
        <v>64.927330211698447</v>
      </c>
      <c r="AI1311" s="1874">
        <f t="shared" si="1592"/>
        <v>40.193787316184228</v>
      </c>
      <c r="AJ1311" s="1874">
        <f t="shared" si="1592"/>
        <v>36.821955189717301</v>
      </c>
      <c r="AK1311" s="1874">
        <f t="shared" si="1592"/>
        <v>41.790921647959763</v>
      </c>
      <c r="AL1311" s="526">
        <f t="shared" si="1592"/>
        <v>46.634480604139689</v>
      </c>
      <c r="AM1311" s="526">
        <f t="shared" si="1592"/>
        <v>52.306451580951503</v>
      </c>
      <c r="AN1311" s="526">
        <f t="shared" si="1592"/>
        <v>55.436043478886219</v>
      </c>
      <c r="AO1311" s="526">
        <f t="shared" si="1592"/>
        <v>58.565635376820964</v>
      </c>
      <c r="AP1311" s="526">
        <f t="shared" si="1592"/>
        <v>54.786271665167931</v>
      </c>
      <c r="AQ1311" s="526">
        <f t="shared" si="1592"/>
        <v>49.660113640685132</v>
      </c>
      <c r="AR1311" s="526">
        <f t="shared" si="1592"/>
        <v>57.20733144094325</v>
      </c>
      <c r="AS1311" s="526">
        <f t="shared" si="1592"/>
        <v>-47.157586984743432</v>
      </c>
      <c r="AT1311" s="526">
        <f t="shared" si="1592"/>
        <v>-115.30111325618699</v>
      </c>
    </row>
    <row r="1312" spans="1:46">
      <c r="A1312" s="1"/>
      <c r="B1312" s="1"/>
      <c r="C1312" s="1"/>
      <c r="D1312" s="527" t="s">
        <v>3098</v>
      </c>
      <c r="E1312" s="523"/>
      <c r="F1312" s="523"/>
      <c r="G1312" s="523"/>
      <c r="H1312" s="523"/>
      <c r="I1312" s="523"/>
      <c r="J1312" s="523"/>
      <c r="K1312" s="523"/>
      <c r="L1312" s="523"/>
      <c r="M1312" s="523"/>
      <c r="N1312" s="523"/>
      <c r="O1312" s="523"/>
      <c r="P1312" s="523"/>
      <c r="Q1312" s="523"/>
      <c r="R1312" s="523"/>
      <c r="S1312" s="523"/>
      <c r="T1312" s="523"/>
      <c r="U1312" s="523"/>
      <c r="V1312" s="526">
        <f t="shared" ref="V1312:AT1312" si="1593">V1071</f>
        <v>0</v>
      </c>
      <c r="W1312" s="526">
        <f t="shared" si="1593"/>
        <v>0</v>
      </c>
      <c r="X1312" s="526">
        <f t="shared" si="1593"/>
        <v>0</v>
      </c>
      <c r="Y1312" s="526">
        <f t="shared" si="1593"/>
        <v>0</v>
      </c>
      <c r="Z1312" s="526">
        <f t="shared" si="1593"/>
        <v>0</v>
      </c>
      <c r="AA1312" s="526">
        <f t="shared" si="1593"/>
        <v>0</v>
      </c>
      <c r="AB1312" s="526">
        <f t="shared" si="1593"/>
        <v>0</v>
      </c>
      <c r="AC1312" s="526">
        <f t="shared" si="1593"/>
        <v>0</v>
      </c>
      <c r="AD1312" s="526">
        <f t="shared" si="1593"/>
        <v>0</v>
      </c>
      <c r="AE1312" s="1874">
        <f t="shared" si="1593"/>
        <v>10.128484124760766</v>
      </c>
      <c r="AF1312" s="1874">
        <f t="shared" si="1593"/>
        <v>35.304824174474774</v>
      </c>
      <c r="AG1312" s="1874">
        <f t="shared" si="1593"/>
        <v>22.485862421</v>
      </c>
      <c r="AH1312" s="1874">
        <f t="shared" si="1593"/>
        <v>0</v>
      </c>
      <c r="AI1312" s="1874">
        <f t="shared" si="1593"/>
        <v>0</v>
      </c>
      <c r="AJ1312" s="1874">
        <f t="shared" si="1593"/>
        <v>52.070578646999998</v>
      </c>
      <c r="AK1312" s="1874">
        <f t="shared" si="1593"/>
        <v>0</v>
      </c>
      <c r="AL1312" s="526">
        <f t="shared" si="1593"/>
        <v>0</v>
      </c>
      <c r="AM1312" s="526">
        <f t="shared" si="1593"/>
        <v>0</v>
      </c>
      <c r="AN1312" s="526">
        <f t="shared" si="1593"/>
        <v>0</v>
      </c>
      <c r="AO1312" s="526">
        <f t="shared" si="1593"/>
        <v>0</v>
      </c>
      <c r="AP1312" s="526">
        <f t="shared" si="1593"/>
        <v>0</v>
      </c>
      <c r="AQ1312" s="526">
        <f t="shared" si="1593"/>
        <v>0</v>
      </c>
      <c r="AR1312" s="526">
        <f t="shared" si="1593"/>
        <v>0</v>
      </c>
      <c r="AS1312" s="526">
        <f t="shared" si="1593"/>
        <v>0</v>
      </c>
      <c r="AT1312" s="526">
        <f t="shared" si="1593"/>
        <v>0</v>
      </c>
    </row>
    <row r="1313" spans="1:46">
      <c r="A1313" s="1"/>
      <c r="B1313" s="1"/>
      <c r="C1313" s="1"/>
      <c r="D1313" s="527" t="s">
        <v>556</v>
      </c>
      <c r="E1313" s="523"/>
      <c r="F1313" s="523"/>
      <c r="G1313" s="523"/>
      <c r="H1313" s="523"/>
      <c r="I1313" s="523"/>
      <c r="J1313" s="523"/>
      <c r="K1313" s="523"/>
      <c r="L1313" s="523"/>
      <c r="M1313" s="523"/>
      <c r="N1313" s="523"/>
      <c r="O1313" s="523"/>
      <c r="P1313" s="523"/>
      <c r="Q1313" s="523"/>
      <c r="R1313" s="523"/>
      <c r="S1313" s="523"/>
      <c r="T1313" s="523"/>
      <c r="U1313" s="523"/>
      <c r="V1313" s="526">
        <f t="shared" ref="V1313:AT1313" si="1594">V1075</f>
        <v>0</v>
      </c>
      <c r="W1313" s="526">
        <f t="shared" si="1594"/>
        <v>0</v>
      </c>
      <c r="X1313" s="526">
        <f t="shared" si="1594"/>
        <v>0</v>
      </c>
      <c r="Y1313" s="526">
        <f t="shared" si="1594"/>
        <v>4.2203081299999994</v>
      </c>
      <c r="Z1313" s="526">
        <f t="shared" si="1594"/>
        <v>5.0660000000000007</v>
      </c>
      <c r="AA1313" s="526">
        <f t="shared" si="1594"/>
        <v>5.6280000000000001</v>
      </c>
      <c r="AB1313" s="526">
        <f t="shared" si="1594"/>
        <v>0</v>
      </c>
      <c r="AC1313" s="526">
        <f t="shared" si="1594"/>
        <v>0</v>
      </c>
      <c r="AD1313" s="526">
        <f t="shared" si="1594"/>
        <v>0</v>
      </c>
      <c r="AE1313" s="1874">
        <f t="shared" si="1594"/>
        <v>0</v>
      </c>
      <c r="AF1313" s="1874">
        <f t="shared" si="1594"/>
        <v>0</v>
      </c>
      <c r="AG1313" s="1874">
        <f t="shared" si="1594"/>
        <v>0</v>
      </c>
      <c r="AH1313" s="1874">
        <f t="shared" si="1594"/>
        <v>0</v>
      </c>
      <c r="AI1313" s="1874">
        <f t="shared" si="1594"/>
        <v>0</v>
      </c>
      <c r="AJ1313" s="1874">
        <f t="shared" si="1594"/>
        <v>0</v>
      </c>
      <c r="AK1313" s="1874">
        <f t="shared" si="1594"/>
        <v>0</v>
      </c>
      <c r="AL1313" s="526">
        <f t="shared" si="1594"/>
        <v>0</v>
      </c>
      <c r="AM1313" s="526">
        <f t="shared" si="1594"/>
        <v>0</v>
      </c>
      <c r="AN1313" s="526">
        <f t="shared" si="1594"/>
        <v>0</v>
      </c>
      <c r="AO1313" s="526">
        <f t="shared" si="1594"/>
        <v>0</v>
      </c>
      <c r="AP1313" s="526">
        <f t="shared" si="1594"/>
        <v>0</v>
      </c>
      <c r="AQ1313" s="526">
        <f t="shared" si="1594"/>
        <v>0</v>
      </c>
      <c r="AR1313" s="526">
        <f t="shared" si="1594"/>
        <v>0</v>
      </c>
      <c r="AS1313" s="526">
        <f t="shared" si="1594"/>
        <v>0</v>
      </c>
      <c r="AT1313" s="526">
        <f t="shared" si="1594"/>
        <v>0</v>
      </c>
    </row>
    <row r="1314" spans="1:46">
      <c r="A1314" s="1"/>
      <c r="B1314" s="1"/>
      <c r="C1314" s="1"/>
      <c r="D1314" s="522" t="str">
        <f>+FISCinyear!D982</f>
        <v xml:space="preserve">EXPENSE </v>
      </c>
      <c r="E1314" s="523"/>
      <c r="F1314" s="523"/>
      <c r="G1314" s="523"/>
      <c r="H1314" s="523"/>
      <c r="I1314" s="523"/>
      <c r="J1314" s="523"/>
      <c r="K1314" s="523"/>
      <c r="L1314" s="523"/>
      <c r="M1314" s="523"/>
      <c r="N1314" s="523"/>
      <c r="O1314" s="523"/>
      <c r="P1314" s="523"/>
      <c r="Q1314" s="523"/>
      <c r="R1314" s="523"/>
      <c r="S1314" s="523"/>
      <c r="T1314" s="523"/>
      <c r="U1314" s="523"/>
      <c r="V1314" s="528">
        <f t="shared" ref="V1314:AL1314" si="1595">V1315+V1317+V1320+V1321+V1322+V1324+V1325+V1326</f>
        <v>511.39571000000001</v>
      </c>
      <c r="W1314" s="528">
        <f t="shared" si="1595"/>
        <v>614.1</v>
      </c>
      <c r="X1314" s="528">
        <f t="shared" si="1595"/>
        <v>660.90000000000009</v>
      </c>
      <c r="Y1314" s="528">
        <f t="shared" si="1595"/>
        <v>903.06533710626263</v>
      </c>
      <c r="Z1314" s="528">
        <f t="shared" si="1595"/>
        <v>987.20422279108379</v>
      </c>
      <c r="AA1314" s="528">
        <f t="shared" si="1595"/>
        <v>1146.9565422527439</v>
      </c>
      <c r="AB1314" s="528">
        <f t="shared" si="1595"/>
        <v>1323.4574341216144</v>
      </c>
      <c r="AC1314" s="528">
        <f t="shared" si="1595"/>
        <v>1436.9221960448906</v>
      </c>
      <c r="AD1314" s="528">
        <f t="shared" si="1595"/>
        <v>1666.8635925906067</v>
      </c>
      <c r="AE1314" s="1873">
        <f t="shared" si="1595"/>
        <v>1901.1315501950596</v>
      </c>
      <c r="AF1314" s="1873">
        <f t="shared" si="1595"/>
        <v>2089.3574379793054</v>
      </c>
      <c r="AG1314" s="1873">
        <f t="shared" si="1595"/>
        <v>2467.9009633912874</v>
      </c>
      <c r="AH1314" s="1873">
        <f t="shared" si="1595"/>
        <v>2856.6946330541014</v>
      </c>
      <c r="AI1314" s="1873">
        <f t="shared" si="1595"/>
        <v>3172.9419577729877</v>
      </c>
      <c r="AJ1314" s="1873">
        <f t="shared" si="1595"/>
        <v>3549.5443813801176</v>
      </c>
      <c r="AK1314" s="1873">
        <f t="shared" si="1595"/>
        <v>4039.902522731179</v>
      </c>
      <c r="AL1314" s="528">
        <f t="shared" si="1595"/>
        <v>4361.4327087884567</v>
      </c>
      <c r="AM1314" s="528">
        <f>AM1315+AM1317+AM1320+AM1321+AM1322+AM1324+AM1325+AM1326</f>
        <v>4968.1485965831152</v>
      </c>
      <c r="AN1314" s="528">
        <f t="shared" ref="AN1314:AO1314" si="1596">AN1315+AN1317+AN1320+AN1321+AN1322+AN1324+AN1325+AN1326</f>
        <v>5509.2379377663965</v>
      </c>
      <c r="AO1314" s="528">
        <f t="shared" si="1596"/>
        <v>6280.1047110884228</v>
      </c>
      <c r="AP1314" s="528">
        <f t="shared" ref="AP1314:AT1314" si="1597">AP1315+AP1317+AP1320+AP1321+AP1322+AP1324+AP1325+AP1326</f>
        <v>6713.5750578588313</v>
      </c>
      <c r="AQ1314" s="528">
        <f t="shared" si="1597"/>
        <v>7081.4724231103564</v>
      </c>
      <c r="AR1314" s="528">
        <f t="shared" si="1597"/>
        <v>7975.8281137256936</v>
      </c>
      <c r="AS1314" s="528">
        <f t="shared" si="1597"/>
        <v>4358.7627355285558</v>
      </c>
      <c r="AT1314" s="528">
        <f t="shared" si="1597"/>
        <v>4558.7497992580666</v>
      </c>
    </row>
    <row r="1315" spans="1:46" ht="16" thickBot="1">
      <c r="A1315" s="1"/>
      <c r="B1315" s="1"/>
      <c r="C1315" s="1"/>
      <c r="D1315" s="531" t="s">
        <v>559</v>
      </c>
      <c r="E1315" s="523"/>
      <c r="F1315" s="523"/>
      <c r="G1315" s="523"/>
      <c r="H1315" s="523"/>
      <c r="I1315" s="523"/>
      <c r="J1315" s="523"/>
      <c r="K1315" s="523"/>
      <c r="L1315" s="523"/>
      <c r="M1315" s="523"/>
      <c r="N1315" s="523"/>
      <c r="O1315" s="523"/>
      <c r="P1315" s="523"/>
      <c r="Q1315" s="523"/>
      <c r="R1315" s="523"/>
      <c r="S1315" s="523"/>
      <c r="T1315" s="523"/>
      <c r="U1315" s="523"/>
      <c r="V1315" s="528">
        <f t="shared" ref="V1315:AT1315" si="1598">V1077</f>
        <v>180.32915428176796</v>
      </c>
      <c r="W1315" s="528">
        <f t="shared" si="1598"/>
        <v>214</v>
      </c>
      <c r="X1315" s="528">
        <f t="shared" si="1598"/>
        <v>258.5</v>
      </c>
      <c r="Y1315" s="528">
        <f t="shared" si="1598"/>
        <v>177.309138545</v>
      </c>
      <c r="Z1315" s="528">
        <f t="shared" si="1598"/>
        <v>187.50813387599999</v>
      </c>
      <c r="AA1315" s="528">
        <f t="shared" si="1598"/>
        <v>214.76086487499998</v>
      </c>
      <c r="AB1315" s="528">
        <f t="shared" si="1598"/>
        <v>236.99999213499999</v>
      </c>
      <c r="AC1315" s="528">
        <f t="shared" si="1598"/>
        <v>251.71972672700002</v>
      </c>
      <c r="AD1315" s="528">
        <f t="shared" si="1598"/>
        <v>241.88892202</v>
      </c>
      <c r="AE1315" s="1873">
        <f t="shared" si="1598"/>
        <v>266.32706490700002</v>
      </c>
      <c r="AF1315" s="1873">
        <f t="shared" si="1598"/>
        <v>302.26335928600002</v>
      </c>
      <c r="AG1315" s="1873">
        <f t="shared" si="1598"/>
        <v>317.73342893999995</v>
      </c>
      <c r="AH1315" s="1873">
        <f t="shared" si="1598"/>
        <v>367.71383238600004</v>
      </c>
      <c r="AI1315" s="1873">
        <f t="shared" si="1598"/>
        <v>467.40752950900003</v>
      </c>
      <c r="AJ1315" s="1873">
        <f t="shared" si="1598"/>
        <v>568.61029605741351</v>
      </c>
      <c r="AK1315" s="1873">
        <f t="shared" si="1598"/>
        <v>672.6705647057039</v>
      </c>
      <c r="AL1315" s="528">
        <f t="shared" si="1598"/>
        <v>757.14714040853039</v>
      </c>
      <c r="AM1315" s="528">
        <f t="shared" si="1598"/>
        <v>857.42234709582158</v>
      </c>
      <c r="AN1315" s="528">
        <f t="shared" si="1598"/>
        <v>968.53643735626986</v>
      </c>
      <c r="AO1315" s="528">
        <f t="shared" si="1598"/>
        <v>1091.8247616460883</v>
      </c>
      <c r="AP1315" s="528">
        <f t="shared" si="1598"/>
        <v>1226.3375722808867</v>
      </c>
      <c r="AQ1315" s="528">
        <f t="shared" si="1598"/>
        <v>1377.4223611858922</v>
      </c>
      <c r="AR1315" s="528">
        <f t="shared" si="1598"/>
        <v>1547.1207960839945</v>
      </c>
      <c r="AS1315" s="528">
        <f t="shared" si="1598"/>
        <v>1737.726078161543</v>
      </c>
      <c r="AT1315" s="528">
        <f t="shared" si="1598"/>
        <v>1951.8139309910455</v>
      </c>
    </row>
    <row r="1316" spans="1:46" ht="16" thickBot="1">
      <c r="A1316" s="1"/>
      <c r="B1316" s="1"/>
      <c r="C1316" s="1"/>
      <c r="D1316" s="1714" t="str">
        <f>D1078</f>
        <v xml:space="preserve"> of which: Covid-19 spending (Teachers)</v>
      </c>
      <c r="E1316" s="523"/>
      <c r="F1316" s="523"/>
      <c r="G1316" s="523"/>
      <c r="H1316" s="523"/>
      <c r="I1316" s="523"/>
      <c r="J1316" s="523"/>
      <c r="K1316" s="523"/>
      <c r="L1316" s="523"/>
      <c r="M1316" s="523"/>
      <c r="N1316" s="523"/>
      <c r="O1316" s="523"/>
      <c r="P1316" s="523"/>
      <c r="Q1316" s="523"/>
      <c r="R1316" s="523"/>
      <c r="S1316" s="523"/>
      <c r="T1316" s="523"/>
      <c r="U1316" s="523"/>
      <c r="V1316" s="528"/>
      <c r="W1316" s="528"/>
      <c r="X1316" s="528"/>
      <c r="Y1316" s="528"/>
      <c r="Z1316" s="528"/>
      <c r="AA1316" s="528"/>
      <c r="AB1316" s="528"/>
      <c r="AC1316" s="528"/>
      <c r="AD1316" s="528"/>
      <c r="AE1316" s="1875">
        <f t="shared" ref="AE1316:AT1316" si="1599">AE1078</f>
        <v>0</v>
      </c>
      <c r="AF1316" s="1876">
        <f t="shared" si="1599"/>
        <v>30.456305773067402</v>
      </c>
      <c r="AG1316" s="1876">
        <f t="shared" si="1599"/>
        <v>0</v>
      </c>
      <c r="AH1316" s="1876">
        <f t="shared" si="1599"/>
        <v>0</v>
      </c>
      <c r="AI1316" s="1876">
        <f t="shared" si="1599"/>
        <v>0</v>
      </c>
      <c r="AJ1316" s="1876">
        <f t="shared" si="1599"/>
        <v>0</v>
      </c>
      <c r="AK1316" s="1876">
        <f t="shared" si="1599"/>
        <v>0</v>
      </c>
      <c r="AL1316" s="1830">
        <f t="shared" si="1599"/>
        <v>0</v>
      </c>
      <c r="AM1316" s="1830">
        <f t="shared" si="1599"/>
        <v>0</v>
      </c>
      <c r="AN1316" s="1830">
        <f t="shared" si="1599"/>
        <v>0</v>
      </c>
      <c r="AO1316" s="1830">
        <f t="shared" si="1599"/>
        <v>0</v>
      </c>
      <c r="AP1316" s="1830">
        <f t="shared" si="1599"/>
        <v>0</v>
      </c>
      <c r="AQ1316" s="1830">
        <f t="shared" si="1599"/>
        <v>0</v>
      </c>
      <c r="AR1316" s="1830">
        <f t="shared" si="1599"/>
        <v>0</v>
      </c>
      <c r="AS1316" s="1830">
        <f t="shared" si="1599"/>
        <v>0</v>
      </c>
      <c r="AT1316" s="1830">
        <f t="shared" si="1599"/>
        <v>0</v>
      </c>
    </row>
    <row r="1317" spans="1:46" ht="16" thickBot="1">
      <c r="A1317" s="1"/>
      <c r="B1317" s="1"/>
      <c r="C1317" s="1"/>
      <c r="D1317" s="531" t="s">
        <v>560</v>
      </c>
      <c r="E1317" s="523"/>
      <c r="F1317" s="523"/>
      <c r="G1317" s="523"/>
      <c r="H1317" s="523"/>
      <c r="I1317" s="523"/>
      <c r="J1317" s="523"/>
      <c r="K1317" s="523"/>
      <c r="L1317" s="523"/>
      <c r="M1317" s="523"/>
      <c r="N1317" s="523"/>
      <c r="O1317" s="523"/>
      <c r="P1317" s="523"/>
      <c r="Q1317" s="523"/>
      <c r="R1317" s="523"/>
      <c r="S1317" s="523"/>
      <c r="T1317" s="523"/>
      <c r="U1317" s="523"/>
      <c r="V1317" s="528">
        <f t="shared" ref="V1317:AD1317" si="1600">V1079</f>
        <v>192.21753999999999</v>
      </c>
      <c r="W1317" s="528">
        <f t="shared" si="1600"/>
        <v>225.3</v>
      </c>
      <c r="X1317" s="528">
        <f t="shared" si="1600"/>
        <v>203.5</v>
      </c>
      <c r="Y1317" s="528">
        <f t="shared" si="1600"/>
        <v>278.613616374</v>
      </c>
      <c r="Z1317" s="528">
        <f t="shared" si="1600"/>
        <v>256.967540977</v>
      </c>
      <c r="AA1317" s="528">
        <f t="shared" si="1600"/>
        <v>329.76520424299997</v>
      </c>
      <c r="AB1317" s="528">
        <f t="shared" si="1600"/>
        <v>427.20220221199997</v>
      </c>
      <c r="AC1317" s="528">
        <f t="shared" si="1600"/>
        <v>442.45447598700002</v>
      </c>
      <c r="AD1317" s="528">
        <f t="shared" si="1600"/>
        <v>482.06752374844802</v>
      </c>
      <c r="AE1317" s="1873">
        <f t="shared" ref="AE1317:AT1317" si="1601">AE1079</f>
        <v>572.34668941100017</v>
      </c>
      <c r="AF1317" s="1873">
        <f t="shared" si="1601"/>
        <v>623.976412063</v>
      </c>
      <c r="AG1317" s="1873">
        <f t="shared" si="1601"/>
        <v>688.41308788700007</v>
      </c>
      <c r="AH1317" s="1873">
        <f t="shared" si="1601"/>
        <v>743.2</v>
      </c>
      <c r="AI1317" s="1873">
        <f t="shared" si="1601"/>
        <v>798.7</v>
      </c>
      <c r="AJ1317" s="1873">
        <f t="shared" si="1601"/>
        <v>866.23772227569987</v>
      </c>
      <c r="AK1317" s="1873">
        <f t="shared" si="1601"/>
        <v>889.35801738094347</v>
      </c>
      <c r="AL1317" s="528">
        <f t="shared" si="1601"/>
        <v>1000.2503833888859</v>
      </c>
      <c r="AM1317" s="528">
        <f t="shared" si="1601"/>
        <v>1135.3467888454895</v>
      </c>
      <c r="AN1317" s="528">
        <f t="shared" si="1601"/>
        <v>1274.6990500732081</v>
      </c>
      <c r="AO1317" s="528">
        <f t="shared" si="1601"/>
        <v>1348.3682832845941</v>
      </c>
      <c r="AP1317" s="528">
        <f t="shared" si="1601"/>
        <v>1367.2609466434556</v>
      </c>
      <c r="AQ1317" s="528">
        <f t="shared" si="1601"/>
        <v>1480.9402163696122</v>
      </c>
      <c r="AR1317" s="528">
        <f t="shared" si="1601"/>
        <v>1725.8163509780011</v>
      </c>
      <c r="AS1317" s="528">
        <f t="shared" si="1601"/>
        <v>608.99915257743328</v>
      </c>
      <c r="AT1317" s="528">
        <f t="shared" si="1601"/>
        <v>608.99915257743328</v>
      </c>
    </row>
    <row r="1318" spans="1:46">
      <c r="A1318" s="1"/>
      <c r="B1318" s="1"/>
      <c r="C1318" s="1"/>
      <c r="D1318" s="1714" t="str">
        <f>D1082</f>
        <v xml:space="preserve"> of which: Covid-19 spending</v>
      </c>
      <c r="E1318" s="523"/>
      <c r="F1318" s="523"/>
      <c r="G1318" s="523"/>
      <c r="H1318" s="523"/>
      <c r="I1318" s="523"/>
      <c r="J1318" s="523"/>
      <c r="K1318" s="523"/>
      <c r="L1318" s="523"/>
      <c r="M1318" s="523"/>
      <c r="N1318" s="523"/>
      <c r="O1318" s="523"/>
      <c r="P1318" s="523"/>
      <c r="Q1318" s="523"/>
      <c r="R1318" s="523"/>
      <c r="S1318" s="523"/>
      <c r="T1318" s="523"/>
      <c r="U1318" s="523"/>
      <c r="V1318" s="528"/>
      <c r="W1318" s="528"/>
      <c r="X1318" s="528"/>
      <c r="Y1318" s="528"/>
      <c r="Z1318" s="528"/>
      <c r="AA1318" s="528"/>
      <c r="AB1318" s="528"/>
      <c r="AC1318" s="528"/>
      <c r="AD1318" s="528"/>
      <c r="AE1318" s="1877">
        <f t="shared" ref="AE1318:AT1318" si="1602">AE1082</f>
        <v>64.8</v>
      </c>
      <c r="AF1318" s="1878">
        <f t="shared" si="1602"/>
        <v>11.463177382</v>
      </c>
      <c r="AG1318" s="1878">
        <f t="shared" si="1602"/>
        <v>0</v>
      </c>
      <c r="AH1318" s="1878">
        <f t="shared" si="1602"/>
        <v>0</v>
      </c>
      <c r="AI1318" s="1878">
        <f t="shared" si="1602"/>
        <v>0</v>
      </c>
      <c r="AJ1318" s="1878">
        <f t="shared" si="1602"/>
        <v>0</v>
      </c>
      <c r="AK1318" s="1878">
        <f t="shared" si="1602"/>
        <v>0</v>
      </c>
      <c r="AL1318" s="1831">
        <f t="shared" si="1602"/>
        <v>0</v>
      </c>
      <c r="AM1318" s="1831">
        <f t="shared" si="1602"/>
        <v>0</v>
      </c>
      <c r="AN1318" s="1831">
        <f t="shared" si="1602"/>
        <v>0</v>
      </c>
      <c r="AO1318" s="1831">
        <f t="shared" si="1602"/>
        <v>0</v>
      </c>
      <c r="AP1318" s="1831">
        <f t="shared" si="1602"/>
        <v>0</v>
      </c>
      <c r="AQ1318" s="1831">
        <f t="shared" si="1602"/>
        <v>0</v>
      </c>
      <c r="AR1318" s="1831">
        <f t="shared" si="1602"/>
        <v>0</v>
      </c>
      <c r="AS1318" s="1831">
        <f t="shared" si="1602"/>
        <v>0</v>
      </c>
      <c r="AT1318" s="1831">
        <f t="shared" si="1602"/>
        <v>0</v>
      </c>
    </row>
    <row r="1319" spans="1:46" ht="16" thickBot="1">
      <c r="A1319" s="1"/>
      <c r="B1319" s="1"/>
      <c r="C1319" s="1"/>
      <c r="D1319" s="1817" t="str">
        <f>D1083</f>
        <v>o/w Vaccine</v>
      </c>
      <c r="E1319" s="523"/>
      <c r="F1319" s="523"/>
      <c r="G1319" s="523"/>
      <c r="H1319" s="523"/>
      <c r="I1319" s="523"/>
      <c r="J1319" s="523"/>
      <c r="K1319" s="523"/>
      <c r="L1319" s="523"/>
      <c r="M1319" s="523"/>
      <c r="N1319" s="523"/>
      <c r="O1319" s="523"/>
      <c r="P1319" s="523"/>
      <c r="Q1319" s="523"/>
      <c r="R1319" s="523"/>
      <c r="S1319" s="523"/>
      <c r="T1319" s="523"/>
      <c r="U1319" s="523"/>
      <c r="V1319" s="528"/>
      <c r="W1319" s="528"/>
      <c r="X1319" s="528"/>
      <c r="Y1319" s="528"/>
      <c r="Z1319" s="528"/>
      <c r="AA1319" s="528"/>
      <c r="AB1319" s="528"/>
      <c r="AC1319" s="528"/>
      <c r="AD1319" s="528"/>
      <c r="AE1319" s="1879">
        <f t="shared" ref="AE1319:AT1319" si="1603">AE1083</f>
        <v>0</v>
      </c>
      <c r="AF1319" s="1880">
        <f t="shared" si="1603"/>
        <v>0</v>
      </c>
      <c r="AG1319" s="1880">
        <f t="shared" si="1603"/>
        <v>0</v>
      </c>
      <c r="AH1319" s="1880">
        <f t="shared" si="1603"/>
        <v>0</v>
      </c>
      <c r="AI1319" s="1880">
        <f t="shared" si="1603"/>
        <v>0</v>
      </c>
      <c r="AJ1319" s="1880">
        <f t="shared" si="1603"/>
        <v>0</v>
      </c>
      <c r="AK1319" s="1880">
        <f t="shared" si="1603"/>
        <v>0</v>
      </c>
      <c r="AL1319" s="1832">
        <f t="shared" si="1603"/>
        <v>0</v>
      </c>
      <c r="AM1319" s="1832">
        <f t="shared" si="1603"/>
        <v>0</v>
      </c>
      <c r="AN1319" s="1832">
        <f t="shared" si="1603"/>
        <v>0</v>
      </c>
      <c r="AO1319" s="1832">
        <f t="shared" si="1603"/>
        <v>0</v>
      </c>
      <c r="AP1319" s="1832">
        <f t="shared" si="1603"/>
        <v>0</v>
      </c>
      <c r="AQ1319" s="1832">
        <f t="shared" si="1603"/>
        <v>0</v>
      </c>
      <c r="AR1319" s="1832">
        <f t="shared" si="1603"/>
        <v>0</v>
      </c>
      <c r="AS1319" s="1832">
        <f t="shared" si="1603"/>
        <v>0</v>
      </c>
      <c r="AT1319" s="1832">
        <f t="shared" si="1603"/>
        <v>0</v>
      </c>
    </row>
    <row r="1320" spans="1:46">
      <c r="A1320" s="1"/>
      <c r="B1320" s="1"/>
      <c r="C1320" s="1"/>
      <c r="D1320" s="531" t="s">
        <v>561</v>
      </c>
      <c r="E1320" s="523"/>
      <c r="F1320" s="523"/>
      <c r="G1320" s="523"/>
      <c r="H1320" s="523"/>
      <c r="I1320" s="523"/>
      <c r="J1320" s="523"/>
      <c r="K1320" s="523"/>
      <c r="L1320" s="523"/>
      <c r="M1320" s="523"/>
      <c r="N1320" s="523"/>
      <c r="O1320" s="523"/>
      <c r="P1320" s="523"/>
      <c r="Q1320" s="523"/>
      <c r="R1320" s="523"/>
      <c r="S1320" s="523"/>
      <c r="T1320" s="523"/>
      <c r="U1320" s="523"/>
      <c r="V1320" s="528">
        <f t="shared" ref="V1320:AT1320" si="1604">V1094</f>
        <v>0</v>
      </c>
      <c r="W1320" s="528">
        <f t="shared" si="1604"/>
        <v>0</v>
      </c>
      <c r="X1320" s="528">
        <f t="shared" si="1604"/>
        <v>0</v>
      </c>
      <c r="Y1320" s="528">
        <f t="shared" si="1604"/>
        <v>0</v>
      </c>
      <c r="Z1320" s="528">
        <f t="shared" si="1604"/>
        <v>0</v>
      </c>
      <c r="AA1320" s="528">
        <f t="shared" si="1604"/>
        <v>0</v>
      </c>
      <c r="AB1320" s="528">
        <f t="shared" si="1604"/>
        <v>0</v>
      </c>
      <c r="AC1320" s="528">
        <f t="shared" si="1604"/>
        <v>0</v>
      </c>
      <c r="AD1320" s="528">
        <f t="shared" si="1604"/>
        <v>0</v>
      </c>
      <c r="AE1320" s="1873">
        <f t="shared" si="1604"/>
        <v>0</v>
      </c>
      <c r="AF1320" s="1873">
        <f t="shared" si="1604"/>
        <v>0</v>
      </c>
      <c r="AG1320" s="1873">
        <f t="shared" si="1604"/>
        <v>0</v>
      </c>
      <c r="AH1320" s="1873">
        <f t="shared" si="1604"/>
        <v>0</v>
      </c>
      <c r="AI1320" s="1873">
        <f t="shared" si="1604"/>
        <v>0</v>
      </c>
      <c r="AJ1320" s="1873">
        <f t="shared" si="1604"/>
        <v>0</v>
      </c>
      <c r="AK1320" s="1873">
        <f t="shared" si="1604"/>
        <v>0</v>
      </c>
      <c r="AL1320" s="528">
        <f t="shared" si="1604"/>
        <v>0</v>
      </c>
      <c r="AM1320" s="528">
        <f t="shared" si="1604"/>
        <v>0</v>
      </c>
      <c r="AN1320" s="528">
        <f t="shared" si="1604"/>
        <v>0</v>
      </c>
      <c r="AO1320" s="528">
        <f t="shared" si="1604"/>
        <v>0</v>
      </c>
      <c r="AP1320" s="528">
        <f t="shared" si="1604"/>
        <v>0</v>
      </c>
      <c r="AQ1320" s="528">
        <f t="shared" si="1604"/>
        <v>0</v>
      </c>
      <c r="AR1320" s="528">
        <f t="shared" si="1604"/>
        <v>0</v>
      </c>
      <c r="AS1320" s="528">
        <f t="shared" si="1604"/>
        <v>0</v>
      </c>
      <c r="AT1320" s="528">
        <f t="shared" si="1604"/>
        <v>0</v>
      </c>
    </row>
    <row r="1321" spans="1:46">
      <c r="A1321" s="1"/>
      <c r="B1321" s="1"/>
      <c r="C1321" s="1"/>
      <c r="D1321" s="531" t="s">
        <v>544</v>
      </c>
      <c r="E1321" s="523"/>
      <c r="F1321" s="523"/>
      <c r="G1321" s="523"/>
      <c r="H1321" s="523"/>
      <c r="I1321" s="523"/>
      <c r="J1321" s="523"/>
      <c r="K1321" s="523"/>
      <c r="L1321" s="523"/>
      <c r="M1321" s="523"/>
      <c r="N1321" s="523"/>
      <c r="O1321" s="523"/>
      <c r="P1321" s="523"/>
      <c r="Q1321" s="523"/>
      <c r="R1321" s="523"/>
      <c r="S1321" s="523"/>
      <c r="T1321" s="523"/>
      <c r="U1321" s="523"/>
      <c r="V1321" s="528">
        <f t="shared" ref="V1321:AT1321" si="1605">V1095</f>
        <v>0</v>
      </c>
      <c r="W1321" s="528">
        <f t="shared" si="1605"/>
        <v>18.399999999999999</v>
      </c>
      <c r="X1321" s="528">
        <f t="shared" si="1605"/>
        <v>30.7</v>
      </c>
      <c r="Y1321" s="528">
        <f t="shared" si="1605"/>
        <v>43.576804800562741</v>
      </c>
      <c r="Z1321" s="528">
        <f t="shared" si="1605"/>
        <v>45.872275573083982</v>
      </c>
      <c r="AA1321" s="528">
        <f t="shared" si="1605"/>
        <v>56.842062232496403</v>
      </c>
      <c r="AB1321" s="528">
        <f t="shared" si="1605"/>
        <v>72.191874699195651</v>
      </c>
      <c r="AC1321" s="528">
        <f t="shared" si="1605"/>
        <v>91.578582652050613</v>
      </c>
      <c r="AD1321" s="528">
        <f t="shared" si="1605"/>
        <v>102.49247013915866</v>
      </c>
      <c r="AE1321" s="1873">
        <f t="shared" si="1605"/>
        <v>139.11880432605938</v>
      </c>
      <c r="AF1321" s="1873">
        <f t="shared" si="1605"/>
        <v>180.68587590230521</v>
      </c>
      <c r="AG1321" s="1873">
        <f t="shared" si="1605"/>
        <v>220.33496040005542</v>
      </c>
      <c r="AH1321" s="1873">
        <f t="shared" si="1605"/>
        <v>303.5028569211014</v>
      </c>
      <c r="AI1321" s="1873">
        <f t="shared" si="1605"/>
        <v>417.72068484998749</v>
      </c>
      <c r="AJ1321" s="1873">
        <f t="shared" si="1605"/>
        <v>502.94296772257599</v>
      </c>
      <c r="AK1321" s="1873">
        <f t="shared" si="1605"/>
        <v>604.0949919615241</v>
      </c>
      <c r="AL1321" s="528">
        <f t="shared" si="1605"/>
        <v>695.56878154798801</v>
      </c>
      <c r="AM1321" s="528">
        <f t="shared" si="1605"/>
        <v>771.76202482229019</v>
      </c>
      <c r="AN1321" s="528">
        <f t="shared" si="1605"/>
        <v>819.70676695596444</v>
      </c>
      <c r="AO1321" s="528">
        <f t="shared" si="1605"/>
        <v>1143.4104406764118</v>
      </c>
      <c r="AP1321" s="528">
        <f t="shared" si="1605"/>
        <v>1264.4001499610354</v>
      </c>
      <c r="AQ1321" s="528">
        <f t="shared" si="1605"/>
        <v>1195.1052679666498</v>
      </c>
      <c r="AR1321" s="528">
        <f t="shared" si="1605"/>
        <v>1130.6693752030715</v>
      </c>
      <c r="AS1321" s="528">
        <f t="shared" si="1605"/>
        <v>1116.0528276847976</v>
      </c>
      <c r="AT1321" s="528">
        <f t="shared" si="1605"/>
        <v>1101.9520385848061</v>
      </c>
    </row>
    <row r="1322" spans="1:46" ht="16" thickBot="1">
      <c r="A1322" s="1"/>
      <c r="B1322" s="1"/>
      <c r="C1322" s="1"/>
      <c r="D1322" s="531" t="s">
        <v>564</v>
      </c>
      <c r="E1322" s="523"/>
      <c r="F1322" s="523"/>
      <c r="G1322" s="523"/>
      <c r="H1322" s="523"/>
      <c r="I1322" s="523"/>
      <c r="J1322" s="523"/>
      <c r="K1322" s="523"/>
      <c r="L1322" s="523"/>
      <c r="M1322" s="523"/>
      <c r="N1322" s="523"/>
      <c r="O1322" s="523"/>
      <c r="P1322" s="523"/>
      <c r="Q1322" s="523"/>
      <c r="R1322" s="523"/>
      <c r="S1322" s="523"/>
      <c r="T1322" s="523"/>
      <c r="U1322" s="523"/>
      <c r="V1322" s="528">
        <f t="shared" ref="V1322:AT1322" si="1606">V1103</f>
        <v>0</v>
      </c>
      <c r="W1322" s="528">
        <f t="shared" si="1606"/>
        <v>0</v>
      </c>
      <c r="X1322" s="528">
        <f t="shared" si="1606"/>
        <v>27</v>
      </c>
      <c r="Y1322" s="528">
        <f t="shared" si="1606"/>
        <v>63.001978688000001</v>
      </c>
      <c r="Z1322" s="528">
        <f t="shared" si="1606"/>
        <v>70.684104777000002</v>
      </c>
      <c r="AA1322" s="528">
        <f t="shared" si="1606"/>
        <v>84.373377361999999</v>
      </c>
      <c r="AB1322" s="528">
        <f t="shared" si="1606"/>
        <v>86.226021179</v>
      </c>
      <c r="AC1322" s="528">
        <f t="shared" si="1606"/>
        <v>99.527043106000008</v>
      </c>
      <c r="AD1322" s="528">
        <f t="shared" si="1606"/>
        <v>172.02613069400002</v>
      </c>
      <c r="AE1322" s="1873">
        <f t="shared" si="1606"/>
        <v>251.94730264100002</v>
      </c>
      <c r="AF1322" s="1873">
        <f t="shared" si="1606"/>
        <v>260.16227530600003</v>
      </c>
      <c r="AG1322" s="1873">
        <f t="shared" si="1606"/>
        <v>382.17384569900003</v>
      </c>
      <c r="AH1322" s="1873">
        <f t="shared" si="1606"/>
        <v>298.87794374700002</v>
      </c>
      <c r="AI1322" s="1873">
        <f t="shared" si="1606"/>
        <v>307.42047619799996</v>
      </c>
      <c r="AJ1322" s="1873">
        <f t="shared" si="1606"/>
        <v>322.57291333448478</v>
      </c>
      <c r="AK1322" s="1873">
        <f t="shared" si="1606"/>
        <v>490.28749774375359</v>
      </c>
      <c r="AL1322" s="528">
        <f t="shared" si="1606"/>
        <v>313.41647841501413</v>
      </c>
      <c r="AM1322" s="528">
        <f t="shared" si="1606"/>
        <v>345.25037758872924</v>
      </c>
      <c r="AN1322" s="528">
        <f t="shared" si="1606"/>
        <v>361.51566957946307</v>
      </c>
      <c r="AO1322" s="528">
        <f t="shared" si="1606"/>
        <v>362.4623260877496</v>
      </c>
      <c r="AP1322" s="528">
        <f t="shared" si="1606"/>
        <v>385.54362638105414</v>
      </c>
      <c r="AQ1322" s="528">
        <f t="shared" si="1606"/>
        <v>412.25659462251559</v>
      </c>
      <c r="AR1322" s="528">
        <f t="shared" si="1606"/>
        <v>514.50765132497963</v>
      </c>
      <c r="AS1322" s="528">
        <f t="shared" si="1606"/>
        <v>136.12709590989112</v>
      </c>
      <c r="AT1322" s="528">
        <f t="shared" si="1606"/>
        <v>136.12709590989112</v>
      </c>
    </row>
    <row r="1323" spans="1:46" ht="16" thickBot="1">
      <c r="A1323" s="1"/>
      <c r="B1323" s="1"/>
      <c r="C1323" s="1"/>
      <c r="D1323" s="1714" t="str">
        <f>D1109</f>
        <v xml:space="preserve"> of which: Covid-19 spending (ERF Public Transport)</v>
      </c>
      <c r="E1323" s="523"/>
      <c r="F1323" s="523"/>
      <c r="G1323" s="523"/>
      <c r="H1323" s="523"/>
      <c r="I1323" s="523"/>
      <c r="J1323" s="523"/>
      <c r="K1323" s="523"/>
      <c r="L1323" s="523"/>
      <c r="M1323" s="523"/>
      <c r="N1323" s="523"/>
      <c r="O1323" s="523"/>
      <c r="P1323" s="523"/>
      <c r="Q1323" s="523"/>
      <c r="R1323" s="523"/>
      <c r="S1323" s="523"/>
      <c r="T1323" s="523"/>
      <c r="U1323" s="523"/>
      <c r="V1323" s="528"/>
      <c r="W1323" s="528"/>
      <c r="X1323" s="528"/>
      <c r="Y1323" s="528"/>
      <c r="Z1323" s="528"/>
      <c r="AA1323" s="528"/>
      <c r="AB1323" s="528"/>
      <c r="AC1323" s="528"/>
      <c r="AD1323" s="528"/>
      <c r="AE1323" s="1875">
        <f t="shared" ref="AE1323:AT1323" si="1607">AE1109</f>
        <v>0</v>
      </c>
      <c r="AF1323" s="1876">
        <f t="shared" si="1607"/>
        <v>12.3</v>
      </c>
      <c r="AG1323" s="1876">
        <f t="shared" si="1607"/>
        <v>0</v>
      </c>
      <c r="AH1323" s="1876">
        <f t="shared" si="1607"/>
        <v>0</v>
      </c>
      <c r="AI1323" s="1876">
        <f t="shared" si="1607"/>
        <v>0</v>
      </c>
      <c r="AJ1323" s="1876">
        <f t="shared" si="1607"/>
        <v>0</v>
      </c>
      <c r="AK1323" s="1876">
        <f t="shared" si="1607"/>
        <v>0</v>
      </c>
      <c r="AL1323" s="1830">
        <f t="shared" si="1607"/>
        <v>0</v>
      </c>
      <c r="AM1323" s="1830">
        <f t="shared" si="1607"/>
        <v>0</v>
      </c>
      <c r="AN1323" s="1830">
        <f t="shared" si="1607"/>
        <v>0</v>
      </c>
      <c r="AO1323" s="1830">
        <f t="shared" si="1607"/>
        <v>0</v>
      </c>
      <c r="AP1323" s="1830">
        <f t="shared" si="1607"/>
        <v>0</v>
      </c>
      <c r="AQ1323" s="1830">
        <f t="shared" si="1607"/>
        <v>0</v>
      </c>
      <c r="AR1323" s="1830">
        <f t="shared" si="1607"/>
        <v>0</v>
      </c>
      <c r="AS1323" s="1830">
        <f t="shared" si="1607"/>
        <v>0</v>
      </c>
      <c r="AT1323" s="1830">
        <f t="shared" si="1607"/>
        <v>0</v>
      </c>
    </row>
    <row r="1324" spans="1:46">
      <c r="A1324" s="1"/>
      <c r="B1324" s="1"/>
      <c r="C1324" s="1"/>
      <c r="D1324" s="531" t="s">
        <v>536</v>
      </c>
      <c r="E1324" s="523"/>
      <c r="F1324" s="523"/>
      <c r="G1324" s="523"/>
      <c r="H1324" s="523"/>
      <c r="I1324" s="523"/>
      <c r="J1324" s="523"/>
      <c r="K1324" s="523"/>
      <c r="L1324" s="523"/>
      <c r="M1324" s="523"/>
      <c r="N1324" s="523"/>
      <c r="O1324" s="523"/>
      <c r="P1324" s="523"/>
      <c r="Q1324" s="523"/>
      <c r="R1324" s="523"/>
      <c r="S1324" s="523"/>
      <c r="T1324" s="523"/>
      <c r="U1324" s="523"/>
      <c r="V1324" s="528">
        <f t="shared" ref="V1324:AT1324" si="1608">V1111</f>
        <v>138.84901571823204</v>
      </c>
      <c r="W1324" s="528">
        <f t="shared" si="1608"/>
        <v>156.4</v>
      </c>
      <c r="X1324" s="528">
        <f t="shared" si="1608"/>
        <v>141.20000000000002</v>
      </c>
      <c r="Y1324" s="528">
        <f t="shared" si="1608"/>
        <v>285.47491793799998</v>
      </c>
      <c r="Z1324" s="528">
        <f t="shared" si="1608"/>
        <v>335.93441379699999</v>
      </c>
      <c r="AA1324" s="528">
        <f t="shared" si="1608"/>
        <v>365.17264152624739</v>
      </c>
      <c r="AB1324" s="528">
        <f t="shared" si="1608"/>
        <v>389.63701686441863</v>
      </c>
      <c r="AC1324" s="528">
        <f t="shared" si="1608"/>
        <v>418.66815094384003</v>
      </c>
      <c r="AD1324" s="528">
        <f t="shared" si="1608"/>
        <v>471.94577035000003</v>
      </c>
      <c r="AE1324" s="1873">
        <f t="shared" si="1608"/>
        <v>500.37254378500006</v>
      </c>
      <c r="AF1324" s="1873">
        <f t="shared" si="1608"/>
        <v>548.9739452849999</v>
      </c>
      <c r="AG1324" s="1873">
        <f t="shared" si="1608"/>
        <v>655.56111270923248</v>
      </c>
      <c r="AH1324" s="1873">
        <f t="shared" si="1608"/>
        <v>969.60000000000014</v>
      </c>
      <c r="AI1324" s="1873">
        <f t="shared" si="1608"/>
        <v>993.64042799000003</v>
      </c>
      <c r="AJ1324" s="1873">
        <f t="shared" si="1608"/>
        <v>1077.4382112050305</v>
      </c>
      <c r="AK1324" s="1873">
        <f t="shared" si="1608"/>
        <v>1155.5882263547962</v>
      </c>
      <c r="AL1324" s="528">
        <f t="shared" si="1608"/>
        <v>1349.7030006039429</v>
      </c>
      <c r="AM1324" s="528">
        <f t="shared" si="1608"/>
        <v>1582.1449450199918</v>
      </c>
      <c r="AN1324" s="528">
        <f t="shared" si="1608"/>
        <v>1773.9558824809005</v>
      </c>
      <c r="AO1324" s="528">
        <f t="shared" si="1608"/>
        <v>1984.2906102572167</v>
      </c>
      <c r="AP1324" s="528">
        <f t="shared" si="1608"/>
        <v>2098.0127924905755</v>
      </c>
      <c r="AQ1324" s="528">
        <f t="shared" si="1608"/>
        <v>2223.1072437129324</v>
      </c>
      <c r="AR1324" s="528">
        <f t="shared" si="1608"/>
        <v>2600.1493467966752</v>
      </c>
      <c r="AS1324" s="528">
        <f t="shared" si="1608"/>
        <v>638.79633143111857</v>
      </c>
      <c r="AT1324" s="528">
        <f t="shared" si="1608"/>
        <v>638.79633143111857</v>
      </c>
    </row>
    <row r="1325" spans="1:46">
      <c r="A1325" s="1"/>
      <c r="B1325" s="1"/>
      <c r="C1325" s="1"/>
      <c r="D1325" s="531" t="s">
        <v>565</v>
      </c>
      <c r="E1325" s="523"/>
      <c r="F1325" s="523"/>
      <c r="G1325" s="523"/>
      <c r="H1325" s="523"/>
      <c r="I1325" s="523"/>
      <c r="J1325" s="523"/>
      <c r="K1325" s="523"/>
      <c r="L1325" s="523"/>
      <c r="M1325" s="523"/>
      <c r="N1325" s="523"/>
      <c r="O1325" s="523"/>
      <c r="P1325" s="523"/>
      <c r="Q1325" s="523"/>
      <c r="R1325" s="523"/>
      <c r="S1325" s="523"/>
      <c r="T1325" s="523"/>
      <c r="U1325" s="523"/>
      <c r="V1325" s="528">
        <f t="shared" ref="V1325:AT1325" si="1609">V1127</f>
        <v>0</v>
      </c>
      <c r="W1325" s="528">
        <f t="shared" si="1609"/>
        <v>0</v>
      </c>
      <c r="X1325" s="528">
        <f t="shared" si="1609"/>
        <v>0</v>
      </c>
      <c r="Y1325" s="528">
        <f t="shared" si="1609"/>
        <v>22.879524976999996</v>
      </c>
      <c r="Z1325" s="528">
        <f t="shared" si="1609"/>
        <v>22.560662956999998</v>
      </c>
      <c r="AA1325" s="528">
        <f t="shared" si="1609"/>
        <v>24.607141763000001</v>
      </c>
      <c r="AB1325" s="528">
        <f t="shared" si="1609"/>
        <v>23.676644539000002</v>
      </c>
      <c r="AC1325" s="528">
        <f t="shared" si="1609"/>
        <v>25.178800748</v>
      </c>
      <c r="AD1325" s="528">
        <f t="shared" si="1609"/>
        <v>25.820247301999999</v>
      </c>
      <c r="AE1325" s="1873">
        <f t="shared" si="1609"/>
        <v>26.669207106000002</v>
      </c>
      <c r="AF1325" s="1873">
        <f t="shared" si="1609"/>
        <v>41.034068239</v>
      </c>
      <c r="AG1325" s="1873">
        <f t="shared" si="1609"/>
        <v>56.665979002000007</v>
      </c>
      <c r="AH1325" s="1873">
        <f t="shared" si="1609"/>
        <v>46.100000000000009</v>
      </c>
      <c r="AI1325" s="1873">
        <f t="shared" si="1609"/>
        <v>48.931605560999998</v>
      </c>
      <c r="AJ1325" s="1873">
        <f t="shared" si="1609"/>
        <v>67.445155092479808</v>
      </c>
      <c r="AK1325" s="1873">
        <f t="shared" si="1609"/>
        <v>74.919976098871814</v>
      </c>
      <c r="AL1325" s="528">
        <f t="shared" si="1609"/>
        <v>76.687439447113761</v>
      </c>
      <c r="AM1325" s="528">
        <f t="shared" si="1609"/>
        <v>86.325216109857465</v>
      </c>
      <c r="AN1325" s="528">
        <f t="shared" si="1609"/>
        <v>97.000225184938145</v>
      </c>
      <c r="AO1325" s="528">
        <f t="shared" si="1609"/>
        <v>108.98257082761732</v>
      </c>
      <c r="AP1325" s="528">
        <f t="shared" si="1609"/>
        <v>115.92249054605887</v>
      </c>
      <c r="AQ1325" s="528">
        <f t="shared" si="1609"/>
        <v>122.34798140424239</v>
      </c>
      <c r="AR1325" s="528">
        <f t="shared" si="1609"/>
        <v>142.57844069776763</v>
      </c>
      <c r="AS1325" s="528">
        <f t="shared" si="1609"/>
        <v>37.723032925876964</v>
      </c>
      <c r="AT1325" s="528">
        <f t="shared" si="1609"/>
        <v>37.723032925876964</v>
      </c>
    </row>
    <row r="1326" spans="1:46">
      <c r="A1326" s="1"/>
      <c r="B1326" s="1"/>
      <c r="C1326" s="1"/>
      <c r="D1326" s="531" t="s">
        <v>566</v>
      </c>
      <c r="E1326" s="523"/>
      <c r="F1326" s="523"/>
      <c r="G1326" s="523"/>
      <c r="H1326" s="523"/>
      <c r="I1326" s="523"/>
      <c r="J1326" s="523"/>
      <c r="K1326" s="523"/>
      <c r="L1326" s="523"/>
      <c r="M1326" s="523"/>
      <c r="N1326" s="523"/>
      <c r="O1326" s="523"/>
      <c r="P1326" s="523"/>
      <c r="Q1326" s="523"/>
      <c r="R1326" s="523"/>
      <c r="S1326" s="523"/>
      <c r="T1326" s="523"/>
      <c r="U1326" s="523"/>
      <c r="V1326" s="528">
        <f t="shared" ref="V1326:AT1326" si="1610">V1129</f>
        <v>0</v>
      </c>
      <c r="W1326" s="528">
        <f t="shared" si="1610"/>
        <v>0</v>
      </c>
      <c r="X1326" s="528">
        <f t="shared" si="1610"/>
        <v>0</v>
      </c>
      <c r="Y1326" s="528">
        <f t="shared" si="1610"/>
        <v>32.209355783700005</v>
      </c>
      <c r="Z1326" s="528">
        <f t="shared" si="1610"/>
        <v>67.677090833999998</v>
      </c>
      <c r="AA1326" s="528">
        <f t="shared" si="1610"/>
        <v>71.435250250999999</v>
      </c>
      <c r="AB1326" s="528">
        <f t="shared" si="1610"/>
        <v>87.523682492999995</v>
      </c>
      <c r="AC1326" s="528">
        <f t="shared" si="1610"/>
        <v>107.795415881</v>
      </c>
      <c r="AD1326" s="528">
        <f t="shared" si="1610"/>
        <v>170.62252833700001</v>
      </c>
      <c r="AE1326" s="1873">
        <f t="shared" si="1610"/>
        <v>144.34993801900001</v>
      </c>
      <c r="AF1326" s="1873">
        <f t="shared" si="1610"/>
        <v>132.26150189800001</v>
      </c>
      <c r="AG1326" s="1873">
        <f t="shared" si="1610"/>
        <v>147.01854875399999</v>
      </c>
      <c r="AH1326" s="1873">
        <f t="shared" si="1610"/>
        <v>127.70000000000002</v>
      </c>
      <c r="AI1326" s="1873">
        <f t="shared" si="1610"/>
        <v>139.12123366500001</v>
      </c>
      <c r="AJ1326" s="1873">
        <f t="shared" si="1610"/>
        <v>144.29711569243307</v>
      </c>
      <c r="AK1326" s="1873">
        <f t="shared" si="1610"/>
        <v>152.98324848558599</v>
      </c>
      <c r="AL1326" s="528">
        <f t="shared" si="1610"/>
        <v>168.65948497698193</v>
      </c>
      <c r="AM1326" s="528">
        <f t="shared" si="1610"/>
        <v>189.89689710093501</v>
      </c>
      <c r="AN1326" s="528">
        <f t="shared" si="1610"/>
        <v>213.82390613565281</v>
      </c>
      <c r="AO1326" s="528">
        <f t="shared" si="1610"/>
        <v>240.76571830874502</v>
      </c>
      <c r="AP1326" s="528">
        <f t="shared" si="1610"/>
        <v>256.0974795557662</v>
      </c>
      <c r="AQ1326" s="528">
        <f t="shared" si="1610"/>
        <v>270.29275784851126</v>
      </c>
      <c r="AR1326" s="528">
        <f t="shared" si="1610"/>
        <v>314.98615264120519</v>
      </c>
      <c r="AS1326" s="528">
        <f t="shared" si="1610"/>
        <v>83.338216837894876</v>
      </c>
      <c r="AT1326" s="528">
        <f t="shared" si="1610"/>
        <v>83.338216837894876</v>
      </c>
    </row>
    <row r="1327" spans="1:46">
      <c r="A1327" s="1"/>
      <c r="B1327" s="1"/>
      <c r="C1327" s="1"/>
      <c r="D1327" s="522" t="str">
        <f>+FISCinyear!D983</f>
        <v>NET OPERATING BALANCE</v>
      </c>
      <c r="E1327" s="523"/>
      <c r="F1327" s="523"/>
      <c r="G1327" s="523"/>
      <c r="H1327" s="523"/>
      <c r="I1327" s="523"/>
      <c r="J1327" s="523"/>
      <c r="K1327" s="523"/>
      <c r="L1327" s="523"/>
      <c r="M1327" s="523"/>
      <c r="N1327" s="523"/>
      <c r="O1327" s="523"/>
      <c r="P1327" s="523"/>
      <c r="Q1327" s="523"/>
      <c r="R1327" s="523"/>
      <c r="S1327" s="523"/>
      <c r="T1327" s="523"/>
      <c r="U1327" s="523"/>
      <c r="V1327" s="526"/>
      <c r="W1327" s="526"/>
      <c r="X1327" s="526"/>
      <c r="Y1327" s="526"/>
      <c r="Z1327" s="526"/>
      <c r="AA1327" s="526"/>
      <c r="AB1327" s="526"/>
      <c r="AC1327" s="526"/>
      <c r="AD1327" s="526"/>
      <c r="AE1327" s="1874"/>
      <c r="AF1327" s="1874"/>
      <c r="AG1327" s="1874"/>
      <c r="AH1327" s="1874"/>
      <c r="AI1327" s="1874"/>
      <c r="AJ1327" s="1874"/>
      <c r="AK1327" s="1874"/>
      <c r="AL1327" s="526"/>
      <c r="AM1327" s="526"/>
      <c r="AN1327" s="526"/>
      <c r="AO1327" s="526"/>
      <c r="AP1327" s="526"/>
      <c r="AQ1327" s="526"/>
      <c r="AR1327" s="526"/>
      <c r="AS1327" s="526"/>
      <c r="AT1327" s="526"/>
    </row>
    <row r="1328" spans="1:46">
      <c r="A1328" s="1"/>
      <c r="B1328" s="1"/>
      <c r="C1328" s="1"/>
      <c r="D1328" s="529" t="str">
        <f>+FISCinyear!D984</f>
        <v>including grants</v>
      </c>
      <c r="E1328" s="530"/>
      <c r="F1328" s="530"/>
      <c r="G1328" s="530"/>
      <c r="H1328" s="530"/>
      <c r="I1328" s="530"/>
      <c r="J1328" s="530"/>
      <c r="K1328" s="530"/>
      <c r="L1328" s="530"/>
      <c r="M1328" s="530"/>
      <c r="N1328" s="530"/>
      <c r="O1328" s="530"/>
      <c r="P1328" s="530"/>
      <c r="Q1328" s="530"/>
      <c r="R1328" s="530"/>
      <c r="S1328" s="530"/>
      <c r="T1328" s="530"/>
      <c r="U1328" s="530"/>
      <c r="V1328" s="526">
        <f t="shared" ref="V1328:AL1328" si="1611">V1288-V1314</f>
        <v>48.530059834999975</v>
      </c>
      <c r="W1328" s="526">
        <f t="shared" si="1611"/>
        <v>71.799999999999955</v>
      </c>
      <c r="X1328" s="526">
        <f t="shared" si="1611"/>
        <v>-13.962046360000159</v>
      </c>
      <c r="Y1328" s="526">
        <f t="shared" si="1611"/>
        <v>435.72515167802976</v>
      </c>
      <c r="Z1328" s="526">
        <f t="shared" si="1611"/>
        <v>431.50247778421044</v>
      </c>
      <c r="AA1328" s="526">
        <f t="shared" si="1611"/>
        <v>394.72056119322792</v>
      </c>
      <c r="AB1328" s="526">
        <f t="shared" si="1611"/>
        <v>292.30449537034178</v>
      </c>
      <c r="AC1328" s="526">
        <f t="shared" si="1611"/>
        <v>383.49023674615614</v>
      </c>
      <c r="AD1328" s="526">
        <f t="shared" si="1611"/>
        <v>398.16377884713461</v>
      </c>
      <c r="AE1328" s="1874">
        <f t="shared" si="1611"/>
        <v>301.95859776899374</v>
      </c>
      <c r="AF1328" s="1874">
        <f t="shared" si="1611"/>
        <v>483.80216742078255</v>
      </c>
      <c r="AG1328" s="1874">
        <f t="shared" si="1611"/>
        <v>634.28204194481623</v>
      </c>
      <c r="AH1328" s="1874">
        <f t="shared" si="1611"/>
        <v>542.87255041223671</v>
      </c>
      <c r="AI1328" s="1874">
        <f t="shared" si="1611"/>
        <v>638.1864038980566</v>
      </c>
      <c r="AJ1328" s="1874">
        <f t="shared" si="1611"/>
        <v>735.57211117482257</v>
      </c>
      <c r="AK1328" s="1874">
        <f t="shared" si="1611"/>
        <v>797.94118816673335</v>
      </c>
      <c r="AL1328" s="526">
        <f t="shared" si="1611"/>
        <v>1344.4503873902759</v>
      </c>
      <c r="AM1328" s="526">
        <f>AM1288-AM1314</f>
        <v>1601.8692575706473</v>
      </c>
      <c r="AN1328" s="526">
        <f t="shared" ref="AN1328:AO1328" si="1612">AN1288-AN1314</f>
        <v>1906.0021595437147</v>
      </c>
      <c r="AO1328" s="526">
        <f t="shared" si="1612"/>
        <v>2090.6283830018165</v>
      </c>
      <c r="AP1328" s="526">
        <f t="shared" ref="AP1328:AT1328" si="1613">AP1288-AP1314</f>
        <v>1729.7228869129895</v>
      </c>
      <c r="AQ1328" s="526">
        <f t="shared" si="1613"/>
        <v>1876.7502415507361</v>
      </c>
      <c r="AR1328" s="526">
        <f t="shared" si="1613"/>
        <v>2589.1441221677042</v>
      </c>
      <c r="AS1328" s="526">
        <f t="shared" si="1613"/>
        <v>-20922.377002029632</v>
      </c>
      <c r="AT1328" s="526">
        <f t="shared" si="1613"/>
        <v>-41274.704703360905</v>
      </c>
    </row>
    <row r="1329" spans="1:46">
      <c r="A1329" s="1"/>
      <c r="B1329" s="1"/>
      <c r="C1329" s="1"/>
      <c r="D1329" s="529" t="str">
        <f>+FISCinyear!D985</f>
        <v>excluding grants</v>
      </c>
      <c r="E1329" s="530"/>
      <c r="F1329" s="530"/>
      <c r="G1329" s="530"/>
      <c r="H1329" s="530"/>
      <c r="I1329" s="530"/>
      <c r="J1329" s="530"/>
      <c r="K1329" s="530"/>
      <c r="L1329" s="530"/>
      <c r="M1329" s="530"/>
      <c r="N1329" s="530"/>
      <c r="O1329" s="530"/>
      <c r="P1329" s="530"/>
      <c r="Q1329" s="530"/>
      <c r="R1329" s="530"/>
      <c r="S1329" s="530"/>
      <c r="T1329" s="530"/>
      <c r="U1329" s="530"/>
      <c r="V1329" s="526">
        <f t="shared" ref="V1329:AL1329" si="1614">V1288-V1297-V1314</f>
        <v>-330.49571000000003</v>
      </c>
      <c r="W1329" s="526">
        <f t="shared" si="1614"/>
        <v>-385.6</v>
      </c>
      <c r="X1329" s="526">
        <f t="shared" si="1614"/>
        <v>-378.86204636000014</v>
      </c>
      <c r="Y1329" s="526">
        <f t="shared" si="1614"/>
        <v>-38.591505544590291</v>
      </c>
      <c r="Z1329" s="526">
        <f t="shared" si="1614"/>
        <v>15.575070788910807</v>
      </c>
      <c r="AA1329" s="526">
        <f t="shared" si="1614"/>
        <v>21.006955399678645</v>
      </c>
      <c r="AB1329" s="526">
        <f t="shared" si="1614"/>
        <v>-37.877588576176777</v>
      </c>
      <c r="AC1329" s="526">
        <f t="shared" si="1614"/>
        <v>24.58155987744567</v>
      </c>
      <c r="AD1329" s="526">
        <f t="shared" si="1614"/>
        <v>3.4137209909188186</v>
      </c>
      <c r="AE1329" s="1874">
        <f t="shared" si="1614"/>
        <v>-135.59980687487382</v>
      </c>
      <c r="AF1329" s="1874">
        <f t="shared" si="1614"/>
        <v>-82.254408692299421</v>
      </c>
      <c r="AG1329" s="1874">
        <f t="shared" si="1614"/>
        <v>-189.90231748146562</v>
      </c>
      <c r="AH1329" s="1874">
        <f t="shared" si="1614"/>
        <v>-168.43469534271526</v>
      </c>
      <c r="AI1329" s="1874">
        <f t="shared" si="1614"/>
        <v>-119.60500563357527</v>
      </c>
      <c r="AJ1329" s="1874">
        <f t="shared" si="1614"/>
        <v>109.80337194070944</v>
      </c>
      <c r="AK1329" s="1874">
        <f t="shared" si="1614"/>
        <v>212.72617981541362</v>
      </c>
      <c r="AL1329" s="526">
        <f t="shared" si="1614"/>
        <v>684.38376359885933</v>
      </c>
      <c r="AM1329" s="526">
        <f>AM1288-AM1297-AM1314</f>
        <v>862.09888419517392</v>
      </c>
      <c r="AN1329" s="526">
        <f t="shared" ref="AN1329:AO1329" si="1615">AN1288-AN1297-AN1314</f>
        <v>1111.6781085163548</v>
      </c>
      <c r="AO1329" s="526">
        <f t="shared" si="1615"/>
        <v>1225.6621431466883</v>
      </c>
      <c r="AP1329" s="526">
        <f t="shared" ref="AP1329:AT1329" si="1616">AP1288-AP1297-AP1314</f>
        <v>1373.8848394593042</v>
      </c>
      <c r="AQ1329" s="526">
        <f t="shared" si="1616"/>
        <v>1494.5798669287769</v>
      </c>
      <c r="AR1329" s="526">
        <f t="shared" si="1616"/>
        <v>2185.5638698628982</v>
      </c>
      <c r="AS1329" s="526">
        <f t="shared" si="1616"/>
        <v>-21349.018760665262</v>
      </c>
      <c r="AT1329" s="526">
        <f t="shared" si="1616"/>
        <v>-41721.165240727634</v>
      </c>
    </row>
    <row r="1330" spans="1:46">
      <c r="A1330" s="1"/>
      <c r="B1330" s="1"/>
      <c r="C1330" s="1"/>
      <c r="D1330" s="522" t="str">
        <f>+FISCinyear!D986</f>
        <v xml:space="preserve">Net Investment in nonfinancial assets </v>
      </c>
      <c r="E1330" s="523"/>
      <c r="F1330" s="523"/>
      <c r="G1330" s="523"/>
      <c r="H1330" s="523"/>
      <c r="I1330" s="523"/>
      <c r="J1330" s="523"/>
      <c r="K1330" s="523"/>
      <c r="L1330" s="523"/>
      <c r="M1330" s="523"/>
      <c r="N1330" s="523"/>
      <c r="O1330" s="523"/>
      <c r="P1330" s="523"/>
      <c r="Q1330" s="523"/>
      <c r="R1330" s="523"/>
      <c r="S1330" s="523"/>
      <c r="T1330" s="523"/>
      <c r="U1330" s="523"/>
      <c r="V1330" s="528">
        <f t="shared" ref="V1330:AL1330" si="1617">+V1331+V1334</f>
        <v>382.85996</v>
      </c>
      <c r="W1330" s="528">
        <f t="shared" si="1617"/>
        <v>423.29999999999995</v>
      </c>
      <c r="X1330" s="528">
        <f t="shared" si="1617"/>
        <v>417.23164803700001</v>
      </c>
      <c r="Y1330" s="528">
        <f t="shared" si="1617"/>
        <v>643.37428311067902</v>
      </c>
      <c r="Z1330" s="528">
        <f t="shared" si="1617"/>
        <v>636.11393903343844</v>
      </c>
      <c r="AA1330" s="528">
        <f t="shared" si="1617"/>
        <v>617.43717855045531</v>
      </c>
      <c r="AB1330" s="528">
        <f t="shared" si="1617"/>
        <v>606.86568859482895</v>
      </c>
      <c r="AC1330" s="528">
        <f t="shared" si="1617"/>
        <v>680.76867016215999</v>
      </c>
      <c r="AD1330" s="528">
        <f t="shared" si="1617"/>
        <v>914.67796591778165</v>
      </c>
      <c r="AE1330" s="1873">
        <f t="shared" si="1617"/>
        <v>1033.0979244993662</v>
      </c>
      <c r="AF1330" s="1873">
        <f t="shared" si="1617"/>
        <v>1254.856355703309</v>
      </c>
      <c r="AG1330" s="1873">
        <f t="shared" si="1617"/>
        <v>1593.17841072333</v>
      </c>
      <c r="AH1330" s="1873">
        <f t="shared" si="1617"/>
        <v>1518.4242141577595</v>
      </c>
      <c r="AI1330" s="1873">
        <f t="shared" si="1617"/>
        <v>1754.9915240248883</v>
      </c>
      <c r="AJ1330" s="1873">
        <f t="shared" si="1617"/>
        <v>1674.3381377769974</v>
      </c>
      <c r="AK1330" s="1873">
        <f t="shared" si="1617"/>
        <v>1708.6295175800399</v>
      </c>
      <c r="AL1330" s="528">
        <f t="shared" si="1617"/>
        <v>2122.0559270065419</v>
      </c>
      <c r="AM1330" s="528">
        <f>+AM1331+AM1334</f>
        <v>2489.9716226419996</v>
      </c>
      <c r="AN1330" s="528">
        <f t="shared" ref="AN1330:AO1330" si="1618">+AN1331+AN1334</f>
        <v>2862.4837753405709</v>
      </c>
      <c r="AO1330" s="528">
        <f t="shared" si="1618"/>
        <v>3200.646815876436</v>
      </c>
      <c r="AP1330" s="528">
        <f t="shared" ref="AP1330:AT1330" si="1619">+AP1331+AP1334</f>
        <v>2983.9522707797332</v>
      </c>
      <c r="AQ1330" s="528">
        <f t="shared" si="1619"/>
        <v>3083.5236033817928</v>
      </c>
      <c r="AR1330" s="528">
        <f t="shared" si="1619"/>
        <v>4003.4811115046623</v>
      </c>
      <c r="AS1330" s="528">
        <f t="shared" si="1619"/>
        <v>-6314.3465309500025</v>
      </c>
      <c r="AT1330" s="528">
        <f t="shared" si="1619"/>
        <v>-6334.4507380113</v>
      </c>
    </row>
    <row r="1331" spans="1:46" ht="20.25" customHeight="1" thickBot="1">
      <c r="A1331" s="1"/>
      <c r="B1331" s="1"/>
      <c r="C1331" s="1"/>
      <c r="D1331" s="525" t="str">
        <f>+FISCinyear!D987</f>
        <v>Foreign financed</v>
      </c>
      <c r="E1331" s="523"/>
      <c r="F1331" s="523"/>
      <c r="G1331" s="523"/>
      <c r="H1331" s="523"/>
      <c r="I1331" s="523"/>
      <c r="J1331" s="523"/>
      <c r="K1331" s="523"/>
      <c r="L1331" s="523"/>
      <c r="M1331" s="523"/>
      <c r="N1331" s="523"/>
      <c r="O1331" s="523"/>
      <c r="P1331" s="523"/>
      <c r="Q1331" s="523"/>
      <c r="R1331" s="523"/>
      <c r="S1331" s="523"/>
      <c r="T1331" s="523"/>
      <c r="U1331" s="523"/>
      <c r="V1331" s="526">
        <f t="shared" ref="V1331:AT1331" si="1620">+V1134</f>
        <v>164</v>
      </c>
      <c r="W1331" s="526">
        <f t="shared" si="1620"/>
        <v>191.7</v>
      </c>
      <c r="X1331" s="526">
        <f t="shared" si="1620"/>
        <v>174.9</v>
      </c>
      <c r="Y1331" s="526">
        <f t="shared" si="1620"/>
        <v>369.97105465167897</v>
      </c>
      <c r="Z1331" s="526">
        <f t="shared" si="1620"/>
        <v>340.25690310813093</v>
      </c>
      <c r="AA1331" s="526">
        <f t="shared" si="1620"/>
        <v>271.77461085745529</v>
      </c>
      <c r="AB1331" s="526">
        <f t="shared" si="1620"/>
        <v>306.74917716982901</v>
      </c>
      <c r="AC1331" s="526">
        <f t="shared" si="1620"/>
        <v>339.06041550615998</v>
      </c>
      <c r="AD1331" s="526">
        <f t="shared" si="1620"/>
        <v>448.00399623378166</v>
      </c>
      <c r="AE1331" s="1874">
        <f t="shared" si="1620"/>
        <v>547.79889337836607</v>
      </c>
      <c r="AF1331" s="1874">
        <f t="shared" si="1620"/>
        <v>685.31836062930893</v>
      </c>
      <c r="AG1331" s="1874">
        <f t="shared" si="1620"/>
        <v>788.70905168233003</v>
      </c>
      <c r="AH1331" s="1874">
        <f t="shared" si="1620"/>
        <v>771.47065498229631</v>
      </c>
      <c r="AI1331" s="1874">
        <f t="shared" si="1620"/>
        <v>1097.7924341418884</v>
      </c>
      <c r="AJ1331" s="1874">
        <f t="shared" si="1620"/>
        <v>1007.815081052132</v>
      </c>
      <c r="AK1331" s="1874">
        <f t="shared" si="1620"/>
        <v>1036.873794081589</v>
      </c>
      <c r="AL1331" s="526">
        <f t="shared" si="1620"/>
        <v>1163.00492543367</v>
      </c>
      <c r="AM1331" s="526">
        <f t="shared" si="1620"/>
        <v>1261.0513264382253</v>
      </c>
      <c r="AN1331" s="526">
        <f t="shared" si="1620"/>
        <v>1398.5236902448032</v>
      </c>
      <c r="AO1331" s="526">
        <f t="shared" si="1620"/>
        <v>1533.5721423521254</v>
      </c>
      <c r="AP1331" s="526">
        <f t="shared" si="1620"/>
        <v>1211.0841085919567</v>
      </c>
      <c r="AQ1331" s="526">
        <f t="shared" si="1620"/>
        <v>624.99539714588786</v>
      </c>
      <c r="AR1331" s="526">
        <f t="shared" si="1620"/>
        <v>328.22567897148275</v>
      </c>
      <c r="AS1331" s="526">
        <f t="shared" si="1620"/>
        <v>265.2946207375698</v>
      </c>
      <c r="AT1331" s="526">
        <f t="shared" si="1620"/>
        <v>245.19041367627273</v>
      </c>
    </row>
    <row r="1332" spans="1:46" ht="20.25" customHeight="1">
      <c r="A1332" s="1"/>
      <c r="B1332" s="1"/>
      <c r="C1332" s="1"/>
      <c r="D1332" s="1714" t="str">
        <f>D1135</f>
        <v>o/w COVID-19 (School construction/social protection)</v>
      </c>
      <c r="E1332" s="523"/>
      <c r="F1332" s="523"/>
      <c r="G1332" s="523"/>
      <c r="H1332" s="523"/>
      <c r="I1332" s="523"/>
      <c r="J1332" s="523"/>
      <c r="K1332" s="523"/>
      <c r="L1332" s="523"/>
      <c r="M1332" s="523"/>
      <c r="N1332" s="523"/>
      <c r="O1332" s="523"/>
      <c r="P1332" s="523"/>
      <c r="Q1332" s="523"/>
      <c r="R1332" s="523"/>
      <c r="S1332" s="523"/>
      <c r="T1332" s="523"/>
      <c r="U1332" s="523"/>
      <c r="V1332" s="526"/>
      <c r="W1332" s="526"/>
      <c r="X1332" s="526"/>
      <c r="Y1332" s="526"/>
      <c r="Z1332" s="526"/>
      <c r="AA1332" s="526"/>
      <c r="AB1332" s="526"/>
      <c r="AC1332" s="526"/>
      <c r="AD1332" s="526"/>
      <c r="AE1332" s="1881">
        <f t="shared" ref="AE1332:AT1332" si="1621">AE1135</f>
        <v>108.650260876</v>
      </c>
      <c r="AF1332" s="1882">
        <f t="shared" si="1621"/>
        <v>0</v>
      </c>
      <c r="AG1332" s="1882">
        <f t="shared" si="1621"/>
        <v>0</v>
      </c>
      <c r="AH1332" s="1882">
        <f t="shared" si="1621"/>
        <v>0</v>
      </c>
      <c r="AI1332" s="1882">
        <f t="shared" si="1621"/>
        <v>0</v>
      </c>
      <c r="AJ1332" s="1882">
        <f t="shared" si="1621"/>
        <v>0</v>
      </c>
      <c r="AK1332" s="1882">
        <f t="shared" si="1621"/>
        <v>0</v>
      </c>
      <c r="AL1332" s="1828">
        <f t="shared" si="1621"/>
        <v>0</v>
      </c>
      <c r="AM1332" s="1828">
        <f t="shared" si="1621"/>
        <v>0</v>
      </c>
      <c r="AN1332" s="1828">
        <f t="shared" si="1621"/>
        <v>0</v>
      </c>
      <c r="AO1332" s="1828">
        <f t="shared" si="1621"/>
        <v>0</v>
      </c>
      <c r="AP1332" s="1828">
        <f t="shared" si="1621"/>
        <v>0</v>
      </c>
      <c r="AQ1332" s="1828">
        <f t="shared" si="1621"/>
        <v>0</v>
      </c>
      <c r="AR1332" s="1828">
        <f t="shared" si="1621"/>
        <v>0</v>
      </c>
      <c r="AS1332" s="1828">
        <f t="shared" si="1621"/>
        <v>0</v>
      </c>
      <c r="AT1332" s="1828">
        <f t="shared" si="1621"/>
        <v>0</v>
      </c>
    </row>
    <row r="1333" spans="1:46" ht="20.25" customHeight="1" thickBot="1">
      <c r="A1333" s="1"/>
      <c r="B1333" s="1"/>
      <c r="C1333" s="1"/>
      <c r="D1333" s="1818" t="str">
        <f>D1136</f>
        <v>o/w vaccine</v>
      </c>
      <c r="E1333" s="523"/>
      <c r="F1333" s="523"/>
      <c r="G1333" s="523"/>
      <c r="H1333" s="523"/>
      <c r="I1333" s="523"/>
      <c r="J1333" s="523"/>
      <c r="K1333" s="523"/>
      <c r="L1333" s="523"/>
      <c r="M1333" s="523"/>
      <c r="N1333" s="523"/>
      <c r="O1333" s="523"/>
      <c r="P1333" s="523"/>
      <c r="Q1333" s="523"/>
      <c r="R1333" s="523"/>
      <c r="S1333" s="523"/>
      <c r="T1333" s="523"/>
      <c r="U1333" s="523"/>
      <c r="V1333" s="526"/>
      <c r="W1333" s="526"/>
      <c r="X1333" s="526"/>
      <c r="Y1333" s="526"/>
      <c r="Z1333" s="526"/>
      <c r="AA1333" s="526"/>
      <c r="AB1333" s="526"/>
      <c r="AC1333" s="526"/>
      <c r="AD1333" s="526"/>
      <c r="AE1333" s="1883">
        <f t="shared" ref="AE1333:AT1333" si="1622">AE1136</f>
        <v>0</v>
      </c>
      <c r="AF1333" s="1884">
        <f t="shared" si="1622"/>
        <v>0</v>
      </c>
      <c r="AG1333" s="1884">
        <f t="shared" si="1622"/>
        <v>0</v>
      </c>
      <c r="AH1333" s="1884">
        <f t="shared" si="1622"/>
        <v>0</v>
      </c>
      <c r="AI1333" s="1884">
        <f t="shared" si="1622"/>
        <v>0</v>
      </c>
      <c r="AJ1333" s="1884">
        <f t="shared" si="1622"/>
        <v>0</v>
      </c>
      <c r="AK1333" s="1884">
        <f t="shared" si="1622"/>
        <v>0</v>
      </c>
      <c r="AL1333" s="1829">
        <f t="shared" si="1622"/>
        <v>0</v>
      </c>
      <c r="AM1333" s="1829">
        <f t="shared" si="1622"/>
        <v>0</v>
      </c>
      <c r="AN1333" s="1829">
        <f t="shared" si="1622"/>
        <v>0</v>
      </c>
      <c r="AO1333" s="1829">
        <f t="shared" si="1622"/>
        <v>0</v>
      </c>
      <c r="AP1333" s="1829">
        <f t="shared" si="1622"/>
        <v>0</v>
      </c>
      <c r="AQ1333" s="1829">
        <f t="shared" si="1622"/>
        <v>0</v>
      </c>
      <c r="AR1333" s="1829">
        <f t="shared" si="1622"/>
        <v>0</v>
      </c>
      <c r="AS1333" s="1829">
        <f t="shared" si="1622"/>
        <v>0</v>
      </c>
      <c r="AT1333" s="1829">
        <f t="shared" si="1622"/>
        <v>0</v>
      </c>
    </row>
    <row r="1334" spans="1:46">
      <c r="A1334" s="1"/>
      <c r="B1334" s="1"/>
      <c r="C1334" s="1"/>
      <c r="D1334" s="525" t="str">
        <f>+FISCinyear!D988</f>
        <v>Domestically financed</v>
      </c>
      <c r="E1334" s="523"/>
      <c r="F1334" s="523"/>
      <c r="G1334" s="523"/>
      <c r="H1334" s="523"/>
      <c r="I1334" s="523"/>
      <c r="J1334" s="523"/>
      <c r="K1334" s="523"/>
      <c r="L1334" s="523"/>
      <c r="M1334" s="523"/>
      <c r="N1334" s="523"/>
      <c r="O1334" s="523"/>
      <c r="P1334" s="523"/>
      <c r="Q1334" s="523"/>
      <c r="R1334" s="523"/>
      <c r="S1334" s="523"/>
      <c r="T1334" s="523"/>
      <c r="U1334" s="523"/>
      <c r="V1334" s="526">
        <f t="shared" ref="V1334:AT1334" si="1623">+V1138</f>
        <v>218.85996</v>
      </c>
      <c r="W1334" s="526">
        <f t="shared" si="1623"/>
        <v>231.6</v>
      </c>
      <c r="X1334" s="526">
        <f t="shared" si="1623"/>
        <v>242.33164803700001</v>
      </c>
      <c r="Y1334" s="526">
        <f t="shared" si="1623"/>
        <v>273.40322845899999</v>
      </c>
      <c r="Z1334" s="526">
        <f t="shared" si="1623"/>
        <v>295.85703592530751</v>
      </c>
      <c r="AA1334" s="526">
        <f t="shared" si="1623"/>
        <v>345.66256769300003</v>
      </c>
      <c r="AB1334" s="526">
        <f t="shared" si="1623"/>
        <v>300.116511425</v>
      </c>
      <c r="AC1334" s="526">
        <f t="shared" si="1623"/>
        <v>341.70825465600001</v>
      </c>
      <c r="AD1334" s="526">
        <f t="shared" si="1623"/>
        <v>466.67396968400004</v>
      </c>
      <c r="AE1334" s="1874">
        <f t="shared" si="1623"/>
        <v>485.29903112100004</v>
      </c>
      <c r="AF1334" s="1874">
        <f t="shared" si="1623"/>
        <v>569.53799507400004</v>
      </c>
      <c r="AG1334" s="1874">
        <f t="shared" si="1623"/>
        <v>804.46935904099996</v>
      </c>
      <c r="AH1334" s="1874">
        <f t="shared" si="1623"/>
        <v>746.95355917546317</v>
      </c>
      <c r="AI1334" s="1874">
        <f t="shared" si="1623"/>
        <v>657.19908988299994</v>
      </c>
      <c r="AJ1334" s="1874">
        <f t="shared" si="1623"/>
        <v>666.52305672486546</v>
      </c>
      <c r="AK1334" s="1874">
        <f t="shared" si="1623"/>
        <v>671.75572349845083</v>
      </c>
      <c r="AL1334" s="526">
        <f t="shared" si="1623"/>
        <v>959.05100157287177</v>
      </c>
      <c r="AM1334" s="526">
        <f t="shared" si="1623"/>
        <v>1228.9202962037741</v>
      </c>
      <c r="AN1334" s="526">
        <f t="shared" si="1623"/>
        <v>1463.9600850957679</v>
      </c>
      <c r="AO1334" s="526">
        <f t="shared" si="1623"/>
        <v>1667.0746735243106</v>
      </c>
      <c r="AP1334" s="526">
        <f t="shared" si="1623"/>
        <v>1772.8681621877768</v>
      </c>
      <c r="AQ1334" s="526">
        <f t="shared" si="1623"/>
        <v>2458.5282062359051</v>
      </c>
      <c r="AR1334" s="526">
        <f t="shared" si="1623"/>
        <v>3675.2554325331794</v>
      </c>
      <c r="AS1334" s="526">
        <f t="shared" si="1623"/>
        <v>-6579.6411516875723</v>
      </c>
      <c r="AT1334" s="526">
        <f t="shared" si="1623"/>
        <v>-6579.6411516875723</v>
      </c>
    </row>
    <row r="1335" spans="1:46" ht="16" thickBot="1">
      <c r="A1335" s="1"/>
      <c r="B1335" s="1"/>
      <c r="C1335" s="1"/>
      <c r="D1335" s="1714" t="str">
        <f>D1140</f>
        <v>of which: Covid-19 spending</v>
      </c>
      <c r="E1335" s="523"/>
      <c r="F1335" s="523"/>
      <c r="G1335" s="523"/>
      <c r="H1335" s="523"/>
      <c r="I1335" s="523"/>
      <c r="J1335" s="523"/>
      <c r="K1335" s="523"/>
      <c r="L1335" s="523"/>
      <c r="M1335" s="523"/>
      <c r="N1335" s="523"/>
      <c r="O1335" s="523"/>
      <c r="P1335" s="523"/>
      <c r="Q1335" s="523"/>
      <c r="R1335" s="523"/>
      <c r="S1335" s="523"/>
      <c r="T1335" s="523"/>
      <c r="U1335" s="523"/>
      <c r="V1335" s="526"/>
      <c r="W1335" s="526"/>
      <c r="X1335" s="526"/>
      <c r="Y1335" s="526"/>
      <c r="Z1335" s="526"/>
      <c r="AA1335" s="526"/>
      <c r="AB1335" s="526"/>
      <c r="AC1335" s="526"/>
      <c r="AD1335" s="526"/>
      <c r="AE1335" s="1874">
        <f t="shared" ref="AE1335:AT1335" si="1624">AE1140</f>
        <v>27.4</v>
      </c>
      <c r="AF1335" s="1874">
        <f t="shared" si="1624"/>
        <v>0</v>
      </c>
      <c r="AG1335" s="1874">
        <f t="shared" si="1624"/>
        <v>0</v>
      </c>
      <c r="AH1335" s="1874">
        <f t="shared" si="1624"/>
        <v>0</v>
      </c>
      <c r="AI1335" s="1874">
        <f t="shared" si="1624"/>
        <v>0</v>
      </c>
      <c r="AJ1335" s="1874">
        <f t="shared" si="1624"/>
        <v>0</v>
      </c>
      <c r="AK1335" s="1874">
        <f t="shared" si="1624"/>
        <v>0</v>
      </c>
      <c r="AL1335" s="526">
        <f t="shared" si="1624"/>
        <v>0</v>
      </c>
      <c r="AM1335" s="526">
        <f t="shared" si="1624"/>
        <v>0</v>
      </c>
      <c r="AN1335" s="526">
        <f t="shared" si="1624"/>
        <v>0</v>
      </c>
      <c r="AO1335" s="526">
        <f t="shared" si="1624"/>
        <v>0</v>
      </c>
      <c r="AP1335" s="526">
        <f t="shared" si="1624"/>
        <v>0</v>
      </c>
      <c r="AQ1335" s="526">
        <f t="shared" si="1624"/>
        <v>0</v>
      </c>
      <c r="AR1335" s="526">
        <f t="shared" si="1624"/>
        <v>0</v>
      </c>
      <c r="AS1335" s="526">
        <f t="shared" si="1624"/>
        <v>0</v>
      </c>
      <c r="AT1335" s="526">
        <f t="shared" si="1624"/>
        <v>0</v>
      </c>
    </row>
    <row r="1336" spans="1:46">
      <c r="A1336" s="1"/>
      <c r="B1336" s="1"/>
      <c r="C1336" s="1"/>
      <c r="D1336" s="1674" t="str">
        <f>+FISCinyear!D989</f>
        <v>Net lending (+) / borrowing (-) {deficit/Surplus}</v>
      </c>
      <c r="E1336" s="1675"/>
      <c r="F1336" s="1675"/>
      <c r="G1336" s="1675"/>
      <c r="H1336" s="1675"/>
      <c r="I1336" s="1675"/>
      <c r="J1336" s="1675"/>
      <c r="K1336" s="1675"/>
      <c r="L1336" s="1675"/>
      <c r="M1336" s="1675"/>
      <c r="N1336" s="1675"/>
      <c r="O1336" s="1675"/>
      <c r="P1336" s="1675"/>
      <c r="Q1336" s="1675"/>
      <c r="R1336" s="1675"/>
      <c r="S1336" s="1675"/>
      <c r="T1336" s="1675"/>
      <c r="U1336" s="1675"/>
      <c r="V1336" s="1666"/>
      <c r="W1336" s="1666"/>
      <c r="X1336" s="1666"/>
      <c r="Y1336" s="1666"/>
      <c r="Z1336" s="1666"/>
      <c r="AA1336" s="1666"/>
      <c r="AB1336" s="1666"/>
      <c r="AC1336" s="1666"/>
      <c r="AD1336" s="1666"/>
      <c r="AE1336" s="1885"/>
      <c r="AF1336" s="1885"/>
      <c r="AG1336" s="1885"/>
      <c r="AH1336" s="1885"/>
      <c r="AI1336" s="1885"/>
      <c r="AJ1336" s="1885"/>
      <c r="AK1336" s="1885"/>
      <c r="AL1336" s="1667"/>
      <c r="AM1336" s="1667"/>
      <c r="AN1336" s="1667"/>
      <c r="AO1336" s="1667"/>
      <c r="AP1336" s="1667"/>
      <c r="AQ1336" s="1667"/>
      <c r="AR1336" s="1667"/>
      <c r="AS1336" s="1667"/>
      <c r="AT1336" s="1667"/>
    </row>
    <row r="1337" spans="1:46">
      <c r="A1337" s="1"/>
      <c r="B1337" s="1"/>
      <c r="C1337" s="1"/>
      <c r="D1337" s="1676" t="str">
        <f>+FISCinyear!D990</f>
        <v>including grants</v>
      </c>
      <c r="E1337" s="530"/>
      <c r="F1337" s="530"/>
      <c r="G1337" s="530"/>
      <c r="H1337" s="530"/>
      <c r="I1337" s="530"/>
      <c r="J1337" s="530"/>
      <c r="K1337" s="530"/>
      <c r="L1337" s="530"/>
      <c r="M1337" s="530"/>
      <c r="N1337" s="530"/>
      <c r="O1337" s="530"/>
      <c r="P1337" s="530"/>
      <c r="Q1337" s="530"/>
      <c r="R1337" s="530"/>
      <c r="S1337" s="530"/>
      <c r="T1337" s="530"/>
      <c r="U1337" s="530"/>
      <c r="V1337" s="526">
        <f t="shared" ref="V1337:AD1337" si="1625">V1328-V1330</f>
        <v>-334.32990016500003</v>
      </c>
      <c r="W1337" s="526">
        <f t="shared" si="1625"/>
        <v>-351.5</v>
      </c>
      <c r="X1337" s="526">
        <f t="shared" si="1625"/>
        <v>-431.19369439700017</v>
      </c>
      <c r="Y1337" s="526">
        <f t="shared" si="1625"/>
        <v>-207.64913143264926</v>
      </c>
      <c r="Z1337" s="526">
        <f t="shared" si="1625"/>
        <v>-204.611461249228</v>
      </c>
      <c r="AA1337" s="526">
        <f t="shared" si="1625"/>
        <v>-222.71661735722739</v>
      </c>
      <c r="AB1337" s="526">
        <f t="shared" si="1625"/>
        <v>-314.56119322448717</v>
      </c>
      <c r="AC1337" s="526">
        <f t="shared" si="1625"/>
        <v>-297.27843341600385</v>
      </c>
      <c r="AD1337" s="526">
        <f t="shared" si="1625"/>
        <v>-516.51418707064704</v>
      </c>
      <c r="AE1337" s="1874">
        <f>AE1288-AE1314-AE1330</f>
        <v>-731.13932673037243</v>
      </c>
      <c r="AF1337" s="1874">
        <f>AF1288-AF1314-AF1330</f>
        <v>-771.05418828252641</v>
      </c>
      <c r="AG1337" s="1874">
        <f>AG1288-AG1314-AG1330</f>
        <v>-958.89636877851376</v>
      </c>
      <c r="AH1337" s="1874">
        <f t="shared" ref="AH1337:AM1337" si="1626">AH1328-AH1330</f>
        <v>-975.55166374552277</v>
      </c>
      <c r="AI1337" s="1874">
        <f t="shared" si="1626"/>
        <v>-1116.8051201268318</v>
      </c>
      <c r="AJ1337" s="1874">
        <f t="shared" si="1626"/>
        <v>-938.76602660217486</v>
      </c>
      <c r="AK1337" s="1874">
        <f t="shared" si="1626"/>
        <v>-910.68832941330652</v>
      </c>
      <c r="AL1337" s="526">
        <f t="shared" si="1626"/>
        <v>-777.60553961626601</v>
      </c>
      <c r="AM1337" s="526">
        <f t="shared" si="1626"/>
        <v>-888.10236507135232</v>
      </c>
      <c r="AN1337" s="526">
        <f t="shared" ref="AN1337:AO1337" si="1627">AN1328-AN1330</f>
        <v>-956.4816157968562</v>
      </c>
      <c r="AO1337" s="526">
        <f t="shared" si="1627"/>
        <v>-1110.0184328746195</v>
      </c>
      <c r="AP1337" s="526">
        <f t="shared" ref="AP1337:AT1337" si="1628">AP1328-AP1330</f>
        <v>-1254.2293838667438</v>
      </c>
      <c r="AQ1337" s="526">
        <f t="shared" si="1628"/>
        <v>-1206.7733618310567</v>
      </c>
      <c r="AR1337" s="526">
        <f t="shared" si="1628"/>
        <v>-1414.3369893369581</v>
      </c>
      <c r="AS1337" s="526">
        <f t="shared" si="1628"/>
        <v>-14608.03047107963</v>
      </c>
      <c r="AT1337" s="526">
        <f t="shared" si="1628"/>
        <v>-34940.253965349606</v>
      </c>
    </row>
    <row r="1338" spans="1:46">
      <c r="A1338" s="1"/>
      <c r="B1338" s="1"/>
      <c r="C1338" s="1"/>
      <c r="D1338" s="1676" t="str">
        <f>+FISCinyear!D991</f>
        <v>excluding grants</v>
      </c>
      <c r="E1338" s="530"/>
      <c r="F1338" s="530"/>
      <c r="G1338" s="530"/>
      <c r="H1338" s="530"/>
      <c r="I1338" s="530"/>
      <c r="J1338" s="530"/>
      <c r="K1338" s="530"/>
      <c r="L1338" s="530"/>
      <c r="M1338" s="530"/>
      <c r="N1338" s="530"/>
      <c r="O1338" s="530"/>
      <c r="P1338" s="530"/>
      <c r="Q1338" s="530"/>
      <c r="R1338" s="530"/>
      <c r="S1338" s="530"/>
      <c r="T1338" s="530"/>
      <c r="U1338" s="530"/>
      <c r="V1338" s="526">
        <f t="shared" ref="V1338:AD1338" si="1629">V1329-V1330</f>
        <v>-713.35567000000003</v>
      </c>
      <c r="W1338" s="526">
        <f t="shared" si="1629"/>
        <v>-808.9</v>
      </c>
      <c r="X1338" s="526">
        <f t="shared" si="1629"/>
        <v>-796.09369439700015</v>
      </c>
      <c r="Y1338" s="526">
        <f t="shared" si="1629"/>
        <v>-681.96578865526931</v>
      </c>
      <c r="Z1338" s="526">
        <f t="shared" si="1629"/>
        <v>-620.53886824452763</v>
      </c>
      <c r="AA1338" s="526">
        <f t="shared" si="1629"/>
        <v>-596.43022315077667</v>
      </c>
      <c r="AB1338" s="526">
        <f t="shared" si="1629"/>
        <v>-644.74327717100573</v>
      </c>
      <c r="AC1338" s="526">
        <f t="shared" si="1629"/>
        <v>-656.18711028471432</v>
      </c>
      <c r="AD1338" s="526">
        <f t="shared" si="1629"/>
        <v>-911.26424492686283</v>
      </c>
      <c r="AE1338" s="1874">
        <f>AE1337-AE1297</f>
        <v>-1168.69773137424</v>
      </c>
      <c r="AF1338" s="1874">
        <f>AF1337-AF1297</f>
        <v>-1337.1107643956084</v>
      </c>
      <c r="AG1338" s="1874">
        <f>AG1337-AG1297</f>
        <v>-1783.0807282047954</v>
      </c>
      <c r="AH1338" s="1874">
        <f t="shared" ref="AH1338:AM1338" si="1630">AH1329-AH1330</f>
        <v>-1686.8589095004747</v>
      </c>
      <c r="AI1338" s="1874">
        <f t="shared" si="1630"/>
        <v>-1874.5965296584636</v>
      </c>
      <c r="AJ1338" s="1874">
        <f t="shared" si="1630"/>
        <v>-1564.534765836288</v>
      </c>
      <c r="AK1338" s="1874">
        <f t="shared" si="1630"/>
        <v>-1495.9033377646263</v>
      </c>
      <c r="AL1338" s="526">
        <f t="shared" si="1630"/>
        <v>-1437.6721634076825</v>
      </c>
      <c r="AM1338" s="526">
        <f t="shared" si="1630"/>
        <v>-1627.8727384468257</v>
      </c>
      <c r="AN1338" s="526">
        <f t="shared" ref="AN1338:AO1338" si="1631">AN1329-AN1330</f>
        <v>-1750.8056668242161</v>
      </c>
      <c r="AO1338" s="526">
        <f t="shared" si="1631"/>
        <v>-1974.9846727297477</v>
      </c>
      <c r="AP1338" s="526">
        <f t="shared" ref="AP1338:AT1338" si="1632">AP1329-AP1330</f>
        <v>-1610.067431320429</v>
      </c>
      <c r="AQ1338" s="526">
        <f t="shared" si="1632"/>
        <v>-1588.9437364530158</v>
      </c>
      <c r="AR1338" s="526">
        <f t="shared" si="1632"/>
        <v>-1817.9172416417641</v>
      </c>
      <c r="AS1338" s="526">
        <f t="shared" si="1632"/>
        <v>-15034.672229715259</v>
      </c>
      <c r="AT1338" s="526">
        <f t="shared" si="1632"/>
        <v>-35386.714502716335</v>
      </c>
    </row>
    <row r="1339" spans="1:46">
      <c r="A1339" s="1"/>
      <c r="B1339" s="1"/>
      <c r="C1339" s="1"/>
      <c r="D1339" s="528" t="s">
        <v>3104</v>
      </c>
      <c r="E1339" s="528"/>
      <c r="F1339" s="528"/>
      <c r="G1339" s="528"/>
      <c r="H1339" s="528"/>
      <c r="I1339" s="528"/>
      <c r="J1339" s="528"/>
      <c r="K1339" s="530"/>
      <c r="L1339" s="530"/>
      <c r="M1339" s="530"/>
      <c r="N1339" s="530"/>
      <c r="O1339" s="530"/>
      <c r="P1339" s="530"/>
      <c r="Q1339" s="530"/>
      <c r="R1339" s="530"/>
      <c r="S1339" s="530"/>
      <c r="T1339" s="530"/>
      <c r="U1339" s="530"/>
      <c r="V1339" s="526"/>
      <c r="W1339" s="526"/>
      <c r="X1339" s="526"/>
      <c r="Y1339" s="526"/>
      <c r="Z1339" s="526"/>
      <c r="AA1339" s="526"/>
      <c r="AB1339" s="526"/>
      <c r="AC1339" s="526"/>
      <c r="AD1339" s="526"/>
      <c r="AE1339" s="1874"/>
      <c r="AF1339" s="1874"/>
      <c r="AG1339" s="1874"/>
      <c r="AH1339" s="1874"/>
      <c r="AI1339" s="1874"/>
      <c r="AJ1339" s="1874"/>
      <c r="AK1339" s="1874"/>
      <c r="AL1339" s="1668"/>
      <c r="AM1339" s="1668"/>
      <c r="AN1339" s="1668"/>
      <c r="AO1339" s="1668"/>
      <c r="AP1339" s="1668"/>
      <c r="AQ1339" s="1668"/>
      <c r="AR1339" s="1668"/>
      <c r="AS1339" s="1668"/>
      <c r="AT1339" s="1668"/>
    </row>
    <row r="1340" spans="1:46">
      <c r="A1340" s="1"/>
      <c r="B1340" s="1"/>
      <c r="C1340" s="1"/>
      <c r="D1340" s="1710" t="s">
        <v>3225</v>
      </c>
      <c r="E1340" s="1141"/>
      <c r="F1340" s="1141"/>
      <c r="G1340" s="1141"/>
      <c r="H1340" s="1141"/>
      <c r="I1340" s="1141"/>
      <c r="J1340" s="1141"/>
      <c r="K1340" s="1141"/>
      <c r="L1340" s="1141"/>
      <c r="M1340" s="1141"/>
      <c r="N1340" s="1141"/>
      <c r="O1340" s="1141"/>
      <c r="P1340" s="1141"/>
      <c r="Q1340" s="1141"/>
      <c r="R1340" s="1141"/>
      <c r="S1340" s="1141"/>
      <c r="T1340" s="1141"/>
      <c r="U1340" s="1141"/>
      <c r="V1340" s="1152"/>
      <c r="W1340" s="1152"/>
      <c r="X1340" s="1152"/>
      <c r="Y1340" s="1698"/>
      <c r="Z1340" s="1698"/>
      <c r="AA1340" s="1698"/>
      <c r="AB1340" s="1152">
        <f t="shared" ref="AB1340:AT1340" si="1633">AB1153</f>
        <v>-446.57953556713727</v>
      </c>
      <c r="AC1340" s="1152">
        <f t="shared" si="1633"/>
        <v>-425.32103872027881</v>
      </c>
      <c r="AD1340" s="1152">
        <f t="shared" si="1633"/>
        <v>-509.94148877293156</v>
      </c>
      <c r="AE1340" s="1886">
        <f t="shared" si="1633"/>
        <v>-711.70219671927759</v>
      </c>
      <c r="AF1340" s="1886">
        <f t="shared" si="1633"/>
        <v>-785.81733044043381</v>
      </c>
      <c r="AG1340" s="1886">
        <f t="shared" si="1633"/>
        <v>-880.5163430012708</v>
      </c>
      <c r="AH1340" s="1886">
        <f t="shared" si="1633"/>
        <v>-939.75481169252282</v>
      </c>
      <c r="AI1340" s="1886">
        <f t="shared" si="1633"/>
        <v>-1081.6893161918326</v>
      </c>
      <c r="AJ1340" s="1886">
        <f t="shared" si="1633"/>
        <v>-902.79634941417487</v>
      </c>
      <c r="AK1340" s="1886">
        <f t="shared" si="1633"/>
        <v>-876.71865222530653</v>
      </c>
      <c r="AL1340" s="1152">
        <f t="shared" si="1633"/>
        <v>-743.7342554175035</v>
      </c>
      <c r="AM1340" s="1152">
        <f t="shared" si="1633"/>
        <v>-851.26084938069403</v>
      </c>
      <c r="AN1340" s="1152">
        <f t="shared" si="1633"/>
        <v>-914.12577347111085</v>
      </c>
      <c r="AO1340" s="1152">
        <f t="shared" si="1633"/>
        <v>-1062.4098601452465</v>
      </c>
      <c r="AP1340" s="1152">
        <f t="shared" si="1633"/>
        <v>-1101.1082962699943</v>
      </c>
      <c r="AQ1340" s="1152">
        <f t="shared" si="1633"/>
        <v>-1046.735667337733</v>
      </c>
      <c r="AR1340" s="1152">
        <f t="shared" si="1633"/>
        <v>-1243.0345056681335</v>
      </c>
      <c r="AS1340" s="1152">
        <f t="shared" si="1633"/>
        <v>-14428.162863227364</v>
      </c>
      <c r="AT1340" s="1152">
        <f t="shared" si="1633"/>
        <v>-34751.392977104726</v>
      </c>
    </row>
    <row r="1341" spans="1:46">
      <c r="A1341" s="1"/>
      <c r="B1341" s="1"/>
      <c r="C1341" s="1"/>
      <c r="D1341" s="1682" t="s">
        <v>3246</v>
      </c>
      <c r="E1341" s="1141"/>
      <c r="F1341" s="1141"/>
      <c r="G1341" s="1141"/>
      <c r="H1341" s="1141"/>
      <c r="I1341" s="1141"/>
      <c r="J1341" s="1141"/>
      <c r="K1341" s="1141"/>
      <c r="L1341" s="1141"/>
      <c r="M1341" s="1141"/>
      <c r="N1341" s="1141"/>
      <c r="O1341" s="1141"/>
      <c r="P1341" s="1141"/>
      <c r="Q1341" s="1141"/>
      <c r="R1341" s="1141"/>
      <c r="S1341" s="1141"/>
      <c r="T1341" s="1141"/>
      <c r="U1341" s="1141"/>
      <c r="V1341" s="1152"/>
      <c r="W1341" s="1152"/>
      <c r="X1341" s="1152"/>
      <c r="Y1341" s="1698"/>
      <c r="Z1341" s="1698"/>
      <c r="AA1341" s="1698"/>
      <c r="AB1341" s="1152">
        <f t="shared" ref="AB1341:AT1341" si="1634">AB1154</f>
        <v>-283.31119322448728</v>
      </c>
      <c r="AC1341" s="1152">
        <f t="shared" si="1634"/>
        <v>-253.51843341600386</v>
      </c>
      <c r="AD1341" s="1152">
        <f t="shared" si="1634"/>
        <v>-466.83981640650069</v>
      </c>
      <c r="AE1341" s="1886">
        <f t="shared" si="1634"/>
        <v>-540.41754997913313</v>
      </c>
      <c r="AF1341" s="1886">
        <f t="shared" si="1634"/>
        <v>-721.80311343945903</v>
      </c>
      <c r="AG1341" s="1886">
        <f t="shared" si="1634"/>
        <v>-769.75700010412629</v>
      </c>
      <c r="AH1341" s="1886">
        <f t="shared" si="1634"/>
        <v>-975.55166374552277</v>
      </c>
      <c r="AI1341" s="1886">
        <f t="shared" si="1634"/>
        <v>-1115.6051201268326</v>
      </c>
      <c r="AJ1341" s="1886">
        <f t="shared" si="1634"/>
        <v>-931.42194097893343</v>
      </c>
      <c r="AK1341" s="1886">
        <f t="shared" si="1634"/>
        <v>-910.68832941330652</v>
      </c>
      <c r="AL1341" s="1152">
        <f t="shared" si="1634"/>
        <v>-777.60553961626601</v>
      </c>
      <c r="AM1341" s="1152">
        <f t="shared" si="1634"/>
        <v>-888.10236507135232</v>
      </c>
      <c r="AN1341" s="1152">
        <f t="shared" si="1634"/>
        <v>-956.4816157968562</v>
      </c>
      <c r="AO1341" s="1152">
        <f t="shared" si="1634"/>
        <v>-1110.0184328746195</v>
      </c>
      <c r="AP1341" s="1152">
        <f t="shared" si="1634"/>
        <v>-1254.2293838667438</v>
      </c>
      <c r="AQ1341" s="1152">
        <f t="shared" si="1634"/>
        <v>-1206.7733618310567</v>
      </c>
      <c r="AR1341" s="1152">
        <f t="shared" si="1634"/>
        <v>-1414.3369893369581</v>
      </c>
      <c r="AS1341" s="1152">
        <f t="shared" si="1634"/>
        <v>-14608.03047107963</v>
      </c>
      <c r="AT1341" s="1152">
        <f t="shared" si="1634"/>
        <v>-34940.253965349606</v>
      </c>
    </row>
    <row r="1342" spans="1:46">
      <c r="A1342" s="1"/>
      <c r="B1342" s="1"/>
      <c r="C1342" s="1"/>
      <c r="D1342" s="1682" t="s">
        <v>3247</v>
      </c>
      <c r="E1342" s="1141"/>
      <c r="F1342" s="1141"/>
      <c r="G1342" s="1141"/>
      <c r="H1342" s="1141"/>
      <c r="I1342" s="1141"/>
      <c r="J1342" s="1141"/>
      <c r="K1342" s="1141"/>
      <c r="L1342" s="1141"/>
      <c r="M1342" s="1141"/>
      <c r="N1342" s="1141"/>
      <c r="O1342" s="1141"/>
      <c r="P1342" s="1141"/>
      <c r="Q1342" s="1141"/>
      <c r="R1342" s="1141"/>
      <c r="S1342" s="1141"/>
      <c r="T1342" s="1141"/>
      <c r="U1342" s="1141"/>
      <c r="V1342" s="1152"/>
      <c r="W1342" s="1152"/>
      <c r="X1342" s="1152"/>
      <c r="Y1342" s="1698"/>
      <c r="Z1342" s="1698"/>
      <c r="AA1342" s="1698"/>
      <c r="AB1342" s="1152">
        <f t="shared" ref="AB1342:AT1342" si="1635">AB1155</f>
        <v>-314.56119322448728</v>
      </c>
      <c r="AC1342" s="1152">
        <f t="shared" si="1635"/>
        <v>-297.27843341600385</v>
      </c>
      <c r="AD1342" s="1152">
        <f t="shared" si="1635"/>
        <v>-516.51418707064704</v>
      </c>
      <c r="AE1342" s="1886">
        <f t="shared" si="1635"/>
        <v>-741.26781085513312</v>
      </c>
      <c r="AF1342" s="1886">
        <f t="shared" si="1635"/>
        <v>-674.74715732852644</v>
      </c>
      <c r="AG1342" s="1886">
        <f t="shared" si="1635"/>
        <v>-706.65369854012624</v>
      </c>
      <c r="AH1342" s="1886">
        <f t="shared" si="1635"/>
        <v>-919.26568007155277</v>
      </c>
      <c r="AI1342" s="1886">
        <f t="shared" si="1635"/>
        <v>-1070.5051201268327</v>
      </c>
      <c r="AJ1342" s="1886">
        <f t="shared" si="1635"/>
        <v>-895.0997658438032</v>
      </c>
      <c r="AK1342" s="1886">
        <f t="shared" si="1635"/>
        <v>-885.89548865731626</v>
      </c>
      <c r="AL1342" s="1152">
        <f t="shared" si="1635"/>
        <v>-777.60553961626601</v>
      </c>
      <c r="AM1342" s="1152">
        <f t="shared" si="1635"/>
        <v>-888.10236507135232</v>
      </c>
      <c r="AN1342" s="1152">
        <f t="shared" si="1635"/>
        <v>-956.4816157968562</v>
      </c>
      <c r="AO1342" s="1152">
        <f t="shared" si="1635"/>
        <v>-1110.0184328746195</v>
      </c>
      <c r="AP1342" s="1152">
        <f t="shared" si="1635"/>
        <v>-1254.2293838667438</v>
      </c>
      <c r="AQ1342" s="1152">
        <f t="shared" si="1635"/>
        <v>-1206.7733618310567</v>
      </c>
      <c r="AR1342" s="1152">
        <f t="shared" si="1635"/>
        <v>-1414.3369893369581</v>
      </c>
      <c r="AS1342" s="1152">
        <f t="shared" si="1635"/>
        <v>-14608.03047107963</v>
      </c>
      <c r="AT1342" s="1152">
        <f t="shared" si="1635"/>
        <v>-34940.253965349606</v>
      </c>
    </row>
    <row r="1343" spans="1:46">
      <c r="A1343" s="1"/>
      <c r="B1343" s="1"/>
      <c r="C1343" s="1"/>
      <c r="D1343" s="1682" t="s">
        <v>3226</v>
      </c>
      <c r="E1343" s="1141"/>
      <c r="F1343" s="1141"/>
      <c r="G1343" s="1141"/>
      <c r="H1343" s="1141"/>
      <c r="I1343" s="1141"/>
      <c r="J1343" s="1141"/>
      <c r="K1343" s="1141"/>
      <c r="L1343" s="1141"/>
      <c r="M1343" s="1141"/>
      <c r="N1343" s="1141"/>
      <c r="O1343" s="1141"/>
      <c r="P1343" s="1141"/>
      <c r="Q1343" s="1141"/>
      <c r="R1343" s="1141"/>
      <c r="S1343" s="1141"/>
      <c r="T1343" s="1141"/>
      <c r="U1343" s="1141"/>
      <c r="V1343" s="1152"/>
      <c r="W1343" s="1152"/>
      <c r="X1343" s="1152"/>
      <c r="Y1343" s="1698"/>
      <c r="Z1343" s="1698"/>
      <c r="AA1343" s="1698"/>
      <c r="AB1343" s="1152">
        <f t="shared" ref="AB1343:AT1343" si="1636">AB1156</f>
        <v>-446.57953556713727</v>
      </c>
      <c r="AC1343" s="1152">
        <f t="shared" si="1636"/>
        <v>-425.32103872027881</v>
      </c>
      <c r="AD1343" s="1152">
        <f t="shared" si="1636"/>
        <v>-213.64814625644868</v>
      </c>
      <c r="AE1343" s="1886">
        <f t="shared" si="1636"/>
        <v>-178.43359540396193</v>
      </c>
      <c r="AF1343" s="1886">
        <f t="shared" si="1636"/>
        <v>-489.40177165501404</v>
      </c>
      <c r="AG1343" s="1886">
        <f t="shared" si="1636"/>
        <v>-594.63928043298176</v>
      </c>
      <c r="AH1343" s="1886">
        <f t="shared" si="1636"/>
        <v>-646.84786519374029</v>
      </c>
      <c r="AI1343" s="1886">
        <f t="shared" si="1636"/>
        <v>-661.36405467179816</v>
      </c>
      <c r="AJ1343" s="1886">
        <f t="shared" si="1636"/>
        <v>-475.46002888226406</v>
      </c>
      <c r="AK1343" s="1886">
        <f t="shared" si="1636"/>
        <v>-482.22066301654849</v>
      </c>
      <c r="AL1343" s="1152">
        <f t="shared" si="1636"/>
        <v>-321.37506644319859</v>
      </c>
      <c r="AM1343" s="1152">
        <f t="shared" si="1636"/>
        <v>-406.27806611117285</v>
      </c>
      <c r="AN1343" s="1152">
        <f t="shared" si="1636"/>
        <v>-449.08360263028851</v>
      </c>
      <c r="AO1343" s="1152">
        <f t="shared" si="1636"/>
        <v>-582.90050360387363</v>
      </c>
      <c r="AP1343" s="1152">
        <f t="shared" si="1636"/>
        <v>-697.14033053215269</v>
      </c>
      <c r="AQ1343" s="1152">
        <f t="shared" si="1636"/>
        <v>-583.03670636989796</v>
      </c>
      <c r="AR1343" s="1152">
        <f t="shared" si="1636"/>
        <v>-746.69654016615459</v>
      </c>
      <c r="AS1343" s="1152">
        <f t="shared" si="1636"/>
        <v>-13907.007999450287</v>
      </c>
      <c r="AT1343" s="1152">
        <f t="shared" si="1636"/>
        <v>-34204.180370138798</v>
      </c>
    </row>
    <row r="1344" spans="1:46">
      <c r="A1344" s="1"/>
      <c r="B1344" s="1"/>
      <c r="C1344" s="1"/>
      <c r="D1344" s="1696" t="s">
        <v>3212</v>
      </c>
      <c r="E1344" s="638"/>
      <c r="F1344" s="638"/>
      <c r="G1344" s="638"/>
      <c r="H1344" s="638"/>
      <c r="I1344" s="638"/>
      <c r="J1344" s="638"/>
      <c r="K1344" s="638"/>
      <c r="L1344" s="638"/>
      <c r="M1344" s="638"/>
      <c r="N1344" s="638"/>
      <c r="O1344" s="638"/>
      <c r="P1344" s="638"/>
      <c r="Q1344" s="638"/>
      <c r="R1344" s="638"/>
      <c r="S1344" s="638"/>
      <c r="T1344" s="638"/>
      <c r="U1344" s="638"/>
      <c r="V1344" s="573"/>
      <c r="W1344" s="573"/>
      <c r="X1344" s="573"/>
      <c r="Y1344" s="1662"/>
      <c r="Z1344" s="1662"/>
      <c r="AA1344" s="1662"/>
      <c r="AB1344" s="1662">
        <f t="shared" ref="AB1344:AC1346" si="1637">AB1157</f>
        <v>0</v>
      </c>
      <c r="AC1344" s="1662">
        <f t="shared" si="1637"/>
        <v>0</v>
      </c>
      <c r="AD1344" s="1662"/>
      <c r="AE1344" s="1887"/>
      <c r="AF1344" s="1887"/>
      <c r="AG1344" s="1887"/>
      <c r="AH1344" s="1887"/>
      <c r="AI1344" s="1887"/>
      <c r="AJ1344" s="1887"/>
      <c r="AK1344" s="1887"/>
      <c r="AL1344" s="574"/>
      <c r="AM1344" s="574"/>
      <c r="AN1344" s="574"/>
      <c r="AO1344" s="574"/>
      <c r="AP1344" s="574"/>
      <c r="AQ1344" s="574"/>
      <c r="AR1344" s="574"/>
      <c r="AS1344" s="574"/>
      <c r="AT1344" s="574"/>
    </row>
    <row r="1345" spans="1:46">
      <c r="A1345" s="1"/>
      <c r="B1345" s="1"/>
      <c r="C1345" s="1"/>
      <c r="D1345" s="1697" t="s">
        <v>592</v>
      </c>
      <c r="E1345" s="638"/>
      <c r="F1345" s="638"/>
      <c r="G1345" s="638"/>
      <c r="H1345" s="638"/>
      <c r="I1345" s="638"/>
      <c r="J1345" s="638"/>
      <c r="K1345" s="638"/>
      <c r="L1345" s="638"/>
      <c r="M1345" s="638"/>
      <c r="N1345" s="638"/>
      <c r="O1345" s="638"/>
      <c r="P1345" s="638"/>
      <c r="Q1345" s="638"/>
      <c r="R1345" s="638"/>
      <c r="S1345" s="638"/>
      <c r="T1345" s="638"/>
      <c r="U1345" s="638"/>
      <c r="V1345" s="573"/>
      <c r="W1345" s="573"/>
      <c r="X1345" s="573"/>
      <c r="Y1345" s="1662"/>
      <c r="Z1345" s="1662"/>
      <c r="AA1345" s="1662"/>
      <c r="AB1345" s="573">
        <f t="shared" si="1637"/>
        <v>-340.99932683448753</v>
      </c>
      <c r="AC1345" s="573">
        <f t="shared" si="1637"/>
        <v>-354.2886541390036</v>
      </c>
      <c r="AD1345" s="573">
        <f t="shared" ref="AD1345:AT1345" si="1638">AD1158</f>
        <v>-546.48294480264678</v>
      </c>
      <c r="AE1345" s="1887">
        <f t="shared" si="1638"/>
        <v>-834.78689066237223</v>
      </c>
      <c r="AF1345" s="1887">
        <f t="shared" si="1638"/>
        <v>-889.78935153352643</v>
      </c>
      <c r="AG1345" s="1887">
        <f t="shared" si="1638"/>
        <v>-1115.8269037455138</v>
      </c>
      <c r="AH1345" s="1887">
        <f t="shared" si="1638"/>
        <v>-1116.9868303734927</v>
      </c>
      <c r="AI1345" s="1887">
        <f t="shared" si="1638"/>
        <v>-1228.2109644458326</v>
      </c>
      <c r="AJ1345" s="1887">
        <f t="shared" si="1638"/>
        <v>-1093.8329360575465</v>
      </c>
      <c r="AK1345" s="1887">
        <f t="shared" si="1638"/>
        <v>-1671.2071561101307</v>
      </c>
      <c r="AL1345" s="573">
        <f t="shared" si="1638"/>
        <v>-1393.0137390038808</v>
      </c>
      <c r="AM1345" s="573">
        <f t="shared" si="1638"/>
        <v>-1026.3410849647996</v>
      </c>
      <c r="AN1345" s="573">
        <f t="shared" si="1638"/>
        <v>-1049.5078672724312</v>
      </c>
      <c r="AO1345" s="573">
        <f t="shared" si="1638"/>
        <v>-1174.8917712412597</v>
      </c>
      <c r="AP1345" s="573">
        <f t="shared" si="1638"/>
        <v>-1254.2293838667438</v>
      </c>
      <c r="AQ1345" s="573">
        <f t="shared" si="1638"/>
        <v>-1206.7733618310567</v>
      </c>
      <c r="AR1345" s="573">
        <f t="shared" si="1638"/>
        <v>-1414.3369893369581</v>
      </c>
      <c r="AS1345" s="573">
        <f t="shared" si="1638"/>
        <v>-14608.03047107963</v>
      </c>
      <c r="AT1345" s="573">
        <f t="shared" si="1638"/>
        <v>-34940.253965349606</v>
      </c>
    </row>
    <row r="1346" spans="1:46">
      <c r="A1346" s="1"/>
      <c r="B1346" s="1"/>
      <c r="C1346" s="1"/>
      <c r="D1346" s="1697" t="s">
        <v>593</v>
      </c>
      <c r="E1346" s="638"/>
      <c r="F1346" s="638"/>
      <c r="G1346" s="638"/>
      <c r="H1346" s="638"/>
      <c r="I1346" s="638"/>
      <c r="J1346" s="638"/>
      <c r="K1346" s="638"/>
      <c r="L1346" s="638"/>
      <c r="M1346" s="638"/>
      <c r="N1346" s="638"/>
      <c r="O1346" s="638"/>
      <c r="P1346" s="638"/>
      <c r="Q1346" s="638"/>
      <c r="R1346" s="638"/>
      <c r="S1346" s="638"/>
      <c r="T1346" s="638"/>
      <c r="U1346" s="638"/>
      <c r="V1346" s="573"/>
      <c r="W1346" s="573"/>
      <c r="X1346" s="573"/>
      <c r="Y1346" s="1662"/>
      <c r="Z1346" s="1662"/>
      <c r="AA1346" s="1662"/>
      <c r="AB1346" s="573">
        <f t="shared" si="1637"/>
        <v>-671.18141078100609</v>
      </c>
      <c r="AC1346" s="573">
        <f t="shared" si="1637"/>
        <v>-713.19733100771407</v>
      </c>
      <c r="AD1346" s="573">
        <f t="shared" ref="AD1346:AT1346" si="1639">AD1159</f>
        <v>-941.23300265886246</v>
      </c>
      <c r="AE1346" s="1887">
        <f t="shared" si="1639"/>
        <v>-1272.3452953062397</v>
      </c>
      <c r="AF1346" s="1887">
        <f t="shared" si="1639"/>
        <v>-1450.8775193346087</v>
      </c>
      <c r="AG1346" s="1887">
        <f t="shared" si="1639"/>
        <v>-1940.0112631717952</v>
      </c>
      <c r="AH1346" s="1887">
        <f t="shared" si="1639"/>
        <v>-1828.2940761284447</v>
      </c>
      <c r="AI1346" s="1887">
        <f t="shared" si="1639"/>
        <v>-1986.0023739774647</v>
      </c>
      <c r="AJ1346" s="1887">
        <f t="shared" si="1639"/>
        <v>-1719.6016752916596</v>
      </c>
      <c r="AK1346" s="1887">
        <f t="shared" si="1639"/>
        <v>-2256.4221644614504</v>
      </c>
      <c r="AL1346" s="573">
        <f t="shared" si="1639"/>
        <v>-2053.0803627952973</v>
      </c>
      <c r="AM1346" s="573">
        <f t="shared" si="1639"/>
        <v>-1766.111458340273</v>
      </c>
      <c r="AN1346" s="573">
        <f t="shared" si="1639"/>
        <v>-1843.8319182997911</v>
      </c>
      <c r="AO1346" s="573">
        <f t="shared" si="1639"/>
        <v>-2039.8580110963878</v>
      </c>
      <c r="AP1346" s="573">
        <f t="shared" si="1639"/>
        <v>-1610.067431320429</v>
      </c>
      <c r="AQ1346" s="573">
        <f t="shared" si="1639"/>
        <v>-1588.9437364530158</v>
      </c>
      <c r="AR1346" s="573">
        <f t="shared" si="1639"/>
        <v>-1817.9172416417641</v>
      </c>
      <c r="AS1346" s="573">
        <f t="shared" si="1639"/>
        <v>-15034.672229715259</v>
      </c>
      <c r="AT1346" s="573">
        <f t="shared" si="1639"/>
        <v>-35386.714502716335</v>
      </c>
    </row>
    <row r="1347" spans="1:46">
      <c r="A1347" s="1"/>
      <c r="B1347" s="1"/>
      <c r="C1347" s="1"/>
      <c r="D1347" s="1811" t="str">
        <f>D1162</f>
        <v>Primary  Deficit (-) {deficit/Surplus} V1986</v>
      </c>
      <c r="E1347" s="349"/>
      <c r="F1347" s="349"/>
      <c r="G1347" s="349"/>
      <c r="H1347" s="349"/>
      <c r="I1347" s="349"/>
      <c r="J1347" s="349"/>
      <c r="K1347" s="349"/>
      <c r="L1347" s="349"/>
      <c r="M1347" s="349"/>
      <c r="N1347" s="349"/>
      <c r="O1347" s="349"/>
      <c r="P1347" s="349"/>
      <c r="Q1347" s="349"/>
      <c r="R1347" s="349"/>
      <c r="S1347" s="349"/>
      <c r="T1347" s="349"/>
      <c r="U1347" s="349"/>
      <c r="V1347" s="1812"/>
      <c r="W1347" s="1812"/>
      <c r="X1347" s="1812"/>
      <c r="Y1347" s="1812"/>
      <c r="Z1347" s="1812"/>
      <c r="AA1347" s="1812"/>
      <c r="AB1347" s="1812"/>
      <c r="AC1347" s="1812"/>
      <c r="AD1347" s="1812"/>
      <c r="AE1347" s="1888"/>
      <c r="AF1347" s="1888"/>
      <c r="AG1347" s="1888"/>
      <c r="AH1347" s="1888"/>
      <c r="AI1347" s="1888"/>
      <c r="AJ1347" s="1888"/>
      <c r="AK1347" s="1888"/>
      <c r="AL1347" s="1812"/>
      <c r="AM1347" s="1812"/>
      <c r="AN1347" s="1812"/>
      <c r="AO1347" s="1812"/>
      <c r="AP1347" s="1812"/>
      <c r="AQ1347" s="1812"/>
      <c r="AR1347" s="1812"/>
      <c r="AS1347" s="1812"/>
      <c r="AT1347" s="1812"/>
    </row>
    <row r="1348" spans="1:46">
      <c r="A1348" s="1"/>
      <c r="B1348" s="1"/>
      <c r="C1348" s="1"/>
      <c r="D1348" s="1813" t="str">
        <f>D1163</f>
        <v>including grants</v>
      </c>
      <c r="E1348" s="349"/>
      <c r="F1348" s="349"/>
      <c r="G1348" s="349"/>
      <c r="H1348" s="349"/>
      <c r="I1348" s="349"/>
      <c r="J1348" s="349"/>
      <c r="K1348" s="349"/>
      <c r="L1348" s="349"/>
      <c r="M1348" s="349"/>
      <c r="N1348" s="349"/>
      <c r="O1348" s="349"/>
      <c r="P1348" s="349"/>
      <c r="Q1348" s="349"/>
      <c r="R1348" s="349"/>
      <c r="S1348" s="349"/>
      <c r="T1348" s="349"/>
      <c r="U1348" s="349"/>
      <c r="V1348" s="1812"/>
      <c r="W1348" s="1812"/>
      <c r="X1348" s="1812"/>
      <c r="Y1348" s="1812"/>
      <c r="Z1348" s="1812"/>
      <c r="AA1348" s="1812"/>
      <c r="AB1348" s="1812"/>
      <c r="AC1348" s="1888">
        <f t="shared" ref="AC1348:AT1348" si="1640">AC1163</f>
        <v>-262.71007148695298</v>
      </c>
      <c r="AD1348" s="1888">
        <f t="shared" si="1640"/>
        <v>-443.99047466348816</v>
      </c>
      <c r="AE1348" s="1888">
        <f t="shared" si="1640"/>
        <v>-695.66808633631285</v>
      </c>
      <c r="AF1348" s="1888">
        <f t="shared" si="1640"/>
        <v>-709.10347563122127</v>
      </c>
      <c r="AG1348" s="1888">
        <f t="shared" si="1640"/>
        <v>-895.49194334545837</v>
      </c>
      <c r="AH1348" s="1888">
        <f t="shared" si="1640"/>
        <v>-813.4839734523913</v>
      </c>
      <c r="AI1348" s="1888">
        <f t="shared" si="1640"/>
        <v>-810.4902795958451</v>
      </c>
      <c r="AJ1348" s="1888">
        <f t="shared" si="1640"/>
        <v>-590.88996833497049</v>
      </c>
      <c r="AK1348" s="1888">
        <f t="shared" si="1640"/>
        <v>-1067.1121641486066</v>
      </c>
      <c r="AL1348" s="1812">
        <f t="shared" si="1640"/>
        <v>-697.44495745589279</v>
      </c>
      <c r="AM1348" s="1812">
        <f t="shared" si="1640"/>
        <v>-254.57906014250943</v>
      </c>
      <c r="AN1348" s="1812">
        <f t="shared" si="1640"/>
        <v>-229.80110031646677</v>
      </c>
      <c r="AO1348" s="1812">
        <f t="shared" si="1640"/>
        <v>-31.481330564847894</v>
      </c>
      <c r="AP1348" s="1812">
        <f t="shared" si="1640"/>
        <v>-1254.2293838667438</v>
      </c>
      <c r="AQ1348" s="1812">
        <f t="shared" si="1640"/>
        <v>-1206.7733618310567</v>
      </c>
      <c r="AR1348" s="1812">
        <f t="shared" si="1640"/>
        <v>-1414.3369893369581</v>
      </c>
      <c r="AS1348" s="1812">
        <f t="shared" si="1640"/>
        <v>-14608.03047107963</v>
      </c>
      <c r="AT1348" s="1812">
        <f t="shared" si="1640"/>
        <v>-34940.253965349606</v>
      </c>
    </row>
    <row r="1349" spans="1:46">
      <c r="A1349" s="1"/>
      <c r="B1349" s="1"/>
      <c r="C1349" s="1"/>
      <c r="D1349" s="1814" t="str">
        <f>D1164</f>
        <v>o/w Excl. Rwandair&amp;Bugesera</v>
      </c>
      <c r="E1349" s="349"/>
      <c r="F1349" s="349"/>
      <c r="G1349" s="349"/>
      <c r="H1349" s="349"/>
      <c r="I1349" s="349"/>
      <c r="J1349" s="349"/>
      <c r="K1349" s="349"/>
      <c r="L1349" s="349"/>
      <c r="M1349" s="349"/>
      <c r="N1349" s="349"/>
      <c r="O1349" s="349"/>
      <c r="P1349" s="349"/>
      <c r="Q1349" s="349"/>
      <c r="R1349" s="349"/>
      <c r="S1349" s="349"/>
      <c r="T1349" s="349"/>
      <c r="U1349" s="349"/>
      <c r="V1349" s="1812"/>
      <c r="W1349" s="1812"/>
      <c r="X1349" s="1812"/>
      <c r="Y1349" s="1812"/>
      <c r="Z1349" s="1812"/>
      <c r="AA1349" s="1812"/>
      <c r="AB1349" s="1812"/>
      <c r="AC1349" s="1888"/>
      <c r="AD1349" s="1888"/>
      <c r="AE1349" s="1888"/>
      <c r="AF1349" s="1888"/>
      <c r="AG1349" s="1888"/>
      <c r="AH1349" s="1888"/>
      <c r="AI1349" s="1888">
        <f t="shared" ref="AI1349:AO1349" si="1641">AI1164</f>
        <v>-790.81533465784514</v>
      </c>
      <c r="AJ1349" s="1888">
        <f t="shared" si="1641"/>
        <v>-554.90812430497044</v>
      </c>
      <c r="AK1349" s="1888">
        <f t="shared" si="1641"/>
        <v>-387.66584880087271</v>
      </c>
      <c r="AL1349" s="1888">
        <f t="shared" si="1641"/>
        <v>-39.030178443216755</v>
      </c>
      <c r="AM1349" s="1888">
        <f t="shared" si="1641"/>
        <v>-53.953264633935248</v>
      </c>
      <c r="AN1349" s="1888">
        <f t="shared" si="1641"/>
        <v>-35.375216735702644</v>
      </c>
      <c r="AO1349" s="1888">
        <f t="shared" si="1641"/>
        <v>191.45255615088541</v>
      </c>
      <c r="AP1349" s="1888"/>
      <c r="AQ1349" s="1812"/>
      <c r="AR1349" s="1812"/>
      <c r="AS1349" s="1812"/>
      <c r="AT1349" s="1812"/>
    </row>
    <row r="1350" spans="1:46">
      <c r="A1350" s="1"/>
      <c r="B1350" s="1"/>
      <c r="C1350" s="1"/>
      <c r="D1350" s="1699" t="s">
        <v>3212</v>
      </c>
      <c r="E1350" s="1661"/>
      <c r="F1350" s="1661"/>
      <c r="G1350" s="1690"/>
      <c r="H1350" s="1690"/>
      <c r="I1350" s="1690"/>
      <c r="J1350" s="1690"/>
      <c r="K1350" s="1690"/>
      <c r="L1350" s="1690"/>
      <c r="M1350" s="1690"/>
      <c r="N1350" s="1690"/>
      <c r="O1350" s="1690"/>
      <c r="P1350" s="1690"/>
      <c r="Q1350" s="1690"/>
      <c r="R1350" s="1690"/>
      <c r="S1350" s="1690"/>
      <c r="T1350" s="1690"/>
      <c r="U1350" s="1690"/>
      <c r="V1350" s="1661"/>
      <c r="W1350" s="1661"/>
      <c r="X1350" s="1661"/>
      <c r="Y1350" s="1691"/>
      <c r="Z1350" s="1691"/>
      <c r="AA1350" s="1691"/>
      <c r="AB1350" s="1691"/>
      <c r="AC1350" s="1691"/>
      <c r="AD1350" s="1691"/>
      <c r="AE1350" s="1889"/>
      <c r="AF1350" s="1889"/>
      <c r="AG1350" s="1889"/>
      <c r="AH1350" s="1889"/>
      <c r="AI1350" s="1889"/>
      <c r="AJ1350" s="1889"/>
      <c r="AK1350" s="1889"/>
      <c r="AL1350" s="1692"/>
      <c r="AM1350" s="1692"/>
      <c r="AN1350" s="1692"/>
      <c r="AO1350" s="1692"/>
      <c r="AP1350" s="1692"/>
      <c r="AQ1350" s="1692"/>
      <c r="AR1350" s="1692"/>
      <c r="AS1350" s="1692"/>
      <c r="AT1350" s="1692"/>
    </row>
    <row r="1351" spans="1:46">
      <c r="A1351" s="1"/>
      <c r="B1351" s="1"/>
      <c r="C1351" s="1"/>
      <c r="D1351" s="2169" t="s">
        <v>3729</v>
      </c>
      <c r="E1351" s="2171"/>
      <c r="F1351" s="2171"/>
      <c r="G1351" s="2170"/>
      <c r="H1351" s="2170"/>
      <c r="I1351" s="2170"/>
      <c r="J1351" s="2170"/>
      <c r="K1351" s="2170"/>
      <c r="L1351" s="2170"/>
      <c r="M1351" s="2170"/>
      <c r="N1351" s="2170"/>
      <c r="O1351" s="2170"/>
      <c r="P1351" s="2170"/>
      <c r="Q1351" s="2170"/>
      <c r="R1351" s="2170"/>
      <c r="S1351" s="2170"/>
      <c r="T1351" s="2170"/>
      <c r="U1351" s="2170"/>
      <c r="V1351" s="2171"/>
      <c r="W1351" s="2171"/>
      <c r="X1351" s="2171"/>
      <c r="Y1351" s="2172"/>
      <c r="Z1351" s="2172"/>
      <c r="AA1351" s="2172"/>
      <c r="AB1351" s="2172">
        <f t="shared" ref="AB1351:AT1351" si="1642">AB1166</f>
        <v>-473.01766917713752</v>
      </c>
      <c r="AC1351" s="2172">
        <f t="shared" si="1642"/>
        <v>-482.33125944327855</v>
      </c>
      <c r="AD1351" s="2172">
        <f t="shared" si="1642"/>
        <v>-546.5607701949117</v>
      </c>
      <c r="AE1351" s="2173">
        <f t="shared" si="1642"/>
        <v>-811.23850956705098</v>
      </c>
      <c r="AF1351" s="2173">
        <f t="shared" si="1642"/>
        <v>-901.82779950797135</v>
      </c>
      <c r="AG1351" s="2173">
        <f t="shared" si="1642"/>
        <v>-1126.7151760135587</v>
      </c>
      <c r="AH1351" s="2173">
        <f t="shared" si="1642"/>
        <v>-1081.1899783204926</v>
      </c>
      <c r="AI1351" s="2173">
        <f t="shared" si="1642"/>
        <v>-1193.0951605108326</v>
      </c>
      <c r="AJ1351" s="2173">
        <f t="shared" si="1642"/>
        <v>-1093.8329360575465</v>
      </c>
      <c r="AK1351" s="2173">
        <f t="shared" si="1642"/>
        <v>-1569.3385793062287</v>
      </c>
      <c r="AL1351" s="2173">
        <f t="shared" si="1642"/>
        <v>-1317.5033163335659</v>
      </c>
      <c r="AM1351" s="2173">
        <f t="shared" si="1642"/>
        <v>-933.91372836967264</v>
      </c>
      <c r="AN1351" s="2173">
        <f t="shared" si="1642"/>
        <v>-918.06795418724209</v>
      </c>
      <c r="AO1351" s="2173">
        <f t="shared" si="1642"/>
        <v>-987.9397285561663</v>
      </c>
      <c r="AP1351" s="2173">
        <f t="shared" si="1642"/>
        <v>-1254.2293838667438</v>
      </c>
      <c r="AQ1351" s="1661">
        <f t="shared" si="1642"/>
        <v>-1206.7733618310567</v>
      </c>
      <c r="AR1351" s="1661">
        <f t="shared" si="1642"/>
        <v>-1414.3369893369581</v>
      </c>
      <c r="AS1351" s="1661">
        <f t="shared" si="1642"/>
        <v>-14608.03047107963</v>
      </c>
      <c r="AT1351" s="1661">
        <f t="shared" si="1642"/>
        <v>-34940.253965349606</v>
      </c>
    </row>
    <row r="1352" spans="1:46">
      <c r="A1352" s="1"/>
      <c r="B1352" s="1"/>
      <c r="C1352" s="1"/>
      <c r="D1352" s="2169" t="s">
        <v>3724</v>
      </c>
      <c r="E1352" s="2170"/>
      <c r="F1352" s="2170"/>
      <c r="G1352" s="2170"/>
      <c r="H1352" s="2170"/>
      <c r="I1352" s="2170"/>
      <c r="J1352" s="2170"/>
      <c r="K1352" s="2170"/>
      <c r="L1352" s="2170"/>
      <c r="M1352" s="2170"/>
      <c r="N1352" s="2170"/>
      <c r="O1352" s="2170"/>
      <c r="P1352" s="2170"/>
      <c r="Q1352" s="2170"/>
      <c r="R1352" s="2170"/>
      <c r="S1352" s="2170"/>
      <c r="T1352" s="2170"/>
      <c r="U1352" s="2170"/>
      <c r="V1352" s="2171"/>
      <c r="W1352" s="2171"/>
      <c r="X1352" s="2171"/>
      <c r="Y1352" s="2172"/>
      <c r="Z1352" s="2172"/>
      <c r="AA1352" s="2172"/>
      <c r="AB1352" s="2172">
        <f t="shared" ref="AB1352:AT1352" si="1643">AB1167</f>
        <v>-340.99932683448753</v>
      </c>
      <c r="AC1352" s="2172">
        <f t="shared" si="1643"/>
        <v>-354.2886541390036</v>
      </c>
      <c r="AD1352" s="2172">
        <f t="shared" si="1643"/>
        <v>-546.48294480264678</v>
      </c>
      <c r="AE1352" s="2173">
        <f t="shared" si="1643"/>
        <v>-633.93662978637224</v>
      </c>
      <c r="AF1352" s="2173">
        <f t="shared" si="1643"/>
        <v>-835.56986837845898</v>
      </c>
      <c r="AG1352" s="2173">
        <f t="shared" si="1643"/>
        <v>-1115.8269037455138</v>
      </c>
      <c r="AH1352" s="2173">
        <f t="shared" si="1643"/>
        <v>-1116.9868303734927</v>
      </c>
      <c r="AI1352" s="2173">
        <f t="shared" si="1643"/>
        <v>-1227.0109644458325</v>
      </c>
      <c r="AJ1352" s="2173">
        <f t="shared" si="1643"/>
        <v>-1057.8510920275464</v>
      </c>
      <c r="AK1352" s="2173">
        <f t="shared" si="1643"/>
        <v>-971.80342442154893</v>
      </c>
      <c r="AL1352" s="2173">
        <f t="shared" si="1643"/>
        <v>-810.10938266151982</v>
      </c>
      <c r="AM1352" s="2173">
        <f t="shared" si="1643"/>
        <v>-918.14264605135236</v>
      </c>
      <c r="AN1352" s="2173">
        <f t="shared" si="1643"/>
        <v>-986.52189677685612</v>
      </c>
      <c r="AO1352" s="2173">
        <f t="shared" si="1643"/>
        <v>-1138.9099272106196</v>
      </c>
      <c r="AP1352" s="2173">
        <f t="shared" si="1643"/>
        <v>-1254.2293838667438</v>
      </c>
      <c r="AQ1352" s="1691">
        <f t="shared" si="1643"/>
        <v>-1206.7733618310567</v>
      </c>
      <c r="AR1352" s="1691">
        <f t="shared" si="1643"/>
        <v>-1414.3369893369581</v>
      </c>
      <c r="AS1352" s="1691">
        <f t="shared" si="1643"/>
        <v>-14608.03047107963</v>
      </c>
      <c r="AT1352" s="1691">
        <f t="shared" si="1643"/>
        <v>-34940.253965349606</v>
      </c>
    </row>
    <row r="1353" spans="1:46">
      <c r="A1353" s="1"/>
      <c r="B1353" s="1"/>
      <c r="C1353" s="1"/>
      <c r="D1353" s="2169" t="s">
        <v>3726</v>
      </c>
      <c r="E1353" s="2170"/>
      <c r="F1353" s="2170"/>
      <c r="G1353" s="2170"/>
      <c r="H1353" s="2170"/>
      <c r="I1353" s="2170"/>
      <c r="J1353" s="2170"/>
      <c r="K1353" s="2170"/>
      <c r="L1353" s="2170"/>
      <c r="M1353" s="2170"/>
      <c r="N1353" s="2170"/>
      <c r="O1353" s="2170"/>
      <c r="P1353" s="2170"/>
      <c r="Q1353" s="2170"/>
      <c r="R1353" s="2170"/>
      <c r="S1353" s="2170"/>
      <c r="T1353" s="2170"/>
      <c r="U1353" s="2170"/>
      <c r="V1353" s="2171"/>
      <c r="W1353" s="2171"/>
      <c r="X1353" s="2171"/>
      <c r="Y1353" s="2172"/>
      <c r="Z1353" s="2172"/>
      <c r="AA1353" s="2172"/>
      <c r="AB1353" s="2172">
        <f t="shared" ref="AB1353:AT1353" si="1644">AB1168</f>
        <v>-340.99932683448753</v>
      </c>
      <c r="AC1353" s="2172">
        <f t="shared" si="1644"/>
        <v>-354.2886541390036</v>
      </c>
      <c r="AD1353" s="2172">
        <f t="shared" si="1644"/>
        <v>-546.48294480264678</v>
      </c>
      <c r="AE1353" s="2173">
        <f t="shared" si="1644"/>
        <v>-834.78689066237223</v>
      </c>
      <c r="AF1353" s="2173">
        <f t="shared" si="1644"/>
        <v>-800.81391226752646</v>
      </c>
      <c r="AG1353" s="2173">
        <f t="shared" si="1644"/>
        <v>-1052.7236021815138</v>
      </c>
      <c r="AH1353" s="2173">
        <f t="shared" si="1644"/>
        <v>-1060.7008466995228</v>
      </c>
      <c r="AI1353" s="2173">
        <f t="shared" si="1644"/>
        <v>-1181.9109644458326</v>
      </c>
      <c r="AJ1353" s="2173">
        <f t="shared" si="1644"/>
        <v>-1014.1848312691748</v>
      </c>
      <c r="AK1353" s="2173">
        <f t="shared" si="1644"/>
        <v>-845.14200686165668</v>
      </c>
      <c r="AL1353" s="2172">
        <f t="shared" si="1644"/>
        <v>-734.59895999120488</v>
      </c>
      <c r="AM1353" s="2172">
        <f t="shared" si="1644"/>
        <v>-825.71528945622538</v>
      </c>
      <c r="AN1353" s="2172">
        <f t="shared" si="1644"/>
        <v>-855.08198369166701</v>
      </c>
      <c r="AO1353" s="2172">
        <f t="shared" si="1644"/>
        <v>-951.95788452552631</v>
      </c>
      <c r="AP1353" s="2172">
        <f t="shared" si="1644"/>
        <v>-1254.2293838667438</v>
      </c>
      <c r="AQ1353" s="1691">
        <f t="shared" si="1644"/>
        <v>-1206.7733618310567</v>
      </c>
      <c r="AR1353" s="1691">
        <f t="shared" si="1644"/>
        <v>-1414.3369893369581</v>
      </c>
      <c r="AS1353" s="1691">
        <f t="shared" si="1644"/>
        <v>-14608.03047107963</v>
      </c>
      <c r="AT1353" s="1691">
        <f t="shared" si="1644"/>
        <v>-34940.253965349606</v>
      </c>
    </row>
    <row r="1354" spans="1:46" ht="16" thickBot="1">
      <c r="A1354" s="1"/>
      <c r="B1354" s="1"/>
      <c r="C1354" s="1"/>
      <c r="D1354" s="2176" t="str">
        <f>D1169</f>
        <v>Debt Creating Overall Deficit</v>
      </c>
      <c r="E1354" s="1693"/>
      <c r="F1354" s="1693"/>
      <c r="G1354" s="1693"/>
      <c r="H1354" s="1693"/>
      <c r="I1354" s="1693"/>
      <c r="J1354" s="1693"/>
      <c r="K1354" s="1693"/>
      <c r="L1354" s="1693"/>
      <c r="M1354" s="1693"/>
      <c r="N1354" s="1693"/>
      <c r="O1354" s="1693"/>
      <c r="P1354" s="1693"/>
      <c r="Q1354" s="1693"/>
      <c r="R1354" s="1693"/>
      <c r="S1354" s="1693"/>
      <c r="T1354" s="1693"/>
      <c r="U1354" s="1693"/>
      <c r="V1354" s="1694"/>
      <c r="W1354" s="1694"/>
      <c r="X1354" s="1694"/>
      <c r="Y1354" s="1695"/>
      <c r="Z1354" s="1695"/>
      <c r="AA1354" s="1695"/>
      <c r="AB1354" s="1694">
        <f t="shared" ref="AB1354:AT1354" si="1645">AB1169</f>
        <v>-473.01766917713752</v>
      </c>
      <c r="AC1354" s="1694">
        <f t="shared" si="1645"/>
        <v>-482.33125944327855</v>
      </c>
      <c r="AD1354" s="1694">
        <f t="shared" si="1645"/>
        <v>-546.5607701949117</v>
      </c>
      <c r="AE1354" s="1890">
        <f t="shared" si="1645"/>
        <v>-610.38824869105099</v>
      </c>
      <c r="AF1354" s="1890">
        <f t="shared" si="1645"/>
        <v>-847.60831635290401</v>
      </c>
      <c r="AG1354" s="1890">
        <f t="shared" si="1645"/>
        <v>-1228.1861873186585</v>
      </c>
      <c r="AH1354" s="1890">
        <f t="shared" si="1645"/>
        <v>-1081.1899783204926</v>
      </c>
      <c r="AI1354" s="1890">
        <f t="shared" si="1645"/>
        <v>-392.7695947458576</v>
      </c>
      <c r="AJ1354" s="1890">
        <f t="shared" si="1645"/>
        <v>-87.947000612394504</v>
      </c>
      <c r="AK1354" s="1890">
        <f t="shared" si="1645"/>
        <v>-463.01717218708245</v>
      </c>
      <c r="AL1354" s="1694">
        <f t="shared" si="1645"/>
        <v>-1.8761759079047806</v>
      </c>
      <c r="AM1354" s="1694">
        <f t="shared" si="1645"/>
        <v>517.18296467978075</v>
      </c>
      <c r="AN1354" s="1694">
        <f t="shared" si="1645"/>
        <v>589.90566663949767</v>
      </c>
      <c r="AO1354" s="1694">
        <f t="shared" si="1645"/>
        <v>1111.9291101115639</v>
      </c>
      <c r="AP1354" s="1694">
        <f t="shared" si="1645"/>
        <v>-1254.2293838667438</v>
      </c>
      <c r="AQ1354" s="1694">
        <f t="shared" si="1645"/>
        <v>-1206.7733618310567</v>
      </c>
      <c r="AR1354" s="1694">
        <f t="shared" si="1645"/>
        <v>-1414.3369893369581</v>
      </c>
      <c r="AS1354" s="1694">
        <f t="shared" si="1645"/>
        <v>-14608.03047107963</v>
      </c>
      <c r="AT1354" s="1694">
        <f t="shared" si="1645"/>
        <v>-34940.253965349606</v>
      </c>
    </row>
    <row r="1355" spans="1:46" ht="16" thickBot="1">
      <c r="A1355" s="1"/>
      <c r="B1355" s="1"/>
      <c r="C1355" s="1"/>
      <c r="D1355" s="2177" t="s">
        <v>3254</v>
      </c>
      <c r="E1355" s="1739"/>
      <c r="F1355" s="1739"/>
      <c r="G1355" s="1739"/>
      <c r="H1355" s="1739"/>
      <c r="I1355" s="1739"/>
      <c r="J1355" s="1739"/>
      <c r="K1355" s="1739"/>
      <c r="L1355" s="1739"/>
      <c r="M1355" s="1739"/>
      <c r="N1355" s="1739"/>
      <c r="O1355" s="1739"/>
      <c r="P1355" s="1739"/>
      <c r="Q1355" s="1739"/>
      <c r="R1355" s="1739"/>
      <c r="S1355" s="1739"/>
      <c r="T1355" s="1739"/>
      <c r="U1355" s="1739"/>
      <c r="V1355" s="1740"/>
      <c r="W1355" s="1740"/>
      <c r="X1355" s="1740"/>
      <c r="Y1355" s="1740"/>
      <c r="Z1355" s="1740"/>
      <c r="AA1355" s="1740"/>
      <c r="AB1355" s="1740"/>
      <c r="AC1355" s="1740"/>
      <c r="AD1355" s="1740">
        <f t="shared" ref="AD1355:AT1355" si="1646">AD1170</f>
        <v>-516.51418707064704</v>
      </c>
      <c r="AE1355" s="1891">
        <f t="shared" si="1646"/>
        <v>-834.78689066237223</v>
      </c>
      <c r="AF1355" s="1891">
        <f t="shared" si="1646"/>
        <v>-889.78935153352643</v>
      </c>
      <c r="AG1355" s="1891">
        <f t="shared" si="1646"/>
        <v>-979.55039325841403</v>
      </c>
      <c r="AH1355" s="1891">
        <f t="shared" si="1646"/>
        <v>-1095.3198197504928</v>
      </c>
      <c r="AI1355" s="1891">
        <f t="shared" si="1646"/>
        <v>-1226.3721623788326</v>
      </c>
      <c r="AJ1355" s="1891">
        <f t="shared" si="1646"/>
        <v>-1093.8329360575465</v>
      </c>
      <c r="AK1355" s="1891">
        <f t="shared" si="1646"/>
        <v>-1549.3811629653808</v>
      </c>
      <c r="AL1355" s="1740">
        <f t="shared" si="1646"/>
        <v>-1393.0137390038808</v>
      </c>
      <c r="AM1355" s="1740">
        <f t="shared" si="1646"/>
        <v>-1026.3410849647996</v>
      </c>
      <c r="AN1355" s="1740">
        <f t="shared" si="1646"/>
        <v>-1049.5078672724312</v>
      </c>
      <c r="AO1355" s="1740">
        <f t="shared" si="1646"/>
        <v>-1174.8917712412597</v>
      </c>
      <c r="AP1355" s="1740">
        <f t="shared" si="1646"/>
        <v>-1254.2293838667438</v>
      </c>
      <c r="AQ1355" s="1740">
        <f t="shared" si="1646"/>
        <v>-1206.7733618310567</v>
      </c>
      <c r="AR1355" s="1740">
        <f t="shared" si="1646"/>
        <v>-1414.3369893369581</v>
      </c>
      <c r="AS1355" s="1740">
        <f t="shared" si="1646"/>
        <v>-14608.03047107963</v>
      </c>
      <c r="AT1355" s="1740">
        <f t="shared" si="1646"/>
        <v>-34940.253965349606</v>
      </c>
    </row>
    <row r="1356" spans="1:46">
      <c r="A1356" s="1"/>
      <c r="B1356" s="1"/>
      <c r="C1356" s="1"/>
      <c r="D1356" s="522" t="str">
        <f>+FISCinyear!D992</f>
        <v>Net acquisition of financial assets</v>
      </c>
      <c r="E1356" s="523"/>
      <c r="F1356" s="523"/>
      <c r="G1356" s="523"/>
      <c r="H1356" s="523"/>
      <c r="I1356" s="523"/>
      <c r="J1356" s="523"/>
      <c r="K1356" s="523"/>
      <c r="L1356" s="523"/>
      <c r="M1356" s="523"/>
      <c r="N1356" s="523"/>
      <c r="O1356" s="523"/>
      <c r="P1356" s="523"/>
      <c r="Q1356" s="523"/>
      <c r="R1356" s="523"/>
      <c r="S1356" s="523"/>
      <c r="T1356" s="523"/>
      <c r="U1356" s="523"/>
      <c r="V1356" s="528">
        <f>+V1357+V1359</f>
        <v>0</v>
      </c>
      <c r="W1356" s="528">
        <f t="shared" ref="W1356:AK1356" si="1647">+W1357+W1359</f>
        <v>3.0000000000000155</v>
      </c>
      <c r="X1356" s="528">
        <f t="shared" si="1647"/>
        <v>1.5000000000000426</v>
      </c>
      <c r="Y1356" s="528">
        <f t="shared" si="1647"/>
        <v>-65.311885181128815</v>
      </c>
      <c r="Z1356" s="528">
        <f t="shared" si="1647"/>
        <v>18.294475781874169</v>
      </c>
      <c r="AA1356" s="528">
        <f t="shared" si="1647"/>
        <v>79.353571507967018</v>
      </c>
      <c r="AB1356" s="528">
        <f t="shared" si="1647"/>
        <v>30.50310398653383</v>
      </c>
      <c r="AC1356" s="528">
        <f t="shared" si="1647"/>
        <v>114.821911149787</v>
      </c>
      <c r="AD1356" s="528">
        <f t="shared" si="1647"/>
        <v>68.604597171861514</v>
      </c>
      <c r="AE1356" s="1873">
        <f t="shared" si="1647"/>
        <v>421.19002190420133</v>
      </c>
      <c r="AF1356" s="1873">
        <f t="shared" si="1647"/>
        <v>156.93077594139191</v>
      </c>
      <c r="AG1356" s="1873">
        <f t="shared" si="1647"/>
        <v>365.64008623461882</v>
      </c>
      <c r="AH1356" s="1873">
        <f t="shared" si="1647"/>
        <v>-4.5231374883770883</v>
      </c>
      <c r="AI1356" s="1873">
        <f t="shared" si="1647"/>
        <v>81.317297446793845</v>
      </c>
      <c r="AJ1356" s="1873">
        <f t="shared" si="1647"/>
        <v>324.76453314902864</v>
      </c>
      <c r="AK1356" s="1873">
        <f t="shared" si="1647"/>
        <v>870.75810901171985</v>
      </c>
      <c r="AL1356" s="528">
        <f>+AL1357+AL1359</f>
        <v>739.30038599237776</v>
      </c>
      <c r="AM1356" s="528">
        <f>+AM1357+AM1359</f>
        <v>277.65352748694568</v>
      </c>
      <c r="AN1356" s="528">
        <f t="shared" ref="AN1356:AO1356" si="1648">+AN1357+AN1359</f>
        <v>190.0264766605132</v>
      </c>
      <c r="AO1356" s="528">
        <f t="shared" si="1648"/>
        <v>173.85590919425732</v>
      </c>
      <c r="AP1356" s="528">
        <f t="shared" ref="AP1356:AT1356" si="1649">+AP1357+AP1359</f>
        <v>115.92249054605887</v>
      </c>
      <c r="AQ1356" s="528">
        <f t="shared" si="1649"/>
        <v>122.34798140424239</v>
      </c>
      <c r="AR1356" s="528">
        <f t="shared" si="1649"/>
        <v>142.57844069776763</v>
      </c>
      <c r="AS1356" s="528">
        <f t="shared" si="1649"/>
        <v>37.723032925876964</v>
      </c>
      <c r="AT1356" s="528">
        <f t="shared" si="1649"/>
        <v>37.723032925876964</v>
      </c>
    </row>
    <row r="1357" spans="1:46">
      <c r="A1357" s="1"/>
      <c r="B1357" s="1"/>
      <c r="C1357" s="1"/>
      <c r="D1357" s="531" t="str">
        <f>+FISCinyear!D993</f>
        <v xml:space="preserve">Domestic </v>
      </c>
      <c r="E1357" s="523"/>
      <c r="F1357" s="523"/>
      <c r="G1357" s="523"/>
      <c r="H1357" s="523"/>
      <c r="I1357" s="523"/>
      <c r="J1357" s="523"/>
      <c r="K1357" s="523"/>
      <c r="L1357" s="523"/>
      <c r="M1357" s="523"/>
      <c r="N1357" s="523"/>
      <c r="O1357" s="523"/>
      <c r="P1357" s="523"/>
      <c r="Q1357" s="523"/>
      <c r="R1357" s="523"/>
      <c r="S1357" s="523"/>
      <c r="T1357" s="523"/>
      <c r="U1357" s="523"/>
      <c r="V1357" s="526">
        <f t="shared" ref="V1357:AT1357" si="1650">+V1174</f>
        <v>0</v>
      </c>
      <c r="W1357" s="526">
        <f t="shared" si="1650"/>
        <v>3.0000000000000155</v>
      </c>
      <c r="X1357" s="526">
        <f t="shared" si="1650"/>
        <v>1.5000000000000426</v>
      </c>
      <c r="Y1357" s="526">
        <f t="shared" si="1650"/>
        <v>-65.311885181128815</v>
      </c>
      <c r="Z1357" s="526">
        <f t="shared" si="1650"/>
        <v>18.294475781874169</v>
      </c>
      <c r="AA1357" s="526">
        <f t="shared" si="1650"/>
        <v>79.353571507967018</v>
      </c>
      <c r="AB1357" s="526">
        <f t="shared" si="1650"/>
        <v>30.50310398653383</v>
      </c>
      <c r="AC1357" s="526">
        <f t="shared" si="1650"/>
        <v>114.821911149787</v>
      </c>
      <c r="AD1357" s="526">
        <f t="shared" si="1650"/>
        <v>68.604597171861514</v>
      </c>
      <c r="AE1357" s="1874">
        <f t="shared" si="1650"/>
        <v>421.19002190420133</v>
      </c>
      <c r="AF1357" s="1874">
        <f t="shared" si="1650"/>
        <v>156.93077594139191</v>
      </c>
      <c r="AG1357" s="1874">
        <f t="shared" si="1650"/>
        <v>365.64008623461882</v>
      </c>
      <c r="AH1357" s="1874">
        <f t="shared" si="1650"/>
        <v>63.591187285642917</v>
      </c>
      <c r="AI1357" s="1874">
        <f t="shared" si="1650"/>
        <v>81.317297446793845</v>
      </c>
      <c r="AJ1357" s="1874">
        <f t="shared" si="1650"/>
        <v>324.76453314902864</v>
      </c>
      <c r="AK1357" s="1874">
        <f t="shared" si="1650"/>
        <v>870.75810901171985</v>
      </c>
      <c r="AL1357" s="526">
        <f t="shared" si="1650"/>
        <v>739.30038599237776</v>
      </c>
      <c r="AM1357" s="526">
        <f t="shared" si="1650"/>
        <v>277.65352748694568</v>
      </c>
      <c r="AN1357" s="526">
        <f t="shared" si="1650"/>
        <v>190.0264766605132</v>
      </c>
      <c r="AO1357" s="526">
        <f t="shared" si="1650"/>
        <v>173.85590919425732</v>
      </c>
      <c r="AP1357" s="526">
        <f t="shared" si="1650"/>
        <v>115.92249054605887</v>
      </c>
      <c r="AQ1357" s="526">
        <f t="shared" si="1650"/>
        <v>122.34798140424239</v>
      </c>
      <c r="AR1357" s="526">
        <f t="shared" si="1650"/>
        <v>142.57844069776763</v>
      </c>
      <c r="AS1357" s="526">
        <f t="shared" si="1650"/>
        <v>37.723032925876964</v>
      </c>
      <c r="AT1357" s="526">
        <f t="shared" si="1650"/>
        <v>37.723032925876964</v>
      </c>
    </row>
    <row r="1358" spans="1:46">
      <c r="A1358" s="1"/>
      <c r="B1358" s="1"/>
      <c r="C1358" s="1"/>
      <c r="D1358" s="531" t="s">
        <v>3199</v>
      </c>
      <c r="E1358" s="523"/>
      <c r="F1358" s="523"/>
      <c r="G1358" s="523"/>
      <c r="H1358" s="523"/>
      <c r="I1358" s="523"/>
      <c r="J1358" s="523"/>
      <c r="K1358" s="523"/>
      <c r="L1358" s="523"/>
      <c r="M1358" s="523"/>
      <c r="N1358" s="523"/>
      <c r="O1358" s="523"/>
      <c r="P1358" s="523"/>
      <c r="Q1358" s="523"/>
      <c r="R1358" s="523"/>
      <c r="S1358" s="523"/>
      <c r="T1358" s="523"/>
      <c r="U1358" s="523"/>
      <c r="V1358" s="526"/>
      <c r="W1358" s="526"/>
      <c r="X1358" s="526"/>
      <c r="Y1358" s="526"/>
      <c r="Z1358" s="526"/>
      <c r="AA1358" s="526"/>
      <c r="AB1358" s="526"/>
      <c r="AC1358" s="526"/>
      <c r="AD1358" s="1712">
        <f t="shared" ref="AD1358:AT1358" si="1651">AD1200</f>
        <v>0</v>
      </c>
      <c r="AE1358" s="1892">
        <f t="shared" si="1651"/>
        <v>0</v>
      </c>
      <c r="AF1358" s="1892">
        <f t="shared" si="1651"/>
        <v>88.975439265999995</v>
      </c>
      <c r="AG1358" s="1892">
        <f t="shared" si="1651"/>
        <v>63.103301563999999</v>
      </c>
      <c r="AH1358" s="1892">
        <f t="shared" si="1651"/>
        <v>56.285983673969994</v>
      </c>
      <c r="AI1358" s="1892">
        <f t="shared" si="1651"/>
        <v>46.3</v>
      </c>
      <c r="AJ1358" s="1892">
        <f t="shared" si="1651"/>
        <v>43.666260758371628</v>
      </c>
      <c r="AK1358" s="1892">
        <f t="shared" si="1651"/>
        <v>24.792840755990309</v>
      </c>
      <c r="AL1358" s="1712">
        <f t="shared" si="1651"/>
        <v>0</v>
      </c>
      <c r="AM1358" s="1712">
        <f t="shared" si="1651"/>
        <v>0</v>
      </c>
      <c r="AN1358" s="1712">
        <f t="shared" si="1651"/>
        <v>0</v>
      </c>
      <c r="AO1358" s="1712">
        <f t="shared" si="1651"/>
        <v>0</v>
      </c>
      <c r="AP1358" s="1712">
        <f t="shared" si="1651"/>
        <v>0</v>
      </c>
      <c r="AQ1358" s="1712">
        <f t="shared" si="1651"/>
        <v>0</v>
      </c>
      <c r="AR1358" s="1712">
        <f t="shared" si="1651"/>
        <v>0</v>
      </c>
      <c r="AS1358" s="1712">
        <f t="shared" si="1651"/>
        <v>0</v>
      </c>
      <c r="AT1358" s="1712">
        <f t="shared" si="1651"/>
        <v>0</v>
      </c>
    </row>
    <row r="1359" spans="1:46">
      <c r="A1359" s="1"/>
      <c r="B1359" s="1"/>
      <c r="C1359" s="1"/>
      <c r="D1359" s="531" t="str">
        <f>+FISCinyear!D994</f>
        <v xml:space="preserve">Foreign </v>
      </c>
      <c r="E1359" s="523"/>
      <c r="F1359" s="523"/>
      <c r="G1359" s="523"/>
      <c r="H1359" s="523"/>
      <c r="I1359" s="523"/>
      <c r="J1359" s="523"/>
      <c r="K1359" s="523"/>
      <c r="L1359" s="523"/>
      <c r="M1359" s="523"/>
      <c r="N1359" s="523"/>
      <c r="O1359" s="523"/>
      <c r="P1359" s="523"/>
      <c r="Q1359" s="523"/>
      <c r="R1359" s="523"/>
      <c r="S1359" s="523"/>
      <c r="T1359" s="523"/>
      <c r="U1359" s="523"/>
      <c r="V1359" s="526">
        <f t="shared" ref="V1359:AF1359" si="1652">+V1211</f>
        <v>0</v>
      </c>
      <c r="W1359" s="526">
        <f t="shared" si="1652"/>
        <v>0</v>
      </c>
      <c r="X1359" s="526">
        <f t="shared" si="1652"/>
        <v>0</v>
      </c>
      <c r="Y1359" s="526">
        <f t="shared" si="1652"/>
        <v>0</v>
      </c>
      <c r="Z1359" s="526">
        <f t="shared" si="1652"/>
        <v>0</v>
      </c>
      <c r="AA1359" s="526">
        <f t="shared" si="1652"/>
        <v>0</v>
      </c>
      <c r="AB1359" s="526">
        <f t="shared" si="1652"/>
        <v>0</v>
      </c>
      <c r="AC1359" s="526">
        <f t="shared" si="1652"/>
        <v>0</v>
      </c>
      <c r="AD1359" s="526">
        <f t="shared" si="1652"/>
        <v>0</v>
      </c>
      <c r="AE1359" s="1874">
        <f t="shared" si="1652"/>
        <v>0</v>
      </c>
      <c r="AF1359" s="1874">
        <f t="shared" si="1652"/>
        <v>0</v>
      </c>
      <c r="AG1359" s="1874">
        <f>+AG1212</f>
        <v>0</v>
      </c>
      <c r="AH1359" s="1874">
        <f t="shared" ref="AH1359:AO1359" si="1653">+AH1211</f>
        <v>-68.114324774020005</v>
      </c>
      <c r="AI1359" s="1874">
        <f t="shared" si="1653"/>
        <v>0</v>
      </c>
      <c r="AJ1359" s="1874">
        <f t="shared" si="1653"/>
        <v>0</v>
      </c>
      <c r="AK1359" s="1874">
        <f t="shared" si="1653"/>
        <v>0</v>
      </c>
      <c r="AL1359" s="526">
        <f t="shared" si="1653"/>
        <v>0</v>
      </c>
      <c r="AM1359" s="526">
        <f t="shared" si="1653"/>
        <v>0</v>
      </c>
      <c r="AN1359" s="526">
        <f t="shared" si="1653"/>
        <v>0</v>
      </c>
      <c r="AO1359" s="526">
        <f t="shared" si="1653"/>
        <v>0</v>
      </c>
      <c r="AP1359" s="526">
        <f t="shared" ref="AP1359:AT1359" si="1654">+AP1211</f>
        <v>0</v>
      </c>
      <c r="AQ1359" s="526">
        <f t="shared" si="1654"/>
        <v>0</v>
      </c>
      <c r="AR1359" s="526">
        <f t="shared" si="1654"/>
        <v>0</v>
      </c>
      <c r="AS1359" s="526">
        <f t="shared" si="1654"/>
        <v>0</v>
      </c>
      <c r="AT1359" s="526">
        <f t="shared" si="1654"/>
        <v>0</v>
      </c>
    </row>
    <row r="1360" spans="1:46">
      <c r="A1360" s="1"/>
      <c r="B1360" s="1"/>
      <c r="C1360" s="1"/>
      <c r="D1360" s="522" t="str">
        <f>+FISCinyear!D995</f>
        <v>Net incurrence of liabilities</v>
      </c>
      <c r="E1360" s="523"/>
      <c r="F1360" s="523"/>
      <c r="G1360" s="523"/>
      <c r="H1360" s="523"/>
      <c r="I1360" s="523"/>
      <c r="J1360" s="523"/>
      <c r="K1360" s="523"/>
      <c r="L1360" s="523"/>
      <c r="M1360" s="523"/>
      <c r="N1360" s="523"/>
      <c r="O1360" s="523"/>
      <c r="P1360" s="523"/>
      <c r="Q1360" s="523"/>
      <c r="R1360" s="523"/>
      <c r="S1360" s="523"/>
      <c r="T1360" s="523"/>
      <c r="U1360" s="523"/>
      <c r="V1360" s="528">
        <f t="shared" ref="V1360:AE1360" si="1655">+V1361+V1362</f>
        <v>68.531212730999997</v>
      </c>
      <c r="W1360" s="528">
        <f t="shared" si="1655"/>
        <v>44.899999999999991</v>
      </c>
      <c r="X1360" s="528">
        <f t="shared" si="1655"/>
        <v>-215.32156360241689</v>
      </c>
      <c r="Y1360" s="528">
        <f t="shared" si="1655"/>
        <v>129.81269811865712</v>
      </c>
      <c r="Z1360" s="528">
        <f t="shared" si="1655"/>
        <v>280.45901483237145</v>
      </c>
      <c r="AA1360" s="528">
        <f t="shared" si="1655"/>
        <v>319.24217878668941</v>
      </c>
      <c r="AB1360" s="528">
        <f t="shared" si="1655"/>
        <v>362.29048347337124</v>
      </c>
      <c r="AC1360" s="528">
        <f t="shared" si="1655"/>
        <v>448.2953694226486</v>
      </c>
      <c r="AD1360" s="528">
        <f t="shared" si="1655"/>
        <v>556.25291535625422</v>
      </c>
      <c r="AE1360" s="1873">
        <f t="shared" si="1655"/>
        <v>1159.9910756300992</v>
      </c>
      <c r="AF1360" s="1873">
        <f t="shared" ref="AF1360:AK1360" si="1656">+AF1361+AF1362</f>
        <v>910.73834533448655</v>
      </c>
      <c r="AG1360" s="1873">
        <f t="shared" si="1656"/>
        <v>1252.239191303966</v>
      </c>
      <c r="AH1360" s="1873">
        <f t="shared" si="1656"/>
        <v>950.83591187057436</v>
      </c>
      <c r="AI1360" s="1873">
        <f t="shared" si="1656"/>
        <v>1281.5282433489474</v>
      </c>
      <c r="AJ1360" s="1873">
        <f t="shared" si="1656"/>
        <v>1263.5305597512036</v>
      </c>
      <c r="AK1360" s="1873">
        <f t="shared" si="1656"/>
        <v>1781.4464384250264</v>
      </c>
      <c r="AL1360" s="528">
        <f>+AL1361+AL1362</f>
        <v>1516.9059256086439</v>
      </c>
      <c r="AM1360" s="528">
        <f>+AM1361+AM1362</f>
        <v>1165.755892558298</v>
      </c>
      <c r="AN1360" s="528">
        <f t="shared" ref="AN1360:AO1360" si="1657">+AN1361+AN1362</f>
        <v>1146.5080924573695</v>
      </c>
      <c r="AO1360" s="528">
        <f t="shared" si="1657"/>
        <v>1283.8743420688768</v>
      </c>
      <c r="AP1360" s="528">
        <f t="shared" ref="AP1360:AT1360" si="1658">+AP1361+AP1362</f>
        <v>1370.1518744128027</v>
      </c>
      <c r="AQ1360" s="528">
        <f t="shared" si="1658"/>
        <v>1329.121343235299</v>
      </c>
      <c r="AR1360" s="528">
        <f t="shared" si="1658"/>
        <v>1556.9154300347257</v>
      </c>
      <c r="AS1360" s="528">
        <f t="shared" si="1658"/>
        <v>14645.753504005506</v>
      </c>
      <c r="AT1360" s="528">
        <f t="shared" si="1658"/>
        <v>34977.976998275481</v>
      </c>
    </row>
    <row r="1361" spans="1:47">
      <c r="A1361" s="1"/>
      <c r="B1361" s="1"/>
      <c r="C1361" s="1"/>
      <c r="D1361" s="531" t="str">
        <f>+FISCinyear!D996</f>
        <v xml:space="preserve">Domestic </v>
      </c>
      <c r="E1361" s="523"/>
      <c r="F1361" s="523"/>
      <c r="G1361" s="523"/>
      <c r="H1361" s="523"/>
      <c r="I1361" s="523"/>
      <c r="J1361" s="523"/>
      <c r="K1361" s="523"/>
      <c r="L1361" s="523"/>
      <c r="M1361" s="523"/>
      <c r="N1361" s="523"/>
      <c r="O1361" s="523"/>
      <c r="P1361" s="523"/>
      <c r="Q1361" s="523"/>
      <c r="R1361" s="523"/>
      <c r="S1361" s="523"/>
      <c r="T1361" s="523"/>
      <c r="U1361" s="523"/>
      <c r="V1361" s="526">
        <f t="shared" ref="V1361:AO1361" si="1659">+V1214</f>
        <v>0</v>
      </c>
      <c r="W1361" s="526">
        <f t="shared" si="1659"/>
        <v>-50.100000000000009</v>
      </c>
      <c r="X1361" s="526">
        <f t="shared" si="1659"/>
        <v>-216.02156360241688</v>
      </c>
      <c r="Y1361" s="526">
        <f t="shared" si="1659"/>
        <v>24.655782745918764</v>
      </c>
      <c r="Z1361" s="526">
        <f t="shared" si="1659"/>
        <v>92.272436026139232</v>
      </c>
      <c r="AA1361" s="526">
        <f t="shared" si="1659"/>
        <v>94.834051126999995</v>
      </c>
      <c r="AB1361" s="526">
        <f t="shared" si="1659"/>
        <v>39.301549082000022</v>
      </c>
      <c r="AC1361" s="526">
        <f t="shared" si="1659"/>
        <v>92.266238545422084</v>
      </c>
      <c r="AD1361" s="526">
        <f t="shared" si="1659"/>
        <v>107.94094871251076</v>
      </c>
      <c r="AE1361" s="1874">
        <f t="shared" si="1659"/>
        <v>205.97138405200027</v>
      </c>
      <c r="AF1361" s="1874">
        <f t="shared" si="1659"/>
        <v>253.46590520499987</v>
      </c>
      <c r="AG1361" s="1874">
        <f t="shared" si="1659"/>
        <v>220.58644761457262</v>
      </c>
      <c r="AH1361" s="1874">
        <f t="shared" si="1659"/>
        <v>142.32728891000002</v>
      </c>
      <c r="AI1361" s="1874">
        <f t="shared" si="1659"/>
        <v>-25.685910036448661</v>
      </c>
      <c r="AJ1361" s="1874">
        <f t="shared" si="1659"/>
        <v>-21.092943713551676</v>
      </c>
      <c r="AK1361" s="1874">
        <f t="shared" si="1659"/>
        <v>-30.340973980754143</v>
      </c>
      <c r="AL1361" s="526">
        <f t="shared" si="1659"/>
        <v>-115.75986726375913</v>
      </c>
      <c r="AM1361" s="526">
        <f t="shared" si="1659"/>
        <v>185.71890329026223</v>
      </c>
      <c r="AN1361" s="526">
        <f t="shared" si="1659"/>
        <v>374.81497734589118</v>
      </c>
      <c r="AO1361" s="526">
        <f t="shared" si="1659"/>
        <v>951.38051466931415</v>
      </c>
      <c r="AP1361" s="526">
        <f t="shared" ref="AP1361:AT1361" si="1660">+AP1214</f>
        <v>843.26235572538144</v>
      </c>
      <c r="AQ1361" s="526">
        <f t="shared" si="1660"/>
        <v>2833.0017808415541</v>
      </c>
      <c r="AR1361" s="526">
        <f t="shared" si="1660"/>
        <v>2110.661430808449</v>
      </c>
      <c r="AS1361" s="526">
        <f t="shared" si="1660"/>
        <v>15368.778863819412</v>
      </c>
      <c r="AT1361" s="526">
        <f t="shared" si="1660"/>
        <v>35732.948722221845</v>
      </c>
    </row>
    <row r="1362" spans="1:47">
      <c r="A1362" s="1"/>
      <c r="B1362" s="1"/>
      <c r="C1362" s="1"/>
      <c r="D1362" s="531" t="str">
        <f>+FISCinyear!D997</f>
        <v xml:space="preserve">Foreign </v>
      </c>
      <c r="E1362" s="523"/>
      <c r="F1362" s="523"/>
      <c r="G1362" s="523"/>
      <c r="H1362" s="523"/>
      <c r="I1362" s="523"/>
      <c r="J1362" s="523"/>
      <c r="K1362" s="523"/>
      <c r="L1362" s="523"/>
      <c r="M1362" s="523"/>
      <c r="N1362" s="523"/>
      <c r="O1362" s="523"/>
      <c r="P1362" s="523"/>
      <c r="Q1362" s="523"/>
      <c r="R1362" s="523"/>
      <c r="S1362" s="523"/>
      <c r="T1362" s="523"/>
      <c r="U1362" s="523"/>
      <c r="V1362" s="526">
        <f t="shared" ref="V1362:AO1362" si="1661">+V1239</f>
        <v>68.531212730999997</v>
      </c>
      <c r="W1362" s="526">
        <f t="shared" si="1661"/>
        <v>95</v>
      </c>
      <c r="X1362" s="526">
        <f t="shared" si="1661"/>
        <v>0.69999999999999929</v>
      </c>
      <c r="Y1362" s="526">
        <f t="shared" si="1661"/>
        <v>105.15691537273837</v>
      </c>
      <c r="Z1362" s="526">
        <f t="shared" si="1661"/>
        <v>188.18657880623221</v>
      </c>
      <c r="AA1362" s="526">
        <f t="shared" si="1661"/>
        <v>224.4081276596894</v>
      </c>
      <c r="AB1362" s="526">
        <f t="shared" si="1661"/>
        <v>322.98893439137123</v>
      </c>
      <c r="AC1362" s="526">
        <f t="shared" si="1661"/>
        <v>356.02913087722652</v>
      </c>
      <c r="AD1362" s="526">
        <f t="shared" si="1661"/>
        <v>448.31196664374346</v>
      </c>
      <c r="AE1362" s="1874">
        <f t="shared" si="1661"/>
        <v>954.0196915780989</v>
      </c>
      <c r="AF1362" s="1874">
        <f t="shared" si="1661"/>
        <v>657.27244012948665</v>
      </c>
      <c r="AG1362" s="1874">
        <f t="shared" si="1661"/>
        <v>1031.6527436893934</v>
      </c>
      <c r="AH1362" s="1874">
        <f t="shared" si="1661"/>
        <v>808.50862296057437</v>
      </c>
      <c r="AI1362" s="1874">
        <f t="shared" si="1661"/>
        <v>1307.214153385396</v>
      </c>
      <c r="AJ1362" s="1874">
        <f t="shared" si="1661"/>
        <v>1284.6235034647552</v>
      </c>
      <c r="AK1362" s="1874">
        <f t="shared" si="1661"/>
        <v>1811.7874124057805</v>
      </c>
      <c r="AL1362" s="526">
        <f t="shared" si="1661"/>
        <v>1632.665792872403</v>
      </c>
      <c r="AM1362" s="526">
        <f t="shared" si="1661"/>
        <v>980.03698926803577</v>
      </c>
      <c r="AN1362" s="526">
        <f t="shared" si="1661"/>
        <v>771.69311511147828</v>
      </c>
      <c r="AO1362" s="526">
        <f t="shared" si="1661"/>
        <v>332.49382739956263</v>
      </c>
      <c r="AP1362" s="526">
        <f t="shared" ref="AP1362:AT1362" si="1662">+AP1239</f>
        <v>526.88951868742129</v>
      </c>
      <c r="AQ1362" s="526">
        <f t="shared" si="1662"/>
        <v>-1503.8804376062551</v>
      </c>
      <c r="AR1362" s="526">
        <f t="shared" si="1662"/>
        <v>-553.74600077372338</v>
      </c>
      <c r="AS1362" s="526">
        <f t="shared" si="1662"/>
        <v>-723.02535981390565</v>
      </c>
      <c r="AT1362" s="526">
        <f t="shared" si="1662"/>
        <v>-754.97172394636664</v>
      </c>
    </row>
    <row r="1363" spans="1:47">
      <c r="A1363" s="1"/>
      <c r="B1363" s="1"/>
      <c r="C1363" s="1"/>
      <c r="D1363" s="531" t="s">
        <v>3372</v>
      </c>
      <c r="E1363" s="523"/>
      <c r="F1363" s="523"/>
      <c r="G1363" s="523"/>
      <c r="H1363" s="523"/>
      <c r="I1363" s="523"/>
      <c r="J1363" s="523"/>
      <c r="K1363" s="523"/>
      <c r="L1363" s="523"/>
      <c r="M1363" s="523"/>
      <c r="N1363" s="523"/>
      <c r="O1363" s="523"/>
      <c r="P1363" s="523"/>
      <c r="Q1363" s="523"/>
      <c r="R1363" s="523"/>
      <c r="S1363" s="523"/>
      <c r="T1363" s="523"/>
      <c r="U1363" s="523"/>
      <c r="V1363" s="526">
        <f t="shared" ref="V1363:AO1363" si="1663">V1249+V1242</f>
        <v>0</v>
      </c>
      <c r="W1363" s="526">
        <f t="shared" si="1663"/>
        <v>0</v>
      </c>
      <c r="X1363" s="526">
        <f t="shared" si="1663"/>
        <v>16.2</v>
      </c>
      <c r="Y1363" s="526">
        <f t="shared" si="1663"/>
        <v>49.486261138802</v>
      </c>
      <c r="Z1363" s="526">
        <f t="shared" si="1663"/>
        <v>103.59044097524267</v>
      </c>
      <c r="AA1363" s="526">
        <f t="shared" si="1663"/>
        <v>138.66156726277015</v>
      </c>
      <c r="AB1363" s="526">
        <f t="shared" si="1663"/>
        <v>183.82033813965148</v>
      </c>
      <c r="AC1363" s="526">
        <f t="shared" si="1663"/>
        <v>211.49647385698302</v>
      </c>
      <c r="AD1363" s="526">
        <f t="shared" si="1663"/>
        <v>262.04850870218172</v>
      </c>
      <c r="AE1363" s="526">
        <f t="shared" si="1663"/>
        <v>720.95135038795513</v>
      </c>
      <c r="AF1363" s="526">
        <f t="shared" si="1663"/>
        <v>343.07164259517788</v>
      </c>
      <c r="AG1363" s="526">
        <f t="shared" si="1663"/>
        <v>832.32568548254562</v>
      </c>
      <c r="AH1363" s="526">
        <f t="shared" si="1663"/>
        <v>535.3669076300398</v>
      </c>
      <c r="AI1363" s="526">
        <f t="shared" si="1663"/>
        <v>791.94458221729565</v>
      </c>
      <c r="AJ1363" s="526">
        <f t="shared" si="1663"/>
        <v>864.07628736920913</v>
      </c>
      <c r="AK1363" s="526">
        <f t="shared" si="1663"/>
        <v>1529.5376053660839</v>
      </c>
      <c r="AL1363" s="526">
        <f t="shared" si="1663"/>
        <v>1427.792134255667</v>
      </c>
      <c r="AM1363" s="526">
        <f t="shared" si="1663"/>
        <v>831.48544004381017</v>
      </c>
      <c r="AN1363" s="526">
        <f t="shared" si="1663"/>
        <v>693.77210826866508</v>
      </c>
      <c r="AO1363" s="526">
        <f t="shared" si="1663"/>
        <v>359.65575636834785</v>
      </c>
      <c r="AP1363" s="526">
        <f t="shared" ref="AP1363:AT1363" si="1664">AP1249+AP1242</f>
        <v>585.52867510310864</v>
      </c>
      <c r="AQ1363" s="526">
        <f t="shared" si="1664"/>
        <v>512.02699422824764</v>
      </c>
      <c r="AR1363" s="526">
        <f t="shared" si="1664"/>
        <v>585.31296270639587</v>
      </c>
      <c r="AS1363" s="526">
        <f t="shared" si="1664"/>
        <v>602.33159841086263</v>
      </c>
      <c r="AT1363" s="526">
        <f t="shared" si="1664"/>
        <v>639.73417168982792</v>
      </c>
    </row>
    <row r="1364" spans="1:47">
      <c r="A1364" s="1"/>
      <c r="B1364" s="1"/>
      <c r="C1364" s="1"/>
      <c r="D1364" s="1606" t="s">
        <v>3172</v>
      </c>
      <c r="E1364" s="523"/>
      <c r="F1364" s="523"/>
      <c r="G1364" s="523"/>
      <c r="H1364" s="523"/>
      <c r="I1364" s="523"/>
      <c r="J1364" s="523"/>
      <c r="K1364" s="523"/>
      <c r="L1364" s="523"/>
      <c r="M1364" s="523"/>
      <c r="N1364" s="523"/>
      <c r="O1364" s="523"/>
      <c r="P1364" s="523"/>
      <c r="Q1364" s="523"/>
      <c r="R1364" s="523"/>
      <c r="S1364" s="523"/>
      <c r="T1364" s="523"/>
      <c r="U1364" s="523"/>
      <c r="V1364" s="526"/>
      <c r="W1364" s="526"/>
      <c r="X1364" s="526"/>
      <c r="Y1364" s="526"/>
      <c r="Z1364" s="526"/>
      <c r="AA1364" s="526"/>
      <c r="AB1364" s="526"/>
      <c r="AC1364" s="526"/>
      <c r="AD1364" s="526">
        <f t="shared" ref="AD1364:AO1364" si="1665">AD1253</f>
        <v>0</v>
      </c>
      <c r="AE1364" s="526">
        <f t="shared" si="1665"/>
        <v>0</v>
      </c>
      <c r="AF1364" s="526">
        <f t="shared" si="1665"/>
        <v>0</v>
      </c>
      <c r="AG1364" s="526">
        <f t="shared" si="1665"/>
        <v>0</v>
      </c>
      <c r="AH1364" s="526">
        <f t="shared" si="1665"/>
        <v>0</v>
      </c>
      <c r="AI1364" s="526">
        <f t="shared" si="1665"/>
        <v>0</v>
      </c>
      <c r="AJ1364" s="526">
        <f t="shared" si="1665"/>
        <v>0</v>
      </c>
      <c r="AK1364" s="526">
        <f t="shared" si="1665"/>
        <v>0</v>
      </c>
      <c r="AL1364" s="526">
        <f t="shared" si="1665"/>
        <v>115.75333350691321</v>
      </c>
      <c r="AM1364" s="526">
        <f t="shared" si="1665"/>
        <v>17.141393107161011</v>
      </c>
      <c r="AN1364" s="526">
        <f t="shared" si="1665"/>
        <v>144.89359896767002</v>
      </c>
      <c r="AO1364" s="526">
        <f t="shared" si="1665"/>
        <v>151.22792905827018</v>
      </c>
      <c r="AP1364" s="526">
        <f t="shared" ref="AP1364:AT1364" si="1666">AP1253</f>
        <v>137.41636066374951</v>
      </c>
      <c r="AQ1364" s="526">
        <f t="shared" si="1666"/>
        <v>157.30200740796764</v>
      </c>
      <c r="AR1364" s="526">
        <f t="shared" si="1666"/>
        <v>165.93402976467337</v>
      </c>
      <c r="AS1364" s="526">
        <f t="shared" si="1666"/>
        <v>170.8144424048109</v>
      </c>
      <c r="AT1364" s="526">
        <f t="shared" si="1666"/>
        <v>182.64334254134405</v>
      </c>
    </row>
    <row r="1365" spans="1:47">
      <c r="A1365" s="1"/>
      <c r="B1365" s="1"/>
      <c r="C1365" s="1"/>
      <c r="D1365" s="531" t="s">
        <v>3373</v>
      </c>
      <c r="E1365" s="523"/>
      <c r="F1365" s="523"/>
      <c r="G1365" s="523"/>
      <c r="H1365" s="523"/>
      <c r="I1365" s="523"/>
      <c r="J1365" s="523"/>
      <c r="K1365" s="523"/>
      <c r="L1365" s="523"/>
      <c r="M1365" s="523"/>
      <c r="N1365" s="523"/>
      <c r="O1365" s="523"/>
      <c r="P1365" s="523"/>
      <c r="Q1365" s="523"/>
      <c r="R1365" s="523"/>
      <c r="S1365" s="523"/>
      <c r="T1365" s="523"/>
      <c r="U1365" s="523"/>
      <c r="V1365" s="526">
        <f t="shared" ref="V1365:AO1365" si="1667">V1255</f>
        <v>0</v>
      </c>
      <c r="W1365" s="526">
        <f t="shared" si="1667"/>
        <v>0</v>
      </c>
      <c r="X1365" s="526">
        <f t="shared" si="1667"/>
        <v>0</v>
      </c>
      <c r="Y1365" s="526">
        <f t="shared" si="1667"/>
        <v>66.70927940511001</v>
      </c>
      <c r="Z1365" s="526">
        <f t="shared" si="1667"/>
        <v>99.233201067772001</v>
      </c>
      <c r="AA1365" s="526">
        <f t="shared" si="1667"/>
        <v>102.868015341633</v>
      </c>
      <c r="AB1365" s="526">
        <f t="shared" si="1667"/>
        <v>160.74917716982901</v>
      </c>
      <c r="AC1365" s="526">
        <f t="shared" si="1667"/>
        <v>170.35041550616</v>
      </c>
      <c r="AD1365" s="526">
        <f t="shared" si="1667"/>
        <v>214.928464239612</v>
      </c>
      <c r="AE1365" s="526">
        <f t="shared" si="1667"/>
        <v>287.97105069611598</v>
      </c>
      <c r="AF1365" s="526">
        <f t="shared" si="1667"/>
        <v>390.57003784890901</v>
      </c>
      <c r="AG1365" s="526">
        <f t="shared" si="1667"/>
        <v>411.65558615469001</v>
      </c>
      <c r="AH1365" s="526">
        <f t="shared" si="1667"/>
        <v>426.47173391326498</v>
      </c>
      <c r="AI1365" s="526">
        <f t="shared" si="1667"/>
        <v>640.01178499634898</v>
      </c>
      <c r="AJ1365" s="526">
        <f t="shared" si="1667"/>
        <v>608.67462293576659</v>
      </c>
      <c r="AK1365" s="526">
        <f t="shared" si="1667"/>
        <v>622.31717167411489</v>
      </c>
      <c r="AL1365" s="526">
        <f t="shared" si="1667"/>
        <v>691.10374325500595</v>
      </c>
      <c r="AM1365" s="526">
        <f t="shared" si="1667"/>
        <v>757.90284103393492</v>
      </c>
      <c r="AN1365" s="526">
        <f t="shared" si="1667"/>
        <v>866.89395039810574</v>
      </c>
      <c r="AO1365" s="526">
        <f t="shared" si="1667"/>
        <v>978.70108417141194</v>
      </c>
      <c r="AP1365" s="526">
        <f t="shared" ref="AP1365:AT1365" si="1668">AP1255</f>
        <v>1012.2933304682709</v>
      </c>
      <c r="AQ1365" s="526">
        <f t="shared" si="1668"/>
        <v>417.22507421537165</v>
      </c>
      <c r="AR1365" s="526">
        <f t="shared" si="1668"/>
        <v>105.83074593177962</v>
      </c>
      <c r="AS1365" s="526">
        <f t="shared" si="1668"/>
        <v>31.779941045881468</v>
      </c>
      <c r="AT1365" s="526">
        <f t="shared" si="1668"/>
        <v>0</v>
      </c>
    </row>
    <row r="1366" spans="1:47">
      <c r="A1366" s="1"/>
      <c r="B1366" s="1"/>
      <c r="C1366" s="1"/>
      <c r="D1366" s="531" t="s">
        <v>3374</v>
      </c>
      <c r="E1366" s="523"/>
      <c r="F1366" s="523"/>
      <c r="G1366" s="523"/>
      <c r="H1366" s="523"/>
      <c r="I1366" s="523"/>
      <c r="J1366" s="523"/>
      <c r="K1366" s="523"/>
      <c r="L1366" s="523"/>
      <c r="M1366" s="523"/>
      <c r="N1366" s="523"/>
      <c r="O1366" s="523"/>
      <c r="P1366" s="523"/>
      <c r="Q1366" s="523"/>
      <c r="R1366" s="523"/>
      <c r="S1366" s="523"/>
      <c r="T1366" s="523"/>
      <c r="U1366" s="523"/>
      <c r="V1366" s="526">
        <f>V1258</f>
        <v>-7.8795716799999997</v>
      </c>
      <c r="W1366" s="526">
        <f t="shared" ref="W1366:AM1366" si="1669">W1258</f>
        <v>-9.6999999999999993</v>
      </c>
      <c r="X1366" s="526">
        <f t="shared" si="1669"/>
        <v>-15.5</v>
      </c>
      <c r="Y1366" s="526">
        <f t="shared" si="1669"/>
        <v>11.038625171173628</v>
      </c>
      <c r="Z1366" s="526">
        <f t="shared" si="1669"/>
        <v>14.637063236782467</v>
      </c>
      <c r="AA1366" s="526">
        <f t="shared" si="1669"/>
        <v>17.121454944713733</v>
      </c>
      <c r="AB1366" s="526">
        <f t="shared" si="1669"/>
        <v>21.580580918109234</v>
      </c>
      <c r="AC1366" s="526">
        <f t="shared" si="1669"/>
        <v>25.817758485916514</v>
      </c>
      <c r="AD1366" s="526">
        <f t="shared" si="1669"/>
        <v>28.665006298050265</v>
      </c>
      <c r="AE1366" s="526">
        <f t="shared" si="1669"/>
        <v>54.902709505972297</v>
      </c>
      <c r="AF1366" s="526">
        <f t="shared" si="1669"/>
        <v>76.369240314600148</v>
      </c>
      <c r="AG1366" s="526">
        <f t="shared" si="1669"/>
        <v>95.151079022516313</v>
      </c>
      <c r="AH1366" s="526">
        <f t="shared" si="1669"/>
        <v>85.215693808710483</v>
      </c>
      <c r="AI1366" s="526">
        <f t="shared" si="1669"/>
        <v>124.74221382824851</v>
      </c>
      <c r="AJ1366" s="526">
        <f t="shared" si="1669"/>
        <v>188.12740684022049</v>
      </c>
      <c r="AK1366" s="526">
        <f t="shared" si="1669"/>
        <v>340.06736463441831</v>
      </c>
      <c r="AL1366" s="526">
        <f t="shared" si="1669"/>
        <v>486.23008463827006</v>
      </c>
      <c r="AM1366" s="526">
        <f t="shared" si="1669"/>
        <v>609.35129180970921</v>
      </c>
      <c r="AN1366" s="526">
        <f t="shared" ref="AN1366:AO1366" si="1670">AN1258</f>
        <v>788.97294355529255</v>
      </c>
      <c r="AO1366" s="526">
        <f t="shared" si="1670"/>
        <v>1005.8630131401972</v>
      </c>
      <c r="AP1366" s="526">
        <f t="shared" ref="AP1366:AT1366" si="1671">AP1258</f>
        <v>1070.9324868839583</v>
      </c>
      <c r="AQ1366" s="526">
        <f t="shared" si="1671"/>
        <v>2433.1325060498743</v>
      </c>
      <c r="AR1366" s="526">
        <f t="shared" si="1671"/>
        <v>1244.8897094118988</v>
      </c>
      <c r="AS1366" s="526">
        <f t="shared" si="1671"/>
        <v>1357.1368992706498</v>
      </c>
      <c r="AT1366" s="526">
        <f t="shared" si="1671"/>
        <v>1394.7058956361946</v>
      </c>
    </row>
    <row r="1367" spans="1:47" ht="16" thickBot="1">
      <c r="A1367" s="1"/>
      <c r="B1367" s="1"/>
      <c r="C1367" s="1"/>
      <c r="D1367" s="532" t="str">
        <f>+FISCinyear!D998</f>
        <v>Statistical discrepancy</v>
      </c>
      <c r="E1367" s="533"/>
      <c r="F1367" s="533"/>
      <c r="G1367" s="533"/>
      <c r="H1367" s="533"/>
      <c r="I1367" s="533"/>
      <c r="J1367" s="533"/>
      <c r="K1367" s="533"/>
      <c r="L1367" s="533"/>
      <c r="M1367" s="533"/>
      <c r="N1367" s="533"/>
      <c r="O1367" s="533"/>
      <c r="P1367" s="533"/>
      <c r="Q1367" s="533"/>
      <c r="R1367" s="533"/>
      <c r="S1367" s="533"/>
      <c r="T1367" s="533"/>
      <c r="U1367" s="533"/>
      <c r="V1367" s="534">
        <f>V1337-(V1356-V1360)</f>
        <v>-265.79868743400004</v>
      </c>
      <c r="W1367" s="534">
        <f>+W1337+W1357+W1360</f>
        <v>-303.60000000000002</v>
      </c>
      <c r="X1367" s="534">
        <f>+X1337+X1357+X1360</f>
        <v>-645.01525799941703</v>
      </c>
      <c r="Y1367" s="534">
        <f>+Y1337+Y1357+Y1360</f>
        <v>-143.14831849512092</v>
      </c>
      <c r="Z1367" s="534">
        <f>+Z1337+Z1357+Z1360</f>
        <v>94.142029365017606</v>
      </c>
      <c r="AA1367" s="534">
        <f>+AA1337+AA1357+AA1360</f>
        <v>175.87913293742903</v>
      </c>
      <c r="AB1367" s="534">
        <f t="shared" ref="AB1367:AL1367" si="1672">AB1261</f>
        <v>17.226186262350204</v>
      </c>
      <c r="AC1367" s="534">
        <f t="shared" si="1672"/>
        <v>36.1950248568577</v>
      </c>
      <c r="AD1367" s="534">
        <f t="shared" si="1672"/>
        <v>-28.86586888625434</v>
      </c>
      <c r="AE1367" s="1893">
        <f t="shared" si="1672"/>
        <v>-2.4667571292353898</v>
      </c>
      <c r="AF1367" s="1893">
        <f t="shared" si="1672"/>
        <v>-22.215027201431745</v>
      </c>
      <c r="AG1367" s="1893">
        <f t="shared" si="1672"/>
        <v>-37.006258509779173</v>
      </c>
      <c r="AH1367" s="1893">
        <f t="shared" si="1672"/>
        <v>-20.192614386571222</v>
      </c>
      <c r="AI1367" s="1893">
        <f t="shared" si="1672"/>
        <v>83.405825775321318</v>
      </c>
      <c r="AJ1367" s="1893">
        <f t="shared" si="1672"/>
        <v>0</v>
      </c>
      <c r="AK1367" s="1893">
        <f t="shared" si="1672"/>
        <v>0</v>
      </c>
      <c r="AL1367" s="534">
        <f t="shared" si="1672"/>
        <v>0</v>
      </c>
      <c r="AM1367" s="534">
        <f>AM1261</f>
        <v>0</v>
      </c>
      <c r="AN1367" s="534">
        <f t="shared" ref="AN1367:AO1367" si="1673">AN1261</f>
        <v>0</v>
      </c>
      <c r="AO1367" s="534">
        <f t="shared" si="1673"/>
        <v>0</v>
      </c>
      <c r="AP1367" s="534">
        <f t="shared" ref="AP1367:AT1367" si="1674">AP1261</f>
        <v>0</v>
      </c>
      <c r="AQ1367" s="534">
        <f t="shared" si="1674"/>
        <v>0</v>
      </c>
      <c r="AR1367" s="534">
        <f t="shared" si="1674"/>
        <v>0</v>
      </c>
      <c r="AS1367" s="534">
        <f t="shared" si="1674"/>
        <v>0</v>
      </c>
      <c r="AT1367" s="534">
        <f t="shared" si="1674"/>
        <v>0</v>
      </c>
    </row>
    <row r="1368" spans="1:47" ht="16" thickTop="1">
      <c r="A1368" s="1"/>
      <c r="B1368" s="1"/>
      <c r="C1368" s="1"/>
      <c r="D1368" s="1630" t="s">
        <v>3315</v>
      </c>
      <c r="E1368" s="530"/>
      <c r="F1368" s="530"/>
      <c r="G1368" s="530"/>
      <c r="H1368" s="530"/>
      <c r="I1368" s="530"/>
      <c r="J1368" s="530"/>
      <c r="K1368" s="530"/>
      <c r="L1368" s="530"/>
      <c r="M1368" s="530"/>
      <c r="N1368" s="530"/>
      <c r="O1368" s="530"/>
      <c r="P1368" s="530"/>
      <c r="Q1368" s="530"/>
      <c r="R1368" s="530"/>
      <c r="S1368" s="530"/>
      <c r="T1368" s="530"/>
      <c r="U1368" s="530"/>
      <c r="V1368" s="526"/>
      <c r="W1368" s="526"/>
      <c r="X1368" s="526"/>
      <c r="Y1368" s="526"/>
      <c r="Z1368" s="526"/>
      <c r="AA1368" s="526"/>
      <c r="AB1368" s="526"/>
      <c r="AC1368" s="526"/>
      <c r="AD1368" s="526"/>
      <c r="AE1368" s="1881">
        <f>AE1316+AE1318+AE1323+AE1332+AE1335</f>
        <v>200.85026087600002</v>
      </c>
      <c r="AF1368" s="1882">
        <f>AF1316+AF1318+AF1323+AF1332+AF1335</f>
        <v>54.219483155067408</v>
      </c>
      <c r="AG1368" s="1882">
        <f>AG1316+AG1318+AG1323+AG1332+AG1335</f>
        <v>0</v>
      </c>
      <c r="AH1368" s="1882">
        <f>AH1316+AH1318+AH1323+AH1332+AH1335</f>
        <v>0</v>
      </c>
      <c r="AI1368" s="1882"/>
      <c r="AJ1368" s="1874"/>
      <c r="AK1368" s="1874"/>
      <c r="AL1368" s="526"/>
      <c r="AM1368" s="526"/>
      <c r="AN1368" s="526"/>
      <c r="AO1368" s="526"/>
      <c r="AP1368" s="526"/>
      <c r="AQ1368" s="526"/>
      <c r="AR1368" s="526"/>
      <c r="AS1368" s="526"/>
      <c r="AT1368" s="526"/>
    </row>
    <row r="1369" spans="1:47">
      <c r="A1369" s="1"/>
      <c r="B1369" s="1"/>
      <c r="C1369" s="1"/>
      <c r="D1369" s="1630" t="s">
        <v>30</v>
      </c>
      <c r="E1369" s="530"/>
      <c r="F1369" s="302"/>
      <c r="G1369" s="302"/>
      <c r="H1369" s="302"/>
      <c r="I1369" s="302"/>
      <c r="J1369" s="302"/>
      <c r="K1369" s="302"/>
      <c r="L1369" s="302"/>
      <c r="M1369" s="302"/>
      <c r="N1369" s="302"/>
      <c r="O1369" s="302"/>
      <c r="P1369" s="302"/>
      <c r="Q1369" s="302"/>
      <c r="R1369" s="302"/>
      <c r="S1369" s="302"/>
      <c r="T1369" s="302"/>
      <c r="U1369" s="302"/>
      <c r="V1369" s="526">
        <f t="shared" ref="V1369:AT1369" si="1675">V402</f>
        <v>3822</v>
      </c>
      <c r="W1369" s="526">
        <f t="shared" si="1675"/>
        <v>4425</v>
      </c>
      <c r="X1369" s="526">
        <f t="shared" si="1675"/>
        <v>4908</v>
      </c>
      <c r="Y1369" s="526">
        <f t="shared" si="1675"/>
        <v>5337</v>
      </c>
      <c r="Z1369" s="526">
        <f t="shared" si="1675"/>
        <v>5835</v>
      </c>
      <c r="AA1369" s="526">
        <f t="shared" si="1675"/>
        <v>6553</v>
      </c>
      <c r="AB1369" s="526">
        <f t="shared" si="1675"/>
        <v>7234</v>
      </c>
      <c r="AC1369" s="526">
        <f t="shared" si="1675"/>
        <v>8016</v>
      </c>
      <c r="AD1369" s="526">
        <f t="shared" si="1675"/>
        <v>8718</v>
      </c>
      <c r="AE1369" s="1874">
        <f t="shared" si="1675"/>
        <v>9386</v>
      </c>
      <c r="AF1369" s="1874">
        <f t="shared" si="1675"/>
        <v>10271</v>
      </c>
      <c r="AG1369" s="1874">
        <f t="shared" si="1675"/>
        <v>11998</v>
      </c>
      <c r="AH1369" s="1874">
        <f t="shared" si="1675"/>
        <v>15291</v>
      </c>
      <c r="AI1369" s="1874">
        <f t="shared" si="1675"/>
        <v>17747</v>
      </c>
      <c r="AJ1369" s="1874">
        <f t="shared" si="1675"/>
        <v>20033.689823079447</v>
      </c>
      <c r="AK1369" s="1874">
        <f t="shared" si="1675"/>
        <v>22653.476238318653</v>
      </c>
      <c r="AL1369" s="526">
        <f t="shared" si="1675"/>
        <v>25562.479815704588</v>
      </c>
      <c r="AM1369" s="526">
        <f t="shared" si="1675"/>
        <v>28775.072036619156</v>
      </c>
      <c r="AN1369" s="526">
        <f t="shared" si="1675"/>
        <v>32333.408394979382</v>
      </c>
      <c r="AO1369" s="526">
        <f t="shared" si="1675"/>
        <v>36327.523609205775</v>
      </c>
      <c r="AP1369" s="526">
        <f t="shared" si="1675"/>
        <v>38640.830182019621</v>
      </c>
      <c r="AQ1369" s="526">
        <f t="shared" si="1675"/>
        <v>40782.660468080794</v>
      </c>
      <c r="AR1369" s="526">
        <f t="shared" si="1675"/>
        <v>47526.146899255873</v>
      </c>
      <c r="AS1369" s="526">
        <f t="shared" si="1675"/>
        <v>12574.344308625654</v>
      </c>
      <c r="AT1369" s="526">
        <f t="shared" si="1675"/>
        <v>12574.344308625654</v>
      </c>
    </row>
    <row r="1370" spans="1:47">
      <c r="A1370" s="1"/>
      <c r="B1370" s="1"/>
      <c r="C1370" s="1"/>
      <c r="D1370" s="1630" t="s">
        <v>3294</v>
      </c>
      <c r="E1370" s="530"/>
      <c r="F1370" s="302"/>
      <c r="G1370" s="302"/>
      <c r="H1370" s="302"/>
      <c r="I1370" s="302"/>
      <c r="J1370" s="302"/>
      <c r="K1370" s="302"/>
      <c r="L1370" s="302"/>
      <c r="M1370" s="302"/>
      <c r="N1370" s="302"/>
      <c r="O1370" s="302"/>
      <c r="P1370" s="302"/>
      <c r="Q1370" s="302"/>
      <c r="R1370" s="302"/>
      <c r="S1370" s="302"/>
      <c r="T1370" s="302"/>
      <c r="U1370" s="302"/>
      <c r="V1370" s="526">
        <f t="shared" ref="V1370:AT1370" si="1676">V253</f>
        <v>595.00815743287831</v>
      </c>
      <c r="W1370" s="526">
        <f t="shared" si="1676"/>
        <v>604.02286436978932</v>
      </c>
      <c r="X1370" s="526">
        <f t="shared" si="1676"/>
        <v>629.03578330305425</v>
      </c>
      <c r="Y1370" s="526">
        <f t="shared" si="1676"/>
        <v>667.12013173404773</v>
      </c>
      <c r="Z1370" s="526">
        <f t="shared" si="1676"/>
        <v>688.8</v>
      </c>
      <c r="AA1370" s="526">
        <f t="shared" si="1676"/>
        <v>749.6392051420986</v>
      </c>
      <c r="AB1370" s="526">
        <f t="shared" si="1676"/>
        <v>817.95751141666676</v>
      </c>
      <c r="AC1370" s="526">
        <f t="shared" si="1676"/>
        <v>846.28291674999991</v>
      </c>
      <c r="AD1370" s="526">
        <f t="shared" si="1676"/>
        <v>880.72263841666665</v>
      </c>
      <c r="AE1370" s="1874">
        <f t="shared" si="1676"/>
        <v>921.71570749999989</v>
      </c>
      <c r="AF1370" s="1874">
        <f t="shared" si="1676"/>
        <v>969.96516758333337</v>
      </c>
      <c r="AG1370" s="1874">
        <f t="shared" si="1676"/>
        <v>1008.0094528181818</v>
      </c>
      <c r="AH1370" s="1874">
        <f t="shared" si="1676"/>
        <v>1081.0623201800001</v>
      </c>
      <c r="AI1370" s="1874">
        <f t="shared" si="1676"/>
        <v>1256.9432939166666</v>
      </c>
      <c r="AJ1370" s="1874">
        <f t="shared" si="1676"/>
        <v>1381.5534043048333</v>
      </c>
      <c r="AK1370" s="1874">
        <f t="shared" si="1676"/>
        <v>1496.787146930141</v>
      </c>
      <c r="AL1370" s="526">
        <f t="shared" si="1676"/>
        <v>1607.6851875960167</v>
      </c>
      <c r="AM1370" s="526">
        <f t="shared" si="1676"/>
        <v>1714.1393107161011</v>
      </c>
      <c r="AN1370" s="526">
        <f t="shared" si="1676"/>
        <v>1811.1699870958753</v>
      </c>
      <c r="AO1370" s="526">
        <f t="shared" si="1676"/>
        <v>1890.3491132283773</v>
      </c>
      <c r="AP1370" s="526">
        <f t="shared" si="1676"/>
        <v>1963.0908666249932</v>
      </c>
      <c r="AQ1370" s="526">
        <f t="shared" si="1676"/>
        <v>2051.7653140169696</v>
      </c>
      <c r="AR1370" s="526">
        <f t="shared" si="1676"/>
        <v>2196.1856880618539</v>
      </c>
      <c r="AS1370" s="526">
        <f t="shared" si="1676"/>
        <v>2305.9949724649468</v>
      </c>
      <c r="AT1370" s="526">
        <f t="shared" si="1676"/>
        <v>2421.2947210881944</v>
      </c>
    </row>
    <row r="1371" spans="1:47">
      <c r="A1371" s="1"/>
      <c r="B1371" s="1"/>
      <c r="C1371" s="1"/>
      <c r="D1371" s="378"/>
      <c r="E1371" s="302"/>
      <c r="F1371" s="302"/>
      <c r="G1371" s="302"/>
      <c r="H1371" s="302"/>
      <c r="I1371" s="302"/>
      <c r="J1371" s="302"/>
      <c r="K1371" s="302"/>
      <c r="L1371" s="302"/>
      <c r="M1371" s="302"/>
      <c r="N1371" s="302"/>
      <c r="O1371" s="302"/>
      <c r="P1371" s="302"/>
      <c r="Q1371" s="302"/>
      <c r="R1371" s="302"/>
      <c r="S1371" s="302"/>
      <c r="T1371" s="302"/>
      <c r="U1371" s="302"/>
      <c r="V1371" s="302"/>
      <c r="W1371" s="302"/>
      <c r="X1371" s="302"/>
      <c r="Y1371" s="302"/>
      <c r="Z1371" s="302"/>
      <c r="AA1371" s="302"/>
      <c r="AB1371" s="302"/>
      <c r="AC1371" s="302"/>
      <c r="AD1371" s="302"/>
      <c r="AE1371" s="302"/>
      <c r="AI1371" s="1040">
        <f>AI1370/AH1370-1</f>
        <v>0.16269272404886115</v>
      </c>
      <c r="AJ1371" s="1040">
        <f>AJ1370/AI1370-1</f>
        <v>9.9137416135837375E-2</v>
      </c>
      <c r="AK1371" s="1040">
        <f t="shared" ref="AK1371:AN1371" si="1677">AK1370/AJ1370-1</f>
        <v>8.3408822464804189E-2</v>
      </c>
      <c r="AL1371" s="1040">
        <f t="shared" si="1677"/>
        <v>7.4090722180053303E-2</v>
      </c>
      <c r="AM1371" s="1040">
        <f t="shared" si="1677"/>
        <v>6.6215776534749304E-2</v>
      </c>
      <c r="AN1371" s="1040">
        <f t="shared" si="1677"/>
        <v>5.6606062163779836E-2</v>
      </c>
      <c r="AO1371" s="1040">
        <f>AO1370/AN1370-1</f>
        <v>4.371711473612816E-2</v>
      </c>
      <c r="AP1371" s="1040"/>
      <c r="AQ1371" s="1040"/>
      <c r="AR1371" s="1040"/>
      <c r="AS1371" s="1040"/>
      <c r="AT1371" s="1040"/>
    </row>
    <row r="1372" spans="1:47">
      <c r="A1372" s="1"/>
      <c r="B1372" s="1"/>
      <c r="C1372" s="1"/>
      <c r="D1372" s="378"/>
      <c r="E1372" s="302"/>
      <c r="F1372" s="302"/>
      <c r="G1372" s="302"/>
      <c r="H1372" s="302"/>
      <c r="I1372" s="302"/>
      <c r="J1372" s="302"/>
      <c r="K1372" s="302"/>
      <c r="L1372" s="302"/>
      <c r="M1372" s="302"/>
      <c r="N1372" s="302"/>
      <c r="O1372" s="302"/>
      <c r="P1372" s="302"/>
      <c r="Q1372" s="302"/>
      <c r="R1372" s="302"/>
      <c r="S1372" s="302"/>
      <c r="T1372" s="302"/>
      <c r="U1372" s="302"/>
      <c r="V1372" s="302"/>
      <c r="W1372" s="302"/>
      <c r="X1372" s="302"/>
      <c r="Y1372" s="302"/>
      <c r="Z1372" s="302"/>
      <c r="AA1372" s="302"/>
      <c r="AB1372" s="302"/>
      <c r="AC1372" s="302"/>
      <c r="AD1372" s="302"/>
      <c r="AE1372" s="302"/>
      <c r="AJ1372" s="1041"/>
      <c r="AK1372" s="1041"/>
      <c r="AL1372" s="1041"/>
      <c r="AM1372" s="1041"/>
      <c r="AN1372" s="1041"/>
      <c r="AO1372" s="1041"/>
    </row>
    <row r="1373" spans="1:47">
      <c r="A1373" s="1"/>
      <c r="B1373" s="1"/>
      <c r="C1373" s="1"/>
      <c r="D1373" s="377" t="s">
        <v>3174</v>
      </c>
      <c r="E1373" s="388"/>
      <c r="F1373" s="388"/>
      <c r="G1373" s="388"/>
      <c r="H1373" s="388"/>
      <c r="I1373" s="388"/>
      <c r="J1373" s="388"/>
      <c r="K1373" s="388"/>
      <c r="L1373" s="388"/>
      <c r="M1373" s="388"/>
      <c r="N1373" s="388"/>
      <c r="O1373" s="388"/>
      <c r="P1373" s="388"/>
      <c r="Q1373" s="388"/>
      <c r="R1373" s="388"/>
      <c r="S1373" s="388"/>
      <c r="T1373" s="388"/>
      <c r="U1373" s="388"/>
      <c r="V1373" s="388" t="str">
        <f t="shared" ref="V1373:AT1373" si="1678">V1286</f>
        <v>2010/11</v>
      </c>
      <c r="W1373" s="388" t="str">
        <f t="shared" si="1678"/>
        <v>2011/12</v>
      </c>
      <c r="X1373" s="388" t="str">
        <f t="shared" si="1678"/>
        <v>2012/13</v>
      </c>
      <c r="Y1373" s="388" t="str">
        <f t="shared" si="1678"/>
        <v>2013/14</v>
      </c>
      <c r="Z1373" s="388" t="str">
        <f t="shared" si="1678"/>
        <v>2014/15</v>
      </c>
      <c r="AA1373" s="388" t="str">
        <f t="shared" si="1678"/>
        <v>2015/16</v>
      </c>
      <c r="AB1373" s="388" t="str">
        <f t="shared" si="1678"/>
        <v>2016/17</v>
      </c>
      <c r="AC1373" s="388" t="str">
        <f t="shared" si="1678"/>
        <v>2017/18</v>
      </c>
      <c r="AD1373" s="388" t="str">
        <f t="shared" si="1678"/>
        <v>2018/19</v>
      </c>
      <c r="AE1373" s="388" t="str">
        <f t="shared" si="1678"/>
        <v>2019/20</v>
      </c>
      <c r="AF1373" s="388" t="str">
        <f t="shared" si="1678"/>
        <v>2020/21</v>
      </c>
      <c r="AG1373" s="388" t="str">
        <f t="shared" si="1678"/>
        <v>2021/22</v>
      </c>
      <c r="AH1373" s="388" t="str">
        <f t="shared" si="1678"/>
        <v>2022/23</v>
      </c>
      <c r="AI1373" s="388" t="str">
        <f t="shared" si="1678"/>
        <v>2023/24</v>
      </c>
      <c r="AJ1373" s="388" t="str">
        <f t="shared" si="1678"/>
        <v>2024/25</v>
      </c>
      <c r="AK1373" s="388" t="str">
        <f t="shared" si="1678"/>
        <v>2025/26</v>
      </c>
      <c r="AL1373" s="388" t="str">
        <f t="shared" si="1678"/>
        <v>2026/27</v>
      </c>
      <c r="AM1373" s="388" t="str">
        <f t="shared" si="1678"/>
        <v>2026/28</v>
      </c>
      <c r="AN1373" s="388" t="str">
        <f t="shared" si="1678"/>
        <v>2028/29</v>
      </c>
      <c r="AO1373" s="388" t="str">
        <f t="shared" si="1678"/>
        <v>2029/30</v>
      </c>
      <c r="AP1373" s="388" t="str">
        <f t="shared" si="1678"/>
        <v>2030/31</v>
      </c>
      <c r="AQ1373" s="388" t="str">
        <f t="shared" si="1678"/>
        <v>2031/32</v>
      </c>
      <c r="AR1373" s="388" t="str">
        <f t="shared" si="1678"/>
        <v>2032/33</v>
      </c>
      <c r="AS1373" s="388" t="str">
        <f t="shared" si="1678"/>
        <v>2033/34</v>
      </c>
      <c r="AT1373" s="388" t="str">
        <f t="shared" si="1678"/>
        <v>2034/35</v>
      </c>
    </row>
    <row r="1374" spans="1:47">
      <c r="A1374" s="1"/>
      <c r="B1374" s="1"/>
      <c r="C1374" s="1"/>
      <c r="D1374" s="378"/>
      <c r="E1374" s="302"/>
      <c r="F1374" s="302"/>
      <c r="G1374" s="302"/>
      <c r="H1374" s="302"/>
      <c r="I1374" s="302"/>
      <c r="J1374" s="302"/>
      <c r="K1374" s="302"/>
      <c r="L1374" s="302"/>
      <c r="M1374" s="302"/>
      <c r="N1374" s="302"/>
      <c r="O1374" s="302"/>
      <c r="P1374" s="302"/>
      <c r="Q1374" s="302"/>
      <c r="R1374" s="302"/>
      <c r="S1374" s="302"/>
      <c r="T1374" s="302"/>
      <c r="U1374" s="302"/>
      <c r="V1374" s="302"/>
      <c r="W1374" s="302"/>
      <c r="X1374" s="302"/>
      <c r="Y1374" s="302"/>
      <c r="Z1374" s="302"/>
      <c r="AA1374" s="302"/>
      <c r="AB1374" s="302"/>
      <c r="AC1374" s="302"/>
      <c r="AD1374" s="302"/>
      <c r="AE1374" s="302"/>
    </row>
    <row r="1375" spans="1:47">
      <c r="A1375" s="1"/>
      <c r="B1375" s="1"/>
      <c r="C1375" s="1"/>
      <c r="D1375" s="522" t="s">
        <v>493</v>
      </c>
      <c r="E1375" s="530"/>
      <c r="F1375" s="530"/>
      <c r="G1375" s="530"/>
      <c r="H1375" s="530"/>
      <c r="I1375" s="530"/>
      <c r="J1375" s="530"/>
      <c r="K1375" s="530"/>
      <c r="L1375" s="530"/>
      <c r="M1375" s="530"/>
      <c r="N1375" s="530"/>
      <c r="O1375" s="530"/>
      <c r="P1375" s="530"/>
      <c r="Q1375" s="530"/>
      <c r="R1375" s="530"/>
      <c r="S1375" s="530"/>
      <c r="T1375" s="530"/>
      <c r="U1375" s="530"/>
      <c r="V1375" s="1631">
        <f t="shared" ref="V1375:AL1375" si="1679">V1288/V$402</f>
        <v>0.14650072470826792</v>
      </c>
      <c r="W1375" s="1631">
        <f t="shared" si="1679"/>
        <v>0.15500564971751413</v>
      </c>
      <c r="X1375" s="1631">
        <f t="shared" si="1679"/>
        <v>0.13181294898940504</v>
      </c>
      <c r="Y1375" s="1631">
        <f t="shared" si="1679"/>
        <v>0.25085075675178797</v>
      </c>
      <c r="Z1375" s="1631">
        <f t="shared" si="1679"/>
        <v>0.24313739512858512</v>
      </c>
      <c r="AA1375" s="1631">
        <f t="shared" si="1679"/>
        <v>0.23526279619196885</v>
      </c>
      <c r="AB1375" s="1631">
        <f t="shared" si="1679"/>
        <v>0.22335663941000222</v>
      </c>
      <c r="AC1375" s="1631">
        <f t="shared" si="1679"/>
        <v>0.2270973593801206</v>
      </c>
      <c r="AD1375" s="1631">
        <f t="shared" si="1679"/>
        <v>0.23686939337436813</v>
      </c>
      <c r="AE1375" s="1631">
        <f t="shared" si="1679"/>
        <v>0.23472087662093047</v>
      </c>
      <c r="AF1375" s="1631">
        <f t="shared" si="1679"/>
        <v>0.25052668731380467</v>
      </c>
      <c r="AG1375" s="1631">
        <f t="shared" si="1679"/>
        <v>0.25855834350192564</v>
      </c>
      <c r="AH1375" s="1631">
        <f t="shared" si="1679"/>
        <v>0.22232471280271651</v>
      </c>
      <c r="AI1375" s="1631">
        <f t="shared" si="1679"/>
        <v>0.21474775239032198</v>
      </c>
      <c r="AJ1375" s="1631">
        <f t="shared" si="1679"/>
        <v>0.21389551951724589</v>
      </c>
      <c r="AK1375" s="1631">
        <f t="shared" si="1679"/>
        <v>0.21355855763605217</v>
      </c>
      <c r="AL1375" s="1631">
        <f t="shared" si="1679"/>
        <v>0.22321320690777666</v>
      </c>
      <c r="AM1375" s="1631">
        <f t="shared" ref="AM1375:AO1394" si="1680">AM1288/AM$402</f>
        <v>0.22832324609970595</v>
      </c>
      <c r="AN1375" s="1631">
        <f t="shared" si="1680"/>
        <v>0.22933679019318989</v>
      </c>
      <c r="AO1375" s="1631">
        <f t="shared" si="1680"/>
        <v>0.23042399432833918</v>
      </c>
      <c r="AP1375" s="1631">
        <f t="shared" ref="AP1375:AT1375" si="1681">AP1288/AP$402</f>
        <v>0.21850715693734402</v>
      </c>
      <c r="AQ1375" s="1631">
        <f t="shared" si="1681"/>
        <v>0.21965763297057067</v>
      </c>
      <c r="AR1375" s="1631">
        <f t="shared" si="1681"/>
        <v>0.22229810168050496</v>
      </c>
      <c r="AS1375" s="1631">
        <f t="shared" si="1681"/>
        <v>-1.3172547100637999</v>
      </c>
      <c r="AT1375" s="1631">
        <f t="shared" si="1681"/>
        <v>-2.9199100965381315</v>
      </c>
    </row>
    <row r="1376" spans="1:47">
      <c r="A1376" s="1"/>
      <c r="B1376" s="1"/>
      <c r="C1376" s="1"/>
      <c r="D1376" s="525" t="s">
        <v>494</v>
      </c>
      <c r="E1376" s="530"/>
      <c r="F1376" s="530"/>
      <c r="G1376" s="530"/>
      <c r="H1376" s="530"/>
      <c r="I1376" s="530"/>
      <c r="J1376" s="530"/>
      <c r="K1376" s="530"/>
      <c r="L1376" s="530"/>
      <c r="M1376" s="530"/>
      <c r="N1376" s="530"/>
      <c r="O1376" s="530"/>
      <c r="P1376" s="530"/>
      <c r="Q1376" s="530"/>
      <c r="R1376" s="530"/>
      <c r="S1376" s="530"/>
      <c r="T1376" s="530"/>
      <c r="U1376" s="530"/>
      <c r="V1376" s="1631">
        <f t="shared" ref="V1376:AL1376" si="1682">V1289/V$402</f>
        <v>4.7331240188383049E-2</v>
      </c>
      <c r="W1376" s="1631">
        <f t="shared" si="1682"/>
        <v>5.1638418079096041E-2</v>
      </c>
      <c r="X1376" s="1631">
        <f t="shared" si="1682"/>
        <v>5.7464945729421353E-2</v>
      </c>
      <c r="Y1376" s="1631">
        <f t="shared" si="1682"/>
        <v>0.13640505428596589</v>
      </c>
      <c r="Z1376" s="1631">
        <f t="shared" si="1682"/>
        <v>0.14228582353724079</v>
      </c>
      <c r="AA1376" s="1631">
        <f t="shared" si="1682"/>
        <v>0.15265790468273704</v>
      </c>
      <c r="AB1376" s="1631">
        <f t="shared" si="1682"/>
        <v>0.14548252090354102</v>
      </c>
      <c r="AC1376" s="1631">
        <f t="shared" si="1682"/>
        <v>0.14957253523709177</v>
      </c>
      <c r="AD1376" s="1631">
        <f t="shared" si="1682"/>
        <v>0.1608766068385957</v>
      </c>
      <c r="AE1376" s="1631">
        <f t="shared" si="1682"/>
        <v>0.15721379866698659</v>
      </c>
      <c r="AF1376" s="1631">
        <f t="shared" si="1682"/>
        <v>0.15789010636713419</v>
      </c>
      <c r="AG1376" s="1631">
        <f t="shared" si="1682"/>
        <v>0.15642386990738971</v>
      </c>
      <c r="AH1376" s="1631">
        <f t="shared" si="1682"/>
        <v>0.14958941840381534</v>
      </c>
      <c r="AI1376" s="1631">
        <f>AI1289/AI$402</f>
        <v>0.14612731866824408</v>
      </c>
      <c r="AJ1376" s="1631">
        <f>AJ1289/AJ$402</f>
        <v>0.15505880481494372</v>
      </c>
      <c r="AK1376" s="1631">
        <f t="shared" si="1682"/>
        <v>0.16369231640164483</v>
      </c>
      <c r="AL1376" s="1631">
        <f t="shared" si="1682"/>
        <v>0.17360991703447831</v>
      </c>
      <c r="AM1376" s="1631">
        <f t="shared" si="1680"/>
        <v>0.17853995268759076</v>
      </c>
      <c r="AN1376" s="1631">
        <f t="shared" si="1680"/>
        <v>0.18092432225327509</v>
      </c>
      <c r="AO1376" s="1631">
        <f t="shared" si="1680"/>
        <v>0.18211747994121649</v>
      </c>
      <c r="AP1376" s="1631">
        <f t="shared" ref="AP1376:AT1376" si="1683">AP1289/AP$402</f>
        <v>0.18432055176024009</v>
      </c>
      <c r="AQ1376" s="1631">
        <f t="shared" si="1683"/>
        <v>0.18561203248758185</v>
      </c>
      <c r="AR1376" s="1631">
        <f t="shared" si="1683"/>
        <v>0.18844099182885657</v>
      </c>
      <c r="AS1376" s="1631">
        <f t="shared" si="1683"/>
        <v>-1.3225693836129626</v>
      </c>
      <c r="AT1376" s="1631">
        <f t="shared" si="1683"/>
        <v>-2.811695372096362</v>
      </c>
      <c r="AU1376" s="1040"/>
    </row>
    <row r="1377" spans="1:46">
      <c r="A1377" s="1"/>
      <c r="B1377" s="1"/>
      <c r="C1377" s="1"/>
      <c r="D1377" s="1462" t="s">
        <v>495</v>
      </c>
      <c r="E1377" s="530"/>
      <c r="F1377" s="530"/>
      <c r="G1377" s="530"/>
      <c r="H1377" s="530"/>
      <c r="I1377" s="530"/>
      <c r="J1377" s="530"/>
      <c r="K1377" s="530"/>
      <c r="L1377" s="530"/>
      <c r="M1377" s="530"/>
      <c r="N1377" s="530"/>
      <c r="O1377" s="530"/>
      <c r="P1377" s="530"/>
      <c r="Q1377" s="530"/>
      <c r="R1377" s="530"/>
      <c r="S1377" s="530"/>
      <c r="T1377" s="530"/>
      <c r="U1377" s="530"/>
      <c r="V1377" s="1631">
        <f t="shared" ref="V1377:AL1377" si="1684">V1290/V$402</f>
        <v>4.7331240188383049E-2</v>
      </c>
      <c r="W1377" s="1631">
        <f t="shared" si="1684"/>
        <v>5.1638418079096041E-2</v>
      </c>
      <c r="X1377" s="1631">
        <f t="shared" si="1684"/>
        <v>5.7464945729421353E-2</v>
      </c>
      <c r="Y1377" s="1631">
        <f t="shared" si="1684"/>
        <v>5.3941349228030733E-2</v>
      </c>
      <c r="Z1377" s="1631">
        <f t="shared" si="1684"/>
        <v>5.8597901948586127E-2</v>
      </c>
      <c r="AA1377" s="1631">
        <f t="shared" si="1684"/>
        <v>6.2106983798857721E-2</v>
      </c>
      <c r="AB1377" s="1631">
        <f t="shared" si="1684"/>
        <v>5.8213004108100284E-2</v>
      </c>
      <c r="AC1377" s="1631">
        <f t="shared" si="1684"/>
        <v>5.8810687902066484E-2</v>
      </c>
      <c r="AD1377" s="1631">
        <f t="shared" si="1684"/>
        <v>6.8292481386120679E-2</v>
      </c>
      <c r="AE1377" s="1631">
        <f t="shared" si="1684"/>
        <v>6.8343867882710824E-2</v>
      </c>
      <c r="AF1377" s="1631">
        <f t="shared" si="1684"/>
        <v>6.840157799245232E-2</v>
      </c>
      <c r="AG1377" s="1631">
        <f t="shared" si="1684"/>
        <v>7.1141594106133965E-2</v>
      </c>
      <c r="AH1377" s="1631">
        <f t="shared" si="1684"/>
        <v>6.6885234800404092E-2</v>
      </c>
      <c r="AI1377" s="1631">
        <f t="shared" si="1684"/>
        <v>6.6409638181608582E-2</v>
      </c>
      <c r="AJ1377" s="1631">
        <f t="shared" si="1684"/>
        <v>6.8481637376600554E-2</v>
      </c>
      <c r="AK1377" s="1631">
        <f t="shared" si="1684"/>
        <v>7.1101538280569698E-2</v>
      </c>
      <c r="AL1377" s="1631">
        <f t="shared" si="1684"/>
        <v>7.5698937641521635E-2</v>
      </c>
      <c r="AM1377" s="1631">
        <f t="shared" si="1680"/>
        <v>7.7371127749707114E-2</v>
      </c>
      <c r="AN1377" s="1631">
        <f t="shared" si="1680"/>
        <v>7.8037164443198914E-2</v>
      </c>
      <c r="AO1377" s="1631">
        <f t="shared" si="1680"/>
        <v>7.9601588644001436E-2</v>
      </c>
      <c r="AP1377" s="1631">
        <f t="shared" ref="AP1377:AT1377" si="1685">AP1290/AP$402</f>
        <v>8.1195308701166771E-2</v>
      </c>
      <c r="AQ1377" s="1631">
        <f t="shared" si="1685"/>
        <v>8.1654470132472776E-2</v>
      </c>
      <c r="AR1377" s="1631">
        <f t="shared" si="1685"/>
        <v>8.394544330212618E-2</v>
      </c>
      <c r="AS1377" s="1631">
        <f t="shared" si="1685"/>
        <v>-0.3021472237089875</v>
      </c>
      <c r="AT1377" s="1631">
        <f t="shared" si="1685"/>
        <v>-0.85344373054702616</v>
      </c>
    </row>
    <row r="1378" spans="1:46">
      <c r="A1378" s="1"/>
      <c r="B1378" s="1"/>
      <c r="C1378" s="1"/>
      <c r="D1378" s="1462" t="s">
        <v>499</v>
      </c>
      <c r="E1378" s="530"/>
      <c r="F1378" s="530"/>
      <c r="G1378" s="530"/>
      <c r="H1378" s="530"/>
      <c r="I1378" s="530"/>
      <c r="J1378" s="530"/>
      <c r="K1378" s="530"/>
      <c r="L1378" s="530"/>
      <c r="M1378" s="530"/>
      <c r="N1378" s="530"/>
      <c r="O1378" s="530"/>
      <c r="P1378" s="530"/>
      <c r="Q1378" s="530"/>
      <c r="R1378" s="530"/>
      <c r="S1378" s="530"/>
      <c r="T1378" s="530"/>
      <c r="U1378" s="530"/>
      <c r="V1378" s="1631">
        <f t="shared" ref="V1378:AL1378" si="1686">V1291/V$402</f>
        <v>0</v>
      </c>
      <c r="W1378" s="1631">
        <f t="shared" si="1686"/>
        <v>0</v>
      </c>
      <c r="X1378" s="1631">
        <f t="shared" si="1686"/>
        <v>0</v>
      </c>
      <c r="Y1378" s="1631">
        <f t="shared" si="1686"/>
        <v>0</v>
      </c>
      <c r="Z1378" s="1631">
        <f t="shared" si="1686"/>
        <v>0</v>
      </c>
      <c r="AA1378" s="1631">
        <f t="shared" si="1686"/>
        <v>0</v>
      </c>
      <c r="AB1378" s="1631">
        <f t="shared" si="1686"/>
        <v>0</v>
      </c>
      <c r="AC1378" s="1631">
        <f t="shared" si="1686"/>
        <v>0</v>
      </c>
      <c r="AD1378" s="1631">
        <f t="shared" si="1686"/>
        <v>0</v>
      </c>
      <c r="AE1378" s="1631">
        <f t="shared" si="1686"/>
        <v>0</v>
      </c>
      <c r="AF1378" s="1631">
        <f t="shared" si="1686"/>
        <v>0</v>
      </c>
      <c r="AG1378" s="1631">
        <f t="shared" si="1686"/>
        <v>0</v>
      </c>
      <c r="AH1378" s="1631">
        <f t="shared" si="1686"/>
        <v>0</v>
      </c>
      <c r="AI1378" s="1631">
        <f t="shared" si="1686"/>
        <v>0</v>
      </c>
      <c r="AJ1378" s="1631">
        <f t="shared" si="1686"/>
        <v>0</v>
      </c>
      <c r="AK1378" s="1631">
        <f t="shared" si="1686"/>
        <v>0</v>
      </c>
      <c r="AL1378" s="1631">
        <f t="shared" si="1686"/>
        <v>0</v>
      </c>
      <c r="AM1378" s="1631">
        <f t="shared" si="1680"/>
        <v>0</v>
      </c>
      <c r="AN1378" s="1631">
        <f t="shared" si="1680"/>
        <v>0</v>
      </c>
      <c r="AO1378" s="1631">
        <f t="shared" si="1680"/>
        <v>0</v>
      </c>
      <c r="AP1378" s="1631">
        <f t="shared" ref="AP1378:AT1378" si="1687">AP1291/AP$402</f>
        <v>2.5879361165105629E-5</v>
      </c>
      <c r="AQ1378" s="1631">
        <f t="shared" si="1687"/>
        <v>4.9040449471542747E-5</v>
      </c>
      <c r="AR1378" s="1631">
        <f t="shared" si="1687"/>
        <v>6.3123147903390665E-5</v>
      </c>
      <c r="AS1378" s="1631">
        <f t="shared" si="1687"/>
        <v>3.181080382263837E-4</v>
      </c>
      <c r="AT1378" s="1631">
        <f t="shared" si="1687"/>
        <v>3.9763504778297964E-4</v>
      </c>
    </row>
    <row r="1379" spans="1:46">
      <c r="A1379" s="1"/>
      <c r="B1379" s="1"/>
      <c r="C1379" s="1"/>
      <c r="D1379" s="1462" t="s">
        <v>500</v>
      </c>
      <c r="E1379" s="530"/>
      <c r="F1379" s="530"/>
      <c r="G1379" s="530"/>
      <c r="H1379" s="530"/>
      <c r="I1379" s="530"/>
      <c r="J1379" s="530"/>
      <c r="K1379" s="530"/>
      <c r="L1379" s="530"/>
      <c r="M1379" s="530"/>
      <c r="N1379" s="530"/>
      <c r="O1379" s="530"/>
      <c r="P1379" s="530"/>
      <c r="Q1379" s="530"/>
      <c r="R1379" s="530"/>
      <c r="S1379" s="530"/>
      <c r="T1379" s="530"/>
      <c r="U1379" s="530"/>
      <c r="V1379" s="1631">
        <f t="shared" ref="V1379:AL1379" si="1688">V1292/V$402</f>
        <v>0</v>
      </c>
      <c r="W1379" s="1631">
        <f t="shared" si="1688"/>
        <v>0</v>
      </c>
      <c r="X1379" s="1631">
        <f t="shared" si="1688"/>
        <v>0</v>
      </c>
      <c r="Y1379" s="1631">
        <f t="shared" si="1688"/>
        <v>1.9628073636874645E-4</v>
      </c>
      <c r="Z1379" s="1631">
        <f t="shared" si="1688"/>
        <v>2.5269354961439589E-4</v>
      </c>
      <c r="AA1379" s="1631">
        <f t="shared" si="1688"/>
        <v>1.2193772774123584E-4</v>
      </c>
      <c r="AB1379" s="1631">
        <f t="shared" si="1688"/>
        <v>8.4294410715161523E-5</v>
      </c>
      <c r="AC1379" s="1631">
        <f t="shared" si="1688"/>
        <v>6.1941552719022692E-15</v>
      </c>
      <c r="AD1379" s="1631">
        <f t="shared" si="1688"/>
        <v>2.2221152362927273E-3</v>
      </c>
      <c r="AE1379" s="1631">
        <f t="shared" si="1688"/>
        <v>4.9465992315702602E-4</v>
      </c>
      <c r="AF1379" s="1631">
        <f t="shared" si="1688"/>
        <v>1.8930654297827118E-3</v>
      </c>
      <c r="AG1379" s="1631">
        <f t="shared" si="1688"/>
        <v>1.4258304556998439E-3</v>
      </c>
      <c r="AH1379" s="1631">
        <f t="shared" si="1688"/>
        <v>1.4764269973266324E-3</v>
      </c>
      <c r="AI1379" s="1631">
        <f t="shared" si="1688"/>
        <v>1.7186918102469995E-3</v>
      </c>
      <c r="AJ1379" s="1631">
        <f t="shared" si="1688"/>
        <v>2.1588588683651585E-3</v>
      </c>
      <c r="AK1379" s="1631">
        <f t="shared" si="1688"/>
        <v>2.1070215332307345E-3</v>
      </c>
      <c r="AL1379" s="1631">
        <f t="shared" si="1688"/>
        <v>2.1357994881422786E-3</v>
      </c>
      <c r="AM1379" s="1631">
        <f t="shared" si="1680"/>
        <v>2.1151217242677792E-3</v>
      </c>
      <c r="AN1379" s="1631">
        <f t="shared" si="1680"/>
        <v>1.9512658619739358E-3</v>
      </c>
      <c r="AO1379" s="1631">
        <f t="shared" si="1680"/>
        <v>1.9420656624157988E-3</v>
      </c>
      <c r="AP1379" s="1631">
        <f t="shared" ref="AP1379:AT1379" si="1689">AP1292/AP$402</f>
        <v>1.9799762205658065E-3</v>
      </c>
      <c r="AQ1379" s="1631">
        <f t="shared" si="1689"/>
        <v>2.0252328681359074E-3</v>
      </c>
      <c r="AR1379" s="1631">
        <f t="shared" si="1689"/>
        <v>1.9573242771353137E-3</v>
      </c>
      <c r="AS1379" s="1631">
        <f t="shared" si="1689"/>
        <v>5.3656240537948473E-3</v>
      </c>
      <c r="AT1379" s="1631">
        <f t="shared" si="1689"/>
        <v>3.9491196483952213E-3</v>
      </c>
    </row>
    <row r="1380" spans="1:46">
      <c r="A1380" s="1"/>
      <c r="B1380" s="1"/>
      <c r="C1380" s="1"/>
      <c r="D1380" s="1462" t="s">
        <v>507</v>
      </c>
      <c r="E1380" s="530"/>
      <c r="F1380" s="530"/>
      <c r="G1380" s="530"/>
      <c r="H1380" s="530"/>
      <c r="I1380" s="530"/>
      <c r="J1380" s="530"/>
      <c r="K1380" s="530"/>
      <c r="L1380" s="530"/>
      <c r="M1380" s="530"/>
      <c r="N1380" s="530"/>
      <c r="O1380" s="530"/>
      <c r="P1380" s="530"/>
      <c r="Q1380" s="530"/>
      <c r="R1380" s="530"/>
      <c r="S1380" s="530"/>
      <c r="T1380" s="530"/>
      <c r="U1380" s="530"/>
      <c r="V1380" s="1631">
        <f t="shared" ref="V1380:AL1380" si="1690">V1293/V$402</f>
        <v>0</v>
      </c>
      <c r="W1380" s="1631">
        <f t="shared" si="1690"/>
        <v>0</v>
      </c>
      <c r="X1380" s="1631">
        <f t="shared" si="1690"/>
        <v>0</v>
      </c>
      <c r="Y1380" s="1631">
        <f t="shared" si="1690"/>
        <v>7.1742335822222225E-2</v>
      </c>
      <c r="Z1380" s="1631">
        <f t="shared" si="1690"/>
        <v>7.2418201220702652E-2</v>
      </c>
      <c r="AA1380" s="1631">
        <f t="shared" si="1690"/>
        <v>7.8859907929147682E-2</v>
      </c>
      <c r="AB1380" s="1631">
        <f t="shared" si="1690"/>
        <v>7.3268822459857816E-2</v>
      </c>
      <c r="AC1380" s="1631">
        <f t="shared" si="1690"/>
        <v>7.5491787382347547E-2</v>
      </c>
      <c r="AD1380" s="1631">
        <f t="shared" si="1690"/>
        <v>7.7544234494227718E-2</v>
      </c>
      <c r="AE1380" s="1631">
        <f t="shared" si="1690"/>
        <v>7.5879907114967018E-2</v>
      </c>
      <c r="AF1380" s="1631">
        <f t="shared" si="1690"/>
        <v>7.5547679877436269E-2</v>
      </c>
      <c r="AG1380" s="1631">
        <f t="shared" si="1690"/>
        <v>7.2769602610139025E-2</v>
      </c>
      <c r="AH1380" s="1631">
        <f t="shared" si="1690"/>
        <v>6.7387548153945126E-2</v>
      </c>
      <c r="AI1380" s="1631">
        <f t="shared" si="1690"/>
        <v>6.7040160688251096E-2</v>
      </c>
      <c r="AJ1380" s="1631">
        <f t="shared" si="1690"/>
        <v>7.3300189336251195E-2</v>
      </c>
      <c r="AK1380" s="1631">
        <f t="shared" si="1690"/>
        <v>7.9930237907166801E-2</v>
      </c>
      <c r="AL1380" s="1631">
        <f t="shared" si="1690"/>
        <v>8.4987119707194844E-2</v>
      </c>
      <c r="AM1380" s="1631">
        <f t="shared" si="1680"/>
        <v>8.7475005658423186E-2</v>
      </c>
      <c r="AN1380" s="1631">
        <f t="shared" si="1680"/>
        <v>8.905545455456805E-2</v>
      </c>
      <c r="AO1380" s="1631">
        <f t="shared" si="1680"/>
        <v>8.8920958232838382E-2</v>
      </c>
      <c r="AP1380" s="1631">
        <f t="shared" ref="AP1380:AT1380" si="1691">AP1293/AP$402</f>
        <v>8.9105522749710078E-2</v>
      </c>
      <c r="AQ1380" s="1631">
        <f t="shared" si="1691"/>
        <v>8.9303751339784812E-2</v>
      </c>
      <c r="AR1380" s="1631">
        <f t="shared" si="1691"/>
        <v>8.9451376178585215E-2</v>
      </c>
      <c r="AS1380" s="1631">
        <f t="shared" si="1691"/>
        <v>-1.085450256221927</v>
      </c>
      <c r="AT1380" s="1631">
        <f t="shared" si="1691"/>
        <v>-2.0340241061719837</v>
      </c>
    </row>
    <row r="1381" spans="1:46">
      <c r="A1381" s="1"/>
      <c r="B1381" s="1"/>
      <c r="C1381" s="1"/>
      <c r="D1381" s="1462" t="s">
        <v>519</v>
      </c>
      <c r="E1381" s="530"/>
      <c r="F1381" s="530"/>
      <c r="G1381" s="530"/>
      <c r="H1381" s="530"/>
      <c r="I1381" s="530"/>
      <c r="J1381" s="530"/>
      <c r="K1381" s="530"/>
      <c r="L1381" s="530"/>
      <c r="M1381" s="530"/>
      <c r="N1381" s="530"/>
      <c r="O1381" s="530"/>
      <c r="P1381" s="530"/>
      <c r="Q1381" s="530"/>
      <c r="R1381" s="530"/>
      <c r="S1381" s="530"/>
      <c r="T1381" s="530"/>
      <c r="U1381" s="530"/>
      <c r="V1381" s="1631">
        <f t="shared" ref="V1381:AL1381" si="1692">V1294/V$402</f>
        <v>0</v>
      </c>
      <c r="W1381" s="1631">
        <f t="shared" si="1692"/>
        <v>0</v>
      </c>
      <c r="X1381" s="1631">
        <f t="shared" si="1692"/>
        <v>0</v>
      </c>
      <c r="Y1381" s="1631">
        <f t="shared" si="1692"/>
        <v>1.05250884993442E-2</v>
      </c>
      <c r="Z1381" s="1631">
        <f t="shared" si="1692"/>
        <v>1.1017026818337617E-2</v>
      </c>
      <c r="AA1381" s="1631">
        <f t="shared" si="1692"/>
        <v>1.1569075226990397E-2</v>
      </c>
      <c r="AB1381" s="1631">
        <f t="shared" si="1692"/>
        <v>1.1150104445126322E-2</v>
      </c>
      <c r="AC1381" s="1631">
        <f t="shared" si="1692"/>
        <v>1.04220334870251E-2</v>
      </c>
      <c r="AD1381" s="1631">
        <f t="shared" si="1692"/>
        <v>1.2817775721954578E-2</v>
      </c>
      <c r="AE1381" s="1631">
        <f t="shared" si="1692"/>
        <v>1.2495363746151716E-2</v>
      </c>
      <c r="AF1381" s="1631">
        <f t="shared" si="1692"/>
        <v>1.2047783067462872E-2</v>
      </c>
      <c r="AG1381" s="1631">
        <f t="shared" si="1692"/>
        <v>1.1086842735416855E-2</v>
      </c>
      <c r="AH1381" s="1631">
        <f t="shared" si="1692"/>
        <v>1.3840208452139475E-2</v>
      </c>
      <c r="AI1381" s="1631">
        <f t="shared" si="1692"/>
        <v>1.0958827988137384E-2</v>
      </c>
      <c r="AJ1381" s="1631">
        <f t="shared" si="1692"/>
        <v>1.1118119233726811E-2</v>
      </c>
      <c r="AK1381" s="1631">
        <f t="shared" si="1692"/>
        <v>1.0553518680677608E-2</v>
      </c>
      <c r="AL1381" s="1631">
        <f t="shared" si="1692"/>
        <v>1.0788060197619546E-2</v>
      </c>
      <c r="AM1381" s="1631">
        <f t="shared" si="1680"/>
        <v>1.1578697555192663E-2</v>
      </c>
      <c r="AN1381" s="1631">
        <f t="shared" si="1680"/>
        <v>1.1880437393534183E-2</v>
      </c>
      <c r="AO1381" s="1631">
        <f t="shared" si="1680"/>
        <v>1.165286740196087E-2</v>
      </c>
      <c r="AP1381" s="1631">
        <f t="shared" ref="AP1381:AT1381" si="1693">AP1294/AP$402</f>
        <v>1.2013864727632361E-2</v>
      </c>
      <c r="AQ1381" s="1631">
        <f t="shared" si="1693"/>
        <v>1.2579537697716811E-2</v>
      </c>
      <c r="AR1381" s="1631">
        <f t="shared" si="1693"/>
        <v>1.3023724923106472E-2</v>
      </c>
      <c r="AS1381" s="1631">
        <f t="shared" si="1693"/>
        <v>5.9344364225930459E-2</v>
      </c>
      <c r="AT1381" s="1631">
        <f t="shared" si="1693"/>
        <v>7.1425709926469558E-2</v>
      </c>
    </row>
    <row r="1382" spans="1:46">
      <c r="A1382" s="1"/>
      <c r="B1382" s="1"/>
      <c r="C1382" s="1"/>
      <c r="D1382" s="1462" t="s">
        <v>526</v>
      </c>
      <c r="E1382" s="530"/>
      <c r="F1382" s="530"/>
      <c r="G1382" s="530"/>
      <c r="H1382" s="530"/>
      <c r="I1382" s="530"/>
      <c r="J1382" s="530"/>
      <c r="K1382" s="530"/>
      <c r="L1382" s="530"/>
      <c r="M1382" s="530"/>
      <c r="N1382" s="530"/>
      <c r="O1382" s="530"/>
      <c r="P1382" s="530"/>
      <c r="Q1382" s="530"/>
      <c r="R1382" s="530"/>
      <c r="S1382" s="530"/>
      <c r="T1382" s="530"/>
      <c r="U1382" s="530"/>
      <c r="V1382" s="1631">
        <f t="shared" ref="V1382:AL1382" si="1694">V1295/V$402</f>
        <v>0</v>
      </c>
      <c r="W1382" s="1631">
        <f t="shared" si="1694"/>
        <v>0</v>
      </c>
      <c r="X1382" s="1631">
        <f t="shared" si="1694"/>
        <v>0</v>
      </c>
      <c r="Y1382" s="1631">
        <f t="shared" si="1694"/>
        <v>0</v>
      </c>
      <c r="Z1382" s="1631">
        <f t="shared" si="1694"/>
        <v>0</v>
      </c>
      <c r="AA1382" s="1631">
        <f t="shared" si="1694"/>
        <v>0</v>
      </c>
      <c r="AB1382" s="1631">
        <f t="shared" si="1694"/>
        <v>2.7662954797414512E-3</v>
      </c>
      <c r="AC1382" s="1631">
        <f t="shared" si="1694"/>
        <v>4.8480264656464416E-3</v>
      </c>
      <c r="AD1382" s="1631">
        <f t="shared" si="1694"/>
        <v>0</v>
      </c>
      <c r="AE1382" s="1631">
        <f t="shared" si="1694"/>
        <v>0</v>
      </c>
      <c r="AF1382" s="1631">
        <f t="shared" si="1694"/>
        <v>0</v>
      </c>
      <c r="AG1382" s="1631">
        <f t="shared" si="1694"/>
        <v>0</v>
      </c>
      <c r="AH1382" s="1631">
        <f t="shared" si="1694"/>
        <v>0</v>
      </c>
      <c r="AI1382" s="1631">
        <f t="shared" si="1694"/>
        <v>0</v>
      </c>
      <c r="AJ1382" s="1631">
        <f t="shared" si="1694"/>
        <v>0</v>
      </c>
      <c r="AK1382" s="1631">
        <f t="shared" si="1694"/>
        <v>0</v>
      </c>
      <c r="AL1382" s="1631">
        <f t="shared" si="1694"/>
        <v>0</v>
      </c>
      <c r="AM1382" s="1631">
        <f t="shared" si="1680"/>
        <v>0</v>
      </c>
      <c r="AN1382" s="1631">
        <f t="shared" si="1680"/>
        <v>0</v>
      </c>
      <c r="AO1382" s="1631">
        <f t="shared" si="1680"/>
        <v>0</v>
      </c>
      <c r="AP1382" s="1631">
        <f t="shared" ref="AP1382:AT1382" si="1695">AP1295/AP$402</f>
        <v>0</v>
      </c>
      <c r="AQ1382" s="1631">
        <f t="shared" si="1695"/>
        <v>0</v>
      </c>
      <c r="AR1382" s="1631">
        <f t="shared" si="1695"/>
        <v>0</v>
      </c>
      <c r="AS1382" s="1631">
        <f t="shared" si="1695"/>
        <v>0</v>
      </c>
      <c r="AT1382" s="1631">
        <f t="shared" si="1695"/>
        <v>0</v>
      </c>
    </row>
    <row r="1383" spans="1:46">
      <c r="A1383" s="1"/>
      <c r="B1383" s="1"/>
      <c r="C1383" s="1"/>
      <c r="D1383" s="525" t="s">
        <v>528</v>
      </c>
      <c r="E1383" s="530"/>
      <c r="F1383" s="530"/>
      <c r="G1383" s="530"/>
      <c r="H1383" s="530"/>
      <c r="I1383" s="530"/>
      <c r="J1383" s="530"/>
      <c r="K1383" s="530"/>
      <c r="L1383" s="530"/>
      <c r="M1383" s="530"/>
      <c r="N1383" s="530"/>
      <c r="O1383" s="530"/>
      <c r="P1383" s="530"/>
      <c r="Q1383" s="530"/>
      <c r="R1383" s="530"/>
      <c r="S1383" s="530"/>
      <c r="T1383" s="530"/>
      <c r="U1383" s="530"/>
      <c r="V1383" s="1631">
        <f t="shared" ref="V1383:AL1383" si="1696">V1296/V$402</f>
        <v>0</v>
      </c>
      <c r="W1383" s="1631">
        <f t="shared" si="1696"/>
        <v>0</v>
      </c>
      <c r="X1383" s="1631">
        <f t="shared" si="1696"/>
        <v>0</v>
      </c>
      <c r="Y1383" s="1631">
        <f t="shared" si="1696"/>
        <v>0</v>
      </c>
      <c r="Z1383" s="1631">
        <f t="shared" si="1696"/>
        <v>0</v>
      </c>
      <c r="AA1383" s="1631">
        <f t="shared" si="1696"/>
        <v>0</v>
      </c>
      <c r="AB1383" s="1631">
        <f t="shared" si="1696"/>
        <v>0</v>
      </c>
      <c r="AC1383" s="1631">
        <f t="shared" si="1696"/>
        <v>0</v>
      </c>
      <c r="AD1383" s="1631">
        <f t="shared" si="1696"/>
        <v>0</v>
      </c>
      <c r="AE1383" s="1631">
        <f t="shared" si="1696"/>
        <v>0</v>
      </c>
      <c r="AF1383" s="1631">
        <f t="shared" si="1696"/>
        <v>0</v>
      </c>
      <c r="AG1383" s="1631">
        <f t="shared" si="1696"/>
        <v>0</v>
      </c>
      <c r="AH1383" s="1631">
        <f t="shared" si="1696"/>
        <v>0</v>
      </c>
      <c r="AI1383" s="1631">
        <f t="shared" si="1696"/>
        <v>0</v>
      </c>
      <c r="AJ1383" s="1631">
        <f t="shared" si="1696"/>
        <v>0</v>
      </c>
      <c r="AK1383" s="1631">
        <f t="shared" si="1696"/>
        <v>0</v>
      </c>
      <c r="AL1383" s="1631">
        <f t="shared" si="1696"/>
        <v>0</v>
      </c>
      <c r="AM1383" s="1631">
        <f t="shared" si="1680"/>
        <v>0</v>
      </c>
      <c r="AN1383" s="1631">
        <f t="shared" si="1680"/>
        <v>0</v>
      </c>
      <c r="AO1383" s="1631">
        <f t="shared" si="1680"/>
        <v>0</v>
      </c>
      <c r="AP1383" s="1631">
        <f t="shared" ref="AP1383:AT1383" si="1697">AP1296/AP$402</f>
        <v>0</v>
      </c>
      <c r="AQ1383" s="1631">
        <f t="shared" si="1697"/>
        <v>0</v>
      </c>
      <c r="AR1383" s="1631">
        <f t="shared" si="1697"/>
        <v>0</v>
      </c>
      <c r="AS1383" s="1631">
        <f t="shared" si="1697"/>
        <v>0</v>
      </c>
      <c r="AT1383" s="1631">
        <f t="shared" si="1697"/>
        <v>0</v>
      </c>
    </row>
    <row r="1384" spans="1:46">
      <c r="A1384" s="1"/>
      <c r="B1384" s="1"/>
      <c r="C1384" s="1"/>
      <c r="D1384" s="525" t="s">
        <v>536</v>
      </c>
      <c r="E1384" s="530"/>
      <c r="F1384" s="530"/>
      <c r="G1384" s="530"/>
      <c r="H1384" s="530"/>
      <c r="I1384" s="530"/>
      <c r="J1384" s="530"/>
      <c r="K1384" s="530"/>
      <c r="L1384" s="530"/>
      <c r="M1384" s="530"/>
      <c r="N1384" s="530"/>
      <c r="O1384" s="530"/>
      <c r="P1384" s="530"/>
      <c r="Q1384" s="530"/>
      <c r="R1384" s="530"/>
      <c r="S1384" s="530"/>
      <c r="T1384" s="530"/>
      <c r="U1384" s="530"/>
      <c r="V1384" s="1631">
        <f t="shared" ref="V1384:AL1384" si="1698">V1297/V$402</f>
        <v>9.9169484519884873E-2</v>
      </c>
      <c r="W1384" s="1631">
        <f t="shared" si="1698"/>
        <v>0.10336723163841807</v>
      </c>
      <c r="X1384" s="1631">
        <f t="shared" si="1698"/>
        <v>7.4348003259983697E-2</v>
      </c>
      <c r="Y1384" s="1631">
        <f t="shared" si="1698"/>
        <v>8.8873272854154042E-2</v>
      </c>
      <c r="Z1384" s="1631">
        <f t="shared" si="1698"/>
        <v>7.1281475063461802E-2</v>
      </c>
      <c r="AA1384" s="1631">
        <f t="shared" si="1698"/>
        <v>5.7029392002678071E-2</v>
      </c>
      <c r="AB1384" s="1631">
        <f t="shared" si="1698"/>
        <v>4.564308597546566E-2</v>
      </c>
      <c r="AC1384" s="1631">
        <f t="shared" si="1698"/>
        <v>4.4774036535517772E-2</v>
      </c>
      <c r="AD1384" s="1631">
        <f t="shared" si="1698"/>
        <v>4.5279887342993319E-2</v>
      </c>
      <c r="AE1384" s="1631">
        <f t="shared" si="1698"/>
        <v>4.6618197809915565E-2</v>
      </c>
      <c r="AF1384" s="1631">
        <f t="shared" si="1698"/>
        <v>5.5112119181489831E-2</v>
      </c>
      <c r="AG1384" s="1631">
        <f t="shared" si="1698"/>
        <v>6.8693478865334362E-2</v>
      </c>
      <c r="AH1384" s="1631">
        <f t="shared" si="1698"/>
        <v>4.6518033206131182E-2</v>
      </c>
      <c r="AI1384" s="1631">
        <f t="shared" si="1698"/>
        <v>4.2699690625549791E-2</v>
      </c>
      <c r="AJ1384" s="1631">
        <f t="shared" si="1698"/>
        <v>3.1235820498389053E-2</v>
      </c>
      <c r="AK1384" s="1631">
        <f t="shared" si="1698"/>
        <v>2.583334240602865E-2</v>
      </c>
      <c r="AL1384" s="1631">
        <f t="shared" si="1698"/>
        <v>2.5821697603293461E-2</v>
      </c>
      <c r="AM1384" s="1631">
        <f t="shared" si="1680"/>
        <v>2.5708723593603589E-2</v>
      </c>
      <c r="AN1384" s="1631">
        <f t="shared" si="1680"/>
        <v>2.456666619627702E-2</v>
      </c>
      <c r="AO1384" s="1631">
        <f t="shared" si="1680"/>
        <v>2.3810217540838272E-2</v>
      </c>
      <c r="AP1384" s="1631">
        <f t="shared" ref="AP1384:AT1384" si="1699">AP1297/AP$402</f>
        <v>9.2088613463399156E-3</v>
      </c>
      <c r="AQ1384" s="1631">
        <f t="shared" si="1699"/>
        <v>9.3709034730843632E-3</v>
      </c>
      <c r="AR1384" s="1631">
        <f t="shared" si="1699"/>
        <v>8.4917519857079984E-3</v>
      </c>
      <c r="AS1384" s="1631">
        <f t="shared" si="1699"/>
        <v>3.3929543216258455E-2</v>
      </c>
      <c r="AT1384" s="1631">
        <f t="shared" si="1699"/>
        <v>3.55056714218068E-2</v>
      </c>
    </row>
    <row r="1385" spans="1:46">
      <c r="A1385" s="1"/>
      <c r="B1385" s="1"/>
      <c r="C1385" s="1"/>
      <c r="D1385" s="525" t="s">
        <v>3092</v>
      </c>
      <c r="E1385" s="530"/>
      <c r="F1385" s="530"/>
      <c r="G1385" s="530"/>
      <c r="H1385" s="530"/>
      <c r="I1385" s="530"/>
      <c r="J1385" s="530"/>
      <c r="K1385" s="530"/>
      <c r="L1385" s="530"/>
      <c r="M1385" s="530"/>
      <c r="N1385" s="530"/>
      <c r="O1385" s="530"/>
      <c r="P1385" s="530"/>
      <c r="Q1385" s="530"/>
      <c r="R1385" s="530"/>
      <c r="S1385" s="530"/>
      <c r="T1385" s="530"/>
      <c r="U1385" s="530"/>
      <c r="V1385" s="1631">
        <f t="shared" ref="V1385:AL1385" si="1700">V1298/V$402</f>
        <v>0</v>
      </c>
      <c r="W1385" s="1631">
        <f t="shared" si="1700"/>
        <v>0</v>
      </c>
      <c r="X1385" s="1631">
        <f t="shared" si="1700"/>
        <v>0</v>
      </c>
      <c r="Y1385" s="1631">
        <f t="shared" si="1700"/>
        <v>0</v>
      </c>
      <c r="Z1385" s="1631">
        <f t="shared" si="1700"/>
        <v>0</v>
      </c>
      <c r="AA1385" s="1631">
        <f t="shared" si="1700"/>
        <v>0</v>
      </c>
      <c r="AB1385" s="1631">
        <f t="shared" si="1700"/>
        <v>9.5206014904685842E-3</v>
      </c>
      <c r="AC1385" s="1631">
        <f t="shared" si="1700"/>
        <v>7.8494519718758076E-3</v>
      </c>
      <c r="AD1385" s="1631">
        <f t="shared" si="1700"/>
        <v>2.1653954453979278E-3</v>
      </c>
      <c r="AE1385" s="1631">
        <f t="shared" si="1700"/>
        <v>2.5768001032322519E-3</v>
      </c>
      <c r="AF1385" s="1631">
        <f t="shared" si="1700"/>
        <v>8.7793776872331099E-4</v>
      </c>
      <c r="AG1385" s="1631">
        <f t="shared" si="1700"/>
        <v>1.7880432219429036E-2</v>
      </c>
      <c r="AH1385" s="1631">
        <f t="shared" si="1700"/>
        <v>2.652648733325557E-2</v>
      </c>
      <c r="AI1385" s="1631">
        <f t="shared" si="1700"/>
        <v>2.3877907286876502E-2</v>
      </c>
      <c r="AJ1385" s="1631">
        <f t="shared" si="1700"/>
        <v>1.5989870880917127E-2</v>
      </c>
      <c r="AK1385" s="1631">
        <f t="shared" si="1700"/>
        <v>1.4024968457964013E-2</v>
      </c>
      <c r="AL1385" s="1631">
        <f t="shared" si="1700"/>
        <v>1.2091951538091844E-2</v>
      </c>
      <c r="AM1385" s="1631">
        <f t="shared" si="1680"/>
        <v>1.1453232190707294E-2</v>
      </c>
      <c r="AN1385" s="1631">
        <f t="shared" si="1680"/>
        <v>1.0769761730108289E-2</v>
      </c>
      <c r="AO1385" s="1631">
        <f t="shared" si="1680"/>
        <v>1.0004712064935434E-2</v>
      </c>
      <c r="AP1385" s="1631">
        <f t="shared" ref="AP1385:AT1385" si="1701">AP1298/AP$402</f>
        <v>0</v>
      </c>
      <c r="AQ1385" s="1631">
        <f t="shared" si="1701"/>
        <v>0</v>
      </c>
      <c r="AR1385" s="1631">
        <f t="shared" si="1701"/>
        <v>0</v>
      </c>
      <c r="AS1385" s="1631">
        <f t="shared" si="1701"/>
        <v>0</v>
      </c>
      <c r="AT1385" s="1631">
        <f t="shared" si="1701"/>
        <v>0</v>
      </c>
    </row>
    <row r="1386" spans="1:46">
      <c r="A1386" s="1"/>
      <c r="B1386" s="1"/>
      <c r="C1386" s="1"/>
      <c r="D1386" s="527" t="s">
        <v>538</v>
      </c>
      <c r="E1386" s="530"/>
      <c r="F1386" s="530"/>
      <c r="G1386" s="530"/>
      <c r="H1386" s="530"/>
      <c r="I1386" s="530"/>
      <c r="J1386" s="530"/>
      <c r="K1386" s="530"/>
      <c r="L1386" s="530"/>
      <c r="M1386" s="530"/>
      <c r="N1386" s="530"/>
      <c r="O1386" s="530"/>
      <c r="P1386" s="530"/>
      <c r="Q1386" s="530"/>
      <c r="R1386" s="530"/>
      <c r="S1386" s="530"/>
      <c r="T1386" s="530"/>
      <c r="U1386" s="530"/>
      <c r="V1386" s="1631">
        <f t="shared" ref="V1386:AL1386" si="1702">V1299/V$402</f>
        <v>0</v>
      </c>
      <c r="W1386" s="1631">
        <f t="shared" si="1702"/>
        <v>0</v>
      </c>
      <c r="X1386" s="1631">
        <f t="shared" si="1702"/>
        <v>0</v>
      </c>
      <c r="Y1386" s="1631">
        <f t="shared" si="1702"/>
        <v>0</v>
      </c>
      <c r="Z1386" s="1631">
        <f t="shared" si="1702"/>
        <v>0</v>
      </c>
      <c r="AA1386" s="1631">
        <f t="shared" si="1702"/>
        <v>0</v>
      </c>
      <c r="AB1386" s="1631">
        <f t="shared" si="1702"/>
        <v>9.5206014904685842E-3</v>
      </c>
      <c r="AC1386" s="1631">
        <f t="shared" si="1702"/>
        <v>7.8494519718758076E-3</v>
      </c>
      <c r="AD1386" s="1631">
        <f t="shared" si="1702"/>
        <v>2.1653954453979278E-3</v>
      </c>
      <c r="AE1386" s="1631">
        <f t="shared" si="1702"/>
        <v>2.5768001032322519E-3</v>
      </c>
      <c r="AF1386" s="1631">
        <f t="shared" si="1702"/>
        <v>8.7793776872331099E-4</v>
      </c>
      <c r="AG1386" s="1631">
        <f t="shared" si="1702"/>
        <v>1.7880432219429036E-2</v>
      </c>
      <c r="AH1386" s="1631">
        <f t="shared" si="1702"/>
        <v>1.0381677033267341E-2</v>
      </c>
      <c r="AI1386" s="1631">
        <f t="shared" si="1702"/>
        <v>5.9613947603865828E-3</v>
      </c>
      <c r="AJ1386" s="1631">
        <f t="shared" si="1702"/>
        <v>1.8000636254833025E-3</v>
      </c>
      <c r="AK1386" s="1631">
        <f t="shared" si="1702"/>
        <v>1.3214635415630435E-3</v>
      </c>
      <c r="AL1386" s="1631">
        <f t="shared" si="1702"/>
        <v>0</v>
      </c>
      <c r="AM1386" s="1631">
        <f t="shared" si="1680"/>
        <v>0</v>
      </c>
      <c r="AN1386" s="1631">
        <f t="shared" si="1680"/>
        <v>0</v>
      </c>
      <c r="AO1386" s="1631">
        <f t="shared" si="1680"/>
        <v>0</v>
      </c>
      <c r="AP1386" s="1631">
        <f t="shared" ref="AP1386:AT1386" si="1703">AP1299/AP$402</f>
        <v>0</v>
      </c>
      <c r="AQ1386" s="1631">
        <f t="shared" si="1703"/>
        <v>0</v>
      </c>
      <c r="AR1386" s="1631">
        <f t="shared" si="1703"/>
        <v>0</v>
      </c>
      <c r="AS1386" s="1631">
        <f t="shared" si="1703"/>
        <v>0</v>
      </c>
      <c r="AT1386" s="1631">
        <f t="shared" si="1703"/>
        <v>0</v>
      </c>
    </row>
    <row r="1387" spans="1:46">
      <c r="A1387" s="1"/>
      <c r="B1387" s="1"/>
      <c r="C1387" s="1"/>
      <c r="D1387" s="527" t="s">
        <v>539</v>
      </c>
      <c r="E1387" s="530"/>
      <c r="F1387" s="530"/>
      <c r="G1387" s="530"/>
      <c r="H1387" s="530"/>
      <c r="I1387" s="530"/>
      <c r="J1387" s="530"/>
      <c r="K1387" s="530"/>
      <c r="L1387" s="530"/>
      <c r="M1387" s="530"/>
      <c r="N1387" s="530"/>
      <c r="O1387" s="530"/>
      <c r="P1387" s="530"/>
      <c r="Q1387" s="530"/>
      <c r="R1387" s="530"/>
      <c r="S1387" s="530"/>
      <c r="T1387" s="530"/>
      <c r="U1387" s="530"/>
      <c r="V1387" s="1631">
        <f t="shared" ref="V1387:AL1387" si="1704">V1300/V$402</f>
        <v>0</v>
      </c>
      <c r="W1387" s="1631">
        <f t="shared" si="1704"/>
        <v>0</v>
      </c>
      <c r="X1387" s="1631">
        <f t="shared" si="1704"/>
        <v>0</v>
      </c>
      <c r="Y1387" s="1631">
        <f t="shared" si="1704"/>
        <v>0</v>
      </c>
      <c r="Z1387" s="1631">
        <f t="shared" si="1704"/>
        <v>0</v>
      </c>
      <c r="AA1387" s="1631">
        <f t="shared" si="1704"/>
        <v>0</v>
      </c>
      <c r="AB1387" s="1631">
        <f t="shared" si="1704"/>
        <v>0</v>
      </c>
      <c r="AC1387" s="1631">
        <f t="shared" si="1704"/>
        <v>0</v>
      </c>
      <c r="AD1387" s="1631">
        <f t="shared" si="1704"/>
        <v>0</v>
      </c>
      <c r="AE1387" s="1631">
        <f t="shared" si="1704"/>
        <v>0</v>
      </c>
      <c r="AF1387" s="1631">
        <f t="shared" si="1704"/>
        <v>0</v>
      </c>
      <c r="AG1387" s="1631">
        <f t="shared" si="1704"/>
        <v>0</v>
      </c>
      <c r="AH1387" s="1631">
        <f t="shared" si="1704"/>
        <v>1.6144810299988231E-2</v>
      </c>
      <c r="AI1387" s="1631">
        <f t="shared" si="1704"/>
        <v>1.791651252648992E-2</v>
      </c>
      <c r="AJ1387" s="1631">
        <f t="shared" si="1704"/>
        <v>1.4189807255433826E-2</v>
      </c>
      <c r="AK1387" s="1631">
        <f t="shared" si="1704"/>
        <v>1.270350491640097E-2</v>
      </c>
      <c r="AL1387" s="1631">
        <f t="shared" si="1704"/>
        <v>1.2091951538091844E-2</v>
      </c>
      <c r="AM1387" s="1631">
        <f t="shared" si="1680"/>
        <v>1.1453232190707294E-2</v>
      </c>
      <c r="AN1387" s="1631">
        <f t="shared" si="1680"/>
        <v>1.0769761730108289E-2</v>
      </c>
      <c r="AO1387" s="1631">
        <f t="shared" si="1680"/>
        <v>1.0004712064935434E-2</v>
      </c>
      <c r="AP1387" s="1631">
        <f t="shared" ref="AP1387:AT1387" si="1705">AP1300/AP$402</f>
        <v>0</v>
      </c>
      <c r="AQ1387" s="1631">
        <f t="shared" si="1705"/>
        <v>0</v>
      </c>
      <c r="AR1387" s="1631">
        <f t="shared" si="1705"/>
        <v>0</v>
      </c>
      <c r="AS1387" s="1631">
        <f t="shared" si="1705"/>
        <v>0</v>
      </c>
      <c r="AT1387" s="1631">
        <f t="shared" si="1705"/>
        <v>0</v>
      </c>
    </row>
    <row r="1388" spans="1:46">
      <c r="A1388" s="1"/>
      <c r="B1388" s="1"/>
      <c r="C1388" s="1"/>
      <c r="D1388" s="1461" t="s">
        <v>3093</v>
      </c>
      <c r="E1388" s="530"/>
      <c r="F1388" s="530"/>
      <c r="G1388" s="530"/>
      <c r="H1388" s="530"/>
      <c r="I1388" s="530"/>
      <c r="J1388" s="530"/>
      <c r="K1388" s="530"/>
      <c r="L1388" s="530"/>
      <c r="M1388" s="530"/>
      <c r="N1388" s="530"/>
      <c r="O1388" s="530"/>
      <c r="P1388" s="530"/>
      <c r="Q1388" s="530"/>
      <c r="R1388" s="530"/>
      <c r="S1388" s="530"/>
      <c r="T1388" s="530"/>
      <c r="U1388" s="530"/>
      <c r="V1388" s="1631">
        <f t="shared" ref="V1388:AL1388" si="1706">V1301/V$402</f>
        <v>9.9169484519884873E-2</v>
      </c>
      <c r="W1388" s="1631">
        <f t="shared" si="1706"/>
        <v>0.10336723163841807</v>
      </c>
      <c r="X1388" s="1631">
        <f t="shared" si="1706"/>
        <v>7.4348003259983697E-2</v>
      </c>
      <c r="Y1388" s="1631">
        <f t="shared" si="1706"/>
        <v>8.8873272854154042E-2</v>
      </c>
      <c r="Z1388" s="1631">
        <f t="shared" si="1706"/>
        <v>7.1281475063461802E-2</v>
      </c>
      <c r="AA1388" s="1631">
        <f t="shared" si="1706"/>
        <v>5.7029392002678071E-2</v>
      </c>
      <c r="AB1388" s="1631">
        <f t="shared" si="1706"/>
        <v>3.6122484484997074E-2</v>
      </c>
      <c r="AC1388" s="1631">
        <f t="shared" si="1706"/>
        <v>3.6924584563641963E-2</v>
      </c>
      <c r="AD1388" s="1631">
        <f t="shared" si="1706"/>
        <v>4.3114491897595392E-2</v>
      </c>
      <c r="AE1388" s="1631">
        <f t="shared" si="1706"/>
        <v>4.4041397706683319E-2</v>
      </c>
      <c r="AF1388" s="1631">
        <f t="shared" si="1706"/>
        <v>5.4234181412766522E-2</v>
      </c>
      <c r="AG1388" s="1631">
        <f t="shared" si="1706"/>
        <v>5.0813046645905316E-2</v>
      </c>
      <c r="AH1388" s="1631">
        <f t="shared" si="1706"/>
        <v>1.9991545872875608E-2</v>
      </c>
      <c r="AI1388" s="1631">
        <f t="shared" si="1706"/>
        <v>1.8821783338673289E-2</v>
      </c>
      <c r="AJ1388" s="1631">
        <f t="shared" si="1706"/>
        <v>1.5245949617471924E-2</v>
      </c>
      <c r="AK1388" s="1631">
        <f t="shared" si="1706"/>
        <v>1.1808373948064636E-2</v>
      </c>
      <c r="AL1388" s="1631">
        <f t="shared" si="1706"/>
        <v>1.1214050875710159E-2</v>
      </c>
      <c r="AM1388" s="1631">
        <f t="shared" si="1680"/>
        <v>1.0681274159857552E-2</v>
      </c>
      <c r="AN1388" s="1631">
        <f t="shared" si="1680"/>
        <v>9.8758239061496524E-3</v>
      </c>
      <c r="AO1388" s="1631">
        <f t="shared" si="1680"/>
        <v>9.1222404666842938E-3</v>
      </c>
      <c r="AP1388" s="1631">
        <f t="shared" ref="AP1388:AT1388" si="1707">AP1301/AP$402</f>
        <v>5.1445783433552422E-3</v>
      </c>
      <c r="AQ1388" s="1631">
        <f t="shared" si="1707"/>
        <v>5.0945750116800506E-3</v>
      </c>
      <c r="AR1388" s="1631">
        <f t="shared" si="1707"/>
        <v>4.6794227504099476E-3</v>
      </c>
      <c r="AS1388" s="1631">
        <f t="shared" si="1707"/>
        <v>1.8570724163446333E-2</v>
      </c>
      <c r="AT1388" s="1631">
        <f t="shared" si="1707"/>
        <v>1.949926037161865E-2</v>
      </c>
    </row>
    <row r="1389" spans="1:46">
      <c r="A1389" s="1"/>
      <c r="B1389" s="1"/>
      <c r="C1389" s="1"/>
      <c r="D1389" s="527" t="s">
        <v>538</v>
      </c>
      <c r="E1389" s="530"/>
      <c r="F1389" s="530"/>
      <c r="G1389" s="530"/>
      <c r="H1389" s="530"/>
      <c r="I1389" s="530"/>
      <c r="J1389" s="530"/>
      <c r="K1389" s="530"/>
      <c r="L1389" s="530"/>
      <c r="M1389" s="530"/>
      <c r="N1389" s="530"/>
      <c r="O1389" s="530"/>
      <c r="P1389" s="530"/>
      <c r="Q1389" s="530"/>
      <c r="R1389" s="530"/>
      <c r="S1389" s="530"/>
      <c r="T1389" s="530"/>
      <c r="U1389" s="530"/>
      <c r="V1389" s="1631">
        <f t="shared" ref="V1389:AL1389" si="1708">V1302/V$402</f>
        <v>5.6260013038984827E-2</v>
      </c>
      <c r="W1389" s="1631">
        <f t="shared" si="1708"/>
        <v>6.0045197740112993E-2</v>
      </c>
      <c r="X1389" s="1631">
        <f t="shared" si="1708"/>
        <v>3.8712306438467806E-2</v>
      </c>
      <c r="Y1389" s="1631">
        <f t="shared" si="1708"/>
        <v>3.2050755476119755E-2</v>
      </c>
      <c r="Z1389" s="1631">
        <f t="shared" si="1708"/>
        <v>2.9974928012843304E-2</v>
      </c>
      <c r="AA1389" s="1631">
        <f t="shared" si="1708"/>
        <v>3.1253931066340168E-2</v>
      </c>
      <c r="AB1389" s="1631">
        <f t="shared" si="1708"/>
        <v>1.5940012823399064E-2</v>
      </c>
      <c r="AC1389" s="1631">
        <f t="shared" si="1708"/>
        <v>1.5877927877015217E-2</v>
      </c>
      <c r="AD1389" s="1631">
        <f t="shared" si="1708"/>
        <v>1.6379514609895268E-2</v>
      </c>
      <c r="AE1389" s="1631">
        <f t="shared" si="1708"/>
        <v>1.6358908607786014E-2</v>
      </c>
      <c r="AF1389" s="1631">
        <f t="shared" si="1708"/>
        <v>2.5537041623028431E-2</v>
      </c>
      <c r="AG1389" s="1631">
        <f t="shared" si="1708"/>
        <v>1.9386686791959651E-2</v>
      </c>
      <c r="AH1389" s="1631">
        <f t="shared" si="1708"/>
        <v>9.8931474394257871E-3</v>
      </c>
      <c r="AI1389" s="1631">
        <f t="shared" si="1708"/>
        <v>8.3345854270305865E-3</v>
      </c>
      <c r="AJ1389" s="1631">
        <f t="shared" si="1708"/>
        <v>7.3326534114251003E-3</v>
      </c>
      <c r="AK1389" s="1631">
        <f t="shared" si="1708"/>
        <v>5.1175281457755155E-3</v>
      </c>
      <c r="AL1389" s="1631">
        <f t="shared" si="1708"/>
        <v>4.845305893711396E-3</v>
      </c>
      <c r="AM1389" s="1631">
        <f t="shared" si="1680"/>
        <v>4.6489381210923471E-3</v>
      </c>
      <c r="AN1389" s="1631">
        <f t="shared" si="1680"/>
        <v>4.2034669040661625E-3</v>
      </c>
      <c r="AO1389" s="1631">
        <f t="shared" si="1680"/>
        <v>3.8528296888476091E-3</v>
      </c>
      <c r="AP1389" s="1631">
        <f t="shared" ref="AP1389:AT1389" si="1709">AP1302/AP$402</f>
        <v>0</v>
      </c>
      <c r="AQ1389" s="1631">
        <f t="shared" si="1709"/>
        <v>0</v>
      </c>
      <c r="AR1389" s="1631">
        <f t="shared" si="1709"/>
        <v>0</v>
      </c>
      <c r="AS1389" s="1631">
        <f t="shared" si="1709"/>
        <v>0</v>
      </c>
      <c r="AT1389" s="1631">
        <f t="shared" si="1709"/>
        <v>0</v>
      </c>
    </row>
    <row r="1390" spans="1:46">
      <c r="A1390" s="1"/>
      <c r="B1390" s="1"/>
      <c r="C1390" s="1"/>
      <c r="D1390" s="527" t="s">
        <v>539</v>
      </c>
      <c r="E1390" s="530"/>
      <c r="F1390" s="530"/>
      <c r="G1390" s="530"/>
      <c r="H1390" s="530"/>
      <c r="I1390" s="530"/>
      <c r="J1390" s="530"/>
      <c r="K1390" s="530"/>
      <c r="L1390" s="530"/>
      <c r="M1390" s="530"/>
      <c r="N1390" s="530"/>
      <c r="O1390" s="530"/>
      <c r="P1390" s="530"/>
      <c r="Q1390" s="530"/>
      <c r="R1390" s="530"/>
      <c r="S1390" s="530"/>
      <c r="T1390" s="530"/>
      <c r="U1390" s="530"/>
      <c r="V1390" s="1631">
        <f t="shared" ref="V1390:AL1390" si="1710">V1303/V$402</f>
        <v>4.2909471480900054E-2</v>
      </c>
      <c r="W1390" s="1631">
        <f t="shared" si="1710"/>
        <v>4.3322033898305079E-2</v>
      </c>
      <c r="X1390" s="1631">
        <f t="shared" si="1710"/>
        <v>3.5635696821515891E-2</v>
      </c>
      <c r="Y1390" s="1631">
        <f t="shared" si="1710"/>
        <v>5.682251737803428E-2</v>
      </c>
      <c r="Z1390" s="1631">
        <f t="shared" si="1710"/>
        <v>4.1306547050618495E-2</v>
      </c>
      <c r="AA1390" s="1631">
        <f t="shared" si="1710"/>
        <v>2.5775460936337896E-2</v>
      </c>
      <c r="AB1390" s="1631">
        <f t="shared" si="1710"/>
        <v>2.0182471661598009E-2</v>
      </c>
      <c r="AC1390" s="1631">
        <f t="shared" si="1710"/>
        <v>2.1046656686626749E-2</v>
      </c>
      <c r="AD1390" s="1631">
        <f t="shared" si="1710"/>
        <v>2.6734977287700121E-2</v>
      </c>
      <c r="AE1390" s="1631">
        <f t="shared" si="1710"/>
        <v>2.7682489098897298E-2</v>
      </c>
      <c r="AF1390" s="1631">
        <f t="shared" si="1710"/>
        <v>2.8697139789738094E-2</v>
      </c>
      <c r="AG1390" s="1631">
        <f t="shared" si="1710"/>
        <v>3.1426359853945658E-2</v>
      </c>
      <c r="AH1390" s="1631">
        <f t="shared" si="1710"/>
        <v>1.0098398433449821E-2</v>
      </c>
      <c r="AI1390" s="1631">
        <f t="shared" si="1710"/>
        <v>1.0487197911642701E-2</v>
      </c>
      <c r="AJ1390" s="1631">
        <f t="shared" si="1710"/>
        <v>7.9132962060468239E-3</v>
      </c>
      <c r="AK1390" s="1631">
        <f t="shared" si="1710"/>
        <v>6.6908458022891205E-3</v>
      </c>
      <c r="AL1390" s="1631">
        <f t="shared" si="1710"/>
        <v>6.3687449819987627E-3</v>
      </c>
      <c r="AM1390" s="1631">
        <f t="shared" si="1680"/>
        <v>6.0323360387652056E-3</v>
      </c>
      <c r="AN1390" s="1631">
        <f t="shared" si="1680"/>
        <v>5.6723570020834899E-3</v>
      </c>
      <c r="AO1390" s="1631">
        <f t="shared" si="1680"/>
        <v>5.2694107778366844E-3</v>
      </c>
      <c r="AP1390" s="1631">
        <f t="shared" ref="AP1390:AT1390" si="1711">AP1303/AP$402</f>
        <v>5.1445783433552422E-3</v>
      </c>
      <c r="AQ1390" s="1631">
        <f t="shared" si="1711"/>
        <v>5.0945750116800506E-3</v>
      </c>
      <c r="AR1390" s="1631">
        <f t="shared" si="1711"/>
        <v>4.6794227504099476E-3</v>
      </c>
      <c r="AS1390" s="1631">
        <f t="shared" si="1711"/>
        <v>1.8570724163446333E-2</v>
      </c>
      <c r="AT1390" s="1631">
        <f t="shared" si="1711"/>
        <v>1.949926037161865E-2</v>
      </c>
    </row>
    <row r="1391" spans="1:46">
      <c r="A1391" s="1"/>
      <c r="B1391" s="1"/>
      <c r="C1391" s="1"/>
      <c r="D1391" s="1461" t="s">
        <v>3094</v>
      </c>
      <c r="E1391" s="530"/>
      <c r="F1391" s="530"/>
      <c r="G1391" s="530"/>
      <c r="H1391" s="530"/>
      <c r="I1391" s="530"/>
      <c r="J1391" s="530"/>
      <c r="K1391" s="530"/>
      <c r="L1391" s="530"/>
      <c r="M1391" s="530"/>
      <c r="N1391" s="530"/>
      <c r="O1391" s="530"/>
      <c r="P1391" s="530"/>
      <c r="Q1391" s="530"/>
      <c r="R1391" s="530"/>
      <c r="S1391" s="530"/>
      <c r="T1391" s="530"/>
      <c r="U1391" s="530"/>
      <c r="V1391" s="1631">
        <f t="shared" ref="V1391:AL1391" si="1712">V1304/V$402</f>
        <v>0</v>
      </c>
      <c r="W1391" s="1631">
        <f t="shared" si="1712"/>
        <v>0</v>
      </c>
      <c r="X1391" s="1631">
        <f t="shared" si="1712"/>
        <v>0</v>
      </c>
      <c r="Y1391" s="1631">
        <f t="shared" si="1712"/>
        <v>0</v>
      </c>
      <c r="Z1391" s="1631">
        <f t="shared" si="1712"/>
        <v>0</v>
      </c>
      <c r="AA1391" s="1631">
        <f t="shared" si="1712"/>
        <v>0</v>
      </c>
      <c r="AB1391" s="1631">
        <f t="shared" si="1712"/>
        <v>0</v>
      </c>
      <c r="AC1391" s="1631">
        <f t="shared" si="1712"/>
        <v>0</v>
      </c>
      <c r="AD1391" s="1631">
        <f t="shared" si="1712"/>
        <v>0</v>
      </c>
      <c r="AE1391" s="1631">
        <f t="shared" si="1712"/>
        <v>0</v>
      </c>
      <c r="AF1391" s="1631">
        <f t="shared" si="1712"/>
        <v>0</v>
      </c>
      <c r="AG1391" s="1631">
        <f t="shared" si="1712"/>
        <v>0</v>
      </c>
      <c r="AH1391" s="1631">
        <f t="shared" si="1712"/>
        <v>0</v>
      </c>
      <c r="AI1391" s="1631">
        <f t="shared" si="1712"/>
        <v>0</v>
      </c>
      <c r="AJ1391" s="1631">
        <f t="shared" si="1712"/>
        <v>0</v>
      </c>
      <c r="AK1391" s="1631">
        <f t="shared" si="1712"/>
        <v>0</v>
      </c>
      <c r="AL1391" s="1631">
        <f t="shared" si="1712"/>
        <v>0</v>
      </c>
      <c r="AM1391" s="1631">
        <f t="shared" si="1680"/>
        <v>0</v>
      </c>
      <c r="AN1391" s="1631">
        <f t="shared" si="1680"/>
        <v>0</v>
      </c>
      <c r="AO1391" s="1631">
        <f t="shared" si="1680"/>
        <v>0</v>
      </c>
      <c r="AP1391" s="1631">
        <f t="shared" ref="AP1391:AT1391" si="1713">AP1304/AP$402</f>
        <v>0</v>
      </c>
      <c r="AQ1391" s="1631">
        <f t="shared" si="1713"/>
        <v>0</v>
      </c>
      <c r="AR1391" s="1631">
        <f t="shared" si="1713"/>
        <v>0</v>
      </c>
      <c r="AS1391" s="1631">
        <f t="shared" si="1713"/>
        <v>0</v>
      </c>
      <c r="AT1391" s="1631">
        <f t="shared" si="1713"/>
        <v>0</v>
      </c>
    </row>
    <row r="1392" spans="1:46">
      <c r="A1392" s="1"/>
      <c r="B1392" s="1"/>
      <c r="C1392" s="1"/>
      <c r="D1392" s="527" t="s">
        <v>3173</v>
      </c>
      <c r="E1392" s="530"/>
      <c r="F1392" s="530"/>
      <c r="G1392" s="530"/>
      <c r="H1392" s="530"/>
      <c r="I1392" s="530"/>
      <c r="J1392" s="530"/>
      <c r="K1392" s="530"/>
      <c r="L1392" s="530"/>
      <c r="M1392" s="530"/>
      <c r="N1392" s="530"/>
      <c r="O1392" s="530"/>
      <c r="P1392" s="530"/>
      <c r="Q1392" s="530"/>
      <c r="R1392" s="530"/>
      <c r="S1392" s="530"/>
      <c r="T1392" s="530"/>
      <c r="U1392" s="530"/>
      <c r="V1392" s="1631">
        <f t="shared" ref="V1392:AL1392" si="1714">V1305/V$402</f>
        <v>0</v>
      </c>
      <c r="W1392" s="1631">
        <f t="shared" si="1714"/>
        <v>0</v>
      </c>
      <c r="X1392" s="1631">
        <f t="shared" si="1714"/>
        <v>0</v>
      </c>
      <c r="Y1392" s="1631">
        <f t="shared" si="1714"/>
        <v>0</v>
      </c>
      <c r="Z1392" s="1631">
        <f t="shared" si="1714"/>
        <v>0</v>
      </c>
      <c r="AA1392" s="1631">
        <f t="shared" si="1714"/>
        <v>0</v>
      </c>
      <c r="AB1392" s="1631">
        <f t="shared" si="1714"/>
        <v>0</v>
      </c>
      <c r="AC1392" s="1631">
        <f t="shared" si="1714"/>
        <v>0</v>
      </c>
      <c r="AD1392" s="1631">
        <f t="shared" si="1714"/>
        <v>0</v>
      </c>
      <c r="AE1392" s="1631">
        <f t="shared" si="1714"/>
        <v>0</v>
      </c>
      <c r="AF1392" s="1631">
        <f t="shared" si="1714"/>
        <v>0</v>
      </c>
      <c r="AG1392" s="1631">
        <f t="shared" si="1714"/>
        <v>0</v>
      </c>
      <c r="AH1392" s="1631">
        <f t="shared" si="1714"/>
        <v>0</v>
      </c>
      <c r="AI1392" s="1631">
        <f t="shared" si="1714"/>
        <v>0</v>
      </c>
      <c r="AJ1392" s="1631">
        <f t="shared" si="1714"/>
        <v>0</v>
      </c>
      <c r="AK1392" s="1631">
        <f t="shared" si="1714"/>
        <v>0</v>
      </c>
      <c r="AL1392" s="1631">
        <f t="shared" si="1714"/>
        <v>0</v>
      </c>
      <c r="AM1392" s="1631">
        <f t="shared" si="1680"/>
        <v>0</v>
      </c>
      <c r="AN1392" s="1631">
        <f t="shared" si="1680"/>
        <v>0</v>
      </c>
      <c r="AO1392" s="1631">
        <f t="shared" si="1680"/>
        <v>0</v>
      </c>
      <c r="AP1392" s="1631">
        <f t="shared" ref="AP1392:AT1392" si="1715">AP1305/AP$402</f>
        <v>0</v>
      </c>
      <c r="AQ1392" s="1631">
        <f t="shared" si="1715"/>
        <v>0</v>
      </c>
      <c r="AR1392" s="1631">
        <f t="shared" si="1715"/>
        <v>0</v>
      </c>
      <c r="AS1392" s="1631">
        <f t="shared" si="1715"/>
        <v>0</v>
      </c>
      <c r="AT1392" s="1631">
        <f t="shared" si="1715"/>
        <v>0</v>
      </c>
    </row>
    <row r="1393" spans="1:46">
      <c r="A1393" s="1"/>
      <c r="B1393" s="1"/>
      <c r="C1393" s="1"/>
      <c r="D1393" s="527" t="s">
        <v>539</v>
      </c>
      <c r="E1393" s="530"/>
      <c r="F1393" s="530"/>
      <c r="G1393" s="530"/>
      <c r="H1393" s="530"/>
      <c r="I1393" s="530"/>
      <c r="J1393" s="530"/>
      <c r="K1393" s="530"/>
      <c r="L1393" s="530"/>
      <c r="M1393" s="530"/>
      <c r="N1393" s="530"/>
      <c r="O1393" s="530"/>
      <c r="P1393" s="530"/>
      <c r="Q1393" s="530"/>
      <c r="R1393" s="530"/>
      <c r="S1393" s="530"/>
      <c r="T1393" s="530"/>
      <c r="U1393" s="530"/>
      <c r="V1393" s="1631">
        <f t="shared" ref="V1393:AL1393" si="1716">V1306/V$402</f>
        <v>0</v>
      </c>
      <c r="W1393" s="1631">
        <f t="shared" si="1716"/>
        <v>0</v>
      </c>
      <c r="X1393" s="1631">
        <f t="shared" si="1716"/>
        <v>0</v>
      </c>
      <c r="Y1393" s="1631">
        <f t="shared" si="1716"/>
        <v>0</v>
      </c>
      <c r="Z1393" s="1631">
        <f t="shared" si="1716"/>
        <v>0</v>
      </c>
      <c r="AA1393" s="1631">
        <f t="shared" si="1716"/>
        <v>0</v>
      </c>
      <c r="AB1393" s="1631">
        <f t="shared" si="1716"/>
        <v>0</v>
      </c>
      <c r="AC1393" s="1631">
        <f t="shared" si="1716"/>
        <v>0</v>
      </c>
      <c r="AD1393" s="1631">
        <f t="shared" si="1716"/>
        <v>0</v>
      </c>
      <c r="AE1393" s="1631">
        <f t="shared" si="1716"/>
        <v>0</v>
      </c>
      <c r="AF1393" s="1631">
        <f t="shared" si="1716"/>
        <v>0</v>
      </c>
      <c r="AG1393" s="1631">
        <f t="shared" si="1716"/>
        <v>0</v>
      </c>
      <c r="AH1393" s="1631">
        <f t="shared" si="1716"/>
        <v>0</v>
      </c>
      <c r="AI1393" s="1631">
        <f t="shared" si="1716"/>
        <v>0</v>
      </c>
      <c r="AJ1393" s="1631">
        <f t="shared" si="1716"/>
        <v>0</v>
      </c>
      <c r="AK1393" s="1631">
        <f t="shared" si="1716"/>
        <v>0</v>
      </c>
      <c r="AL1393" s="1631">
        <f t="shared" si="1716"/>
        <v>0</v>
      </c>
      <c r="AM1393" s="1631">
        <f t="shared" si="1680"/>
        <v>0</v>
      </c>
      <c r="AN1393" s="1631">
        <f t="shared" si="1680"/>
        <v>0</v>
      </c>
      <c r="AO1393" s="1631">
        <f t="shared" si="1680"/>
        <v>0</v>
      </c>
      <c r="AP1393" s="1631">
        <f t="shared" ref="AP1393:AT1393" si="1717">AP1306/AP$402</f>
        <v>0</v>
      </c>
      <c r="AQ1393" s="1631">
        <f t="shared" si="1717"/>
        <v>0</v>
      </c>
      <c r="AR1393" s="1631">
        <f t="shared" si="1717"/>
        <v>0</v>
      </c>
      <c r="AS1393" s="1631">
        <f t="shared" si="1717"/>
        <v>0</v>
      </c>
      <c r="AT1393" s="1631">
        <f t="shared" si="1717"/>
        <v>0</v>
      </c>
    </row>
    <row r="1394" spans="1:46">
      <c r="A1394" s="1"/>
      <c r="B1394" s="1"/>
      <c r="C1394" s="1"/>
      <c r="D1394" s="527" t="str">
        <f>D1051</f>
        <v>Required Grants</v>
      </c>
      <c r="E1394" s="530"/>
      <c r="F1394" s="530"/>
      <c r="G1394" s="530"/>
      <c r="H1394" s="530"/>
      <c r="I1394" s="530"/>
      <c r="J1394" s="530"/>
      <c r="K1394" s="530"/>
      <c r="L1394" s="530"/>
      <c r="M1394" s="530"/>
      <c r="N1394" s="530"/>
      <c r="O1394" s="530"/>
      <c r="P1394" s="530"/>
      <c r="Q1394" s="530"/>
      <c r="R1394" s="530"/>
      <c r="S1394" s="530"/>
      <c r="T1394" s="530"/>
      <c r="U1394" s="530"/>
      <c r="V1394" s="1631"/>
      <c r="W1394" s="1631"/>
      <c r="X1394" s="1631"/>
      <c r="Y1394" s="1631"/>
      <c r="Z1394" s="1631">
        <f t="shared" ref="Z1394:Z1402" si="1718">Z1307/Z$402</f>
        <v>0</v>
      </c>
      <c r="AA1394" s="1631">
        <f t="shared" ref="AA1394:AL1394" si="1719">AA1307/AA$402</f>
        <v>0</v>
      </c>
      <c r="AB1394" s="1631">
        <f t="shared" si="1719"/>
        <v>0</v>
      </c>
      <c r="AC1394" s="1631">
        <f t="shared" si="1719"/>
        <v>0</v>
      </c>
      <c r="AD1394" s="1631">
        <f t="shared" si="1719"/>
        <v>0</v>
      </c>
      <c r="AE1394" s="1631">
        <f t="shared" si="1719"/>
        <v>0</v>
      </c>
      <c r="AF1394" s="1631">
        <f t="shared" si="1719"/>
        <v>0</v>
      </c>
      <c r="AG1394" s="1631">
        <f t="shared" si="1719"/>
        <v>0</v>
      </c>
      <c r="AH1394" s="1631">
        <f t="shared" si="1719"/>
        <v>0</v>
      </c>
      <c r="AI1394" s="1631">
        <f t="shared" si="1719"/>
        <v>0</v>
      </c>
      <c r="AJ1394" s="1631">
        <f t="shared" si="1719"/>
        <v>0</v>
      </c>
      <c r="AK1394" s="1631">
        <f t="shared" si="1719"/>
        <v>0</v>
      </c>
      <c r="AL1394" s="1631">
        <f t="shared" si="1719"/>
        <v>2.5156951894914634E-3</v>
      </c>
      <c r="AM1394" s="1631">
        <f t="shared" si="1680"/>
        <v>3.5742172430387399E-3</v>
      </c>
      <c r="AN1394" s="1631">
        <f t="shared" si="1680"/>
        <v>3.9210805600190766E-3</v>
      </c>
      <c r="AO1394" s="1631">
        <f t="shared" si="1680"/>
        <v>4.6832650092185442E-3</v>
      </c>
      <c r="AP1394" s="1631">
        <f t="shared" ref="AP1394:AT1394" si="1720">AP1307/AP$402</f>
        <v>4.0642830029846725E-3</v>
      </c>
      <c r="AQ1394" s="1631">
        <f t="shared" si="1720"/>
        <v>4.2763284614043117E-3</v>
      </c>
      <c r="AR1394" s="1631">
        <f t="shared" si="1720"/>
        <v>3.8123292352980503E-3</v>
      </c>
      <c r="AS1394" s="1631">
        <f t="shared" si="1720"/>
        <v>1.5358819052812117E-2</v>
      </c>
      <c r="AT1394" s="1631">
        <f t="shared" si="1720"/>
        <v>1.600641105018815E-2</v>
      </c>
    </row>
    <row r="1395" spans="1:46">
      <c r="A1395" s="1"/>
      <c r="B1395" s="1"/>
      <c r="C1395" s="1"/>
      <c r="D1395" s="525" t="s">
        <v>542</v>
      </c>
      <c r="E1395" s="530"/>
      <c r="F1395" s="530"/>
      <c r="G1395" s="530"/>
      <c r="H1395" s="530"/>
      <c r="I1395" s="530"/>
      <c r="J1395" s="530"/>
      <c r="K1395" s="530"/>
      <c r="L1395" s="530"/>
      <c r="M1395" s="530"/>
      <c r="N1395" s="530"/>
      <c r="O1395" s="530"/>
      <c r="P1395" s="530"/>
      <c r="Q1395" s="530"/>
      <c r="R1395" s="530"/>
      <c r="S1395" s="530"/>
      <c r="T1395" s="530"/>
      <c r="U1395" s="530"/>
      <c r="V1395" s="1631">
        <f t="shared" ref="V1395:Y1402" si="1721">V1308/V$402</f>
        <v>0</v>
      </c>
      <c r="W1395" s="1631">
        <f t="shared" si="1721"/>
        <v>0</v>
      </c>
      <c r="X1395" s="1631">
        <f t="shared" si="1721"/>
        <v>0</v>
      </c>
      <c r="Y1395" s="1631">
        <f t="shared" si="1721"/>
        <v>2.5572429611668054E-2</v>
      </c>
      <c r="Z1395" s="1631">
        <f t="shared" si="1718"/>
        <v>2.9570096527882551E-2</v>
      </c>
      <c r="AA1395" s="1631">
        <f t="shared" ref="AA1395:AL1395" si="1722">AA1308/AA$402</f>
        <v>2.5575499506553731E-2</v>
      </c>
      <c r="AB1395" s="1631">
        <f t="shared" si="1722"/>
        <v>3.2231032530995553E-2</v>
      </c>
      <c r="AC1395" s="1631">
        <f t="shared" si="1722"/>
        <v>3.2750787607511045E-2</v>
      </c>
      <c r="AD1395" s="1631">
        <f t="shared" si="1722"/>
        <v>3.0712899192779121E-2</v>
      </c>
      <c r="AE1395" s="1631">
        <f t="shared" si="1722"/>
        <v>3.0888880144028307E-2</v>
      </c>
      <c r="AF1395" s="1631">
        <f t="shared" si="1722"/>
        <v>3.7524461765180664E-2</v>
      </c>
      <c r="AG1395" s="1631">
        <f t="shared" si="1722"/>
        <v>3.3440994729201555E-2</v>
      </c>
      <c r="AH1395" s="1631">
        <f t="shared" si="1722"/>
        <v>2.6217261192769993E-2</v>
      </c>
      <c r="AI1395" s="1631">
        <f t="shared" si="1722"/>
        <v>2.5920743096528111E-2</v>
      </c>
      <c r="AJ1395" s="1631">
        <f t="shared" si="1722"/>
        <v>2.760089420391312E-2</v>
      </c>
      <c r="AK1395" s="1631">
        <f t="shared" si="1722"/>
        <v>2.4032898828378668E-2</v>
      </c>
      <c r="AL1395" s="1631">
        <f t="shared" si="1722"/>
        <v>2.3781592270004908E-2</v>
      </c>
      <c r="AM1395" s="1631">
        <f t="shared" ref="AM1395:AO1413" si="1723">AM1308/AM$402</f>
        <v>2.4074569818511613E-2</v>
      </c>
      <c r="AN1395" s="1631">
        <f t="shared" si="1723"/>
        <v>2.3845801743637783E-2</v>
      </c>
      <c r="AO1395" s="1631">
        <f t="shared" si="1723"/>
        <v>2.4496296846284432E-2</v>
      </c>
      <c r="AP1395" s="1631">
        <f t="shared" ref="AP1395:AT1395" si="1724">AP1308/AP$402</f>
        <v>2.4977743830763979E-2</v>
      </c>
      <c r="AQ1395" s="1631">
        <f t="shared" si="1724"/>
        <v>2.4674697009904455E-2</v>
      </c>
      <c r="AR1395" s="1631">
        <f t="shared" si="1724"/>
        <v>2.5365357865940397E-2</v>
      </c>
      <c r="AS1395" s="1631">
        <f t="shared" si="1724"/>
        <v>-2.8614869667095647E-2</v>
      </c>
      <c r="AT1395" s="1631">
        <f t="shared" si="1724"/>
        <v>-0.14372039586357613</v>
      </c>
    </row>
    <row r="1396" spans="1:46">
      <c r="A1396" s="1"/>
      <c r="B1396" s="1"/>
      <c r="C1396" s="1"/>
      <c r="D1396" s="527" t="s">
        <v>3095</v>
      </c>
      <c r="E1396" s="530"/>
      <c r="F1396" s="530"/>
      <c r="G1396" s="530"/>
      <c r="H1396" s="530"/>
      <c r="I1396" s="530"/>
      <c r="J1396" s="530"/>
      <c r="K1396" s="530"/>
      <c r="L1396" s="530"/>
      <c r="M1396" s="530"/>
      <c r="N1396" s="530"/>
      <c r="O1396" s="530"/>
      <c r="P1396" s="530"/>
      <c r="Q1396" s="530"/>
      <c r="R1396" s="530"/>
      <c r="S1396" s="530"/>
      <c r="T1396" s="530"/>
      <c r="U1396" s="530"/>
      <c r="V1396" s="1631">
        <f t="shared" si="1721"/>
        <v>0</v>
      </c>
      <c r="W1396" s="1631">
        <f t="shared" si="1721"/>
        <v>0</v>
      </c>
      <c r="X1396" s="1631">
        <f t="shared" si="1721"/>
        <v>0</v>
      </c>
      <c r="Y1396" s="1631">
        <f t="shared" si="1721"/>
        <v>1.2674551407157579E-3</v>
      </c>
      <c r="Z1396" s="1631">
        <f t="shared" si="1718"/>
        <v>1.6627127305912596E-3</v>
      </c>
      <c r="AA1396" s="1631">
        <f t="shared" ref="AA1396:AL1396" si="1725">AA1309/AA$402</f>
        <v>7.4774912253929504E-4</v>
      </c>
      <c r="AB1396" s="1631">
        <f t="shared" si="1725"/>
        <v>1.0466870160405072E-3</v>
      </c>
      <c r="AC1396" s="1631">
        <f t="shared" si="1725"/>
        <v>1.2029616297671302E-3</v>
      </c>
      <c r="AD1396" s="1631">
        <f t="shared" si="1725"/>
        <v>5.4336272562514345E-4</v>
      </c>
      <c r="AE1396" s="1631">
        <f t="shared" si="1725"/>
        <v>2.1657403464244618E-3</v>
      </c>
      <c r="AF1396" s="1631">
        <f t="shared" si="1725"/>
        <v>1.9067676650072103E-3</v>
      </c>
      <c r="AG1396" s="1631">
        <f t="shared" si="1725"/>
        <v>1.112639075074429E-3</v>
      </c>
      <c r="AH1396" s="1631">
        <f t="shared" si="1725"/>
        <v>9.5678631909640712E-4</v>
      </c>
      <c r="AI1396" s="1631">
        <f t="shared" si="1725"/>
        <v>1.3791890322273665E-3</v>
      </c>
      <c r="AJ1396" s="1631">
        <f t="shared" si="1725"/>
        <v>1.2247413530313744E-3</v>
      </c>
      <c r="AK1396" s="1631">
        <f t="shared" si="1725"/>
        <v>1.1652489057238694E-3</v>
      </c>
      <c r="AL1396" s="1631">
        <f t="shared" si="1725"/>
        <v>1.1531038209082866E-3</v>
      </c>
      <c r="AM1396" s="1631">
        <f t="shared" si="1723"/>
        <v>1.1111795456798038E-3</v>
      </c>
      <c r="AN1396" s="1631">
        <f t="shared" si="1723"/>
        <v>1.1174487490652671E-3</v>
      </c>
      <c r="AO1396" s="1631">
        <f t="shared" si="1723"/>
        <v>1.1238846799058468E-3</v>
      </c>
      <c r="AP1396" s="1631">
        <f t="shared" ref="AP1396:AT1396" si="1726">AP1309/AP$402</f>
        <v>1.0982405484564078E-3</v>
      </c>
      <c r="AQ1396" s="1631">
        <f t="shared" si="1726"/>
        <v>1.0480013017631505E-3</v>
      </c>
      <c r="AR1396" s="1631">
        <f t="shared" si="1726"/>
        <v>1.1510819421939392E-3</v>
      </c>
      <c r="AS1396" s="1631">
        <f t="shared" si="1726"/>
        <v>-3.9848398732938882E-3</v>
      </c>
      <c r="AT1396" s="1631">
        <f t="shared" si="1726"/>
        <v>-1.0825557995273107E-2</v>
      </c>
    </row>
    <row r="1397" spans="1:46">
      <c r="A1397" s="1"/>
      <c r="B1397" s="1"/>
      <c r="C1397" s="1"/>
      <c r="D1397" s="527" t="s">
        <v>3096</v>
      </c>
      <c r="E1397" s="530"/>
      <c r="F1397" s="530"/>
      <c r="G1397" s="530"/>
      <c r="H1397" s="530"/>
      <c r="I1397" s="530"/>
      <c r="J1397" s="530"/>
      <c r="K1397" s="530"/>
      <c r="L1397" s="530"/>
      <c r="M1397" s="530"/>
      <c r="N1397" s="530"/>
      <c r="O1397" s="530"/>
      <c r="P1397" s="530"/>
      <c r="Q1397" s="530"/>
      <c r="R1397" s="530"/>
      <c r="S1397" s="530"/>
      <c r="T1397" s="530"/>
      <c r="U1397" s="530"/>
      <c r="V1397" s="1631">
        <f t="shared" si="1721"/>
        <v>0</v>
      </c>
      <c r="W1397" s="1631">
        <f t="shared" si="1721"/>
        <v>0</v>
      </c>
      <c r="X1397" s="1631">
        <f t="shared" si="1721"/>
        <v>0</v>
      </c>
      <c r="Y1397" s="1631">
        <f t="shared" si="1721"/>
        <v>1.9045452540317104E-2</v>
      </c>
      <c r="Z1397" s="1631">
        <f t="shared" si="1718"/>
        <v>2.1976063439622055E-2</v>
      </c>
      <c r="AA1397" s="1631">
        <f t="shared" ref="AA1397:AL1397" si="1727">AA1310/AA$402</f>
        <v>2.3968907106126442E-2</v>
      </c>
      <c r="AB1397" s="1631">
        <f t="shared" si="1727"/>
        <v>2.633314113657809E-2</v>
      </c>
      <c r="AC1397" s="1631">
        <f t="shared" si="1727"/>
        <v>2.7169880309932171E-2</v>
      </c>
      <c r="AD1397" s="1631">
        <f t="shared" si="1727"/>
        <v>2.9204881123038349E-2</v>
      </c>
      <c r="AE1397" s="1631">
        <f t="shared" si="1727"/>
        <v>2.5515781669253033E-2</v>
      </c>
      <c r="AF1397" s="1631">
        <f t="shared" si="1727"/>
        <v>2.9340289577502329E-2</v>
      </c>
      <c r="AG1397" s="1631">
        <f t="shared" si="1727"/>
        <v>2.7393157547608436E-2</v>
      </c>
      <c r="AH1397" s="1631">
        <f t="shared" si="1727"/>
        <v>2.1014360805810237E-2</v>
      </c>
      <c r="AI1397" s="1631">
        <f t="shared" si="1727"/>
        <v>2.2276732555528318E-2</v>
      </c>
      <c r="AJ1397" s="1631">
        <f t="shared" si="1727"/>
        <v>2.1939000502924841E-2</v>
      </c>
      <c r="AK1397" s="1631">
        <f t="shared" si="1727"/>
        <v>2.1022859250869518E-2</v>
      </c>
      <c r="AL1397" s="1631">
        <f t="shared" si="1727"/>
        <v>2.0804155249017603E-2</v>
      </c>
      <c r="AM1397" s="1631">
        <f t="shared" si="1723"/>
        <v>2.1145620659105517E-2</v>
      </c>
      <c r="AN1397" s="1631">
        <f t="shared" si="1723"/>
        <v>2.1013840166178768E-2</v>
      </c>
      <c r="AO1397" s="1631">
        <f t="shared" si="1723"/>
        <v>2.1760256160182231E-2</v>
      </c>
      <c r="AP1397" s="1631">
        <f t="shared" ref="AP1397:AT1397" si="1728">AP1310/AP$402</f>
        <v>2.2461669570995099E-2</v>
      </c>
      <c r="AQ1397" s="1631">
        <f t="shared" si="1728"/>
        <v>2.2409018561267757E-2</v>
      </c>
      <c r="AR1397" s="1631">
        <f t="shared" si="1728"/>
        <v>2.3010573642511471E-2</v>
      </c>
      <c r="AS1397" s="1631">
        <f t="shared" si="1728"/>
        <v>-2.0879727923000066E-2</v>
      </c>
      <c r="AT1397" s="1631">
        <f t="shared" si="1728"/>
        <v>-0.12372528513249209</v>
      </c>
    </row>
    <row r="1398" spans="1:46">
      <c r="A1398" s="1"/>
      <c r="B1398" s="1"/>
      <c r="C1398" s="1"/>
      <c r="D1398" s="527" t="s">
        <v>3097</v>
      </c>
      <c r="E1398" s="530"/>
      <c r="F1398" s="530"/>
      <c r="G1398" s="530"/>
      <c r="H1398" s="530"/>
      <c r="I1398" s="530"/>
      <c r="J1398" s="530"/>
      <c r="K1398" s="530"/>
      <c r="L1398" s="530"/>
      <c r="M1398" s="530"/>
      <c r="N1398" s="530"/>
      <c r="O1398" s="530"/>
      <c r="P1398" s="530"/>
      <c r="Q1398" s="530"/>
      <c r="R1398" s="530"/>
      <c r="S1398" s="530"/>
      <c r="T1398" s="530"/>
      <c r="U1398" s="530"/>
      <c r="V1398" s="1631">
        <f t="shared" si="1721"/>
        <v>0</v>
      </c>
      <c r="W1398" s="1631">
        <f t="shared" si="1721"/>
        <v>0</v>
      </c>
      <c r="X1398" s="1631">
        <f t="shared" si="1721"/>
        <v>0</v>
      </c>
      <c r="Y1398" s="1631">
        <f t="shared" si="1721"/>
        <v>4.4687578065954652E-3</v>
      </c>
      <c r="Z1398" s="1631">
        <f t="shared" si="1718"/>
        <v>5.0631112745501295E-3</v>
      </c>
      <c r="AA1398" s="1631">
        <f t="shared" ref="AA1398:AL1398" si="1729">AA1311/AA$402</f>
        <v>0</v>
      </c>
      <c r="AB1398" s="1631">
        <f t="shared" si="1729"/>
        <v>4.8512043783769587E-3</v>
      </c>
      <c r="AC1398" s="1631">
        <f t="shared" si="1729"/>
        <v>4.3779456678117419E-3</v>
      </c>
      <c r="AD1398" s="1631">
        <f t="shared" si="1729"/>
        <v>9.6465534411562296E-4</v>
      </c>
      <c r="AE1398" s="1631">
        <f t="shared" si="1729"/>
        <v>2.1282526388173859E-3</v>
      </c>
      <c r="AF1398" s="1631">
        <f t="shared" si="1729"/>
        <v>2.8400737686574157E-3</v>
      </c>
      <c r="AG1398" s="1631">
        <f t="shared" si="1729"/>
        <v>3.0610638823980025E-3</v>
      </c>
      <c r="AH1398" s="1631">
        <f t="shared" si="1729"/>
        <v>4.2461140678633474E-3</v>
      </c>
      <c r="AI1398" s="1631">
        <f t="shared" si="1729"/>
        <v>2.264821508772425E-3</v>
      </c>
      <c r="AJ1398" s="1631">
        <f t="shared" si="1729"/>
        <v>1.8380016619453316E-3</v>
      </c>
      <c r="AK1398" s="1631">
        <f t="shared" si="1729"/>
        <v>1.8447906717852806E-3</v>
      </c>
      <c r="AL1398" s="1631">
        <f t="shared" si="1729"/>
        <v>1.8243332000790194E-3</v>
      </c>
      <c r="AM1398" s="1631">
        <f t="shared" si="1723"/>
        <v>1.8177696137262945E-3</v>
      </c>
      <c r="AN1398" s="1631">
        <f t="shared" si="1723"/>
        <v>1.7145128283937469E-3</v>
      </c>
      <c r="AO1398" s="1631">
        <f t="shared" si="1723"/>
        <v>1.6121560061963546E-3</v>
      </c>
      <c r="AP1398" s="1631">
        <f t="shared" ref="AP1398:AT1398" si="1730">AP1311/AP$402</f>
        <v>1.4178337113124738E-3</v>
      </c>
      <c r="AQ1398" s="1631">
        <f t="shared" si="1730"/>
        <v>1.2176771468735449E-3</v>
      </c>
      <c r="AR1398" s="1631">
        <f t="shared" si="1730"/>
        <v>1.2037022812349839E-3</v>
      </c>
      <c r="AS1398" s="1631">
        <f t="shared" si="1730"/>
        <v>-3.7503018708016948E-3</v>
      </c>
      <c r="AT1398" s="1631">
        <f t="shared" si="1730"/>
        <v>-9.1695527358109322E-3</v>
      </c>
    </row>
    <row r="1399" spans="1:46">
      <c r="A1399" s="1"/>
      <c r="B1399" s="1"/>
      <c r="C1399" s="1"/>
      <c r="D1399" s="527" t="s">
        <v>3098</v>
      </c>
      <c r="E1399" s="530"/>
      <c r="F1399" s="530"/>
      <c r="G1399" s="530"/>
      <c r="H1399" s="530"/>
      <c r="I1399" s="530"/>
      <c r="J1399" s="530"/>
      <c r="K1399" s="530"/>
      <c r="L1399" s="530"/>
      <c r="M1399" s="530"/>
      <c r="N1399" s="530"/>
      <c r="O1399" s="530"/>
      <c r="P1399" s="530"/>
      <c r="Q1399" s="530"/>
      <c r="R1399" s="530"/>
      <c r="S1399" s="530"/>
      <c r="T1399" s="530"/>
      <c r="U1399" s="530"/>
      <c r="V1399" s="1631">
        <f t="shared" si="1721"/>
        <v>0</v>
      </c>
      <c r="W1399" s="1631">
        <f t="shared" si="1721"/>
        <v>0</v>
      </c>
      <c r="X1399" s="1631">
        <f t="shared" si="1721"/>
        <v>0</v>
      </c>
      <c r="Y1399" s="1631">
        <f t="shared" si="1721"/>
        <v>0</v>
      </c>
      <c r="Z1399" s="1631">
        <f t="shared" si="1718"/>
        <v>0</v>
      </c>
      <c r="AA1399" s="1631">
        <f t="shared" ref="AA1399:AL1399" si="1731">AA1312/AA$402</f>
        <v>0</v>
      </c>
      <c r="AB1399" s="1631">
        <f t="shared" si="1731"/>
        <v>0</v>
      </c>
      <c r="AC1399" s="1631">
        <f t="shared" si="1731"/>
        <v>0</v>
      </c>
      <c r="AD1399" s="1631">
        <f t="shared" si="1731"/>
        <v>0</v>
      </c>
      <c r="AE1399" s="1631">
        <f t="shared" si="1731"/>
        <v>1.0791054895334291E-3</v>
      </c>
      <c r="AF1399" s="1631">
        <f t="shared" si="1731"/>
        <v>3.4373307540137058E-3</v>
      </c>
      <c r="AG1399" s="1631">
        <f t="shared" si="1731"/>
        <v>1.8741342241206868E-3</v>
      </c>
      <c r="AH1399" s="1631">
        <f t="shared" si="1731"/>
        <v>0</v>
      </c>
      <c r="AI1399" s="1631">
        <f t="shared" si="1731"/>
        <v>0</v>
      </c>
      <c r="AJ1399" s="1631">
        <f t="shared" si="1731"/>
        <v>2.5991506860115724E-3</v>
      </c>
      <c r="AK1399" s="1631">
        <f t="shared" si="1731"/>
        <v>0</v>
      </c>
      <c r="AL1399" s="1631">
        <f t="shared" si="1731"/>
        <v>0</v>
      </c>
      <c r="AM1399" s="1631">
        <f t="shared" si="1723"/>
        <v>0</v>
      </c>
      <c r="AN1399" s="1631">
        <f t="shared" si="1723"/>
        <v>0</v>
      </c>
      <c r="AO1399" s="1631">
        <f t="shared" si="1723"/>
        <v>0</v>
      </c>
      <c r="AP1399" s="1631">
        <f t="shared" ref="AP1399:AT1399" si="1732">AP1312/AP$402</f>
        <v>0</v>
      </c>
      <c r="AQ1399" s="1631">
        <f t="shared" si="1732"/>
        <v>0</v>
      </c>
      <c r="AR1399" s="1631">
        <f t="shared" si="1732"/>
        <v>0</v>
      </c>
      <c r="AS1399" s="1631">
        <f t="shared" si="1732"/>
        <v>0</v>
      </c>
      <c r="AT1399" s="1631">
        <f t="shared" si="1732"/>
        <v>0</v>
      </c>
    </row>
    <row r="1400" spans="1:46">
      <c r="A1400" s="1"/>
      <c r="B1400" s="1"/>
      <c r="C1400" s="1"/>
      <c r="D1400" s="527" t="s">
        <v>556</v>
      </c>
      <c r="E1400" s="530"/>
      <c r="F1400" s="530"/>
      <c r="G1400" s="530"/>
      <c r="H1400" s="530"/>
      <c r="I1400" s="530"/>
      <c r="J1400" s="530"/>
      <c r="K1400" s="530"/>
      <c r="L1400" s="530"/>
      <c r="M1400" s="530"/>
      <c r="N1400" s="530"/>
      <c r="O1400" s="530"/>
      <c r="P1400" s="530"/>
      <c r="Q1400" s="530"/>
      <c r="R1400" s="530"/>
      <c r="S1400" s="530"/>
      <c r="T1400" s="530"/>
      <c r="U1400" s="530"/>
      <c r="V1400" s="1631">
        <f t="shared" si="1721"/>
        <v>0</v>
      </c>
      <c r="W1400" s="1631">
        <f t="shared" si="1721"/>
        <v>0</v>
      </c>
      <c r="X1400" s="1631">
        <f t="shared" si="1721"/>
        <v>0</v>
      </c>
      <c r="Y1400" s="1631">
        <f t="shared" si="1721"/>
        <v>7.9076412403972262E-4</v>
      </c>
      <c r="Z1400" s="1631">
        <f t="shared" si="1718"/>
        <v>8.6820908311910892E-4</v>
      </c>
      <c r="AA1400" s="1631">
        <f t="shared" ref="AA1400:AL1400" si="1733">AA1313/AA$402</f>
        <v>8.5884327788799026E-4</v>
      </c>
      <c r="AB1400" s="1631">
        <f t="shared" si="1733"/>
        <v>0</v>
      </c>
      <c r="AC1400" s="1631">
        <f t="shared" si="1733"/>
        <v>0</v>
      </c>
      <c r="AD1400" s="1631">
        <f t="shared" si="1733"/>
        <v>0</v>
      </c>
      <c r="AE1400" s="1631">
        <f t="shared" si="1733"/>
        <v>0</v>
      </c>
      <c r="AF1400" s="1631">
        <f t="shared" si="1733"/>
        <v>0</v>
      </c>
      <c r="AG1400" s="1631">
        <f t="shared" si="1733"/>
        <v>0</v>
      </c>
      <c r="AH1400" s="1631">
        <f t="shared" si="1733"/>
        <v>0</v>
      </c>
      <c r="AI1400" s="1631">
        <f t="shared" si="1733"/>
        <v>0</v>
      </c>
      <c r="AJ1400" s="1631">
        <f t="shared" si="1733"/>
        <v>0</v>
      </c>
      <c r="AK1400" s="1631">
        <f t="shared" si="1733"/>
        <v>0</v>
      </c>
      <c r="AL1400" s="1631">
        <f t="shared" si="1733"/>
        <v>0</v>
      </c>
      <c r="AM1400" s="1631">
        <f t="shared" si="1723"/>
        <v>0</v>
      </c>
      <c r="AN1400" s="1631">
        <f t="shared" si="1723"/>
        <v>0</v>
      </c>
      <c r="AO1400" s="1631">
        <f t="shared" si="1723"/>
        <v>0</v>
      </c>
      <c r="AP1400" s="1631">
        <f t="shared" ref="AP1400:AT1400" si="1734">AP1313/AP$402</f>
        <v>0</v>
      </c>
      <c r="AQ1400" s="1631">
        <f t="shared" si="1734"/>
        <v>0</v>
      </c>
      <c r="AR1400" s="1631">
        <f t="shared" si="1734"/>
        <v>0</v>
      </c>
      <c r="AS1400" s="1631">
        <f t="shared" si="1734"/>
        <v>0</v>
      </c>
      <c r="AT1400" s="1631">
        <f t="shared" si="1734"/>
        <v>0</v>
      </c>
    </row>
    <row r="1401" spans="1:46">
      <c r="A1401" s="1"/>
      <c r="B1401" s="1"/>
      <c r="C1401" s="1"/>
      <c r="D1401" s="522" t="s">
        <v>590</v>
      </c>
      <c r="E1401" s="530"/>
      <c r="F1401" s="530"/>
      <c r="G1401" s="530"/>
      <c r="H1401" s="530"/>
      <c r="I1401" s="530"/>
      <c r="J1401" s="530"/>
      <c r="K1401" s="530"/>
      <c r="L1401" s="530"/>
      <c r="M1401" s="530"/>
      <c r="N1401" s="530"/>
      <c r="O1401" s="530"/>
      <c r="P1401" s="530"/>
      <c r="Q1401" s="530"/>
      <c r="R1401" s="530"/>
      <c r="S1401" s="530"/>
      <c r="T1401" s="530"/>
      <c r="U1401" s="530"/>
      <c r="V1401" s="1631">
        <f t="shared" si="1721"/>
        <v>0.13380316849816851</v>
      </c>
      <c r="W1401" s="1631">
        <f t="shared" si="1721"/>
        <v>0.13877966101694916</v>
      </c>
      <c r="X1401" s="1631">
        <f t="shared" si="1721"/>
        <v>0.13465770171149147</v>
      </c>
      <c r="Y1401" s="1631">
        <f t="shared" si="1721"/>
        <v>0.16920841991873012</v>
      </c>
      <c r="Z1401" s="1631">
        <f t="shared" si="1718"/>
        <v>0.16918667057259362</v>
      </c>
      <c r="AA1401" s="1631">
        <f t="shared" ref="AA1401:AL1401" si="1735">AA1314/AA$402</f>
        <v>0.17502770368575368</v>
      </c>
      <c r="AB1401" s="1631">
        <f t="shared" si="1735"/>
        <v>0.18294960383212805</v>
      </c>
      <c r="AC1401" s="1631">
        <f t="shared" si="1735"/>
        <v>0.17925676098364404</v>
      </c>
      <c r="AD1401" s="1631">
        <f t="shared" si="1735"/>
        <v>0.1911979344563669</v>
      </c>
      <c r="AE1401" s="1631">
        <f t="shared" si="1735"/>
        <v>0.20254970703122305</v>
      </c>
      <c r="AF1401" s="1631">
        <f t="shared" si="1735"/>
        <v>0.20342298101249201</v>
      </c>
      <c r="AG1401" s="1631">
        <f t="shared" si="1735"/>
        <v>0.20569269573189594</v>
      </c>
      <c r="AH1401" s="1631">
        <f t="shared" si="1735"/>
        <v>0.18682196279210656</v>
      </c>
      <c r="AI1401" s="1631">
        <f t="shared" si="1735"/>
        <v>0.17878751100315476</v>
      </c>
      <c r="AJ1401" s="1631">
        <f t="shared" si="1735"/>
        <v>0.1771787630100437</v>
      </c>
      <c r="AK1401" s="1631">
        <f t="shared" si="1735"/>
        <v>0.17833477212197704</v>
      </c>
      <c r="AL1401" s="1631">
        <f t="shared" si="1735"/>
        <v>0.17061852919719325</v>
      </c>
      <c r="AM1401" s="1631">
        <f t="shared" si="1723"/>
        <v>0.17265460153359996</v>
      </c>
      <c r="AN1401" s="1631">
        <f t="shared" si="1723"/>
        <v>0.17038840664326163</v>
      </c>
      <c r="AO1401" s="1631">
        <f t="shared" si="1723"/>
        <v>0.17287456141097871</v>
      </c>
      <c r="AP1401" s="1631">
        <f t="shared" ref="AP1401:AT1401" si="1736">AP1314/AP$402</f>
        <v>0.17374303363137361</v>
      </c>
      <c r="AQ1401" s="1631">
        <f t="shared" si="1736"/>
        <v>0.17363929527483341</v>
      </c>
      <c r="AR1401" s="1631">
        <f t="shared" si="1736"/>
        <v>0.16781979255824278</v>
      </c>
      <c r="AS1401" s="1631">
        <f t="shared" si="1736"/>
        <v>0.34663936572331366</v>
      </c>
      <c r="AT1401" s="1631">
        <f t="shared" si="1736"/>
        <v>0.36254373885172603</v>
      </c>
    </row>
    <row r="1402" spans="1:46" ht="16" thickBot="1">
      <c r="A1402" s="1"/>
      <c r="B1402" s="1"/>
      <c r="C1402" s="1"/>
      <c r="D1402" s="531" t="s">
        <v>559</v>
      </c>
      <c r="E1402" s="530"/>
      <c r="F1402" s="530"/>
      <c r="G1402" s="530"/>
      <c r="H1402" s="530"/>
      <c r="I1402" s="530"/>
      <c r="J1402" s="530"/>
      <c r="K1402" s="530"/>
      <c r="L1402" s="530"/>
      <c r="M1402" s="530"/>
      <c r="N1402" s="530"/>
      <c r="O1402" s="530"/>
      <c r="P1402" s="530"/>
      <c r="Q1402" s="530"/>
      <c r="R1402" s="530"/>
      <c r="S1402" s="530"/>
      <c r="T1402" s="530"/>
      <c r="U1402" s="530"/>
      <c r="V1402" s="1631">
        <f t="shared" si="1721"/>
        <v>4.7181882334319192E-2</v>
      </c>
      <c r="W1402" s="1631">
        <f t="shared" si="1721"/>
        <v>4.8361581920903958E-2</v>
      </c>
      <c r="X1402" s="1631">
        <f t="shared" si="1721"/>
        <v>5.2669111654441728E-2</v>
      </c>
      <c r="Y1402" s="1631">
        <f t="shared" si="1721"/>
        <v>3.3222622923927296E-2</v>
      </c>
      <c r="Z1402" s="1631">
        <f t="shared" si="1718"/>
        <v>3.2135070073007713E-2</v>
      </c>
      <c r="AA1402" s="1631">
        <f t="shared" ref="AA1402:AL1402" si="1737">AA1315/AA$402</f>
        <v>3.2772907809400273E-2</v>
      </c>
      <c r="AB1402" s="1631">
        <f t="shared" si="1737"/>
        <v>3.2761956336051973E-2</v>
      </c>
      <c r="AC1402" s="1631">
        <f t="shared" si="1737"/>
        <v>3.1402161517839325E-2</v>
      </c>
      <c r="AD1402" s="1631">
        <f t="shared" si="1737"/>
        <v>2.7745919020417526E-2</v>
      </c>
      <c r="AE1402" s="1631">
        <f t="shared" si="1737"/>
        <v>2.8374927009056042E-2</v>
      </c>
      <c r="AF1402" s="1631">
        <f t="shared" si="1737"/>
        <v>2.9428815040989195E-2</v>
      </c>
      <c r="AG1402" s="1631">
        <f t="shared" si="1737"/>
        <v>2.648219944490748E-2</v>
      </c>
      <c r="AH1402" s="1631">
        <f t="shared" si="1737"/>
        <v>2.4047729539336867E-2</v>
      </c>
      <c r="AI1402" s="1631">
        <f t="shared" si="1737"/>
        <v>2.6337269933453544E-2</v>
      </c>
      <c r="AJ1402" s="1631">
        <f t="shared" si="1737"/>
        <v>2.83827043884026E-2</v>
      </c>
      <c r="AK1402" s="1631">
        <f t="shared" si="1737"/>
        <v>2.9693922364456931E-2</v>
      </c>
      <c r="AL1402" s="1631">
        <f t="shared" si="1737"/>
        <v>2.9619471423244656E-2</v>
      </c>
      <c r="AM1402" s="1631">
        <f>AM1315/AM$402</f>
        <v>2.9797400541853238E-2</v>
      </c>
      <c r="AN1402" s="1631">
        <f t="shared" si="1723"/>
        <v>2.9954665636384339E-2</v>
      </c>
      <c r="AO1402" s="1631">
        <f t="shared" si="1723"/>
        <v>3.005502861663294E-2</v>
      </c>
      <c r="AP1402" s="1631">
        <f>AP1315/AP$402</f>
        <v>3.1736832943395896E-2</v>
      </c>
      <c r="AQ1402" s="1631">
        <f t="shared" ref="AQ1402:AT1402" si="1738">AQ1315/AQ$402</f>
        <v>3.3774705852354925E-2</v>
      </c>
      <c r="AR1402" s="1631">
        <f t="shared" si="1738"/>
        <v>3.2553044945207166E-2</v>
      </c>
      <c r="AS1402" s="1631">
        <f t="shared" si="1738"/>
        <v>0.13819615842469898</v>
      </c>
      <c r="AT1402" s="1631">
        <f t="shared" si="1738"/>
        <v>0.15522192514262195</v>
      </c>
    </row>
    <row r="1403" spans="1:46" ht="16" thickBot="1">
      <c r="A1403" s="1"/>
      <c r="B1403" s="1"/>
      <c r="C1403" s="1"/>
      <c r="D1403" s="1714" t="str">
        <f>D1316</f>
        <v xml:space="preserve"> of which: Covid-19 spending (Teachers)</v>
      </c>
      <c r="E1403" s="530"/>
      <c r="F1403" s="530"/>
      <c r="G1403" s="530"/>
      <c r="H1403" s="530"/>
      <c r="I1403" s="530"/>
      <c r="J1403" s="530"/>
      <c r="K1403" s="530"/>
      <c r="L1403" s="530"/>
      <c r="M1403" s="530"/>
      <c r="N1403" s="530"/>
      <c r="O1403" s="530"/>
      <c r="P1403" s="530"/>
      <c r="Q1403" s="530"/>
      <c r="R1403" s="530"/>
      <c r="S1403" s="530"/>
      <c r="T1403" s="530"/>
      <c r="U1403" s="530"/>
      <c r="V1403" s="1631"/>
      <c r="W1403" s="1631"/>
      <c r="X1403" s="1631"/>
      <c r="Y1403" s="1631"/>
      <c r="Z1403" s="1631"/>
      <c r="AA1403" s="1631"/>
      <c r="AB1403" s="1631"/>
      <c r="AC1403" s="1631"/>
      <c r="AD1403" s="1631"/>
      <c r="AE1403" s="1819">
        <f t="shared" ref="AE1403:AL1413" si="1739">AE1316/AE$402</f>
        <v>0</v>
      </c>
      <c r="AF1403" s="1820">
        <f t="shared" si="1739"/>
        <v>2.9652717138611041E-3</v>
      </c>
      <c r="AG1403" s="1820">
        <f t="shared" si="1739"/>
        <v>0</v>
      </c>
      <c r="AH1403" s="1820">
        <f t="shared" si="1739"/>
        <v>0</v>
      </c>
      <c r="AI1403" s="1820">
        <f t="shared" si="1739"/>
        <v>0</v>
      </c>
      <c r="AJ1403" s="1820">
        <f t="shared" si="1739"/>
        <v>0</v>
      </c>
      <c r="AK1403" s="1820">
        <f t="shared" si="1739"/>
        <v>0</v>
      </c>
      <c r="AL1403" s="1821">
        <f t="shared" si="1739"/>
        <v>0</v>
      </c>
      <c r="AM1403" s="1821">
        <f t="shared" si="1723"/>
        <v>0</v>
      </c>
      <c r="AN1403" s="1821">
        <f t="shared" si="1723"/>
        <v>0</v>
      </c>
      <c r="AO1403" s="1821">
        <f t="shared" si="1723"/>
        <v>0</v>
      </c>
      <c r="AP1403" s="1821">
        <f t="shared" ref="AP1403:AT1403" si="1740">AP1316/AP$402</f>
        <v>0</v>
      </c>
      <c r="AQ1403" s="1821">
        <f t="shared" si="1740"/>
        <v>0</v>
      </c>
      <c r="AR1403" s="1821">
        <f t="shared" si="1740"/>
        <v>0</v>
      </c>
      <c r="AS1403" s="1821">
        <f t="shared" si="1740"/>
        <v>0</v>
      </c>
      <c r="AT1403" s="1821">
        <f t="shared" si="1740"/>
        <v>0</v>
      </c>
    </row>
    <row r="1404" spans="1:46" ht="16" thickBot="1">
      <c r="A1404" s="1"/>
      <c r="B1404" s="1"/>
      <c r="C1404" s="1"/>
      <c r="D1404" s="531" t="s">
        <v>560</v>
      </c>
      <c r="E1404" s="530"/>
      <c r="F1404" s="530"/>
      <c r="G1404" s="530"/>
      <c r="H1404" s="530"/>
      <c r="I1404" s="530"/>
      <c r="J1404" s="530"/>
      <c r="K1404" s="530"/>
      <c r="L1404" s="530"/>
      <c r="M1404" s="530"/>
      <c r="N1404" s="530"/>
      <c r="O1404" s="530"/>
      <c r="P1404" s="530"/>
      <c r="Q1404" s="530"/>
      <c r="R1404" s="530"/>
      <c r="S1404" s="530"/>
      <c r="T1404" s="530"/>
      <c r="U1404" s="530"/>
      <c r="V1404" s="1631">
        <f t="shared" ref="V1404:AD1404" si="1741">V1317/V$402</f>
        <v>5.0292396650968074E-2</v>
      </c>
      <c r="W1404" s="1631">
        <f t="shared" si="1741"/>
        <v>5.0915254237288141E-2</v>
      </c>
      <c r="X1404" s="1631">
        <f t="shared" si="1741"/>
        <v>4.146291768541157E-2</v>
      </c>
      <c r="Y1404" s="1631">
        <f t="shared" si="1741"/>
        <v>5.2204162708263072E-2</v>
      </c>
      <c r="Z1404" s="1631">
        <f t="shared" si="1741"/>
        <v>4.4038995882947726E-2</v>
      </c>
      <c r="AA1404" s="1631">
        <f t="shared" si="1741"/>
        <v>5.0322784105447882E-2</v>
      </c>
      <c r="AB1404" s="1631">
        <f t="shared" si="1741"/>
        <v>5.9054769451479125E-2</v>
      </c>
      <c r="AC1404" s="1631">
        <f t="shared" si="1741"/>
        <v>5.5196416665044913E-2</v>
      </c>
      <c r="AD1404" s="1631">
        <f t="shared" si="1741"/>
        <v>5.5295655396701997E-2</v>
      </c>
      <c r="AE1404" s="1631">
        <f t="shared" si="1739"/>
        <v>6.0978765119433218E-2</v>
      </c>
      <c r="AF1404" s="1631">
        <f t="shared" si="1739"/>
        <v>6.0751281478239702E-2</v>
      </c>
      <c r="AG1404" s="1631">
        <f t="shared" si="1739"/>
        <v>5.7377320210618442E-2</v>
      </c>
      <c r="AH1404" s="1631">
        <f t="shared" si="1739"/>
        <v>4.8603753842129359E-2</v>
      </c>
      <c r="AI1404" s="1631">
        <f t="shared" si="1739"/>
        <v>4.5004789541894408E-2</v>
      </c>
      <c r="AJ1404" s="1631">
        <f t="shared" si="1739"/>
        <v>4.3239050316021488E-2</v>
      </c>
      <c r="AK1404" s="1631">
        <f t="shared" si="1739"/>
        <v>3.9259229269041837E-2</v>
      </c>
      <c r="AL1404" s="1631">
        <f t="shared" si="1739"/>
        <v>3.9129630247155094E-2</v>
      </c>
      <c r="AM1404" s="1631">
        <f t="shared" si="1723"/>
        <v>3.9455914737612029E-2</v>
      </c>
      <c r="AN1404" s="1631">
        <f t="shared" si="1723"/>
        <v>3.9423590439390206E-2</v>
      </c>
      <c r="AO1404" s="1631">
        <f t="shared" si="1723"/>
        <v>3.7116988699524331E-2</v>
      </c>
      <c r="AP1404" s="1631">
        <f t="shared" ref="AP1404:AT1404" si="1742">AP1317/AP$402</f>
        <v>3.5383839845130202E-2</v>
      </c>
      <c r="AQ1404" s="1631">
        <f t="shared" si="1742"/>
        <v>3.6312986925624777E-2</v>
      </c>
      <c r="AR1404" s="1631">
        <f t="shared" si="1742"/>
        <v>3.6312986925624777E-2</v>
      </c>
      <c r="AS1404" s="1631">
        <f t="shared" si="1742"/>
        <v>4.8431881426984361E-2</v>
      </c>
      <c r="AT1404" s="1631">
        <f t="shared" si="1742"/>
        <v>4.8431881426984361E-2</v>
      </c>
    </row>
    <row r="1405" spans="1:46">
      <c r="A1405" s="1"/>
      <c r="B1405" s="1"/>
      <c r="C1405" s="1"/>
      <c r="D1405" s="1714" t="str">
        <f>D1318</f>
        <v xml:space="preserve"> of which: Covid-19 spending</v>
      </c>
      <c r="E1405" s="530"/>
      <c r="F1405" s="530"/>
      <c r="G1405" s="530"/>
      <c r="H1405" s="530"/>
      <c r="I1405" s="530"/>
      <c r="J1405" s="530"/>
      <c r="K1405" s="530"/>
      <c r="L1405" s="530"/>
      <c r="M1405" s="530"/>
      <c r="N1405" s="530"/>
      <c r="O1405" s="530"/>
      <c r="P1405" s="530"/>
      <c r="Q1405" s="530"/>
      <c r="R1405" s="530"/>
      <c r="S1405" s="530"/>
      <c r="T1405" s="530"/>
      <c r="U1405" s="530"/>
      <c r="V1405" s="1631"/>
      <c r="W1405" s="1631"/>
      <c r="X1405" s="1631"/>
      <c r="Y1405" s="1631"/>
      <c r="Z1405" s="1631"/>
      <c r="AA1405" s="1631"/>
      <c r="AB1405" s="1631"/>
      <c r="AC1405" s="1631"/>
      <c r="AD1405" s="1631"/>
      <c r="AE1405" s="1822">
        <f t="shared" si="1739"/>
        <v>6.9038994246750475E-3</v>
      </c>
      <c r="AF1405" s="1823">
        <f t="shared" si="1739"/>
        <v>1.116072182066011E-3</v>
      </c>
      <c r="AG1405" s="1823">
        <f t="shared" si="1739"/>
        <v>0</v>
      </c>
      <c r="AH1405" s="1823">
        <f t="shared" si="1739"/>
        <v>0</v>
      </c>
      <c r="AI1405" s="1823">
        <f t="shared" si="1739"/>
        <v>0</v>
      </c>
      <c r="AJ1405" s="1823">
        <f t="shared" si="1739"/>
        <v>0</v>
      </c>
      <c r="AK1405" s="1823">
        <f t="shared" si="1739"/>
        <v>0</v>
      </c>
      <c r="AL1405" s="1824">
        <f t="shared" si="1739"/>
        <v>0</v>
      </c>
      <c r="AM1405" s="1824">
        <f t="shared" si="1723"/>
        <v>0</v>
      </c>
      <c r="AN1405" s="1824">
        <f t="shared" si="1723"/>
        <v>0</v>
      </c>
      <c r="AO1405" s="1824">
        <f t="shared" si="1723"/>
        <v>0</v>
      </c>
      <c r="AP1405" s="1824">
        <f t="shared" ref="AP1405:AT1405" si="1743">AP1318/AP$402</f>
        <v>0</v>
      </c>
      <c r="AQ1405" s="1824">
        <f t="shared" si="1743"/>
        <v>0</v>
      </c>
      <c r="AR1405" s="1824">
        <f t="shared" si="1743"/>
        <v>0</v>
      </c>
      <c r="AS1405" s="1824">
        <f t="shared" si="1743"/>
        <v>0</v>
      </c>
      <c r="AT1405" s="1824">
        <f t="shared" si="1743"/>
        <v>0</v>
      </c>
    </row>
    <row r="1406" spans="1:46" ht="16" thickBot="1">
      <c r="A1406" s="1"/>
      <c r="B1406" s="1"/>
      <c r="C1406" s="1"/>
      <c r="D1406" s="1714" t="str">
        <f>D1319</f>
        <v>o/w Vaccine</v>
      </c>
      <c r="E1406" s="530"/>
      <c r="F1406" s="530"/>
      <c r="G1406" s="530"/>
      <c r="H1406" s="530"/>
      <c r="I1406" s="530"/>
      <c r="J1406" s="530"/>
      <c r="K1406" s="530"/>
      <c r="L1406" s="530"/>
      <c r="M1406" s="530"/>
      <c r="N1406" s="530"/>
      <c r="O1406" s="530"/>
      <c r="P1406" s="530"/>
      <c r="Q1406" s="530"/>
      <c r="R1406" s="530"/>
      <c r="S1406" s="530"/>
      <c r="T1406" s="530"/>
      <c r="U1406" s="530"/>
      <c r="V1406" s="1631"/>
      <c r="W1406" s="1631"/>
      <c r="X1406" s="1631"/>
      <c r="Y1406" s="1631"/>
      <c r="Z1406" s="1631"/>
      <c r="AA1406" s="1631"/>
      <c r="AB1406" s="1631"/>
      <c r="AC1406" s="1631"/>
      <c r="AD1406" s="1631"/>
      <c r="AE1406" s="1825">
        <f t="shared" si="1739"/>
        <v>0</v>
      </c>
      <c r="AF1406" s="1826">
        <f t="shared" si="1739"/>
        <v>0</v>
      </c>
      <c r="AG1406" s="1826">
        <f t="shared" si="1739"/>
        <v>0</v>
      </c>
      <c r="AH1406" s="1826">
        <f t="shared" si="1739"/>
        <v>0</v>
      </c>
      <c r="AI1406" s="1826">
        <f t="shared" si="1739"/>
        <v>0</v>
      </c>
      <c r="AJ1406" s="1826">
        <f t="shared" si="1739"/>
        <v>0</v>
      </c>
      <c r="AK1406" s="1826">
        <f t="shared" si="1739"/>
        <v>0</v>
      </c>
      <c r="AL1406" s="1827">
        <f t="shared" si="1739"/>
        <v>0</v>
      </c>
      <c r="AM1406" s="1827">
        <f t="shared" si="1723"/>
        <v>0</v>
      </c>
      <c r="AN1406" s="1827">
        <f t="shared" si="1723"/>
        <v>0</v>
      </c>
      <c r="AO1406" s="1827">
        <f t="shared" si="1723"/>
        <v>0</v>
      </c>
      <c r="AP1406" s="1827">
        <f t="shared" ref="AP1406:AT1406" si="1744">AP1319/AP$402</f>
        <v>0</v>
      </c>
      <c r="AQ1406" s="1827">
        <f t="shared" si="1744"/>
        <v>0</v>
      </c>
      <c r="AR1406" s="1827">
        <f t="shared" si="1744"/>
        <v>0</v>
      </c>
      <c r="AS1406" s="1827">
        <f t="shared" si="1744"/>
        <v>0</v>
      </c>
      <c r="AT1406" s="1827">
        <f t="shared" si="1744"/>
        <v>0</v>
      </c>
    </row>
    <row r="1407" spans="1:46">
      <c r="A1407" s="1"/>
      <c r="B1407" s="1"/>
      <c r="C1407" s="1"/>
      <c r="D1407" s="531" t="s">
        <v>561</v>
      </c>
      <c r="E1407" s="530"/>
      <c r="F1407" s="530"/>
      <c r="G1407" s="530"/>
      <c r="H1407" s="530"/>
      <c r="I1407" s="530"/>
      <c r="J1407" s="530"/>
      <c r="K1407" s="530"/>
      <c r="L1407" s="530"/>
      <c r="M1407" s="530"/>
      <c r="N1407" s="530"/>
      <c r="O1407" s="530"/>
      <c r="P1407" s="530"/>
      <c r="Q1407" s="530"/>
      <c r="R1407" s="530"/>
      <c r="S1407" s="530"/>
      <c r="T1407" s="530"/>
      <c r="U1407" s="530"/>
      <c r="V1407" s="1631">
        <f t="shared" ref="V1407:AD1407" si="1745">V1320/V$402</f>
        <v>0</v>
      </c>
      <c r="W1407" s="1631">
        <f t="shared" si="1745"/>
        <v>0</v>
      </c>
      <c r="X1407" s="1631">
        <f t="shared" si="1745"/>
        <v>0</v>
      </c>
      <c r="Y1407" s="1631">
        <f t="shared" si="1745"/>
        <v>0</v>
      </c>
      <c r="Z1407" s="1631">
        <f t="shared" si="1745"/>
        <v>0</v>
      </c>
      <c r="AA1407" s="1631">
        <f t="shared" si="1745"/>
        <v>0</v>
      </c>
      <c r="AB1407" s="1631">
        <f t="shared" si="1745"/>
        <v>0</v>
      </c>
      <c r="AC1407" s="1631">
        <f t="shared" si="1745"/>
        <v>0</v>
      </c>
      <c r="AD1407" s="1631">
        <f t="shared" si="1745"/>
        <v>0</v>
      </c>
      <c r="AE1407" s="1631">
        <f t="shared" si="1739"/>
        <v>0</v>
      </c>
      <c r="AF1407" s="1631">
        <f t="shared" si="1739"/>
        <v>0</v>
      </c>
      <c r="AG1407" s="1631">
        <f t="shared" si="1739"/>
        <v>0</v>
      </c>
      <c r="AH1407" s="1631">
        <f t="shared" si="1739"/>
        <v>0</v>
      </c>
      <c r="AI1407" s="1631">
        <f t="shared" si="1739"/>
        <v>0</v>
      </c>
      <c r="AJ1407" s="1631">
        <f t="shared" si="1739"/>
        <v>0</v>
      </c>
      <c r="AK1407" s="1631">
        <f t="shared" si="1739"/>
        <v>0</v>
      </c>
      <c r="AL1407" s="1631">
        <f t="shared" si="1739"/>
        <v>0</v>
      </c>
      <c r="AM1407" s="1631">
        <f t="shared" si="1723"/>
        <v>0</v>
      </c>
      <c r="AN1407" s="1631">
        <f t="shared" si="1723"/>
        <v>0</v>
      </c>
      <c r="AO1407" s="1631">
        <f t="shared" si="1723"/>
        <v>0</v>
      </c>
      <c r="AP1407" s="1631">
        <f t="shared" ref="AP1407:AT1407" si="1746">AP1320/AP$402</f>
        <v>0</v>
      </c>
      <c r="AQ1407" s="1631">
        <f t="shared" si="1746"/>
        <v>0</v>
      </c>
      <c r="AR1407" s="1631">
        <f t="shared" si="1746"/>
        <v>0</v>
      </c>
      <c r="AS1407" s="1631">
        <f t="shared" si="1746"/>
        <v>0</v>
      </c>
      <c r="AT1407" s="1631">
        <f t="shared" si="1746"/>
        <v>0</v>
      </c>
    </row>
    <row r="1408" spans="1:46">
      <c r="A1408" s="1"/>
      <c r="B1408" s="1"/>
      <c r="C1408" s="1"/>
      <c r="D1408" s="531" t="s">
        <v>544</v>
      </c>
      <c r="E1408" s="530"/>
      <c r="F1408" s="530"/>
      <c r="G1408" s="530"/>
      <c r="H1408" s="530"/>
      <c r="I1408" s="530"/>
      <c r="J1408" s="530"/>
      <c r="K1408" s="530"/>
      <c r="L1408" s="530"/>
      <c r="M1408" s="530"/>
      <c r="N1408" s="530"/>
      <c r="O1408" s="530"/>
      <c r="P1408" s="530"/>
      <c r="Q1408" s="530"/>
      <c r="R1408" s="530"/>
      <c r="S1408" s="530"/>
      <c r="T1408" s="530"/>
      <c r="U1408" s="530"/>
      <c r="V1408" s="1631">
        <f t="shared" ref="V1408:AD1408" si="1747">V1321/V$402</f>
        <v>0</v>
      </c>
      <c r="W1408" s="1631">
        <f t="shared" si="1747"/>
        <v>4.15819209039548E-3</v>
      </c>
      <c r="X1408" s="1631">
        <f t="shared" si="1747"/>
        <v>6.2550937245313774E-3</v>
      </c>
      <c r="Y1408" s="1631">
        <f t="shared" si="1747"/>
        <v>8.165037436867667E-3</v>
      </c>
      <c r="Z1408" s="1631">
        <f t="shared" si="1747"/>
        <v>7.8615725060983688E-3</v>
      </c>
      <c r="AA1408" s="1631">
        <f t="shared" si="1747"/>
        <v>8.6742045219741198E-3</v>
      </c>
      <c r="AB1408" s="1631">
        <f t="shared" si="1747"/>
        <v>9.9795237350284276E-3</v>
      </c>
      <c r="AC1408" s="1631">
        <f t="shared" si="1747"/>
        <v>1.1424473883738849E-2</v>
      </c>
      <c r="AD1408" s="1631">
        <f t="shared" si="1747"/>
        <v>1.1756420066432514E-2</v>
      </c>
      <c r="AE1408" s="1631">
        <f t="shared" si="1739"/>
        <v>1.4821948042409905E-2</v>
      </c>
      <c r="AF1408" s="1631">
        <f t="shared" si="1739"/>
        <v>1.7591848495989215E-2</v>
      </c>
      <c r="AG1408" s="1631">
        <f t="shared" si="1739"/>
        <v>1.8364307417907604E-2</v>
      </c>
      <c r="AH1408" s="1631">
        <f t="shared" si="1739"/>
        <v>1.9848463600882965E-2</v>
      </c>
      <c r="AI1408" s="1631">
        <f t="shared" si="1739"/>
        <v>2.353753788527568E-2</v>
      </c>
      <c r="AJ1408" s="1631">
        <f t="shared" si="1739"/>
        <v>2.5104859472425779E-2</v>
      </c>
      <c r="AK1408" s="1631">
        <f t="shared" si="1739"/>
        <v>2.6666767855243755E-2</v>
      </c>
      <c r="AL1408" s="1631">
        <f t="shared" si="1739"/>
        <v>2.7210536167178029E-2</v>
      </c>
      <c r="AM1408" s="1631">
        <f t="shared" si="1723"/>
        <v>2.6820507133401641E-2</v>
      </c>
      <c r="AN1408" s="1631">
        <f t="shared" si="1723"/>
        <v>2.5351696825233111E-2</v>
      </c>
      <c r="AO1408" s="1631">
        <f t="shared" si="1723"/>
        <v>3.1475045009306923E-2</v>
      </c>
      <c r="AP1408" s="1631">
        <f t="shared" ref="AP1408:AT1408" si="1748">AP1321/AP$402</f>
        <v>3.2721868138055353E-2</v>
      </c>
      <c r="AQ1408" s="1631">
        <f t="shared" si="1748"/>
        <v>2.9304249753446521E-2</v>
      </c>
      <c r="AR1408" s="1631">
        <f t="shared" si="1748"/>
        <v>2.3790470066925931E-2</v>
      </c>
      <c r="AS1408" s="1631">
        <f t="shared" si="1748"/>
        <v>8.8756343892954809E-2</v>
      </c>
      <c r="AT1408" s="1631">
        <f t="shared" si="1748"/>
        <v>8.7634950303444245E-2</v>
      </c>
    </row>
    <row r="1409" spans="1:46" ht="16" thickBot="1">
      <c r="A1409" s="1"/>
      <c r="B1409" s="1"/>
      <c r="C1409" s="1"/>
      <c r="D1409" s="531" t="s">
        <v>564</v>
      </c>
      <c r="E1409" s="530"/>
      <c r="F1409" s="530"/>
      <c r="G1409" s="530"/>
      <c r="H1409" s="530"/>
      <c r="I1409" s="530"/>
      <c r="J1409" s="530"/>
      <c r="K1409" s="530"/>
      <c r="L1409" s="530"/>
      <c r="M1409" s="530"/>
      <c r="N1409" s="530"/>
      <c r="O1409" s="530"/>
      <c r="P1409" s="530"/>
      <c r="Q1409" s="530"/>
      <c r="R1409" s="530"/>
      <c r="S1409" s="530"/>
      <c r="T1409" s="530"/>
      <c r="U1409" s="530"/>
      <c r="V1409" s="1631">
        <f t="shared" ref="V1409:AD1409" si="1749">V1322/V$402</f>
        <v>0</v>
      </c>
      <c r="W1409" s="1631">
        <f t="shared" si="1749"/>
        <v>0</v>
      </c>
      <c r="X1409" s="1631">
        <f t="shared" si="1749"/>
        <v>5.5012224938875308E-3</v>
      </c>
      <c r="Y1409" s="1631">
        <f t="shared" si="1749"/>
        <v>1.1804755234776091E-2</v>
      </c>
      <c r="Z1409" s="1631">
        <f t="shared" si="1749"/>
        <v>1.2113814014910027E-2</v>
      </c>
      <c r="AA1409" s="1631">
        <f t="shared" si="1749"/>
        <v>1.2875534466961696E-2</v>
      </c>
      <c r="AB1409" s="1631">
        <f t="shared" si="1749"/>
        <v>1.1919549513270667E-2</v>
      </c>
      <c r="AC1409" s="1631">
        <f t="shared" si="1749"/>
        <v>1.2416048291666667E-2</v>
      </c>
      <c r="AD1409" s="1631">
        <f t="shared" si="1749"/>
        <v>1.9732293036705668E-2</v>
      </c>
      <c r="AE1409" s="1631">
        <f t="shared" si="1739"/>
        <v>2.684288329863627E-2</v>
      </c>
      <c r="AF1409" s="1631">
        <f t="shared" si="1739"/>
        <v>2.5329790215753094E-2</v>
      </c>
      <c r="AG1409" s="1631">
        <f t="shared" si="1739"/>
        <v>3.1853129329804969E-2</v>
      </c>
      <c r="AH1409" s="1631">
        <f t="shared" si="1739"/>
        <v>1.9546003776535217E-2</v>
      </c>
      <c r="AI1409" s="1631">
        <f t="shared" si="1739"/>
        <v>1.7322391175860707E-2</v>
      </c>
      <c r="AJ1409" s="1631">
        <f t="shared" si="1739"/>
        <v>1.6101522794012241E-2</v>
      </c>
      <c r="AK1409" s="1631">
        <f t="shared" si="1739"/>
        <v>2.1642925464764911E-2</v>
      </c>
      <c r="AL1409" s="1631">
        <f t="shared" si="1739"/>
        <v>1.2260801012836919E-2</v>
      </c>
      <c r="AM1409" s="1631">
        <f t="shared" si="1723"/>
        <v>1.1998245465705997E-2</v>
      </c>
      <c r="AN1409" s="1631">
        <f t="shared" si="1723"/>
        <v>1.1180871040975622E-2</v>
      </c>
      <c r="AO1409" s="1631">
        <f t="shared" si="1723"/>
        <v>9.9776227520198442E-3</v>
      </c>
      <c r="AP1409" s="1631">
        <f t="shared" ref="AP1409:AT1409" si="1750">AP1322/AP$402</f>
        <v>9.9776227520198459E-3</v>
      </c>
      <c r="AQ1409" s="1631">
        <f t="shared" si="1750"/>
        <v>1.0108624348947878E-2</v>
      </c>
      <c r="AR1409" s="1631">
        <f t="shared" si="1750"/>
        <v>1.0825780857337614E-2</v>
      </c>
      <c r="AS1409" s="1631">
        <f t="shared" si="1750"/>
        <v>1.0825780857337562E-2</v>
      </c>
      <c r="AT1409" s="1631">
        <f t="shared" si="1750"/>
        <v>1.0825780857337562E-2</v>
      </c>
    </row>
    <row r="1410" spans="1:46" ht="16" thickBot="1">
      <c r="A1410" s="1"/>
      <c r="B1410" s="1"/>
      <c r="C1410" s="1"/>
      <c r="D1410" s="1714" t="str">
        <f>D1323</f>
        <v xml:space="preserve"> of which: Covid-19 spending (ERF Public Transport)</v>
      </c>
      <c r="E1410" s="530"/>
      <c r="F1410" s="530"/>
      <c r="G1410" s="530"/>
      <c r="H1410" s="530"/>
      <c r="I1410" s="530"/>
      <c r="J1410" s="530"/>
      <c r="K1410" s="530"/>
      <c r="L1410" s="530"/>
      <c r="M1410" s="530"/>
      <c r="N1410" s="530"/>
      <c r="O1410" s="530"/>
      <c r="P1410" s="530"/>
      <c r="Q1410" s="530"/>
      <c r="R1410" s="530"/>
      <c r="S1410" s="530"/>
      <c r="T1410" s="530"/>
      <c r="U1410" s="530"/>
      <c r="V1410" s="1631"/>
      <c r="W1410" s="1631"/>
      <c r="X1410" s="1631"/>
      <c r="Y1410" s="1631"/>
      <c r="Z1410" s="1631"/>
      <c r="AA1410" s="1631"/>
      <c r="AB1410" s="1631"/>
      <c r="AC1410" s="1631"/>
      <c r="AD1410" s="1631"/>
      <c r="AE1410" s="1819">
        <f t="shared" si="1739"/>
        <v>0</v>
      </c>
      <c r="AF1410" s="1820">
        <f t="shared" si="1739"/>
        <v>1.1975464901178075E-3</v>
      </c>
      <c r="AG1410" s="1820">
        <f t="shared" si="1739"/>
        <v>0</v>
      </c>
      <c r="AH1410" s="1820">
        <f t="shared" si="1739"/>
        <v>0</v>
      </c>
      <c r="AI1410" s="1820">
        <f t="shared" si="1739"/>
        <v>0</v>
      </c>
      <c r="AJ1410" s="1820">
        <f t="shared" si="1739"/>
        <v>0</v>
      </c>
      <c r="AK1410" s="1820">
        <f t="shared" si="1739"/>
        <v>0</v>
      </c>
      <c r="AL1410" s="1821">
        <f t="shared" si="1739"/>
        <v>0</v>
      </c>
      <c r="AM1410" s="1821">
        <f t="shared" si="1723"/>
        <v>0</v>
      </c>
      <c r="AN1410" s="1821">
        <f t="shared" si="1723"/>
        <v>0</v>
      </c>
      <c r="AO1410" s="1821">
        <f t="shared" si="1723"/>
        <v>0</v>
      </c>
      <c r="AP1410" s="1821">
        <f t="shared" ref="AP1410:AT1410" si="1751">AP1323/AP$402</f>
        <v>0</v>
      </c>
      <c r="AQ1410" s="1821">
        <f t="shared" si="1751"/>
        <v>0</v>
      </c>
      <c r="AR1410" s="1821">
        <f t="shared" si="1751"/>
        <v>0</v>
      </c>
      <c r="AS1410" s="1821">
        <f t="shared" si="1751"/>
        <v>0</v>
      </c>
      <c r="AT1410" s="1821">
        <f t="shared" si="1751"/>
        <v>0</v>
      </c>
    </row>
    <row r="1411" spans="1:46">
      <c r="A1411" s="1"/>
      <c r="B1411" s="1"/>
      <c r="C1411" s="1"/>
      <c r="D1411" s="531" t="s">
        <v>536</v>
      </c>
      <c r="E1411" s="530"/>
      <c r="F1411" s="530"/>
      <c r="G1411" s="530"/>
      <c r="H1411" s="530"/>
      <c r="I1411" s="530"/>
      <c r="J1411" s="530"/>
      <c r="K1411" s="530"/>
      <c r="L1411" s="530"/>
      <c r="M1411" s="530"/>
      <c r="N1411" s="530"/>
      <c r="O1411" s="530"/>
      <c r="P1411" s="530"/>
      <c r="Q1411" s="530"/>
      <c r="R1411" s="530"/>
      <c r="S1411" s="530"/>
      <c r="T1411" s="530"/>
      <c r="U1411" s="530"/>
      <c r="V1411" s="1631">
        <f t="shared" ref="V1411:AD1411" si="1752">V1324/V$402</f>
        <v>3.6328889512881227E-2</v>
      </c>
      <c r="W1411" s="1631">
        <f t="shared" si="1752"/>
        <v>3.5344632768361584E-2</v>
      </c>
      <c r="X1411" s="1631">
        <f t="shared" si="1752"/>
        <v>2.8769356153219239E-2</v>
      </c>
      <c r="Y1411" s="1631">
        <f t="shared" si="1752"/>
        <v>5.348977289451002E-2</v>
      </c>
      <c r="Z1411" s="1631">
        <f t="shared" si="1752"/>
        <v>5.757230742022279E-2</v>
      </c>
      <c r="AA1411" s="1631">
        <f t="shared" si="1752"/>
        <v>5.5726024954409793E-2</v>
      </c>
      <c r="AB1411" s="1631">
        <f t="shared" si="1752"/>
        <v>5.3861904460107635E-2</v>
      </c>
      <c r="AC1411" s="1631">
        <f t="shared" si="1752"/>
        <v>5.2229060746487033E-2</v>
      </c>
      <c r="AD1411" s="1631">
        <f t="shared" si="1752"/>
        <v>5.4134637571690757E-2</v>
      </c>
      <c r="AE1411" s="1631">
        <f t="shared" si="1739"/>
        <v>5.331052032655019E-2</v>
      </c>
      <c r="AF1411" s="1631">
        <f t="shared" si="1739"/>
        <v>5.3448928564404627E-2</v>
      </c>
      <c r="AG1411" s="1631">
        <f t="shared" si="1739"/>
        <v>5.4639199258979206E-2</v>
      </c>
      <c r="AH1411" s="1631">
        <f t="shared" si="1739"/>
        <v>6.3409848930743584E-2</v>
      </c>
      <c r="AI1411" s="1631">
        <f t="shared" si="1739"/>
        <v>5.5989205386262467E-2</v>
      </c>
      <c r="AJ1411" s="1631">
        <f t="shared" si="1739"/>
        <v>5.37813164085124E-2</v>
      </c>
      <c r="AK1411" s="1631">
        <f t="shared" si="1739"/>
        <v>5.1011518682510346E-2</v>
      </c>
      <c r="AL1411" s="1631">
        <f t="shared" si="1739"/>
        <v>5.2800159074345286E-2</v>
      </c>
      <c r="AM1411" s="1631">
        <f t="shared" si="1723"/>
        <v>5.4983179295139704E-2</v>
      </c>
      <c r="AN1411" s="1631">
        <f t="shared" si="1723"/>
        <v>5.4864487554499644E-2</v>
      </c>
      <c r="AO1411" s="1631">
        <f t="shared" si="1723"/>
        <v>5.4622237166597747E-2</v>
      </c>
      <c r="AP1411" s="1631">
        <f t="shared" ref="AP1411:AT1411" si="1753">AP1324/AP$402</f>
        <v>5.4295230785875413E-2</v>
      </c>
      <c r="AQ1411" s="1631">
        <f t="shared" si="1753"/>
        <v>5.4511089227562363E-2</v>
      </c>
      <c r="AR1411" s="1631">
        <f t="shared" si="1753"/>
        <v>5.4709870596250383E-2</v>
      </c>
      <c r="AS1411" s="1631">
        <f t="shared" si="1753"/>
        <v>5.0801561954440987E-2</v>
      </c>
      <c r="AT1411" s="1631">
        <f t="shared" si="1753"/>
        <v>5.0801561954440987E-2</v>
      </c>
    </row>
    <row r="1412" spans="1:46">
      <c r="A1412" s="1"/>
      <c r="B1412" s="1"/>
      <c r="C1412" s="1"/>
      <c r="D1412" s="531" t="s">
        <v>565</v>
      </c>
      <c r="E1412" s="530"/>
      <c r="F1412" s="530"/>
      <c r="G1412" s="530"/>
      <c r="H1412" s="530"/>
      <c r="I1412" s="530"/>
      <c r="J1412" s="530"/>
      <c r="K1412" s="530"/>
      <c r="L1412" s="530"/>
      <c r="M1412" s="530"/>
      <c r="N1412" s="530"/>
      <c r="O1412" s="530"/>
      <c r="P1412" s="530"/>
      <c r="Q1412" s="530"/>
      <c r="R1412" s="530"/>
      <c r="S1412" s="530"/>
      <c r="T1412" s="530"/>
      <c r="U1412" s="530"/>
      <c r="V1412" s="1631">
        <f t="shared" ref="V1412:AD1412" si="1754">V1325/V$402</f>
        <v>0</v>
      </c>
      <c r="W1412" s="1631">
        <f t="shared" si="1754"/>
        <v>0</v>
      </c>
      <c r="X1412" s="1631">
        <f t="shared" si="1754"/>
        <v>0</v>
      </c>
      <c r="Y1412" s="1631">
        <f t="shared" si="1754"/>
        <v>4.2869636456810932E-3</v>
      </c>
      <c r="Z1412" s="1631">
        <f t="shared" si="1754"/>
        <v>3.8664375247643525E-3</v>
      </c>
      <c r="AA1412" s="1631">
        <f t="shared" si="1754"/>
        <v>3.7550956452006715E-3</v>
      </c>
      <c r="AB1412" s="1631">
        <f t="shared" si="1754"/>
        <v>3.2729671743157314E-3</v>
      </c>
      <c r="AC1412" s="1631">
        <f t="shared" si="1754"/>
        <v>3.1410679575848304E-3</v>
      </c>
      <c r="AD1412" s="1631">
        <f t="shared" si="1754"/>
        <v>2.9617168274833675E-3</v>
      </c>
      <c r="AE1412" s="1631">
        <f t="shared" si="1739"/>
        <v>2.8413815369699555E-3</v>
      </c>
      <c r="AF1412" s="1631">
        <f t="shared" si="1739"/>
        <v>3.9951385686885403E-3</v>
      </c>
      <c r="AG1412" s="1631">
        <f t="shared" si="1739"/>
        <v>4.7229520755125856E-3</v>
      </c>
      <c r="AH1412" s="1631">
        <f t="shared" si="1739"/>
        <v>3.0148453338565175E-3</v>
      </c>
      <c r="AI1412" s="1631">
        <f t="shared" si="1739"/>
        <v>2.757176174057587E-3</v>
      </c>
      <c r="AJ1412" s="1631">
        <f t="shared" si="1739"/>
        <v>3.3665867689925424E-3</v>
      </c>
      <c r="AK1412" s="1631">
        <f t="shared" si="1739"/>
        <v>3.3072176345343277E-3</v>
      </c>
      <c r="AL1412" s="1631">
        <f t="shared" si="1739"/>
        <v>3.0000000000000001E-3</v>
      </c>
      <c r="AM1412" s="1631">
        <f t="shared" si="1723"/>
        <v>3.0000000000000001E-3</v>
      </c>
      <c r="AN1412" s="1631">
        <f t="shared" si="1723"/>
        <v>3.0000000000000001E-3</v>
      </c>
      <c r="AO1412" s="1631">
        <f t="shared" si="1723"/>
        <v>3.0000000000000001E-3</v>
      </c>
      <c r="AP1412" s="1631">
        <f t="shared" ref="AP1412:AT1412" si="1755">AP1325/AP$402</f>
        <v>3.0000000000000001E-3</v>
      </c>
      <c r="AQ1412" s="1631">
        <f t="shared" si="1755"/>
        <v>3.0000000000000001E-3</v>
      </c>
      <c r="AR1412" s="1631">
        <f t="shared" si="1755"/>
        <v>3.0000000000000005E-3</v>
      </c>
      <c r="AS1412" s="1631">
        <f t="shared" si="1755"/>
        <v>3.0000000000000001E-3</v>
      </c>
      <c r="AT1412" s="1631">
        <f t="shared" si="1755"/>
        <v>3.0000000000000001E-3</v>
      </c>
    </row>
    <row r="1413" spans="1:46">
      <c r="A1413" s="1"/>
      <c r="B1413" s="1"/>
      <c r="C1413" s="1"/>
      <c r="D1413" s="531" t="s">
        <v>566</v>
      </c>
      <c r="E1413" s="530"/>
      <c r="F1413" s="530"/>
      <c r="G1413" s="530"/>
      <c r="H1413" s="530"/>
      <c r="I1413" s="530"/>
      <c r="J1413" s="530"/>
      <c r="K1413" s="530"/>
      <c r="L1413" s="530"/>
      <c r="M1413" s="530"/>
      <c r="N1413" s="530"/>
      <c r="O1413" s="530"/>
      <c r="P1413" s="530"/>
      <c r="Q1413" s="530"/>
      <c r="R1413" s="530"/>
      <c r="S1413" s="530"/>
      <c r="T1413" s="530"/>
      <c r="U1413" s="530"/>
      <c r="V1413" s="1631">
        <f t="shared" ref="V1413:AD1413" si="1756">V1326/V$402</f>
        <v>0</v>
      </c>
      <c r="W1413" s="1631">
        <f t="shared" si="1756"/>
        <v>0</v>
      </c>
      <c r="X1413" s="1631">
        <f t="shared" si="1756"/>
        <v>0</v>
      </c>
      <c r="Y1413" s="1631">
        <f t="shared" si="1756"/>
        <v>6.0351050747048914E-3</v>
      </c>
      <c r="Z1413" s="1631">
        <f t="shared" si="1756"/>
        <v>1.1598473150642673E-2</v>
      </c>
      <c r="AA1413" s="1631">
        <f t="shared" si="1756"/>
        <v>1.0901152182359224E-2</v>
      </c>
      <c r="AB1413" s="1631">
        <f t="shared" si="1756"/>
        <v>1.2098933161874482E-2</v>
      </c>
      <c r="AC1413" s="1631">
        <f t="shared" si="1756"/>
        <v>1.3447531921282434E-2</v>
      </c>
      <c r="AD1413" s="1631">
        <f t="shared" si="1756"/>
        <v>1.9571292536935077E-2</v>
      </c>
      <c r="AE1413" s="1631">
        <f t="shared" si="1739"/>
        <v>1.5379281698167484E-2</v>
      </c>
      <c r="AF1413" s="1631">
        <f t="shared" si="1739"/>
        <v>1.2877178648427611E-2</v>
      </c>
      <c r="AG1413" s="1631">
        <f t="shared" si="1739"/>
        <v>1.2253587994165694E-2</v>
      </c>
      <c r="AH1413" s="1631">
        <f t="shared" si="1739"/>
        <v>8.3513177686220658E-3</v>
      </c>
      <c r="AI1413" s="1631">
        <f t="shared" si="1739"/>
        <v>7.8391409063503694E-3</v>
      </c>
      <c r="AJ1413" s="1631">
        <f t="shared" si="1739"/>
        <v>7.2027228616766449E-3</v>
      </c>
      <c r="AK1413" s="1631">
        <f t="shared" si="1739"/>
        <v>6.7531908514249488E-3</v>
      </c>
      <c r="AL1413" s="1631">
        <f t="shared" si="1739"/>
        <v>6.5979312724332847E-3</v>
      </c>
      <c r="AM1413" s="1631">
        <f t="shared" si="1723"/>
        <v>6.599354359887343E-3</v>
      </c>
      <c r="AN1413" s="1631">
        <f t="shared" si="1723"/>
        <v>6.6130951467787301E-3</v>
      </c>
      <c r="AO1413" s="1631">
        <f t="shared" si="1723"/>
        <v>6.6276391668969271E-3</v>
      </c>
      <c r="AP1413" s="1631">
        <f t="shared" ref="AP1413:AT1413" si="1757">AP1326/AP$402</f>
        <v>6.627639166896928E-3</v>
      </c>
      <c r="AQ1413" s="1631">
        <f t="shared" si="1757"/>
        <v>6.627639166896928E-3</v>
      </c>
      <c r="AR1413" s="1631">
        <f t="shared" si="1757"/>
        <v>6.627639166896928E-3</v>
      </c>
      <c r="AS1413" s="1631">
        <f t="shared" si="1757"/>
        <v>6.6276391668969297E-3</v>
      </c>
      <c r="AT1413" s="1631">
        <f t="shared" si="1757"/>
        <v>6.6276391668969297E-3</v>
      </c>
    </row>
    <row r="1414" spans="1:46">
      <c r="A1414" s="1"/>
      <c r="B1414" s="1"/>
      <c r="C1414" s="1"/>
      <c r="D1414" s="522" t="s">
        <v>591</v>
      </c>
      <c r="E1414" s="530"/>
      <c r="F1414" s="530"/>
      <c r="G1414" s="530"/>
      <c r="H1414" s="530"/>
      <c r="I1414" s="530"/>
      <c r="J1414" s="530"/>
      <c r="K1414" s="530"/>
      <c r="L1414" s="530"/>
      <c r="M1414" s="530"/>
      <c r="N1414" s="530"/>
      <c r="O1414" s="530"/>
      <c r="P1414" s="530"/>
      <c r="Q1414" s="530"/>
      <c r="R1414" s="530"/>
      <c r="S1414" s="530"/>
      <c r="T1414" s="530"/>
      <c r="U1414" s="530"/>
      <c r="V1414" s="1631">
        <f t="shared" ref="V1414:AA1414" si="1758">V1327/V$402</f>
        <v>0</v>
      </c>
      <c r="W1414" s="1631">
        <f t="shared" si="1758"/>
        <v>0</v>
      </c>
      <c r="X1414" s="1631">
        <f t="shared" si="1758"/>
        <v>0</v>
      </c>
      <c r="Y1414" s="1631">
        <f t="shared" si="1758"/>
        <v>0</v>
      </c>
      <c r="Z1414" s="1631">
        <f t="shared" si="1758"/>
        <v>0</v>
      </c>
      <c r="AA1414" s="1631">
        <f t="shared" si="1758"/>
        <v>0</v>
      </c>
      <c r="AB1414" s="1631"/>
      <c r="AC1414" s="1631"/>
      <c r="AD1414" s="1631"/>
      <c r="AE1414" s="1631"/>
      <c r="AF1414" s="1631"/>
      <c r="AG1414" s="1631"/>
      <c r="AH1414" s="1631"/>
      <c r="AI1414" s="1631"/>
      <c r="AJ1414" s="1631"/>
      <c r="AK1414" s="1631"/>
      <c r="AL1414" s="1631"/>
      <c r="AM1414" s="1631"/>
      <c r="AN1414" s="1631"/>
      <c r="AO1414" s="1631"/>
      <c r="AP1414" s="1631"/>
      <c r="AQ1414" s="1631"/>
      <c r="AR1414" s="1631"/>
      <c r="AS1414" s="1631"/>
      <c r="AT1414" s="1631"/>
    </row>
    <row r="1415" spans="1:46">
      <c r="A1415" s="1"/>
      <c r="B1415" s="1"/>
      <c r="C1415" s="1"/>
      <c r="D1415" s="529" t="s">
        <v>592</v>
      </c>
      <c r="E1415" s="530"/>
      <c r="F1415" s="530"/>
      <c r="G1415" s="530"/>
      <c r="H1415" s="530"/>
      <c r="I1415" s="530"/>
      <c r="J1415" s="530"/>
      <c r="K1415" s="530"/>
      <c r="L1415" s="530"/>
      <c r="M1415" s="530"/>
      <c r="N1415" s="530"/>
      <c r="O1415" s="530"/>
      <c r="P1415" s="530"/>
      <c r="Q1415" s="530"/>
      <c r="R1415" s="530"/>
      <c r="S1415" s="530"/>
      <c r="T1415" s="530"/>
      <c r="U1415" s="530"/>
      <c r="V1415" s="1631">
        <f t="shared" ref="V1415:AD1415" si="1759">V1328/V$402</f>
        <v>1.2697556210099417E-2</v>
      </c>
      <c r="W1415" s="1631">
        <f t="shared" si="1759"/>
        <v>1.622598870056496E-2</v>
      </c>
      <c r="X1415" s="1631">
        <f t="shared" si="1759"/>
        <v>-2.8447527220864218E-3</v>
      </c>
      <c r="Y1415" s="1631">
        <f t="shared" si="1759"/>
        <v>8.1642336833057855E-2</v>
      </c>
      <c r="Z1415" s="1631">
        <f t="shared" si="1759"/>
        <v>7.3950724555991512E-2</v>
      </c>
      <c r="AA1415" s="1631">
        <f t="shared" si="1759"/>
        <v>6.0235092506215157E-2</v>
      </c>
      <c r="AB1415" s="1631">
        <f t="shared" si="1759"/>
        <v>4.0407035577874173E-2</v>
      </c>
      <c r="AC1415" s="1631">
        <f t="shared" si="1759"/>
        <v>4.7840598396476565E-2</v>
      </c>
      <c r="AD1415" s="1631">
        <f t="shared" si="1759"/>
        <v>4.5671458918001215E-2</v>
      </c>
      <c r="AE1415" s="1631">
        <f t="shared" ref="AE1415:AO1415" si="1760">AE1328/AE$402</f>
        <v>3.2171169589707407E-2</v>
      </c>
      <c r="AF1415" s="1631">
        <f t="shared" si="1760"/>
        <v>4.7103706301312678E-2</v>
      </c>
      <c r="AG1415" s="1631">
        <f t="shared" si="1760"/>
        <v>5.2865647770029688E-2</v>
      </c>
      <c r="AH1415" s="1631">
        <f t="shared" si="1760"/>
        <v>3.550275001060995E-2</v>
      </c>
      <c r="AI1415" s="1631">
        <f t="shared" si="1760"/>
        <v>3.5960241387167219E-2</v>
      </c>
      <c r="AJ1415" s="1631">
        <f t="shared" si="1760"/>
        <v>3.6716756507202193E-2</v>
      </c>
      <c r="AK1415" s="1631">
        <f t="shared" si="1760"/>
        <v>3.5223785514075109E-2</v>
      </c>
      <c r="AL1415" s="1631">
        <f t="shared" si="1760"/>
        <v>5.259467771058339E-2</v>
      </c>
      <c r="AM1415" s="1631">
        <f t="shared" si="1760"/>
        <v>5.5668644566105985E-2</v>
      </c>
      <c r="AN1415" s="1631">
        <f t="shared" si="1760"/>
        <v>5.8948383549928256E-2</v>
      </c>
      <c r="AO1415" s="1631">
        <f t="shared" si="1760"/>
        <v>5.754943291736047E-2</v>
      </c>
      <c r="AP1415" s="1631">
        <f t="shared" ref="AP1415:AT1415" si="1761">AP1328/AP$402</f>
        <v>4.4764123305970412E-2</v>
      </c>
      <c r="AQ1415" s="1631">
        <f t="shared" si="1761"/>
        <v>4.6018337695737259E-2</v>
      </c>
      <c r="AR1415" s="1631">
        <f t="shared" si="1761"/>
        <v>5.4478309122262189E-2</v>
      </c>
      <c r="AS1415" s="1631">
        <f t="shared" si="1761"/>
        <v>-1.6638940757871135</v>
      </c>
      <c r="AT1415" s="1631">
        <f t="shared" si="1761"/>
        <v>-3.2824538353898576</v>
      </c>
    </row>
    <row r="1416" spans="1:46">
      <c r="A1416" s="1"/>
      <c r="B1416" s="1"/>
      <c r="C1416" s="1"/>
      <c r="D1416" s="529" t="s">
        <v>593</v>
      </c>
      <c r="E1416" s="530"/>
      <c r="F1416" s="530"/>
      <c r="G1416" s="530"/>
      <c r="H1416" s="530"/>
      <c r="I1416" s="530"/>
      <c r="J1416" s="530"/>
      <c r="K1416" s="530"/>
      <c r="L1416" s="530"/>
      <c r="M1416" s="530"/>
      <c r="N1416" s="530"/>
      <c r="O1416" s="530"/>
      <c r="P1416" s="530"/>
      <c r="Q1416" s="530"/>
      <c r="R1416" s="530"/>
      <c r="S1416" s="530"/>
      <c r="T1416" s="530"/>
      <c r="U1416" s="530"/>
      <c r="V1416" s="1631">
        <f t="shared" ref="V1416:AD1416" si="1762">V1329/V$402</f>
        <v>-8.6471928309785465E-2</v>
      </c>
      <c r="W1416" s="1631">
        <f t="shared" si="1762"/>
        <v>-8.7141242937853108E-2</v>
      </c>
      <c r="X1416" s="1631">
        <f t="shared" si="1762"/>
        <v>-7.7192755982070121E-2</v>
      </c>
      <c r="Y1416" s="1631">
        <f t="shared" si="1762"/>
        <v>-7.2309360210961763E-3</v>
      </c>
      <c r="Z1416" s="1631">
        <f t="shared" si="1762"/>
        <v>2.6692494925297013E-3</v>
      </c>
      <c r="AA1416" s="1631">
        <f t="shared" si="1762"/>
        <v>3.2057005035371045E-3</v>
      </c>
      <c r="AB1416" s="1631">
        <f t="shared" si="1762"/>
        <v>-5.2360503975914813E-3</v>
      </c>
      <c r="AC1416" s="1631">
        <f t="shared" si="1762"/>
        <v>3.066561860958791E-3</v>
      </c>
      <c r="AD1416" s="1631">
        <f t="shared" si="1762"/>
        <v>3.9157157500789385E-4</v>
      </c>
      <c r="AE1416" s="1631">
        <f t="shared" ref="AE1416:AO1416" si="1763">AE1329/AE$402</f>
        <v>-1.4447028220208163E-2</v>
      </c>
      <c r="AF1416" s="1631">
        <f t="shared" si="1763"/>
        <v>-8.0084128801771407E-3</v>
      </c>
      <c r="AG1416" s="1631">
        <f t="shared" si="1763"/>
        <v>-1.5827831095304685E-2</v>
      </c>
      <c r="AH1416" s="1631">
        <f t="shared" si="1763"/>
        <v>-1.1015283195521239E-2</v>
      </c>
      <c r="AI1416" s="1631">
        <f t="shared" si="1763"/>
        <v>-6.7394492383825591E-3</v>
      </c>
      <c r="AJ1416" s="1631">
        <f t="shared" si="1763"/>
        <v>5.4809360088131382E-3</v>
      </c>
      <c r="AK1416" s="1631">
        <f t="shared" si="1763"/>
        <v>9.390443108046459E-3</v>
      </c>
      <c r="AL1416" s="1631">
        <f t="shared" si="1763"/>
        <v>2.6772980107289932E-2</v>
      </c>
      <c r="AM1416" s="1631">
        <f t="shared" si="1763"/>
        <v>2.9959920972502409E-2</v>
      </c>
      <c r="AN1416" s="1631">
        <f t="shared" si="1763"/>
        <v>3.4381717353651225E-2</v>
      </c>
      <c r="AO1416" s="1631">
        <f t="shared" si="1763"/>
        <v>3.3739215376522191E-2</v>
      </c>
      <c r="AP1416" s="1631">
        <f t="shared" ref="AP1416:AT1416" si="1764">AP1329/AP$402</f>
        <v>3.5555261959630498E-2</v>
      </c>
      <c r="AQ1416" s="1631">
        <f t="shared" si="1764"/>
        <v>3.6647434222652882E-2</v>
      </c>
      <c r="AR1416" s="1631">
        <f t="shared" si="1764"/>
        <v>4.5986557136554196E-2</v>
      </c>
      <c r="AS1416" s="1631">
        <f t="shared" si="1764"/>
        <v>-1.697823619003372</v>
      </c>
      <c r="AT1416" s="1631">
        <f t="shared" si="1764"/>
        <v>-3.3179595068116643</v>
      </c>
    </row>
    <row r="1417" spans="1:46">
      <c r="A1417" s="1"/>
      <c r="B1417" s="1"/>
      <c r="C1417" s="1"/>
      <c r="D1417" s="522" t="str">
        <f>D1330</f>
        <v xml:space="preserve">Net Investment in nonfinancial assets </v>
      </c>
      <c r="E1417" s="530"/>
      <c r="F1417" s="530"/>
      <c r="G1417" s="530"/>
      <c r="H1417" s="530"/>
      <c r="I1417" s="530"/>
      <c r="J1417" s="530"/>
      <c r="K1417" s="530"/>
      <c r="L1417" s="530"/>
      <c r="M1417" s="530"/>
      <c r="N1417" s="530"/>
      <c r="O1417" s="530"/>
      <c r="P1417" s="530"/>
      <c r="Q1417" s="530"/>
      <c r="R1417" s="530"/>
      <c r="S1417" s="530"/>
      <c r="T1417" s="530"/>
      <c r="U1417" s="530"/>
      <c r="V1417" s="1631">
        <f t="shared" ref="V1417:AD1417" si="1765">V1330/V$402</f>
        <v>0.10017267399267399</v>
      </c>
      <c r="W1417" s="1631">
        <f t="shared" si="1765"/>
        <v>9.5661016949152536E-2</v>
      </c>
      <c r="X1417" s="1631">
        <f t="shared" si="1765"/>
        <v>8.5010523234922572E-2</v>
      </c>
      <c r="Y1417" s="1631">
        <f t="shared" si="1765"/>
        <v>0.12054980009568653</v>
      </c>
      <c r="Z1417" s="1631">
        <f t="shared" si="1765"/>
        <v>0.10901695613255158</v>
      </c>
      <c r="AA1417" s="1631">
        <f t="shared" si="1765"/>
        <v>9.422206295596755E-2</v>
      </c>
      <c r="AB1417" s="1631">
        <f t="shared" si="1765"/>
        <v>8.3890750427817101E-2</v>
      </c>
      <c r="AC1417" s="1631">
        <f t="shared" si="1765"/>
        <v>8.4926231307654684E-2</v>
      </c>
      <c r="AD1417" s="1631">
        <f t="shared" si="1765"/>
        <v>0.10491832598276918</v>
      </c>
      <c r="AE1417" s="1631">
        <f t="shared" ref="AE1417:AO1417" si="1766">AE1330/AE$402</f>
        <v>0.11006796553370618</v>
      </c>
      <c r="AF1417" s="1631">
        <f t="shared" si="1766"/>
        <v>0.12217470116866021</v>
      </c>
      <c r="AG1417" s="1631">
        <f t="shared" si="1766"/>
        <v>0.13278699872673194</v>
      </c>
      <c r="AH1417" s="1631">
        <f t="shared" si="1766"/>
        <v>9.9301825528595872E-2</v>
      </c>
      <c r="AI1417" s="1631">
        <f t="shared" si="1766"/>
        <v>9.8889475631086285E-2</v>
      </c>
      <c r="AJ1417" s="1631">
        <f t="shared" si="1766"/>
        <v>8.3576123647881723E-2</v>
      </c>
      <c r="AK1417" s="1631">
        <f t="shared" si="1766"/>
        <v>7.5424605901758715E-2</v>
      </c>
      <c r="AL1417" s="1631">
        <f t="shared" si="1766"/>
        <v>8.3014478341136275E-2</v>
      </c>
      <c r="AM1417" s="1631">
        <f t="shared" si="1766"/>
        <v>8.6532246364953033E-2</v>
      </c>
      <c r="AN1417" s="1631">
        <f t="shared" si="1766"/>
        <v>8.853022051906681E-2</v>
      </c>
      <c r="AO1417" s="1631">
        <f t="shared" si="1766"/>
        <v>8.8105284860797911E-2</v>
      </c>
      <c r="AP1417" s="1631">
        <f t="shared" ref="AP1417:AT1417" si="1767">AP1330/AP$402</f>
        <v>7.7222778514945786E-2</v>
      </c>
      <c r="AQ1417" s="1631">
        <f t="shared" si="1767"/>
        <v>7.5608691732977115E-2</v>
      </c>
      <c r="AR1417" s="1631">
        <f t="shared" si="1767"/>
        <v>8.4237443443313215E-2</v>
      </c>
      <c r="AS1417" s="1631">
        <f t="shared" si="1767"/>
        <v>-0.50216109691051924</v>
      </c>
      <c r="AT1417" s="1631">
        <f t="shared" si="1767"/>
        <v>-0.50375992437761075</v>
      </c>
    </row>
    <row r="1418" spans="1:46" ht="16" thickBot="1">
      <c r="A1418" s="1"/>
      <c r="B1418" s="1"/>
      <c r="C1418" s="1"/>
      <c r="D1418" s="525" t="s">
        <v>594</v>
      </c>
      <c r="E1418" s="530"/>
      <c r="F1418" s="530"/>
      <c r="G1418" s="530"/>
      <c r="H1418" s="530"/>
      <c r="I1418" s="530"/>
      <c r="J1418" s="530"/>
      <c r="K1418" s="530"/>
      <c r="L1418" s="530"/>
      <c r="M1418" s="530"/>
      <c r="N1418" s="530"/>
      <c r="O1418" s="530"/>
      <c r="P1418" s="530"/>
      <c r="Q1418" s="530"/>
      <c r="R1418" s="530"/>
      <c r="S1418" s="530"/>
      <c r="T1418" s="530"/>
      <c r="U1418" s="530"/>
      <c r="V1418" s="1631">
        <f t="shared" ref="V1418:AD1418" si="1768">V1331/V$402</f>
        <v>4.2909471480900054E-2</v>
      </c>
      <c r="W1418" s="1631">
        <f t="shared" si="1768"/>
        <v>4.3322033898305079E-2</v>
      </c>
      <c r="X1418" s="1631">
        <f t="shared" si="1768"/>
        <v>3.5635696821515891E-2</v>
      </c>
      <c r="Y1418" s="1631">
        <f t="shared" si="1768"/>
        <v>6.9321913931362E-2</v>
      </c>
      <c r="Z1418" s="1631">
        <f t="shared" si="1768"/>
        <v>5.8313093934555429E-2</v>
      </c>
      <c r="AA1418" s="1631">
        <f t="shared" si="1768"/>
        <v>4.147331159124909E-2</v>
      </c>
      <c r="AB1418" s="1631">
        <f t="shared" si="1768"/>
        <v>4.2403812160606721E-2</v>
      </c>
      <c r="AC1418" s="1631">
        <f t="shared" si="1768"/>
        <v>4.2297956026217561E-2</v>
      </c>
      <c r="AD1418" s="1631">
        <f t="shared" si="1768"/>
        <v>5.1388391400984362E-2</v>
      </c>
      <c r="AE1418" s="1631">
        <f t="shared" ref="AE1418:AO1418" si="1769">AE1331/AE$402</f>
        <v>5.8363402235069896E-2</v>
      </c>
      <c r="AF1418" s="1631">
        <f t="shared" si="1769"/>
        <v>6.6723625803651931E-2</v>
      </c>
      <c r="AG1418" s="1631">
        <f t="shared" si="1769"/>
        <v>6.5736710425265049E-2</v>
      </c>
      <c r="AH1418" s="1631">
        <f t="shared" si="1769"/>
        <v>5.0452596624308177E-2</v>
      </c>
      <c r="AI1418" s="1631">
        <f t="shared" si="1769"/>
        <v>6.1857915937447931E-2</v>
      </c>
      <c r="AJ1418" s="1631">
        <f t="shared" si="1769"/>
        <v>5.0306014017003346E-2</v>
      </c>
      <c r="AK1418" s="1631">
        <f t="shared" si="1769"/>
        <v>4.57710676795689E-2</v>
      </c>
      <c r="AL1418" s="1631">
        <f t="shared" si="1769"/>
        <v>4.5496561124682637E-2</v>
      </c>
      <c r="AM1418" s="1631">
        <f t="shared" si="1769"/>
        <v>4.3824436819251446E-2</v>
      </c>
      <c r="AN1418" s="1631">
        <f t="shared" si="1769"/>
        <v>4.3253209595495695E-2</v>
      </c>
      <c r="AO1418" s="1631">
        <f t="shared" si="1769"/>
        <v>4.2215157819441955E-2</v>
      </c>
      <c r="AP1418" s="1631">
        <f t="shared" ref="AP1418:AT1418" si="1770">AP1331/AP$402</f>
        <v>3.1342083047571252E-2</v>
      </c>
      <c r="AQ1418" s="1631">
        <f t="shared" si="1770"/>
        <v>1.5325027596839852E-2</v>
      </c>
      <c r="AR1418" s="1631">
        <f t="shared" si="1770"/>
        <v>6.906212693135909E-3</v>
      </c>
      <c r="AS1418" s="1631">
        <f t="shared" si="1770"/>
        <v>2.1098087838710207E-2</v>
      </c>
      <c r="AT1418" s="1631">
        <f t="shared" si="1770"/>
        <v>1.949926037161865E-2</v>
      </c>
    </row>
    <row r="1419" spans="1:46">
      <c r="A1419" s="1"/>
      <c r="B1419" s="1"/>
      <c r="C1419" s="1"/>
      <c r="D1419" s="1816" t="str">
        <f>D1332</f>
        <v>o/w COVID-19 (School construction/social protection)</v>
      </c>
      <c r="E1419" s="530"/>
      <c r="F1419" s="530"/>
      <c r="G1419" s="530"/>
      <c r="H1419" s="530"/>
      <c r="I1419" s="530"/>
      <c r="J1419" s="530"/>
      <c r="K1419" s="530"/>
      <c r="L1419" s="530"/>
      <c r="M1419" s="530"/>
      <c r="N1419" s="530"/>
      <c r="O1419" s="530"/>
      <c r="P1419" s="530"/>
      <c r="Q1419" s="530"/>
      <c r="R1419" s="530"/>
      <c r="S1419" s="530"/>
      <c r="T1419" s="530"/>
      <c r="U1419" s="530"/>
      <c r="V1419" s="1631"/>
      <c r="W1419" s="1631"/>
      <c r="X1419" s="1631"/>
      <c r="Y1419" s="1631"/>
      <c r="Z1419" s="1631"/>
      <c r="AA1419" s="1631"/>
      <c r="AB1419" s="1631"/>
      <c r="AC1419" s="1631"/>
      <c r="AD1419" s="1631"/>
      <c r="AE1419" s="1822">
        <f t="shared" ref="AE1419:AO1419" si="1771">AE1332/AE$402</f>
        <v>1.1575778912848925E-2</v>
      </c>
      <c r="AF1419" s="1823">
        <f t="shared" si="1771"/>
        <v>0</v>
      </c>
      <c r="AG1419" s="1823">
        <f t="shared" si="1771"/>
        <v>0</v>
      </c>
      <c r="AH1419" s="1823">
        <f t="shared" si="1771"/>
        <v>0</v>
      </c>
      <c r="AI1419" s="1823">
        <f t="shared" si="1771"/>
        <v>0</v>
      </c>
      <c r="AJ1419" s="1823">
        <f t="shared" si="1771"/>
        <v>0</v>
      </c>
      <c r="AK1419" s="1823">
        <f t="shared" si="1771"/>
        <v>0</v>
      </c>
      <c r="AL1419" s="1823">
        <f t="shared" si="1771"/>
        <v>0</v>
      </c>
      <c r="AM1419" s="1823">
        <f t="shared" si="1771"/>
        <v>0</v>
      </c>
      <c r="AN1419" s="1823">
        <f t="shared" si="1771"/>
        <v>0</v>
      </c>
      <c r="AO1419" s="1823">
        <f t="shared" si="1771"/>
        <v>0</v>
      </c>
      <c r="AP1419" s="1823">
        <f t="shared" ref="AP1419:AT1419" si="1772">AP1332/AP$402</f>
        <v>0</v>
      </c>
      <c r="AQ1419" s="1823">
        <f t="shared" si="1772"/>
        <v>0</v>
      </c>
      <c r="AR1419" s="1823">
        <f t="shared" si="1772"/>
        <v>0</v>
      </c>
      <c r="AS1419" s="1823">
        <f t="shared" si="1772"/>
        <v>0</v>
      </c>
      <c r="AT1419" s="1823">
        <f t="shared" si="1772"/>
        <v>0</v>
      </c>
    </row>
    <row r="1420" spans="1:46" ht="16" thickBot="1">
      <c r="A1420" s="1"/>
      <c r="B1420" s="1"/>
      <c r="C1420" s="1"/>
      <c r="D1420" s="1816" t="str">
        <f>D1333</f>
        <v>o/w vaccine</v>
      </c>
      <c r="E1420" s="530"/>
      <c r="F1420" s="530"/>
      <c r="G1420" s="530"/>
      <c r="H1420" s="530"/>
      <c r="I1420" s="530"/>
      <c r="J1420" s="530"/>
      <c r="K1420" s="530"/>
      <c r="L1420" s="530"/>
      <c r="M1420" s="530"/>
      <c r="N1420" s="530"/>
      <c r="O1420" s="530"/>
      <c r="P1420" s="530"/>
      <c r="Q1420" s="530"/>
      <c r="R1420" s="530"/>
      <c r="S1420" s="530"/>
      <c r="T1420" s="530"/>
      <c r="U1420" s="530"/>
      <c r="V1420" s="1631"/>
      <c r="W1420" s="1631"/>
      <c r="X1420" s="1631"/>
      <c r="Y1420" s="1631"/>
      <c r="Z1420" s="1631"/>
      <c r="AA1420" s="1631"/>
      <c r="AB1420" s="1631"/>
      <c r="AC1420" s="1631"/>
      <c r="AD1420" s="1631"/>
      <c r="AE1420" s="1825">
        <f t="shared" ref="AE1420:AO1420" si="1773">AE1333/AE$402</f>
        <v>0</v>
      </c>
      <c r="AF1420" s="1826">
        <f t="shared" si="1773"/>
        <v>0</v>
      </c>
      <c r="AG1420" s="1826">
        <f t="shared" si="1773"/>
        <v>0</v>
      </c>
      <c r="AH1420" s="1826">
        <f t="shared" si="1773"/>
        <v>0</v>
      </c>
      <c r="AI1420" s="1826">
        <f t="shared" si="1773"/>
        <v>0</v>
      </c>
      <c r="AJ1420" s="1826">
        <f t="shared" si="1773"/>
        <v>0</v>
      </c>
      <c r="AK1420" s="1826">
        <f t="shared" si="1773"/>
        <v>0</v>
      </c>
      <c r="AL1420" s="1826">
        <f t="shared" si="1773"/>
        <v>0</v>
      </c>
      <c r="AM1420" s="1826">
        <f t="shared" si="1773"/>
        <v>0</v>
      </c>
      <c r="AN1420" s="1826">
        <f t="shared" si="1773"/>
        <v>0</v>
      </c>
      <c r="AO1420" s="1826">
        <f t="shared" si="1773"/>
        <v>0</v>
      </c>
      <c r="AP1420" s="1826">
        <f t="shared" ref="AP1420:AT1420" si="1774">AP1333/AP$402</f>
        <v>0</v>
      </c>
      <c r="AQ1420" s="1826">
        <f t="shared" si="1774"/>
        <v>0</v>
      </c>
      <c r="AR1420" s="1826">
        <f t="shared" si="1774"/>
        <v>0</v>
      </c>
      <c r="AS1420" s="1826">
        <f t="shared" si="1774"/>
        <v>0</v>
      </c>
      <c r="AT1420" s="1826">
        <f t="shared" si="1774"/>
        <v>0</v>
      </c>
    </row>
    <row r="1421" spans="1:46" ht="16" thickBot="1">
      <c r="A1421" s="1"/>
      <c r="B1421" s="1"/>
      <c r="C1421" s="1"/>
      <c r="D1421" s="525" t="s">
        <v>595</v>
      </c>
      <c r="E1421" s="530"/>
      <c r="F1421" s="530"/>
      <c r="G1421" s="530"/>
      <c r="H1421" s="530"/>
      <c r="I1421" s="530"/>
      <c r="J1421" s="530"/>
      <c r="K1421" s="530"/>
      <c r="L1421" s="530"/>
      <c r="M1421" s="530"/>
      <c r="N1421" s="530"/>
      <c r="O1421" s="530"/>
      <c r="P1421" s="530"/>
      <c r="Q1421" s="530"/>
      <c r="R1421" s="530"/>
      <c r="S1421" s="530"/>
      <c r="T1421" s="530"/>
      <c r="U1421" s="530"/>
      <c r="V1421" s="1631">
        <f t="shared" ref="V1421:AD1421" si="1775">V1334/V$402</f>
        <v>5.7263202511773942E-2</v>
      </c>
      <c r="W1421" s="1631">
        <f t="shared" si="1775"/>
        <v>5.2338983050847457E-2</v>
      </c>
      <c r="X1421" s="1631">
        <f t="shared" si="1775"/>
        <v>4.9374826413406687E-2</v>
      </c>
      <c r="Y1421" s="1631">
        <f t="shared" si="1775"/>
        <v>5.1227886164324526E-2</v>
      </c>
      <c r="Z1421" s="1631">
        <f t="shared" si="1775"/>
        <v>5.070386219799615E-2</v>
      </c>
      <c r="AA1421" s="1631">
        <f t="shared" si="1775"/>
        <v>5.2748751364718453E-2</v>
      </c>
      <c r="AB1421" s="1631">
        <f t="shared" si="1775"/>
        <v>4.1486938267210394E-2</v>
      </c>
      <c r="AC1421" s="1631">
        <f t="shared" si="1775"/>
        <v>4.2628275281437124E-2</v>
      </c>
      <c r="AD1421" s="1631">
        <f t="shared" si="1775"/>
        <v>5.3529934581784816E-2</v>
      </c>
      <c r="AE1421" s="1631">
        <f t="shared" ref="AE1421:AO1421" si="1776">AE1334/AE$402</f>
        <v>5.170456329863627E-2</v>
      </c>
      <c r="AF1421" s="1631">
        <f t="shared" si="1776"/>
        <v>5.5451075365008276E-2</v>
      </c>
      <c r="AG1421" s="1631">
        <f t="shared" si="1776"/>
        <v>6.7050288301466907E-2</v>
      </c>
      <c r="AH1421" s="1631">
        <f t="shared" si="1776"/>
        <v>4.8849228904287695E-2</v>
      </c>
      <c r="AI1421" s="1631">
        <f t="shared" si="1776"/>
        <v>3.7031559693638361E-2</v>
      </c>
      <c r="AJ1421" s="1631">
        <f t="shared" si="1776"/>
        <v>3.3270109630878369E-2</v>
      </c>
      <c r="AK1421" s="1631">
        <f t="shared" si="1776"/>
        <v>2.9653538222189812E-2</v>
      </c>
      <c r="AL1421" s="1631">
        <f t="shared" si="1776"/>
        <v>3.7517917216453638E-2</v>
      </c>
      <c r="AM1421" s="1631">
        <f t="shared" si="1776"/>
        <v>4.2707809545701574E-2</v>
      </c>
      <c r="AN1421" s="1631">
        <f t="shared" si="1776"/>
        <v>4.5277010923571129E-2</v>
      </c>
      <c r="AO1421" s="1631">
        <f t="shared" si="1776"/>
        <v>4.5890127041355949E-2</v>
      </c>
      <c r="AP1421" s="1631">
        <f t="shared" ref="AP1421:AT1421" si="1777">AP1334/AP$402</f>
        <v>4.5880695467374534E-2</v>
      </c>
      <c r="AQ1421" s="1631">
        <f t="shared" si="1777"/>
        <v>6.0283664136137262E-2</v>
      </c>
      <c r="AR1421" s="1631">
        <f t="shared" si="1777"/>
        <v>7.7331230750177296E-2</v>
      </c>
      <c r="AS1421" s="1631">
        <f t="shared" si="1777"/>
        <v>-0.52325918474922939</v>
      </c>
      <c r="AT1421" s="1631">
        <f t="shared" si="1777"/>
        <v>-0.52325918474922939</v>
      </c>
    </row>
    <row r="1422" spans="1:46" ht="16" thickBot="1">
      <c r="A1422" s="1"/>
      <c r="B1422" s="1"/>
      <c r="C1422" s="1"/>
      <c r="D1422" s="1816" t="str">
        <f>D1335</f>
        <v>of which: Covid-19 spending</v>
      </c>
      <c r="E1422" s="530"/>
      <c r="F1422" s="530"/>
      <c r="G1422" s="530"/>
      <c r="H1422" s="530"/>
      <c r="I1422" s="530"/>
      <c r="J1422" s="530"/>
      <c r="K1422" s="530"/>
      <c r="L1422" s="530"/>
      <c r="M1422" s="530"/>
      <c r="N1422" s="530"/>
      <c r="O1422" s="530"/>
      <c r="P1422" s="530"/>
      <c r="Q1422" s="530"/>
      <c r="R1422" s="530"/>
      <c r="S1422" s="530"/>
      <c r="T1422" s="530"/>
      <c r="U1422" s="530"/>
      <c r="V1422" s="1631"/>
      <c r="W1422" s="1631"/>
      <c r="X1422" s="1631"/>
      <c r="Y1422" s="1631"/>
      <c r="Z1422" s="1631"/>
      <c r="AA1422" s="1631"/>
      <c r="AB1422" s="1631"/>
      <c r="AC1422" s="1631"/>
      <c r="AD1422" s="1631"/>
      <c r="AE1422" s="1819">
        <f t="shared" ref="AE1422:AO1422" si="1778">AE1335/AE$402</f>
        <v>2.9192414233965478E-3</v>
      </c>
      <c r="AF1422" s="1820">
        <f t="shared" si="1778"/>
        <v>0</v>
      </c>
      <c r="AG1422" s="1820">
        <f t="shared" si="1778"/>
        <v>0</v>
      </c>
      <c r="AH1422" s="1820">
        <f t="shared" si="1778"/>
        <v>0</v>
      </c>
      <c r="AI1422" s="1820">
        <f t="shared" si="1778"/>
        <v>0</v>
      </c>
      <c r="AJ1422" s="1820">
        <f t="shared" si="1778"/>
        <v>0</v>
      </c>
      <c r="AK1422" s="1820">
        <f t="shared" si="1778"/>
        <v>0</v>
      </c>
      <c r="AL1422" s="1820">
        <f t="shared" si="1778"/>
        <v>0</v>
      </c>
      <c r="AM1422" s="1820">
        <f t="shared" si="1778"/>
        <v>0</v>
      </c>
      <c r="AN1422" s="1820">
        <f t="shared" si="1778"/>
        <v>0</v>
      </c>
      <c r="AO1422" s="1820">
        <f t="shared" si="1778"/>
        <v>0</v>
      </c>
      <c r="AP1422" s="1820">
        <f t="shared" ref="AP1422:AT1422" si="1779">AP1335/AP$402</f>
        <v>0</v>
      </c>
      <c r="AQ1422" s="1820">
        <f t="shared" si="1779"/>
        <v>0</v>
      </c>
      <c r="AR1422" s="1820">
        <f t="shared" si="1779"/>
        <v>0</v>
      </c>
      <c r="AS1422" s="1820">
        <f t="shared" si="1779"/>
        <v>0</v>
      </c>
      <c r="AT1422" s="1820">
        <f t="shared" si="1779"/>
        <v>0</v>
      </c>
    </row>
    <row r="1423" spans="1:46">
      <c r="A1423" s="1"/>
      <c r="B1423" s="1"/>
      <c r="C1423" s="1"/>
      <c r="D1423" s="1674" t="s">
        <v>3104</v>
      </c>
      <c r="E1423" s="1675"/>
      <c r="F1423" s="1675"/>
      <c r="G1423" s="1675"/>
      <c r="H1423" s="1675"/>
      <c r="I1423" s="1675"/>
      <c r="J1423" s="1675"/>
      <c r="K1423" s="1675"/>
      <c r="L1423" s="1675"/>
      <c r="M1423" s="1675"/>
      <c r="N1423" s="1675"/>
      <c r="O1423" s="1675"/>
      <c r="P1423" s="1675"/>
      <c r="Q1423" s="1675"/>
      <c r="R1423" s="1675"/>
      <c r="S1423" s="1675"/>
      <c r="T1423" s="1675"/>
      <c r="U1423" s="1675"/>
      <c r="V1423" s="1666">
        <f>V1336/V$402</f>
        <v>0</v>
      </c>
      <c r="W1423" s="1666"/>
      <c r="X1423" s="1666"/>
      <c r="Y1423" s="1666"/>
      <c r="Z1423" s="1666"/>
      <c r="AA1423" s="1666"/>
      <c r="AB1423" s="1666"/>
      <c r="AC1423" s="1666"/>
      <c r="AD1423" s="1666"/>
      <c r="AE1423" s="1666"/>
      <c r="AF1423" s="1666"/>
      <c r="AG1423" s="1666"/>
      <c r="AH1423" s="1666"/>
      <c r="AI1423" s="1666"/>
      <c r="AJ1423" s="1666"/>
      <c r="AK1423" s="1666"/>
      <c r="AL1423" s="1666"/>
      <c r="AM1423" s="1666"/>
      <c r="AN1423" s="1666"/>
      <c r="AO1423" s="1666"/>
      <c r="AP1423" s="1666"/>
      <c r="AQ1423" s="1666"/>
      <c r="AR1423" s="1666"/>
      <c r="AS1423" s="1666"/>
      <c r="AT1423" s="1666"/>
    </row>
    <row r="1424" spans="1:46">
      <c r="A1424" s="1"/>
      <c r="B1424" s="1"/>
      <c r="C1424" s="1"/>
      <c r="D1424" s="1676" t="s">
        <v>592</v>
      </c>
      <c r="E1424" s="530"/>
      <c r="F1424" s="530"/>
      <c r="G1424" s="530"/>
      <c r="H1424" s="530"/>
      <c r="I1424" s="530"/>
      <c r="J1424" s="530"/>
      <c r="K1424" s="530"/>
      <c r="L1424" s="530"/>
      <c r="M1424" s="530"/>
      <c r="N1424" s="530"/>
      <c r="O1424" s="530"/>
      <c r="P1424" s="530"/>
      <c r="Q1424" s="530"/>
      <c r="R1424" s="530"/>
      <c r="S1424" s="530"/>
      <c r="T1424" s="530"/>
      <c r="U1424" s="530"/>
      <c r="V1424" s="526">
        <f>V1337/V$402</f>
        <v>-8.747511778257458E-2</v>
      </c>
      <c r="W1424" s="526">
        <f t="shared" ref="W1424:AL1424" si="1780">W1337/W$402</f>
        <v>-7.9435028248587572E-2</v>
      </c>
      <c r="X1424" s="1631">
        <f t="shared" si="1780"/>
        <v>-8.7855275957008996E-2</v>
      </c>
      <c r="Y1424" s="1631">
        <f t="shared" si="1780"/>
        <v>-3.8907463262628679E-2</v>
      </c>
      <c r="Z1424" s="1631">
        <f t="shared" si="1780"/>
        <v>-3.5066231576560067E-2</v>
      </c>
      <c r="AA1424" s="1631">
        <f t="shared" si="1780"/>
        <v>-3.3986970449752386E-2</v>
      </c>
      <c r="AB1424" s="1631">
        <f t="shared" si="1780"/>
        <v>-4.3483714849942935E-2</v>
      </c>
      <c r="AC1424" s="1631">
        <f t="shared" si="1780"/>
        <v>-3.7085632911178126E-2</v>
      </c>
      <c r="AD1424" s="1631">
        <f t="shared" si="1780"/>
        <v>-5.9246867064767957E-2</v>
      </c>
      <c r="AE1424" s="1631">
        <f t="shared" si="1780"/>
        <v>-7.7896795943998773E-2</v>
      </c>
      <c r="AF1424" s="1631">
        <f t="shared" si="1780"/>
        <v>-7.5070994867347529E-2</v>
      </c>
      <c r="AG1424" s="1631">
        <f t="shared" si="1780"/>
        <v>-7.9921350956702261E-2</v>
      </c>
      <c r="AH1424" s="1631">
        <f t="shared" si="1780"/>
        <v>-6.3799075517985929E-2</v>
      </c>
      <c r="AI1424" s="1631">
        <f t="shared" si="1780"/>
        <v>-6.2929234243919066E-2</v>
      </c>
      <c r="AJ1424" s="1631">
        <f t="shared" si="1780"/>
        <v>-4.685936714067953E-2</v>
      </c>
      <c r="AK1424" s="1631">
        <f t="shared" si="1780"/>
        <v>-4.0200820387683599E-2</v>
      </c>
      <c r="AL1424" s="1631">
        <f t="shared" si="1780"/>
        <v>-3.0419800630552891E-2</v>
      </c>
      <c r="AM1424" s="1631">
        <f>AM1337/AM$402</f>
        <v>-3.0863601798847045E-2</v>
      </c>
      <c r="AN1424" s="1631">
        <f t="shared" ref="AN1424" si="1781">AN1337/AN$402</f>
        <v>-2.9581836969138561E-2</v>
      </c>
      <c r="AO1424" s="1631">
        <f>AO1337/AO$402</f>
        <v>-3.0555851943437434E-2</v>
      </c>
      <c r="AP1424" s="1631">
        <f t="shared" ref="AP1424:AT1424" si="1782">AP1337/AP$402</f>
        <v>-3.2458655208975368E-2</v>
      </c>
      <c r="AQ1424" s="1631">
        <f t="shared" si="1782"/>
        <v>-2.9590354037239853E-2</v>
      </c>
      <c r="AR1424" s="1631">
        <f t="shared" si="1782"/>
        <v>-2.9759134321051022E-2</v>
      </c>
      <c r="AS1424" s="1631">
        <f t="shared" si="1782"/>
        <v>-1.1617329788765942</v>
      </c>
      <c r="AT1424" s="1631">
        <f t="shared" si="1782"/>
        <v>-2.7786939110122471</v>
      </c>
    </row>
    <row r="1425" spans="1:49">
      <c r="A1425" s="1"/>
      <c r="B1425" s="1"/>
      <c r="C1425" s="1"/>
      <c r="D1425" s="1676" t="s">
        <v>593</v>
      </c>
      <c r="E1425" s="530"/>
      <c r="F1425" s="530"/>
      <c r="G1425" s="530"/>
      <c r="H1425" s="530"/>
      <c r="I1425" s="530"/>
      <c r="J1425" s="530"/>
      <c r="K1425" s="530"/>
      <c r="L1425" s="530"/>
      <c r="M1425" s="530"/>
      <c r="N1425" s="530"/>
      <c r="O1425" s="530"/>
      <c r="P1425" s="530"/>
      <c r="Q1425" s="530"/>
      <c r="R1425" s="530"/>
      <c r="S1425" s="530"/>
      <c r="T1425" s="530"/>
      <c r="U1425" s="530"/>
      <c r="V1425" s="526">
        <f>V1338/V$402</f>
        <v>-0.18664460230245947</v>
      </c>
      <c r="W1425" s="526">
        <f t="shared" ref="W1425:AL1425" si="1783">W1338/W$402</f>
        <v>-0.18280225988700566</v>
      </c>
      <c r="X1425" s="1631">
        <f t="shared" si="1783"/>
        <v>-0.16220327921699271</v>
      </c>
      <c r="Y1425" s="1631">
        <f t="shared" si="1783"/>
        <v>-0.1277807361167827</v>
      </c>
      <c r="Z1425" s="1631">
        <f t="shared" si="1783"/>
        <v>-0.10634770664002187</v>
      </c>
      <c r="AA1425" s="1631">
        <f t="shared" si="1783"/>
        <v>-9.1016362452430444E-2</v>
      </c>
      <c r="AB1425" s="1631">
        <f t="shared" si="1783"/>
        <v>-8.9126800825408595E-2</v>
      </c>
      <c r="AC1425" s="1631">
        <f t="shared" si="1783"/>
        <v>-8.1859669446695899E-2</v>
      </c>
      <c r="AD1425" s="1631">
        <f t="shared" si="1783"/>
        <v>-0.10452675440776128</v>
      </c>
      <c r="AE1425" s="1631">
        <f t="shared" si="1783"/>
        <v>-0.12451499375391434</v>
      </c>
      <c r="AF1425" s="1631">
        <f t="shared" si="1783"/>
        <v>-0.13018311404883734</v>
      </c>
      <c r="AG1425" s="1631">
        <f t="shared" si="1783"/>
        <v>-0.14861482982203661</v>
      </c>
      <c r="AH1425" s="1631">
        <f t="shared" si="1783"/>
        <v>-0.11031710872411711</v>
      </c>
      <c r="AI1425" s="1631">
        <f t="shared" si="1783"/>
        <v>-0.10562892486946884</v>
      </c>
      <c r="AJ1425" s="1631">
        <f t="shared" si="1783"/>
        <v>-7.8095187639068572E-2</v>
      </c>
      <c r="AK1425" s="1631">
        <f>AK1338/AK$402</f>
        <v>-6.6034162793712256E-2</v>
      </c>
      <c r="AL1425" s="1631">
        <f t="shared" si="1783"/>
        <v>-5.6241498233846353E-2</v>
      </c>
      <c r="AM1425" s="1631">
        <f>AM1338/AM$402</f>
        <v>-5.657232539245062E-2</v>
      </c>
      <c r="AN1425" s="1631">
        <f t="shared" ref="AN1425:AO1425" si="1784">AN1338/AN$402</f>
        <v>-5.4148503165415592E-2</v>
      </c>
      <c r="AO1425" s="1631">
        <f t="shared" si="1784"/>
        <v>-5.4366069484275713E-2</v>
      </c>
      <c r="AP1425" s="1631">
        <f t="shared" ref="AP1425:AT1425" si="1785">AP1338/AP$402</f>
        <v>-4.1667516555315282E-2</v>
      </c>
      <c r="AQ1425" s="1631">
        <f t="shared" si="1785"/>
        <v>-3.8961257510324226E-2</v>
      </c>
      <c r="AR1425" s="1631">
        <f t="shared" si="1785"/>
        <v>-3.8250886306759019E-2</v>
      </c>
      <c r="AS1425" s="1631">
        <f t="shared" si="1785"/>
        <v>-1.1956625220928527</v>
      </c>
      <c r="AT1425" s="1631">
        <f t="shared" si="1785"/>
        <v>-2.8141995824340538</v>
      </c>
    </row>
    <row r="1426" spans="1:49">
      <c r="A1426" s="1"/>
      <c r="B1426" s="1"/>
      <c r="C1426" s="1"/>
      <c r="D1426" s="1700" t="s">
        <v>3104</v>
      </c>
      <c r="E1426" s="1140"/>
      <c r="F1426" s="1140"/>
      <c r="G1426" s="1140"/>
      <c r="H1426" s="1140"/>
      <c r="I1426" s="1140"/>
      <c r="J1426" s="1140"/>
      <c r="K1426" s="1140"/>
      <c r="L1426" s="1140"/>
      <c r="M1426" s="1140"/>
      <c r="N1426" s="1140"/>
      <c r="O1426" s="1140"/>
      <c r="P1426" s="1140"/>
      <c r="Q1426" s="1140"/>
      <c r="R1426" s="1140"/>
      <c r="S1426" s="1140"/>
      <c r="T1426" s="1140"/>
      <c r="U1426" s="1140"/>
      <c r="V1426" s="1683"/>
      <c r="W1426" s="1683"/>
      <c r="X1426" s="1683"/>
      <c r="Y1426" s="1683"/>
      <c r="Z1426" s="1683"/>
      <c r="AA1426" s="1683"/>
      <c r="AB1426" s="1683"/>
      <c r="AC1426" s="1683"/>
      <c r="AD1426" s="1683"/>
      <c r="AE1426" s="1683"/>
      <c r="AF1426" s="1683"/>
      <c r="AG1426" s="1683"/>
      <c r="AH1426" s="1683"/>
      <c r="AI1426" s="1683"/>
      <c r="AJ1426" s="1683"/>
      <c r="AK1426" s="1683"/>
      <c r="AL1426" s="1683"/>
      <c r="AM1426" s="1683"/>
      <c r="AN1426" s="1683"/>
      <c r="AO1426" s="1683"/>
      <c r="AP1426" s="1683"/>
      <c r="AQ1426" s="1683"/>
      <c r="AR1426" s="1683"/>
      <c r="AS1426" s="1683"/>
      <c r="AT1426" s="1683"/>
    </row>
    <row r="1427" spans="1:49">
      <c r="A1427" s="1"/>
      <c r="B1427" s="1"/>
      <c r="C1427" s="1"/>
      <c r="D1427" s="1682" t="s">
        <v>3225</v>
      </c>
      <c r="E1427" s="1140"/>
      <c r="F1427" s="1140"/>
      <c r="G1427" s="1140"/>
      <c r="H1427" s="1140"/>
      <c r="I1427" s="1140"/>
      <c r="J1427" s="1140"/>
      <c r="K1427" s="1140"/>
      <c r="L1427" s="1140"/>
      <c r="M1427" s="1140"/>
      <c r="N1427" s="1140"/>
      <c r="O1427" s="1140"/>
      <c r="P1427" s="1140"/>
      <c r="Q1427" s="1140"/>
      <c r="R1427" s="1140"/>
      <c r="S1427" s="1140"/>
      <c r="T1427" s="1140"/>
      <c r="U1427" s="1140"/>
      <c r="V1427" s="1683"/>
      <c r="W1427" s="1683"/>
      <c r="X1427" s="1683">
        <f t="shared" ref="X1427:AL1427" si="1786">X1340/X$402</f>
        <v>0</v>
      </c>
      <c r="Y1427" s="1683">
        <f t="shared" si="1786"/>
        <v>0</v>
      </c>
      <c r="Z1427" s="1683">
        <f t="shared" si="1786"/>
        <v>0</v>
      </c>
      <c r="AA1427" s="1683">
        <f t="shared" si="1786"/>
        <v>0</v>
      </c>
      <c r="AB1427" s="1683">
        <f t="shared" si="1786"/>
        <v>-6.1733416583790057E-2</v>
      </c>
      <c r="AC1427" s="1683">
        <f t="shared" si="1786"/>
        <v>-5.3059011816402046E-2</v>
      </c>
      <c r="AD1427" s="1683">
        <f t="shared" si="1786"/>
        <v>-5.8492944341928373E-2</v>
      </c>
      <c r="AE1427" s="1683">
        <f t="shared" si="1786"/>
        <v>-7.582593188997204E-2</v>
      </c>
      <c r="AF1427" s="1683">
        <f t="shared" si="1786"/>
        <v>-7.6508356580706247E-2</v>
      </c>
      <c r="AG1427" s="1683">
        <f t="shared" si="1786"/>
        <v>-7.3388593348997402E-2</v>
      </c>
      <c r="AH1427" s="1683">
        <f t="shared" si="1786"/>
        <v>-6.1458034902395056E-2</v>
      </c>
      <c r="AI1427" s="1683">
        <f t="shared" si="1786"/>
        <v>-6.0950544666244021E-2</v>
      </c>
      <c r="AJ1427" s="1683">
        <f t="shared" si="1786"/>
        <v>-4.5063907716796373E-2</v>
      </c>
      <c r="AK1427" s="1683">
        <f t="shared" si="1786"/>
        <v>-3.870128553349024E-2</v>
      </c>
      <c r="AL1427" s="1683">
        <f t="shared" si="1786"/>
        <v>-2.9094761571628987E-2</v>
      </c>
      <c r="AM1427" s="1683">
        <f>AM1340/AM$402</f>
        <v>-2.9583274311090497E-2</v>
      </c>
      <c r="AN1427" s="1683">
        <f t="shared" ref="AN1427:AO1427" si="1787">AN1340/AN$402</f>
        <v>-2.8271865505309766E-2</v>
      </c>
      <c r="AO1427" s="1683">
        <f t="shared" si="1787"/>
        <v>-2.9245314697862332E-2</v>
      </c>
      <c r="AP1427" s="1683">
        <f t="shared" ref="AP1427:AT1427" si="1788">AP1340/AP$402</f>
        <v>-2.8495979281065311E-2</v>
      </c>
      <c r="AQ1427" s="1683">
        <f t="shared" si="1788"/>
        <v>-2.5666193802068835E-2</v>
      </c>
      <c r="AR1427" s="1683">
        <f t="shared" si="1788"/>
        <v>-2.615475031676923E-2</v>
      </c>
      <c r="AS1427" s="1683">
        <f t="shared" si="1788"/>
        <v>-1.147428645908005</v>
      </c>
      <c r="AT1427" s="1683">
        <f t="shared" si="1788"/>
        <v>-2.7636743613952284</v>
      </c>
    </row>
    <row r="1428" spans="1:49">
      <c r="A1428" s="1"/>
      <c r="B1428" s="1"/>
      <c r="C1428" s="1"/>
      <c r="D1428" s="1682" t="s">
        <v>3246</v>
      </c>
      <c r="E1428" s="1140"/>
      <c r="F1428" s="1140"/>
      <c r="G1428" s="1140"/>
      <c r="H1428" s="1140"/>
      <c r="I1428" s="1140"/>
      <c r="J1428" s="1140"/>
      <c r="K1428" s="1140"/>
      <c r="L1428" s="1140"/>
      <c r="M1428" s="1140"/>
      <c r="N1428" s="1140"/>
      <c r="O1428" s="1140"/>
      <c r="P1428" s="1140"/>
      <c r="Q1428" s="1140"/>
      <c r="R1428" s="1140"/>
      <c r="S1428" s="1140"/>
      <c r="T1428" s="1140"/>
      <c r="U1428" s="1140"/>
      <c r="V1428" s="1683"/>
      <c r="W1428" s="1683"/>
      <c r="X1428" s="1683">
        <f t="shared" ref="X1428:AL1428" si="1789">X1341/X$402</f>
        <v>0</v>
      </c>
      <c r="Y1428" s="1683">
        <f t="shared" si="1789"/>
        <v>0</v>
      </c>
      <c r="Z1428" s="1683">
        <f t="shared" si="1789"/>
        <v>0</v>
      </c>
      <c r="AA1428" s="1683">
        <f t="shared" si="1789"/>
        <v>0</v>
      </c>
      <c r="AB1428" s="1683">
        <f t="shared" si="1789"/>
        <v>-3.9163836497717347E-2</v>
      </c>
      <c r="AC1428" s="1683">
        <f t="shared" si="1789"/>
        <v>-3.1626551074850781E-2</v>
      </c>
      <c r="AD1428" s="1683">
        <f t="shared" si="1789"/>
        <v>-5.3548958064521757E-2</v>
      </c>
      <c r="AE1428" s="1683">
        <f t="shared" si="1789"/>
        <v>-5.7576981672611667E-2</v>
      </c>
      <c r="AF1428" s="1683">
        <f t="shared" si="1789"/>
        <v>-7.0275836183376406E-2</v>
      </c>
      <c r="AG1428" s="1683">
        <f t="shared" si="1789"/>
        <v>-6.4157109526931683E-2</v>
      </c>
      <c r="AH1428" s="1683">
        <f t="shared" si="1789"/>
        <v>-6.3799075517985929E-2</v>
      </c>
      <c r="AI1428" s="1683">
        <f t="shared" si="1789"/>
        <v>-6.2861617181880464E-2</v>
      </c>
      <c r="AJ1428" s="1683">
        <f t="shared" si="1789"/>
        <v>-4.6492780371686984E-2</v>
      </c>
      <c r="AK1428" s="1683">
        <f t="shared" si="1789"/>
        <v>-4.0200820387683599E-2</v>
      </c>
      <c r="AL1428" s="1683">
        <f t="shared" si="1789"/>
        <v>-3.0419800630552891E-2</v>
      </c>
      <c r="AM1428" s="1683">
        <f>AM1341/AM$402</f>
        <v>-3.0863601798847045E-2</v>
      </c>
      <c r="AN1428" s="1683">
        <f t="shared" ref="AN1428:AO1428" si="1790">AN1341/AN$402</f>
        <v>-2.9581836969138561E-2</v>
      </c>
      <c r="AO1428" s="1683">
        <f t="shared" si="1790"/>
        <v>-3.0555851943437434E-2</v>
      </c>
      <c r="AP1428" s="1683">
        <f t="shared" ref="AP1428:AT1428" si="1791">AP1341/AP$402</f>
        <v>-3.2458655208975368E-2</v>
      </c>
      <c r="AQ1428" s="1683">
        <f t="shared" si="1791"/>
        <v>-2.9590354037239853E-2</v>
      </c>
      <c r="AR1428" s="1683">
        <f t="shared" si="1791"/>
        <v>-2.9759134321051022E-2</v>
      </c>
      <c r="AS1428" s="1683">
        <f t="shared" si="1791"/>
        <v>-1.1617329788765942</v>
      </c>
      <c r="AT1428" s="1683">
        <f t="shared" si="1791"/>
        <v>-2.7786939110122471</v>
      </c>
    </row>
    <row r="1429" spans="1:49">
      <c r="A1429" s="1"/>
      <c r="B1429" s="1"/>
      <c r="C1429" s="1"/>
      <c r="D1429" s="1682" t="s">
        <v>3247</v>
      </c>
      <c r="E1429" s="1140"/>
      <c r="F1429" s="1140"/>
      <c r="G1429" s="1140"/>
      <c r="H1429" s="1140"/>
      <c r="I1429" s="1140"/>
      <c r="J1429" s="1140"/>
      <c r="K1429" s="1140"/>
      <c r="L1429" s="1140"/>
      <c r="M1429" s="1140"/>
      <c r="N1429" s="1140"/>
      <c r="O1429" s="1140"/>
      <c r="P1429" s="1140"/>
      <c r="Q1429" s="1140"/>
      <c r="R1429" s="1140"/>
      <c r="S1429" s="1140"/>
      <c r="T1429" s="1140"/>
      <c r="U1429" s="1140"/>
      <c r="V1429" s="1683"/>
      <c r="W1429" s="1683"/>
      <c r="X1429" s="1683">
        <f t="shared" ref="X1429:AL1429" si="1792">X1342/X$402</f>
        <v>0</v>
      </c>
      <c r="Y1429" s="1683">
        <f t="shared" si="1792"/>
        <v>0</v>
      </c>
      <c r="Z1429" s="1683">
        <f t="shared" si="1792"/>
        <v>0</v>
      </c>
      <c r="AA1429" s="1683">
        <f t="shared" si="1792"/>
        <v>0</v>
      </c>
      <c r="AB1429" s="1683">
        <f t="shared" si="1792"/>
        <v>-4.3483714849942949E-2</v>
      </c>
      <c r="AC1429" s="1683">
        <f t="shared" si="1792"/>
        <v>-3.7085632911178126E-2</v>
      </c>
      <c r="AD1429" s="1683">
        <f t="shared" si="1792"/>
        <v>-5.9246867064767957E-2</v>
      </c>
      <c r="AE1429" s="1683">
        <f t="shared" si="1792"/>
        <v>-7.8975901433532184E-2</v>
      </c>
      <c r="AF1429" s="1683">
        <f t="shared" si="1792"/>
        <v>-6.5694397559003651E-2</v>
      </c>
      <c r="AG1429" s="1683">
        <f t="shared" si="1792"/>
        <v>-5.8897624482424256E-2</v>
      </c>
      <c r="AH1429" s="1683">
        <f t="shared" si="1792"/>
        <v>-6.0118087768723613E-2</v>
      </c>
      <c r="AI1429" s="1683">
        <f t="shared" si="1792"/>
        <v>-6.0320342600261041E-2</v>
      </c>
      <c r="AJ1429" s="1683">
        <f t="shared" si="1792"/>
        <v>-4.4679725689504277E-2</v>
      </c>
      <c r="AK1429" s="1683">
        <f t="shared" si="1792"/>
        <v>-3.9106381702195991E-2</v>
      </c>
      <c r="AL1429" s="1683">
        <f t="shared" si="1792"/>
        <v>-3.0419800630552891E-2</v>
      </c>
      <c r="AM1429" s="1683">
        <f>AM1342/AM$402</f>
        <v>-3.0863601798847045E-2</v>
      </c>
      <c r="AN1429" s="1683">
        <f t="shared" ref="AN1429:AO1429" si="1793">AN1342/AN$402</f>
        <v>-2.9581836969138561E-2</v>
      </c>
      <c r="AO1429" s="1683">
        <f t="shared" si="1793"/>
        <v>-3.0555851943437434E-2</v>
      </c>
      <c r="AP1429" s="1683">
        <f t="shared" ref="AP1429:AT1429" si="1794">AP1342/AP$402</f>
        <v>-3.2458655208975368E-2</v>
      </c>
      <c r="AQ1429" s="1683">
        <f t="shared" si="1794"/>
        <v>-2.9590354037239853E-2</v>
      </c>
      <c r="AR1429" s="1683">
        <f t="shared" si="1794"/>
        <v>-2.9759134321051022E-2</v>
      </c>
      <c r="AS1429" s="1683">
        <f t="shared" si="1794"/>
        <v>-1.1617329788765942</v>
      </c>
      <c r="AT1429" s="1683">
        <f t="shared" si="1794"/>
        <v>-2.7786939110122471</v>
      </c>
    </row>
    <row r="1430" spans="1:49">
      <c r="A1430" s="1"/>
      <c r="B1430" s="1"/>
      <c r="C1430" s="1"/>
      <c r="D1430" s="1682" t="s">
        <v>3226</v>
      </c>
      <c r="E1430" s="1140"/>
      <c r="F1430" s="1140"/>
      <c r="G1430" s="1140"/>
      <c r="H1430" s="1140"/>
      <c r="I1430" s="1140"/>
      <c r="J1430" s="1140"/>
      <c r="K1430" s="1140"/>
      <c r="L1430" s="1140"/>
      <c r="M1430" s="1140"/>
      <c r="N1430" s="1140"/>
      <c r="O1430" s="1140"/>
      <c r="P1430" s="1140"/>
      <c r="Q1430" s="1140"/>
      <c r="R1430" s="1140"/>
      <c r="S1430" s="1140"/>
      <c r="T1430" s="1140"/>
      <c r="U1430" s="1140"/>
      <c r="V1430" s="1683"/>
      <c r="W1430" s="1683"/>
      <c r="X1430" s="1683">
        <f t="shared" ref="X1430:AL1430" si="1795">X1343/X$402</f>
        <v>0</v>
      </c>
      <c r="Y1430" s="1683">
        <f t="shared" si="1795"/>
        <v>0</v>
      </c>
      <c r="Z1430" s="1683">
        <f t="shared" si="1795"/>
        <v>0</v>
      </c>
      <c r="AA1430" s="1683">
        <f t="shared" si="1795"/>
        <v>0</v>
      </c>
      <c r="AB1430" s="1683">
        <f t="shared" si="1795"/>
        <v>-6.1733416583790057E-2</v>
      </c>
      <c r="AC1430" s="1683">
        <f t="shared" si="1795"/>
        <v>-5.3059011816402046E-2</v>
      </c>
      <c r="AD1430" s="1683">
        <f t="shared" si="1795"/>
        <v>-2.4506554973210446E-2</v>
      </c>
      <c r="AE1430" s="1683">
        <f t="shared" si="1795"/>
        <v>-1.9010611059446188E-2</v>
      </c>
      <c r="AF1430" s="1683">
        <f t="shared" si="1795"/>
        <v>-4.7648892187227537E-2</v>
      </c>
      <c r="AG1430" s="1683">
        <f t="shared" si="1795"/>
        <v>-4.9561533625019319E-2</v>
      </c>
      <c r="AH1430" s="1683">
        <f t="shared" si="1795"/>
        <v>-4.2302522084477163E-2</v>
      </c>
      <c r="AI1430" s="1683">
        <f t="shared" si="1795"/>
        <v>-3.7266245262399175E-2</v>
      </c>
      <c r="AJ1430" s="1683">
        <f t="shared" si="1795"/>
        <v>-2.373302337617901E-2</v>
      </c>
      <c r="AK1430" s="1683">
        <f t="shared" si="1795"/>
        <v>-2.1286828473630282E-2</v>
      </c>
      <c r="AL1430" s="1683">
        <f t="shared" si="1795"/>
        <v>-1.2572139665642232E-2</v>
      </c>
      <c r="AM1430" s="1683">
        <f>AM1343/AM$402</f>
        <v>-1.4119098141410154E-2</v>
      </c>
      <c r="AN1430" s="1683">
        <f t="shared" ref="AN1430:AO1430" si="1796">AN1343/AN$402</f>
        <v>-1.3889151342919376E-2</v>
      </c>
      <c r="AO1430" s="1683">
        <f t="shared" si="1796"/>
        <v>-1.60456988446127E-2</v>
      </c>
      <c r="AP1430" s="1683">
        <f t="shared" ref="AP1430:AT1430" si="1797">AP1343/AP$402</f>
        <v>-1.8041546396602694E-2</v>
      </c>
      <c r="AQ1430" s="1683">
        <f t="shared" si="1797"/>
        <v>-1.4296191069393843E-2</v>
      </c>
      <c r="AR1430" s="1683">
        <f t="shared" si="1797"/>
        <v>-1.5711278714619421E-2</v>
      </c>
      <c r="AS1430" s="1683">
        <f t="shared" si="1797"/>
        <v>-1.1059827580759389</v>
      </c>
      <c r="AT1430" s="1683">
        <f t="shared" si="1797"/>
        <v>-2.7201561791715592</v>
      </c>
    </row>
    <row r="1431" spans="1:49">
      <c r="A1431" s="1"/>
      <c r="B1431" s="1"/>
      <c r="C1431" s="1"/>
      <c r="D1431" s="1696" t="s">
        <v>3212</v>
      </c>
      <c r="E1431" s="579"/>
      <c r="F1431" s="579"/>
      <c r="G1431" s="579"/>
      <c r="H1431" s="579"/>
      <c r="I1431" s="579"/>
      <c r="J1431" s="579"/>
      <c r="K1431" s="579"/>
      <c r="L1431" s="579"/>
      <c r="M1431" s="579"/>
      <c r="N1431" s="579"/>
      <c r="O1431" s="579"/>
      <c r="P1431" s="579"/>
      <c r="Q1431" s="579"/>
      <c r="R1431" s="579"/>
      <c r="S1431" s="579"/>
      <c r="T1431" s="579"/>
      <c r="U1431" s="579"/>
      <c r="V1431" s="1711"/>
      <c r="W1431" s="1711"/>
      <c r="X1431" s="1711"/>
      <c r="Y1431" s="1711"/>
      <c r="Z1431" s="1711"/>
      <c r="AA1431" s="1711"/>
      <c r="AB1431" s="1711"/>
      <c r="AC1431" s="1711"/>
      <c r="AD1431" s="1711"/>
      <c r="AE1431" s="1711"/>
      <c r="AF1431" s="1711"/>
      <c r="AG1431" s="1711"/>
      <c r="AH1431" s="1711"/>
      <c r="AI1431" s="1711"/>
      <c r="AJ1431" s="1711"/>
      <c r="AK1431" s="1711"/>
      <c r="AL1431" s="1711"/>
      <c r="AM1431" s="1711"/>
      <c r="AN1431" s="1711"/>
      <c r="AO1431" s="1711"/>
      <c r="AP1431" s="1711"/>
      <c r="AQ1431" s="1711"/>
      <c r="AR1431" s="1711"/>
      <c r="AS1431" s="1711"/>
      <c r="AT1431" s="1711"/>
      <c r="AU1431" s="1746"/>
      <c r="AV1431" s="1746"/>
      <c r="AW1431" s="1746"/>
    </row>
    <row r="1432" spans="1:49">
      <c r="A1432" s="1"/>
      <c r="B1432" s="1"/>
      <c r="C1432" s="1"/>
      <c r="D1432" s="1715" t="s">
        <v>592</v>
      </c>
      <c r="E1432" s="579"/>
      <c r="F1432" s="579"/>
      <c r="G1432" s="579"/>
      <c r="H1432" s="579"/>
      <c r="I1432" s="579"/>
      <c r="J1432" s="579"/>
      <c r="K1432" s="579"/>
      <c r="L1432" s="579"/>
      <c r="M1432" s="579"/>
      <c r="N1432" s="579"/>
      <c r="O1432" s="579"/>
      <c r="P1432" s="579"/>
      <c r="Q1432" s="579"/>
      <c r="R1432" s="579"/>
      <c r="S1432" s="579"/>
      <c r="T1432" s="579"/>
      <c r="U1432" s="579"/>
      <c r="V1432" s="1711"/>
      <c r="W1432" s="1711"/>
      <c r="X1432" s="1711">
        <f t="shared" ref="X1432:AL1432" si="1798">X1345/X$402</f>
        <v>0</v>
      </c>
      <c r="Y1432" s="1711">
        <f t="shared" si="1798"/>
        <v>0</v>
      </c>
      <c r="Z1432" s="1711">
        <f t="shared" si="1798"/>
        <v>0</v>
      </c>
      <c r="AA1432" s="1711">
        <f t="shared" si="1798"/>
        <v>0</v>
      </c>
      <c r="AB1432" s="1711">
        <f t="shared" si="1798"/>
        <v>-4.7138419523705767E-2</v>
      </c>
      <c r="AC1432" s="1711">
        <f t="shared" si="1798"/>
        <v>-4.419768639458628E-2</v>
      </c>
      <c r="AD1432" s="1711">
        <f t="shared" si="1798"/>
        <v>-6.2684439642423359E-2</v>
      </c>
      <c r="AE1432" s="1711">
        <f t="shared" si="1798"/>
        <v>-8.893957923102197E-2</v>
      </c>
      <c r="AF1432" s="1711">
        <f t="shared" si="1798"/>
        <v>-8.6631228851477601E-2</v>
      </c>
      <c r="AG1432" s="1711">
        <f t="shared" si="1798"/>
        <v>-9.3001075491374721E-2</v>
      </c>
      <c r="AH1432" s="1711">
        <f t="shared" si="1798"/>
        <v>-7.3048644978974078E-2</v>
      </c>
      <c r="AI1432" s="1711">
        <f t="shared" si="1798"/>
        <v>-6.9206680816241206E-2</v>
      </c>
      <c r="AJ1432" s="1711">
        <f>AJ1345/AJ$402</f>
        <v>-5.4599674134787501E-2</v>
      </c>
      <c r="AK1432" s="1711">
        <f t="shared" si="1798"/>
        <v>-7.3772658047212281E-2</v>
      </c>
      <c r="AL1432" s="1711">
        <f t="shared" si="1798"/>
        <v>-5.4494468026848771E-2</v>
      </c>
      <c r="AM1432" s="1711">
        <f>AM1345/AM$402</f>
        <v>-3.5667715571960273E-2</v>
      </c>
      <c r="AN1432" s="1711">
        <f t="shared" ref="AN1432:AO1432" si="1799">AN1345/AN$402</f>
        <v>-3.2458930851082035E-2</v>
      </c>
      <c r="AO1432" s="1711">
        <f t="shared" si="1799"/>
        <v>-3.2341642218175579E-2</v>
      </c>
      <c r="AP1432" s="1711">
        <f t="shared" ref="AP1432:AT1432" si="1800">AP1345/AP$402</f>
        <v>-3.2458655208975368E-2</v>
      </c>
      <c r="AQ1432" s="1711">
        <f t="shared" si="1800"/>
        <v>-2.9590354037239853E-2</v>
      </c>
      <c r="AR1432" s="1711">
        <f t="shared" si="1800"/>
        <v>-2.9759134321051022E-2</v>
      </c>
      <c r="AS1432" s="1711">
        <f t="shared" si="1800"/>
        <v>-1.1617329788765942</v>
      </c>
      <c r="AT1432" s="1711">
        <f t="shared" si="1800"/>
        <v>-2.7786939110122471</v>
      </c>
      <c r="AU1432" s="1746"/>
      <c r="AV1432" s="1746"/>
      <c r="AW1432" s="1746"/>
    </row>
    <row r="1433" spans="1:49">
      <c r="A1433" s="1"/>
      <c r="B1433" s="1"/>
      <c r="C1433" s="1"/>
      <c r="D1433" s="1715" t="s">
        <v>593</v>
      </c>
      <c r="E1433" s="579"/>
      <c r="F1433" s="579"/>
      <c r="G1433" s="579"/>
      <c r="H1433" s="579"/>
      <c r="I1433" s="579"/>
      <c r="J1433" s="579"/>
      <c r="K1433" s="579"/>
      <c r="L1433" s="579"/>
      <c r="M1433" s="579"/>
      <c r="N1433" s="579"/>
      <c r="O1433" s="579"/>
      <c r="P1433" s="579"/>
      <c r="Q1433" s="579"/>
      <c r="R1433" s="579"/>
      <c r="S1433" s="579"/>
      <c r="T1433" s="579"/>
      <c r="U1433" s="579"/>
      <c r="V1433" s="1711"/>
      <c r="W1433" s="1711"/>
      <c r="X1433" s="1711">
        <f t="shared" ref="X1433:AT1433" si="1801">X1159/X$402</f>
        <v>-0.12253335256662594</v>
      </c>
      <c r="Y1433" s="1711">
        <f t="shared" si="1801"/>
        <v>-0.13265647331745722</v>
      </c>
      <c r="Z1433" s="1711">
        <f t="shared" si="1801"/>
        <v>-0.11726134890051886</v>
      </c>
      <c r="AA1433" s="1711">
        <f t="shared" si="1801"/>
        <v>-9.8699671115943383E-2</v>
      </c>
      <c r="AB1433" s="1711">
        <f t="shared" si="1801"/>
        <v>-9.2781505499171427E-2</v>
      </c>
      <c r="AC1433" s="1711">
        <f t="shared" si="1801"/>
        <v>-8.8971722930104052E-2</v>
      </c>
      <c r="AD1433" s="1711">
        <f t="shared" si="1801"/>
        <v>-0.10796432698541666</v>
      </c>
      <c r="AE1433" s="1711">
        <f t="shared" si="1801"/>
        <v>-0.13555777704093752</v>
      </c>
      <c r="AF1433" s="1711">
        <f t="shared" si="1801"/>
        <v>-0.14125961633089365</v>
      </c>
      <c r="AG1433" s="1711">
        <f t="shared" si="1801"/>
        <v>-0.16169455435670904</v>
      </c>
      <c r="AH1433" s="1711">
        <f t="shared" si="1801"/>
        <v>-0.11956667818510527</v>
      </c>
      <c r="AI1433" s="1711">
        <f t="shared" si="1801"/>
        <v>-0.11190637144179098</v>
      </c>
      <c r="AJ1433" s="1711">
        <f t="shared" si="1801"/>
        <v>-8.5835494633176551E-2</v>
      </c>
      <c r="AK1433" s="1711">
        <f t="shared" si="1801"/>
        <v>-9.9606000453240931E-2</v>
      </c>
      <c r="AL1433" s="1711">
        <f t="shared" si="1801"/>
        <v>-8.0316165630142225E-2</v>
      </c>
      <c r="AM1433" s="1711">
        <f t="shared" si="1801"/>
        <v>-6.1376439165563845E-2</v>
      </c>
      <c r="AN1433" s="1711">
        <f t="shared" si="1801"/>
        <v>-5.7025597047359065E-2</v>
      </c>
      <c r="AO1433" s="1711">
        <f t="shared" si="1801"/>
        <v>-5.6151859759013864E-2</v>
      </c>
      <c r="AP1433" s="1711">
        <f t="shared" si="1801"/>
        <v>-4.1667516555315282E-2</v>
      </c>
      <c r="AQ1433" s="1711">
        <f t="shared" si="1801"/>
        <v>-3.8961257510324226E-2</v>
      </c>
      <c r="AR1433" s="1711">
        <f t="shared" si="1801"/>
        <v>-3.8250886306759019E-2</v>
      </c>
      <c r="AS1433" s="1711">
        <f t="shared" si="1801"/>
        <v>-1.1956625220928527</v>
      </c>
      <c r="AT1433" s="1711">
        <f t="shared" si="1801"/>
        <v>-2.8141995824340538</v>
      </c>
      <c r="AU1433" s="1746"/>
      <c r="AV1433" s="1746"/>
      <c r="AW1433" s="1746"/>
    </row>
    <row r="1434" spans="1:49">
      <c r="A1434" s="1"/>
      <c r="B1434" s="1"/>
      <c r="C1434" s="1"/>
      <c r="D1434" s="1905" t="str">
        <f>D1162</f>
        <v>Primary  Deficit (-) {deficit/Surplus} V1986</v>
      </c>
      <c r="E1434" s="304"/>
      <c r="F1434" s="304"/>
      <c r="G1434" s="304"/>
      <c r="H1434" s="304"/>
      <c r="I1434" s="304"/>
      <c r="J1434" s="304"/>
      <c r="K1434" s="304"/>
      <c r="L1434" s="304"/>
      <c r="M1434" s="304"/>
      <c r="N1434" s="304"/>
      <c r="O1434" s="304"/>
      <c r="P1434" s="304"/>
      <c r="Q1434" s="304"/>
      <c r="R1434" s="304"/>
      <c r="S1434" s="304"/>
      <c r="T1434" s="304"/>
      <c r="U1434" s="304"/>
      <c r="V1434" s="1815"/>
      <c r="W1434" s="1815"/>
      <c r="X1434" s="1815"/>
      <c r="Y1434" s="1815"/>
      <c r="Z1434" s="1815"/>
      <c r="AA1434" s="1815"/>
      <c r="AB1434" s="1815"/>
      <c r="AC1434" s="1815"/>
      <c r="AD1434" s="1815"/>
      <c r="AE1434" s="1815"/>
      <c r="AF1434" s="1815"/>
      <c r="AG1434" s="1815"/>
      <c r="AH1434" s="1815"/>
      <c r="AI1434" s="1815"/>
      <c r="AJ1434" s="1815"/>
      <c r="AK1434" s="1815"/>
      <c r="AL1434" s="1815"/>
      <c r="AM1434" s="1815"/>
      <c r="AN1434" s="1815"/>
      <c r="AO1434" s="1815"/>
      <c r="AP1434" s="1815"/>
      <c r="AQ1434" s="1815"/>
      <c r="AR1434" s="1815"/>
      <c r="AS1434" s="1815"/>
      <c r="AT1434" s="1815"/>
    </row>
    <row r="1435" spans="1:49">
      <c r="A1435" s="1"/>
      <c r="B1435" s="1"/>
      <c r="C1435" s="1"/>
      <c r="D1435" s="1814" t="str">
        <f>D1163</f>
        <v>including grants</v>
      </c>
      <c r="E1435" s="304"/>
      <c r="F1435" s="304"/>
      <c r="G1435" s="304"/>
      <c r="H1435" s="304"/>
      <c r="I1435" s="304"/>
      <c r="J1435" s="304"/>
      <c r="K1435" s="304"/>
      <c r="L1435" s="304"/>
      <c r="M1435" s="304"/>
      <c r="N1435" s="304"/>
      <c r="O1435" s="304"/>
      <c r="P1435" s="304"/>
      <c r="Q1435" s="304"/>
      <c r="R1435" s="304"/>
      <c r="S1435" s="304"/>
      <c r="T1435" s="304"/>
      <c r="U1435" s="304"/>
      <c r="V1435" s="1815"/>
      <c r="W1435" s="1815"/>
      <c r="X1435" s="1815"/>
      <c r="Y1435" s="1815"/>
      <c r="Z1435" s="1815"/>
      <c r="AA1435" s="1815">
        <f t="shared" ref="AA1435:AT1435" si="1802">AA1163/AA$402</f>
        <v>-4.1670279113265297E-2</v>
      </c>
      <c r="AB1435" s="1815">
        <f t="shared" si="1802"/>
        <v>-4.7138419523705767E-2</v>
      </c>
      <c r="AC1435" s="1815">
        <f t="shared" si="1802"/>
        <v>-3.277321251084743E-2</v>
      </c>
      <c r="AD1435" s="1815">
        <f t="shared" si="1802"/>
        <v>-5.0928019575990843E-2</v>
      </c>
      <c r="AE1435" s="1815">
        <f t="shared" si="1802"/>
        <v>-7.411763118861206E-2</v>
      </c>
      <c r="AF1435" s="1815">
        <f t="shared" si="1802"/>
        <v>-6.9039380355488386E-2</v>
      </c>
      <c r="AG1435" s="1815">
        <f t="shared" si="1802"/>
        <v>-7.4636768073467114E-2</v>
      </c>
      <c r="AH1435" s="1815">
        <f t="shared" si="1802"/>
        <v>-5.320018137809112E-2</v>
      </c>
      <c r="AI1435" s="1815">
        <f t="shared" si="1802"/>
        <v>-4.5669142930965523E-2</v>
      </c>
      <c r="AJ1435" s="1815">
        <f t="shared" si="1802"/>
        <v>-2.9494814662361722E-2</v>
      </c>
      <c r="AK1435" s="1815">
        <f t="shared" si="1802"/>
        <v>-4.7105890191968522E-2</v>
      </c>
      <c r="AL1435" s="1815">
        <f t="shared" si="1802"/>
        <v>-2.7283931859670745E-2</v>
      </c>
      <c r="AM1435" s="1815">
        <f t="shared" si="1802"/>
        <v>-8.8472084385586292E-3</v>
      </c>
      <c r="AN1435" s="1815">
        <f t="shared" si="1802"/>
        <v>-7.1072340258489259E-3</v>
      </c>
      <c r="AO1435" s="1815">
        <f t="shared" si="1802"/>
        <v>-8.665972088686551E-4</v>
      </c>
      <c r="AP1435" s="1815">
        <f t="shared" si="1802"/>
        <v>-3.2458655208975368E-2</v>
      </c>
      <c r="AQ1435" s="1815">
        <f t="shared" si="1802"/>
        <v>-2.9590354037239853E-2</v>
      </c>
      <c r="AR1435" s="1815">
        <f t="shared" si="1802"/>
        <v>-2.9759134321051022E-2</v>
      </c>
      <c r="AS1435" s="1815">
        <f t="shared" si="1802"/>
        <v>-1.1617329788765942</v>
      </c>
      <c r="AT1435" s="1815">
        <f t="shared" si="1802"/>
        <v>-2.7786939110122471</v>
      </c>
    </row>
    <row r="1436" spans="1:49">
      <c r="A1436" s="1"/>
      <c r="B1436" s="1"/>
      <c r="C1436" s="1"/>
      <c r="D1436" s="1814" t="str">
        <f>D1349</f>
        <v>o/w Excl. Rwandair&amp;Bugesera</v>
      </c>
      <c r="E1436" s="304"/>
      <c r="F1436" s="304"/>
      <c r="G1436" s="304"/>
      <c r="H1436" s="304"/>
      <c r="I1436" s="304"/>
      <c r="J1436" s="304"/>
      <c r="K1436" s="304"/>
      <c r="L1436" s="304"/>
      <c r="M1436" s="304"/>
      <c r="N1436" s="304"/>
      <c r="O1436" s="304"/>
      <c r="P1436" s="304"/>
      <c r="Q1436" s="304"/>
      <c r="R1436" s="304"/>
      <c r="S1436" s="304"/>
      <c r="T1436" s="304"/>
      <c r="U1436" s="304"/>
      <c r="V1436" s="1815"/>
      <c r="W1436" s="1815"/>
      <c r="X1436" s="1815"/>
      <c r="Y1436" s="1815"/>
      <c r="Z1436" s="1815"/>
      <c r="AA1436" s="1815"/>
      <c r="AB1436" s="1815"/>
      <c r="AC1436" s="1815"/>
      <c r="AD1436" s="1815"/>
      <c r="AE1436" s="1815"/>
      <c r="AF1436" s="1815"/>
      <c r="AG1436" s="1815"/>
      <c r="AH1436" s="1815"/>
      <c r="AI1436" s="1815">
        <f>AI1349/AI1369</f>
        <v>-4.456050795389898E-2</v>
      </c>
      <c r="AJ1436" s="1815">
        <f t="shared" ref="AJ1436:AO1436" si="1803">AJ1349/AJ1369</f>
        <v>-2.7698747919402179E-2</v>
      </c>
      <c r="AK1436" s="1815">
        <f t="shared" si="1803"/>
        <v>-1.7112863594203297E-2</v>
      </c>
      <c r="AL1436" s="1815">
        <f t="shared" si="1803"/>
        <v>-1.5268541520466312E-3</v>
      </c>
      <c r="AM1436" s="1815">
        <f t="shared" si="1803"/>
        <v>-1.8750001586537934E-3</v>
      </c>
      <c r="AN1436" s="1815">
        <f t="shared" si="1803"/>
        <v>-1.0940763282226559E-3</v>
      </c>
      <c r="AO1436" s="1815">
        <f t="shared" si="1803"/>
        <v>5.2701791129624188E-3</v>
      </c>
      <c r="AP1436" s="1815"/>
      <c r="AQ1436" s="1815"/>
      <c r="AR1436" s="1815"/>
      <c r="AS1436" s="1815"/>
      <c r="AT1436" s="1815"/>
    </row>
    <row r="1437" spans="1:49">
      <c r="A1437" s="1"/>
      <c r="B1437" s="1"/>
      <c r="C1437" s="1"/>
      <c r="D1437" s="1684" t="s">
        <v>3212</v>
      </c>
      <c r="E1437" s="1690"/>
      <c r="F1437" s="1690"/>
      <c r="G1437" s="1690"/>
      <c r="H1437" s="1690"/>
      <c r="I1437" s="1690"/>
      <c r="J1437" s="1690"/>
      <c r="K1437" s="1690"/>
      <c r="L1437" s="1690"/>
      <c r="M1437" s="1690"/>
      <c r="N1437" s="1690"/>
      <c r="O1437" s="1690"/>
      <c r="P1437" s="1690"/>
      <c r="Q1437" s="1690"/>
      <c r="R1437" s="1690"/>
      <c r="S1437" s="1690"/>
      <c r="T1437" s="1690"/>
      <c r="U1437" s="1690"/>
      <c r="V1437" s="1661"/>
      <c r="W1437" s="1661"/>
      <c r="X1437" s="1661"/>
      <c r="Y1437" s="1691"/>
      <c r="Z1437" s="1691"/>
      <c r="AA1437" s="1691"/>
      <c r="AB1437" s="1685"/>
      <c r="AC1437" s="1685"/>
      <c r="AD1437" s="1685"/>
      <c r="AE1437" s="1685"/>
      <c r="AF1437" s="1685"/>
      <c r="AG1437" s="1685"/>
      <c r="AH1437" s="1685"/>
      <c r="AI1437" s="1685"/>
      <c r="AJ1437" s="1685"/>
      <c r="AK1437" s="1685"/>
      <c r="AL1437" s="1685"/>
      <c r="AM1437" s="1685"/>
      <c r="AN1437" s="1685"/>
      <c r="AO1437" s="1685"/>
      <c r="AP1437" s="1685"/>
      <c r="AQ1437" s="1685"/>
      <c r="AR1437" s="1685"/>
      <c r="AS1437" s="1685"/>
      <c r="AT1437" s="1685"/>
    </row>
    <row r="1438" spans="1:49">
      <c r="A1438" s="1"/>
      <c r="B1438" s="1"/>
      <c r="C1438" s="1"/>
      <c r="D1438" s="2169" t="s">
        <v>3729</v>
      </c>
      <c r="E1438" s="2170"/>
      <c r="F1438" s="2170"/>
      <c r="G1438" s="2170"/>
      <c r="H1438" s="2170"/>
      <c r="I1438" s="2170"/>
      <c r="J1438" s="2170"/>
      <c r="K1438" s="2170"/>
      <c r="L1438" s="2170"/>
      <c r="M1438" s="2170"/>
      <c r="N1438" s="2170"/>
      <c r="O1438" s="2170"/>
      <c r="P1438" s="2170"/>
      <c r="Q1438" s="2170"/>
      <c r="R1438" s="2170"/>
      <c r="S1438" s="2170"/>
      <c r="T1438" s="2170"/>
      <c r="U1438" s="2170"/>
      <c r="V1438" s="2171"/>
      <c r="W1438" s="2171"/>
      <c r="X1438" s="2174">
        <f t="shared" ref="X1438:AT1438" si="1804">X1166/X$402</f>
        <v>-4.8185349306642249E-2</v>
      </c>
      <c r="Y1438" s="2174">
        <f t="shared" si="1804"/>
        <v>-4.3783200463303196E-2</v>
      </c>
      <c r="Z1438" s="2174">
        <f t="shared" si="1804"/>
        <v>-5.7897483146936927E-2</v>
      </c>
      <c r="AA1438" s="2174">
        <f t="shared" si="1804"/>
        <v>-6.0229651683422543E-2</v>
      </c>
      <c r="AB1438" s="2174">
        <f t="shared" si="1804"/>
        <v>-6.5388121257552875E-2</v>
      </c>
      <c r="AC1438" s="2174">
        <f t="shared" si="1804"/>
        <v>-6.01710652998102E-2</v>
      </c>
      <c r="AD1438" s="2174">
        <f t="shared" si="1804"/>
        <v>-6.2693366620200933E-2</v>
      </c>
      <c r="AE1438" s="2174">
        <f t="shared" si="1804"/>
        <v>-8.6430695670898255E-2</v>
      </c>
      <c r="AF1438" s="2174">
        <f t="shared" si="1804"/>
        <v>-8.7803310243206242E-2</v>
      </c>
      <c r="AG1438" s="2174">
        <f t="shared" si="1804"/>
        <v>-9.3908582764924045E-2</v>
      </c>
      <c r="AH1438" s="2174">
        <f t="shared" si="1804"/>
        <v>-7.0707604363383206E-2</v>
      </c>
      <c r="AI1438" s="2174">
        <f t="shared" si="1804"/>
        <v>-6.7227991238566098E-2</v>
      </c>
      <c r="AJ1438" s="2174">
        <f t="shared" si="1804"/>
        <v>-5.4599674134787501E-2</v>
      </c>
      <c r="AK1438" s="2174">
        <f t="shared" si="1804"/>
        <v>-6.92758392926765E-2</v>
      </c>
      <c r="AL1438" s="2174">
        <f t="shared" si="1804"/>
        <v>-5.1540512729290971E-2</v>
      </c>
      <c r="AM1438" s="2174">
        <f t="shared" si="1804"/>
        <v>-3.2455652141588874E-2</v>
      </c>
      <c r="AN1438" s="2174">
        <f t="shared" si="1804"/>
        <v>-2.8393788337198515E-2</v>
      </c>
      <c r="AO1438" s="2174">
        <f t="shared" si="1804"/>
        <v>-2.7195350257946348E-2</v>
      </c>
      <c r="AP1438" s="2174">
        <f t="shared" si="1804"/>
        <v>-3.2458655208975368E-2</v>
      </c>
      <c r="AQ1438" s="2174">
        <f t="shared" si="1804"/>
        <v>-2.9590354037239853E-2</v>
      </c>
      <c r="AR1438" s="2174">
        <f t="shared" si="1804"/>
        <v>-2.9759134321051022E-2</v>
      </c>
      <c r="AS1438" s="2174">
        <f t="shared" si="1804"/>
        <v>-1.1617329788765942</v>
      </c>
      <c r="AT1438" s="2174">
        <f t="shared" si="1804"/>
        <v>-2.7786939110122471</v>
      </c>
    </row>
    <row r="1439" spans="1:49">
      <c r="A1439" s="1"/>
      <c r="B1439" s="1"/>
      <c r="C1439" s="1"/>
      <c r="D1439" s="2169" t="s">
        <v>3724</v>
      </c>
      <c r="E1439" s="2170"/>
      <c r="F1439" s="2170"/>
      <c r="G1439" s="2170"/>
      <c r="H1439" s="2170"/>
      <c r="I1439" s="2170"/>
      <c r="J1439" s="2170"/>
      <c r="K1439" s="2170"/>
      <c r="L1439" s="2170"/>
      <c r="M1439" s="2170"/>
      <c r="N1439" s="2170"/>
      <c r="O1439" s="2170"/>
      <c r="P1439" s="2170"/>
      <c r="Q1439" s="2170"/>
      <c r="R1439" s="2170"/>
      <c r="S1439" s="2170"/>
      <c r="T1439" s="2170"/>
      <c r="U1439" s="2170"/>
      <c r="V1439" s="2171"/>
      <c r="W1439" s="2171"/>
      <c r="X1439" s="2174">
        <f t="shared" ref="X1439:AT1439" si="1805">X1167/X$402</f>
        <v>-4.8185349306642249E-2</v>
      </c>
      <c r="Y1439" s="2174">
        <f t="shared" si="1805"/>
        <v>-4.3783200463303196E-2</v>
      </c>
      <c r="Z1439" s="2174">
        <f t="shared" si="1805"/>
        <v>-4.5979873837057074E-2</v>
      </c>
      <c r="AA1439" s="2174">
        <f t="shared" si="1805"/>
        <v>-4.1670279113265297E-2</v>
      </c>
      <c r="AB1439" s="2174">
        <f t="shared" si="1805"/>
        <v>-4.7138419523705767E-2</v>
      </c>
      <c r="AC1439" s="2174">
        <f t="shared" si="1805"/>
        <v>-4.419768639458628E-2</v>
      </c>
      <c r="AD1439" s="2174">
        <f t="shared" si="1805"/>
        <v>-6.2684439642423359E-2</v>
      </c>
      <c r="AE1439" s="2174">
        <f t="shared" si="1805"/>
        <v>-6.7540659470101447E-2</v>
      </c>
      <c r="AF1439" s="2174">
        <f t="shared" si="1805"/>
        <v>-8.1352338465432675E-2</v>
      </c>
      <c r="AG1439" s="2174">
        <f t="shared" si="1805"/>
        <v>-9.3001075491374721E-2</v>
      </c>
      <c r="AH1439" s="2174">
        <f t="shared" si="1805"/>
        <v>-7.3048644978974078E-2</v>
      </c>
      <c r="AI1439" s="2174">
        <f t="shared" si="1805"/>
        <v>-6.9139063754202548E-2</v>
      </c>
      <c r="AJ1439" s="2174">
        <f t="shared" si="1805"/>
        <v>-5.2803607391827961E-2</v>
      </c>
      <c r="AK1439" s="2174">
        <f t="shared" si="1805"/>
        <v>-4.2898644525811477E-2</v>
      </c>
      <c r="AL1439" s="2174">
        <f t="shared" si="1805"/>
        <v>-3.1691345616782461E-2</v>
      </c>
      <c r="AM1439" s="2174">
        <f t="shared" si="1805"/>
        <v>-3.190757072242683E-2</v>
      </c>
      <c r="AN1439" s="2174">
        <f t="shared" si="1805"/>
        <v>-3.0510915667339288E-2</v>
      </c>
      <c r="AO1439" s="2174">
        <f t="shared" si="1805"/>
        <v>-3.135115785657374E-2</v>
      </c>
      <c r="AP1439" s="2174">
        <f t="shared" si="1805"/>
        <v>-3.2458655208975368E-2</v>
      </c>
      <c r="AQ1439" s="2174">
        <f t="shared" si="1805"/>
        <v>-2.9590354037239853E-2</v>
      </c>
      <c r="AR1439" s="2174">
        <f t="shared" si="1805"/>
        <v>-2.9759134321051022E-2</v>
      </c>
      <c r="AS1439" s="2174">
        <f t="shared" si="1805"/>
        <v>-1.1617329788765942</v>
      </c>
      <c r="AT1439" s="2174">
        <f t="shared" si="1805"/>
        <v>-2.7786939110122471</v>
      </c>
    </row>
    <row r="1440" spans="1:49">
      <c r="A1440" s="1"/>
      <c r="B1440" s="1"/>
      <c r="C1440" s="1"/>
      <c r="D1440" s="2169" t="s">
        <v>3725</v>
      </c>
      <c r="E1440" s="2170"/>
      <c r="F1440" s="2170"/>
      <c r="G1440" s="2170"/>
      <c r="H1440" s="2170"/>
      <c r="I1440" s="2170"/>
      <c r="J1440" s="2170"/>
      <c r="K1440" s="2170"/>
      <c r="L1440" s="2170"/>
      <c r="M1440" s="2170"/>
      <c r="N1440" s="2170"/>
      <c r="O1440" s="2170"/>
      <c r="P1440" s="2170"/>
      <c r="Q1440" s="2170"/>
      <c r="R1440" s="2170"/>
      <c r="S1440" s="2170"/>
      <c r="T1440" s="2170"/>
      <c r="U1440" s="2170"/>
      <c r="V1440" s="2171"/>
      <c r="W1440" s="2171"/>
      <c r="X1440" s="2174">
        <f t="shared" ref="X1440:AT1440" si="1806">X1168/X$402</f>
        <v>-4.8185349306642249E-2</v>
      </c>
      <c r="Y1440" s="2174">
        <f t="shared" si="1806"/>
        <v>-4.3783200463303196E-2</v>
      </c>
      <c r="Z1440" s="2174">
        <f t="shared" si="1806"/>
        <v>-4.5979873837057074E-2</v>
      </c>
      <c r="AA1440" s="2174">
        <f t="shared" si="1806"/>
        <v>-4.1670279113265297E-2</v>
      </c>
      <c r="AB1440" s="2174">
        <f t="shared" si="1806"/>
        <v>-4.7138419523705767E-2</v>
      </c>
      <c r="AC1440" s="2174">
        <f t="shared" si="1806"/>
        <v>-4.419768639458628E-2</v>
      </c>
      <c r="AD1440" s="2174">
        <f t="shared" si="1806"/>
        <v>-6.2684439642423359E-2</v>
      </c>
      <c r="AE1440" s="2174">
        <f t="shared" si="1806"/>
        <v>-8.893957923102197E-2</v>
      </c>
      <c r="AF1440" s="2174">
        <f t="shared" si="1806"/>
        <v>-7.7968446331177735E-2</v>
      </c>
      <c r="AG1440" s="2174">
        <f t="shared" si="1806"/>
        <v>-8.7741590446867287E-2</v>
      </c>
      <c r="AH1440" s="2174">
        <f t="shared" si="1806"/>
        <v>-6.9367657229711777E-2</v>
      </c>
      <c r="AI1440" s="2174">
        <f t="shared" si="1806"/>
        <v>-6.6597789172583119E-2</v>
      </c>
      <c r="AJ1440" s="2174">
        <f t="shared" si="1806"/>
        <v>-5.0623965940652708E-2</v>
      </c>
      <c r="AK1440" s="2174">
        <f t="shared" si="1806"/>
        <v>-3.7307387085788089E-2</v>
      </c>
      <c r="AL1440" s="2174">
        <f t="shared" si="1806"/>
        <v>-2.8737390319224662E-2</v>
      </c>
      <c r="AM1440" s="2174">
        <f t="shared" si="1806"/>
        <v>-2.8695507292055434E-2</v>
      </c>
      <c r="AN1440" s="2174">
        <f t="shared" si="1806"/>
        <v>-2.6445773153455764E-2</v>
      </c>
      <c r="AO1440" s="2174">
        <f t="shared" si="1806"/>
        <v>-2.6204865896344506E-2</v>
      </c>
      <c r="AP1440" s="2174">
        <f t="shared" si="1806"/>
        <v>-3.2458655208975368E-2</v>
      </c>
      <c r="AQ1440" s="2174">
        <f t="shared" si="1806"/>
        <v>-2.9590354037239853E-2</v>
      </c>
      <c r="AR1440" s="2174">
        <f t="shared" si="1806"/>
        <v>-2.9759134321051022E-2</v>
      </c>
      <c r="AS1440" s="2174">
        <f t="shared" si="1806"/>
        <v>-1.1617329788765942</v>
      </c>
      <c r="AT1440" s="2174">
        <f t="shared" si="1806"/>
        <v>-2.7786939110122471</v>
      </c>
    </row>
    <row r="1441" spans="1:46" ht="16" thickBot="1">
      <c r="A1441" s="1"/>
      <c r="B1441" s="1"/>
      <c r="C1441" s="1"/>
      <c r="D1441" s="2176" t="str">
        <f>D1354</f>
        <v>Debt Creating Overall Deficit</v>
      </c>
      <c r="E1441" s="1693"/>
      <c r="F1441" s="1693"/>
      <c r="G1441" s="1693"/>
      <c r="H1441" s="1693"/>
      <c r="I1441" s="1693"/>
      <c r="J1441" s="1693"/>
      <c r="K1441" s="1693"/>
      <c r="L1441" s="1693"/>
      <c r="M1441" s="1693"/>
      <c r="N1441" s="1693"/>
      <c r="O1441" s="1693"/>
      <c r="P1441" s="1693"/>
      <c r="Q1441" s="1693"/>
      <c r="R1441" s="1693"/>
      <c r="S1441" s="1693"/>
      <c r="T1441" s="1693"/>
      <c r="U1441" s="1693"/>
      <c r="V1441" s="1694"/>
      <c r="W1441" s="1694"/>
      <c r="X1441" s="1688">
        <f t="shared" ref="X1441:AT1441" si="1807">X1169/X$402</f>
        <v>-4.8185349306642249E-2</v>
      </c>
      <c r="Y1441" s="1688">
        <f t="shared" si="1807"/>
        <v>-4.3783200463303196E-2</v>
      </c>
      <c r="Z1441" s="1688">
        <f t="shared" si="1807"/>
        <v>-5.7897483146936927E-2</v>
      </c>
      <c r="AA1441" s="1688">
        <f t="shared" si="1807"/>
        <v>-6.0229651683422543E-2</v>
      </c>
      <c r="AB1441" s="1688">
        <f t="shared" si="1807"/>
        <v>-6.5388121257552875E-2</v>
      </c>
      <c r="AC1441" s="1688">
        <f t="shared" si="1807"/>
        <v>-6.01710652998102E-2</v>
      </c>
      <c r="AD1441" s="1688">
        <f t="shared" si="1807"/>
        <v>-6.2693366620200933E-2</v>
      </c>
      <c r="AE1441" s="1688">
        <f t="shared" si="1807"/>
        <v>-6.5031775909977732E-2</v>
      </c>
      <c r="AF1441" s="1688">
        <f t="shared" si="1807"/>
        <v>-8.252441985716133E-2</v>
      </c>
      <c r="AG1441" s="1688">
        <f t="shared" si="1807"/>
        <v>-0.10236590992820958</v>
      </c>
      <c r="AH1441" s="1688">
        <f t="shared" si="1807"/>
        <v>-7.0707604363383206E-2</v>
      </c>
      <c r="AI1441" s="1688">
        <f t="shared" si="1807"/>
        <v>-2.2131605045689839E-2</v>
      </c>
      <c r="AJ1441" s="1688">
        <f t="shared" si="1807"/>
        <v>-4.3899551899359429E-3</v>
      </c>
      <c r="AK1441" s="1688">
        <f t="shared" si="1807"/>
        <v>-2.0439122336724763E-2</v>
      </c>
      <c r="AL1441" s="1688">
        <f t="shared" si="1807"/>
        <v>-7.3395692492718629E-5</v>
      </c>
      <c r="AM1441" s="1688">
        <f t="shared" si="1807"/>
        <v>1.7973298694843012E-2</v>
      </c>
      <c r="AN1441" s="1688">
        <f t="shared" si="1807"/>
        <v>1.8244462799384187E-2</v>
      </c>
      <c r="AO1441" s="1688">
        <f t="shared" si="1807"/>
        <v>3.0608447800438272E-2</v>
      </c>
      <c r="AP1441" s="1688">
        <f t="shared" si="1807"/>
        <v>-3.2458655208975368E-2</v>
      </c>
      <c r="AQ1441" s="1688">
        <f t="shared" si="1807"/>
        <v>-2.9590354037239853E-2</v>
      </c>
      <c r="AR1441" s="1688">
        <f t="shared" si="1807"/>
        <v>-2.9759134321051022E-2</v>
      </c>
      <c r="AS1441" s="1688">
        <f t="shared" si="1807"/>
        <v>-1.1617329788765942</v>
      </c>
      <c r="AT1441" s="1688">
        <f t="shared" si="1807"/>
        <v>-2.7786939110122471</v>
      </c>
    </row>
    <row r="1442" spans="1:46" ht="16" thickBot="1">
      <c r="A1442" s="1"/>
      <c r="B1442" s="1"/>
      <c r="C1442" s="1"/>
      <c r="D1442" s="2177" t="s">
        <v>3254</v>
      </c>
      <c r="E1442" s="1739"/>
      <c r="F1442" s="1739"/>
      <c r="G1442" s="1739"/>
      <c r="H1442" s="1739"/>
      <c r="I1442" s="1739"/>
      <c r="J1442" s="1739"/>
      <c r="K1442" s="1739"/>
      <c r="L1442" s="1739"/>
      <c r="M1442" s="1739"/>
      <c r="N1442" s="1739"/>
      <c r="O1442" s="1739"/>
      <c r="P1442" s="1739"/>
      <c r="Q1442" s="1739"/>
      <c r="R1442" s="1739"/>
      <c r="S1442" s="1739"/>
      <c r="T1442" s="1739"/>
      <c r="U1442" s="1739"/>
      <c r="V1442" s="1740"/>
      <c r="W1442" s="1740"/>
      <c r="X1442" s="1740"/>
      <c r="Y1442" s="1740"/>
      <c r="Z1442" s="1740"/>
      <c r="AA1442" s="1740"/>
      <c r="AB1442" s="1740"/>
      <c r="AC1442" s="1740"/>
      <c r="AD1442" s="1741">
        <f t="shared" ref="AD1442:AT1442" si="1808">AD1170/AD$402</f>
        <v>-5.9246867064767957E-2</v>
      </c>
      <c r="AE1442" s="1741">
        <f t="shared" si="1808"/>
        <v>-8.893957923102197E-2</v>
      </c>
      <c r="AF1442" s="1741">
        <f t="shared" si="1808"/>
        <v>-8.6631228851477601E-2</v>
      </c>
      <c r="AG1442" s="1741">
        <f t="shared" si="1808"/>
        <v>-8.1642806572629942E-2</v>
      </c>
      <c r="AH1442" s="1741">
        <f t="shared" si="1808"/>
        <v>-7.1631666977339137E-2</v>
      </c>
      <c r="AI1442" s="1741">
        <f t="shared" si="1808"/>
        <v>-6.9103068821706914E-2</v>
      </c>
      <c r="AJ1442" s="1741">
        <f t="shared" si="1808"/>
        <v>-5.4599674134787501E-2</v>
      </c>
      <c r="AK1442" s="1741">
        <f t="shared" si="1808"/>
        <v>-6.8394852369040915E-2</v>
      </c>
      <c r="AL1442" s="1741">
        <f t="shared" si="1808"/>
        <v>-5.4494468026848771E-2</v>
      </c>
      <c r="AM1442" s="1741">
        <f t="shared" si="1808"/>
        <v>-3.5667715571960273E-2</v>
      </c>
      <c r="AN1442" s="1741">
        <f t="shared" si="1808"/>
        <v>-3.2458930851082035E-2</v>
      </c>
      <c r="AO1442" s="1741">
        <f t="shared" si="1808"/>
        <v>-3.2341642218175579E-2</v>
      </c>
      <c r="AP1442" s="1741">
        <f t="shared" si="1808"/>
        <v>-3.2458655208975368E-2</v>
      </c>
      <c r="AQ1442" s="1741">
        <f t="shared" si="1808"/>
        <v>-2.9590354037239853E-2</v>
      </c>
      <c r="AR1442" s="1741">
        <f t="shared" si="1808"/>
        <v>-2.9759134321051022E-2</v>
      </c>
      <c r="AS1442" s="1741">
        <f t="shared" si="1808"/>
        <v>-1.1617329788765942</v>
      </c>
      <c r="AT1442" s="1741">
        <f t="shared" si="1808"/>
        <v>-2.7786939110122471</v>
      </c>
    </row>
    <row r="1443" spans="1:46">
      <c r="A1443" s="1"/>
      <c r="B1443" s="1"/>
      <c r="C1443" s="1"/>
      <c r="D1443" s="522" t="s">
        <v>596</v>
      </c>
      <c r="E1443" s="530"/>
      <c r="F1443" s="530"/>
      <c r="G1443" s="530"/>
      <c r="H1443" s="530"/>
      <c r="I1443" s="530"/>
      <c r="J1443" s="530"/>
      <c r="K1443" s="530"/>
      <c r="L1443" s="530"/>
      <c r="M1443" s="530"/>
      <c r="N1443" s="530"/>
      <c r="O1443" s="530"/>
      <c r="P1443" s="530"/>
      <c r="Q1443" s="530"/>
      <c r="R1443" s="530"/>
      <c r="S1443" s="530"/>
      <c r="T1443" s="530"/>
      <c r="U1443" s="530"/>
      <c r="V1443" s="1631">
        <f t="shared" ref="V1443:AL1443" si="1809">V1356/V$402</f>
        <v>0</v>
      </c>
      <c r="W1443" s="1631">
        <f t="shared" si="1809"/>
        <v>6.7796610169491877E-4</v>
      </c>
      <c r="X1443" s="1631">
        <f t="shared" si="1809"/>
        <v>3.0562347188264926E-4</v>
      </c>
      <c r="Y1443" s="1631">
        <f t="shared" si="1809"/>
        <v>-1.2237565145424173E-2</v>
      </c>
      <c r="Z1443" s="1631">
        <f t="shared" si="1809"/>
        <v>3.135300048307484E-3</v>
      </c>
      <c r="AA1443" s="1631">
        <f t="shared" si="1809"/>
        <v>1.2109502748049294E-2</v>
      </c>
      <c r="AB1443" s="1631">
        <f t="shared" si="1809"/>
        <v>4.2166303547876462E-3</v>
      </c>
      <c r="AC1443" s="1631">
        <f t="shared" si="1809"/>
        <v>1.4324090712298777E-2</v>
      </c>
      <c r="AD1443" s="1631">
        <f t="shared" si="1809"/>
        <v>7.8693045620396324E-3</v>
      </c>
      <c r="AE1443" s="1631">
        <f t="shared" si="1809"/>
        <v>4.4874283177519854E-2</v>
      </c>
      <c r="AF1443" s="1631">
        <f t="shared" si="1809"/>
        <v>1.5279016253664873E-2</v>
      </c>
      <c r="AG1443" s="1631">
        <f t="shared" si="1809"/>
        <v>3.0475086367279448E-2</v>
      </c>
      <c r="AH1443" s="1631">
        <f t="shared" si="1809"/>
        <v>-2.9580390349729177E-4</v>
      </c>
      <c r="AI1443" s="1631">
        <f t="shared" si="1809"/>
        <v>4.5820306218963113E-3</v>
      </c>
      <c r="AJ1443" s="1631">
        <f t="shared" si="1809"/>
        <v>1.6210919506944227E-2</v>
      </c>
      <c r="AK1443" s="1631">
        <f t="shared" si="1809"/>
        <v>3.8438167275131975E-2</v>
      </c>
      <c r="AL1443" s="1631">
        <f t="shared" si="1809"/>
        <v>2.8921309330019716E-2</v>
      </c>
      <c r="AM1443" s="1631">
        <f t="shared" ref="AM1443:AO1449" si="1810">AM1356/AM$402</f>
        <v>9.6490993014232522E-3</v>
      </c>
      <c r="AN1443" s="1631">
        <f t="shared" si="1810"/>
        <v>5.8770938819434774E-3</v>
      </c>
      <c r="AO1443" s="1631">
        <f t="shared" si="1810"/>
        <v>4.7857902747381444E-3</v>
      </c>
      <c r="AP1443" s="1631">
        <f t="shared" ref="AP1443:AT1443" si="1811">AP1356/AP$402</f>
        <v>3.0000000000000001E-3</v>
      </c>
      <c r="AQ1443" s="1631">
        <f t="shared" si="1811"/>
        <v>3.0000000000000001E-3</v>
      </c>
      <c r="AR1443" s="1631">
        <f t="shared" si="1811"/>
        <v>3.0000000000000005E-3</v>
      </c>
      <c r="AS1443" s="1631">
        <f t="shared" si="1811"/>
        <v>3.0000000000000001E-3</v>
      </c>
      <c r="AT1443" s="1631">
        <f t="shared" si="1811"/>
        <v>3.0000000000000001E-3</v>
      </c>
    </row>
    <row r="1444" spans="1:46">
      <c r="A1444" s="1"/>
      <c r="B1444" s="1"/>
      <c r="C1444" s="1"/>
      <c r="D1444" s="531" t="s">
        <v>597</v>
      </c>
      <c r="E1444" s="530"/>
      <c r="F1444" s="530"/>
      <c r="G1444" s="530"/>
      <c r="H1444" s="530"/>
      <c r="I1444" s="530"/>
      <c r="J1444" s="530"/>
      <c r="K1444" s="530"/>
      <c r="L1444" s="530"/>
      <c r="M1444" s="530"/>
      <c r="N1444" s="530"/>
      <c r="O1444" s="530"/>
      <c r="P1444" s="530"/>
      <c r="Q1444" s="530"/>
      <c r="R1444" s="530"/>
      <c r="S1444" s="530"/>
      <c r="T1444" s="530"/>
      <c r="U1444" s="530"/>
      <c r="V1444" s="1631">
        <f t="shared" ref="V1444:AL1444" si="1812">V1357/V$402</f>
        <v>0</v>
      </c>
      <c r="W1444" s="1631">
        <f t="shared" si="1812"/>
        <v>6.7796610169491877E-4</v>
      </c>
      <c r="X1444" s="1631">
        <f t="shared" si="1812"/>
        <v>3.0562347188264926E-4</v>
      </c>
      <c r="Y1444" s="1631">
        <f t="shared" si="1812"/>
        <v>-1.2237565145424173E-2</v>
      </c>
      <c r="Z1444" s="1631">
        <f t="shared" si="1812"/>
        <v>3.135300048307484E-3</v>
      </c>
      <c r="AA1444" s="1631">
        <f t="shared" si="1812"/>
        <v>1.2109502748049294E-2</v>
      </c>
      <c r="AB1444" s="1631">
        <f t="shared" si="1812"/>
        <v>4.2166303547876462E-3</v>
      </c>
      <c r="AC1444" s="1631">
        <f t="shared" si="1812"/>
        <v>1.4324090712298777E-2</v>
      </c>
      <c r="AD1444" s="1631">
        <f t="shared" si="1812"/>
        <v>7.8693045620396324E-3</v>
      </c>
      <c r="AE1444" s="1631">
        <f t="shared" si="1812"/>
        <v>4.4874283177519854E-2</v>
      </c>
      <c r="AF1444" s="1631">
        <f t="shared" si="1812"/>
        <v>1.5279016253664873E-2</v>
      </c>
      <c r="AG1444" s="1631">
        <f t="shared" si="1812"/>
        <v>3.0475086367279448E-2</v>
      </c>
      <c r="AH1444" s="1631">
        <f t="shared" si="1812"/>
        <v>4.158733064262829E-3</v>
      </c>
      <c r="AI1444" s="1631">
        <f t="shared" si="1812"/>
        <v>4.5820306218963113E-3</v>
      </c>
      <c r="AJ1444" s="1631">
        <f t="shared" si="1812"/>
        <v>1.6210919506944227E-2</v>
      </c>
      <c r="AK1444" s="1631">
        <f t="shared" si="1812"/>
        <v>3.8438167275131975E-2</v>
      </c>
      <c r="AL1444" s="1631">
        <f t="shared" si="1812"/>
        <v>2.8921309330019716E-2</v>
      </c>
      <c r="AM1444" s="1631">
        <f t="shared" si="1810"/>
        <v>9.6490993014232522E-3</v>
      </c>
      <c r="AN1444" s="1631">
        <f t="shared" si="1810"/>
        <v>5.8770938819434774E-3</v>
      </c>
      <c r="AO1444" s="1631">
        <f t="shared" si="1810"/>
        <v>4.7857902747381444E-3</v>
      </c>
      <c r="AP1444" s="1631">
        <f t="shared" ref="AP1444:AT1444" si="1813">AP1357/AP$402</f>
        <v>3.0000000000000001E-3</v>
      </c>
      <c r="AQ1444" s="1631">
        <f t="shared" si="1813"/>
        <v>3.0000000000000001E-3</v>
      </c>
      <c r="AR1444" s="1631">
        <f t="shared" si="1813"/>
        <v>3.0000000000000005E-3</v>
      </c>
      <c r="AS1444" s="1631">
        <f t="shared" si="1813"/>
        <v>3.0000000000000001E-3</v>
      </c>
      <c r="AT1444" s="1631">
        <f t="shared" si="1813"/>
        <v>3.0000000000000001E-3</v>
      </c>
    </row>
    <row r="1445" spans="1:46">
      <c r="A1445" s="1"/>
      <c r="B1445" s="1"/>
      <c r="C1445" s="1"/>
      <c r="D1445" s="1714" t="s">
        <v>3248</v>
      </c>
      <c r="E1445" s="530"/>
      <c r="F1445" s="530"/>
      <c r="G1445" s="530"/>
      <c r="H1445" s="530"/>
      <c r="I1445" s="530"/>
      <c r="J1445" s="530"/>
      <c r="K1445" s="530"/>
      <c r="L1445" s="530"/>
      <c r="M1445" s="530"/>
      <c r="N1445" s="530"/>
      <c r="O1445" s="530"/>
      <c r="P1445" s="530"/>
      <c r="Q1445" s="530"/>
      <c r="R1445" s="530"/>
      <c r="S1445" s="530"/>
      <c r="T1445" s="530"/>
      <c r="U1445" s="530"/>
      <c r="V1445" s="1631"/>
      <c r="W1445" s="1631"/>
      <c r="X1445" s="1631"/>
      <c r="Y1445" s="1631"/>
      <c r="Z1445" s="1631"/>
      <c r="AA1445" s="1631"/>
      <c r="AB1445" s="1631"/>
      <c r="AC1445" s="1631"/>
      <c r="AD1445" s="1713">
        <f t="shared" ref="AD1445:AL1445" si="1814">AD1358/AD$402</f>
        <v>0</v>
      </c>
      <c r="AE1445" s="1713">
        <f t="shared" si="1814"/>
        <v>0</v>
      </c>
      <c r="AF1445" s="1713">
        <f t="shared" si="1814"/>
        <v>8.6627825202998734E-3</v>
      </c>
      <c r="AG1445" s="1713">
        <f t="shared" si="1814"/>
        <v>5.2594850445074181E-3</v>
      </c>
      <c r="AH1445" s="1713">
        <f t="shared" si="1814"/>
        <v>3.6809877492623108E-3</v>
      </c>
      <c r="AI1445" s="1713">
        <f t="shared" si="1814"/>
        <v>2.6088916436580829E-3</v>
      </c>
      <c r="AJ1445" s="1713">
        <f t="shared" si="1814"/>
        <v>2.1796414511752451E-3</v>
      </c>
      <c r="AK1445" s="1713">
        <f t="shared" si="1814"/>
        <v>1.0944386854876114E-3</v>
      </c>
      <c r="AL1445" s="1713">
        <f t="shared" si="1814"/>
        <v>0</v>
      </c>
      <c r="AM1445" s="1713">
        <f t="shared" si="1810"/>
        <v>0</v>
      </c>
      <c r="AN1445" s="1713">
        <f t="shared" si="1810"/>
        <v>0</v>
      </c>
      <c r="AO1445" s="1713">
        <f t="shared" si="1810"/>
        <v>0</v>
      </c>
      <c r="AP1445" s="1713">
        <f t="shared" ref="AP1445:AT1445" si="1815">AP1358/AP$402</f>
        <v>0</v>
      </c>
      <c r="AQ1445" s="1713">
        <f t="shared" si="1815"/>
        <v>0</v>
      </c>
      <c r="AR1445" s="1713">
        <f t="shared" si="1815"/>
        <v>0</v>
      </c>
      <c r="AS1445" s="1713">
        <f t="shared" si="1815"/>
        <v>0</v>
      </c>
      <c r="AT1445" s="1713">
        <f t="shared" si="1815"/>
        <v>0</v>
      </c>
    </row>
    <row r="1446" spans="1:46">
      <c r="A1446" s="1"/>
      <c r="B1446" s="1"/>
      <c r="C1446" s="1"/>
      <c r="D1446" s="531" t="s">
        <v>602</v>
      </c>
      <c r="E1446" s="530"/>
      <c r="F1446" s="530"/>
      <c r="G1446" s="530"/>
      <c r="H1446" s="530"/>
      <c r="I1446" s="530"/>
      <c r="J1446" s="530"/>
      <c r="K1446" s="530"/>
      <c r="L1446" s="530"/>
      <c r="M1446" s="530"/>
      <c r="N1446" s="530"/>
      <c r="O1446" s="530"/>
      <c r="P1446" s="530"/>
      <c r="Q1446" s="530"/>
      <c r="R1446" s="530"/>
      <c r="S1446" s="530"/>
      <c r="T1446" s="530"/>
      <c r="U1446" s="530"/>
      <c r="V1446" s="1631">
        <f t="shared" ref="V1446:AC1449" si="1816">V1359/V$402</f>
        <v>0</v>
      </c>
      <c r="W1446" s="1631">
        <f t="shared" si="1816"/>
        <v>0</v>
      </c>
      <c r="X1446" s="1631">
        <f t="shared" si="1816"/>
        <v>0</v>
      </c>
      <c r="Y1446" s="1631">
        <f t="shared" si="1816"/>
        <v>0</v>
      </c>
      <c r="Z1446" s="1631">
        <f t="shared" si="1816"/>
        <v>0</v>
      </c>
      <c r="AA1446" s="1631">
        <f t="shared" si="1816"/>
        <v>0</v>
      </c>
      <c r="AB1446" s="1631">
        <f t="shared" si="1816"/>
        <v>0</v>
      </c>
      <c r="AC1446" s="1631">
        <f t="shared" si="1816"/>
        <v>0</v>
      </c>
      <c r="AD1446" s="1631">
        <f t="shared" ref="AD1446:AL1446" si="1817">AD1359/AD$402</f>
        <v>0</v>
      </c>
      <c r="AE1446" s="1631">
        <f t="shared" si="1817"/>
        <v>0</v>
      </c>
      <c r="AF1446" s="1631">
        <f t="shared" si="1817"/>
        <v>0</v>
      </c>
      <c r="AG1446" s="1631">
        <f t="shared" si="1817"/>
        <v>0</v>
      </c>
      <c r="AH1446" s="1631">
        <f t="shared" si="1817"/>
        <v>-4.4545369677601206E-3</v>
      </c>
      <c r="AI1446" s="1631">
        <f t="shared" si="1817"/>
        <v>0</v>
      </c>
      <c r="AJ1446" s="1631">
        <f t="shared" si="1817"/>
        <v>0</v>
      </c>
      <c r="AK1446" s="1631">
        <f t="shared" si="1817"/>
        <v>0</v>
      </c>
      <c r="AL1446" s="1631">
        <f t="shared" si="1817"/>
        <v>0</v>
      </c>
      <c r="AM1446" s="1631">
        <f t="shared" si="1810"/>
        <v>0</v>
      </c>
      <c r="AN1446" s="1631">
        <f t="shared" si="1810"/>
        <v>0</v>
      </c>
      <c r="AO1446" s="1631">
        <f t="shared" si="1810"/>
        <v>0</v>
      </c>
      <c r="AP1446" s="1631">
        <f t="shared" ref="AP1446:AT1446" si="1818">AP1359/AP$402</f>
        <v>0</v>
      </c>
      <c r="AQ1446" s="1631">
        <f t="shared" si="1818"/>
        <v>0</v>
      </c>
      <c r="AR1446" s="1631">
        <f t="shared" si="1818"/>
        <v>0</v>
      </c>
      <c r="AS1446" s="1631">
        <f t="shared" si="1818"/>
        <v>0</v>
      </c>
      <c r="AT1446" s="1631">
        <f t="shared" si="1818"/>
        <v>0</v>
      </c>
    </row>
    <row r="1447" spans="1:46">
      <c r="A1447" s="1"/>
      <c r="B1447" s="1"/>
      <c r="C1447" s="1"/>
      <c r="D1447" s="522" t="s">
        <v>603</v>
      </c>
      <c r="E1447" s="530"/>
      <c r="F1447" s="530"/>
      <c r="G1447" s="530"/>
      <c r="H1447" s="530"/>
      <c r="I1447" s="530"/>
      <c r="J1447" s="530"/>
      <c r="K1447" s="530"/>
      <c r="L1447" s="530"/>
      <c r="M1447" s="530"/>
      <c r="N1447" s="530"/>
      <c r="O1447" s="530"/>
      <c r="P1447" s="530"/>
      <c r="Q1447" s="530"/>
      <c r="R1447" s="530"/>
      <c r="S1447" s="530"/>
      <c r="T1447" s="530"/>
      <c r="U1447" s="530"/>
      <c r="V1447" s="1631">
        <f t="shared" si="1816"/>
        <v>1.7930720233124017E-2</v>
      </c>
      <c r="W1447" s="1631">
        <f t="shared" si="1816"/>
        <v>1.014689265536723E-2</v>
      </c>
      <c r="X1447" s="1631">
        <f t="shared" si="1816"/>
        <v>-4.3871549226246309E-2</v>
      </c>
      <c r="Y1447" s="1631">
        <f t="shared" si="1816"/>
        <v>2.4323158725624343E-2</v>
      </c>
      <c r="Z1447" s="1631">
        <f t="shared" si="1816"/>
        <v>4.806495541257437E-2</v>
      </c>
      <c r="AA1447" s="1631">
        <f t="shared" si="1816"/>
        <v>4.8716950829648928E-2</v>
      </c>
      <c r="AB1447" s="1631">
        <f t="shared" si="1816"/>
        <v>5.0081626136766831E-2</v>
      </c>
      <c r="AC1447" s="1631">
        <f t="shared" si="1816"/>
        <v>5.5925071035759555E-2</v>
      </c>
      <c r="AD1447" s="1631">
        <f t="shared" ref="AD1447:AL1447" si="1819">AD1360/AD$402</f>
        <v>6.3805106143181259E-2</v>
      </c>
      <c r="AE1447" s="1631">
        <f t="shared" si="1819"/>
        <v>0.12358737221714247</v>
      </c>
      <c r="AF1447" s="1631">
        <f t="shared" si="1819"/>
        <v>8.8670854379757233E-2</v>
      </c>
      <c r="AG1447" s="1631">
        <f t="shared" si="1819"/>
        <v>0.10437066105217253</v>
      </c>
      <c r="AH1447" s="1631">
        <f t="shared" si="1819"/>
        <v>6.2182716099050052E-2</v>
      </c>
      <c r="AI1447" s="1631">
        <f t="shared" si="1819"/>
        <v>7.2210978945677989E-2</v>
      </c>
      <c r="AJ1447" s="1631">
        <f t="shared" si="1819"/>
        <v>6.3070286647623749E-2</v>
      </c>
      <c r="AK1447" s="1631">
        <f t="shared" si="1819"/>
        <v>7.8638987662815574E-2</v>
      </c>
      <c r="AL1447" s="1631">
        <f t="shared" si="1819"/>
        <v>5.9341109960572611E-2</v>
      </c>
      <c r="AM1447" s="1631">
        <f t="shared" si="1810"/>
        <v>4.0512701100270297E-2</v>
      </c>
      <c r="AN1447" s="1631">
        <f t="shared" si="1810"/>
        <v>3.5458930851082038E-2</v>
      </c>
      <c r="AO1447" s="1631">
        <f t="shared" si="1810"/>
        <v>3.5341642218175574E-2</v>
      </c>
      <c r="AP1447" s="1631">
        <f t="shared" ref="AP1447:AT1447" si="1820">AP1360/AP$402</f>
        <v>3.545865520897537E-2</v>
      </c>
      <c r="AQ1447" s="1631">
        <f t="shared" si="1820"/>
        <v>3.2590354037239852E-2</v>
      </c>
      <c r="AR1447" s="1631">
        <f t="shared" si="1820"/>
        <v>3.2759134321051021E-2</v>
      </c>
      <c r="AS1447" s="1631">
        <f t="shared" si="1820"/>
        <v>1.1647329788765941</v>
      </c>
      <c r="AT1447" s="1631">
        <f t="shared" si="1820"/>
        <v>2.7816939110122467</v>
      </c>
    </row>
    <row r="1448" spans="1:46">
      <c r="A1448" s="1"/>
      <c r="B1448" s="1"/>
      <c r="C1448" s="1"/>
      <c r="D1448" s="531" t="s">
        <v>597</v>
      </c>
      <c r="E1448" s="530"/>
      <c r="F1448" s="530"/>
      <c r="G1448" s="530"/>
      <c r="H1448" s="530"/>
      <c r="I1448" s="530"/>
      <c r="J1448" s="530"/>
      <c r="K1448" s="530"/>
      <c r="L1448" s="530"/>
      <c r="M1448" s="530"/>
      <c r="N1448" s="530"/>
      <c r="O1448" s="530"/>
      <c r="P1448" s="530"/>
      <c r="Q1448" s="530"/>
      <c r="R1448" s="530"/>
      <c r="S1448" s="530"/>
      <c r="T1448" s="530"/>
      <c r="U1448" s="530"/>
      <c r="V1448" s="1631">
        <f t="shared" si="1816"/>
        <v>0</v>
      </c>
      <c r="W1448" s="1631">
        <f t="shared" si="1816"/>
        <v>-1.1322033898305087E-2</v>
      </c>
      <c r="X1448" s="1631">
        <f t="shared" si="1816"/>
        <v>-4.4014173513124873E-2</v>
      </c>
      <c r="Y1448" s="1631">
        <f t="shared" si="1816"/>
        <v>4.6197831639345635E-3</v>
      </c>
      <c r="Z1448" s="1631">
        <f t="shared" si="1816"/>
        <v>1.5813613714848199E-2</v>
      </c>
      <c r="AA1448" s="1631">
        <f t="shared" si="1816"/>
        <v>1.4471852758583854E-2</v>
      </c>
      <c r="AB1448" s="1631">
        <f t="shared" si="1816"/>
        <v>5.4328931548244435E-3</v>
      </c>
      <c r="AC1448" s="1631">
        <f t="shared" si="1816"/>
        <v>1.1510259299578603E-2</v>
      </c>
      <c r="AD1448" s="1631">
        <f t="shared" ref="AD1448:AL1448" si="1821">AD1361/AD$402</f>
        <v>1.2381388932382515E-2</v>
      </c>
      <c r="AE1448" s="1631">
        <f t="shared" si="1821"/>
        <v>2.1944532713829137E-2</v>
      </c>
      <c r="AF1448" s="1631">
        <f t="shared" si="1821"/>
        <v>2.4677821556323618E-2</v>
      </c>
      <c r="AG1448" s="1631">
        <f t="shared" si="1821"/>
        <v>1.8385268179244258E-2</v>
      </c>
      <c r="AH1448" s="1631">
        <f t="shared" si="1821"/>
        <v>9.3079124262638174E-3</v>
      </c>
      <c r="AI1448" s="1631">
        <f t="shared" si="1821"/>
        <v>-1.4473381437115377E-3</v>
      </c>
      <c r="AJ1448" s="1631">
        <f t="shared" si="1821"/>
        <v>-1.0528736293626717E-3</v>
      </c>
      <c r="AK1448" s="1631">
        <f t="shared" si="1821"/>
        <v>-1.3393517913790195E-3</v>
      </c>
      <c r="AL1448" s="1631">
        <f t="shared" si="1821"/>
        <v>-4.5285069405762738E-3</v>
      </c>
      <c r="AM1448" s="1631">
        <f t="shared" si="1810"/>
        <v>6.4541594562792532E-3</v>
      </c>
      <c r="AN1448" s="1631">
        <f t="shared" si="1810"/>
        <v>1.1592188883003474E-2</v>
      </c>
      <c r="AO1448" s="1631">
        <f t="shared" si="1810"/>
        <v>2.6188972441496792E-2</v>
      </c>
      <c r="AP1448" s="1631">
        <f t="shared" ref="AP1448:AT1448" si="1822">AP1361/AP$402</f>
        <v>2.1823091060754925E-2</v>
      </c>
      <c r="AQ1448" s="1631">
        <f t="shared" si="1822"/>
        <v>6.946584034307543E-2</v>
      </c>
      <c r="AR1448" s="1631">
        <f t="shared" si="1822"/>
        <v>4.4410531223634628E-2</v>
      </c>
      <c r="AS1448" s="1631">
        <f t="shared" si="1822"/>
        <v>1.222233023576176</v>
      </c>
      <c r="AT1448" s="1631">
        <f t="shared" si="1822"/>
        <v>2.841734554517489</v>
      </c>
    </row>
    <row r="1449" spans="1:46">
      <c r="A1449" s="1"/>
      <c r="B1449" s="1"/>
      <c r="C1449" s="1"/>
      <c r="D1449" s="531" t="s">
        <v>602</v>
      </c>
      <c r="E1449" s="530"/>
      <c r="F1449" s="530"/>
      <c r="G1449" s="530"/>
      <c r="H1449" s="530"/>
      <c r="I1449" s="530"/>
      <c r="J1449" s="530"/>
      <c r="K1449" s="530"/>
      <c r="L1449" s="530"/>
      <c r="M1449" s="530"/>
      <c r="N1449" s="530"/>
      <c r="O1449" s="530"/>
      <c r="P1449" s="530"/>
      <c r="Q1449" s="530"/>
      <c r="R1449" s="530"/>
      <c r="S1449" s="530"/>
      <c r="T1449" s="530"/>
      <c r="U1449" s="530"/>
      <c r="V1449" s="1631">
        <f t="shared" si="1816"/>
        <v>1.7930720233124017E-2</v>
      </c>
      <c r="W1449" s="1631">
        <f t="shared" si="1816"/>
        <v>2.1468926553672316E-2</v>
      </c>
      <c r="X1449" s="1631">
        <f t="shared" si="1816"/>
        <v>1.4262428687856547E-4</v>
      </c>
      <c r="Y1449" s="1631">
        <f t="shared" si="1816"/>
        <v>1.9703375561689784E-2</v>
      </c>
      <c r="Z1449" s="1631">
        <f t="shared" si="1816"/>
        <v>3.2251341697726171E-2</v>
      </c>
      <c r="AA1449" s="1631">
        <f t="shared" si="1816"/>
        <v>3.4245098071065072E-2</v>
      </c>
      <c r="AB1449" s="1631">
        <f t="shared" si="1816"/>
        <v>4.4648732981942385E-2</v>
      </c>
      <c r="AC1449" s="1631">
        <f t="shared" si="1816"/>
        <v>4.4414811736180955E-2</v>
      </c>
      <c r="AD1449" s="1631">
        <f t="shared" ref="AD1449:AL1449" si="1823">AD1362/AD$402</f>
        <v>5.1423717210798747E-2</v>
      </c>
      <c r="AE1449" s="1631">
        <f t="shared" si="1823"/>
        <v>0.10164283950331333</v>
      </c>
      <c r="AF1449" s="1631">
        <f t="shared" si="1823"/>
        <v>6.3993032823433618E-2</v>
      </c>
      <c r="AG1449" s="1631">
        <f t="shared" si="1823"/>
        <v>8.5985392872928279E-2</v>
      </c>
      <c r="AH1449" s="1631">
        <f t="shared" si="1823"/>
        <v>5.2874803672786241E-2</v>
      </c>
      <c r="AI1449" s="1631">
        <f t="shared" si="1823"/>
        <v>7.3658317089389524E-2</v>
      </c>
      <c r="AJ1449" s="1631">
        <f t="shared" si="1823"/>
        <v>6.4123160276986432E-2</v>
      </c>
      <c r="AK1449" s="1631">
        <f t="shared" si="1823"/>
        <v>7.9978339454194594E-2</v>
      </c>
      <c r="AL1449" s="1631">
        <f t="shared" si="1823"/>
        <v>6.3869616901148882E-2</v>
      </c>
      <c r="AM1449" s="1631">
        <f t="shared" si="1810"/>
        <v>3.4058541643991046E-2</v>
      </c>
      <c r="AN1449" s="1631">
        <f t="shared" si="1810"/>
        <v>2.3866741968078566E-2</v>
      </c>
      <c r="AO1449" s="1631">
        <f t="shared" si="1810"/>
        <v>9.1526697766787825E-3</v>
      </c>
      <c r="AP1449" s="1631">
        <f t="shared" ref="AP1449:AT1449" si="1824">AP1362/AP$402</f>
        <v>1.3635564148220446E-2</v>
      </c>
      <c r="AQ1449" s="1631">
        <f t="shared" si="1824"/>
        <v>-3.6875486305835571E-2</v>
      </c>
      <c r="AR1449" s="1631">
        <f t="shared" si="1824"/>
        <v>-1.1651396902583606E-2</v>
      </c>
      <c r="AS1449" s="1631">
        <f t="shared" si="1824"/>
        <v>-5.7500044699581684E-2</v>
      </c>
      <c r="AT1449" s="1631">
        <f t="shared" si="1824"/>
        <v>-6.0040643505242401E-2</v>
      </c>
    </row>
    <row r="1450" spans="1:46">
      <c r="A1450" s="1"/>
      <c r="B1450" s="1"/>
      <c r="C1450" s="1"/>
      <c r="D1450" s="531" t="s">
        <v>3372</v>
      </c>
      <c r="E1450" s="530"/>
      <c r="F1450" s="530"/>
      <c r="G1450" s="530"/>
      <c r="H1450" s="530"/>
      <c r="I1450" s="530"/>
      <c r="J1450" s="530"/>
      <c r="K1450" s="530"/>
      <c r="L1450" s="530"/>
      <c r="M1450" s="530"/>
      <c r="N1450" s="530"/>
      <c r="O1450" s="530"/>
      <c r="P1450" s="530"/>
      <c r="Q1450" s="530"/>
      <c r="R1450" s="530"/>
      <c r="S1450" s="530"/>
      <c r="T1450" s="530"/>
      <c r="U1450" s="530"/>
      <c r="V1450" s="1631"/>
      <c r="W1450" s="1631"/>
      <c r="X1450" s="1631"/>
      <c r="Y1450" s="1631"/>
      <c r="Z1450" s="1631"/>
      <c r="AA1450" s="1631"/>
      <c r="AB1450" s="1631"/>
      <c r="AC1450" s="1631"/>
      <c r="AD1450" s="1631">
        <f t="shared" ref="AD1450:AM1450" si="1825">AD1363/AD$402</f>
        <v>3.0058328596258514E-2</v>
      </c>
      <c r="AE1450" s="1631">
        <f t="shared" si="1825"/>
        <v>7.6811352054970722E-2</v>
      </c>
      <c r="AF1450" s="1631">
        <f t="shared" si="1825"/>
        <v>3.3401970849496435E-2</v>
      </c>
      <c r="AG1450" s="1631">
        <f t="shared" si="1825"/>
        <v>6.9372035796178164E-2</v>
      </c>
      <c r="AH1450" s="1631">
        <f t="shared" si="1825"/>
        <v>3.5011896385458097E-2</v>
      </c>
      <c r="AI1450" s="1631">
        <f t="shared" si="1825"/>
        <v>4.4624138289135945E-2</v>
      </c>
      <c r="AJ1450" s="1631">
        <f t="shared" si="1825"/>
        <v>4.3131160310456926E-2</v>
      </c>
      <c r="AK1450" s="1631">
        <f t="shared" si="1825"/>
        <v>6.7518891550024052E-2</v>
      </c>
      <c r="AL1450" s="1631">
        <f t="shared" si="1825"/>
        <v>5.5854993120756903E-2</v>
      </c>
      <c r="AM1450" s="1631">
        <f t="shared" si="1825"/>
        <v>2.8896033309166413E-2</v>
      </c>
      <c r="AN1450" s="1631">
        <f t="shared" ref="AN1450:AO1450" si="1826">AN1363/AN$402</f>
        <v>2.1456819516014636E-2</v>
      </c>
      <c r="AO1450" s="1631">
        <f t="shared" si="1826"/>
        <v>9.9003653603629439E-3</v>
      </c>
      <c r="AP1450" s="1631">
        <f t="shared" ref="AP1450:AT1450" si="1827">AP1363/AP$402</f>
        <v>1.515310805551914E-2</v>
      </c>
      <c r="AQ1450" s="1631">
        <f t="shared" si="1827"/>
        <v>1.2555016969258145E-2</v>
      </c>
      <c r="AR1450" s="1631">
        <f t="shared" si="1827"/>
        <v>1.2315598904895871E-2</v>
      </c>
      <c r="AS1450" s="1631">
        <f t="shared" si="1827"/>
        <v>4.7901630783060374E-2</v>
      </c>
      <c r="AT1450" s="1631">
        <f t="shared" si="1827"/>
        <v>5.0876145585657923E-2</v>
      </c>
    </row>
    <row r="1451" spans="1:46">
      <c r="A1451" s="1"/>
      <c r="B1451" s="1"/>
      <c r="C1451" s="1"/>
      <c r="D1451" s="1606" t="s">
        <v>3172</v>
      </c>
      <c r="E1451" s="530"/>
      <c r="F1451" s="530"/>
      <c r="G1451" s="530"/>
      <c r="H1451" s="530"/>
      <c r="I1451" s="530"/>
      <c r="J1451" s="530"/>
      <c r="K1451" s="530"/>
      <c r="L1451" s="530"/>
      <c r="M1451" s="530"/>
      <c r="N1451" s="530"/>
      <c r="O1451" s="530"/>
      <c r="P1451" s="530"/>
      <c r="Q1451" s="530"/>
      <c r="R1451" s="530"/>
      <c r="S1451" s="530"/>
      <c r="T1451" s="530"/>
      <c r="U1451" s="530"/>
      <c r="V1451" s="1631"/>
      <c r="W1451" s="1631"/>
      <c r="X1451" s="1631"/>
      <c r="Y1451" s="1631"/>
      <c r="Z1451" s="1631"/>
      <c r="AA1451" s="1631"/>
      <c r="AB1451" s="1631"/>
      <c r="AC1451" s="1631"/>
      <c r="AD1451" s="1631">
        <f>AD1364/AD$402</f>
        <v>0</v>
      </c>
      <c r="AE1451" s="1631">
        <f t="shared" ref="AE1451:AM1451" si="1828">AE1364/AE$402</f>
        <v>0</v>
      </c>
      <c r="AF1451" s="1631">
        <f t="shared" si="1828"/>
        <v>0</v>
      </c>
      <c r="AG1451" s="1631">
        <f t="shared" si="1828"/>
        <v>0</v>
      </c>
      <c r="AH1451" s="1631">
        <f t="shared" si="1828"/>
        <v>0</v>
      </c>
      <c r="AI1451" s="1631">
        <f t="shared" si="1828"/>
        <v>0</v>
      </c>
      <c r="AJ1451" s="1631">
        <f t="shared" si="1828"/>
        <v>0</v>
      </c>
      <c r="AK1451" s="1631">
        <f t="shared" si="1828"/>
        <v>0</v>
      </c>
      <c r="AL1451" s="1631">
        <f t="shared" si="1828"/>
        <v>4.528251341084635E-3</v>
      </c>
      <c r="AM1451" s="1631">
        <f t="shared" si="1828"/>
        <v>5.9570287383979006E-4</v>
      </c>
      <c r="AN1451" s="1631">
        <f t="shared" ref="AN1451:AO1451" si="1829">AN1364/AN$402</f>
        <v>4.4812349257360874E-3</v>
      </c>
      <c r="AO1451" s="1631">
        <f t="shared" si="1829"/>
        <v>4.1629022304164832E-3</v>
      </c>
      <c r="AP1451" s="1631">
        <f t="shared" ref="AP1451:AT1451" si="1830">AP1364/AP$402</f>
        <v>3.5562476276115879E-3</v>
      </c>
      <c r="AQ1451" s="1631">
        <f t="shared" si="1830"/>
        <v>3.85708057303134E-3</v>
      </c>
      <c r="AR1451" s="1631">
        <f t="shared" si="1830"/>
        <v>3.4914261010137019E-3</v>
      </c>
      <c r="AS1451" s="1631">
        <f t="shared" si="1830"/>
        <v>1.3584361793532002E-2</v>
      </c>
      <c r="AT1451" s="1631">
        <f t="shared" si="1830"/>
        <v>1.4525078847734092E-2</v>
      </c>
    </row>
    <row r="1452" spans="1:46">
      <c r="A1452" s="1"/>
      <c r="B1452" s="1"/>
      <c r="C1452" s="1"/>
      <c r="D1452" s="531" t="s">
        <v>3373</v>
      </c>
      <c r="E1452" s="530"/>
      <c r="F1452" s="530"/>
      <c r="G1452" s="530"/>
      <c r="H1452" s="530"/>
      <c r="I1452" s="530"/>
      <c r="J1452" s="530"/>
      <c r="K1452" s="530"/>
      <c r="L1452" s="530"/>
      <c r="M1452" s="530"/>
      <c r="N1452" s="530"/>
      <c r="O1452" s="530"/>
      <c r="P1452" s="530"/>
      <c r="Q1452" s="530"/>
      <c r="R1452" s="530"/>
      <c r="S1452" s="530"/>
      <c r="T1452" s="530"/>
      <c r="U1452" s="530"/>
      <c r="V1452" s="1631"/>
      <c r="W1452" s="1631"/>
      <c r="X1452" s="1631"/>
      <c r="Y1452" s="1631"/>
      <c r="Z1452" s="1631"/>
      <c r="AA1452" s="1631"/>
      <c r="AB1452" s="1631"/>
      <c r="AC1452" s="1631"/>
      <c r="AD1452" s="1631">
        <f t="shared" ref="AD1452:AM1452" si="1831">AD1365/AD$402</f>
        <v>2.4653414113284238E-2</v>
      </c>
      <c r="AE1452" s="1631">
        <f t="shared" si="1831"/>
        <v>3.0680913136172595E-2</v>
      </c>
      <c r="AF1452" s="1631">
        <f t="shared" si="1831"/>
        <v>3.8026486013913834E-2</v>
      </c>
      <c r="AG1452" s="1631">
        <f t="shared" si="1831"/>
        <v>3.4310350571319391E-2</v>
      </c>
      <c r="AH1452" s="1631">
        <f t="shared" si="1831"/>
        <v>2.7890375640132428E-2</v>
      </c>
      <c r="AI1452" s="1631">
        <f t="shared" si="1831"/>
        <v>3.6063097142973399E-2</v>
      </c>
      <c r="AJ1452" s="1631">
        <f t="shared" si="1831"/>
        <v>3.0382552006697941E-2</v>
      </c>
      <c r="AK1452" s="1631">
        <f t="shared" si="1831"/>
        <v>2.7471155646366416E-2</v>
      </c>
      <c r="AL1452" s="1631">
        <f t="shared" si="1831"/>
        <v>2.7035864604592032E-2</v>
      </c>
      <c r="AM1452" s="1631">
        <f t="shared" si="1831"/>
        <v>2.6338868589778949E-2</v>
      </c>
      <c r="AN1452" s="1631">
        <f t="shared" ref="AN1452:AO1452" si="1832">AN1365/AN$402</f>
        <v>2.6811090863303914E-2</v>
      </c>
      <c r="AO1452" s="1631">
        <f t="shared" si="1832"/>
        <v>2.6941034976669834E-2</v>
      </c>
      <c r="AP1452" s="1631">
        <f t="shared" ref="AP1452:AT1452" si="1833">AP1365/AP$402</f>
        <v>2.6197504704216008E-2</v>
      </c>
      <c r="AQ1452" s="1631">
        <f t="shared" si="1833"/>
        <v>1.0230452585159804E-2</v>
      </c>
      <c r="AR1452" s="1631">
        <f t="shared" si="1833"/>
        <v>2.2267899427259614E-3</v>
      </c>
      <c r="AS1452" s="1631">
        <f t="shared" si="1833"/>
        <v>2.5273636752638708E-3</v>
      </c>
      <c r="AT1452" s="1631">
        <f t="shared" si="1833"/>
        <v>0</v>
      </c>
    </row>
    <row r="1453" spans="1:46">
      <c r="A1453" s="1"/>
      <c r="B1453" s="1"/>
      <c r="C1453" s="1"/>
      <c r="D1453" s="531" t="s">
        <v>3374</v>
      </c>
      <c r="E1453" s="530"/>
      <c r="F1453" s="530"/>
      <c r="G1453" s="530"/>
      <c r="H1453" s="530"/>
      <c r="I1453" s="530"/>
      <c r="J1453" s="530"/>
      <c r="K1453" s="530"/>
      <c r="L1453" s="530"/>
      <c r="M1453" s="530"/>
      <c r="N1453" s="530"/>
      <c r="O1453" s="530"/>
      <c r="P1453" s="530"/>
      <c r="Q1453" s="530"/>
      <c r="R1453" s="530"/>
      <c r="S1453" s="530"/>
      <c r="T1453" s="530"/>
      <c r="U1453" s="530"/>
      <c r="V1453" s="1631"/>
      <c r="W1453" s="1631"/>
      <c r="X1453" s="1631"/>
      <c r="Y1453" s="1631"/>
      <c r="Z1453" s="1631"/>
      <c r="AA1453" s="1631"/>
      <c r="AB1453" s="1631"/>
      <c r="AC1453" s="1631"/>
      <c r="AD1453" s="1631">
        <f t="shared" ref="AD1453:AM1453" si="1834">AD1366/AD$402</f>
        <v>3.2880254987440083E-3</v>
      </c>
      <c r="AE1453" s="1631">
        <f t="shared" si="1834"/>
        <v>5.849425687829991E-3</v>
      </c>
      <c r="AF1453" s="1631">
        <f t="shared" si="1834"/>
        <v>7.4354240399766474E-3</v>
      </c>
      <c r="AG1453" s="1631">
        <f t="shared" si="1834"/>
        <v>7.9305783482677382E-3</v>
      </c>
      <c r="AH1453" s="1631">
        <f t="shared" si="1834"/>
        <v>5.5729313850441751E-3</v>
      </c>
      <c r="AI1453" s="1631">
        <f t="shared" si="1834"/>
        <v>7.028918342719812E-3</v>
      </c>
      <c r="AJ1453" s="1631">
        <f t="shared" si="1834"/>
        <v>9.3905520401684432E-3</v>
      </c>
      <c r="AK1453" s="1631">
        <f t="shared" si="1834"/>
        <v>1.501170774219587E-2</v>
      </c>
      <c r="AL1453" s="1631">
        <f t="shared" si="1834"/>
        <v>1.9021240824200057E-2</v>
      </c>
      <c r="AM1453" s="1631">
        <f t="shared" si="1834"/>
        <v>2.1176360254954316E-2</v>
      </c>
      <c r="AN1453" s="1631">
        <f t="shared" ref="AN1453:AO1453" si="1835">AN1366/AN$402</f>
        <v>2.440116841123998E-2</v>
      </c>
      <c r="AO1453" s="1631">
        <f t="shared" si="1835"/>
        <v>2.7688730560353994E-2</v>
      </c>
      <c r="AP1453" s="1631">
        <f t="shared" ref="AP1453:AT1453" si="1836">AP1366/AP$402</f>
        <v>2.7715048611514703E-2</v>
      </c>
      <c r="AQ1453" s="1631">
        <f t="shared" si="1836"/>
        <v>5.9660955860253516E-2</v>
      </c>
      <c r="AR1453" s="1631">
        <f t="shared" si="1836"/>
        <v>2.6193785750205437E-2</v>
      </c>
      <c r="AS1453" s="1631">
        <f t="shared" si="1836"/>
        <v>0.10792903915790593</v>
      </c>
      <c r="AT1453" s="1631">
        <f t="shared" si="1836"/>
        <v>0.11091678909090033</v>
      </c>
    </row>
    <row r="1454" spans="1:46" ht="16" thickBot="1">
      <c r="A1454" s="1"/>
      <c r="B1454" s="1"/>
      <c r="C1454" s="1"/>
      <c r="D1454" s="532" t="s">
        <v>612</v>
      </c>
      <c r="E1454" s="532"/>
      <c r="F1454" s="530"/>
      <c r="G1454" s="530"/>
      <c r="H1454" s="530"/>
      <c r="I1454" s="530"/>
      <c r="J1454" s="530"/>
      <c r="K1454" s="530"/>
      <c r="L1454" s="530"/>
      <c r="M1454" s="530"/>
      <c r="N1454" s="530"/>
      <c r="O1454" s="530"/>
      <c r="P1454" s="530"/>
      <c r="Q1454" s="530"/>
      <c r="R1454" s="530"/>
      <c r="S1454" s="530"/>
      <c r="T1454" s="530"/>
      <c r="U1454" s="532"/>
      <c r="V1454" s="1632">
        <f t="shared" ref="V1454:AC1454" si="1837">V1367/V$402</f>
        <v>-6.9544397549450562E-2</v>
      </c>
      <c r="W1454" s="1632">
        <f t="shared" si="1837"/>
        <v>-6.861016949152543E-2</v>
      </c>
      <c r="X1454" s="1632">
        <f t="shared" si="1837"/>
        <v>-0.13142120171137267</v>
      </c>
      <c r="Y1454" s="1632">
        <f t="shared" si="1837"/>
        <v>-2.6821869682428504E-2</v>
      </c>
      <c r="Z1454" s="1632">
        <f t="shared" si="1837"/>
        <v>1.6134023884321783E-2</v>
      </c>
      <c r="AA1454" s="1632">
        <f t="shared" si="1837"/>
        <v>2.6839483127945832E-2</v>
      </c>
      <c r="AB1454" s="1632">
        <f t="shared" si="1837"/>
        <v>2.3812809320362459E-3</v>
      </c>
      <c r="AC1454" s="1632">
        <f t="shared" si="1837"/>
        <v>4.5153474122826475E-3</v>
      </c>
      <c r="AD1454" s="1632">
        <f t="shared" ref="AD1454:AL1454" si="1838">AD1367/AD$402</f>
        <v>-3.3110654836263293E-3</v>
      </c>
      <c r="AE1454" s="1631">
        <f t="shared" si="1838"/>
        <v>-2.6281239390958764E-4</v>
      </c>
      <c r="AF1454" s="1631">
        <f t="shared" si="1838"/>
        <v>-2.1628884433289599E-3</v>
      </c>
      <c r="AG1454" s="1631">
        <f t="shared" si="1838"/>
        <v>-3.084368937304482E-3</v>
      </c>
      <c r="AH1454" s="1631">
        <f t="shared" si="1838"/>
        <v>-1.3205555154385731E-3</v>
      </c>
      <c r="AI1454" s="1631">
        <f t="shared" si="1838"/>
        <v>4.699714079862586E-3</v>
      </c>
      <c r="AJ1454" s="1631">
        <f t="shared" si="1838"/>
        <v>0</v>
      </c>
      <c r="AK1454" s="1631">
        <f t="shared" si="1838"/>
        <v>0</v>
      </c>
      <c r="AL1454" s="1631">
        <f t="shared" si="1838"/>
        <v>0</v>
      </c>
      <c r="AM1454" s="1631">
        <f>AM1367/AM$402</f>
        <v>0</v>
      </c>
      <c r="AN1454" s="1631">
        <f t="shared" ref="AN1454:AO1454" si="1839">AN1367/AN$402</f>
        <v>0</v>
      </c>
      <c r="AO1454" s="1631">
        <f t="shared" si="1839"/>
        <v>0</v>
      </c>
      <c r="AP1454" s="1631">
        <f t="shared" ref="AP1454:AT1454" si="1840">AP1367/AP$402</f>
        <v>0</v>
      </c>
      <c r="AQ1454" s="1631">
        <f t="shared" si="1840"/>
        <v>0</v>
      </c>
      <c r="AR1454" s="1631">
        <f t="shared" si="1840"/>
        <v>0</v>
      </c>
      <c r="AS1454" s="1631">
        <f t="shared" si="1840"/>
        <v>0</v>
      </c>
      <c r="AT1454" s="1631">
        <f t="shared" si="1840"/>
        <v>0</v>
      </c>
    </row>
    <row r="1455" spans="1:46" ht="16.5" thickTop="1" thickBot="1">
      <c r="A1455" s="1"/>
      <c r="B1455" s="1"/>
      <c r="C1455" s="1"/>
      <c r="D1455" s="1630" t="str">
        <f>D1368</f>
        <v xml:space="preserve">Total COVID-19 </v>
      </c>
      <c r="E1455" s="530"/>
      <c r="F1455" s="530"/>
      <c r="G1455" s="530"/>
      <c r="H1455" s="530"/>
      <c r="I1455" s="530"/>
      <c r="J1455" s="530"/>
      <c r="K1455" s="530"/>
      <c r="L1455" s="530"/>
      <c r="M1455" s="530"/>
      <c r="N1455" s="530"/>
      <c r="O1455" s="530"/>
      <c r="P1455" s="530"/>
      <c r="Q1455" s="530"/>
      <c r="R1455" s="530"/>
      <c r="S1455" s="530"/>
      <c r="T1455" s="530"/>
      <c r="U1455" s="530"/>
      <c r="V1455" s="526"/>
      <c r="W1455" s="526"/>
      <c r="X1455" s="526"/>
      <c r="Y1455" s="526"/>
      <c r="Z1455" s="526"/>
      <c r="AA1455" s="526"/>
      <c r="AB1455" s="526"/>
      <c r="AC1455" s="526"/>
      <c r="AD1455" s="526"/>
      <c r="AE1455" s="1819">
        <f t="shared" ref="AE1455:AL1455" si="1841">AE1368/AE$402</f>
        <v>2.1398919760920523E-2</v>
      </c>
      <c r="AF1455" s="1820">
        <f t="shared" si="1841"/>
        <v>5.2788903860449231E-3</v>
      </c>
      <c r="AG1455" s="1820">
        <f t="shared" si="1841"/>
        <v>0</v>
      </c>
      <c r="AH1455" s="1820">
        <f t="shared" si="1841"/>
        <v>0</v>
      </c>
      <c r="AI1455" s="1820">
        <f t="shared" si="1841"/>
        <v>0</v>
      </c>
      <c r="AJ1455" s="1820">
        <f t="shared" si="1841"/>
        <v>0</v>
      </c>
      <c r="AK1455" s="1820">
        <f t="shared" si="1841"/>
        <v>0</v>
      </c>
      <c r="AL1455" s="1821">
        <f t="shared" si="1841"/>
        <v>0</v>
      </c>
      <c r="AM1455" s="1821">
        <f>AM1368/AM$402</f>
        <v>0</v>
      </c>
      <c r="AN1455" s="1821">
        <f t="shared" ref="AN1455:AO1455" si="1842">AN1368/AN$402</f>
        <v>0</v>
      </c>
      <c r="AO1455" s="1821">
        <f t="shared" si="1842"/>
        <v>0</v>
      </c>
      <c r="AP1455" s="1821">
        <f t="shared" ref="AP1455:AT1455" si="1843">AP1368/AP$402</f>
        <v>0</v>
      </c>
      <c r="AQ1455" s="1821">
        <f t="shared" si="1843"/>
        <v>0</v>
      </c>
      <c r="AR1455" s="1821">
        <f t="shared" si="1843"/>
        <v>0</v>
      </c>
      <c r="AS1455" s="1821">
        <f t="shared" si="1843"/>
        <v>0</v>
      </c>
      <c r="AT1455" s="1821">
        <f t="shared" si="1843"/>
        <v>0</v>
      </c>
    </row>
    <row r="1456" spans="1:46">
      <c r="A1456" s="1"/>
      <c r="B1456" s="1"/>
      <c r="C1456" s="14"/>
      <c r="D1456" s="1630" t="str">
        <f>D1369</f>
        <v>Nominal GDP</v>
      </c>
      <c r="E1456" s="530"/>
      <c r="F1456" s="302"/>
      <c r="G1456" s="302"/>
      <c r="H1456" s="302"/>
      <c r="I1456" s="302"/>
      <c r="J1456" s="302"/>
      <c r="K1456" s="302"/>
      <c r="L1456" s="302"/>
      <c r="M1456" s="302"/>
      <c r="N1456" s="302"/>
      <c r="O1456" s="302"/>
      <c r="P1456" s="302"/>
      <c r="Q1456" s="302"/>
      <c r="R1456" s="302"/>
      <c r="S1456" s="302"/>
      <c r="T1456" s="302"/>
      <c r="U1456" s="302"/>
      <c r="V1456" s="526">
        <f>V1369</f>
        <v>3822</v>
      </c>
      <c r="W1456" s="526">
        <f t="shared" ref="W1456:AL1456" si="1844">W1369</f>
        <v>4425</v>
      </c>
      <c r="X1456" s="526">
        <f t="shared" si="1844"/>
        <v>4908</v>
      </c>
      <c r="Y1456" s="526">
        <f t="shared" si="1844"/>
        <v>5337</v>
      </c>
      <c r="Z1456" s="526">
        <f t="shared" si="1844"/>
        <v>5835</v>
      </c>
      <c r="AA1456" s="526">
        <f t="shared" si="1844"/>
        <v>6553</v>
      </c>
      <c r="AB1456" s="526">
        <f t="shared" si="1844"/>
        <v>7234</v>
      </c>
      <c r="AC1456" s="526">
        <f t="shared" si="1844"/>
        <v>8016</v>
      </c>
      <c r="AD1456" s="526">
        <f t="shared" si="1844"/>
        <v>8718</v>
      </c>
      <c r="AE1456" s="526">
        <f t="shared" si="1844"/>
        <v>9386</v>
      </c>
      <c r="AF1456" s="526">
        <f t="shared" si="1844"/>
        <v>10271</v>
      </c>
      <c r="AG1456" s="526">
        <f t="shared" si="1844"/>
        <v>11998</v>
      </c>
      <c r="AH1456" s="526">
        <f t="shared" si="1844"/>
        <v>15291</v>
      </c>
      <c r="AI1456" s="526">
        <f t="shared" si="1844"/>
        <v>17747</v>
      </c>
      <c r="AJ1456" s="526">
        <f t="shared" si="1844"/>
        <v>20033.689823079447</v>
      </c>
      <c r="AK1456" s="526">
        <f t="shared" si="1844"/>
        <v>22653.476238318653</v>
      </c>
      <c r="AL1456" s="526">
        <f t="shared" si="1844"/>
        <v>25562.479815704588</v>
      </c>
      <c r="AM1456" s="526">
        <f>AM1369</f>
        <v>28775.072036619156</v>
      </c>
      <c r="AN1456" s="526">
        <f t="shared" ref="AN1456:AT1456" si="1845">AN1369</f>
        <v>32333.408394979382</v>
      </c>
      <c r="AO1456" s="526">
        <f t="shared" si="1845"/>
        <v>36327.523609205775</v>
      </c>
      <c r="AP1456" s="526">
        <f t="shared" si="1845"/>
        <v>38640.830182019621</v>
      </c>
      <c r="AQ1456" s="526">
        <f t="shared" si="1845"/>
        <v>40782.660468080794</v>
      </c>
      <c r="AR1456" s="526">
        <f t="shared" si="1845"/>
        <v>47526.146899255873</v>
      </c>
      <c r="AS1456" s="526">
        <f t="shared" si="1845"/>
        <v>12574.344308625654</v>
      </c>
      <c r="AT1456" s="526">
        <f t="shared" si="1845"/>
        <v>12574.344308625654</v>
      </c>
    </row>
    <row r="1457" spans="1:46">
      <c r="A1457" s="1"/>
      <c r="B1457" s="1"/>
      <c r="C1457" s="14"/>
      <c r="D1457" s="1630" t="str">
        <f>D1370</f>
        <v>Exchange rate</v>
      </c>
      <c r="E1457" s="530"/>
      <c r="F1457" s="302"/>
      <c r="G1457" s="302"/>
      <c r="H1457" s="302"/>
      <c r="I1457" s="302"/>
      <c r="J1457" s="302"/>
      <c r="K1457" s="302"/>
      <c r="L1457" s="302"/>
      <c r="M1457" s="302"/>
      <c r="N1457" s="302"/>
      <c r="O1457" s="302"/>
      <c r="P1457" s="302"/>
      <c r="Q1457" s="302"/>
      <c r="R1457" s="302"/>
      <c r="S1457" s="302"/>
      <c r="T1457" s="302"/>
      <c r="U1457" s="302"/>
      <c r="V1457" s="526">
        <f>V1370</f>
        <v>595.00815743287831</v>
      </c>
      <c r="W1457" s="526">
        <f t="shared" ref="W1457:AL1457" si="1846">W1370</f>
        <v>604.02286436978932</v>
      </c>
      <c r="X1457" s="526">
        <f t="shared" si="1846"/>
        <v>629.03578330305425</v>
      </c>
      <c r="Y1457" s="526">
        <f t="shared" si="1846"/>
        <v>667.12013173404773</v>
      </c>
      <c r="Z1457" s="526">
        <f t="shared" si="1846"/>
        <v>688.8</v>
      </c>
      <c r="AA1457" s="526">
        <f t="shared" si="1846"/>
        <v>749.6392051420986</v>
      </c>
      <c r="AB1457" s="526">
        <f t="shared" si="1846"/>
        <v>817.95751141666676</v>
      </c>
      <c r="AC1457" s="526">
        <f t="shared" si="1846"/>
        <v>846.28291674999991</v>
      </c>
      <c r="AD1457" s="526">
        <f t="shared" si="1846"/>
        <v>880.72263841666665</v>
      </c>
      <c r="AE1457" s="526">
        <f t="shared" si="1846"/>
        <v>921.71570749999989</v>
      </c>
      <c r="AF1457" s="526">
        <f t="shared" si="1846"/>
        <v>969.96516758333337</v>
      </c>
      <c r="AG1457" s="526">
        <f t="shared" si="1846"/>
        <v>1008.0094528181818</v>
      </c>
      <c r="AH1457" s="526">
        <f t="shared" si="1846"/>
        <v>1081.0623201800001</v>
      </c>
      <c r="AI1457" s="526">
        <f t="shared" si="1846"/>
        <v>1256.9432939166666</v>
      </c>
      <c r="AJ1457" s="526">
        <f t="shared" si="1846"/>
        <v>1381.5534043048333</v>
      </c>
      <c r="AK1457" s="526">
        <f t="shared" si="1846"/>
        <v>1496.787146930141</v>
      </c>
      <c r="AL1457" s="526">
        <f t="shared" si="1846"/>
        <v>1607.6851875960167</v>
      </c>
      <c r="AM1457" s="526">
        <f>AM1370</f>
        <v>1714.1393107161011</v>
      </c>
      <c r="AN1457" s="526">
        <f t="shared" ref="AN1457:AT1457" si="1847">AN1370</f>
        <v>1811.1699870958753</v>
      </c>
      <c r="AO1457" s="526">
        <f t="shared" si="1847"/>
        <v>1890.3491132283773</v>
      </c>
      <c r="AP1457" s="526">
        <f t="shared" si="1847"/>
        <v>1963.0908666249932</v>
      </c>
      <c r="AQ1457" s="526">
        <f t="shared" si="1847"/>
        <v>2051.7653140169696</v>
      </c>
      <c r="AR1457" s="526">
        <f t="shared" si="1847"/>
        <v>2196.1856880618539</v>
      </c>
      <c r="AS1457" s="526">
        <f t="shared" si="1847"/>
        <v>2305.9949724649468</v>
      </c>
      <c r="AT1457" s="526">
        <f t="shared" si="1847"/>
        <v>2421.2947210881944</v>
      </c>
    </row>
    <row r="1458" spans="1:46">
      <c r="A1458" s="1"/>
      <c r="B1458" s="1"/>
      <c r="C1458" s="14"/>
      <c r="D1458" s="487" t="s">
        <v>3603</v>
      </c>
      <c r="E1458" s="302"/>
      <c r="F1458" s="302"/>
      <c r="G1458" s="302"/>
      <c r="H1458" s="302"/>
      <c r="I1458" s="302"/>
      <c r="J1458" s="302"/>
      <c r="K1458" s="302"/>
      <c r="L1458" s="302"/>
      <c r="M1458" s="302"/>
      <c r="N1458" s="302"/>
      <c r="O1458" s="302"/>
      <c r="P1458" s="302"/>
      <c r="Q1458" s="302"/>
      <c r="R1458" s="302"/>
      <c r="S1458" s="302"/>
      <c r="T1458" s="302"/>
      <c r="U1458" s="302"/>
      <c r="V1458" s="302"/>
      <c r="W1458" s="302"/>
      <c r="X1458" s="302"/>
      <c r="Y1458" s="302"/>
      <c r="Z1458" s="302"/>
      <c r="AA1458" s="302"/>
      <c r="AB1458" s="302"/>
      <c r="AC1458" s="302"/>
      <c r="AD1458" s="302"/>
      <c r="AE1458" s="302"/>
      <c r="AL1458" s="14"/>
      <c r="AM1458" s="14"/>
      <c r="AN1458" s="14"/>
      <c r="AO1458" s="14"/>
      <c r="AP1458" s="14"/>
      <c r="AQ1458" s="14"/>
      <c r="AR1458" s="14"/>
      <c r="AS1458" s="14"/>
      <c r="AT1458" s="14"/>
    </row>
    <row r="1459" spans="1:46">
      <c r="A1459" s="1"/>
      <c r="B1459" s="1"/>
      <c r="C1459" s="14"/>
      <c r="D1459" s="302"/>
      <c r="E1459" s="302"/>
      <c r="F1459" s="302"/>
      <c r="G1459" s="302"/>
      <c r="H1459" s="302"/>
      <c r="I1459" s="302"/>
      <c r="J1459" s="302"/>
      <c r="K1459" s="302"/>
      <c r="L1459" s="302"/>
      <c r="M1459" s="302"/>
      <c r="N1459" s="302"/>
      <c r="O1459" s="302"/>
      <c r="P1459" s="302"/>
      <c r="Q1459" s="302"/>
      <c r="R1459" s="302"/>
      <c r="S1459" s="302"/>
      <c r="T1459" s="302"/>
      <c r="U1459" s="302"/>
      <c r="V1459" s="302"/>
      <c r="W1459" s="302"/>
      <c r="X1459" s="302"/>
      <c r="Y1459" s="302"/>
      <c r="Z1459" s="302"/>
      <c r="AA1459" s="302"/>
      <c r="AB1459" s="302"/>
      <c r="AC1459" s="302"/>
      <c r="AD1459" s="302"/>
      <c r="AE1459" s="302"/>
      <c r="AL1459" s="14"/>
      <c r="AM1459" s="14"/>
      <c r="AN1459" s="14"/>
      <c r="AO1459" s="14"/>
      <c r="AP1459" s="14"/>
      <c r="AQ1459" s="14"/>
      <c r="AR1459" s="14"/>
      <c r="AS1459" s="14"/>
      <c r="AT1459" s="14"/>
    </row>
    <row r="1460" spans="1:46">
      <c r="A1460" s="1"/>
      <c r="B1460" s="1"/>
      <c r="C1460" s="1"/>
      <c r="D1460" s="14"/>
      <c r="E1460" s="302"/>
      <c r="F1460" s="302"/>
      <c r="G1460" s="302"/>
      <c r="H1460" s="302"/>
      <c r="I1460" s="302"/>
      <c r="J1460" s="302"/>
      <c r="K1460" s="302"/>
      <c r="L1460" s="302"/>
      <c r="M1460" s="302"/>
      <c r="N1460" s="302"/>
      <c r="O1460" s="302"/>
      <c r="P1460" s="302"/>
      <c r="Q1460" s="302"/>
      <c r="R1460" s="302"/>
      <c r="S1460" s="302"/>
      <c r="T1460" s="302"/>
      <c r="U1460" s="302"/>
      <c r="V1460" s="302"/>
      <c r="W1460" s="302"/>
      <c r="X1460" s="302"/>
      <c r="Y1460" s="302"/>
      <c r="Z1460" s="302"/>
      <c r="AA1460" s="302"/>
      <c r="AB1460" s="302"/>
      <c r="AC1460" s="302"/>
      <c r="AD1460" s="302"/>
      <c r="AE1460" s="302"/>
      <c r="AF1460" s="302"/>
      <c r="AG1460" s="1746"/>
      <c r="AH1460" s="302"/>
      <c r="AI1460" s="302"/>
    </row>
    <row r="1461" spans="1:46" ht="16" thickBot="1">
      <c r="A1461" s="1"/>
      <c r="B1461" s="1"/>
      <c r="C1461" s="1"/>
      <c r="D1461" s="487" t="s">
        <v>672</v>
      </c>
      <c r="E1461" s="14"/>
      <c r="F1461" s="14"/>
      <c r="G1461" s="14"/>
      <c r="H1461" s="14"/>
      <c r="I1461" s="14"/>
      <c r="J1461" s="14"/>
      <c r="K1461" s="14"/>
      <c r="L1461" s="14"/>
      <c r="M1461" s="14"/>
      <c r="N1461" s="14"/>
      <c r="O1461" s="14"/>
      <c r="P1461" s="14"/>
      <c r="Q1461" s="14"/>
      <c r="R1461" s="14"/>
      <c r="S1461" s="14"/>
      <c r="T1461" s="14"/>
      <c r="U1461" s="14"/>
      <c r="V1461" s="1463"/>
      <c r="W1461" s="1463"/>
      <c r="X1461" s="14"/>
      <c r="Y1461" s="14"/>
      <c r="Z1461" s="14"/>
      <c r="AA1461" s="14"/>
      <c r="AB1461" s="14"/>
      <c r="AC1461" s="14"/>
      <c r="AD1461" s="14"/>
      <c r="AE1461" s="14"/>
    </row>
    <row r="1462" spans="1:46">
      <c r="A1462" s="1"/>
      <c r="B1462" s="1"/>
      <c r="C1462" s="1"/>
      <c r="D1462" s="401" t="s">
        <v>940</v>
      </c>
      <c r="E1462" s="402"/>
      <c r="F1462" s="402"/>
      <c r="G1462" s="402"/>
      <c r="H1462" s="402"/>
      <c r="I1462" s="402"/>
      <c r="J1462" s="402"/>
      <c r="K1462" s="402"/>
      <c r="L1462" s="402"/>
      <c r="M1462" s="402"/>
      <c r="N1462" s="402"/>
      <c r="O1462" s="402"/>
      <c r="P1462" s="402"/>
      <c r="Q1462" s="402"/>
      <c r="R1462" s="402"/>
      <c r="S1462" s="402"/>
      <c r="T1462" s="402"/>
      <c r="U1462" s="402"/>
      <c r="V1462" s="402"/>
      <c r="W1462" s="402"/>
      <c r="X1462" s="402"/>
      <c r="Y1462" s="480" t="str">
        <f>+Z283</f>
        <v>2014/15</v>
      </c>
      <c r="Z1462" s="403" t="s">
        <v>199</v>
      </c>
      <c r="AA1462" s="403" t="str">
        <f>+AA283</f>
        <v>2015/16</v>
      </c>
      <c r="AB1462" s="403" t="str">
        <f>+AB283</f>
        <v>2016/17</v>
      </c>
      <c r="AC1462" s="403" t="str">
        <f>+AC283</f>
        <v>2017/18</v>
      </c>
      <c r="AD1462" s="403" t="str">
        <f>+AD283</f>
        <v>2018/19</v>
      </c>
      <c r="AE1462" s="404"/>
    </row>
    <row r="1463" spans="1:46">
      <c r="A1463" s="1"/>
      <c r="B1463" s="1"/>
      <c r="C1463" s="1"/>
      <c r="D1463" s="405"/>
      <c r="E1463" s="406"/>
      <c r="F1463" s="406"/>
      <c r="G1463" s="406"/>
      <c r="H1463" s="406"/>
      <c r="I1463" s="406"/>
      <c r="J1463" s="406"/>
      <c r="K1463" s="406"/>
      <c r="L1463" s="406"/>
      <c r="M1463" s="406"/>
      <c r="N1463" s="406"/>
      <c r="O1463" s="406"/>
      <c r="P1463" s="406"/>
      <c r="Q1463" s="406"/>
      <c r="R1463" s="406"/>
      <c r="S1463" s="406"/>
      <c r="T1463" s="406"/>
      <c r="U1463" s="406"/>
      <c r="V1463" s="406"/>
      <c r="W1463" s="406"/>
      <c r="X1463" s="406"/>
      <c r="Y1463" s="481"/>
      <c r="Z1463" s="407" t="s">
        <v>1138</v>
      </c>
      <c r="AA1463" s="407" t="s">
        <v>784</v>
      </c>
      <c r="AB1463" s="407"/>
      <c r="AC1463" s="407"/>
      <c r="AD1463" s="407"/>
      <c r="AE1463" s="408"/>
    </row>
    <row r="1464" spans="1:46">
      <c r="A1464" s="1"/>
      <c r="B1464" s="1"/>
      <c r="C1464" s="1"/>
      <c r="D1464" s="422" t="s">
        <v>615</v>
      </c>
      <c r="E1464" s="406"/>
      <c r="F1464" s="406"/>
      <c r="G1464" s="406"/>
      <c r="H1464" s="406"/>
      <c r="I1464" s="406"/>
      <c r="J1464" s="406"/>
      <c r="K1464" s="406"/>
      <c r="L1464" s="406"/>
      <c r="M1464" s="406"/>
      <c r="N1464" s="406"/>
      <c r="O1464" s="406"/>
      <c r="P1464" s="406"/>
      <c r="Q1464" s="406"/>
      <c r="R1464" s="406"/>
      <c r="S1464" s="406"/>
      <c r="T1464" s="406"/>
      <c r="U1464" s="406"/>
      <c r="V1464" s="406"/>
      <c r="W1464" s="406"/>
      <c r="X1464" s="406"/>
      <c r="Y1464" s="481"/>
      <c r="Z1464" s="409"/>
      <c r="AA1464" s="409"/>
      <c r="AB1464" s="409"/>
      <c r="AC1464" s="409"/>
      <c r="AD1464" s="409"/>
      <c r="AE1464" s="410"/>
    </row>
    <row r="1465" spans="1:46">
      <c r="A1465" s="1"/>
      <c r="B1465" s="1"/>
      <c r="C1465" s="1"/>
      <c r="D1465" s="411"/>
      <c r="E1465" s="406"/>
      <c r="F1465" s="406"/>
      <c r="G1465" s="406"/>
      <c r="H1465" s="406"/>
      <c r="I1465" s="406"/>
      <c r="J1465" s="406"/>
      <c r="K1465" s="406"/>
      <c r="L1465" s="406"/>
      <c r="M1465" s="406"/>
      <c r="N1465" s="406"/>
      <c r="O1465" s="406"/>
      <c r="P1465" s="406"/>
      <c r="Q1465" s="406"/>
      <c r="R1465" s="406"/>
      <c r="S1465" s="406"/>
      <c r="T1465" s="406"/>
      <c r="U1465" s="406"/>
      <c r="V1465" s="406"/>
      <c r="W1465" s="406"/>
      <c r="X1465" s="406"/>
      <c r="Y1465" s="482"/>
      <c r="Z1465" s="409"/>
      <c r="AA1465" s="409"/>
      <c r="AB1465" s="409"/>
      <c r="AC1465" s="409"/>
      <c r="AD1465" s="409"/>
      <c r="AE1465" s="410"/>
    </row>
    <row r="1466" spans="1:46">
      <c r="A1466" s="1"/>
      <c r="B1466" s="1"/>
      <c r="C1466" s="1"/>
      <c r="D1466" s="413" t="s">
        <v>616</v>
      </c>
      <c r="E1466" s="406"/>
      <c r="F1466" s="406"/>
      <c r="G1466" s="406"/>
      <c r="H1466" s="406"/>
      <c r="I1466" s="406"/>
      <c r="J1466" s="406"/>
      <c r="K1466" s="406"/>
      <c r="L1466" s="406"/>
      <c r="M1466" s="406"/>
      <c r="N1466" s="406"/>
      <c r="O1466" s="406"/>
      <c r="P1466" s="406"/>
      <c r="Q1466" s="406"/>
      <c r="R1466" s="406"/>
      <c r="S1466" s="406"/>
      <c r="T1466" s="406"/>
      <c r="U1466" s="406"/>
      <c r="V1466" s="406"/>
      <c r="W1466" s="406"/>
      <c r="X1466" s="406"/>
      <c r="Y1466" s="482">
        <f>+Y1467+Y1473</f>
        <v>941.60535761634821</v>
      </c>
      <c r="Z1466" s="412">
        <v>1104.0899314562478</v>
      </c>
      <c r="AA1466" s="412">
        <f>+AA1467+AA1473</f>
        <v>1127.5217330015557</v>
      </c>
      <c r="AB1466" s="412">
        <f>+AB1467+AB1473</f>
        <v>1237.6919664336174</v>
      </c>
      <c r="AC1466" s="412">
        <f>+AC1467+AC1473</f>
        <v>1407.7210520204962</v>
      </c>
      <c r="AD1466" s="412">
        <f>+AD1467+AD1473</f>
        <v>1609.5926108739234</v>
      </c>
      <c r="AE1466" s="410"/>
    </row>
    <row r="1467" spans="1:46">
      <c r="A1467" s="1"/>
      <c r="B1467" s="1"/>
      <c r="C1467" s="1"/>
      <c r="D1467" s="414" t="s">
        <v>138</v>
      </c>
      <c r="E1467" s="406"/>
      <c r="F1467" s="406"/>
      <c r="G1467" s="406"/>
      <c r="H1467" s="406"/>
      <c r="I1467" s="406"/>
      <c r="J1467" s="406"/>
      <c r="K1467" s="406"/>
      <c r="L1467" s="406"/>
      <c r="M1467" s="406"/>
      <c r="N1467" s="406"/>
      <c r="O1467" s="406"/>
      <c r="P1467" s="406"/>
      <c r="Q1467" s="406"/>
      <c r="R1467" s="406"/>
      <c r="S1467" s="406"/>
      <c r="T1467" s="406"/>
      <c r="U1467" s="406"/>
      <c r="V1467" s="406"/>
      <c r="W1467" s="406"/>
      <c r="X1467" s="406"/>
      <c r="Y1467" s="483">
        <f>+Y1469+Y1471+Y1472</f>
        <v>858.35680195800001</v>
      </c>
      <c r="Z1467" s="409">
        <v>975.21443340861276</v>
      </c>
      <c r="AA1467" s="409">
        <f>+AA1469+AA1471+AA1472</f>
        <v>986.67224544500004</v>
      </c>
      <c r="AB1467" s="409">
        <f>+AB1469+AB1471+AB1472</f>
        <v>1086.7026040552373</v>
      </c>
      <c r="AC1467" s="409">
        <f>+AC1469+AC1471+AC1472</f>
        <v>1234.0525166606189</v>
      </c>
      <c r="AD1467" s="409">
        <f>+AD1469+AD1471+AD1472</f>
        <v>1399.4219853012751</v>
      </c>
      <c r="AE1467" s="410"/>
    </row>
    <row r="1468" spans="1:46">
      <c r="A1468" s="1"/>
      <c r="B1468" s="1"/>
      <c r="C1468" s="1"/>
      <c r="D1468" s="415" t="s">
        <v>139</v>
      </c>
      <c r="E1468" s="406"/>
      <c r="F1468" s="406"/>
      <c r="G1468" s="406"/>
      <c r="H1468" s="406"/>
      <c r="I1468" s="406"/>
      <c r="J1468" s="406"/>
      <c r="K1468" s="406"/>
      <c r="L1468" s="406"/>
      <c r="M1468" s="406"/>
      <c r="N1468" s="406"/>
      <c r="O1468" s="406"/>
      <c r="P1468" s="406"/>
      <c r="Q1468" s="406"/>
      <c r="R1468" s="406"/>
      <c r="S1468" s="406"/>
      <c r="T1468" s="406"/>
      <c r="U1468" s="406"/>
      <c r="V1468" s="406"/>
      <c r="W1468" s="406"/>
      <c r="X1468" s="406"/>
      <c r="Y1468" s="483"/>
      <c r="Z1468" s="409"/>
      <c r="AA1468" s="409"/>
      <c r="AB1468" s="409"/>
      <c r="AC1468" s="409"/>
      <c r="AD1468" s="409"/>
      <c r="AE1468" s="410"/>
    </row>
    <row r="1469" spans="1:46">
      <c r="A1469" s="1"/>
      <c r="B1469" s="1"/>
      <c r="C1469" s="1"/>
      <c r="D1469" s="416" t="s">
        <v>1123</v>
      </c>
      <c r="E1469" s="406"/>
      <c r="F1469" s="406"/>
      <c r="G1469" s="406"/>
      <c r="H1469" s="406"/>
      <c r="I1469" s="406"/>
      <c r="J1469" s="406"/>
      <c r="K1469" s="406"/>
      <c r="L1469" s="406"/>
      <c r="M1469" s="406"/>
      <c r="N1469" s="406"/>
      <c r="O1469" s="406"/>
      <c r="P1469" s="406"/>
      <c r="Q1469" s="406"/>
      <c r="R1469" s="406"/>
      <c r="S1469" s="406"/>
      <c r="T1469" s="406"/>
      <c r="U1469" s="406"/>
      <c r="V1469" s="406"/>
      <c r="W1469" s="406"/>
      <c r="X1469" s="406"/>
      <c r="Y1469" s="483">
        <f>+Z676-Y1470</f>
        <v>362.5</v>
      </c>
      <c r="Z1469" s="409">
        <f>413.7-Z1470</f>
        <v>387.59999999999997</v>
      </c>
      <c r="AA1469" s="409">
        <f>+AA676-AA1470</f>
        <v>392.51720030414339</v>
      </c>
      <c r="AB1469" s="409">
        <f>+AB676-AB1470</f>
        <v>450.94295397991726</v>
      </c>
      <c r="AC1469" s="409">
        <f>+AC676-AC1470</f>
        <v>519.86378696448003</v>
      </c>
      <c r="AD1469" s="409">
        <f>+AD676-AD1470</f>
        <v>597.71460828993997</v>
      </c>
      <c r="AE1469" s="410"/>
    </row>
    <row r="1470" spans="1:46">
      <c r="A1470" s="1"/>
      <c r="B1470" s="1"/>
      <c r="C1470" s="1"/>
      <c r="D1470" s="415" t="s">
        <v>1127</v>
      </c>
      <c r="E1470" s="406"/>
      <c r="F1470" s="406"/>
      <c r="G1470" s="406"/>
      <c r="H1470" s="406"/>
      <c r="I1470" s="406"/>
      <c r="J1470" s="406"/>
      <c r="K1470" s="406"/>
      <c r="L1470" s="406"/>
      <c r="M1470" s="406"/>
      <c r="N1470" s="406"/>
      <c r="O1470" s="406"/>
      <c r="P1470" s="406"/>
      <c r="Q1470" s="406"/>
      <c r="R1470" s="406"/>
      <c r="S1470" s="406"/>
      <c r="T1470" s="406"/>
      <c r="U1470" s="406"/>
      <c r="V1470" s="406"/>
      <c r="W1470" s="406"/>
      <c r="X1470" s="406"/>
      <c r="Y1470" s="483">
        <f>+Z677</f>
        <v>13.2</v>
      </c>
      <c r="Z1470" s="990">
        <v>26.1</v>
      </c>
      <c r="AA1470" s="990">
        <f>+AA677</f>
        <v>13.641704387109074</v>
      </c>
      <c r="AB1470" s="990">
        <f>+AB677</f>
        <v>17.44054101961876</v>
      </c>
      <c r="AC1470" s="990">
        <f>+AC677</f>
        <v>18.831114429223977</v>
      </c>
      <c r="AD1470" s="990">
        <f>+AD677</f>
        <v>19.368797178000005</v>
      </c>
      <c r="AE1470" s="410"/>
    </row>
    <row r="1471" spans="1:46">
      <c r="A1471" s="1"/>
      <c r="B1471" s="1"/>
      <c r="C1471" s="1"/>
      <c r="D1471" s="416" t="s">
        <v>142</v>
      </c>
      <c r="E1471" s="406"/>
      <c r="F1471" s="406"/>
      <c r="G1471" s="406"/>
      <c r="H1471" s="406"/>
      <c r="I1471" s="406"/>
      <c r="J1471" s="406"/>
      <c r="K1471" s="406"/>
      <c r="L1471" s="406"/>
      <c r="M1471" s="406"/>
      <c r="N1471" s="406"/>
      <c r="O1471" s="406"/>
      <c r="P1471" s="406"/>
      <c r="Q1471" s="406"/>
      <c r="R1471" s="406"/>
      <c r="S1471" s="406"/>
      <c r="T1471" s="406"/>
      <c r="U1471" s="406"/>
      <c r="V1471" s="406"/>
      <c r="W1471" s="406"/>
      <c r="X1471" s="406"/>
      <c r="Y1471" s="483">
        <f>+Z679</f>
        <v>432.4</v>
      </c>
      <c r="Z1471" s="409">
        <v>486.35</v>
      </c>
      <c r="AA1471" s="409">
        <f>+AA679</f>
        <v>510.26995810122003</v>
      </c>
      <c r="AB1471" s="409">
        <f>+AB679</f>
        <v>544.55577678631994</v>
      </c>
      <c r="AC1471" s="409">
        <f>+AC679</f>
        <v>616.05744956113881</v>
      </c>
      <c r="AD1471" s="409">
        <f>+AD679</f>
        <v>689.97955689239006</v>
      </c>
      <c r="AE1471" s="410"/>
    </row>
    <row r="1472" spans="1:46">
      <c r="A1472" s="1"/>
      <c r="B1472" s="1"/>
      <c r="C1472" s="1"/>
      <c r="D1472" s="416" t="s">
        <v>144</v>
      </c>
      <c r="E1472" s="406"/>
      <c r="F1472" s="406"/>
      <c r="G1472" s="406"/>
      <c r="H1472" s="406"/>
      <c r="I1472" s="406"/>
      <c r="J1472" s="406"/>
      <c r="K1472" s="406"/>
      <c r="L1472" s="406"/>
      <c r="M1472" s="406"/>
      <c r="N1472" s="406"/>
      <c r="O1472" s="406"/>
      <c r="P1472" s="406"/>
      <c r="Q1472" s="406"/>
      <c r="R1472" s="406"/>
      <c r="S1472" s="406"/>
      <c r="T1472" s="406"/>
      <c r="U1472" s="406"/>
      <c r="V1472" s="406"/>
      <c r="W1472" s="406"/>
      <c r="X1472" s="406"/>
      <c r="Y1472" s="483">
        <f>+Z686</f>
        <v>63.456801958</v>
      </c>
      <c r="Z1472" s="409">
        <v>75.16443340861278</v>
      </c>
      <c r="AA1472" s="409">
        <f>+AA686</f>
        <v>83.885087039636574</v>
      </c>
      <c r="AB1472" s="409">
        <f>+AB686</f>
        <v>91.203873289000001</v>
      </c>
      <c r="AC1472" s="409">
        <f>+AC686</f>
        <v>98.131280134999997</v>
      </c>
      <c r="AD1472" s="409">
        <f>+AD686</f>
        <v>111.72782011894525</v>
      </c>
      <c r="AE1472" s="410"/>
    </row>
    <row r="1473" spans="1:31">
      <c r="A1473" s="1"/>
      <c r="B1473" s="1"/>
      <c r="C1473" s="1"/>
      <c r="D1473" s="414" t="s">
        <v>1124</v>
      </c>
      <c r="E1473" s="406"/>
      <c r="F1473" s="406"/>
      <c r="G1473" s="406"/>
      <c r="H1473" s="406"/>
      <c r="I1473" s="406"/>
      <c r="J1473" s="406"/>
      <c r="K1473" s="406"/>
      <c r="L1473" s="406"/>
      <c r="M1473" s="406"/>
      <c r="N1473" s="406"/>
      <c r="O1473" s="406"/>
      <c r="P1473" s="406"/>
      <c r="Q1473" s="406"/>
      <c r="R1473" s="406"/>
      <c r="S1473" s="406"/>
      <c r="T1473" s="406"/>
      <c r="U1473" s="406"/>
      <c r="V1473" s="406"/>
      <c r="W1473" s="406"/>
      <c r="X1473" s="406"/>
      <c r="Y1473" s="409">
        <f>+Y691-Y1474</f>
        <v>83.248555658348181</v>
      </c>
      <c r="Z1473" s="409">
        <f>128.875498047635-Z1474</f>
        <v>99.475498047635</v>
      </c>
      <c r="AA1473" s="409">
        <f>+AA691-AA1474</f>
        <v>140.84948755655566</v>
      </c>
      <c r="AB1473" s="409">
        <f>+AB691-AB1474</f>
        <v>150.98936237838018</v>
      </c>
      <c r="AC1473" s="409">
        <f>+AC691-AC1474</f>
        <v>173.66853535987732</v>
      </c>
      <c r="AD1473" s="409">
        <f>+AD691-AD1474</f>
        <v>210.17062557264833</v>
      </c>
      <c r="AE1473" s="410"/>
    </row>
    <row r="1474" spans="1:31">
      <c r="A1474" s="1"/>
      <c r="B1474" s="1"/>
      <c r="C1474" s="1"/>
      <c r="D1474" s="415" t="s">
        <v>1128</v>
      </c>
      <c r="E1474" s="406"/>
      <c r="F1474" s="406"/>
      <c r="G1474" s="406"/>
      <c r="H1474" s="406"/>
      <c r="I1474" s="406"/>
      <c r="J1474" s="406"/>
      <c r="K1474" s="406"/>
      <c r="L1474" s="406"/>
      <c r="M1474" s="406"/>
      <c r="N1474" s="406"/>
      <c r="O1474" s="406"/>
      <c r="P1474" s="406"/>
      <c r="Q1474" s="406"/>
      <c r="R1474" s="406"/>
      <c r="S1474" s="406"/>
      <c r="T1474" s="406"/>
      <c r="U1474" s="406"/>
      <c r="V1474" s="406"/>
      <c r="W1474" s="406"/>
      <c r="X1474" s="406"/>
      <c r="Y1474" s="483">
        <f>+Z694</f>
        <v>17.8</v>
      </c>
      <c r="Z1474" s="409">
        <v>29.4</v>
      </c>
      <c r="AA1474" s="409">
        <f>+AA694</f>
        <v>26.746760709890932</v>
      </c>
      <c r="AB1474" s="409">
        <f>+AB694</f>
        <v>30.447338092201235</v>
      </c>
      <c r="AC1474" s="409">
        <f>+AC694</f>
        <v>34.951589472616007</v>
      </c>
      <c r="AD1474" s="409">
        <f>+AD694</f>
        <v>41.241632726000006</v>
      </c>
      <c r="AE1474" s="410"/>
    </row>
    <row r="1475" spans="1:31">
      <c r="A1475" s="1"/>
      <c r="B1475" s="1"/>
      <c r="C1475" s="1"/>
      <c r="D1475" s="413" t="s">
        <v>191</v>
      </c>
      <c r="E1475" s="406"/>
      <c r="F1475" s="406"/>
      <c r="G1475" s="406"/>
      <c r="H1475" s="406"/>
      <c r="I1475" s="406"/>
      <c r="J1475" s="406"/>
      <c r="K1475" s="406"/>
      <c r="L1475" s="406"/>
      <c r="M1475" s="406"/>
      <c r="N1475" s="406"/>
      <c r="O1475" s="406"/>
      <c r="P1475" s="406"/>
      <c r="Q1475" s="406"/>
      <c r="R1475" s="406"/>
      <c r="S1475" s="406"/>
      <c r="T1475" s="406"/>
      <c r="U1475" s="406"/>
      <c r="V1475" s="406"/>
      <c r="W1475" s="406"/>
      <c r="X1475" s="406"/>
      <c r="Y1475" s="482">
        <f>+Y1476+Y1477+Y1478</f>
        <v>30.9</v>
      </c>
      <c r="Z1475" s="412">
        <v>124</v>
      </c>
      <c r="AA1475" s="412">
        <f>+AA1476+AA1477+AA1478</f>
        <v>76.126283503634895</v>
      </c>
      <c r="AB1475" s="412">
        <f>+AB1476+AB1477+AB1478</f>
        <v>110.3517214955469</v>
      </c>
      <c r="AC1475" s="412">
        <f>+AC1476+AC1477+AC1478</f>
        <v>73.342177317999983</v>
      </c>
      <c r="AD1475" s="412">
        <f>+AD1476+AD1477+AD1478</f>
        <v>108.98384074931585</v>
      </c>
      <c r="AE1475" s="410"/>
    </row>
    <row r="1476" spans="1:31">
      <c r="A1476" s="1"/>
      <c r="B1476" s="1"/>
      <c r="C1476" s="1"/>
      <c r="D1476" s="414" t="s">
        <v>643</v>
      </c>
      <c r="E1476" s="406"/>
      <c r="F1476" s="406"/>
      <c r="G1476" s="406"/>
      <c r="H1476" s="406"/>
      <c r="I1476" s="406"/>
      <c r="J1476" s="406"/>
      <c r="K1476" s="406"/>
      <c r="L1476" s="406"/>
      <c r="M1476" s="406"/>
      <c r="N1476" s="406"/>
      <c r="O1476" s="406"/>
      <c r="P1476" s="406"/>
      <c r="Q1476" s="406"/>
      <c r="R1476" s="406"/>
      <c r="S1476" s="406"/>
      <c r="T1476" s="406"/>
      <c r="U1476" s="406"/>
      <c r="V1476" s="406"/>
      <c r="W1476" s="406"/>
      <c r="X1476" s="406"/>
      <c r="Y1476" s="483">
        <f>+Z844+(Z829-Y1477)</f>
        <v>-23.4</v>
      </c>
      <c r="Z1476" s="409">
        <v>60</v>
      </c>
      <c r="AA1476" s="409">
        <f>+AA845+AA846+AA830</f>
        <v>46.558948117634891</v>
      </c>
      <c r="AB1476" s="409">
        <f>+AB845+AB846+AB830</f>
        <v>91.151721495546894</v>
      </c>
      <c r="AC1476" s="409">
        <f>+AC845+AC846+AC830</f>
        <v>69.495483030999992</v>
      </c>
      <c r="AD1476" s="409">
        <f>+AD845+AD846+AD830</f>
        <v>108.98384074931585</v>
      </c>
      <c r="AE1476" s="410"/>
    </row>
    <row r="1477" spans="1:31">
      <c r="A1477" s="1"/>
      <c r="B1477" s="1"/>
      <c r="C1477" s="1"/>
      <c r="D1477" s="414" t="s">
        <v>618</v>
      </c>
      <c r="E1477" s="406"/>
      <c r="F1477" s="406"/>
      <c r="G1477" s="406"/>
      <c r="H1477" s="406"/>
      <c r="I1477" s="406"/>
      <c r="J1477" s="406"/>
      <c r="K1477" s="406"/>
      <c r="L1477" s="406"/>
      <c r="M1477" s="406"/>
      <c r="N1477" s="406"/>
      <c r="O1477" s="406"/>
      <c r="P1477" s="406"/>
      <c r="Q1477" s="406"/>
      <c r="R1477" s="406"/>
      <c r="S1477" s="406"/>
      <c r="T1477" s="406"/>
      <c r="U1477" s="406"/>
      <c r="V1477" s="406"/>
      <c r="W1477" s="406"/>
      <c r="X1477" s="406"/>
      <c r="Y1477" s="483">
        <f>+IF(Z$392&gt;0,Z$392,0)</f>
        <v>54.3</v>
      </c>
      <c r="Z1477" s="417">
        <v>64</v>
      </c>
      <c r="AA1477" s="417">
        <f>+AA832+AA833</f>
        <v>29.567335386</v>
      </c>
      <c r="AB1477" s="417">
        <f>+AB832+AB833</f>
        <v>19.200000000000003</v>
      </c>
      <c r="AC1477" s="417">
        <f>+AC832+AC833</f>
        <v>3.8466942869999912</v>
      </c>
      <c r="AD1477" s="417">
        <f>+AD832+AD833</f>
        <v>0</v>
      </c>
      <c r="AE1477" s="410"/>
    </row>
    <row r="1478" spans="1:31">
      <c r="A1478" s="1"/>
      <c r="B1478" s="1"/>
      <c r="C1478" s="1"/>
      <c r="D1478" s="414" t="s">
        <v>619</v>
      </c>
      <c r="E1478" s="406"/>
      <c r="F1478" s="406"/>
      <c r="G1478" s="406"/>
      <c r="H1478" s="406"/>
      <c r="I1478" s="406"/>
      <c r="J1478" s="406"/>
      <c r="K1478" s="406"/>
      <c r="L1478" s="406"/>
      <c r="M1478" s="406"/>
      <c r="N1478" s="406"/>
      <c r="O1478" s="406"/>
      <c r="P1478" s="406"/>
      <c r="Q1478" s="406"/>
      <c r="R1478" s="406"/>
      <c r="S1478" s="406"/>
      <c r="T1478" s="406"/>
      <c r="U1478" s="406"/>
      <c r="V1478" s="406"/>
      <c r="W1478" s="406"/>
      <c r="X1478" s="406"/>
      <c r="Y1478" s="483">
        <v>0</v>
      </c>
      <c r="Z1478" s="409">
        <v>0</v>
      </c>
      <c r="AA1478" s="409">
        <v>0</v>
      </c>
      <c r="AB1478" s="409">
        <v>0</v>
      </c>
      <c r="AC1478" s="409">
        <v>0</v>
      </c>
      <c r="AD1478" s="409">
        <v>0</v>
      </c>
      <c r="AE1478" s="410"/>
    </row>
    <row r="1479" spans="1:31">
      <c r="A1479" s="1"/>
      <c r="B1479" s="1"/>
      <c r="C1479" s="1"/>
      <c r="D1479" s="413" t="s">
        <v>620</v>
      </c>
      <c r="E1479" s="406"/>
      <c r="F1479" s="406"/>
      <c r="G1479" s="406"/>
      <c r="H1479" s="406"/>
      <c r="I1479" s="406"/>
      <c r="J1479" s="406"/>
      <c r="K1479" s="406"/>
      <c r="L1479" s="406"/>
      <c r="M1479" s="406"/>
      <c r="N1479" s="406"/>
      <c r="O1479" s="406"/>
      <c r="P1479" s="406"/>
      <c r="Q1479" s="406"/>
      <c r="R1479" s="406"/>
      <c r="S1479" s="406"/>
      <c r="T1479" s="406"/>
      <c r="U1479" s="406"/>
      <c r="V1479" s="406"/>
      <c r="W1479" s="406"/>
      <c r="X1479" s="406"/>
      <c r="Y1479" s="482">
        <f>+Y1480+Y1481</f>
        <v>415.91369751440271</v>
      </c>
      <c r="Z1479" s="412">
        <v>358.29960699865404</v>
      </c>
      <c r="AA1479" s="412">
        <f>+AA1480+AA1481</f>
        <v>373.7470102777271</v>
      </c>
      <c r="AB1479" s="412">
        <f>+AB1480+AB1481</f>
        <v>330.18208394651856</v>
      </c>
      <c r="AC1479" s="412">
        <f>+AC1480+AC1481</f>
        <v>358.90867686871047</v>
      </c>
      <c r="AD1479" s="412">
        <f>+AD1480+AD1481</f>
        <v>394.77362450431519</v>
      </c>
      <c r="AE1479" s="410"/>
    </row>
    <row r="1480" spans="1:31">
      <c r="A1480" s="1"/>
      <c r="B1480" s="1"/>
      <c r="C1480" s="1"/>
      <c r="D1480" s="414" t="s">
        <v>621</v>
      </c>
      <c r="E1480" s="406"/>
      <c r="F1480" s="406"/>
      <c r="G1480" s="406"/>
      <c r="H1480" s="406"/>
      <c r="I1480" s="406"/>
      <c r="J1480" s="406"/>
      <c r="K1480" s="406"/>
      <c r="L1480" s="406"/>
      <c r="M1480" s="406"/>
      <c r="N1480" s="406"/>
      <c r="O1480" s="406"/>
      <c r="P1480" s="406"/>
      <c r="Q1480" s="406"/>
      <c r="R1480" s="406"/>
      <c r="S1480" s="406"/>
      <c r="T1480" s="406"/>
      <c r="U1480" s="406"/>
      <c r="V1480" s="406"/>
      <c r="W1480" s="406"/>
      <c r="X1480" s="406"/>
      <c r="Y1480" s="483">
        <f>+Z701</f>
        <v>174.88</v>
      </c>
      <c r="Z1480" s="409">
        <v>189.93426691790037</v>
      </c>
      <c r="AA1480" s="409">
        <f>+AA701</f>
        <v>204.80701027772713</v>
      </c>
      <c r="AB1480" s="409">
        <f>+AB701</f>
        <v>184.18208394651853</v>
      </c>
      <c r="AC1480" s="409">
        <f>+AC701</f>
        <v>190.19867686871044</v>
      </c>
      <c r="AD1480" s="409">
        <f>+AD701</f>
        <v>161.6980925101455</v>
      </c>
      <c r="AE1480" s="410"/>
    </row>
    <row r="1481" spans="1:31">
      <c r="A1481" s="1"/>
      <c r="B1481" s="1"/>
      <c r="C1481" s="1"/>
      <c r="D1481" s="414" t="s">
        <v>622</v>
      </c>
      <c r="E1481" s="406"/>
      <c r="F1481" s="406"/>
      <c r="G1481" s="406"/>
      <c r="H1481" s="406"/>
      <c r="I1481" s="406"/>
      <c r="J1481" s="406"/>
      <c r="K1481" s="406"/>
      <c r="L1481" s="406"/>
      <c r="M1481" s="406"/>
      <c r="N1481" s="406"/>
      <c r="O1481" s="406"/>
      <c r="P1481" s="406"/>
      <c r="Q1481" s="406"/>
      <c r="R1481" s="406"/>
      <c r="S1481" s="406"/>
      <c r="T1481" s="406"/>
      <c r="U1481" s="406"/>
      <c r="V1481" s="406"/>
      <c r="W1481" s="406"/>
      <c r="X1481" s="406"/>
      <c r="Y1481" s="483">
        <f>+Z708</f>
        <v>241.03369751440272</v>
      </c>
      <c r="Z1481" s="409">
        <v>168.36534008075367</v>
      </c>
      <c r="AA1481" s="409">
        <f>+AA708</f>
        <v>168.94</v>
      </c>
      <c r="AB1481" s="409">
        <f>+AB708</f>
        <v>146</v>
      </c>
      <c r="AC1481" s="409">
        <f>+AC708</f>
        <v>168.71</v>
      </c>
      <c r="AD1481" s="409">
        <f>+AD708</f>
        <v>233.07553199416967</v>
      </c>
      <c r="AE1481" s="410"/>
    </row>
    <row r="1482" spans="1:31">
      <c r="A1482" s="1"/>
      <c r="B1482" s="1"/>
      <c r="C1482" s="1"/>
      <c r="D1482" s="418" t="s">
        <v>642</v>
      </c>
      <c r="E1482" s="406"/>
      <c r="F1482" s="406"/>
      <c r="G1482" s="406"/>
      <c r="H1482" s="406"/>
      <c r="I1482" s="406"/>
      <c r="J1482" s="406"/>
      <c r="K1482" s="406"/>
      <c r="L1482" s="406"/>
      <c r="M1482" s="406"/>
      <c r="N1482" s="406"/>
      <c r="O1482" s="406"/>
      <c r="P1482" s="406"/>
      <c r="Q1482" s="406"/>
      <c r="R1482" s="406"/>
      <c r="S1482" s="406"/>
      <c r="T1482" s="406"/>
      <c r="U1482" s="406"/>
      <c r="V1482" s="406"/>
      <c r="W1482" s="406"/>
      <c r="X1482" s="406"/>
      <c r="Y1482" s="483">
        <f>+Z703</f>
        <v>88.24</v>
      </c>
      <c r="Z1482" s="409">
        <v>70.107033874898505</v>
      </c>
      <c r="AA1482" s="409">
        <f>+AA703</f>
        <v>70.382366508050239</v>
      </c>
      <c r="AB1482" s="409">
        <f>+AB703</f>
        <v>54.053442643358835</v>
      </c>
      <c r="AC1482" s="409">
        <f>+AC703</f>
        <v>69.571653854000004</v>
      </c>
      <c r="AD1482" s="409">
        <f>+AD703</f>
        <v>82.995385673131395</v>
      </c>
      <c r="AE1482" s="410"/>
    </row>
    <row r="1483" spans="1:31">
      <c r="A1483" s="1"/>
      <c r="B1483" s="1"/>
      <c r="C1483" s="1"/>
      <c r="D1483" s="413" t="s">
        <v>608</v>
      </c>
      <c r="E1483" s="406"/>
      <c r="F1483" s="406"/>
      <c r="G1483" s="406"/>
      <c r="H1483" s="406"/>
      <c r="I1483" s="406"/>
      <c r="J1483" s="406"/>
      <c r="K1483" s="406"/>
      <c r="L1483" s="406"/>
      <c r="M1483" s="406"/>
      <c r="N1483" s="406"/>
      <c r="O1483" s="406"/>
      <c r="P1483" s="406"/>
      <c r="Q1483" s="406"/>
      <c r="R1483" s="406"/>
      <c r="S1483" s="406"/>
      <c r="T1483" s="406"/>
      <c r="U1483" s="406"/>
      <c r="V1483" s="406"/>
      <c r="W1483" s="406"/>
      <c r="X1483" s="406"/>
      <c r="Y1483" s="482">
        <f>+Y1484+Y1485</f>
        <v>202.863</v>
      </c>
      <c r="Z1483" s="412">
        <v>233.21402142664869</v>
      </c>
      <c r="AA1483" s="412">
        <f>+AA1484+AA1485</f>
        <v>241.52958260440315</v>
      </c>
      <c r="AB1483" s="412">
        <f>+AB1484+AB1485</f>
        <v>183.82033813965148</v>
      </c>
      <c r="AC1483" s="412">
        <f>+AC1484+AC1485</f>
        <v>381.84688936314302</v>
      </c>
      <c r="AD1483" s="412">
        <f>+AD1484+AD1485</f>
        <v>476.97697294179375</v>
      </c>
      <c r="AE1483" s="410"/>
    </row>
    <row r="1484" spans="1:31">
      <c r="A1484" s="1"/>
      <c r="B1484" s="1"/>
      <c r="C1484" s="1"/>
      <c r="D1484" s="414" t="s">
        <v>623</v>
      </c>
      <c r="E1484" s="406"/>
      <c r="F1484" s="406"/>
      <c r="G1484" s="406"/>
      <c r="H1484" s="406"/>
      <c r="I1484" s="406"/>
      <c r="J1484" s="406"/>
      <c r="K1484" s="406"/>
      <c r="L1484" s="406"/>
      <c r="M1484" s="406"/>
      <c r="N1484" s="406"/>
      <c r="O1484" s="406"/>
      <c r="P1484" s="406"/>
      <c r="Q1484" s="406"/>
      <c r="R1484" s="406"/>
      <c r="S1484" s="406"/>
      <c r="T1484" s="406"/>
      <c r="U1484" s="406"/>
      <c r="V1484" s="406"/>
      <c r="W1484" s="406"/>
      <c r="X1484" s="406"/>
      <c r="Y1484" s="483">
        <f>+Z811</f>
        <v>103.63</v>
      </c>
      <c r="Z1484" s="409">
        <v>121.46711429340509</v>
      </c>
      <c r="AA1484" s="409">
        <f>+AA811</f>
        <v>138.66156726277015</v>
      </c>
      <c r="AB1484" s="409">
        <f>+AB811</f>
        <v>183.82033813965148</v>
      </c>
      <c r="AC1484" s="409">
        <f>+AC811</f>
        <v>211.49647385698302</v>
      </c>
      <c r="AD1484" s="409">
        <f>+AD811</f>
        <v>262.04850870218172</v>
      </c>
      <c r="AE1484" s="410"/>
    </row>
    <row r="1485" spans="1:31">
      <c r="A1485" s="1"/>
      <c r="B1485" s="1"/>
      <c r="C1485" s="1"/>
      <c r="D1485" s="414" t="s">
        <v>186</v>
      </c>
      <c r="E1485" s="406"/>
      <c r="F1485" s="406"/>
      <c r="G1485" s="406"/>
      <c r="H1485" s="406"/>
      <c r="I1485" s="406"/>
      <c r="J1485" s="406"/>
      <c r="K1485" s="406"/>
      <c r="L1485" s="406"/>
      <c r="M1485" s="406"/>
      <c r="N1485" s="406"/>
      <c r="O1485" s="406"/>
      <c r="P1485" s="406"/>
      <c r="Q1485" s="406"/>
      <c r="R1485" s="406"/>
      <c r="S1485" s="406"/>
      <c r="T1485" s="406"/>
      <c r="U1485" s="406"/>
      <c r="V1485" s="406"/>
      <c r="W1485" s="406"/>
      <c r="X1485" s="406"/>
      <c r="Y1485" s="483">
        <f>+Z822</f>
        <v>99.233000000000004</v>
      </c>
      <c r="Z1485" s="409">
        <v>111.7469071332436</v>
      </c>
      <c r="AA1485" s="409">
        <f>+AA822</f>
        <v>102.868015341633</v>
      </c>
      <c r="AB1485" s="409">
        <f>+AB822</f>
        <v>0</v>
      </c>
      <c r="AC1485" s="409">
        <f>+AC822</f>
        <v>170.35041550616</v>
      </c>
      <c r="AD1485" s="409">
        <f>+AD822</f>
        <v>214.928464239612</v>
      </c>
      <c r="AE1485" s="410"/>
    </row>
    <row r="1486" spans="1:31">
      <c r="A1486" s="1"/>
      <c r="B1486" s="1"/>
      <c r="C1486" s="1"/>
      <c r="D1486" s="413" t="s">
        <v>624</v>
      </c>
      <c r="E1486" s="406"/>
      <c r="F1486" s="406"/>
      <c r="G1486" s="406"/>
      <c r="H1486" s="406"/>
      <c r="I1486" s="406"/>
      <c r="J1486" s="406"/>
      <c r="K1486" s="406"/>
      <c r="L1486" s="406"/>
      <c r="M1486" s="406"/>
      <c r="N1486" s="406"/>
      <c r="O1486" s="406"/>
      <c r="P1486" s="406"/>
      <c r="Q1486" s="406"/>
      <c r="R1486" s="406"/>
      <c r="S1486" s="406"/>
      <c r="T1486" s="406"/>
      <c r="U1486" s="406"/>
      <c r="V1486" s="406"/>
      <c r="W1486" s="406"/>
      <c r="X1486" s="406"/>
      <c r="Y1486" s="483">
        <f>-(Z775+Z780+Z782)</f>
        <v>2.5</v>
      </c>
      <c r="Z1486" s="409">
        <v>4</v>
      </c>
      <c r="AA1486" s="409">
        <f>-(AA775+AA780+AA782)</f>
        <v>1.474062287</v>
      </c>
      <c r="AB1486" s="409">
        <f>-(AB775+AB780+AB782)</f>
        <v>9.0864968659999992</v>
      </c>
      <c r="AC1486" s="409">
        <f>-(AC775+AC780+AC782)</f>
        <v>0.98998876200000008</v>
      </c>
      <c r="AD1486" s="409">
        <f>-(AD775+AD780+AD782)</f>
        <v>0.27783086600000001</v>
      </c>
      <c r="AE1486" s="410"/>
    </row>
    <row r="1487" spans="1:31">
      <c r="A1487" s="1"/>
      <c r="B1487" s="1"/>
      <c r="C1487" s="1"/>
      <c r="D1487" s="419"/>
      <c r="E1487" s="406"/>
      <c r="F1487" s="406"/>
      <c r="G1487" s="406"/>
      <c r="H1487" s="406"/>
      <c r="I1487" s="406"/>
      <c r="J1487" s="406"/>
      <c r="K1487" s="406"/>
      <c r="L1487" s="406"/>
      <c r="M1487" s="406"/>
      <c r="N1487" s="406"/>
      <c r="O1487" s="406"/>
      <c r="P1487" s="406"/>
      <c r="Q1487" s="406"/>
      <c r="R1487" s="406"/>
      <c r="S1487" s="406"/>
      <c r="T1487" s="406"/>
      <c r="U1487" s="406"/>
      <c r="V1487" s="406"/>
      <c r="W1487" s="406"/>
      <c r="X1487" s="406"/>
      <c r="Y1487" s="483"/>
      <c r="Z1487" s="409"/>
      <c r="AA1487" s="409"/>
      <c r="AB1487" s="409"/>
      <c r="AC1487" s="409"/>
      <c r="AD1487" s="409"/>
      <c r="AE1487" s="410"/>
    </row>
    <row r="1488" spans="1:31">
      <c r="A1488" s="1"/>
      <c r="B1488" s="1"/>
      <c r="C1488" s="1"/>
      <c r="D1488" s="413" t="s">
        <v>625</v>
      </c>
      <c r="E1488" s="406"/>
      <c r="F1488" s="406"/>
      <c r="G1488" s="406"/>
      <c r="H1488" s="406"/>
      <c r="I1488" s="406"/>
      <c r="J1488" s="406"/>
      <c r="K1488" s="406"/>
      <c r="L1488" s="406"/>
      <c r="M1488" s="406"/>
      <c r="N1488" s="406"/>
      <c r="O1488" s="406"/>
      <c r="P1488" s="406"/>
      <c r="Q1488" s="406"/>
      <c r="R1488" s="406"/>
      <c r="S1488" s="406"/>
      <c r="T1488" s="406"/>
      <c r="U1488" s="406"/>
      <c r="V1488" s="406"/>
      <c r="W1488" s="406"/>
      <c r="X1488" s="406"/>
      <c r="Y1488" s="483">
        <f>+IF(Z$852&gt;0,Z$852,0)</f>
        <v>0</v>
      </c>
      <c r="Z1488" s="409">
        <v>0</v>
      </c>
      <c r="AA1488" s="409">
        <f>+IF(AA$852&gt;0,AA$852,0)</f>
        <v>0</v>
      </c>
      <c r="AB1488" s="409">
        <f>+IF(AB$852&gt;0,AB$852,0)</f>
        <v>0</v>
      </c>
      <c r="AC1488" s="409">
        <f>+IF(AC$852&gt;0,AC$852,0)</f>
        <v>0</v>
      </c>
      <c r="AD1488" s="409">
        <f>+IF(AD$852&gt;0,AD$852,0)</f>
        <v>0</v>
      </c>
      <c r="AE1488" s="410"/>
    </row>
    <row r="1489" spans="1:31">
      <c r="A1489" s="1"/>
      <c r="B1489" s="1"/>
      <c r="C1489" s="1"/>
      <c r="D1489" s="419"/>
      <c r="E1489" s="406"/>
      <c r="F1489" s="406"/>
      <c r="G1489" s="406"/>
      <c r="H1489" s="406"/>
      <c r="I1489" s="406"/>
      <c r="J1489" s="406"/>
      <c r="K1489" s="406"/>
      <c r="L1489" s="406"/>
      <c r="M1489" s="406"/>
      <c r="N1489" s="406"/>
      <c r="O1489" s="406"/>
      <c r="P1489" s="406"/>
      <c r="Q1489" s="406"/>
      <c r="R1489" s="406"/>
      <c r="S1489" s="406"/>
      <c r="T1489" s="406"/>
      <c r="U1489" s="406"/>
      <c r="V1489" s="406"/>
      <c r="W1489" s="406"/>
      <c r="X1489" s="406"/>
      <c r="Y1489" s="483"/>
      <c r="Z1489" s="409"/>
      <c r="AA1489" s="409"/>
      <c r="AB1489" s="409"/>
      <c r="AC1489" s="409"/>
      <c r="AD1489" s="409"/>
      <c r="AE1489" s="410"/>
    </row>
    <row r="1490" spans="1:31">
      <c r="A1490" s="1"/>
      <c r="B1490" s="1"/>
      <c r="C1490" s="1"/>
      <c r="D1490" s="420" t="s">
        <v>626</v>
      </c>
      <c r="E1490" s="406"/>
      <c r="F1490" s="406"/>
      <c r="G1490" s="406"/>
      <c r="H1490" s="406"/>
      <c r="I1490" s="406"/>
      <c r="J1490" s="406"/>
      <c r="K1490" s="406"/>
      <c r="L1490" s="406"/>
      <c r="M1490" s="406"/>
      <c r="N1490" s="406"/>
      <c r="O1490" s="406"/>
      <c r="P1490" s="406"/>
      <c r="Q1490" s="406"/>
      <c r="R1490" s="406"/>
      <c r="S1490" s="406"/>
      <c r="T1490" s="406"/>
      <c r="U1490" s="406"/>
      <c r="V1490" s="406"/>
      <c r="W1490" s="406"/>
      <c r="X1490" s="406"/>
      <c r="Y1490" s="482">
        <f>+Y1466+Y1475+Y1479+Y1483+Y1486+Y1488</f>
        <v>1593.7820551307509</v>
      </c>
      <c r="Z1490" s="412">
        <v>1823.6035598815506</v>
      </c>
      <c r="AA1490" s="412">
        <f>+AA1466+AA1475+AA1479+AA1483+AA1486+AA1488</f>
        <v>1820.3986716743209</v>
      </c>
      <c r="AB1490" s="412">
        <f>+AB1466+AB1475+AB1479+AB1483+AB1486+AB1488</f>
        <v>1871.1326068813344</v>
      </c>
      <c r="AC1490" s="412">
        <f>+AC1466+AC1475+AC1479+AC1483+AC1486+AC1488</f>
        <v>2222.8087843323497</v>
      </c>
      <c r="AD1490" s="412">
        <f>+AD1466+AD1475+AD1479+AD1483+AD1486+AD1488</f>
        <v>2590.6048799353484</v>
      </c>
      <c r="AE1490" s="410"/>
    </row>
    <row r="1491" spans="1:31">
      <c r="A1491" s="1"/>
      <c r="B1491" s="1"/>
      <c r="C1491" s="1"/>
      <c r="D1491" s="421"/>
      <c r="E1491" s="406"/>
      <c r="F1491" s="406"/>
      <c r="G1491" s="406"/>
      <c r="H1491" s="406"/>
      <c r="I1491" s="406"/>
      <c r="J1491" s="406"/>
      <c r="K1491" s="406"/>
      <c r="L1491" s="406"/>
      <c r="M1491" s="406"/>
      <c r="N1491" s="406"/>
      <c r="O1491" s="406"/>
      <c r="P1491" s="406"/>
      <c r="Q1491" s="406"/>
      <c r="R1491" s="406"/>
      <c r="S1491" s="406"/>
      <c r="T1491" s="406"/>
      <c r="U1491" s="406"/>
      <c r="V1491" s="406"/>
      <c r="W1491" s="406"/>
      <c r="X1491" s="406"/>
      <c r="Y1491" s="483"/>
      <c r="Z1491" s="409"/>
      <c r="AA1491" s="409"/>
      <c r="AB1491" s="409"/>
      <c r="AC1491" s="409"/>
      <c r="AD1491" s="409"/>
      <c r="AE1491" s="410"/>
    </row>
    <row r="1492" spans="1:31">
      <c r="A1492" s="1"/>
      <c r="B1492" s="1"/>
      <c r="C1492" s="1"/>
      <c r="D1492" s="422" t="s">
        <v>627</v>
      </c>
      <c r="E1492" s="406"/>
      <c r="F1492" s="406"/>
      <c r="G1492" s="406"/>
      <c r="H1492" s="406"/>
      <c r="I1492" s="406"/>
      <c r="J1492" s="406"/>
      <c r="K1492" s="406"/>
      <c r="L1492" s="406"/>
      <c r="M1492" s="406"/>
      <c r="N1492" s="406"/>
      <c r="O1492" s="406"/>
      <c r="P1492" s="406"/>
      <c r="Q1492" s="406"/>
      <c r="R1492" s="406"/>
      <c r="S1492" s="406"/>
      <c r="T1492" s="406"/>
      <c r="U1492" s="406"/>
      <c r="V1492" s="406"/>
      <c r="W1492" s="406"/>
      <c r="X1492" s="406"/>
      <c r="Y1492" s="484"/>
      <c r="Z1492" s="423"/>
      <c r="AA1492" s="423"/>
      <c r="AB1492" s="423"/>
      <c r="AC1492" s="423"/>
      <c r="AD1492" s="423"/>
      <c r="AE1492" s="410"/>
    </row>
    <row r="1493" spans="1:31">
      <c r="A1493" s="1"/>
      <c r="B1493" s="1"/>
      <c r="C1493" s="1"/>
      <c r="D1493" s="411"/>
      <c r="E1493" s="406"/>
      <c r="F1493" s="406"/>
      <c r="G1493" s="406"/>
      <c r="H1493" s="406"/>
      <c r="I1493" s="406"/>
      <c r="J1493" s="406"/>
      <c r="K1493" s="406"/>
      <c r="L1493" s="406"/>
      <c r="M1493" s="406"/>
      <c r="N1493" s="406"/>
      <c r="O1493" s="406"/>
      <c r="P1493" s="406"/>
      <c r="Q1493" s="406"/>
      <c r="R1493" s="406"/>
      <c r="S1493" s="406"/>
      <c r="T1493" s="406"/>
      <c r="U1493" s="406"/>
      <c r="V1493" s="406"/>
      <c r="W1493" s="406"/>
      <c r="X1493" s="406"/>
      <c r="Y1493" s="483"/>
      <c r="Z1493" s="409"/>
      <c r="AA1493" s="409"/>
      <c r="AB1493" s="409"/>
      <c r="AC1493" s="409"/>
      <c r="AD1493" s="409"/>
      <c r="AE1493" s="410"/>
    </row>
    <row r="1494" spans="1:31">
      <c r="A1494" s="1"/>
      <c r="B1494" s="1"/>
      <c r="C1494" s="1"/>
      <c r="D1494" s="413" t="s">
        <v>628</v>
      </c>
      <c r="E1494" s="406"/>
      <c r="F1494" s="406"/>
      <c r="G1494" s="406"/>
      <c r="H1494" s="406"/>
      <c r="I1494" s="406"/>
      <c r="J1494" s="406"/>
      <c r="K1494" s="406"/>
      <c r="L1494" s="406"/>
      <c r="M1494" s="406"/>
      <c r="N1494" s="406"/>
      <c r="O1494" s="406"/>
      <c r="P1494" s="406"/>
      <c r="Q1494" s="406"/>
      <c r="R1494" s="406"/>
      <c r="S1494" s="406"/>
      <c r="T1494" s="406"/>
      <c r="U1494" s="406"/>
      <c r="V1494" s="406"/>
      <c r="W1494" s="406"/>
      <c r="X1494" s="406"/>
      <c r="Y1494" s="482">
        <f>+Y1495+Y1496+Y1498+Y1502+Y1505+Y1508</f>
        <v>839.53045800181587</v>
      </c>
      <c r="Z1494" s="412">
        <v>913.56822822713627</v>
      </c>
      <c r="AA1494" s="412">
        <f>+AA1495+AA1496+AA1498+AA1502+AA1505+AA1508</f>
        <v>935.8044999999654</v>
      </c>
      <c r="AB1494" s="412">
        <f>+AB1495+AB1496+AB1498+AB1502+AB1505+AB1508</f>
        <v>1130.1481701871703</v>
      </c>
      <c r="AC1494" s="412">
        <f>+AC1495+AC1496+AC1498+AC1502+AC1505+AC1508</f>
        <v>1178.3574195223671</v>
      </c>
      <c r="AD1494" s="412">
        <f>+AD1495+AD1496+AD1498+AD1502+AD1505+AD1508</f>
        <v>1360.170492557259</v>
      </c>
      <c r="AE1494" s="410"/>
    </row>
    <row r="1495" spans="1:31">
      <c r="A1495" s="1"/>
      <c r="B1495" s="1"/>
      <c r="C1495" s="1"/>
      <c r="D1495" s="419" t="s">
        <v>83</v>
      </c>
      <c r="E1495" s="406"/>
      <c r="F1495" s="406"/>
      <c r="G1495" s="406"/>
      <c r="H1495" s="406"/>
      <c r="I1495" s="406"/>
      <c r="J1495" s="406"/>
      <c r="K1495" s="406"/>
      <c r="L1495" s="406"/>
      <c r="M1495" s="406"/>
      <c r="N1495" s="406"/>
      <c r="O1495" s="406"/>
      <c r="P1495" s="406"/>
      <c r="Q1495" s="406"/>
      <c r="R1495" s="406"/>
      <c r="S1495" s="406"/>
      <c r="T1495" s="406"/>
      <c r="U1495" s="406"/>
      <c r="V1495" s="406"/>
      <c r="W1495" s="406"/>
      <c r="X1495" s="406"/>
      <c r="Y1495" s="483">
        <f>+Z717</f>
        <v>203.9</v>
      </c>
      <c r="Z1495" s="409">
        <v>222</v>
      </c>
      <c r="AA1495" s="409">
        <f>+AA717</f>
        <v>242.33523719200002</v>
      </c>
      <c r="AB1495" s="409">
        <f>+AB717</f>
        <v>318.09171054699999</v>
      </c>
      <c r="AC1495" s="409">
        <f>+AC717</f>
        <v>324.290467019</v>
      </c>
      <c r="AD1495" s="409">
        <f>+AD717</f>
        <v>366.15126445199996</v>
      </c>
      <c r="AE1495" s="410"/>
    </row>
    <row r="1496" spans="1:31">
      <c r="A1496" s="1"/>
      <c r="B1496" s="1"/>
      <c r="C1496" s="1"/>
      <c r="D1496" s="419" t="s">
        <v>84</v>
      </c>
      <c r="E1496" s="406"/>
      <c r="F1496" s="406"/>
      <c r="G1496" s="406"/>
      <c r="H1496" s="406"/>
      <c r="I1496" s="406"/>
      <c r="J1496" s="406"/>
      <c r="K1496" s="406"/>
      <c r="L1496" s="406"/>
      <c r="M1496" s="406"/>
      <c r="N1496" s="406"/>
      <c r="O1496" s="406"/>
      <c r="P1496" s="406"/>
      <c r="Q1496" s="406"/>
      <c r="R1496" s="406"/>
      <c r="S1496" s="406"/>
      <c r="T1496" s="406"/>
      <c r="U1496" s="406"/>
      <c r="V1496" s="406"/>
      <c r="W1496" s="406"/>
      <c r="X1496" s="406"/>
      <c r="Y1496" s="483">
        <f>+Z721</f>
        <v>159.5</v>
      </c>
      <c r="Z1496" s="409">
        <v>159.80000000000001</v>
      </c>
      <c r="AA1496" s="409">
        <f>+AA721</f>
        <v>180.62141281000001</v>
      </c>
      <c r="AB1496" s="409">
        <f>+AB721</f>
        <v>219.15187310499999</v>
      </c>
      <c r="AC1496" s="409">
        <f>+AC721</f>
        <v>216.28066140199999</v>
      </c>
      <c r="AD1496" s="409">
        <f>+AD721</f>
        <v>229.85218436</v>
      </c>
      <c r="AE1496" s="410"/>
    </row>
    <row r="1497" spans="1:31">
      <c r="A1497" s="1"/>
      <c r="B1497" s="1"/>
      <c r="C1497" s="1"/>
      <c r="D1497" s="424" t="s">
        <v>139</v>
      </c>
      <c r="E1497" s="406"/>
      <c r="F1497" s="406"/>
      <c r="G1497" s="406"/>
      <c r="H1497" s="406"/>
      <c r="I1497" s="406"/>
      <c r="J1497" s="406"/>
      <c r="K1497" s="406"/>
      <c r="L1497" s="406"/>
      <c r="M1497" s="406"/>
      <c r="N1497" s="406"/>
      <c r="O1497" s="406"/>
      <c r="P1497" s="406"/>
      <c r="Q1497" s="406"/>
      <c r="R1497" s="406"/>
      <c r="S1497" s="406"/>
      <c r="T1497" s="406"/>
      <c r="U1497" s="406"/>
      <c r="V1497" s="406"/>
      <c r="W1497" s="406"/>
      <c r="X1497" s="406"/>
      <c r="Y1497" s="483"/>
      <c r="Z1497" s="409"/>
      <c r="AA1497" s="409"/>
      <c r="AB1497" s="409"/>
      <c r="AC1497" s="409"/>
      <c r="AD1497" s="409"/>
      <c r="AE1497" s="410"/>
    </row>
    <row r="1498" spans="1:31">
      <c r="A1498" s="1"/>
      <c r="B1498" s="1"/>
      <c r="C1498" s="1"/>
      <c r="D1498" s="419" t="s">
        <v>155</v>
      </c>
      <c r="E1498" s="406"/>
      <c r="F1498" s="406"/>
      <c r="G1498" s="406"/>
      <c r="H1498" s="406"/>
      <c r="I1498" s="406"/>
      <c r="J1498" s="406"/>
      <c r="K1498" s="406"/>
      <c r="L1498" s="406"/>
      <c r="M1498" s="406"/>
      <c r="N1498" s="406"/>
      <c r="O1498" s="406"/>
      <c r="P1498" s="406"/>
      <c r="Q1498" s="406"/>
      <c r="R1498" s="406"/>
      <c r="S1498" s="406"/>
      <c r="T1498" s="406"/>
      <c r="U1498" s="406"/>
      <c r="V1498" s="406"/>
      <c r="W1498" s="406"/>
      <c r="X1498" s="406"/>
      <c r="Y1498" s="483">
        <f>+Y1499+Y1501</f>
        <v>45.8</v>
      </c>
      <c r="Z1498" s="409">
        <v>54.27</v>
      </c>
      <c r="AA1498" s="409">
        <f>+AA1499+AA1501</f>
        <v>56.6986134594964</v>
      </c>
      <c r="AB1498" s="409">
        <f>+AB1499+AB1501</f>
        <v>72.238619403195656</v>
      </c>
      <c r="AC1498" s="409">
        <f>+AC1499+AC1501</f>
        <v>91.578582652050613</v>
      </c>
      <c r="AD1498" s="409">
        <f>+AD1499+AD1501</f>
        <v>102.67146764720873</v>
      </c>
      <c r="AE1498" s="410"/>
    </row>
    <row r="1499" spans="1:31">
      <c r="A1499" s="1"/>
      <c r="B1499" s="1"/>
      <c r="C1499" s="1"/>
      <c r="D1499" s="414" t="s">
        <v>35</v>
      </c>
      <c r="E1499" s="406"/>
      <c r="F1499" s="406"/>
      <c r="G1499" s="406"/>
      <c r="H1499" s="406"/>
      <c r="I1499" s="406"/>
      <c r="J1499" s="406"/>
      <c r="K1499" s="406"/>
      <c r="L1499" s="406"/>
      <c r="M1499" s="406"/>
      <c r="N1499" s="406"/>
      <c r="O1499" s="406"/>
      <c r="P1499" s="406"/>
      <c r="Q1499" s="406"/>
      <c r="R1499" s="406"/>
      <c r="S1499" s="406"/>
      <c r="T1499" s="406"/>
      <c r="U1499" s="406"/>
      <c r="V1499" s="406"/>
      <c r="W1499" s="406"/>
      <c r="X1499" s="406"/>
      <c r="Y1499" s="483">
        <f>+Z730</f>
        <v>18.2</v>
      </c>
      <c r="Z1499" s="409">
        <v>24.6</v>
      </c>
      <c r="AA1499" s="409">
        <f>+AA730</f>
        <v>25.351373894877149</v>
      </c>
      <c r="AB1499" s="409">
        <f>+AB730</f>
        <v>35.299999999999997</v>
      </c>
      <c r="AC1499" s="409">
        <f>+AC730</f>
        <v>48.900012528000005</v>
      </c>
      <c r="AD1499" s="409">
        <f>+AD730</f>
        <v>54.783250934273205</v>
      </c>
      <c r="AE1499" s="410"/>
    </row>
    <row r="1500" spans="1:31" ht="15" customHeight="1">
      <c r="A1500" s="1"/>
      <c r="B1500" s="1"/>
      <c r="C1500" s="1"/>
      <c r="D1500" s="416" t="s">
        <v>629</v>
      </c>
      <c r="E1500" s="406"/>
      <c r="F1500" s="406"/>
      <c r="G1500" s="406"/>
      <c r="H1500" s="406"/>
      <c r="I1500" s="406"/>
      <c r="J1500" s="406"/>
      <c r="K1500" s="406"/>
      <c r="L1500" s="406"/>
      <c r="M1500" s="406"/>
      <c r="N1500" s="406"/>
      <c r="O1500" s="406"/>
      <c r="P1500" s="406"/>
      <c r="Q1500" s="406"/>
      <c r="R1500" s="406"/>
      <c r="S1500" s="406"/>
      <c r="T1500" s="406"/>
      <c r="U1500" s="406"/>
      <c r="V1500" s="406"/>
      <c r="W1500" s="406"/>
      <c r="X1500" s="406"/>
      <c r="Y1500" s="483"/>
      <c r="Z1500" s="409"/>
      <c r="AA1500" s="409"/>
      <c r="AB1500" s="409"/>
      <c r="AC1500" s="409"/>
      <c r="AD1500" s="409"/>
      <c r="AE1500" s="410"/>
    </row>
    <row r="1501" spans="1:31" ht="15" customHeight="1">
      <c r="A1501" s="1"/>
      <c r="B1501" s="1"/>
      <c r="C1501" s="1"/>
      <c r="D1501" s="414" t="s">
        <v>630</v>
      </c>
      <c r="E1501" s="406"/>
      <c r="F1501" s="406"/>
      <c r="G1501" s="406"/>
      <c r="H1501" s="406"/>
      <c r="I1501" s="406"/>
      <c r="J1501" s="406"/>
      <c r="K1501" s="406"/>
      <c r="L1501" s="406"/>
      <c r="M1501" s="406"/>
      <c r="N1501" s="406"/>
      <c r="O1501" s="406"/>
      <c r="P1501" s="406"/>
      <c r="Q1501" s="406"/>
      <c r="R1501" s="406"/>
      <c r="S1501" s="406"/>
      <c r="T1501" s="406"/>
      <c r="U1501" s="406"/>
      <c r="V1501" s="406"/>
      <c r="W1501" s="406"/>
      <c r="X1501" s="406"/>
      <c r="Y1501" s="483">
        <f>+Z733</f>
        <v>27.6</v>
      </c>
      <c r="Z1501" s="409">
        <v>29.67</v>
      </c>
      <c r="AA1501" s="409">
        <f>+AA733</f>
        <v>31.347239564619255</v>
      </c>
      <c r="AB1501" s="409">
        <f>+AB733</f>
        <v>36.938619403195652</v>
      </c>
      <c r="AC1501" s="409">
        <f>+AC733</f>
        <v>42.678570124050616</v>
      </c>
      <c r="AD1501" s="409">
        <f>+AD733</f>
        <v>47.888216712935524</v>
      </c>
      <c r="AE1501" s="410"/>
    </row>
    <row r="1502" spans="1:31" ht="15" customHeight="1">
      <c r="A1502" s="1"/>
      <c r="B1502" s="1"/>
      <c r="C1502" s="1"/>
      <c r="D1502" s="419" t="s">
        <v>631</v>
      </c>
      <c r="E1502" s="406"/>
      <c r="F1502" s="406"/>
      <c r="G1502" s="406"/>
      <c r="H1502" s="406"/>
      <c r="I1502" s="406"/>
      <c r="J1502" s="406"/>
      <c r="K1502" s="406"/>
      <c r="L1502" s="406"/>
      <c r="M1502" s="406"/>
      <c r="N1502" s="406"/>
      <c r="O1502" s="406"/>
      <c r="P1502" s="406"/>
      <c r="Q1502" s="406"/>
      <c r="R1502" s="406"/>
      <c r="S1502" s="406"/>
      <c r="T1502" s="406"/>
      <c r="U1502" s="406"/>
      <c r="V1502" s="406"/>
      <c r="W1502" s="406"/>
      <c r="X1502" s="406"/>
      <c r="Y1502" s="483">
        <f>+Y1503+Y1504</f>
        <v>36.150458001815807</v>
      </c>
      <c r="Z1502" s="409">
        <v>48.05996183025519</v>
      </c>
      <c r="AA1502" s="409">
        <f>+AA1503+AA1504</f>
        <v>28.660895545223287</v>
      </c>
      <c r="AB1502" s="409">
        <f>+AB1503+AB1504</f>
        <v>48.296548041974816</v>
      </c>
      <c r="AC1502" s="409">
        <f>+AC1503+AC1504</f>
        <v>54.943241516916515</v>
      </c>
      <c r="AD1502" s="409">
        <f>+AD1503+AD1504</f>
        <v>77.175831207050265</v>
      </c>
      <c r="AE1502" s="410"/>
    </row>
    <row r="1503" spans="1:31" ht="15" customHeight="1">
      <c r="A1503" s="1"/>
      <c r="B1503" s="1"/>
      <c r="C1503" s="1"/>
      <c r="D1503" s="414" t="s">
        <v>632</v>
      </c>
      <c r="E1503" s="406"/>
      <c r="F1503" s="406"/>
      <c r="G1503" s="406"/>
      <c r="H1503" s="406"/>
      <c r="I1503" s="406"/>
      <c r="J1503" s="406"/>
      <c r="K1503" s="406"/>
      <c r="L1503" s="406"/>
      <c r="M1503" s="406"/>
      <c r="N1503" s="406"/>
      <c r="O1503" s="406"/>
      <c r="P1503" s="406"/>
      <c r="Q1503" s="406"/>
      <c r="R1503" s="406"/>
      <c r="S1503" s="406"/>
      <c r="T1503" s="406"/>
      <c r="U1503" s="406"/>
      <c r="V1503" s="406"/>
      <c r="W1503" s="406"/>
      <c r="X1503" s="406"/>
      <c r="Y1503" s="483">
        <f>-Z847</f>
        <v>21.6</v>
      </c>
      <c r="Z1503" s="409">
        <v>30</v>
      </c>
      <c r="AA1503" s="409">
        <f>-AA847</f>
        <v>11.539440600509554</v>
      </c>
      <c r="AB1503" s="409">
        <f>-AB847</f>
        <v>26.413184870999999</v>
      </c>
      <c r="AC1503" s="409">
        <f>-AC847</f>
        <v>29.125483031000002</v>
      </c>
      <c r="AD1503" s="409">
        <f>-AD847</f>
        <v>48.510824908999993</v>
      </c>
      <c r="AE1503" s="410"/>
    </row>
    <row r="1504" spans="1:31">
      <c r="A1504" s="1"/>
      <c r="B1504" s="1"/>
      <c r="C1504" s="1"/>
      <c r="D1504" s="414" t="s">
        <v>630</v>
      </c>
      <c r="E1504" s="406"/>
      <c r="F1504" s="406"/>
      <c r="G1504" s="406"/>
      <c r="H1504" s="406"/>
      <c r="I1504" s="406"/>
      <c r="J1504" s="406"/>
      <c r="K1504" s="406"/>
      <c r="L1504" s="406"/>
      <c r="M1504" s="406"/>
      <c r="N1504" s="406"/>
      <c r="O1504" s="406"/>
      <c r="P1504" s="406"/>
      <c r="Q1504" s="406"/>
      <c r="R1504" s="406"/>
      <c r="S1504" s="406"/>
      <c r="T1504" s="406"/>
      <c r="U1504" s="406"/>
      <c r="V1504" s="406"/>
      <c r="W1504" s="406"/>
      <c r="X1504" s="406"/>
      <c r="Y1504" s="483">
        <f>-Z826</f>
        <v>14.550458001815809</v>
      </c>
      <c r="Z1504" s="409">
        <v>18.059961830255194</v>
      </c>
      <c r="AA1504" s="409">
        <f>-AA826</f>
        <v>17.121454944713733</v>
      </c>
      <c r="AB1504" s="409">
        <f>-AB826</f>
        <v>21.883363170974814</v>
      </c>
      <c r="AC1504" s="409">
        <f>-AC826</f>
        <v>25.817758485916514</v>
      </c>
      <c r="AD1504" s="409">
        <f>-AD826</f>
        <v>28.665006298050265</v>
      </c>
      <c r="AE1504" s="410"/>
    </row>
    <row r="1505" spans="1:46">
      <c r="A1505" s="1"/>
      <c r="B1505" s="1"/>
      <c r="C1505" s="1"/>
      <c r="D1505" s="419" t="s">
        <v>1125</v>
      </c>
      <c r="E1505" s="406"/>
      <c r="F1505" s="406"/>
      <c r="G1505" s="406"/>
      <c r="H1505" s="406"/>
      <c r="I1505" s="406"/>
      <c r="J1505" s="406"/>
      <c r="K1505" s="406"/>
      <c r="L1505" s="406"/>
      <c r="M1505" s="406"/>
      <c r="N1505" s="406"/>
      <c r="O1505" s="406"/>
      <c r="P1505" s="406"/>
      <c r="Q1505" s="406"/>
      <c r="R1505" s="406"/>
      <c r="S1505" s="406"/>
      <c r="T1505" s="406"/>
      <c r="U1505" s="406"/>
      <c r="V1505" s="406"/>
      <c r="W1505" s="406"/>
      <c r="X1505" s="406"/>
      <c r="Y1505" s="483">
        <f>+Z736-Y1506</f>
        <v>273.10000000000002</v>
      </c>
      <c r="Z1505" s="409">
        <f>328.662768349246-Z1506</f>
        <v>273.16276834924599</v>
      </c>
      <c r="AA1505" s="409">
        <f>+AA736-AA1506</f>
        <v>268.27635436924555</v>
      </c>
      <c r="AB1505" s="409">
        <f>+AB736-AB1506</f>
        <v>313.01553604799994</v>
      </c>
      <c r="AC1505" s="409">
        <f>+AC736-AC1506</f>
        <v>309.42534442739998</v>
      </c>
      <c r="AD1505" s="409">
        <f>+AD736-AD1506</f>
        <v>346.62056741599997</v>
      </c>
      <c r="AE1505" s="410"/>
    </row>
    <row r="1506" spans="1:46">
      <c r="A1506" s="1"/>
      <c r="B1506" s="1"/>
      <c r="C1506" s="1"/>
      <c r="D1506" s="424" t="s">
        <v>1126</v>
      </c>
      <c r="E1506" s="406"/>
      <c r="F1506" s="406"/>
      <c r="G1506" s="406"/>
      <c r="H1506" s="406"/>
      <c r="I1506" s="406"/>
      <c r="J1506" s="406"/>
      <c r="K1506" s="406"/>
      <c r="L1506" s="406"/>
      <c r="M1506" s="406"/>
      <c r="N1506" s="406"/>
      <c r="O1506" s="406"/>
      <c r="P1506" s="406"/>
      <c r="Q1506" s="406"/>
      <c r="R1506" s="406"/>
      <c r="S1506" s="406"/>
      <c r="T1506" s="406"/>
      <c r="U1506" s="406"/>
      <c r="V1506" s="406"/>
      <c r="W1506" s="406"/>
      <c r="X1506" s="406"/>
      <c r="Y1506" s="483">
        <f>+Z738</f>
        <v>31</v>
      </c>
      <c r="Z1506" s="990">
        <v>55.5</v>
      </c>
      <c r="AA1506" s="990">
        <f>+AA738</f>
        <v>40.388465097000008</v>
      </c>
      <c r="AB1506" s="990">
        <f>+AB738</f>
        <v>47.887879111819991</v>
      </c>
      <c r="AC1506" s="990">
        <f>+AC738</f>
        <v>53.86308627244</v>
      </c>
      <c r="AD1506" s="990">
        <f>+AD738</f>
        <v>60.610429904000007</v>
      </c>
      <c r="AE1506" s="410"/>
    </row>
    <row r="1507" spans="1:46">
      <c r="A1507" s="1"/>
      <c r="B1507" s="1"/>
      <c r="C1507" s="1"/>
      <c r="D1507" s="424" t="s">
        <v>139</v>
      </c>
      <c r="E1507" s="406"/>
      <c r="F1507" s="406"/>
      <c r="G1507" s="406"/>
      <c r="H1507" s="406"/>
      <c r="I1507" s="406"/>
      <c r="J1507" s="406"/>
      <c r="K1507" s="406"/>
      <c r="L1507" s="406"/>
      <c r="M1507" s="406"/>
      <c r="N1507" s="406"/>
      <c r="O1507" s="406"/>
      <c r="P1507" s="406"/>
      <c r="Q1507" s="406"/>
      <c r="R1507" s="406"/>
      <c r="S1507" s="406"/>
      <c r="T1507" s="406"/>
      <c r="U1507" s="406"/>
      <c r="V1507" s="406"/>
      <c r="W1507" s="406"/>
      <c r="X1507" s="406"/>
      <c r="Y1507" s="483"/>
      <c r="Z1507" s="409"/>
      <c r="AA1507" s="409"/>
      <c r="AB1507" s="409"/>
      <c r="AC1507" s="409"/>
      <c r="AD1507" s="409"/>
      <c r="AE1507" s="410"/>
    </row>
    <row r="1508" spans="1:46">
      <c r="A1508" s="1"/>
      <c r="B1508" s="1"/>
      <c r="C1508" s="1"/>
      <c r="D1508" s="419" t="s">
        <v>633</v>
      </c>
      <c r="E1508" s="406"/>
      <c r="F1508" s="406"/>
      <c r="G1508" s="406"/>
      <c r="H1508" s="406"/>
      <c r="I1508" s="406"/>
      <c r="J1508" s="406"/>
      <c r="K1508" s="406"/>
      <c r="L1508" s="406"/>
      <c r="M1508" s="406"/>
      <c r="N1508" s="406"/>
      <c r="O1508" s="406"/>
      <c r="P1508" s="406"/>
      <c r="Q1508" s="406"/>
      <c r="R1508" s="406"/>
      <c r="S1508" s="406"/>
      <c r="T1508" s="406"/>
      <c r="U1508" s="406"/>
      <c r="V1508" s="406"/>
      <c r="W1508" s="406"/>
      <c r="X1508" s="406"/>
      <c r="Y1508" s="483">
        <f>+Z746</f>
        <v>121.08000000000001</v>
      </c>
      <c r="Z1508" s="409">
        <v>100.77549804763507</v>
      </c>
      <c r="AA1508" s="409">
        <f>+AA746</f>
        <v>159.21198662399999</v>
      </c>
      <c r="AB1508" s="409">
        <f>+AB746</f>
        <v>159.35388304200001</v>
      </c>
      <c r="AC1508" s="409">
        <f>+AC746</f>
        <v>181.83912250499998</v>
      </c>
      <c r="AD1508" s="409">
        <f>+AD746</f>
        <v>237.699177475</v>
      </c>
      <c r="AE1508" s="410"/>
    </row>
    <row r="1509" spans="1:46">
      <c r="A1509" s="1"/>
      <c r="B1509" s="1"/>
      <c r="C1509" s="1"/>
      <c r="D1509" s="425"/>
      <c r="E1509" s="406"/>
      <c r="F1509" s="406"/>
      <c r="G1509" s="406"/>
      <c r="H1509" s="406"/>
      <c r="I1509" s="406"/>
      <c r="J1509" s="406"/>
      <c r="K1509" s="406"/>
      <c r="L1509" s="406"/>
      <c r="M1509" s="406"/>
      <c r="N1509" s="406"/>
      <c r="O1509" s="406"/>
      <c r="P1509" s="406"/>
      <c r="Q1509" s="406"/>
      <c r="R1509" s="406"/>
      <c r="S1509" s="406"/>
      <c r="T1509" s="406"/>
      <c r="U1509" s="406"/>
      <c r="V1509" s="406"/>
      <c r="W1509" s="406"/>
      <c r="X1509" s="406"/>
      <c r="Y1509" s="483"/>
      <c r="Z1509" s="409"/>
      <c r="AA1509" s="409"/>
      <c r="AB1509" s="409"/>
      <c r="AC1509" s="409"/>
      <c r="AD1509" s="409"/>
      <c r="AE1509" s="410"/>
    </row>
    <row r="1510" spans="1:46">
      <c r="A1510" s="1"/>
      <c r="B1510" s="1"/>
      <c r="C1510" s="1"/>
      <c r="D1510" s="413" t="s">
        <v>476</v>
      </c>
      <c r="E1510" s="406"/>
      <c r="F1510" s="406"/>
      <c r="G1510" s="406"/>
      <c r="H1510" s="406"/>
      <c r="I1510" s="406"/>
      <c r="J1510" s="406"/>
      <c r="K1510" s="406"/>
      <c r="L1510" s="406"/>
      <c r="M1510" s="406"/>
      <c r="N1510" s="406"/>
      <c r="O1510" s="406"/>
      <c r="P1510" s="406"/>
      <c r="Q1510" s="406"/>
      <c r="R1510" s="406"/>
      <c r="S1510" s="406"/>
      <c r="T1510" s="406"/>
      <c r="U1510" s="406"/>
      <c r="V1510" s="406"/>
      <c r="W1510" s="406"/>
      <c r="X1510" s="406"/>
      <c r="Y1510" s="482">
        <f>+Y1511+Y1513</f>
        <v>769.8</v>
      </c>
      <c r="Z1510" s="412">
        <v>747.2322472139972</v>
      </c>
      <c r="AA1510" s="412">
        <f>+AA1511+AA1513</f>
        <v>718.68553264663296</v>
      </c>
      <c r="AB1510" s="412">
        <f>+AB1511+AB1513</f>
        <v>742.26104108982895</v>
      </c>
      <c r="AC1510" s="412">
        <f>+AC1511+AC1513</f>
        <v>850.21990038716001</v>
      </c>
      <c r="AD1510" s="412">
        <f>+AD1511+AD1513</f>
        <v>1071.7092455117818</v>
      </c>
      <c r="AE1510" s="410"/>
      <c r="AG1510"/>
      <c r="AJ1510"/>
      <c r="AK1510"/>
      <c r="AL1510"/>
      <c r="AM1510"/>
      <c r="AN1510"/>
      <c r="AO1510"/>
      <c r="AP1510"/>
      <c r="AQ1510"/>
      <c r="AR1510"/>
      <c r="AS1510"/>
      <c r="AT1510"/>
    </row>
    <row r="1511" spans="1:46">
      <c r="A1511" s="1"/>
      <c r="B1511" s="1"/>
      <c r="C1511" s="1"/>
      <c r="D1511" s="419" t="s">
        <v>595</v>
      </c>
      <c r="E1511" s="406"/>
      <c r="F1511" s="406"/>
      <c r="G1511" s="406"/>
      <c r="H1511" s="406"/>
      <c r="I1511" s="406"/>
      <c r="J1511" s="406"/>
      <c r="K1511" s="406"/>
      <c r="L1511" s="406"/>
      <c r="M1511" s="406"/>
      <c r="N1511" s="406"/>
      <c r="O1511" s="406"/>
      <c r="P1511" s="406"/>
      <c r="Q1511" s="406"/>
      <c r="R1511" s="406"/>
      <c r="S1511" s="406"/>
      <c r="T1511" s="406"/>
      <c r="U1511" s="406"/>
      <c r="V1511" s="406"/>
      <c r="W1511" s="406"/>
      <c r="X1511" s="406"/>
      <c r="Y1511" s="483">
        <f>+Z754</f>
        <v>388.5</v>
      </c>
      <c r="Z1511" s="409">
        <v>467.12</v>
      </c>
      <c r="AA1511" s="409">
        <f>+AA754</f>
        <v>446.87751730499997</v>
      </c>
      <c r="AB1511" s="409">
        <f>+AB754</f>
        <v>400.977097582</v>
      </c>
      <c r="AC1511" s="409">
        <f>+AC754</f>
        <v>463.15948488100003</v>
      </c>
      <c r="AD1511" s="409">
        <f>+AD754</f>
        <v>623.70524927800011</v>
      </c>
      <c r="AE1511" s="410"/>
      <c r="AG1511"/>
      <c r="AJ1511"/>
      <c r="AK1511"/>
      <c r="AL1511"/>
      <c r="AM1511"/>
      <c r="AN1511"/>
      <c r="AO1511"/>
      <c r="AP1511"/>
      <c r="AQ1511"/>
      <c r="AR1511"/>
      <c r="AS1511"/>
      <c r="AT1511"/>
    </row>
    <row r="1512" spans="1:46">
      <c r="A1512" s="1"/>
      <c r="B1512" s="1"/>
      <c r="C1512" s="1"/>
      <c r="D1512" s="424" t="s">
        <v>139</v>
      </c>
      <c r="E1512" s="406"/>
      <c r="F1512" s="406"/>
      <c r="G1512" s="406"/>
      <c r="H1512" s="406"/>
      <c r="I1512" s="406"/>
      <c r="J1512" s="406"/>
      <c r="K1512" s="406"/>
      <c r="L1512" s="406"/>
      <c r="M1512" s="406"/>
      <c r="N1512" s="406"/>
      <c r="O1512" s="406"/>
      <c r="P1512" s="406"/>
      <c r="Q1512" s="406"/>
      <c r="R1512" s="406"/>
      <c r="S1512" s="406"/>
      <c r="T1512" s="406"/>
      <c r="U1512" s="406"/>
      <c r="V1512" s="406"/>
      <c r="W1512" s="406"/>
      <c r="X1512" s="406"/>
      <c r="Y1512" s="483"/>
      <c r="Z1512" s="409"/>
      <c r="AA1512" s="409"/>
      <c r="AB1512" s="409"/>
      <c r="AC1512" s="409"/>
      <c r="AD1512" s="409"/>
      <c r="AE1512" s="410"/>
      <c r="AG1512"/>
      <c r="AJ1512"/>
      <c r="AK1512"/>
      <c r="AL1512"/>
      <c r="AM1512"/>
      <c r="AN1512"/>
      <c r="AO1512"/>
      <c r="AP1512"/>
      <c r="AQ1512"/>
      <c r="AR1512"/>
      <c r="AS1512"/>
      <c r="AT1512"/>
    </row>
    <row r="1513" spans="1:46">
      <c r="A1513" s="1"/>
      <c r="B1513" s="1"/>
      <c r="C1513" s="1"/>
      <c r="D1513" s="419" t="s">
        <v>634</v>
      </c>
      <c r="E1513" s="406"/>
      <c r="F1513" s="406"/>
      <c r="G1513" s="406"/>
      <c r="H1513" s="406"/>
      <c r="I1513" s="406"/>
      <c r="J1513" s="406"/>
      <c r="K1513" s="406"/>
      <c r="L1513" s="406"/>
      <c r="M1513" s="406"/>
      <c r="N1513" s="406"/>
      <c r="O1513" s="406"/>
      <c r="P1513" s="406"/>
      <c r="Q1513" s="406"/>
      <c r="R1513" s="406"/>
      <c r="S1513" s="406"/>
      <c r="T1513" s="406"/>
      <c r="U1513" s="406"/>
      <c r="V1513" s="406"/>
      <c r="W1513" s="406"/>
      <c r="X1513" s="406"/>
      <c r="Y1513" s="483">
        <f>+Z762</f>
        <v>381.3</v>
      </c>
      <c r="Z1513" s="409">
        <v>280.11224721399725</v>
      </c>
      <c r="AA1513" s="409">
        <f>+AA762</f>
        <v>271.80801534163299</v>
      </c>
      <c r="AB1513" s="409">
        <f>+AB762</f>
        <v>341.28394350782901</v>
      </c>
      <c r="AC1513" s="409">
        <f>+AC762</f>
        <v>387.06041550615998</v>
      </c>
      <c r="AD1513" s="409">
        <f>+AD762</f>
        <v>448.00399623378166</v>
      </c>
      <c r="AE1513" s="410"/>
      <c r="AG1513"/>
      <c r="AJ1513"/>
      <c r="AK1513"/>
      <c r="AL1513"/>
      <c r="AM1513"/>
      <c r="AN1513"/>
      <c r="AO1513"/>
      <c r="AP1513"/>
      <c r="AQ1513"/>
      <c r="AR1513"/>
      <c r="AS1513"/>
      <c r="AT1513"/>
    </row>
    <row r="1514" spans="1:46">
      <c r="A1514" s="1"/>
      <c r="B1514" s="1"/>
      <c r="C1514" s="1"/>
      <c r="D1514" s="418" t="s">
        <v>150</v>
      </c>
      <c r="E1514" s="406"/>
      <c r="F1514" s="406"/>
      <c r="G1514" s="406"/>
      <c r="H1514" s="406"/>
      <c r="I1514" s="406"/>
      <c r="J1514" s="406"/>
      <c r="K1514" s="406"/>
      <c r="L1514" s="406"/>
      <c r="M1514" s="406"/>
      <c r="N1514" s="406"/>
      <c r="O1514" s="406"/>
      <c r="P1514" s="406"/>
      <c r="Q1514" s="406"/>
      <c r="R1514" s="406"/>
      <c r="S1514" s="406"/>
      <c r="T1514" s="406"/>
      <c r="U1514" s="406"/>
      <c r="V1514" s="406"/>
      <c r="W1514" s="406"/>
      <c r="X1514" s="406"/>
      <c r="Y1514" s="483"/>
      <c r="Z1514" s="409"/>
      <c r="AA1514" s="409"/>
      <c r="AB1514" s="409"/>
      <c r="AC1514" s="409"/>
      <c r="AD1514" s="409"/>
      <c r="AE1514" s="410"/>
      <c r="AG1514"/>
      <c r="AJ1514"/>
      <c r="AK1514"/>
      <c r="AL1514"/>
      <c r="AM1514"/>
      <c r="AN1514"/>
      <c r="AO1514"/>
      <c r="AP1514"/>
      <c r="AQ1514"/>
      <c r="AR1514"/>
      <c r="AS1514"/>
      <c r="AT1514"/>
    </row>
    <row r="1515" spans="1:46">
      <c r="A1515" s="1"/>
      <c r="B1515" s="1"/>
      <c r="C1515" s="1"/>
      <c r="D1515" s="419"/>
      <c r="E1515" s="406"/>
      <c r="F1515" s="406"/>
      <c r="G1515" s="406"/>
      <c r="H1515" s="406"/>
      <c r="I1515" s="406"/>
      <c r="J1515" s="406"/>
      <c r="K1515" s="406"/>
      <c r="L1515" s="406"/>
      <c r="M1515" s="406"/>
      <c r="N1515" s="406"/>
      <c r="O1515" s="406"/>
      <c r="P1515" s="406"/>
      <c r="Q1515" s="406"/>
      <c r="R1515" s="406"/>
      <c r="S1515" s="406"/>
      <c r="T1515" s="406"/>
      <c r="U1515" s="406"/>
      <c r="V1515" s="406"/>
      <c r="W1515" s="406"/>
      <c r="X1515" s="406"/>
      <c r="Y1515" s="483"/>
      <c r="Z1515" s="409"/>
      <c r="AA1515" s="409"/>
      <c r="AB1515" s="409"/>
      <c r="AC1515" s="409"/>
      <c r="AD1515" s="409"/>
      <c r="AE1515" s="410"/>
    </row>
    <row r="1516" spans="1:46">
      <c r="A1516" s="1"/>
      <c r="B1516" s="1"/>
      <c r="C1516" s="1"/>
      <c r="D1516" s="413" t="s">
        <v>635</v>
      </c>
      <c r="E1516" s="406"/>
      <c r="F1516" s="406"/>
      <c r="G1516" s="406"/>
      <c r="H1516" s="406"/>
      <c r="I1516" s="406"/>
      <c r="J1516" s="406"/>
      <c r="K1516" s="406"/>
      <c r="L1516" s="406"/>
      <c r="M1516" s="406"/>
      <c r="N1516" s="406"/>
      <c r="O1516" s="406"/>
      <c r="P1516" s="406"/>
      <c r="Q1516" s="406"/>
      <c r="R1516" s="406"/>
      <c r="S1516" s="406"/>
      <c r="T1516" s="406"/>
      <c r="U1516" s="406"/>
      <c r="V1516" s="406"/>
      <c r="W1516" s="406"/>
      <c r="X1516" s="406"/>
      <c r="Y1516" s="482">
        <f>+Z770+Y1486</f>
        <v>118.69999999999999</v>
      </c>
      <c r="Z1516" s="412">
        <v>132.32578885598923</v>
      </c>
      <c r="AA1516" s="412">
        <f>+AA770+AA1486</f>
        <v>89.895943310999982</v>
      </c>
      <c r="AB1516" s="412">
        <f>+AB770+AB1486</f>
        <v>122.923418078</v>
      </c>
      <c r="AC1516" s="412">
        <f>+AC770+AC1486</f>
        <v>161.03260498499998</v>
      </c>
      <c r="AD1516" s="412">
        <f>+AD770+AD1486</f>
        <v>195.42171657599999</v>
      </c>
      <c r="AE1516" s="410"/>
    </row>
    <row r="1517" spans="1:46">
      <c r="A1517" s="1"/>
      <c r="B1517" s="1"/>
      <c r="C1517" s="1"/>
      <c r="D1517" s="413" t="s">
        <v>636</v>
      </c>
      <c r="E1517" s="406"/>
      <c r="F1517" s="406"/>
      <c r="G1517" s="406"/>
      <c r="H1517" s="406"/>
      <c r="I1517" s="406"/>
      <c r="J1517" s="406"/>
      <c r="K1517" s="406"/>
      <c r="L1517" s="406"/>
      <c r="M1517" s="406"/>
      <c r="N1517" s="406"/>
      <c r="O1517" s="406"/>
      <c r="P1517" s="406"/>
      <c r="Q1517" s="406"/>
      <c r="R1517" s="406"/>
      <c r="S1517" s="406"/>
      <c r="T1517" s="406"/>
      <c r="U1517" s="406"/>
      <c r="V1517" s="406"/>
      <c r="W1517" s="406"/>
      <c r="X1517" s="406"/>
      <c r="Y1517" s="483">
        <f>-Z800</f>
        <v>-5</v>
      </c>
      <c r="Z1517" s="409">
        <v>11.37190368958947</v>
      </c>
      <c r="AA1517" s="409">
        <f>-AA800</f>
        <v>27.618025554000013</v>
      </c>
      <c r="AB1517" s="409">
        <f>-AB800</f>
        <v>-39.965229826000012</v>
      </c>
      <c r="AC1517" s="409">
        <f>-AC800</f>
        <v>25.061232288000014</v>
      </c>
      <c r="AD1517" s="409">
        <f>-AD800</f>
        <v>-55.122620192000042</v>
      </c>
      <c r="AE1517" s="410"/>
    </row>
    <row r="1518" spans="1:46">
      <c r="A1518" s="1"/>
      <c r="B1518" s="1"/>
      <c r="C1518" s="1"/>
      <c r="D1518" s="413" t="s">
        <v>637</v>
      </c>
      <c r="E1518" s="406"/>
      <c r="F1518" s="406"/>
      <c r="G1518" s="406"/>
      <c r="H1518" s="406"/>
      <c r="I1518" s="406"/>
      <c r="J1518" s="406"/>
      <c r="K1518" s="406"/>
      <c r="L1518" s="406"/>
      <c r="M1518" s="406"/>
      <c r="N1518" s="406"/>
      <c r="O1518" s="406"/>
      <c r="P1518" s="406"/>
      <c r="Q1518" s="406"/>
      <c r="R1518" s="406"/>
      <c r="S1518" s="406"/>
      <c r="T1518" s="406"/>
      <c r="U1518" s="406"/>
      <c r="V1518" s="406"/>
      <c r="W1518" s="406"/>
      <c r="X1518" s="406"/>
      <c r="Y1518" s="483">
        <f>+IF(Z$392&lt;0,-Z$392,0)</f>
        <v>0</v>
      </c>
      <c r="Z1518" s="409">
        <v>0</v>
      </c>
      <c r="AA1518" s="409">
        <f>-(AA840+AA842)</f>
        <v>17.5</v>
      </c>
      <c r="AB1518" s="409">
        <f>-(AB840+AB842)</f>
        <v>20.861262175</v>
      </c>
      <c r="AC1518" s="409">
        <f>-(AC840+AC842)</f>
        <v>8.0802268640000001</v>
      </c>
      <c r="AD1518" s="409">
        <f>-(AD840+AD842)</f>
        <v>23.998066952000002</v>
      </c>
      <c r="AE1518" s="410"/>
    </row>
    <row r="1519" spans="1:46">
      <c r="A1519" s="1"/>
      <c r="B1519" s="1"/>
      <c r="C1519" s="1"/>
      <c r="D1519" s="413" t="s">
        <v>638</v>
      </c>
      <c r="E1519" s="406"/>
      <c r="F1519" s="406"/>
      <c r="G1519" s="406"/>
      <c r="H1519" s="406"/>
      <c r="I1519" s="406"/>
      <c r="J1519" s="406"/>
      <c r="K1519" s="406"/>
      <c r="L1519" s="406"/>
      <c r="M1519" s="406"/>
      <c r="N1519" s="406"/>
      <c r="O1519" s="406"/>
      <c r="P1519" s="406"/>
      <c r="Q1519" s="406"/>
      <c r="R1519" s="406"/>
      <c r="S1519" s="406"/>
      <c r="T1519" s="406"/>
      <c r="U1519" s="406"/>
      <c r="V1519" s="406"/>
      <c r="W1519" s="406"/>
      <c r="X1519" s="406"/>
      <c r="Y1519" s="483">
        <f>+IF(Z$848&lt;0,-Z$848,0)</f>
        <v>0</v>
      </c>
      <c r="Z1519" s="417">
        <v>19.100000000000001</v>
      </c>
      <c r="AA1519" s="417"/>
      <c r="AB1519" s="409">
        <f>+IF(AB$852&lt;0,-AB$852,0)</f>
        <v>0</v>
      </c>
      <c r="AC1519" s="409">
        <f>+IF(AC$852&lt;0,-AC$852,0)</f>
        <v>0</v>
      </c>
      <c r="AD1519" s="409">
        <f>+IF(AD$852&lt;0,-AD$852,0)</f>
        <v>0</v>
      </c>
      <c r="AE1519" s="410"/>
    </row>
    <row r="1520" spans="1:46">
      <c r="A1520" s="1"/>
      <c r="B1520" s="1"/>
      <c r="C1520" s="1"/>
      <c r="D1520" s="426" t="s">
        <v>101</v>
      </c>
      <c r="E1520" s="406"/>
      <c r="F1520" s="406"/>
      <c r="G1520" s="406"/>
      <c r="H1520" s="406"/>
      <c r="I1520" s="406"/>
      <c r="J1520" s="406"/>
      <c r="K1520" s="406"/>
      <c r="L1520" s="406"/>
      <c r="M1520" s="406"/>
      <c r="N1520" s="406"/>
      <c r="O1520" s="406"/>
      <c r="P1520" s="406"/>
      <c r="Q1520" s="406"/>
      <c r="R1520" s="406"/>
      <c r="S1520" s="406"/>
      <c r="T1520" s="406"/>
      <c r="U1520" s="406"/>
      <c r="V1520" s="406"/>
      <c r="W1520" s="406"/>
      <c r="X1520" s="406"/>
      <c r="Y1520" s="485">
        <f>+IF(ABS(Y1490-Y1521)&gt;0.2,Y1490-Y1521,"")</f>
        <v>-129.24840287106485</v>
      </c>
      <c r="Z1520" s="417" t="s">
        <v>136</v>
      </c>
      <c r="AA1520" s="417">
        <f>+IF(ABS(AA1490-AA1521)&gt;0.2,AA1490-AA1521,"")</f>
        <v>30.894670162722605</v>
      </c>
      <c r="AB1520" s="409">
        <f>+IF(ABS(AB1490-AB1521)&gt;0.2,AB1490-AB1521,"")</f>
        <v>-105.09605482266488</v>
      </c>
      <c r="AC1520" s="409" t="str">
        <f>+IF(ABS(AC1490-AC1521)&gt;0.2,AC1490-AC1521,"")</f>
        <v/>
      </c>
      <c r="AD1520" s="409">
        <f>+IF(ABS(AD1490-AD1521)&gt;0.2,AD1490-AD1521,"")</f>
        <v>-5.5720214696925723</v>
      </c>
      <c r="AE1520" s="410"/>
    </row>
    <row r="1521" spans="1:46" ht="16" thickBot="1">
      <c r="A1521" s="1"/>
      <c r="B1521" s="1"/>
      <c r="C1521" s="1"/>
      <c r="D1521" s="427" t="s">
        <v>639</v>
      </c>
      <c r="E1521" s="428"/>
      <c r="F1521" s="428"/>
      <c r="G1521" s="428"/>
      <c r="H1521" s="428"/>
      <c r="I1521" s="428"/>
      <c r="J1521" s="428"/>
      <c r="K1521" s="428"/>
      <c r="L1521" s="428"/>
      <c r="M1521" s="428"/>
      <c r="N1521" s="428"/>
      <c r="O1521" s="428"/>
      <c r="P1521" s="428"/>
      <c r="Q1521" s="428"/>
      <c r="R1521" s="428"/>
      <c r="S1521" s="428"/>
      <c r="T1521" s="428"/>
      <c r="U1521" s="428"/>
      <c r="V1521" s="428"/>
      <c r="W1521" s="428"/>
      <c r="X1521" s="428"/>
      <c r="Y1521" s="486">
        <f>+Y1494+Y1510+Y1516+Y1517+Y1518+Y1519</f>
        <v>1723.0304580018158</v>
      </c>
      <c r="Z1521" s="479">
        <v>1823.5981679867123</v>
      </c>
      <c r="AA1521" s="479">
        <f>+AA1494+AA1510+AA1516+AA1517+AA1518+AA1519</f>
        <v>1789.5040015115983</v>
      </c>
      <c r="AB1521" s="479">
        <f>+AB1494+AB1510+AB1516+AB1517+AB1518+AB1519</f>
        <v>1976.2286617039993</v>
      </c>
      <c r="AC1521" s="479">
        <f>+AC1494+AC1510+AC1516+AC1517+AC1518+AC1519</f>
        <v>2222.7513840465272</v>
      </c>
      <c r="AD1521" s="479">
        <f>+AD1494+AD1510+AD1516+AD1517+AD1518+AD1519</f>
        <v>2596.176901405041</v>
      </c>
      <c r="AE1521" s="429"/>
    </row>
    <row r="1522" spans="1:46">
      <c r="A1522" s="1"/>
      <c r="B1522" s="1"/>
      <c r="C1522" s="1"/>
      <c r="D1522" s="14"/>
      <c r="E1522" s="14"/>
      <c r="F1522" s="14"/>
      <c r="G1522" s="14"/>
      <c r="H1522" s="14"/>
      <c r="I1522" s="14"/>
      <c r="J1522" s="14"/>
      <c r="K1522" s="14"/>
      <c r="L1522" s="14"/>
      <c r="M1522" s="14"/>
      <c r="N1522" s="14"/>
      <c r="O1522" s="14"/>
      <c r="P1522" s="14"/>
      <c r="Q1522" s="14"/>
      <c r="R1522" s="14"/>
      <c r="S1522" s="14"/>
      <c r="T1522" s="14"/>
      <c r="U1522" s="14"/>
      <c r="V1522" s="14"/>
      <c r="W1522" s="14"/>
      <c r="X1522" s="14"/>
      <c r="Y1522" s="14"/>
      <c r="Z1522" s="14"/>
      <c r="AA1522" s="14"/>
      <c r="AB1522" s="14"/>
      <c r="AC1522" s="14"/>
      <c r="AD1522" s="14"/>
      <c r="AE1522" s="14"/>
    </row>
    <row r="1523" spans="1:46">
      <c r="A1523" s="1"/>
      <c r="B1523" s="1"/>
      <c r="C1523" s="1"/>
      <c r="D1523" s="487"/>
      <c r="E1523" s="14"/>
      <c r="F1523" s="14"/>
      <c r="G1523" s="14"/>
      <c r="H1523" s="14"/>
      <c r="I1523" s="14"/>
      <c r="J1523" s="14"/>
      <c r="K1523" s="14"/>
      <c r="L1523" s="14"/>
      <c r="M1523" s="14"/>
      <c r="N1523" s="14"/>
      <c r="O1523" s="14"/>
      <c r="P1523" s="14"/>
      <c r="Q1523" s="14"/>
      <c r="R1523" s="14"/>
      <c r="S1523" s="14"/>
      <c r="T1523" s="14"/>
      <c r="U1523" s="14"/>
      <c r="V1523" s="14"/>
      <c r="W1523" s="14"/>
      <c r="X1523" s="14"/>
      <c r="Y1523" s="14"/>
      <c r="Z1523" s="14"/>
      <c r="AA1523" s="14"/>
      <c r="AB1523" s="14"/>
      <c r="AC1523" s="14"/>
      <c r="AD1523" s="14"/>
      <c r="AE1523" s="14"/>
      <c r="AH1523" s="1869"/>
      <c r="AI1523" s="1869"/>
      <c r="AJ1523" s="1869"/>
      <c r="AK1523" s="1869"/>
      <c r="AL1523" s="1869"/>
      <c r="AM1523" s="1869"/>
      <c r="AN1523" s="1869"/>
      <c r="AO1523" s="1869"/>
      <c r="AP1523" s="1869"/>
      <c r="AQ1523" s="1869"/>
      <c r="AR1523" s="1869"/>
      <c r="AS1523" s="1869"/>
      <c r="AT1523" s="1869"/>
    </row>
    <row r="1524" spans="1:46">
      <c r="A1524" s="1"/>
      <c r="B1524" s="1"/>
      <c r="C1524" s="1"/>
      <c r="D1524" s="89" t="s">
        <v>937</v>
      </c>
      <c r="E1524" s="9"/>
      <c r="F1524" s="9"/>
      <c r="G1524" s="9"/>
      <c r="H1524" s="9"/>
      <c r="I1524" s="9">
        <v>1998</v>
      </c>
      <c r="J1524" s="9">
        <v>1999</v>
      </c>
      <c r="K1524" s="9">
        <v>2000</v>
      </c>
      <c r="L1524" s="9">
        <v>2001</v>
      </c>
      <c r="M1524" s="9">
        <v>2002</v>
      </c>
      <c r="N1524" s="9">
        <v>2003</v>
      </c>
      <c r="O1524" s="9">
        <v>2004</v>
      </c>
      <c r="P1524" s="9">
        <v>2005</v>
      </c>
      <c r="Q1524" s="9">
        <v>2006</v>
      </c>
      <c r="R1524" s="9">
        <v>2007</v>
      </c>
      <c r="S1524" s="9">
        <v>2008</v>
      </c>
      <c r="T1524" s="9">
        <v>2009</v>
      </c>
      <c r="U1524" s="9">
        <v>2010</v>
      </c>
      <c r="V1524" s="9"/>
      <c r="W1524" s="9"/>
      <c r="X1524" s="9"/>
      <c r="Y1524" s="9"/>
      <c r="Z1524" s="9"/>
      <c r="AA1524" s="9"/>
      <c r="AB1524" s="9"/>
      <c r="AC1524" s="9"/>
      <c r="AD1524" s="9"/>
      <c r="AE1524" s="9"/>
    </row>
    <row r="1525" spans="1:46">
      <c r="A1525" s="1"/>
      <c r="B1525" s="1"/>
      <c r="C1525" s="1"/>
      <c r="D1525" s="487" t="s">
        <v>675</v>
      </c>
      <c r="E1525" s="100"/>
      <c r="F1525" s="100"/>
      <c r="G1525" s="100"/>
      <c r="H1525" s="100"/>
      <c r="I1525" s="100"/>
      <c r="J1525" s="100"/>
      <c r="K1525" s="100"/>
      <c r="L1525" s="100"/>
      <c r="M1525" s="100"/>
      <c r="N1525" s="100"/>
      <c r="O1525" s="100"/>
      <c r="P1525" s="100"/>
      <c r="Q1525" s="100"/>
      <c r="R1525" s="100"/>
      <c r="S1525" s="100"/>
      <c r="T1525" s="100"/>
      <c r="U1525" s="2"/>
      <c r="V1525" s="555" t="s">
        <v>742</v>
      </c>
      <c r="W1525" s="962">
        <v>2012</v>
      </c>
      <c r="X1525" s="962">
        <v>2013</v>
      </c>
      <c r="Y1525" s="962">
        <v>2014</v>
      </c>
      <c r="Z1525" s="962">
        <v>2015</v>
      </c>
      <c r="AA1525" s="962">
        <v>2016</v>
      </c>
      <c r="AB1525" s="962">
        <v>2017</v>
      </c>
      <c r="AC1525" s="962">
        <v>2018</v>
      </c>
      <c r="AD1525" s="962">
        <v>2019</v>
      </c>
      <c r="AE1525" s="962">
        <v>2020</v>
      </c>
      <c r="AF1525" s="962">
        <f t="shared" ref="AF1525:AH1526" si="1848">+AE1525+1</f>
        <v>2021</v>
      </c>
      <c r="AG1525" s="962">
        <f t="shared" si="1848"/>
        <v>2022</v>
      </c>
      <c r="AH1525" s="962">
        <f t="shared" si="1848"/>
        <v>2023</v>
      </c>
      <c r="AI1525" s="962">
        <f t="shared" ref="AI1525:AM1526" si="1849">+AH1525+1</f>
        <v>2024</v>
      </c>
      <c r="AJ1525" s="962">
        <f t="shared" si="1849"/>
        <v>2025</v>
      </c>
      <c r="AK1525" s="962">
        <f t="shared" si="1849"/>
        <v>2026</v>
      </c>
      <c r="AL1525" s="962">
        <f t="shared" si="1849"/>
        <v>2027</v>
      </c>
      <c r="AM1525" s="962">
        <f t="shared" si="1849"/>
        <v>2028</v>
      </c>
      <c r="AN1525" s="962">
        <f t="shared" ref="AN1525:AN1526" si="1850">+AM1525+1</f>
        <v>2029</v>
      </c>
      <c r="AO1525" s="962">
        <f t="shared" ref="AO1525:AO1526" si="1851">+AN1525+1</f>
        <v>2030</v>
      </c>
      <c r="AP1525" s="962">
        <f t="shared" ref="AP1525:AP1526" si="1852">+AO1525+1</f>
        <v>2031</v>
      </c>
      <c r="AQ1525" s="962">
        <f t="shared" ref="AQ1525:AQ1526" si="1853">+AP1525+1</f>
        <v>2032</v>
      </c>
      <c r="AR1525" s="962">
        <f t="shared" ref="AR1525:AR1526" si="1854">+AQ1525+1</f>
        <v>2033</v>
      </c>
      <c r="AS1525" s="962">
        <f t="shared" ref="AS1525:AS1526" si="1855">+AR1525+1</f>
        <v>2034</v>
      </c>
      <c r="AT1525" s="962">
        <f t="shared" ref="AT1525:AT1526" si="1856">+AS1525+1</f>
        <v>2035</v>
      </c>
    </row>
    <row r="1526" spans="1:46">
      <c r="A1526" s="1"/>
      <c r="B1526" s="1"/>
      <c r="C1526" s="1"/>
      <c r="D1526" s="1058" t="s">
        <v>325</v>
      </c>
      <c r="E1526" s="1059"/>
      <c r="F1526" s="1059"/>
      <c r="G1526" s="1059"/>
      <c r="H1526" s="1059"/>
      <c r="I1526" s="1060">
        <v>1998</v>
      </c>
      <c r="J1526" s="1061">
        <v>1999</v>
      </c>
      <c r="K1526" s="1061">
        <v>2000</v>
      </c>
      <c r="L1526" s="1061">
        <v>2001</v>
      </c>
      <c r="M1526" s="1061">
        <v>2002</v>
      </c>
      <c r="N1526" s="1061">
        <v>2003</v>
      </c>
      <c r="O1526" s="1061">
        <v>2004</v>
      </c>
      <c r="P1526" s="1061">
        <v>2005</v>
      </c>
      <c r="Q1526" s="1061">
        <v>2006</v>
      </c>
      <c r="R1526" s="1061">
        <v>2007</v>
      </c>
      <c r="S1526" s="1061">
        <v>2008</v>
      </c>
      <c r="T1526" s="1061">
        <v>2009</v>
      </c>
      <c r="U1526" s="1061">
        <v>2010</v>
      </c>
      <c r="V1526" s="1061">
        <v>2011</v>
      </c>
      <c r="W1526" s="1061">
        <v>2012</v>
      </c>
      <c r="X1526" s="1061">
        <v>2013</v>
      </c>
      <c r="Y1526" s="1061">
        <v>2014</v>
      </c>
      <c r="Z1526" s="1061">
        <v>2015</v>
      </c>
      <c r="AA1526" s="1061">
        <v>2016</v>
      </c>
      <c r="AB1526" s="1061">
        <v>2017</v>
      </c>
      <c r="AC1526" s="1061">
        <v>2018</v>
      </c>
      <c r="AD1526" s="1061">
        <v>2019</v>
      </c>
      <c r="AE1526" s="1061">
        <v>2020</v>
      </c>
      <c r="AF1526" s="1061">
        <f t="shared" si="1848"/>
        <v>2021</v>
      </c>
      <c r="AG1526" s="1061">
        <f t="shared" si="1848"/>
        <v>2022</v>
      </c>
      <c r="AH1526" s="1061">
        <f t="shared" si="1848"/>
        <v>2023</v>
      </c>
      <c r="AI1526" s="1061">
        <f t="shared" si="1849"/>
        <v>2024</v>
      </c>
      <c r="AJ1526" s="1061">
        <f t="shared" si="1849"/>
        <v>2025</v>
      </c>
      <c r="AK1526" s="1061">
        <f t="shared" si="1849"/>
        <v>2026</v>
      </c>
      <c r="AL1526" s="1087">
        <f t="shared" si="1849"/>
        <v>2027</v>
      </c>
      <c r="AM1526" s="1087">
        <f t="shared" si="1849"/>
        <v>2028</v>
      </c>
      <c r="AN1526" s="1087">
        <f t="shared" si="1850"/>
        <v>2029</v>
      </c>
      <c r="AO1526" s="1087">
        <f t="shared" si="1851"/>
        <v>2030</v>
      </c>
      <c r="AP1526" s="1087">
        <f t="shared" si="1852"/>
        <v>2031</v>
      </c>
      <c r="AQ1526" s="1087">
        <f t="shared" si="1853"/>
        <v>2032</v>
      </c>
      <c r="AR1526" s="1087">
        <f t="shared" si="1854"/>
        <v>2033</v>
      </c>
      <c r="AS1526" s="1087">
        <f t="shared" si="1855"/>
        <v>2034</v>
      </c>
      <c r="AT1526" s="1087">
        <f t="shared" si="1856"/>
        <v>2035</v>
      </c>
    </row>
    <row r="1527" spans="1:46">
      <c r="A1527" s="1"/>
      <c r="B1527" s="1"/>
      <c r="C1527" s="1"/>
      <c r="D1527" s="1058" t="s">
        <v>3287</v>
      </c>
      <c r="E1527" s="1059"/>
      <c r="F1527" s="1059"/>
      <c r="G1527" s="1059"/>
      <c r="H1527" s="1059"/>
      <c r="I1527" s="1060"/>
      <c r="J1527" s="1062">
        <f t="shared" ref="J1527:T1527" si="1857">(J988+K988)/2</f>
        <v>0</v>
      </c>
      <c r="K1527" s="1062">
        <f t="shared" si="1857"/>
        <v>0</v>
      </c>
      <c r="L1527" s="1062">
        <f t="shared" si="1857"/>
        <v>0</v>
      </c>
      <c r="M1527" s="1062">
        <f t="shared" si="1857"/>
        <v>0</v>
      </c>
      <c r="N1527" s="1062">
        <f t="shared" si="1857"/>
        <v>0</v>
      </c>
      <c r="O1527" s="1062">
        <f t="shared" si="1857"/>
        <v>0</v>
      </c>
      <c r="P1527" s="1062">
        <f t="shared" si="1857"/>
        <v>0</v>
      </c>
      <c r="Q1527" s="1062">
        <f t="shared" si="1857"/>
        <v>0</v>
      </c>
      <c r="R1527" s="1062">
        <f t="shared" si="1857"/>
        <v>0</v>
      </c>
      <c r="S1527" s="1062">
        <f t="shared" si="1857"/>
        <v>0</v>
      </c>
      <c r="T1527" s="1062">
        <f t="shared" si="1857"/>
        <v>0</v>
      </c>
      <c r="U1527" s="1062">
        <f t="shared" ref="U1527:AT1527" si="1858">(U989+U1052+V989+V1052)/2</f>
        <v>100.7613663705</v>
      </c>
      <c r="V1527" s="1062">
        <f t="shared" si="1858"/>
        <v>232.36136637049998</v>
      </c>
      <c r="W1527" s="1062">
        <f t="shared" si="1858"/>
        <v>314.86897682</v>
      </c>
      <c r="X1527" s="1062">
        <f t="shared" si="1858"/>
        <v>615.50589260083621</v>
      </c>
      <c r="Y1527" s="1062">
        <f t="shared" si="1858"/>
        <v>933.62656257083358</v>
      </c>
      <c r="Z1527" s="1062">
        <f t="shared" si="1858"/>
        <v>1085.3713956162085</v>
      </c>
      <c r="AA1527" s="1062">
        <f t="shared" si="1858"/>
        <v>1226.7716715989297</v>
      </c>
      <c r="AB1527" s="1062">
        <f t="shared" si="1858"/>
        <v>1373.5418007338867</v>
      </c>
      <c r="AC1527" s="1062">
        <f t="shared" si="1858"/>
        <v>1565.8905347519308</v>
      </c>
      <c r="AD1527" s="1062">
        <f t="shared" si="1858"/>
        <v>1717.9045284508557</v>
      </c>
      <c r="AE1527" s="1062">
        <f t="shared" si="1858"/>
        <v>1886.3173863035956</v>
      </c>
      <c r="AF1527" s="1062">
        <f t="shared" si="1858"/>
        <v>2142.5508375984141</v>
      </c>
      <c r="AG1527" s="1062">
        <f t="shared" si="1858"/>
        <v>2483.1292918106042</v>
      </c>
      <c r="AH1527" s="1062">
        <f t="shared" si="1858"/>
        <v>2870.7984449253991</v>
      </c>
      <c r="AI1527" s="1062">
        <f t="shared" si="1858"/>
        <v>3356.3423527301193</v>
      </c>
      <c r="AJ1527" s="1062">
        <f t="shared" si="1858"/>
        <v>3955.9882279337098</v>
      </c>
      <c r="AK1527" s="1062">
        <f t="shared" si="1858"/>
        <v>4649.2225874669539</v>
      </c>
      <c r="AL1527" s="1062">
        <f t="shared" si="1858"/>
        <v>5438.0319765828026</v>
      </c>
      <c r="AM1527" s="1062">
        <f t="shared" si="1858"/>
        <v>6225.5817635305202</v>
      </c>
      <c r="AN1527" s="1062">
        <f t="shared" si="1858"/>
        <v>7063.3414502589321</v>
      </c>
      <c r="AO1527" s="1062">
        <f t="shared" si="1858"/>
        <v>7796.6133757766238</v>
      </c>
      <c r="AP1527" s="1062">
        <f t="shared" si="1858"/>
        <v>8331.756093678634</v>
      </c>
      <c r="AQ1527" s="1062">
        <f t="shared" si="1858"/>
        <v>9368.7221368138635</v>
      </c>
      <c r="AR1527" s="1062">
        <f t="shared" si="1858"/>
        <v>-3414.432020774057</v>
      </c>
      <c r="AS1527" s="1062">
        <f t="shared" si="1858"/>
        <v>-27076.335733303134</v>
      </c>
      <c r="AT1527" s="1062">
        <f t="shared" si="1858"/>
        <v>-18581.207720734783</v>
      </c>
    </row>
    <row r="1528" spans="1:46">
      <c r="A1528" s="1"/>
      <c r="B1528" s="1"/>
      <c r="C1528" s="1"/>
      <c r="D1528" s="1065" t="s">
        <v>3340</v>
      </c>
      <c r="E1528" s="1066"/>
      <c r="F1528" s="1066"/>
      <c r="G1528" s="1066"/>
      <c r="H1528" s="1066"/>
      <c r="I1528" s="1067"/>
      <c r="J1528" s="1068">
        <f t="shared" ref="J1528:AT1528" si="1859">(K990+J990+K995+J995)/2</f>
        <v>0</v>
      </c>
      <c r="K1528" s="1068">
        <f t="shared" si="1859"/>
        <v>0</v>
      </c>
      <c r="L1528" s="1068">
        <f t="shared" si="1859"/>
        <v>0</v>
      </c>
      <c r="M1528" s="1068">
        <f t="shared" si="1859"/>
        <v>0</v>
      </c>
      <c r="N1528" s="1068">
        <f t="shared" si="1859"/>
        <v>0</v>
      </c>
      <c r="O1528" s="1068">
        <f t="shared" si="1859"/>
        <v>0</v>
      </c>
      <c r="P1528" s="1068">
        <f t="shared" si="1859"/>
        <v>0</v>
      </c>
      <c r="Q1528" s="1068">
        <f t="shared" si="1859"/>
        <v>0</v>
      </c>
      <c r="R1528" s="1068">
        <f t="shared" si="1859"/>
        <v>0</v>
      </c>
      <c r="S1528" s="1068">
        <f t="shared" si="1859"/>
        <v>0</v>
      </c>
      <c r="T1528" s="1068">
        <f t="shared" si="1859"/>
        <v>0</v>
      </c>
      <c r="U1528" s="1068">
        <f t="shared" si="1859"/>
        <v>90.45</v>
      </c>
      <c r="V1528" s="1068">
        <f t="shared" si="1859"/>
        <v>204.7</v>
      </c>
      <c r="W1528" s="1068">
        <f t="shared" si="1859"/>
        <v>255.26897681999998</v>
      </c>
      <c r="X1528" s="1068">
        <f t="shared" si="1859"/>
        <v>284.96146723499999</v>
      </c>
      <c r="Y1528" s="1068">
        <f t="shared" si="1859"/>
        <v>314.90186935000003</v>
      </c>
      <c r="Z1528" s="1068">
        <f t="shared" si="1859"/>
        <v>374.45291135195737</v>
      </c>
      <c r="AA1528" s="1068">
        <f t="shared" si="1859"/>
        <v>414.04996827595608</v>
      </c>
      <c r="AB1528" s="1068">
        <f t="shared" si="1859"/>
        <v>446.26967297048122</v>
      </c>
      <c r="AC1528" s="1068">
        <f t="shared" si="1859"/>
        <v>533.40016347358255</v>
      </c>
      <c r="AD1528" s="1068">
        <f t="shared" si="1859"/>
        <v>618.42469833566201</v>
      </c>
      <c r="AE1528" s="1068">
        <f t="shared" si="1859"/>
        <v>672.01407575380085</v>
      </c>
      <c r="AF1528" s="1068">
        <f t="shared" si="1859"/>
        <v>778.05472682293657</v>
      </c>
      <c r="AG1528" s="1068">
        <f t="shared" si="1859"/>
        <v>938.14948570918716</v>
      </c>
      <c r="AH1528" s="1068">
        <f t="shared" si="1859"/>
        <v>1100.6569870709932</v>
      </c>
      <c r="AI1528" s="1068">
        <f t="shared" si="1859"/>
        <v>1275.2558652942134</v>
      </c>
      <c r="AJ1528" s="1068">
        <f t="shared" si="1859"/>
        <v>1491.3184448631046</v>
      </c>
      <c r="AK1528" s="1068">
        <f t="shared" si="1859"/>
        <v>1772.8747867392333</v>
      </c>
      <c r="AL1528" s="1068">
        <f t="shared" si="1859"/>
        <v>2080.7061700419813</v>
      </c>
      <c r="AM1528" s="1068">
        <f t="shared" si="1859"/>
        <v>2374.7836412402003</v>
      </c>
      <c r="AN1528" s="1068">
        <f t="shared" si="1859"/>
        <v>2707.4680493616816</v>
      </c>
      <c r="AO1528" s="1068">
        <f t="shared" si="1859"/>
        <v>3015.0913629468469</v>
      </c>
      <c r="AP1528" s="1068">
        <f t="shared" si="1859"/>
        <v>3235.2703331060634</v>
      </c>
      <c r="AQ1528" s="1068">
        <f t="shared" si="1859"/>
        <v>3662.3450005068426</v>
      </c>
      <c r="AR1528" s="1068">
        <f t="shared" si="1859"/>
        <v>98.650123543927293</v>
      </c>
      <c r="AS1528" s="1068">
        <f t="shared" si="1859"/>
        <v>-7260.8992693741966</v>
      </c>
      <c r="AT1528" s="1068">
        <f t="shared" si="1859"/>
        <v>-5363.2476579681224</v>
      </c>
    </row>
    <row r="1529" spans="1:46">
      <c r="A1529" s="1"/>
      <c r="B1529" s="1"/>
      <c r="C1529" s="1"/>
      <c r="D1529" s="1069" t="s">
        <v>3100</v>
      </c>
      <c r="E1529" s="1066"/>
      <c r="F1529" s="1066"/>
      <c r="G1529" s="1066"/>
      <c r="H1529" s="1066"/>
      <c r="I1529" s="1067"/>
      <c r="J1529" s="1068">
        <f t="shared" ref="J1529:AS1529" si="1860">(K991+J991+K995+J995)/2</f>
        <v>0</v>
      </c>
      <c r="K1529" s="1068">
        <f t="shared" si="1860"/>
        <v>0</v>
      </c>
      <c r="L1529" s="1068">
        <f t="shared" si="1860"/>
        <v>0</v>
      </c>
      <c r="M1529" s="1068">
        <f t="shared" si="1860"/>
        <v>0</v>
      </c>
      <c r="N1529" s="1068">
        <f t="shared" si="1860"/>
        <v>0</v>
      </c>
      <c r="O1529" s="1068">
        <f t="shared" si="1860"/>
        <v>0</v>
      </c>
      <c r="P1529" s="1068">
        <f t="shared" si="1860"/>
        <v>0</v>
      </c>
      <c r="Q1529" s="1068">
        <f t="shared" si="1860"/>
        <v>0</v>
      </c>
      <c r="R1529" s="1068">
        <f t="shared" si="1860"/>
        <v>0</v>
      </c>
      <c r="S1529" s="1068">
        <f t="shared" si="1860"/>
        <v>0</v>
      </c>
      <c r="T1529" s="1068">
        <f t="shared" si="1860"/>
        <v>0</v>
      </c>
      <c r="U1529" s="1068">
        <f t="shared" si="1860"/>
        <v>90.45</v>
      </c>
      <c r="V1529" s="1068">
        <f t="shared" si="1860"/>
        <v>204.7</v>
      </c>
      <c r="W1529" s="1068">
        <f t="shared" si="1860"/>
        <v>255.26897681999998</v>
      </c>
      <c r="X1529" s="1068">
        <f t="shared" si="1860"/>
        <v>258.24533691600004</v>
      </c>
      <c r="Y1529" s="1068">
        <f t="shared" si="1860"/>
        <v>250.55011652000002</v>
      </c>
      <c r="Z1529" s="1068">
        <f t="shared" si="1860"/>
        <v>296.83430954304993</v>
      </c>
      <c r="AA1529" s="1068">
        <f t="shared" si="1860"/>
        <v>334.30724673465892</v>
      </c>
      <c r="AB1529" s="1068">
        <f t="shared" si="1860"/>
        <v>357.45324648186852</v>
      </c>
      <c r="AC1529" s="1068">
        <f t="shared" si="1860"/>
        <v>347.10716246232857</v>
      </c>
      <c r="AD1529" s="1068">
        <f t="shared" si="1860"/>
        <v>411.31059895812768</v>
      </c>
      <c r="AE1529" s="1068">
        <f t="shared" si="1860"/>
        <v>527.34674071849327</v>
      </c>
      <c r="AF1529" s="1068">
        <f t="shared" si="1860"/>
        <v>603.0492054621875</v>
      </c>
      <c r="AG1529" s="1068">
        <f t="shared" si="1860"/>
        <v>699.58916655530538</v>
      </c>
      <c r="AH1529" s="1068">
        <f t="shared" si="1860"/>
        <v>795.89153448254228</v>
      </c>
      <c r="AI1529" s="1068">
        <f t="shared" si="1860"/>
        <v>744.04384701325318</v>
      </c>
      <c r="AJ1529" s="1068">
        <f t="shared" si="1860"/>
        <v>674.80221434331156</v>
      </c>
      <c r="AK1529" s="1068">
        <f t="shared" si="1860"/>
        <v>760.01448897652449</v>
      </c>
      <c r="AL1529" s="1068">
        <f t="shared" si="1860"/>
        <v>865.41177797477565</v>
      </c>
      <c r="AM1529" s="1068">
        <f t="shared" si="1860"/>
        <v>986.72925571293479</v>
      </c>
      <c r="AN1529" s="1068">
        <f t="shared" si="1860"/>
        <v>1125.2630862573737</v>
      </c>
      <c r="AO1529" s="1068">
        <f t="shared" si="1860"/>
        <v>1250.1938718220676</v>
      </c>
      <c r="AP1529" s="1068">
        <f t="shared" si="1860"/>
        <v>1349.8290693441031</v>
      </c>
      <c r="AQ1529" s="1068">
        <f t="shared" si="1860"/>
        <v>1589.794636886058</v>
      </c>
      <c r="AR1529" s="1068">
        <f t="shared" si="1860"/>
        <v>45.801893408069191</v>
      </c>
      <c r="AS1529" s="1068">
        <f t="shared" si="1860"/>
        <v>-3242.4024766559432</v>
      </c>
      <c r="AT1529" s="1068">
        <f>(AU1069+AT991+AU995+AT995)/2</f>
        <v>-2395.5992396057281</v>
      </c>
    </row>
    <row r="1530" spans="1:46">
      <c r="A1530" s="1"/>
      <c r="B1530" s="1"/>
      <c r="C1530" s="1"/>
      <c r="D1530" s="1069" t="s">
        <v>3341</v>
      </c>
      <c r="E1530" s="1066"/>
      <c r="F1530" s="1066"/>
      <c r="G1530" s="1066"/>
      <c r="H1530" s="1066"/>
      <c r="I1530" s="1067"/>
      <c r="J1530" s="1068"/>
      <c r="K1530" s="1068"/>
      <c r="L1530" s="1068"/>
      <c r="M1530" s="1068"/>
      <c r="N1530" s="1068"/>
      <c r="O1530" s="1068"/>
      <c r="P1530" s="1068"/>
      <c r="Q1530" s="1068"/>
      <c r="R1530" s="1068"/>
      <c r="S1530" s="1068"/>
      <c r="T1530" s="1068"/>
      <c r="U1530" s="1068">
        <f t="shared" ref="U1530:AS1530" si="1861">(V993+U993)/2</f>
        <v>0</v>
      </c>
      <c r="V1530" s="1068">
        <f t="shared" si="1861"/>
        <v>0</v>
      </c>
      <c r="W1530" s="1068">
        <f t="shared" si="1861"/>
        <v>0</v>
      </c>
      <c r="X1530" s="1068">
        <f t="shared" si="1861"/>
        <v>25.865908916999999</v>
      </c>
      <c r="Y1530" s="1068">
        <f t="shared" si="1861"/>
        <v>58.441880345999998</v>
      </c>
      <c r="Z1530" s="1068">
        <f t="shared" si="1861"/>
        <v>70.932923868513313</v>
      </c>
      <c r="AA1530" s="1068">
        <f t="shared" si="1861"/>
        <v>78.116694682903059</v>
      </c>
      <c r="AB1530" s="1068">
        <f t="shared" si="1861"/>
        <v>88.816426488612606</v>
      </c>
      <c r="AC1530" s="1068">
        <f t="shared" si="1861"/>
        <v>134.6551008229996</v>
      </c>
      <c r="AD1530" s="1068">
        <f t="shared" si="1861"/>
        <v>154.37630368577999</v>
      </c>
      <c r="AE1530" s="1068">
        <f t="shared" si="1861"/>
        <v>141.58989771208317</v>
      </c>
      <c r="AF1530" s="1068">
        <f t="shared" si="1861"/>
        <v>169.60066980888217</v>
      </c>
      <c r="AG1530" s="1068">
        <f t="shared" si="1861"/>
        <v>232.93005147823578</v>
      </c>
      <c r="AH1530" s="1068">
        <f t="shared" si="1861"/>
        <v>314.69747875794747</v>
      </c>
      <c r="AI1530" s="1068">
        <f t="shared" si="1861"/>
        <v>543.34700239396022</v>
      </c>
      <c r="AJ1530" s="1068">
        <f t="shared" si="1861"/>
        <v>816.516230519793</v>
      </c>
      <c r="AK1530" s="1068">
        <f t="shared" si="1861"/>
        <v>1012.8602977627088</v>
      </c>
      <c r="AL1530" s="1068">
        <f t="shared" si="1861"/>
        <v>1215.2943920672058</v>
      </c>
      <c r="AM1530" s="1068">
        <f t="shared" si="1861"/>
        <v>1388.0543855272654</v>
      </c>
      <c r="AN1530" s="1068">
        <f t="shared" si="1861"/>
        <v>1582.2049631043078</v>
      </c>
      <c r="AO1530" s="1068">
        <f t="shared" si="1861"/>
        <v>1764.8974911247794</v>
      </c>
      <c r="AP1530" s="1068">
        <f t="shared" si="1861"/>
        <v>1885.4412637619603</v>
      </c>
      <c r="AQ1530" s="1068">
        <f t="shared" si="1861"/>
        <v>2072.5503636207845</v>
      </c>
      <c r="AR1530" s="1068">
        <f t="shared" si="1861"/>
        <v>52.848230135857875</v>
      </c>
      <c r="AS1530" s="1068">
        <f t="shared" si="1861"/>
        <v>-4018.4967927182543</v>
      </c>
      <c r="AT1530" s="1068">
        <f>(AU1071+AT993)/2</f>
        <v>-2967.6484183623948</v>
      </c>
    </row>
    <row r="1531" spans="1:46">
      <c r="A1531" s="1"/>
      <c r="B1531" s="1"/>
      <c r="C1531" s="1"/>
      <c r="D1531" s="1858" t="s">
        <v>3338</v>
      </c>
      <c r="E1531" s="1066"/>
      <c r="F1531" s="1066"/>
      <c r="G1531" s="1066"/>
      <c r="H1531" s="1066"/>
      <c r="I1531" s="1067"/>
      <c r="J1531" s="1068">
        <f t="shared" ref="J1531:T1531" si="1862">(K994+J994)/2</f>
        <v>0</v>
      </c>
      <c r="K1531" s="1068">
        <f t="shared" si="1862"/>
        <v>0</v>
      </c>
      <c r="L1531" s="1068">
        <f t="shared" si="1862"/>
        <v>0</v>
      </c>
      <c r="M1531" s="1068">
        <f t="shared" si="1862"/>
        <v>0</v>
      </c>
      <c r="N1531" s="1068">
        <f t="shared" si="1862"/>
        <v>0</v>
      </c>
      <c r="O1531" s="1068">
        <f t="shared" si="1862"/>
        <v>0</v>
      </c>
      <c r="P1531" s="1068">
        <f t="shared" si="1862"/>
        <v>0</v>
      </c>
      <c r="Q1531" s="1068">
        <f t="shared" si="1862"/>
        <v>0</v>
      </c>
      <c r="R1531" s="1068">
        <f t="shared" si="1862"/>
        <v>0</v>
      </c>
      <c r="S1531" s="1068">
        <f t="shared" si="1862"/>
        <v>0</v>
      </c>
      <c r="T1531" s="1068">
        <f t="shared" si="1862"/>
        <v>0</v>
      </c>
      <c r="U1531" s="1068">
        <f t="shared" ref="U1531:AS1531" si="1863">(V994+U994)/2</f>
        <v>0</v>
      </c>
      <c r="V1531" s="1068">
        <f t="shared" si="1863"/>
        <v>0</v>
      </c>
      <c r="W1531" s="1068">
        <f t="shared" si="1863"/>
        <v>0</v>
      </c>
      <c r="X1531" s="1068">
        <f t="shared" si="1863"/>
        <v>0.85022140199999996</v>
      </c>
      <c r="Y1531" s="1068">
        <f t="shared" si="1863"/>
        <v>2.2397256169999999</v>
      </c>
      <c r="Z1531" s="1068">
        <f t="shared" si="1863"/>
        <v>3.0155310733940541</v>
      </c>
      <c r="AA1531" s="1068">
        <f t="shared" si="1863"/>
        <v>1.626026858394054</v>
      </c>
      <c r="AB1531" s="1068">
        <f t="shared" si="1863"/>
        <v>0</v>
      </c>
      <c r="AC1531" s="1068">
        <f t="shared" si="1863"/>
        <v>51.637900188254292</v>
      </c>
      <c r="AD1531" s="1068">
        <f t="shared" si="1863"/>
        <v>51.811071078754296</v>
      </c>
      <c r="AE1531" s="1068">
        <f t="shared" si="1863"/>
        <v>2.1507127102243233</v>
      </c>
      <c r="AF1531" s="1068">
        <f t="shared" si="1863"/>
        <v>5.404851551866817</v>
      </c>
      <c r="AG1531" s="1068">
        <f t="shared" si="1863"/>
        <v>5.6302676756459764</v>
      </c>
      <c r="AH1531" s="1068">
        <f t="shared" si="1863"/>
        <v>4.5119193070034829</v>
      </c>
      <c r="AI1531" s="1068">
        <f t="shared" si="1863"/>
        <v>2.3089613634999999</v>
      </c>
      <c r="AJ1531" s="1068">
        <f t="shared" si="1863"/>
        <v>0</v>
      </c>
      <c r="AK1531" s="1068">
        <f t="shared" si="1863"/>
        <v>0</v>
      </c>
      <c r="AL1531" s="1068">
        <f t="shared" si="1863"/>
        <v>0</v>
      </c>
      <c r="AM1531" s="1068">
        <f t="shared" si="1863"/>
        <v>0</v>
      </c>
      <c r="AN1531" s="1068">
        <f t="shared" si="1863"/>
        <v>0</v>
      </c>
      <c r="AO1531" s="1068">
        <f t="shared" si="1863"/>
        <v>0</v>
      </c>
      <c r="AP1531" s="1068">
        <f t="shared" si="1863"/>
        <v>0</v>
      </c>
      <c r="AQ1531" s="1068">
        <f t="shared" si="1863"/>
        <v>0</v>
      </c>
      <c r="AR1531" s="1068">
        <f t="shared" si="1863"/>
        <v>0</v>
      </c>
      <c r="AS1531" s="1068">
        <f t="shared" si="1863"/>
        <v>0</v>
      </c>
      <c r="AT1531" s="1068">
        <f>(AU994+AT994)/2</f>
        <v>0</v>
      </c>
    </row>
    <row r="1532" spans="1:46">
      <c r="A1532" s="1"/>
      <c r="B1532" s="1"/>
      <c r="C1532" s="1"/>
      <c r="D1532" s="1065" t="s">
        <v>3339</v>
      </c>
      <c r="E1532" s="1066"/>
      <c r="F1532" s="1066"/>
      <c r="G1532" s="1066"/>
      <c r="H1532" s="1066"/>
      <c r="I1532" s="1067"/>
      <c r="J1532" s="1068"/>
      <c r="K1532" s="1068"/>
      <c r="L1532" s="1068"/>
      <c r="M1532" s="1068"/>
      <c r="N1532" s="1068"/>
      <c r="O1532" s="1068"/>
      <c r="P1532" s="1068"/>
      <c r="Q1532" s="1068"/>
      <c r="R1532" s="1068"/>
      <c r="S1532" s="1068"/>
      <c r="T1532" s="1068"/>
      <c r="U1532" s="1068">
        <f t="shared" ref="U1532:AS1532" si="1864">(U1003+V1003)/2</f>
        <v>0</v>
      </c>
      <c r="V1532" s="1068">
        <f t="shared" si="1864"/>
        <v>0</v>
      </c>
      <c r="W1532" s="1068">
        <f t="shared" si="1864"/>
        <v>0</v>
      </c>
      <c r="X1532" s="1068">
        <f t="shared" si="1864"/>
        <v>191.4444231416</v>
      </c>
      <c r="Y1532" s="1068">
        <f t="shared" si="1864"/>
        <v>402.72452520299998</v>
      </c>
      <c r="Z1532" s="1068">
        <f t="shared" si="1864"/>
        <v>469.66459039125237</v>
      </c>
      <c r="AA1532" s="1068">
        <f t="shared" si="1864"/>
        <v>523.3978191671581</v>
      </c>
      <c r="AB1532" s="1068">
        <f t="shared" si="1864"/>
        <v>567.58441466575471</v>
      </c>
      <c r="AC1532" s="1068">
        <f t="shared" si="1864"/>
        <v>640.58640198878766</v>
      </c>
      <c r="AD1532" s="1068">
        <f t="shared" si="1864"/>
        <v>694.11972225087879</v>
      </c>
      <c r="AE1532" s="1068">
        <f t="shared" si="1864"/>
        <v>744.07951410111423</v>
      </c>
      <c r="AF1532" s="1068">
        <f t="shared" si="1864"/>
        <v>824.51995606879802</v>
      </c>
      <c r="AG1532" s="1068">
        <f t="shared" si="1864"/>
        <v>951.75634546921151</v>
      </c>
      <c r="AH1532" s="1068">
        <f t="shared" si="1864"/>
        <v>1110.0923652781835</v>
      </c>
      <c r="AI1532" s="1068">
        <f t="shared" si="1864"/>
        <v>1329.1174944349223</v>
      </c>
      <c r="AJ1532" s="1068">
        <f t="shared" si="1864"/>
        <v>1639.5855011443059</v>
      </c>
      <c r="AK1532" s="1068">
        <f t="shared" si="1864"/>
        <v>1991.589638631599</v>
      </c>
      <c r="AL1532" s="1068">
        <f t="shared" si="1864"/>
        <v>2344.7905606674167</v>
      </c>
      <c r="AM1532" s="1068">
        <f t="shared" si="1864"/>
        <v>2698.2829855690852</v>
      </c>
      <c r="AN1532" s="1068">
        <f t="shared" si="1864"/>
        <v>3054.872295735006</v>
      </c>
      <c r="AO1532" s="1068">
        <f t="shared" si="1864"/>
        <v>3336.6947912041351</v>
      </c>
      <c r="AP1532" s="1068">
        <f t="shared" si="1864"/>
        <v>3542.577971133996</v>
      </c>
      <c r="AQ1532" s="1068">
        <f t="shared" si="1864"/>
        <v>3946.6619070101988</v>
      </c>
      <c r="AR1532" s="1068">
        <f t="shared" si="1864"/>
        <v>-4698.7730035082031</v>
      </c>
      <c r="AS1532" s="1068">
        <f t="shared" si="1864"/>
        <v>-19612.672347335756</v>
      </c>
      <c r="AT1532" s="1068" t="e">
        <f>(AT1003+#REF!)/2</f>
        <v>#REF!</v>
      </c>
    </row>
    <row r="1533" spans="1:46">
      <c r="A1533" s="1"/>
      <c r="B1533" s="1"/>
      <c r="C1533" s="1"/>
      <c r="D1533" s="1065" t="s">
        <v>3342</v>
      </c>
      <c r="E1533" s="1066"/>
      <c r="F1533" s="1066"/>
      <c r="G1533" s="1066"/>
      <c r="H1533" s="1066"/>
      <c r="I1533" s="1067"/>
      <c r="J1533" s="1068">
        <f t="shared" ref="J1533:AT1533" si="1865">(J1019+K1019)/2</f>
        <v>0</v>
      </c>
      <c r="K1533" s="1068">
        <f t="shared" si="1865"/>
        <v>0</v>
      </c>
      <c r="L1533" s="1068">
        <f t="shared" si="1865"/>
        <v>0</v>
      </c>
      <c r="M1533" s="1068">
        <f t="shared" si="1865"/>
        <v>0</v>
      </c>
      <c r="N1533" s="1068">
        <f t="shared" si="1865"/>
        <v>0</v>
      </c>
      <c r="O1533" s="1068">
        <f t="shared" si="1865"/>
        <v>0</v>
      </c>
      <c r="P1533" s="1068">
        <f t="shared" si="1865"/>
        <v>0</v>
      </c>
      <c r="Q1533" s="1068">
        <f t="shared" si="1865"/>
        <v>0</v>
      </c>
      <c r="R1533" s="1068">
        <f t="shared" si="1865"/>
        <v>0</v>
      </c>
      <c r="S1533" s="1068">
        <f t="shared" si="1865"/>
        <v>0</v>
      </c>
      <c r="T1533" s="1068">
        <f t="shared" si="1865"/>
        <v>0</v>
      </c>
      <c r="U1533" s="1068">
        <f t="shared" si="1865"/>
        <v>0</v>
      </c>
      <c r="V1533" s="1068">
        <f t="shared" si="1865"/>
        <v>0</v>
      </c>
      <c r="W1533" s="1068">
        <f t="shared" si="1865"/>
        <v>0</v>
      </c>
      <c r="X1533" s="1068">
        <f t="shared" si="1865"/>
        <v>28.086198660499999</v>
      </c>
      <c r="Y1533" s="1068">
        <f t="shared" si="1865"/>
        <v>60.228374403000004</v>
      </c>
      <c r="Z1533" s="1068">
        <f t="shared" si="1865"/>
        <v>70.048250723734043</v>
      </c>
      <c r="AA1533" s="1068">
        <f t="shared" si="1865"/>
        <v>78.236002759255939</v>
      </c>
      <c r="AB1533" s="1068">
        <f t="shared" si="1865"/>
        <v>82.101437994018511</v>
      </c>
      <c r="AC1533" s="1068">
        <f t="shared" si="1865"/>
        <v>97.644194587996594</v>
      </c>
      <c r="AD1533" s="1068">
        <f t="shared" si="1865"/>
        <v>114.51342643269001</v>
      </c>
      <c r="AE1533" s="1068">
        <f t="shared" si="1865"/>
        <v>120.51213200364558</v>
      </c>
      <c r="AF1533" s="1068">
        <f t="shared" si="1865"/>
        <v>128.3813595127213</v>
      </c>
      <c r="AG1533" s="1068">
        <f t="shared" si="1865"/>
        <v>172.32528329059807</v>
      </c>
      <c r="AH1533" s="1068">
        <f t="shared" si="1865"/>
        <v>203.05847387356943</v>
      </c>
      <c r="AI1533" s="1068">
        <f t="shared" si="1865"/>
        <v>208.61163622498543</v>
      </c>
      <c r="AJ1533" s="1068">
        <f t="shared" si="1865"/>
        <v>230.90541840393945</v>
      </c>
      <c r="AK1533" s="1068">
        <f t="shared" si="1865"/>
        <v>257.42172785781895</v>
      </c>
      <c r="AL1533" s="1068">
        <f t="shared" si="1865"/>
        <v>304.47371364657533</v>
      </c>
      <c r="AM1533" s="1068">
        <f t="shared" si="1865"/>
        <v>358.65644519851003</v>
      </c>
      <c r="AN1533" s="1068">
        <f t="shared" si="1865"/>
        <v>403.72742490790154</v>
      </c>
      <c r="AO1533" s="1068">
        <f t="shared" si="1865"/>
        <v>443.7727612149377</v>
      </c>
      <c r="AP1533" s="1068">
        <f t="shared" si="1865"/>
        <v>488.62636077080253</v>
      </c>
      <c r="AQ1533" s="1068">
        <f t="shared" si="1865"/>
        <v>565.99723932123277</v>
      </c>
      <c r="AR1533" s="1068">
        <f t="shared" si="1865"/>
        <v>682.59196621219735</v>
      </c>
      <c r="AS1533" s="1068">
        <f t="shared" si="1865"/>
        <v>822.17396882839296</v>
      </c>
      <c r="AT1533" s="1068">
        <f t="shared" si="1865"/>
        <v>449.06573455172469</v>
      </c>
    </row>
    <row r="1534" spans="1:46">
      <c r="A1534" s="1"/>
      <c r="B1534" s="1"/>
      <c r="C1534" s="1"/>
      <c r="D1534" s="1065" t="s">
        <v>3344</v>
      </c>
      <c r="E1534" s="1066"/>
      <c r="F1534" s="1066"/>
      <c r="G1534" s="1066"/>
      <c r="H1534" s="1066"/>
      <c r="I1534" s="1068">
        <f t="shared" ref="I1534:AT1534" si="1866">(J1052+I1052+I996+J996+I1028+J1028)/2</f>
        <v>0</v>
      </c>
      <c r="J1534" s="1068">
        <f t="shared" si="1866"/>
        <v>0</v>
      </c>
      <c r="K1534" s="1068">
        <f t="shared" si="1866"/>
        <v>0</v>
      </c>
      <c r="L1534" s="1068">
        <f t="shared" si="1866"/>
        <v>0</v>
      </c>
      <c r="M1534" s="1068">
        <f t="shared" si="1866"/>
        <v>0</v>
      </c>
      <c r="N1534" s="1068">
        <f t="shared" si="1866"/>
        <v>0</v>
      </c>
      <c r="O1534" s="1068">
        <f t="shared" si="1866"/>
        <v>0</v>
      </c>
      <c r="P1534" s="1068">
        <f t="shared" si="1866"/>
        <v>0</v>
      </c>
      <c r="Q1534" s="1068">
        <f t="shared" si="1866"/>
        <v>0</v>
      </c>
      <c r="R1534" s="1068">
        <f t="shared" si="1866"/>
        <v>0</v>
      </c>
      <c r="S1534" s="1068">
        <f t="shared" si="1866"/>
        <v>0</v>
      </c>
      <c r="T1534" s="1068">
        <f t="shared" si="1866"/>
        <v>0</v>
      </c>
      <c r="U1534" s="1068">
        <f t="shared" si="1866"/>
        <v>10.3113663705</v>
      </c>
      <c r="V1534" s="1068">
        <f t="shared" si="1866"/>
        <v>27.661366370500001</v>
      </c>
      <c r="W1534" s="1068">
        <f t="shared" si="1866"/>
        <v>59.6</v>
      </c>
      <c r="X1534" s="1068">
        <f t="shared" si="1866"/>
        <v>111.01380356373619</v>
      </c>
      <c r="Y1534" s="1068">
        <f t="shared" si="1866"/>
        <v>155.77179361483354</v>
      </c>
      <c r="Z1534" s="1068">
        <f t="shared" si="1866"/>
        <v>171.2056431492648</v>
      </c>
      <c r="AA1534" s="1068">
        <f t="shared" si="1866"/>
        <v>211.08788139655994</v>
      </c>
      <c r="AB1534" s="1068">
        <f t="shared" si="1866"/>
        <v>277.58627510363249</v>
      </c>
      <c r="AC1534" s="1068">
        <f t="shared" si="1866"/>
        <v>294.2597747015642</v>
      </c>
      <c r="AD1534" s="1068">
        <f t="shared" si="1866"/>
        <v>290.84668143162497</v>
      </c>
      <c r="AE1534" s="1068">
        <f t="shared" si="1866"/>
        <v>349.71166444503524</v>
      </c>
      <c r="AF1534" s="1068">
        <f t="shared" si="1866"/>
        <v>411.59479519395791</v>
      </c>
      <c r="AG1534" s="1068">
        <f t="shared" si="1866"/>
        <v>420.89817734160721</v>
      </c>
      <c r="AH1534" s="1068">
        <f t="shared" si="1866"/>
        <v>456.99061870265274</v>
      </c>
      <c r="AI1534" s="1068">
        <f t="shared" si="1866"/>
        <v>543.35735677599837</v>
      </c>
      <c r="AJ1534" s="1068">
        <f t="shared" si="1866"/>
        <v>594.17886352235973</v>
      </c>
      <c r="AK1534" s="1068">
        <f t="shared" si="1866"/>
        <v>627.33643423830335</v>
      </c>
      <c r="AL1534" s="1068">
        <f t="shared" si="1866"/>
        <v>708.06153222682929</v>
      </c>
      <c r="AM1534" s="1068">
        <f t="shared" si="1866"/>
        <v>793.85869152272448</v>
      </c>
      <c r="AN1534" s="1068">
        <f t="shared" si="1866"/>
        <v>897.27368025434271</v>
      </c>
      <c r="AO1534" s="1068">
        <f t="shared" si="1866"/>
        <v>1001.0544604107041</v>
      </c>
      <c r="AP1534" s="1068">
        <f t="shared" si="1866"/>
        <v>1065.2814286677728</v>
      </c>
      <c r="AQ1534" s="1068">
        <f t="shared" si="1866"/>
        <v>1193.7179899755886</v>
      </c>
      <c r="AR1534" s="1068">
        <f t="shared" si="1866"/>
        <v>503.09889297802135</v>
      </c>
      <c r="AS1534" s="1068">
        <f t="shared" si="1866"/>
        <v>-1024.9380854215765</v>
      </c>
      <c r="AT1534" s="1068">
        <f t="shared" si="1866"/>
        <v>-878.76607579285212</v>
      </c>
    </row>
    <row r="1535" spans="1:46">
      <c r="A1535" s="1"/>
      <c r="B1535" s="1"/>
      <c r="C1535" s="1"/>
      <c r="D1535" s="1857" t="s">
        <v>3343</v>
      </c>
      <c r="E1535" s="1066"/>
      <c r="F1535" s="1066"/>
      <c r="G1535" s="1066"/>
      <c r="H1535" s="1066"/>
      <c r="I1535" s="1067"/>
      <c r="J1535" s="1068">
        <f t="shared" ref="J1535:AT1535" si="1867">(J1065+K1065)/2</f>
        <v>0</v>
      </c>
      <c r="K1535" s="1068">
        <f t="shared" si="1867"/>
        <v>0</v>
      </c>
      <c r="L1535" s="1068">
        <f t="shared" si="1867"/>
        <v>0</v>
      </c>
      <c r="M1535" s="1068">
        <f t="shared" si="1867"/>
        <v>0</v>
      </c>
      <c r="N1535" s="1068">
        <f t="shared" si="1867"/>
        <v>0</v>
      </c>
      <c r="O1535" s="1068">
        <f t="shared" si="1867"/>
        <v>0</v>
      </c>
      <c r="P1535" s="1068">
        <f t="shared" si="1867"/>
        <v>0</v>
      </c>
      <c r="Q1535" s="1068">
        <f t="shared" si="1867"/>
        <v>0</v>
      </c>
      <c r="R1535" s="1068">
        <f t="shared" si="1867"/>
        <v>0</v>
      </c>
      <c r="S1535" s="1068">
        <f t="shared" si="1867"/>
        <v>0</v>
      </c>
      <c r="T1535" s="1068">
        <f t="shared" si="1867"/>
        <v>0</v>
      </c>
      <c r="U1535" s="1068">
        <f t="shared" si="1867"/>
        <v>0</v>
      </c>
      <c r="V1535" s="1068">
        <f t="shared" si="1867"/>
        <v>0</v>
      </c>
      <c r="W1535" s="1068">
        <f t="shared" si="1867"/>
        <v>0</v>
      </c>
      <c r="X1535" s="1068">
        <f t="shared" si="1867"/>
        <v>44.771312142836194</v>
      </c>
      <c r="Y1535" s="1068">
        <f t="shared" si="1867"/>
        <v>102.67992750143354</v>
      </c>
      <c r="Z1535" s="1068">
        <f t="shared" si="1867"/>
        <v>120.25116260382063</v>
      </c>
      <c r="AA1535" s="1068">
        <f t="shared" si="1867"/>
        <v>132.01592243065562</v>
      </c>
      <c r="AB1535" s="1068">
        <f t="shared" si="1867"/>
        <v>150.09013796043232</v>
      </c>
      <c r="AC1535" s="1068">
        <f t="shared" si="1867"/>
        <v>161.73354542827417</v>
      </c>
      <c r="AD1535" s="1068">
        <f t="shared" si="1867"/>
        <v>158.29365788117494</v>
      </c>
      <c r="AE1535" s="1068">
        <f t="shared" si="1867"/>
        <v>189.15526524758195</v>
      </c>
      <c r="AF1535" s="1068">
        <f t="shared" si="1867"/>
        <v>193.35267046362577</v>
      </c>
      <c r="AG1535" s="1068">
        <f t="shared" si="1867"/>
        <v>154.40101706864019</v>
      </c>
      <c r="AH1535" s="1068">
        <f t="shared" si="1867"/>
        <v>194.04001011015947</v>
      </c>
      <c r="AI1535" s="1068">
        <f t="shared" si="1867"/>
        <v>239.41497614932297</v>
      </c>
      <c r="AJ1535" s="1068">
        <f t="shared" si="1867"/>
        <v>231.94497361879363</v>
      </c>
      <c r="AK1535" s="1068">
        <f t="shared" si="1867"/>
        <v>235.18198690078256</v>
      </c>
      <c r="AL1535" s="1068">
        <f t="shared" si="1867"/>
        <v>254.3302418257374</v>
      </c>
      <c r="AM1535" s="1068">
        <f t="shared" si="1867"/>
        <v>274.26640415219674</v>
      </c>
      <c r="AN1535" s="1068">
        <f t="shared" si="1867"/>
        <v>290.97156090669313</v>
      </c>
      <c r="AO1535" s="1068">
        <f t="shared" si="1867"/>
        <v>315.53028732877351</v>
      </c>
      <c r="AP1535" s="1068">
        <f t="shared" si="1867"/>
        <v>351.98830426885479</v>
      </c>
      <c r="AQ1535" s="1068">
        <f t="shared" si="1867"/>
        <v>385.2058488012043</v>
      </c>
      <c r="AR1535" s="1068">
        <f t="shared" si="1867"/>
        <v>410.65528960199561</v>
      </c>
      <c r="AS1535" s="1068">
        <f t="shared" si="1867"/>
        <v>434.49373212536028</v>
      </c>
      <c r="AT1535" s="1068">
        <f t="shared" si="1867"/>
        <v>223.389591750102</v>
      </c>
    </row>
    <row r="1536" spans="1:46">
      <c r="A1536" s="1"/>
      <c r="B1536" s="1"/>
      <c r="C1536" s="1"/>
      <c r="D1536" s="1058" t="s">
        <v>3177</v>
      </c>
      <c r="E1536" s="1059"/>
      <c r="F1536" s="1059"/>
      <c r="G1536" s="1059"/>
      <c r="H1536" s="1059"/>
      <c r="I1536" s="1859">
        <f t="shared" ref="I1536:T1536" si="1868">(I1076+J1076-I1115-I1120-J1115-J1120)/2</f>
        <v>0</v>
      </c>
      <c r="J1536" s="1859">
        <f t="shared" si="1868"/>
        <v>0</v>
      </c>
      <c r="K1536" s="1859">
        <f t="shared" si="1868"/>
        <v>0</v>
      </c>
      <c r="L1536" s="1859">
        <f t="shared" si="1868"/>
        <v>0</v>
      </c>
      <c r="M1536" s="1859">
        <f t="shared" si="1868"/>
        <v>0</v>
      </c>
      <c r="N1536" s="1859">
        <f t="shared" si="1868"/>
        <v>0</v>
      </c>
      <c r="O1536" s="1859">
        <f t="shared" si="1868"/>
        <v>0</v>
      </c>
      <c r="P1536" s="1859">
        <f t="shared" si="1868"/>
        <v>0</v>
      </c>
      <c r="Q1536" s="1859">
        <f t="shared" si="1868"/>
        <v>0</v>
      </c>
      <c r="R1536" s="1859">
        <f t="shared" si="1868"/>
        <v>0</v>
      </c>
      <c r="S1536" s="1859">
        <f t="shared" si="1868"/>
        <v>0</v>
      </c>
      <c r="T1536" s="1859">
        <f t="shared" si="1868"/>
        <v>0</v>
      </c>
      <c r="U1536" s="1859">
        <f>(U1076+V1076-U1115-U1120-V1115-V1120)/2 + ((U1115+V1115+U1120+V1120+U1133+V1133)/2)*0.2</f>
        <v>312.03955989553197</v>
      </c>
      <c r="V1536" s="1859">
        <f>(V1076+W1076-V1115-V1120-W1115-W1120)/2 + ((V1115+W1115+V1120+W1120+V1133+W1133)/2)*0.2</f>
        <v>614.41437643942629</v>
      </c>
      <c r="W1536" s="1859">
        <f t="shared" ref="W1536:AT1536" si="1869">(W1076+X1076-W1115-W1120-X1115-X1120)/2</f>
        <v>601.02501121693513</v>
      </c>
      <c r="X1536" s="1859">
        <f t="shared" si="1869"/>
        <v>729.68776651750068</v>
      </c>
      <c r="Y1536" s="1859">
        <f t="shared" si="1869"/>
        <v>868.97248692204039</v>
      </c>
      <c r="Z1536" s="1859">
        <f t="shared" si="1869"/>
        <v>981.15003313131194</v>
      </c>
      <c r="AA1536" s="1859">
        <f t="shared" si="1869"/>
        <v>1142.6946433513303</v>
      </c>
      <c r="AB1536" s="1859">
        <f t="shared" si="1869"/>
        <v>1281.1208569881594</v>
      </c>
      <c r="AC1536" s="1859">
        <f t="shared" si="1869"/>
        <v>1442.7358620958591</v>
      </c>
      <c r="AD1536" s="1859">
        <f t="shared" si="1869"/>
        <v>1655.1839593188545</v>
      </c>
      <c r="AE1536" s="1859">
        <f t="shared" si="1869"/>
        <v>1834.2279368681823</v>
      </c>
      <c r="AF1536" s="1859">
        <f t="shared" si="1869"/>
        <v>2117.4212819452969</v>
      </c>
      <c r="AG1536" s="1859">
        <f t="shared" si="1869"/>
        <v>2473.1333404098109</v>
      </c>
      <c r="AH1536" s="1859">
        <f t="shared" si="1869"/>
        <v>2772.8367689426609</v>
      </c>
      <c r="AI1536" s="1859">
        <f t="shared" si="1869"/>
        <v>3108.0449155097772</v>
      </c>
      <c r="AJ1536" s="1859">
        <f t="shared" si="1869"/>
        <v>3524.1030658732129</v>
      </c>
      <c r="AK1536" s="1859">
        <f t="shared" si="1869"/>
        <v>3892.7297600013403</v>
      </c>
      <c r="AL1536" s="1859">
        <f t="shared" si="1869"/>
        <v>4289.9423432047424</v>
      </c>
      <c r="AM1536" s="1859">
        <f t="shared" si="1869"/>
        <v>4798.4529223254012</v>
      </c>
      <c r="AN1536" s="1859">
        <f t="shared" si="1869"/>
        <v>5404.8195063200501</v>
      </c>
      <c r="AO1536" s="1859">
        <f t="shared" si="1869"/>
        <v>5969.1602330486267</v>
      </c>
      <c r="AP1536" s="1859">
        <f t="shared" si="1869"/>
        <v>6342.3284134994337</v>
      </c>
      <c r="AQ1536" s="1859">
        <f t="shared" si="1869"/>
        <v>6910.509325263115</v>
      </c>
      <c r="AR1536" s="1859">
        <f t="shared" si="1869"/>
        <v>5747.7566858384098</v>
      </c>
      <c r="AS1536" s="1859">
        <f t="shared" si="1869"/>
        <v>4285.0840623589229</v>
      </c>
      <c r="AT1536" s="1859">
        <f t="shared" si="1869"/>
        <v>2192.5387971118398</v>
      </c>
    </row>
    <row r="1537" spans="1:47">
      <c r="A1537" s="1"/>
      <c r="B1537" s="1"/>
      <c r="C1537" s="1"/>
      <c r="D1537" s="1070" t="s">
        <v>3345</v>
      </c>
      <c r="E1537" s="1062"/>
      <c r="F1537" s="1062">
        <f t="shared" ref="F1537:AT1537" si="1870">(G1077+F1077+F1114+F1118+G1114+G1118)/2</f>
        <v>0</v>
      </c>
      <c r="G1537" s="1062">
        <f t="shared" si="1870"/>
        <v>0</v>
      </c>
      <c r="H1537" s="1062">
        <f t="shared" si="1870"/>
        <v>0</v>
      </c>
      <c r="I1537" s="1062">
        <f t="shared" si="1870"/>
        <v>0</v>
      </c>
      <c r="J1537" s="1062">
        <f t="shared" si="1870"/>
        <v>0</v>
      </c>
      <c r="K1537" s="1062">
        <f t="shared" si="1870"/>
        <v>0</v>
      </c>
      <c r="L1537" s="1062">
        <f t="shared" si="1870"/>
        <v>0</v>
      </c>
      <c r="M1537" s="1062">
        <f t="shared" si="1870"/>
        <v>0</v>
      </c>
      <c r="N1537" s="1062">
        <f t="shared" si="1870"/>
        <v>0</v>
      </c>
      <c r="O1537" s="1062">
        <f t="shared" si="1870"/>
        <v>0</v>
      </c>
      <c r="P1537" s="1062">
        <f t="shared" si="1870"/>
        <v>0</v>
      </c>
      <c r="Q1537" s="1062">
        <f t="shared" si="1870"/>
        <v>0</v>
      </c>
      <c r="R1537" s="1062">
        <f t="shared" si="1870"/>
        <v>0</v>
      </c>
      <c r="S1537" s="1062">
        <f t="shared" si="1870"/>
        <v>0</v>
      </c>
      <c r="T1537" s="1062">
        <f t="shared" si="1870"/>
        <v>0</v>
      </c>
      <c r="U1537" s="1062">
        <f t="shared" si="1870"/>
        <v>128.07921765111541</v>
      </c>
      <c r="V1537" s="1062">
        <f t="shared" si="1870"/>
        <v>277.78639670547551</v>
      </c>
      <c r="W1537" s="1062">
        <f t="shared" si="1870"/>
        <v>317.51378827735016</v>
      </c>
      <c r="X1537" s="1062">
        <f t="shared" si="1870"/>
        <v>334.41404573274656</v>
      </c>
      <c r="Y1537" s="1062">
        <f t="shared" si="1870"/>
        <v>352.09303260728325</v>
      </c>
      <c r="Z1537" s="1062">
        <f t="shared" si="1870"/>
        <v>392.58145940085217</v>
      </c>
      <c r="AA1537" s="1062">
        <f t="shared" si="1870"/>
        <v>431.99162564598822</v>
      </c>
      <c r="AB1537" s="1062">
        <f t="shared" si="1870"/>
        <v>465.07874390767455</v>
      </c>
      <c r="AC1537" s="1062">
        <f t="shared" si="1870"/>
        <v>489.99875023668295</v>
      </c>
      <c r="AD1537" s="1062">
        <f t="shared" si="1870"/>
        <v>476.45401555867119</v>
      </c>
      <c r="AE1537" s="1062">
        <f t="shared" si="1870"/>
        <v>502.37385927150001</v>
      </c>
      <c r="AF1537" s="1062">
        <f t="shared" si="1870"/>
        <v>600.22728551378623</v>
      </c>
      <c r="AG1537" s="1062">
        <f t="shared" si="1870"/>
        <v>739.6341987060498</v>
      </c>
      <c r="AH1537" s="1062">
        <f t="shared" si="1870"/>
        <v>917.34299313376357</v>
      </c>
      <c r="AI1537" s="1062">
        <f t="shared" si="1870"/>
        <v>1095.1644294084676</v>
      </c>
      <c r="AJ1537" s="1062">
        <f t="shared" si="1870"/>
        <v>1299.6147391848378</v>
      </c>
      <c r="AK1537" s="1062">
        <f t="shared" si="1870"/>
        <v>1502.4417652626294</v>
      </c>
      <c r="AL1537" s="1062">
        <f t="shared" si="1870"/>
        <v>1696.2440471148027</v>
      </c>
      <c r="AM1537" s="1062">
        <f t="shared" si="1870"/>
        <v>1916.6766879527236</v>
      </c>
      <c r="AN1537" s="1062">
        <f t="shared" si="1870"/>
        <v>2132.5537829993546</v>
      </c>
      <c r="AO1537" s="1062">
        <f t="shared" si="1870"/>
        <v>2378.4111122261347</v>
      </c>
      <c r="AP1537" s="1062">
        <f t="shared" si="1870"/>
        <v>2634.3701338296614</v>
      </c>
      <c r="AQ1537" s="1062">
        <f t="shared" si="1870"/>
        <v>2938.5718422088421</v>
      </c>
      <c r="AR1537" s="1062">
        <f t="shared" si="1870"/>
        <v>2662.1681498412499</v>
      </c>
      <c r="AS1537" s="1062">
        <f t="shared" si="1870"/>
        <v>2298.8148933509697</v>
      </c>
      <c r="AT1537" s="1062">
        <f t="shared" si="1870"/>
        <v>1202.9294098828607</v>
      </c>
    </row>
    <row r="1538" spans="1:47">
      <c r="A1538" s="1"/>
      <c r="B1538" s="1"/>
      <c r="C1538" s="1"/>
      <c r="D1538" s="1071" t="s">
        <v>3469</v>
      </c>
      <c r="E1538" s="1072" t="s">
        <v>331</v>
      </c>
      <c r="F1538" s="1073"/>
      <c r="G1538" s="1073"/>
      <c r="H1538" s="1073"/>
      <c r="I1538" s="1073"/>
      <c r="J1538" s="1074">
        <f t="shared" ref="J1538:S1538" si="1871">+(J353+K353)/2</f>
        <v>0</v>
      </c>
      <c r="K1538" s="1074">
        <f t="shared" si="1871"/>
        <v>0</v>
      </c>
      <c r="L1538" s="1074">
        <f t="shared" si="1871"/>
        <v>0</v>
      </c>
      <c r="M1538" s="1074">
        <f t="shared" si="1871"/>
        <v>0</v>
      </c>
      <c r="N1538" s="1074">
        <f t="shared" si="1871"/>
        <v>0</v>
      </c>
      <c r="O1538" s="1074">
        <f t="shared" si="1871"/>
        <v>0</v>
      </c>
      <c r="P1538" s="1074">
        <f t="shared" si="1871"/>
        <v>0</v>
      </c>
      <c r="Q1538" s="1074">
        <f t="shared" si="1871"/>
        <v>0</v>
      </c>
      <c r="R1538" s="1074">
        <f t="shared" si="1871"/>
        <v>0</v>
      </c>
      <c r="S1538" s="1074">
        <f t="shared" si="1871"/>
        <v>0</v>
      </c>
      <c r="T1538" s="1074">
        <f t="shared" ref="T1538:AT1538" si="1872">+(T597+U597)/2</f>
        <v>0</v>
      </c>
      <c r="U1538" s="1074">
        <f t="shared" si="1872"/>
        <v>2.75E-2</v>
      </c>
      <c r="V1538" s="1074">
        <f t="shared" si="1872"/>
        <v>7.5009173283971636E-2</v>
      </c>
      <c r="W1538" s="1074">
        <f t="shared" si="1872"/>
        <v>8.6872864828125285E-2</v>
      </c>
      <c r="X1538" s="1074">
        <f t="shared" si="1872"/>
        <v>-0.12911347224383929</v>
      </c>
      <c r="Y1538" s="1074">
        <f t="shared" si="1872"/>
        <v>-0.13971667401658849</v>
      </c>
      <c r="Z1538" s="1074">
        <f t="shared" si="1872"/>
        <v>7.9405486716275342E-2</v>
      </c>
      <c r="AA1538" s="1074">
        <f t="shared" si="1872"/>
        <v>7.6146415360150876E-2</v>
      </c>
      <c r="AB1538" s="1074">
        <f t="shared" si="1872"/>
        <v>3.1267412147415907E-2</v>
      </c>
      <c r="AC1538" s="1074">
        <f t="shared" si="1872"/>
        <v>-3.6640942507598473E-2</v>
      </c>
      <c r="AD1538" s="1074">
        <f t="shared" si="1872"/>
        <v>-2.814704157480924E-2</v>
      </c>
      <c r="AE1538" s="1074">
        <f t="shared" si="1872"/>
        <v>4.9302767526119395E-2</v>
      </c>
      <c r="AF1538" s="1074">
        <f t="shared" si="1872"/>
        <v>5.205092125217381E-2</v>
      </c>
      <c r="AG1538" s="1074">
        <f t="shared" si="1872"/>
        <v>5.0327376939574675E-2</v>
      </c>
      <c r="AH1538" s="1074">
        <f t="shared" si="1872"/>
        <v>9.3319328548595093E-2</v>
      </c>
      <c r="AI1538" s="1074">
        <f t="shared" si="1872"/>
        <v>9.484999999999999E-2</v>
      </c>
      <c r="AJ1538" s="1074">
        <f t="shared" si="1872"/>
        <v>6.0130000000000003E-2</v>
      </c>
      <c r="AK1538" s="1074">
        <f t="shared" si="1872"/>
        <v>4.5280000000000001E-2</v>
      </c>
      <c r="AL1538" s="1074">
        <f t="shared" si="1872"/>
        <v>0.04</v>
      </c>
      <c r="AM1538" s="1074">
        <f t="shared" si="1872"/>
        <v>0.04</v>
      </c>
      <c r="AN1538" s="1074">
        <f t="shared" si="1872"/>
        <v>0.04</v>
      </c>
      <c r="AO1538" s="1074">
        <f t="shared" si="1872"/>
        <v>0.04</v>
      </c>
      <c r="AP1538" s="1074">
        <f t="shared" si="1872"/>
        <v>0.04</v>
      </c>
      <c r="AQ1538" s="1074">
        <f t="shared" si="1872"/>
        <v>0.04</v>
      </c>
      <c r="AR1538" s="1074">
        <f t="shared" si="1872"/>
        <v>0.04</v>
      </c>
      <c r="AS1538" s="1074">
        <f t="shared" si="1872"/>
        <v>0.04</v>
      </c>
      <c r="AT1538" s="1074">
        <f t="shared" si="1872"/>
        <v>0.02</v>
      </c>
    </row>
    <row r="1539" spans="1:47">
      <c r="A1539" s="1"/>
      <c r="B1539" s="1"/>
      <c r="C1539" s="1"/>
      <c r="D1539" s="1928" t="s">
        <v>3470</v>
      </c>
      <c r="E1539" s="1072"/>
      <c r="F1539" s="1073"/>
      <c r="G1539" s="1073"/>
      <c r="H1539" s="1073"/>
      <c r="I1539" s="1073"/>
      <c r="J1539" s="1074"/>
      <c r="K1539" s="1074"/>
      <c r="L1539" s="1074"/>
      <c r="M1539" s="1074"/>
      <c r="N1539" s="1074"/>
      <c r="O1539" s="1074"/>
      <c r="P1539" s="1074"/>
      <c r="Q1539" s="1074"/>
      <c r="R1539" s="1074"/>
      <c r="S1539" s="1074"/>
      <c r="T1539" s="1074"/>
      <c r="U1539" s="1074"/>
      <c r="V1539" s="1074"/>
      <c r="W1539" s="1074">
        <v>0.03</v>
      </c>
      <c r="X1539" s="1074">
        <v>0.03</v>
      </c>
      <c r="Y1539" s="1074">
        <v>0.03</v>
      </c>
      <c r="Z1539" s="1074">
        <v>0.03</v>
      </c>
      <c r="AA1539" s="1074">
        <v>0.03</v>
      </c>
      <c r="AB1539" s="1074">
        <v>0.03</v>
      </c>
      <c r="AC1539" s="1074">
        <v>0.03</v>
      </c>
      <c r="AD1539" s="1074">
        <v>0.03</v>
      </c>
      <c r="AE1539" s="1074">
        <v>0.03</v>
      </c>
      <c r="AF1539" s="1074">
        <v>0.03</v>
      </c>
      <c r="AG1539" s="1074">
        <v>0.03</v>
      </c>
      <c r="AH1539" s="1074">
        <v>0.03</v>
      </c>
      <c r="AI1539" s="1074">
        <v>0.03</v>
      </c>
      <c r="AJ1539" s="1074">
        <v>0.03</v>
      </c>
      <c r="AK1539" s="1074">
        <v>0.03</v>
      </c>
      <c r="AL1539" s="1074">
        <v>0.03</v>
      </c>
      <c r="AM1539" s="1074">
        <v>0.03</v>
      </c>
      <c r="AN1539" s="1074">
        <v>0.03</v>
      </c>
      <c r="AO1539" s="1074">
        <v>0.03</v>
      </c>
      <c r="AP1539" s="1074">
        <v>0.03</v>
      </c>
      <c r="AQ1539" s="1074">
        <v>0.03</v>
      </c>
      <c r="AR1539" s="1074">
        <v>0.03</v>
      </c>
      <c r="AS1539" s="1074">
        <v>0.03</v>
      </c>
      <c r="AT1539" s="1074">
        <v>0.03</v>
      </c>
    </row>
    <row r="1540" spans="1:47">
      <c r="A1540" s="1"/>
      <c r="B1540" s="1"/>
      <c r="C1540" s="1"/>
      <c r="D1540" s="1928" t="s">
        <v>3471</v>
      </c>
      <c r="E1540" s="1072"/>
      <c r="F1540" s="1073"/>
      <c r="G1540" s="1073"/>
      <c r="H1540" s="1073"/>
      <c r="I1540" s="1073"/>
      <c r="J1540" s="1074"/>
      <c r="K1540" s="1074"/>
      <c r="L1540" s="1074"/>
      <c r="M1540" s="1074"/>
      <c r="N1540" s="1074"/>
      <c r="O1540" s="1074"/>
      <c r="P1540" s="1074"/>
      <c r="Q1540" s="1074"/>
      <c r="R1540" s="1074"/>
      <c r="S1540" s="1074"/>
      <c r="T1540" s="1074"/>
      <c r="U1540" s="1074"/>
      <c r="V1540" s="1074"/>
      <c r="W1540" s="1074">
        <v>2.5000000000000001E-2</v>
      </c>
      <c r="X1540" s="1074">
        <v>2.5000000000000001E-2</v>
      </c>
      <c r="Y1540" s="1074">
        <v>2.5000000000000001E-2</v>
      </c>
      <c r="Z1540" s="1074">
        <v>2.5000000000000001E-2</v>
      </c>
      <c r="AA1540" s="1074">
        <v>2.5000000000000001E-2</v>
      </c>
      <c r="AB1540" s="1074">
        <v>2.5000000000000001E-2</v>
      </c>
      <c r="AC1540" s="1074">
        <v>2.5000000000000001E-2</v>
      </c>
      <c r="AD1540" s="1074">
        <v>2.5000000000000001E-2</v>
      </c>
      <c r="AE1540" s="1074">
        <v>2.5000000000000001E-2</v>
      </c>
      <c r="AF1540" s="1074">
        <v>2.5000000000000001E-2</v>
      </c>
      <c r="AG1540" s="1074">
        <v>2.5000000000000001E-2</v>
      </c>
      <c r="AH1540" s="1074">
        <v>2.5000000000000001E-2</v>
      </c>
      <c r="AI1540" s="1074">
        <v>2.5000000000000001E-2</v>
      </c>
      <c r="AJ1540" s="1074">
        <v>2.5000000000000001E-2</v>
      </c>
      <c r="AK1540" s="1074">
        <v>2.5000000000000001E-2</v>
      </c>
      <c r="AL1540" s="1074">
        <v>2.5000000000000001E-2</v>
      </c>
      <c r="AM1540" s="1074">
        <v>2.5000000000000001E-2</v>
      </c>
      <c r="AN1540" s="1074">
        <v>2.5000000000000001E-2</v>
      </c>
      <c r="AO1540" s="1074">
        <v>2.5000000000000001E-2</v>
      </c>
      <c r="AP1540" s="1074">
        <v>2.5000000000000001E-2</v>
      </c>
      <c r="AQ1540" s="1074">
        <v>2.5000000000000001E-2</v>
      </c>
      <c r="AR1540" s="1074">
        <v>2.5000000000000001E-2</v>
      </c>
      <c r="AS1540" s="1074">
        <v>2.5000000000000001E-2</v>
      </c>
      <c r="AT1540" s="1074">
        <v>2.5000000000000001E-2</v>
      </c>
    </row>
    <row r="1541" spans="1:47">
      <c r="A1541" s="1"/>
      <c r="B1541" s="1"/>
      <c r="C1541" s="1"/>
      <c r="D1541" s="1071" t="s">
        <v>103</v>
      </c>
      <c r="E1541" s="1072" t="s">
        <v>271</v>
      </c>
      <c r="F1541" s="1073"/>
      <c r="G1541" s="1073"/>
      <c r="H1541" s="1073"/>
      <c r="I1541" s="1073"/>
      <c r="J1541" s="1074">
        <f t="shared" ref="J1541:S1541" si="1873">+(J354+K354)/2</f>
        <v>0</v>
      </c>
      <c r="K1541" s="1074">
        <f t="shared" si="1873"/>
        <v>0</v>
      </c>
      <c r="L1541" s="1074">
        <f t="shared" si="1873"/>
        <v>0</v>
      </c>
      <c r="M1541" s="1074">
        <f t="shared" si="1873"/>
        <v>0</v>
      </c>
      <c r="N1541" s="1074">
        <f t="shared" si="1873"/>
        <v>0</v>
      </c>
      <c r="O1541" s="1074">
        <f t="shared" si="1873"/>
        <v>0</v>
      </c>
      <c r="P1541" s="1074">
        <f t="shared" si="1873"/>
        <v>0</v>
      </c>
      <c r="Q1541" s="1074">
        <f t="shared" si="1873"/>
        <v>0</v>
      </c>
      <c r="R1541" s="1074">
        <f t="shared" si="1873"/>
        <v>0</v>
      </c>
      <c r="S1541" s="1074">
        <f t="shared" si="1873"/>
        <v>0</v>
      </c>
      <c r="T1541" s="1074">
        <f t="shared" ref="T1541:AT1541" si="1874">+(T598+U598)/2</f>
        <v>0</v>
      </c>
      <c r="U1541" s="1074">
        <f t="shared" si="1874"/>
        <v>0</v>
      </c>
      <c r="V1541" s="1074">
        <f t="shared" si="1874"/>
        <v>4.1871657754010701E-2</v>
      </c>
      <c r="W1541" s="1074">
        <f t="shared" si="1874"/>
        <v>0.10176470588235295</v>
      </c>
      <c r="X1541" s="1074">
        <f t="shared" si="1874"/>
        <v>7.7139037433155075E-2</v>
      </c>
      <c r="Y1541" s="1074">
        <f t="shared" si="1874"/>
        <v>1.7245989304812834E-2</v>
      </c>
      <c r="Z1541" s="1074">
        <f t="shared" si="1874"/>
        <v>0.02</v>
      </c>
      <c r="AA1541" s="1074">
        <f t="shared" si="1874"/>
        <v>4.4999999999999998E-2</v>
      </c>
      <c r="AB1541" s="1074">
        <f t="shared" si="1874"/>
        <v>0.05</v>
      </c>
      <c r="AC1541" s="1074">
        <f t="shared" si="1874"/>
        <v>0.05</v>
      </c>
      <c r="AD1541" s="1074">
        <f t="shared" si="1874"/>
        <v>6.0249999999999998E-2</v>
      </c>
      <c r="AE1541" s="1074">
        <f t="shared" si="1874"/>
        <v>6.5549999999999997E-2</v>
      </c>
      <c r="AF1541" s="1074">
        <f t="shared" si="1874"/>
        <v>3.8600000000000002E-2</v>
      </c>
      <c r="AG1541" s="1074">
        <f t="shared" si="1874"/>
        <v>5.0800000000000005E-2</v>
      </c>
      <c r="AH1541" s="1074">
        <f t="shared" si="1874"/>
        <v>0.11015</v>
      </c>
      <c r="AI1541" s="1074">
        <f t="shared" si="1874"/>
        <v>0.11783</v>
      </c>
      <c r="AJ1541" s="1074">
        <f t="shared" si="1874"/>
        <v>0.10018000000000001</v>
      </c>
      <c r="AK1541" s="1074">
        <f t="shared" si="1874"/>
        <v>0.09</v>
      </c>
      <c r="AL1541" s="1074">
        <f t="shared" si="1874"/>
        <v>0.08</v>
      </c>
      <c r="AM1541" s="1074">
        <f t="shared" si="1874"/>
        <v>0.08</v>
      </c>
      <c r="AN1541" s="1074">
        <f t="shared" si="1874"/>
        <v>0.08</v>
      </c>
      <c r="AO1541" s="1074">
        <f t="shared" si="1874"/>
        <v>0.08</v>
      </c>
      <c r="AP1541" s="1074">
        <f t="shared" si="1874"/>
        <v>0.08</v>
      </c>
      <c r="AQ1541" s="1074">
        <f t="shared" si="1874"/>
        <v>0.08</v>
      </c>
      <c r="AR1541" s="1074">
        <f t="shared" si="1874"/>
        <v>0.08</v>
      </c>
      <c r="AS1541" s="1074">
        <f t="shared" si="1874"/>
        <v>0.08</v>
      </c>
      <c r="AT1541" s="1074">
        <f t="shared" si="1874"/>
        <v>0.04</v>
      </c>
    </row>
    <row r="1542" spans="1:47">
      <c r="A1542" s="1"/>
      <c r="B1542" s="1"/>
      <c r="C1542" s="1"/>
      <c r="D1542" s="1928" t="s">
        <v>3470</v>
      </c>
      <c r="E1542" s="1073"/>
      <c r="F1542" s="1073"/>
      <c r="G1542" s="1073"/>
      <c r="H1542" s="1073"/>
      <c r="I1542" s="1073"/>
      <c r="J1542" s="1074"/>
      <c r="K1542" s="1074"/>
      <c r="L1542" s="1074"/>
      <c r="M1542" s="1074"/>
      <c r="N1542" s="1074"/>
      <c r="O1542" s="1074"/>
      <c r="P1542" s="1074"/>
      <c r="Q1542" s="1074"/>
      <c r="R1542" s="1074"/>
      <c r="S1542" s="1074"/>
      <c r="T1542" s="1074"/>
      <c r="U1542" s="1074"/>
      <c r="V1542" s="1074"/>
      <c r="W1542" s="1074">
        <f t="shared" ref="W1542" si="1875">(W1118/V1118-1)-W1539</f>
        <v>9.6403375572963218E-2</v>
      </c>
      <c r="X1542" s="1074">
        <f t="shared" ref="X1542" si="1876">(X1118/W1118-1)-X1539</f>
        <v>-0.12718670076726343</v>
      </c>
      <c r="Y1542" s="1074">
        <f t="shared" ref="Y1542" si="1877">(Y1118/X1118-1)-Y1539</f>
        <v>0.99177703922096261</v>
      </c>
      <c r="Z1542" s="1074">
        <f t="shared" ref="Z1542" si="1878">(Z1118/Y1118-1)-Z1539</f>
        <v>0.14675631969166195</v>
      </c>
      <c r="AA1542" s="1074">
        <f t="shared" ref="AA1542" si="1879">(AA1118/Z1118-1)-AA1539</f>
        <v>5.7035523984498876E-2</v>
      </c>
      <c r="AB1542" s="1074">
        <f t="shared" ref="AB1542" si="1880">(AB1118/AA1118-1)-AB1539</f>
        <v>3.6993998334381911E-2</v>
      </c>
      <c r="AC1542" s="1074">
        <f t="shared" ref="AC1542" si="1881">(AC1118/AB1118-1)-AC1539</f>
        <v>4.4508152005289042E-2</v>
      </c>
      <c r="AD1542" s="1074">
        <f t="shared" ref="AD1542" si="1882">(AD1118/AC1118-1)-AD1539</f>
        <v>9.7255009214461757E-2</v>
      </c>
      <c r="AE1542" s="1074">
        <f t="shared" ref="AE1542" si="1883">(AE1118/AD1118-1)-AE1539</f>
        <v>-0.32243435215027183</v>
      </c>
      <c r="AF1542" s="1074">
        <f t="shared" ref="AF1542" si="1884">(AF1118/AE1118-1)-AF1539</f>
        <v>0.3257100918299205</v>
      </c>
      <c r="AG1542" s="1074">
        <f t="shared" ref="AG1542:AO1542" si="1885">(AG1118/AF1118-1)-AG1539</f>
        <v>0.29651228519587769</v>
      </c>
      <c r="AH1542" s="1074">
        <f t="shared" si="1885"/>
        <v>0.38185593342829804</v>
      </c>
      <c r="AI1542" s="1074">
        <f t="shared" si="1885"/>
        <v>0.12627720508374643</v>
      </c>
      <c r="AJ1542" s="1074">
        <f t="shared" si="1885"/>
        <v>0.12294216181530995</v>
      </c>
      <c r="AK1542" s="1074">
        <f t="shared" si="1885"/>
        <v>0.17737486482877432</v>
      </c>
      <c r="AL1542" s="1074">
        <f t="shared" si="1885"/>
        <v>9.6893245236577635E-2</v>
      </c>
      <c r="AM1542" s="1074">
        <f t="shared" si="1885"/>
        <v>0.10579297576100524</v>
      </c>
      <c r="AN1542" s="1074">
        <f t="shared" si="1885"/>
        <v>0.10225293914987302</v>
      </c>
      <c r="AO1542" s="1074">
        <f t="shared" si="1885"/>
        <v>4.3937021659825409E-2</v>
      </c>
      <c r="AP1542" s="1074">
        <f t="shared" ref="AP1542" si="1886">(AP1118/AO1118-1)-AP1539</f>
        <v>0.11771976442307966</v>
      </c>
      <c r="AQ1542" s="1074">
        <f t="shared" ref="AQ1542" si="1887">(AQ1118/AP1118-1)-AQ1539</f>
        <v>2.5429199527338603E-2</v>
      </c>
      <c r="AR1542" s="1074">
        <f t="shared" ref="AR1542" si="1888">(AR1118/AQ1118-1)-AR1539</f>
        <v>0.13535180279503781</v>
      </c>
      <c r="AS1542" s="1074">
        <f t="shared" ref="AS1542" si="1889">(AS1118/AR1118-1)-AS1539</f>
        <v>-0.76542260147282137</v>
      </c>
      <c r="AT1542" s="1074">
        <f t="shared" ref="AT1542" si="1890">(AT1118/AS1118-1)-AT1539</f>
        <v>-0.03</v>
      </c>
    </row>
    <row r="1543" spans="1:47">
      <c r="A1543" s="1"/>
      <c r="B1543" s="1"/>
      <c r="C1543" s="1"/>
      <c r="D1543" s="1928" t="s">
        <v>3471</v>
      </c>
      <c r="E1543" s="1073"/>
      <c r="F1543" s="1073"/>
      <c r="G1543" s="1073"/>
      <c r="H1543" s="1073"/>
      <c r="I1543" s="1073"/>
      <c r="J1543" s="1074"/>
      <c r="K1543" s="1074"/>
      <c r="L1543" s="1074"/>
      <c r="M1543" s="1074"/>
      <c r="N1543" s="1074"/>
      <c r="O1543" s="1074"/>
      <c r="P1543" s="1074"/>
      <c r="Q1543" s="1074"/>
      <c r="R1543" s="1074"/>
      <c r="S1543" s="1074"/>
      <c r="T1543" s="1074"/>
      <c r="U1543" s="1074"/>
      <c r="V1543" s="1074"/>
      <c r="W1543" s="1074">
        <f t="shared" ref="W1543" si="1891">(W1118/V1118-1)-W1540</f>
        <v>0.10140337557296322</v>
      </c>
      <c r="X1543" s="1074">
        <f t="shared" ref="X1543" si="1892">(X1118/W1118-1)-X1540</f>
        <v>-0.12218670076726343</v>
      </c>
      <c r="Y1543" s="1074">
        <f t="shared" ref="Y1543" si="1893">(Y1118/X1118-1)-Y1540</f>
        <v>0.99677703922096261</v>
      </c>
      <c r="Z1543" s="1074">
        <f t="shared" ref="Z1543" si="1894">(Z1118/Y1118-1)-Z1540</f>
        <v>0.15175631969166195</v>
      </c>
      <c r="AA1543" s="1074">
        <f t="shared" ref="AA1543" si="1895">(AA1118/Z1118-1)-AA1540</f>
        <v>6.2035523984498873E-2</v>
      </c>
      <c r="AB1543" s="1074">
        <f t="shared" ref="AB1543" si="1896">(AB1118/AA1118-1)-AB1540</f>
        <v>4.1993998334381909E-2</v>
      </c>
      <c r="AC1543" s="1074">
        <f t="shared" ref="AC1543" si="1897">(AC1118/AB1118-1)-AC1540</f>
        <v>4.950815200528904E-2</v>
      </c>
      <c r="AD1543" s="1074">
        <f t="shared" ref="AD1543" si="1898">(AD1118/AC1118-1)-AD1540</f>
        <v>0.10225500921446176</v>
      </c>
      <c r="AE1543" s="1074">
        <f t="shared" ref="AE1543" si="1899">(AE1118/AD1118-1)-AE1540</f>
        <v>-0.31743435215027183</v>
      </c>
      <c r="AF1543" s="1074">
        <f t="shared" ref="AF1543" si="1900">(AF1118/AE1118-1)-AF1540</f>
        <v>0.33071009182992051</v>
      </c>
      <c r="AG1543" s="1074">
        <f t="shared" ref="AG1543:AO1543" si="1901">(AG1118/AF1118-1)-AG1540</f>
        <v>0.30151228519587769</v>
      </c>
      <c r="AH1543" s="1074">
        <f t="shared" si="1901"/>
        <v>0.38685593342829805</v>
      </c>
      <c r="AI1543" s="1074">
        <f t="shared" si="1901"/>
        <v>0.13127720508374643</v>
      </c>
      <c r="AJ1543" s="1074">
        <f t="shared" si="1901"/>
        <v>0.12794216181530996</v>
      </c>
      <c r="AK1543" s="1074">
        <f t="shared" si="1901"/>
        <v>0.18237486482877432</v>
      </c>
      <c r="AL1543" s="1074">
        <f t="shared" si="1901"/>
        <v>0.10189324523657764</v>
      </c>
      <c r="AM1543" s="1074">
        <f t="shared" si="1901"/>
        <v>0.11079297576100525</v>
      </c>
      <c r="AN1543" s="1074">
        <f t="shared" si="1901"/>
        <v>0.10725293914987302</v>
      </c>
      <c r="AO1543" s="1074">
        <f t="shared" si="1901"/>
        <v>4.8937021659825407E-2</v>
      </c>
      <c r="AP1543" s="1074">
        <f t="shared" ref="AP1543" si="1902">(AP1118/AO1118-1)-AP1540</f>
        <v>0.12271976442307966</v>
      </c>
      <c r="AQ1543" s="1074">
        <f t="shared" ref="AQ1543" si="1903">(AQ1118/AP1118-1)-AQ1540</f>
        <v>3.04291995273386E-2</v>
      </c>
      <c r="AR1543" s="1074">
        <f t="shared" ref="AR1543" si="1904">(AR1118/AQ1118-1)-AR1540</f>
        <v>0.14035180279503781</v>
      </c>
      <c r="AS1543" s="1074">
        <f t="shared" ref="AS1543" si="1905">(AS1118/AR1118-1)-AS1540</f>
        <v>-0.76042260147282137</v>
      </c>
      <c r="AT1543" s="1074">
        <f t="shared" ref="AT1543" si="1906">(AT1118/AS1118-1)-AT1540</f>
        <v>-2.5000000000000001E-2</v>
      </c>
    </row>
    <row r="1544" spans="1:47">
      <c r="D1544" s="1070" t="s">
        <v>3178</v>
      </c>
      <c r="E1544" s="1059"/>
      <c r="F1544" s="1059"/>
      <c r="G1544" s="1059"/>
      <c r="H1544" s="1059"/>
      <c r="I1544" s="1059"/>
      <c r="J1544" s="1062">
        <f t="shared" ref="J1544:AS1544" si="1907">(K1079+J1079+J1113-J1114+J1117-J1118+K1113-K1114+K1117-K1118)/2</f>
        <v>0</v>
      </c>
      <c r="K1544" s="1062">
        <f t="shared" si="1907"/>
        <v>0</v>
      </c>
      <c r="L1544" s="1062">
        <f t="shared" si="1907"/>
        <v>0</v>
      </c>
      <c r="M1544" s="1062">
        <f t="shared" si="1907"/>
        <v>0</v>
      </c>
      <c r="N1544" s="1062">
        <f t="shared" si="1907"/>
        <v>0</v>
      </c>
      <c r="O1544" s="1062">
        <f t="shared" si="1907"/>
        <v>0</v>
      </c>
      <c r="P1544" s="1062">
        <f t="shared" si="1907"/>
        <v>0</v>
      </c>
      <c r="Q1544" s="1062">
        <f t="shared" si="1907"/>
        <v>0</v>
      </c>
      <c r="R1544" s="1062">
        <f t="shared" si="1907"/>
        <v>0</v>
      </c>
      <c r="S1544" s="1062">
        <f t="shared" si="1907"/>
        <v>0</v>
      </c>
      <c r="T1544" s="1062">
        <f t="shared" si="1907"/>
        <v>0</v>
      </c>
      <c r="U1544" s="1062">
        <f t="shared" si="1907"/>
        <v>110.60077346829954</v>
      </c>
      <c r="V1544" s="1062">
        <f t="shared" si="1907"/>
        <v>239.57461509380721</v>
      </c>
      <c r="W1544" s="1062">
        <f t="shared" si="1907"/>
        <v>245.46122293958499</v>
      </c>
      <c r="X1544" s="1062">
        <f t="shared" si="1907"/>
        <v>285.58988866012282</v>
      </c>
      <c r="Y1544" s="1062">
        <f t="shared" si="1907"/>
        <v>332.64855511958376</v>
      </c>
      <c r="Z1544" s="1062">
        <f t="shared" si="1907"/>
        <v>366.54259085566963</v>
      </c>
      <c r="AA1544" s="1062">
        <f t="shared" si="1907"/>
        <v>457.26499044599603</v>
      </c>
      <c r="AB1544" s="1062">
        <f t="shared" si="1907"/>
        <v>519.19308043186197</v>
      </c>
      <c r="AC1544" s="1062">
        <f t="shared" si="1907"/>
        <v>555.21650242957196</v>
      </c>
      <c r="AD1544" s="1062">
        <f t="shared" si="1907"/>
        <v>631.2285256960746</v>
      </c>
      <c r="AE1544" s="1062">
        <f t="shared" si="1907"/>
        <v>697.31858506200001</v>
      </c>
      <c r="AF1544" s="1062">
        <f t="shared" si="1907"/>
        <v>791.58256679733006</v>
      </c>
      <c r="AG1544" s="1062">
        <f t="shared" si="1907"/>
        <v>942.31207444218262</v>
      </c>
      <c r="AH1544" s="1062">
        <f t="shared" si="1907"/>
        <v>1010.8063753378527</v>
      </c>
      <c r="AI1544" s="1062">
        <f t="shared" si="1907"/>
        <v>1037.6544100433287</v>
      </c>
      <c r="AJ1544" s="1062">
        <f t="shared" si="1907"/>
        <v>1044.7163936225202</v>
      </c>
      <c r="AK1544" s="1062">
        <f t="shared" si="1907"/>
        <v>1101.9790454002948</v>
      </c>
      <c r="AL1544" s="1062">
        <f t="shared" si="1907"/>
        <v>1269.9149460854862</v>
      </c>
      <c r="AM1544" s="1062">
        <f t="shared" si="1907"/>
        <v>1439.135692633763</v>
      </c>
      <c r="AN1544" s="1062">
        <f t="shared" si="1907"/>
        <v>1598.4319114424247</v>
      </c>
      <c r="AO1544" s="1062">
        <f t="shared" si="1907"/>
        <v>1651.9567196502735</v>
      </c>
      <c r="AP1544" s="1062">
        <f t="shared" si="1907"/>
        <v>1696.9751055268571</v>
      </c>
      <c r="AQ1544" s="1062">
        <f t="shared" si="1907"/>
        <v>1920.5653721998028</v>
      </c>
      <c r="AR1544" s="1062">
        <f t="shared" si="1907"/>
        <v>1347.5971393844193</v>
      </c>
      <c r="AS1544" s="1062">
        <f t="shared" si="1907"/>
        <v>620.07839019948915</v>
      </c>
      <c r="AT1544" s="1062">
        <f>(AU1103+AT1079+AT1113-AT1114+AT1117-AT1118+AU1147-AU1114+AU1117-AU1118)/2</f>
        <v>310.03919509974446</v>
      </c>
    </row>
    <row r="1545" spans="1:47">
      <c r="D1545" s="1070" t="s">
        <v>3346</v>
      </c>
      <c r="E1545" s="1059"/>
      <c r="F1545" s="1059"/>
      <c r="G1545" s="1059"/>
      <c r="H1545" s="1059"/>
      <c r="I1545" s="1059"/>
      <c r="J1545" s="1062">
        <f t="shared" ref="J1545:V1545" si="1908">(J1103+J1127+K1103+K1127)/2</f>
        <v>0</v>
      </c>
      <c r="K1545" s="1062">
        <f t="shared" si="1908"/>
        <v>0</v>
      </c>
      <c r="L1545" s="1062">
        <f t="shared" si="1908"/>
        <v>0</v>
      </c>
      <c r="M1545" s="1062">
        <f t="shared" si="1908"/>
        <v>0</v>
      </c>
      <c r="N1545" s="1062">
        <f t="shared" si="1908"/>
        <v>0</v>
      </c>
      <c r="O1545" s="1062">
        <f t="shared" si="1908"/>
        <v>0</v>
      </c>
      <c r="P1545" s="1062">
        <f t="shared" si="1908"/>
        <v>0</v>
      </c>
      <c r="Q1545" s="1062">
        <f t="shared" si="1908"/>
        <v>0</v>
      </c>
      <c r="R1545" s="1062">
        <f t="shared" si="1908"/>
        <v>0</v>
      </c>
      <c r="S1545" s="1062">
        <f t="shared" si="1908"/>
        <v>0</v>
      </c>
      <c r="T1545" s="1062">
        <f t="shared" si="1908"/>
        <v>0</v>
      </c>
      <c r="U1545" s="1062">
        <f t="shared" si="1908"/>
        <v>0</v>
      </c>
      <c r="V1545" s="1062">
        <f t="shared" si="1908"/>
        <v>0</v>
      </c>
      <c r="W1545" s="1062">
        <f>(W1103+W1127+X1103+X1127)/2</f>
        <v>13.5</v>
      </c>
      <c r="X1545" s="1062">
        <f t="shared" ref="X1545:AS1545" si="1909">(X1103+X1127+Y1103+Y1127)/2</f>
        <v>56.440751832499998</v>
      </c>
      <c r="Y1545" s="1062">
        <f t="shared" si="1909"/>
        <v>89.563135699499995</v>
      </c>
      <c r="Z1545" s="1062">
        <f t="shared" si="1909"/>
        <v>101.1126434295</v>
      </c>
      <c r="AA1545" s="1062">
        <f t="shared" si="1909"/>
        <v>109.44159242149999</v>
      </c>
      <c r="AB1545" s="1062">
        <f t="shared" si="1909"/>
        <v>117.304254786</v>
      </c>
      <c r="AC1545" s="1062">
        <f t="shared" si="1909"/>
        <v>161.27611092500001</v>
      </c>
      <c r="AD1545" s="1062">
        <f t="shared" si="1909"/>
        <v>238.23144387150001</v>
      </c>
      <c r="AE1545" s="1062">
        <f t="shared" si="1909"/>
        <v>289.90642664600006</v>
      </c>
      <c r="AF1545" s="1062">
        <f t="shared" si="1909"/>
        <v>370.01808412300005</v>
      </c>
      <c r="AG1545" s="1062">
        <f t="shared" si="1909"/>
        <v>391.90888422400002</v>
      </c>
      <c r="AH1545" s="1062">
        <f t="shared" si="1909"/>
        <v>350.66501275299998</v>
      </c>
      <c r="AI1545" s="1062">
        <f t="shared" si="1909"/>
        <v>373.18507509298229</v>
      </c>
      <c r="AJ1545" s="1062">
        <f t="shared" si="1909"/>
        <v>477.61277113479503</v>
      </c>
      <c r="AK1545" s="1062">
        <f t="shared" si="1909"/>
        <v>477.65569585237665</v>
      </c>
      <c r="AL1545" s="1062">
        <f t="shared" si="1909"/>
        <v>410.83975578035728</v>
      </c>
      <c r="AM1545" s="1062">
        <f t="shared" si="1909"/>
        <v>445.04574423149398</v>
      </c>
      <c r="AN1545" s="1062">
        <f t="shared" si="1909"/>
        <v>464.98039583988407</v>
      </c>
      <c r="AO1545" s="1062">
        <f t="shared" si="1909"/>
        <v>486.45550692123999</v>
      </c>
      <c r="AP1545" s="1062">
        <f t="shared" si="1909"/>
        <v>518.0353464769355</v>
      </c>
      <c r="AQ1545" s="1062">
        <f t="shared" si="1909"/>
        <v>595.84533402475267</v>
      </c>
      <c r="AR1545" s="1062">
        <f t="shared" si="1909"/>
        <v>415.46811042925771</v>
      </c>
      <c r="AS1545" s="1062">
        <f t="shared" si="1909"/>
        <v>173.85012883576809</v>
      </c>
      <c r="AT1545" s="1062" t="e">
        <f>(AT1103+AT1127+#REF!+AU1127)/2</f>
        <v>#REF!</v>
      </c>
    </row>
    <row r="1546" spans="1:47">
      <c r="A1546" s="830"/>
      <c r="B1546"/>
      <c r="C1546" s="32"/>
      <c r="D1546" s="1070" t="s">
        <v>781</v>
      </c>
      <c r="E1546" s="1062"/>
      <c r="F1546" s="1062"/>
      <c r="G1546" s="1062"/>
      <c r="H1546" s="1062"/>
      <c r="I1546" s="1062"/>
      <c r="J1546" s="1075">
        <f t="shared" ref="J1546:V1546" si="1910">(J1102+K1102)/2</f>
        <v>0</v>
      </c>
      <c r="K1546" s="1075">
        <f t="shared" si="1910"/>
        <v>0</v>
      </c>
      <c r="L1546" s="1075">
        <f t="shared" si="1910"/>
        <v>0</v>
      </c>
      <c r="M1546" s="1075">
        <f t="shared" si="1910"/>
        <v>0</v>
      </c>
      <c r="N1546" s="1075">
        <f t="shared" si="1910"/>
        <v>0</v>
      </c>
      <c r="O1546" s="1075">
        <f t="shared" si="1910"/>
        <v>0</v>
      </c>
      <c r="P1546" s="1075">
        <f t="shared" si="1910"/>
        <v>0</v>
      </c>
      <c r="Q1546" s="1075">
        <f t="shared" si="1910"/>
        <v>0</v>
      </c>
      <c r="R1546" s="1075">
        <f t="shared" si="1910"/>
        <v>0</v>
      </c>
      <c r="S1546" s="1075">
        <f t="shared" si="1910"/>
        <v>0</v>
      </c>
      <c r="T1546" s="1075">
        <f t="shared" si="1910"/>
        <v>0</v>
      </c>
      <c r="U1546" s="1075">
        <f t="shared" si="1910"/>
        <v>0</v>
      </c>
      <c r="V1546" s="1075">
        <f t="shared" si="1910"/>
        <v>2.6</v>
      </c>
      <c r="W1546" s="1075">
        <f>(W1102+X1102)/2</f>
        <v>10.1</v>
      </c>
      <c r="X1546" s="1075">
        <f t="shared" ref="X1546:AT1546" si="1911">(X1102+Y1102)/2</f>
        <v>16.522676295432507</v>
      </c>
      <c r="Y1546" s="1075">
        <f t="shared" si="1911"/>
        <v>18.153487942040332</v>
      </c>
      <c r="Z1546" s="1075">
        <f t="shared" si="1911"/>
        <v>21.878222980546397</v>
      </c>
      <c r="AA1546" s="1075">
        <f t="shared" si="1911"/>
        <v>30.374038981938572</v>
      </c>
      <c r="AB1546" s="1075">
        <f t="shared" si="1911"/>
        <v>42.076633911999998</v>
      </c>
      <c r="AC1546" s="1075">
        <f t="shared" si="1911"/>
        <v>51.751750747136597</v>
      </c>
      <c r="AD1546" s="1075">
        <f t="shared" si="1911"/>
        <v>66.452639685136603</v>
      </c>
      <c r="AE1546" s="1075">
        <f t="shared" si="1911"/>
        <v>95.90533590285267</v>
      </c>
      <c r="AF1546" s="1075">
        <f t="shared" si="1911"/>
        <v>131.93816038635265</v>
      </c>
      <c r="AG1546" s="1075">
        <f t="shared" si="1911"/>
        <v>176.51061672399999</v>
      </c>
      <c r="AH1546" s="1075">
        <f t="shared" si="1911"/>
        <v>218.56130107299998</v>
      </c>
      <c r="AI1546" s="1075">
        <f t="shared" si="1911"/>
        <v>249.21982871851921</v>
      </c>
      <c r="AJ1546" s="1075">
        <f t="shared" si="1911"/>
        <v>270.13641092201919</v>
      </c>
      <c r="AK1546" s="1075">
        <f t="shared" si="1911"/>
        <v>271.041549557</v>
      </c>
      <c r="AL1546" s="1075">
        <f t="shared" si="1911"/>
        <v>263.10801525750003</v>
      </c>
      <c r="AM1546" s="1075">
        <f t="shared" si="1911"/>
        <v>254.2115213095</v>
      </c>
      <c r="AN1546" s="1075">
        <f t="shared" si="1911"/>
        <v>243.91632156200001</v>
      </c>
      <c r="AO1546" s="1075">
        <f t="shared" si="1911"/>
        <v>292.90866365599999</v>
      </c>
      <c r="AP1546" s="1075">
        <f t="shared" si="1911"/>
        <v>335.95170595575001</v>
      </c>
      <c r="AQ1546" s="1075">
        <f t="shared" si="1911"/>
        <v>316.47496330800004</v>
      </c>
      <c r="AR1546" s="1075">
        <f t="shared" si="1911"/>
        <v>304.90698056024996</v>
      </c>
      <c r="AS1546" s="1075">
        <f t="shared" si="1911"/>
        <v>298.68602120849999</v>
      </c>
      <c r="AT1546" s="1075">
        <f t="shared" si="1911"/>
        <v>147.28870946550001</v>
      </c>
    </row>
    <row r="1547" spans="1:47">
      <c r="A1547"/>
      <c r="B1547"/>
      <c r="C1547"/>
      <c r="D1547" s="1080" t="s">
        <v>1158</v>
      </c>
      <c r="E1547" s="1062"/>
      <c r="F1547" s="1062"/>
      <c r="G1547" s="1062"/>
      <c r="H1547" s="1062"/>
      <c r="I1547" s="1062"/>
      <c r="J1547" s="1075">
        <f t="shared" ref="J1547:V1547" si="1912">(K1096+J1096)/2</f>
        <v>0</v>
      </c>
      <c r="K1547" s="1075">
        <f t="shared" si="1912"/>
        <v>0</v>
      </c>
      <c r="L1547" s="1075">
        <f t="shared" si="1912"/>
        <v>0</v>
      </c>
      <c r="M1547" s="1075">
        <f t="shared" si="1912"/>
        <v>0</v>
      </c>
      <c r="N1547" s="1075">
        <f t="shared" si="1912"/>
        <v>0</v>
      </c>
      <c r="O1547" s="1075">
        <f t="shared" si="1912"/>
        <v>0</v>
      </c>
      <c r="P1547" s="1075">
        <f t="shared" si="1912"/>
        <v>0</v>
      </c>
      <c r="Q1547" s="1075">
        <f t="shared" si="1912"/>
        <v>0</v>
      </c>
      <c r="R1547" s="1075">
        <f t="shared" si="1912"/>
        <v>0</v>
      </c>
      <c r="S1547" s="1075">
        <f t="shared" si="1912"/>
        <v>0</v>
      </c>
      <c r="T1547" s="1075">
        <f t="shared" si="1912"/>
        <v>0</v>
      </c>
      <c r="U1547" s="1075">
        <f t="shared" si="1912"/>
        <v>0</v>
      </c>
      <c r="V1547" s="1075">
        <f t="shared" si="1912"/>
        <v>6.6</v>
      </c>
      <c r="W1547" s="1075">
        <f>(X1096+W1096)/2</f>
        <v>14.45</v>
      </c>
      <c r="X1547" s="1075">
        <f t="shared" ref="X1547:AT1547" si="1913">(Y1096+X1096)/2</f>
        <v>20.615726104848861</v>
      </c>
      <c r="Y1547" s="1075">
        <f t="shared" si="1913"/>
        <v>26.571052244783026</v>
      </c>
      <c r="Z1547" s="1075">
        <f t="shared" si="1913"/>
        <v>29.478945922243788</v>
      </c>
      <c r="AA1547" s="1075">
        <f t="shared" si="1913"/>
        <v>34.142929483907452</v>
      </c>
      <c r="AB1547" s="1075">
        <f t="shared" si="1913"/>
        <v>39.808594763623134</v>
      </c>
      <c r="AC1547" s="1075">
        <f t="shared" si="1913"/>
        <v>45.283775648468037</v>
      </c>
      <c r="AD1547" s="1075">
        <f t="shared" si="1913"/>
        <v>54.352997547472413</v>
      </c>
      <c r="AE1547" s="1075">
        <f t="shared" si="1913"/>
        <v>63.99700421132961</v>
      </c>
      <c r="AF1547" s="1075">
        <f t="shared" si="1913"/>
        <v>68.572257764827611</v>
      </c>
      <c r="AG1547" s="1075">
        <f t="shared" si="1913"/>
        <v>85.408291936578379</v>
      </c>
      <c r="AH1547" s="1075">
        <f t="shared" si="1913"/>
        <v>142.05046981254443</v>
      </c>
      <c r="AI1547" s="1075">
        <f t="shared" si="1913"/>
        <v>211.1119975677625</v>
      </c>
      <c r="AJ1547" s="1075">
        <f t="shared" si="1913"/>
        <v>283.38256892003085</v>
      </c>
      <c r="AK1547" s="1075">
        <f t="shared" si="1913"/>
        <v>378.79033719775606</v>
      </c>
      <c r="AL1547" s="1075">
        <f t="shared" si="1913"/>
        <v>470.55738792763907</v>
      </c>
      <c r="AM1547" s="1075">
        <f t="shared" si="1913"/>
        <v>541.52287457962734</v>
      </c>
      <c r="AN1547" s="1075">
        <f t="shared" si="1913"/>
        <v>737.6422822541881</v>
      </c>
      <c r="AO1547" s="1075">
        <f t="shared" si="1913"/>
        <v>910.99663166272353</v>
      </c>
      <c r="AP1547" s="1075">
        <f t="shared" si="1913"/>
        <v>893.80100300809249</v>
      </c>
      <c r="AQ1547" s="1075">
        <f t="shared" si="1913"/>
        <v>846.41235827686069</v>
      </c>
      <c r="AR1547" s="1075">
        <f t="shared" si="1913"/>
        <v>818.45412088368448</v>
      </c>
      <c r="AS1547" s="1075">
        <f t="shared" si="1913"/>
        <v>810.31641192630184</v>
      </c>
      <c r="AT1547" s="1075">
        <f t="shared" si="1913"/>
        <v>403.68730982690306</v>
      </c>
    </row>
    <row r="1548" spans="1:47">
      <c r="A1548"/>
      <c r="B1548"/>
      <c r="C1548"/>
      <c r="D1548" s="1080" t="s">
        <v>3347</v>
      </c>
      <c r="E1548" s="1062"/>
      <c r="F1548" s="1062"/>
      <c r="G1548" s="1062"/>
      <c r="H1548" s="1062"/>
      <c r="I1548" s="1062"/>
      <c r="J1548" s="1075">
        <f t="shared" ref="J1548:V1548" si="1914">(J1129+K1129)/2</f>
        <v>0</v>
      </c>
      <c r="K1548" s="1075">
        <f t="shared" si="1914"/>
        <v>0</v>
      </c>
      <c r="L1548" s="1075">
        <f t="shared" si="1914"/>
        <v>0</v>
      </c>
      <c r="M1548" s="1075">
        <f t="shared" si="1914"/>
        <v>0</v>
      </c>
      <c r="N1548" s="1075">
        <f t="shared" si="1914"/>
        <v>0</v>
      </c>
      <c r="O1548" s="1075">
        <f t="shared" si="1914"/>
        <v>0</v>
      </c>
      <c r="P1548" s="1075">
        <f t="shared" si="1914"/>
        <v>0</v>
      </c>
      <c r="Q1548" s="1075">
        <f t="shared" si="1914"/>
        <v>0</v>
      </c>
      <c r="R1548" s="1075">
        <f t="shared" si="1914"/>
        <v>0</v>
      </c>
      <c r="S1548" s="1075">
        <f t="shared" si="1914"/>
        <v>0</v>
      </c>
      <c r="T1548" s="1075">
        <f t="shared" si="1914"/>
        <v>0</v>
      </c>
      <c r="U1548" s="1075">
        <f t="shared" si="1914"/>
        <v>0</v>
      </c>
      <c r="V1548" s="1075">
        <f t="shared" si="1914"/>
        <v>0</v>
      </c>
      <c r="W1548" s="1075">
        <f>(W1129+X1129)/2</f>
        <v>0</v>
      </c>
      <c r="X1548" s="1075">
        <f t="shared" ref="X1548:AS1548" si="1915">(X1129+Y1129)/2</f>
        <v>16.104677891850002</v>
      </c>
      <c r="Y1548" s="1075">
        <f t="shared" si="1915"/>
        <v>49.943223308850001</v>
      </c>
      <c r="Z1548" s="1075">
        <f t="shared" si="1915"/>
        <v>69.556170542499999</v>
      </c>
      <c r="AA1548" s="1075">
        <f t="shared" si="1915"/>
        <v>79.47946637199999</v>
      </c>
      <c r="AB1548" s="1075">
        <f t="shared" si="1915"/>
        <v>97.659549186999996</v>
      </c>
      <c r="AC1548" s="1075">
        <f t="shared" si="1915"/>
        <v>139.208972109</v>
      </c>
      <c r="AD1548" s="1075">
        <f t="shared" si="1915"/>
        <v>157.48623317800002</v>
      </c>
      <c r="AE1548" s="1075">
        <f t="shared" si="1915"/>
        <v>138.30571995849999</v>
      </c>
      <c r="AF1548" s="1075">
        <f t="shared" si="1915"/>
        <v>139.640025326</v>
      </c>
      <c r="AG1548" s="1075">
        <f t="shared" si="1915"/>
        <v>137.35927437700002</v>
      </c>
      <c r="AH1548" s="1075">
        <f t="shared" si="1915"/>
        <v>133.41061683250001</v>
      </c>
      <c r="AI1548" s="1075">
        <f t="shared" si="1915"/>
        <v>141.70917467871652</v>
      </c>
      <c r="AJ1548" s="1075">
        <f t="shared" si="1915"/>
        <v>148.64018208900953</v>
      </c>
      <c r="AK1548" s="1075">
        <f t="shared" si="1915"/>
        <v>160.82136673128394</v>
      </c>
      <c r="AL1548" s="1075">
        <f t="shared" si="1915"/>
        <v>179.27819103895848</v>
      </c>
      <c r="AM1548" s="1075">
        <f t="shared" si="1915"/>
        <v>201.86040161829391</v>
      </c>
      <c r="AN1548" s="1075">
        <f t="shared" si="1915"/>
        <v>227.29481222219891</v>
      </c>
      <c r="AO1548" s="1075">
        <f t="shared" si="1915"/>
        <v>248.43159893225561</v>
      </c>
      <c r="AP1548" s="1075">
        <f t="shared" si="1915"/>
        <v>263.19511870213876</v>
      </c>
      <c r="AQ1548" s="1075">
        <f t="shared" si="1915"/>
        <v>292.63945524485825</v>
      </c>
      <c r="AR1548" s="1075">
        <f t="shared" si="1915"/>
        <v>199.16218473955004</v>
      </c>
      <c r="AS1548" s="1075">
        <f t="shared" si="1915"/>
        <v>83.338216837894876</v>
      </c>
      <c r="AT1548" s="1075" t="e">
        <f>(AT1129+#REF!)/2</f>
        <v>#REF!</v>
      </c>
    </row>
    <row r="1549" spans="1:47">
      <c r="D1549" s="1058" t="s">
        <v>3349</v>
      </c>
      <c r="E1549" s="1059"/>
      <c r="F1549" s="1059"/>
      <c r="G1549" s="1059"/>
      <c r="H1549" s="1059"/>
      <c r="I1549" s="1059"/>
      <c r="J1549" s="1062">
        <f t="shared" ref="J1549:T1549" si="1916">(K1133+J1133+J1115+J1120+K1115+K1120)/2</f>
        <v>62.269932459000003</v>
      </c>
      <c r="K1549" s="1062">
        <f t="shared" si="1916"/>
        <v>62.237228729500004</v>
      </c>
      <c r="L1549" s="1062">
        <f t="shared" si="1916"/>
        <v>57.846825000000003</v>
      </c>
      <c r="M1549" s="1062">
        <f t="shared" si="1916"/>
        <v>56.052075000000002</v>
      </c>
      <c r="N1549" s="1062">
        <f t="shared" si="1916"/>
        <v>60.348399999999998</v>
      </c>
      <c r="O1549" s="1062">
        <f t="shared" si="1916"/>
        <v>81.111818139999997</v>
      </c>
      <c r="P1549" s="1062">
        <f t="shared" si="1916"/>
        <v>107.17084180575</v>
      </c>
      <c r="Q1549" s="1062">
        <f t="shared" si="1916"/>
        <v>125.07089866575001</v>
      </c>
      <c r="R1549" s="1062">
        <f t="shared" si="1916"/>
        <v>160</v>
      </c>
      <c r="S1549" s="1062">
        <f t="shared" si="1916"/>
        <v>247.45</v>
      </c>
      <c r="T1549" s="1062">
        <f t="shared" si="1916"/>
        <v>311.70000000000005</v>
      </c>
      <c r="U1549" s="1062">
        <f>(V1133+U1133+U1115+U1120+V1115+V1120)/2*0.8</f>
        <v>293.43827510446812</v>
      </c>
      <c r="V1549" s="1062">
        <f>(W1133+V1133+V1115+V1120+W1115+W1120)/2</f>
        <v>439.26682320071728</v>
      </c>
      <c r="W1549" s="1062">
        <f>(X1133+W1133+W1115+W1120+X1115+X1120)/2</f>
        <v>456.74081280156486</v>
      </c>
      <c r="X1549" s="1062">
        <f t="shared" ref="X1549:AT1549" si="1917">(Y1133+X1133+X1115+X1120+Y1115+Y1120)/2</f>
        <v>582.5978676094702</v>
      </c>
      <c r="Y1549" s="1062">
        <f t="shared" si="1917"/>
        <v>715.90640409869161</v>
      </c>
      <c r="Z1549" s="1062">
        <f t="shared" si="1917"/>
        <v>712.70590818254857</v>
      </c>
      <c r="AA1549" s="1062">
        <f t="shared" si="1917"/>
        <v>704.66377840849088</v>
      </c>
      <c r="AB1549" s="1062">
        <f t="shared" si="1917"/>
        <v>742.88613747358727</v>
      </c>
      <c r="AC1549" s="1062">
        <f t="shared" si="1917"/>
        <v>906.88035026186003</v>
      </c>
      <c r="AD1549" s="1062">
        <f t="shared" si="1917"/>
        <v>1102.7015572825521</v>
      </c>
      <c r="AE1549" s="1062">
        <f t="shared" si="1917"/>
        <v>1304.9936973203376</v>
      </c>
      <c r="AF1549" s="1062">
        <f t="shared" si="1917"/>
        <v>1585.2253019533196</v>
      </c>
      <c r="AG1549" s="1062">
        <f t="shared" si="1917"/>
        <v>1744.9657702534287</v>
      </c>
      <c r="AH1549" s="1062">
        <f t="shared" si="1917"/>
        <v>1878.6893955622077</v>
      </c>
      <c r="AI1549" s="1062">
        <f t="shared" si="1917"/>
        <v>1967.8630849677186</v>
      </c>
      <c r="AJ1549" s="1062">
        <f t="shared" si="1917"/>
        <v>1962.1042138609541</v>
      </c>
      <c r="AK1549" s="1062">
        <f t="shared" si="1917"/>
        <v>2223.2805780517679</v>
      </c>
      <c r="AL1549" s="1062">
        <f t="shared" si="1917"/>
        <v>2680.8620843053127</v>
      </c>
      <c r="AM1549" s="1062">
        <f t="shared" si="1917"/>
        <v>3116.4680438406394</v>
      </c>
      <c r="AN1549" s="1062">
        <f t="shared" si="1917"/>
        <v>3521.4171137158628</v>
      </c>
      <c r="AO1549" s="1062">
        <f t="shared" si="1917"/>
        <v>3619.9791947530848</v>
      </c>
      <c r="AP1549" s="1062">
        <f t="shared" si="1917"/>
        <v>3588.9332640659218</v>
      </c>
      <c r="AQ1549" s="1062">
        <f t="shared" si="1917"/>
        <v>4161.6433005981362</v>
      </c>
      <c r="AR1549" s="1062">
        <f t="shared" si="1917"/>
        <v>-735.89397093395689</v>
      </c>
      <c r="AS1549" s="1062">
        <f t="shared" si="1917"/>
        <v>-6150.726429446262</v>
      </c>
      <c r="AT1549" s="1062">
        <f t="shared" si="1917"/>
        <v>-3080.3892664884565</v>
      </c>
      <c r="AU1549" s="1062"/>
    </row>
    <row r="1550" spans="1:47">
      <c r="D1550" s="1070" t="s">
        <v>1154</v>
      </c>
      <c r="E1550" s="1059"/>
      <c r="F1550" s="1059"/>
      <c r="G1550" s="1059"/>
      <c r="H1550" s="1059"/>
      <c r="I1550" s="1059"/>
      <c r="J1550" s="1079">
        <f t="shared" ref="J1550:AT1550" si="1918">(K1043+K1046+K1050+J1043+J1046+J1050)/2</f>
        <v>0</v>
      </c>
      <c r="K1550" s="1079">
        <f t="shared" si="1918"/>
        <v>0</v>
      </c>
      <c r="L1550" s="1079">
        <f t="shared" si="1918"/>
        <v>0</v>
      </c>
      <c r="M1550" s="1079">
        <f t="shared" si="1918"/>
        <v>0</v>
      </c>
      <c r="N1550" s="1079">
        <f t="shared" si="1918"/>
        <v>0</v>
      </c>
      <c r="O1550" s="1079">
        <f t="shared" si="1918"/>
        <v>0</v>
      </c>
      <c r="P1550" s="1079">
        <f t="shared" si="1918"/>
        <v>0</v>
      </c>
      <c r="Q1550" s="1079">
        <f t="shared" si="1918"/>
        <v>0</v>
      </c>
      <c r="R1550" s="1079">
        <f t="shared" si="1918"/>
        <v>0</v>
      </c>
      <c r="S1550" s="1079">
        <f t="shared" si="1918"/>
        <v>0</v>
      </c>
      <c r="T1550" s="1079">
        <f t="shared" si="1918"/>
        <v>0</v>
      </c>
      <c r="U1550" s="1079">
        <f t="shared" si="1918"/>
        <v>82</v>
      </c>
      <c r="V1550" s="1079">
        <f t="shared" si="1918"/>
        <v>177.85</v>
      </c>
      <c r="W1550" s="1079">
        <f t="shared" si="1918"/>
        <v>183.3</v>
      </c>
      <c r="X1550" s="1079">
        <f t="shared" si="1918"/>
        <v>239.08088762328447</v>
      </c>
      <c r="Y1550" s="1994">
        <f t="shared" si="1918"/>
        <v>272.14273864346393</v>
      </c>
      <c r="Z1550" s="1994">
        <f t="shared" si="1918"/>
        <v>204.96514877809057</v>
      </c>
      <c r="AA1550" s="1994">
        <f t="shared" si="1918"/>
        <v>157.45329775791112</v>
      </c>
      <c r="AB1550" s="1994">
        <f t="shared" si="1918"/>
        <v>157.35500000000002</v>
      </c>
      <c r="AC1550" s="1994">
        <f t="shared" si="1918"/>
        <v>200.89276599708484</v>
      </c>
      <c r="AD1550" s="1994">
        <f t="shared" si="1918"/>
        <v>246.45168733820987</v>
      </c>
      <c r="AE1550" s="1994">
        <f t="shared" si="1918"/>
        <v>277.28808273132501</v>
      </c>
      <c r="AF1550" s="1994">
        <f t="shared" si="1918"/>
        <v>335.90089415401997</v>
      </c>
      <c r="AG1550" s="1994">
        <f t="shared" si="1918"/>
        <v>389.16918513532062</v>
      </c>
      <c r="AH1550" s="1994">
        <f t="shared" si="1918"/>
        <v>452.68277694427042</v>
      </c>
      <c r="AI1550" s="1994">
        <f t="shared" si="1918"/>
        <v>473.44368401013833</v>
      </c>
      <c r="AJ1550" s="1994">
        <f t="shared" si="1918"/>
        <v>441.07809101910061</v>
      </c>
      <c r="AK1550" s="1994">
        <f t="shared" si="1918"/>
        <v>455.62532267106417</v>
      </c>
      <c r="AL1550" s="1994">
        <f t="shared" si="1918"/>
        <v>487.52483379147725</v>
      </c>
      <c r="AM1550" s="1994">
        <f t="shared" si="1918"/>
        <v>517.38911262549391</v>
      </c>
      <c r="AN1550" s="1994">
        <f t="shared" si="1918"/>
        <v>543.25039901370542</v>
      </c>
      <c r="AO1550" s="1994">
        <f t="shared" si="1918"/>
        <v>376.83091815219956</v>
      </c>
      <c r="AP1550" s="1994">
        <f t="shared" si="1918"/>
        <v>203.28055052710101</v>
      </c>
      <c r="AQ1550" s="1994">
        <f t="shared" si="1918"/>
        <v>215.0826279851097</v>
      </c>
      <c r="AR1550" s="1994">
        <f t="shared" si="1918"/>
        <v>227.95480636569573</v>
      </c>
      <c r="AS1550" s="1994">
        <f t="shared" si="1918"/>
        <v>239.35254668398051</v>
      </c>
      <c r="AT1550" s="1994">
        <f t="shared" si="1918"/>
        <v>122.59520683813636</v>
      </c>
    </row>
    <row r="1551" spans="1:47">
      <c r="D1551" s="1080" t="s">
        <v>1157</v>
      </c>
      <c r="E1551" s="1059"/>
      <c r="F1551" s="1059"/>
      <c r="G1551" s="1059"/>
      <c r="H1551" s="1059"/>
      <c r="I1551" s="1059"/>
      <c r="J1551" s="1079">
        <f t="shared" ref="J1551:V1551" si="1919">(J1255+K1255)/2</f>
        <v>0</v>
      </c>
      <c r="K1551" s="1079">
        <f t="shared" si="1919"/>
        <v>0</v>
      </c>
      <c r="L1551" s="1079">
        <f t="shared" si="1919"/>
        <v>0</v>
      </c>
      <c r="M1551" s="1079">
        <f t="shared" si="1919"/>
        <v>0</v>
      </c>
      <c r="N1551" s="1079">
        <f t="shared" si="1919"/>
        <v>0</v>
      </c>
      <c r="O1551" s="1079">
        <f t="shared" si="1919"/>
        <v>0</v>
      </c>
      <c r="P1551" s="1079">
        <f t="shared" si="1919"/>
        <v>0</v>
      </c>
      <c r="Q1551" s="1079">
        <f t="shared" si="1919"/>
        <v>0</v>
      </c>
      <c r="R1551" s="1079">
        <f t="shared" si="1919"/>
        <v>0</v>
      </c>
      <c r="S1551" s="1079">
        <f t="shared" si="1919"/>
        <v>0</v>
      </c>
      <c r="T1551" s="1079">
        <f t="shared" si="1919"/>
        <v>0</v>
      </c>
      <c r="U1551" s="1079">
        <f t="shared" si="1919"/>
        <v>0</v>
      </c>
      <c r="V1551" s="1079">
        <f t="shared" si="1919"/>
        <v>0</v>
      </c>
      <c r="W1551" s="1079">
        <f>(W1255+X1255-W1257-X1257)/2</f>
        <v>0</v>
      </c>
      <c r="X1551" s="1079">
        <f t="shared" ref="X1551:AT1551" si="1920">(X1255+Y1255-X1257-Y1257)/2</f>
        <v>33.354639702555005</v>
      </c>
      <c r="Y1551" s="1994">
        <f t="shared" si="1920"/>
        <v>82.971240236441005</v>
      </c>
      <c r="Z1551" s="1994">
        <f t="shared" si="1920"/>
        <v>101.0506082047025</v>
      </c>
      <c r="AA1551" s="1994">
        <f t="shared" si="1920"/>
        <v>131.808596255731</v>
      </c>
      <c r="AB1551" s="1994">
        <f t="shared" si="1920"/>
        <v>165.54979633799451</v>
      </c>
      <c r="AC1551" s="1994">
        <f t="shared" si="1920"/>
        <v>192.63943987288599</v>
      </c>
      <c r="AD1551" s="1994">
        <f t="shared" si="1920"/>
        <v>251.449757467864</v>
      </c>
      <c r="AE1551" s="1994">
        <f t="shared" si="1920"/>
        <v>339.2705442725125</v>
      </c>
      <c r="AF1551" s="1994">
        <f t="shared" si="1920"/>
        <v>369.56116121979949</v>
      </c>
      <c r="AG1551" s="1994">
        <f t="shared" si="1920"/>
        <v>359.36901741499247</v>
      </c>
      <c r="AH1551" s="1994">
        <f t="shared" si="1920"/>
        <v>481.93200638025843</v>
      </c>
      <c r="AI1551" s="1994">
        <f t="shared" si="1920"/>
        <v>579.34331234930846</v>
      </c>
      <c r="AJ1551" s="1994">
        <f t="shared" si="1920"/>
        <v>581.26634654775978</v>
      </c>
      <c r="AK1551" s="1994">
        <f t="shared" si="1920"/>
        <v>644.31403708656535</v>
      </c>
      <c r="AL1551" s="1994">
        <f t="shared" si="1920"/>
        <v>724.50329214447038</v>
      </c>
      <c r="AM1551" s="1994">
        <f t="shared" si="1920"/>
        <v>812.39839571602033</v>
      </c>
      <c r="AN1551" s="1994">
        <f t="shared" si="1920"/>
        <v>922.7975172847589</v>
      </c>
      <c r="AO1551" s="1994">
        <f t="shared" si="1920"/>
        <v>995.49720731984144</v>
      </c>
      <c r="AP1551" s="1994">
        <f t="shared" si="1920"/>
        <v>714.75920234182126</v>
      </c>
      <c r="AQ1551" s="1994">
        <f t="shared" si="1920"/>
        <v>261.52791007357564</v>
      </c>
      <c r="AR1551" s="1994">
        <f t="shared" si="1920"/>
        <v>68.805343488830545</v>
      </c>
      <c r="AS1551" s="1994">
        <f t="shared" si="1920"/>
        <v>15.889970522940734</v>
      </c>
      <c r="AT1551" s="1994">
        <f t="shared" si="1920"/>
        <v>0</v>
      </c>
    </row>
    <row r="1552" spans="1:47">
      <c r="D1552" s="1058" t="s">
        <v>3348</v>
      </c>
      <c r="E1552" s="1059"/>
      <c r="F1552" s="1059"/>
      <c r="G1552" s="1059"/>
      <c r="H1552" s="1059"/>
      <c r="I1552" s="1059"/>
      <c r="J1552" s="1068">
        <f t="shared" ref="J1552:V1552" si="1921">+(J1138+K1138+J1115+J1120+K1115+K1120)/2</f>
        <v>0</v>
      </c>
      <c r="K1552" s="1068">
        <f t="shared" si="1921"/>
        <v>0</v>
      </c>
      <c r="L1552" s="1068">
        <f t="shared" si="1921"/>
        <v>0</v>
      </c>
      <c r="M1552" s="1068">
        <f t="shared" si="1921"/>
        <v>0</v>
      </c>
      <c r="N1552" s="1068">
        <f t="shared" si="1921"/>
        <v>0</v>
      </c>
      <c r="O1552" s="1068">
        <f t="shared" si="1921"/>
        <v>0</v>
      </c>
      <c r="P1552" s="1068">
        <f t="shared" si="1921"/>
        <v>0</v>
      </c>
      <c r="Q1552" s="1068">
        <f t="shared" si="1921"/>
        <v>0</v>
      </c>
      <c r="R1552" s="1068">
        <f t="shared" si="1921"/>
        <v>0</v>
      </c>
      <c r="S1552" s="1068">
        <f t="shared" si="1921"/>
        <v>0</v>
      </c>
      <c r="T1552" s="1068">
        <f t="shared" si="1921"/>
        <v>0</v>
      </c>
      <c r="U1552" s="1068">
        <f t="shared" si="1921"/>
        <v>126.44784388058505</v>
      </c>
      <c r="V1552" s="1068">
        <f t="shared" si="1921"/>
        <v>261.41682320071732</v>
      </c>
      <c r="W1552" s="1068">
        <f>+(W1138+X1138+W1115+W1120+X1115+X1120)/2</f>
        <v>273.44081280156485</v>
      </c>
      <c r="X1552" s="1068">
        <f t="shared" ref="X1552:AT1552" si="1922">+(X1138+Y1138+X1115+X1120+Y1115+Y1120)/2</f>
        <v>310.16234028363061</v>
      </c>
      <c r="Y1552" s="1995">
        <f t="shared" si="1922"/>
        <v>360.79242521878672</v>
      </c>
      <c r="Z1552" s="1995">
        <f t="shared" si="1922"/>
        <v>406.69015119975563</v>
      </c>
      <c r="AA1552" s="1995">
        <f t="shared" si="1922"/>
        <v>415.40188439484871</v>
      </c>
      <c r="AB1552" s="1995">
        <f t="shared" si="1922"/>
        <v>419.98134113559274</v>
      </c>
      <c r="AC1552" s="1995">
        <f t="shared" si="1922"/>
        <v>513.34814439188926</v>
      </c>
      <c r="AD1552" s="1995">
        <f t="shared" si="1922"/>
        <v>604.80011247647838</v>
      </c>
      <c r="AE1552" s="1995">
        <f t="shared" si="1922"/>
        <v>688.43507031650006</v>
      </c>
      <c r="AF1552" s="1995">
        <f t="shared" si="1922"/>
        <v>848.21159579750008</v>
      </c>
      <c r="AG1552" s="1995">
        <f t="shared" si="1922"/>
        <v>964.8759169211155</v>
      </c>
      <c r="AH1552" s="1995">
        <f t="shared" si="1922"/>
        <v>944.05785100011553</v>
      </c>
      <c r="AI1552" s="1995">
        <f t="shared" si="1922"/>
        <v>915.05932737070862</v>
      </c>
      <c r="AJ1552" s="1995">
        <f t="shared" si="1922"/>
        <v>939.75977629409385</v>
      </c>
      <c r="AK1552" s="1995">
        <f t="shared" si="1922"/>
        <v>1123.3412182941383</v>
      </c>
      <c r="AL1552" s="1995">
        <f t="shared" si="1922"/>
        <v>1468.8339583693651</v>
      </c>
      <c r="AM1552" s="1995">
        <f t="shared" si="1922"/>
        <v>1786.6805354991252</v>
      </c>
      <c r="AN1552" s="1995">
        <f t="shared" si="1922"/>
        <v>2055.3691974173989</v>
      </c>
      <c r="AO1552" s="1995">
        <f t="shared" si="1922"/>
        <v>2247.6510692810434</v>
      </c>
      <c r="AP1552" s="1995">
        <f t="shared" si="1922"/>
        <v>2670.893511197</v>
      </c>
      <c r="AQ1552" s="1995">
        <f t="shared" si="1922"/>
        <v>3685.0327625394507</v>
      </c>
      <c r="AR1552" s="1995">
        <f t="shared" si="1922"/>
        <v>-1032.6541207884834</v>
      </c>
      <c r="AS1552" s="1995">
        <f t="shared" si="1922"/>
        <v>-6405.9689466531836</v>
      </c>
      <c r="AT1552" s="1995">
        <f t="shared" si="1922"/>
        <v>-3202.9844733265927</v>
      </c>
    </row>
    <row r="1553" spans="1:47">
      <c r="D1553" s="1071" t="s">
        <v>215</v>
      </c>
      <c r="E1553" s="1076">
        <v>0.4</v>
      </c>
      <c r="F1553" s="1073"/>
      <c r="G1553" s="1073"/>
      <c r="H1553" s="1073"/>
      <c r="I1553" s="1073"/>
      <c r="J1553" s="1077">
        <f t="shared" ref="J1553:U1553" si="1923">+$E1553*J1552</f>
        <v>0</v>
      </c>
      <c r="K1553" s="1077">
        <f t="shared" si="1923"/>
        <v>0</v>
      </c>
      <c r="L1553" s="1077">
        <f t="shared" si="1923"/>
        <v>0</v>
      </c>
      <c r="M1553" s="1077">
        <f t="shared" si="1923"/>
        <v>0</v>
      </c>
      <c r="N1553" s="1077">
        <f t="shared" si="1923"/>
        <v>0</v>
      </c>
      <c r="O1553" s="1077">
        <f t="shared" si="1923"/>
        <v>0</v>
      </c>
      <c r="P1553" s="1077">
        <f t="shared" si="1923"/>
        <v>0</v>
      </c>
      <c r="Q1553" s="1077">
        <f t="shared" si="1923"/>
        <v>0</v>
      </c>
      <c r="R1553" s="1077">
        <f t="shared" si="1923"/>
        <v>0</v>
      </c>
      <c r="S1553" s="1077">
        <f t="shared" si="1923"/>
        <v>0</v>
      </c>
      <c r="T1553" s="1077">
        <f t="shared" si="1923"/>
        <v>0</v>
      </c>
      <c r="U1553" s="1077">
        <f t="shared" si="1923"/>
        <v>50.579137552234023</v>
      </c>
      <c r="V1553" s="1078">
        <f>+$E1553*V1552</f>
        <v>104.56672928028694</v>
      </c>
      <c r="W1553" s="1078">
        <f t="shared" ref="W1553:AT1553" si="1924">+$E1553*W1552</f>
        <v>109.37632512062595</v>
      </c>
      <c r="X1553" s="1078">
        <f t="shared" si="1924"/>
        <v>124.06493611345225</v>
      </c>
      <c r="Y1553" s="1078">
        <f t="shared" si="1924"/>
        <v>144.3169700875147</v>
      </c>
      <c r="Z1553" s="1078">
        <f t="shared" si="1924"/>
        <v>162.67606047990228</v>
      </c>
      <c r="AA1553" s="1078">
        <f t="shared" si="1924"/>
        <v>166.16075375793949</v>
      </c>
      <c r="AB1553" s="1078">
        <f t="shared" si="1924"/>
        <v>167.9925364542371</v>
      </c>
      <c r="AC1553" s="1078">
        <f t="shared" si="1924"/>
        <v>205.33925775675573</v>
      </c>
      <c r="AD1553" s="1078">
        <f t="shared" si="1924"/>
        <v>241.92004499059135</v>
      </c>
      <c r="AE1553" s="1078">
        <f t="shared" si="1924"/>
        <v>275.37402812660002</v>
      </c>
      <c r="AF1553" s="1078">
        <f t="shared" si="1924"/>
        <v>339.28463831900007</v>
      </c>
      <c r="AG1553" s="1078">
        <f t="shared" si="1924"/>
        <v>385.9503667684462</v>
      </c>
      <c r="AH1553" s="1078">
        <f t="shared" si="1924"/>
        <v>377.62314040004622</v>
      </c>
      <c r="AI1553" s="1078">
        <f t="shared" si="1924"/>
        <v>366.02373094828346</v>
      </c>
      <c r="AJ1553" s="1078">
        <f t="shared" si="1924"/>
        <v>375.90391051763754</v>
      </c>
      <c r="AK1553" s="1078">
        <f t="shared" si="1924"/>
        <v>449.33648731765538</v>
      </c>
      <c r="AL1553" s="1078">
        <f t="shared" si="1924"/>
        <v>587.533583347746</v>
      </c>
      <c r="AM1553" s="1078">
        <f t="shared" si="1924"/>
        <v>714.67221419965017</v>
      </c>
      <c r="AN1553" s="1078">
        <f t="shared" si="1924"/>
        <v>822.14767896695957</v>
      </c>
      <c r="AO1553" s="1078">
        <f t="shared" si="1924"/>
        <v>899.06042771241744</v>
      </c>
      <c r="AP1553" s="1078">
        <f t="shared" si="1924"/>
        <v>1068.3574044787999</v>
      </c>
      <c r="AQ1553" s="1078">
        <f t="shared" si="1924"/>
        <v>1474.0131050157804</v>
      </c>
      <c r="AR1553" s="1078">
        <f t="shared" si="1924"/>
        <v>-413.06164831539337</v>
      </c>
      <c r="AS1553" s="1078">
        <f t="shared" si="1924"/>
        <v>-2562.3875786612734</v>
      </c>
      <c r="AT1553" s="1078">
        <f t="shared" si="1924"/>
        <v>-1281.1937893306372</v>
      </c>
    </row>
    <row r="1554" spans="1:47">
      <c r="D1554" s="1058" t="s">
        <v>3351</v>
      </c>
      <c r="E1554" s="1076"/>
      <c r="F1554" s="1073"/>
      <c r="G1554" s="1073"/>
      <c r="H1554" s="1073"/>
      <c r="I1554" s="1073"/>
      <c r="J1554" s="1062">
        <f t="shared" ref="J1554:V1554" si="1925">+(J1193+K1193+J1202+J1208+J1209+J1210+K1202+K1208+K1209+K1210)/2</f>
        <v>0</v>
      </c>
      <c r="K1554" s="1062">
        <f t="shared" si="1925"/>
        <v>0</v>
      </c>
      <c r="L1554" s="1062">
        <f t="shared" si="1925"/>
        <v>0</v>
      </c>
      <c r="M1554" s="1062">
        <f t="shared" si="1925"/>
        <v>0</v>
      </c>
      <c r="N1554" s="1062">
        <f t="shared" si="1925"/>
        <v>0</v>
      </c>
      <c r="O1554" s="1062">
        <f t="shared" si="1925"/>
        <v>0</v>
      </c>
      <c r="P1554" s="1062">
        <f t="shared" si="1925"/>
        <v>0</v>
      </c>
      <c r="Q1554" s="1062">
        <f t="shared" si="1925"/>
        <v>0</v>
      </c>
      <c r="R1554" s="1062">
        <f t="shared" si="1925"/>
        <v>0</v>
      </c>
      <c r="S1554" s="1062">
        <f t="shared" si="1925"/>
        <v>0</v>
      </c>
      <c r="T1554" s="1062">
        <f t="shared" si="1925"/>
        <v>0</v>
      </c>
      <c r="U1554" s="1062">
        <f t="shared" si="1925"/>
        <v>-9.350365</v>
      </c>
      <c r="V1554" s="1062">
        <f t="shared" si="1925"/>
        <v>-9.9003650000000007</v>
      </c>
      <c r="W1554" s="1062">
        <f>+(W1193+X1193+W1202+W1208+W1209+W1210+X1202+X1208+X1209+X1210)/2</f>
        <v>-55.650000000000006</v>
      </c>
      <c r="X1554" s="1062">
        <f t="shared" ref="X1554:AT1554" si="1926">+(X1193+Y1193+X1202+X1208+X1209+X1210+Y1202+Y1208+Y1209+Y1210)/2</f>
        <v>-42.089095280000009</v>
      </c>
      <c r="Y1554" s="1062">
        <f t="shared" si="1926"/>
        <v>44.851456014999997</v>
      </c>
      <c r="Z1554" s="1062">
        <f t="shared" si="1926"/>
        <v>57.014912131000003</v>
      </c>
      <c r="AA1554" s="1062">
        <f t="shared" si="1926"/>
        <v>38.393427641000002</v>
      </c>
      <c r="AB1554" s="1062">
        <f t="shared" si="1926"/>
        <v>41.724177166499999</v>
      </c>
      <c r="AC1554" s="1062">
        <f t="shared" si="1926"/>
        <v>43.489489227500002</v>
      </c>
      <c r="AD1554" s="1062">
        <f t="shared" si="1926"/>
        <v>66.808160831999999</v>
      </c>
      <c r="AE1554" s="1062">
        <f t="shared" si="1926"/>
        <v>108.7071594355</v>
      </c>
      <c r="AF1554" s="1062">
        <f t="shared" si="1926"/>
        <v>136.34864495299999</v>
      </c>
      <c r="AG1554" s="1062">
        <f t="shared" si="1926"/>
        <v>150.182850797485</v>
      </c>
      <c r="AH1554" s="1062">
        <f t="shared" si="1926"/>
        <v>126.42050547348501</v>
      </c>
      <c r="AI1554" s="1062">
        <f t="shared" si="1926"/>
        <v>133.23637688718583</v>
      </c>
      <c r="AJ1554" s="1062">
        <f t="shared" si="1926"/>
        <v>457.79286807609776</v>
      </c>
      <c r="AK1554" s="1062">
        <f t="shared" si="1926"/>
        <v>687.96351304221935</v>
      </c>
      <c r="AL1554" s="1062">
        <f t="shared" si="1926"/>
        <v>376.82345964053093</v>
      </c>
      <c r="AM1554" s="1062">
        <f t="shared" si="1926"/>
        <v>115.63248568451114</v>
      </c>
      <c r="AN1554" s="1062">
        <f t="shared" si="1926"/>
        <v>78.949794921107525</v>
      </c>
      <c r="AO1554" s="1062">
        <f t="shared" si="1926"/>
        <v>32.436669183319999</v>
      </c>
      <c r="AP1554" s="1062">
        <f t="shared" si="1926"/>
        <v>0</v>
      </c>
      <c r="AQ1554" s="1062">
        <f t="shared" si="1926"/>
        <v>0</v>
      </c>
      <c r="AR1554" s="1062">
        <f t="shared" si="1926"/>
        <v>0</v>
      </c>
      <c r="AS1554" s="1062">
        <f t="shared" si="1926"/>
        <v>0</v>
      </c>
      <c r="AT1554" s="1062">
        <f t="shared" si="1926"/>
        <v>0</v>
      </c>
    </row>
    <row r="1555" spans="1:47">
      <c r="D1555" s="1088" t="s">
        <v>3350</v>
      </c>
      <c r="E1555" s="1076"/>
      <c r="F1555" s="1073"/>
      <c r="G1555" s="1073"/>
      <c r="H1555" s="1073"/>
      <c r="I1555" s="1073"/>
      <c r="J1555" s="1064">
        <f t="shared" ref="J1555:V1555" si="1927">+(J1261+K1261)/2</f>
        <v>0</v>
      </c>
      <c r="K1555" s="1064">
        <f t="shared" si="1927"/>
        <v>0</v>
      </c>
      <c r="L1555" s="1064">
        <f t="shared" si="1927"/>
        <v>0</v>
      </c>
      <c r="M1555" s="1064">
        <f t="shared" si="1927"/>
        <v>0</v>
      </c>
      <c r="N1555" s="1064">
        <f t="shared" si="1927"/>
        <v>0</v>
      </c>
      <c r="O1555" s="1064">
        <f t="shared" si="1927"/>
        <v>0</v>
      </c>
      <c r="P1555" s="1064">
        <f t="shared" si="1927"/>
        <v>0</v>
      </c>
      <c r="Q1555" s="1064">
        <f t="shared" si="1927"/>
        <v>0</v>
      </c>
      <c r="R1555" s="1064">
        <f t="shared" si="1927"/>
        <v>0</v>
      </c>
      <c r="S1555" s="1064">
        <f t="shared" si="1927"/>
        <v>0</v>
      </c>
      <c r="T1555" s="1064">
        <f t="shared" si="1927"/>
        <v>0</v>
      </c>
      <c r="U1555" s="1064">
        <f t="shared" si="1927"/>
        <v>-156.85358371199999</v>
      </c>
      <c r="V1555" s="1064">
        <f t="shared" si="1927"/>
        <v>-291.30358371199998</v>
      </c>
      <c r="W1555" s="1064">
        <f>+(W1261+X1261)/2</f>
        <v>-414.7076289997085</v>
      </c>
      <c r="X1555" s="1064">
        <f t="shared" ref="X1555:AT1555" si="1928">+(X1261+Y1261)/2</f>
        <v>-286.5199030661401</v>
      </c>
      <c r="Y1555" s="1064">
        <f t="shared" si="1928"/>
        <v>22.514264834203004</v>
      </c>
      <c r="Z1555" s="1064">
        <f t="shared" si="1928"/>
        <v>37.36253386138209</v>
      </c>
      <c r="AA1555" s="1064">
        <f t="shared" si="1928"/>
        <v>17.199088091922622</v>
      </c>
      <c r="AB1555" s="1064">
        <f t="shared" si="1928"/>
        <v>26.710605559603952</v>
      </c>
      <c r="AC1555" s="1064">
        <f t="shared" si="1928"/>
        <v>3.6645779853016798</v>
      </c>
      <c r="AD1555" s="1996">
        <f t="shared" si="1928"/>
        <v>-15.666313007744865</v>
      </c>
      <c r="AE1555" s="1064">
        <f t="shared" si="1928"/>
        <v>-12.340892165333567</v>
      </c>
      <c r="AF1555" s="1996">
        <f t="shared" si="1928"/>
        <v>-29.610642855605459</v>
      </c>
      <c r="AG1555" s="1996">
        <f t="shared" si="1928"/>
        <v>-28.599436448175197</v>
      </c>
      <c r="AH1555" s="1996">
        <f t="shared" si="1928"/>
        <v>31.606605694375048</v>
      </c>
      <c r="AI1555" s="1996">
        <f t="shared" si="1928"/>
        <v>41.702912887660659</v>
      </c>
      <c r="AJ1555" s="2244">
        <f t="shared" si="1928"/>
        <v>0</v>
      </c>
      <c r="AK1555" s="2244">
        <f t="shared" si="1928"/>
        <v>0</v>
      </c>
      <c r="AL1555" s="2244">
        <f t="shared" si="1928"/>
        <v>0</v>
      </c>
      <c r="AM1555" s="2244">
        <f t="shared" si="1928"/>
        <v>0</v>
      </c>
      <c r="AN1555" s="2244">
        <f t="shared" si="1928"/>
        <v>0</v>
      </c>
      <c r="AO1555" s="2244">
        <f t="shared" si="1928"/>
        <v>0</v>
      </c>
      <c r="AP1555" s="2244">
        <f t="shared" si="1928"/>
        <v>0</v>
      </c>
      <c r="AQ1555" s="2244">
        <f t="shared" si="1928"/>
        <v>0</v>
      </c>
      <c r="AR1555" s="2244">
        <f t="shared" si="1928"/>
        <v>0</v>
      </c>
      <c r="AS1555" s="2244">
        <f t="shared" si="1928"/>
        <v>0</v>
      </c>
      <c r="AT1555" s="2244">
        <f t="shared" si="1928"/>
        <v>0</v>
      </c>
    </row>
    <row r="1556" spans="1:47">
      <c r="D1556" s="1088" t="s">
        <v>3352</v>
      </c>
      <c r="E1556" s="1076"/>
      <c r="F1556" s="1073"/>
      <c r="G1556" s="1073"/>
      <c r="H1556" s="1073"/>
      <c r="I1556" s="1073"/>
      <c r="J1556" s="1062"/>
      <c r="K1556" s="1062"/>
      <c r="L1556" s="1062"/>
      <c r="M1556" s="1062"/>
      <c r="N1556" s="1062"/>
      <c r="O1556" s="1062"/>
      <c r="P1556" s="1062"/>
      <c r="Q1556" s="1062"/>
      <c r="R1556" s="1062"/>
      <c r="S1556" s="1062"/>
      <c r="T1556" s="1062"/>
      <c r="U1556" s="1063">
        <f>(U989-U1076-U1133+V989-V1076-V1133)/2</f>
        <v>-515.0278350000001</v>
      </c>
      <c r="V1556" s="1063">
        <f>(V989-V1076-V1133+W989-W1076-W1133)/2</f>
        <v>-761.127835</v>
      </c>
      <c r="W1556" s="1063">
        <f>(W1159+X1159)/2</f>
        <v>-300.69684719850005</v>
      </c>
      <c r="X1556" s="1063">
        <f t="shared" ref="X1556:AT1556" si="1929">(X1159+Y1159)/2</f>
        <v>-654.69064624613475</v>
      </c>
      <c r="Y1556" s="1063">
        <f t="shared" si="1929"/>
        <v>-696.10378446489835</v>
      </c>
      <c r="Z1556" s="1063">
        <f t="shared" si="1929"/>
        <v>-665.49945782865234</v>
      </c>
      <c r="AA1556" s="1063">
        <f t="shared" si="1929"/>
        <v>-658.98017780189161</v>
      </c>
      <c r="AB1556" s="1063">
        <f t="shared" si="1929"/>
        <v>-692.18937089436008</v>
      </c>
      <c r="AC1556" s="1063">
        <f t="shared" si="1929"/>
        <v>-827.21516683328832</v>
      </c>
      <c r="AD1556" s="1063">
        <f t="shared" si="1929"/>
        <v>-1106.7891489825511</v>
      </c>
      <c r="AE1556" s="1063">
        <f t="shared" si="1929"/>
        <v>-1361.6114073204242</v>
      </c>
      <c r="AF1556" s="1063">
        <f t="shared" si="1929"/>
        <v>-1695.444391253202</v>
      </c>
      <c r="AG1556" s="1063">
        <f t="shared" si="1929"/>
        <v>-1884.1526696501201</v>
      </c>
      <c r="AH1556" s="1063">
        <f t="shared" si="1929"/>
        <v>-1907.1482250529548</v>
      </c>
      <c r="AI1556" s="1063">
        <f t="shared" si="1929"/>
        <v>-1852.8020246345623</v>
      </c>
      <c r="AJ1556" s="1063">
        <f t="shared" si="1929"/>
        <v>-1988.0119198765551</v>
      </c>
      <c r="AK1556" s="1063">
        <f t="shared" si="1929"/>
        <v>-2154.7512636283736</v>
      </c>
      <c r="AL1556" s="1063">
        <f t="shared" si="1929"/>
        <v>-1909.5959105677853</v>
      </c>
      <c r="AM1556" s="1063">
        <f t="shared" si="1929"/>
        <v>-1804.9716883200322</v>
      </c>
      <c r="AN1556" s="1063">
        <f t="shared" si="1929"/>
        <v>-1941.8449646980894</v>
      </c>
      <c r="AO1556" s="1063">
        <f t="shared" si="1929"/>
        <v>-1824.9627212084083</v>
      </c>
      <c r="AP1556" s="1063">
        <f t="shared" si="1929"/>
        <v>-1599.5055838867224</v>
      </c>
      <c r="AQ1556" s="1063">
        <f t="shared" si="1929"/>
        <v>-1703.43048904739</v>
      </c>
      <c r="AR1556" s="1063">
        <f t="shared" si="1929"/>
        <v>-8426.2947356785116</v>
      </c>
      <c r="AS1556" s="1063">
        <f t="shared" si="1929"/>
        <v>-25210.693366215797</v>
      </c>
      <c r="AT1556" s="1063">
        <f t="shared" si="1929"/>
        <v>-17693.357251358168</v>
      </c>
    </row>
    <row r="1557" spans="1:47">
      <c r="D1557" s="1080" t="s">
        <v>620</v>
      </c>
      <c r="E1557" s="1076"/>
      <c r="F1557" s="1073"/>
      <c r="G1557" s="1073"/>
      <c r="H1557" s="1073"/>
      <c r="I1557" s="1073"/>
      <c r="J1557" s="1064">
        <f t="shared" ref="J1557:AT1557" si="1930">+(J1039+K1039)/2</f>
        <v>0</v>
      </c>
      <c r="K1557" s="1064">
        <f t="shared" si="1930"/>
        <v>0</v>
      </c>
      <c r="L1557" s="1064">
        <f t="shared" si="1930"/>
        <v>0</v>
      </c>
      <c r="M1557" s="1064">
        <f t="shared" si="1930"/>
        <v>0</v>
      </c>
      <c r="N1557" s="1064">
        <f t="shared" si="1930"/>
        <v>0</v>
      </c>
      <c r="O1557" s="1064">
        <f t="shared" si="1930"/>
        <v>0</v>
      </c>
      <c r="P1557" s="1064">
        <f t="shared" si="1930"/>
        <v>0</v>
      </c>
      <c r="Q1557" s="1064">
        <f t="shared" si="1930"/>
        <v>0</v>
      </c>
      <c r="R1557" s="1064">
        <f t="shared" si="1930"/>
        <v>0</v>
      </c>
      <c r="S1557" s="1064">
        <f t="shared" si="1930"/>
        <v>0</v>
      </c>
      <c r="T1557" s="1064">
        <f t="shared" si="1930"/>
        <v>0</v>
      </c>
      <c r="U1557" s="1064">
        <f t="shared" si="1930"/>
        <v>189.5128849175</v>
      </c>
      <c r="V1557" s="1064">
        <f t="shared" si="1930"/>
        <v>418.21288491749999</v>
      </c>
      <c r="W1557" s="1064">
        <f t="shared" si="1930"/>
        <v>411.15</v>
      </c>
      <c r="X1557" s="1064">
        <f t="shared" si="1930"/>
        <v>419.60832861131007</v>
      </c>
      <c r="Y1557" s="1064">
        <f t="shared" si="1930"/>
        <v>445.12203210895984</v>
      </c>
      <c r="Z1557" s="1064">
        <f t="shared" si="1930"/>
        <v>394.82050639442446</v>
      </c>
      <c r="AA1557" s="1064">
        <f t="shared" si="1930"/>
        <v>351.94784487003398</v>
      </c>
      <c r="AB1557" s="1064">
        <f t="shared" si="1930"/>
        <v>344.54538040761452</v>
      </c>
      <c r="AC1557" s="1064">
        <f t="shared" si="1930"/>
        <v>376.82936736246313</v>
      </c>
      <c r="AD1557" s="1064">
        <f t="shared" si="1930"/>
        <v>416.15423125004162</v>
      </c>
      <c r="AE1557" s="1064">
        <f t="shared" si="1930"/>
        <v>499.32328622247485</v>
      </c>
      <c r="AF1557" s="1064">
        <f t="shared" si="1930"/>
        <v>692.63626361368176</v>
      </c>
      <c r="AG1557" s="1064">
        <f t="shared" si="1930"/>
        <v>767.74580259061668</v>
      </c>
      <c r="AH1557" s="1064">
        <f t="shared" si="1930"/>
        <v>734.54932764329203</v>
      </c>
      <c r="AI1557" s="1064">
        <f t="shared" si="1930"/>
        <v>691.78007438287261</v>
      </c>
      <c r="AJ1557" s="1064">
        <f t="shared" si="1930"/>
        <v>605.49187379271643</v>
      </c>
      <c r="AK1557" s="1064">
        <f t="shared" si="1930"/>
        <v>622.64081607136814</v>
      </c>
      <c r="AL1557" s="1064">
        <f t="shared" si="1930"/>
        <v>699.91849858344517</v>
      </c>
      <c r="AM1557" s="1064">
        <f t="shared" si="1930"/>
        <v>767.04721220141664</v>
      </c>
      <c r="AN1557" s="1064">
        <f t="shared" si="1930"/>
        <v>829.6451454412437</v>
      </c>
      <c r="AO1557" s="1064">
        <f t="shared" si="1930"/>
        <v>610.40214365440647</v>
      </c>
      <c r="AP1557" s="1064">
        <f t="shared" si="1930"/>
        <v>369.00421103782196</v>
      </c>
      <c r="AQ1557" s="1064">
        <f t="shared" si="1930"/>
        <v>392.87531346338238</v>
      </c>
      <c r="AR1557" s="1064">
        <f t="shared" si="1930"/>
        <v>415.11100547021687</v>
      </c>
      <c r="AS1557" s="1064">
        <f t="shared" si="1930"/>
        <v>436.55114800117826</v>
      </c>
      <c r="AT1557" s="1064">
        <f t="shared" si="1930"/>
        <v>223.23026868336444</v>
      </c>
    </row>
    <row r="1558" spans="1:47">
      <c r="D1558" s="1080" t="s">
        <v>1133</v>
      </c>
      <c r="E1558" s="1076"/>
      <c r="F1558" s="1073"/>
      <c r="G1558" s="1073"/>
      <c r="H1558" s="1073"/>
      <c r="I1558" s="1073"/>
      <c r="J1558" s="1064">
        <f t="shared" ref="J1558:V1558" si="1931">(J1239+K1239-J1211-K1211)/2</f>
        <v>0</v>
      </c>
      <c r="K1558" s="1064">
        <f t="shared" si="1931"/>
        <v>0</v>
      </c>
      <c r="L1558" s="1064">
        <f t="shared" si="1931"/>
        <v>0</v>
      </c>
      <c r="M1558" s="1064">
        <f t="shared" si="1931"/>
        <v>0</v>
      </c>
      <c r="N1558" s="1064">
        <f t="shared" si="1931"/>
        <v>0</v>
      </c>
      <c r="O1558" s="1064">
        <f t="shared" si="1931"/>
        <v>0</v>
      </c>
      <c r="P1558" s="1064">
        <f t="shared" si="1931"/>
        <v>0</v>
      </c>
      <c r="Q1558" s="1064">
        <f t="shared" si="1931"/>
        <v>0</v>
      </c>
      <c r="R1558" s="1064">
        <f t="shared" si="1931"/>
        <v>0</v>
      </c>
      <c r="S1558" s="1064">
        <f t="shared" si="1931"/>
        <v>0</v>
      </c>
      <c r="T1558" s="1064">
        <f t="shared" si="1931"/>
        <v>0</v>
      </c>
      <c r="U1558" s="1064">
        <f t="shared" si="1931"/>
        <v>34.265606365499998</v>
      </c>
      <c r="V1558" s="1064">
        <f t="shared" si="1931"/>
        <v>81.765606365499991</v>
      </c>
      <c r="W1558" s="1064">
        <f>(W1239+X1239-W1211-X1211)/2</f>
        <v>47.85</v>
      </c>
      <c r="X1558" s="1064">
        <f t="shared" ref="X1558:AT1558" si="1932">(X1239+Y1239-X1211-Y1211)/2</f>
        <v>52.928457686369185</v>
      </c>
      <c r="Y1558" s="1064">
        <f t="shared" si="1932"/>
        <v>146.67174708948528</v>
      </c>
      <c r="Z1558" s="1064">
        <f t="shared" si="1932"/>
        <v>206.2973532329608</v>
      </c>
      <c r="AA1558" s="1064">
        <f t="shared" si="1932"/>
        <v>273.69853102553031</v>
      </c>
      <c r="AB1558" s="1064">
        <f t="shared" si="1932"/>
        <v>339.50903263429888</v>
      </c>
      <c r="AC1558" s="1064">
        <f t="shared" si="1932"/>
        <v>402.17054876048496</v>
      </c>
      <c r="AD1558" s="1064">
        <f t="shared" si="1932"/>
        <v>701.16582911092121</v>
      </c>
      <c r="AE1558" s="1064">
        <f t="shared" si="1932"/>
        <v>805.64606585379283</v>
      </c>
      <c r="AF1558" s="1064">
        <f t="shared" si="1932"/>
        <v>767.53841017194009</v>
      </c>
      <c r="AG1558" s="1064">
        <f t="shared" si="1932"/>
        <v>877.2136639744939</v>
      </c>
      <c r="AH1558" s="1064">
        <f t="shared" si="1932"/>
        <v>1091.9185505599953</v>
      </c>
      <c r="AI1558" s="1064">
        <f t="shared" si="1932"/>
        <v>1295.9188284250756</v>
      </c>
      <c r="AJ1558" s="1064">
        <f t="shared" si="1932"/>
        <v>1548.205457935268</v>
      </c>
      <c r="AK1558" s="1064">
        <f t="shared" si="1932"/>
        <v>1722.2266026390917</v>
      </c>
      <c r="AL1558" s="1064">
        <f t="shared" si="1932"/>
        <v>1306.3513910702195</v>
      </c>
      <c r="AM1558" s="1064">
        <f t="shared" si="1932"/>
        <v>875.86505218975708</v>
      </c>
      <c r="AN1558" s="1064">
        <f t="shared" si="1932"/>
        <v>552.0934712555204</v>
      </c>
      <c r="AO1558" s="1064">
        <f t="shared" si="1932"/>
        <v>429.69167304349196</v>
      </c>
      <c r="AP1558" s="1064">
        <f t="shared" si="1932"/>
        <v>-488.49545945941691</v>
      </c>
      <c r="AQ1558" s="1064">
        <f t="shared" si="1932"/>
        <v>-1028.8132191899892</v>
      </c>
      <c r="AR1558" s="1064">
        <f t="shared" si="1932"/>
        <v>-638.38568029381452</v>
      </c>
      <c r="AS1558" s="1064">
        <f t="shared" si="1932"/>
        <v>-738.99854188013614</v>
      </c>
      <c r="AT1558" s="1064">
        <f t="shared" si="1932"/>
        <v>-377.48586197318332</v>
      </c>
    </row>
    <row r="1559" spans="1:47">
      <c r="D1559" s="1080" t="s">
        <v>873</v>
      </c>
      <c r="E1559" s="1076"/>
      <c r="F1559" s="1073"/>
      <c r="G1559" s="1073"/>
      <c r="H1559" s="1073"/>
      <c r="I1559" s="1073"/>
      <c r="J1559" s="1064">
        <f t="shared" ref="J1559:T1559" si="1933">+(J1174+J1174+K1214+K1214)/2</f>
        <v>0</v>
      </c>
      <c r="K1559" s="1064">
        <f t="shared" si="1933"/>
        <v>0</v>
      </c>
      <c r="L1559" s="1064">
        <f t="shared" si="1933"/>
        <v>0</v>
      </c>
      <c r="M1559" s="1064">
        <f t="shared" si="1933"/>
        <v>0</v>
      </c>
      <c r="N1559" s="1064">
        <f t="shared" si="1933"/>
        <v>0</v>
      </c>
      <c r="O1559" s="1064">
        <f t="shared" si="1933"/>
        <v>0</v>
      </c>
      <c r="P1559" s="1064">
        <f t="shared" si="1933"/>
        <v>0</v>
      </c>
      <c r="Q1559" s="1064">
        <f t="shared" si="1933"/>
        <v>0</v>
      </c>
      <c r="R1559" s="1064">
        <f t="shared" si="1933"/>
        <v>0</v>
      </c>
      <c r="S1559" s="1064">
        <f t="shared" si="1933"/>
        <v>0</v>
      </c>
      <c r="T1559" s="1064">
        <f t="shared" si="1933"/>
        <v>0</v>
      </c>
      <c r="U1559" s="1064">
        <f>+(U1174+V1174-(U1214+V1214))/2</f>
        <v>0</v>
      </c>
      <c r="V1559" s="1064">
        <f>+(V1174+W1174-(V1214+W1214))/2</f>
        <v>26.550000000000011</v>
      </c>
      <c r="W1559" s="1064">
        <f>(-(W1176+X1176)+(W1213+X1213))/2-W1558</f>
        <v>-190.96078180120847</v>
      </c>
      <c r="X1559" s="1064">
        <f t="shared" ref="X1559:AT1559" si="1934">(-(X1176+Y1176)+(X1213+Y1213))/2-X1558</f>
        <v>-105.86604311768465</v>
      </c>
      <c r="Y1559" s="1064">
        <f t="shared" si="1934"/>
        <v>126.82427010065635</v>
      </c>
      <c r="Z1559" s="1064">
        <f t="shared" si="1934"/>
        <v>101.74413206264899</v>
      </c>
      <c r="AA1559" s="1064">
        <f t="shared" si="1934"/>
        <v>46.14336751824959</v>
      </c>
      <c r="AB1559" s="1064">
        <f t="shared" si="1934"/>
        <v>35.26871985405063</v>
      </c>
      <c r="AC1559" s="1064">
        <f t="shared" si="1934"/>
        <v>56.69250761764215</v>
      </c>
      <c r="AD1559" s="1064">
        <f t="shared" si="1934"/>
        <v>-16.132982323775877</v>
      </c>
      <c r="AE1559" s="1064">
        <f t="shared" si="1934"/>
        <v>54.365405141203382</v>
      </c>
      <c r="AF1559" s="1064">
        <f t="shared" si="1934"/>
        <v>188.01357201228075</v>
      </c>
      <c r="AG1559" s="1064">
        <f t="shared" si="1934"/>
        <v>158.89110165013028</v>
      </c>
      <c r="AH1559" s="1064">
        <f t="shared" si="1934"/>
        <v>78.229790157032312</v>
      </c>
      <c r="AI1559" s="1064">
        <f t="shared" si="1934"/>
        <v>-93.193965285725653</v>
      </c>
      <c r="AJ1559" s="1064">
        <f t="shared" si="1934"/>
        <v>-165.68541185142931</v>
      </c>
      <c r="AK1559" s="1064">
        <f t="shared" si="1934"/>
        <v>-190.11615508208615</v>
      </c>
      <c r="AL1559" s="1064">
        <f t="shared" si="1934"/>
        <v>-96.673979085879409</v>
      </c>
      <c r="AM1559" s="1064">
        <f t="shared" si="1934"/>
        <v>162.05942392885845</v>
      </c>
      <c r="AN1559" s="1064">
        <f t="shared" si="1934"/>
        <v>560.10634800132516</v>
      </c>
      <c r="AO1559" s="1064">
        <f t="shared" si="1934"/>
        <v>784.86890451050965</v>
      </c>
      <c r="AP1559" s="1064">
        <f t="shared" si="1934"/>
        <v>1718.9968323083172</v>
      </c>
      <c r="AQ1559" s="1064">
        <f t="shared" si="1934"/>
        <v>2339.3683947739969</v>
      </c>
      <c r="AR1559" s="1064">
        <f t="shared" si="1934"/>
        <v>8649.5694105021084</v>
      </c>
      <c r="AS1559" s="1064">
        <f t="shared" si="1934"/>
        <v>25513.140760094753</v>
      </c>
      <c r="AT1559" s="1064">
        <f t="shared" si="1934"/>
        <v>17847.612844647985</v>
      </c>
    </row>
    <row r="1560" spans="1:47">
      <c r="D1560" s="1081" t="s">
        <v>101</v>
      </c>
      <c r="E1560" s="140"/>
      <c r="F1560" s="263"/>
      <c r="G1560" s="263"/>
      <c r="H1560" s="263"/>
      <c r="I1560" s="263"/>
      <c r="J1560" s="1057" t="str">
        <f t="shared" ref="J1560:AB1560" si="1935">+IF(ABS(J1556+J1557+J1558+J1559)&gt;0.1,(J1556+J1557+J1558+J1559),"")</f>
        <v/>
      </c>
      <c r="K1560" s="1057" t="str">
        <f t="shared" si="1935"/>
        <v/>
      </c>
      <c r="L1560" s="1057" t="str">
        <f t="shared" si="1935"/>
        <v/>
      </c>
      <c r="M1560" s="1057" t="str">
        <f t="shared" si="1935"/>
        <v/>
      </c>
      <c r="N1560" s="1057" t="str">
        <f t="shared" si="1935"/>
        <v/>
      </c>
      <c r="O1560" s="1057" t="str">
        <f t="shared" si="1935"/>
        <v/>
      </c>
      <c r="P1560" s="1057" t="str">
        <f t="shared" si="1935"/>
        <v/>
      </c>
      <c r="Q1560" s="1057" t="str">
        <f t="shared" si="1935"/>
        <v/>
      </c>
      <c r="R1560" s="1057" t="str">
        <f t="shared" si="1935"/>
        <v/>
      </c>
      <c r="S1560" s="1057" t="str">
        <f t="shared" si="1935"/>
        <v/>
      </c>
      <c r="T1560" s="1057" t="str">
        <f t="shared" si="1935"/>
        <v/>
      </c>
      <c r="U1560" s="1057">
        <f t="shared" si="1935"/>
        <v>-291.2493437170001</v>
      </c>
      <c r="V1560" s="1057">
        <f t="shared" si="1935"/>
        <v>-234.59934371700001</v>
      </c>
      <c r="W1560" s="1057">
        <f t="shared" si="1935"/>
        <v>-32.65762899970855</v>
      </c>
      <c r="X1560" s="1057">
        <f>+IF(ABS(X1556+X1557+X1558+X1559)&gt;0.1,(X1556+X1557+X1558+X1559),"")</f>
        <v>-288.01990306614016</v>
      </c>
      <c r="Y1560" s="1057">
        <f t="shared" si="1935"/>
        <v>22.514264834203118</v>
      </c>
      <c r="Z1560" s="1057">
        <f t="shared" si="1935"/>
        <v>37.362533861381905</v>
      </c>
      <c r="AA1560" s="1057">
        <f t="shared" si="1935"/>
        <v>12.809565611922267</v>
      </c>
      <c r="AB1560" s="1057">
        <f t="shared" si="1935"/>
        <v>27.133762001603941</v>
      </c>
      <c r="AC1560" s="1057">
        <f t="shared" ref="AC1560:AL1560" si="1936">+IF(ABS(AC1556+AC1557+AC1558+AC1559)&gt;0.1,(AC1556+AC1557+AC1558+AC1559),"")</f>
        <v>8.4772569073019213</v>
      </c>
      <c r="AD1560" s="1057">
        <f t="shared" si="1936"/>
        <v>-5.602070945364062</v>
      </c>
      <c r="AE1560" s="1057">
        <f t="shared" si="1936"/>
        <v>-2.2766501029531128</v>
      </c>
      <c r="AF1560" s="1057">
        <f>+IF(ABS(AF1556+AF1557+AF1558+AF1559)&gt;0.1,(AF1556+AF1557+AF1558+AF1559),"")</f>
        <v>-47.256145455299361</v>
      </c>
      <c r="AG1560" s="1057">
        <f t="shared" si="1936"/>
        <v>-80.302101434879205</v>
      </c>
      <c r="AH1560" s="1057">
        <f t="shared" si="1936"/>
        <v>-2.4505566926350184</v>
      </c>
      <c r="AI1560" s="1057">
        <f t="shared" si="1936"/>
        <v>41.702912887660204</v>
      </c>
      <c r="AJ1560" s="1057" t="str">
        <f t="shared" si="1936"/>
        <v/>
      </c>
      <c r="AK1560" s="1057" t="str">
        <f t="shared" si="1936"/>
        <v/>
      </c>
      <c r="AL1560" s="1057" t="str">
        <f t="shared" si="1936"/>
        <v/>
      </c>
      <c r="AM1560" s="1057" t="str">
        <f>+IF(ABS(AM1556+AM1557+AM1558+AM1559)&gt;0.1,(AM1556+AM1557+AM1558+AM1559),"")</f>
        <v/>
      </c>
      <c r="AN1560" s="1057" t="str">
        <f>+IF(ABS(AN1556+AN1557+AN1558+AN1559)&gt;0.1,(AN1556+AN1557+AN1558+AN1559),"")</f>
        <v/>
      </c>
      <c r="AO1560" s="1057" t="str">
        <f t="shared" ref="AO1560:AT1560" si="1937">+IF(ABS(AO1556+AO1557+AO1558+AO1559)&gt;0.1,(AO1556+AO1557+AO1558+AO1559),"")</f>
        <v/>
      </c>
      <c r="AP1560" s="1057" t="str">
        <f t="shared" si="1937"/>
        <v/>
      </c>
      <c r="AQ1560" s="1057" t="str">
        <f t="shared" si="1937"/>
        <v/>
      </c>
      <c r="AR1560" s="1057" t="str">
        <f t="shared" si="1937"/>
        <v/>
      </c>
      <c r="AS1560" s="1057" t="str">
        <f t="shared" si="1937"/>
        <v/>
      </c>
      <c r="AT1560" s="1057" t="str">
        <f t="shared" si="1937"/>
        <v/>
      </c>
    </row>
    <row r="1561" spans="1:47">
      <c r="D1561" s="1058" t="s">
        <v>1159</v>
      </c>
      <c r="E1561" s="1055" t="s">
        <v>214</v>
      </c>
      <c r="F1561" s="1056"/>
      <c r="G1561" s="1056"/>
      <c r="H1561" s="1056"/>
      <c r="I1561" s="1056"/>
      <c r="J1561" s="1082">
        <f t="shared" ref="J1561:AS1561" si="1938">+(J1003+K1003)/2</f>
        <v>0</v>
      </c>
      <c r="K1561" s="1082">
        <f t="shared" si="1938"/>
        <v>0</v>
      </c>
      <c r="L1561" s="1082">
        <f t="shared" si="1938"/>
        <v>0</v>
      </c>
      <c r="M1561" s="1082">
        <f t="shared" si="1938"/>
        <v>0</v>
      </c>
      <c r="N1561" s="1082">
        <f t="shared" si="1938"/>
        <v>0</v>
      </c>
      <c r="O1561" s="1082">
        <f t="shared" si="1938"/>
        <v>0</v>
      </c>
      <c r="P1561" s="1082">
        <f t="shared" si="1938"/>
        <v>0</v>
      </c>
      <c r="Q1561" s="1082">
        <f t="shared" si="1938"/>
        <v>0</v>
      </c>
      <c r="R1561" s="1082">
        <f t="shared" si="1938"/>
        <v>0</v>
      </c>
      <c r="S1561" s="1082">
        <f t="shared" si="1938"/>
        <v>0</v>
      </c>
      <c r="T1561" s="1082">
        <f t="shared" si="1938"/>
        <v>0</v>
      </c>
      <c r="U1561" s="1082">
        <f t="shared" si="1938"/>
        <v>0</v>
      </c>
      <c r="V1561" s="1082">
        <f t="shared" si="1938"/>
        <v>0</v>
      </c>
      <c r="W1561" s="1082">
        <f t="shared" si="1938"/>
        <v>0</v>
      </c>
      <c r="X1561" s="1082">
        <f t="shared" si="1938"/>
        <v>191.4444231416</v>
      </c>
      <c r="Y1561" s="1082">
        <f t="shared" si="1938"/>
        <v>402.72452520299998</v>
      </c>
      <c r="Z1561" s="1082">
        <f t="shared" si="1938"/>
        <v>469.66459039125237</v>
      </c>
      <c r="AA1561" s="1082">
        <f t="shared" si="1938"/>
        <v>523.3978191671581</v>
      </c>
      <c r="AB1561" s="1082">
        <f t="shared" si="1938"/>
        <v>567.58441466575471</v>
      </c>
      <c r="AC1561" s="1082">
        <f t="shared" si="1938"/>
        <v>640.58640198878766</v>
      </c>
      <c r="AD1561" s="1082">
        <f t="shared" si="1938"/>
        <v>694.11972225087879</v>
      </c>
      <c r="AE1561" s="1082">
        <f t="shared" si="1938"/>
        <v>744.07951410111423</v>
      </c>
      <c r="AF1561" s="1082">
        <f t="shared" si="1938"/>
        <v>824.51995606879802</v>
      </c>
      <c r="AG1561" s="1082">
        <f t="shared" si="1938"/>
        <v>951.75634546921151</v>
      </c>
      <c r="AH1561" s="1082">
        <f t="shared" si="1938"/>
        <v>1110.0923652781835</v>
      </c>
      <c r="AI1561" s="1082">
        <f t="shared" si="1938"/>
        <v>1329.1174944349223</v>
      </c>
      <c r="AJ1561" s="1082">
        <f t="shared" si="1938"/>
        <v>1639.5855011443059</v>
      </c>
      <c r="AK1561" s="1082">
        <f t="shared" si="1938"/>
        <v>1991.589638631599</v>
      </c>
      <c r="AL1561" s="1082">
        <f t="shared" si="1938"/>
        <v>2344.7905606674167</v>
      </c>
      <c r="AM1561" s="1082">
        <f t="shared" si="1938"/>
        <v>2698.2829855690852</v>
      </c>
      <c r="AN1561" s="1082">
        <f t="shared" si="1938"/>
        <v>3054.872295735006</v>
      </c>
      <c r="AO1561" s="1082">
        <f t="shared" si="1938"/>
        <v>3336.6947912041351</v>
      </c>
      <c r="AP1561" s="1082">
        <f t="shared" si="1938"/>
        <v>3542.577971133996</v>
      </c>
      <c r="AQ1561" s="1082">
        <f t="shared" si="1938"/>
        <v>3946.6619070101988</v>
      </c>
      <c r="AR1561" s="1082">
        <f t="shared" si="1938"/>
        <v>-4698.7730035082031</v>
      </c>
      <c r="AS1561" s="1082">
        <f t="shared" si="1938"/>
        <v>-19612.672347335756</v>
      </c>
      <c r="AT1561" s="1082" t="e">
        <f>+(AT1003+#REF!)/2</f>
        <v>#REF!</v>
      </c>
    </row>
    <row r="1562" spans="1:47">
      <c r="D1562" s="1070" t="s">
        <v>3472</v>
      </c>
      <c r="E1562" s="153">
        <v>0.25</v>
      </c>
      <c r="F1562" s="80"/>
      <c r="G1562" s="80"/>
      <c r="H1562" s="80"/>
      <c r="I1562" s="80"/>
      <c r="J1562" s="157">
        <f t="shared" ref="J1562:M1563" si="1939">+(J682+K682)/2</f>
        <v>0</v>
      </c>
      <c r="K1562" s="157">
        <f t="shared" si="1939"/>
        <v>0</v>
      </c>
      <c r="L1562" s="157">
        <f t="shared" si="1939"/>
        <v>0</v>
      </c>
      <c r="M1562" s="157">
        <f t="shared" si="1939"/>
        <v>0</v>
      </c>
      <c r="N1562" s="1083">
        <f t="shared" ref="N1562:AT1562" si="1940">+(N465+O465)/2</f>
        <v>0</v>
      </c>
      <c r="O1562" s="1083">
        <f t="shared" si="1940"/>
        <v>12.979217166750002</v>
      </c>
      <c r="P1562" s="1083">
        <f t="shared" si="1940"/>
        <v>26.750090798150001</v>
      </c>
      <c r="Q1562" s="1083">
        <f t="shared" si="1940"/>
        <v>30.591239663750002</v>
      </c>
      <c r="R1562" s="1083">
        <f t="shared" si="1940"/>
        <v>37.722625608205078</v>
      </c>
      <c r="S1562" s="1083">
        <f t="shared" si="1940"/>
        <v>49.373375643235534</v>
      </c>
      <c r="T1562" s="1083">
        <f t="shared" si="1940"/>
        <v>54.32468341563046</v>
      </c>
      <c r="U1562" s="1083">
        <f t="shared" si="1940"/>
        <v>52.046019991350001</v>
      </c>
      <c r="V1562" s="1083">
        <f t="shared" si="1940"/>
        <v>60.605649277650002</v>
      </c>
      <c r="W1562" s="1083">
        <f t="shared" si="1940"/>
        <v>72.328798574100006</v>
      </c>
      <c r="X1562" s="1083">
        <f t="shared" si="1940"/>
        <v>83.193997567949992</v>
      </c>
      <c r="Y1562" s="1083">
        <f t="shared" si="1940"/>
        <v>95.16374118089999</v>
      </c>
      <c r="Z1562" s="1083">
        <f t="shared" si="1940"/>
        <v>104.43237545124833</v>
      </c>
      <c r="AA1562" s="1083">
        <f t="shared" si="1940"/>
        <v>116.58140742254835</v>
      </c>
      <c r="AB1562" s="1083">
        <f t="shared" si="1940"/>
        <v>127.43301091639999</v>
      </c>
      <c r="AC1562" s="1083">
        <f t="shared" si="1940"/>
        <v>140.82299477163997</v>
      </c>
      <c r="AD1562" s="1083">
        <f t="shared" si="1940"/>
        <v>150.23365618613997</v>
      </c>
      <c r="AE1562" s="1083">
        <f t="shared" si="1940"/>
        <v>156.71527720769998</v>
      </c>
      <c r="AF1562" s="1083">
        <f t="shared" si="1940"/>
        <v>174.39046495552915</v>
      </c>
      <c r="AG1562" s="1083">
        <f t="shared" si="1940"/>
        <v>202.86238751335409</v>
      </c>
      <c r="AH1562" s="1083">
        <f t="shared" si="1940"/>
        <v>235.43115397576895</v>
      </c>
      <c r="AI1562" s="1083">
        <f t="shared" si="1940"/>
        <v>267.06064628615059</v>
      </c>
      <c r="AJ1562" s="1083">
        <f t="shared" si="1940"/>
        <v>308.30783820012687</v>
      </c>
      <c r="AK1562" s="1083">
        <f t="shared" si="1940"/>
        <v>355.10088186264056</v>
      </c>
      <c r="AL1562" s="1083">
        <f t="shared" si="1940"/>
        <v>188.80044093132028</v>
      </c>
      <c r="AM1562" s="1083">
        <f t="shared" si="1940"/>
        <v>0</v>
      </c>
      <c r="AN1562" s="1083">
        <f t="shared" si="1940"/>
        <v>0</v>
      </c>
      <c r="AO1562" s="1083">
        <f t="shared" si="1940"/>
        <v>0.5</v>
      </c>
      <c r="AP1562" s="1083">
        <f t="shared" si="1940"/>
        <v>1.5</v>
      </c>
      <c r="AQ1562" s="1083">
        <f t="shared" si="1940"/>
        <v>2.5</v>
      </c>
      <c r="AR1562" s="1083">
        <f t="shared" si="1940"/>
        <v>3.5</v>
      </c>
      <c r="AS1562" s="1083">
        <f t="shared" si="1940"/>
        <v>4.5</v>
      </c>
      <c r="AT1562" s="1083">
        <f t="shared" si="1940"/>
        <v>2.5</v>
      </c>
    </row>
    <row r="1563" spans="1:47">
      <c r="D1563" s="1929" t="s">
        <v>3473</v>
      </c>
      <c r="E1563" s="153">
        <v>0.1</v>
      </c>
      <c r="F1563" s="80"/>
      <c r="G1563" s="80"/>
      <c r="H1563" s="80"/>
      <c r="I1563" s="80"/>
      <c r="J1563" s="157">
        <f t="shared" si="1939"/>
        <v>0</v>
      </c>
      <c r="K1563" s="157">
        <f t="shared" si="1939"/>
        <v>0</v>
      </c>
      <c r="L1563" s="157">
        <f t="shared" si="1939"/>
        <v>0</v>
      </c>
      <c r="M1563" s="157">
        <f t="shared" si="1939"/>
        <v>0</v>
      </c>
      <c r="N1563" s="1634">
        <f t="shared" ref="N1563:U1563" si="1941">+(N466+O466)/2</f>
        <v>0</v>
      </c>
      <c r="O1563" s="1634">
        <f t="shared" si="1941"/>
        <v>3.8167472029999998</v>
      </c>
      <c r="P1563" s="1634">
        <f t="shared" si="1941"/>
        <v>8.2332601524999998</v>
      </c>
      <c r="Q1563" s="1634">
        <f t="shared" si="1941"/>
        <v>8.8040729669999997</v>
      </c>
      <c r="R1563" s="1634">
        <f t="shared" si="1941"/>
        <v>7.0696897520000004</v>
      </c>
      <c r="S1563" s="1634">
        <f t="shared" si="1941"/>
        <v>10.470829098399999</v>
      </c>
      <c r="T1563" s="1634">
        <f t="shared" si="1941"/>
        <v>20.074773546049997</v>
      </c>
      <c r="U1563" s="1083">
        <f t="shared" si="1941"/>
        <v>37.267065793949996</v>
      </c>
      <c r="V1563" s="1083">
        <f t="shared" ref="V1563:AS1563" si="1942">+(V466+W466+V1009+W1009+V1010+W1010)/2</f>
        <v>46.498908531199994</v>
      </c>
      <c r="W1563" s="1083">
        <f t="shared" si="1942"/>
        <v>41.791818971499993</v>
      </c>
      <c r="X1563" s="1083">
        <f t="shared" si="1942"/>
        <v>42.262017500500001</v>
      </c>
      <c r="Y1563" s="1083">
        <f t="shared" si="1942"/>
        <v>45.652544415850002</v>
      </c>
      <c r="Z1563" s="1083">
        <f t="shared" si="1942"/>
        <v>48.728033161950002</v>
      </c>
      <c r="AA1563" s="1083">
        <f t="shared" si="1942"/>
        <v>49.644179047000002</v>
      </c>
      <c r="AB1563" s="1083">
        <f t="shared" si="1942"/>
        <v>50.994142981200163</v>
      </c>
      <c r="AC1563" s="1083">
        <f t="shared" si="1942"/>
        <v>55.313804557233311</v>
      </c>
      <c r="AD1563" s="1083">
        <f t="shared" si="1942"/>
        <v>56.072584201533147</v>
      </c>
      <c r="AE1563" s="1083">
        <f t="shared" si="1942"/>
        <v>56.462739192777917</v>
      </c>
      <c r="AF1563" s="1083">
        <f t="shared" si="1942"/>
        <v>77.095994805048591</v>
      </c>
      <c r="AG1563" s="1083">
        <f t="shared" si="1942"/>
        <v>120.0779491031231</v>
      </c>
      <c r="AH1563" s="1083">
        <f t="shared" si="1942"/>
        <v>149.44704142878385</v>
      </c>
      <c r="AI1563" s="1083">
        <f t="shared" si="1942"/>
        <v>161.03322134490813</v>
      </c>
      <c r="AJ1563" s="1083">
        <f t="shared" si="1942"/>
        <v>178.85702121351935</v>
      </c>
      <c r="AK1563" s="1083">
        <f t="shared" si="1942"/>
        <v>195.62225081225534</v>
      </c>
      <c r="AL1563" s="1083">
        <f t="shared" si="1942"/>
        <v>203.17398744668611</v>
      </c>
      <c r="AM1563" s="1083">
        <f t="shared" si="1942"/>
        <v>213.66020854037086</v>
      </c>
      <c r="AN1563" s="1083">
        <f t="shared" si="1942"/>
        <v>220.25647706038487</v>
      </c>
      <c r="AO1563" s="1083">
        <f t="shared" si="1942"/>
        <v>176.05025429553601</v>
      </c>
      <c r="AP1563" s="1083">
        <f t="shared" si="1942"/>
        <v>133.8075071230972</v>
      </c>
      <c r="AQ1563" s="1083">
        <f t="shared" si="1942"/>
        <v>133.8075071230972</v>
      </c>
      <c r="AR1563" s="1083">
        <f t="shared" si="1942"/>
        <v>133.8075071230972</v>
      </c>
      <c r="AS1563" s="1083">
        <f t="shared" si="1942"/>
        <v>133.8075071230972</v>
      </c>
      <c r="AT1563" s="1083" t="e">
        <f>+(AT466+AU466+AT1009+#REF!+AT1010+#REF!)/2</f>
        <v>#REF!</v>
      </c>
      <c r="AU1563" s="1083"/>
    </row>
    <row r="1564" spans="1:47">
      <c r="D1564" s="1929" t="s">
        <v>3474</v>
      </c>
      <c r="E1564" s="153"/>
      <c r="F1564" s="80"/>
      <c r="G1564" s="80"/>
      <c r="H1564" s="80"/>
      <c r="I1564" s="80"/>
      <c r="J1564" s="157"/>
      <c r="K1564" s="157"/>
      <c r="L1564" s="157"/>
      <c r="M1564" s="157"/>
      <c r="N1564" s="1634"/>
      <c r="O1564" s="1634"/>
      <c r="P1564" s="1634"/>
      <c r="Q1564" s="1634"/>
      <c r="R1564" s="1634"/>
      <c r="S1564" s="1634"/>
      <c r="T1564" s="1634"/>
      <c r="U1564" s="1083"/>
      <c r="V1564" s="1083"/>
      <c r="W1564" s="1083"/>
      <c r="X1564" s="1083"/>
      <c r="Y1564" s="1083"/>
      <c r="Z1564" s="1083"/>
      <c r="AA1564" s="1083"/>
      <c r="AB1564" s="1083"/>
      <c r="AC1564" s="1083"/>
      <c r="AD1564" s="1083"/>
      <c r="AE1564" s="1083"/>
      <c r="AF1564" s="1083"/>
      <c r="AG1564" s="1083"/>
      <c r="AH1564" s="1083"/>
      <c r="AI1564" s="1083"/>
      <c r="AJ1564" s="1083"/>
      <c r="AK1564" s="1083"/>
      <c r="AL1564" s="1083"/>
      <c r="AM1564" s="1083"/>
      <c r="AN1564" s="1083"/>
      <c r="AO1564" s="1083"/>
      <c r="AP1564" s="1083"/>
      <c r="AQ1564" s="1083"/>
      <c r="AR1564" s="1083"/>
      <c r="AS1564" s="1083"/>
      <c r="AT1564" s="1083"/>
      <c r="AU1564" s="1083"/>
    </row>
    <row r="1565" spans="1:47">
      <c r="D1565" s="1930" t="s">
        <v>3475</v>
      </c>
      <c r="E1565" s="153"/>
      <c r="F1565" s="80"/>
      <c r="G1565" s="80"/>
      <c r="H1565" s="80"/>
      <c r="I1565" s="80"/>
      <c r="J1565" s="157"/>
      <c r="K1565" s="157"/>
      <c r="L1565" s="157"/>
      <c r="M1565" s="157"/>
      <c r="N1565" s="1634"/>
      <c r="O1565" s="1634"/>
      <c r="P1565" s="1634"/>
      <c r="Q1565" s="1634"/>
      <c r="R1565" s="1634"/>
      <c r="S1565" s="1634"/>
      <c r="T1565" s="1634"/>
      <c r="U1565" s="1083"/>
      <c r="V1565" s="1083">
        <f t="shared" ref="V1565:AS1565" si="1943">(V1008+W1008)/2-V1564-V1563</f>
        <v>-46.498908531199994</v>
      </c>
      <c r="W1565" s="1083">
        <f t="shared" si="1943"/>
        <v>-41.791818971499993</v>
      </c>
      <c r="X1565" s="1083">
        <f t="shared" si="1943"/>
        <v>20.617333440999992</v>
      </c>
      <c r="Y1565" s="1083">
        <f t="shared" si="1943"/>
        <v>85.736539522649991</v>
      </c>
      <c r="Z1565" s="1083">
        <f t="shared" si="1943"/>
        <v>103.2399535870847</v>
      </c>
      <c r="AA1565" s="1083">
        <f t="shared" si="1943"/>
        <v>114.601955852744</v>
      </c>
      <c r="AB1565" s="1083">
        <f t="shared" si="1943"/>
        <v>118.7369738980515</v>
      </c>
      <c r="AC1565" s="1083">
        <f t="shared" si="1943"/>
        <v>141.11845338930908</v>
      </c>
      <c r="AD1565" s="1083">
        <f t="shared" si="1943"/>
        <v>158.07035730173527</v>
      </c>
      <c r="AE1565" s="1083">
        <f t="shared" si="1943"/>
        <v>171.82855041719051</v>
      </c>
      <c r="AF1565" s="1083">
        <f t="shared" si="1943"/>
        <v>173.93338276451942</v>
      </c>
      <c r="AG1565" s="1083">
        <f t="shared" si="1943"/>
        <v>174.2891018705559</v>
      </c>
      <c r="AH1565" s="1083">
        <f t="shared" si="1943"/>
        <v>204.79152683753171</v>
      </c>
      <c r="AI1565" s="1083">
        <f t="shared" si="1943"/>
        <v>239.27395119825249</v>
      </c>
      <c r="AJ1565" s="1083">
        <f t="shared" si="1943"/>
        <v>289.42783173815064</v>
      </c>
      <c r="AK1565" s="1083">
        <f t="shared" si="1943"/>
        <v>349.45213652955687</v>
      </c>
      <c r="AL1565" s="1083">
        <f t="shared" si="1943"/>
        <v>425.66379323366738</v>
      </c>
      <c r="AM1565" s="1083">
        <f t="shared" si="1943"/>
        <v>505.3501932563662</v>
      </c>
      <c r="AN1565" s="1083">
        <f t="shared" si="1943"/>
        <v>578.24298227241115</v>
      </c>
      <c r="AO1565" s="1083">
        <f t="shared" si="1943"/>
        <v>690.51541827930487</v>
      </c>
      <c r="AP1565" s="1083">
        <f t="shared" si="1943"/>
        <v>781.12277423966634</v>
      </c>
      <c r="AQ1565" s="1083">
        <f t="shared" si="1943"/>
        <v>893.26180848092645</v>
      </c>
      <c r="AR1565" s="1083">
        <f t="shared" si="1943"/>
        <v>-67.575782504695781</v>
      </c>
      <c r="AS1565" s="1083">
        <f t="shared" si="1943"/>
        <v>-792.55160594588187</v>
      </c>
      <c r="AT1565" s="1083" t="e">
        <f>(AT1008+#REF!)/2-AT1564-AT1563</f>
        <v>#REF!</v>
      </c>
      <c r="AU1565" s="1083"/>
    </row>
    <row r="1566" spans="1:47">
      <c r="D1566" s="1058" t="s">
        <v>3182</v>
      </c>
      <c r="E1566" s="80"/>
      <c r="F1566" s="80"/>
      <c r="G1566" s="80"/>
      <c r="H1566" s="80"/>
      <c r="I1566" s="80"/>
      <c r="J1566" s="139">
        <f>+(J686+K686)/2</f>
        <v>12.4893</v>
      </c>
      <c r="K1566" s="139">
        <f>+(K686+L686)/2</f>
        <v>12.116275</v>
      </c>
      <c r="L1566" s="139">
        <f>+(L686+M686)/2</f>
        <v>14.0609</v>
      </c>
      <c r="M1566" s="139">
        <f>+(M686+N686)/2</f>
        <v>17.373550000000002</v>
      </c>
      <c r="N1566" s="139">
        <f t="shared" ref="N1566:AT1566" si="1944">+(N1019+O1019)/2</f>
        <v>0</v>
      </c>
      <c r="O1566" s="139">
        <f t="shared" si="1944"/>
        <v>0</v>
      </c>
      <c r="P1566" s="139">
        <f t="shared" si="1944"/>
        <v>0</v>
      </c>
      <c r="Q1566" s="139">
        <f t="shared" si="1944"/>
        <v>0</v>
      </c>
      <c r="R1566" s="139">
        <f t="shared" si="1944"/>
        <v>0</v>
      </c>
      <c r="S1566" s="139">
        <f t="shared" si="1944"/>
        <v>0</v>
      </c>
      <c r="T1566" s="139">
        <f t="shared" si="1944"/>
        <v>0</v>
      </c>
      <c r="U1566" s="139">
        <f t="shared" si="1944"/>
        <v>0</v>
      </c>
      <c r="V1566" s="139">
        <f t="shared" si="1944"/>
        <v>0</v>
      </c>
      <c r="W1566" s="139">
        <f t="shared" si="1944"/>
        <v>0</v>
      </c>
      <c r="X1566" s="139">
        <f t="shared" si="1944"/>
        <v>28.086198660499999</v>
      </c>
      <c r="Y1566" s="139">
        <f t="shared" si="1944"/>
        <v>60.228374403000004</v>
      </c>
      <c r="Z1566" s="139">
        <f t="shared" si="1944"/>
        <v>70.048250723734043</v>
      </c>
      <c r="AA1566" s="139">
        <f t="shared" si="1944"/>
        <v>78.236002759255939</v>
      </c>
      <c r="AB1566" s="139">
        <f t="shared" si="1944"/>
        <v>82.101437994018511</v>
      </c>
      <c r="AC1566" s="139">
        <f t="shared" si="1944"/>
        <v>97.644194587996594</v>
      </c>
      <c r="AD1566" s="139">
        <f t="shared" si="1944"/>
        <v>114.51342643269001</v>
      </c>
      <c r="AE1566" s="139">
        <f t="shared" si="1944"/>
        <v>120.51213200364558</v>
      </c>
      <c r="AF1566" s="139">
        <f t="shared" si="1944"/>
        <v>128.3813595127213</v>
      </c>
      <c r="AG1566" s="139">
        <f t="shared" si="1944"/>
        <v>172.32528329059807</v>
      </c>
      <c r="AH1566" s="139">
        <f t="shared" si="1944"/>
        <v>203.05847387356943</v>
      </c>
      <c r="AI1566" s="139">
        <f t="shared" si="1944"/>
        <v>208.61163622498543</v>
      </c>
      <c r="AJ1566" s="139">
        <f t="shared" si="1944"/>
        <v>230.90541840393945</v>
      </c>
      <c r="AK1566" s="139">
        <f t="shared" si="1944"/>
        <v>257.42172785781895</v>
      </c>
      <c r="AL1566" s="139">
        <f t="shared" si="1944"/>
        <v>304.47371364657533</v>
      </c>
      <c r="AM1566" s="139">
        <f t="shared" si="1944"/>
        <v>358.65644519851003</v>
      </c>
      <c r="AN1566" s="139">
        <f t="shared" si="1944"/>
        <v>403.72742490790154</v>
      </c>
      <c r="AO1566" s="139">
        <f t="shared" si="1944"/>
        <v>443.7727612149377</v>
      </c>
      <c r="AP1566" s="139">
        <f t="shared" si="1944"/>
        <v>488.62636077080253</v>
      </c>
      <c r="AQ1566" s="139">
        <f t="shared" si="1944"/>
        <v>565.99723932123277</v>
      </c>
      <c r="AR1566" s="139">
        <f t="shared" si="1944"/>
        <v>682.59196621219735</v>
      </c>
      <c r="AS1566" s="139">
        <f t="shared" si="1944"/>
        <v>822.17396882839296</v>
      </c>
      <c r="AT1566" s="139">
        <f t="shared" si="1944"/>
        <v>449.06573455172469</v>
      </c>
      <c r="AU1566" s="139"/>
    </row>
    <row r="1567" spans="1:47">
      <c r="A1567" s="1"/>
      <c r="B1567" s="1"/>
      <c r="C1567" s="1"/>
      <c r="D1567" s="1070" t="s">
        <v>315</v>
      </c>
      <c r="E1567" s="153">
        <v>0.75</v>
      </c>
      <c r="F1567" s="81"/>
      <c r="G1567" s="81"/>
      <c r="H1567" s="81"/>
      <c r="I1567" s="81"/>
      <c r="J1567" s="139">
        <f t="shared" ref="J1567:U1567" si="1945">+(J1562+J1566)*$E1567</f>
        <v>9.3669750000000001</v>
      </c>
      <c r="K1567" s="139">
        <f t="shared" si="1945"/>
        <v>9.0872062499999995</v>
      </c>
      <c r="L1567" s="139">
        <f t="shared" si="1945"/>
        <v>10.545674999999999</v>
      </c>
      <c r="M1567" s="139">
        <f t="shared" si="1945"/>
        <v>13.030162500000001</v>
      </c>
      <c r="N1567" s="139">
        <f t="shared" si="1945"/>
        <v>0</v>
      </c>
      <c r="O1567" s="139">
        <f t="shared" si="1945"/>
        <v>9.7344128750625014</v>
      </c>
      <c r="P1567" s="139">
        <f t="shared" si="1945"/>
        <v>20.062568098612502</v>
      </c>
      <c r="Q1567" s="139">
        <f t="shared" si="1945"/>
        <v>22.943429747812502</v>
      </c>
      <c r="R1567" s="139">
        <f t="shared" si="1945"/>
        <v>28.291969206153809</v>
      </c>
      <c r="S1567" s="139">
        <f t="shared" si="1945"/>
        <v>37.03003173242665</v>
      </c>
      <c r="T1567" s="139">
        <f t="shared" si="1945"/>
        <v>40.743512561722845</v>
      </c>
      <c r="U1567" s="1084">
        <f t="shared" si="1945"/>
        <v>39.034514993512502</v>
      </c>
      <c r="V1567" s="1084">
        <f>+(V1562+V1566)*$E1567</f>
        <v>45.454236958237502</v>
      </c>
      <c r="W1567" s="1084">
        <f>+(W1562+W1566)*$E1567</f>
        <v>54.246598930575004</v>
      </c>
      <c r="X1567" s="1084">
        <f t="shared" ref="X1567:AT1567" si="1946">+(X1562+X1566)*$E1567</f>
        <v>83.460147171337496</v>
      </c>
      <c r="Y1567" s="1084">
        <f t="shared" si="1946"/>
        <v>116.54408668792499</v>
      </c>
      <c r="Z1567" s="1085">
        <f t="shared" si="1946"/>
        <v>130.86046963123678</v>
      </c>
      <c r="AA1567" s="1085">
        <f t="shared" si="1946"/>
        <v>146.11305763635323</v>
      </c>
      <c r="AB1567" s="1085">
        <f t="shared" si="1946"/>
        <v>157.15083668281389</v>
      </c>
      <c r="AC1567" s="1085">
        <f t="shared" si="1946"/>
        <v>178.85039201972742</v>
      </c>
      <c r="AD1567" s="1085">
        <f t="shared" si="1946"/>
        <v>198.56031196412246</v>
      </c>
      <c r="AE1567" s="1085">
        <f t="shared" si="1946"/>
        <v>207.92055690850918</v>
      </c>
      <c r="AF1567" s="1085">
        <f t="shared" si="1946"/>
        <v>227.07886835118782</v>
      </c>
      <c r="AG1567" s="1085">
        <f t="shared" si="1946"/>
        <v>281.39075310296414</v>
      </c>
      <c r="AH1567" s="1085">
        <f t="shared" si="1946"/>
        <v>328.86722088700378</v>
      </c>
      <c r="AI1567" s="1085">
        <f t="shared" si="1946"/>
        <v>356.75421188335201</v>
      </c>
      <c r="AJ1567" s="1085">
        <f t="shared" si="1946"/>
        <v>404.40994245304978</v>
      </c>
      <c r="AK1567" s="1085">
        <f t="shared" si="1946"/>
        <v>459.39195729034464</v>
      </c>
      <c r="AL1567" s="1085">
        <f t="shared" si="1946"/>
        <v>369.95561593342171</v>
      </c>
      <c r="AM1567" s="1085">
        <f t="shared" si="1946"/>
        <v>268.99233389888252</v>
      </c>
      <c r="AN1567" s="1085">
        <f t="shared" si="1946"/>
        <v>302.79556868092618</v>
      </c>
      <c r="AO1567" s="1085">
        <f t="shared" si="1946"/>
        <v>333.20457091120329</v>
      </c>
      <c r="AP1567" s="1085">
        <f t="shared" si="1946"/>
        <v>367.59477057810193</v>
      </c>
      <c r="AQ1567" s="1085">
        <f t="shared" si="1946"/>
        <v>426.37292949092455</v>
      </c>
      <c r="AR1567" s="1085">
        <f t="shared" si="1946"/>
        <v>514.56897465914801</v>
      </c>
      <c r="AS1567" s="1085">
        <f t="shared" si="1946"/>
        <v>620.00547662129475</v>
      </c>
      <c r="AT1567" s="1085">
        <f t="shared" si="1946"/>
        <v>338.6743009137935</v>
      </c>
      <c r="AU1567" s="1085"/>
    </row>
    <row r="1568" spans="1:47">
      <c r="A1568" s="1"/>
      <c r="B1568" s="1"/>
      <c r="C1568" s="1"/>
      <c r="D1568" s="1070" t="s">
        <v>341</v>
      </c>
      <c r="E1568" s="256" t="s">
        <v>328</v>
      </c>
      <c r="F1568" s="81"/>
      <c r="G1568" s="81"/>
      <c r="H1568" s="81"/>
      <c r="I1568" s="81"/>
      <c r="J1568" s="257">
        <f t="shared" ref="J1568:T1568" si="1947">+(J308+K308)/2</f>
        <v>0</v>
      </c>
      <c r="K1568" s="257">
        <f t="shared" si="1947"/>
        <v>0</v>
      </c>
      <c r="L1568" s="257">
        <f t="shared" si="1947"/>
        <v>0</v>
      </c>
      <c r="M1568" s="257">
        <f t="shared" si="1947"/>
        <v>0</v>
      </c>
      <c r="N1568" s="257">
        <f t="shared" si="1947"/>
        <v>0</v>
      </c>
      <c r="O1568" s="257">
        <f t="shared" si="1947"/>
        <v>0</v>
      </c>
      <c r="P1568" s="257">
        <f t="shared" si="1947"/>
        <v>0</v>
      </c>
      <c r="Q1568" s="257">
        <f t="shared" si="1947"/>
        <v>0</v>
      </c>
      <c r="R1568" s="257">
        <f t="shared" si="1947"/>
        <v>0</v>
      </c>
      <c r="S1568" s="257">
        <f t="shared" si="1947"/>
        <v>0</v>
      </c>
      <c r="T1568" s="257">
        <f t="shared" si="1947"/>
        <v>0</v>
      </c>
      <c r="U1568" s="257">
        <f>+(U553+V553)/2</f>
        <v>-1.4468618941864535E-2</v>
      </c>
      <c r="V1568" s="257">
        <f t="shared" ref="V1568:AT1568" si="1948">+(V1561-V1562+V1565)/(V207-V1537)</f>
        <v>-2.7781744108114362E-2</v>
      </c>
      <c r="W1568" s="257">
        <f t="shared" si="1948"/>
        <v>-2.6028276070404702E-2</v>
      </c>
      <c r="X1568" s="257">
        <f t="shared" si="1948"/>
        <v>2.7287541245958086E-2</v>
      </c>
      <c r="Y1568" s="257">
        <f t="shared" si="1948"/>
        <v>7.4616631630532587E-2</v>
      </c>
      <c r="Z1568" s="257">
        <f t="shared" si="1948"/>
        <v>8.1368440599480382E-2</v>
      </c>
      <c r="AA1568" s="257">
        <f t="shared" si="1948"/>
        <v>8.1306360004539474E-2</v>
      </c>
      <c r="AB1568" s="257">
        <f t="shared" si="1948"/>
        <v>7.7310329886248669E-2</v>
      </c>
      <c r="AC1568" s="257">
        <f t="shared" si="1948"/>
        <v>8.2068202940840981E-2</v>
      </c>
      <c r="AD1568" s="257">
        <f t="shared" si="1948"/>
        <v>7.9486015662567355E-2</v>
      </c>
      <c r="AE1568" s="257">
        <f t="shared" si="1948"/>
        <v>8.3500340247297009E-2</v>
      </c>
      <c r="AF1568" s="257">
        <f t="shared" si="1948"/>
        <v>7.9600091900633801E-2</v>
      </c>
      <c r="AG1568" s="257">
        <f t="shared" si="1948"/>
        <v>7.1122862294612316E-2</v>
      </c>
      <c r="AH1568" s="257">
        <f t="shared" si="1948"/>
        <v>6.8716129019345443E-2</v>
      </c>
      <c r="AI1568" s="257">
        <f t="shared" si="1948"/>
        <v>7.3561704667750305E-2</v>
      </c>
      <c r="AJ1568" s="257">
        <f t="shared" si="1948"/>
        <v>8.1107172564489835E-2</v>
      </c>
      <c r="AK1568" s="257">
        <f t="shared" si="1948"/>
        <v>8.8175374209182533E-2</v>
      </c>
      <c r="AL1568" s="257">
        <f t="shared" si="1948"/>
        <v>0.10162531918104738</v>
      </c>
      <c r="AM1568" s="257">
        <f t="shared" si="1948"/>
        <v>0.11227591444438331</v>
      </c>
      <c r="AN1568" s="257">
        <f t="shared" si="1948"/>
        <v>0.11323756231155857</v>
      </c>
      <c r="AO1568" s="257">
        <f t="shared" si="1948"/>
        <v>0.1116667312005703</v>
      </c>
      <c r="AP1568" s="257">
        <f t="shared" si="1948"/>
        <v>0.1193687646987429</v>
      </c>
      <c r="AQ1568" s="257">
        <f t="shared" si="1948"/>
        <v>0.12159350362785404</v>
      </c>
      <c r="AR1568" s="257">
        <f t="shared" si="1948"/>
        <v>-9.6034677911608302E-2</v>
      </c>
      <c r="AS1568" s="257">
        <f t="shared" si="1948"/>
        <v>0.69231789776705577</v>
      </c>
      <c r="AT1568" s="257" t="e">
        <f t="shared" si="1948"/>
        <v>#REF!</v>
      </c>
      <c r="AU1568" s="257"/>
    </row>
    <row r="1569" spans="1:47">
      <c r="A1569" s="1"/>
      <c r="B1569" s="1"/>
      <c r="C1569" s="1"/>
      <c r="D1569" s="1070" t="s">
        <v>342</v>
      </c>
      <c r="E1569" s="256" t="str">
        <f>+E1568</f>
        <v>used for DEFL</v>
      </c>
      <c r="F1569" s="81"/>
      <c r="G1569" s="81"/>
      <c r="H1569" s="81"/>
      <c r="I1569" s="81"/>
      <c r="J1569" s="257">
        <f t="shared" ref="J1569:U1569" si="1949">+J273</f>
        <v>0</v>
      </c>
      <c r="K1569" s="257">
        <f t="shared" si="1949"/>
        <v>0</v>
      </c>
      <c r="L1569" s="257">
        <f t="shared" si="1949"/>
        <v>0</v>
      </c>
      <c r="M1569" s="257">
        <f t="shared" si="1949"/>
        <v>0</v>
      </c>
      <c r="N1569" s="257">
        <f t="shared" si="1949"/>
        <v>0</v>
      </c>
      <c r="O1569" s="257">
        <f t="shared" si="1949"/>
        <v>0</v>
      </c>
      <c r="P1569" s="257">
        <f t="shared" si="1949"/>
        <v>0</v>
      </c>
      <c r="Q1569" s="257">
        <f t="shared" si="1949"/>
        <v>0</v>
      </c>
      <c r="R1569" s="257">
        <f t="shared" si="1949"/>
        <v>0</v>
      </c>
      <c r="S1569" s="257">
        <f t="shared" si="1949"/>
        <v>0</v>
      </c>
      <c r="T1569" s="257">
        <f t="shared" si="1949"/>
        <v>0</v>
      </c>
      <c r="U1569" s="257">
        <f t="shared" si="1949"/>
        <v>0</v>
      </c>
      <c r="V1569" s="1086">
        <f t="shared" ref="V1569:AT1569" si="1950">+((V1561-V1562+V1565)/(V207-V225-V1537))</f>
        <v>-3.2142164506788175E-2</v>
      </c>
      <c r="W1569" s="1086">
        <f t="shared" si="1950"/>
        <v>-2.9870705250927533E-2</v>
      </c>
      <c r="X1569" s="1086">
        <f t="shared" si="1950"/>
        <v>3.1893334400807154E-2</v>
      </c>
      <c r="Y1569" s="1086">
        <f t="shared" si="1950"/>
        <v>8.7576368515397324E-2</v>
      </c>
      <c r="Z1569" s="1086">
        <f t="shared" si="1950"/>
        <v>9.4766842960925871E-2</v>
      </c>
      <c r="AA1569" s="1086">
        <f t="shared" si="1950"/>
        <v>9.7333872034543953E-2</v>
      </c>
      <c r="AB1569" s="1086">
        <f t="shared" si="1950"/>
        <v>9.8924367976871277E-2</v>
      </c>
      <c r="AC1569" s="1086">
        <f t="shared" si="1950"/>
        <v>0.10580227508263995</v>
      </c>
      <c r="AD1569" s="1086">
        <f t="shared" si="1950"/>
        <v>0.10323255989001896</v>
      </c>
      <c r="AE1569" s="1086">
        <f t="shared" si="1950"/>
        <v>0.10489959451170959</v>
      </c>
      <c r="AF1569" s="1086">
        <f t="shared" si="1950"/>
        <v>0.1002939706520253</v>
      </c>
      <c r="AG1569" s="1086">
        <f t="shared" si="1950"/>
        <v>9.3286783233804543E-2</v>
      </c>
      <c r="AH1569" s="1086">
        <f t="shared" si="1950"/>
        <v>9.3448075698965918E-2</v>
      </c>
      <c r="AI1569" s="1086">
        <f t="shared" si="1950"/>
        <v>0.10881375053390221</v>
      </c>
      <c r="AJ1569" s="1086">
        <f t="shared" si="1950"/>
        <v>0.1293984446827168</v>
      </c>
      <c r="AK1569" s="1086">
        <f t="shared" si="1950"/>
        <v>0.14905917426942758</v>
      </c>
      <c r="AL1569" s="1086">
        <f t="shared" si="1950"/>
        <v>0.17705888674113127</v>
      </c>
      <c r="AM1569" s="1086">
        <f t="shared" si="1950"/>
        <v>0.20503744450457026</v>
      </c>
      <c r="AN1569" s="1086">
        <f t="shared" si="1950"/>
        <v>0.21326259663816616</v>
      </c>
      <c r="AO1569" s="1086">
        <f t="shared" si="1950"/>
        <v>0.20598266213423713</v>
      </c>
      <c r="AP1569" s="1086">
        <f t="shared" si="1950"/>
        <v>0.23671841340295557</v>
      </c>
      <c r="AQ1569" s="1086">
        <f t="shared" si="1950"/>
        <v>0.24286509533546149</v>
      </c>
      <c r="AR1569" s="1086">
        <f t="shared" si="1950"/>
        <v>-0.17293116512836393</v>
      </c>
      <c r="AS1569" s="1086">
        <f t="shared" si="1950"/>
        <v>0.37517449309396605</v>
      </c>
      <c r="AT1569" s="1086" t="e">
        <f t="shared" si="1950"/>
        <v>#REF!</v>
      </c>
      <c r="AU1569" s="1086"/>
    </row>
    <row r="1570" spans="1:47">
      <c r="A1570" s="1"/>
      <c r="B1570" s="1"/>
      <c r="C1570" s="1"/>
      <c r="D1570" s="1070" t="s">
        <v>329</v>
      </c>
      <c r="E1570" s="153"/>
      <c r="F1570" s="81"/>
      <c r="G1570" s="81"/>
      <c r="H1570" s="81"/>
      <c r="I1570" s="81"/>
      <c r="J1570" s="257">
        <f t="shared" ref="J1570:AT1570" si="1951">+(J1566+J1563+J1562)/J226</f>
        <v>7.9046202531645571E-2</v>
      </c>
      <c r="K1570" s="257">
        <f t="shared" si="1951"/>
        <v>6.8068960674157297E-2</v>
      </c>
      <c r="L1570" s="257">
        <f t="shared" si="1951"/>
        <v>7.3617277486910992E-2</v>
      </c>
      <c r="M1570" s="257">
        <f t="shared" si="1951"/>
        <v>8.6867750000000007E-2</v>
      </c>
      <c r="N1570" s="257">
        <f t="shared" si="1951"/>
        <v>0</v>
      </c>
      <c r="O1570" s="257">
        <f t="shared" si="1951"/>
        <v>5.2984114731072562E-2</v>
      </c>
      <c r="P1570" s="257">
        <f t="shared" si="1951"/>
        <v>9.086584662506493E-2</v>
      </c>
      <c r="Q1570" s="257">
        <f t="shared" si="1951"/>
        <v>9.6321057776894856E-2</v>
      </c>
      <c r="R1570" s="257">
        <f t="shared" si="1951"/>
        <v>9.0125383018521285E-2</v>
      </c>
      <c r="S1570" s="257">
        <f t="shared" si="1951"/>
        <v>8.0220113594685699E-2</v>
      </c>
      <c r="T1570" s="257">
        <f t="shared" si="1951"/>
        <v>8.7220934304431952E-2</v>
      </c>
      <c r="U1570" s="257">
        <f t="shared" si="1951"/>
        <v>9.4212115807278465E-2</v>
      </c>
      <c r="V1570" s="1086">
        <f t="shared" si="1951"/>
        <v>9.5800141152817528E-2</v>
      </c>
      <c r="W1570" s="1086">
        <f t="shared" si="1951"/>
        <v>8.5037717992250378E-2</v>
      </c>
      <c r="X1570" s="1086">
        <f t="shared" si="1951"/>
        <v>0.10395545953212593</v>
      </c>
      <c r="Y1570" s="1086">
        <f t="shared" si="1951"/>
        <v>0.11903177027812314</v>
      </c>
      <c r="Z1570" s="1086">
        <f t="shared" si="1951"/>
        <v>0.11353441471868382</v>
      </c>
      <c r="AA1570" s="1086">
        <f t="shared" si="1951"/>
        <v>0.10482915490085946</v>
      </c>
      <c r="AB1570" s="1086">
        <f t="shared" si="1951"/>
        <v>0.10215209145377592</v>
      </c>
      <c r="AC1570" s="1086">
        <f t="shared" si="1951"/>
        <v>0.10208463284226794</v>
      </c>
      <c r="AD1570" s="1086">
        <f t="shared" si="1951"/>
        <v>9.5347677252551277E-2</v>
      </c>
      <c r="AE1570" s="1086">
        <f t="shared" si="1951"/>
        <v>9.6952895366846509E-2</v>
      </c>
      <c r="AF1570" s="1086">
        <f t="shared" si="1951"/>
        <v>9.9686800856791033E-2</v>
      </c>
      <c r="AG1570" s="1086">
        <f t="shared" si="1951"/>
        <v>9.3357935175552659E-2</v>
      </c>
      <c r="AH1570" s="1086">
        <f t="shared" si="1951"/>
        <v>8.8624040334631324E-2</v>
      </c>
      <c r="AI1570" s="1086">
        <f t="shared" si="1951"/>
        <v>8.661243479039811E-2</v>
      </c>
      <c r="AJ1570" s="1086">
        <f t="shared" si="1951"/>
        <v>7.6721893010189848E-2</v>
      </c>
      <c r="AK1570" s="1086">
        <f t="shared" si="1951"/>
        <v>6.8261707216425438E-2</v>
      </c>
      <c r="AL1570" s="1086">
        <f t="shared" si="1951"/>
        <v>5.2685084928642309E-2</v>
      </c>
      <c r="AM1570" s="1086">
        <f t="shared" si="1951"/>
        <v>3.91824980365564E-2</v>
      </c>
      <c r="AN1570" s="1086">
        <f t="shared" si="1951"/>
        <v>3.7315747498370112E-2</v>
      </c>
      <c r="AO1570" s="1086">
        <f t="shared" si="1951"/>
        <v>3.4288869952171654E-2</v>
      </c>
      <c r="AP1570" s="1086">
        <f t="shared" si="1951"/>
        <v>3.2653630894711586E-2</v>
      </c>
      <c r="AQ1570" s="1086">
        <f t="shared" si="1951"/>
        <v>3.9054439094490891E-2</v>
      </c>
      <c r="AR1570" s="1086">
        <f t="shared" si="1951"/>
        <v>4.9999562356423964E-2</v>
      </c>
      <c r="AS1570" s="1086">
        <f t="shared" si="1951"/>
        <v>3.6881327024830886E-2</v>
      </c>
      <c r="AT1570" s="1086" t="e">
        <f t="shared" si="1951"/>
        <v>#REF!</v>
      </c>
      <c r="AU1570" s="1086"/>
    </row>
    <row r="1571" spans="1:47">
      <c r="X1571" s="1"/>
      <c r="Z1571" s="1"/>
    </row>
    <row r="1573" spans="1:47" hidden="1">
      <c r="A1573" s="1"/>
      <c r="B1573" s="1"/>
      <c r="C1573" s="1"/>
      <c r="D1573" s="504" t="s">
        <v>1119</v>
      </c>
      <c r="E1573" s="9"/>
      <c r="F1573" s="9"/>
      <c r="G1573" s="9"/>
      <c r="H1573" s="9"/>
      <c r="I1573" s="100">
        <v>1998</v>
      </c>
      <c r="J1573" s="100">
        <v>1999</v>
      </c>
      <c r="K1573" s="100">
        <v>2000</v>
      </c>
      <c r="L1573" s="100">
        <v>2001</v>
      </c>
      <c r="M1573" s="100">
        <v>2002</v>
      </c>
      <c r="N1573" s="100">
        <v>2003</v>
      </c>
      <c r="O1573" s="100">
        <v>2004</v>
      </c>
      <c r="P1573" s="100">
        <v>2005</v>
      </c>
      <c r="Q1573" s="100">
        <v>2006</v>
      </c>
      <c r="R1573" s="100">
        <v>2007</v>
      </c>
      <c r="S1573" s="100">
        <v>2008</v>
      </c>
      <c r="T1573" s="100"/>
      <c r="U1573" s="100"/>
      <c r="V1573" s="555" t="s">
        <v>725</v>
      </c>
      <c r="W1573" s="92">
        <v>2012</v>
      </c>
      <c r="X1573" s="92">
        <v>2013</v>
      </c>
      <c r="Y1573" s="92">
        <v>2014</v>
      </c>
      <c r="Z1573" s="92">
        <v>2015</v>
      </c>
      <c r="AA1573" s="92">
        <v>2016</v>
      </c>
      <c r="AB1573" s="92">
        <v>2017</v>
      </c>
      <c r="AC1573" s="92">
        <v>2018</v>
      </c>
      <c r="AD1573" s="92">
        <v>2019</v>
      </c>
      <c r="AE1573" s="92">
        <v>2020</v>
      </c>
      <c r="AF1573" s="92">
        <v>2021</v>
      </c>
      <c r="AG1573" s="92">
        <v>2022</v>
      </c>
      <c r="AH1573" s="92">
        <v>2023</v>
      </c>
      <c r="AI1573" s="92">
        <v>2024</v>
      </c>
      <c r="AJ1573" s="92">
        <v>2025</v>
      </c>
      <c r="AK1573" s="92">
        <v>2026</v>
      </c>
      <c r="AL1573" s="92">
        <v>2027</v>
      </c>
      <c r="AM1573" s="92">
        <v>2028</v>
      </c>
      <c r="AN1573" s="92"/>
      <c r="AO1573" s="92"/>
      <c r="AP1573" s="92"/>
      <c r="AQ1573" s="92"/>
      <c r="AR1573" s="92"/>
      <c r="AS1573" s="92"/>
      <c r="AT1573" s="92"/>
    </row>
    <row r="1574" spans="1:47" hidden="1">
      <c r="A1574" s="1"/>
      <c r="B1574" s="1"/>
      <c r="C1574" s="1"/>
      <c r="D1574" s="101" t="s">
        <v>116</v>
      </c>
      <c r="E1574" s="102"/>
      <c r="F1574" s="102"/>
      <c r="G1574" s="102"/>
      <c r="H1574" s="102"/>
      <c r="I1574" s="103"/>
      <c r="J1574" s="104"/>
      <c r="K1574" s="104"/>
      <c r="L1574" s="104"/>
      <c r="M1574" s="104"/>
      <c r="N1574" s="104"/>
      <c r="O1574" s="104"/>
      <c r="P1574" s="104"/>
      <c r="Q1574" s="104"/>
      <c r="R1574" s="104"/>
      <c r="S1574" s="104"/>
      <c r="T1574" s="102">
        <v>2009</v>
      </c>
      <c r="U1574" s="105">
        <v>2010</v>
      </c>
      <c r="V1574" s="967">
        <v>2011</v>
      </c>
      <c r="W1574" s="967">
        <v>2012</v>
      </c>
      <c r="X1574" s="967">
        <v>2013</v>
      </c>
      <c r="Y1574" s="967">
        <v>2014</v>
      </c>
      <c r="Z1574" s="967">
        <v>2015</v>
      </c>
      <c r="AA1574" s="967">
        <v>2016</v>
      </c>
      <c r="AB1574" s="967">
        <v>2017</v>
      </c>
      <c r="AC1574" s="967">
        <v>2018</v>
      </c>
      <c r="AD1574" s="967">
        <v>2019</v>
      </c>
      <c r="AE1574" s="968">
        <v>2020</v>
      </c>
      <c r="AF1574" s="968">
        <f t="shared" ref="AF1574:AM1574" si="1952">+AE1574+1</f>
        <v>2021</v>
      </c>
      <c r="AG1574" s="968">
        <f t="shared" si="1952"/>
        <v>2022</v>
      </c>
      <c r="AH1574" s="968">
        <f t="shared" si="1952"/>
        <v>2023</v>
      </c>
      <c r="AI1574" s="968">
        <f t="shared" si="1952"/>
        <v>2024</v>
      </c>
      <c r="AJ1574" s="968">
        <f t="shared" si="1952"/>
        <v>2025</v>
      </c>
      <c r="AK1574" s="968">
        <f t="shared" si="1952"/>
        <v>2026</v>
      </c>
      <c r="AL1574" s="968">
        <f t="shared" si="1952"/>
        <v>2027</v>
      </c>
      <c r="AM1574" s="968">
        <f t="shared" si="1952"/>
        <v>2028</v>
      </c>
      <c r="AN1574" s="968"/>
      <c r="AO1574" s="968"/>
      <c r="AP1574" s="968"/>
      <c r="AQ1574" s="968"/>
      <c r="AR1574" s="968"/>
      <c r="AS1574" s="968"/>
      <c r="AT1574" s="968"/>
    </row>
    <row r="1575" spans="1:47" hidden="1">
      <c r="A1575" s="1"/>
      <c r="B1575" s="1"/>
      <c r="C1575" s="1"/>
      <c r="D1575" s="101" t="s">
        <v>3206</v>
      </c>
      <c r="E1575" s="102"/>
      <c r="F1575" s="102"/>
      <c r="G1575" s="102"/>
      <c r="H1575" s="102"/>
      <c r="I1575" s="106"/>
      <c r="J1575" s="107"/>
      <c r="K1575" s="107"/>
      <c r="L1575" s="107"/>
      <c r="M1575" s="107"/>
      <c r="N1575" s="107"/>
      <c r="O1575" s="107"/>
      <c r="P1575" s="107"/>
      <c r="Q1575" s="107"/>
      <c r="R1575" s="107"/>
      <c r="S1575" s="107"/>
      <c r="T1575" s="107"/>
      <c r="U1575" s="107"/>
      <c r="V1575" s="104"/>
      <c r="W1575" s="102"/>
      <c r="X1575" s="571"/>
      <c r="Y1575" s="571">
        <f>Y1576+Y1577</f>
        <v>-64.180285204720164</v>
      </c>
      <c r="Z1575" s="571">
        <f t="shared" ref="Z1575:AK1575" si="1953">Z1576+Z1577</f>
        <v>86.038753197484311</v>
      </c>
      <c r="AA1575" s="571">
        <f t="shared" si="1953"/>
        <v>38.819175016189575</v>
      </c>
      <c r="AB1575" s="571">
        <f t="shared" si="1953"/>
        <v>101.44647495200479</v>
      </c>
      <c r="AC1575" s="571">
        <f t="shared" si="1953"/>
        <v>120.35307362560157</v>
      </c>
      <c r="AD1575" s="571">
        <f t="shared" si="1953"/>
        <v>172.98741758862229</v>
      </c>
      <c r="AE1575" s="571">
        <f t="shared" si="1953"/>
        <v>504.42714166020494</v>
      </c>
      <c r="AF1575" s="571">
        <f t="shared" si="1953"/>
        <v>-5.5595162537740919</v>
      </c>
      <c r="AG1575" s="571">
        <f t="shared" si="1953"/>
        <v>145.83162508475169</v>
      </c>
      <c r="AH1575" s="571">
        <f t="shared" si="1953"/>
        <v>293.02099831643676</v>
      </c>
      <c r="AI1575" s="571">
        <f t="shared" si="1953"/>
        <v>673.4581759272919</v>
      </c>
      <c r="AJ1575" s="571">
        <f t="shared" si="1953"/>
        <v>307.51733945430948</v>
      </c>
      <c r="AK1575" s="571">
        <f t="shared" si="1953"/>
        <v>561.83407155169289</v>
      </c>
      <c r="AL1575" s="571">
        <f>AL1576+AL1577</f>
        <v>1151.8925341292938</v>
      </c>
      <c r="AM1575" s="571">
        <f>AM1576+AM1577</f>
        <v>1197.4663468671815</v>
      </c>
      <c r="AN1575" s="571"/>
      <c r="AO1575" s="571"/>
      <c r="AP1575" s="571"/>
      <c r="AQ1575" s="571"/>
      <c r="AR1575" s="571"/>
      <c r="AS1575" s="571"/>
      <c r="AT1575" s="571"/>
    </row>
    <row r="1576" spans="1:47" hidden="1">
      <c r="A1576" s="1"/>
      <c r="B1576" s="1"/>
      <c r="C1576" s="1"/>
      <c r="D1576" s="108" t="s">
        <v>117</v>
      </c>
      <c r="E1576" s="102"/>
      <c r="F1576" s="102"/>
      <c r="G1576" s="102"/>
      <c r="H1576" s="102"/>
      <c r="I1576" s="106"/>
      <c r="J1576" s="107"/>
      <c r="K1576" s="107"/>
      <c r="L1576" s="107"/>
      <c r="M1576" s="107"/>
      <c r="N1576" s="107"/>
      <c r="O1576" s="107"/>
      <c r="P1576" s="107"/>
      <c r="Q1576" s="107"/>
      <c r="R1576" s="107"/>
      <c r="S1576" s="107"/>
      <c r="T1576" s="107"/>
      <c r="U1576" s="107"/>
      <c r="V1576" s="104"/>
      <c r="W1576" s="104"/>
      <c r="X1576" s="571"/>
      <c r="Y1576" s="571">
        <f>FISCinyear!HQ857</f>
        <v>-117.94118653012882</v>
      </c>
      <c r="Z1576" s="571">
        <f>FISCinyear!HT857</f>
        <v>-35.466425543534484</v>
      </c>
      <c r="AA1576" s="571">
        <f>FISCinyear!HW857</f>
        <v>-42.151607233051777</v>
      </c>
      <c r="AB1576" s="571">
        <f>FISCinyear!HZ857</f>
        <v>-50.467678262707523</v>
      </c>
      <c r="AC1576" s="571">
        <f>FISCinyear!IC857</f>
        <v>-37.092242064925316</v>
      </c>
      <c r="AD1576" s="571">
        <f>FISCinyear!IF857</f>
        <v>-88.840718518665369</v>
      </c>
      <c r="AE1576" s="571">
        <f>FISCinyear!II857</f>
        <v>159.3618857969137</v>
      </c>
      <c r="AF1576" s="571">
        <f>FISCinyear!IL857</f>
        <v>-188.13447992189938</v>
      </c>
      <c r="AG1576" s="571">
        <f>FISCinyear!IO857</f>
        <v>183.06512256649353</v>
      </c>
      <c r="AH1576" s="571">
        <f>FISCinyear!IR857</f>
        <v>100.82468476738475</v>
      </c>
      <c r="AI1576" s="571">
        <f>FISCinyear!IU857</f>
        <v>-110.87901610225816</v>
      </c>
      <c r="AJ1576" s="571">
        <f>FISCinyear!IX857</f>
        <v>-459.57265888052137</v>
      </c>
      <c r="AK1576" s="571">
        <f>FISCinyear!JA856</f>
        <v>103.66811067688907</v>
      </c>
      <c r="AL1576" s="571">
        <f>FISCinyear!JB856</f>
        <v>870.75810901171985</v>
      </c>
      <c r="AM1576" s="571">
        <f>FISCinyear!JC856</f>
        <v>458.16596087480383</v>
      </c>
      <c r="AN1576" s="571"/>
      <c r="AO1576" s="571"/>
      <c r="AP1576" s="571"/>
      <c r="AQ1576" s="571"/>
      <c r="AR1576" s="571"/>
      <c r="AS1576" s="571"/>
      <c r="AT1576" s="571"/>
    </row>
    <row r="1577" spans="1:47" hidden="1">
      <c r="A1577" s="1"/>
      <c r="B1577" s="1"/>
      <c r="C1577" s="1"/>
      <c r="D1577" s="108" t="s">
        <v>118</v>
      </c>
      <c r="E1577" s="102"/>
      <c r="F1577" s="102"/>
      <c r="G1577" s="102"/>
      <c r="H1577" s="102"/>
      <c r="I1577" s="109"/>
      <c r="J1577" s="110"/>
      <c r="K1577" s="110"/>
      <c r="L1577" s="110"/>
      <c r="M1577" s="110"/>
      <c r="N1577" s="110"/>
      <c r="O1577" s="110"/>
      <c r="P1577" s="110"/>
      <c r="Q1577" s="110"/>
      <c r="R1577" s="110"/>
      <c r="S1577" s="111"/>
      <c r="T1577" s="110"/>
      <c r="U1577" s="110"/>
      <c r="V1577" s="108"/>
      <c r="W1577" s="110"/>
      <c r="X1577" s="571">
        <f>FISCinyear!HP857</f>
        <v>52.629301348999995</v>
      </c>
      <c r="Y1577" s="571">
        <f>FISCinyear!HS857</f>
        <v>53.760901325408653</v>
      </c>
      <c r="Z1577" s="571">
        <f>FISCinyear!HV857</f>
        <v>121.5051787410188</v>
      </c>
      <c r="AA1577" s="571">
        <f>FISCinyear!HY857</f>
        <v>80.970782249241353</v>
      </c>
      <c r="AB1577" s="571">
        <f>FISCinyear!IB857</f>
        <v>151.91415321471231</v>
      </c>
      <c r="AC1577" s="571">
        <f>FISCinyear!IE857</f>
        <v>157.44531569052688</v>
      </c>
      <c r="AD1577" s="571">
        <f>FISCinyear!IH857</f>
        <v>261.82813610728766</v>
      </c>
      <c r="AE1577" s="571">
        <f>FISCinyear!IK857</f>
        <v>345.06525586329127</v>
      </c>
      <c r="AF1577" s="571">
        <f>FISCinyear!IN856</f>
        <v>182.57496366812529</v>
      </c>
      <c r="AG1577" s="571">
        <f>FISCinyear!IQ857</f>
        <v>-37.233497481741836</v>
      </c>
      <c r="AH1577" s="571">
        <f>FISCinyear!IT857</f>
        <v>192.19631354905201</v>
      </c>
      <c r="AI1577" s="571">
        <f>FISCinyear!IW857</f>
        <v>784.33719202955001</v>
      </c>
      <c r="AJ1577" s="571">
        <f>FISCinyear!IZ857</f>
        <v>767.08999833483085</v>
      </c>
      <c r="AK1577" s="571">
        <f>FISCinyear!JC856</f>
        <v>458.16596087480383</v>
      </c>
      <c r="AL1577" s="571">
        <f>FISCinyear!JD856</f>
        <v>281.13442511757393</v>
      </c>
      <c r="AM1577" s="571">
        <f>FISCinyear!JE856</f>
        <v>739.30038599237776</v>
      </c>
      <c r="AN1577" s="571"/>
      <c r="AO1577" s="571"/>
      <c r="AP1577" s="571"/>
      <c r="AQ1577" s="571"/>
      <c r="AR1577" s="571"/>
      <c r="AS1577" s="571"/>
      <c r="AT1577" s="571"/>
    </row>
    <row r="1578" spans="1:47" hidden="1">
      <c r="A1578" s="1"/>
      <c r="B1578" s="1"/>
      <c r="C1578" s="1"/>
      <c r="D1578" s="287" t="s">
        <v>3205</v>
      </c>
      <c r="E1578" s="115"/>
      <c r="F1578" s="115"/>
      <c r="G1578" s="115"/>
      <c r="H1578" s="115"/>
      <c r="I1578" s="279"/>
      <c r="J1578" s="280"/>
      <c r="K1578" s="280"/>
      <c r="L1578" s="280"/>
      <c r="M1578" s="280"/>
      <c r="N1578" s="280"/>
      <c r="O1578" s="280"/>
      <c r="P1578" s="280"/>
      <c r="Q1578" s="280"/>
      <c r="R1578" s="280"/>
      <c r="S1578" s="281">
        <f t="shared" ref="S1578:AM1578" si="1954">S1174</f>
        <v>0</v>
      </c>
      <c r="T1578" s="281">
        <f t="shared" si="1954"/>
        <v>0</v>
      </c>
      <c r="U1578" s="281">
        <f t="shared" si="1954"/>
        <v>0</v>
      </c>
      <c r="V1578" s="281">
        <f t="shared" si="1954"/>
        <v>0</v>
      </c>
      <c r="W1578" s="281">
        <f t="shared" si="1954"/>
        <v>3.0000000000000155</v>
      </c>
      <c r="X1578" s="281">
        <f t="shared" si="1954"/>
        <v>1.5000000000000426</v>
      </c>
      <c r="Y1578" s="281">
        <f t="shared" si="1954"/>
        <v>-65.311885181128815</v>
      </c>
      <c r="Z1578" s="281">
        <f t="shared" si="1954"/>
        <v>18.294475781874169</v>
      </c>
      <c r="AA1578" s="281">
        <f t="shared" si="1954"/>
        <v>79.353571507967018</v>
      </c>
      <c r="AB1578" s="281">
        <f t="shared" si="1954"/>
        <v>30.50310398653383</v>
      </c>
      <c r="AC1578" s="281">
        <f t="shared" si="1954"/>
        <v>114.821911149787</v>
      </c>
      <c r="AD1578" s="281">
        <f t="shared" si="1954"/>
        <v>68.604597171861514</v>
      </c>
      <c r="AE1578" s="281">
        <f t="shared" si="1954"/>
        <v>421.19002190420133</v>
      </c>
      <c r="AF1578" s="281">
        <f t="shared" si="1954"/>
        <v>156.93077594139191</v>
      </c>
      <c r="AG1578" s="281">
        <f t="shared" si="1954"/>
        <v>365.64008623461882</v>
      </c>
      <c r="AH1578" s="281">
        <f t="shared" si="1954"/>
        <v>63.591187285642917</v>
      </c>
      <c r="AI1578" s="281">
        <f t="shared" si="1954"/>
        <v>81.317297446793845</v>
      </c>
      <c r="AJ1578" s="281">
        <f t="shared" si="1954"/>
        <v>324.76453314902864</v>
      </c>
      <c r="AK1578" s="281">
        <f t="shared" si="1954"/>
        <v>870.75810901171985</v>
      </c>
      <c r="AL1578" s="281">
        <f t="shared" si="1954"/>
        <v>739.30038599237776</v>
      </c>
      <c r="AM1578" s="281">
        <f t="shared" si="1954"/>
        <v>277.65352748694568</v>
      </c>
      <c r="AN1578" s="281"/>
      <c r="AO1578" s="281"/>
      <c r="AP1578" s="281"/>
      <c r="AQ1578" s="281"/>
      <c r="AR1578" s="281"/>
      <c r="AS1578" s="281"/>
      <c r="AT1578" s="281"/>
    </row>
    <row r="1579" spans="1:47" hidden="1">
      <c r="A1579" s="1"/>
      <c r="B1579" s="1"/>
      <c r="C1579" s="1"/>
      <c r="D1579" s="101" t="s">
        <v>3204</v>
      </c>
      <c r="E1579" s="102"/>
      <c r="F1579" s="102"/>
      <c r="G1579" s="102"/>
      <c r="H1579" s="102"/>
      <c r="I1579" s="109"/>
      <c r="J1579" s="110"/>
      <c r="K1579" s="110"/>
      <c r="L1579" s="110"/>
      <c r="M1579" s="110"/>
      <c r="N1579" s="110"/>
      <c r="O1579" s="110"/>
      <c r="P1579" s="110"/>
      <c r="Q1579" s="110"/>
      <c r="R1579" s="110"/>
      <c r="S1579" s="111"/>
      <c r="T1579" s="110"/>
      <c r="U1579" s="107"/>
      <c r="V1579" s="107"/>
      <c r="W1579" s="107"/>
      <c r="X1579" s="107"/>
      <c r="Y1579" s="276">
        <f t="shared" ref="Y1579:AK1579" si="1955">+Y1580+Y1581</f>
        <v>38.602300000000007</v>
      </c>
      <c r="Z1579" s="276">
        <f t="shared" si="1955"/>
        <v>29.683299999999996</v>
      </c>
      <c r="AA1579" s="276">
        <f t="shared" si="1955"/>
        <v>86.998343921577913</v>
      </c>
      <c r="AB1579" s="276">
        <f t="shared" si="1955"/>
        <v>1.5391121568442756</v>
      </c>
      <c r="AC1579" s="276">
        <f t="shared" si="1955"/>
        <v>99.590099999999865</v>
      </c>
      <c r="AD1579" s="276">
        <f t="shared" si="1955"/>
        <v>56.959999999999951</v>
      </c>
      <c r="AE1579" s="276">
        <f t="shared" si="1955"/>
        <v>182.46279999999996</v>
      </c>
      <c r="AF1579" s="276">
        <f t="shared" si="1955"/>
        <v>88.683799999999948</v>
      </c>
      <c r="AG1579" s="276">
        <f t="shared" si="1955"/>
        <v>162.75593499999985</v>
      </c>
      <c r="AH1579" s="276">
        <f t="shared" si="1955"/>
        <v>194.06760000000014</v>
      </c>
      <c r="AI1579" s="276">
        <f t="shared" si="1955"/>
        <v>120.90009999999992</v>
      </c>
      <c r="AJ1579" s="276">
        <f t="shared" si="1955"/>
        <v>128.6496928890401</v>
      </c>
      <c r="AK1579" s="276">
        <f t="shared" si="1955"/>
        <v>127.93609010486</v>
      </c>
      <c r="AL1579" s="276">
        <f>+AL1580+AL1581</f>
        <v>201.39919719354</v>
      </c>
      <c r="AM1579" s="276">
        <f>+AM1580+AM1581</f>
        <v>163.41894904854001</v>
      </c>
      <c r="AN1579" s="276"/>
      <c r="AO1579" s="276"/>
      <c r="AP1579" s="276"/>
      <c r="AQ1579" s="276"/>
      <c r="AR1579" s="276"/>
      <c r="AS1579" s="276"/>
      <c r="AT1579" s="276"/>
    </row>
    <row r="1580" spans="1:47" hidden="1">
      <c r="A1580" s="1"/>
      <c r="B1580" s="1"/>
      <c r="C1580" s="1"/>
      <c r="D1580" s="108" t="s">
        <v>117</v>
      </c>
      <c r="E1580" s="102"/>
      <c r="F1580" s="102"/>
      <c r="G1580" s="102"/>
      <c r="H1580" s="102"/>
      <c r="I1580" s="109"/>
      <c r="J1580" s="110"/>
      <c r="K1580" s="110"/>
      <c r="L1580" s="110"/>
      <c r="M1580" s="110"/>
      <c r="N1580" s="110"/>
      <c r="O1580" s="110"/>
      <c r="P1580" s="110"/>
      <c r="Q1580" s="110"/>
      <c r="R1580" s="110"/>
      <c r="S1580" s="111"/>
      <c r="T1580" s="110"/>
      <c r="U1580" s="107"/>
      <c r="V1580" s="107"/>
      <c r="W1580" s="107"/>
      <c r="X1580" s="107"/>
      <c r="Y1580" s="571">
        <f>FISCinyear!HQ906</f>
        <v>20.575200000000002</v>
      </c>
      <c r="Z1580" s="571">
        <f>FISCinyear!HT906</f>
        <v>12.880599999999996</v>
      </c>
      <c r="AA1580" s="571">
        <f>FISCinyear!HW906</f>
        <v>42.454099999999983</v>
      </c>
      <c r="AB1580" s="571">
        <f>FISCinyear!HZ906</f>
        <v>14.192256078422098</v>
      </c>
      <c r="AC1580" s="571">
        <f>FISCinyear!IC906</f>
        <v>35.90549999999989</v>
      </c>
      <c r="AD1580" s="571">
        <f>FISCinyear!IF906</f>
        <v>51.732900000000001</v>
      </c>
      <c r="AE1580" s="571">
        <f>FISCinyear!II906</f>
        <v>84.88360000000003</v>
      </c>
      <c r="AF1580" s="571">
        <f>FISCinyear!IL906</f>
        <v>56.695709999999949</v>
      </c>
      <c r="AG1580" s="571">
        <f>FISCinyear!IO906</f>
        <v>-4.5811000000000632</v>
      </c>
      <c r="AH1580" s="571">
        <f>FISCinyear!IR906</f>
        <v>85.089600000000132</v>
      </c>
      <c r="AI1580" s="571">
        <f>FISCinyear!IU906</f>
        <v>9.7720000000000198</v>
      </c>
      <c r="AJ1580" s="571">
        <f>FISCinyear!IX906</f>
        <v>55.186585800360092</v>
      </c>
      <c r="AK1580" s="571">
        <f>FISCinyear!JA906</f>
        <v>73.463107088680005</v>
      </c>
      <c r="AL1580" s="571">
        <f>FISCinyear!JB906</f>
        <v>146.92621417736001</v>
      </c>
      <c r="AM1580" s="571">
        <f>FISCinyear!JC906</f>
        <v>54.472983016180002</v>
      </c>
      <c r="AN1580" s="571"/>
      <c r="AO1580" s="571"/>
      <c r="AP1580" s="571"/>
      <c r="AQ1580" s="571"/>
      <c r="AR1580" s="571"/>
      <c r="AS1580" s="571"/>
      <c r="AT1580" s="571"/>
    </row>
    <row r="1581" spans="1:47" hidden="1">
      <c r="A1581" s="1"/>
      <c r="B1581" s="1"/>
      <c r="C1581" s="1"/>
      <c r="D1581" s="108" t="s">
        <v>118</v>
      </c>
      <c r="E1581" s="102"/>
      <c r="F1581" s="102"/>
      <c r="G1581" s="102"/>
      <c r="H1581" s="102"/>
      <c r="I1581" s="109"/>
      <c r="J1581" s="110"/>
      <c r="K1581" s="110"/>
      <c r="L1581" s="110"/>
      <c r="M1581" s="110"/>
      <c r="N1581" s="110"/>
      <c r="O1581" s="110"/>
      <c r="P1581" s="110"/>
      <c r="Q1581" s="110"/>
      <c r="R1581" s="110"/>
      <c r="S1581" s="111"/>
      <c r="T1581" s="110"/>
      <c r="U1581" s="107"/>
      <c r="V1581" s="107"/>
      <c r="W1581" s="107"/>
      <c r="X1581" s="107"/>
      <c r="Y1581" s="571">
        <f>FISCinyear!HS906</f>
        <v>18.027100000000004</v>
      </c>
      <c r="Z1581" s="1127">
        <f>FISCinyear!HV906</f>
        <v>16.802700000000002</v>
      </c>
      <c r="AA1581" s="1127">
        <f>FISCinyear!HY906</f>
        <v>44.544243921577923</v>
      </c>
      <c r="AB1581" s="571">
        <f>FISCinyear!IB906</f>
        <v>-12.653143921577822</v>
      </c>
      <c r="AC1581" s="571">
        <f>FISCinyear!IE906</f>
        <v>63.684599999999975</v>
      </c>
      <c r="AD1581" s="571">
        <f>FISCinyear!IH906</f>
        <v>5.2270999999999503</v>
      </c>
      <c r="AE1581" s="571">
        <f>FISCinyear!IK906</f>
        <v>97.579199999999943</v>
      </c>
      <c r="AF1581" s="571">
        <f>FISCinyear!IN906</f>
        <v>31.98809</v>
      </c>
      <c r="AG1581" s="571">
        <f>FISCinyear!IQ906</f>
        <v>167.33703499999993</v>
      </c>
      <c r="AH1581" s="571">
        <f>FISCinyear!IT906</f>
        <v>108.97799999999999</v>
      </c>
      <c r="AI1581" s="571">
        <f>FISCinyear!IW906</f>
        <v>111.1280999999999</v>
      </c>
      <c r="AJ1581" s="571">
        <f>FISCinyear!IZ906</f>
        <v>73.463107088680005</v>
      </c>
      <c r="AK1581" s="571">
        <f>FISCinyear!JC906</f>
        <v>54.472983016180002</v>
      </c>
      <c r="AL1581" s="571">
        <f>FISCinyear!JD906</f>
        <v>54.472983016180002</v>
      </c>
      <c r="AM1581" s="571">
        <f>FISCinyear!JE906</f>
        <v>108.94596603236</v>
      </c>
      <c r="AN1581" s="571"/>
      <c r="AO1581" s="571"/>
      <c r="AP1581" s="571"/>
      <c r="AQ1581" s="571"/>
      <c r="AR1581" s="571"/>
      <c r="AS1581" s="571"/>
      <c r="AT1581" s="571"/>
    </row>
    <row r="1582" spans="1:47" hidden="1">
      <c r="A1582" s="1"/>
      <c r="B1582" s="1"/>
      <c r="C1582" s="1"/>
      <c r="D1582" s="568" t="s">
        <v>3203</v>
      </c>
      <c r="E1582" s="102"/>
      <c r="F1582" s="102"/>
      <c r="G1582" s="102"/>
      <c r="H1582" s="102"/>
      <c r="I1582" s="109"/>
      <c r="J1582" s="110"/>
      <c r="K1582" s="110"/>
      <c r="L1582" s="110"/>
      <c r="M1582" s="110"/>
      <c r="N1582" s="110"/>
      <c r="O1582" s="110"/>
      <c r="P1582" s="110"/>
      <c r="Q1582" s="110"/>
      <c r="R1582" s="110"/>
      <c r="S1582" s="111"/>
      <c r="T1582" s="110"/>
      <c r="U1582" s="107"/>
      <c r="V1582" s="107"/>
      <c r="W1582" s="107"/>
      <c r="X1582" s="107"/>
      <c r="Y1582" s="281">
        <f t="shared" ref="Y1582:AM1582" si="1956">Y1227</f>
        <v>-11.653900000000029</v>
      </c>
      <c r="Z1582" s="281">
        <f t="shared" si="1956"/>
        <v>30.907699999999998</v>
      </c>
      <c r="AA1582" s="281">
        <f t="shared" si="1956"/>
        <v>59.256799999999984</v>
      </c>
      <c r="AB1582" s="281">
        <f t="shared" si="1956"/>
        <v>58.736500000000021</v>
      </c>
      <c r="AC1582" s="281">
        <f t="shared" si="1956"/>
        <v>23.252356078422068</v>
      </c>
      <c r="AD1582" s="281">
        <f t="shared" si="1956"/>
        <v>115.41749999999998</v>
      </c>
      <c r="AE1582" s="281">
        <f t="shared" si="1956"/>
        <v>90.11069999999998</v>
      </c>
      <c r="AF1582" s="281">
        <f t="shared" si="1956"/>
        <v>154.27490999999989</v>
      </c>
      <c r="AG1582" s="281">
        <f t="shared" si="1956"/>
        <v>27.406989999999936</v>
      </c>
      <c r="AH1582" s="281">
        <f t="shared" si="1956"/>
        <v>252.42663500000006</v>
      </c>
      <c r="AI1582" s="281">
        <f t="shared" si="1956"/>
        <v>118.75000000000001</v>
      </c>
      <c r="AJ1582" s="281">
        <f t="shared" si="1956"/>
        <v>166.31468580036</v>
      </c>
      <c r="AK1582" s="281">
        <f t="shared" si="1956"/>
        <v>146.92621417736001</v>
      </c>
      <c r="AL1582" s="281">
        <f t="shared" si="1956"/>
        <v>108.94596603236</v>
      </c>
      <c r="AM1582" s="281">
        <f t="shared" si="1956"/>
        <v>184.73796438635998</v>
      </c>
      <c r="AN1582" s="281"/>
      <c r="AO1582" s="281"/>
      <c r="AP1582" s="281"/>
      <c r="AQ1582" s="281"/>
      <c r="AR1582" s="281"/>
      <c r="AS1582" s="281"/>
      <c r="AT1582" s="281"/>
    </row>
    <row r="1583" spans="1:47" hidden="1">
      <c r="A1583" s="1"/>
      <c r="B1583" s="1"/>
      <c r="C1583" s="1"/>
      <c r="D1583" s="570" t="s">
        <v>3200</v>
      </c>
      <c r="E1583" s="272"/>
      <c r="F1583" s="272"/>
      <c r="G1583" s="272"/>
      <c r="H1583" s="272"/>
      <c r="I1583" s="273"/>
      <c r="J1583" s="274"/>
      <c r="K1583" s="274"/>
      <c r="L1583" s="274"/>
      <c r="M1583" s="274"/>
      <c r="N1583" s="274"/>
      <c r="O1583" s="274"/>
      <c r="P1583" s="274"/>
      <c r="Q1583" s="274"/>
      <c r="R1583" s="274"/>
      <c r="S1583" s="275"/>
      <c r="T1583" s="274"/>
      <c r="U1583" s="285"/>
      <c r="V1583" s="285"/>
      <c r="W1583" s="285"/>
      <c r="X1583" s="285"/>
      <c r="Y1583" s="285"/>
      <c r="Z1583" s="276">
        <f>+Z1584+Z1585</f>
        <v>110.1198</v>
      </c>
      <c r="AA1583" s="276">
        <f t="shared" ref="AA1583:AK1583" si="1957">+AA1584+AA1585</f>
        <v>68.842742365996457</v>
      </c>
      <c r="AB1583" s="276">
        <f>+AB1584+AB1585</f>
        <v>108.94586832442576</v>
      </c>
      <c r="AC1583" s="276">
        <f>+AC1584+AC1585</f>
        <v>70.084645387999842</v>
      </c>
      <c r="AD1583" s="276">
        <f t="shared" si="1957"/>
        <v>201.87969999999993</v>
      </c>
      <c r="AE1583" s="276">
        <f t="shared" si="1957"/>
        <v>379.82150000000001</v>
      </c>
      <c r="AF1583" s="276">
        <f t="shared" si="1957"/>
        <v>199.13878500000004</v>
      </c>
      <c r="AG1583" s="276">
        <f t="shared" si="1957"/>
        <v>392.94913499999996</v>
      </c>
      <c r="AH1583" s="276">
        <f t="shared" si="1957"/>
        <v>244.04310000000015</v>
      </c>
      <c r="AI1583" s="276">
        <f t="shared" si="1957"/>
        <v>310.24409999999989</v>
      </c>
      <c r="AJ1583" s="276">
        <f t="shared" si="1957"/>
        <v>74.756359866758373</v>
      </c>
      <c r="AK1583" s="276">
        <f t="shared" si="1957"/>
        <v>10.152358251802838</v>
      </c>
      <c r="AL1583" s="276">
        <f>+AL1584+AL1585</f>
        <v>5.5029031300599058</v>
      </c>
      <c r="AM1583" s="276">
        <f>+AM1584+AM1585</f>
        <v>157.45453460374762</v>
      </c>
      <c r="AN1583" s="276"/>
      <c r="AO1583" s="276"/>
      <c r="AP1583" s="276"/>
      <c r="AQ1583" s="276"/>
      <c r="AR1583" s="276"/>
      <c r="AS1583" s="276"/>
      <c r="AT1583" s="276"/>
    </row>
    <row r="1584" spans="1:47" hidden="1">
      <c r="A1584" s="1"/>
      <c r="B1584" s="1"/>
      <c r="C1584" s="1"/>
      <c r="D1584" s="108" t="s">
        <v>117</v>
      </c>
      <c r="E1584" s="102"/>
      <c r="F1584" s="102"/>
      <c r="G1584" s="102"/>
      <c r="H1584" s="102"/>
      <c r="I1584" s="109"/>
      <c r="J1584" s="110"/>
      <c r="K1584" s="110"/>
      <c r="L1584" s="110"/>
      <c r="M1584" s="110"/>
      <c r="N1584" s="110"/>
      <c r="O1584" s="110"/>
      <c r="P1584" s="110"/>
      <c r="Q1584" s="110"/>
      <c r="R1584" s="110"/>
      <c r="S1584" s="111"/>
      <c r="T1584" s="110"/>
      <c r="U1584" s="114"/>
      <c r="V1584" s="114"/>
      <c r="W1584" s="114"/>
      <c r="X1584" s="114"/>
      <c r="Y1584" s="571">
        <f>FISCinyear!HQ898</f>
        <v>24.990999999999993</v>
      </c>
      <c r="Z1584" s="571">
        <f>FISCinyear!HT898</f>
        <v>73.578599999999994</v>
      </c>
      <c r="AA1584" s="571">
        <f>FISCinyear!HW898</f>
        <v>55.127499999999984</v>
      </c>
      <c r="AB1584" s="571">
        <f>FISCinyear!HZ898</f>
        <v>42.354757634003555</v>
      </c>
      <c r="AC1584" s="571">
        <f>FISCinyear!IC898</f>
        <v>19.927145387999872</v>
      </c>
      <c r="AD1584" s="571">
        <f>FISCinyear!IF898</f>
        <v>155.33709999999996</v>
      </c>
      <c r="AE1584" s="571">
        <f>FISCinyear!II898</f>
        <v>224.8456000000001</v>
      </c>
      <c r="AF1584" s="571">
        <f>FISCinyear!IL898</f>
        <v>122.28672999999996</v>
      </c>
      <c r="AG1584" s="571">
        <f>FISCinyear!IO898</f>
        <v>146.95281499999999</v>
      </c>
      <c r="AH1584" s="571">
        <f>FISCinyear!IR898</f>
        <v>48.633000000000152</v>
      </c>
      <c r="AI1584" s="571">
        <f>FISCinyear!IU898</f>
        <v>-40.92259999999996</v>
      </c>
      <c r="AJ1584" s="571">
        <f>FISCinyear!IX898</f>
        <v>-195.94495791319156</v>
      </c>
      <c r="AK1584" s="571">
        <f>FISCinyear!JA898</f>
        <v>-134.11607758334392</v>
      </c>
      <c r="AL1584" s="571">
        <f>FISCinyear!JB898</f>
        <v>136.58524019660587</v>
      </c>
      <c r="AM1584" s="571">
        <f>FISCinyear!JC898</f>
        <v>144.26843583514676</v>
      </c>
      <c r="AN1584" s="571"/>
      <c r="AO1584" s="571"/>
      <c r="AP1584" s="571"/>
      <c r="AQ1584" s="571"/>
      <c r="AR1584" s="571"/>
      <c r="AS1584" s="571"/>
      <c r="AT1584" s="571"/>
    </row>
    <row r="1585" spans="1:46" hidden="1">
      <c r="A1585" s="1"/>
      <c r="B1585" s="1"/>
      <c r="C1585" s="1"/>
      <c r="D1585" s="108" t="s">
        <v>118</v>
      </c>
      <c r="E1585" s="102"/>
      <c r="F1585" s="102"/>
      <c r="G1585" s="102"/>
      <c r="H1585" s="102"/>
      <c r="I1585" s="109"/>
      <c r="J1585" s="110"/>
      <c r="K1585" s="110"/>
      <c r="L1585" s="110"/>
      <c r="M1585" s="110"/>
      <c r="N1585" s="110"/>
      <c r="O1585" s="110"/>
      <c r="P1585" s="110"/>
      <c r="Q1585" s="110"/>
      <c r="R1585" s="110"/>
      <c r="S1585" s="111"/>
      <c r="T1585" s="110"/>
      <c r="U1585" s="114"/>
      <c r="V1585" s="114"/>
      <c r="W1585" s="114"/>
      <c r="X1585" s="571">
        <f>FISCinyear!HP898</f>
        <v>10.375399999999974</v>
      </c>
      <c r="Y1585" s="571">
        <f>FISCinyear!HS898</f>
        <v>37.426400000000015</v>
      </c>
      <c r="Z1585" s="571">
        <f>FISCinyear!HV898</f>
        <v>36.541199999999996</v>
      </c>
      <c r="AA1585" s="571">
        <f>FISCinyear!HY898</f>
        <v>13.715242365996481</v>
      </c>
      <c r="AB1585" s="571">
        <f>FISCinyear!IB898</f>
        <v>66.591110690422198</v>
      </c>
      <c r="AC1585" s="571">
        <f>FISCinyear!IE898</f>
        <v>50.15749999999997</v>
      </c>
      <c r="AD1585" s="571">
        <f>FISCinyear!IH898</f>
        <v>46.542599999999965</v>
      </c>
      <c r="AE1585" s="571">
        <f>FISCinyear!IK898</f>
        <v>154.97589999999991</v>
      </c>
      <c r="AF1585" s="571">
        <f>FISCinyear!IN898</f>
        <v>76.852055000000064</v>
      </c>
      <c r="AG1585" s="571">
        <f>FISCinyear!IQ898</f>
        <v>245.99631999999994</v>
      </c>
      <c r="AH1585" s="571">
        <f>FISCinyear!IT898</f>
        <v>195.4101</v>
      </c>
      <c r="AI1585" s="571">
        <f>FISCinyear!IW898</f>
        <v>351.16669999999988</v>
      </c>
      <c r="AJ1585" s="571">
        <f>FISCinyear!IZ898</f>
        <v>270.70131777994993</v>
      </c>
      <c r="AK1585" s="571">
        <f>FISCinyear!JC898</f>
        <v>144.26843583514676</v>
      </c>
      <c r="AL1585" s="571">
        <f>FISCinyear!JD898</f>
        <v>-131.08233706654596</v>
      </c>
      <c r="AM1585" s="571">
        <f>FISCinyear!JE898</f>
        <v>13.186098768600871</v>
      </c>
      <c r="AN1585" s="571"/>
      <c r="AO1585" s="571"/>
      <c r="AP1585" s="571"/>
      <c r="AQ1585" s="571"/>
      <c r="AR1585" s="571"/>
      <c r="AS1585" s="571"/>
      <c r="AT1585" s="571"/>
    </row>
    <row r="1586" spans="1:46" hidden="1">
      <c r="A1586" s="1"/>
      <c r="B1586" s="1"/>
      <c r="C1586" s="1"/>
      <c r="D1586" s="568" t="s">
        <v>3202</v>
      </c>
      <c r="E1586" s="102"/>
      <c r="F1586" s="102"/>
      <c r="G1586" s="102"/>
      <c r="H1586" s="102"/>
      <c r="I1586" s="109"/>
      <c r="J1586" s="110"/>
      <c r="K1586" s="110"/>
      <c r="L1586" s="110"/>
      <c r="M1586" s="110"/>
      <c r="N1586" s="110"/>
      <c r="O1586" s="110"/>
      <c r="P1586" s="110"/>
      <c r="Q1586" s="110"/>
      <c r="R1586" s="110"/>
      <c r="S1586" s="111"/>
      <c r="T1586" s="110"/>
      <c r="U1586" s="277"/>
      <c r="V1586" s="277"/>
      <c r="W1586" s="277"/>
      <c r="X1586" s="281">
        <f t="shared" ref="X1586:AM1586" si="1958">X1219</f>
        <v>-216.29712944561442</v>
      </c>
      <c r="Y1586" s="281">
        <f t="shared" si="1958"/>
        <v>35.36639999999997</v>
      </c>
      <c r="Z1586" s="281">
        <f t="shared" si="1958"/>
        <v>111.00500000000001</v>
      </c>
      <c r="AA1586" s="281">
        <f t="shared" si="1958"/>
        <v>91.668699999999973</v>
      </c>
      <c r="AB1586" s="281">
        <f t="shared" si="1958"/>
        <v>56.070000000000036</v>
      </c>
      <c r="AC1586" s="281">
        <f t="shared" si="1958"/>
        <v>86.51825607842207</v>
      </c>
      <c r="AD1586" s="281">
        <f t="shared" si="1958"/>
        <v>205.49459999999993</v>
      </c>
      <c r="AE1586" s="281">
        <f t="shared" si="1958"/>
        <v>271.3882000000001</v>
      </c>
      <c r="AF1586" s="281">
        <f t="shared" si="1958"/>
        <v>277.26262999999989</v>
      </c>
      <c r="AG1586" s="281">
        <f t="shared" si="1958"/>
        <v>223.80487000000005</v>
      </c>
      <c r="AH1586" s="281">
        <f t="shared" si="1958"/>
        <v>294.62932000000012</v>
      </c>
      <c r="AI1586" s="281">
        <f t="shared" si="1958"/>
        <v>154.48750000000004</v>
      </c>
      <c r="AJ1586" s="281">
        <f t="shared" si="1958"/>
        <v>155.22174208680832</v>
      </c>
      <c r="AK1586" s="281">
        <f t="shared" si="1958"/>
        <v>136.58524019660587</v>
      </c>
      <c r="AL1586" s="281">
        <f t="shared" si="1958"/>
        <v>13.186098768600871</v>
      </c>
      <c r="AM1586" s="281">
        <f t="shared" si="1958"/>
        <v>309.45686767662221</v>
      </c>
      <c r="AN1586" s="281"/>
      <c r="AO1586" s="281"/>
      <c r="AP1586" s="281"/>
      <c r="AQ1586" s="281"/>
      <c r="AR1586" s="281"/>
      <c r="AS1586" s="281"/>
      <c r="AT1586" s="281"/>
    </row>
    <row r="1587" spans="1:46" hidden="1">
      <c r="A1587" s="1"/>
      <c r="B1587" s="1"/>
      <c r="C1587" s="1"/>
      <c r="D1587" s="271" t="s">
        <v>3207</v>
      </c>
      <c r="E1587" s="272"/>
      <c r="F1587" s="272"/>
      <c r="G1587" s="272"/>
      <c r="H1587" s="272"/>
      <c r="I1587" s="273"/>
      <c r="J1587" s="274"/>
      <c r="K1587" s="274"/>
      <c r="L1587" s="274"/>
      <c r="M1587" s="274"/>
      <c r="N1587" s="274"/>
      <c r="O1587" s="274"/>
      <c r="P1587" s="274"/>
      <c r="Q1587" s="274"/>
      <c r="R1587" s="274"/>
      <c r="S1587" s="275"/>
      <c r="T1587" s="274"/>
      <c r="U1587" s="274"/>
      <c r="V1587" s="276"/>
      <c r="W1587" s="276"/>
      <c r="X1587" s="276">
        <f>+X261-W261</f>
        <v>0</v>
      </c>
      <c r="Y1587" s="276">
        <f t="shared" ref="Y1587:AK1587" si="1959">+Y1588+Y1589</f>
        <v>-114.46077778072018</v>
      </c>
      <c r="Z1587" s="276">
        <f t="shared" si="1959"/>
        <v>13.523909733484302</v>
      </c>
      <c r="AA1587" s="276">
        <f t="shared" si="1959"/>
        <v>4.8870216801895765</v>
      </c>
      <c r="AB1587" s="276">
        <f t="shared" si="1959"/>
        <v>50.497794455004794</v>
      </c>
      <c r="AC1587" s="276">
        <f t="shared" si="1959"/>
        <v>73.255690738601572</v>
      </c>
      <c r="AD1587" s="633">
        <f>+AD1588+AD1589</f>
        <v>70.452174275622326</v>
      </c>
      <c r="AE1587" s="633">
        <f>+AE1588+AE1589</f>
        <v>419.61410910720497</v>
      </c>
      <c r="AF1587" s="633">
        <f t="shared" si="1959"/>
        <v>-55.15872858776126</v>
      </c>
      <c r="AG1587" s="633">
        <f t="shared" si="1959"/>
        <v>-70.275305601218292</v>
      </c>
      <c r="AH1587" s="633">
        <f>+AH1588+AH1589</f>
        <v>194.30647935743673</v>
      </c>
      <c r="AI1587" s="633">
        <f t="shared" si="1959"/>
        <v>507.60572690163485</v>
      </c>
      <c r="AJ1587" s="633">
        <f t="shared" si="1959"/>
        <v>-448.11418803478807</v>
      </c>
      <c r="AK1587" s="633">
        <f t="shared" si="1959"/>
        <v>117.06573445982951</v>
      </c>
      <c r="AL1587" s="633">
        <f>+AL1588+AL1589</f>
        <v>172.18537561727749</v>
      </c>
      <c r="AM1587" s="633">
        <f>+AM1588+AM1589</f>
        <v>185.83827990714468</v>
      </c>
      <c r="AN1587" s="633"/>
      <c r="AO1587" s="633"/>
      <c r="AP1587" s="633"/>
      <c r="AQ1587" s="633"/>
      <c r="AR1587" s="633"/>
      <c r="AS1587" s="633"/>
      <c r="AT1587" s="633"/>
    </row>
    <row r="1588" spans="1:46" hidden="1">
      <c r="A1588" s="1"/>
      <c r="B1588" s="1"/>
      <c r="C1588" s="1"/>
      <c r="D1588" s="113" t="str">
        <f>+D1576</f>
        <v xml:space="preserve">     Jan-June </v>
      </c>
      <c r="E1588" s="102" t="s">
        <v>762</v>
      </c>
      <c r="F1588" s="102"/>
      <c r="G1588" s="102"/>
      <c r="H1588" s="102"/>
      <c r="I1588" s="109"/>
      <c r="J1588" s="110"/>
      <c r="K1588" s="110"/>
      <c r="L1588" s="110"/>
      <c r="M1588" s="110"/>
      <c r="N1588" s="110"/>
      <c r="O1588" s="110"/>
      <c r="P1588" s="110"/>
      <c r="Q1588" s="110"/>
      <c r="R1588" s="110"/>
      <c r="S1588" s="111"/>
      <c r="T1588" s="110"/>
      <c r="U1588" s="110"/>
      <c r="V1588" s="584" t="s">
        <v>774</v>
      </c>
      <c r="W1588" s="110"/>
      <c r="X1588" s="564">
        <f>+X262-W261</f>
        <v>0</v>
      </c>
      <c r="Y1588" s="564">
        <f>FISCinyear!HQ859</f>
        <v>-158.07500854512884</v>
      </c>
      <c r="Z1588" s="564">
        <f>FISCinyear!HT859</f>
        <v>-89.000857572534485</v>
      </c>
      <c r="AA1588" s="284">
        <f>FISCinyear!HW859</f>
        <v>-73.51991747005178</v>
      </c>
      <c r="AB1588" s="283">
        <f>FISCinyear!HZ859</f>
        <v>-65.562923813707528</v>
      </c>
      <c r="AC1588" s="283">
        <f>FISCinyear!IC859</f>
        <v>-67.874385685925319</v>
      </c>
      <c r="AD1588" s="672">
        <f>FISCinyear!IF859</f>
        <v>-102.49423698466535</v>
      </c>
      <c r="AE1588" s="672">
        <f>FISCinyear!II859</f>
        <v>134.59604671191369</v>
      </c>
      <c r="AF1588" s="672">
        <f>FISCinyear!IL859+44.6237355240128</f>
        <v>-197.23030586888657</v>
      </c>
      <c r="AG1588" s="672">
        <f>FISCinyear!IO859</f>
        <v>66.637973986493535</v>
      </c>
      <c r="AH1588" s="672">
        <f>FISCinyear!IR859</f>
        <v>59.069300245384738</v>
      </c>
      <c r="AI1588" s="672">
        <f>FISCinyear!IU859</f>
        <v>-165.32572598425816</v>
      </c>
      <c r="AJ1588" s="672">
        <f>FISCinyear!IX859</f>
        <v>-503.23382919223604</v>
      </c>
      <c r="AK1588" s="672">
        <f>FISCinyear!JA859</f>
        <v>55.119641157447958</v>
      </c>
      <c r="AL1588" s="672">
        <f>FISCinyear!JB859</f>
        <v>110.23928231489592</v>
      </c>
      <c r="AM1588" s="672">
        <f>FISCinyear!JC859</f>
        <v>61.946093302381556</v>
      </c>
      <c r="AN1588" s="672"/>
      <c r="AO1588" s="672"/>
      <c r="AP1588" s="672"/>
      <c r="AQ1588" s="672"/>
      <c r="AR1588" s="672"/>
      <c r="AS1588" s="672"/>
      <c r="AT1588" s="672"/>
    </row>
    <row r="1589" spans="1:46" hidden="1">
      <c r="A1589" s="1"/>
      <c r="B1589" s="1"/>
      <c r="C1589" s="1"/>
      <c r="D1589" s="113" t="str">
        <f>+D1577</f>
        <v xml:space="preserve">     July-Dec </v>
      </c>
      <c r="E1589" s="102"/>
      <c r="F1589" s="102"/>
      <c r="G1589" s="102"/>
      <c r="H1589" s="102"/>
      <c r="I1589" s="114"/>
      <c r="J1589" s="114"/>
      <c r="K1589" s="114"/>
      <c r="L1589" s="114"/>
      <c r="M1589" s="114"/>
      <c r="N1589" s="114"/>
      <c r="O1589" s="114"/>
      <c r="P1589" s="114"/>
      <c r="Q1589" s="114"/>
      <c r="R1589" s="114"/>
      <c r="S1589" s="114"/>
      <c r="T1589" s="114"/>
      <c r="U1589" s="114"/>
      <c r="V1589" s="584" t="s">
        <v>762</v>
      </c>
      <c r="W1589" s="564">
        <f>+W261-W262</f>
        <v>0</v>
      </c>
      <c r="X1589" s="564">
        <f>FISCinyear!HP859</f>
        <v>66.741313923999996</v>
      </c>
      <c r="Y1589" s="564">
        <f>FISCinyear!HS859</f>
        <v>43.61423076440866</v>
      </c>
      <c r="Z1589" s="564">
        <f>FISCinyear!HV859</f>
        <v>102.52476730601879</v>
      </c>
      <c r="AA1589" s="564">
        <f>FISCinyear!HY859</f>
        <v>78.406939150241357</v>
      </c>
      <c r="AB1589" s="284">
        <f>FISCinyear!IB859</f>
        <v>116.06071826871232</v>
      </c>
      <c r="AC1589" s="583">
        <f>FISCinyear!IE859</f>
        <v>141.13007642452689</v>
      </c>
      <c r="AD1589" s="671">
        <f>FISCinyear!IH859</f>
        <v>172.94641126028768</v>
      </c>
      <c r="AE1589" s="671">
        <f>FISCinyear!IK859</f>
        <v>285.01806239529128</v>
      </c>
      <c r="AF1589" s="671">
        <f>FISCinyear!IN859</f>
        <v>142.07157728112531</v>
      </c>
      <c r="AG1589" s="671">
        <f>FISCinyear!IQ859</f>
        <v>-136.91327958771183</v>
      </c>
      <c r="AH1589" s="671">
        <f>FISCinyear!IT859</f>
        <v>135.23717911205199</v>
      </c>
      <c r="AI1589" s="671">
        <f>FISCinyear!IW859</f>
        <v>672.93145288589301</v>
      </c>
      <c r="AJ1589" s="671">
        <f>FISCinyear!IZ859</f>
        <v>55.119641157447958</v>
      </c>
      <c r="AK1589" s="671">
        <f>FISCinyear!JC859</f>
        <v>61.946093302381556</v>
      </c>
      <c r="AL1589" s="671">
        <f>FISCinyear!JD859</f>
        <v>61.946093302381556</v>
      </c>
      <c r="AM1589" s="671">
        <f>FISCinyear!JE859</f>
        <v>123.89218660476311</v>
      </c>
      <c r="AN1589" s="671"/>
      <c r="AO1589" s="671"/>
      <c r="AP1589" s="671"/>
      <c r="AQ1589" s="671"/>
      <c r="AR1589" s="671"/>
      <c r="AS1589" s="671"/>
      <c r="AT1589" s="671"/>
    </row>
    <row r="1590" spans="1:46" hidden="1">
      <c r="A1590" s="1"/>
      <c r="B1590" s="1"/>
      <c r="C1590" s="1"/>
      <c r="D1590" s="569" t="s">
        <v>3200</v>
      </c>
      <c r="E1590" s="115"/>
      <c r="F1590" s="115"/>
      <c r="G1590" s="115"/>
      <c r="H1590" s="115"/>
      <c r="I1590" s="277"/>
      <c r="J1590" s="277"/>
      <c r="K1590" s="277"/>
      <c r="L1590" s="277"/>
      <c r="M1590" s="277"/>
      <c r="N1590" s="277"/>
      <c r="O1590" s="277"/>
      <c r="P1590" s="277"/>
      <c r="Q1590" s="277"/>
      <c r="R1590" s="277"/>
      <c r="S1590" s="277"/>
      <c r="T1590" s="277"/>
      <c r="U1590" s="281">
        <f>+U829</f>
        <v>8.4</v>
      </c>
      <c r="V1590" s="281">
        <f>+V829</f>
        <v>77.599999999999994</v>
      </c>
      <c r="W1590" s="282">
        <f>+W829</f>
        <v>-15.4</v>
      </c>
      <c r="X1590" s="281">
        <f t="shared" ref="X1590:AM1590" si="1960">+X1176</f>
        <v>111.70000000000006</v>
      </c>
      <c r="Y1590" s="281">
        <f t="shared" si="1960"/>
        <v>-91.333694621128842</v>
      </c>
      <c r="Z1590" s="281">
        <f t="shared" si="1960"/>
        <v>-45.386626808125826</v>
      </c>
      <c r="AA1590" s="281">
        <f t="shared" si="1960"/>
        <v>29.004849835967008</v>
      </c>
      <c r="AB1590" s="281">
        <f t="shared" si="1960"/>
        <v>12.844015336533829</v>
      </c>
      <c r="AC1590" s="281">
        <f t="shared" si="1960"/>
        <v>48.186332582787003</v>
      </c>
      <c r="AD1590" s="281">
        <f t="shared" si="1960"/>
        <v>38.635839439861542</v>
      </c>
      <c r="AE1590" s="281">
        <f t="shared" si="1960"/>
        <v>307.54245797220136</v>
      </c>
      <c r="AF1590" s="281">
        <f t="shared" si="1960"/>
        <v>43.164021002391905</v>
      </c>
      <c r="AG1590" s="281">
        <f t="shared" si="1960"/>
        <v>208.70955126761885</v>
      </c>
      <c r="AH1590" s="281">
        <f t="shared" si="1960"/>
        <v>-77.843979342327088</v>
      </c>
      <c r="AI1590" s="281">
        <f t="shared" si="1960"/>
        <v>-30.088546872206166</v>
      </c>
      <c r="AJ1590" s="281">
        <f t="shared" si="1960"/>
        <v>169.69762369365699</v>
      </c>
      <c r="AK1590" s="281">
        <f t="shared" si="1960"/>
        <v>110.23928231489592</v>
      </c>
      <c r="AL1590" s="281">
        <f t="shared" si="1960"/>
        <v>123.89218660476311</v>
      </c>
      <c r="AM1590" s="281">
        <f t="shared" si="1960"/>
        <v>139.41480759349844</v>
      </c>
      <c r="AN1590" s="281"/>
      <c r="AO1590" s="281"/>
      <c r="AP1590" s="281"/>
      <c r="AQ1590" s="281"/>
      <c r="AR1590" s="281"/>
      <c r="AS1590" s="281"/>
      <c r="AT1590" s="281"/>
    </row>
    <row r="1591" spans="1:46" hidden="1">
      <c r="A1591" s="1"/>
      <c r="B1591" s="1"/>
      <c r="C1591" s="1"/>
      <c r="D1591" s="112" t="s">
        <v>351</v>
      </c>
      <c r="E1591" s="270" t="s">
        <v>350</v>
      </c>
      <c r="F1591" s="102"/>
      <c r="G1591" s="102"/>
      <c r="H1591" s="102"/>
      <c r="I1591" s="114"/>
      <c r="J1591" s="114"/>
      <c r="K1591" s="114"/>
      <c r="L1591" s="114"/>
      <c r="M1591" s="114"/>
      <c r="N1591" s="114"/>
      <c r="O1591" s="114"/>
      <c r="P1591" s="114"/>
      <c r="Q1591" s="114"/>
      <c r="R1591" s="114"/>
      <c r="S1591" s="114"/>
      <c r="T1591" s="114"/>
      <c r="U1591" s="114"/>
      <c r="V1591" s="114"/>
      <c r="W1591" s="565">
        <f t="shared" ref="W1591:AE1591" si="1961">+W1592+W1593</f>
        <v>-75.261299999999935</v>
      </c>
      <c r="X1591" s="565">
        <f t="shared" si="1961"/>
        <v>50.19999999999996</v>
      </c>
      <c r="Y1591" s="717">
        <f t="shared" si="1961"/>
        <v>-166.14594999999997</v>
      </c>
      <c r="Z1591" s="1109">
        <f t="shared" si="1961"/>
        <v>-60.654050000000012</v>
      </c>
      <c r="AA1591" s="1110">
        <f t="shared" si="1961"/>
        <v>13.445166714427586</v>
      </c>
      <c r="AB1591" s="269">
        <f t="shared" si="1961"/>
        <v>-108.27439894684417</v>
      </c>
      <c r="AC1591" s="269">
        <f t="shared" si="1961"/>
        <v>-164.5748534536128</v>
      </c>
      <c r="AD1591" s="269" t="e">
        <f t="shared" si="1961"/>
        <v>#REF!</v>
      </c>
      <c r="AE1591" s="269" t="e">
        <f t="shared" si="1961"/>
        <v>#REF!</v>
      </c>
      <c r="AF1591" s="269">
        <f t="shared" ref="AF1591:AK1591" si="1962">+AF1592+AF1593</f>
        <v>0</v>
      </c>
      <c r="AG1591" s="269">
        <f>+AG1592+AG1593</f>
        <v>21.283423298999999</v>
      </c>
      <c r="AH1591" s="269">
        <f t="shared" si="1962"/>
        <v>44.269863409999999</v>
      </c>
      <c r="AI1591" s="269">
        <f t="shared" si="1962"/>
        <v>53.11790846000001</v>
      </c>
      <c r="AJ1591" s="269">
        <f t="shared" si="1962"/>
        <v>51.858303088457575</v>
      </c>
      <c r="AK1591" s="269">
        <f t="shared" si="1962"/>
        <v>61.260146900572124</v>
      </c>
      <c r="AL1591" s="269">
        <f>+AL1592+AL1593</f>
        <v>65.991395082942006</v>
      </c>
      <c r="AM1591" s="269">
        <f>+AM1592+AM1593</f>
        <v>111.47284499871937</v>
      </c>
      <c r="AN1591" s="269"/>
      <c r="AO1591" s="269"/>
      <c r="AP1591" s="269"/>
      <c r="AQ1591" s="269"/>
      <c r="AR1591" s="269"/>
      <c r="AS1591" s="269"/>
      <c r="AT1591" s="269"/>
    </row>
    <row r="1592" spans="1:46" hidden="1">
      <c r="A1592" s="1"/>
      <c r="B1592" s="1"/>
      <c r="C1592" s="1"/>
      <c r="D1592" s="113" t="str">
        <f>+D1588</f>
        <v xml:space="preserve">     Jan-June </v>
      </c>
      <c r="E1592" s="270" t="s">
        <v>352</v>
      </c>
      <c r="F1592" s="102"/>
      <c r="G1592" s="102"/>
      <c r="H1592" s="102"/>
      <c r="I1592" s="114"/>
      <c r="J1592" s="114"/>
      <c r="K1592" s="114"/>
      <c r="L1592" s="114"/>
      <c r="M1592" s="114"/>
      <c r="N1592" s="114"/>
      <c r="O1592" s="114"/>
      <c r="P1592" s="114"/>
      <c r="Q1592" s="114"/>
      <c r="R1592" s="114"/>
      <c r="S1592" s="114"/>
      <c r="T1592" s="114"/>
      <c r="U1592" s="114"/>
      <c r="V1592" s="584" t="s">
        <v>774</v>
      </c>
      <c r="W1592" s="564">
        <f>+-(W264-V263)</f>
        <v>-160.06129999999996</v>
      </c>
      <c r="X1592" s="564">
        <f>+-(X264-W263)</f>
        <v>26.900000000000034</v>
      </c>
      <c r="Y1592" s="564">
        <f>+-(Y264-X263)</f>
        <v>-169.04520362714757</v>
      </c>
      <c r="Z1592" s="564">
        <f>+-(Z264-Y263)+0.4</f>
        <v>-145.75405000000001</v>
      </c>
      <c r="AA1592" s="564">
        <f>+-(AA264-Z263)+5.1-0.6</f>
        <v>-80.300000000000011</v>
      </c>
      <c r="AB1592" s="564">
        <f>+-(AB264-AA263)+41.6</f>
        <v>-75.150906305344165</v>
      </c>
      <c r="AC1592" s="292">
        <f t="shared" ref="AC1592:AM1592" si="1963">+AC1594-AB1593</f>
        <v>28.889960064499991</v>
      </c>
      <c r="AD1592" s="292">
        <f t="shared" si="1963"/>
        <v>169.46674656611282</v>
      </c>
      <c r="AE1592" s="292" t="e">
        <f t="shared" si="1963"/>
        <v>#REF!</v>
      </c>
      <c r="AF1592" s="292">
        <f t="shared" si="1963"/>
        <v>0</v>
      </c>
      <c r="AG1592" s="292">
        <f t="shared" si="1963"/>
        <v>0</v>
      </c>
      <c r="AH1592" s="292">
        <f t="shared" si="1963"/>
        <v>21.363942047999998</v>
      </c>
      <c r="AI1592" s="292">
        <f t="shared" si="1963"/>
        <v>25.729018944000007</v>
      </c>
      <c r="AJ1592" s="292">
        <f t="shared" si="1963"/>
        <v>23.593853729356447</v>
      </c>
      <c r="AK1592" s="292">
        <f t="shared" si="1963"/>
        <v>28.264449359101125</v>
      </c>
      <c r="AL1592" s="292">
        <f t="shared" si="1963"/>
        <v>32.995697541471003</v>
      </c>
      <c r="AM1592" s="292">
        <f t="shared" si="1963"/>
        <v>45.481449915777361</v>
      </c>
      <c r="AN1592" s="292"/>
      <c r="AO1592" s="292"/>
      <c r="AP1592" s="292"/>
      <c r="AQ1592" s="292"/>
      <c r="AR1592" s="292"/>
      <c r="AS1592" s="292"/>
      <c r="AT1592" s="292"/>
    </row>
    <row r="1593" spans="1:46" hidden="1">
      <c r="A1593" s="1"/>
      <c r="B1593" s="1"/>
      <c r="C1593" s="1"/>
      <c r="D1593" s="113" t="str">
        <f>+D1589</f>
        <v xml:space="preserve">     July-Dec </v>
      </c>
      <c r="E1593" s="102"/>
      <c r="F1593" s="102"/>
      <c r="G1593" s="102"/>
      <c r="H1593" s="102"/>
      <c r="I1593" s="114"/>
      <c r="J1593" s="114"/>
      <c r="K1593" s="114"/>
      <c r="L1593" s="114"/>
      <c r="M1593" s="114"/>
      <c r="N1593" s="114"/>
      <c r="O1593" s="114"/>
      <c r="P1593" s="114"/>
      <c r="Q1593" s="114"/>
      <c r="R1593" s="114"/>
      <c r="S1593" s="114"/>
      <c r="T1593" s="114"/>
      <c r="U1593" s="114"/>
      <c r="V1593" s="584" t="s">
        <v>762</v>
      </c>
      <c r="W1593" s="564">
        <f>-(W263-W264)</f>
        <v>84.800000000000026</v>
      </c>
      <c r="X1593" s="564">
        <f>-(X263-X264)</f>
        <v>23.299999999999926</v>
      </c>
      <c r="Y1593" s="564">
        <f>-(Y263-Y264)</f>
        <v>2.8992536271476013</v>
      </c>
      <c r="Z1593" s="564">
        <f>-(Z263-Z264)-0.4</f>
        <v>85.1</v>
      </c>
      <c r="AA1593" s="564">
        <f>-(AA263-AA264)-5.1-0.5</f>
        <v>93.745166714427597</v>
      </c>
      <c r="AB1593" s="583">
        <f>+SUM(FISCinyear!IB598)-FISCinyear!IB599+SUM(FISCinyear!IB600:IB609)</f>
        <v>-33.1234926415</v>
      </c>
      <c r="AC1593" s="1112">
        <f>+SUM(FISCinyear!IE598)-FISCinyear!IE599+SUM(FISCinyear!IE600:IE609)</f>
        <v>-193.46481351811281</v>
      </c>
      <c r="AD1593" s="1112" t="e">
        <f>+SUM(FISCinyear!IH598)-FISCinyear!IH599+SUM(FISCinyear!IH600:IH609)</f>
        <v>#REF!</v>
      </c>
      <c r="AE1593" s="1112">
        <f>FISCinyear!IK861+FISCinyear!IK864+FISCinyear!IK870</f>
        <v>13.381292890000001</v>
      </c>
      <c r="AF1593" s="1112">
        <f>FISCinyear!IN861+FISCinyear!IN864+FISCinyear!IN870</f>
        <v>0</v>
      </c>
      <c r="AG1593" s="1112">
        <f>FISCinyear!IQ861+FISCinyear!IQ864+FISCinyear!IQ870</f>
        <v>21.283423298999999</v>
      </c>
      <c r="AH1593" s="1112">
        <f>FISCinyear!IT861+FISCinyear!IT864+FISCinyear!IT870</f>
        <v>22.905921361999997</v>
      </c>
      <c r="AI1593" s="1112">
        <f>FISCinyear!IW861+FISCinyear!IW864+FISCinyear!IW870</f>
        <v>27.388889515999999</v>
      </c>
      <c r="AJ1593" s="1112">
        <f>FISCinyear!IZ861+FISCinyear!IZ864+FISCinyear!IZ870</f>
        <v>28.264449359101125</v>
      </c>
      <c r="AK1593" s="1112">
        <f>FISCinyear!JC861+FISCinyear!JC864+FISCinyear!JC870</f>
        <v>32.995697541471003</v>
      </c>
      <c r="AL1593" s="1112">
        <f>FISCinyear!JD861+FISCinyear!JD864+FISCinyear!JD870</f>
        <v>32.995697541471003</v>
      </c>
      <c r="AM1593" s="1112">
        <f>FISCinyear!JE861+FISCinyear!JE864+FISCinyear!JE870</f>
        <v>65.991395082942006</v>
      </c>
      <c r="AN1593" s="1112"/>
      <c r="AO1593" s="1112"/>
      <c r="AP1593" s="1112"/>
      <c r="AQ1593" s="1112"/>
      <c r="AR1593" s="1112"/>
      <c r="AS1593" s="1112"/>
      <c r="AT1593" s="1112"/>
    </row>
    <row r="1594" spans="1:46" hidden="1">
      <c r="A1594" s="1"/>
      <c r="B1594" s="1"/>
      <c r="C1594" s="1"/>
      <c r="D1594" s="568" t="s">
        <v>770</v>
      </c>
      <c r="E1594" s="270" t="s">
        <v>354</v>
      </c>
      <c r="F1594" s="102"/>
      <c r="G1594" s="102"/>
      <c r="H1594" s="102"/>
      <c r="I1594" s="114"/>
      <c r="J1594" s="114"/>
      <c r="K1594" s="114"/>
      <c r="L1594" s="114"/>
      <c r="M1594" s="114"/>
      <c r="N1594" s="114"/>
      <c r="O1594" s="114"/>
      <c r="P1594" s="114"/>
      <c r="Q1594" s="114"/>
      <c r="R1594" s="114"/>
      <c r="S1594" s="114"/>
      <c r="T1594" s="114"/>
      <c r="U1594" s="114"/>
      <c r="V1594" s="114"/>
      <c r="W1594" s="563">
        <f>-(W264-V264)</f>
        <v>4.1000000000000156</v>
      </c>
      <c r="X1594" s="563">
        <f>-(X264-W264)</f>
        <v>111.70000000000006</v>
      </c>
      <c r="Y1594" s="563">
        <f>-(Y264-X264)</f>
        <v>-145.74520362714765</v>
      </c>
      <c r="Z1594" s="564">
        <f>-(Z264-Y264)+0.4</f>
        <v>-142.85479637285241</v>
      </c>
      <c r="AA1594" s="564">
        <f>+Z1593+AA1592</f>
        <v>4.7999999999999829</v>
      </c>
      <c r="AB1594" s="1111">
        <f>+AA1593+AB1592</f>
        <v>18.594260409083432</v>
      </c>
      <c r="AC1594" s="291">
        <f>+AC840+AC842+SUM(AC832:AC839)</f>
        <v>-4.233532577000009</v>
      </c>
      <c r="AD1594" s="291">
        <f>+AD840+AD842+SUM(AD832:AD839)</f>
        <v>-23.998066952000002</v>
      </c>
      <c r="AE1594" s="291">
        <f>+AE840+AE842+SUM(AE832:AE839)</f>
        <v>2.8523250630233434</v>
      </c>
      <c r="AF1594" s="291">
        <f>+(AF840+AF842+SUM(AF832:AF839))*0+AF1178+AF1181+AF1187</f>
        <v>13.381292890000001</v>
      </c>
      <c r="AG1594" s="291">
        <f t="shared" ref="AG1594:AM1594" si="1964">+AG1178+AG1181+AG1187</f>
        <v>0</v>
      </c>
      <c r="AH1594" s="291">
        <f t="shared" si="1964"/>
        <v>42.647365346999997</v>
      </c>
      <c r="AI1594" s="291">
        <f t="shared" si="1964"/>
        <v>48.634940306000004</v>
      </c>
      <c r="AJ1594" s="291">
        <f t="shared" si="1964"/>
        <v>50.982743245356446</v>
      </c>
      <c r="AK1594" s="291">
        <f t="shared" si="1964"/>
        <v>56.52889871820225</v>
      </c>
      <c r="AL1594" s="291">
        <f t="shared" si="1964"/>
        <v>65.991395082942006</v>
      </c>
      <c r="AM1594" s="291">
        <f t="shared" si="1964"/>
        <v>78.477147457248364</v>
      </c>
      <c r="AN1594" s="291"/>
      <c r="AO1594" s="291"/>
      <c r="AP1594" s="291"/>
      <c r="AQ1594" s="291"/>
      <c r="AR1594" s="291"/>
      <c r="AS1594" s="291"/>
      <c r="AT1594" s="291"/>
    </row>
    <row r="1595" spans="1:46" hidden="1">
      <c r="A1595" s="1"/>
      <c r="B1595" s="1"/>
      <c r="C1595" s="1"/>
      <c r="D1595" s="271" t="s">
        <v>780</v>
      </c>
      <c r="E1595" s="272"/>
      <c r="F1595" s="272"/>
      <c r="G1595" s="272"/>
      <c r="H1595" s="272"/>
      <c r="I1595" s="285"/>
      <c r="J1595" s="285"/>
      <c r="K1595" s="285"/>
      <c r="L1595" s="285"/>
      <c r="M1595" s="285"/>
      <c r="N1595" s="285"/>
      <c r="O1595" s="285"/>
      <c r="P1595" s="285"/>
      <c r="Q1595" s="285"/>
      <c r="R1595" s="285"/>
      <c r="S1595" s="285"/>
      <c r="T1595" s="285"/>
      <c r="U1595" s="285"/>
      <c r="V1595" s="285"/>
      <c r="W1595" s="1115"/>
      <c r="X1595" s="1116"/>
      <c r="Y1595" s="1109">
        <f t="shared" ref="Y1595:AA1598" si="1965">+Y1587-Y1591</f>
        <v>51.685172219279792</v>
      </c>
      <c r="Z1595" s="1109">
        <f t="shared" si="1965"/>
        <v>74.177959733484315</v>
      </c>
      <c r="AA1595" s="1109">
        <f t="shared" si="1965"/>
        <v>-8.5581450342380094</v>
      </c>
      <c r="AB1595" s="288">
        <f t="shared" ref="AB1595:AE1598" si="1966">+AB1587-AB1591</f>
        <v>158.77219340184897</v>
      </c>
      <c r="AC1595" s="288">
        <f t="shared" si="1966"/>
        <v>237.83054419221438</v>
      </c>
      <c r="AD1595" s="288" t="e">
        <f t="shared" si="1966"/>
        <v>#REF!</v>
      </c>
      <c r="AE1595" s="288" t="e">
        <f t="shared" si="1966"/>
        <v>#REF!</v>
      </c>
      <c r="AF1595" s="288">
        <f t="shared" ref="AF1595:AH1598" si="1967">+AF1587-AF1591</f>
        <v>-55.15872858776126</v>
      </c>
      <c r="AG1595" s="288">
        <f t="shared" si="1967"/>
        <v>-91.558728900218284</v>
      </c>
      <c r="AH1595" s="288">
        <f t="shared" si="1967"/>
        <v>150.03661594743673</v>
      </c>
      <c r="AI1595" s="288">
        <f t="shared" ref="AI1595:AK1598" si="1968">+AI1587-AI1591</f>
        <v>454.48781844163483</v>
      </c>
      <c r="AJ1595" s="288">
        <f t="shared" si="1968"/>
        <v>-499.97249112324562</v>
      </c>
      <c r="AK1595" s="288">
        <f t="shared" si="1968"/>
        <v>55.80558755925739</v>
      </c>
      <c r="AL1595" s="288">
        <f t="shared" ref="AL1595:AM1598" si="1969">+AL1587-AL1591</f>
        <v>106.19398053433548</v>
      </c>
      <c r="AM1595" s="288">
        <f t="shared" si="1969"/>
        <v>74.365434908425314</v>
      </c>
      <c r="AN1595" s="288"/>
      <c r="AO1595" s="288"/>
      <c r="AP1595" s="288"/>
      <c r="AQ1595" s="288"/>
      <c r="AR1595" s="288"/>
      <c r="AS1595" s="288"/>
      <c r="AT1595" s="288"/>
    </row>
    <row r="1596" spans="1:46" hidden="1">
      <c r="A1596" s="1"/>
      <c r="B1596" s="1"/>
      <c r="C1596" s="1"/>
      <c r="D1596" s="113" t="str">
        <f>+D1592</f>
        <v xml:space="preserve">     Jan-June </v>
      </c>
      <c r="E1596" s="102"/>
      <c r="F1596" s="102"/>
      <c r="G1596" s="102"/>
      <c r="H1596" s="102"/>
      <c r="I1596" s="114"/>
      <c r="J1596" s="114"/>
      <c r="K1596" s="114"/>
      <c r="L1596" s="114"/>
      <c r="M1596" s="114"/>
      <c r="N1596" s="114"/>
      <c r="O1596" s="114"/>
      <c r="P1596" s="114"/>
      <c r="Q1596" s="114"/>
      <c r="R1596" s="114"/>
      <c r="S1596" s="114"/>
      <c r="T1596" s="114"/>
      <c r="U1596" s="114"/>
      <c r="V1596" s="114"/>
      <c r="W1596" s="1117"/>
      <c r="X1596" s="1114"/>
      <c r="Y1596" s="1114">
        <f t="shared" si="1965"/>
        <v>10.970195082018734</v>
      </c>
      <c r="Z1596" s="1114">
        <f t="shared" si="1965"/>
        <v>56.753192427465521</v>
      </c>
      <c r="AA1596" s="1114">
        <f t="shared" si="1965"/>
        <v>6.7800825299482312</v>
      </c>
      <c r="AB1596" s="1114">
        <f t="shared" si="1966"/>
        <v>9.5879824916366374</v>
      </c>
      <c r="AC1596" s="121">
        <f t="shared" si="1966"/>
        <v>-96.764345750425306</v>
      </c>
      <c r="AD1596" s="121">
        <f t="shared" si="1966"/>
        <v>-271.96098355077817</v>
      </c>
      <c r="AE1596" s="121" t="e">
        <f t="shared" si="1966"/>
        <v>#REF!</v>
      </c>
      <c r="AF1596" s="121">
        <f t="shared" si="1967"/>
        <v>-197.23030586888657</v>
      </c>
      <c r="AG1596" s="121">
        <f t="shared" si="1967"/>
        <v>66.637973986493535</v>
      </c>
      <c r="AH1596" s="121">
        <f t="shared" si="1967"/>
        <v>37.70535819738474</v>
      </c>
      <c r="AI1596" s="121">
        <f t="shared" si="1968"/>
        <v>-191.05474492825817</v>
      </c>
      <c r="AJ1596" s="121">
        <f t="shared" si="1968"/>
        <v>-526.82768292159244</v>
      </c>
      <c r="AK1596" s="121">
        <f t="shared" si="1968"/>
        <v>26.855191798346834</v>
      </c>
      <c r="AL1596" s="121">
        <f t="shared" si="1969"/>
        <v>77.243584773424914</v>
      </c>
      <c r="AM1596" s="121">
        <f t="shared" si="1969"/>
        <v>16.464643386604195</v>
      </c>
      <c r="AN1596" s="121"/>
      <c r="AO1596" s="121"/>
      <c r="AP1596" s="121"/>
      <c r="AQ1596" s="121"/>
      <c r="AR1596" s="121"/>
      <c r="AS1596" s="121"/>
      <c r="AT1596" s="121"/>
    </row>
    <row r="1597" spans="1:46" hidden="1">
      <c r="A1597" s="1"/>
      <c r="B1597" s="1"/>
      <c r="C1597" s="1"/>
      <c r="D1597" s="113" t="str">
        <f>+D1593</f>
        <v xml:space="preserve">     July-Dec </v>
      </c>
      <c r="E1597" s="102"/>
      <c r="F1597" s="102"/>
      <c r="G1597" s="102"/>
      <c r="H1597" s="102"/>
      <c r="I1597" s="114"/>
      <c r="J1597" s="114"/>
      <c r="K1597" s="114"/>
      <c r="L1597" s="114"/>
      <c r="M1597" s="114"/>
      <c r="N1597" s="114"/>
      <c r="O1597" s="114"/>
      <c r="P1597" s="114"/>
      <c r="Q1597" s="114"/>
      <c r="R1597" s="114"/>
      <c r="S1597" s="114"/>
      <c r="T1597" s="114"/>
      <c r="U1597" s="114"/>
      <c r="V1597" s="114"/>
      <c r="W1597" s="1117"/>
      <c r="X1597" s="1114"/>
      <c r="Y1597" s="1114">
        <f t="shared" si="1965"/>
        <v>40.714977137261059</v>
      </c>
      <c r="Z1597" s="1114">
        <f t="shared" si="1965"/>
        <v>17.424767306018794</v>
      </c>
      <c r="AA1597" s="1114">
        <f t="shared" si="1965"/>
        <v>-15.338227564186241</v>
      </c>
      <c r="AB1597" s="121">
        <f t="shared" si="1966"/>
        <v>149.18421091021233</v>
      </c>
      <c r="AC1597" s="121">
        <f t="shared" si="1966"/>
        <v>334.59488994263972</v>
      </c>
      <c r="AD1597" s="121" t="e">
        <f t="shared" si="1966"/>
        <v>#REF!</v>
      </c>
      <c r="AE1597" s="121">
        <f t="shared" si="1966"/>
        <v>271.63676950529128</v>
      </c>
      <c r="AF1597" s="121">
        <f t="shared" si="1967"/>
        <v>142.07157728112531</v>
      </c>
      <c r="AG1597" s="121">
        <f t="shared" si="1967"/>
        <v>-158.19670288671182</v>
      </c>
      <c r="AH1597" s="121">
        <f t="shared" si="1967"/>
        <v>112.33125775005199</v>
      </c>
      <c r="AI1597" s="121">
        <f t="shared" si="1968"/>
        <v>645.54256336989306</v>
      </c>
      <c r="AJ1597" s="121">
        <f t="shared" si="1968"/>
        <v>26.855191798346834</v>
      </c>
      <c r="AK1597" s="121">
        <f t="shared" si="1968"/>
        <v>28.950395760910553</v>
      </c>
      <c r="AL1597" s="121">
        <f t="shared" si="1969"/>
        <v>28.950395760910553</v>
      </c>
      <c r="AM1597" s="121">
        <f t="shared" si="1969"/>
        <v>57.900791521821105</v>
      </c>
      <c r="AN1597" s="121"/>
      <c r="AO1597" s="121"/>
      <c r="AP1597" s="121"/>
      <c r="AQ1597" s="121"/>
      <c r="AR1597" s="121"/>
      <c r="AS1597" s="121"/>
      <c r="AT1597" s="121"/>
    </row>
    <row r="1598" spans="1:46" hidden="1">
      <c r="A1598" s="1"/>
      <c r="B1598" s="1"/>
      <c r="C1598" s="1"/>
      <c r="D1598" s="286" t="s">
        <v>3201</v>
      </c>
      <c r="E1598" s="115"/>
      <c r="F1598" s="115"/>
      <c r="G1598" s="115"/>
      <c r="H1598" s="115"/>
      <c r="I1598" s="277"/>
      <c r="J1598" s="277"/>
      <c r="K1598" s="277"/>
      <c r="L1598" s="277"/>
      <c r="M1598" s="277"/>
      <c r="N1598" s="277"/>
      <c r="O1598" s="277"/>
      <c r="P1598" s="277"/>
      <c r="Q1598" s="277"/>
      <c r="R1598" s="277"/>
      <c r="S1598" s="277"/>
      <c r="T1598" s="277"/>
      <c r="U1598" s="277"/>
      <c r="V1598" s="277"/>
      <c r="W1598" s="1118"/>
      <c r="X1598" s="1113"/>
      <c r="Y1598" s="1113">
        <f t="shared" si="1965"/>
        <v>54.411509006018804</v>
      </c>
      <c r="Z1598" s="1113">
        <f t="shared" si="1965"/>
        <v>97.46816956472658</v>
      </c>
      <c r="AA1598" s="1113">
        <f t="shared" si="1965"/>
        <v>24.204849835967025</v>
      </c>
      <c r="AB1598" s="1113">
        <f t="shared" si="1966"/>
        <v>-5.7502450725496033</v>
      </c>
      <c r="AC1598" s="278">
        <f t="shared" si="1966"/>
        <v>52.419865159787008</v>
      </c>
      <c r="AD1598" s="278">
        <f t="shared" si="1966"/>
        <v>62.633906391861544</v>
      </c>
      <c r="AE1598" s="278">
        <f t="shared" si="1966"/>
        <v>304.69013290917803</v>
      </c>
      <c r="AF1598" s="278">
        <f t="shared" si="1967"/>
        <v>29.782728112391904</v>
      </c>
      <c r="AG1598" s="278">
        <f t="shared" si="1967"/>
        <v>208.70955126761885</v>
      </c>
      <c r="AH1598" s="278">
        <f t="shared" si="1967"/>
        <v>-120.49134468932709</v>
      </c>
      <c r="AI1598" s="278">
        <f t="shared" si="1968"/>
        <v>-78.72348717820617</v>
      </c>
      <c r="AJ1598" s="278">
        <f t="shared" si="1968"/>
        <v>118.71488044830055</v>
      </c>
      <c r="AK1598" s="278">
        <f t="shared" si="1968"/>
        <v>53.710383596693667</v>
      </c>
      <c r="AL1598" s="278">
        <f t="shared" si="1969"/>
        <v>57.900791521821105</v>
      </c>
      <c r="AM1598" s="278">
        <f t="shared" si="1969"/>
        <v>60.937660136250074</v>
      </c>
      <c r="AN1598" s="278"/>
      <c r="AO1598" s="278"/>
      <c r="AP1598" s="278"/>
      <c r="AQ1598" s="278"/>
      <c r="AR1598" s="278"/>
      <c r="AS1598" s="278"/>
      <c r="AT1598" s="278"/>
    </row>
    <row r="1599" spans="1:46" hidden="1">
      <c r="A1599" s="1"/>
      <c r="B1599" s="1"/>
      <c r="C1599" s="1"/>
      <c r="D1599" s="998" t="s">
        <v>862</v>
      </c>
      <c r="E1599" s="999"/>
      <c r="F1599" s="999"/>
      <c r="G1599" s="999"/>
      <c r="H1599" s="999"/>
      <c r="I1599" s="1000"/>
      <c r="J1599" s="1000"/>
      <c r="K1599" s="1000"/>
      <c r="L1599" s="1000"/>
      <c r="M1599" s="1000"/>
      <c r="N1599" s="1000"/>
      <c r="O1599" s="1000"/>
      <c r="P1599" s="1000"/>
      <c r="Q1599" s="1000"/>
      <c r="R1599" s="1000"/>
      <c r="S1599" s="1000"/>
      <c r="T1599" s="1000"/>
      <c r="U1599" s="1000"/>
      <c r="V1599" s="1000"/>
      <c r="W1599" s="1119"/>
      <c r="X1599" s="1120"/>
      <c r="Y1599" s="1121">
        <f t="shared" ref="Y1599:AM1599" si="1970">+Y183</f>
        <v>33.701999999999998</v>
      </c>
      <c r="Z1599" s="1121">
        <f t="shared" si="1970"/>
        <v>63.930300000000003</v>
      </c>
      <c r="AA1599" s="1121">
        <f t="shared" si="1970"/>
        <v>123.1871</v>
      </c>
      <c r="AB1599" s="1001">
        <f t="shared" si="1970"/>
        <v>181.96360000000004</v>
      </c>
      <c r="AC1599" s="1001">
        <f t="shared" si="1970"/>
        <v>216.29670000000002</v>
      </c>
      <c r="AD1599" s="1001">
        <f t="shared" si="1970"/>
        <v>239.82594999999998</v>
      </c>
      <c r="AE1599" s="1001">
        <f t="shared" si="1970"/>
        <v>250.67949999999999</v>
      </c>
      <c r="AF1599" s="1001">
        <f t="shared" si="1970"/>
        <v>457.55721</v>
      </c>
      <c r="AG1599" s="1001">
        <f t="shared" si="1970"/>
        <v>546.67799999999988</v>
      </c>
      <c r="AH1599" s="1001">
        <f t="shared" si="1970"/>
        <v>729.91800000000001</v>
      </c>
      <c r="AI1599" s="1001">
        <f t="shared" si="1970"/>
        <v>931.04013499999996</v>
      </c>
      <c r="AJ1599" s="1001">
        <f t="shared" si="1970"/>
        <v>414.34957899999995</v>
      </c>
      <c r="AK1599" s="1001">
        <f t="shared" si="1970"/>
        <v>414.34957899999995</v>
      </c>
      <c r="AL1599" s="1001">
        <f t="shared" si="1970"/>
        <v>414.34957899999995</v>
      </c>
      <c r="AM1599" s="1001">
        <f t="shared" si="1970"/>
        <v>414.34957899999995</v>
      </c>
      <c r="AN1599" s="1001"/>
      <c r="AO1599" s="1001"/>
      <c r="AP1599" s="1001"/>
      <c r="AQ1599" s="1001"/>
      <c r="AR1599" s="1001"/>
      <c r="AS1599" s="1001"/>
      <c r="AT1599" s="1001"/>
    </row>
    <row r="1600" spans="1:46" hidden="1">
      <c r="A1600" s="1"/>
      <c r="B1600" s="1"/>
      <c r="C1600" s="1"/>
      <c r="E1600" s="1"/>
      <c r="F1600" s="1"/>
      <c r="G1600" s="1"/>
      <c r="H1600" s="1"/>
      <c r="I1600" s="1"/>
      <c r="J1600" s="1"/>
      <c r="K1600" s="1"/>
      <c r="L1600" s="1"/>
      <c r="M1600" s="1"/>
      <c r="N1600" s="1"/>
      <c r="O1600" s="1"/>
      <c r="P1600" s="1"/>
      <c r="Q1600" s="1"/>
      <c r="R1600" s="1"/>
      <c r="S1600" s="1"/>
      <c r="T1600" s="1"/>
      <c r="V1600" s="1"/>
      <c r="X1600" s="1"/>
      <c r="Z1600" s="1"/>
    </row>
    <row r="1601" spans="1:46" hidden="1">
      <c r="A1601" s="1"/>
      <c r="B1601" s="1"/>
      <c r="C1601" s="1"/>
      <c r="E1601" s="1"/>
      <c r="F1601" s="1"/>
      <c r="G1601" s="1"/>
      <c r="H1601" s="1"/>
      <c r="I1601" s="1"/>
      <c r="J1601" s="1"/>
      <c r="K1601" s="1"/>
      <c r="L1601" s="1"/>
      <c r="M1601" s="1"/>
      <c r="N1601" s="1"/>
      <c r="O1601" s="1"/>
      <c r="P1601" s="1"/>
      <c r="Q1601" s="1"/>
      <c r="R1601" s="1"/>
      <c r="S1601" s="1"/>
      <c r="T1601" s="1"/>
      <c r="V1601" s="1"/>
      <c r="X1601" s="1"/>
      <c r="Z1601" s="1"/>
    </row>
    <row r="1602" spans="1:46" hidden="1">
      <c r="A1602" s="1"/>
      <c r="B1602" s="1"/>
      <c r="C1602" s="1"/>
      <c r="E1602" s="1"/>
      <c r="F1602" s="1"/>
      <c r="G1602" s="1"/>
      <c r="H1602" s="1"/>
      <c r="I1602" s="1"/>
      <c r="J1602" s="1"/>
      <c r="K1602" s="1"/>
      <c r="L1602" s="1"/>
      <c r="M1602" s="1"/>
      <c r="N1602" s="1"/>
      <c r="O1602" s="1"/>
      <c r="P1602" s="1"/>
      <c r="Q1602" s="1"/>
      <c r="R1602" s="1"/>
      <c r="S1602" s="1"/>
      <c r="T1602" s="1"/>
      <c r="V1602" s="1"/>
      <c r="X1602" s="1"/>
      <c r="Z1602" s="1"/>
    </row>
    <row r="1603" spans="1:46" ht="17.25" hidden="1" customHeight="1">
      <c r="A1603" s="1"/>
      <c r="B1603" s="1"/>
      <c r="C1603" s="1"/>
      <c r="D1603" s="92" t="s">
        <v>914</v>
      </c>
    </row>
    <row r="1604" spans="1:46" ht="17.25" customHeight="1">
      <c r="A1604" s="1"/>
      <c r="B1604" s="1"/>
      <c r="C1604" s="1"/>
      <c r="D1604" s="92"/>
    </row>
    <row r="1605" spans="1:46" ht="17.25" customHeight="1">
      <c r="A1605" s="1"/>
      <c r="B1605" s="1"/>
      <c r="C1605" s="1"/>
      <c r="D1605" s="504" t="s">
        <v>1119</v>
      </c>
    </row>
    <row r="1606" spans="1:46">
      <c r="A1606" s="1"/>
      <c r="B1606" s="1"/>
      <c r="C1606" s="1"/>
      <c r="D1606" s="101" t="s">
        <v>3313</v>
      </c>
      <c r="E1606" s="102"/>
      <c r="F1606" s="102"/>
      <c r="G1606" s="102"/>
      <c r="H1606" s="102"/>
      <c r="I1606" s="103"/>
      <c r="J1606" s="104"/>
      <c r="K1606" s="104"/>
      <c r="L1606" s="104"/>
      <c r="M1606" s="104"/>
      <c r="N1606" s="104"/>
      <c r="O1606" s="104"/>
      <c r="P1606" s="104"/>
      <c r="Q1606" s="104"/>
      <c r="R1606" s="104"/>
      <c r="S1606" s="104"/>
      <c r="T1606" s="102"/>
      <c r="U1606" s="105"/>
      <c r="V1606" s="967"/>
      <c r="W1606" s="967"/>
      <c r="X1606" s="967"/>
      <c r="Y1606" s="967"/>
      <c r="Z1606" s="967"/>
      <c r="AA1606" s="967"/>
      <c r="AB1606" s="967"/>
      <c r="AC1606" s="967"/>
      <c r="AD1606" s="967"/>
      <c r="AE1606" s="968">
        <v>2020</v>
      </c>
      <c r="AF1606" s="968">
        <v>2021</v>
      </c>
      <c r="AG1606" s="968">
        <v>2022</v>
      </c>
      <c r="AH1606" s="968">
        <v>2023</v>
      </c>
      <c r="AI1606" s="968">
        <v>2024</v>
      </c>
      <c r="AJ1606" s="968">
        <v>2025</v>
      </c>
      <c r="AK1606" s="968">
        <v>2026</v>
      </c>
      <c r="AL1606" s="968">
        <v>2027</v>
      </c>
      <c r="AM1606" s="968">
        <v>2028</v>
      </c>
      <c r="AN1606" s="968">
        <v>2029</v>
      </c>
      <c r="AO1606" s="968">
        <v>2030</v>
      </c>
      <c r="AP1606" s="968"/>
      <c r="AQ1606" s="968"/>
      <c r="AR1606" s="968"/>
      <c r="AS1606" s="968"/>
      <c r="AT1606" s="968"/>
    </row>
    <row r="1607" spans="1:46">
      <c r="A1607" s="1"/>
      <c r="B1607" s="1"/>
      <c r="C1607" s="1"/>
      <c r="D1607" s="570" t="s">
        <v>3752</v>
      </c>
      <c r="E1607" s="272"/>
      <c r="F1607" s="102">
        <f t="shared" ref="F1607:AL1607" si="1971">F1608+F1609</f>
        <v>0</v>
      </c>
      <c r="G1607" s="102">
        <f t="shared" si="1971"/>
        <v>0</v>
      </c>
      <c r="H1607" s="102">
        <f t="shared" si="1971"/>
        <v>0</v>
      </c>
      <c r="I1607" s="109">
        <f t="shared" si="1971"/>
        <v>0</v>
      </c>
      <c r="J1607" s="110">
        <f t="shared" si="1971"/>
        <v>0</v>
      </c>
      <c r="K1607" s="110">
        <f t="shared" si="1971"/>
        <v>0</v>
      </c>
      <c r="L1607" s="110">
        <f t="shared" si="1971"/>
        <v>0</v>
      </c>
      <c r="M1607" s="110">
        <f t="shared" si="1971"/>
        <v>0</v>
      </c>
      <c r="N1607" s="110">
        <f t="shared" si="1971"/>
        <v>0</v>
      </c>
      <c r="O1607" s="110">
        <f t="shared" si="1971"/>
        <v>0</v>
      </c>
      <c r="P1607" s="110">
        <f t="shared" si="1971"/>
        <v>0</v>
      </c>
      <c r="Q1607" s="110">
        <f t="shared" si="1971"/>
        <v>0</v>
      </c>
      <c r="R1607" s="110">
        <f t="shared" si="1971"/>
        <v>0</v>
      </c>
      <c r="S1607" s="111">
        <f t="shared" si="1971"/>
        <v>0</v>
      </c>
      <c r="T1607" s="110">
        <f t="shared" si="1971"/>
        <v>0</v>
      </c>
      <c r="U1607" s="107">
        <f t="shared" si="1971"/>
        <v>0</v>
      </c>
      <c r="V1607" s="107">
        <f t="shared" si="1971"/>
        <v>0</v>
      </c>
      <c r="W1607" s="107">
        <f t="shared" si="1971"/>
        <v>0</v>
      </c>
      <c r="X1607" s="107">
        <f t="shared" si="1971"/>
        <v>0</v>
      </c>
      <c r="Y1607" s="276">
        <f t="shared" si="1971"/>
        <v>0</v>
      </c>
      <c r="Z1607" s="276">
        <f t="shared" si="1971"/>
        <v>0</v>
      </c>
      <c r="AA1607" s="276">
        <f t="shared" si="1971"/>
        <v>0</v>
      </c>
      <c r="AB1607" s="276">
        <f t="shared" si="1971"/>
        <v>0</v>
      </c>
      <c r="AC1607" s="276">
        <f t="shared" si="1971"/>
        <v>0</v>
      </c>
      <c r="AD1607" s="276">
        <f t="shared" si="1971"/>
        <v>0</v>
      </c>
      <c r="AE1607" s="1810">
        <f>AE1608+AE1609</f>
        <v>0</v>
      </c>
      <c r="AF1607" s="1810">
        <f t="shared" si="1971"/>
        <v>0</v>
      </c>
      <c r="AG1607" s="1810">
        <f t="shared" si="1971"/>
        <v>-40</v>
      </c>
      <c r="AH1607" s="1810">
        <f t="shared" si="1971"/>
        <v>-93.555000000000007</v>
      </c>
      <c r="AI1607" s="1810">
        <f t="shared" si="1971"/>
        <v>-120</v>
      </c>
      <c r="AJ1607" s="1810">
        <f t="shared" si="1971"/>
        <v>-70.572125</v>
      </c>
      <c r="AK1607" s="1810">
        <f t="shared" si="1971"/>
        <v>-126.66202</v>
      </c>
      <c r="AL1607" s="1810">
        <f t="shared" si="1971"/>
        <v>-116.46950000000001</v>
      </c>
      <c r="AM1607" s="1810">
        <f>AM1608+AM1609</f>
        <v>-133.28469999999999</v>
      </c>
      <c r="AN1607" s="1810">
        <f>AN1608+AN1609</f>
        <v>-122.9782</v>
      </c>
      <c r="AO1607" s="1810">
        <f>AO1608+AO1609</f>
        <v>-39.999999999999986</v>
      </c>
      <c r="AP1607" s="1810"/>
      <c r="AQ1607" s="1810"/>
      <c r="AR1607" s="1810"/>
      <c r="AS1607" s="1810"/>
      <c r="AT1607" s="1810"/>
    </row>
    <row r="1608" spans="1:46">
      <c r="A1608" s="1"/>
      <c r="B1608" s="1"/>
      <c r="C1608" s="1"/>
      <c r="D1608" s="108" t="s">
        <v>117</v>
      </c>
      <c r="E1608" s="102"/>
      <c r="F1608" s="102"/>
      <c r="G1608" s="102"/>
      <c r="H1608" s="102"/>
      <c r="I1608" s="109"/>
      <c r="J1608" s="110"/>
      <c r="K1608" s="110"/>
      <c r="L1608" s="110"/>
      <c r="M1608" s="110"/>
      <c r="N1608" s="110"/>
      <c r="O1608" s="110"/>
      <c r="P1608" s="110"/>
      <c r="Q1608" s="110"/>
      <c r="R1608" s="110"/>
      <c r="S1608" s="111"/>
      <c r="T1608" s="110"/>
      <c r="U1608" s="107"/>
      <c r="V1608" s="107"/>
      <c r="W1608" s="107"/>
      <c r="X1608" s="107"/>
      <c r="Y1608" s="571"/>
      <c r="Z1608" s="571"/>
      <c r="AA1608" s="571"/>
      <c r="AB1608" s="571"/>
      <c r="AC1608" s="571"/>
      <c r="AD1608" s="571"/>
      <c r="AE1608" s="571">
        <f>FISCinyear!II915</f>
        <v>0</v>
      </c>
      <c r="AF1608" s="571">
        <f>FISCinyear!IL915</f>
        <v>0</v>
      </c>
      <c r="AG1608" s="571">
        <f>FISCinyear!IO915</f>
        <v>0</v>
      </c>
      <c r="AH1608" s="571">
        <f>FISCinyear!IR915</f>
        <v>-93.555000000000007</v>
      </c>
      <c r="AI1608" s="571">
        <f>FISCinyear!IU915</f>
        <v>-65</v>
      </c>
      <c r="AJ1608" s="571">
        <f>FISCinyear!IX915</f>
        <v>-10.572125</v>
      </c>
      <c r="AK1608" s="571">
        <f>FISCinyear!JA915</f>
        <v>-64.283619999999999</v>
      </c>
      <c r="AL1608" s="571">
        <f>FISCinyear!JD915</f>
        <v>-21.469500000000011</v>
      </c>
      <c r="AM1608" s="571">
        <f>FISCinyear!JG915</f>
        <v>-63.284699999999987</v>
      </c>
      <c r="AN1608" s="571">
        <f>FISCinyear!JJ915</f>
        <v>-20</v>
      </c>
      <c r="AO1608" s="571">
        <f>FISCinyear!JM915</f>
        <v>-39.999999999999986</v>
      </c>
      <c r="AP1608" s="571"/>
      <c r="AQ1608" s="571"/>
      <c r="AR1608" s="571"/>
      <c r="AS1608" s="571"/>
      <c r="AT1608" s="571"/>
    </row>
    <row r="1609" spans="1:46">
      <c r="A1609" s="1"/>
      <c r="B1609" s="1"/>
      <c r="C1609" s="1"/>
      <c r="D1609" s="108" t="s">
        <v>118</v>
      </c>
      <c r="E1609" s="102"/>
      <c r="F1609" s="102"/>
      <c r="G1609" s="102"/>
      <c r="H1609" s="102"/>
      <c r="I1609" s="109"/>
      <c r="J1609" s="110"/>
      <c r="K1609" s="110"/>
      <c r="L1609" s="110"/>
      <c r="M1609" s="110"/>
      <c r="N1609" s="110"/>
      <c r="O1609" s="110"/>
      <c r="P1609" s="110"/>
      <c r="Q1609" s="110"/>
      <c r="R1609" s="110"/>
      <c r="S1609" s="111"/>
      <c r="T1609" s="110"/>
      <c r="U1609" s="107"/>
      <c r="V1609" s="107"/>
      <c r="W1609" s="107"/>
      <c r="X1609" s="107"/>
      <c r="Y1609" s="571"/>
      <c r="Z1609" s="1127"/>
      <c r="AA1609" s="1127"/>
      <c r="AB1609" s="571"/>
      <c r="AC1609" s="571"/>
      <c r="AD1609" s="571"/>
      <c r="AE1609" s="571">
        <f>FISCinyear!IK915</f>
        <v>0</v>
      </c>
      <c r="AF1609" s="571">
        <f>FISCinyear!IN915</f>
        <v>0</v>
      </c>
      <c r="AG1609" s="571">
        <f>FISCinyear!IQ915</f>
        <v>-40</v>
      </c>
      <c r="AH1609" s="571">
        <f>FISCinyear!IT915</f>
        <v>0</v>
      </c>
      <c r="AI1609" s="571">
        <f>FISCinyear!IW915</f>
        <v>-55</v>
      </c>
      <c r="AJ1609" s="571">
        <f>FISCinyear!IZ915</f>
        <v>-60</v>
      </c>
      <c r="AK1609" s="571">
        <f>FISCinyear!JC915</f>
        <v>-62.378399999999999</v>
      </c>
      <c r="AL1609" s="571">
        <f>FISCinyear!JF915</f>
        <v>-95</v>
      </c>
      <c r="AM1609" s="571">
        <f>FISCinyear!JI915</f>
        <v>-70</v>
      </c>
      <c r="AN1609" s="571">
        <f>FISCinyear!JL915</f>
        <v>-102.9782</v>
      </c>
      <c r="AO1609" s="571">
        <f>FISCinyear!JO915</f>
        <v>0</v>
      </c>
      <c r="AP1609" s="571"/>
      <c r="AQ1609" s="571"/>
      <c r="AR1609" s="571"/>
      <c r="AS1609" s="571"/>
      <c r="AT1609" s="571"/>
    </row>
    <row r="1610" spans="1:46">
      <c r="A1610" s="1"/>
      <c r="B1610" s="1"/>
      <c r="C1610" s="1"/>
      <c r="D1610" s="568" t="s">
        <v>3203</v>
      </c>
      <c r="E1610" s="102"/>
      <c r="F1610" s="102"/>
      <c r="G1610" s="102"/>
      <c r="H1610" s="102"/>
      <c r="I1610" s="109"/>
      <c r="J1610" s="110"/>
      <c r="K1610" s="110"/>
      <c r="L1610" s="110"/>
      <c r="M1610" s="110"/>
      <c r="N1610" s="110"/>
      <c r="O1610" s="110"/>
      <c r="P1610" s="110"/>
      <c r="Q1610" s="110"/>
      <c r="R1610" s="110"/>
      <c r="S1610" s="111"/>
      <c r="T1610" s="110"/>
      <c r="U1610" s="107"/>
      <c r="V1610" s="107"/>
      <c r="W1610" s="107"/>
      <c r="X1610" s="107"/>
      <c r="Y1610" s="281"/>
      <c r="Z1610" s="281"/>
      <c r="AA1610" s="281"/>
      <c r="AB1610" s="281"/>
      <c r="AC1610" s="281"/>
      <c r="AD1610" s="281"/>
      <c r="AE1610" s="281">
        <f t="shared" ref="AE1610:AO1610" si="1972">AE1234</f>
        <v>-38.554066509999998</v>
      </c>
      <c r="AF1610" s="281">
        <f t="shared" si="1972"/>
        <v>0</v>
      </c>
      <c r="AG1610" s="281">
        <f t="shared" si="1972"/>
        <v>0</v>
      </c>
      <c r="AH1610" s="281">
        <f t="shared" si="1972"/>
        <v>-133.55500000000001</v>
      </c>
      <c r="AI1610" s="281">
        <f t="shared" si="1972"/>
        <v>-65</v>
      </c>
      <c r="AJ1610" s="281">
        <f t="shared" si="1972"/>
        <v>-65.572125</v>
      </c>
      <c r="AK1610" s="281">
        <f t="shared" si="1972"/>
        <v>-124.28362</v>
      </c>
      <c r="AL1610" s="281">
        <f t="shared" si="1972"/>
        <v>-83.84790000000001</v>
      </c>
      <c r="AM1610" s="281">
        <f t="shared" si="1972"/>
        <v>-158.28469999999999</v>
      </c>
      <c r="AN1610" s="281">
        <f t="shared" si="1972"/>
        <v>-90</v>
      </c>
      <c r="AO1610" s="281">
        <f t="shared" si="1972"/>
        <v>-142.97819999999999</v>
      </c>
      <c r="AP1610" s="281"/>
      <c r="AQ1610" s="281"/>
      <c r="AR1610" s="281"/>
      <c r="AS1610" s="281"/>
      <c r="AT1610" s="281"/>
    </row>
    <row r="1611" spans="1:46">
      <c r="A1611" s="1"/>
      <c r="B1611" s="1"/>
      <c r="C1611" s="1"/>
      <c r="D1611" s="570" t="s">
        <v>3309</v>
      </c>
      <c r="E1611" s="272"/>
      <c r="F1611" s="272">
        <f t="shared" ref="F1611:AL1611" si="1973">F1612+F1613</f>
        <v>0</v>
      </c>
      <c r="G1611" s="272">
        <f t="shared" si="1973"/>
        <v>0</v>
      </c>
      <c r="H1611" s="272">
        <f t="shared" si="1973"/>
        <v>0</v>
      </c>
      <c r="I1611" s="273">
        <f t="shared" si="1973"/>
        <v>0</v>
      </c>
      <c r="J1611" s="274">
        <f t="shared" si="1973"/>
        <v>0</v>
      </c>
      <c r="K1611" s="274">
        <f t="shared" si="1973"/>
        <v>0</v>
      </c>
      <c r="L1611" s="274">
        <f t="shared" si="1973"/>
        <v>0</v>
      </c>
      <c r="M1611" s="274">
        <f t="shared" si="1973"/>
        <v>0</v>
      </c>
      <c r="N1611" s="274">
        <f t="shared" si="1973"/>
        <v>0</v>
      </c>
      <c r="O1611" s="274">
        <f t="shared" si="1973"/>
        <v>0</v>
      </c>
      <c r="P1611" s="274">
        <f t="shared" si="1973"/>
        <v>0</v>
      </c>
      <c r="Q1611" s="274">
        <f t="shared" si="1973"/>
        <v>0</v>
      </c>
      <c r="R1611" s="274">
        <f t="shared" si="1973"/>
        <v>0</v>
      </c>
      <c r="S1611" s="275">
        <f t="shared" si="1973"/>
        <v>0</v>
      </c>
      <c r="T1611" s="274">
        <f t="shared" si="1973"/>
        <v>0</v>
      </c>
      <c r="U1611" s="285">
        <f t="shared" si="1973"/>
        <v>0</v>
      </c>
      <c r="V1611" s="285">
        <f t="shared" si="1973"/>
        <v>0</v>
      </c>
      <c r="W1611" s="285">
        <f t="shared" si="1973"/>
        <v>0</v>
      </c>
      <c r="X1611" s="285">
        <f t="shared" si="1973"/>
        <v>0</v>
      </c>
      <c r="Y1611" s="285">
        <f t="shared" si="1973"/>
        <v>0</v>
      </c>
      <c r="Z1611" s="276">
        <f t="shared" si="1973"/>
        <v>0</v>
      </c>
      <c r="AA1611" s="276">
        <f t="shared" si="1973"/>
        <v>0</v>
      </c>
      <c r="AB1611" s="276">
        <f t="shared" si="1973"/>
        <v>0</v>
      </c>
      <c r="AC1611" s="276">
        <f t="shared" si="1973"/>
        <v>0</v>
      </c>
      <c r="AD1611" s="276">
        <f t="shared" si="1973"/>
        <v>0</v>
      </c>
      <c r="AE1611" s="1810">
        <f>AE1612+AE1613</f>
        <v>182.46279999999996</v>
      </c>
      <c r="AF1611" s="1810">
        <f t="shared" si="1973"/>
        <v>88.683799999999948</v>
      </c>
      <c r="AG1611" s="1810">
        <f t="shared" si="1973"/>
        <v>162.75593499999985</v>
      </c>
      <c r="AH1611" s="1810">
        <f t="shared" si="1973"/>
        <v>194.06760000000014</v>
      </c>
      <c r="AI1611" s="1810">
        <f t="shared" si="1973"/>
        <v>120.90009999999992</v>
      </c>
      <c r="AJ1611" s="1810">
        <f t="shared" si="1973"/>
        <v>128.6496928890401</v>
      </c>
      <c r="AK1611" s="1810">
        <f t="shared" si="1973"/>
        <v>127.93609010486</v>
      </c>
      <c r="AL1611" s="1810">
        <f t="shared" si="1973"/>
        <v>146.84196520935998</v>
      </c>
      <c r="AM1611" s="1810">
        <f>AM1612+AM1613</f>
        <v>151.30980083985997</v>
      </c>
      <c r="AN1611" s="1810">
        <f>AN1612+AN1613</f>
        <v>145.10630596135999</v>
      </c>
      <c r="AO1611" s="1810">
        <f>AO1612+AO1613</f>
        <v>86.165487314679993</v>
      </c>
      <c r="AP1611" s="1810"/>
      <c r="AQ1611" s="1810"/>
      <c r="AR1611" s="1810"/>
      <c r="AS1611" s="1810"/>
      <c r="AT1611" s="1810"/>
    </row>
    <row r="1612" spans="1:46">
      <c r="A1612" s="1"/>
      <c r="B1612" s="1"/>
      <c r="C1612" s="1"/>
      <c r="D1612" s="108" t="s">
        <v>117</v>
      </c>
      <c r="E1612" s="102"/>
      <c r="F1612" s="102"/>
      <c r="G1612" s="102"/>
      <c r="H1612" s="102"/>
      <c r="I1612" s="109"/>
      <c r="J1612" s="110"/>
      <c r="K1612" s="110"/>
      <c r="L1612" s="110"/>
      <c r="M1612" s="110"/>
      <c r="N1612" s="110"/>
      <c r="O1612" s="110"/>
      <c r="P1612" s="110"/>
      <c r="Q1612" s="110"/>
      <c r="R1612" s="110"/>
      <c r="S1612" s="111"/>
      <c r="T1612" s="110"/>
      <c r="U1612" s="114"/>
      <c r="V1612" s="114"/>
      <c r="W1612" s="114"/>
      <c r="X1612" s="114"/>
      <c r="Y1612" s="571"/>
      <c r="Z1612" s="571"/>
      <c r="AA1612" s="571"/>
      <c r="AB1612" s="571"/>
      <c r="AC1612" s="571"/>
      <c r="AD1612" s="571"/>
      <c r="AE1612" s="571">
        <f>FISCinyear!II906</f>
        <v>84.88360000000003</v>
      </c>
      <c r="AF1612" s="571">
        <f>FISCinyear!IL906</f>
        <v>56.695709999999949</v>
      </c>
      <c r="AG1612" s="571">
        <f>FISCinyear!IO906</f>
        <v>-4.5811000000000632</v>
      </c>
      <c r="AH1612" s="571">
        <f>FISCinyear!IR906</f>
        <v>85.089600000000132</v>
      </c>
      <c r="AI1612" s="571">
        <f>FISCinyear!IU906</f>
        <v>9.7720000000000198</v>
      </c>
      <c r="AJ1612" s="571">
        <f>FISCinyear!IX906</f>
        <v>55.186585800360092</v>
      </c>
      <c r="AK1612" s="571">
        <f>FISCinyear!JA906</f>
        <v>73.463107088680005</v>
      </c>
      <c r="AL1612" s="571">
        <f>FISCinyear!JD906</f>
        <v>54.472983016180002</v>
      </c>
      <c r="AM1612" s="571">
        <f>FISCinyear!JG906</f>
        <v>92.368982193179988</v>
      </c>
      <c r="AN1612" s="571">
        <f>FISCinyear!JJ906</f>
        <v>58.94081864668</v>
      </c>
      <c r="AO1612" s="571">
        <f>FISCinyear!JM906</f>
        <v>86.165487314679993</v>
      </c>
      <c r="AP1612" s="571"/>
      <c r="AQ1612" s="571"/>
      <c r="AR1612" s="571"/>
      <c r="AS1612" s="571"/>
      <c r="AT1612" s="571"/>
    </row>
    <row r="1613" spans="1:46">
      <c r="A1613" s="1"/>
      <c r="B1613" s="1"/>
      <c r="C1613" s="1"/>
      <c r="D1613" s="108" t="s">
        <v>118</v>
      </c>
      <c r="E1613" s="102"/>
      <c r="F1613" s="102"/>
      <c r="G1613" s="102"/>
      <c r="H1613" s="102"/>
      <c r="I1613" s="109"/>
      <c r="J1613" s="110"/>
      <c r="K1613" s="110"/>
      <c r="L1613" s="110"/>
      <c r="M1613" s="110"/>
      <c r="N1613" s="110"/>
      <c r="O1613" s="110"/>
      <c r="P1613" s="110"/>
      <c r="Q1613" s="110"/>
      <c r="R1613" s="110"/>
      <c r="S1613" s="111"/>
      <c r="T1613" s="110"/>
      <c r="U1613" s="114"/>
      <c r="V1613" s="114"/>
      <c r="W1613" s="114"/>
      <c r="X1613" s="571"/>
      <c r="Y1613" s="571"/>
      <c r="Z1613" s="571"/>
      <c r="AA1613" s="571"/>
      <c r="AB1613" s="571"/>
      <c r="AC1613" s="571"/>
      <c r="AD1613" s="571"/>
      <c r="AE1613" s="571">
        <f>FISCinyear!IK906</f>
        <v>97.579199999999943</v>
      </c>
      <c r="AF1613" s="571">
        <f>FISCinyear!IN906</f>
        <v>31.98809</v>
      </c>
      <c r="AG1613" s="571">
        <f>FISCinyear!IQ906</f>
        <v>167.33703499999993</v>
      </c>
      <c r="AH1613" s="571">
        <f>FISCinyear!IT906</f>
        <v>108.97799999999999</v>
      </c>
      <c r="AI1613" s="571">
        <f>FISCinyear!IW906</f>
        <v>111.1280999999999</v>
      </c>
      <c r="AJ1613" s="571">
        <f>FISCinyear!IZ906</f>
        <v>73.463107088680005</v>
      </c>
      <c r="AK1613" s="571">
        <f>FISCinyear!JC906</f>
        <v>54.472983016180002</v>
      </c>
      <c r="AL1613" s="571">
        <f>FISCinyear!JF906</f>
        <v>92.368982193179988</v>
      </c>
      <c r="AM1613" s="571">
        <f>FISCinyear!JI906</f>
        <v>58.94081864668</v>
      </c>
      <c r="AN1613" s="571">
        <f>FISCinyear!JL906</f>
        <v>86.165487314679993</v>
      </c>
      <c r="AO1613" s="571">
        <f>FISCinyear!JO906</f>
        <v>0</v>
      </c>
      <c r="AP1613" s="571"/>
      <c r="AQ1613" s="571"/>
      <c r="AR1613" s="571"/>
      <c r="AS1613" s="571"/>
      <c r="AT1613" s="571"/>
    </row>
    <row r="1614" spans="1:46">
      <c r="A1614" s="1"/>
      <c r="B1614" s="1"/>
      <c r="C1614" s="1"/>
      <c r="D1614" s="568" t="s">
        <v>3310</v>
      </c>
      <c r="E1614" s="102"/>
      <c r="F1614" s="102">
        <f t="shared" ref="F1614:AO1614" si="1974">F1227</f>
        <v>0</v>
      </c>
      <c r="G1614" s="102">
        <f t="shared" si="1974"/>
        <v>0</v>
      </c>
      <c r="H1614" s="102">
        <f t="shared" si="1974"/>
        <v>0</v>
      </c>
      <c r="I1614" s="109">
        <f t="shared" si="1974"/>
        <v>0</v>
      </c>
      <c r="J1614" s="110">
        <f t="shared" si="1974"/>
        <v>0</v>
      </c>
      <c r="K1614" s="110">
        <f t="shared" si="1974"/>
        <v>0</v>
      </c>
      <c r="L1614" s="110">
        <f t="shared" si="1974"/>
        <v>0</v>
      </c>
      <c r="M1614" s="110">
        <f t="shared" si="1974"/>
        <v>0</v>
      </c>
      <c r="N1614" s="110">
        <f t="shared" si="1974"/>
        <v>0</v>
      </c>
      <c r="O1614" s="110">
        <f t="shared" si="1974"/>
        <v>0</v>
      </c>
      <c r="P1614" s="110">
        <f t="shared" si="1974"/>
        <v>0</v>
      </c>
      <c r="Q1614" s="110">
        <f t="shared" si="1974"/>
        <v>0</v>
      </c>
      <c r="R1614" s="110">
        <f t="shared" si="1974"/>
        <v>0</v>
      </c>
      <c r="S1614" s="111">
        <f t="shared" si="1974"/>
        <v>0</v>
      </c>
      <c r="T1614" s="110">
        <f t="shared" si="1974"/>
        <v>0</v>
      </c>
      <c r="U1614" s="277">
        <f t="shared" si="1974"/>
        <v>0</v>
      </c>
      <c r="V1614" s="277">
        <f t="shared" si="1974"/>
        <v>0</v>
      </c>
      <c r="W1614" s="277">
        <f t="shared" si="1974"/>
        <v>0</v>
      </c>
      <c r="X1614" s="281">
        <f t="shared" si="1974"/>
        <v>39.700000000000003</v>
      </c>
      <c r="Y1614" s="281">
        <f t="shared" si="1974"/>
        <v>-11.653900000000029</v>
      </c>
      <c r="Z1614" s="281">
        <f t="shared" si="1974"/>
        <v>30.907699999999998</v>
      </c>
      <c r="AA1614" s="281">
        <f t="shared" si="1974"/>
        <v>59.256799999999984</v>
      </c>
      <c r="AB1614" s="281">
        <f t="shared" si="1974"/>
        <v>58.736500000000021</v>
      </c>
      <c r="AC1614" s="281">
        <f t="shared" si="1974"/>
        <v>23.252356078422068</v>
      </c>
      <c r="AD1614" s="281">
        <f t="shared" si="1974"/>
        <v>115.41749999999998</v>
      </c>
      <c r="AE1614" s="281">
        <f t="shared" si="1974"/>
        <v>90.11069999999998</v>
      </c>
      <c r="AF1614" s="281">
        <f t="shared" si="1974"/>
        <v>154.27490999999989</v>
      </c>
      <c r="AG1614" s="281">
        <f t="shared" si="1974"/>
        <v>27.406989999999936</v>
      </c>
      <c r="AH1614" s="281">
        <f t="shared" si="1974"/>
        <v>252.42663500000006</v>
      </c>
      <c r="AI1614" s="281">
        <f t="shared" si="1974"/>
        <v>118.75000000000001</v>
      </c>
      <c r="AJ1614" s="281">
        <f t="shared" si="1974"/>
        <v>166.31468580036</v>
      </c>
      <c r="AK1614" s="281">
        <f t="shared" si="1974"/>
        <v>146.92621417736001</v>
      </c>
      <c r="AL1614" s="281">
        <f t="shared" si="1974"/>
        <v>108.94596603236</v>
      </c>
      <c r="AM1614" s="281">
        <f t="shared" si="1974"/>
        <v>184.73796438635998</v>
      </c>
      <c r="AN1614" s="281">
        <f t="shared" si="1974"/>
        <v>117.88163729336</v>
      </c>
      <c r="AO1614" s="281">
        <f t="shared" si="1974"/>
        <v>172.33097462935999</v>
      </c>
      <c r="AP1614" s="281"/>
      <c r="AQ1614" s="281"/>
      <c r="AR1614" s="281"/>
      <c r="AS1614" s="281"/>
      <c r="AT1614" s="281"/>
    </row>
    <row r="1615" spans="1:46">
      <c r="A1615" s="1"/>
      <c r="B1615" s="1"/>
      <c r="C1615" s="1"/>
      <c r="D1615" s="570" t="s">
        <v>3312</v>
      </c>
      <c r="E1615" s="272"/>
      <c r="F1615" s="272">
        <f t="shared" ref="F1615:AL1615" si="1975">F1616+F1617</f>
        <v>0</v>
      </c>
      <c r="G1615" s="272">
        <f t="shared" si="1975"/>
        <v>0</v>
      </c>
      <c r="H1615" s="272">
        <f t="shared" si="1975"/>
        <v>0</v>
      </c>
      <c r="I1615" s="273">
        <f t="shared" si="1975"/>
        <v>0</v>
      </c>
      <c r="J1615" s="274">
        <f t="shared" si="1975"/>
        <v>0</v>
      </c>
      <c r="K1615" s="274">
        <f t="shared" si="1975"/>
        <v>0</v>
      </c>
      <c r="L1615" s="274">
        <f t="shared" si="1975"/>
        <v>0</v>
      </c>
      <c r="M1615" s="274">
        <f t="shared" si="1975"/>
        <v>0</v>
      </c>
      <c r="N1615" s="274">
        <f t="shared" si="1975"/>
        <v>0</v>
      </c>
      <c r="O1615" s="274">
        <f t="shared" si="1975"/>
        <v>0</v>
      </c>
      <c r="P1615" s="274">
        <f t="shared" si="1975"/>
        <v>0</v>
      </c>
      <c r="Q1615" s="274">
        <f t="shared" si="1975"/>
        <v>0</v>
      </c>
      <c r="R1615" s="274">
        <f t="shared" si="1975"/>
        <v>0</v>
      </c>
      <c r="S1615" s="275">
        <f t="shared" si="1975"/>
        <v>0</v>
      </c>
      <c r="T1615" s="274">
        <f t="shared" si="1975"/>
        <v>0</v>
      </c>
      <c r="U1615" s="285">
        <f t="shared" si="1975"/>
        <v>0</v>
      </c>
      <c r="V1615" s="285">
        <f t="shared" si="1975"/>
        <v>0</v>
      </c>
      <c r="W1615" s="285">
        <f t="shared" si="1975"/>
        <v>0</v>
      </c>
      <c r="X1615" s="285">
        <f t="shared" si="1975"/>
        <v>0</v>
      </c>
      <c r="Y1615" s="285">
        <f t="shared" si="1975"/>
        <v>0</v>
      </c>
      <c r="Z1615" s="276">
        <f t="shared" si="1975"/>
        <v>0</v>
      </c>
      <c r="AA1615" s="276">
        <f t="shared" si="1975"/>
        <v>0</v>
      </c>
      <c r="AB1615" s="276">
        <f t="shared" si="1975"/>
        <v>0</v>
      </c>
      <c r="AC1615" s="276">
        <f t="shared" si="1975"/>
        <v>0</v>
      </c>
      <c r="AD1615" s="276">
        <f t="shared" si="1975"/>
        <v>0</v>
      </c>
      <c r="AE1615" s="1810">
        <f t="shared" si="1975"/>
        <v>13.381292890000001</v>
      </c>
      <c r="AF1615" s="1810">
        <f>AF1616+AF1617</f>
        <v>0</v>
      </c>
      <c r="AG1615" s="1810">
        <f t="shared" si="1975"/>
        <v>21.283423298999999</v>
      </c>
      <c r="AH1615" s="1810">
        <f t="shared" si="1975"/>
        <v>44.269863409999999</v>
      </c>
      <c r="AI1615" s="1810">
        <f t="shared" si="1975"/>
        <v>53.117908460000002</v>
      </c>
      <c r="AJ1615" s="1810">
        <f t="shared" si="1975"/>
        <v>51.858303088457575</v>
      </c>
      <c r="AK1615" s="1810">
        <f t="shared" si="1975"/>
        <v>61.260146900572124</v>
      </c>
      <c r="AL1615" s="1810">
        <f t="shared" si="1975"/>
        <v>72.234271270095178</v>
      </c>
      <c r="AM1615" s="1810">
        <f>AM1616+AM1617</f>
        <v>79.08700235345529</v>
      </c>
      <c r="AN1615" s="1810">
        <f>AN1616+AN1617</f>
        <v>80.245756377049759</v>
      </c>
      <c r="AO1615" s="1810">
        <f>AO1616+AO1617</f>
        <v>40.397327752218665</v>
      </c>
      <c r="AP1615" s="1810"/>
      <c r="AQ1615" s="1810"/>
      <c r="AR1615" s="1810"/>
      <c r="AS1615" s="1810"/>
      <c r="AT1615" s="1810"/>
    </row>
    <row r="1616" spans="1:46">
      <c r="A1616" s="1"/>
      <c r="B1616" s="1"/>
      <c r="C1616" s="1"/>
      <c r="D1616" s="108" t="s">
        <v>117</v>
      </c>
      <c r="E1616" s="102"/>
      <c r="F1616" s="102"/>
      <c r="G1616" s="102"/>
      <c r="H1616" s="102"/>
      <c r="I1616" s="109"/>
      <c r="J1616" s="110"/>
      <c r="K1616" s="110"/>
      <c r="L1616" s="110"/>
      <c r="M1616" s="110"/>
      <c r="N1616" s="110"/>
      <c r="O1616" s="110"/>
      <c r="P1616" s="110"/>
      <c r="Q1616" s="110"/>
      <c r="R1616" s="110"/>
      <c r="S1616" s="111"/>
      <c r="T1616" s="110"/>
      <c r="U1616" s="114"/>
      <c r="V1616" s="114"/>
      <c r="W1616" s="114"/>
      <c r="X1616" s="114"/>
      <c r="Y1616" s="571"/>
      <c r="Z1616" s="571"/>
      <c r="AA1616" s="571"/>
      <c r="AB1616" s="571"/>
      <c r="AC1616" s="571"/>
      <c r="AD1616" s="571"/>
      <c r="AE1616" s="571">
        <f>FISCinyear!II861+FISCinyear!II864+FISCinyear!II870</f>
        <v>0</v>
      </c>
      <c r="AF1616" s="571">
        <f>FISCinyear!IL861+FISCinyear!IL864+FISCinyear!IL870</f>
        <v>0</v>
      </c>
      <c r="AG1616" s="571">
        <f>FISCinyear!IO861+FISCinyear!IO864+FISCinyear!IO870</f>
        <v>0</v>
      </c>
      <c r="AH1616" s="571">
        <f>FISCinyear!IR861+FISCinyear!IR864+FISCinyear!IR870</f>
        <v>21.363942047999998</v>
      </c>
      <c r="AI1616" s="571">
        <f>FISCinyear!IU861+FISCinyear!IU864+FISCinyear!IU870</f>
        <v>25.729018944000003</v>
      </c>
      <c r="AJ1616" s="571">
        <f>FISCinyear!IX861+FISCinyear!IX864+FISCinyear!IX870</f>
        <v>23.59385372935645</v>
      </c>
      <c r="AK1616" s="571">
        <f>FISCinyear!JA861+FISCinyear!JA864+FISCinyear!JA870</f>
        <v>28.264449359101125</v>
      </c>
      <c r="AL1616" s="571">
        <f>FISCinyear!JD861+FISCinyear!JD864+FISCinyear!JD870</f>
        <v>32.995697541471003</v>
      </c>
      <c r="AM1616" s="571">
        <f>FISCinyear!JG861 FISCinyear!JG861+FISCinyear!JG864+FISCinyear!JG870</f>
        <v>39.238573728624182</v>
      </c>
      <c r="AN1616" s="571">
        <f>FISCinyear!JJ861+FISCinyear!JJ864+FISCinyear!JJ870</f>
        <v>39.848428624831101</v>
      </c>
      <c r="AO1616" s="571">
        <f>FISCinyear!JM861+FISCinyear!JM864+FISCinyear!JM870</f>
        <v>40.397327752218665</v>
      </c>
      <c r="AP1616" s="571"/>
      <c r="AQ1616" s="571"/>
      <c r="AR1616" s="571"/>
      <c r="AS1616" s="571"/>
      <c r="AT1616" s="571"/>
    </row>
    <row r="1617" spans="1:46">
      <c r="A1617" s="1"/>
      <c r="B1617" s="1"/>
      <c r="C1617" s="1"/>
      <c r="D1617" s="108" t="s">
        <v>118</v>
      </c>
      <c r="E1617" s="102"/>
      <c r="F1617" s="102"/>
      <c r="G1617" s="102"/>
      <c r="H1617" s="102"/>
      <c r="I1617" s="109"/>
      <c r="J1617" s="110"/>
      <c r="K1617" s="110"/>
      <c r="L1617" s="110"/>
      <c r="M1617" s="110"/>
      <c r="N1617" s="110"/>
      <c r="O1617" s="110"/>
      <c r="P1617" s="110"/>
      <c r="Q1617" s="110"/>
      <c r="R1617" s="110"/>
      <c r="S1617" s="111"/>
      <c r="T1617" s="110"/>
      <c r="U1617" s="114"/>
      <c r="V1617" s="114"/>
      <c r="W1617" s="114"/>
      <c r="X1617" s="571"/>
      <c r="Y1617" s="571"/>
      <c r="Z1617" s="571"/>
      <c r="AA1617" s="571"/>
      <c r="AB1617" s="571"/>
      <c r="AC1617" s="571"/>
      <c r="AD1617" s="571"/>
      <c r="AE1617" s="571">
        <f>FISCinyear!IK861+FISCinyear!IK864+FISCinyear!IK870</f>
        <v>13.381292890000001</v>
      </c>
      <c r="AF1617" s="571">
        <f>FISCinyear!IN861+FISCinyear!IN864+FISCinyear!IN870</f>
        <v>0</v>
      </c>
      <c r="AG1617" s="571">
        <f>FISCinyear!IQ861+FISCinyear!IQ864+FISCinyear!IQ870</f>
        <v>21.283423298999999</v>
      </c>
      <c r="AH1617" s="571">
        <f>FISCinyear!IT861+FISCinyear!IT864+FISCinyear!IT870</f>
        <v>22.905921361999997</v>
      </c>
      <c r="AI1617" s="571">
        <f>FISCinyear!IW861+FISCinyear!IW864+FISCinyear!IW870</f>
        <v>27.388889515999999</v>
      </c>
      <c r="AJ1617" s="571">
        <f>FISCinyear!IZ861+FISCinyear!IZ864+FISCinyear!IZ870</f>
        <v>28.264449359101125</v>
      </c>
      <c r="AK1617" s="571">
        <f>FISCinyear!JC861+FISCinyear!JC864+FISCinyear!JC870</f>
        <v>32.995697541471003</v>
      </c>
      <c r="AL1617" s="571">
        <f>FISCinyear!JF861+FISCinyear!JF864+FISCinyear!JF870</f>
        <v>39.238573728624182</v>
      </c>
      <c r="AM1617" s="571">
        <f>FISCinyear!JI861+FISCinyear!JI864+FISCinyear!JI870</f>
        <v>39.848428624831101</v>
      </c>
      <c r="AN1617" s="571">
        <f>FISCinyear!JL861+FISCinyear!JL864+FISCinyear!JL870</f>
        <v>40.397327752218665</v>
      </c>
      <c r="AO1617" s="571">
        <f>FISCinyear!JO861+FISCinyear!JO864+FISCinyear!JO870</f>
        <v>0</v>
      </c>
      <c r="AP1617" s="571"/>
      <c r="AQ1617" s="571"/>
      <c r="AR1617" s="571"/>
      <c r="AS1617" s="571"/>
      <c r="AT1617" s="571"/>
    </row>
    <row r="1618" spans="1:46">
      <c r="A1618" s="1"/>
      <c r="B1618" s="1"/>
      <c r="C1618" s="1"/>
      <c r="D1618" s="568" t="s">
        <v>3325</v>
      </c>
      <c r="E1618" s="102"/>
      <c r="F1618" s="102">
        <f t="shared" ref="F1618:AD1618" si="1976">F1626+F1634+F1638+F1630</f>
        <v>0</v>
      </c>
      <c r="G1618" s="102">
        <f t="shared" si="1976"/>
        <v>0</v>
      </c>
      <c r="H1618" s="102">
        <f t="shared" si="1976"/>
        <v>0</v>
      </c>
      <c r="I1618" s="109">
        <f t="shared" si="1976"/>
        <v>0</v>
      </c>
      <c r="J1618" s="110">
        <f t="shared" si="1976"/>
        <v>0</v>
      </c>
      <c r="K1618" s="110">
        <f t="shared" si="1976"/>
        <v>0</v>
      </c>
      <c r="L1618" s="110">
        <f t="shared" si="1976"/>
        <v>0</v>
      </c>
      <c r="M1618" s="110">
        <f t="shared" si="1976"/>
        <v>0</v>
      </c>
      <c r="N1618" s="110">
        <f t="shared" si="1976"/>
        <v>0</v>
      </c>
      <c r="O1618" s="110">
        <f t="shared" si="1976"/>
        <v>0</v>
      </c>
      <c r="P1618" s="110">
        <f t="shared" si="1976"/>
        <v>0</v>
      </c>
      <c r="Q1618" s="110">
        <f t="shared" si="1976"/>
        <v>0</v>
      </c>
      <c r="R1618" s="110">
        <f t="shared" si="1976"/>
        <v>0</v>
      </c>
      <c r="S1618" s="111">
        <f t="shared" si="1976"/>
        <v>0</v>
      </c>
      <c r="T1618" s="110">
        <f t="shared" si="1976"/>
        <v>0</v>
      </c>
      <c r="U1618" s="277">
        <f t="shared" si="1976"/>
        <v>0</v>
      </c>
      <c r="V1618" s="277">
        <f t="shared" si="1976"/>
        <v>0</v>
      </c>
      <c r="W1618" s="277">
        <f t="shared" si="1976"/>
        <v>0</v>
      </c>
      <c r="X1618" s="281">
        <f t="shared" si="1976"/>
        <v>0</v>
      </c>
      <c r="Y1618" s="281">
        <f t="shared" si="1976"/>
        <v>0</v>
      </c>
      <c r="Z1618" s="281">
        <f t="shared" si="1976"/>
        <v>0</v>
      </c>
      <c r="AA1618" s="281">
        <f t="shared" si="1976"/>
        <v>0</v>
      </c>
      <c r="AB1618" s="281">
        <f t="shared" si="1976"/>
        <v>0</v>
      </c>
      <c r="AC1618" s="281">
        <f t="shared" si="1976"/>
        <v>48.186332582787003</v>
      </c>
      <c r="AD1618" s="281">
        <f t="shared" si="1976"/>
        <v>38.635839439861542</v>
      </c>
      <c r="AE1618" s="281">
        <f t="shared" ref="AE1618:AO1618" si="1977">AE1178+AE1181+AE1187</f>
        <v>0</v>
      </c>
      <c r="AF1618" s="281">
        <f t="shared" si="1977"/>
        <v>13.381292890000001</v>
      </c>
      <c r="AG1618" s="281">
        <f t="shared" si="1977"/>
        <v>0</v>
      </c>
      <c r="AH1618" s="281">
        <f t="shared" si="1977"/>
        <v>42.647365346999997</v>
      </c>
      <c r="AI1618" s="281">
        <f t="shared" si="1977"/>
        <v>48.634940306000004</v>
      </c>
      <c r="AJ1618" s="281">
        <f t="shared" si="1977"/>
        <v>50.982743245356446</v>
      </c>
      <c r="AK1618" s="281">
        <f t="shared" si="1977"/>
        <v>56.52889871820225</v>
      </c>
      <c r="AL1618" s="281">
        <f t="shared" si="1977"/>
        <v>65.991395082942006</v>
      </c>
      <c r="AM1618" s="281">
        <f t="shared" si="1977"/>
        <v>78.477147457248364</v>
      </c>
      <c r="AN1618" s="281">
        <f t="shared" si="1977"/>
        <v>79.696857249662202</v>
      </c>
      <c r="AO1618" s="281">
        <f t="shared" si="1977"/>
        <v>80.79465550443733</v>
      </c>
      <c r="AP1618" s="281"/>
      <c r="AQ1618" s="281"/>
      <c r="AR1618" s="281"/>
      <c r="AS1618" s="281"/>
      <c r="AT1618" s="281"/>
    </row>
    <row r="1619" spans="1:46">
      <c r="A1619" s="1"/>
      <c r="B1619" s="1"/>
      <c r="C1619" s="1"/>
      <c r="D1619" s="570" t="s">
        <v>3324</v>
      </c>
      <c r="E1619" s="272"/>
      <c r="F1619" s="272">
        <f t="shared" ref="F1619:AL1619" si="1978">F1620+F1621</f>
        <v>0</v>
      </c>
      <c r="G1619" s="272">
        <f t="shared" si="1978"/>
        <v>0</v>
      </c>
      <c r="H1619" s="272">
        <f t="shared" si="1978"/>
        <v>0</v>
      </c>
      <c r="I1619" s="273">
        <f t="shared" si="1978"/>
        <v>0</v>
      </c>
      <c r="J1619" s="274">
        <f t="shared" si="1978"/>
        <v>0</v>
      </c>
      <c r="K1619" s="274">
        <f t="shared" si="1978"/>
        <v>0</v>
      </c>
      <c r="L1619" s="274">
        <f t="shared" si="1978"/>
        <v>0</v>
      </c>
      <c r="M1619" s="274">
        <f t="shared" si="1978"/>
        <v>0</v>
      </c>
      <c r="N1619" s="274">
        <f t="shared" si="1978"/>
        <v>0</v>
      </c>
      <c r="O1619" s="274">
        <f t="shared" si="1978"/>
        <v>0</v>
      </c>
      <c r="P1619" s="274">
        <f t="shared" si="1978"/>
        <v>0</v>
      </c>
      <c r="Q1619" s="274">
        <f t="shared" si="1978"/>
        <v>0</v>
      </c>
      <c r="R1619" s="274">
        <f t="shared" si="1978"/>
        <v>0</v>
      </c>
      <c r="S1619" s="275">
        <f t="shared" si="1978"/>
        <v>0</v>
      </c>
      <c r="T1619" s="274">
        <f t="shared" si="1978"/>
        <v>0</v>
      </c>
      <c r="U1619" s="285">
        <f t="shared" si="1978"/>
        <v>0</v>
      </c>
      <c r="V1619" s="285">
        <f t="shared" si="1978"/>
        <v>0</v>
      </c>
      <c r="W1619" s="285">
        <f t="shared" si="1978"/>
        <v>0</v>
      </c>
      <c r="X1619" s="285">
        <f t="shared" si="1978"/>
        <v>0</v>
      </c>
      <c r="Y1619" s="285">
        <f t="shared" si="1978"/>
        <v>0</v>
      </c>
      <c r="Z1619" s="276">
        <f t="shared" si="1978"/>
        <v>0</v>
      </c>
      <c r="AA1619" s="276">
        <f t="shared" si="1978"/>
        <v>0</v>
      </c>
      <c r="AB1619" s="276">
        <f t="shared" si="1978"/>
        <v>0</v>
      </c>
      <c r="AC1619" s="276">
        <f t="shared" si="1978"/>
        <v>0</v>
      </c>
      <c r="AD1619" s="276">
        <f t="shared" si="1978"/>
        <v>0</v>
      </c>
      <c r="AE1619" s="1810">
        <f>AE1620+AE1621</f>
        <v>419.61410910720497</v>
      </c>
      <c r="AF1619" s="1810">
        <f t="shared" si="1978"/>
        <v>-99.782464111774061</v>
      </c>
      <c r="AG1619" s="1810">
        <f t="shared" si="1978"/>
        <v>-70.275305601218292</v>
      </c>
      <c r="AH1619" s="1810">
        <f t="shared" si="1978"/>
        <v>194.30647935743673</v>
      </c>
      <c r="AI1619" s="1810">
        <f t="shared" si="1978"/>
        <v>507.60572690163485</v>
      </c>
      <c r="AJ1619" s="1810">
        <f t="shared" si="1978"/>
        <v>-448.11418803478807</v>
      </c>
      <c r="AK1619" s="1810">
        <f t="shared" si="1978"/>
        <v>117.06573445982951</v>
      </c>
      <c r="AL1619" s="1810">
        <f t="shared" si="1978"/>
        <v>131.65349709913079</v>
      </c>
      <c r="AM1619" s="1810">
        <f>AM1620+AM1621</f>
        <v>118.20751638921828</v>
      </c>
      <c r="AN1619" s="1810">
        <f>AN1620+AN1621</f>
        <v>102.99139800627773</v>
      </c>
      <c r="AO1619" s="1810">
        <f>AO1620+AO1621</f>
        <v>54.491285413808662</v>
      </c>
      <c r="AP1619" s="1810"/>
      <c r="AQ1619" s="1810"/>
      <c r="AR1619" s="1810"/>
      <c r="AS1619" s="1810"/>
      <c r="AT1619" s="1810"/>
    </row>
    <row r="1620" spans="1:46">
      <c r="A1620" s="1"/>
      <c r="B1620" s="1"/>
      <c r="C1620" s="1"/>
      <c r="D1620" s="108" t="str">
        <f>+D1616</f>
        <v xml:space="preserve">     Jan-June </v>
      </c>
      <c r="E1620" s="102"/>
      <c r="F1620" s="102"/>
      <c r="G1620" s="102"/>
      <c r="H1620" s="102"/>
      <c r="I1620" s="109"/>
      <c r="J1620" s="110"/>
      <c r="K1620" s="110"/>
      <c r="L1620" s="110"/>
      <c r="M1620" s="110"/>
      <c r="N1620" s="110"/>
      <c r="O1620" s="110"/>
      <c r="P1620" s="110"/>
      <c r="Q1620" s="110"/>
      <c r="R1620" s="110"/>
      <c r="S1620" s="111"/>
      <c r="T1620" s="110"/>
      <c r="U1620" s="114"/>
      <c r="V1620" s="114"/>
      <c r="W1620" s="114"/>
      <c r="X1620" s="114"/>
      <c r="Y1620" s="571"/>
      <c r="Z1620" s="571"/>
      <c r="AA1620" s="571"/>
      <c r="AB1620" s="571"/>
      <c r="AC1620" s="571"/>
      <c r="AD1620" s="571"/>
      <c r="AE1620" s="571">
        <f>FISCinyear!II859</f>
        <v>134.59604671191369</v>
      </c>
      <c r="AF1620" s="571">
        <f>FISCinyear!IL859</f>
        <v>-241.85404139289938</v>
      </c>
      <c r="AG1620" s="571">
        <f>FISCinyear!IO859</f>
        <v>66.637973986493535</v>
      </c>
      <c r="AH1620" s="571">
        <f>FISCinyear!IR859</f>
        <v>59.069300245384738</v>
      </c>
      <c r="AI1620" s="571">
        <f>FISCinyear!IU859</f>
        <v>-165.32572598425816</v>
      </c>
      <c r="AJ1620" s="571">
        <f>FISCinyear!IX859</f>
        <v>-503.23382919223604</v>
      </c>
      <c r="AK1620" s="571">
        <f>FISCinyear!JA859</f>
        <v>55.119641157447958</v>
      </c>
      <c r="AL1620" s="571">
        <f>FISCinyear!JD859</f>
        <v>61.946093302381556</v>
      </c>
      <c r="AM1620" s="571">
        <f>FISCinyear!JG859</f>
        <v>69.707403796749219</v>
      </c>
      <c r="AN1620" s="571">
        <f>FISCinyear!JJ859</f>
        <v>48.500112592469073</v>
      </c>
      <c r="AO1620" s="571">
        <f>FISCinyear!JM859</f>
        <v>54.491285413808662</v>
      </c>
      <c r="AP1620" s="571"/>
      <c r="AQ1620" s="571"/>
      <c r="AR1620" s="571"/>
      <c r="AS1620" s="571"/>
      <c r="AT1620" s="571"/>
    </row>
    <row r="1621" spans="1:46">
      <c r="A1621" s="1"/>
      <c r="B1621" s="1"/>
      <c r="C1621" s="1"/>
      <c r="D1621" s="108" t="str">
        <f>+D1617</f>
        <v xml:space="preserve">     July-Dec </v>
      </c>
      <c r="E1621" s="102"/>
      <c r="F1621" s="102"/>
      <c r="G1621" s="102"/>
      <c r="H1621" s="102"/>
      <c r="I1621" s="109"/>
      <c r="J1621" s="110"/>
      <c r="K1621" s="110"/>
      <c r="L1621" s="110"/>
      <c r="M1621" s="110"/>
      <c r="N1621" s="110"/>
      <c r="O1621" s="110"/>
      <c r="P1621" s="110"/>
      <c r="Q1621" s="110"/>
      <c r="R1621" s="110"/>
      <c r="S1621" s="111"/>
      <c r="T1621" s="110"/>
      <c r="U1621" s="114"/>
      <c r="V1621" s="114"/>
      <c r="W1621" s="114"/>
      <c r="X1621" s="571"/>
      <c r="Y1621" s="571"/>
      <c r="Z1621" s="571"/>
      <c r="AA1621" s="571"/>
      <c r="AB1621" s="571"/>
      <c r="AC1621" s="571"/>
      <c r="AD1621" s="571"/>
      <c r="AE1621" s="571">
        <f>FISCinyear!IK859</f>
        <v>285.01806239529128</v>
      </c>
      <c r="AF1621" s="571">
        <f>FISCinyear!IN859</f>
        <v>142.07157728112531</v>
      </c>
      <c r="AG1621" s="571">
        <f>FISCinyear!IQ859</f>
        <v>-136.91327958771183</v>
      </c>
      <c r="AH1621" s="571">
        <f>FISCinyear!IT859</f>
        <v>135.23717911205199</v>
      </c>
      <c r="AI1621" s="571">
        <f>FISCinyear!IW859</f>
        <v>672.93145288589301</v>
      </c>
      <c r="AJ1621" s="571">
        <f>FISCinyear!IZ859</f>
        <v>55.119641157447958</v>
      </c>
      <c r="AK1621" s="571">
        <f>FISCinyear!JC859</f>
        <v>61.946093302381556</v>
      </c>
      <c r="AL1621" s="571">
        <f>FISCinyear!JF859</f>
        <v>69.707403796749219</v>
      </c>
      <c r="AM1621" s="571">
        <f>FISCinyear!JI859</f>
        <v>48.500112592469073</v>
      </c>
      <c r="AN1621" s="571">
        <f>FISCinyear!JL859</f>
        <v>54.491285413808662</v>
      </c>
      <c r="AO1621" s="571">
        <f>FISCinyear!JO859</f>
        <v>0</v>
      </c>
      <c r="AP1621" s="571"/>
      <c r="AQ1621" s="571"/>
      <c r="AR1621" s="571"/>
      <c r="AS1621" s="571"/>
      <c r="AT1621" s="571"/>
    </row>
    <row r="1622" spans="1:46">
      <c r="A1622" s="1"/>
      <c r="B1622" s="1"/>
      <c r="C1622" s="1"/>
      <c r="D1622" s="568" t="s">
        <v>3323</v>
      </c>
      <c r="E1622" s="102"/>
      <c r="F1622" s="102">
        <f t="shared" ref="F1622:AO1622" si="1979">F1176</f>
        <v>0</v>
      </c>
      <c r="G1622" s="102">
        <f t="shared" si="1979"/>
        <v>0</v>
      </c>
      <c r="H1622" s="102">
        <f t="shared" si="1979"/>
        <v>0</v>
      </c>
      <c r="I1622" s="109">
        <f t="shared" si="1979"/>
        <v>0</v>
      </c>
      <c r="J1622" s="110">
        <f t="shared" si="1979"/>
        <v>0</v>
      </c>
      <c r="K1622" s="110">
        <f t="shared" si="1979"/>
        <v>0</v>
      </c>
      <c r="L1622" s="110">
        <f t="shared" si="1979"/>
        <v>0</v>
      </c>
      <c r="M1622" s="110">
        <f t="shared" si="1979"/>
        <v>0</v>
      </c>
      <c r="N1622" s="110">
        <f t="shared" si="1979"/>
        <v>0</v>
      </c>
      <c r="O1622" s="110">
        <f t="shared" si="1979"/>
        <v>0</v>
      </c>
      <c r="P1622" s="110">
        <f t="shared" si="1979"/>
        <v>0</v>
      </c>
      <c r="Q1622" s="110">
        <f t="shared" si="1979"/>
        <v>0</v>
      </c>
      <c r="R1622" s="110">
        <f t="shared" si="1979"/>
        <v>0</v>
      </c>
      <c r="S1622" s="111">
        <f t="shared" si="1979"/>
        <v>0</v>
      </c>
      <c r="T1622" s="110">
        <f t="shared" si="1979"/>
        <v>0</v>
      </c>
      <c r="U1622" s="277">
        <f t="shared" si="1979"/>
        <v>0</v>
      </c>
      <c r="V1622" s="277" t="str">
        <f t="shared" si="1979"/>
        <v>Mon Survey</v>
      </c>
      <c r="W1622" s="277">
        <f t="shared" si="1979"/>
        <v>4.1000000000000156</v>
      </c>
      <c r="X1622" s="281">
        <f t="shared" si="1979"/>
        <v>111.70000000000006</v>
      </c>
      <c r="Y1622" s="281">
        <f t="shared" si="1979"/>
        <v>-91.333694621128842</v>
      </c>
      <c r="Z1622" s="281">
        <f t="shared" si="1979"/>
        <v>-45.386626808125826</v>
      </c>
      <c r="AA1622" s="281">
        <f t="shared" si="1979"/>
        <v>29.004849835967008</v>
      </c>
      <c r="AB1622" s="281">
        <f t="shared" si="1979"/>
        <v>12.844015336533829</v>
      </c>
      <c r="AC1622" s="281">
        <f t="shared" si="1979"/>
        <v>48.186332582787003</v>
      </c>
      <c r="AD1622" s="281">
        <f t="shared" si="1979"/>
        <v>38.635839439861542</v>
      </c>
      <c r="AE1622" s="281">
        <f t="shared" si="1979"/>
        <v>307.54245797220136</v>
      </c>
      <c r="AF1622" s="281">
        <f t="shared" si="1979"/>
        <v>43.164021002391905</v>
      </c>
      <c r="AG1622" s="281">
        <f t="shared" si="1979"/>
        <v>208.70955126761885</v>
      </c>
      <c r="AH1622" s="281">
        <f t="shared" si="1979"/>
        <v>-77.843979342327088</v>
      </c>
      <c r="AI1622" s="281">
        <f t="shared" si="1979"/>
        <v>-30.088546872206166</v>
      </c>
      <c r="AJ1622" s="281">
        <f t="shared" si="1979"/>
        <v>169.69762369365699</v>
      </c>
      <c r="AK1622" s="281">
        <f t="shared" si="1979"/>
        <v>110.23928231489592</v>
      </c>
      <c r="AL1622" s="281">
        <f t="shared" si="1979"/>
        <v>123.89218660476311</v>
      </c>
      <c r="AM1622" s="281">
        <f t="shared" si="1979"/>
        <v>139.41480759349844</v>
      </c>
      <c r="AN1622" s="281">
        <f t="shared" si="1979"/>
        <v>97.000225184938145</v>
      </c>
      <c r="AO1622" s="281">
        <f t="shared" si="1979"/>
        <v>108.98257082761732</v>
      </c>
      <c r="AP1622" s="281"/>
      <c r="AQ1622" s="281"/>
      <c r="AR1622" s="281"/>
      <c r="AS1622" s="281"/>
      <c r="AT1622" s="281"/>
    </row>
    <row r="1623" spans="1:46">
      <c r="A1623" s="1"/>
      <c r="B1623" s="1"/>
      <c r="C1623" s="1"/>
      <c r="D1623" s="570" t="s">
        <v>3305</v>
      </c>
      <c r="E1623" s="272"/>
      <c r="F1623" s="272">
        <f t="shared" ref="F1623:AL1623" si="1980">F1624+F1625</f>
        <v>0</v>
      </c>
      <c r="G1623" s="272">
        <f t="shared" si="1980"/>
        <v>0</v>
      </c>
      <c r="H1623" s="272">
        <f t="shared" si="1980"/>
        <v>0</v>
      </c>
      <c r="I1623" s="273">
        <f t="shared" si="1980"/>
        <v>0</v>
      </c>
      <c r="J1623" s="274">
        <f t="shared" si="1980"/>
        <v>0</v>
      </c>
      <c r="K1623" s="274">
        <f t="shared" si="1980"/>
        <v>0</v>
      </c>
      <c r="L1623" s="274">
        <f t="shared" si="1980"/>
        <v>0</v>
      </c>
      <c r="M1623" s="274">
        <f t="shared" si="1980"/>
        <v>0</v>
      </c>
      <c r="N1623" s="274">
        <f t="shared" si="1980"/>
        <v>0</v>
      </c>
      <c r="O1623" s="274">
        <f t="shared" si="1980"/>
        <v>0</v>
      </c>
      <c r="P1623" s="274">
        <f t="shared" si="1980"/>
        <v>0</v>
      </c>
      <c r="Q1623" s="274">
        <f t="shared" si="1980"/>
        <v>0</v>
      </c>
      <c r="R1623" s="274">
        <f t="shared" si="1980"/>
        <v>0</v>
      </c>
      <c r="S1623" s="275">
        <f t="shared" si="1980"/>
        <v>0</v>
      </c>
      <c r="T1623" s="274">
        <f t="shared" si="1980"/>
        <v>0</v>
      </c>
      <c r="U1623" s="285">
        <f t="shared" si="1980"/>
        <v>0</v>
      </c>
      <c r="V1623" s="285">
        <f t="shared" si="1980"/>
        <v>0</v>
      </c>
      <c r="W1623" s="285">
        <f t="shared" si="1980"/>
        <v>0</v>
      </c>
      <c r="X1623" s="285">
        <f t="shared" si="1980"/>
        <v>0</v>
      </c>
      <c r="Y1623" s="285">
        <f t="shared" si="1980"/>
        <v>0</v>
      </c>
      <c r="Z1623" s="276">
        <f t="shared" si="1980"/>
        <v>0</v>
      </c>
      <c r="AA1623" s="276">
        <f t="shared" si="1980"/>
        <v>0</v>
      </c>
      <c r="AB1623" s="276">
        <f t="shared" si="1980"/>
        <v>0</v>
      </c>
      <c r="AC1623" s="276">
        <f t="shared" si="1980"/>
        <v>0</v>
      </c>
      <c r="AD1623" s="276">
        <f t="shared" si="1980"/>
        <v>0</v>
      </c>
      <c r="AE1623" s="1810">
        <f t="shared" si="1980"/>
        <v>0</v>
      </c>
      <c r="AF1623" s="1810">
        <f t="shared" si="1980"/>
        <v>0</v>
      </c>
      <c r="AG1623" s="1810">
        <f t="shared" si="1980"/>
        <v>0</v>
      </c>
      <c r="AH1623" s="1810">
        <f t="shared" si="1980"/>
        <v>0</v>
      </c>
      <c r="AI1623" s="1810">
        <f t="shared" si="1980"/>
        <v>0</v>
      </c>
      <c r="AJ1623" s="1810">
        <f t="shared" si="1980"/>
        <v>0</v>
      </c>
      <c r="AK1623" s="1810">
        <f t="shared" si="1980"/>
        <v>0</v>
      </c>
      <c r="AL1623" s="1810">
        <f t="shared" si="1980"/>
        <v>0</v>
      </c>
      <c r="AM1623" s="1810">
        <f>AM1624+AM1625</f>
        <v>0</v>
      </c>
      <c r="AN1623" s="1810">
        <f>AN1624+AN1625</f>
        <v>0</v>
      </c>
      <c r="AO1623" s="1810">
        <f>AO1624+AO1625</f>
        <v>0</v>
      </c>
      <c r="AP1623" s="1810"/>
      <c r="AQ1623" s="1810"/>
      <c r="AR1623" s="1810"/>
      <c r="AS1623" s="1810"/>
      <c r="AT1623" s="1810"/>
    </row>
    <row r="1624" spans="1:46">
      <c r="A1624" s="1"/>
      <c r="B1624" s="1"/>
      <c r="C1624" s="1"/>
      <c r="D1624" s="108" t="str">
        <f>+D1616</f>
        <v xml:space="preserve">     Jan-June </v>
      </c>
      <c r="E1624" s="102"/>
      <c r="F1624" s="102"/>
      <c r="G1624" s="102"/>
      <c r="H1624" s="102"/>
      <c r="I1624" s="109"/>
      <c r="J1624" s="110"/>
      <c r="K1624" s="110"/>
      <c r="L1624" s="110"/>
      <c r="M1624" s="110"/>
      <c r="N1624" s="110"/>
      <c r="O1624" s="110"/>
      <c r="P1624" s="110"/>
      <c r="Q1624" s="110"/>
      <c r="R1624" s="110"/>
      <c r="S1624" s="111"/>
      <c r="T1624" s="110"/>
      <c r="U1624" s="114"/>
      <c r="V1624" s="114"/>
      <c r="W1624" s="114"/>
      <c r="X1624" s="114"/>
      <c r="Y1624" s="571"/>
      <c r="Z1624" s="571"/>
      <c r="AA1624" s="571"/>
      <c r="AB1624" s="571"/>
      <c r="AC1624" s="571"/>
      <c r="AD1624" s="571"/>
      <c r="AE1624" s="571">
        <f>FISCinyear!II901+FISCinyear!II904</f>
        <v>0</v>
      </c>
      <c r="AF1624" s="571">
        <f>FISCinyear!IL901+FISCinyear!IL904</f>
        <v>0</v>
      </c>
      <c r="AG1624" s="571">
        <f>FISCinyear!IO901+FISCinyear!IO904</f>
        <v>0</v>
      </c>
      <c r="AH1624" s="571">
        <f>FISCinyear!IR901+FISCinyear!IR904</f>
        <v>0</v>
      </c>
      <c r="AI1624" s="571">
        <f>FISCinyear!IU901+FISCinyear!IU904</f>
        <v>0</v>
      </c>
      <c r="AJ1624" s="571">
        <f>FISCinyear!IX901+FISCinyear!IX904</f>
        <v>0</v>
      </c>
      <c r="AK1624" s="571">
        <f>FISCinyear!JA901+FISCinyear!JA904</f>
        <v>0</v>
      </c>
      <c r="AL1624" s="571">
        <f>FISCinyear!JD901+FISCinyear!JD904</f>
        <v>0</v>
      </c>
      <c r="AM1624" s="571">
        <f>FISCinyear!JG901+FISCinyear!JG904</f>
        <v>0</v>
      </c>
      <c r="AN1624" s="571">
        <f>FISCinyear!JJ901+FISCinyear!JJ904</f>
        <v>0</v>
      </c>
      <c r="AO1624" s="571">
        <f>FISCinyear!JM901+FISCinyear!JM904</f>
        <v>0</v>
      </c>
      <c r="AP1624" s="571"/>
      <c r="AQ1624" s="571"/>
      <c r="AR1624" s="571"/>
      <c r="AS1624" s="571"/>
      <c r="AT1624" s="571"/>
    </row>
    <row r="1625" spans="1:46">
      <c r="A1625" s="1"/>
      <c r="B1625" s="1"/>
      <c r="C1625" s="1"/>
      <c r="D1625" s="108" t="str">
        <f>+D1617</f>
        <v xml:space="preserve">     July-Dec </v>
      </c>
      <c r="E1625" s="102"/>
      <c r="F1625" s="102"/>
      <c r="G1625" s="102"/>
      <c r="H1625" s="102"/>
      <c r="I1625" s="109"/>
      <c r="J1625" s="110"/>
      <c r="K1625" s="110"/>
      <c r="L1625" s="110"/>
      <c r="M1625" s="110"/>
      <c r="N1625" s="110"/>
      <c r="O1625" s="110"/>
      <c r="P1625" s="110"/>
      <c r="Q1625" s="110"/>
      <c r="R1625" s="110"/>
      <c r="S1625" s="111"/>
      <c r="T1625" s="110"/>
      <c r="U1625" s="114"/>
      <c r="V1625" s="114"/>
      <c r="W1625" s="114"/>
      <c r="X1625" s="571"/>
      <c r="Y1625" s="571"/>
      <c r="Z1625" s="571"/>
      <c r="AA1625" s="571"/>
      <c r="AB1625" s="571"/>
      <c r="AC1625" s="571"/>
      <c r="AD1625" s="571"/>
      <c r="AE1625" s="571">
        <f>FISCinyear!IK901+FISCinyear!IK904</f>
        <v>0</v>
      </c>
      <c r="AF1625" s="571">
        <f>FISCinyear!IN901+FISCinyear!IN904</f>
        <v>0</v>
      </c>
      <c r="AG1625" s="571">
        <f>FISCinyear!IQ901+FISCinyear!IQ904</f>
        <v>0</v>
      </c>
      <c r="AH1625" s="571">
        <f>FISCinyear!IT901+FISCinyear!IT904</f>
        <v>0</v>
      </c>
      <c r="AI1625" s="571">
        <f>FISCinyear!IW901+FISCinyear!IW904</f>
        <v>0</v>
      </c>
      <c r="AJ1625" s="571">
        <f>FISCinyear!IZ901+FISCinyear!IZ904</f>
        <v>0</v>
      </c>
      <c r="AK1625" s="571">
        <f>FISCinyear!JC901+FISCinyear!JC904</f>
        <v>0</v>
      </c>
      <c r="AL1625" s="571">
        <f>FISCinyear!JF901+FISCinyear!JF904</f>
        <v>0</v>
      </c>
      <c r="AM1625" s="571">
        <f>FISCinyear!JI901+FISCinyear!JI904</f>
        <v>0</v>
      </c>
      <c r="AN1625" s="571">
        <f>FISCinyear!JL901+FISCinyear!JL904</f>
        <v>0</v>
      </c>
      <c r="AO1625" s="571">
        <f>FISCinyear!JO901+FISCinyear!JO904</f>
        <v>0</v>
      </c>
      <c r="AP1625" s="571"/>
      <c r="AQ1625" s="571"/>
      <c r="AR1625" s="571"/>
      <c r="AS1625" s="571"/>
      <c r="AT1625" s="571"/>
    </row>
    <row r="1626" spans="1:46">
      <c r="A1626" s="1"/>
      <c r="B1626" s="1"/>
      <c r="C1626" s="1"/>
      <c r="D1626" s="568" t="s">
        <v>3306</v>
      </c>
      <c r="E1626" s="102"/>
      <c r="F1626" s="102">
        <f t="shared" ref="F1626:AO1626" si="1981">F1222+F1225</f>
        <v>0</v>
      </c>
      <c r="G1626" s="102">
        <f t="shared" si="1981"/>
        <v>0</v>
      </c>
      <c r="H1626" s="102">
        <f t="shared" si="1981"/>
        <v>0</v>
      </c>
      <c r="I1626" s="109">
        <f t="shared" si="1981"/>
        <v>0</v>
      </c>
      <c r="J1626" s="110">
        <f t="shared" si="1981"/>
        <v>0</v>
      </c>
      <c r="K1626" s="110">
        <f t="shared" si="1981"/>
        <v>0</v>
      </c>
      <c r="L1626" s="110">
        <f t="shared" si="1981"/>
        <v>0</v>
      </c>
      <c r="M1626" s="110">
        <f t="shared" si="1981"/>
        <v>0</v>
      </c>
      <c r="N1626" s="110">
        <f t="shared" si="1981"/>
        <v>0</v>
      </c>
      <c r="O1626" s="110">
        <f t="shared" si="1981"/>
        <v>0</v>
      </c>
      <c r="P1626" s="110">
        <f t="shared" si="1981"/>
        <v>0</v>
      </c>
      <c r="Q1626" s="110">
        <f t="shared" si="1981"/>
        <v>0</v>
      </c>
      <c r="R1626" s="110">
        <f t="shared" si="1981"/>
        <v>0</v>
      </c>
      <c r="S1626" s="111">
        <f t="shared" si="1981"/>
        <v>0</v>
      </c>
      <c r="T1626" s="110">
        <f t="shared" si="1981"/>
        <v>0</v>
      </c>
      <c r="U1626" s="277">
        <f t="shared" si="1981"/>
        <v>0</v>
      </c>
      <c r="V1626" s="277">
        <f t="shared" si="1981"/>
        <v>0</v>
      </c>
      <c r="W1626" s="277">
        <f t="shared" si="1981"/>
        <v>0</v>
      </c>
      <c r="X1626" s="281">
        <f t="shared" si="1981"/>
        <v>0</v>
      </c>
      <c r="Y1626" s="281">
        <f t="shared" si="1981"/>
        <v>0</v>
      </c>
      <c r="Z1626" s="281">
        <f t="shared" si="1981"/>
        <v>0</v>
      </c>
      <c r="AA1626" s="281">
        <f t="shared" si="1981"/>
        <v>0</v>
      </c>
      <c r="AB1626" s="281">
        <f t="shared" si="1981"/>
        <v>0</v>
      </c>
      <c r="AC1626" s="281">
        <f t="shared" si="1981"/>
        <v>0</v>
      </c>
      <c r="AD1626" s="281">
        <f t="shared" si="1981"/>
        <v>0</v>
      </c>
      <c r="AE1626" s="281">
        <f t="shared" si="1981"/>
        <v>0</v>
      </c>
      <c r="AF1626" s="281">
        <f t="shared" si="1981"/>
        <v>0</v>
      </c>
      <c r="AG1626" s="281">
        <f t="shared" si="1981"/>
        <v>0</v>
      </c>
      <c r="AH1626" s="281">
        <f t="shared" si="1981"/>
        <v>0</v>
      </c>
      <c r="AI1626" s="281">
        <f t="shared" si="1981"/>
        <v>0</v>
      </c>
      <c r="AJ1626" s="281">
        <f t="shared" si="1981"/>
        <v>0</v>
      </c>
      <c r="AK1626" s="281">
        <f t="shared" si="1981"/>
        <v>0</v>
      </c>
      <c r="AL1626" s="281">
        <f t="shared" si="1981"/>
        <v>0</v>
      </c>
      <c r="AM1626" s="281">
        <f t="shared" si="1981"/>
        <v>0</v>
      </c>
      <c r="AN1626" s="281">
        <f t="shared" si="1981"/>
        <v>0</v>
      </c>
      <c r="AO1626" s="281">
        <f t="shared" si="1981"/>
        <v>0</v>
      </c>
      <c r="AP1626" s="281"/>
      <c r="AQ1626" s="281"/>
      <c r="AR1626" s="281"/>
      <c r="AS1626" s="281"/>
      <c r="AT1626" s="281"/>
    </row>
    <row r="1627" spans="1:46">
      <c r="A1627" s="1"/>
      <c r="B1627" s="1"/>
      <c r="C1627" s="1"/>
      <c r="D1627" s="1855" t="s">
        <v>3207</v>
      </c>
      <c r="E1627" s="272"/>
      <c r="F1627" s="272">
        <f t="shared" ref="F1627:AL1627" si="1982">F1628+F1629</f>
        <v>0</v>
      </c>
      <c r="G1627" s="272">
        <f t="shared" si="1982"/>
        <v>0</v>
      </c>
      <c r="H1627" s="272">
        <f t="shared" si="1982"/>
        <v>0</v>
      </c>
      <c r="I1627" s="273">
        <f t="shared" si="1982"/>
        <v>0</v>
      </c>
      <c r="J1627" s="274">
        <f t="shared" si="1982"/>
        <v>0</v>
      </c>
      <c r="K1627" s="274">
        <f t="shared" si="1982"/>
        <v>0</v>
      </c>
      <c r="L1627" s="274">
        <f t="shared" si="1982"/>
        <v>0</v>
      </c>
      <c r="M1627" s="274">
        <f t="shared" si="1982"/>
        <v>0</v>
      </c>
      <c r="N1627" s="274">
        <f t="shared" si="1982"/>
        <v>0</v>
      </c>
      <c r="O1627" s="274">
        <f t="shared" si="1982"/>
        <v>0</v>
      </c>
      <c r="P1627" s="274">
        <f t="shared" si="1982"/>
        <v>0</v>
      </c>
      <c r="Q1627" s="274">
        <f t="shared" si="1982"/>
        <v>0</v>
      </c>
      <c r="R1627" s="274">
        <f t="shared" si="1982"/>
        <v>0</v>
      </c>
      <c r="S1627" s="275">
        <f t="shared" si="1982"/>
        <v>0</v>
      </c>
      <c r="T1627" s="274">
        <f t="shared" si="1982"/>
        <v>0</v>
      </c>
      <c r="U1627" s="285">
        <f t="shared" si="1982"/>
        <v>0</v>
      </c>
      <c r="V1627" s="285">
        <f t="shared" si="1982"/>
        <v>0</v>
      </c>
      <c r="W1627" s="285">
        <f t="shared" si="1982"/>
        <v>0</v>
      </c>
      <c r="X1627" s="285">
        <f t="shared" si="1982"/>
        <v>0</v>
      </c>
      <c r="Y1627" s="285">
        <f t="shared" si="1982"/>
        <v>0</v>
      </c>
      <c r="Z1627" s="276">
        <f t="shared" si="1982"/>
        <v>0</v>
      </c>
      <c r="AA1627" s="276">
        <f t="shared" si="1982"/>
        <v>0</v>
      </c>
      <c r="AB1627" s="276">
        <f t="shared" si="1982"/>
        <v>0</v>
      </c>
      <c r="AC1627" s="276">
        <f>AC1628+AC1629</f>
        <v>0</v>
      </c>
      <c r="AD1627" s="276">
        <f t="shared" si="1982"/>
        <v>0</v>
      </c>
      <c r="AE1627" s="1810">
        <f t="shared" si="1982"/>
        <v>362.21740910720501</v>
      </c>
      <c r="AF1627" s="1810">
        <f t="shared" si="1982"/>
        <v>-210.23744911177414</v>
      </c>
      <c r="AG1627" s="1810">
        <f t="shared" si="1982"/>
        <v>-299.88721975321835</v>
      </c>
      <c r="AH1627" s="1810">
        <f t="shared" si="1982"/>
        <v>266.28457329643675</v>
      </c>
      <c r="AI1627" s="1810">
        <f t="shared" si="1982"/>
        <v>341.77034799163488</v>
      </c>
      <c r="AJ1627" s="1810">
        <f t="shared" si="1982"/>
        <v>-388.8648408334663</v>
      </c>
      <c r="AK1627" s="1810">
        <f t="shared" si="1982"/>
        <v>238.6709630782467</v>
      </c>
      <c r="AL1627" s="1810">
        <f t="shared" si="1982"/>
        <v>134.9982668007639</v>
      </c>
      <c r="AM1627" s="1810">
        <f>AM1628+AM1629</f>
        <v>-69.664810664456184</v>
      </c>
      <c r="AN1627" s="1810">
        <f>AN1628+AN1629</f>
        <v>-570.29088348296318</v>
      </c>
      <c r="AO1627" s="1810">
        <f>AO1628+AO1629</f>
        <v>-207.77240830289105</v>
      </c>
      <c r="AP1627" s="1810"/>
      <c r="AQ1627" s="1810"/>
      <c r="AR1627" s="1810"/>
      <c r="AS1627" s="1810"/>
      <c r="AT1627" s="1810"/>
    </row>
    <row r="1628" spans="1:46">
      <c r="A1628" s="1"/>
      <c r="B1628" s="1"/>
      <c r="C1628" s="1"/>
      <c r="D1628" s="108" t="str">
        <f>+D1620</f>
        <v xml:space="preserve">     Jan-June </v>
      </c>
      <c r="E1628" s="102"/>
      <c r="F1628" s="102"/>
      <c r="G1628" s="102"/>
      <c r="H1628" s="102"/>
      <c r="I1628" s="109"/>
      <c r="J1628" s="110"/>
      <c r="K1628" s="110"/>
      <c r="L1628" s="110"/>
      <c r="M1628" s="110"/>
      <c r="N1628" s="110"/>
      <c r="O1628" s="110"/>
      <c r="P1628" s="110"/>
      <c r="Q1628" s="110"/>
      <c r="R1628" s="110"/>
      <c r="S1628" s="111"/>
      <c r="T1628" s="110"/>
      <c r="U1628" s="114"/>
      <c r="V1628" s="114"/>
      <c r="W1628" s="114"/>
      <c r="X1628" s="114"/>
      <c r="Y1628" s="571"/>
      <c r="Z1628" s="571"/>
      <c r="AA1628" s="571"/>
      <c r="AB1628" s="571"/>
      <c r="AC1628" s="571"/>
      <c r="AD1628" s="571"/>
      <c r="AE1628" s="571">
        <f>FISCinyear!II859-(FISCinyear!II902+FISCinyear!II905+FISCinyear!II912)</f>
        <v>134.59604671191369</v>
      </c>
      <c r="AF1628" s="571">
        <f>FISCinyear!IL859-(FISCinyear!IL902+FISCinyear!IL905+FISCinyear!IL912)</f>
        <v>-307.44506139289939</v>
      </c>
      <c r="AG1628" s="571">
        <f>FISCinyear!IO859-(FISCinyear!IO902+FISCinyear!IO905+FISCinyear!IO912)</f>
        <v>-84.895941013506501</v>
      </c>
      <c r="AH1628" s="571">
        <f>FISCinyear!IR859-(FISCinyear!IR902+FISCinyear!IR905+FISCinyear!IR912)</f>
        <v>183.49164548738472</v>
      </c>
      <c r="AI1628" s="571">
        <f>FISCinyear!IU859-(FISCinyear!IU902+FISCinyear!IU905+FISCinyear!IU912)</f>
        <v>-117.83034860425818</v>
      </c>
      <c r="AJ1628" s="571">
        <f>FISCinyear!IX859-(FISCinyear!IX902+FISCinyear!IX905+FISCinyear!IX912)</f>
        <v>-248.06756838832439</v>
      </c>
      <c r="AK1628" s="571">
        <f>FISCinyear!JA859-(FISCinyear!JA902+FISCinyear!JA905+FISCinyear!JA912)</f>
        <v>264.02012291815191</v>
      </c>
      <c r="AL1628" s="571">
        <f>FISCinyear!JD859-(FISCinyear!JD902+FISCinyear!JD905+FISCinyear!JD912)</f>
        <v>250.09927974078749</v>
      </c>
      <c r="AM1628" s="571">
        <f>FISCinyear!JG859-(FISCinyear!JG902+FISCinyear!JG905+FISCinyear!JG912)</f>
        <v>135.25018162962002</v>
      </c>
      <c r="AN1628" s="571">
        <f>FISCinyear!JJ859-(FISCinyear!JJ902+FISCinyear!JJ905+FISCinyear!JJ912)</f>
        <v>-5.0181225735169406</v>
      </c>
      <c r="AO1628" s="571">
        <f>FISCinyear!JM859-(FISCinyear!JM902+FISCinyear!JM905+FISCinyear!JM912)</f>
        <v>-207.77240830289105</v>
      </c>
      <c r="AP1628" s="571"/>
      <c r="AQ1628" s="571"/>
      <c r="AR1628" s="571"/>
      <c r="AS1628" s="571"/>
      <c r="AT1628" s="571"/>
    </row>
    <row r="1629" spans="1:46">
      <c r="A1629" s="1"/>
      <c r="B1629" s="1"/>
      <c r="C1629" s="1"/>
      <c r="D1629" s="108" t="str">
        <f>+D1621</f>
        <v xml:space="preserve">     July-Dec </v>
      </c>
      <c r="E1629" s="102"/>
      <c r="F1629" s="102"/>
      <c r="G1629" s="102"/>
      <c r="H1629" s="102"/>
      <c r="I1629" s="109"/>
      <c r="J1629" s="110"/>
      <c r="K1629" s="110"/>
      <c r="L1629" s="110"/>
      <c r="M1629" s="110"/>
      <c r="N1629" s="110"/>
      <c r="O1629" s="110"/>
      <c r="P1629" s="110"/>
      <c r="Q1629" s="110"/>
      <c r="R1629" s="110"/>
      <c r="S1629" s="111"/>
      <c r="T1629" s="110"/>
      <c r="U1629" s="114"/>
      <c r="V1629" s="114"/>
      <c r="W1629" s="114"/>
      <c r="X1629" s="571"/>
      <c r="Y1629" s="571"/>
      <c r="Z1629" s="571"/>
      <c r="AA1629" s="571"/>
      <c r="AB1629" s="571"/>
      <c r="AC1629" s="571"/>
      <c r="AD1629" s="571"/>
      <c r="AE1629" s="571">
        <f>FISCinyear!IK859-(FISCinyear!IK902+FISCinyear!IK905+FISCinyear!IK912)</f>
        <v>227.62136239529133</v>
      </c>
      <c r="AF1629" s="571">
        <f>FISCinyear!IN859-(FISCinyear!IN902+FISCinyear!IN905+FISCinyear!IN912)</f>
        <v>97.20761228112525</v>
      </c>
      <c r="AG1629" s="571">
        <f>FISCinyear!IQ859-(FISCinyear!IQ902+FISCinyear!IQ905+FISCinyear!IQ912)</f>
        <v>-214.99127873971184</v>
      </c>
      <c r="AH1629" s="571">
        <f>FISCinyear!IT859-(FISCinyear!IT902+FISCinyear!IT905+FISCinyear!IT912)</f>
        <v>82.792927809052003</v>
      </c>
      <c r="AI1629" s="571">
        <f>FISCinyear!IW859-(FISCinyear!IW902+FISCinyear!IW905+FISCinyear!IW912)</f>
        <v>459.60069659589306</v>
      </c>
      <c r="AJ1629" s="571">
        <f>FISCinyear!IZ859-(FISCinyear!IZ902+FISCinyear!IZ905+FISCinyear!IZ912)</f>
        <v>-140.79727244514191</v>
      </c>
      <c r="AK1629" s="571">
        <f>FISCinyear!JC859-(FISCinyear!JC902+FISCinyear!JC905+FISCinyear!JC912)</f>
        <v>-25.349159839905212</v>
      </c>
      <c r="AL1629" s="571">
        <f>FISCinyear!JF859-(FISCinyear!JF902+FISCinyear!JF905+FISCinyear!JF912)</f>
        <v>-115.10101294002359</v>
      </c>
      <c r="AM1629" s="571">
        <f>FISCinyear!JI859-(FISCinyear!JI902+FISCinyear!JI905+FISCinyear!JI912)</f>
        <v>-204.9149922940762</v>
      </c>
      <c r="AN1629" s="571">
        <f>FISCinyear!JL859-(FISCinyear!JL902+FISCinyear!JL905+FISCinyear!JL912)</f>
        <v>-565.27276090944622</v>
      </c>
      <c r="AO1629" s="571">
        <f>FISCinyear!JO859-(FISCinyear!JO902+FISCinyear!JO905+FISCinyear!JO912)</f>
        <v>0</v>
      </c>
      <c r="AP1629" s="571"/>
      <c r="AQ1629" s="571"/>
      <c r="AR1629" s="571"/>
      <c r="AS1629" s="571"/>
      <c r="AT1629" s="571"/>
    </row>
    <row r="1630" spans="1:46">
      <c r="A1630" s="1"/>
      <c r="B1630" s="1"/>
      <c r="C1630" s="1"/>
      <c r="D1630" s="1856" t="s">
        <v>3311</v>
      </c>
      <c r="E1630" s="102"/>
      <c r="F1630" s="102">
        <f t="shared" ref="F1630:AB1630" si="1983">F1232</f>
        <v>0</v>
      </c>
      <c r="G1630" s="102">
        <f t="shared" si="1983"/>
        <v>0</v>
      </c>
      <c r="H1630" s="102">
        <f t="shared" si="1983"/>
        <v>0</v>
      </c>
      <c r="I1630" s="109">
        <f t="shared" si="1983"/>
        <v>0</v>
      </c>
      <c r="J1630" s="110">
        <f t="shared" si="1983"/>
        <v>0</v>
      </c>
      <c r="K1630" s="110">
        <f t="shared" si="1983"/>
        <v>0</v>
      </c>
      <c r="L1630" s="110">
        <f t="shared" si="1983"/>
        <v>0</v>
      </c>
      <c r="M1630" s="110">
        <f t="shared" si="1983"/>
        <v>0</v>
      </c>
      <c r="N1630" s="110">
        <f t="shared" si="1983"/>
        <v>0</v>
      </c>
      <c r="O1630" s="110">
        <f t="shared" si="1983"/>
        <v>0</v>
      </c>
      <c r="P1630" s="110">
        <f t="shared" si="1983"/>
        <v>0</v>
      </c>
      <c r="Q1630" s="110">
        <f t="shared" si="1983"/>
        <v>0</v>
      </c>
      <c r="R1630" s="110">
        <f t="shared" si="1983"/>
        <v>0</v>
      </c>
      <c r="S1630" s="111">
        <f t="shared" si="1983"/>
        <v>0</v>
      </c>
      <c r="T1630" s="110">
        <f t="shared" si="1983"/>
        <v>0</v>
      </c>
      <c r="U1630" s="277">
        <f t="shared" si="1983"/>
        <v>0</v>
      </c>
      <c r="V1630" s="277">
        <f t="shared" si="1983"/>
        <v>0</v>
      </c>
      <c r="W1630" s="277">
        <f t="shared" si="1983"/>
        <v>0</v>
      </c>
      <c r="X1630" s="281">
        <f t="shared" si="1983"/>
        <v>0</v>
      </c>
      <c r="Y1630" s="281">
        <f t="shared" si="1983"/>
        <v>0</v>
      </c>
      <c r="Z1630" s="281">
        <f t="shared" si="1983"/>
        <v>0</v>
      </c>
      <c r="AA1630" s="281">
        <f t="shared" si="1983"/>
        <v>0</v>
      </c>
      <c r="AB1630" s="281">
        <f t="shared" si="1983"/>
        <v>0</v>
      </c>
      <c r="AC1630" s="281">
        <f t="shared" ref="AC1630:AO1630" si="1984">AC1176-(AC1223+AC1226+AC1233)</f>
        <v>48.186332582787003</v>
      </c>
      <c r="AD1630" s="281">
        <f t="shared" si="1984"/>
        <v>38.635839439861542</v>
      </c>
      <c r="AE1630" s="281">
        <f t="shared" si="1984"/>
        <v>307.54245797220136</v>
      </c>
      <c r="AF1630" s="281">
        <f t="shared" si="1984"/>
        <v>-79.823698997608062</v>
      </c>
      <c r="AG1630" s="281">
        <f t="shared" si="1984"/>
        <v>12.311671267618749</v>
      </c>
      <c r="AH1630" s="281">
        <f t="shared" si="1984"/>
        <v>-31.499633252327129</v>
      </c>
      <c r="AI1630" s="281">
        <f t="shared" si="1984"/>
        <v>-35.037420795206181</v>
      </c>
      <c r="AJ1630" s="281">
        <f t="shared" si="1984"/>
        <v>211.53312820756867</v>
      </c>
      <c r="AK1630" s="281">
        <f t="shared" si="1984"/>
        <v>123.22285047301007</v>
      </c>
      <c r="AL1630" s="281">
        <f t="shared" si="1984"/>
        <v>224.75011990088223</v>
      </c>
      <c r="AM1630" s="281">
        <f t="shared" si="1984"/>
        <v>20.149168689596209</v>
      </c>
      <c r="AN1630" s="281">
        <f t="shared" si="1984"/>
        <v>-209.93311486759308</v>
      </c>
      <c r="AO1630" s="281">
        <f t="shared" si="1984"/>
        <v>-773.04516921233676</v>
      </c>
      <c r="AP1630" s="281"/>
      <c r="AQ1630" s="281"/>
      <c r="AR1630" s="281"/>
      <c r="AS1630" s="281"/>
      <c r="AT1630" s="281"/>
    </row>
    <row r="1631" spans="1:46">
      <c r="A1631" s="1"/>
      <c r="B1631" s="1"/>
      <c r="C1631" s="1"/>
      <c r="D1631" s="570" t="s">
        <v>3303</v>
      </c>
      <c r="E1631" s="272"/>
      <c r="F1631" s="272">
        <f t="shared" ref="F1631:AL1631" si="1985">F1632+F1633</f>
        <v>0</v>
      </c>
      <c r="G1631" s="272">
        <f t="shared" si="1985"/>
        <v>0</v>
      </c>
      <c r="H1631" s="272">
        <f t="shared" si="1985"/>
        <v>0</v>
      </c>
      <c r="I1631" s="273">
        <f t="shared" si="1985"/>
        <v>0</v>
      </c>
      <c r="J1631" s="274">
        <f t="shared" si="1985"/>
        <v>0</v>
      </c>
      <c r="K1631" s="274">
        <f t="shared" si="1985"/>
        <v>0</v>
      </c>
      <c r="L1631" s="274">
        <f t="shared" si="1985"/>
        <v>0</v>
      </c>
      <c r="M1631" s="274">
        <f t="shared" si="1985"/>
        <v>0</v>
      </c>
      <c r="N1631" s="274">
        <f t="shared" si="1985"/>
        <v>0</v>
      </c>
      <c r="O1631" s="274">
        <f t="shared" si="1985"/>
        <v>0</v>
      </c>
      <c r="P1631" s="274">
        <f t="shared" si="1985"/>
        <v>0</v>
      </c>
      <c r="Q1631" s="274">
        <f t="shared" si="1985"/>
        <v>0</v>
      </c>
      <c r="R1631" s="274">
        <f t="shared" si="1985"/>
        <v>0</v>
      </c>
      <c r="S1631" s="275">
        <f t="shared" si="1985"/>
        <v>0</v>
      </c>
      <c r="T1631" s="274">
        <f t="shared" si="1985"/>
        <v>0</v>
      </c>
      <c r="U1631" s="285">
        <f t="shared" si="1985"/>
        <v>0</v>
      </c>
      <c r="V1631" s="285">
        <f t="shared" si="1985"/>
        <v>0</v>
      </c>
      <c r="W1631" s="285">
        <f t="shared" si="1985"/>
        <v>0</v>
      </c>
      <c r="X1631" s="285">
        <f t="shared" si="1985"/>
        <v>0</v>
      </c>
      <c r="Y1631" s="285">
        <f t="shared" si="1985"/>
        <v>0</v>
      </c>
      <c r="Z1631" s="276">
        <f t="shared" si="1985"/>
        <v>0</v>
      </c>
      <c r="AA1631" s="276">
        <f t="shared" si="1985"/>
        <v>0</v>
      </c>
      <c r="AB1631" s="276">
        <f t="shared" si="1985"/>
        <v>0</v>
      </c>
      <c r="AC1631" s="276">
        <f t="shared" si="1985"/>
        <v>0</v>
      </c>
      <c r="AD1631" s="276">
        <f t="shared" si="1985"/>
        <v>0</v>
      </c>
      <c r="AE1631" s="1810">
        <f t="shared" si="1985"/>
        <v>57.396699999999953</v>
      </c>
      <c r="AF1631" s="1810">
        <f t="shared" si="1985"/>
        <v>110.45498500000008</v>
      </c>
      <c r="AG1631" s="1810">
        <f t="shared" si="1985"/>
        <v>230.19320000000005</v>
      </c>
      <c r="AH1631" s="1810">
        <f t="shared" si="1985"/>
        <v>49.975500000000011</v>
      </c>
      <c r="AI1631" s="1810">
        <f t="shared" si="1985"/>
        <v>189.34399999999999</v>
      </c>
      <c r="AJ1631" s="1810">
        <f t="shared" si="1985"/>
        <v>-53.893333022281752</v>
      </c>
      <c r="AK1631" s="1810">
        <f t="shared" si="1985"/>
        <v>-117.78373185305716</v>
      </c>
      <c r="AL1631" s="1810">
        <f t="shared" si="1985"/>
        <v>1.9286746407268538</v>
      </c>
      <c r="AM1631" s="1810">
        <f>AM1632+AM1633</f>
        <v>193.53175617103446</v>
      </c>
      <c r="AN1631" s="1810">
        <f>AN1632+AN1633</f>
        <v>679.38984554260094</v>
      </c>
      <c r="AO1631" s="1810">
        <f>AO1632+AO1633</f>
        <v>265.5087988683797</v>
      </c>
      <c r="AP1631" s="1810"/>
      <c r="AQ1631" s="1810"/>
      <c r="AR1631" s="1810"/>
      <c r="AS1631" s="1810"/>
      <c r="AT1631" s="1810"/>
    </row>
    <row r="1632" spans="1:46">
      <c r="A1632" s="1"/>
      <c r="B1632" s="1"/>
      <c r="C1632" s="1"/>
      <c r="D1632" s="108" t="str">
        <f>+D1620</f>
        <v xml:space="preserve">     Jan-June </v>
      </c>
      <c r="E1632" s="102"/>
      <c r="F1632" s="102"/>
      <c r="G1632" s="102"/>
      <c r="H1632" s="102"/>
      <c r="I1632" s="109"/>
      <c r="J1632" s="110"/>
      <c r="K1632" s="110"/>
      <c r="L1632" s="110"/>
      <c r="M1632" s="110"/>
      <c r="N1632" s="110"/>
      <c r="O1632" s="110"/>
      <c r="P1632" s="110"/>
      <c r="Q1632" s="110"/>
      <c r="R1632" s="110"/>
      <c r="S1632" s="111"/>
      <c r="T1632" s="110"/>
      <c r="U1632" s="114"/>
      <c r="V1632" s="114"/>
      <c r="W1632" s="114"/>
      <c r="X1632" s="114"/>
      <c r="Y1632" s="571"/>
      <c r="Z1632" s="571"/>
      <c r="AA1632" s="571"/>
      <c r="AB1632" s="571"/>
      <c r="AC1632" s="571"/>
      <c r="AD1632" s="571"/>
      <c r="AE1632" s="571">
        <f>FISCinyear!II902+FISCinyear!II905</f>
        <v>0</v>
      </c>
      <c r="AF1632" s="571">
        <f>FISCinyear!IL902+FISCinyear!IL905</f>
        <v>65.591020000000015</v>
      </c>
      <c r="AG1632" s="571">
        <f>FISCinyear!IO902+FISCinyear!IO905</f>
        <v>151.53391500000004</v>
      </c>
      <c r="AH1632" s="571">
        <f>FISCinyear!IR902+FISCinyear!IR905</f>
        <v>-36.45659999999998</v>
      </c>
      <c r="AI1632" s="571">
        <f>FISCinyear!IU902+FISCinyear!IU905</f>
        <v>-50.69459999999998</v>
      </c>
      <c r="AJ1632" s="571">
        <f>FISCinyear!IX902+FISCinyear!IX905</f>
        <v>-251.13154371355165</v>
      </c>
      <c r="AK1632" s="571">
        <f>FISCinyear!JA902+FISCinyear!JA905</f>
        <v>-207.57918467202393</v>
      </c>
      <c r="AL1632" s="571">
        <f>FISCinyear!JD902+FISCinyear!JD905</f>
        <v>-185.55532008272596</v>
      </c>
      <c r="AM1632" s="571">
        <f>FISCinyear!JG902+FISCinyear!JG905</f>
        <v>-62.765091433190797</v>
      </c>
      <c r="AN1632" s="571">
        <f>FISCinyear!JJ902+FISCinyear!JJ905</f>
        <v>56.518129741666016</v>
      </c>
      <c r="AO1632" s="571">
        <f>FISCinyear!JM902+FISCinyear!JM905</f>
        <v>265.5087988683797</v>
      </c>
      <c r="AP1632" s="571"/>
      <c r="AQ1632" s="571"/>
      <c r="AR1632" s="571"/>
      <c r="AS1632" s="571"/>
      <c r="AT1632" s="571"/>
    </row>
    <row r="1633" spans="1:46">
      <c r="A1633" s="1"/>
      <c r="B1633" s="1"/>
      <c r="C1633" s="1"/>
      <c r="D1633" s="108" t="str">
        <f>+D1621</f>
        <v xml:space="preserve">     July-Dec </v>
      </c>
      <c r="E1633" s="102"/>
      <c r="F1633" s="102"/>
      <c r="G1633" s="102"/>
      <c r="H1633" s="102"/>
      <c r="I1633" s="109"/>
      <c r="J1633" s="110"/>
      <c r="K1633" s="110"/>
      <c r="L1633" s="110"/>
      <c r="M1633" s="110"/>
      <c r="N1633" s="110"/>
      <c r="O1633" s="110"/>
      <c r="P1633" s="110"/>
      <c r="Q1633" s="110"/>
      <c r="R1633" s="110"/>
      <c r="S1633" s="111"/>
      <c r="T1633" s="110"/>
      <c r="U1633" s="114"/>
      <c r="V1633" s="114"/>
      <c r="W1633" s="114"/>
      <c r="X1633" s="571"/>
      <c r="Y1633" s="571"/>
      <c r="Z1633" s="571"/>
      <c r="AA1633" s="571"/>
      <c r="AB1633" s="571"/>
      <c r="AC1633" s="571"/>
      <c r="AD1633" s="571"/>
      <c r="AE1633" s="571">
        <f>FISCinyear!IK902+FISCinyear!IK905</f>
        <v>57.396699999999953</v>
      </c>
      <c r="AF1633" s="571">
        <f>FISCinyear!IN902+FISCinyear!IN905</f>
        <v>44.863965000000064</v>
      </c>
      <c r="AG1633" s="571">
        <f>FISCinyear!IQ902+FISCinyear!IQ905</f>
        <v>78.659285000000011</v>
      </c>
      <c r="AH1633" s="571">
        <f>FISCinyear!IT902+FISCinyear!IT905</f>
        <v>86.432099999999991</v>
      </c>
      <c r="AI1633" s="571">
        <f>FISCinyear!IW902+FISCinyear!IW905</f>
        <v>240.03859999999997</v>
      </c>
      <c r="AJ1633" s="571">
        <f>FISCinyear!IZ902+FISCinyear!IZ905</f>
        <v>197.2382106912699</v>
      </c>
      <c r="AK1633" s="571">
        <f>FISCinyear!JC902+FISCinyear!JC905</f>
        <v>89.795452818966766</v>
      </c>
      <c r="AL1633" s="571">
        <f>FISCinyear!JF902+FISCinyear!JF905</f>
        <v>187.48399472345281</v>
      </c>
      <c r="AM1633" s="571">
        <f>FISCinyear!JI902+FISCinyear!JI905</f>
        <v>256.29684760422526</v>
      </c>
      <c r="AN1633" s="571">
        <f>FISCinyear!JL902+FISCinyear!JL905</f>
        <v>622.87171580093491</v>
      </c>
      <c r="AO1633" s="571">
        <f>FISCinyear!JO902+FISCinyear!JO905</f>
        <v>0</v>
      </c>
      <c r="AP1633" s="571"/>
      <c r="AQ1633" s="571"/>
      <c r="AR1633" s="571"/>
      <c r="AS1633" s="571"/>
      <c r="AT1633" s="571"/>
    </row>
    <row r="1634" spans="1:46">
      <c r="A1634" s="1"/>
      <c r="B1634" s="1"/>
      <c r="C1634" s="1"/>
      <c r="D1634" s="568" t="s">
        <v>3304</v>
      </c>
      <c r="E1634" s="102"/>
      <c r="F1634" s="102">
        <f t="shared" ref="F1634:AO1634" si="1986">F1223+F1226</f>
        <v>0</v>
      </c>
      <c r="G1634" s="102">
        <f t="shared" si="1986"/>
        <v>0</v>
      </c>
      <c r="H1634" s="102">
        <f t="shared" si="1986"/>
        <v>0</v>
      </c>
      <c r="I1634" s="109">
        <f t="shared" si="1986"/>
        <v>0</v>
      </c>
      <c r="J1634" s="110">
        <f t="shared" si="1986"/>
        <v>0</v>
      </c>
      <c r="K1634" s="110">
        <f t="shared" si="1986"/>
        <v>0</v>
      </c>
      <c r="L1634" s="110">
        <f t="shared" si="1986"/>
        <v>0</v>
      </c>
      <c r="M1634" s="110">
        <f t="shared" si="1986"/>
        <v>0</v>
      </c>
      <c r="N1634" s="110">
        <f t="shared" si="1986"/>
        <v>0</v>
      </c>
      <c r="O1634" s="110">
        <f t="shared" si="1986"/>
        <v>0</v>
      </c>
      <c r="P1634" s="110">
        <f t="shared" si="1986"/>
        <v>0</v>
      </c>
      <c r="Q1634" s="110">
        <f t="shared" si="1986"/>
        <v>0</v>
      </c>
      <c r="R1634" s="110">
        <f t="shared" si="1986"/>
        <v>0</v>
      </c>
      <c r="S1634" s="111">
        <f t="shared" si="1986"/>
        <v>0</v>
      </c>
      <c r="T1634" s="110">
        <f t="shared" si="1986"/>
        <v>0</v>
      </c>
      <c r="U1634" s="277">
        <f t="shared" si="1986"/>
        <v>0</v>
      </c>
      <c r="V1634" s="277">
        <f t="shared" si="1986"/>
        <v>0</v>
      </c>
      <c r="W1634" s="277">
        <f t="shared" si="1986"/>
        <v>0</v>
      </c>
      <c r="X1634" s="281">
        <f t="shared" si="1986"/>
        <v>0</v>
      </c>
      <c r="Y1634" s="281">
        <f t="shared" si="1986"/>
        <v>0</v>
      </c>
      <c r="Z1634" s="281">
        <f t="shared" si="1986"/>
        <v>0</v>
      </c>
      <c r="AA1634" s="281">
        <f t="shared" si="1986"/>
        <v>0</v>
      </c>
      <c r="AB1634" s="281">
        <f t="shared" si="1986"/>
        <v>0</v>
      </c>
      <c r="AC1634" s="281">
        <f t="shared" si="1986"/>
        <v>0</v>
      </c>
      <c r="AD1634" s="281">
        <f t="shared" si="1986"/>
        <v>0</v>
      </c>
      <c r="AE1634" s="281">
        <f t="shared" si="1986"/>
        <v>0</v>
      </c>
      <c r="AF1634" s="281">
        <f t="shared" si="1986"/>
        <v>122.98771999999997</v>
      </c>
      <c r="AG1634" s="281">
        <f t="shared" si="1986"/>
        <v>196.3978800000001</v>
      </c>
      <c r="AH1634" s="281">
        <f t="shared" si="1986"/>
        <v>42.202685000000031</v>
      </c>
      <c r="AI1634" s="281">
        <f t="shared" si="1986"/>
        <v>35.737500000000011</v>
      </c>
      <c r="AJ1634" s="281">
        <f t="shared" si="1986"/>
        <v>-11.092943713551676</v>
      </c>
      <c r="AK1634" s="281">
        <f t="shared" si="1986"/>
        <v>-10.340973980754157</v>
      </c>
      <c r="AL1634" s="281">
        <f t="shared" si="1986"/>
        <v>-95.759867263759133</v>
      </c>
      <c r="AM1634" s="281">
        <f t="shared" si="1986"/>
        <v>124.71890329026223</v>
      </c>
      <c r="AN1634" s="281">
        <f t="shared" si="1986"/>
        <v>312.81497734589118</v>
      </c>
      <c r="AO1634" s="281">
        <f t="shared" si="1986"/>
        <v>888.38051466931415</v>
      </c>
      <c r="AP1634" s="281"/>
      <c r="AQ1634" s="281"/>
      <c r="AR1634" s="281"/>
      <c r="AS1634" s="281"/>
      <c r="AT1634" s="281"/>
    </row>
    <row r="1635" spans="1:46">
      <c r="A1635" s="1"/>
      <c r="B1635" s="1"/>
      <c r="C1635" s="1"/>
      <c r="D1635" s="271" t="s">
        <v>3307</v>
      </c>
      <c r="E1635" s="272"/>
      <c r="F1635" s="272">
        <f t="shared" ref="F1635:AL1635" si="1987">F1636+F1637</f>
        <v>0</v>
      </c>
      <c r="G1635" s="272">
        <f t="shared" si="1987"/>
        <v>0</v>
      </c>
      <c r="H1635" s="272">
        <f t="shared" si="1987"/>
        <v>0</v>
      </c>
      <c r="I1635" s="285">
        <f t="shared" si="1987"/>
        <v>0</v>
      </c>
      <c r="J1635" s="285">
        <f t="shared" si="1987"/>
        <v>0</v>
      </c>
      <c r="K1635" s="285">
        <f t="shared" si="1987"/>
        <v>0</v>
      </c>
      <c r="L1635" s="285">
        <f t="shared" si="1987"/>
        <v>0</v>
      </c>
      <c r="M1635" s="285">
        <f t="shared" si="1987"/>
        <v>0</v>
      </c>
      <c r="N1635" s="285">
        <f t="shared" si="1987"/>
        <v>0</v>
      </c>
      <c r="O1635" s="285">
        <f t="shared" si="1987"/>
        <v>0</v>
      </c>
      <c r="P1635" s="285">
        <f t="shared" si="1987"/>
        <v>0</v>
      </c>
      <c r="Q1635" s="285">
        <f t="shared" si="1987"/>
        <v>0</v>
      </c>
      <c r="R1635" s="285">
        <f t="shared" si="1987"/>
        <v>0</v>
      </c>
      <c r="S1635" s="285">
        <f t="shared" si="1987"/>
        <v>0</v>
      </c>
      <c r="T1635" s="285">
        <f t="shared" si="1987"/>
        <v>0</v>
      </c>
      <c r="U1635" s="285">
        <f t="shared" si="1987"/>
        <v>0</v>
      </c>
      <c r="V1635" s="285">
        <f t="shared" si="1987"/>
        <v>0</v>
      </c>
      <c r="W1635" s="1115">
        <f t="shared" si="1987"/>
        <v>0</v>
      </c>
      <c r="X1635" s="1116">
        <f t="shared" si="1987"/>
        <v>0</v>
      </c>
      <c r="Y1635" s="1109">
        <f t="shared" si="1987"/>
        <v>0</v>
      </c>
      <c r="Z1635" s="1109">
        <f t="shared" si="1987"/>
        <v>0</v>
      </c>
      <c r="AA1635" s="1109">
        <f t="shared" si="1987"/>
        <v>0</v>
      </c>
      <c r="AB1635" s="288">
        <f t="shared" si="1987"/>
        <v>0</v>
      </c>
      <c r="AC1635" s="288">
        <f t="shared" si="1987"/>
        <v>0</v>
      </c>
      <c r="AD1635" s="288">
        <f t="shared" si="1987"/>
        <v>0</v>
      </c>
      <c r="AE1635" s="1809">
        <f t="shared" si="1987"/>
        <v>0</v>
      </c>
      <c r="AF1635" s="1809">
        <f t="shared" si="1987"/>
        <v>0</v>
      </c>
      <c r="AG1635" s="1809">
        <f t="shared" si="1987"/>
        <v>-0.58128584800000005</v>
      </c>
      <c r="AH1635" s="1809">
        <f t="shared" si="1987"/>
        <v>-121.953593939</v>
      </c>
      <c r="AI1635" s="1809">
        <f t="shared" si="1987"/>
        <v>-23.508621089999998</v>
      </c>
      <c r="AJ1635" s="1809">
        <f t="shared" si="1987"/>
        <v>-5.3560141790400007</v>
      </c>
      <c r="AK1635" s="1809">
        <f t="shared" si="1987"/>
        <v>-3.8214967653600005</v>
      </c>
      <c r="AL1635" s="1809">
        <f t="shared" si="1987"/>
        <v>-5.2734443423600004</v>
      </c>
      <c r="AM1635" s="1809">
        <f>AM1636+AM1637</f>
        <v>-5.6594291173600002</v>
      </c>
      <c r="AN1635" s="1809">
        <f>AN1636+AN1637</f>
        <v>-6.1075640533600009</v>
      </c>
      <c r="AO1635" s="1809">
        <f>AO1636+AO1637</f>
        <v>-3.2451051516800002</v>
      </c>
      <c r="AP1635" s="1809"/>
      <c r="AQ1635" s="1809"/>
      <c r="AR1635" s="1809"/>
      <c r="AS1635" s="1809"/>
      <c r="AT1635" s="1809"/>
    </row>
    <row r="1636" spans="1:46">
      <c r="A1636" s="1"/>
      <c r="B1636" s="1"/>
      <c r="C1636" s="1"/>
      <c r="D1636" s="113" t="str">
        <f>+D1624</f>
        <v xml:space="preserve">     Jan-June </v>
      </c>
      <c r="E1636" s="102"/>
      <c r="F1636" s="102"/>
      <c r="G1636" s="102"/>
      <c r="H1636" s="102"/>
      <c r="I1636" s="114"/>
      <c r="J1636" s="114"/>
      <c r="K1636" s="114"/>
      <c r="L1636" s="114"/>
      <c r="M1636" s="114"/>
      <c r="N1636" s="114"/>
      <c r="O1636" s="114"/>
      <c r="P1636" s="114"/>
      <c r="Q1636" s="114"/>
      <c r="R1636" s="114"/>
      <c r="S1636" s="114"/>
      <c r="T1636" s="114"/>
      <c r="U1636" s="114"/>
      <c r="V1636" s="114"/>
      <c r="W1636" s="1117"/>
      <c r="X1636" s="1114"/>
      <c r="Y1636" s="1114"/>
      <c r="Z1636" s="1114"/>
      <c r="AA1636" s="1114"/>
      <c r="AB1636" s="1114"/>
      <c r="AC1636" s="121"/>
      <c r="AD1636" s="121"/>
      <c r="AE1636" s="121">
        <f>FISCinyear!II912</f>
        <v>0</v>
      </c>
      <c r="AF1636" s="121">
        <f>FISCinyear!IL912</f>
        <v>0</v>
      </c>
      <c r="AG1636" s="121">
        <f>FISCinyear!IO912</f>
        <v>0</v>
      </c>
      <c r="AH1636" s="121">
        <f>FISCinyear!IR912</f>
        <v>-87.965745241999997</v>
      </c>
      <c r="AI1636" s="121">
        <f>FISCinyear!IU912</f>
        <v>3.1992226199999987</v>
      </c>
      <c r="AJ1636" s="121">
        <f>FISCinyear!IX912</f>
        <v>-4.0347170903600009</v>
      </c>
      <c r="AK1636" s="121">
        <f>FISCinyear!JA912</f>
        <v>-1.3212970886800002</v>
      </c>
      <c r="AL1636" s="121">
        <f>FISCinyear!JD912</f>
        <v>-2.5978663556799999</v>
      </c>
      <c r="AM1636" s="121">
        <f>FISCinyear!JG912</f>
        <v>-2.7776863996800003</v>
      </c>
      <c r="AN1636" s="121">
        <f>FISCinyear!JJ912</f>
        <v>-2.9998945756800004</v>
      </c>
      <c r="AO1636" s="121">
        <f>FISCinyear!JM912</f>
        <v>-3.2451051516800002</v>
      </c>
      <c r="AP1636" s="121"/>
      <c r="AQ1636" s="121"/>
      <c r="AR1636" s="121"/>
      <c r="AS1636" s="121"/>
      <c r="AT1636" s="121"/>
    </row>
    <row r="1637" spans="1:46">
      <c r="A1637" s="1"/>
      <c r="B1637" s="1"/>
      <c r="C1637" s="1"/>
      <c r="D1637" s="113" t="str">
        <f>+D1625</f>
        <v xml:space="preserve">     July-Dec </v>
      </c>
      <c r="E1637" s="102"/>
      <c r="F1637" s="102"/>
      <c r="G1637" s="102"/>
      <c r="H1637" s="102"/>
      <c r="I1637" s="114"/>
      <c r="J1637" s="114"/>
      <c r="K1637" s="114"/>
      <c r="L1637" s="114"/>
      <c r="M1637" s="114"/>
      <c r="N1637" s="114"/>
      <c r="O1637" s="114"/>
      <c r="P1637" s="114"/>
      <c r="Q1637" s="114"/>
      <c r="R1637" s="114"/>
      <c r="S1637" s="114"/>
      <c r="T1637" s="114"/>
      <c r="U1637" s="114"/>
      <c r="V1637" s="114"/>
      <c r="W1637" s="1117"/>
      <c r="X1637" s="1114"/>
      <c r="Y1637" s="1114"/>
      <c r="Z1637" s="1114"/>
      <c r="AA1637" s="1114"/>
      <c r="AB1637" s="121"/>
      <c r="AC1637" s="121"/>
      <c r="AD1637" s="121"/>
      <c r="AE1637" s="121">
        <f>FISCinyear!IK912</f>
        <v>0</v>
      </c>
      <c r="AF1637" s="121">
        <f>FISCinyear!IN912</f>
        <v>0</v>
      </c>
      <c r="AG1637" s="121">
        <f>FISCinyear!IQ912</f>
        <v>-0.58128584800000005</v>
      </c>
      <c r="AH1637" s="121">
        <f>FISCinyear!IT912</f>
        <v>-33.987848696999997</v>
      </c>
      <c r="AI1637" s="121">
        <f>FISCinyear!IW912</f>
        <v>-26.707843709999999</v>
      </c>
      <c r="AJ1637" s="121">
        <f>FISCinyear!IZ912</f>
        <v>-1.3212970886800002</v>
      </c>
      <c r="AK1637" s="121">
        <f>FISCinyear!JC912</f>
        <v>-2.5001996766800003</v>
      </c>
      <c r="AL1637" s="121">
        <f>FISCinyear!JF912</f>
        <v>-2.6755779866800005</v>
      </c>
      <c r="AM1637" s="121">
        <f>FISCinyear!JI912</f>
        <v>-2.8817427176800003</v>
      </c>
      <c r="AN1637" s="121">
        <f>FISCinyear!JL912</f>
        <v>-3.1076694776800005</v>
      </c>
      <c r="AO1637" s="121">
        <f>FISCinyear!JO912</f>
        <v>0</v>
      </c>
      <c r="AP1637" s="121"/>
      <c r="AQ1637" s="121"/>
      <c r="AR1637" s="121"/>
      <c r="AS1637" s="121"/>
      <c r="AT1637" s="121"/>
    </row>
    <row r="1638" spans="1:46">
      <c r="A1638" s="1"/>
      <c r="B1638" s="1"/>
      <c r="C1638" s="1"/>
      <c r="D1638" s="286" t="s">
        <v>3308</v>
      </c>
      <c r="E1638" s="115"/>
      <c r="F1638" s="115">
        <f t="shared" ref="F1638:AO1638" si="1988">F1233</f>
        <v>0</v>
      </c>
      <c r="G1638" s="115">
        <f t="shared" si="1988"/>
        <v>0</v>
      </c>
      <c r="H1638" s="115">
        <f t="shared" si="1988"/>
        <v>0</v>
      </c>
      <c r="I1638" s="277">
        <f t="shared" si="1988"/>
        <v>0</v>
      </c>
      <c r="J1638" s="277">
        <f t="shared" si="1988"/>
        <v>0</v>
      </c>
      <c r="K1638" s="277">
        <f t="shared" si="1988"/>
        <v>0</v>
      </c>
      <c r="L1638" s="277">
        <f t="shared" si="1988"/>
        <v>0</v>
      </c>
      <c r="M1638" s="277">
        <f t="shared" si="1988"/>
        <v>0</v>
      </c>
      <c r="N1638" s="277">
        <f t="shared" si="1988"/>
        <v>0</v>
      </c>
      <c r="O1638" s="277">
        <f t="shared" si="1988"/>
        <v>0</v>
      </c>
      <c r="P1638" s="277">
        <f t="shared" si="1988"/>
        <v>0</v>
      </c>
      <c r="Q1638" s="277">
        <f t="shared" si="1988"/>
        <v>0</v>
      </c>
      <c r="R1638" s="277">
        <f t="shared" si="1988"/>
        <v>0</v>
      </c>
      <c r="S1638" s="277">
        <f t="shared" si="1988"/>
        <v>0</v>
      </c>
      <c r="T1638" s="277">
        <f t="shared" si="1988"/>
        <v>0</v>
      </c>
      <c r="U1638" s="277">
        <f t="shared" si="1988"/>
        <v>0</v>
      </c>
      <c r="V1638" s="277">
        <f t="shared" si="1988"/>
        <v>0</v>
      </c>
      <c r="W1638" s="1118">
        <f t="shared" si="1988"/>
        <v>0</v>
      </c>
      <c r="X1638" s="1113">
        <f t="shared" si="1988"/>
        <v>0</v>
      </c>
      <c r="Y1638" s="1113">
        <f t="shared" si="1988"/>
        <v>0</v>
      </c>
      <c r="Z1638" s="1113">
        <f t="shared" si="1988"/>
        <v>0</v>
      </c>
      <c r="AA1638" s="1113">
        <f t="shared" si="1988"/>
        <v>0</v>
      </c>
      <c r="AB1638" s="1113">
        <f t="shared" si="1988"/>
        <v>0</v>
      </c>
      <c r="AC1638" s="278">
        <f t="shared" si="1988"/>
        <v>0</v>
      </c>
      <c r="AD1638" s="278">
        <f t="shared" si="1988"/>
        <v>0</v>
      </c>
      <c r="AE1638" s="278">
        <f t="shared" si="1988"/>
        <v>0</v>
      </c>
      <c r="AF1638" s="278">
        <f t="shared" si="1988"/>
        <v>0</v>
      </c>
      <c r="AG1638" s="278">
        <f t="shared" si="1988"/>
        <v>0</v>
      </c>
      <c r="AH1638" s="278">
        <f t="shared" si="1988"/>
        <v>-88.54703108999999</v>
      </c>
      <c r="AI1638" s="278">
        <f t="shared" si="1988"/>
        <v>-30.788626076999996</v>
      </c>
      <c r="AJ1638" s="278">
        <f t="shared" si="1988"/>
        <v>-30.74256080036</v>
      </c>
      <c r="AK1638" s="278">
        <f t="shared" si="1988"/>
        <v>-2.6425941773600004</v>
      </c>
      <c r="AL1638" s="278">
        <f t="shared" si="1988"/>
        <v>-5.0980660323600002</v>
      </c>
      <c r="AM1638" s="278">
        <f t="shared" si="1988"/>
        <v>-5.4532643863600008</v>
      </c>
      <c r="AN1638" s="278">
        <f t="shared" si="1988"/>
        <v>-5.8816372933600007</v>
      </c>
      <c r="AO1638" s="278">
        <f t="shared" si="1988"/>
        <v>-6.3527746293600007</v>
      </c>
      <c r="AP1638" s="278"/>
      <c r="AQ1638" s="278"/>
      <c r="AR1638" s="278"/>
      <c r="AS1638" s="278"/>
      <c r="AT1638" s="278"/>
    </row>
    <row r="1639" spans="1:46">
      <c r="A1639" s="1"/>
      <c r="B1639" s="1"/>
      <c r="C1639" s="1"/>
      <c r="D1639" s="108" t="s">
        <v>862</v>
      </c>
      <c r="E1639" s="102"/>
      <c r="F1639" s="102"/>
      <c r="G1639" s="102"/>
      <c r="H1639" s="102"/>
      <c r="I1639" s="109"/>
      <c r="J1639" s="110"/>
      <c r="K1639" s="110"/>
      <c r="L1639" s="110"/>
      <c r="M1639" s="110"/>
      <c r="N1639" s="110"/>
      <c r="O1639" s="110"/>
      <c r="P1639" s="110"/>
      <c r="Q1639" s="110"/>
      <c r="R1639" s="110"/>
      <c r="S1639" s="111"/>
      <c r="T1639" s="110"/>
      <c r="U1639" s="107"/>
      <c r="V1639" s="107"/>
      <c r="W1639" s="107"/>
      <c r="X1639" s="107"/>
      <c r="Y1639" s="571"/>
      <c r="Z1639" s="571"/>
      <c r="AA1639" s="571"/>
      <c r="AB1639" s="571"/>
      <c r="AC1639" s="571"/>
      <c r="AD1639" s="571"/>
      <c r="AE1639" s="571"/>
      <c r="AF1639" s="571"/>
      <c r="AG1639" s="571"/>
      <c r="AH1639" s="571"/>
      <c r="AI1639" s="571"/>
      <c r="AJ1639" s="571"/>
      <c r="AK1639" s="571"/>
      <c r="AL1639" s="571"/>
      <c r="AM1639" s="571"/>
      <c r="AN1639" s="571"/>
      <c r="AO1639" s="571"/>
      <c r="AP1639" s="571"/>
      <c r="AQ1639" s="571"/>
      <c r="AR1639" s="571"/>
      <c r="AS1639" s="571"/>
      <c r="AT1639" s="571"/>
    </row>
    <row r="1640" spans="1:46">
      <c r="A1640" s="1"/>
      <c r="B1640" s="1"/>
      <c r="C1640" s="1"/>
      <c r="D1640" s="112" t="s">
        <v>119</v>
      </c>
      <c r="E1640" s="102"/>
      <c r="F1640" s="102"/>
      <c r="G1640" s="102"/>
      <c r="H1640" s="102"/>
      <c r="I1640" s="114"/>
      <c r="J1640" s="114"/>
      <c r="K1640" s="114"/>
      <c r="L1640" s="114"/>
      <c r="M1640" s="114"/>
      <c r="N1640" s="114"/>
      <c r="O1640" s="114"/>
      <c r="P1640" s="114"/>
      <c r="Q1640" s="114"/>
      <c r="R1640" s="114"/>
      <c r="S1640" s="114"/>
      <c r="T1640" s="114"/>
      <c r="U1640" s="114"/>
      <c r="V1640" s="114"/>
      <c r="W1640" s="1117"/>
      <c r="X1640" s="1117"/>
      <c r="Y1640" s="1110">
        <f t="shared" ref="Y1640:AC1642" si="1989">+Y289</f>
        <v>105.3</v>
      </c>
      <c r="Z1640" s="1110">
        <f t="shared" si="1989"/>
        <v>159.31</v>
      </c>
      <c r="AA1640" s="1110">
        <f t="shared" si="1989"/>
        <v>164.43</v>
      </c>
      <c r="AB1640" s="269">
        <f t="shared" si="1989"/>
        <v>175.1</v>
      </c>
      <c r="AC1640" s="269">
        <f t="shared" si="1989"/>
        <v>165.5</v>
      </c>
      <c r="AD1640" s="269">
        <f t="shared" ref="AD1640:AO1640" si="1990">+AD410</f>
        <v>157.38596526999999</v>
      </c>
      <c r="AE1640" s="1808">
        <f t="shared" si="1990"/>
        <v>211.45</v>
      </c>
      <c r="AF1640" s="1808">
        <f t="shared" si="1990"/>
        <v>173.64198012</v>
      </c>
      <c r="AG1640" s="1808">
        <f t="shared" si="1990"/>
        <v>171.106168</v>
      </c>
      <c r="AH1640" s="1808">
        <f t="shared" si="1990"/>
        <v>188.92539241999998</v>
      </c>
      <c r="AI1640" s="1808">
        <f t="shared" si="1990"/>
        <v>152</v>
      </c>
      <c r="AJ1640" s="1808">
        <f t="shared" si="1990"/>
        <v>141.89079649999999</v>
      </c>
      <c r="AK1640" s="1808">
        <f t="shared" si="1990"/>
        <v>131.78159299999999</v>
      </c>
      <c r="AL1640" s="1808">
        <f t="shared" si="1990"/>
        <v>131.78159299999999</v>
      </c>
      <c r="AM1640" s="1808">
        <f t="shared" si="1990"/>
        <v>131.78159299999999</v>
      </c>
      <c r="AN1640" s="1808">
        <f t="shared" si="1990"/>
        <v>131.78159299999999</v>
      </c>
      <c r="AO1640" s="1808">
        <f t="shared" si="1990"/>
        <v>131.78159299999999</v>
      </c>
      <c r="AP1640" s="1808"/>
      <c r="AQ1640" s="1808"/>
      <c r="AR1640" s="1808"/>
      <c r="AS1640" s="1808"/>
      <c r="AT1640" s="1808"/>
    </row>
    <row r="1641" spans="1:46">
      <c r="A1641" s="1"/>
      <c r="B1641" s="1"/>
      <c r="C1641" s="1"/>
      <c r="D1641" s="113" t="str">
        <f>+D1576</f>
        <v xml:space="preserve">     Jan-June </v>
      </c>
      <c r="E1641" s="102"/>
      <c r="F1641" s="102"/>
      <c r="G1641" s="102"/>
      <c r="H1641" s="102"/>
      <c r="I1641" s="114"/>
      <c r="J1641" s="114"/>
      <c r="K1641" s="114"/>
      <c r="L1641" s="114"/>
      <c r="M1641" s="114"/>
      <c r="N1641" s="114"/>
      <c r="O1641" s="114"/>
      <c r="P1641" s="114"/>
      <c r="Q1641" s="114"/>
      <c r="R1641" s="114"/>
      <c r="S1641" s="114"/>
      <c r="T1641" s="114"/>
      <c r="U1641" s="114"/>
      <c r="V1641" s="114"/>
      <c r="W1641" s="1117"/>
      <c r="X1641" s="1117"/>
      <c r="Y1641" s="1114">
        <f t="shared" si="1989"/>
        <v>52.65</v>
      </c>
      <c r="Z1641" s="1114">
        <f t="shared" si="1989"/>
        <v>83.26</v>
      </c>
      <c r="AA1641" s="1114">
        <f t="shared" si="1989"/>
        <v>84.98</v>
      </c>
      <c r="AB1641" s="1114">
        <f t="shared" si="1989"/>
        <v>75.599999999999994</v>
      </c>
      <c r="AC1641" s="121">
        <f t="shared" si="1989"/>
        <v>51.8</v>
      </c>
      <c r="AD1641" s="121">
        <f t="shared" ref="AD1641:AO1641" si="1991">+AD411</f>
        <v>58.285965269999998</v>
      </c>
      <c r="AE1641" s="121">
        <f t="shared" si="1991"/>
        <v>84.490000000000009</v>
      </c>
      <c r="AF1641" s="121">
        <f t="shared" si="1991"/>
        <v>88.088896120000001</v>
      </c>
      <c r="AG1641" s="121">
        <f t="shared" si="1991"/>
        <v>85.553083999999998</v>
      </c>
      <c r="AH1641" s="121">
        <f t="shared" si="1991"/>
        <v>85.553083999999998</v>
      </c>
      <c r="AI1641" s="121">
        <f t="shared" si="1991"/>
        <v>76</v>
      </c>
      <c r="AJ1641" s="121">
        <f t="shared" si="1991"/>
        <v>76</v>
      </c>
      <c r="AK1641" s="121">
        <f t="shared" si="1991"/>
        <v>65.890796499999993</v>
      </c>
      <c r="AL1641" s="121">
        <f t="shared" si="1991"/>
        <v>65.890796499999993</v>
      </c>
      <c r="AM1641" s="121">
        <f t="shared" si="1991"/>
        <v>65.890796499999993</v>
      </c>
      <c r="AN1641" s="121">
        <f t="shared" si="1991"/>
        <v>65.890796499999993</v>
      </c>
      <c r="AO1641" s="121">
        <f t="shared" si="1991"/>
        <v>65.890796499999993</v>
      </c>
      <c r="AP1641" s="121"/>
      <c r="AQ1641" s="121"/>
      <c r="AR1641" s="121"/>
      <c r="AS1641" s="121"/>
      <c r="AT1641" s="121"/>
    </row>
    <row r="1642" spans="1:46">
      <c r="A1642" s="1"/>
      <c r="B1642" s="1"/>
      <c r="C1642" s="1"/>
      <c r="D1642" s="289" t="str">
        <f>+D1577</f>
        <v xml:space="preserve">     July-Dec </v>
      </c>
      <c r="E1642" s="115"/>
      <c r="F1642" s="115"/>
      <c r="G1642" s="115"/>
      <c r="H1642" s="115"/>
      <c r="I1642" s="115"/>
      <c r="J1642" s="115"/>
      <c r="K1642" s="115"/>
      <c r="L1642" s="115"/>
      <c r="M1642" s="115"/>
      <c r="N1642" s="115"/>
      <c r="O1642" s="115"/>
      <c r="P1642" s="115"/>
      <c r="Q1642" s="115"/>
      <c r="R1642" s="115"/>
      <c r="S1642" s="115"/>
      <c r="T1642" s="115"/>
      <c r="U1642" s="115"/>
      <c r="V1642" s="115"/>
      <c r="W1642" s="1122"/>
      <c r="X1642" s="1122"/>
      <c r="Y1642" s="1113">
        <f t="shared" si="1989"/>
        <v>52.65</v>
      </c>
      <c r="Z1642" s="1113">
        <f t="shared" si="1989"/>
        <v>76.05</v>
      </c>
      <c r="AA1642" s="1113">
        <f t="shared" si="1989"/>
        <v>85.8</v>
      </c>
      <c r="AB1642" s="278">
        <f t="shared" si="1989"/>
        <v>99.5</v>
      </c>
      <c r="AC1642" s="278">
        <f t="shared" si="1989"/>
        <v>113.7</v>
      </c>
      <c r="AD1642" s="278">
        <f t="shared" ref="AD1642:AO1642" si="1992">+AD412</f>
        <v>99.1</v>
      </c>
      <c r="AE1642" s="278">
        <f t="shared" si="1992"/>
        <v>126.96</v>
      </c>
      <c r="AF1642" s="278">
        <f t="shared" si="1992"/>
        <v>85.553083999999998</v>
      </c>
      <c r="AG1642" s="278">
        <f t="shared" si="1992"/>
        <v>85.553083999999998</v>
      </c>
      <c r="AH1642" s="278">
        <f t="shared" si="1992"/>
        <v>103.37230842</v>
      </c>
      <c r="AI1642" s="278">
        <f t="shared" si="1992"/>
        <v>76</v>
      </c>
      <c r="AJ1642" s="278">
        <f t="shared" si="1992"/>
        <v>65.890796499999993</v>
      </c>
      <c r="AK1642" s="278">
        <f t="shared" si="1992"/>
        <v>65.890796499999993</v>
      </c>
      <c r="AL1642" s="278">
        <f t="shared" si="1992"/>
        <v>65.890796499999993</v>
      </c>
      <c r="AM1642" s="278">
        <f t="shared" si="1992"/>
        <v>65.890796499999993</v>
      </c>
      <c r="AN1642" s="278">
        <f t="shared" si="1992"/>
        <v>65.890796499999993</v>
      </c>
      <c r="AO1642" s="278">
        <f t="shared" si="1992"/>
        <v>65.890796499999993</v>
      </c>
      <c r="AP1642" s="278"/>
      <c r="AQ1642" s="278"/>
      <c r="AR1642" s="278"/>
      <c r="AS1642" s="278"/>
      <c r="AT1642" s="278"/>
    </row>
    <row r="1643" spans="1:46" ht="17.25" customHeight="1">
      <c r="A1643" s="1"/>
      <c r="B1643" s="1"/>
      <c r="C1643" s="1"/>
      <c r="D1643" s="92" t="s">
        <v>914</v>
      </c>
    </row>
    <row r="1644" spans="1:46" ht="17.25" customHeight="1">
      <c r="A1644" s="1"/>
      <c r="B1644" s="1"/>
      <c r="C1644" s="1"/>
      <c r="D1644" s="92"/>
    </row>
    <row r="1645" spans="1:46" ht="17.25" customHeight="1">
      <c r="A1645" s="1"/>
      <c r="B1645" s="1"/>
      <c r="C1645" s="1"/>
      <c r="D1645" s="92"/>
    </row>
    <row r="1646" spans="1:46" ht="16.5" customHeight="1"/>
    <row r="1647" spans="1:46">
      <c r="A1647" s="1"/>
      <c r="B1647" s="1"/>
      <c r="C1647" s="1"/>
      <c r="D1647" s="487" t="s">
        <v>727</v>
      </c>
      <c r="E1647" s="117"/>
      <c r="F1647" s="117"/>
      <c r="G1647" s="117"/>
      <c r="H1647" s="117"/>
      <c r="I1647" s="117"/>
      <c r="J1647" s="117"/>
      <c r="K1647" s="117"/>
      <c r="L1647" s="117"/>
      <c r="M1647" s="117"/>
      <c r="N1647" s="117"/>
      <c r="O1647" s="117"/>
      <c r="P1647" s="117"/>
      <c r="Q1647" s="117"/>
      <c r="R1647" s="117"/>
      <c r="S1647" s="117"/>
      <c r="T1647" s="117"/>
      <c r="U1647" s="117"/>
      <c r="V1647" s="92" t="s">
        <v>726</v>
      </c>
      <c r="W1647" s="117"/>
      <c r="X1647" s="117"/>
      <c r="Y1647" s="117"/>
      <c r="Z1647" s="117"/>
      <c r="AA1647" s="1050">
        <v>2016</v>
      </c>
      <c r="AB1647" s="1050">
        <v>2017</v>
      </c>
      <c r="AC1647" s="1050">
        <v>2018</v>
      </c>
      <c r="AD1647" s="1050">
        <v>2019</v>
      </c>
      <c r="AE1647" s="1050">
        <v>2020</v>
      </c>
      <c r="AF1647" s="1050">
        <v>2021</v>
      </c>
      <c r="AG1647" s="1050">
        <v>2022</v>
      </c>
      <c r="AH1647" s="1050">
        <v>2023</v>
      </c>
      <c r="AI1647" s="1050">
        <v>2024</v>
      </c>
      <c r="AJ1647" s="1050">
        <v>2025</v>
      </c>
      <c r="AK1647" s="1050">
        <v>2026</v>
      </c>
      <c r="AL1647" s="1050">
        <v>2027</v>
      </c>
      <c r="AM1647" s="1050">
        <v>2028</v>
      </c>
      <c r="AN1647" s="1050">
        <v>2029</v>
      </c>
      <c r="AO1647" s="1050">
        <v>2030</v>
      </c>
      <c r="AP1647" s="1050"/>
      <c r="AQ1647" s="1050"/>
      <c r="AR1647" s="1050"/>
      <c r="AS1647" s="1050"/>
      <c r="AT1647" s="1050"/>
    </row>
    <row r="1648" spans="1:46">
      <c r="A1648" s="1"/>
      <c r="B1648" s="1"/>
      <c r="C1648" s="1"/>
      <c r="D1648" s="118" t="s">
        <v>133</v>
      </c>
      <c r="E1648" s="102"/>
      <c r="F1648" s="102"/>
      <c r="G1648" s="102"/>
      <c r="H1648" s="102"/>
      <c r="I1648" s="102"/>
      <c r="J1648" s="102"/>
      <c r="K1648" s="102"/>
      <c r="L1648" s="102"/>
      <c r="M1648" s="102"/>
      <c r="N1648" s="102"/>
      <c r="O1648" s="102"/>
      <c r="P1648" s="102"/>
      <c r="Q1648" s="102"/>
      <c r="R1648" s="102"/>
      <c r="S1648" s="102"/>
      <c r="T1648" s="102"/>
      <c r="U1648" s="102"/>
      <c r="V1648" s="123">
        <v>2011</v>
      </c>
      <c r="W1648" s="123">
        <v>2012</v>
      </c>
      <c r="X1648" s="123">
        <v>2013</v>
      </c>
      <c r="Y1648" s="123">
        <v>2014</v>
      </c>
      <c r="Z1648" s="123">
        <v>2015</v>
      </c>
      <c r="AA1648" s="123">
        <v>2016</v>
      </c>
      <c r="AB1648" s="123">
        <v>2017</v>
      </c>
      <c r="AC1648" s="123">
        <v>2018</v>
      </c>
      <c r="AD1648" s="123">
        <v>2019</v>
      </c>
      <c r="AE1648" s="123">
        <v>2020</v>
      </c>
      <c r="AF1648" s="123">
        <f t="shared" ref="AF1648:AO1648" si="1993">+AE1648+1</f>
        <v>2021</v>
      </c>
      <c r="AG1648" s="123">
        <f t="shared" si="1993"/>
        <v>2022</v>
      </c>
      <c r="AH1648" s="123">
        <f t="shared" si="1993"/>
        <v>2023</v>
      </c>
      <c r="AI1648" s="123">
        <f t="shared" si="1993"/>
        <v>2024</v>
      </c>
      <c r="AJ1648" s="123">
        <f t="shared" si="1993"/>
        <v>2025</v>
      </c>
      <c r="AK1648" s="123">
        <f t="shared" si="1993"/>
        <v>2026</v>
      </c>
      <c r="AL1648" s="123">
        <f t="shared" si="1993"/>
        <v>2027</v>
      </c>
      <c r="AM1648" s="123">
        <f t="shared" si="1993"/>
        <v>2028</v>
      </c>
      <c r="AN1648" s="123">
        <f t="shared" si="1993"/>
        <v>2029</v>
      </c>
      <c r="AO1648" s="123">
        <f t="shared" si="1993"/>
        <v>2030</v>
      </c>
      <c r="AP1648" s="123"/>
      <c r="AQ1648" s="123"/>
      <c r="AR1648" s="123"/>
      <c r="AS1648" s="123"/>
      <c r="AT1648" s="123"/>
    </row>
    <row r="1649" spans="1:46">
      <c r="A1649" s="1"/>
      <c r="B1649" s="1"/>
      <c r="C1649" s="1"/>
      <c r="D1649" s="118" t="s">
        <v>132</v>
      </c>
      <c r="E1649" s="102"/>
      <c r="F1649" s="102"/>
      <c r="G1649" s="102"/>
      <c r="H1649" s="102"/>
      <c r="I1649" s="114"/>
      <c r="J1649" s="114"/>
      <c r="K1649" s="114"/>
      <c r="L1649" s="114"/>
      <c r="M1649" s="114"/>
      <c r="N1649" s="114"/>
      <c r="O1649" s="114"/>
      <c r="P1649" s="114"/>
      <c r="Q1649" s="114"/>
      <c r="R1649" s="114"/>
      <c r="S1649" s="114"/>
      <c r="T1649" s="114"/>
      <c r="U1649" s="114"/>
      <c r="V1649" s="114"/>
      <c r="W1649" s="114"/>
      <c r="X1649" s="114"/>
      <c r="Y1649" s="122">
        <f t="shared" ref="Y1649:AO1649" si="1994">Y410</f>
        <v>105.3</v>
      </c>
      <c r="Z1649" s="122">
        <f t="shared" si="1994"/>
        <v>159.31</v>
      </c>
      <c r="AA1649" s="122">
        <f t="shared" si="1994"/>
        <v>164.43</v>
      </c>
      <c r="AB1649" s="122">
        <f t="shared" si="1994"/>
        <v>175.1</v>
      </c>
      <c r="AC1649" s="122">
        <f t="shared" si="1994"/>
        <v>165.5</v>
      </c>
      <c r="AD1649" s="122">
        <f t="shared" si="1994"/>
        <v>157.38596526999999</v>
      </c>
      <c r="AE1649" s="122">
        <f t="shared" si="1994"/>
        <v>211.45</v>
      </c>
      <c r="AF1649" s="122">
        <f t="shared" si="1994"/>
        <v>173.64198012</v>
      </c>
      <c r="AG1649" s="122">
        <f t="shared" si="1994"/>
        <v>171.106168</v>
      </c>
      <c r="AH1649" s="122">
        <f t="shared" si="1994"/>
        <v>188.92539241999998</v>
      </c>
      <c r="AI1649" s="122">
        <f t="shared" si="1994"/>
        <v>152</v>
      </c>
      <c r="AJ1649" s="122">
        <f t="shared" si="1994"/>
        <v>141.89079649999999</v>
      </c>
      <c r="AK1649" s="122">
        <f t="shared" si="1994"/>
        <v>131.78159299999999</v>
      </c>
      <c r="AL1649" s="122">
        <f t="shared" si="1994"/>
        <v>131.78159299999999</v>
      </c>
      <c r="AM1649" s="122">
        <f t="shared" si="1994"/>
        <v>131.78159299999999</v>
      </c>
      <c r="AN1649" s="122">
        <f t="shared" si="1994"/>
        <v>131.78159299999999</v>
      </c>
      <c r="AO1649" s="122">
        <f t="shared" si="1994"/>
        <v>131.78159299999999</v>
      </c>
      <c r="AP1649" s="122"/>
      <c r="AQ1649" s="122"/>
      <c r="AR1649" s="122"/>
      <c r="AS1649" s="122"/>
      <c r="AT1649" s="122"/>
    </row>
    <row r="1650" spans="1:46">
      <c r="A1650" s="1"/>
      <c r="B1650" s="1"/>
      <c r="C1650" s="1"/>
      <c r="D1650" s="119" t="s">
        <v>117</v>
      </c>
      <c r="E1650" s="102"/>
      <c r="F1650" s="102"/>
      <c r="G1650" s="102"/>
      <c r="H1650" s="102"/>
      <c r="I1650" s="114"/>
      <c r="J1650" s="114"/>
      <c r="K1650" s="114"/>
      <c r="L1650" s="114"/>
      <c r="M1650" s="114"/>
      <c r="N1650" s="114"/>
      <c r="O1650" s="114"/>
      <c r="P1650" s="114"/>
      <c r="Q1650" s="114"/>
      <c r="R1650" s="114"/>
      <c r="S1650" s="114"/>
      <c r="T1650" s="114"/>
      <c r="U1650" s="114"/>
      <c r="V1650" s="114"/>
      <c r="W1650" s="114"/>
      <c r="X1650" s="114"/>
      <c r="Y1650" s="121">
        <f t="shared" ref="Y1650:AO1650" si="1995">Y411</f>
        <v>52.65</v>
      </c>
      <c r="Z1650" s="121">
        <f t="shared" si="1995"/>
        <v>83.26</v>
      </c>
      <c r="AA1650" s="121">
        <f t="shared" si="1995"/>
        <v>84.98</v>
      </c>
      <c r="AB1650" s="121">
        <f t="shared" si="1995"/>
        <v>75.599999999999994</v>
      </c>
      <c r="AC1650" s="121">
        <f t="shared" si="1995"/>
        <v>51.8</v>
      </c>
      <c r="AD1650" s="121">
        <f t="shared" si="1995"/>
        <v>58.285965269999998</v>
      </c>
      <c r="AE1650" s="121">
        <f t="shared" si="1995"/>
        <v>84.490000000000009</v>
      </c>
      <c r="AF1650" s="121">
        <f t="shared" si="1995"/>
        <v>88.088896120000001</v>
      </c>
      <c r="AG1650" s="121">
        <f t="shared" si="1995"/>
        <v>85.553083999999998</v>
      </c>
      <c r="AH1650" s="121">
        <f t="shared" si="1995"/>
        <v>85.553083999999998</v>
      </c>
      <c r="AI1650" s="121">
        <f t="shared" si="1995"/>
        <v>76</v>
      </c>
      <c r="AJ1650" s="121">
        <f t="shared" si="1995"/>
        <v>76</v>
      </c>
      <c r="AK1650" s="121">
        <f t="shared" si="1995"/>
        <v>65.890796499999993</v>
      </c>
      <c r="AL1650" s="121">
        <f t="shared" si="1995"/>
        <v>65.890796499999993</v>
      </c>
      <c r="AM1650" s="121">
        <f t="shared" si="1995"/>
        <v>65.890796499999993</v>
      </c>
      <c r="AN1650" s="121">
        <f t="shared" si="1995"/>
        <v>65.890796499999993</v>
      </c>
      <c r="AO1650" s="121">
        <f t="shared" si="1995"/>
        <v>65.890796499999993</v>
      </c>
      <c r="AP1650" s="121"/>
      <c r="AQ1650" s="121"/>
      <c r="AR1650" s="121"/>
      <c r="AS1650" s="121"/>
      <c r="AT1650" s="121"/>
    </row>
    <row r="1651" spans="1:46">
      <c r="A1651" s="1"/>
      <c r="B1651" s="1"/>
      <c r="C1651" s="1"/>
      <c r="D1651" s="120" t="s">
        <v>118</v>
      </c>
      <c r="E1651" s="102"/>
      <c r="F1651" s="102"/>
      <c r="G1651" s="102"/>
      <c r="H1651" s="102"/>
      <c r="I1651" s="102"/>
      <c r="J1651" s="102"/>
      <c r="K1651" s="102"/>
      <c r="L1651" s="102"/>
      <c r="M1651" s="102"/>
      <c r="N1651" s="102"/>
      <c r="O1651" s="102"/>
      <c r="P1651" s="102"/>
      <c r="Q1651" s="102"/>
      <c r="R1651" s="102"/>
      <c r="S1651" s="102"/>
      <c r="T1651" s="102"/>
      <c r="U1651" s="102"/>
      <c r="V1651" s="102"/>
      <c r="W1651" s="102"/>
      <c r="X1651" s="102"/>
      <c r="Y1651" s="121"/>
      <c r="Z1651" s="121">
        <f t="shared" ref="Z1651:AO1651" si="1996">Z412</f>
        <v>76.05</v>
      </c>
      <c r="AA1651" s="121">
        <f t="shared" si="1996"/>
        <v>85.8</v>
      </c>
      <c r="AB1651" s="121">
        <f t="shared" si="1996"/>
        <v>99.5</v>
      </c>
      <c r="AC1651" s="121">
        <f t="shared" si="1996"/>
        <v>113.7</v>
      </c>
      <c r="AD1651" s="121">
        <f t="shared" si="1996"/>
        <v>99.1</v>
      </c>
      <c r="AE1651" s="121">
        <f t="shared" si="1996"/>
        <v>126.96</v>
      </c>
      <c r="AF1651" s="121">
        <f t="shared" si="1996"/>
        <v>85.553083999999998</v>
      </c>
      <c r="AG1651" s="121">
        <f t="shared" si="1996"/>
        <v>85.553083999999998</v>
      </c>
      <c r="AH1651" s="121">
        <f t="shared" si="1996"/>
        <v>103.37230842</v>
      </c>
      <c r="AI1651" s="121">
        <f t="shared" si="1996"/>
        <v>76</v>
      </c>
      <c r="AJ1651" s="121">
        <f t="shared" si="1996"/>
        <v>65.890796499999993</v>
      </c>
      <c r="AK1651" s="121">
        <f t="shared" si="1996"/>
        <v>65.890796499999993</v>
      </c>
      <c r="AL1651" s="121">
        <f t="shared" si="1996"/>
        <v>65.890796499999993</v>
      </c>
      <c r="AM1651" s="121">
        <f t="shared" si="1996"/>
        <v>65.890796499999993</v>
      </c>
      <c r="AN1651" s="121">
        <f t="shared" si="1996"/>
        <v>65.890796499999993</v>
      </c>
      <c r="AO1651" s="121">
        <f t="shared" si="1996"/>
        <v>65.890796499999993</v>
      </c>
      <c r="AP1651" s="121"/>
      <c r="AQ1651" s="121"/>
      <c r="AR1651" s="121"/>
      <c r="AS1651" s="121"/>
      <c r="AT1651" s="121"/>
    </row>
    <row r="1652" spans="1:46">
      <c r="A1652" s="1"/>
      <c r="B1652" s="1"/>
      <c r="C1652" s="1"/>
      <c r="D1652" s="119" t="s">
        <v>649</v>
      </c>
      <c r="E1652" s="114"/>
      <c r="F1652" s="114"/>
      <c r="G1652" s="114"/>
      <c r="H1652" s="114"/>
      <c r="I1652" s="114"/>
      <c r="J1652" s="114"/>
      <c r="K1652" s="114"/>
      <c r="L1652" s="114"/>
      <c r="M1652" s="114"/>
      <c r="N1652" s="114"/>
      <c r="O1652" s="114"/>
      <c r="P1652" s="114"/>
      <c r="Q1652" s="114"/>
      <c r="R1652" s="114"/>
      <c r="S1652" s="114"/>
      <c r="T1652" s="114"/>
      <c r="U1652" s="114"/>
      <c r="V1652" s="114"/>
      <c r="W1652" s="114"/>
      <c r="X1652" s="114"/>
      <c r="Y1652" s="121"/>
      <c r="Z1652" s="121">
        <f t="shared" ref="Z1652:AO1652" si="1997">Z413</f>
        <v>95.839250323148988</v>
      </c>
      <c r="AA1652" s="121">
        <f t="shared" si="1997"/>
        <v>121.6195684522404</v>
      </c>
      <c r="AB1652" s="121">
        <f t="shared" si="1997"/>
        <v>132.01834234264999</v>
      </c>
      <c r="AC1652" s="121">
        <f t="shared" si="1997"/>
        <v>128.04260530427499</v>
      </c>
      <c r="AD1652" s="121">
        <f t="shared" si="1997"/>
        <v>151.47193310323161</v>
      </c>
      <c r="AE1652" s="121">
        <f t="shared" si="1997"/>
        <v>169.21778673992497</v>
      </c>
      <c r="AF1652" s="121">
        <f t="shared" si="1997"/>
        <v>208.58993856364663</v>
      </c>
      <c r="AG1652" s="121">
        <f t="shared" si="1997"/>
        <v>172.4766347794959</v>
      </c>
      <c r="AH1652" s="121">
        <f t="shared" si="1997"/>
        <v>184.97643097518889</v>
      </c>
      <c r="AI1652" s="121">
        <f t="shared" si="1997"/>
        <v>225.460820182871</v>
      </c>
      <c r="AJ1652" s="121">
        <f t="shared" si="1997"/>
        <v>209.99611745433467</v>
      </c>
      <c r="AK1652" s="121">
        <f t="shared" si="1997"/>
        <v>197.24899460437902</v>
      </c>
      <c r="AL1652" s="121">
        <f t="shared" si="1997"/>
        <v>211.8633150639069</v>
      </c>
      <c r="AM1652" s="121">
        <f t="shared" si="1997"/>
        <v>225.89200899008975</v>
      </c>
      <c r="AN1652" s="121">
        <f t="shared" si="1997"/>
        <v>238.67886609328386</v>
      </c>
      <c r="AO1652" s="121">
        <f t="shared" si="1997"/>
        <v>249.11321746737292</v>
      </c>
      <c r="AP1652" s="121"/>
      <c r="AQ1652" s="121"/>
      <c r="AR1652" s="121"/>
      <c r="AS1652" s="121"/>
      <c r="AT1652" s="121"/>
    </row>
    <row r="1653" spans="1:46">
      <c r="D1653" s="487" t="s">
        <v>1118</v>
      </c>
    </row>
    <row r="1655" spans="1:46">
      <c r="A1655" s="1"/>
      <c r="B1655" s="1"/>
      <c r="C1655" s="1"/>
      <c r="D1655" s="92" t="s">
        <v>692</v>
      </c>
      <c r="X1655" s="603">
        <f>+X1658</f>
        <v>2013</v>
      </c>
      <c r="Y1655" s="603">
        <f t="shared" ref="Y1655:AE1655" si="1998">+Y1658</f>
        <v>2014</v>
      </c>
      <c r="Z1655" s="603">
        <f t="shared" si="1998"/>
        <v>2015</v>
      </c>
      <c r="AA1655" s="603">
        <f t="shared" si="1998"/>
        <v>2016</v>
      </c>
      <c r="AB1655" s="603">
        <f t="shared" si="1998"/>
        <v>2017</v>
      </c>
      <c r="AC1655" s="603">
        <f t="shared" si="1998"/>
        <v>2018</v>
      </c>
      <c r="AD1655" s="603">
        <f t="shared" si="1998"/>
        <v>2019</v>
      </c>
      <c r="AE1655" s="603">
        <f t="shared" si="1998"/>
        <v>2020</v>
      </c>
      <c r="AF1655" s="1">
        <f>+AF1658</f>
        <v>2021</v>
      </c>
    </row>
    <row r="1656" spans="1:46">
      <c r="A1656" s="1"/>
      <c r="B1656" s="1"/>
      <c r="C1656" s="1"/>
      <c r="D1656" s="488" t="s">
        <v>736</v>
      </c>
      <c r="E1656" s="473"/>
      <c r="F1656" s="473"/>
      <c r="G1656" s="473"/>
      <c r="H1656" s="473"/>
      <c r="I1656" s="473"/>
      <c r="J1656" s="473"/>
      <c r="K1656" s="473"/>
      <c r="L1656" s="473"/>
      <c r="M1656" s="473"/>
      <c r="N1656" s="473"/>
      <c r="O1656" s="473"/>
      <c r="P1656" s="473"/>
      <c r="Q1656" s="473"/>
      <c r="R1656" s="473"/>
      <c r="S1656" s="473"/>
      <c r="T1656" s="473"/>
      <c r="U1656" s="473"/>
      <c r="V1656" s="473"/>
      <c r="W1656" s="473"/>
      <c r="X1656" s="473"/>
      <c r="Y1656" s="473"/>
      <c r="Z1656" s="473"/>
      <c r="AA1656" s="473"/>
      <c r="AB1656" s="473"/>
      <c r="AC1656" s="473"/>
      <c r="AD1656" s="473"/>
      <c r="AE1656" s="473"/>
    </row>
    <row r="1657" spans="1:46">
      <c r="A1657" s="1"/>
      <c r="B1657" s="1"/>
      <c r="C1657" s="1"/>
      <c r="D1657" s="488"/>
      <c r="E1657" s="473"/>
      <c r="F1657" s="473"/>
      <c r="G1657" s="473"/>
      <c r="H1657" s="473"/>
      <c r="I1657" s="473"/>
      <c r="J1657" s="473"/>
      <c r="K1657" s="473"/>
      <c r="L1657" s="473"/>
      <c r="M1657" s="473"/>
      <c r="N1657" s="473"/>
      <c r="O1657" s="473"/>
      <c r="P1657" s="473"/>
      <c r="Q1657" s="473"/>
      <c r="R1657" s="473"/>
      <c r="S1657" s="473"/>
      <c r="T1657" s="473"/>
      <c r="U1657" s="473"/>
      <c r="V1657" s="473"/>
      <c r="W1657" s="473"/>
      <c r="X1657" s="473"/>
      <c r="Y1657" s="473"/>
      <c r="Z1657" s="473"/>
      <c r="AA1657" s="473"/>
      <c r="AB1657" s="473"/>
      <c r="AC1657" s="473"/>
      <c r="AD1657" s="473"/>
      <c r="AE1657" s="473"/>
    </row>
    <row r="1658" spans="1:46">
      <c r="A1658" s="1"/>
      <c r="B1658" s="1"/>
      <c r="C1658" s="1"/>
      <c r="D1658" s="489" t="str">
        <f>+FISCinyear!D1066</f>
        <v>Domestic debt central government end-period (bln RWF)</v>
      </c>
      <c r="E1658" s="473"/>
      <c r="F1658" s="473"/>
      <c r="G1658" s="473"/>
      <c r="H1658" s="473"/>
      <c r="I1658" s="473"/>
      <c r="J1658" s="473"/>
      <c r="K1658" s="473"/>
      <c r="L1658" s="473"/>
      <c r="M1658" s="473"/>
      <c r="N1658" s="473"/>
      <c r="O1658" s="473"/>
      <c r="P1658" s="473"/>
      <c r="Q1658" s="473"/>
      <c r="R1658" s="473"/>
      <c r="S1658" s="473"/>
      <c r="T1658" s="473"/>
      <c r="U1658" s="473"/>
      <c r="V1658" s="473"/>
      <c r="W1658" s="473"/>
      <c r="X1658" s="969">
        <f>+X1648</f>
        <v>2013</v>
      </c>
      <c r="Y1658" s="969">
        <f>+Y1648</f>
        <v>2014</v>
      </c>
      <c r="Z1658" s="969">
        <f t="shared" ref="Z1658:AE1658" si="1999">+Z1648</f>
        <v>2015</v>
      </c>
      <c r="AA1658" s="969">
        <f t="shared" si="1999"/>
        <v>2016</v>
      </c>
      <c r="AB1658" s="969">
        <f t="shared" si="1999"/>
        <v>2017</v>
      </c>
      <c r="AC1658" s="969">
        <f t="shared" si="1999"/>
        <v>2018</v>
      </c>
      <c r="AD1658" s="969">
        <f t="shared" si="1999"/>
        <v>2019</v>
      </c>
      <c r="AE1658" s="969">
        <f t="shared" si="1999"/>
        <v>2020</v>
      </c>
      <c r="AF1658" s="1">
        <f>+AF1648</f>
        <v>2021</v>
      </c>
    </row>
    <row r="1659" spans="1:46">
      <c r="A1659" s="1"/>
      <c r="B1659" s="1"/>
      <c r="C1659" s="1"/>
      <c r="D1659" s="502"/>
      <c r="E1659" s="473"/>
      <c r="F1659" s="473"/>
      <c r="G1659" s="473"/>
      <c r="H1659" s="473"/>
      <c r="I1659" s="473"/>
      <c r="J1659" s="473"/>
      <c r="K1659" s="473"/>
      <c r="L1659" s="473"/>
      <c r="M1659" s="473"/>
      <c r="N1659" s="473"/>
      <c r="O1659" s="473"/>
      <c r="P1659" s="473"/>
      <c r="Q1659" s="473"/>
      <c r="R1659" s="473"/>
      <c r="S1659" s="473"/>
      <c r="T1659" s="473"/>
      <c r="U1659" s="473"/>
      <c r="V1659" s="473"/>
      <c r="W1659" s="473"/>
      <c r="X1659" s="473"/>
      <c r="Y1659" s="473"/>
      <c r="Z1659" s="473"/>
      <c r="AA1659" s="718" t="s">
        <v>861</v>
      </c>
      <c r="AB1659" s="473"/>
      <c r="AC1659" s="473"/>
      <c r="AD1659" s="473"/>
      <c r="AE1659" s="473"/>
    </row>
    <row r="1660" spans="1:46">
      <c r="A1660" s="1"/>
      <c r="B1660" s="1"/>
      <c r="C1660" s="1"/>
      <c r="D1660" s="489" t="str">
        <f>+FISCinyear!D1068</f>
        <v>Central Bank NBR</v>
      </c>
      <c r="E1660" s="473"/>
      <c r="F1660" s="473"/>
      <c r="G1660" s="473"/>
      <c r="H1660" s="473"/>
      <c r="I1660" s="473"/>
      <c r="J1660" s="473"/>
      <c r="K1660" s="473"/>
      <c r="L1660" s="473"/>
      <c r="M1660" s="473"/>
      <c r="N1660" s="473"/>
      <c r="O1660" s="473"/>
      <c r="P1660" s="473"/>
      <c r="Q1660" s="473"/>
      <c r="R1660" s="473"/>
      <c r="S1660" s="473"/>
      <c r="T1660" s="473"/>
      <c r="U1660" s="473"/>
      <c r="V1660" s="473"/>
      <c r="W1660" s="473"/>
      <c r="X1660" s="509">
        <f>+X1661+X1662</f>
        <v>80.672805901000004</v>
      </c>
      <c r="Y1660" s="509">
        <f>+Y1661+Y1662</f>
        <v>87.002805901000002</v>
      </c>
      <c r="Z1660" s="509">
        <f>+Z1661+Z1662</f>
        <v>103.80080590099999</v>
      </c>
      <c r="AA1660" s="509">
        <f>+AA1661+AA1662</f>
        <v>113.08680590099999</v>
      </c>
      <c r="AB1660" s="473"/>
      <c r="AC1660" s="473"/>
      <c r="AD1660" s="473"/>
      <c r="AE1660" s="473"/>
    </row>
    <row r="1661" spans="1:46">
      <c r="A1661" s="1"/>
      <c r="B1661" s="1"/>
      <c r="C1661" s="1"/>
      <c r="D1661" s="502" t="str">
        <f>+FISCinyear!D1069</f>
        <v xml:space="preserve">Consolidated debt </v>
      </c>
      <c r="E1661" s="473"/>
      <c r="F1661" s="473"/>
      <c r="G1661" s="473"/>
      <c r="H1661" s="473"/>
      <c r="I1661" s="473"/>
      <c r="J1661" s="473"/>
      <c r="K1661" s="473"/>
      <c r="L1661" s="473"/>
      <c r="M1661" s="473"/>
      <c r="N1661" s="473"/>
      <c r="O1661" s="473"/>
      <c r="P1661" s="473"/>
      <c r="Q1661" s="473"/>
      <c r="R1661" s="473"/>
      <c r="S1661" s="473"/>
      <c r="T1661" s="473"/>
      <c r="U1661" s="473"/>
      <c r="V1661" s="473"/>
      <c r="W1661" s="473"/>
      <c r="X1661" s="506">
        <f>+FISCinyear!CJ1069</f>
        <v>38.572805901000002</v>
      </c>
      <c r="Y1661" s="506">
        <f>+FISCinyear!CV1069</f>
        <v>38.572805901000002</v>
      </c>
      <c r="Z1661" s="506">
        <f>+FISCinyear!DH1069</f>
        <v>38.572805901000002</v>
      </c>
      <c r="AA1661" s="506">
        <f>+FISCinyear!HX1069</f>
        <v>38.572805901000002</v>
      </c>
      <c r="AB1661" s="473"/>
      <c r="AC1661" s="473"/>
      <c r="AD1661" s="473"/>
      <c r="AE1661" s="473"/>
    </row>
    <row r="1662" spans="1:46">
      <c r="A1662" s="1"/>
      <c r="B1662" s="1"/>
      <c r="C1662" s="1"/>
      <c r="D1662" s="502" t="str">
        <f>+FISCinyear!D1070</f>
        <v>overdraft</v>
      </c>
      <c r="E1662" s="473"/>
      <c r="F1662" s="473"/>
      <c r="G1662" s="473"/>
      <c r="H1662" s="473"/>
      <c r="I1662" s="473"/>
      <c r="J1662" s="473"/>
      <c r="K1662" s="473"/>
      <c r="L1662" s="473"/>
      <c r="M1662" s="473"/>
      <c r="N1662" s="473"/>
      <c r="O1662" s="473"/>
      <c r="P1662" s="473"/>
      <c r="Q1662" s="473"/>
      <c r="R1662" s="473"/>
      <c r="S1662" s="473"/>
      <c r="T1662" s="473"/>
      <c r="U1662" s="473"/>
      <c r="V1662" s="473"/>
      <c r="W1662" s="473"/>
      <c r="X1662" s="506">
        <f>+FISCinyear!CJ1070</f>
        <v>42.1</v>
      </c>
      <c r="Y1662" s="506">
        <f>+FISCinyear!CV1070</f>
        <v>48.43</v>
      </c>
      <c r="Z1662" s="506">
        <f>+FISCinyear!DH1070</f>
        <v>65.227999999999994</v>
      </c>
      <c r="AA1662" s="506">
        <f>+FISCinyear!HX1070</f>
        <v>74.513999999999996</v>
      </c>
      <c r="AB1662" s="473"/>
      <c r="AC1662" s="473"/>
      <c r="AD1662" s="473"/>
      <c r="AE1662" s="473"/>
    </row>
    <row r="1663" spans="1:46">
      <c r="A1663" s="1"/>
      <c r="B1663" s="1"/>
      <c r="C1663" s="1"/>
      <c r="D1663" s="508" t="str">
        <f>+FISCinyear!D1071</f>
        <v>memorandum: monetary policy instruments</v>
      </c>
      <c r="E1663" s="473"/>
      <c r="F1663" s="473"/>
      <c r="G1663" s="473"/>
      <c r="H1663" s="473"/>
      <c r="I1663" s="473"/>
      <c r="J1663" s="473"/>
      <c r="K1663" s="473"/>
      <c r="L1663" s="473"/>
      <c r="M1663" s="473"/>
      <c r="N1663" s="473"/>
      <c r="O1663" s="473"/>
      <c r="P1663" s="473"/>
      <c r="Q1663" s="473"/>
      <c r="R1663" s="473"/>
      <c r="S1663" s="473"/>
      <c r="T1663" s="473"/>
      <c r="U1663" s="473"/>
      <c r="V1663" s="473"/>
      <c r="W1663" s="473"/>
      <c r="X1663" s="507">
        <f>-X267</f>
        <v>0</v>
      </c>
      <c r="Y1663" s="507">
        <f>-Y267</f>
        <v>0</v>
      </c>
      <c r="Z1663" s="507">
        <f>-Z267</f>
        <v>0</v>
      </c>
      <c r="AA1663" s="507">
        <f>-AA267</f>
        <v>0</v>
      </c>
      <c r="AB1663" s="473"/>
      <c r="AC1663" s="473"/>
      <c r="AD1663" s="473"/>
      <c r="AE1663" s="473"/>
    </row>
    <row r="1664" spans="1:46">
      <c r="A1664" s="1"/>
      <c r="B1664" s="1"/>
      <c r="C1664" s="1"/>
      <c r="D1664" s="502"/>
      <c r="E1664" s="473"/>
      <c r="F1664" s="473"/>
      <c r="G1664" s="473"/>
      <c r="H1664" s="473"/>
      <c r="I1664" s="473"/>
      <c r="J1664" s="473"/>
      <c r="K1664" s="473"/>
      <c r="L1664" s="473"/>
      <c r="M1664" s="473"/>
      <c r="N1664" s="473"/>
      <c r="O1664" s="473"/>
      <c r="P1664" s="473"/>
      <c r="Q1664" s="473"/>
      <c r="R1664" s="473"/>
      <c r="S1664" s="473"/>
      <c r="T1664" s="473"/>
      <c r="U1664" s="473"/>
      <c r="V1664" s="473"/>
      <c r="W1664" s="473"/>
      <c r="X1664" s="506"/>
      <c r="Y1664" s="506"/>
      <c r="Z1664" s="473"/>
      <c r="AA1664" s="473"/>
      <c r="AB1664" s="473"/>
      <c r="AC1664" s="473"/>
      <c r="AD1664" s="473"/>
      <c r="AE1664" s="473"/>
    </row>
    <row r="1665" spans="1:31">
      <c r="A1665" s="1"/>
      <c r="B1665" s="1"/>
      <c r="C1665" s="1"/>
      <c r="D1665" s="489" t="str">
        <f>+FISCinyear!D1073</f>
        <v>Commercial banks</v>
      </c>
      <c r="E1665" s="473"/>
      <c r="F1665" s="473"/>
      <c r="G1665" s="473"/>
      <c r="H1665" s="473"/>
      <c r="I1665" s="473"/>
      <c r="J1665" s="473"/>
      <c r="K1665" s="473"/>
      <c r="L1665" s="473"/>
      <c r="M1665" s="473"/>
      <c r="N1665" s="473"/>
      <c r="O1665" s="473"/>
      <c r="P1665" s="473"/>
      <c r="Q1665" s="473"/>
      <c r="R1665" s="473"/>
      <c r="S1665" s="473"/>
      <c r="T1665" s="473"/>
      <c r="U1665" s="473"/>
      <c r="V1665" s="473"/>
      <c r="W1665" s="473"/>
      <c r="X1665" s="509">
        <f>+X1666</f>
        <v>273.20000000000005</v>
      </c>
      <c r="Y1665" s="509">
        <f>+Y1666</f>
        <v>185.4</v>
      </c>
      <c r="Z1665" s="509">
        <f>+Z1667+Z1670</f>
        <v>257.41891953599998</v>
      </c>
      <c r="AA1665" s="509">
        <f>+AA1667+AA1670</f>
        <v>270.09231953599999</v>
      </c>
      <c r="AB1665" s="473"/>
      <c r="AC1665" s="473"/>
      <c r="AD1665" s="473"/>
      <c r="AE1665" s="473"/>
    </row>
    <row r="1666" spans="1:31">
      <c r="A1666" s="1"/>
      <c r="B1666" s="1"/>
      <c r="C1666" s="1"/>
      <c r="D1666" s="502" t="str">
        <f>+FISCinyear!D1074</f>
        <v>Claims on government (monetary survey)</v>
      </c>
      <c r="E1666" s="473"/>
      <c r="F1666" s="473"/>
      <c r="G1666" s="473"/>
      <c r="H1666" s="473"/>
      <c r="I1666" s="473"/>
      <c r="J1666" s="473"/>
      <c r="K1666" s="473"/>
      <c r="L1666" s="473"/>
      <c r="M1666" s="473"/>
      <c r="N1666" s="473"/>
      <c r="O1666" s="473"/>
      <c r="P1666" s="473"/>
      <c r="Q1666" s="473"/>
      <c r="R1666" s="473"/>
      <c r="S1666" s="473"/>
      <c r="T1666" s="473"/>
      <c r="U1666" s="473"/>
      <c r="V1666" s="473"/>
      <c r="W1666" s="473"/>
      <c r="X1666" s="506">
        <f>+X266</f>
        <v>273.20000000000005</v>
      </c>
      <c r="Y1666" s="643">
        <f>+Y266</f>
        <v>185.4</v>
      </c>
      <c r="Z1666" s="644">
        <f>+Z266</f>
        <v>136</v>
      </c>
      <c r="AA1666" s="506">
        <f>+FISCinyear!HX1074</f>
        <v>0</v>
      </c>
      <c r="AB1666" s="473"/>
      <c r="AC1666" s="473"/>
      <c r="AD1666" s="473"/>
      <c r="AE1666" s="473"/>
    </row>
    <row r="1667" spans="1:31">
      <c r="A1667" s="1"/>
      <c r="B1667" s="1"/>
      <c r="C1667" s="1"/>
      <c r="D1667" s="502" t="str">
        <f>+FISCinyear!D1075</f>
        <v>Banks holding of securities</v>
      </c>
      <c r="E1667" s="473"/>
      <c r="F1667" s="473"/>
      <c r="G1667" s="473"/>
      <c r="H1667" s="473"/>
      <c r="I1667" s="473"/>
      <c r="J1667" s="473"/>
      <c r="K1667" s="473"/>
      <c r="L1667" s="473"/>
      <c r="M1667" s="473"/>
      <c r="N1667" s="473"/>
      <c r="O1667" s="473"/>
      <c r="P1667" s="473"/>
      <c r="Q1667" s="473"/>
      <c r="R1667" s="473"/>
      <c r="S1667" s="473"/>
      <c r="T1667" s="473"/>
      <c r="U1667" s="473"/>
      <c r="V1667" s="473"/>
      <c r="W1667" s="473"/>
      <c r="X1667" s="509">
        <f>+X1668+X1669</f>
        <v>152.5566</v>
      </c>
      <c r="Y1667" s="509">
        <f>+Y1668+Y1669</f>
        <v>176.3717</v>
      </c>
      <c r="Z1667" s="509">
        <f>+Z1668+Z1669</f>
        <v>256.8082</v>
      </c>
      <c r="AA1667" s="506">
        <f>+FISCinyear!HX1075</f>
        <v>269.48160000000001</v>
      </c>
      <c r="AB1667" s="473"/>
      <c r="AC1667" s="473"/>
      <c r="AD1667" s="473"/>
      <c r="AE1667" s="473"/>
    </row>
    <row r="1668" spans="1:31">
      <c r="A1668" s="1"/>
      <c r="B1668" s="1"/>
      <c r="C1668" s="1"/>
      <c r="D1668" s="502" t="str">
        <f>+FISCinyear!D1076</f>
        <v xml:space="preserve">T bills </v>
      </c>
      <c r="E1668" s="473"/>
      <c r="F1668" s="473"/>
      <c r="G1668" s="473"/>
      <c r="H1668" s="473"/>
      <c r="I1668" s="473"/>
      <c r="J1668" s="473"/>
      <c r="K1668" s="473"/>
      <c r="L1668" s="473"/>
      <c r="M1668" s="473"/>
      <c r="N1668" s="473"/>
      <c r="O1668" s="473"/>
      <c r="P1668" s="473"/>
      <c r="Q1668" s="473"/>
      <c r="R1668" s="473"/>
      <c r="S1668" s="473"/>
      <c r="T1668" s="473"/>
      <c r="U1668" s="473"/>
      <c r="V1668" s="473"/>
      <c r="W1668" s="473"/>
      <c r="X1668" s="506">
        <f>+FISCinyear!CJ1076</f>
        <v>145.6336</v>
      </c>
      <c r="Y1668" s="506">
        <f>+FISCinyear!CV1076</f>
        <v>152.07040000000001</v>
      </c>
      <c r="Z1668" s="506">
        <f>+FISCinyear!DH1076</f>
        <v>210.6105</v>
      </c>
      <c r="AA1668" s="506">
        <f>+FISCinyear!HX1076</f>
        <v>214.0017</v>
      </c>
      <c r="AB1668" s="473"/>
      <c r="AC1668" s="473"/>
      <c r="AD1668" s="473"/>
      <c r="AE1668" s="473"/>
    </row>
    <row r="1669" spans="1:31">
      <c r="A1669" s="1"/>
      <c r="B1669" s="1"/>
      <c r="C1669" s="1"/>
      <c r="D1669" s="502" t="str">
        <f>+FISCinyear!D1077</f>
        <v>T bonds</v>
      </c>
      <c r="E1669" s="473"/>
      <c r="F1669" s="473"/>
      <c r="G1669" s="473"/>
      <c r="H1669" s="473"/>
      <c r="I1669" s="473"/>
      <c r="J1669" s="473"/>
      <c r="K1669" s="473"/>
      <c r="L1669" s="473"/>
      <c r="M1669" s="473"/>
      <c r="N1669" s="473"/>
      <c r="O1669" s="473"/>
      <c r="P1669" s="473"/>
      <c r="Q1669" s="473"/>
      <c r="R1669" s="473"/>
      <c r="S1669" s="473"/>
      <c r="T1669" s="473"/>
      <c r="U1669" s="473"/>
      <c r="V1669" s="473"/>
      <c r="W1669" s="473"/>
      <c r="X1669" s="506">
        <f>+FISCinyear!CJ1077</f>
        <v>6.923</v>
      </c>
      <c r="Y1669" s="506">
        <f>+FISCinyear!CV1077</f>
        <v>24.301300000000001</v>
      </c>
      <c r="Z1669" s="506">
        <f>+FISCinyear!DH1077</f>
        <v>46.197699999999998</v>
      </c>
      <c r="AA1669" s="506">
        <f>+FISCinyear!HX1077</f>
        <v>55.479899999999994</v>
      </c>
      <c r="AB1669" s="473"/>
      <c r="AC1669" s="473"/>
      <c r="AD1669" s="473"/>
      <c r="AE1669" s="473"/>
    </row>
    <row r="1670" spans="1:31">
      <c r="A1670" s="1"/>
      <c r="B1670" s="1"/>
      <c r="C1670" s="1"/>
      <c r="D1670" s="503" t="str">
        <f>+FISCinyear!D1078</f>
        <v>Corporate bonds</v>
      </c>
      <c r="E1670" s="473"/>
      <c r="F1670" s="473"/>
      <c r="G1670" s="473"/>
      <c r="H1670" s="473"/>
      <c r="I1670" s="473"/>
      <c r="J1670" s="473"/>
      <c r="K1670" s="473"/>
      <c r="L1670" s="473"/>
      <c r="M1670" s="473"/>
      <c r="N1670" s="473"/>
      <c r="O1670" s="473"/>
      <c r="P1670" s="473"/>
      <c r="Q1670" s="473"/>
      <c r="R1670" s="473"/>
      <c r="S1670" s="473"/>
      <c r="T1670" s="473"/>
      <c r="U1670" s="473"/>
      <c r="V1670" s="473"/>
      <c r="W1670" s="473"/>
      <c r="X1670" s="510">
        <f>+X1671+X1672+X1673</f>
        <v>1.6489876489999999</v>
      </c>
      <c r="Y1670" s="510">
        <f>+Y1671+Y1672+Y1673</f>
        <v>1.2199557209999998</v>
      </c>
      <c r="Z1670" s="510">
        <f>+Z1671+Z1672+Z1673</f>
        <v>0.61071953599999995</v>
      </c>
      <c r="AA1670" s="510">
        <f>+AA1671+AA1672+AA1673</f>
        <v>0.61071953599999995</v>
      </c>
      <c r="AB1670" s="473"/>
      <c r="AC1670" s="473"/>
      <c r="AD1670" s="473"/>
      <c r="AE1670" s="473"/>
    </row>
    <row r="1671" spans="1:31">
      <c r="A1671" s="1"/>
      <c r="B1671" s="1"/>
      <c r="C1671" s="1"/>
      <c r="D1671" s="502" t="str">
        <f>+FISCinyear!D1079</f>
        <v>BANCOR</v>
      </c>
      <c r="E1671" s="473"/>
      <c r="F1671" s="473"/>
      <c r="G1671" s="473"/>
      <c r="H1671" s="473"/>
      <c r="I1671" s="473"/>
      <c r="J1671" s="473"/>
      <c r="K1671" s="473"/>
      <c r="L1671" s="473"/>
      <c r="M1671" s="473"/>
      <c r="N1671" s="473"/>
      <c r="O1671" s="473"/>
      <c r="P1671" s="473"/>
      <c r="Q1671" s="473"/>
      <c r="R1671" s="473"/>
      <c r="S1671" s="473"/>
      <c r="T1671" s="473"/>
      <c r="U1671" s="473"/>
      <c r="V1671" s="473"/>
      <c r="W1671" s="473"/>
      <c r="X1671" s="506">
        <f>+FISCinyear!CJ1079</f>
        <v>0.89935816700000004</v>
      </c>
      <c r="Y1671" s="506">
        <f>+FISCinyear!CV1079</f>
        <v>0.47032623899999992</v>
      </c>
      <c r="Z1671" s="506">
        <f>+FISCinyear!DH1079</f>
        <v>4.1252308999999932E-2</v>
      </c>
      <c r="AA1671" s="506">
        <f>+FISCinyear!HX1079</f>
        <v>4.1252308999999932E-2</v>
      </c>
      <c r="AB1671" s="473"/>
      <c r="AC1671" s="473"/>
      <c r="AD1671" s="473"/>
      <c r="AE1671" s="473"/>
    </row>
    <row r="1672" spans="1:31">
      <c r="A1672" s="1"/>
      <c r="B1672" s="1"/>
      <c r="C1672" s="1"/>
      <c r="D1672" s="502" t="str">
        <f>+FISCinyear!D1080</f>
        <v>BCR</v>
      </c>
      <c r="E1672" s="473"/>
      <c r="F1672" s="473"/>
      <c r="G1672" s="473"/>
      <c r="H1672" s="473"/>
      <c r="I1672" s="473"/>
      <c r="J1672" s="473"/>
      <c r="K1672" s="473"/>
      <c r="L1672" s="473"/>
      <c r="M1672" s="473"/>
      <c r="N1672" s="473"/>
      <c r="O1672" s="473"/>
      <c r="P1672" s="473"/>
      <c r="Q1672" s="473"/>
      <c r="R1672" s="473"/>
      <c r="S1672" s="473"/>
      <c r="T1672" s="473"/>
      <c r="U1672" s="473"/>
      <c r="V1672" s="473"/>
      <c r="W1672" s="473"/>
      <c r="X1672" s="506">
        <f>+FISCinyear!CJ1080</f>
        <v>0.74962948200000001</v>
      </c>
      <c r="Y1672" s="506">
        <f>+FISCinyear!CV1080</f>
        <v>0.74962948200000001</v>
      </c>
      <c r="Z1672" s="506">
        <f>+FISCinyear!DH1080</f>
        <v>0.56946722700000008</v>
      </c>
      <c r="AA1672" s="506">
        <f>+FISCinyear!HX1080</f>
        <v>0.56946722700000008</v>
      </c>
      <c r="AB1672" s="473"/>
      <c r="AC1672" s="473"/>
      <c r="AD1672" s="473"/>
      <c r="AE1672" s="473"/>
    </row>
    <row r="1673" spans="1:31">
      <c r="A1673" s="1"/>
      <c r="B1673" s="1"/>
      <c r="C1673" s="1"/>
      <c r="D1673" s="502" t="str">
        <f>+FISCinyear!D1081</f>
        <v>BK/ONATRACOM</v>
      </c>
      <c r="E1673" s="473"/>
      <c r="F1673" s="473"/>
      <c r="G1673" s="473"/>
      <c r="H1673" s="473"/>
      <c r="I1673" s="473"/>
      <c r="J1673" s="473"/>
      <c r="K1673" s="473"/>
      <c r="L1673" s="473"/>
      <c r="M1673" s="473"/>
      <c r="N1673" s="473"/>
      <c r="O1673" s="473"/>
      <c r="P1673" s="473"/>
      <c r="Q1673" s="473"/>
      <c r="R1673" s="473"/>
      <c r="S1673" s="473"/>
      <c r="T1673" s="473"/>
      <c r="U1673" s="473"/>
      <c r="V1673" s="473"/>
      <c r="W1673" s="473"/>
      <c r="X1673" s="506">
        <f>+FISCinyear!CJ1081</f>
        <v>0</v>
      </c>
      <c r="Y1673" s="506">
        <f>+FISCinyear!CV1081</f>
        <v>0</v>
      </c>
      <c r="Z1673" s="506">
        <f>+FISCinyear!DH1081</f>
        <v>0</v>
      </c>
      <c r="AA1673" s="506">
        <f>+FISCinyear!HX1081</f>
        <v>0</v>
      </c>
      <c r="AB1673" s="473"/>
      <c r="AC1673" s="473"/>
      <c r="AD1673" s="473"/>
      <c r="AE1673" s="473"/>
    </row>
    <row r="1674" spans="1:31">
      <c r="A1674" s="1"/>
      <c r="B1674" s="1"/>
      <c r="C1674" s="1"/>
      <c r="D1674" s="502"/>
      <c r="E1674" s="473"/>
      <c r="F1674" s="473"/>
      <c r="G1674" s="473"/>
      <c r="H1674" s="473"/>
      <c r="I1674" s="473"/>
      <c r="J1674" s="473"/>
      <c r="K1674" s="473"/>
      <c r="L1674" s="473"/>
      <c r="M1674" s="473"/>
      <c r="N1674" s="473"/>
      <c r="O1674" s="473"/>
      <c r="P1674" s="473"/>
      <c r="Q1674" s="473"/>
      <c r="R1674" s="473"/>
      <c r="S1674" s="473"/>
      <c r="T1674" s="473"/>
      <c r="U1674" s="473"/>
      <c r="V1674" s="473"/>
      <c r="W1674" s="473"/>
      <c r="X1674" s="506"/>
      <c r="Y1674" s="506"/>
      <c r="Z1674" s="473"/>
      <c r="AA1674" s="473"/>
      <c r="AB1674" s="473"/>
      <c r="AC1674" s="473"/>
      <c r="AD1674" s="473"/>
      <c r="AE1674" s="473"/>
    </row>
    <row r="1675" spans="1:31">
      <c r="A1675" s="1"/>
      <c r="B1675" s="1"/>
      <c r="C1675" s="1"/>
      <c r="D1675" s="489" t="str">
        <f>+FISCinyear!D1083</f>
        <v xml:space="preserve">Non banks </v>
      </c>
      <c r="E1675" s="473"/>
      <c r="F1675" s="473"/>
      <c r="G1675" s="473"/>
      <c r="H1675" s="473"/>
      <c r="I1675" s="473"/>
      <c r="J1675" s="473"/>
      <c r="K1675" s="473"/>
      <c r="L1675" s="473"/>
      <c r="M1675" s="473"/>
      <c r="N1675" s="473"/>
      <c r="O1675" s="473"/>
      <c r="P1675" s="473"/>
      <c r="Q1675" s="473"/>
      <c r="R1675" s="473"/>
      <c r="S1675" s="473"/>
      <c r="T1675" s="473"/>
      <c r="U1675" s="473"/>
      <c r="V1675" s="473"/>
      <c r="W1675" s="473"/>
      <c r="X1675" s="509">
        <f>+X1676+X1679</f>
        <v>13.637188379600367</v>
      </c>
      <c r="Y1675" s="509">
        <f>+Y1676+Y1679</f>
        <v>53.905492418999998</v>
      </c>
      <c r="Z1675" s="509">
        <f>+Z1676+Z1679</f>
        <v>83.588792419000001</v>
      </c>
      <c r="AA1675" s="509">
        <f>+AA1676+AA1679</f>
        <v>124.48579699267981</v>
      </c>
      <c r="AB1675" s="473"/>
      <c r="AC1675" s="473"/>
      <c r="AD1675" s="473"/>
      <c r="AE1675" s="473"/>
    </row>
    <row r="1676" spans="1:31">
      <c r="A1676" s="1"/>
      <c r="B1676" s="1"/>
      <c r="C1676" s="1"/>
      <c r="D1676" s="502" t="str">
        <f>+D1667</f>
        <v>Banks holding of securities</v>
      </c>
      <c r="E1676" s="473"/>
      <c r="F1676" s="473"/>
      <c r="G1676" s="473"/>
      <c r="H1676" s="473"/>
      <c r="I1676" s="473"/>
      <c r="J1676" s="473"/>
      <c r="K1676" s="473"/>
      <c r="L1676" s="473"/>
      <c r="M1676" s="473"/>
      <c r="N1676" s="473"/>
      <c r="O1676" s="473"/>
      <c r="P1676" s="473"/>
      <c r="Q1676" s="473"/>
      <c r="R1676" s="473"/>
      <c r="S1676" s="473"/>
      <c r="T1676" s="473"/>
      <c r="U1676" s="473"/>
      <c r="V1676" s="473"/>
      <c r="W1676" s="473"/>
      <c r="X1676" s="509">
        <f>+X1677+X1678</f>
        <v>12.4474</v>
      </c>
      <c r="Y1676" s="509">
        <f>+Y1677+Y1678</f>
        <v>51.049700000000001</v>
      </c>
      <c r="Z1676" s="509">
        <f>+Z1677+Z1678</f>
        <v>80.733000000000004</v>
      </c>
      <c r="AA1676" s="506">
        <f>+FISCinyear!HX1084</f>
        <v>123.18709999999999</v>
      </c>
      <c r="AB1676" s="473"/>
      <c r="AC1676" s="473"/>
      <c r="AD1676" s="473"/>
      <c r="AE1676" s="473"/>
    </row>
    <row r="1677" spans="1:31">
      <c r="A1677" s="1"/>
      <c r="B1677" s="1"/>
      <c r="C1677" s="1"/>
      <c r="D1677" s="502" t="str">
        <f>+FISCinyear!D1085</f>
        <v xml:space="preserve">T bills </v>
      </c>
      <c r="E1677" s="473"/>
      <c r="F1677" s="473"/>
      <c r="G1677" s="473"/>
      <c r="H1677" s="473"/>
      <c r="I1677" s="473"/>
      <c r="J1677" s="473"/>
      <c r="K1677" s="473"/>
      <c r="L1677" s="473"/>
      <c r="M1677" s="473"/>
      <c r="N1677" s="473"/>
      <c r="O1677" s="473"/>
      <c r="P1677" s="473"/>
      <c r="Q1677" s="473"/>
      <c r="R1677" s="473"/>
      <c r="S1677" s="473"/>
      <c r="T1677" s="473"/>
      <c r="U1677" s="473"/>
      <c r="V1677" s="473"/>
      <c r="W1677" s="473"/>
      <c r="X1677" s="506">
        <f>+FISCinyear!CJ1085</f>
        <v>10.8704</v>
      </c>
      <c r="Y1677" s="506">
        <f>+FISCinyear!CV1085</f>
        <v>11.851000000000001</v>
      </c>
      <c r="Z1677" s="506">
        <f>+FISCinyear!DH1085</f>
        <v>11.9307</v>
      </c>
      <c r="AA1677" s="506">
        <f>+FISCinyear!HX1085</f>
        <v>38.667000000000002</v>
      </c>
      <c r="AB1677" s="473"/>
      <c r="AC1677" s="473"/>
      <c r="AD1677" s="473"/>
      <c r="AE1677" s="473"/>
    </row>
    <row r="1678" spans="1:31">
      <c r="A1678" s="1"/>
      <c r="B1678" s="1"/>
      <c r="C1678" s="1"/>
      <c r="D1678" s="502" t="str">
        <f>+FISCinyear!D1086</f>
        <v>T bonds</v>
      </c>
      <c r="E1678" s="473"/>
      <c r="F1678" s="473"/>
      <c r="G1678" s="473"/>
      <c r="H1678" s="473"/>
      <c r="I1678" s="473"/>
      <c r="J1678" s="473"/>
      <c r="K1678" s="473"/>
      <c r="L1678" s="473"/>
      <c r="M1678" s="473"/>
      <c r="N1678" s="473"/>
      <c r="O1678" s="473"/>
      <c r="P1678" s="473"/>
      <c r="Q1678" s="473"/>
      <c r="R1678" s="473"/>
      <c r="S1678" s="473"/>
      <c r="T1678" s="473"/>
      <c r="U1678" s="473"/>
      <c r="V1678" s="473"/>
      <c r="W1678" s="473"/>
      <c r="X1678" s="506">
        <f>+FISCinyear!CJ1086</f>
        <v>1.577</v>
      </c>
      <c r="Y1678" s="506">
        <f>+FISCinyear!CV1086</f>
        <v>39.198700000000002</v>
      </c>
      <c r="Z1678" s="506">
        <f>+FISCinyear!DH1086</f>
        <v>68.802300000000002</v>
      </c>
      <c r="AA1678" s="506">
        <f>+FISCinyear!HX1086</f>
        <v>84.520099999999985</v>
      </c>
      <c r="AB1678" s="473"/>
      <c r="AC1678" s="473"/>
      <c r="AD1678" s="473"/>
      <c r="AE1678" s="473"/>
    </row>
    <row r="1679" spans="1:31">
      <c r="A1679" s="1"/>
      <c r="B1679" s="1"/>
      <c r="C1679" s="1"/>
      <c r="D1679" s="503" t="str">
        <f>+FISCinyear!D1087</f>
        <v>Corporate bonds</v>
      </c>
      <c r="E1679" s="473"/>
      <c r="F1679" s="473"/>
      <c r="G1679" s="473"/>
      <c r="H1679" s="473"/>
      <c r="I1679" s="473"/>
      <c r="J1679" s="473"/>
      <c r="K1679" s="473"/>
      <c r="L1679" s="473"/>
      <c r="M1679" s="473"/>
      <c r="N1679" s="473"/>
      <c r="O1679" s="473"/>
      <c r="P1679" s="473"/>
      <c r="Q1679" s="473"/>
      <c r="R1679" s="473"/>
      <c r="S1679" s="473"/>
      <c r="T1679" s="473"/>
      <c r="U1679" s="473"/>
      <c r="V1679" s="473"/>
      <c r="W1679" s="473"/>
      <c r="X1679" s="510">
        <f>+X1680+X1681</f>
        <v>1.189788379600367</v>
      </c>
      <c r="Y1679" s="510">
        <f>+Y1680+Y1681</f>
        <v>2.8557924190000001</v>
      </c>
      <c r="Z1679" s="510">
        <f>+Z1680+Z1681</f>
        <v>2.8557924190000001</v>
      </c>
      <c r="AA1679" s="510">
        <f>+AA1680+AA1681</f>
        <v>1.2986969926798162</v>
      </c>
      <c r="AB1679" s="473"/>
      <c r="AC1679" s="473"/>
      <c r="AD1679" s="473"/>
      <c r="AE1679" s="473"/>
    </row>
    <row r="1680" spans="1:31">
      <c r="A1680" s="1"/>
      <c r="B1680" s="1"/>
      <c r="C1680" s="1"/>
      <c r="D1680" s="502" t="str">
        <f>+FISCinyear!D1088</f>
        <v>SODEPARAL</v>
      </c>
      <c r="E1680" s="473"/>
      <c r="F1680" s="473"/>
      <c r="G1680" s="473"/>
      <c r="H1680" s="473"/>
      <c r="I1680" s="473"/>
      <c r="J1680" s="473"/>
      <c r="K1680" s="473"/>
      <c r="L1680" s="473"/>
      <c r="M1680" s="473"/>
      <c r="N1680" s="473"/>
      <c r="O1680" s="473"/>
      <c r="P1680" s="473"/>
      <c r="Q1680" s="473"/>
      <c r="R1680" s="473"/>
      <c r="S1680" s="473"/>
      <c r="T1680" s="473"/>
      <c r="U1680" s="473"/>
      <c r="V1680" s="473"/>
      <c r="W1680" s="473"/>
      <c r="X1680" s="506">
        <f>+FISCinyear!CJ1088</f>
        <v>1.7016389999999999E-2</v>
      </c>
      <c r="Y1680" s="506">
        <f>+FISCinyear!CV1088</f>
        <v>1.7016389999999999E-2</v>
      </c>
      <c r="Z1680" s="506">
        <f>+FISCinyear!DH1088</f>
        <v>1.7016389999999999E-2</v>
      </c>
      <c r="AA1680" s="506">
        <f>+FISCinyear!HX1088</f>
        <v>1.7016389999999999E-2</v>
      </c>
      <c r="AB1680" s="473"/>
      <c r="AC1680" s="473"/>
      <c r="AD1680" s="473"/>
      <c r="AE1680" s="473"/>
    </row>
    <row r="1681" spans="1:31">
      <c r="A1681" s="1"/>
      <c r="B1681" s="1"/>
      <c r="C1681" s="1"/>
      <c r="D1681" s="502" t="str">
        <f>+FISCinyear!D1089</f>
        <v>NATIONAL POST OFFICE</v>
      </c>
      <c r="E1681" s="473"/>
      <c r="F1681" s="473"/>
      <c r="G1681" s="473"/>
      <c r="H1681" s="473"/>
      <c r="I1681" s="473"/>
      <c r="J1681" s="473"/>
      <c r="K1681" s="473"/>
      <c r="L1681" s="473"/>
      <c r="M1681" s="473"/>
      <c r="N1681" s="473"/>
      <c r="O1681" s="473"/>
      <c r="P1681" s="473"/>
      <c r="Q1681" s="473"/>
      <c r="R1681" s="473"/>
      <c r="S1681" s="473"/>
      <c r="T1681" s="473"/>
      <c r="U1681" s="473"/>
      <c r="V1681" s="473"/>
      <c r="W1681" s="473"/>
      <c r="X1681" s="506">
        <f>+FISCinyear!CJ1089</f>
        <v>1.172771989600367</v>
      </c>
      <c r="Y1681" s="506">
        <f>+FISCinyear!CV1089</f>
        <v>2.8387760289999999</v>
      </c>
      <c r="Z1681" s="506">
        <f>+FISCinyear!DH1089</f>
        <v>2.8387760289999999</v>
      </c>
      <c r="AA1681" s="506">
        <f>+FISCinyear!HX1089</f>
        <v>1.2816806026798162</v>
      </c>
      <c r="AB1681" s="473"/>
      <c r="AC1681" s="473"/>
      <c r="AD1681" s="473"/>
      <c r="AE1681" s="473"/>
    </row>
    <row r="1682" spans="1:31">
      <c r="A1682" s="1"/>
      <c r="B1682" s="1"/>
      <c r="C1682" s="1"/>
      <c r="D1682" s="502"/>
      <c r="E1682" s="473"/>
      <c r="F1682" s="473"/>
      <c r="G1682" s="473"/>
      <c r="H1682" s="473"/>
      <c r="I1682" s="473"/>
      <c r="J1682" s="473"/>
      <c r="K1682" s="473"/>
      <c r="L1682" s="473"/>
      <c r="M1682" s="473"/>
      <c r="N1682" s="473"/>
      <c r="O1682" s="473"/>
      <c r="P1682" s="473"/>
      <c r="Q1682" s="473"/>
      <c r="R1682" s="473"/>
      <c r="S1682" s="473"/>
      <c r="T1682" s="473"/>
      <c r="U1682" s="473"/>
      <c r="V1682" s="473"/>
      <c r="W1682" s="473"/>
      <c r="X1682" s="506"/>
      <c r="Y1682" s="506"/>
      <c r="Z1682" s="473"/>
      <c r="AA1682" s="473"/>
      <c r="AB1682" s="473"/>
      <c r="AC1682" s="473"/>
      <c r="AD1682" s="473"/>
      <c r="AE1682" s="473"/>
    </row>
    <row r="1683" spans="1:31">
      <c r="A1683" s="1"/>
      <c r="B1683" s="1"/>
      <c r="C1683" s="1"/>
      <c r="D1683" s="489" t="str">
        <f>+FISCinyear!D1091</f>
        <v>debt to RSSB</v>
      </c>
      <c r="E1683" s="473"/>
      <c r="F1683" s="473"/>
      <c r="G1683" s="473"/>
      <c r="H1683" s="473"/>
      <c r="I1683" s="473"/>
      <c r="J1683" s="473"/>
      <c r="K1683" s="473"/>
      <c r="L1683" s="473"/>
      <c r="M1683" s="473"/>
      <c r="N1683" s="473"/>
      <c r="O1683" s="473"/>
      <c r="P1683" s="473"/>
      <c r="Q1683" s="473"/>
      <c r="R1683" s="473"/>
      <c r="S1683" s="473"/>
      <c r="T1683" s="473"/>
      <c r="U1683" s="473"/>
      <c r="V1683" s="473"/>
      <c r="W1683" s="473"/>
      <c r="X1683" s="509">
        <f>+X1684+X1685</f>
        <v>68.013805340000005</v>
      </c>
      <c r="Y1683" s="509">
        <f>+Y1684+Y1685</f>
        <v>51.450574210642365</v>
      </c>
      <c r="Z1683" s="509">
        <f>+Z1684+Z1685</f>
        <v>40.407519905401493</v>
      </c>
      <c r="AA1683" s="509">
        <f>+AA1684+AA1685</f>
        <v>38.309395838296489</v>
      </c>
      <c r="AB1683" s="473"/>
      <c r="AC1683" s="473"/>
      <c r="AD1683" s="473"/>
      <c r="AE1683" s="473"/>
    </row>
    <row r="1684" spans="1:31">
      <c r="A1684" s="1"/>
      <c r="B1684" s="1"/>
      <c r="C1684" s="1"/>
      <c r="D1684" s="502" t="str">
        <f>+FISCinyear!D1092</f>
        <v>Old consolidated debt</v>
      </c>
      <c r="E1684" s="473"/>
      <c r="F1684" s="473"/>
      <c r="G1684" s="473"/>
      <c r="H1684" s="473"/>
      <c r="I1684" s="473"/>
      <c r="J1684" s="473"/>
      <c r="K1684" s="473"/>
      <c r="L1684" s="473"/>
      <c r="M1684" s="473"/>
      <c r="N1684" s="473"/>
      <c r="O1684" s="473"/>
      <c r="P1684" s="473"/>
      <c r="Q1684" s="473"/>
      <c r="R1684" s="473"/>
      <c r="S1684" s="473"/>
      <c r="T1684" s="473"/>
      <c r="U1684" s="473"/>
      <c r="V1684" s="473"/>
      <c r="W1684" s="473"/>
      <c r="X1684" s="506">
        <f>+FISCinyear!CJ1092</f>
        <v>41.716166811999997</v>
      </c>
      <c r="Y1684" s="506">
        <f>+FISCinyear!CV1092</f>
        <v>34</v>
      </c>
      <c r="Z1684" s="506">
        <f>+FISCinyear!DH1092</f>
        <v>27</v>
      </c>
      <c r="AA1684" s="506">
        <f>+FISCinyear!HX1092</f>
        <v>25.944422052894996</v>
      </c>
      <c r="AB1684" s="473"/>
      <c r="AC1684" s="473"/>
      <c r="AD1684" s="473"/>
      <c r="AE1684" s="473"/>
    </row>
    <row r="1685" spans="1:31">
      <c r="A1685" s="1"/>
      <c r="B1685" s="1"/>
      <c r="C1685" s="1"/>
      <c r="D1685" s="502" t="str">
        <f>+FISCinyear!D1093</f>
        <v>New loan</v>
      </c>
      <c r="E1685" s="473"/>
      <c r="F1685" s="473"/>
      <c r="G1685" s="473"/>
      <c r="H1685" s="473"/>
      <c r="I1685" s="473"/>
      <c r="J1685" s="473"/>
      <c r="K1685" s="473"/>
      <c r="L1685" s="473"/>
      <c r="M1685" s="473"/>
      <c r="N1685" s="473"/>
      <c r="O1685" s="473"/>
      <c r="P1685" s="473"/>
      <c r="Q1685" s="473"/>
      <c r="R1685" s="473"/>
      <c r="S1685" s="473"/>
      <c r="T1685" s="473"/>
      <c r="U1685" s="473"/>
      <c r="V1685" s="473"/>
      <c r="W1685" s="473"/>
      <c r="X1685" s="506">
        <f>+FISCinyear!CJ1093</f>
        <v>26.297638528000007</v>
      </c>
      <c r="Y1685" s="506">
        <f>+FISCinyear!CV1093</f>
        <v>17.450574210642365</v>
      </c>
      <c r="Z1685" s="506">
        <f>+FISCinyear!DH1093</f>
        <v>13.407519905401491</v>
      </c>
      <c r="AA1685" s="506">
        <f>+FISCinyear!HX1093</f>
        <v>12.364973785401492</v>
      </c>
      <c r="AB1685" s="473"/>
      <c r="AC1685" s="473"/>
      <c r="AD1685" s="473"/>
      <c r="AE1685" s="473"/>
    </row>
    <row r="1686" spans="1:31">
      <c r="A1686" s="1"/>
      <c r="B1686" s="1"/>
      <c r="C1686" s="1"/>
      <c r="D1686" s="502"/>
      <c r="E1686" s="473"/>
      <c r="F1686" s="473"/>
      <c r="G1686" s="473"/>
      <c r="H1686" s="473"/>
      <c r="I1686" s="473"/>
      <c r="J1686" s="473"/>
      <c r="K1686" s="473"/>
      <c r="L1686" s="473"/>
      <c r="M1686" s="473"/>
      <c r="N1686" s="473"/>
      <c r="O1686" s="473"/>
      <c r="P1686" s="473"/>
      <c r="Q1686" s="473"/>
      <c r="R1686" s="473"/>
      <c r="S1686" s="473"/>
      <c r="T1686" s="473"/>
      <c r="U1686" s="473"/>
      <c r="V1686" s="473"/>
      <c r="W1686" s="473"/>
      <c r="X1686" s="506"/>
      <c r="Y1686" s="506"/>
      <c r="Z1686" s="473"/>
      <c r="AA1686" s="473"/>
      <c r="AB1686" s="473"/>
      <c r="AC1686" s="473"/>
      <c r="AD1686" s="473"/>
      <c r="AE1686" s="473"/>
    </row>
    <row r="1687" spans="1:31">
      <c r="A1687" s="1"/>
      <c r="B1687" s="1"/>
      <c r="C1687" s="1"/>
      <c r="D1687" s="489" t="str">
        <f>+FISCinyear!D1095</f>
        <v>Central government debt (excl. NBR mon.policy instruments)</v>
      </c>
      <c r="E1687" s="473"/>
      <c r="F1687" s="473"/>
      <c r="G1687" s="473"/>
      <c r="H1687" s="473"/>
      <c r="I1687" s="473"/>
      <c r="J1687" s="473"/>
      <c r="K1687" s="473"/>
      <c r="L1687" s="473"/>
      <c r="M1687" s="473"/>
      <c r="N1687" s="473"/>
      <c r="O1687" s="473"/>
      <c r="P1687" s="473"/>
      <c r="Q1687" s="473"/>
      <c r="R1687" s="473"/>
      <c r="S1687" s="473"/>
      <c r="T1687" s="473"/>
      <c r="U1687" s="473"/>
      <c r="V1687" s="473"/>
      <c r="W1687" s="473"/>
      <c r="X1687" s="509">
        <f>+X1660+X1665+X1675+X1683</f>
        <v>435.52379962060047</v>
      </c>
      <c r="Y1687" s="509">
        <f>+Y1660+Y1665+Y1675+Y1683</f>
        <v>377.75887253064235</v>
      </c>
      <c r="Z1687" s="509">
        <f>+Z1660+Z1665+Z1675+Z1683</f>
        <v>485.21603776140148</v>
      </c>
      <c r="AA1687" s="509">
        <f>+AA1660+AA1665+AA1675+AA1683</f>
        <v>545.97431826797629</v>
      </c>
      <c r="AB1687" s="473"/>
      <c r="AC1687" s="473"/>
      <c r="AD1687" s="473"/>
      <c r="AE1687" s="473"/>
    </row>
    <row r="1688" spans="1:31">
      <c r="A1688" s="1"/>
      <c r="B1688" s="1"/>
      <c r="C1688" s="1"/>
      <c r="D1688" s="489"/>
      <c r="E1688" s="473"/>
      <c r="F1688" s="473"/>
      <c r="G1688" s="473"/>
      <c r="H1688" s="473"/>
      <c r="I1688" s="473"/>
      <c r="J1688" s="473"/>
      <c r="K1688" s="473"/>
      <c r="L1688" s="473"/>
      <c r="M1688" s="473"/>
      <c r="N1688" s="473"/>
      <c r="O1688" s="473"/>
      <c r="P1688" s="473"/>
      <c r="Q1688" s="473"/>
      <c r="R1688" s="473"/>
      <c r="S1688" s="473"/>
      <c r="T1688" s="473"/>
      <c r="U1688" s="473"/>
      <c r="V1688" s="473"/>
      <c r="W1688" s="473"/>
      <c r="X1688" s="509"/>
      <c r="Y1688" s="509"/>
      <c r="Z1688" s="473"/>
      <c r="AA1688" s="473"/>
      <c r="AB1688" s="473"/>
      <c r="AC1688" s="473"/>
      <c r="AD1688" s="473"/>
      <c r="AE1688" s="473"/>
    </row>
    <row r="1689" spans="1:31">
      <c r="A1689" s="1"/>
      <c r="B1689" s="1"/>
      <c r="C1689" s="1"/>
      <c r="D1689" s="502" t="s">
        <v>722</v>
      </c>
      <c r="E1689" s="473"/>
      <c r="F1689" s="473"/>
      <c r="G1689" s="473"/>
      <c r="H1689" s="473"/>
      <c r="I1689" s="473"/>
      <c r="J1689" s="473"/>
      <c r="K1689" s="473"/>
      <c r="L1689" s="473"/>
      <c r="M1689" s="473"/>
      <c r="N1689" s="473"/>
      <c r="O1689" s="473"/>
      <c r="P1689" s="473"/>
      <c r="Q1689" s="473"/>
      <c r="R1689" s="473"/>
      <c r="S1689" s="473"/>
      <c r="T1689" s="473"/>
      <c r="U1689" s="473"/>
      <c r="V1689" s="473"/>
      <c r="W1689" s="473"/>
      <c r="X1689" s="509">
        <f>+X192</f>
        <v>0</v>
      </c>
      <c r="Y1689" s="509">
        <f>+Y192</f>
        <v>21.78</v>
      </c>
      <c r="Z1689" s="509">
        <f>+Z192</f>
        <v>21.869908928919699</v>
      </c>
      <c r="AA1689" s="509">
        <f>+AA192</f>
        <v>25851.85400997</v>
      </c>
      <c r="AB1689" s="509"/>
      <c r="AC1689" s="509"/>
      <c r="AD1689" s="509"/>
      <c r="AE1689" s="509"/>
    </row>
    <row r="1690" spans="1:31">
      <c r="A1690" s="1"/>
      <c r="B1690" s="1"/>
      <c r="C1690" s="1"/>
      <c r="D1690" s="502"/>
      <c r="E1690" s="473"/>
      <c r="F1690" s="473"/>
      <c r="G1690" s="473"/>
      <c r="H1690" s="473"/>
      <c r="I1690" s="473"/>
      <c r="J1690" s="473"/>
      <c r="K1690" s="473"/>
      <c r="L1690" s="473"/>
      <c r="M1690" s="473"/>
      <c r="N1690" s="473"/>
      <c r="O1690" s="473"/>
      <c r="P1690" s="473"/>
      <c r="Q1690" s="473"/>
      <c r="R1690" s="473"/>
      <c r="S1690" s="473"/>
      <c r="T1690" s="473"/>
      <c r="U1690" s="473"/>
      <c r="V1690" s="473"/>
      <c r="W1690" s="473"/>
      <c r="X1690" s="509"/>
      <c r="Y1690" s="509"/>
      <c r="Z1690" s="473"/>
      <c r="AA1690" s="473"/>
      <c r="AB1690" s="473"/>
      <c r="AC1690" s="473"/>
      <c r="AD1690" s="473"/>
      <c r="AE1690" s="473"/>
    </row>
    <row r="1691" spans="1:31">
      <c r="A1691" s="1"/>
      <c r="B1691" s="1"/>
      <c r="C1691" s="1"/>
      <c r="D1691" s="489" t="s">
        <v>721</v>
      </c>
      <c r="E1691" s="473"/>
      <c r="F1691" s="473"/>
      <c r="G1691" s="473"/>
      <c r="H1691" s="473"/>
      <c r="I1691" s="473"/>
      <c r="J1691" s="473"/>
      <c r="K1691" s="473"/>
      <c r="L1691" s="473"/>
      <c r="M1691" s="473"/>
      <c r="N1691" s="473"/>
      <c r="O1691" s="473"/>
      <c r="P1691" s="473"/>
      <c r="Q1691" s="473"/>
      <c r="R1691" s="473"/>
      <c r="S1691" s="473"/>
      <c r="T1691" s="473"/>
      <c r="U1691" s="473"/>
      <c r="V1691" s="473"/>
      <c r="W1691" s="473"/>
      <c r="X1691" s="509"/>
      <c r="Y1691" s="509"/>
      <c r="Z1691" s="473"/>
      <c r="AA1691" s="473"/>
      <c r="AB1691" s="473"/>
      <c r="AC1691" s="473"/>
      <c r="AD1691" s="473"/>
      <c r="AE1691" s="473"/>
    </row>
    <row r="1692" spans="1:31">
      <c r="A1692" s="1"/>
      <c r="B1692" s="1"/>
      <c r="C1692" s="1"/>
      <c r="D1692" s="502"/>
      <c r="E1692" s="473"/>
      <c r="F1692" s="473"/>
      <c r="G1692" s="473"/>
      <c r="H1692" s="473"/>
      <c r="I1692" s="473"/>
      <c r="J1692" s="473"/>
      <c r="K1692" s="473"/>
      <c r="L1692" s="473"/>
      <c r="M1692" s="473"/>
      <c r="N1692" s="473"/>
      <c r="O1692" s="473"/>
      <c r="P1692" s="473"/>
      <c r="Q1692" s="473"/>
      <c r="R1692" s="473"/>
      <c r="S1692" s="473"/>
      <c r="T1692" s="473"/>
      <c r="U1692" s="473"/>
      <c r="V1692" s="473"/>
      <c r="W1692" s="473"/>
      <c r="X1692" s="509"/>
      <c r="Y1692" s="509"/>
      <c r="Z1692" s="473"/>
      <c r="AA1692" s="473"/>
      <c r="AB1692" s="473"/>
      <c r="AC1692" s="473"/>
      <c r="AD1692" s="473"/>
      <c r="AE1692" s="473"/>
    </row>
    <row r="1693" spans="1:31">
      <c r="A1693" s="1"/>
      <c r="B1693" s="1"/>
      <c r="C1693" s="1"/>
      <c r="D1693" s="489" t="s">
        <v>690</v>
      </c>
      <c r="E1693" s="473"/>
      <c r="F1693" s="473"/>
      <c r="G1693" s="473"/>
      <c r="H1693" s="473"/>
      <c r="I1693" s="473"/>
      <c r="J1693" s="473"/>
      <c r="K1693" s="473"/>
      <c r="L1693" s="473"/>
      <c r="M1693" s="473"/>
      <c r="N1693" s="473"/>
      <c r="O1693" s="473"/>
      <c r="P1693" s="473"/>
      <c r="Q1693" s="473"/>
      <c r="R1693" s="473"/>
      <c r="S1693" s="473"/>
      <c r="T1693" s="473"/>
      <c r="U1693" s="473"/>
      <c r="V1693" s="473"/>
      <c r="W1693" s="473"/>
      <c r="X1693" s="509">
        <f>+X1687+X1689+X1691</f>
        <v>435.52379962060047</v>
      </c>
      <c r="Y1693" s="509">
        <f>+Y1687+Y1689+Y1691</f>
        <v>399.53887253064238</v>
      </c>
      <c r="Z1693" s="509">
        <f>+Z1687+Z1689+Z1691</f>
        <v>507.08594669032118</v>
      </c>
      <c r="AA1693" s="473"/>
      <c r="AB1693" s="473"/>
      <c r="AC1693" s="473"/>
      <c r="AD1693" s="473"/>
      <c r="AE1693" s="473"/>
    </row>
    <row r="1694" spans="1:31">
      <c r="A1694" s="1"/>
      <c r="B1694" s="1"/>
      <c r="C1694" s="1"/>
      <c r="D1694" s="489"/>
      <c r="E1694" s="473"/>
      <c r="F1694" s="473"/>
      <c r="G1694" s="473"/>
      <c r="H1694" s="473"/>
      <c r="I1694" s="473"/>
      <c r="J1694" s="473"/>
      <c r="K1694" s="473"/>
      <c r="L1694" s="473"/>
      <c r="M1694" s="473"/>
      <c r="N1694" s="473"/>
      <c r="O1694" s="473"/>
      <c r="P1694" s="473"/>
      <c r="Q1694" s="473"/>
      <c r="R1694" s="473"/>
      <c r="S1694" s="473"/>
      <c r="T1694" s="473"/>
      <c r="U1694" s="473"/>
      <c r="V1694" s="473"/>
      <c r="W1694" s="473"/>
      <c r="X1694" s="509"/>
      <c r="Y1694" s="509"/>
      <c r="Z1694" s="473"/>
      <c r="AA1694" s="473"/>
      <c r="AB1694" s="473"/>
      <c r="AC1694" s="473"/>
      <c r="AD1694" s="473"/>
      <c r="AE1694" s="473"/>
    </row>
    <row r="1695" spans="1:31">
      <c r="A1695" s="1"/>
      <c r="B1695" s="1"/>
      <c r="C1695" s="1"/>
      <c r="D1695" s="495" t="s">
        <v>695</v>
      </c>
      <c r="E1695" s="473"/>
      <c r="F1695" s="473"/>
      <c r="G1695" s="473"/>
      <c r="H1695" s="473"/>
      <c r="I1695" s="473"/>
      <c r="J1695" s="473"/>
      <c r="K1695" s="473"/>
      <c r="L1695" s="473"/>
      <c r="M1695" s="473"/>
      <c r="N1695" s="473"/>
      <c r="O1695" s="473"/>
      <c r="P1695" s="473"/>
      <c r="Q1695" s="473"/>
      <c r="R1695" s="473"/>
      <c r="S1695" s="473"/>
      <c r="T1695" s="473"/>
      <c r="U1695" s="473"/>
      <c r="V1695" s="473"/>
      <c r="W1695" s="473"/>
      <c r="X1695" s="509"/>
      <c r="Y1695" s="509"/>
      <c r="Z1695" s="647">
        <f t="shared" ref="Z1695:AE1695" si="2000">+Z1696+Z1699+Z1700</f>
        <v>153.32700973348429</v>
      </c>
      <c r="AA1695" s="647">
        <f t="shared" si="2000"/>
        <v>160.72810796776395</v>
      </c>
      <c r="AB1695" s="647">
        <f t="shared" si="2000"/>
        <v>160.98277493627484</v>
      </c>
      <c r="AC1695" s="647">
        <f t="shared" si="2000"/>
        <v>242.93043612660128</v>
      </c>
      <c r="AD1695" s="647">
        <f t="shared" si="2000"/>
        <v>329.29187427562221</v>
      </c>
      <c r="AE1695" s="647">
        <f t="shared" si="2000"/>
        <v>981.898409107205</v>
      </c>
    </row>
    <row r="1696" spans="1:31">
      <c r="A1696" s="1"/>
      <c r="B1696" s="1"/>
      <c r="C1696" s="1"/>
      <c r="D1696" s="502" t="str">
        <f>+D1587</f>
        <v>Bank financing, Calendar Year, bln RWF</v>
      </c>
      <c r="E1696" s="473"/>
      <c r="F1696" s="473"/>
      <c r="G1696" s="473"/>
      <c r="H1696" s="473"/>
      <c r="I1696" s="473"/>
      <c r="J1696" s="473"/>
      <c r="K1696" s="473"/>
      <c r="L1696" s="473"/>
      <c r="M1696" s="473"/>
      <c r="N1696" s="473"/>
      <c r="O1696" s="473"/>
      <c r="P1696" s="473"/>
      <c r="Q1696" s="473"/>
      <c r="R1696" s="473"/>
      <c r="S1696" s="473"/>
      <c r="T1696" s="473"/>
      <c r="U1696" s="473"/>
      <c r="V1696" s="473"/>
      <c r="W1696" s="473"/>
      <c r="X1696" s="509"/>
      <c r="Y1696" s="509"/>
      <c r="Z1696" s="648">
        <f t="shared" ref="Z1696:AE1696" si="2001">+Z1587</f>
        <v>13.523909733484302</v>
      </c>
      <c r="AA1696" s="648">
        <f t="shared" si="2001"/>
        <v>4.8870216801895765</v>
      </c>
      <c r="AB1696" s="648">
        <f t="shared" si="2001"/>
        <v>50.497794455004794</v>
      </c>
      <c r="AC1696" s="648">
        <f t="shared" si="2001"/>
        <v>73.255690738601572</v>
      </c>
      <c r="AD1696" s="648">
        <f t="shared" si="2001"/>
        <v>70.452174275622326</v>
      </c>
      <c r="AE1696" s="648">
        <f t="shared" si="2001"/>
        <v>419.61410910720497</v>
      </c>
    </row>
    <row r="1697" spans="1:35">
      <c r="A1697" s="1"/>
      <c r="B1697" s="1"/>
      <c r="C1697" s="1"/>
      <c r="D1697" s="502" t="str">
        <f>+D1591</f>
        <v xml:space="preserve"> Use (+)  govt deposits at NBR (treasury, line ministries) CY, bln RWF</v>
      </c>
      <c r="E1697" s="489"/>
      <c r="F1697" s="489"/>
      <c r="G1697" s="489"/>
      <c r="H1697" s="489"/>
      <c r="I1697" s="489"/>
      <c r="J1697" s="489"/>
      <c r="K1697" s="489"/>
      <c r="L1697" s="489"/>
      <c r="M1697" s="489"/>
      <c r="N1697" s="489"/>
      <c r="O1697" s="489"/>
      <c r="P1697" s="489"/>
      <c r="Q1697" s="489"/>
      <c r="R1697" s="489"/>
      <c r="S1697" s="489"/>
      <c r="T1697" s="489"/>
      <c r="U1697" s="489"/>
      <c r="V1697" s="489"/>
      <c r="W1697" s="489"/>
      <c r="X1697" s="489"/>
      <c r="Y1697" s="489"/>
      <c r="Z1697" s="488">
        <f t="shared" ref="Z1697:AE1697" si="2002">+Z1591</f>
        <v>-60.654050000000012</v>
      </c>
      <c r="AA1697" s="488">
        <f t="shared" si="2002"/>
        <v>13.445166714427586</v>
      </c>
      <c r="AB1697" s="488">
        <f t="shared" si="2002"/>
        <v>-108.27439894684417</v>
      </c>
      <c r="AC1697" s="488">
        <f t="shared" si="2002"/>
        <v>-164.5748534536128</v>
      </c>
      <c r="AD1697" s="488" t="e">
        <f t="shared" si="2002"/>
        <v>#REF!</v>
      </c>
      <c r="AE1697" s="488" t="e">
        <f t="shared" si="2002"/>
        <v>#REF!</v>
      </c>
    </row>
    <row r="1698" spans="1:35">
      <c r="A1698" s="1"/>
      <c r="B1698" s="1"/>
      <c r="C1698" s="1"/>
      <c r="D1698" s="502" t="str">
        <f>+D1595</f>
        <v>Net issuance T bills/bonds to banks CY, bln RWF (if no change other credit govt)</v>
      </c>
      <c r="E1698" s="489"/>
      <c r="F1698" s="489"/>
      <c r="G1698" s="489"/>
      <c r="H1698" s="489"/>
      <c r="I1698" s="489"/>
      <c r="J1698" s="489"/>
      <c r="K1698" s="489"/>
      <c r="L1698" s="489"/>
      <c r="M1698" s="489"/>
      <c r="N1698" s="489"/>
      <c r="O1698" s="489"/>
      <c r="P1698" s="489"/>
      <c r="Q1698" s="489"/>
      <c r="R1698" s="489"/>
      <c r="S1698" s="489"/>
      <c r="T1698" s="489"/>
      <c r="U1698" s="489"/>
      <c r="V1698" s="489"/>
      <c r="W1698" s="489"/>
      <c r="X1698" s="489"/>
      <c r="Y1698" s="489"/>
      <c r="Z1698" s="488">
        <f t="shared" ref="Z1698:AE1698" si="2003">+Z1595</f>
        <v>74.177959733484315</v>
      </c>
      <c r="AA1698" s="488">
        <f t="shared" si="2003"/>
        <v>-8.5581450342380094</v>
      </c>
      <c r="AB1698" s="488">
        <f t="shared" si="2003"/>
        <v>158.77219340184897</v>
      </c>
      <c r="AC1698" s="488">
        <f t="shared" si="2003"/>
        <v>237.83054419221438</v>
      </c>
      <c r="AD1698" s="488" t="e">
        <f t="shared" si="2003"/>
        <v>#REF!</v>
      </c>
      <c r="AE1698" s="488" t="e">
        <f t="shared" si="2003"/>
        <v>#REF!</v>
      </c>
    </row>
    <row r="1699" spans="1:35">
      <c r="A1699" s="1"/>
      <c r="B1699" s="1"/>
      <c r="C1699" s="1"/>
      <c r="D1699" s="502" t="str">
        <f>+D1579</f>
        <v xml:space="preserve">Nonbank financing debt repayment Calendar Year (bln RWF)  </v>
      </c>
      <c r="E1699" s="489"/>
      <c r="F1699" s="489"/>
      <c r="G1699" s="489"/>
      <c r="H1699" s="489"/>
      <c r="I1699" s="489"/>
      <c r="J1699" s="489"/>
      <c r="K1699" s="489"/>
      <c r="L1699" s="489"/>
      <c r="M1699" s="489"/>
      <c r="N1699" s="489"/>
      <c r="O1699" s="489"/>
      <c r="P1699" s="489"/>
      <c r="Q1699" s="489"/>
      <c r="R1699" s="489"/>
      <c r="S1699" s="489"/>
      <c r="T1699" s="489"/>
      <c r="U1699" s="489"/>
      <c r="V1699" s="489"/>
      <c r="W1699" s="489"/>
      <c r="X1699" s="489"/>
      <c r="Y1699" s="489"/>
      <c r="Z1699" s="488">
        <f t="shared" ref="Z1699:AE1699" si="2004">+Z1579</f>
        <v>29.683299999999996</v>
      </c>
      <c r="AA1699" s="488">
        <f t="shared" si="2004"/>
        <v>86.998343921577913</v>
      </c>
      <c r="AB1699" s="488">
        <f t="shared" si="2004"/>
        <v>1.5391121568442756</v>
      </c>
      <c r="AC1699" s="488">
        <f t="shared" si="2004"/>
        <v>99.590099999999865</v>
      </c>
      <c r="AD1699" s="488">
        <f t="shared" si="2004"/>
        <v>56.959999999999951</v>
      </c>
      <c r="AE1699" s="488">
        <f t="shared" si="2004"/>
        <v>182.46279999999996</v>
      </c>
    </row>
    <row r="1700" spans="1:35">
      <c r="A1700" s="1"/>
      <c r="B1700" s="1"/>
      <c r="C1700" s="1"/>
      <c r="D1700" s="502" t="str">
        <f>+D1583</f>
        <v>Bank financing Budget Fiscal Year (curr + prev CY) bln RWF</v>
      </c>
      <c r="E1700" s="489"/>
      <c r="F1700" s="489"/>
      <c r="G1700" s="489"/>
      <c r="H1700" s="489"/>
      <c r="I1700" s="489"/>
      <c r="J1700" s="489"/>
      <c r="K1700" s="489"/>
      <c r="L1700" s="489"/>
      <c r="M1700" s="489"/>
      <c r="N1700" s="489"/>
      <c r="O1700" s="489"/>
      <c r="P1700" s="489"/>
      <c r="Q1700" s="489"/>
      <c r="R1700" s="489"/>
      <c r="S1700" s="489"/>
      <c r="T1700" s="489"/>
      <c r="U1700" s="489"/>
      <c r="V1700" s="489"/>
      <c r="W1700" s="489"/>
      <c r="X1700" s="489"/>
      <c r="Y1700" s="489"/>
      <c r="Z1700" s="488">
        <f t="shared" ref="Z1700:AE1700" si="2005">+Z1583</f>
        <v>110.1198</v>
      </c>
      <c r="AA1700" s="488">
        <f t="shared" si="2005"/>
        <v>68.842742365996457</v>
      </c>
      <c r="AB1700" s="488">
        <f t="shared" si="2005"/>
        <v>108.94586832442576</v>
      </c>
      <c r="AC1700" s="488">
        <f t="shared" si="2005"/>
        <v>70.084645387999842</v>
      </c>
      <c r="AD1700" s="488">
        <f t="shared" si="2005"/>
        <v>201.87969999999993</v>
      </c>
      <c r="AE1700" s="488">
        <f t="shared" si="2005"/>
        <v>379.82150000000001</v>
      </c>
    </row>
    <row r="1701" spans="1:35">
      <c r="A1701" s="1"/>
      <c r="B1701" s="1"/>
      <c r="C1701" s="1"/>
      <c r="D1701" s="646" t="s">
        <v>101</v>
      </c>
      <c r="E1701" s="489"/>
      <c r="F1701" s="489"/>
      <c r="G1701" s="489"/>
      <c r="H1701" s="489"/>
      <c r="I1701" s="489"/>
      <c r="J1701" s="489"/>
      <c r="K1701" s="489"/>
      <c r="L1701" s="489"/>
      <c r="M1701" s="489"/>
      <c r="N1701" s="489"/>
      <c r="O1701" s="489"/>
      <c r="P1701" s="489"/>
      <c r="Q1701" s="489"/>
      <c r="R1701" s="489"/>
      <c r="S1701" s="489"/>
      <c r="T1701" s="489"/>
      <c r="U1701" s="489"/>
      <c r="V1701" s="489"/>
      <c r="W1701" s="489"/>
      <c r="X1701" s="489"/>
      <c r="Y1701" s="489"/>
      <c r="Z1701" s="489" t="str">
        <f t="shared" ref="Z1701:AE1701" si="2006">+IF(ABS(Z1696-Z1697-Z1698)&gt;0.001,"check","")</f>
        <v/>
      </c>
      <c r="AA1701" s="489" t="str">
        <f t="shared" si="2006"/>
        <v/>
      </c>
      <c r="AB1701" s="489" t="str">
        <f t="shared" si="2006"/>
        <v/>
      </c>
      <c r="AC1701" s="489" t="str">
        <f t="shared" si="2006"/>
        <v/>
      </c>
      <c r="AD1701" s="489" t="e">
        <f t="shared" si="2006"/>
        <v>#REF!</v>
      </c>
      <c r="AE1701" s="489" t="e">
        <f t="shared" si="2006"/>
        <v>#REF!</v>
      </c>
    </row>
    <row r="1702" spans="1:35">
      <c r="A1702" s="1"/>
      <c r="B1702" s="1"/>
      <c r="C1702" s="1"/>
      <c r="D1702" s="489" t="s">
        <v>807</v>
      </c>
      <c r="E1702" s="489"/>
      <c r="F1702" s="489"/>
      <c r="G1702" s="489"/>
      <c r="H1702" s="489"/>
      <c r="I1702" s="489"/>
      <c r="J1702" s="489"/>
      <c r="K1702" s="489"/>
      <c r="L1702" s="489"/>
      <c r="M1702" s="489"/>
      <c r="N1702" s="489"/>
      <c r="O1702" s="489"/>
      <c r="P1702" s="489"/>
      <c r="Q1702" s="489"/>
      <c r="R1702" s="489"/>
      <c r="S1702" s="489"/>
      <c r="T1702" s="489"/>
      <c r="U1702" s="489"/>
      <c r="V1702" s="489"/>
      <c r="W1702" s="489"/>
      <c r="X1702" s="489"/>
      <c r="Y1702" s="489"/>
      <c r="Z1702" s="489">
        <f t="shared" ref="Z1702:AE1702" si="2007">+Z1698+Z1700</f>
        <v>184.29775973348433</v>
      </c>
      <c r="AA1702" s="489">
        <f t="shared" si="2007"/>
        <v>60.284597331758448</v>
      </c>
      <c r="AB1702" s="489">
        <f t="shared" si="2007"/>
        <v>267.71806172627475</v>
      </c>
      <c r="AC1702" s="489">
        <f t="shared" si="2007"/>
        <v>307.91518958021425</v>
      </c>
      <c r="AD1702" s="489" t="e">
        <f t="shared" si="2007"/>
        <v>#REF!</v>
      </c>
      <c r="AE1702" s="489" t="e">
        <f t="shared" si="2007"/>
        <v>#REF!</v>
      </c>
    </row>
    <row r="1703" spans="1:35">
      <c r="A1703" s="1"/>
      <c r="B1703" s="1"/>
      <c r="C1703" s="1"/>
      <c r="AC1703"/>
      <c r="AD1703"/>
      <c r="AE1703"/>
      <c r="AF1703"/>
      <c r="AH1703"/>
      <c r="AI1703"/>
    </row>
    <row r="1704" spans="1:35">
      <c r="A1704" s="1"/>
      <c r="B1704" s="1"/>
      <c r="C1704" s="1"/>
      <c r="D1704" s="92" t="s">
        <v>782</v>
      </c>
      <c r="X1704" s="603"/>
      <c r="Y1704" s="603"/>
      <c r="Z1704" s="603">
        <f t="shared" ref="Z1704:AF1704" si="2008">+Z1705</f>
        <v>2015</v>
      </c>
      <c r="AA1704" s="603">
        <f t="shared" si="2008"/>
        <v>2016</v>
      </c>
      <c r="AB1704" s="603">
        <f t="shared" si="2008"/>
        <v>2017</v>
      </c>
      <c r="AC1704" s="603">
        <f t="shared" si="2008"/>
        <v>2018</v>
      </c>
      <c r="AD1704" s="603">
        <f t="shared" si="2008"/>
        <v>2019</v>
      </c>
      <c r="AE1704" s="603">
        <f t="shared" si="2008"/>
        <v>2020</v>
      </c>
      <c r="AF1704">
        <f t="shared" si="2008"/>
        <v>2021</v>
      </c>
      <c r="AH1704"/>
      <c r="AI1704"/>
    </row>
    <row r="1705" spans="1:35">
      <c r="D1705" s="604"/>
      <c r="E1705" s="489"/>
      <c r="F1705" s="489"/>
      <c r="G1705" s="489"/>
      <c r="H1705" s="489"/>
      <c r="I1705" s="489"/>
      <c r="J1705" s="489"/>
      <c r="K1705" s="489"/>
      <c r="L1705" s="489"/>
      <c r="M1705" s="489"/>
      <c r="N1705" s="489"/>
      <c r="O1705" s="489"/>
      <c r="P1705" s="489"/>
      <c r="Q1705" s="489"/>
      <c r="R1705" s="489"/>
      <c r="S1705" s="489"/>
      <c r="T1705" s="489"/>
      <c r="U1705" s="489"/>
      <c r="V1705" s="489"/>
      <c r="W1705" s="489"/>
      <c r="X1705" s="490"/>
      <c r="Y1705" s="490"/>
      <c r="Z1705" s="490">
        <v>2015</v>
      </c>
      <c r="AA1705" s="490">
        <f t="shared" ref="AA1705:AF1705" si="2009">+Z1705+1</f>
        <v>2016</v>
      </c>
      <c r="AB1705" s="490">
        <f t="shared" si="2009"/>
        <v>2017</v>
      </c>
      <c r="AC1705" s="490">
        <f t="shared" si="2009"/>
        <v>2018</v>
      </c>
      <c r="AD1705" s="490">
        <f t="shared" si="2009"/>
        <v>2019</v>
      </c>
      <c r="AE1705" s="490">
        <f t="shared" si="2009"/>
        <v>2020</v>
      </c>
      <c r="AF1705">
        <f t="shared" si="2009"/>
        <v>2021</v>
      </c>
      <c r="AH1705"/>
      <c r="AI1705"/>
    </row>
    <row r="1706" spans="1:35">
      <c r="D1706" s="950" t="s">
        <v>663</v>
      </c>
      <c r="E1706" s="489"/>
      <c r="F1706" s="489"/>
      <c r="G1706" s="489"/>
      <c r="H1706" s="489"/>
      <c r="I1706" s="489"/>
      <c r="J1706" s="489"/>
      <c r="K1706" s="489"/>
      <c r="L1706" s="489"/>
      <c r="M1706" s="489"/>
      <c r="N1706" s="489"/>
      <c r="O1706" s="489"/>
      <c r="P1706" s="489"/>
      <c r="Q1706" s="489"/>
      <c r="R1706" s="489"/>
      <c r="S1706" s="489"/>
      <c r="T1706" s="489"/>
      <c r="U1706" s="489"/>
      <c r="V1706" s="489"/>
      <c r="W1706" s="489"/>
      <c r="X1706" s="489"/>
      <c r="Y1706" s="490"/>
      <c r="Z1706" s="490"/>
      <c r="AA1706" s="719" t="str">
        <f>+AA1659</f>
        <v>June</v>
      </c>
      <c r="AB1706" s="489"/>
      <c r="AC1706" s="489"/>
      <c r="AD1706" s="489"/>
      <c r="AE1706" s="489"/>
      <c r="AF1706"/>
      <c r="AH1706"/>
      <c r="AI1706"/>
    </row>
    <row r="1707" spans="1:35">
      <c r="D1707" s="502" t="str">
        <f>+D1660</f>
        <v>Central Bank NBR</v>
      </c>
      <c r="E1707" s="489"/>
      <c r="F1707" s="489"/>
      <c r="G1707" s="489"/>
      <c r="H1707" s="489"/>
      <c r="I1707" s="489"/>
      <c r="J1707" s="489"/>
      <c r="K1707" s="489"/>
      <c r="L1707" s="489"/>
      <c r="M1707" s="489"/>
      <c r="N1707" s="489"/>
      <c r="O1707" s="489"/>
      <c r="P1707" s="489"/>
      <c r="Q1707" s="489"/>
      <c r="R1707" s="489"/>
      <c r="S1707" s="489"/>
      <c r="T1707" s="489"/>
      <c r="U1707" s="489"/>
      <c r="V1707" s="489"/>
      <c r="W1707" s="489"/>
      <c r="X1707" s="502"/>
      <c r="Y1707" s="502"/>
      <c r="Z1707" s="502"/>
      <c r="AA1707" s="502">
        <f>+AA1660</f>
        <v>113.08680590099999</v>
      </c>
      <c r="AB1707" s="489"/>
      <c r="AC1707" s="489"/>
      <c r="AD1707" s="489"/>
      <c r="AE1707" s="489"/>
      <c r="AF1707"/>
      <c r="AH1707"/>
      <c r="AI1707"/>
    </row>
    <row r="1708" spans="1:35">
      <c r="D1708" s="502" t="str">
        <f>+D1665</f>
        <v>Commercial banks</v>
      </c>
      <c r="E1708" s="489"/>
      <c r="F1708" s="489"/>
      <c r="G1708" s="489"/>
      <c r="H1708" s="489"/>
      <c r="I1708" s="489"/>
      <c r="J1708" s="489"/>
      <c r="K1708" s="489"/>
      <c r="L1708" s="489"/>
      <c r="M1708" s="489"/>
      <c r="N1708" s="489"/>
      <c r="O1708" s="489"/>
      <c r="P1708" s="489"/>
      <c r="Q1708" s="489"/>
      <c r="R1708" s="489"/>
      <c r="S1708" s="489"/>
      <c r="T1708" s="489"/>
      <c r="U1708" s="489"/>
      <c r="V1708" s="489"/>
      <c r="W1708" s="489"/>
      <c r="X1708" s="502"/>
      <c r="Y1708" s="502"/>
      <c r="Z1708" s="502"/>
      <c r="AA1708" s="502">
        <f>+AA1665</f>
        <v>270.09231953599999</v>
      </c>
      <c r="AB1708" s="489"/>
      <c r="AC1708" s="489"/>
      <c r="AD1708" s="489"/>
      <c r="AE1708" s="489"/>
    </row>
    <row r="1709" spans="1:35">
      <c r="D1709" s="502" t="str">
        <f>+D1675</f>
        <v xml:space="preserve">Non banks </v>
      </c>
      <c r="E1709" s="489"/>
      <c r="F1709" s="489"/>
      <c r="G1709" s="489"/>
      <c r="H1709" s="489"/>
      <c r="I1709" s="489"/>
      <c r="J1709" s="489"/>
      <c r="K1709" s="489"/>
      <c r="L1709" s="489"/>
      <c r="M1709" s="489"/>
      <c r="N1709" s="489"/>
      <c r="O1709" s="489"/>
      <c r="P1709" s="489"/>
      <c r="Q1709" s="489"/>
      <c r="R1709" s="489"/>
      <c r="S1709" s="489"/>
      <c r="T1709" s="489"/>
      <c r="U1709" s="489"/>
      <c r="V1709" s="489"/>
      <c r="W1709" s="489"/>
      <c r="X1709" s="502"/>
      <c r="Y1709" s="502"/>
      <c r="Z1709" s="502"/>
      <c r="AA1709" s="502">
        <f>+AA1675</f>
        <v>124.48579699267981</v>
      </c>
      <c r="AB1709" s="489"/>
      <c r="AC1709" s="489"/>
      <c r="AD1709" s="489"/>
      <c r="AE1709" s="489"/>
    </row>
    <row r="1710" spans="1:35">
      <c r="D1710" s="502" t="str">
        <f>+D1683</f>
        <v>debt to RSSB</v>
      </c>
      <c r="E1710" s="489"/>
      <c r="F1710" s="489"/>
      <c r="G1710" s="489"/>
      <c r="H1710" s="489"/>
      <c r="I1710" s="489"/>
      <c r="J1710" s="489"/>
      <c r="K1710" s="489"/>
      <c r="L1710" s="489"/>
      <c r="M1710" s="489"/>
      <c r="N1710" s="489"/>
      <c r="O1710" s="489"/>
      <c r="P1710" s="489"/>
      <c r="Q1710" s="489"/>
      <c r="R1710" s="489"/>
      <c r="S1710" s="489"/>
      <c r="T1710" s="489"/>
      <c r="U1710" s="489"/>
      <c r="V1710" s="489"/>
      <c r="W1710" s="489"/>
      <c r="X1710" s="502"/>
      <c r="Y1710" s="502"/>
      <c r="Z1710" s="502"/>
      <c r="AA1710" s="502">
        <f>+AA1683</f>
        <v>38.309395838296489</v>
      </c>
      <c r="AB1710" s="489"/>
      <c r="AC1710" s="489"/>
      <c r="AD1710" s="489"/>
      <c r="AE1710" s="489"/>
    </row>
    <row r="1711" spans="1:35">
      <c r="D1711" s="502" t="str">
        <f>+D1691</f>
        <v>Other public sector debt</v>
      </c>
      <c r="E1711" s="489"/>
      <c r="F1711" s="489"/>
      <c r="G1711" s="489"/>
      <c r="H1711" s="489"/>
      <c r="I1711" s="489"/>
      <c r="J1711" s="489"/>
      <c r="K1711" s="489"/>
      <c r="L1711" s="489"/>
      <c r="M1711" s="489"/>
      <c r="N1711" s="489"/>
      <c r="O1711" s="489"/>
      <c r="P1711" s="489"/>
      <c r="Q1711" s="489"/>
      <c r="R1711" s="489"/>
      <c r="S1711" s="489"/>
      <c r="T1711" s="489"/>
      <c r="U1711" s="489"/>
      <c r="V1711" s="489"/>
      <c r="W1711" s="489"/>
      <c r="X1711" s="502"/>
      <c r="Y1711" s="502"/>
      <c r="Z1711" s="502"/>
      <c r="AA1711" s="502">
        <f>+AA1691</f>
        <v>0</v>
      </c>
      <c r="AB1711" s="489"/>
      <c r="AC1711" s="489"/>
      <c r="AD1711" s="489"/>
      <c r="AE1711" s="489"/>
    </row>
    <row r="1712" spans="1:35">
      <c r="D1712" s="502" t="str">
        <f>+D1689</f>
        <v xml:space="preserve">Govenment guaranteed domestic debt </v>
      </c>
      <c r="E1712" s="489"/>
      <c r="F1712" s="489"/>
      <c r="G1712" s="489"/>
      <c r="H1712" s="489"/>
      <c r="I1712" s="489"/>
      <c r="J1712" s="489"/>
      <c r="K1712" s="489"/>
      <c r="L1712" s="489"/>
      <c r="M1712" s="489"/>
      <c r="N1712" s="489"/>
      <c r="O1712" s="489"/>
      <c r="P1712" s="489"/>
      <c r="Q1712" s="489"/>
      <c r="R1712" s="489"/>
      <c r="S1712" s="489"/>
      <c r="T1712" s="489"/>
      <c r="U1712" s="489"/>
      <c r="V1712" s="489"/>
      <c r="W1712" s="489"/>
      <c r="X1712" s="502"/>
      <c r="Y1712" s="502"/>
      <c r="Z1712" s="502"/>
      <c r="AA1712" s="502">
        <f>+AA1689</f>
        <v>25851.85400997</v>
      </c>
      <c r="AB1712" s="489"/>
      <c r="AC1712" s="489"/>
      <c r="AD1712" s="489"/>
      <c r="AE1712" s="489"/>
    </row>
    <row r="1713" spans="1:46">
      <c r="D1713" s="489"/>
      <c r="E1713" s="489"/>
      <c r="F1713" s="489"/>
      <c r="G1713" s="489"/>
      <c r="H1713" s="489"/>
      <c r="I1713" s="489"/>
      <c r="J1713" s="489"/>
      <c r="K1713" s="489"/>
      <c r="L1713" s="489"/>
      <c r="M1713" s="489"/>
      <c r="N1713" s="489"/>
      <c r="O1713" s="489"/>
      <c r="P1713" s="489"/>
      <c r="Q1713" s="489"/>
      <c r="R1713" s="489"/>
      <c r="S1713" s="489"/>
      <c r="T1713" s="489"/>
      <c r="U1713" s="489"/>
      <c r="V1713" s="489"/>
      <c r="W1713" s="489"/>
      <c r="X1713" s="489"/>
      <c r="Y1713" s="489"/>
      <c r="Z1713" s="489"/>
      <c r="AA1713" s="489">
        <f>+AA1707+AA1708+AA1709+AA1710+AA1711+AA1712</f>
        <v>26397.828328237978</v>
      </c>
      <c r="AB1713" s="489"/>
      <c r="AC1713" s="489"/>
      <c r="AD1713" s="489"/>
      <c r="AE1713" s="489"/>
    </row>
    <row r="1714" spans="1:46">
      <c r="D1714" s="92" t="s">
        <v>783</v>
      </c>
    </row>
    <row r="1715" spans="1:46" ht="16" thickBot="1">
      <c r="A1715" s="617"/>
      <c r="B1715" s="618"/>
      <c r="C1715" s="618"/>
      <c r="D1715" s="619"/>
      <c r="E1715" s="620"/>
      <c r="F1715" s="620"/>
      <c r="G1715" s="620"/>
      <c r="H1715" s="620"/>
      <c r="I1715" s="620"/>
      <c r="J1715" s="620"/>
      <c r="K1715" s="620"/>
      <c r="L1715" s="620"/>
      <c r="M1715" s="620"/>
      <c r="N1715" s="620"/>
      <c r="O1715" s="620"/>
      <c r="P1715" s="620"/>
      <c r="Q1715" s="620"/>
      <c r="R1715" s="620"/>
      <c r="S1715" s="620"/>
      <c r="T1715" s="620"/>
      <c r="U1715" s="619"/>
      <c r="V1715" s="620"/>
      <c r="W1715" s="619"/>
      <c r="X1715" s="620"/>
      <c r="Y1715" s="619"/>
      <c r="Z1715" s="620"/>
      <c r="AA1715" s="619"/>
      <c r="AB1715" s="619"/>
      <c r="AC1715" s="619"/>
      <c r="AD1715" s="619"/>
      <c r="AE1715" s="619"/>
    </row>
    <row r="1716" spans="1:46" ht="16" thickTop="1"/>
    <row r="1717" spans="1:46">
      <c r="D1717" s="605" t="s">
        <v>938</v>
      </c>
      <c r="Z1717" s="156"/>
      <c r="AA1717" s="156" t="s">
        <v>829</v>
      </c>
      <c r="AB1717" s="156"/>
      <c r="AD1717" s="156"/>
      <c r="AE1717" s="156"/>
    </row>
    <row r="1718" spans="1:46">
      <c r="D1718" s="606"/>
      <c r="E1718" s="607"/>
      <c r="F1718" s="607"/>
      <c r="G1718" s="607"/>
      <c r="H1718" s="607"/>
      <c r="I1718" s="607"/>
      <c r="J1718" s="607"/>
      <c r="K1718" s="607"/>
      <c r="L1718" s="607"/>
      <c r="M1718" s="607"/>
      <c r="N1718" s="607"/>
      <c r="O1718" s="607"/>
      <c r="P1718" s="607"/>
      <c r="Q1718" s="607"/>
      <c r="R1718" s="607"/>
      <c r="S1718" s="607"/>
      <c r="T1718" s="607"/>
      <c r="U1718" s="608"/>
      <c r="V1718" s="607"/>
      <c r="W1718" s="608"/>
      <c r="X1718" s="607"/>
      <c r="Y1718" s="609" t="s">
        <v>1121</v>
      </c>
      <c r="Z1718" s="607"/>
      <c r="AA1718" s="608"/>
      <c r="AB1718" s="608"/>
      <c r="AC1718" s="608"/>
      <c r="AD1718" s="608"/>
      <c r="AE1718" s="608"/>
      <c r="AF1718" s="608"/>
      <c r="AG1718" s="608"/>
      <c r="AH1718" s="608"/>
      <c r="AI1718" s="608"/>
    </row>
    <row r="1719" spans="1:46">
      <c r="D1719" s="606"/>
      <c r="E1719" s="607"/>
      <c r="F1719" s="607"/>
      <c r="G1719" s="607"/>
      <c r="H1719" s="607"/>
      <c r="I1719" s="607"/>
      <c r="J1719" s="607"/>
      <c r="K1719" s="607"/>
      <c r="L1719" s="607"/>
      <c r="M1719" s="607"/>
      <c r="N1719" s="607"/>
      <c r="O1719" s="607"/>
      <c r="P1719" s="607"/>
      <c r="Q1719" s="607"/>
      <c r="R1719" s="607"/>
      <c r="S1719" s="607"/>
      <c r="T1719" s="607"/>
      <c r="U1719" s="608"/>
      <c r="V1719" s="607"/>
      <c r="W1719" s="607"/>
      <c r="X1719" s="609"/>
      <c r="Y1719" s="610"/>
      <c r="Z1719" s="972" t="s">
        <v>826</v>
      </c>
      <c r="AA1719" s="657"/>
      <c r="AB1719" s="663" t="str">
        <f>+AD1719</f>
        <v>6th review</v>
      </c>
      <c r="AC1719" s="664"/>
      <c r="AD1719" s="663" t="s">
        <v>1120</v>
      </c>
      <c r="AE1719" s="664" t="s">
        <v>1155</v>
      </c>
      <c r="AF1719" s="663" t="s">
        <v>1120</v>
      </c>
      <c r="AG1719" s="664" t="str">
        <f>+AE1719</f>
        <v>7th review</v>
      </c>
      <c r="AH1719" s="663" t="s">
        <v>1120</v>
      </c>
      <c r="AI1719" s="663" t="str">
        <f>+AE1719</f>
        <v>7th review</v>
      </c>
    </row>
    <row r="1720" spans="1:46">
      <c r="D1720" s="611"/>
      <c r="E1720" s="611"/>
      <c r="F1720" s="611"/>
      <c r="G1720" s="611"/>
      <c r="H1720" s="611"/>
      <c r="I1720" s="611"/>
      <c r="J1720" s="611"/>
      <c r="K1720" s="611"/>
      <c r="L1720" s="611"/>
      <c r="M1720" s="611"/>
      <c r="N1720" s="611"/>
      <c r="O1720" s="611"/>
      <c r="P1720" s="611"/>
      <c r="Q1720" s="611"/>
      <c r="R1720" s="611"/>
      <c r="S1720" s="611"/>
      <c r="T1720" s="611"/>
      <c r="U1720" s="611"/>
      <c r="V1720" s="611"/>
      <c r="W1720" s="611"/>
      <c r="X1720" s="612" t="s">
        <v>784</v>
      </c>
      <c r="Y1720" s="612" t="s">
        <v>784</v>
      </c>
      <c r="Z1720" s="665" t="s">
        <v>785</v>
      </c>
      <c r="AA1720" s="612" t="s">
        <v>784</v>
      </c>
      <c r="AB1720" s="665" t="s">
        <v>785</v>
      </c>
      <c r="AC1720" s="666" t="s">
        <v>827</v>
      </c>
      <c r="AD1720" s="665" t="s">
        <v>785</v>
      </c>
      <c r="AE1720" s="666" t="s">
        <v>827</v>
      </c>
      <c r="AF1720" s="665" t="s">
        <v>785</v>
      </c>
      <c r="AG1720" s="666" t="s">
        <v>827</v>
      </c>
      <c r="AH1720" s="665" t="s">
        <v>785</v>
      </c>
      <c r="AI1720" s="665" t="s">
        <v>827</v>
      </c>
    </row>
    <row r="1721" spans="1:46">
      <c r="A1721" s="1"/>
      <c r="B1721" s="1"/>
      <c r="C1721" s="1"/>
      <c r="D1721" s="613" t="s">
        <v>939</v>
      </c>
      <c r="E1721" s="611"/>
      <c r="F1721" s="611"/>
      <c r="G1721" s="611"/>
      <c r="H1721" s="611"/>
      <c r="I1721" s="611"/>
      <c r="J1721" s="611"/>
      <c r="K1721" s="611"/>
      <c r="L1721" s="611"/>
      <c r="M1721" s="611"/>
      <c r="N1721" s="611"/>
      <c r="O1721" s="611"/>
      <c r="P1721" s="611"/>
      <c r="Q1721" s="611"/>
      <c r="R1721" s="611"/>
      <c r="S1721" s="611"/>
      <c r="T1721" s="611"/>
      <c r="U1721" s="611"/>
      <c r="V1721" s="611"/>
      <c r="W1721" s="611"/>
      <c r="X1721" s="614" t="str">
        <f>+Y1286</f>
        <v>2013/14</v>
      </c>
      <c r="Y1721" s="614" t="str">
        <f>+Z1286</f>
        <v>2014/15</v>
      </c>
      <c r="Z1721" s="973" t="str">
        <f>+AA1286</f>
        <v>2015/16</v>
      </c>
      <c r="AA1721" s="615" t="str">
        <f>+AA871</f>
        <v>2015/16</v>
      </c>
      <c r="AB1721" s="667" t="str">
        <f>+AB871</f>
        <v>2016/17</v>
      </c>
      <c r="AC1721" s="668" t="str">
        <f>+AB871</f>
        <v>2016/17</v>
      </c>
      <c r="AD1721" s="667" t="str">
        <f>+AC871</f>
        <v>2017/18</v>
      </c>
      <c r="AE1721" s="668" t="str">
        <f>+AC871</f>
        <v>2017/18</v>
      </c>
      <c r="AF1721" s="667" t="str">
        <f>+AG1721</f>
        <v>2018/19</v>
      </c>
      <c r="AG1721" s="668" t="str">
        <f>+AD871</f>
        <v>2018/19</v>
      </c>
      <c r="AH1721" s="667" t="str">
        <f>+AI1721</f>
        <v>2019/20</v>
      </c>
      <c r="AI1721" s="667" t="str">
        <f>+AE871</f>
        <v>2019/20</v>
      </c>
      <c r="AJ1721" s="667" t="str">
        <f>+AK1721</f>
        <v>2021/22</v>
      </c>
      <c r="AK1721" s="668" t="str">
        <f>+AG871</f>
        <v>2021/22</v>
      </c>
      <c r="AL1721" s="667" t="str">
        <f>+AM1721</f>
        <v>2023/24</v>
      </c>
      <c r="AM1721" s="668" t="str">
        <f>+AI871</f>
        <v>2023/24</v>
      </c>
      <c r="AN1721" s="668"/>
      <c r="AO1721" s="668"/>
      <c r="AP1721" s="668"/>
      <c r="AQ1721" s="668"/>
      <c r="AR1721" s="668"/>
      <c r="AS1721" s="668"/>
      <c r="AT1721" s="668"/>
    </row>
    <row r="1722" spans="1:46">
      <c r="A1722" s="1"/>
      <c r="B1722" s="1"/>
      <c r="C1722" s="1"/>
      <c r="D1722" s="986" t="str">
        <f>+D872</f>
        <v>Revenue and grants</v>
      </c>
      <c r="E1722" s="987"/>
      <c r="F1722" s="987"/>
      <c r="G1722" s="987"/>
      <c r="H1722" s="987"/>
      <c r="I1722" s="987"/>
      <c r="J1722" s="987"/>
      <c r="K1722" s="987"/>
      <c r="L1722" s="987"/>
      <c r="M1722" s="987"/>
      <c r="N1722" s="987"/>
      <c r="O1722" s="987"/>
      <c r="P1722" s="987"/>
      <c r="Q1722" s="987"/>
      <c r="R1722" s="987"/>
      <c r="S1722" s="987"/>
      <c r="T1722" s="987"/>
      <c r="U1722" s="987"/>
      <c r="V1722" s="987"/>
      <c r="W1722" s="987"/>
      <c r="X1722" s="984">
        <f t="shared" ref="X1722:Y1725" si="2010">+Y872</f>
        <v>1336.3605712034318</v>
      </c>
      <c r="Y1722" s="984">
        <f t="shared" si="2010"/>
        <v>1418.6704994724025</v>
      </c>
      <c r="Z1722" s="974">
        <f>+Z1723+Z1726</f>
        <v>1478.9</v>
      </c>
      <c r="AA1722" s="976">
        <f>+AA872</f>
        <v>1541.6572083762826</v>
      </c>
      <c r="AB1722" s="974">
        <f>+AB1723+AB1726</f>
        <v>1567.1</v>
      </c>
      <c r="AC1722" s="978">
        <f>+AB872</f>
        <v>1615.7619294919559</v>
      </c>
      <c r="AD1722" s="974">
        <f>+AD1723+AD1726</f>
        <v>1742</v>
      </c>
      <c r="AE1722" s="978">
        <f>+AC872</f>
        <v>1820.4124327910465</v>
      </c>
      <c r="AF1722" s="974">
        <f>+AF1723+AF1726</f>
        <v>1933.6999999999998</v>
      </c>
      <c r="AG1722" s="978">
        <f>+AD872</f>
        <v>2064.9766652822391</v>
      </c>
      <c r="AH1722" s="974"/>
      <c r="AI1722" s="974">
        <f>+AE872</f>
        <v>2082.0309719952802</v>
      </c>
    </row>
    <row r="1723" spans="1:46">
      <c r="A1723" s="1"/>
      <c r="B1723" s="1"/>
      <c r="C1723" s="1"/>
      <c r="D1723" s="987" t="str">
        <f>+D873</f>
        <v>Total revenue</v>
      </c>
      <c r="E1723" s="987"/>
      <c r="F1723" s="987"/>
      <c r="G1723" s="987"/>
      <c r="H1723" s="987"/>
      <c r="I1723" s="987"/>
      <c r="J1723" s="987"/>
      <c r="K1723" s="987"/>
      <c r="L1723" s="987"/>
      <c r="M1723" s="987"/>
      <c r="N1723" s="987"/>
      <c r="O1723" s="987"/>
      <c r="P1723" s="987"/>
      <c r="Q1723" s="987"/>
      <c r="R1723" s="987"/>
      <c r="S1723" s="987"/>
      <c r="T1723" s="987"/>
      <c r="U1723" s="987"/>
      <c r="V1723" s="987"/>
      <c r="W1723" s="987"/>
      <c r="X1723" s="985">
        <f t="shared" si="2010"/>
        <v>862.07143003969168</v>
      </c>
      <c r="Y1723" s="985">
        <f t="shared" si="2010"/>
        <v>1002.7568019579999</v>
      </c>
      <c r="Z1723" s="975">
        <f>+Z1724+Z1725</f>
        <v>1104.2</v>
      </c>
      <c r="AA1723" s="977">
        <f>+AA873</f>
        <v>1167.9101980985556</v>
      </c>
      <c r="AB1723" s="975">
        <f>+AB1724+AB1725</f>
        <v>1240.5</v>
      </c>
      <c r="AC1723" s="979">
        <f>+AB873</f>
        <v>1285.5798455454374</v>
      </c>
      <c r="AD1723" s="975">
        <f>+AD1724+AD1725</f>
        <v>1401.7</v>
      </c>
      <c r="AE1723" s="979">
        <f>+AC873</f>
        <v>1461.503755922336</v>
      </c>
      <c r="AF1723" s="975">
        <f>+AF1724+AF1725</f>
        <v>1559.6</v>
      </c>
      <c r="AG1723" s="979">
        <f>+AD873</f>
        <v>1670.2030407779237</v>
      </c>
      <c r="AH1723" s="975"/>
      <c r="AI1723" s="975">
        <f>+AE873</f>
        <v>1649.9486941171201</v>
      </c>
    </row>
    <row r="1724" spans="1:46">
      <c r="A1724" s="1"/>
      <c r="B1724" s="1"/>
      <c r="C1724" s="1"/>
      <c r="D1724" s="987" t="str">
        <f>+D874</f>
        <v>Tax revenue</v>
      </c>
      <c r="E1724" s="987"/>
      <c r="F1724" s="987"/>
      <c r="G1724" s="987"/>
      <c r="H1724" s="987"/>
      <c r="I1724" s="987"/>
      <c r="J1724" s="987"/>
      <c r="K1724" s="987"/>
      <c r="L1724" s="987"/>
      <c r="M1724" s="987"/>
      <c r="N1724" s="987"/>
      <c r="O1724" s="987"/>
      <c r="P1724" s="987"/>
      <c r="Q1724" s="987"/>
      <c r="R1724" s="987"/>
      <c r="S1724" s="987"/>
      <c r="T1724" s="987"/>
      <c r="U1724" s="987"/>
      <c r="V1724" s="987"/>
      <c r="W1724" s="987"/>
      <c r="X1724" s="985">
        <f t="shared" si="2010"/>
        <v>761.02287438134351</v>
      </c>
      <c r="Y1724" s="985">
        <f t="shared" si="2010"/>
        <v>871.55680195799994</v>
      </c>
      <c r="Z1724" s="975">
        <v>975.3</v>
      </c>
      <c r="AA1724" s="977">
        <f>+AA874</f>
        <v>1000.3139498321091</v>
      </c>
      <c r="AB1724" s="975">
        <v>1101.4000000000001</v>
      </c>
      <c r="AC1724" s="979">
        <f>+AB874</f>
        <v>1104.143145074856</v>
      </c>
      <c r="AD1724" s="975">
        <v>1227.8</v>
      </c>
      <c r="AE1724" s="979">
        <f>+AC874</f>
        <v>1252.8836310898428</v>
      </c>
      <c r="AF1724" s="975">
        <v>1385</v>
      </c>
      <c r="AG1724" s="979">
        <f>+AD874</f>
        <v>1418.7907824792755</v>
      </c>
      <c r="AH1724" s="975"/>
      <c r="AI1724" s="975">
        <f>+AE874</f>
        <v>1408.2817965614299</v>
      </c>
    </row>
    <row r="1725" spans="1:46">
      <c r="A1725" s="1"/>
      <c r="B1725" s="1"/>
      <c r="C1725" s="1"/>
      <c r="D1725" s="987" t="str">
        <f>+D875</f>
        <v>Non-tax revenue</v>
      </c>
      <c r="E1725" s="987"/>
      <c r="F1725" s="987"/>
      <c r="G1725" s="987"/>
      <c r="H1725" s="987"/>
      <c r="I1725" s="987"/>
      <c r="J1725" s="987"/>
      <c r="K1725" s="987"/>
      <c r="L1725" s="987"/>
      <c r="M1725" s="987"/>
      <c r="N1725" s="987"/>
      <c r="O1725" s="987"/>
      <c r="P1725" s="987"/>
      <c r="Q1725" s="987"/>
      <c r="R1725" s="987"/>
      <c r="S1725" s="987"/>
      <c r="T1725" s="987"/>
      <c r="U1725" s="987"/>
      <c r="V1725" s="987"/>
      <c r="W1725" s="987"/>
      <c r="X1725" s="985">
        <f t="shared" si="2010"/>
        <v>101.04855565834818</v>
      </c>
      <c r="Y1725" s="985">
        <f t="shared" si="2010"/>
        <v>131.19999999999999</v>
      </c>
      <c r="Z1725" s="975">
        <v>128.9</v>
      </c>
      <c r="AA1725" s="977">
        <f>+AA875</f>
        <v>167.59624826644659</v>
      </c>
      <c r="AB1725" s="975">
        <v>139.1</v>
      </c>
      <c r="AC1725" s="979">
        <f>+AB875</f>
        <v>181.4367004705814</v>
      </c>
      <c r="AD1725" s="975">
        <v>173.9</v>
      </c>
      <c r="AE1725" s="979">
        <f>+AC875</f>
        <v>208.62012483249333</v>
      </c>
      <c r="AF1725" s="975">
        <v>174.6</v>
      </c>
      <c r="AG1725" s="979">
        <f>+AD875</f>
        <v>251.41225829864834</v>
      </c>
      <c r="AH1725" s="975"/>
      <c r="AI1725" s="975">
        <f>+AE875</f>
        <v>241.66689755569263</v>
      </c>
    </row>
    <row r="1726" spans="1:46">
      <c r="A1726" s="1"/>
      <c r="B1726" s="1"/>
      <c r="C1726" s="1"/>
      <c r="D1726" s="986" t="str">
        <f>+D877</f>
        <v>Total Grants</v>
      </c>
      <c r="E1726" s="987"/>
      <c r="F1726" s="987"/>
      <c r="G1726" s="987"/>
      <c r="H1726" s="987"/>
      <c r="I1726" s="987"/>
      <c r="J1726" s="987"/>
      <c r="K1726" s="987"/>
      <c r="L1726" s="987"/>
      <c r="M1726" s="987"/>
      <c r="N1726" s="987"/>
      <c r="O1726" s="987"/>
      <c r="P1726" s="987"/>
      <c r="Q1726" s="987"/>
      <c r="R1726" s="987"/>
      <c r="S1726" s="987"/>
      <c r="T1726" s="987"/>
      <c r="U1726" s="987"/>
      <c r="V1726" s="987"/>
      <c r="W1726" s="987"/>
      <c r="X1726" s="984">
        <f t="shared" ref="X1726:Y1728" si="2011">+Y877</f>
        <v>474.28914116374006</v>
      </c>
      <c r="Y1726" s="984">
        <f t="shared" si="2011"/>
        <v>415.91369751440271</v>
      </c>
      <c r="Z1726" s="974">
        <f>+Z1727+Z1728</f>
        <v>374.70000000000005</v>
      </c>
      <c r="AA1726" s="976">
        <f>+AA877</f>
        <v>373.7470102777271</v>
      </c>
      <c r="AB1726" s="974">
        <f>+AB1727+AB1728</f>
        <v>326.60000000000002</v>
      </c>
      <c r="AC1726" s="978">
        <f>+AB877</f>
        <v>330.18208394651856</v>
      </c>
      <c r="AD1726" s="974">
        <f>+AD1727+AD1728</f>
        <v>340.3</v>
      </c>
      <c r="AE1726" s="978">
        <f>+AC877</f>
        <v>358.90867686871047</v>
      </c>
      <c r="AF1726" s="974">
        <f>+AF1727+AF1728</f>
        <v>374.1</v>
      </c>
      <c r="AG1726" s="978">
        <f>+AD877</f>
        <v>394.77362450431519</v>
      </c>
      <c r="AH1726" s="974"/>
      <c r="AI1726" s="974">
        <f>+AE877</f>
        <v>432.08227787815542</v>
      </c>
    </row>
    <row r="1727" spans="1:46">
      <c r="A1727" s="1"/>
      <c r="B1727" s="1"/>
      <c r="C1727" s="1"/>
      <c r="D1727" s="987" t="str">
        <f>+D878</f>
        <v>Budgetary grants</v>
      </c>
      <c r="E1727" s="987"/>
      <c r="F1727" s="987"/>
      <c r="G1727" s="987"/>
      <c r="H1727" s="987"/>
      <c r="I1727" s="987"/>
      <c r="J1727" s="987"/>
      <c r="K1727" s="987"/>
      <c r="L1727" s="987"/>
      <c r="M1727" s="987"/>
      <c r="N1727" s="987"/>
      <c r="O1727" s="987"/>
      <c r="P1727" s="987"/>
      <c r="Q1727" s="987"/>
      <c r="R1727" s="987"/>
      <c r="S1727" s="987"/>
      <c r="T1727" s="987"/>
      <c r="U1727" s="987"/>
      <c r="V1727" s="987"/>
      <c r="W1727" s="987"/>
      <c r="X1727" s="985">
        <f t="shared" si="2011"/>
        <v>171.02736591717107</v>
      </c>
      <c r="Y1727" s="985">
        <f t="shared" si="2011"/>
        <v>174.88</v>
      </c>
      <c r="Z1727" s="975">
        <v>205.8</v>
      </c>
      <c r="AA1727" s="977">
        <f>+AA878</f>
        <v>204.80701027772713</v>
      </c>
      <c r="AB1727" s="975">
        <v>180.6</v>
      </c>
      <c r="AC1727" s="979">
        <f>+AB878</f>
        <v>184.18208394651853</v>
      </c>
      <c r="AD1727" s="975">
        <v>164.5</v>
      </c>
      <c r="AE1727" s="979">
        <f>+AC878</f>
        <v>190.19867686871044</v>
      </c>
      <c r="AF1727" s="975">
        <v>181.9</v>
      </c>
      <c r="AG1727" s="979">
        <f>+AD878</f>
        <v>161.6980925101455</v>
      </c>
      <c r="AH1727" s="975"/>
      <c r="AI1727" s="975">
        <f>+AE878</f>
        <v>172.38765230665402</v>
      </c>
    </row>
    <row r="1728" spans="1:46">
      <c r="A1728" s="1"/>
      <c r="B1728" s="1"/>
      <c r="C1728" s="1"/>
      <c r="D1728" s="987" t="str">
        <f>+D879</f>
        <v>Capital grants</v>
      </c>
      <c r="E1728" s="987"/>
      <c r="F1728" s="987"/>
      <c r="G1728" s="987"/>
      <c r="H1728" s="987"/>
      <c r="I1728" s="987"/>
      <c r="J1728" s="987"/>
      <c r="K1728" s="987"/>
      <c r="L1728" s="987"/>
      <c r="M1728" s="987"/>
      <c r="N1728" s="987"/>
      <c r="O1728" s="987"/>
      <c r="P1728" s="987"/>
      <c r="Q1728" s="987"/>
      <c r="R1728" s="987"/>
      <c r="S1728" s="987"/>
      <c r="T1728" s="987"/>
      <c r="U1728" s="987"/>
      <c r="V1728" s="987"/>
      <c r="W1728" s="987"/>
      <c r="X1728" s="985">
        <f t="shared" si="2011"/>
        <v>303.26177524656896</v>
      </c>
      <c r="Y1728" s="985">
        <f t="shared" si="2011"/>
        <v>241.03369751440272</v>
      </c>
      <c r="Z1728" s="975">
        <v>168.9</v>
      </c>
      <c r="AA1728" s="977">
        <f>+AA879</f>
        <v>168.94</v>
      </c>
      <c r="AB1728" s="975">
        <v>146</v>
      </c>
      <c r="AC1728" s="979">
        <f>+AB879</f>
        <v>146</v>
      </c>
      <c r="AD1728" s="975">
        <v>175.8</v>
      </c>
      <c r="AE1728" s="979">
        <f>+AC879</f>
        <v>168.71</v>
      </c>
      <c r="AF1728" s="975">
        <v>192.2</v>
      </c>
      <c r="AG1728" s="979">
        <f>+AD879</f>
        <v>233.07553199416967</v>
      </c>
      <c r="AH1728" s="975"/>
      <c r="AI1728" s="975">
        <f>+AE879</f>
        <v>259.69462557150138</v>
      </c>
    </row>
    <row r="1729" spans="1:35">
      <c r="A1729" s="1"/>
      <c r="B1729" s="1"/>
      <c r="C1729" s="1"/>
      <c r="D1729" s="986" t="str">
        <f>+D881</f>
        <v>Total expenditure and net lending</v>
      </c>
      <c r="E1729" s="987"/>
      <c r="F1729" s="987"/>
      <c r="G1729" s="987"/>
      <c r="H1729" s="987"/>
      <c r="I1729" s="987"/>
      <c r="J1729" s="987"/>
      <c r="K1729" s="987"/>
      <c r="L1729" s="987"/>
      <c r="M1729" s="987"/>
      <c r="N1729" s="987"/>
      <c r="O1729" s="987"/>
      <c r="P1729" s="987"/>
      <c r="Q1729" s="987"/>
      <c r="R1729" s="987"/>
      <c r="S1729" s="987"/>
      <c r="T1729" s="987"/>
      <c r="U1729" s="987"/>
      <c r="V1729" s="987"/>
      <c r="W1729" s="987"/>
      <c r="X1729" s="984">
        <f>+Y881</f>
        <v>1540.0094161169768</v>
      </c>
      <c r="Y1729" s="984">
        <f>+Z881</f>
        <v>1720.73</v>
      </c>
      <c r="Z1729" s="974">
        <f>+Z1730+Z1731+Z1732</f>
        <v>1784.8999999999999</v>
      </c>
      <c r="AA1729" s="976">
        <f>+AA881</f>
        <v>1754.639483222375</v>
      </c>
      <c r="AB1729" s="974">
        <f>+AB1730+AB1731+AB1732</f>
        <v>1891.3</v>
      </c>
      <c r="AC1729" s="978">
        <f>+AB881</f>
        <v>1942.9</v>
      </c>
      <c r="AD1729" s="974">
        <f>+AD1730+AD1731+AD1732</f>
        <v>2026.8999999999999</v>
      </c>
      <c r="AE1729" s="978">
        <f>+AC881</f>
        <v>2187.5397808880507</v>
      </c>
      <c r="AF1729" s="974">
        <f>+AF1730+AF1731+AF1732</f>
        <v>2281</v>
      </c>
      <c r="AG1729" s="978">
        <f>+AD881</f>
        <v>2611.6378944459902</v>
      </c>
      <c r="AH1729" s="974"/>
      <c r="AI1729" s="974">
        <f>+AE881</f>
        <v>3253.1281054531019</v>
      </c>
    </row>
    <row r="1730" spans="1:35">
      <c r="A1730" s="1"/>
      <c r="B1730" s="1"/>
      <c r="C1730" s="1"/>
      <c r="D1730" s="987" t="str">
        <f>+D882</f>
        <v>Current expenditure</v>
      </c>
      <c r="E1730" s="987"/>
      <c r="F1730" s="987"/>
      <c r="G1730" s="987"/>
      <c r="H1730" s="987"/>
      <c r="I1730" s="987"/>
      <c r="J1730" s="987"/>
      <c r="K1730" s="987"/>
      <c r="L1730" s="987"/>
      <c r="M1730" s="987"/>
      <c r="N1730" s="987"/>
      <c r="O1730" s="987"/>
      <c r="P1730" s="987"/>
      <c r="Q1730" s="987"/>
      <c r="R1730" s="987"/>
      <c r="S1730" s="987"/>
      <c r="T1730" s="987"/>
      <c r="U1730" s="987"/>
      <c r="V1730" s="987"/>
      <c r="W1730" s="987"/>
      <c r="X1730" s="985">
        <f>+Y882</f>
        <v>777.76349406485224</v>
      </c>
      <c r="Y1730" s="985">
        <f>+Z882</f>
        <v>834.73</v>
      </c>
      <c r="Z1730" s="975">
        <v>899.9</v>
      </c>
      <c r="AA1730" s="977">
        <f>+AA882</f>
        <v>947.5320695517421</v>
      </c>
      <c r="AB1730" s="975">
        <v>1023.6</v>
      </c>
      <c r="AC1730" s="979">
        <f>+AB882</f>
        <v>1069.5999999999999</v>
      </c>
      <c r="AD1730" s="975">
        <v>1089.5999999999999</v>
      </c>
      <c r="AE1730" s="979">
        <f>+AC882</f>
        <v>1177.2772642778905</v>
      </c>
      <c r="AF1730" s="975">
        <v>1212.0999999999999</v>
      </c>
      <c r="AG1730" s="979">
        <f>+AD882</f>
        <v>1343.6050912542087</v>
      </c>
      <c r="AH1730" s="975"/>
      <c r="AI1730" s="975">
        <f>+AE882</f>
        <v>1558.3598845633098</v>
      </c>
    </row>
    <row r="1731" spans="1:35">
      <c r="A1731" s="1"/>
      <c r="B1731" s="1"/>
      <c r="C1731" s="1"/>
      <c r="D1731" s="987" t="str">
        <f>+D886</f>
        <v>Capital expenditure</v>
      </c>
      <c r="E1731" s="987"/>
      <c r="F1731" s="987"/>
      <c r="G1731" s="987"/>
      <c r="H1731" s="987"/>
      <c r="I1731" s="987"/>
      <c r="J1731" s="987"/>
      <c r="K1731" s="987"/>
      <c r="L1731" s="987"/>
      <c r="M1731" s="987"/>
      <c r="N1731" s="987"/>
      <c r="O1731" s="987"/>
      <c r="P1731" s="987"/>
      <c r="Q1731" s="987"/>
      <c r="R1731" s="987"/>
      <c r="S1731" s="987"/>
      <c r="T1731" s="987"/>
      <c r="U1731" s="987"/>
      <c r="V1731" s="987"/>
      <c r="W1731" s="987"/>
      <c r="X1731" s="985">
        <f>+Y886</f>
        <v>712.02636734912699</v>
      </c>
      <c r="Y1731" s="985">
        <f>+Z886</f>
        <v>769.8</v>
      </c>
      <c r="Z1731" s="975">
        <v>776.3</v>
      </c>
      <c r="AA1731" s="977">
        <f>+AA886</f>
        <v>718.68553264663296</v>
      </c>
      <c r="AB1731" s="975">
        <v>741.9</v>
      </c>
      <c r="AC1731" s="979">
        <f>+AB886</f>
        <v>759.45977511682895</v>
      </c>
      <c r="AD1731" s="975">
        <v>799.3</v>
      </c>
      <c r="AE1731" s="979">
        <f>+AC886</f>
        <v>850.21990038716001</v>
      </c>
      <c r="AF1731" s="975">
        <v>901.5</v>
      </c>
      <c r="AG1731" s="979">
        <f>+AD886</f>
        <v>1071.7092455117818</v>
      </c>
      <c r="AH1731" s="975"/>
      <c r="AI1731" s="975">
        <f>+AE886</f>
        <v>1294.7440302694517</v>
      </c>
    </row>
    <row r="1732" spans="1:35">
      <c r="A1732" s="1"/>
      <c r="B1732" s="1"/>
      <c r="C1732" s="1"/>
      <c r="D1732" s="987" t="str">
        <f>+D889</f>
        <v>Net lending</v>
      </c>
      <c r="E1732" s="987"/>
      <c r="F1732" s="987"/>
      <c r="G1732" s="987"/>
      <c r="H1732" s="987"/>
      <c r="I1732" s="987"/>
      <c r="J1732" s="987"/>
      <c r="K1732" s="987"/>
      <c r="L1732" s="987"/>
      <c r="M1732" s="987"/>
      <c r="N1732" s="987"/>
      <c r="O1732" s="987"/>
      <c r="P1732" s="987"/>
      <c r="Q1732" s="987"/>
      <c r="R1732" s="987"/>
      <c r="S1732" s="987"/>
      <c r="T1732" s="987"/>
      <c r="U1732" s="987"/>
      <c r="V1732" s="987"/>
      <c r="W1732" s="987"/>
      <c r="X1732" s="985">
        <f>+Y889</f>
        <v>50.219554702997584</v>
      </c>
      <c r="Y1732" s="985">
        <f>+Z889</f>
        <v>116.19999999999999</v>
      </c>
      <c r="Z1732" s="975">
        <v>108.7</v>
      </c>
      <c r="AA1732" s="977">
        <f>+AA889</f>
        <v>88.421881023999987</v>
      </c>
      <c r="AB1732" s="975">
        <v>125.8</v>
      </c>
      <c r="AC1732" s="979">
        <f>+AB889</f>
        <v>113.83692121199999</v>
      </c>
      <c r="AD1732" s="975">
        <v>138</v>
      </c>
      <c r="AE1732" s="979">
        <f>+AC889</f>
        <v>160.04261622299998</v>
      </c>
      <c r="AF1732" s="975">
        <v>167.4</v>
      </c>
      <c r="AG1732" s="979">
        <f>+AD889</f>
        <v>195.14388571000001</v>
      </c>
      <c r="AH1732" s="975"/>
      <c r="AI1732" s="975">
        <f>+AE889</f>
        <v>400.02419062033982</v>
      </c>
    </row>
    <row r="1733" spans="1:35">
      <c r="A1733" s="1"/>
      <c r="B1733" s="1"/>
      <c r="C1733" s="1"/>
      <c r="D1733" s="986" t="str">
        <f>+D890</f>
        <v>Overall deficit (payment order)</v>
      </c>
      <c r="E1733" s="987"/>
      <c r="F1733" s="987"/>
      <c r="G1733" s="987"/>
      <c r="H1733" s="987"/>
      <c r="I1733" s="987"/>
      <c r="J1733" s="987"/>
      <c r="K1733" s="987"/>
      <c r="L1733" s="987"/>
      <c r="M1733" s="987"/>
      <c r="N1733" s="987"/>
      <c r="O1733" s="987"/>
      <c r="P1733" s="987"/>
      <c r="Q1733" s="987"/>
      <c r="R1733" s="987"/>
      <c r="S1733" s="987"/>
      <c r="T1733" s="987"/>
      <c r="U1733" s="987"/>
      <c r="V1733" s="987"/>
      <c r="W1733" s="987"/>
      <c r="X1733" s="984"/>
      <c r="Y1733" s="984"/>
      <c r="Z1733" s="974"/>
      <c r="AA1733" s="976"/>
      <c r="AB1733" s="974"/>
      <c r="AC1733" s="978"/>
      <c r="AD1733" s="974"/>
      <c r="AE1733" s="978"/>
      <c r="AF1733" s="974"/>
      <c r="AG1733" s="978"/>
      <c r="AH1733" s="974"/>
      <c r="AI1733" s="974"/>
    </row>
    <row r="1734" spans="1:35">
      <c r="A1734" s="1"/>
      <c r="B1734" s="1"/>
      <c r="C1734" s="1"/>
      <c r="D1734" s="987" t="str">
        <f>+D891</f>
        <v>Including grants</v>
      </c>
      <c r="E1734" s="987"/>
      <c r="F1734" s="987"/>
      <c r="G1734" s="987"/>
      <c r="H1734" s="987"/>
      <c r="I1734" s="987"/>
      <c r="J1734" s="987"/>
      <c r="K1734" s="987"/>
      <c r="L1734" s="987"/>
      <c r="M1734" s="987"/>
      <c r="N1734" s="987"/>
      <c r="O1734" s="987"/>
      <c r="P1734" s="987"/>
      <c r="Q1734" s="987"/>
      <c r="R1734" s="987"/>
      <c r="S1734" s="987"/>
      <c r="T1734" s="987"/>
      <c r="U1734" s="987"/>
      <c r="V1734" s="987"/>
      <c r="W1734" s="987"/>
      <c r="X1734" s="985">
        <f>+Y891</f>
        <v>-203.64884491354496</v>
      </c>
      <c r="Y1734" s="985">
        <f>+Z891</f>
        <v>-302.05950052759749</v>
      </c>
      <c r="Z1734" s="975">
        <f>+Z1722-Z1729</f>
        <v>-305.99999999999977</v>
      </c>
      <c r="AA1734" s="977">
        <f>+AA891</f>
        <v>-212.98227484609242</v>
      </c>
      <c r="AB1734" s="975">
        <f>+AB1722-AB1729</f>
        <v>-324.20000000000005</v>
      </c>
      <c r="AC1734" s="979">
        <f>+AB891</f>
        <v>-327.13213778888797</v>
      </c>
      <c r="AD1734" s="975">
        <f>+AD1722-AD1729</f>
        <v>-284.89999999999986</v>
      </c>
      <c r="AE1734" s="979">
        <f>+AC891</f>
        <v>-367.12734809700419</v>
      </c>
      <c r="AF1734" s="975">
        <f>+AF1722-AF1729</f>
        <v>-347.30000000000018</v>
      </c>
      <c r="AG1734" s="979">
        <f>+AD891</f>
        <v>-546.66122916375116</v>
      </c>
      <c r="AH1734" s="975"/>
      <c r="AI1734" s="975">
        <f>+AE891</f>
        <v>-1171.0971334578217</v>
      </c>
    </row>
    <row r="1735" spans="1:35">
      <c r="A1735" s="1"/>
      <c r="B1735" s="1"/>
      <c r="C1735" s="1"/>
      <c r="D1735" s="987" t="str">
        <f>+D892</f>
        <v>Excluding grants</v>
      </c>
      <c r="E1735" s="987"/>
      <c r="F1735" s="987"/>
      <c r="G1735" s="987"/>
      <c r="H1735" s="987"/>
      <c r="I1735" s="987"/>
      <c r="J1735" s="987"/>
      <c r="K1735" s="987"/>
      <c r="L1735" s="987"/>
      <c r="M1735" s="987"/>
      <c r="N1735" s="987"/>
      <c r="O1735" s="987"/>
      <c r="P1735" s="987"/>
      <c r="Q1735" s="987"/>
      <c r="R1735" s="987"/>
      <c r="S1735" s="987"/>
      <c r="T1735" s="987"/>
      <c r="U1735" s="987"/>
      <c r="V1735" s="987"/>
      <c r="W1735" s="987"/>
      <c r="X1735" s="985">
        <f>+Y892</f>
        <v>-677.93798607728513</v>
      </c>
      <c r="Y1735" s="985">
        <f>+Z892</f>
        <v>-717.97319804200015</v>
      </c>
      <c r="Z1735" s="975">
        <f>+Z1734-Z1726</f>
        <v>-680.69999999999982</v>
      </c>
      <c r="AA1735" s="977">
        <f>+AA892</f>
        <v>-586.72928512381941</v>
      </c>
      <c r="AB1735" s="975">
        <f>+AB1734-AB1726</f>
        <v>-650.80000000000007</v>
      </c>
      <c r="AC1735" s="979">
        <f>+AB892</f>
        <v>-657.31422173540705</v>
      </c>
      <c r="AD1735" s="975">
        <f>+AD1734-AD1726</f>
        <v>-625.19999999999982</v>
      </c>
      <c r="AE1735" s="979">
        <f>+AC892</f>
        <v>-726.03602496571466</v>
      </c>
      <c r="AF1735" s="975">
        <f>+AF1734-AF1726</f>
        <v>-721.4000000000002</v>
      </c>
      <c r="AG1735" s="979">
        <f>+AD892</f>
        <v>-941.43485366806658</v>
      </c>
      <c r="AH1735" s="975"/>
      <c r="AI1735" s="975">
        <f>+AE892</f>
        <v>-1603.1794113359817</v>
      </c>
    </row>
    <row r="1736" spans="1:35">
      <c r="A1736" s="1"/>
      <c r="B1736" s="1"/>
      <c r="C1736" s="1"/>
      <c r="D1736" s="987" t="str">
        <f>+D897</f>
        <v>Change in arrears (net reduction-)</v>
      </c>
      <c r="E1736" s="987"/>
      <c r="F1736" s="987"/>
      <c r="G1736" s="987"/>
      <c r="H1736" s="987"/>
      <c r="I1736" s="987"/>
      <c r="J1736" s="987"/>
      <c r="K1736" s="987"/>
      <c r="L1736" s="987"/>
      <c r="M1736" s="987"/>
      <c r="N1736" s="987"/>
      <c r="O1736" s="987"/>
      <c r="P1736" s="987"/>
      <c r="Q1736" s="987"/>
      <c r="R1736" s="987"/>
      <c r="S1736" s="987"/>
      <c r="T1736" s="987"/>
      <c r="U1736" s="987"/>
      <c r="V1736" s="987"/>
      <c r="W1736" s="987"/>
      <c r="X1736" s="985">
        <f>+Y897</f>
        <v>-16.126089724000028</v>
      </c>
      <c r="Y1736" s="985">
        <f>+Z897</f>
        <v>5</v>
      </c>
      <c r="Z1736" s="975">
        <f>+Z1737</f>
        <v>-26.4</v>
      </c>
      <c r="AA1736" s="977">
        <f>+AA897</f>
        <v>-27.618025554000013</v>
      </c>
      <c r="AB1736" s="975">
        <f>+AB1737</f>
        <v>-20</v>
      </c>
      <c r="AC1736" s="979">
        <f>+AB897</f>
        <v>39.965229826000012</v>
      </c>
      <c r="AD1736" s="975">
        <f>+AD1737</f>
        <v>-24.2</v>
      </c>
      <c r="AE1736" s="979">
        <f>+AC897</f>
        <v>-25.061232288000014</v>
      </c>
      <c r="AF1736" s="975">
        <f>+AF1737</f>
        <v>-37.5</v>
      </c>
      <c r="AG1736" s="979">
        <f>+AD897</f>
        <v>55.122620192000042</v>
      </c>
      <c r="AH1736" s="975"/>
      <c r="AI1736" s="975">
        <f>+AE897</f>
        <v>-55.1</v>
      </c>
    </row>
    <row r="1737" spans="1:35">
      <c r="A1737" s="1"/>
      <c r="B1737" s="1"/>
      <c r="C1737" s="1"/>
      <c r="D1737" s="987"/>
      <c r="E1737" s="987"/>
      <c r="F1737" s="987"/>
      <c r="G1737" s="987"/>
      <c r="H1737" s="987"/>
      <c r="I1737" s="987"/>
      <c r="J1737" s="987"/>
      <c r="K1737" s="987"/>
      <c r="L1737" s="987"/>
      <c r="M1737" s="987"/>
      <c r="N1737" s="987"/>
      <c r="O1737" s="987"/>
      <c r="P1737" s="987"/>
      <c r="Q1737" s="987"/>
      <c r="R1737" s="987"/>
      <c r="S1737" s="987"/>
      <c r="T1737" s="987"/>
      <c r="U1737" s="987"/>
      <c r="V1737" s="987"/>
      <c r="W1737" s="987"/>
      <c r="X1737" s="985">
        <f>+Y898</f>
        <v>-16.126089724000028</v>
      </c>
      <c r="Y1737" s="985">
        <f>+Z898</f>
        <v>5</v>
      </c>
      <c r="Z1737" s="975">
        <v>-26.4</v>
      </c>
      <c r="AA1737" s="977">
        <f>+AA898</f>
        <v>-27.618025554000013</v>
      </c>
      <c r="AB1737" s="975">
        <v>-20</v>
      </c>
      <c r="AC1737" s="979">
        <f>+AB898</f>
        <v>39.965229826000012</v>
      </c>
      <c r="AD1737" s="975">
        <v>-24.2</v>
      </c>
      <c r="AE1737" s="979">
        <f>+AC898</f>
        <v>-25.061232288000014</v>
      </c>
      <c r="AF1737" s="975">
        <v>-37.5</v>
      </c>
      <c r="AG1737" s="979">
        <f>+AD898</f>
        <v>55.122620192000042</v>
      </c>
      <c r="AH1737" s="975"/>
      <c r="AI1737" s="975">
        <f>+AE898</f>
        <v>-55.1</v>
      </c>
    </row>
    <row r="1738" spans="1:35">
      <c r="A1738" s="1"/>
      <c r="B1738" s="1"/>
      <c r="C1738" s="1"/>
      <c r="D1738" s="986" t="str">
        <f>+D900</f>
        <v>Overall Deficit (cash basis)</v>
      </c>
      <c r="E1738" s="987"/>
      <c r="F1738" s="987"/>
      <c r="G1738" s="987"/>
      <c r="H1738" s="987"/>
      <c r="I1738" s="987"/>
      <c r="J1738" s="987"/>
      <c r="K1738" s="987"/>
      <c r="L1738" s="987"/>
      <c r="M1738" s="987"/>
      <c r="N1738" s="987"/>
      <c r="O1738" s="987"/>
      <c r="P1738" s="987"/>
      <c r="Q1738" s="987"/>
      <c r="R1738" s="987"/>
      <c r="S1738" s="987"/>
      <c r="T1738" s="987"/>
      <c r="U1738" s="987"/>
      <c r="V1738" s="987"/>
      <c r="W1738" s="987"/>
      <c r="X1738" s="984"/>
      <c r="Y1738" s="984"/>
      <c r="Z1738" s="974"/>
      <c r="AA1738" s="976"/>
      <c r="AB1738" s="974"/>
      <c r="AC1738" s="978"/>
      <c r="AD1738" s="974"/>
      <c r="AE1738" s="978"/>
      <c r="AF1738" s="974"/>
      <c r="AG1738" s="978"/>
      <c r="AH1738" s="974"/>
      <c r="AI1738" s="974"/>
    </row>
    <row r="1739" spans="1:35">
      <c r="A1739" s="1"/>
      <c r="B1739" s="1"/>
      <c r="C1739" s="1"/>
      <c r="D1739" s="987" t="str">
        <f>+D901</f>
        <v>Including grants</v>
      </c>
      <c r="E1739" s="987"/>
      <c r="F1739" s="987"/>
      <c r="G1739" s="987"/>
      <c r="H1739" s="987"/>
      <c r="I1739" s="987"/>
      <c r="J1739" s="987"/>
      <c r="K1739" s="987"/>
      <c r="L1739" s="987"/>
      <c r="M1739" s="987"/>
      <c r="N1739" s="987"/>
      <c r="O1739" s="987"/>
      <c r="P1739" s="987"/>
      <c r="Q1739" s="987"/>
      <c r="R1739" s="987"/>
      <c r="S1739" s="987"/>
      <c r="T1739" s="987"/>
      <c r="U1739" s="987"/>
      <c r="V1739" s="987"/>
      <c r="W1739" s="987"/>
      <c r="X1739" s="985">
        <f t="shared" ref="X1739:Y1742" si="2012">+Y901</f>
        <v>-219.77493463754499</v>
      </c>
      <c r="Y1739" s="985">
        <f t="shared" si="2012"/>
        <v>-297.05950052759749</v>
      </c>
      <c r="Z1739" s="975">
        <f>+Z1734+Z1736</f>
        <v>-332.39999999999975</v>
      </c>
      <c r="AA1739" s="977">
        <f>+AA901</f>
        <v>-240.60030040009244</v>
      </c>
      <c r="AB1739" s="975">
        <f>+AB1734+AB1736</f>
        <v>-344.20000000000005</v>
      </c>
      <c r="AC1739" s="979">
        <f>+AB901</f>
        <v>-347.24742086788802</v>
      </c>
      <c r="AD1739" s="975">
        <f>+AD1734+AD1736</f>
        <v>-309.09999999999985</v>
      </c>
      <c r="AE1739" s="979">
        <f>+AC901</f>
        <v>-392.18858038500423</v>
      </c>
      <c r="AF1739" s="975">
        <f>+AF1734+AF1736</f>
        <v>-384.80000000000018</v>
      </c>
      <c r="AG1739" s="979">
        <f>+AD901</f>
        <v>-491.5386089717511</v>
      </c>
      <c r="AH1739" s="975"/>
      <c r="AI1739" s="975">
        <f>+AE901</f>
        <v>-1226.1971334578216</v>
      </c>
    </row>
    <row r="1740" spans="1:35">
      <c r="A1740" s="1"/>
      <c r="B1740" s="1"/>
      <c r="C1740" s="1"/>
      <c r="D1740" s="987" t="str">
        <f>+D902</f>
        <v>Excluding grants</v>
      </c>
      <c r="E1740" s="987"/>
      <c r="F1740" s="987"/>
      <c r="G1740" s="987"/>
      <c r="H1740" s="987"/>
      <c r="I1740" s="987"/>
      <c r="J1740" s="987"/>
      <c r="K1740" s="987"/>
      <c r="L1740" s="987"/>
      <c r="M1740" s="987"/>
      <c r="N1740" s="987"/>
      <c r="O1740" s="987"/>
      <c r="P1740" s="987"/>
      <c r="Q1740" s="987"/>
      <c r="R1740" s="987"/>
      <c r="S1740" s="987"/>
      <c r="T1740" s="987"/>
      <c r="U1740" s="987"/>
      <c r="V1740" s="987"/>
      <c r="W1740" s="987"/>
      <c r="X1740" s="985">
        <f t="shared" si="2012"/>
        <v>-694.06407580128518</v>
      </c>
      <c r="Y1740" s="985">
        <f t="shared" si="2012"/>
        <v>-712.97319804200015</v>
      </c>
      <c r="Z1740" s="975">
        <f>+Z1735+Z1736</f>
        <v>-707.0999999999998</v>
      </c>
      <c r="AA1740" s="977">
        <f>+AA902</f>
        <v>-597.22220111559091</v>
      </c>
      <c r="AB1740" s="975">
        <f>+AB1735+AB1736</f>
        <v>-670.80000000000007</v>
      </c>
      <c r="AC1740" s="979">
        <f>+AB902</f>
        <v>-677.42950481440698</v>
      </c>
      <c r="AD1740" s="975">
        <f>+AD1735+AD1736</f>
        <v>-649.39999999999986</v>
      </c>
      <c r="AE1740" s="979">
        <f>+AC902</f>
        <v>-751.0972572537147</v>
      </c>
      <c r="AF1740" s="975">
        <f>+AF1735+AF1736</f>
        <v>-758.9000000000002</v>
      </c>
      <c r="AG1740" s="979">
        <f>+AD902</f>
        <v>-886.31223347606658</v>
      </c>
      <c r="AH1740" s="975"/>
      <c r="AI1740" s="975">
        <f>+AE902</f>
        <v>-1658.2794113359816</v>
      </c>
    </row>
    <row r="1741" spans="1:35">
      <c r="A1741" s="1"/>
      <c r="B1741" s="1"/>
      <c r="C1741" s="1"/>
      <c r="D1741" s="986" t="str">
        <f>+D903</f>
        <v>Financing</v>
      </c>
      <c r="E1741" s="987"/>
      <c r="F1741" s="987"/>
      <c r="G1741" s="987"/>
      <c r="H1741" s="987"/>
      <c r="I1741" s="987"/>
      <c r="J1741" s="987"/>
      <c r="K1741" s="987"/>
      <c r="L1741" s="987"/>
      <c r="M1741" s="987"/>
      <c r="N1741" s="987"/>
      <c r="O1741" s="987"/>
      <c r="P1741" s="987"/>
      <c r="Q1741" s="987"/>
      <c r="R1741" s="987"/>
      <c r="S1741" s="987"/>
      <c r="T1741" s="987"/>
      <c r="U1741" s="987"/>
      <c r="V1741" s="987"/>
      <c r="W1741" s="987"/>
      <c r="X1741" s="984">
        <f t="shared" si="2012"/>
        <v>224.60345991403199</v>
      </c>
      <c r="Y1741" s="984">
        <f t="shared" si="2012"/>
        <v>197.61254199818421</v>
      </c>
      <c r="Z1741" s="974">
        <f>+Z1742+Z1743</f>
        <v>332.5</v>
      </c>
      <c r="AA1741" s="976">
        <f>+AA903</f>
        <v>271.49497056281473</v>
      </c>
      <c r="AB1741" s="974">
        <f>+AB1742+AB1743</f>
        <v>344</v>
      </c>
      <c r="AC1741" s="978">
        <f>+AB903</f>
        <v>347.24742086788802</v>
      </c>
      <c r="AD1741" s="974">
        <f>+AD1742+AD1743</f>
        <v>308.90000000000003</v>
      </c>
      <c r="AE1741" s="978">
        <f>+AC903</f>
        <v>398.9867656101726</v>
      </c>
      <c r="AF1741" s="974">
        <f>+AF1742+AF1743</f>
        <v>384.8</v>
      </c>
      <c r="AG1741" s="978">
        <f>+AD903</f>
        <v>502.38067326405934</v>
      </c>
      <c r="AH1741" s="974"/>
      <c r="AI1741" s="974">
        <f>+AE903</f>
        <v>1226.1509467500846</v>
      </c>
    </row>
    <row r="1742" spans="1:35">
      <c r="A1742" s="1"/>
      <c r="B1742" s="1"/>
      <c r="C1742" s="1"/>
      <c r="D1742" s="987" t="str">
        <f>+D904</f>
        <v>Foreign financing (net)</v>
      </c>
      <c r="E1742" s="987"/>
      <c r="F1742" s="987"/>
      <c r="G1742" s="987"/>
      <c r="H1742" s="987"/>
      <c r="I1742" s="987"/>
      <c r="J1742" s="987"/>
      <c r="K1742" s="987"/>
      <c r="L1742" s="987"/>
      <c r="M1742" s="987"/>
      <c r="N1742" s="987"/>
      <c r="O1742" s="987"/>
      <c r="P1742" s="987"/>
      <c r="Q1742" s="987"/>
      <c r="R1742" s="987"/>
      <c r="S1742" s="987"/>
      <c r="T1742" s="987"/>
      <c r="U1742" s="987"/>
      <c r="V1742" s="987"/>
      <c r="W1742" s="987"/>
      <c r="X1742" s="985">
        <f t="shared" si="2012"/>
        <v>104.73128333288437</v>
      </c>
      <c r="Y1742" s="985">
        <f t="shared" si="2012"/>
        <v>188.3125419981842</v>
      </c>
      <c r="Z1742" s="975">
        <v>239.7</v>
      </c>
      <c r="AA1742" s="977">
        <f>+AA904</f>
        <v>224.4081276596894</v>
      </c>
      <c r="AB1742" s="975">
        <v>350.1</v>
      </c>
      <c r="AC1742" s="979">
        <f>+AB904</f>
        <v>161.93697496867668</v>
      </c>
      <c r="AD1742" s="975">
        <v>333.3</v>
      </c>
      <c r="AE1742" s="979">
        <f>+AC904</f>
        <v>356.02913087722652</v>
      </c>
      <c r="AF1742" s="975">
        <v>408.6</v>
      </c>
      <c r="AG1742" s="979">
        <f>+AD904</f>
        <v>448.31196664374346</v>
      </c>
      <c r="AH1742" s="975"/>
      <c r="AI1742" s="975">
        <f>+AE904</f>
        <v>1137.4986216870611</v>
      </c>
    </row>
    <row r="1743" spans="1:35">
      <c r="A1743" s="1"/>
      <c r="B1743" s="1"/>
      <c r="C1743" s="1"/>
      <c r="D1743" s="987" t="str">
        <f>+D908</f>
        <v>Domestic financing (net)</v>
      </c>
      <c r="E1743" s="987"/>
      <c r="F1743" s="987"/>
      <c r="G1743" s="987"/>
      <c r="H1743" s="987"/>
      <c r="I1743" s="987"/>
      <c r="J1743" s="987"/>
      <c r="K1743" s="987"/>
      <c r="L1743" s="987"/>
      <c r="M1743" s="987"/>
      <c r="N1743" s="987"/>
      <c r="O1743" s="987"/>
      <c r="P1743" s="987"/>
      <c r="Q1743" s="987"/>
      <c r="R1743" s="987"/>
      <c r="S1743" s="987"/>
      <c r="T1743" s="987"/>
      <c r="U1743" s="987"/>
      <c r="V1743" s="987"/>
      <c r="W1743" s="987"/>
      <c r="X1743" s="985">
        <f>+Y908</f>
        <v>119.8721765811476</v>
      </c>
      <c r="Y1743" s="985">
        <f>+Z908</f>
        <v>9.2999999999999972</v>
      </c>
      <c r="Z1743" s="975">
        <v>92.8</v>
      </c>
      <c r="AA1743" s="977">
        <f>+AA908</f>
        <v>47.086842903125344</v>
      </c>
      <c r="AB1743" s="975">
        <v>-6.1</v>
      </c>
      <c r="AC1743" s="979">
        <f>+AB908</f>
        <v>24.5612687293828</v>
      </c>
      <c r="AD1743" s="975">
        <v>-24.4</v>
      </c>
      <c r="AE1743" s="979">
        <f>+AC908</f>
        <v>42.957634732946076</v>
      </c>
      <c r="AF1743" s="975">
        <v>-23.8</v>
      </c>
      <c r="AG1743" s="979">
        <f>+AD908</f>
        <v>54.068706620315865</v>
      </c>
      <c r="AH1743" s="975"/>
      <c r="AI1743" s="975">
        <f>+AE908</f>
        <v>88.652325063023426</v>
      </c>
    </row>
    <row r="1744" spans="1:35">
      <c r="A1744" s="1"/>
      <c r="B1744" s="1"/>
      <c r="C1744" s="1"/>
      <c r="D1744" s="987"/>
      <c r="E1744" s="987"/>
      <c r="F1744" s="987"/>
      <c r="G1744" s="987"/>
      <c r="H1744" s="987"/>
      <c r="I1744" s="987"/>
      <c r="J1744" s="987"/>
      <c r="K1744" s="987"/>
      <c r="L1744" s="987"/>
      <c r="M1744" s="987"/>
      <c r="N1744" s="987"/>
      <c r="O1744" s="987"/>
      <c r="P1744" s="987"/>
      <c r="Q1744" s="987"/>
      <c r="R1744" s="987"/>
      <c r="S1744" s="987"/>
      <c r="T1744" s="987"/>
      <c r="U1744" s="987"/>
      <c r="V1744" s="987"/>
      <c r="W1744" s="987"/>
      <c r="X1744" s="166">
        <f>+Y919</f>
        <v>4.8285252764869995</v>
      </c>
      <c r="Y1744" s="166">
        <f>+Z919</f>
        <v>-99.44695852941328</v>
      </c>
      <c r="Z1744" s="669">
        <f>+Z1739+Z1741</f>
        <v>0.10000000000025011</v>
      </c>
      <c r="AA1744" s="166">
        <f>+AA919</f>
        <v>30.894670162722292</v>
      </c>
      <c r="AB1744" s="669">
        <f t="shared" ref="AB1744:AG1744" si="2013">+AB1739+AB1741</f>
        <v>-0.20000000000004547</v>
      </c>
      <c r="AC1744" s="669">
        <f>+AC1739+AC1741</f>
        <v>0</v>
      </c>
      <c r="AD1744" s="669">
        <f t="shared" si="2013"/>
        <v>-0.1999999999998181</v>
      </c>
      <c r="AE1744" s="980">
        <f t="shared" si="2013"/>
        <v>6.7981852251683677</v>
      </c>
      <c r="AF1744" s="669">
        <f t="shared" si="2013"/>
        <v>0</v>
      </c>
      <c r="AG1744" s="980">
        <f t="shared" si="2013"/>
        <v>10.842064292308237</v>
      </c>
      <c r="AH1744" s="669"/>
      <c r="AI1744" s="669">
        <f>+AI1739+AI1741</f>
        <v>-4.618670773697886E-2</v>
      </c>
    </row>
    <row r="1745" spans="1:37">
      <c r="A1745" s="1"/>
      <c r="B1745" s="1"/>
      <c r="C1745" s="1"/>
      <c r="D1745" s="987"/>
      <c r="E1745" s="987"/>
      <c r="F1745" s="987"/>
      <c r="G1745" s="987"/>
      <c r="H1745" s="987"/>
      <c r="I1745" s="987"/>
      <c r="J1745" s="987"/>
      <c r="K1745" s="987"/>
      <c r="L1745" s="987"/>
      <c r="M1745" s="987"/>
      <c r="N1745" s="987"/>
      <c r="O1745" s="987"/>
      <c r="P1745" s="987"/>
      <c r="Q1745" s="987"/>
      <c r="R1745" s="987"/>
      <c r="S1745" s="987"/>
      <c r="T1745" s="987"/>
      <c r="U1745" s="987"/>
      <c r="V1745" s="987"/>
      <c r="W1745" s="987"/>
      <c r="X1745" s="752"/>
      <c r="Y1745" s="752"/>
      <c r="Z1745" s="974" t="s">
        <v>1122</v>
      </c>
      <c r="AA1745" s="977"/>
      <c r="AB1745" s="975"/>
      <c r="AC1745" s="977"/>
      <c r="AD1745" s="975"/>
      <c r="AE1745" s="979"/>
      <c r="AF1745" s="975"/>
      <c r="AG1745" s="979"/>
      <c r="AH1745" s="975"/>
      <c r="AI1745" s="975"/>
    </row>
    <row r="1746" spans="1:37">
      <c r="A1746" s="1"/>
      <c r="B1746" s="1"/>
      <c r="C1746" s="1"/>
      <c r="D1746" s="987" t="s">
        <v>138</v>
      </c>
      <c r="E1746" s="987"/>
      <c r="F1746" s="987"/>
      <c r="G1746" s="987"/>
      <c r="H1746" s="987"/>
      <c r="I1746" s="987"/>
      <c r="J1746" s="987"/>
      <c r="K1746" s="987"/>
      <c r="L1746" s="987"/>
      <c r="M1746" s="987"/>
      <c r="N1746" s="987"/>
      <c r="O1746" s="987"/>
      <c r="P1746" s="987"/>
      <c r="Q1746" s="987"/>
      <c r="R1746" s="987"/>
      <c r="S1746" s="987"/>
      <c r="T1746" s="987"/>
      <c r="U1746" s="987"/>
      <c r="V1746" s="987"/>
      <c r="W1746" s="987"/>
      <c r="X1746" s="752"/>
      <c r="Y1746" s="752"/>
      <c r="Z1746" s="975"/>
      <c r="AA1746" s="981">
        <f t="shared" ref="AA1746:AG1746" si="2014">+AA1724/AA$1753</f>
        <v>0.15264977107158692</v>
      </c>
      <c r="AB1746" s="982">
        <f t="shared" si="2014"/>
        <v>0.16076485184644579</v>
      </c>
      <c r="AC1746" s="981">
        <f t="shared" si="2014"/>
        <v>0.15263245024534919</v>
      </c>
      <c r="AD1746" s="982">
        <f t="shared" si="2014"/>
        <v>0.16022445517421374</v>
      </c>
      <c r="AE1746" s="983">
        <f t="shared" si="2014"/>
        <v>0.15629785816989056</v>
      </c>
      <c r="AF1746" s="982">
        <f t="shared" si="2014"/>
        <v>0.16130910784998836</v>
      </c>
      <c r="AG1746" s="983">
        <f t="shared" si="2014"/>
        <v>0.16274269126855651</v>
      </c>
      <c r="AH1746" s="982"/>
      <c r="AI1746" s="982">
        <f>+AI1724/AI$1753</f>
        <v>0.15004067723859257</v>
      </c>
    </row>
    <row r="1747" spans="1:37">
      <c r="A1747" s="1"/>
      <c r="B1747" s="1"/>
      <c r="C1747" s="1"/>
      <c r="D1747" s="987" t="s">
        <v>1129</v>
      </c>
      <c r="E1747" s="987"/>
      <c r="F1747" s="987"/>
      <c r="G1747" s="987"/>
      <c r="H1747" s="987"/>
      <c r="I1747" s="987"/>
      <c r="J1747" s="987"/>
      <c r="K1747" s="987"/>
      <c r="L1747" s="987"/>
      <c r="M1747" s="987"/>
      <c r="N1747" s="987"/>
      <c r="O1747" s="987"/>
      <c r="P1747" s="987"/>
      <c r="Q1747" s="987"/>
      <c r="R1747" s="987"/>
      <c r="S1747" s="987"/>
      <c r="T1747" s="987"/>
      <c r="U1747" s="987"/>
      <c r="V1747" s="987"/>
      <c r="W1747" s="987"/>
      <c r="X1747" s="752"/>
      <c r="Y1747" s="752"/>
      <c r="Z1747" s="975"/>
      <c r="AA1747" s="981">
        <f t="shared" ref="AA1747:AG1747" si="2015">+(AA1730+AA1732)/AA1753</f>
        <v>0.158088501537577</v>
      </c>
      <c r="AB1747" s="982">
        <f t="shared" si="2015"/>
        <v>0.16777112830243762</v>
      </c>
      <c r="AC1747" s="981">
        <f t="shared" si="2015"/>
        <v>0.16359371318938348</v>
      </c>
      <c r="AD1747" s="982">
        <f t="shared" si="2015"/>
        <v>0.16019835573535168</v>
      </c>
      <c r="AE1747" s="983">
        <f t="shared" si="2015"/>
        <v>0.16683132241777576</v>
      </c>
      <c r="AF1747" s="982">
        <f t="shared" si="2015"/>
        <v>0.16066853016538551</v>
      </c>
      <c r="AG1747" s="983">
        <f t="shared" si="2015"/>
        <v>0.17650252087224233</v>
      </c>
      <c r="AH1747" s="982"/>
      <c r="AI1747" s="982">
        <f>+(AI1730+AI1732)/AI1753</f>
        <v>0.2086494859560675</v>
      </c>
    </row>
    <row r="1748" spans="1:37">
      <c r="A1748" s="1"/>
      <c r="B1748" s="1"/>
      <c r="C1748" s="1"/>
      <c r="D1748" s="987" t="s">
        <v>1130</v>
      </c>
      <c r="E1748" s="987"/>
      <c r="F1748" s="987"/>
      <c r="G1748" s="987"/>
      <c r="H1748" s="987"/>
      <c r="I1748" s="987"/>
      <c r="J1748" s="987"/>
      <c r="K1748" s="987"/>
      <c r="L1748" s="987"/>
      <c r="M1748" s="987"/>
      <c r="N1748" s="987"/>
      <c r="O1748" s="987"/>
      <c r="P1748" s="987"/>
      <c r="Q1748" s="987"/>
      <c r="R1748" s="987"/>
      <c r="S1748" s="987"/>
      <c r="T1748" s="987"/>
      <c r="U1748" s="987"/>
      <c r="V1748" s="987"/>
      <c r="W1748" s="987"/>
      <c r="X1748" s="752"/>
      <c r="Y1748" s="752"/>
      <c r="Z1748" s="975"/>
      <c r="AA1748" s="981">
        <f t="shared" ref="AA1748:AG1748" si="2016">+AA1731/AA1753</f>
        <v>0.10967275028942972</v>
      </c>
      <c r="AB1748" s="982">
        <f t="shared" si="2016"/>
        <v>0.10829076047292366</v>
      </c>
      <c r="AC1748" s="981">
        <f t="shared" si="2016"/>
        <v>0.10498476294122601</v>
      </c>
      <c r="AD1748" s="982">
        <f t="shared" si="2016"/>
        <v>0.10430640741224063</v>
      </c>
      <c r="AE1748" s="983">
        <f t="shared" si="2016"/>
        <v>0.10606535683472555</v>
      </c>
      <c r="AF1748" s="982">
        <f t="shared" si="2016"/>
        <v>0.10499650593990216</v>
      </c>
      <c r="AG1748" s="983">
        <f t="shared" si="2016"/>
        <v>0.12293063151087197</v>
      </c>
      <c r="AH1748" s="982"/>
      <c r="AI1748" s="982">
        <f>+AI1731/AI1753</f>
        <v>0.13794417539627654</v>
      </c>
    </row>
    <row r="1749" spans="1:37">
      <c r="A1749" s="1"/>
      <c r="B1749" s="1"/>
      <c r="C1749" s="1"/>
      <c r="D1749" s="987" t="s">
        <v>1131</v>
      </c>
      <c r="E1749" s="987"/>
      <c r="F1749" s="987"/>
      <c r="G1749" s="987"/>
      <c r="H1749" s="987"/>
      <c r="I1749" s="987"/>
      <c r="J1749" s="987"/>
      <c r="K1749" s="987"/>
      <c r="L1749" s="987"/>
      <c r="M1749" s="987"/>
      <c r="N1749" s="987"/>
      <c r="O1749" s="987"/>
      <c r="P1749" s="987"/>
      <c r="Q1749" s="987"/>
      <c r="R1749" s="987"/>
      <c r="S1749" s="987"/>
      <c r="T1749" s="987"/>
      <c r="U1749" s="987"/>
      <c r="V1749" s="987"/>
      <c r="W1749" s="987"/>
      <c r="X1749" s="752"/>
      <c r="Y1749" s="752"/>
      <c r="Z1749" s="975"/>
      <c r="AA1749" s="981">
        <f t="shared" ref="AA1749:AE1750" si="2017">+AA1734/AA$1753</f>
        <v>-3.2501491659711952E-2</v>
      </c>
      <c r="AB1749" s="982">
        <f t="shared" si="2017"/>
        <v>-4.7321558896511462E-2</v>
      </c>
      <c r="AC1749" s="981">
        <f t="shared" si="2017"/>
        <v>-4.5221473291247989E-2</v>
      </c>
      <c r="AD1749" s="982">
        <f t="shared" si="2017"/>
        <v>-3.7178650659010812E-2</v>
      </c>
      <c r="AE1749" s="983">
        <f t="shared" si="2017"/>
        <v>-4.5799319872380763E-2</v>
      </c>
      <c r="AF1749" s="982">
        <f>+AF1734/AF$1753</f>
        <v>-4.0449569065921287E-2</v>
      </c>
      <c r="AG1749" s="983">
        <f>+AG1734/AG$1753</f>
        <v>-6.2704889787078597E-2</v>
      </c>
      <c r="AH1749" s="982"/>
      <c r="AI1749" s="982">
        <f>+AI1734/AI$1753</f>
        <v>-0.12477063002959958</v>
      </c>
    </row>
    <row r="1750" spans="1:37">
      <c r="A1750" s="1"/>
      <c r="B1750" s="1"/>
      <c r="C1750" s="1"/>
      <c r="D1750" s="987" t="s">
        <v>1132</v>
      </c>
      <c r="E1750" s="987"/>
      <c r="F1750" s="987"/>
      <c r="G1750" s="987"/>
      <c r="H1750" s="987"/>
      <c r="I1750" s="987"/>
      <c r="J1750" s="987"/>
      <c r="K1750" s="987"/>
      <c r="L1750" s="987"/>
      <c r="M1750" s="987"/>
      <c r="N1750" s="987"/>
      <c r="O1750" s="987"/>
      <c r="P1750" s="987"/>
      <c r="Q1750" s="987"/>
      <c r="R1750" s="987"/>
      <c r="S1750" s="987"/>
      <c r="T1750" s="987"/>
      <c r="U1750" s="987"/>
      <c r="V1750" s="987"/>
      <c r="W1750" s="987"/>
      <c r="X1750" s="752"/>
      <c r="Y1750" s="752"/>
      <c r="Z1750" s="975"/>
      <c r="AA1750" s="981">
        <f t="shared" si="2017"/>
        <v>-8.9535981248866081E-2</v>
      </c>
      <c r="AB1750" s="982">
        <f t="shared" si="2017"/>
        <v>-9.4993431615822521E-2</v>
      </c>
      <c r="AC1750" s="981">
        <f t="shared" si="2017"/>
        <v>-9.0864559266713718E-2</v>
      </c>
      <c r="AD1750" s="982">
        <f t="shared" si="2017"/>
        <v>-8.1586845882813494E-2</v>
      </c>
      <c r="AE1750" s="983">
        <f t="shared" si="2017"/>
        <v>-9.0573356407898542E-2</v>
      </c>
      <c r="AF1750" s="982">
        <f>+AF1735/AF$1753</f>
        <v>-8.4020498485907313E-2</v>
      </c>
      <c r="AG1750" s="983">
        <f>+AG1735/AG$1753</f>
        <v>-0.107987480347335</v>
      </c>
      <c r="AH1750" s="982"/>
      <c r="AI1750" s="982">
        <f>+AI1735/AI$1753</f>
        <v>-0.17080539221563837</v>
      </c>
    </row>
    <row r="1751" spans="1:37">
      <c r="A1751" s="1"/>
      <c r="B1751" s="1"/>
      <c r="C1751" s="1"/>
      <c r="D1751" s="987" t="s">
        <v>1133</v>
      </c>
      <c r="E1751" s="987"/>
      <c r="F1751" s="987"/>
      <c r="G1751" s="987"/>
      <c r="H1751" s="987"/>
      <c r="I1751" s="987"/>
      <c r="J1751" s="987"/>
      <c r="K1751" s="987"/>
      <c r="L1751" s="987"/>
      <c r="M1751" s="987"/>
      <c r="N1751" s="987"/>
      <c r="O1751" s="987"/>
      <c r="P1751" s="987"/>
      <c r="Q1751" s="987"/>
      <c r="R1751" s="987"/>
      <c r="S1751" s="987"/>
      <c r="T1751" s="987"/>
      <c r="U1751" s="987"/>
      <c r="V1751" s="987"/>
      <c r="W1751" s="987"/>
      <c r="X1751" s="752"/>
      <c r="Y1751" s="752"/>
      <c r="Z1751" s="975"/>
      <c r="AA1751" s="981">
        <f t="shared" ref="AA1751:AG1751" si="2018">+AA1742/AA1753</f>
        <v>3.4245098071065072E-2</v>
      </c>
      <c r="AB1751" s="982">
        <f t="shared" si="2018"/>
        <v>5.1102028900890384E-2</v>
      </c>
      <c r="AC1751" s="981">
        <f t="shared" si="2018"/>
        <v>2.2385537042946733E-2</v>
      </c>
      <c r="AD1751" s="982">
        <f t="shared" si="2018"/>
        <v>4.3494714863630435E-2</v>
      </c>
      <c r="AE1751" s="983">
        <f t="shared" si="2018"/>
        <v>4.4414811736180955E-2</v>
      </c>
      <c r="AF1751" s="982">
        <f t="shared" si="2018"/>
        <v>4.758909853249476E-2</v>
      </c>
      <c r="AG1751" s="983">
        <f t="shared" si="2018"/>
        <v>5.1423717210798747E-2</v>
      </c>
      <c r="AH1751" s="982"/>
      <c r="AI1751" s="982">
        <f>+AI1742/AI1753</f>
        <v>0.12119098888632657</v>
      </c>
    </row>
    <row r="1752" spans="1:37">
      <c r="A1752" s="1"/>
      <c r="B1752" s="1"/>
      <c r="C1752" s="1"/>
      <c r="D1752" s="987" t="s">
        <v>873</v>
      </c>
      <c r="E1752" s="987"/>
      <c r="F1752" s="987"/>
      <c r="G1752" s="987"/>
      <c r="H1752" s="987"/>
      <c r="I1752" s="987"/>
      <c r="J1752" s="987"/>
      <c r="K1752" s="987"/>
      <c r="L1752" s="987"/>
      <c r="M1752" s="987"/>
      <c r="N1752" s="987"/>
      <c r="O1752" s="987"/>
      <c r="P1752" s="987"/>
      <c r="Q1752" s="987"/>
      <c r="R1752" s="987"/>
      <c r="S1752" s="987"/>
      <c r="T1752" s="987"/>
      <c r="U1752" s="987"/>
      <c r="V1752" s="987"/>
      <c r="W1752" s="987"/>
      <c r="X1752" s="752"/>
      <c r="Y1752" s="752"/>
      <c r="Z1752" s="975"/>
      <c r="AA1752" s="981">
        <f t="shared" ref="AA1752:AG1752" si="2019">+AA1743/AA1753</f>
        <v>7.1855398906035929E-3</v>
      </c>
      <c r="AB1752" s="982">
        <f t="shared" si="2019"/>
        <v>-8.9038096628229449E-4</v>
      </c>
      <c r="AC1752" s="981">
        <f t="shared" si="2019"/>
        <v>3.3952541787922036E-3</v>
      </c>
      <c r="AD1752" s="982">
        <f t="shared" si="2019"/>
        <v>-3.1841315411718645E-3</v>
      </c>
      <c r="AE1752" s="983">
        <f t="shared" si="2019"/>
        <v>5.3589863688804987E-3</v>
      </c>
      <c r="AF1752" s="982">
        <f t="shared" si="2019"/>
        <v>-2.7719543442813882E-3</v>
      </c>
      <c r="AG1752" s="983">
        <f t="shared" si="2019"/>
        <v>6.2019622184349464E-3</v>
      </c>
      <c r="AH1752" s="982"/>
      <c r="AI1752" s="982">
        <f>+AI1743/AI1753</f>
        <v>9.4451656789924805E-3</v>
      </c>
    </row>
    <row r="1753" spans="1:37">
      <c r="A1753" s="1"/>
      <c r="B1753" s="1"/>
      <c r="C1753" s="1"/>
      <c r="D1753" s="987" t="s">
        <v>225</v>
      </c>
      <c r="E1753" s="987"/>
      <c r="F1753" s="987"/>
      <c r="G1753" s="987"/>
      <c r="H1753" s="987"/>
      <c r="I1753" s="987"/>
      <c r="J1753" s="987"/>
      <c r="K1753" s="987"/>
      <c r="L1753" s="987"/>
      <c r="M1753" s="987"/>
      <c r="N1753" s="987"/>
      <c r="O1753" s="987"/>
      <c r="P1753" s="987"/>
      <c r="Q1753" s="987"/>
      <c r="R1753" s="987"/>
      <c r="S1753" s="987"/>
      <c r="T1753" s="987"/>
      <c r="U1753" s="987"/>
      <c r="V1753" s="987"/>
      <c r="W1753" s="987"/>
      <c r="X1753" s="752"/>
      <c r="Y1753" s="752"/>
      <c r="Z1753" s="975"/>
      <c r="AA1753" s="979">
        <f>+AA284</f>
        <v>6553</v>
      </c>
      <c r="AB1753" s="975">
        <v>6851</v>
      </c>
      <c r="AC1753" s="979">
        <f>+AB284</f>
        <v>7234</v>
      </c>
      <c r="AD1753" s="975">
        <v>7663</v>
      </c>
      <c r="AE1753" s="979">
        <f>+AC284</f>
        <v>8016</v>
      </c>
      <c r="AF1753" s="975">
        <v>8586</v>
      </c>
      <c r="AG1753" s="979">
        <f>+AD284</f>
        <v>8718</v>
      </c>
      <c r="AH1753" s="975"/>
      <c r="AI1753" s="975">
        <f>+AE284</f>
        <v>9386</v>
      </c>
    </row>
    <row r="1754" spans="1:37">
      <c r="A1754" s="1"/>
      <c r="B1754" s="1"/>
      <c r="C1754" s="1"/>
      <c r="D1754" s="605" t="s">
        <v>828</v>
      </c>
    </row>
    <row r="1757" spans="1:37" ht="16" thickBot="1">
      <c r="D1757" s="92" t="s">
        <v>3280</v>
      </c>
      <c r="E1757" s="1763" t="s">
        <v>3273</v>
      </c>
    </row>
    <row r="1758" spans="1:37">
      <c r="D1758" s="1747" t="s">
        <v>3257</v>
      </c>
      <c r="E1758" s="1765" t="s">
        <v>3279</v>
      </c>
      <c r="F1758" s="1748"/>
      <c r="G1758" s="1748"/>
      <c r="H1758" s="1748"/>
      <c r="I1758" s="1748"/>
      <c r="J1758" s="1748"/>
      <c r="K1758" s="1748"/>
      <c r="L1758" s="1748"/>
      <c r="M1758" s="1748"/>
      <c r="N1758" s="1748"/>
      <c r="O1758" s="1748"/>
      <c r="P1758" s="1748"/>
      <c r="Q1758" s="1748"/>
      <c r="R1758" s="1748"/>
      <c r="S1758" s="1748"/>
      <c r="T1758" s="1748"/>
      <c r="U1758" s="1749"/>
      <c r="V1758" s="1748"/>
      <c r="W1758" s="1749"/>
      <c r="X1758" s="1748"/>
      <c r="Y1758" s="1749"/>
      <c r="Z1758" s="1748"/>
      <c r="AA1758" s="1749"/>
      <c r="AB1758" s="1749"/>
      <c r="AC1758" s="1750" t="s">
        <v>201</v>
      </c>
      <c r="AD1758" s="1750" t="s">
        <v>202</v>
      </c>
      <c r="AE1758" s="1750" t="s">
        <v>203</v>
      </c>
      <c r="AF1758" s="1750" t="s">
        <v>1114</v>
      </c>
      <c r="AG1758" s="1750" t="s">
        <v>1140</v>
      </c>
      <c r="AH1758" s="1750" t="s">
        <v>1141</v>
      </c>
      <c r="AI1758" s="1750" t="s">
        <v>1142</v>
      </c>
      <c r="AJ1758" s="1750" t="s">
        <v>1143</v>
      </c>
      <c r="AK1758" s="1750" t="s">
        <v>1144</v>
      </c>
    </row>
    <row r="1759" spans="1:37">
      <c r="D1759" s="1751" t="s">
        <v>3274</v>
      </c>
      <c r="E1759" s="1752"/>
      <c r="F1759" s="1752"/>
      <c r="G1759" s="1752"/>
      <c r="H1759" s="1752"/>
      <c r="I1759" s="1752"/>
      <c r="J1759" s="1752"/>
      <c r="K1759" s="1752"/>
      <c r="L1759" s="1752"/>
      <c r="M1759" s="1752"/>
      <c r="N1759" s="1752"/>
      <c r="O1759" s="1752"/>
      <c r="P1759" s="1752"/>
      <c r="Q1759" s="1752"/>
      <c r="R1759" s="1752"/>
      <c r="S1759" s="1752"/>
      <c r="T1759" s="1752"/>
      <c r="U1759" s="1753"/>
      <c r="V1759" s="1752"/>
      <c r="W1759" s="1753"/>
      <c r="X1759" s="1752"/>
      <c r="Y1759" s="1753"/>
      <c r="Z1759" s="1752"/>
      <c r="AA1759" s="1753"/>
      <c r="AB1759" s="1753"/>
      <c r="AC1759" s="1754">
        <f t="shared" ref="AC1759:AK1759" si="2020">+AC1760+AC1052</f>
        <v>1461.503755922336</v>
      </c>
      <c r="AD1759" s="1754">
        <f t="shared" si="2020"/>
        <v>1670.2773135815255</v>
      </c>
      <c r="AE1759" s="1754">
        <f t="shared" si="2020"/>
        <v>1765.5317433201858</v>
      </c>
      <c r="AF1759" s="1754">
        <f t="shared" si="2020"/>
        <v>2007.1030292870055</v>
      </c>
      <c r="AG1759" s="1754">
        <f t="shared" si="2020"/>
        <v>2277.9986459098222</v>
      </c>
      <c r="AH1759" s="1754">
        <f t="shared" si="2020"/>
        <v>2688.2599377113861</v>
      </c>
      <c r="AI1759" s="1754">
        <f t="shared" si="2020"/>
        <v>3053.3369521394116</v>
      </c>
      <c r="AJ1759" s="1754">
        <f t="shared" si="2020"/>
        <v>3659.347753320827</v>
      </c>
      <c r="AK1759" s="1754">
        <f t="shared" si="2020"/>
        <v>4252.6287025465917</v>
      </c>
    </row>
    <row r="1760" spans="1:37">
      <c r="D1760" s="1755" t="s">
        <v>138</v>
      </c>
      <c r="E1760" s="1752"/>
      <c r="F1760" s="1752"/>
      <c r="G1760" s="1752"/>
      <c r="H1760" s="1752"/>
      <c r="I1760" s="1752"/>
      <c r="J1760" s="1752"/>
      <c r="K1760" s="1752"/>
      <c r="L1760" s="1752"/>
      <c r="M1760" s="1752"/>
      <c r="N1760" s="1752"/>
      <c r="O1760" s="1752"/>
      <c r="P1760" s="1752"/>
      <c r="Q1760" s="1752"/>
      <c r="R1760" s="1752"/>
      <c r="S1760" s="1752"/>
      <c r="T1760" s="1752"/>
      <c r="U1760" s="1753"/>
      <c r="V1760" s="1752"/>
      <c r="W1760" s="1753"/>
      <c r="X1760" s="1752"/>
      <c r="Y1760" s="1753"/>
      <c r="Z1760" s="1752"/>
      <c r="AA1760" s="1753"/>
      <c r="AB1760" s="1753"/>
      <c r="AC1760" s="1754">
        <f t="shared" ref="AC1760:AK1760" si="2021">+AC989</f>
        <v>1198.9734424605276</v>
      </c>
      <c r="AD1760" s="1754">
        <f t="shared" si="2021"/>
        <v>1402.5222584188773</v>
      </c>
      <c r="AE1760" s="1754">
        <f t="shared" si="2021"/>
        <v>1475.6087142883362</v>
      </c>
      <c r="AF1760" s="1754">
        <f t="shared" si="2021"/>
        <v>1621.6892824968349</v>
      </c>
      <c r="AG1760" s="1754">
        <f t="shared" si="2021"/>
        <v>1876.7735911488621</v>
      </c>
      <c r="AH1760" s="1754">
        <f t="shared" si="2021"/>
        <v>2287.3717968127403</v>
      </c>
      <c r="AI1760" s="1754">
        <f t="shared" si="2021"/>
        <v>2593.3215244053272</v>
      </c>
      <c r="AJ1760" s="1754">
        <f t="shared" si="2021"/>
        <v>3106.4</v>
      </c>
      <c r="AK1760" s="1754">
        <f t="shared" si="2021"/>
        <v>3708.2</v>
      </c>
    </row>
    <row r="1761" spans="3:37">
      <c r="D1761" s="1755" t="s">
        <v>3258</v>
      </c>
      <c r="E1761" s="1752"/>
      <c r="F1761" s="1752"/>
      <c r="G1761" s="1752"/>
      <c r="H1761" s="1752"/>
      <c r="I1761" s="1752"/>
      <c r="J1761" s="1752"/>
      <c r="K1761" s="1752"/>
      <c r="L1761" s="1752"/>
      <c r="M1761" s="1752"/>
      <c r="N1761" s="1752"/>
      <c r="O1761" s="1752"/>
      <c r="P1761" s="1752"/>
      <c r="Q1761" s="1752"/>
      <c r="R1761" s="1752"/>
      <c r="S1761" s="1752"/>
      <c r="T1761" s="1752"/>
      <c r="U1761" s="1753"/>
      <c r="V1761" s="1752"/>
      <c r="W1761" s="1753"/>
      <c r="X1761" s="1752"/>
      <c r="Y1761" s="1753"/>
      <c r="Z1761" s="1752"/>
      <c r="AA1761" s="1753"/>
      <c r="AB1761" s="1753"/>
      <c r="AC1761" s="1752"/>
      <c r="AD1761" s="1752"/>
      <c r="AE1761" s="1752"/>
      <c r="AF1761" s="1752"/>
      <c r="AG1761" s="1752"/>
      <c r="AH1761" s="1752"/>
      <c r="AI1761" s="1752"/>
      <c r="AJ1761" s="1752"/>
      <c r="AK1761" s="1752"/>
    </row>
    <row r="1762" spans="3:37" ht="16.5">
      <c r="C1762" s="697"/>
      <c r="D1762" s="1751" t="s">
        <v>620</v>
      </c>
      <c r="E1762" s="1752"/>
      <c r="F1762" s="1752"/>
      <c r="G1762" s="1752"/>
      <c r="H1762" s="1752"/>
      <c r="I1762" s="1752"/>
      <c r="J1762" s="1752"/>
      <c r="K1762" s="1752"/>
      <c r="L1762" s="1752"/>
      <c r="M1762" s="1752"/>
      <c r="N1762" s="1752"/>
      <c r="O1762" s="1752"/>
      <c r="P1762" s="1752"/>
      <c r="Q1762" s="1752"/>
      <c r="R1762" s="1752"/>
      <c r="S1762" s="1752"/>
      <c r="T1762" s="1752"/>
      <c r="U1762" s="1753"/>
      <c r="V1762" s="1752"/>
      <c r="W1762" s="1753"/>
      <c r="X1762" s="1752"/>
      <c r="Y1762" s="1753"/>
      <c r="Z1762" s="1752"/>
      <c r="AA1762" s="1753"/>
      <c r="AB1762" s="1753"/>
      <c r="AC1762" s="1754">
        <f t="shared" ref="AC1762:AK1762" si="2022">+AC1039</f>
        <v>358.90867686871047</v>
      </c>
      <c r="AD1762" s="1754">
        <f t="shared" si="2022"/>
        <v>394.75005785621573</v>
      </c>
      <c r="AE1762" s="1754">
        <f t="shared" si="2022"/>
        <v>437.5584046438675</v>
      </c>
      <c r="AF1762" s="1754">
        <f t="shared" si="2022"/>
        <v>561.08816780108214</v>
      </c>
      <c r="AG1762" s="1754">
        <f t="shared" si="2022"/>
        <v>824.18435942628139</v>
      </c>
      <c r="AH1762" s="1754">
        <f t="shared" si="2022"/>
        <v>711.30724575495196</v>
      </c>
      <c r="AI1762" s="1754">
        <f t="shared" si="2022"/>
        <v>757.7914095316321</v>
      </c>
      <c r="AJ1762" s="1754">
        <f t="shared" si="2022"/>
        <v>625.76873923411313</v>
      </c>
      <c r="AK1762" s="1754">
        <f t="shared" si="2022"/>
        <v>585.21500835131963</v>
      </c>
    </row>
    <row r="1763" spans="3:37" ht="16.5">
      <c r="C1763" s="696"/>
      <c r="D1763" s="1755" t="s">
        <v>3259</v>
      </c>
      <c r="E1763" s="1752"/>
      <c r="F1763" s="1752"/>
      <c r="G1763" s="1752"/>
      <c r="H1763" s="1752"/>
      <c r="I1763" s="1752"/>
      <c r="J1763" s="1752"/>
      <c r="K1763" s="1752"/>
      <c r="L1763" s="1752"/>
      <c r="M1763" s="1752"/>
      <c r="N1763" s="1752"/>
      <c r="O1763" s="1752"/>
      <c r="P1763" s="1752"/>
      <c r="Q1763" s="1752"/>
      <c r="R1763" s="1752"/>
      <c r="S1763" s="1752"/>
      <c r="T1763" s="1752"/>
      <c r="U1763" s="1753"/>
      <c r="V1763" s="1752"/>
      <c r="W1763" s="1753"/>
      <c r="X1763" s="1752"/>
      <c r="Y1763" s="1753"/>
      <c r="Z1763" s="1752"/>
      <c r="AA1763" s="1753"/>
      <c r="AB1763" s="1753"/>
      <c r="AC1763" s="1752"/>
      <c r="AD1763" s="1752"/>
      <c r="AE1763" s="1752"/>
      <c r="AF1763" s="1752"/>
      <c r="AG1763" s="1752"/>
      <c r="AH1763" s="1752"/>
      <c r="AI1763" s="1752"/>
      <c r="AJ1763" s="1752"/>
      <c r="AK1763" s="1752"/>
    </row>
    <row r="1764" spans="3:37" ht="16.5">
      <c r="C1764" s="698"/>
      <c r="D1764" s="1751" t="s">
        <v>3275</v>
      </c>
      <c r="E1764" s="1752"/>
      <c r="F1764" s="1752"/>
      <c r="G1764" s="1752"/>
      <c r="H1764" s="1752"/>
      <c r="I1764" s="1752"/>
      <c r="J1764" s="1752"/>
      <c r="K1764" s="1752"/>
      <c r="L1764" s="1752"/>
      <c r="M1764" s="1752"/>
      <c r="N1764" s="1752"/>
      <c r="O1764" s="1752"/>
      <c r="P1764" s="1752"/>
      <c r="Q1764" s="1752"/>
      <c r="R1764" s="1752"/>
      <c r="S1764" s="1752"/>
      <c r="T1764" s="1752"/>
      <c r="U1764" s="1753"/>
      <c r="V1764" s="1752"/>
      <c r="W1764" s="1753"/>
      <c r="X1764" s="1752"/>
      <c r="Y1764" s="1753"/>
      <c r="Z1764" s="1752"/>
      <c r="AA1764" s="1753"/>
      <c r="AB1764" s="1753"/>
      <c r="AC1764" s="1754">
        <f t="shared" ref="AC1764:AK1764" si="2023">+AC1076</f>
        <v>1436.9221960448904</v>
      </c>
      <c r="AD1764" s="1754">
        <f t="shared" si="2023"/>
        <v>1666.8635925906065</v>
      </c>
      <c r="AE1764" s="1754">
        <f t="shared" si="2023"/>
        <v>1901.1315501950596</v>
      </c>
      <c r="AF1764" s="1754">
        <f t="shared" si="2023"/>
        <v>2089.3574379793054</v>
      </c>
      <c r="AG1764" s="1754">
        <f t="shared" si="2023"/>
        <v>2467.9009633912874</v>
      </c>
      <c r="AH1764" s="1754">
        <f t="shared" si="2023"/>
        <v>2856.6946330541014</v>
      </c>
      <c r="AI1764" s="1754">
        <f t="shared" si="2023"/>
        <v>3172.9419577729877</v>
      </c>
      <c r="AJ1764" s="1754">
        <f t="shared" si="2023"/>
        <v>3549.5443813801176</v>
      </c>
      <c r="AK1764" s="1754">
        <f t="shared" si="2023"/>
        <v>4039.902522731179</v>
      </c>
    </row>
    <row r="1765" spans="3:37" ht="16.5">
      <c r="C1765" s="699"/>
      <c r="D1765" s="1755" t="s">
        <v>3260</v>
      </c>
      <c r="E1765" s="1752"/>
      <c r="F1765" s="1752"/>
      <c r="G1765" s="1752"/>
      <c r="H1765" s="1752"/>
      <c r="I1765" s="1752"/>
      <c r="J1765" s="1752"/>
      <c r="K1765" s="1752"/>
      <c r="L1765" s="1752"/>
      <c r="M1765" s="1752"/>
      <c r="N1765" s="1752"/>
      <c r="O1765" s="1752"/>
      <c r="P1765" s="1752"/>
      <c r="Q1765" s="1752"/>
      <c r="R1765" s="1752"/>
      <c r="S1765" s="1752"/>
      <c r="T1765" s="1752"/>
      <c r="U1765" s="1753"/>
      <c r="V1765" s="1752"/>
      <c r="W1765" s="1753"/>
      <c r="X1765" s="1752"/>
      <c r="Y1765" s="1753"/>
      <c r="Z1765" s="1752"/>
      <c r="AA1765" s="1753"/>
      <c r="AB1765" s="1753"/>
      <c r="AC1765" s="1752"/>
      <c r="AD1765" s="1752"/>
      <c r="AE1765" s="1764">
        <f t="shared" ref="AE1765:AK1765" si="2024">+AE1078+AE1082+AE1084+AE1109+AE1121+AE1128</f>
        <v>97.6</v>
      </c>
      <c r="AF1765" s="1764">
        <f t="shared" si="2024"/>
        <v>54.219483155067408</v>
      </c>
      <c r="AG1765" s="1764">
        <f t="shared" si="2024"/>
        <v>0</v>
      </c>
      <c r="AH1765" s="1764">
        <f t="shared" si="2024"/>
        <v>0</v>
      </c>
      <c r="AI1765" s="1764">
        <f t="shared" si="2024"/>
        <v>1.2</v>
      </c>
      <c r="AJ1765" s="1764">
        <f t="shared" si="2024"/>
        <v>7.3440856232414617</v>
      </c>
      <c r="AK1765" s="1764">
        <f t="shared" si="2024"/>
        <v>0</v>
      </c>
    </row>
    <row r="1766" spans="3:37" ht="16.5">
      <c r="C1766" s="700"/>
      <c r="D1766" s="1755" t="s">
        <v>3261</v>
      </c>
      <c r="E1766" s="1752"/>
      <c r="F1766" s="1752"/>
      <c r="G1766" s="1752"/>
      <c r="H1766" s="1752"/>
      <c r="I1766" s="1752"/>
      <c r="J1766" s="1752"/>
      <c r="K1766" s="1752"/>
      <c r="L1766" s="1752"/>
      <c r="M1766" s="1752"/>
      <c r="N1766" s="1752"/>
      <c r="O1766" s="1752"/>
      <c r="P1766" s="1752"/>
      <c r="Q1766" s="1752"/>
      <c r="R1766" s="1752"/>
      <c r="S1766" s="1752"/>
      <c r="T1766" s="1752"/>
      <c r="U1766" s="1753"/>
      <c r="V1766" s="1752"/>
      <c r="W1766" s="1753"/>
      <c r="X1766" s="1752"/>
      <c r="Y1766" s="1753"/>
      <c r="Z1766" s="1752"/>
      <c r="AA1766" s="1753"/>
      <c r="AB1766" s="1753"/>
      <c r="AC1766" s="1752"/>
      <c r="AD1766" s="1752"/>
      <c r="AE1766" s="1752"/>
      <c r="AF1766" s="1752"/>
      <c r="AG1766" s="1752"/>
      <c r="AH1766" s="1752"/>
      <c r="AI1766" s="1752"/>
      <c r="AJ1766" s="1752"/>
      <c r="AK1766" s="1752"/>
    </row>
    <row r="1767" spans="3:37" ht="16.5">
      <c r="C1767" s="701"/>
      <c r="D1767" s="1755" t="s">
        <v>3262</v>
      </c>
      <c r="E1767" s="1752"/>
      <c r="F1767" s="1752"/>
      <c r="G1767" s="1752"/>
      <c r="H1767" s="1752"/>
      <c r="I1767" s="1752"/>
      <c r="J1767" s="1752"/>
      <c r="K1767" s="1752"/>
      <c r="L1767" s="1752"/>
      <c r="M1767" s="1752"/>
      <c r="N1767" s="1752"/>
      <c r="O1767" s="1752"/>
      <c r="P1767" s="1752"/>
      <c r="Q1767" s="1752"/>
      <c r="R1767" s="1752"/>
      <c r="S1767" s="1752"/>
      <c r="T1767" s="1752"/>
      <c r="U1767" s="1753"/>
      <c r="V1767" s="1752"/>
      <c r="W1767" s="1753"/>
      <c r="X1767" s="1752"/>
      <c r="Y1767" s="1753"/>
      <c r="Z1767" s="1752"/>
      <c r="AA1767" s="1753"/>
      <c r="AB1767" s="1753"/>
      <c r="AC1767" s="1752"/>
      <c r="AD1767" s="1752"/>
      <c r="AE1767" s="1752"/>
      <c r="AF1767" s="1752"/>
      <c r="AG1767" s="1752"/>
      <c r="AH1767" s="1752"/>
      <c r="AI1767" s="1752"/>
      <c r="AJ1767" s="1752"/>
      <c r="AK1767" s="1752"/>
    </row>
    <row r="1768" spans="3:37" ht="16.5">
      <c r="C1768" s="700"/>
      <c r="D1768" s="1751" t="s">
        <v>3276</v>
      </c>
      <c r="E1768" s="1752"/>
      <c r="F1768" s="1752"/>
      <c r="G1768" s="1752"/>
      <c r="H1768" s="1752"/>
      <c r="I1768" s="1752"/>
      <c r="J1768" s="1752"/>
      <c r="K1768" s="1752"/>
      <c r="L1768" s="1752"/>
      <c r="M1768" s="1752"/>
      <c r="N1768" s="1752"/>
      <c r="O1768" s="1752"/>
      <c r="P1768" s="1752"/>
      <c r="Q1768" s="1752"/>
      <c r="R1768" s="1752"/>
      <c r="S1768" s="1752"/>
      <c r="T1768" s="1752"/>
      <c r="U1768" s="1753"/>
      <c r="V1768" s="1752"/>
      <c r="W1768" s="1753"/>
      <c r="X1768" s="1752"/>
      <c r="Y1768" s="1753"/>
      <c r="Z1768" s="1752"/>
      <c r="AA1768" s="1753"/>
      <c r="AB1768" s="1753"/>
      <c r="AC1768" s="1754">
        <f t="shared" ref="AC1768:AK1768" si="2025">+AC1133</f>
        <v>680.76867016215999</v>
      </c>
      <c r="AD1768" s="1754">
        <f t="shared" si="2025"/>
        <v>914.67796591778165</v>
      </c>
      <c r="AE1768" s="1754">
        <f t="shared" si="2025"/>
        <v>1033.0979244993659</v>
      </c>
      <c r="AF1768" s="1754">
        <f t="shared" si="2025"/>
        <v>1254.856355703309</v>
      </c>
      <c r="AG1768" s="1754">
        <f t="shared" si="2025"/>
        <v>1593.17841072333</v>
      </c>
      <c r="AH1768" s="1754">
        <f t="shared" si="2025"/>
        <v>1518.4242141577595</v>
      </c>
      <c r="AI1768" s="1754">
        <f t="shared" si="2025"/>
        <v>1754.9915240248883</v>
      </c>
      <c r="AJ1768" s="1754">
        <f t="shared" si="2025"/>
        <v>1674.3381377769974</v>
      </c>
      <c r="AK1768" s="1754">
        <f t="shared" si="2025"/>
        <v>1708.6295175800399</v>
      </c>
    </row>
    <row r="1769" spans="3:37" ht="16.5">
      <c r="C1769" s="701"/>
      <c r="D1769" s="1755" t="s">
        <v>3263</v>
      </c>
      <c r="E1769" s="1752"/>
      <c r="F1769" s="1752"/>
      <c r="G1769" s="1752"/>
      <c r="H1769" s="1752"/>
      <c r="I1769" s="1752"/>
      <c r="J1769" s="1752"/>
      <c r="K1769" s="1752"/>
      <c r="L1769" s="1752"/>
      <c r="M1769" s="1752"/>
      <c r="N1769" s="1752"/>
      <c r="O1769" s="1752"/>
      <c r="P1769" s="1752"/>
      <c r="Q1769" s="1752"/>
      <c r="R1769" s="1752"/>
      <c r="S1769" s="1752"/>
      <c r="T1769" s="1752"/>
      <c r="U1769" s="1753"/>
      <c r="V1769" s="1752"/>
      <c r="W1769" s="1753"/>
      <c r="X1769" s="1752"/>
      <c r="Y1769" s="1753"/>
      <c r="Z1769" s="1752"/>
      <c r="AA1769" s="1753"/>
      <c r="AB1769" s="1753"/>
      <c r="AC1769" s="1752"/>
      <c r="AD1769" s="1752"/>
      <c r="AE1769" s="1764">
        <f t="shared" ref="AE1769:AK1769" si="2026">+AE1135+AE1140</f>
        <v>136.05026087600001</v>
      </c>
      <c r="AF1769" s="1764">
        <f t="shared" si="2026"/>
        <v>0</v>
      </c>
      <c r="AG1769" s="1764">
        <f t="shared" si="2026"/>
        <v>0</v>
      </c>
      <c r="AH1769" s="1764">
        <f t="shared" si="2026"/>
        <v>0</v>
      </c>
      <c r="AI1769" s="1764">
        <f t="shared" si="2026"/>
        <v>0</v>
      </c>
      <c r="AJ1769" s="1764">
        <f t="shared" si="2026"/>
        <v>0</v>
      </c>
      <c r="AK1769" s="1764">
        <f t="shared" si="2026"/>
        <v>0</v>
      </c>
    </row>
    <row r="1770" spans="3:37" ht="16.5">
      <c r="C1770" s="700"/>
      <c r="D1770" s="1751" t="s">
        <v>3277</v>
      </c>
      <c r="E1770" s="1752"/>
      <c r="F1770" s="1752"/>
      <c r="G1770" s="1752"/>
      <c r="H1770" s="1752"/>
      <c r="I1770" s="1752"/>
      <c r="J1770" s="1752"/>
      <c r="K1770" s="1752"/>
      <c r="L1770" s="1752"/>
      <c r="M1770" s="1752"/>
      <c r="N1770" s="1752"/>
      <c r="O1770" s="1752"/>
      <c r="P1770" s="1752"/>
      <c r="Q1770" s="1752"/>
      <c r="R1770" s="1752"/>
      <c r="S1770" s="1752"/>
      <c r="T1770" s="1752"/>
      <c r="U1770" s="1753"/>
      <c r="V1770" s="1752"/>
      <c r="W1770" s="1753"/>
      <c r="X1770" s="1752"/>
      <c r="Y1770" s="1753"/>
      <c r="Z1770" s="1752"/>
      <c r="AA1770" s="1753"/>
      <c r="AB1770" s="1753"/>
      <c r="AC1770" s="1754">
        <f t="shared" ref="AC1770:AK1770" si="2027">+AC1193+AC1202</f>
        <v>57.010220723000003</v>
      </c>
      <c r="AD1770" s="1754">
        <f t="shared" si="2027"/>
        <v>29.968757732</v>
      </c>
      <c r="AE1770" s="1754">
        <f t="shared" si="2027"/>
        <v>103.647563932</v>
      </c>
      <c r="AF1770" s="1754">
        <f t="shared" si="2027"/>
        <v>113.76675493900001</v>
      </c>
      <c r="AG1770" s="1754">
        <f t="shared" si="2027"/>
        <v>156.930534967</v>
      </c>
      <c r="AH1770" s="1754">
        <f t="shared" si="2027"/>
        <v>141.43516662796998</v>
      </c>
      <c r="AI1770" s="1754">
        <f t="shared" si="2027"/>
        <v>111.405844319</v>
      </c>
      <c r="AJ1770" s="1754">
        <f t="shared" si="2027"/>
        <v>155.06690945537161</v>
      </c>
      <c r="AK1770" s="1754">
        <f t="shared" si="2027"/>
        <v>760.51882669682391</v>
      </c>
    </row>
    <row r="1771" spans="3:37" ht="16.5">
      <c r="C1771" s="700"/>
      <c r="D1771" s="1755" t="s">
        <v>3264</v>
      </c>
      <c r="E1771" s="1752"/>
      <c r="F1771" s="1752"/>
      <c r="G1771" s="1752"/>
      <c r="H1771" s="1752"/>
      <c r="I1771" s="1752"/>
      <c r="J1771" s="1752"/>
      <c r="K1771" s="1752"/>
      <c r="L1771" s="1752"/>
      <c r="M1771" s="1752"/>
      <c r="N1771" s="1752"/>
      <c r="O1771" s="1752"/>
      <c r="P1771" s="1752"/>
      <c r="Q1771" s="1752"/>
      <c r="R1771" s="1752"/>
      <c r="S1771" s="1752"/>
      <c r="T1771" s="1752"/>
      <c r="U1771" s="1753"/>
      <c r="V1771" s="1752"/>
      <c r="W1771" s="1753"/>
      <c r="X1771" s="1752"/>
      <c r="Y1771" s="1753"/>
      <c r="Z1771" s="1752"/>
      <c r="AA1771" s="1753"/>
      <c r="AB1771" s="1753"/>
      <c r="AC1771" s="1752"/>
      <c r="AD1771" s="1752"/>
      <c r="AE1771" s="1764">
        <f t="shared" ref="AE1771:AK1771" si="2028">+AE1200</f>
        <v>0</v>
      </c>
      <c r="AF1771" s="1764">
        <f t="shared" si="2028"/>
        <v>88.975439265999995</v>
      </c>
      <c r="AG1771" s="1764">
        <f t="shared" si="2028"/>
        <v>63.103301563999999</v>
      </c>
      <c r="AH1771" s="1764">
        <f t="shared" si="2028"/>
        <v>56.285983673969994</v>
      </c>
      <c r="AI1771" s="1764">
        <f t="shared" si="2028"/>
        <v>46.3</v>
      </c>
      <c r="AJ1771" s="1764">
        <f t="shared" si="2028"/>
        <v>43.666260758371628</v>
      </c>
      <c r="AK1771" s="1764">
        <f t="shared" si="2028"/>
        <v>24.792840755990309</v>
      </c>
    </row>
    <row r="1772" spans="3:37" ht="16.5">
      <c r="C1772" s="1150"/>
      <c r="D1772" s="1755" t="s">
        <v>3265</v>
      </c>
      <c r="E1772" s="1768" t="s">
        <v>3278</v>
      </c>
      <c r="F1772" s="1752"/>
      <c r="G1772" s="1752"/>
      <c r="H1772" s="1752"/>
      <c r="I1772" s="1752"/>
      <c r="J1772" s="1752"/>
      <c r="K1772" s="1752"/>
      <c r="L1772" s="1752"/>
      <c r="M1772" s="1752"/>
      <c r="N1772" s="1752"/>
      <c r="O1772" s="1752"/>
      <c r="P1772" s="1752"/>
      <c r="Q1772" s="1752"/>
      <c r="R1772" s="1752"/>
      <c r="S1772" s="1752"/>
      <c r="T1772" s="1752"/>
      <c r="U1772" s="1753"/>
      <c r="V1772" s="1752"/>
      <c r="W1772" s="1753"/>
      <c r="X1772" s="1752"/>
      <c r="Y1772" s="1753"/>
      <c r="Z1772" s="1752"/>
      <c r="AA1772" s="1753"/>
      <c r="AB1772" s="1753"/>
      <c r="AC1772" s="1766">
        <f>+AC1759+AC1762+-AC1764-AC1768-AC1770</f>
        <v>-354.28865413900382</v>
      </c>
      <c r="AD1772" s="1766">
        <f>+AD1759+AD1762+-AD1764-AD1768-AD1770</f>
        <v>-546.48294480264678</v>
      </c>
      <c r="AE1772" s="1767">
        <f>+AE1759+AE1762-AE1764-AE1768-AE1770</f>
        <v>-834.78689066237223</v>
      </c>
      <c r="AF1772" s="1766">
        <f t="shared" ref="AF1772:AK1772" si="2029">+AF1759+AF1762+-AF1764-AF1768-AF1770</f>
        <v>-889.789351533527</v>
      </c>
      <c r="AG1772" s="1766">
        <f t="shared" si="2029"/>
        <v>-1115.8269037455138</v>
      </c>
      <c r="AH1772" s="1766">
        <f t="shared" si="2029"/>
        <v>-1116.9868303734927</v>
      </c>
      <c r="AI1772" s="1766">
        <f t="shared" si="2029"/>
        <v>-1228.2109644458326</v>
      </c>
      <c r="AJ1772" s="1766">
        <f t="shared" si="2029"/>
        <v>-1093.8329360575465</v>
      </c>
      <c r="AK1772" s="1766">
        <f t="shared" si="2029"/>
        <v>-1671.2071561101313</v>
      </c>
    </row>
    <row r="1773" spans="3:37" ht="16.5">
      <c r="C1773" s="701"/>
      <c r="D1773" s="1751" t="s">
        <v>3267</v>
      </c>
      <c r="E1773" s="1752"/>
      <c r="F1773" s="1752"/>
      <c r="G1773" s="1752"/>
      <c r="H1773" s="1752"/>
      <c r="I1773" s="1752"/>
      <c r="J1773" s="1752"/>
      <c r="K1773" s="1752"/>
      <c r="L1773" s="1752"/>
      <c r="M1773" s="1752"/>
      <c r="N1773" s="1752"/>
      <c r="O1773" s="1752"/>
      <c r="P1773" s="1752"/>
      <c r="Q1773" s="1752"/>
      <c r="R1773" s="1752"/>
      <c r="S1773" s="1752"/>
      <c r="T1773" s="1752"/>
      <c r="U1773" s="1753"/>
      <c r="V1773" s="1752"/>
      <c r="W1773" s="1753"/>
      <c r="X1773" s="1752"/>
      <c r="Y1773" s="1753"/>
      <c r="Z1773" s="1752"/>
      <c r="AA1773" s="1753"/>
      <c r="AB1773" s="1753"/>
      <c r="AC1773" s="1756">
        <f>+(AC1759-AC1764-AC1768-AC1770)/AC1778</f>
        <v>-8.897172293010408E-2</v>
      </c>
      <c r="AD1773" s="1756">
        <f>+(AD1759-AD1764-AD1768-AD1770)/AD1778</f>
        <v>-0.10796432698541668</v>
      </c>
      <c r="AE1773" s="1756">
        <f t="shared" ref="AE1773:AK1773" si="2030">+(AE1759-AE1764-AE1768-AE1770)/AE1778</f>
        <v>-0.13555777704093752</v>
      </c>
      <c r="AF1773" s="1756">
        <f t="shared" si="2030"/>
        <v>-0.14125961633089368</v>
      </c>
      <c r="AG1773" s="1756">
        <f t="shared" si="2030"/>
        <v>-0.16169455435670904</v>
      </c>
      <c r="AH1773" s="1756">
        <f t="shared" si="2030"/>
        <v>-0.11956667818510527</v>
      </c>
      <c r="AI1773" s="1756">
        <f t="shared" si="2030"/>
        <v>-0.11190637144179098</v>
      </c>
      <c r="AJ1773" s="1756">
        <f t="shared" si="2030"/>
        <v>-8.5835494633176551E-2</v>
      </c>
      <c r="AK1773" s="1756">
        <f t="shared" si="2030"/>
        <v>-9.9606000453240945E-2</v>
      </c>
    </row>
    <row r="1774" spans="3:37" ht="16.5">
      <c r="C1774" s="1150"/>
      <c r="D1774" s="1755" t="s">
        <v>3266</v>
      </c>
      <c r="E1774" s="1752"/>
      <c r="F1774" s="1752"/>
      <c r="G1774" s="1752"/>
      <c r="H1774" s="1752"/>
      <c r="I1774" s="1752"/>
      <c r="J1774" s="1752"/>
      <c r="K1774" s="1752"/>
      <c r="L1774" s="1752"/>
      <c r="M1774" s="1752"/>
      <c r="N1774" s="1752"/>
      <c r="O1774" s="1752"/>
      <c r="P1774" s="1752"/>
      <c r="Q1774" s="1752"/>
      <c r="R1774" s="1752"/>
      <c r="S1774" s="1752"/>
      <c r="T1774" s="1752"/>
      <c r="U1774" s="1753"/>
      <c r="V1774" s="1752"/>
      <c r="W1774" s="1753"/>
      <c r="X1774" s="1752"/>
      <c r="Y1774" s="1753"/>
      <c r="Z1774" s="1752"/>
      <c r="AA1774" s="1753"/>
      <c r="AB1774" s="1753"/>
      <c r="AC1774" s="1756">
        <f>+(AC1759+AC1762-AC1764-AC1768-AC1770)/AC1778</f>
        <v>-4.4197686394586308E-2</v>
      </c>
      <c r="AD1774" s="1756">
        <f>+(AD1759+AD1762-AD1764-AD1768-AD1770)/AD1778</f>
        <v>-6.2684439642423359E-2</v>
      </c>
      <c r="AE1774" s="1756">
        <f t="shared" ref="AE1774:AK1774" si="2031">+(AE1759+AE1762-AE1764-AE1768-AE1770)/AE1778</f>
        <v>-8.893957923102197E-2</v>
      </c>
      <c r="AF1774" s="1756">
        <f t="shared" si="2031"/>
        <v>-8.6631228851477657E-2</v>
      </c>
      <c r="AG1774" s="1756">
        <f t="shared" si="2031"/>
        <v>-9.3001075491374721E-2</v>
      </c>
      <c r="AH1774" s="1756">
        <f t="shared" si="2031"/>
        <v>-7.3048644978974078E-2</v>
      </c>
      <c r="AI1774" s="1756">
        <f t="shared" si="2031"/>
        <v>-6.9206680816241206E-2</v>
      </c>
      <c r="AJ1774" s="1756">
        <f t="shared" si="2031"/>
        <v>-5.4599674134787501E-2</v>
      </c>
      <c r="AK1774" s="1756">
        <f t="shared" si="2031"/>
        <v>-7.3772658047212308E-2</v>
      </c>
    </row>
    <row r="1775" spans="3:37" ht="16.5">
      <c r="C1775" s="1150"/>
      <c r="D1775" s="1751" t="s">
        <v>1133</v>
      </c>
      <c r="E1775" s="1752"/>
      <c r="F1775" s="1752"/>
      <c r="G1775" s="1752"/>
      <c r="H1775" s="1752"/>
      <c r="I1775" s="1752"/>
      <c r="J1775" s="1752"/>
      <c r="K1775" s="1752"/>
      <c r="L1775" s="1752"/>
      <c r="M1775" s="1752"/>
      <c r="N1775" s="1752"/>
      <c r="O1775" s="1752"/>
      <c r="P1775" s="1752"/>
      <c r="Q1775" s="1752"/>
      <c r="R1775" s="1752"/>
      <c r="S1775" s="1752"/>
      <c r="T1775" s="1752"/>
      <c r="U1775" s="1753"/>
      <c r="V1775" s="1752"/>
      <c r="W1775" s="1753"/>
      <c r="X1775" s="1752"/>
      <c r="Y1775" s="1753"/>
      <c r="Z1775" s="1752"/>
      <c r="AA1775" s="1753"/>
      <c r="AB1775" s="1753"/>
      <c r="AC1775" s="1754">
        <f t="shared" ref="AC1775:AK1775" si="2032">+AC1239</f>
        <v>356.02913087722652</v>
      </c>
      <c r="AD1775" s="1754">
        <f t="shared" si="2032"/>
        <v>448.31196664374346</v>
      </c>
      <c r="AE1775" s="1754">
        <f t="shared" si="2032"/>
        <v>954.0196915780989</v>
      </c>
      <c r="AF1775" s="1754">
        <f t="shared" si="2032"/>
        <v>657.27244012948665</v>
      </c>
      <c r="AG1775" s="1754">
        <f t="shared" si="2032"/>
        <v>1031.6527436893934</v>
      </c>
      <c r="AH1775" s="1754">
        <f t="shared" si="2032"/>
        <v>808.50862296057437</v>
      </c>
      <c r="AI1775" s="1754">
        <f t="shared" si="2032"/>
        <v>1307.214153385396</v>
      </c>
      <c r="AJ1775" s="1754">
        <f t="shared" si="2032"/>
        <v>1284.6235034647552</v>
      </c>
      <c r="AK1775" s="1754">
        <f t="shared" si="2032"/>
        <v>1811.7874124057805</v>
      </c>
    </row>
    <row r="1776" spans="3:37" ht="16.5">
      <c r="C1776" s="700"/>
      <c r="D1776" s="1755" t="s">
        <v>3268</v>
      </c>
      <c r="E1776" s="1752"/>
      <c r="F1776" s="1752"/>
      <c r="G1776" s="1752"/>
      <c r="H1776" s="1752"/>
      <c r="I1776" s="1752"/>
      <c r="J1776" s="1752"/>
      <c r="K1776" s="1752"/>
      <c r="L1776" s="1752"/>
      <c r="M1776" s="1752"/>
      <c r="N1776" s="1752"/>
      <c r="O1776" s="1752"/>
      <c r="P1776" s="1752"/>
      <c r="Q1776" s="1752"/>
      <c r="R1776" s="1752"/>
      <c r="S1776" s="1752"/>
      <c r="T1776" s="1752"/>
      <c r="U1776" s="1753"/>
      <c r="V1776" s="1752"/>
      <c r="W1776" s="1753"/>
      <c r="X1776" s="1752"/>
      <c r="Y1776" s="1753"/>
      <c r="Z1776" s="1752"/>
      <c r="AA1776" s="1753"/>
      <c r="AB1776" s="1753"/>
      <c r="AC1776" s="1752"/>
      <c r="AD1776" s="1752"/>
      <c r="AE1776" s="1752"/>
      <c r="AF1776" s="1752"/>
      <c r="AG1776" s="1752"/>
      <c r="AH1776" s="1752"/>
      <c r="AI1776" s="1752"/>
      <c r="AJ1776" s="1752"/>
      <c r="AK1776" s="1752"/>
    </row>
    <row r="1777" spans="3:46" ht="16.5">
      <c r="C1777" s="700"/>
      <c r="D1777" s="1751" t="s">
        <v>3269</v>
      </c>
      <c r="E1777" s="1752"/>
      <c r="F1777" s="1752"/>
      <c r="G1777" s="1752"/>
      <c r="H1777" s="1752"/>
      <c r="I1777" s="1752"/>
      <c r="J1777" s="1752"/>
      <c r="K1777" s="1752"/>
      <c r="L1777" s="1752"/>
      <c r="M1777" s="1752"/>
      <c r="N1777" s="1752"/>
      <c r="O1777" s="1752"/>
      <c r="P1777" s="1752"/>
      <c r="Q1777" s="1752"/>
      <c r="R1777" s="1752"/>
      <c r="S1777" s="1752"/>
      <c r="T1777" s="1752"/>
      <c r="U1777" s="1753"/>
      <c r="V1777" s="1752"/>
      <c r="W1777" s="1753"/>
      <c r="X1777" s="1752"/>
      <c r="Y1777" s="1753"/>
      <c r="Z1777" s="1752"/>
      <c r="AA1777" s="1753"/>
      <c r="AB1777" s="1753"/>
      <c r="AC1777" s="1754">
        <f>+AC1214-(AC1174-AC1770)</f>
        <v>34.454548118635088</v>
      </c>
      <c r="AD1777" s="1754">
        <f>+AD1214-(AD1174-AD1770)</f>
        <v>69.305109272649247</v>
      </c>
      <c r="AE1777" s="1754">
        <f>+AE1214-(AE1174-AE1770)</f>
        <v>-111.57107392020103</v>
      </c>
      <c r="AF1777" s="1754">
        <f>+AF1214-(AF1174-AF1770)</f>
        <v>210.30188420260797</v>
      </c>
      <c r="AG1777" s="1754">
        <f>+AG1214-(AG1174-AG1770)</f>
        <v>11.876896346953799</v>
      </c>
      <c r="AH1777" s="1754" t="e">
        <f>+#REF!-(AH1174-AH1770)</f>
        <v>#REF!</v>
      </c>
      <c r="AI1777" s="1754">
        <f>+AI1214-(AI1174-AI1770)</f>
        <v>4.402636835757491</v>
      </c>
      <c r="AJ1777" s="1754">
        <f>+AJ1214-(AJ1174-AJ1770)</f>
        <v>-190.7905674072087</v>
      </c>
      <c r="AK1777" s="1754">
        <f>+AK1214-(AK1174-AK1770)</f>
        <v>-140.58025629565009</v>
      </c>
    </row>
    <row r="1778" spans="3:46" ht="16.5">
      <c r="C1778" s="699"/>
      <c r="D1778" s="1757" t="s">
        <v>3270</v>
      </c>
      <c r="E1778" s="1752"/>
      <c r="F1778" s="1752"/>
      <c r="G1778" s="1752"/>
      <c r="H1778" s="1752"/>
      <c r="I1778" s="1752"/>
      <c r="J1778" s="1752"/>
      <c r="K1778" s="1752"/>
      <c r="L1778" s="1752"/>
      <c r="M1778" s="1752"/>
      <c r="N1778" s="1752"/>
      <c r="O1778" s="1752"/>
      <c r="P1778" s="1752"/>
      <c r="Q1778" s="1752"/>
      <c r="R1778" s="1752"/>
      <c r="S1778" s="1752"/>
      <c r="T1778" s="1752"/>
      <c r="U1778" s="1753"/>
      <c r="V1778" s="1752"/>
      <c r="W1778" s="1753"/>
      <c r="X1778" s="1752"/>
      <c r="Y1778" s="1753"/>
      <c r="Z1778" s="1752"/>
      <c r="AA1778" s="1753"/>
      <c r="AB1778" s="1753"/>
      <c r="AC1778" s="1758">
        <f t="shared" ref="AC1778:AK1778" si="2033">+AC402</f>
        <v>8016</v>
      </c>
      <c r="AD1778" s="1758">
        <f t="shared" si="2033"/>
        <v>8718</v>
      </c>
      <c r="AE1778" s="1758">
        <f t="shared" si="2033"/>
        <v>9386</v>
      </c>
      <c r="AF1778" s="1758">
        <f t="shared" si="2033"/>
        <v>10271</v>
      </c>
      <c r="AG1778" s="1758">
        <f t="shared" si="2033"/>
        <v>11998</v>
      </c>
      <c r="AH1778" s="1758">
        <f t="shared" si="2033"/>
        <v>15291</v>
      </c>
      <c r="AI1778" s="1758">
        <f t="shared" si="2033"/>
        <v>17747</v>
      </c>
      <c r="AJ1778" s="1758">
        <f t="shared" si="2033"/>
        <v>20033.689823079447</v>
      </c>
      <c r="AK1778" s="1758">
        <f t="shared" si="2033"/>
        <v>22653.476238318653</v>
      </c>
    </row>
    <row r="1779" spans="3:46" ht="17" thickBot="1">
      <c r="C1779" s="701"/>
      <c r="D1779" s="1759" t="s">
        <v>3271</v>
      </c>
      <c r="E1779" s="1760"/>
      <c r="F1779" s="1760"/>
      <c r="G1779" s="1760"/>
      <c r="H1779" s="1760"/>
      <c r="I1779" s="1760"/>
      <c r="J1779" s="1760"/>
      <c r="K1779" s="1760"/>
      <c r="L1779" s="1760"/>
      <c r="M1779" s="1760"/>
      <c r="N1779" s="1760"/>
      <c r="O1779" s="1760"/>
      <c r="P1779" s="1760"/>
      <c r="Q1779" s="1760"/>
      <c r="R1779" s="1760"/>
      <c r="S1779" s="1760"/>
      <c r="T1779" s="1760"/>
      <c r="U1779" s="1761"/>
      <c r="V1779" s="1760"/>
      <c r="W1779" s="1761"/>
      <c r="X1779" s="1760"/>
      <c r="Y1779" s="1761"/>
      <c r="Z1779" s="1760"/>
      <c r="AA1779" s="1761"/>
      <c r="AB1779" s="1761"/>
      <c r="AC1779" s="1762">
        <f t="shared" ref="AC1779:AK1779" si="2034">+AC1759+AC1762-AC1764-AC1768-AC1770+AC1775+AC1777</f>
        <v>36.195024856857785</v>
      </c>
      <c r="AD1779" s="1762">
        <f t="shared" si="2034"/>
        <v>-28.865868886254077</v>
      </c>
      <c r="AE1779" s="1762">
        <f t="shared" si="2034"/>
        <v>7.6617269955256404</v>
      </c>
      <c r="AF1779" s="1762">
        <f t="shared" si="2034"/>
        <v>-22.215027201432378</v>
      </c>
      <c r="AG1779" s="1762">
        <f t="shared" si="2034"/>
        <v>-72.2972637091666</v>
      </c>
      <c r="AH1779" s="1762" t="e">
        <f t="shared" si="2034"/>
        <v>#REF!</v>
      </c>
      <c r="AI1779" s="1762">
        <f t="shared" si="2034"/>
        <v>83.405825775320906</v>
      </c>
      <c r="AJ1779" s="1762">
        <f t="shared" si="2034"/>
        <v>0</v>
      </c>
      <c r="AK1779" s="1762">
        <f t="shared" si="2034"/>
        <v>-9.0949470177292824E-13</v>
      </c>
    </row>
    <row r="1780" spans="3:46" ht="16.5">
      <c r="C1780" s="701"/>
      <c r="D1780" s="92" t="s">
        <v>3272</v>
      </c>
    </row>
    <row r="1781" spans="3:46" ht="16.5">
      <c r="C1781" s="701"/>
      <c r="E1781" s="1"/>
      <c r="F1781" s="1"/>
      <c r="G1781" s="1"/>
      <c r="H1781" s="1"/>
      <c r="I1781" s="1"/>
      <c r="J1781" s="1"/>
      <c r="K1781" s="1"/>
      <c r="L1781" s="1"/>
      <c r="M1781" s="1"/>
      <c r="N1781" s="1"/>
      <c r="O1781" s="1"/>
      <c r="P1781" s="1"/>
      <c r="Q1781" s="1"/>
      <c r="R1781" s="1"/>
      <c r="S1781" s="1"/>
      <c r="T1781" s="1"/>
      <c r="V1781" s="1"/>
      <c r="X1781" s="1"/>
      <c r="Z1781" s="1"/>
    </row>
    <row r="1782" spans="3:46" ht="16.5">
      <c r="C1782" s="705"/>
      <c r="E1782" s="1"/>
      <c r="F1782" s="1"/>
      <c r="G1782" s="1"/>
      <c r="H1782" s="1"/>
      <c r="I1782" s="1"/>
      <c r="J1782" s="1"/>
      <c r="K1782" s="1"/>
      <c r="L1782" s="1"/>
      <c r="M1782" s="1"/>
      <c r="N1782" s="1"/>
      <c r="O1782" s="1"/>
      <c r="P1782" s="1"/>
      <c r="Q1782" s="1"/>
      <c r="R1782" s="1"/>
      <c r="S1782" s="1"/>
      <c r="T1782" s="1"/>
      <c r="V1782" s="1"/>
      <c r="X1782" s="1"/>
      <c r="Z1782" s="1"/>
    </row>
    <row r="1783" spans="3:46" ht="16.5">
      <c r="C1783" s="705"/>
      <c r="D1783" s="92" t="s">
        <v>3490</v>
      </c>
      <c r="E1783" s="1"/>
      <c r="F1783" s="1"/>
      <c r="G1783" s="1"/>
      <c r="H1783" s="1"/>
      <c r="I1783" s="1"/>
      <c r="J1783" s="1"/>
      <c r="K1783" s="1"/>
      <c r="L1783" s="1"/>
      <c r="M1783" s="1"/>
      <c r="N1783" s="1"/>
      <c r="O1783" s="1"/>
      <c r="P1783" s="1"/>
      <c r="Q1783" s="1"/>
      <c r="R1783" s="1"/>
      <c r="S1783" s="1"/>
      <c r="T1783" s="1"/>
      <c r="V1783" s="1"/>
      <c r="X1783" s="1"/>
      <c r="Z1783" s="1"/>
      <c r="AC1783" s="92" t="s">
        <v>3491</v>
      </c>
    </row>
    <row r="1784" spans="3:46" ht="16.5">
      <c r="C1784" s="705"/>
      <c r="D1784" s="1948"/>
      <c r="E1784" s="1948"/>
      <c r="J1784" s="1949" t="s">
        <v>203</v>
      </c>
      <c r="K1784" s="1949" t="s">
        <v>1114</v>
      </c>
      <c r="L1784" s="1949" t="s">
        <v>1140</v>
      </c>
      <c r="M1784" s="1"/>
      <c r="N1784" s="1"/>
      <c r="O1784" s="1"/>
      <c r="P1784" s="1"/>
      <c r="Q1784" s="1"/>
      <c r="R1784" s="1"/>
      <c r="S1784" s="1"/>
      <c r="T1784" s="1"/>
      <c r="V1784" s="1"/>
      <c r="X1784" s="1"/>
      <c r="Z1784" s="1"/>
      <c r="AA1784" s="1950" t="s">
        <v>199</v>
      </c>
      <c r="AB1784" s="1950" t="s">
        <v>200</v>
      </c>
      <c r="AC1784" s="1950" t="s">
        <v>201</v>
      </c>
      <c r="AD1784" s="1949" t="s">
        <v>202</v>
      </c>
      <c r="AE1784" s="1949" t="s">
        <v>203</v>
      </c>
      <c r="AF1784" s="1949" t="s">
        <v>1114</v>
      </c>
      <c r="AG1784" s="1949" t="s">
        <v>1140</v>
      </c>
      <c r="AH1784" s="1949" t="s">
        <v>1141</v>
      </c>
      <c r="AI1784" s="1949" t="s">
        <v>1142</v>
      </c>
      <c r="AJ1784" s="1949" t="s">
        <v>1143</v>
      </c>
      <c r="AK1784" s="1949" t="s">
        <v>1144</v>
      </c>
      <c r="AL1784" s="1949" t="s">
        <v>3289</v>
      </c>
      <c r="AM1784" s="1949" t="s">
        <v>3400</v>
      </c>
      <c r="AN1784" s="1949"/>
      <c r="AO1784" s="1949"/>
      <c r="AP1784" s="1949"/>
      <c r="AQ1784" s="1949"/>
      <c r="AR1784" s="1949"/>
      <c r="AS1784" s="1949"/>
      <c r="AT1784" s="1949"/>
    </row>
    <row r="1785" spans="3:46" ht="16.5">
      <c r="C1785" s="701"/>
      <c r="D1785" s="1951" t="s">
        <v>3492</v>
      </c>
      <c r="E1785" s="1952"/>
      <c r="J1785" s="1953"/>
      <c r="K1785" s="1953"/>
      <c r="L1785" s="1953"/>
      <c r="M1785" s="1"/>
      <c r="N1785" s="1"/>
      <c r="O1785" s="1"/>
      <c r="P1785" s="1"/>
      <c r="Q1785" s="1"/>
      <c r="R1785" s="1"/>
      <c r="S1785" s="1"/>
      <c r="T1785" s="1"/>
      <c r="V1785" s="1"/>
      <c r="X1785" s="1"/>
      <c r="Z1785" s="1"/>
      <c r="AA1785" s="1952"/>
      <c r="AB1785" s="1952"/>
      <c r="AC1785" s="1952"/>
      <c r="AD1785" s="1954"/>
      <c r="AE1785" s="1955"/>
      <c r="AF1785" s="1954"/>
      <c r="AG1785" s="1954"/>
      <c r="AH1785" s="1954"/>
      <c r="AI1785" s="1954"/>
      <c r="AJ1785" s="1954"/>
      <c r="AK1785" s="1954"/>
      <c r="AL1785" s="1954"/>
      <c r="AM1785" s="1954"/>
      <c r="AN1785" s="1954"/>
      <c r="AO1785" s="1954"/>
      <c r="AP1785" s="1954"/>
      <c r="AQ1785" s="1954"/>
      <c r="AR1785" s="1954"/>
      <c r="AS1785" s="1954"/>
      <c r="AT1785" s="1954"/>
    </row>
    <row r="1786" spans="3:46" ht="16.5">
      <c r="C1786" s="698"/>
      <c r="D1786" s="1956" t="s">
        <v>3493</v>
      </c>
      <c r="E1786" s="1957" t="s">
        <v>3494</v>
      </c>
      <c r="J1786" s="1958">
        <v>2192.9616638392927</v>
      </c>
      <c r="K1786" s="1958">
        <v>2991.9045512284342</v>
      </c>
      <c r="L1786" s="1958">
        <v>3365.3856157414302</v>
      </c>
      <c r="M1786" s="1"/>
      <c r="N1786" s="1"/>
      <c r="O1786" s="1"/>
      <c r="P1786" s="1"/>
      <c r="Q1786" s="1"/>
      <c r="R1786" s="1"/>
      <c r="S1786" s="1"/>
      <c r="T1786" s="1"/>
      <c r="V1786" s="1"/>
      <c r="X1786" s="1"/>
      <c r="Z1786" s="1"/>
      <c r="AA1786" s="1959">
        <v>1000456.927441</v>
      </c>
      <c r="AB1786" s="1959">
        <v>1103747.104853</v>
      </c>
      <c r="AC1786" s="1959">
        <v>1252754.266598</v>
      </c>
      <c r="AD1786" s="1960">
        <f t="shared" ref="AD1786:AM1786" si="2035">AD989</f>
        <v>1402.5222584188773</v>
      </c>
      <c r="AE1786" s="1960">
        <f t="shared" si="2035"/>
        <v>1475.6087142883362</v>
      </c>
      <c r="AF1786" s="1960">
        <f t="shared" si="2035"/>
        <v>1621.6892824968349</v>
      </c>
      <c r="AG1786" s="1960">
        <f t="shared" si="2035"/>
        <v>1876.7735911488621</v>
      </c>
      <c r="AH1786" s="1960">
        <f t="shared" si="2035"/>
        <v>2287.3717968127403</v>
      </c>
      <c r="AI1786" s="1960">
        <f t="shared" si="2035"/>
        <v>2593.3215244053272</v>
      </c>
      <c r="AJ1786" s="1960">
        <f t="shared" si="2035"/>
        <v>3106.4</v>
      </c>
      <c r="AK1786" s="1960">
        <f t="shared" si="2035"/>
        <v>3708.2</v>
      </c>
      <c r="AL1786" s="1960">
        <f t="shared" si="2035"/>
        <v>4437.8999999999996</v>
      </c>
      <c r="AM1786" s="1960">
        <f t="shared" si="2035"/>
        <v>5137.5</v>
      </c>
      <c r="AN1786" s="1960"/>
      <c r="AO1786" s="1960"/>
      <c r="AP1786" s="1960"/>
      <c r="AQ1786" s="1960"/>
      <c r="AR1786" s="1960"/>
      <c r="AS1786" s="1960"/>
      <c r="AT1786" s="1960"/>
    </row>
    <row r="1787" spans="3:46" ht="16.5">
      <c r="C1787" s="702"/>
      <c r="D1787" s="1961" t="s">
        <v>3495</v>
      </c>
      <c r="E1787" s="1962" t="s">
        <v>3496</v>
      </c>
      <c r="J1787" s="1963">
        <v>1475.6087142883362</v>
      </c>
      <c r="K1787" s="1963">
        <v>1849.1356349240589</v>
      </c>
      <c r="L1787" s="1963">
        <v>2110.4965351470682</v>
      </c>
      <c r="M1787" s="1"/>
      <c r="N1787" s="1"/>
      <c r="O1787" s="1"/>
      <c r="P1787" s="1"/>
      <c r="Q1787" s="1"/>
      <c r="R1787" s="1"/>
      <c r="S1787" s="1"/>
      <c r="T1787" s="1"/>
      <c r="V1787" s="1"/>
      <c r="X1787" s="1"/>
      <c r="Z1787" s="1"/>
      <c r="AA1787" s="1964">
        <v>381280.25289599999</v>
      </c>
      <c r="AB1787" s="1964">
        <v>446375.679519</v>
      </c>
      <c r="AC1787" s="1964">
        <v>511930.24092399998</v>
      </c>
      <c r="AD1787" s="1965">
        <f t="shared" ref="AD1787:AM1787" si="2036">AD990</f>
        <v>595.37385272420011</v>
      </c>
      <c r="AE1787" s="1965">
        <f t="shared" si="2036"/>
        <v>641.47554394712381</v>
      </c>
      <c r="AF1787" s="1965">
        <f t="shared" si="2036"/>
        <v>702.55260756047778</v>
      </c>
      <c r="AG1787" s="1965">
        <f t="shared" si="2036"/>
        <v>853.55684608539536</v>
      </c>
      <c r="AH1787" s="1965">
        <f t="shared" si="2036"/>
        <v>1022.742125332979</v>
      </c>
      <c r="AI1787" s="1965">
        <f t="shared" si="2036"/>
        <v>1178.5718488090074</v>
      </c>
      <c r="AJ1787" s="1965">
        <f t="shared" si="2036"/>
        <v>1371.9398817794195</v>
      </c>
      <c r="AK1787" s="1965">
        <f t="shared" si="2036"/>
        <v>1610.6970079467897</v>
      </c>
      <c r="AL1787" s="1965">
        <f t="shared" si="2036"/>
        <v>1935.0525655316769</v>
      </c>
      <c r="AM1787" s="1965">
        <f t="shared" si="2036"/>
        <v>2226.3597745522857</v>
      </c>
      <c r="AN1787" s="1965"/>
      <c r="AO1787" s="1965"/>
      <c r="AP1787" s="1965"/>
      <c r="AQ1787" s="1965"/>
      <c r="AR1787" s="1965"/>
      <c r="AS1787" s="1965"/>
      <c r="AT1787" s="1965"/>
    </row>
    <row r="1788" spans="3:46" ht="16.5">
      <c r="C1788" s="701"/>
      <c r="D1788" s="1961" t="s">
        <v>3497</v>
      </c>
      <c r="E1788" s="1962" t="s">
        <v>3498</v>
      </c>
      <c r="J1788" s="1963">
        <v>641.47554394712381</v>
      </c>
      <c r="K1788" s="1963">
        <v>828.03786965296592</v>
      </c>
      <c r="L1788" s="1963">
        <v>916.67794580876125</v>
      </c>
      <c r="M1788" s="1"/>
      <c r="N1788" s="1"/>
      <c r="O1788" s="1"/>
      <c r="P1788" s="1"/>
      <c r="Q1788" s="1"/>
      <c r="R1788" s="1"/>
      <c r="S1788" s="1"/>
      <c r="T1788" s="1"/>
      <c r="V1788" s="1"/>
      <c r="X1788" s="1"/>
      <c r="Z1788" s="1"/>
      <c r="AA1788" s="1964">
        <v>0</v>
      </c>
      <c r="AB1788" s="1964">
        <v>0</v>
      </c>
      <c r="AC1788" s="1964">
        <v>0</v>
      </c>
      <c r="AD1788" s="1965">
        <f t="shared" ref="AD1788:AM1788" si="2037">AC995</f>
        <v>0</v>
      </c>
      <c r="AE1788" s="1965">
        <f t="shared" si="2037"/>
        <v>0</v>
      </c>
      <c r="AF1788" s="1965">
        <f t="shared" si="2037"/>
        <v>0</v>
      </c>
      <c r="AG1788" s="1965">
        <f t="shared" si="2037"/>
        <v>0</v>
      </c>
      <c r="AH1788" s="1965">
        <f t="shared" si="2037"/>
        <v>0</v>
      </c>
      <c r="AI1788" s="1965">
        <f t="shared" si="2037"/>
        <v>0</v>
      </c>
      <c r="AJ1788" s="1965">
        <f t="shared" si="2037"/>
        <v>0</v>
      </c>
      <c r="AK1788" s="1965">
        <f t="shared" si="2037"/>
        <v>0</v>
      </c>
      <c r="AL1788" s="1965">
        <f t="shared" si="2037"/>
        <v>0</v>
      </c>
      <c r="AM1788" s="1965">
        <f t="shared" si="2037"/>
        <v>0</v>
      </c>
      <c r="AN1788" s="1965"/>
      <c r="AO1788" s="1965"/>
      <c r="AP1788" s="1965"/>
      <c r="AQ1788" s="1965"/>
      <c r="AR1788" s="1965"/>
      <c r="AS1788" s="1965"/>
      <c r="AT1788" s="1965"/>
    </row>
    <row r="1789" spans="3:46" ht="16.5">
      <c r="C1789" s="701"/>
      <c r="D1789" s="1961" t="s">
        <v>3499</v>
      </c>
      <c r="E1789" s="1966"/>
      <c r="J1789" s="1963">
        <v>0</v>
      </c>
      <c r="K1789" s="1963">
        <v>0</v>
      </c>
      <c r="L1789" s="1963">
        <v>0</v>
      </c>
      <c r="M1789" s="1"/>
      <c r="N1789" s="1"/>
      <c r="O1789" s="1"/>
      <c r="P1789" s="1"/>
      <c r="Q1789" s="1"/>
      <c r="R1789" s="1"/>
      <c r="S1789" s="1"/>
      <c r="T1789" s="1"/>
      <c r="V1789" s="1"/>
      <c r="X1789" s="1"/>
      <c r="Z1789" s="1"/>
      <c r="AA1789" s="1964">
        <v>1594.101997</v>
      </c>
      <c r="AB1789" s="1964">
        <v>1235.2098309999999</v>
      </c>
      <c r="AC1789" s="1964">
        <v>1119.4774500000001</v>
      </c>
      <c r="AD1789" s="1960">
        <f t="shared" ref="AD1789:AM1789" si="2038">AD996</f>
        <v>19.372400629999998</v>
      </c>
      <c r="AE1789" s="1960">
        <f t="shared" si="2038"/>
        <v>4.6428780387518458</v>
      </c>
      <c r="AF1789" s="1960">
        <f t="shared" si="2038"/>
        <v>19.443675029298234</v>
      </c>
      <c r="AG1789" s="1960">
        <f t="shared" si="2038"/>
        <v>17.107113807486726</v>
      </c>
      <c r="AH1789" s="1960">
        <f t="shared" si="2038"/>
        <v>22.576045216121535</v>
      </c>
      <c r="AI1789" s="1960">
        <f t="shared" si="2038"/>
        <v>30.501623556453502</v>
      </c>
      <c r="AJ1789" s="1960">
        <f t="shared" si="2038"/>
        <v>43.249908940631883</v>
      </c>
      <c r="AK1789" s="1960">
        <f t="shared" si="2038"/>
        <v>47.731362236668176</v>
      </c>
      <c r="AL1789" s="1960">
        <f t="shared" si="2038"/>
        <v>54.596331306029185</v>
      </c>
      <c r="AM1789" s="1960">
        <f t="shared" si="2038"/>
        <v>60.862779982023461</v>
      </c>
      <c r="AN1789" s="1960"/>
      <c r="AO1789" s="1960"/>
      <c r="AP1789" s="1960"/>
      <c r="AQ1789" s="1960"/>
      <c r="AR1789" s="1960"/>
      <c r="AS1789" s="1960"/>
      <c r="AT1789" s="1960"/>
    </row>
    <row r="1790" spans="3:46" ht="16.5">
      <c r="C1790" s="701"/>
      <c r="D1790" s="1961" t="s">
        <v>3500</v>
      </c>
      <c r="E1790" s="1966"/>
      <c r="J1790" s="1963">
        <v>4.6428780387518458</v>
      </c>
      <c r="K1790" s="1963">
        <v>28.234302750689814</v>
      </c>
      <c r="L1790" s="1963">
        <v>33.717346942522362</v>
      </c>
      <c r="M1790" s="1"/>
      <c r="N1790" s="1"/>
      <c r="O1790" s="1"/>
      <c r="P1790" s="1"/>
      <c r="Q1790" s="1"/>
      <c r="R1790" s="1"/>
      <c r="S1790" s="1"/>
      <c r="T1790" s="1"/>
      <c r="V1790" s="1"/>
      <c r="X1790" s="1"/>
      <c r="Z1790" s="1"/>
      <c r="AA1790" s="1964">
        <v>446824.55323800002</v>
      </c>
      <c r="AB1790" s="1964">
        <v>486867.52510199999</v>
      </c>
      <c r="AC1790" s="1964">
        <v>557176.72265600006</v>
      </c>
      <c r="AD1790" s="1960">
        <f t="shared" ref="AD1790:AM1790" si="2039">AD1003</f>
        <v>676.03063632067722</v>
      </c>
      <c r="AE1790" s="1960">
        <f t="shared" si="2039"/>
        <v>712.20880818108037</v>
      </c>
      <c r="AF1790" s="1960">
        <f t="shared" si="2039"/>
        <v>775.95022002114797</v>
      </c>
      <c r="AG1790" s="1960">
        <f t="shared" si="2039"/>
        <v>873.08969211644808</v>
      </c>
      <c r="AH1790" s="1960">
        <f t="shared" si="2039"/>
        <v>1030.4229988219749</v>
      </c>
      <c r="AI1790" s="1960">
        <f t="shared" si="2039"/>
        <v>1189.7617317343922</v>
      </c>
      <c r="AJ1790" s="1960">
        <f t="shared" si="2039"/>
        <v>1468.4732571354521</v>
      </c>
      <c r="AK1790" s="1960">
        <f t="shared" si="2039"/>
        <v>1810.69774515316</v>
      </c>
      <c r="AL1790" s="1960">
        <f t="shared" si="2039"/>
        <v>2172.4815321100377</v>
      </c>
      <c r="AM1790" s="1960">
        <f t="shared" si="2039"/>
        <v>2517.0995892247956</v>
      </c>
      <c r="AN1790" s="1960"/>
      <c r="AO1790" s="1960"/>
      <c r="AP1790" s="1960"/>
      <c r="AQ1790" s="1960"/>
      <c r="AR1790" s="1960"/>
      <c r="AS1790" s="1960"/>
      <c r="AT1790" s="1960"/>
    </row>
    <row r="1791" spans="3:46" ht="16.5">
      <c r="C1791" s="705"/>
      <c r="D1791" s="1961" t="s">
        <v>3501</v>
      </c>
      <c r="E1791" s="1966"/>
      <c r="J1791" s="1963">
        <v>712.20880818108037</v>
      </c>
      <c r="K1791" s="1963">
        <v>860.21500106614053</v>
      </c>
      <c r="L1791" s="1963">
        <v>980.81615787550891</v>
      </c>
      <c r="M1791" s="1"/>
      <c r="N1791" s="1"/>
      <c r="O1791" s="1"/>
      <c r="P1791" s="1"/>
      <c r="Q1791" s="1"/>
      <c r="R1791" s="1"/>
      <c r="S1791" s="1"/>
      <c r="T1791" s="1"/>
      <c r="V1791" s="1"/>
      <c r="X1791" s="1"/>
      <c r="Z1791" s="1"/>
      <c r="AA1791" s="1964">
        <v>170758.01931</v>
      </c>
      <c r="AB1791" s="1964">
        <v>169268.690401</v>
      </c>
      <c r="AC1791" s="1964">
        <v>182527.82556900001</v>
      </c>
      <c r="AD1791" s="1965">
        <f t="shared" ref="AD1791:AM1791" si="2040">AD1019</f>
        <v>111.745368744</v>
      </c>
      <c r="AE1791" s="1965">
        <f t="shared" si="2040"/>
        <v>117.28148412138</v>
      </c>
      <c r="AF1791" s="1965">
        <f t="shared" si="2040"/>
        <v>123.74277988591115</v>
      </c>
      <c r="AG1791" s="1965">
        <f t="shared" si="2040"/>
        <v>133.01993913953143</v>
      </c>
      <c r="AH1791" s="1965">
        <f t="shared" si="2040"/>
        <v>211.6306274416647</v>
      </c>
      <c r="AI1791" s="1965">
        <f t="shared" si="2040"/>
        <v>194.48632030547415</v>
      </c>
      <c r="AJ1791" s="1965">
        <f t="shared" si="2040"/>
        <v>222.73695214449668</v>
      </c>
      <c r="AK1791" s="1965">
        <f t="shared" si="2040"/>
        <v>239.07388466338222</v>
      </c>
      <c r="AL1791" s="1965">
        <f t="shared" si="2040"/>
        <v>275.76957105225569</v>
      </c>
      <c r="AM1791" s="1965">
        <f t="shared" si="2040"/>
        <v>333.17785624089498</v>
      </c>
      <c r="AN1791" s="1965"/>
      <c r="AO1791" s="1965"/>
      <c r="AP1791" s="1965"/>
      <c r="AQ1791" s="1965"/>
      <c r="AR1791" s="1965"/>
      <c r="AS1791" s="1965"/>
      <c r="AT1791" s="1965"/>
    </row>
    <row r="1792" spans="3:46" ht="16.5">
      <c r="C1792" s="702"/>
      <c r="D1792" s="1967" t="s">
        <v>3502</v>
      </c>
      <c r="E1792" s="9" t="s">
        <v>3503</v>
      </c>
      <c r="J1792" s="1958">
        <v>117.28148412138</v>
      </c>
      <c r="K1792" s="1958">
        <v>132.64846145426256</v>
      </c>
      <c r="L1792" s="1958">
        <v>179.28508452027566</v>
      </c>
      <c r="M1792" s="1"/>
      <c r="N1792" s="1"/>
      <c r="O1792" s="1"/>
      <c r="P1792" s="1"/>
      <c r="Q1792" s="1"/>
      <c r="R1792" s="1"/>
      <c r="S1792" s="1"/>
      <c r="T1792" s="1"/>
      <c r="V1792" s="1"/>
      <c r="X1792" s="1"/>
      <c r="Z1792" s="1"/>
      <c r="AA1792" s="1968">
        <v>121089.838986</v>
      </c>
      <c r="AB1792" s="1968">
        <v>200132.98153799999</v>
      </c>
      <c r="AC1792" s="1968">
        <v>203275.627634</v>
      </c>
      <c r="AD1792" s="1960">
        <f t="shared" ref="AD1792:AM1792" si="2041">AD1052</f>
        <v>267.75505516264832</v>
      </c>
      <c r="AE1792" s="1960">
        <f t="shared" si="2041"/>
        <v>289.92302903184969</v>
      </c>
      <c r="AF1792" s="1960">
        <f t="shared" si="2041"/>
        <v>385.41374679017065</v>
      </c>
      <c r="AG1792" s="1960">
        <f t="shared" si="2041"/>
        <v>401.22505476096023</v>
      </c>
      <c r="AH1792" s="1960">
        <f t="shared" si="2041"/>
        <v>400.88814089864593</v>
      </c>
      <c r="AI1792" s="1960">
        <f t="shared" si="2041"/>
        <v>460.01542773408448</v>
      </c>
      <c r="AJ1792" s="1960">
        <f t="shared" si="2041"/>
        <v>552.94775332082679</v>
      </c>
      <c r="AK1792" s="1960">
        <f t="shared" si="2041"/>
        <v>544.42870254659238</v>
      </c>
      <c r="AL1792" s="1960">
        <f t="shared" si="2041"/>
        <v>607.91647238731673</v>
      </c>
      <c r="AM1792" s="1960">
        <f t="shared" si="2041"/>
        <v>692.74748077828906</v>
      </c>
      <c r="AN1792" s="1960"/>
      <c r="AO1792" s="1960"/>
      <c r="AP1792" s="1960"/>
      <c r="AQ1792" s="1960"/>
      <c r="AR1792" s="1960"/>
      <c r="AS1792" s="1960"/>
      <c r="AT1792" s="1960"/>
    </row>
    <row r="1793" spans="3:46" ht="16.5">
      <c r="C1793" s="701"/>
      <c r="D1793" s="1969" t="s">
        <v>3504</v>
      </c>
      <c r="E1793" s="1970"/>
      <c r="J1793" s="1963" t="s">
        <v>136</v>
      </c>
      <c r="K1793" s="1963" t="s">
        <v>136</v>
      </c>
      <c r="L1793" s="1963" t="s">
        <v>136</v>
      </c>
      <c r="M1793" s="1"/>
      <c r="N1793" s="1"/>
      <c r="O1793" s="1"/>
      <c r="P1793" s="1"/>
      <c r="Q1793" s="1"/>
      <c r="R1793" s="1"/>
      <c r="S1793" s="1"/>
      <c r="T1793" s="1"/>
      <c r="V1793" s="1"/>
      <c r="X1793" s="1"/>
      <c r="Z1793" s="1"/>
      <c r="AA1793" s="1971">
        <v>7993.0875649999998</v>
      </c>
      <c r="AB1793" s="1971">
        <v>5406.4619009999997</v>
      </c>
      <c r="AC1793" s="1971">
        <v>5702.8888770000003</v>
      </c>
      <c r="AD1793" s="1965">
        <f t="shared" ref="AD1793:AM1793" si="2042">AD1053</f>
        <v>4.7370362420000003</v>
      </c>
      <c r="AE1793" s="1965">
        <f t="shared" si="2042"/>
        <v>20.327638891539998</v>
      </c>
      <c r="AF1793" s="1965">
        <f t="shared" si="2042"/>
        <v>19.584410687289058</v>
      </c>
      <c r="AG1793" s="1965">
        <f t="shared" si="2042"/>
        <v>13.349443622742999</v>
      </c>
      <c r="AH1793" s="1965">
        <f t="shared" si="2042"/>
        <v>14.630219605303161</v>
      </c>
      <c r="AI1793" s="1965">
        <f t="shared" si="2042"/>
        <v>24.476467754939073</v>
      </c>
      <c r="AJ1793" s="1965">
        <f t="shared" si="2042"/>
        <v>24.536088380129197</v>
      </c>
      <c r="AK1793" s="1965">
        <f t="shared" si="2042"/>
        <v>26.396938397542488</v>
      </c>
      <c r="AL1793" s="1965">
        <f t="shared" si="2042"/>
        <v>29.476193147379913</v>
      </c>
      <c r="AM1793" s="1965">
        <f t="shared" si="2042"/>
        <v>31.974271472554101</v>
      </c>
      <c r="AN1793" s="1965"/>
      <c r="AO1793" s="1965"/>
      <c r="AP1793" s="1965"/>
      <c r="AQ1793" s="1965"/>
      <c r="AR1793" s="1965"/>
      <c r="AS1793" s="1965"/>
      <c r="AT1793" s="1965"/>
    </row>
    <row r="1794" spans="3:46" ht="16.5">
      <c r="C1794" s="705"/>
      <c r="D1794" s="1969" t="s">
        <v>3505</v>
      </c>
      <c r="E1794" s="95" t="s">
        <v>3506</v>
      </c>
      <c r="J1794" s="1963">
        <v>20.327638891540001</v>
      </c>
      <c r="K1794" s="1963">
        <v>23.207013504204046</v>
      </c>
      <c r="L1794" s="1963">
        <v>20.332439271619215</v>
      </c>
      <c r="M1794" s="1"/>
      <c r="N1794" s="1"/>
      <c r="O1794" s="1"/>
      <c r="P1794" s="1"/>
      <c r="Q1794" s="1"/>
      <c r="R1794" s="1"/>
      <c r="S1794" s="1"/>
      <c r="T1794" s="1"/>
      <c r="V1794" s="1"/>
      <c r="X1794" s="1"/>
      <c r="Z1794" s="1"/>
      <c r="AA1794" s="1971">
        <v>86958.988882999998</v>
      </c>
      <c r="AB1794" s="1971">
        <v>78892.601433000003</v>
      </c>
      <c r="AC1794" s="1971">
        <v>96343.689440999995</v>
      </c>
      <c r="AD1794" s="1965">
        <f t="shared" ref="AD1794:AM1794" si="2043">AD1059</f>
        <v>254.60815363064833</v>
      </c>
      <c r="AE1794" s="1965">
        <f t="shared" si="2043"/>
        <v>239.49112674760897</v>
      </c>
      <c r="AF1794" s="1965">
        <f t="shared" si="2043"/>
        <v>301.35411425052644</v>
      </c>
      <c r="AG1794" s="1965">
        <f t="shared" si="2043"/>
        <v>328.663104256206</v>
      </c>
      <c r="AH1794" s="1965">
        <f t="shared" si="2043"/>
        <v>321.33059108164434</v>
      </c>
      <c r="AI1794" s="1965">
        <f t="shared" si="2043"/>
        <v>395.34517266296109</v>
      </c>
      <c r="AJ1794" s="1965">
        <f t="shared" si="2043"/>
        <v>439.51913110398027</v>
      </c>
      <c r="AK1794" s="1965">
        <f t="shared" si="2043"/>
        <v>476.24084250109007</v>
      </c>
      <c r="AL1794" s="1965">
        <f t="shared" si="2043"/>
        <v>531.80579863579715</v>
      </c>
      <c r="AM1794" s="1965">
        <f t="shared" si="2043"/>
        <v>608.46675772478352</v>
      </c>
      <c r="AN1794" s="1965"/>
      <c r="AO1794" s="1965"/>
      <c r="AP1794" s="1965"/>
      <c r="AQ1794" s="1965"/>
      <c r="AR1794" s="1965"/>
      <c r="AS1794" s="1965"/>
      <c r="AT1794" s="1965"/>
    </row>
    <row r="1795" spans="3:46" ht="16.5">
      <c r="C1795" s="696"/>
      <c r="D1795" s="1969" t="s">
        <v>3097</v>
      </c>
      <c r="E1795" s="1970"/>
      <c r="J1795" s="1963">
        <v>239.49112674760897</v>
      </c>
      <c r="K1795" s="1963">
        <v>369.2452313928253</v>
      </c>
      <c r="L1795" s="1963">
        <v>311.54929588351865</v>
      </c>
      <c r="M1795" s="1"/>
      <c r="N1795" s="1"/>
      <c r="O1795" s="1"/>
      <c r="P1795" s="1"/>
      <c r="Q1795" s="1"/>
      <c r="R1795" s="1"/>
      <c r="S1795" s="1"/>
      <c r="T1795" s="1"/>
      <c r="V1795" s="1"/>
      <c r="X1795" s="1"/>
      <c r="Z1795" s="1"/>
      <c r="AA1795" s="1971">
        <v>26137.762537999999</v>
      </c>
      <c r="AB1795" s="1971">
        <v>115833.918204</v>
      </c>
      <c r="AC1795" s="1971">
        <v>101229.049316</v>
      </c>
      <c r="AD1795" s="1965">
        <f t="shared" ref="AD1795:AM1795" si="2044">AD1069</f>
        <v>8.4098652900000008</v>
      </c>
      <c r="AE1795" s="1965">
        <f t="shared" si="2044"/>
        <v>19.975779267939984</v>
      </c>
      <c r="AF1795" s="1965">
        <f t="shared" si="2044"/>
        <v>29.170397677880317</v>
      </c>
      <c r="AG1795" s="1965">
        <f t="shared" si="2044"/>
        <v>36.726644461011233</v>
      </c>
      <c r="AH1795" s="1965">
        <f t="shared" si="2044"/>
        <v>64.927330211698447</v>
      </c>
      <c r="AI1795" s="1965">
        <f t="shared" si="2044"/>
        <v>40.193787316184228</v>
      </c>
      <c r="AJ1795" s="1965">
        <f t="shared" si="2044"/>
        <v>36.821955189717301</v>
      </c>
      <c r="AK1795" s="1965">
        <f t="shared" si="2044"/>
        <v>41.790921647959763</v>
      </c>
      <c r="AL1795" s="1965">
        <f t="shared" si="2044"/>
        <v>46.634480604139689</v>
      </c>
      <c r="AM1795" s="1965">
        <f t="shared" si="2044"/>
        <v>52.306451580951503</v>
      </c>
      <c r="AN1795" s="1965"/>
      <c r="AO1795" s="1965"/>
      <c r="AP1795" s="1965"/>
      <c r="AQ1795" s="1965"/>
      <c r="AR1795" s="1965"/>
      <c r="AS1795" s="1965"/>
      <c r="AT1795" s="1965"/>
    </row>
    <row r="1796" spans="3:46" ht="16.5">
      <c r="C1796" s="697"/>
      <c r="D1796" s="1956" t="s">
        <v>3507</v>
      </c>
      <c r="E1796" s="1957" t="s">
        <v>3508</v>
      </c>
      <c r="J1796" s="1958">
        <v>19.975779267939984</v>
      </c>
      <c r="K1796" s="1958">
        <v>17.989358514286071</v>
      </c>
      <c r="L1796" s="1958">
        <v>16.151581897251315</v>
      </c>
      <c r="M1796" s="1"/>
      <c r="N1796" s="1"/>
      <c r="O1796" s="1"/>
      <c r="P1796" s="1"/>
      <c r="Q1796" s="1"/>
      <c r="R1796" s="1"/>
      <c r="S1796" s="1"/>
      <c r="T1796" s="1"/>
      <c r="V1796" s="1"/>
      <c r="X1796" s="1"/>
      <c r="Z1796" s="1"/>
      <c r="AA1796" s="1959">
        <v>335883.79083499999</v>
      </c>
      <c r="AB1796" s="1959">
        <v>386526.67440600001</v>
      </c>
      <c r="AC1796" s="1959">
        <v>465174.91532999999</v>
      </c>
      <c r="AD1796" s="1960">
        <f>+AD1797+AD1798</f>
        <v>487.64831818439268</v>
      </c>
      <c r="AE1796" s="1960">
        <f t="shared" ref="AE1796:AM1796" si="2045">+AE1797+AE1798</f>
        <v>738.80105372589787</v>
      </c>
      <c r="AF1796" s="1960">
        <f t="shared" si="2045"/>
        <v>753.80756939309458</v>
      </c>
      <c r="AG1796" s="1960">
        <f t="shared" si="2045"/>
        <v>886.59910506934727</v>
      </c>
      <c r="AH1796" s="1960">
        <f t="shared" si="2045"/>
        <v>887.24472458493142</v>
      </c>
      <c r="AI1796" s="1960">
        <f t="shared" si="2045"/>
        <v>1200.2109459021535</v>
      </c>
      <c r="AJ1796" s="1960">
        <f t="shared" si="2045"/>
        <v>938.76602660217486</v>
      </c>
      <c r="AK1796" s="1960">
        <f t="shared" si="2045"/>
        <v>910.68832941330652</v>
      </c>
      <c r="AL1796" s="1960">
        <f t="shared" si="2045"/>
        <v>777.60553961626613</v>
      </c>
      <c r="AM1796" s="1960">
        <f t="shared" si="2045"/>
        <v>888.10236507135232</v>
      </c>
      <c r="AN1796" s="1960"/>
      <c r="AO1796" s="1960"/>
      <c r="AP1796" s="1960"/>
      <c r="AQ1796" s="1960"/>
      <c r="AR1796" s="1960"/>
      <c r="AS1796" s="1960"/>
      <c r="AT1796" s="1960"/>
    </row>
    <row r="1797" spans="3:46" ht="16.5">
      <c r="C1797" s="697"/>
      <c r="D1797" s="1961" t="s">
        <v>3509</v>
      </c>
      <c r="E1797" s="1966" t="s">
        <v>3508</v>
      </c>
      <c r="J1797" s="1972" t="s">
        <v>136</v>
      </c>
      <c r="K1797" s="1972" t="s">
        <v>136</v>
      </c>
      <c r="L1797" s="1972" t="s">
        <v>136</v>
      </c>
      <c r="M1797" s="1"/>
      <c r="N1797" s="1"/>
      <c r="O1797" s="1"/>
      <c r="P1797" s="1"/>
      <c r="Q1797" s="1"/>
      <c r="R1797" s="1"/>
      <c r="S1797" s="1"/>
      <c r="T1797" s="1"/>
      <c r="V1797" s="1"/>
      <c r="X1797" s="1"/>
      <c r="Z1797" s="1"/>
      <c r="AA1797" s="1973">
        <v>90301.172871000002</v>
      </c>
      <c r="AB1797" s="1973">
        <v>52989.249921000002</v>
      </c>
      <c r="AC1797" s="1973">
        <v>88820.985992999995</v>
      </c>
      <c r="AD1797" s="1974">
        <f>AD1361-AD1357</f>
        <v>39.336351540649247</v>
      </c>
      <c r="AE1797" s="1974">
        <f t="shared" ref="AE1797:AM1797" si="2046">AE1361-AE1357</f>
        <v>-215.21863785220106</v>
      </c>
      <c r="AF1797" s="1974">
        <f t="shared" si="2046"/>
        <v>96.535129263607956</v>
      </c>
      <c r="AG1797" s="1974">
        <f t="shared" si="2046"/>
        <v>-145.0536386200462</v>
      </c>
      <c r="AH1797" s="1974">
        <f t="shared" si="2046"/>
        <v>78.736101624357104</v>
      </c>
      <c r="AI1797" s="1974">
        <f t="shared" si="2046"/>
        <v>-107.00320748324251</v>
      </c>
      <c r="AJ1797" s="1974">
        <f t="shared" si="2046"/>
        <v>-345.85747686258031</v>
      </c>
      <c r="AK1797" s="1974">
        <f t="shared" si="2046"/>
        <v>-901.099082992474</v>
      </c>
      <c r="AL1797" s="1974">
        <f t="shared" si="2046"/>
        <v>-855.06025325613689</v>
      </c>
      <c r="AM1797" s="1974">
        <f t="shared" si="2046"/>
        <v>-91.934624196683444</v>
      </c>
      <c r="AN1797" s="1974"/>
      <c r="AO1797" s="1974"/>
      <c r="AP1797" s="1974"/>
      <c r="AQ1797" s="1974"/>
      <c r="AR1797" s="1974"/>
      <c r="AS1797" s="1974"/>
      <c r="AT1797" s="1974"/>
    </row>
    <row r="1798" spans="3:46" ht="16.5">
      <c r="C1798" s="698"/>
      <c r="D1798" s="1961" t="s">
        <v>3510</v>
      </c>
      <c r="E1798" s="1966" t="s">
        <v>3508</v>
      </c>
      <c r="J1798" s="1972" t="s">
        <v>136</v>
      </c>
      <c r="K1798" s="1972" t="s">
        <v>136</v>
      </c>
      <c r="L1798" s="1972" t="s">
        <v>136</v>
      </c>
      <c r="M1798" s="1"/>
      <c r="N1798" s="1"/>
      <c r="O1798" s="1"/>
      <c r="P1798" s="1"/>
      <c r="Q1798" s="1"/>
      <c r="R1798" s="1"/>
      <c r="S1798" s="1"/>
      <c r="T1798" s="1"/>
      <c r="V1798" s="1"/>
      <c r="X1798" s="1"/>
      <c r="Z1798" s="1"/>
      <c r="AA1798" s="1973">
        <v>245582.617964</v>
      </c>
      <c r="AB1798" s="1973">
        <v>333537.42448500003</v>
      </c>
      <c r="AC1798" s="1973">
        <v>376353.92933700001</v>
      </c>
      <c r="AD1798" s="1974">
        <f>AD1362</f>
        <v>448.31196664374346</v>
      </c>
      <c r="AE1798" s="1974">
        <f t="shared" ref="AE1798:AM1798" si="2047">AE1362</f>
        <v>954.0196915780989</v>
      </c>
      <c r="AF1798" s="1974">
        <f t="shared" si="2047"/>
        <v>657.27244012948665</v>
      </c>
      <c r="AG1798" s="1974">
        <f t="shared" si="2047"/>
        <v>1031.6527436893934</v>
      </c>
      <c r="AH1798" s="1974">
        <f t="shared" si="2047"/>
        <v>808.50862296057437</v>
      </c>
      <c r="AI1798" s="1974">
        <f t="shared" si="2047"/>
        <v>1307.214153385396</v>
      </c>
      <c r="AJ1798" s="1974">
        <f t="shared" si="2047"/>
        <v>1284.6235034647552</v>
      </c>
      <c r="AK1798" s="1974">
        <f t="shared" si="2047"/>
        <v>1811.7874124057805</v>
      </c>
      <c r="AL1798" s="1974">
        <f t="shared" si="2047"/>
        <v>1632.665792872403</v>
      </c>
      <c r="AM1798" s="1974">
        <f t="shared" si="2047"/>
        <v>980.03698926803577</v>
      </c>
      <c r="AN1798" s="1974"/>
      <c r="AO1798" s="1974"/>
      <c r="AP1798" s="1974"/>
      <c r="AQ1798" s="1974"/>
      <c r="AR1798" s="1974"/>
      <c r="AS1798" s="1974"/>
      <c r="AT1798" s="1974"/>
    </row>
    <row r="1799" spans="3:46" ht="16.5">
      <c r="C1799" s="702"/>
      <c r="D1799" s="1956" t="s">
        <v>3511</v>
      </c>
      <c r="E1799" s="1957" t="s">
        <v>3512</v>
      </c>
      <c r="J1799" s="1958" t="s">
        <v>136</v>
      </c>
      <c r="K1799" s="1958" t="s">
        <v>136</v>
      </c>
      <c r="L1799" s="1958" t="s">
        <v>136</v>
      </c>
      <c r="M1799" s="1"/>
      <c r="N1799" s="1"/>
      <c r="O1799" s="1"/>
      <c r="P1799" s="1"/>
      <c r="Q1799" s="1"/>
      <c r="R1799" s="1"/>
      <c r="S1799" s="1"/>
      <c r="T1799" s="1"/>
      <c r="V1799" s="1"/>
      <c r="X1799" s="1"/>
      <c r="Z1799" s="1"/>
      <c r="AA1799" s="1959">
        <v>442748.10274599999</v>
      </c>
      <c r="AB1799" s="1959">
        <v>357350.90285499999</v>
      </c>
      <c r="AC1799" s="1959">
        <v>333536.18981900002</v>
      </c>
      <c r="AD1799" s="1960">
        <f t="shared" ref="AD1799:AM1799" si="2048">AD1039</f>
        <v>394.75005785621573</v>
      </c>
      <c r="AE1799" s="1960">
        <f t="shared" si="2048"/>
        <v>437.5584046438675</v>
      </c>
      <c r="AF1799" s="1960">
        <f t="shared" si="2048"/>
        <v>561.08816780108214</v>
      </c>
      <c r="AG1799" s="1960">
        <f t="shared" si="2048"/>
        <v>824.18435942628139</v>
      </c>
      <c r="AH1799" s="1960">
        <f t="shared" si="2048"/>
        <v>711.30724575495196</v>
      </c>
      <c r="AI1799" s="1960">
        <f t="shared" si="2048"/>
        <v>757.7914095316321</v>
      </c>
      <c r="AJ1799" s="1960">
        <f t="shared" si="2048"/>
        <v>625.76873923411313</v>
      </c>
      <c r="AK1799" s="1960">
        <f t="shared" si="2048"/>
        <v>585.21500835131963</v>
      </c>
      <c r="AL1799" s="1960">
        <f t="shared" si="2048"/>
        <v>660.06662379141665</v>
      </c>
      <c r="AM1799" s="1960">
        <f t="shared" si="2048"/>
        <v>739.77037337547381</v>
      </c>
      <c r="AN1799" s="1960"/>
      <c r="AO1799" s="1960"/>
      <c r="AP1799" s="1960"/>
      <c r="AQ1799" s="1960"/>
      <c r="AR1799" s="1960"/>
      <c r="AS1799" s="1960"/>
      <c r="AT1799" s="1960"/>
    </row>
    <row r="1800" spans="3:46" ht="16.5">
      <c r="C1800" s="701"/>
      <c r="D1800" s="1956" t="s">
        <v>3513</v>
      </c>
      <c r="E1800" s="1957" t="s">
        <v>3514</v>
      </c>
      <c r="J1800" s="1958">
        <v>437.55840464386756</v>
      </c>
      <c r="K1800" s="1958">
        <v>700.25471549015879</v>
      </c>
      <c r="L1800" s="1958">
        <v>906.85576354197303</v>
      </c>
      <c r="M1800" s="1"/>
      <c r="N1800" s="1"/>
      <c r="O1800" s="1"/>
      <c r="P1800" s="1"/>
      <c r="Q1800" s="1"/>
      <c r="R1800" s="1"/>
      <c r="S1800" s="1"/>
      <c r="T1800" s="1"/>
      <c r="V1800" s="1"/>
      <c r="X1800" s="1"/>
      <c r="Z1800" s="1"/>
      <c r="AA1800" s="1959">
        <v>6142.0213000000003</v>
      </c>
      <c r="AB1800" s="1959">
        <v>28842.124072999999</v>
      </c>
      <c r="AC1800" s="1959">
        <v>4459.639991</v>
      </c>
      <c r="AD1800" s="1960"/>
      <c r="AE1800" s="1960"/>
      <c r="AF1800" s="1960"/>
      <c r="AG1800" s="1960"/>
      <c r="AH1800" s="1960"/>
      <c r="AI1800" s="1960"/>
      <c r="AJ1800" s="1960"/>
      <c r="AK1800" s="1960"/>
      <c r="AL1800" s="1960"/>
      <c r="AM1800" s="1960"/>
      <c r="AN1800" s="1960"/>
      <c r="AO1800" s="1960"/>
      <c r="AP1800" s="1960"/>
      <c r="AQ1800" s="1960"/>
      <c r="AR1800" s="1960"/>
      <c r="AS1800" s="1960"/>
      <c r="AT1800" s="1960"/>
    </row>
    <row r="1801" spans="3:46" ht="16.5">
      <c r="C1801" s="700"/>
      <c r="D1801" s="1961" t="s">
        <v>3515</v>
      </c>
      <c r="E1801" s="1975"/>
      <c r="J1801" s="1972">
        <v>259.81007959673127</v>
      </c>
      <c r="K1801" s="1972">
        <v>377.05346552764001</v>
      </c>
      <c r="L1801" s="1972">
        <v>408.09607925995732</v>
      </c>
      <c r="M1801" s="1"/>
      <c r="N1801" s="1"/>
      <c r="O1801" s="1"/>
      <c r="P1801" s="1"/>
      <c r="Q1801" s="1"/>
      <c r="R1801" s="1"/>
      <c r="S1801" s="1"/>
      <c r="T1801" s="1"/>
      <c r="V1801" s="1"/>
      <c r="X1801" s="1"/>
      <c r="Z1801" s="1"/>
      <c r="AA1801" s="1973">
        <v>1843.733665</v>
      </c>
      <c r="AB1801" s="1973">
        <v>2728.2849230000002</v>
      </c>
      <c r="AC1801" s="1973">
        <v>228.94989799999999</v>
      </c>
      <c r="AD1801" s="1974"/>
      <c r="AE1801" s="1974"/>
      <c r="AF1801" s="1974"/>
      <c r="AG1801" s="1974"/>
      <c r="AH1801" s="1974"/>
      <c r="AI1801" s="1974"/>
      <c r="AJ1801" s="1974"/>
      <c r="AK1801" s="1974"/>
      <c r="AL1801" s="1974"/>
      <c r="AM1801" s="1974"/>
      <c r="AN1801" s="1974"/>
      <c r="AO1801" s="1974"/>
      <c r="AP1801" s="1974"/>
      <c r="AQ1801" s="1974"/>
      <c r="AR1801" s="1974"/>
      <c r="AS1801" s="1974"/>
      <c r="AT1801" s="1974"/>
    </row>
    <row r="1802" spans="3:46" ht="16.5">
      <c r="C1802" s="701"/>
      <c r="D1802" s="1961" t="s">
        <v>3516</v>
      </c>
      <c r="E1802" s="1975"/>
      <c r="J1802" s="1972" t="s">
        <v>136</v>
      </c>
      <c r="K1802" s="1972" t="s">
        <v>136</v>
      </c>
      <c r="L1802" s="1972" t="s">
        <v>136</v>
      </c>
      <c r="M1802" s="1"/>
      <c r="N1802" s="1"/>
      <c r="O1802" s="1"/>
      <c r="P1802" s="1"/>
      <c r="Q1802" s="1"/>
      <c r="R1802" s="1"/>
      <c r="S1802" s="1"/>
      <c r="T1802" s="1"/>
      <c r="V1802" s="1"/>
      <c r="X1802" s="1"/>
      <c r="Z1802" s="1"/>
      <c r="AA1802" s="1973">
        <v>42.820844000000001</v>
      </c>
      <c r="AB1802" s="1973">
        <v>2011.473857</v>
      </c>
      <c r="AC1802" s="1973">
        <v>1713.6012000000001</v>
      </c>
      <c r="AD1802" s="1974"/>
      <c r="AE1802" s="1974"/>
      <c r="AF1802" s="1974"/>
      <c r="AG1802" s="1974"/>
      <c r="AH1802" s="1974"/>
      <c r="AI1802" s="1974"/>
      <c r="AJ1802" s="1974"/>
      <c r="AK1802" s="1974"/>
      <c r="AL1802" s="1974"/>
      <c r="AM1802" s="1974"/>
      <c r="AN1802" s="1974"/>
      <c r="AO1802" s="1974"/>
      <c r="AP1802" s="1974"/>
      <c r="AQ1802" s="1974"/>
      <c r="AR1802" s="1974"/>
      <c r="AS1802" s="1974"/>
      <c r="AT1802" s="1974"/>
    </row>
    <row r="1803" spans="3:46" ht="16.5">
      <c r="C1803" s="702"/>
      <c r="D1803" s="1961" t="s">
        <v>3517</v>
      </c>
      <c r="E1803" s="1975"/>
      <c r="J1803" s="1972" t="s">
        <v>136</v>
      </c>
      <c r="K1803" s="1972" t="s">
        <v>136</v>
      </c>
      <c r="L1803" s="1972" t="s">
        <v>136</v>
      </c>
      <c r="M1803" s="1"/>
      <c r="N1803" s="1"/>
      <c r="O1803" s="1"/>
      <c r="P1803" s="1"/>
      <c r="Q1803" s="1"/>
      <c r="R1803" s="1"/>
      <c r="S1803" s="1"/>
      <c r="T1803" s="1"/>
      <c r="V1803" s="1"/>
      <c r="X1803" s="1"/>
      <c r="Z1803" s="1"/>
      <c r="AA1803" s="1973">
        <v>0</v>
      </c>
      <c r="AB1803" s="1973">
        <v>1611.9811360000001</v>
      </c>
      <c r="AC1803" s="1973">
        <v>2262.0888930000001</v>
      </c>
      <c r="AD1803" s="1974"/>
      <c r="AE1803" s="1974"/>
      <c r="AF1803" s="1974"/>
      <c r="AG1803" s="1974"/>
      <c r="AH1803" s="1974"/>
      <c r="AI1803" s="1974"/>
      <c r="AJ1803" s="1974"/>
      <c r="AK1803" s="1974"/>
      <c r="AL1803" s="1974"/>
      <c r="AM1803" s="1974"/>
      <c r="AN1803" s="1974"/>
      <c r="AO1803" s="1974"/>
      <c r="AP1803" s="1974"/>
      <c r="AQ1803" s="1974"/>
      <c r="AR1803" s="1974"/>
      <c r="AS1803" s="1974"/>
      <c r="AT1803" s="1974"/>
    </row>
    <row r="1804" spans="3:46" ht="16.5">
      <c r="C1804" s="702"/>
      <c r="D1804" s="1961" t="s">
        <v>3518</v>
      </c>
      <c r="E1804" s="1975"/>
      <c r="J1804" s="1972" t="s">
        <v>136</v>
      </c>
      <c r="K1804" s="1972" t="s">
        <v>136</v>
      </c>
      <c r="L1804" s="1972" t="s">
        <v>136</v>
      </c>
      <c r="M1804" s="1"/>
      <c r="N1804" s="1"/>
      <c r="O1804" s="1"/>
      <c r="P1804" s="1"/>
      <c r="Q1804" s="1"/>
      <c r="R1804" s="1"/>
      <c r="S1804" s="1"/>
      <c r="T1804" s="1"/>
      <c r="V1804" s="1"/>
      <c r="X1804" s="1"/>
      <c r="Z1804" s="1"/>
      <c r="AA1804" s="1973">
        <v>4255.4667909999998</v>
      </c>
      <c r="AB1804" s="1973">
        <v>22490.384157</v>
      </c>
      <c r="AC1804" s="1973">
        <v>255</v>
      </c>
      <c r="AD1804" s="1974"/>
      <c r="AE1804" s="1974"/>
      <c r="AF1804" s="1974"/>
      <c r="AG1804" s="1974"/>
      <c r="AH1804" s="1974"/>
      <c r="AI1804" s="1974"/>
      <c r="AJ1804" s="1974"/>
      <c r="AK1804" s="1974"/>
      <c r="AL1804" s="1974"/>
      <c r="AM1804" s="1974"/>
      <c r="AN1804" s="1974"/>
      <c r="AO1804" s="1974"/>
      <c r="AP1804" s="1974"/>
      <c r="AQ1804" s="1974"/>
      <c r="AR1804" s="1974"/>
      <c r="AS1804" s="1974"/>
      <c r="AT1804" s="1974"/>
    </row>
    <row r="1805" spans="3:46" ht="16.5">
      <c r="C1805" s="1156"/>
      <c r="D1805" s="1976" t="s">
        <v>3519</v>
      </c>
      <c r="E1805" s="1977" t="s">
        <v>3520</v>
      </c>
      <c r="J1805" s="1958" t="s">
        <v>136</v>
      </c>
      <c r="K1805" s="1958" t="s">
        <v>136</v>
      </c>
      <c r="L1805" s="1958" t="s">
        <v>136</v>
      </c>
      <c r="M1805" s="1"/>
      <c r="N1805" s="1"/>
      <c r="O1805" s="1"/>
      <c r="P1805" s="1"/>
      <c r="Q1805" s="1"/>
      <c r="R1805" s="1"/>
      <c r="S1805" s="1"/>
      <c r="T1805" s="1"/>
      <c r="V1805" s="1"/>
      <c r="X1805" s="1"/>
      <c r="Z1805" s="1"/>
      <c r="AA1805" s="1958">
        <v>45687.686365000001</v>
      </c>
      <c r="AB1805" s="1958">
        <v>41274.145465000001</v>
      </c>
      <c r="AC1805" s="1958">
        <v>54140.402488</v>
      </c>
      <c r="AD1805" s="1960"/>
      <c r="AE1805" s="1960"/>
      <c r="AF1805" s="1960"/>
      <c r="AG1805" s="1960"/>
      <c r="AH1805" s="1960"/>
      <c r="AI1805" s="1960"/>
      <c r="AJ1805" s="1960"/>
      <c r="AK1805" s="1960"/>
      <c r="AL1805" s="1960"/>
      <c r="AM1805" s="1960"/>
      <c r="AN1805" s="1960"/>
      <c r="AO1805" s="1960"/>
      <c r="AP1805" s="1960"/>
      <c r="AQ1805" s="1960"/>
      <c r="AR1805" s="1960"/>
      <c r="AS1805" s="1960"/>
      <c r="AT1805" s="1960"/>
    </row>
    <row r="1806" spans="3:46" ht="16.5">
      <c r="C1806" s="1150"/>
      <c r="D1806" s="1978" t="s">
        <v>3098</v>
      </c>
      <c r="E1806" s="1979"/>
      <c r="J1806" s="1972">
        <v>279.79454490708895</v>
      </c>
      <c r="K1806" s="1972">
        <v>442.51420081421674</v>
      </c>
      <c r="L1806" s="1972">
        <v>348.03331705238918</v>
      </c>
      <c r="M1806" s="1"/>
      <c r="N1806" s="1"/>
      <c r="O1806" s="1"/>
      <c r="P1806" s="1"/>
      <c r="Q1806" s="1"/>
      <c r="R1806" s="1"/>
      <c r="S1806" s="1"/>
      <c r="T1806" s="1"/>
      <c r="V1806" s="1"/>
      <c r="X1806" s="1"/>
      <c r="Z1806" s="1"/>
      <c r="AA1806" s="1972">
        <v>18688.331973</v>
      </c>
      <c r="AB1806" s="1972">
        <v>5853.7855179999997</v>
      </c>
      <c r="AC1806" s="1972">
        <v>1402.549548</v>
      </c>
      <c r="AD1806" s="1974"/>
      <c r="AE1806" s="1974"/>
      <c r="AF1806" s="1974"/>
      <c r="AG1806" s="1974"/>
      <c r="AH1806" s="1974"/>
      <c r="AI1806" s="1974"/>
      <c r="AJ1806" s="1974"/>
      <c r="AK1806" s="1974"/>
      <c r="AL1806" s="1974"/>
      <c r="AM1806" s="1974"/>
      <c r="AN1806" s="1974"/>
      <c r="AO1806" s="1974"/>
      <c r="AP1806" s="1974"/>
      <c r="AQ1806" s="1974"/>
      <c r="AR1806" s="1974"/>
      <c r="AS1806" s="1974"/>
      <c r="AT1806" s="1974"/>
    </row>
    <row r="1807" spans="3:46" ht="16.5">
      <c r="C1807" s="1150"/>
      <c r="D1807" s="1978" t="s">
        <v>3521</v>
      </c>
      <c r="E1807" s="1979"/>
      <c r="J1807" s="1972" t="s">
        <v>136</v>
      </c>
      <c r="K1807" s="1972" t="s">
        <v>136</v>
      </c>
      <c r="L1807" s="1972" t="s">
        <v>136</v>
      </c>
      <c r="M1807" s="1"/>
      <c r="N1807" s="1"/>
      <c r="O1807" s="1"/>
      <c r="P1807" s="1"/>
      <c r="Q1807" s="1"/>
      <c r="R1807" s="1"/>
      <c r="S1807" s="1"/>
      <c r="T1807" s="1"/>
      <c r="V1807" s="1"/>
      <c r="X1807" s="1"/>
      <c r="Z1807" s="1"/>
      <c r="AA1807" s="1972">
        <v>26999.354392000001</v>
      </c>
      <c r="AB1807" s="1972">
        <v>35420.359946999997</v>
      </c>
      <c r="AC1807" s="1972">
        <v>52737.852939999997</v>
      </c>
      <c r="AD1807" s="1974"/>
      <c r="AE1807" s="1974"/>
      <c r="AF1807" s="1974"/>
      <c r="AG1807" s="1974"/>
      <c r="AH1807" s="1974"/>
      <c r="AI1807" s="1974"/>
      <c r="AJ1807" s="1974"/>
      <c r="AK1807" s="1974"/>
      <c r="AL1807" s="1974"/>
      <c r="AM1807" s="1974"/>
      <c r="AN1807" s="1974"/>
      <c r="AO1807" s="1974"/>
      <c r="AP1807" s="1974"/>
      <c r="AQ1807" s="1974"/>
      <c r="AR1807" s="1974"/>
      <c r="AS1807" s="1974"/>
      <c r="AT1807" s="1974"/>
    </row>
    <row r="1808" spans="3:46" ht="16.5">
      <c r="C1808" s="702"/>
      <c r="D1808" s="1980" t="s">
        <v>3522</v>
      </c>
      <c r="E1808" s="1981" t="s">
        <v>3523</v>
      </c>
      <c r="J1808" s="1982">
        <v>0</v>
      </c>
      <c r="K1808" s="1982">
        <v>0</v>
      </c>
      <c r="L1808" s="1982">
        <v>0</v>
      </c>
      <c r="M1808" s="1"/>
      <c r="N1808" s="1"/>
      <c r="O1808" s="1"/>
      <c r="P1808" s="1"/>
      <c r="Q1808" s="1"/>
      <c r="R1808" s="1"/>
      <c r="S1808" s="1"/>
      <c r="T1808" s="1"/>
      <c r="V1808" s="1"/>
      <c r="X1808" s="1"/>
      <c r="Z1808" s="1"/>
      <c r="AA1808" s="1983">
        <v>1952008.3677729999</v>
      </c>
      <c r="AB1808" s="1983">
        <v>2117873.9331899998</v>
      </c>
      <c r="AC1808" s="1983">
        <v>2313341.0418600002</v>
      </c>
      <c r="AD1808" s="1984">
        <f>+AD1786+AD1792+AD1799+AD1800+AD1805</f>
        <v>2065.0273714377413</v>
      </c>
      <c r="AE1808" s="1984">
        <f t="shared" ref="AE1808:AM1808" si="2049">+AE1786+AE1792+AE1799+AE1800+AE1805</f>
        <v>2203.0901479640534</v>
      </c>
      <c r="AF1808" s="1984">
        <f t="shared" si="2049"/>
        <v>2568.1911970880874</v>
      </c>
      <c r="AG1808" s="1984">
        <f t="shared" si="2049"/>
        <v>3102.1830053361036</v>
      </c>
      <c r="AH1808" s="1984">
        <f t="shared" si="2049"/>
        <v>3399.5671834663381</v>
      </c>
      <c r="AI1808" s="1984">
        <f t="shared" si="2049"/>
        <v>3811.1283616710434</v>
      </c>
      <c r="AJ1808" s="1984">
        <f t="shared" si="2049"/>
        <v>4285.1164925549401</v>
      </c>
      <c r="AK1808" s="1984">
        <f t="shared" si="2049"/>
        <v>4837.8437108979115</v>
      </c>
      <c r="AL1808" s="1984">
        <f t="shared" si="2049"/>
        <v>5705.8830961787326</v>
      </c>
      <c r="AM1808" s="1984">
        <f t="shared" si="2049"/>
        <v>6570.0178541537625</v>
      </c>
      <c r="AN1808" s="1984"/>
      <c r="AO1808" s="1984"/>
      <c r="AP1808" s="1984"/>
      <c r="AQ1808" s="1984"/>
      <c r="AR1808" s="1984"/>
      <c r="AS1808" s="1984"/>
      <c r="AT1808" s="1984"/>
    </row>
    <row r="1809" spans="3:46" ht="16.5">
      <c r="C1809" s="701"/>
      <c r="D1809" s="1951" t="s">
        <v>3524</v>
      </c>
      <c r="E1809" s="1985"/>
      <c r="J1809" s="1953" t="s">
        <v>136</v>
      </c>
      <c r="K1809" s="1953" t="s">
        <v>136</v>
      </c>
      <c r="L1809" s="1953" t="s">
        <v>136</v>
      </c>
      <c r="M1809" s="1"/>
      <c r="N1809" s="1"/>
      <c r="O1809" s="1"/>
      <c r="P1809" s="1"/>
      <c r="Q1809" s="1"/>
      <c r="R1809" s="1"/>
      <c r="S1809" s="1"/>
      <c r="T1809" s="1"/>
      <c r="V1809" s="1"/>
      <c r="X1809" s="1"/>
      <c r="Z1809" s="1"/>
      <c r="AA1809" s="1952"/>
      <c r="AB1809" s="1952"/>
      <c r="AC1809" s="1952"/>
      <c r="AD1809" s="1954"/>
      <c r="AE1809" s="1954"/>
      <c r="AF1809" s="1954"/>
      <c r="AG1809" s="1954"/>
      <c r="AH1809" s="1954"/>
      <c r="AI1809" s="1954"/>
      <c r="AJ1809" s="1954"/>
      <c r="AK1809" s="1954"/>
      <c r="AL1809" s="1954"/>
      <c r="AM1809" s="1954"/>
      <c r="AN1809" s="1954"/>
      <c r="AO1809" s="1954"/>
      <c r="AP1809" s="1954"/>
      <c r="AQ1809" s="1954"/>
      <c r="AR1809" s="1954"/>
      <c r="AS1809" s="1954"/>
      <c r="AT1809" s="1954"/>
    </row>
    <row r="1810" spans="3:46" ht="16.5">
      <c r="C1810" s="703"/>
      <c r="D1810" s="1956" t="s">
        <v>3525</v>
      </c>
      <c r="E1810" s="1957" t="s">
        <v>3526</v>
      </c>
      <c r="J1810" s="1958">
        <v>1901.1315501950594</v>
      </c>
      <c r="K1810" s="1958">
        <v>2426.8518539186493</v>
      </c>
      <c r="L1810" s="1958">
        <v>2644.2543881986458</v>
      </c>
      <c r="M1810" s="1"/>
      <c r="N1810" s="1"/>
      <c r="O1810" s="1"/>
      <c r="P1810" s="1"/>
      <c r="Q1810" s="1"/>
      <c r="R1810" s="1"/>
      <c r="S1810" s="1"/>
      <c r="T1810" s="1"/>
      <c r="V1810" s="1"/>
      <c r="X1810" s="1"/>
      <c r="Z1810" s="1"/>
      <c r="AA1810" s="1959">
        <v>374376.48894499999</v>
      </c>
      <c r="AB1810" s="1959">
        <v>405730.88387399999</v>
      </c>
      <c r="AC1810" s="1959">
        <v>429673.62001499999</v>
      </c>
      <c r="AD1810" s="1960">
        <f t="shared" ref="AD1810:AM1810" si="2050">AD1077+AD1114+AD1118</f>
        <v>499.6315373433423</v>
      </c>
      <c r="AE1810" s="1960">
        <f t="shared" si="2050"/>
        <v>453.27649377400002</v>
      </c>
      <c r="AF1810" s="1960">
        <f t="shared" si="2050"/>
        <v>551.47122476899995</v>
      </c>
      <c r="AG1810" s="1960">
        <f t="shared" si="2050"/>
        <v>648.98334625857251</v>
      </c>
      <c r="AH1810" s="1960">
        <f t="shared" si="2050"/>
        <v>830.28505115352709</v>
      </c>
      <c r="AI1810" s="1960">
        <f t="shared" si="2050"/>
        <v>1004.400935114</v>
      </c>
      <c r="AJ1810" s="1960">
        <f t="shared" si="2050"/>
        <v>1185.927923702935</v>
      </c>
      <c r="AK1810" s="1960">
        <f t="shared" si="2050"/>
        <v>1413.3015546667407</v>
      </c>
      <c r="AL1810" s="1960">
        <f t="shared" si="2050"/>
        <v>1591.581975858518</v>
      </c>
      <c r="AM1810" s="1960">
        <f t="shared" si="2050"/>
        <v>1800.9061183710878</v>
      </c>
      <c r="AN1810" s="1960"/>
      <c r="AO1810" s="1960"/>
      <c r="AP1810" s="1960"/>
      <c r="AQ1810" s="1960"/>
      <c r="AR1810" s="1960"/>
      <c r="AS1810" s="1960"/>
      <c r="AT1810" s="1960"/>
    </row>
    <row r="1811" spans="3:46" ht="16.5">
      <c r="C1811" s="701"/>
      <c r="D1811" s="1961" t="s">
        <v>3527</v>
      </c>
      <c r="E1811" s="1966"/>
      <c r="J1811" s="1972">
        <v>266.32706490700002</v>
      </c>
      <c r="K1811" s="1972">
        <v>313.42654967115055</v>
      </c>
      <c r="L1811" s="1972">
        <v>366.2483260872296</v>
      </c>
      <c r="M1811" s="1"/>
      <c r="N1811" s="1"/>
      <c r="O1811" s="1"/>
      <c r="P1811" s="1"/>
      <c r="Q1811" s="1"/>
      <c r="R1811" s="1"/>
      <c r="S1811" s="1"/>
      <c r="T1811" s="1"/>
      <c r="V1811" s="1"/>
      <c r="X1811" s="1"/>
      <c r="Z1811" s="1"/>
      <c r="AA1811" s="1973">
        <v>345883.83355099999</v>
      </c>
      <c r="AB1811" s="1973">
        <v>373592.81421400001</v>
      </c>
      <c r="AC1811" s="1973">
        <v>391767.13016100001</v>
      </c>
      <c r="AD1811" s="1974"/>
      <c r="AE1811" s="1974"/>
      <c r="AF1811" s="1974"/>
      <c r="AG1811" s="1974"/>
      <c r="AH1811" s="1974"/>
      <c r="AI1811" s="1974"/>
      <c r="AJ1811" s="1974"/>
      <c r="AK1811" s="1974"/>
      <c r="AL1811" s="1974"/>
      <c r="AM1811" s="1974"/>
      <c r="AN1811" s="1974"/>
      <c r="AO1811" s="1974"/>
      <c r="AP1811" s="1974"/>
      <c r="AQ1811" s="1974"/>
      <c r="AR1811" s="1974"/>
      <c r="AS1811" s="1974"/>
      <c r="AT1811" s="1974"/>
    </row>
    <row r="1812" spans="3:46" ht="16.5">
      <c r="C1812" s="703"/>
      <c r="D1812" s="1961" t="s">
        <v>3528</v>
      </c>
      <c r="E1812" s="1966"/>
      <c r="J1812" s="1972" t="s">
        <v>136</v>
      </c>
      <c r="K1812" s="1972" t="s">
        <v>136</v>
      </c>
      <c r="L1812" s="1972" t="s">
        <v>136</v>
      </c>
      <c r="M1812" s="1"/>
      <c r="N1812" s="1"/>
      <c r="O1812" s="1"/>
      <c r="P1812" s="1"/>
      <c r="Q1812" s="1"/>
      <c r="R1812" s="1"/>
      <c r="S1812" s="1"/>
      <c r="T1812" s="1"/>
      <c r="V1812" s="1"/>
      <c r="X1812" s="1"/>
      <c r="Z1812" s="1"/>
      <c r="AA1812" s="1973">
        <v>28492.655394000001</v>
      </c>
      <c r="AB1812" s="1973">
        <v>32138.069660000001</v>
      </c>
      <c r="AC1812" s="1973">
        <v>37667.662934</v>
      </c>
      <c r="AD1812" s="1974"/>
      <c r="AE1812" s="1974"/>
      <c r="AF1812" s="1974"/>
      <c r="AG1812" s="1974"/>
      <c r="AH1812" s="1974"/>
      <c r="AI1812" s="1974"/>
      <c r="AJ1812" s="1974"/>
      <c r="AK1812" s="1974"/>
      <c r="AL1812" s="1974"/>
      <c r="AM1812" s="1974"/>
      <c r="AN1812" s="1974"/>
      <c r="AO1812" s="1974"/>
      <c r="AP1812" s="1974"/>
      <c r="AQ1812" s="1974"/>
      <c r="AR1812" s="1974"/>
      <c r="AS1812" s="1974"/>
      <c r="AT1812" s="1974"/>
    </row>
    <row r="1813" spans="3:46" ht="16.5">
      <c r="C1813" s="702"/>
      <c r="D1813" s="1961" t="s">
        <v>3529</v>
      </c>
      <c r="E1813" s="1966"/>
      <c r="J1813" s="1972">
        <v>26.669207106000002</v>
      </c>
      <c r="K1813" s="1972">
        <v>58.981328523299041</v>
      </c>
      <c r="L1813" s="1972">
        <v>45.479714312620004</v>
      </c>
      <c r="M1813" s="1"/>
      <c r="N1813" s="1"/>
      <c r="O1813" s="1"/>
      <c r="P1813" s="1"/>
      <c r="Q1813" s="1"/>
      <c r="R1813" s="1"/>
      <c r="S1813" s="1"/>
      <c r="T1813" s="1"/>
      <c r="V1813" s="1"/>
      <c r="X1813" s="1"/>
      <c r="Z1813" s="1"/>
      <c r="AA1813" s="1973">
        <v>0</v>
      </c>
      <c r="AB1813" s="1973">
        <v>0</v>
      </c>
      <c r="AC1813" s="1973">
        <v>238.82692</v>
      </c>
      <c r="AD1813" s="1974"/>
      <c r="AE1813" s="1974"/>
      <c r="AF1813" s="1974"/>
      <c r="AG1813" s="1974"/>
      <c r="AH1813" s="1974"/>
      <c r="AI1813" s="1974"/>
      <c r="AJ1813" s="1974"/>
      <c r="AK1813" s="1974"/>
      <c r="AL1813" s="1974"/>
      <c r="AM1813" s="1974"/>
      <c r="AN1813" s="1974"/>
      <c r="AO1813" s="1974"/>
      <c r="AP1813" s="1974"/>
      <c r="AQ1813" s="1974"/>
      <c r="AR1813" s="1974"/>
      <c r="AS1813" s="1974"/>
      <c r="AT1813" s="1974"/>
    </row>
    <row r="1814" spans="3:46" ht="16.5">
      <c r="C1814" s="700"/>
      <c r="D1814" s="1956" t="s">
        <v>3530</v>
      </c>
      <c r="E1814" s="907" t="s">
        <v>3531</v>
      </c>
      <c r="J1814" s="1986" t="s">
        <v>136</v>
      </c>
      <c r="K1814" s="1986" t="s">
        <v>136</v>
      </c>
      <c r="L1814" s="1986" t="s">
        <v>136</v>
      </c>
      <c r="M1814" s="1"/>
      <c r="N1814" s="1"/>
      <c r="O1814" s="1"/>
      <c r="P1814" s="1"/>
      <c r="Q1814" s="1"/>
      <c r="R1814" s="1"/>
      <c r="S1814" s="1"/>
      <c r="T1814" s="1"/>
      <c r="V1814" s="1"/>
      <c r="X1814" s="1"/>
      <c r="Z1814" s="1"/>
      <c r="AA1814" s="1987">
        <v>639287.25106499996</v>
      </c>
      <c r="AB1814" s="1987">
        <v>782912.527336</v>
      </c>
      <c r="AC1814" s="1987">
        <v>812371.26676499995</v>
      </c>
      <c r="AD1814" s="1960">
        <f t="shared" ref="AD1814:AM1814" si="2051">AD1079+AD1113-AD1114+AD1117-AD1118</f>
        <v>580.58373872314905</v>
      </c>
      <c r="AE1814" s="1960">
        <f t="shared" si="2051"/>
        <v>681.87331266900014</v>
      </c>
      <c r="AF1814" s="1960">
        <f t="shared" si="2051"/>
        <v>712.76385745499999</v>
      </c>
      <c r="AG1814" s="1960">
        <f t="shared" si="2051"/>
        <v>870.40127613966001</v>
      </c>
      <c r="AH1814" s="1960">
        <f t="shared" si="2051"/>
        <v>1014.2228727447052</v>
      </c>
      <c r="AI1814" s="1960">
        <f t="shared" si="2051"/>
        <v>1007.389877931</v>
      </c>
      <c r="AJ1814" s="1960">
        <f t="shared" si="2051"/>
        <v>1067.9189421556571</v>
      </c>
      <c r="AK1814" s="1960">
        <f t="shared" si="2051"/>
        <v>1021.5138450893834</v>
      </c>
      <c r="AL1814" s="1960">
        <f t="shared" si="2051"/>
        <v>1182.4442457112063</v>
      </c>
      <c r="AM1814" s="1960">
        <f t="shared" si="2051"/>
        <v>1357.3856464597652</v>
      </c>
      <c r="AN1814" s="1960"/>
      <c r="AO1814" s="1960"/>
      <c r="AP1814" s="1960"/>
      <c r="AQ1814" s="1960"/>
      <c r="AR1814" s="1960"/>
      <c r="AS1814" s="1960"/>
      <c r="AT1814" s="1960"/>
    </row>
    <row r="1815" spans="3:46" ht="16.5">
      <c r="C1815" s="1150"/>
      <c r="D1815" s="1961" t="s">
        <v>3532</v>
      </c>
      <c r="E1815" s="1966"/>
      <c r="J1815" s="1972">
        <v>572.34668941100017</v>
      </c>
      <c r="K1815" s="1972">
        <v>663.40450638507548</v>
      </c>
      <c r="L1815" s="1972">
        <v>714.0269954331394</v>
      </c>
      <c r="M1815" s="1"/>
      <c r="N1815" s="1"/>
      <c r="O1815" s="1"/>
      <c r="P1815" s="1"/>
      <c r="Q1815" s="1"/>
      <c r="R1815" s="1"/>
      <c r="S1815" s="1"/>
      <c r="T1815" s="1"/>
      <c r="V1815" s="1"/>
      <c r="X1815" s="1"/>
      <c r="Z1815" s="1"/>
      <c r="AA1815" s="1973">
        <v>119957.298796</v>
      </c>
      <c r="AB1815" s="1973">
        <v>130467.85288599999</v>
      </c>
      <c r="AC1815" s="1973">
        <v>135158.95517299999</v>
      </c>
      <c r="AD1815" s="1974"/>
      <c r="AE1815" s="1974"/>
      <c r="AF1815" s="1974"/>
      <c r="AG1815" s="1974"/>
      <c r="AH1815" s="1974"/>
      <c r="AI1815" s="1974"/>
      <c r="AJ1815" s="1974"/>
      <c r="AK1815" s="1974"/>
      <c r="AL1815" s="1974"/>
      <c r="AM1815" s="1974"/>
      <c r="AN1815" s="1974"/>
      <c r="AO1815" s="1974"/>
      <c r="AP1815" s="1974"/>
      <c r="AQ1815" s="1974"/>
      <c r="AR1815" s="1974"/>
      <c r="AS1815" s="1974"/>
      <c r="AT1815" s="1974"/>
    </row>
    <row r="1816" spans="3:46" ht="16.5">
      <c r="C1816" s="1157"/>
      <c r="D1816" s="1961" t="s">
        <v>3533</v>
      </c>
      <c r="E1816" s="1966"/>
      <c r="J1816" s="1972" t="s">
        <v>136</v>
      </c>
      <c r="K1816" s="1972" t="s">
        <v>136</v>
      </c>
      <c r="L1816" s="1972" t="s">
        <v>136</v>
      </c>
      <c r="M1816" s="1"/>
      <c r="N1816" s="1"/>
      <c r="O1816" s="1"/>
      <c r="P1816" s="1"/>
      <c r="Q1816" s="1"/>
      <c r="R1816" s="1"/>
      <c r="S1816" s="1"/>
      <c r="T1816" s="1"/>
      <c r="V1816" s="1"/>
      <c r="X1816" s="1"/>
      <c r="Z1816" s="1"/>
      <c r="AA1816" s="1973">
        <v>140819.799405</v>
      </c>
      <c r="AB1816" s="1973">
        <v>150037.222033</v>
      </c>
      <c r="AC1816" s="1973">
        <v>170722.34461299999</v>
      </c>
      <c r="AD1816" s="1974"/>
      <c r="AE1816" s="1974"/>
      <c r="AF1816" s="1974"/>
      <c r="AG1816" s="1974"/>
      <c r="AH1816" s="1974"/>
      <c r="AI1816" s="1974"/>
      <c r="AJ1816" s="1974"/>
      <c r="AK1816" s="1974"/>
      <c r="AL1816" s="1974"/>
      <c r="AM1816" s="1974"/>
      <c r="AN1816" s="1974"/>
      <c r="AO1816" s="1974"/>
      <c r="AP1816" s="1974"/>
      <c r="AQ1816" s="1974"/>
      <c r="AR1816" s="1974"/>
      <c r="AS1816" s="1974"/>
      <c r="AT1816" s="1974"/>
    </row>
    <row r="1817" spans="3:46" ht="16.5">
      <c r="C1817" s="702"/>
      <c r="D1817" s="1961" t="s">
        <v>3534</v>
      </c>
      <c r="E1817" s="1966"/>
      <c r="J1817" s="1972" t="s">
        <v>136</v>
      </c>
      <c r="K1817" s="1972" t="s">
        <v>136</v>
      </c>
      <c r="L1817" s="1972" t="s">
        <v>136</v>
      </c>
      <c r="M1817" s="1"/>
      <c r="N1817" s="1"/>
      <c r="O1817" s="1"/>
      <c r="P1817" s="1"/>
      <c r="Q1817" s="1"/>
      <c r="R1817" s="1"/>
      <c r="S1817" s="1"/>
      <c r="T1817" s="1"/>
      <c r="V1817" s="1"/>
      <c r="X1817" s="1"/>
      <c r="Z1817" s="1"/>
      <c r="AA1817" s="1973">
        <v>64027.359506000001</v>
      </c>
      <c r="AB1817" s="1973">
        <v>70233.157103000005</v>
      </c>
      <c r="AC1817" s="1973">
        <v>76031.232827999993</v>
      </c>
      <c r="AD1817" s="1974"/>
      <c r="AE1817" s="1974"/>
      <c r="AF1817" s="1974"/>
      <c r="AG1817" s="1974"/>
      <c r="AH1817" s="1974"/>
      <c r="AI1817" s="1974"/>
      <c r="AJ1817" s="1974"/>
      <c r="AK1817" s="1974"/>
      <c r="AL1817" s="1974"/>
      <c r="AM1817" s="1974"/>
      <c r="AN1817" s="1974"/>
      <c r="AO1817" s="1974"/>
      <c r="AP1817" s="1974"/>
      <c r="AQ1817" s="1974"/>
      <c r="AR1817" s="1974"/>
      <c r="AS1817" s="1974"/>
      <c r="AT1817" s="1974"/>
    </row>
    <row r="1818" spans="3:46" ht="16.5">
      <c r="C1818" s="701"/>
      <c r="D1818" s="1961" t="s">
        <v>3535</v>
      </c>
      <c r="E1818" s="1966"/>
      <c r="J1818" s="1972" t="s">
        <v>136</v>
      </c>
      <c r="K1818" s="1972" t="s">
        <v>136</v>
      </c>
      <c r="L1818" s="1972" t="s">
        <v>136</v>
      </c>
      <c r="M1818" s="1"/>
      <c r="N1818" s="1"/>
      <c r="O1818" s="1"/>
      <c r="P1818" s="1"/>
      <c r="Q1818" s="1"/>
      <c r="R1818" s="1"/>
      <c r="S1818" s="1"/>
      <c r="T1818" s="1"/>
      <c r="V1818" s="1"/>
      <c r="X1818" s="1"/>
      <c r="Z1818" s="1"/>
      <c r="AA1818" s="1973">
        <v>53160.518553000002</v>
      </c>
      <c r="AB1818" s="1973">
        <v>64493.223254999997</v>
      </c>
      <c r="AC1818" s="1973">
        <v>70698.746834000005</v>
      </c>
      <c r="AD1818" s="1974"/>
      <c r="AE1818" s="1974"/>
      <c r="AF1818" s="1974"/>
      <c r="AG1818" s="1974"/>
      <c r="AH1818" s="1974"/>
      <c r="AI1818" s="1974"/>
      <c r="AJ1818" s="1974"/>
      <c r="AK1818" s="1974"/>
      <c r="AL1818" s="1974"/>
      <c r="AM1818" s="1974"/>
      <c r="AN1818" s="1974"/>
      <c r="AO1818" s="1974"/>
      <c r="AP1818" s="1974"/>
      <c r="AQ1818" s="1974"/>
      <c r="AR1818" s="1974"/>
      <c r="AS1818" s="1974"/>
      <c r="AT1818" s="1974"/>
    </row>
    <row r="1819" spans="3:46" ht="16.5">
      <c r="C1819" s="701"/>
      <c r="D1819" s="1961" t="s">
        <v>3536</v>
      </c>
      <c r="E1819" s="1966"/>
      <c r="J1819" s="1972" t="s">
        <v>136</v>
      </c>
      <c r="K1819" s="1972" t="s">
        <v>136</v>
      </c>
      <c r="L1819" s="1972" t="s">
        <v>136</v>
      </c>
      <c r="M1819" s="1"/>
      <c r="N1819" s="1"/>
      <c r="O1819" s="1"/>
      <c r="P1819" s="1"/>
      <c r="Q1819" s="1"/>
      <c r="R1819" s="1"/>
      <c r="S1819" s="1"/>
      <c r="T1819" s="1"/>
      <c r="V1819" s="1"/>
      <c r="X1819" s="1"/>
      <c r="Z1819" s="1"/>
      <c r="AA1819" s="1973">
        <v>112.256995</v>
      </c>
      <c r="AB1819" s="1973">
        <v>185.52444399999999</v>
      </c>
      <c r="AC1819" s="1973">
        <v>1890.1327409999999</v>
      </c>
      <c r="AD1819" s="1974"/>
      <c r="AE1819" s="1974"/>
      <c r="AF1819" s="1974"/>
      <c r="AG1819" s="1974"/>
      <c r="AH1819" s="1974"/>
      <c r="AI1819" s="1974"/>
      <c r="AJ1819" s="1974"/>
      <c r="AK1819" s="1974"/>
      <c r="AL1819" s="1974"/>
      <c r="AM1819" s="1974"/>
      <c r="AN1819" s="1974"/>
      <c r="AO1819" s="1974"/>
      <c r="AP1819" s="1974"/>
      <c r="AQ1819" s="1974"/>
      <c r="AR1819" s="1974"/>
      <c r="AS1819" s="1974"/>
      <c r="AT1819" s="1974"/>
    </row>
    <row r="1820" spans="3:46" ht="16.5">
      <c r="C1820" s="701"/>
      <c r="D1820" s="1961" t="s">
        <v>3537</v>
      </c>
      <c r="E1820" s="1966"/>
      <c r="J1820" s="1972" t="s">
        <v>136</v>
      </c>
      <c r="K1820" s="1972" t="s">
        <v>136</v>
      </c>
      <c r="L1820" s="1972" t="s">
        <v>136</v>
      </c>
      <c r="M1820" s="1"/>
      <c r="N1820" s="1"/>
      <c r="O1820" s="1"/>
      <c r="P1820" s="1"/>
      <c r="Q1820" s="1"/>
      <c r="R1820" s="1"/>
      <c r="S1820" s="1"/>
      <c r="T1820" s="1"/>
      <c r="V1820" s="1"/>
      <c r="X1820" s="1"/>
      <c r="Z1820" s="1"/>
      <c r="AA1820" s="1973">
        <v>18972.550325</v>
      </c>
      <c r="AB1820" s="1973">
        <v>22005.46917</v>
      </c>
      <c r="AC1820" s="1973">
        <v>32036.116279999998</v>
      </c>
      <c r="AD1820" s="1974"/>
      <c r="AE1820" s="1974"/>
      <c r="AF1820" s="1974"/>
      <c r="AG1820" s="1974"/>
      <c r="AH1820" s="1974"/>
      <c r="AI1820" s="1974"/>
      <c r="AJ1820" s="1974"/>
      <c r="AK1820" s="1974"/>
      <c r="AL1820" s="1974"/>
      <c r="AM1820" s="1974"/>
      <c r="AN1820" s="1974"/>
      <c r="AO1820" s="1974"/>
      <c r="AP1820" s="1974"/>
      <c r="AQ1820" s="1974"/>
      <c r="AR1820" s="1974"/>
      <c r="AS1820" s="1974"/>
      <c r="AT1820" s="1974"/>
    </row>
    <row r="1821" spans="3:46" ht="16.5">
      <c r="C1821" s="698"/>
      <c r="D1821" s="1961" t="s">
        <v>3538</v>
      </c>
      <c r="E1821" s="1966"/>
      <c r="J1821" s="1972" t="s">
        <v>136</v>
      </c>
      <c r="K1821" s="1972" t="s">
        <v>136</v>
      </c>
      <c r="L1821" s="1972" t="s">
        <v>136</v>
      </c>
      <c r="M1821" s="1"/>
      <c r="N1821" s="1"/>
      <c r="O1821" s="1"/>
      <c r="P1821" s="1"/>
      <c r="Q1821" s="1"/>
      <c r="R1821" s="1"/>
      <c r="S1821" s="1"/>
      <c r="T1821" s="1"/>
      <c r="V1821" s="1"/>
      <c r="X1821" s="1"/>
      <c r="Z1821" s="1"/>
      <c r="AA1821" s="1973">
        <v>211201.171868</v>
      </c>
      <c r="AB1821" s="1973">
        <v>329912.84917</v>
      </c>
      <c r="AC1821" s="1973">
        <v>307381.37842600001</v>
      </c>
      <c r="AD1821" s="1974"/>
      <c r="AE1821" s="1974"/>
      <c r="AF1821" s="1974"/>
      <c r="AG1821" s="1974"/>
      <c r="AH1821" s="1974"/>
      <c r="AI1821" s="1974"/>
      <c r="AJ1821" s="1974"/>
      <c r="AK1821" s="1974"/>
      <c r="AL1821" s="1974"/>
      <c r="AM1821" s="1974"/>
      <c r="AN1821" s="1974"/>
      <c r="AO1821" s="1974"/>
      <c r="AP1821" s="1974"/>
      <c r="AQ1821" s="1974"/>
      <c r="AR1821" s="1974"/>
      <c r="AS1821" s="1974"/>
      <c r="AT1821" s="1974"/>
    </row>
    <row r="1822" spans="3:46" ht="16.5">
      <c r="C1822" s="702"/>
      <c r="D1822" s="1961" t="s">
        <v>3539</v>
      </c>
      <c r="E1822" s="1966"/>
      <c r="J1822" s="1972" t="s">
        <v>136</v>
      </c>
      <c r="K1822" s="1972" t="s">
        <v>136</v>
      </c>
      <c r="L1822" s="1972" t="s">
        <v>136</v>
      </c>
      <c r="M1822" s="1"/>
      <c r="N1822" s="1"/>
      <c r="O1822" s="1"/>
      <c r="P1822" s="1"/>
      <c r="Q1822" s="1"/>
      <c r="R1822" s="1"/>
      <c r="S1822" s="1"/>
      <c r="T1822" s="1"/>
      <c r="V1822" s="1"/>
      <c r="X1822" s="1"/>
      <c r="Z1822" s="1"/>
      <c r="AA1822" s="1973">
        <v>6617.6331540000001</v>
      </c>
      <c r="AB1822" s="1973">
        <v>0</v>
      </c>
      <c r="AC1822" s="1973">
        <v>1490.0689420000001</v>
      </c>
      <c r="AD1822" s="1974"/>
      <c r="AE1822" s="1974"/>
      <c r="AF1822" s="1974"/>
      <c r="AG1822" s="1974"/>
      <c r="AH1822" s="1974"/>
      <c r="AI1822" s="1974"/>
      <c r="AJ1822" s="1974"/>
      <c r="AK1822" s="1974"/>
      <c r="AL1822" s="1974"/>
      <c r="AM1822" s="1974"/>
      <c r="AN1822" s="1974"/>
      <c r="AO1822" s="1974"/>
      <c r="AP1822" s="1974"/>
      <c r="AQ1822" s="1974"/>
      <c r="AR1822" s="1974"/>
      <c r="AS1822" s="1974"/>
      <c r="AT1822" s="1974"/>
    </row>
    <row r="1823" spans="3:46" ht="16.5">
      <c r="C1823" s="705"/>
      <c r="D1823" s="1961" t="s">
        <v>3540</v>
      </c>
      <c r="E1823" s="1966"/>
      <c r="J1823" s="1972" t="s">
        <v>136</v>
      </c>
      <c r="K1823" s="1972" t="s">
        <v>136</v>
      </c>
      <c r="L1823" s="1972" t="s">
        <v>136</v>
      </c>
      <c r="M1823" s="1"/>
      <c r="N1823" s="1"/>
      <c r="O1823" s="1"/>
      <c r="P1823" s="1"/>
      <c r="Q1823" s="1"/>
      <c r="R1823" s="1"/>
      <c r="S1823" s="1"/>
      <c r="T1823" s="1"/>
      <c r="V1823" s="1"/>
      <c r="X1823" s="1"/>
      <c r="Z1823" s="1"/>
      <c r="AA1823" s="1973">
        <v>24418.662464000001</v>
      </c>
      <c r="AB1823" s="1973">
        <v>15577.229018</v>
      </c>
      <c r="AC1823" s="1973">
        <v>16962.290927999999</v>
      </c>
      <c r="AD1823" s="1974"/>
      <c r="AE1823" s="1974"/>
      <c r="AF1823" s="1974"/>
      <c r="AG1823" s="1974"/>
      <c r="AH1823" s="1974"/>
      <c r="AI1823" s="1974"/>
      <c r="AJ1823" s="1974"/>
      <c r="AK1823" s="1974"/>
      <c r="AL1823" s="1974"/>
      <c r="AM1823" s="1974"/>
      <c r="AN1823" s="1974"/>
      <c r="AO1823" s="1974"/>
      <c r="AP1823" s="1974"/>
      <c r="AQ1823" s="1974"/>
      <c r="AR1823" s="1974"/>
      <c r="AS1823" s="1974"/>
      <c r="AT1823" s="1974"/>
    </row>
    <row r="1824" spans="3:46" ht="16.5">
      <c r="C1824" s="705"/>
      <c r="D1824" s="1956" t="s">
        <v>3541</v>
      </c>
      <c r="E1824" s="907" t="s">
        <v>3542</v>
      </c>
      <c r="J1824" s="1986" t="s">
        <v>136</v>
      </c>
      <c r="K1824" s="1986" t="s">
        <v>136</v>
      </c>
      <c r="L1824" s="1986" t="s">
        <v>136</v>
      </c>
      <c r="M1824" s="1"/>
      <c r="N1824" s="1"/>
      <c r="O1824" s="1"/>
      <c r="P1824" s="1"/>
      <c r="Q1824" s="1"/>
      <c r="R1824" s="1"/>
      <c r="S1824" s="1"/>
      <c r="T1824" s="1"/>
      <c r="V1824" s="1"/>
      <c r="X1824" s="1"/>
      <c r="Z1824" s="1"/>
      <c r="AA1824" s="1987">
        <v>28664.716510999999</v>
      </c>
      <c r="AB1824" s="1987">
        <v>12461.816631</v>
      </c>
      <c r="AC1824" s="1987">
        <v>13934.446581</v>
      </c>
      <c r="AD1824" s="1960">
        <f t="shared" ref="AD1824:AM1824" si="2052">AD1103</f>
        <v>172.02613069400002</v>
      </c>
      <c r="AE1824" s="1960">
        <f t="shared" si="2052"/>
        <v>251.94730264100002</v>
      </c>
      <c r="AF1824" s="1960">
        <f t="shared" si="2052"/>
        <v>260.16227530600003</v>
      </c>
      <c r="AG1824" s="1960">
        <f t="shared" si="2052"/>
        <v>382.17384569900003</v>
      </c>
      <c r="AH1824" s="1960">
        <f t="shared" si="2052"/>
        <v>298.87794374700002</v>
      </c>
      <c r="AI1824" s="1960">
        <f t="shared" si="2052"/>
        <v>307.42047619799996</v>
      </c>
      <c r="AJ1824" s="1960">
        <f t="shared" si="2052"/>
        <v>322.57291333448478</v>
      </c>
      <c r="AK1824" s="1960">
        <f t="shared" si="2052"/>
        <v>490.28749774375359</v>
      </c>
      <c r="AL1824" s="1960">
        <f t="shared" si="2052"/>
        <v>313.41647841501413</v>
      </c>
      <c r="AM1824" s="1960">
        <f t="shared" si="2052"/>
        <v>345.25037758872924</v>
      </c>
      <c r="AN1824" s="1960"/>
      <c r="AO1824" s="1960"/>
      <c r="AP1824" s="1960"/>
      <c r="AQ1824" s="1960"/>
      <c r="AR1824" s="1960"/>
      <c r="AS1824" s="1960"/>
      <c r="AT1824" s="1960"/>
    </row>
    <row r="1825" spans="3:46" ht="16.5">
      <c r="C1825" s="702"/>
      <c r="D1825" s="1961" t="s">
        <v>3543</v>
      </c>
      <c r="E1825" s="1966"/>
      <c r="J1825" s="1972">
        <v>251.94730264100002</v>
      </c>
      <c r="K1825" s="1972">
        <v>381.91507433434532</v>
      </c>
      <c r="L1825" s="1972">
        <v>299.22226462423851</v>
      </c>
      <c r="M1825" s="1"/>
      <c r="N1825" s="1"/>
      <c r="O1825" s="1"/>
      <c r="P1825" s="1"/>
      <c r="Q1825" s="1"/>
      <c r="R1825" s="1"/>
      <c r="S1825" s="1"/>
      <c r="T1825" s="1"/>
      <c r="V1825" s="1"/>
      <c r="X1825" s="1"/>
      <c r="Z1825" s="1"/>
      <c r="AA1825" s="1973">
        <v>26347.803317000002</v>
      </c>
      <c r="AB1825" s="1973">
        <v>6300.102519</v>
      </c>
      <c r="AC1825" s="1973">
        <v>12764.408176999999</v>
      </c>
      <c r="AD1825" s="1974"/>
      <c r="AE1825" s="1974"/>
      <c r="AF1825" s="1974"/>
      <c r="AG1825" s="1974"/>
      <c r="AH1825" s="1974"/>
      <c r="AI1825" s="1974"/>
      <c r="AJ1825" s="1974"/>
      <c r="AK1825" s="1974"/>
      <c r="AL1825" s="1974"/>
      <c r="AM1825" s="1974"/>
      <c r="AN1825" s="1974"/>
      <c r="AO1825" s="1974"/>
      <c r="AP1825" s="1974"/>
      <c r="AQ1825" s="1974"/>
      <c r="AR1825" s="1974"/>
      <c r="AS1825" s="1974"/>
      <c r="AT1825" s="1974"/>
    </row>
    <row r="1826" spans="3:46" ht="16.5">
      <c r="C1826" s="705"/>
      <c r="D1826" s="1961" t="s">
        <v>3544</v>
      </c>
      <c r="E1826" s="1966"/>
      <c r="J1826" s="1972" t="s">
        <v>136</v>
      </c>
      <c r="K1826" s="1972" t="s">
        <v>136</v>
      </c>
      <c r="L1826" s="1972" t="s">
        <v>136</v>
      </c>
      <c r="M1826" s="1"/>
      <c r="N1826" s="1"/>
      <c r="O1826" s="1"/>
      <c r="P1826" s="1"/>
      <c r="Q1826" s="1"/>
      <c r="R1826" s="1"/>
      <c r="S1826" s="1"/>
      <c r="T1826" s="1"/>
      <c r="V1826" s="1"/>
      <c r="X1826" s="1"/>
      <c r="Z1826" s="1"/>
      <c r="AA1826" s="1973">
        <v>2316.9131940000002</v>
      </c>
      <c r="AB1826" s="1973">
        <v>6161.7141119999997</v>
      </c>
      <c r="AC1826" s="1973">
        <v>1170.0384039999999</v>
      </c>
      <c r="AD1826" s="1974"/>
      <c r="AE1826" s="1974"/>
      <c r="AF1826" s="1974"/>
      <c r="AG1826" s="1974"/>
      <c r="AH1826" s="1974"/>
      <c r="AI1826" s="1974"/>
      <c r="AJ1826" s="1974"/>
      <c r="AK1826" s="1974"/>
      <c r="AL1826" s="1974"/>
      <c r="AM1826" s="1974"/>
      <c r="AN1826" s="1974"/>
      <c r="AO1826" s="1974"/>
      <c r="AP1826" s="1974"/>
      <c r="AQ1826" s="1974"/>
      <c r="AR1826" s="1974"/>
      <c r="AS1826" s="1974"/>
      <c r="AT1826" s="1974"/>
    </row>
    <row r="1827" spans="3:46" ht="16.5">
      <c r="C1827" s="701"/>
      <c r="D1827" s="1956" t="s">
        <v>3545</v>
      </c>
      <c r="E1827" s="907" t="s">
        <v>3546</v>
      </c>
      <c r="J1827" s="1986" t="s">
        <v>136</v>
      </c>
      <c r="K1827" s="1986" t="s">
        <v>136</v>
      </c>
      <c r="L1827" s="1986" t="s">
        <v>136</v>
      </c>
      <c r="M1827" s="1"/>
      <c r="N1827" s="1"/>
      <c r="O1827" s="1"/>
      <c r="P1827" s="1"/>
      <c r="Q1827" s="1"/>
      <c r="R1827" s="1"/>
      <c r="S1827" s="1"/>
      <c r="T1827" s="1"/>
      <c r="V1827" s="1"/>
      <c r="X1827" s="1"/>
      <c r="Z1827" s="1"/>
      <c r="AA1827" s="1987">
        <v>67241.527207000006</v>
      </c>
      <c r="AB1827" s="1987">
        <v>56572.689231999997</v>
      </c>
      <c r="AC1827" s="1987">
        <v>60162.606031000003</v>
      </c>
      <c r="AD1827" s="1960">
        <f t="shared" ref="AD1827:AM1827" si="2053">AD1111-AD1112-AD1116</f>
        <v>0</v>
      </c>
      <c r="AE1827" s="1960">
        <f t="shared" si="2053"/>
        <v>0</v>
      </c>
      <c r="AF1827" s="1960">
        <f t="shared" si="2053"/>
        <v>177.57301783399987</v>
      </c>
      <c r="AG1827" s="1960">
        <f t="shared" si="2053"/>
        <v>0</v>
      </c>
      <c r="AH1827" s="1960">
        <f t="shared" si="2053"/>
        <v>0</v>
      </c>
      <c r="AI1827" s="1960">
        <f t="shared" si="2053"/>
        <v>0</v>
      </c>
      <c r="AJ1827" s="1960">
        <f t="shared" si="2053"/>
        <v>0</v>
      </c>
      <c r="AK1827" s="1960">
        <f t="shared" si="2053"/>
        <v>0</v>
      </c>
      <c r="AL1827" s="1960">
        <f t="shared" si="2053"/>
        <v>0</v>
      </c>
      <c r="AM1827" s="1960">
        <f t="shared" si="2053"/>
        <v>0</v>
      </c>
      <c r="AN1827" s="1960"/>
      <c r="AO1827" s="1960"/>
      <c r="AP1827" s="1960"/>
      <c r="AQ1827" s="1960"/>
      <c r="AR1827" s="1960"/>
      <c r="AS1827" s="1960"/>
      <c r="AT1827" s="1960"/>
    </row>
    <row r="1828" spans="3:46" ht="16.5">
      <c r="C1828" s="698"/>
      <c r="D1828" s="1961" t="s">
        <v>3547</v>
      </c>
      <c r="E1828" s="1966"/>
      <c r="J1828" s="1972">
        <v>437.55840464386756</v>
      </c>
      <c r="K1828" s="1972">
        <v>700.25471549015879</v>
      </c>
      <c r="L1828" s="1972">
        <v>906.85576354197303</v>
      </c>
      <c r="M1828" s="1"/>
      <c r="N1828" s="1"/>
      <c r="O1828" s="1"/>
      <c r="P1828" s="1"/>
      <c r="Q1828" s="1"/>
      <c r="R1828" s="1"/>
      <c r="S1828" s="1"/>
      <c r="T1828" s="1"/>
      <c r="V1828" s="1"/>
      <c r="X1828" s="1"/>
      <c r="Z1828" s="1"/>
      <c r="AA1828" s="1973">
        <v>0</v>
      </c>
      <c r="AB1828" s="1973">
        <v>0</v>
      </c>
      <c r="AC1828" s="1973">
        <v>0</v>
      </c>
      <c r="AD1828" s="1974"/>
      <c r="AE1828" s="1974"/>
      <c r="AF1828" s="1974"/>
      <c r="AG1828" s="1974"/>
      <c r="AH1828" s="1974"/>
      <c r="AI1828" s="1974"/>
      <c r="AJ1828" s="1974"/>
      <c r="AK1828" s="1974"/>
      <c r="AL1828" s="1974"/>
      <c r="AM1828" s="1974"/>
      <c r="AN1828" s="1974"/>
      <c r="AO1828" s="1974"/>
      <c r="AP1828" s="1974"/>
      <c r="AQ1828" s="1974"/>
      <c r="AR1828" s="1974"/>
      <c r="AS1828" s="1974"/>
      <c r="AT1828" s="1974"/>
    </row>
    <row r="1829" spans="3:46" ht="16.5">
      <c r="C1829" s="702"/>
      <c r="D1829" s="1961" t="s">
        <v>3548</v>
      </c>
      <c r="E1829" s="1966"/>
      <c r="J1829" s="1972" t="s">
        <v>136</v>
      </c>
      <c r="K1829" s="1972" t="s">
        <v>136</v>
      </c>
      <c r="L1829" s="1972" t="s">
        <v>136</v>
      </c>
      <c r="M1829" s="1"/>
      <c r="N1829" s="1"/>
      <c r="O1829" s="1"/>
      <c r="P1829" s="1"/>
      <c r="Q1829" s="1"/>
      <c r="R1829" s="1"/>
      <c r="S1829" s="1"/>
      <c r="T1829" s="1"/>
      <c r="V1829" s="1"/>
      <c r="X1829" s="1"/>
      <c r="Z1829" s="1"/>
      <c r="AA1829" s="1973">
        <v>0</v>
      </c>
      <c r="AB1829" s="1973">
        <v>0</v>
      </c>
      <c r="AC1829" s="1973">
        <v>0</v>
      </c>
      <c r="AD1829" s="1974"/>
      <c r="AE1829" s="1974"/>
      <c r="AF1829" s="1974"/>
      <c r="AG1829" s="1974"/>
      <c r="AH1829" s="1974"/>
      <c r="AI1829" s="1974"/>
      <c r="AJ1829" s="1974"/>
      <c r="AK1829" s="1974"/>
      <c r="AL1829" s="1974"/>
      <c r="AM1829" s="1974"/>
      <c r="AN1829" s="1974"/>
      <c r="AO1829" s="1974"/>
      <c r="AP1829" s="1974"/>
      <c r="AQ1829" s="1974"/>
      <c r="AR1829" s="1974"/>
      <c r="AS1829" s="1974"/>
      <c r="AT1829" s="1974"/>
    </row>
    <row r="1830" spans="3:46" ht="16.5">
      <c r="C1830" s="701"/>
      <c r="D1830" s="1961" t="s">
        <v>3549</v>
      </c>
      <c r="E1830" s="1966"/>
      <c r="J1830" s="1972" t="s">
        <v>136</v>
      </c>
      <c r="K1830" s="1972" t="s">
        <v>136</v>
      </c>
      <c r="L1830" s="1972" t="s">
        <v>136</v>
      </c>
      <c r="M1830" s="1"/>
      <c r="N1830" s="1"/>
      <c r="O1830" s="1"/>
      <c r="P1830" s="1"/>
      <c r="Q1830" s="1"/>
      <c r="R1830" s="1"/>
      <c r="S1830" s="1"/>
      <c r="T1830" s="1"/>
      <c r="V1830" s="1"/>
      <c r="X1830" s="1"/>
      <c r="Z1830" s="1"/>
      <c r="AA1830" s="1973">
        <v>67241.527207000006</v>
      </c>
      <c r="AB1830" s="1973">
        <v>56572.689231999997</v>
      </c>
      <c r="AC1830" s="1973">
        <v>60162.606031000003</v>
      </c>
      <c r="AD1830" s="1974"/>
      <c r="AE1830" s="1974"/>
      <c r="AF1830" s="1974"/>
      <c r="AG1830" s="1974"/>
      <c r="AH1830" s="1974"/>
      <c r="AI1830" s="1974"/>
      <c r="AJ1830" s="1974"/>
      <c r="AK1830" s="1974"/>
      <c r="AL1830" s="1974"/>
      <c r="AM1830" s="1974"/>
      <c r="AN1830" s="1974"/>
      <c r="AO1830" s="1974"/>
      <c r="AP1830" s="1974"/>
      <c r="AQ1830" s="1974"/>
      <c r="AR1830" s="1974"/>
      <c r="AS1830" s="1974"/>
      <c r="AT1830" s="1974"/>
    </row>
    <row r="1831" spans="3:46" ht="16.5">
      <c r="C1831" s="701"/>
      <c r="D1831" s="1956" t="s">
        <v>3550</v>
      </c>
      <c r="E1831" s="907" t="s">
        <v>3551</v>
      </c>
      <c r="J1831" s="1986" t="s">
        <v>136</v>
      </c>
      <c r="K1831" s="1986" t="s">
        <v>136</v>
      </c>
      <c r="L1831" s="1986" t="s">
        <v>136</v>
      </c>
      <c r="M1831" s="1"/>
      <c r="N1831" s="1"/>
      <c r="O1831" s="1"/>
      <c r="P1831" s="1"/>
      <c r="Q1831" s="1"/>
      <c r="R1831" s="1"/>
      <c r="S1831" s="1"/>
      <c r="T1831" s="1"/>
      <c r="V1831" s="1"/>
      <c r="X1831" s="1"/>
      <c r="Z1831" s="1"/>
      <c r="AA1831" s="1987">
        <v>70101.945282999994</v>
      </c>
      <c r="AB1831" s="1987">
        <v>70085.724533000001</v>
      </c>
      <c r="AC1831" s="1987">
        <v>109512.232645</v>
      </c>
      <c r="AD1831" s="1960">
        <f t="shared" ref="AD1831:AM1831" si="2054">AD1127</f>
        <v>25.820247301999999</v>
      </c>
      <c r="AE1831" s="1960">
        <f t="shared" si="2054"/>
        <v>26.669207106000002</v>
      </c>
      <c r="AF1831" s="1960">
        <f t="shared" si="2054"/>
        <v>41.034068239</v>
      </c>
      <c r="AG1831" s="1960">
        <f t="shared" si="2054"/>
        <v>56.665979002000007</v>
      </c>
      <c r="AH1831" s="1960">
        <f t="shared" si="2054"/>
        <v>46.100000000000009</v>
      </c>
      <c r="AI1831" s="1960">
        <f t="shared" si="2054"/>
        <v>48.931605560999998</v>
      </c>
      <c r="AJ1831" s="1960">
        <f t="shared" si="2054"/>
        <v>67.445155092479808</v>
      </c>
      <c r="AK1831" s="1960">
        <f t="shared" si="2054"/>
        <v>74.919976098871814</v>
      </c>
      <c r="AL1831" s="1960">
        <f t="shared" si="2054"/>
        <v>76.687439447113761</v>
      </c>
      <c r="AM1831" s="1960">
        <f t="shared" si="2054"/>
        <v>86.325216109857465</v>
      </c>
      <c r="AN1831" s="1960"/>
      <c r="AO1831" s="1960"/>
      <c r="AP1831" s="1960"/>
      <c r="AQ1831" s="1960"/>
      <c r="AR1831" s="1960"/>
      <c r="AS1831" s="1960"/>
      <c r="AT1831" s="1960"/>
    </row>
    <row r="1832" spans="3:46" ht="16.5">
      <c r="C1832" s="701"/>
      <c r="D1832" s="1961" t="s">
        <v>3552</v>
      </c>
      <c r="E1832" s="1966"/>
      <c r="J1832" s="1972">
        <v>0</v>
      </c>
      <c r="K1832" s="1972">
        <v>0</v>
      </c>
      <c r="L1832" s="1972">
        <v>0</v>
      </c>
      <c r="M1832" s="1"/>
      <c r="N1832" s="1"/>
      <c r="O1832" s="1"/>
      <c r="P1832" s="1"/>
      <c r="Q1832" s="1"/>
      <c r="R1832" s="1"/>
      <c r="S1832" s="1"/>
      <c r="T1832" s="1"/>
      <c r="V1832" s="1"/>
      <c r="X1832" s="1"/>
      <c r="Z1832" s="1"/>
      <c r="AA1832" s="1973">
        <v>65018.161994000002</v>
      </c>
      <c r="AB1832" s="1973">
        <v>67367.477343000006</v>
      </c>
      <c r="AC1832" s="1973">
        <v>103719.803275</v>
      </c>
      <c r="AD1832" s="1974"/>
      <c r="AE1832" s="1974"/>
      <c r="AF1832" s="1974"/>
      <c r="AG1832" s="1974"/>
      <c r="AH1832" s="1974"/>
      <c r="AI1832" s="1974"/>
      <c r="AJ1832" s="1974"/>
      <c r="AK1832" s="1974"/>
      <c r="AL1832" s="1974"/>
      <c r="AM1832" s="1974"/>
      <c r="AN1832" s="1974"/>
      <c r="AO1832" s="1974"/>
      <c r="AP1832" s="1974"/>
      <c r="AQ1832" s="1974"/>
      <c r="AR1832" s="1974"/>
      <c r="AS1832" s="1974"/>
      <c r="AT1832" s="1974"/>
    </row>
    <row r="1833" spans="3:46" ht="16.5">
      <c r="C1833" s="701"/>
      <c r="D1833" s="1961" t="s">
        <v>3553</v>
      </c>
      <c r="E1833" s="1966"/>
      <c r="J1833" s="1972" t="s">
        <v>136</v>
      </c>
      <c r="K1833" s="1972" t="s">
        <v>136</v>
      </c>
      <c r="L1833" s="1972" t="s">
        <v>136</v>
      </c>
      <c r="M1833" s="1"/>
      <c r="N1833" s="1"/>
      <c r="O1833" s="1"/>
      <c r="P1833" s="1"/>
      <c r="Q1833" s="1"/>
      <c r="R1833" s="1"/>
      <c r="S1833" s="1"/>
      <c r="T1833" s="1"/>
      <c r="V1833" s="1"/>
      <c r="X1833" s="1"/>
      <c r="Z1833" s="1"/>
      <c r="AA1833" s="1973">
        <v>5083.783289</v>
      </c>
      <c r="AB1833" s="1973">
        <v>2718.24719</v>
      </c>
      <c r="AC1833" s="1973">
        <v>5792.4293699999998</v>
      </c>
      <c r="AD1833" s="1974"/>
      <c r="AE1833" s="1974"/>
      <c r="AF1833" s="1974"/>
      <c r="AG1833" s="1974"/>
      <c r="AH1833" s="1974"/>
      <c r="AI1833" s="1974"/>
      <c r="AJ1833" s="1974"/>
      <c r="AK1833" s="1974"/>
      <c r="AL1833" s="1974"/>
      <c r="AM1833" s="1974"/>
      <c r="AN1833" s="1974"/>
      <c r="AO1833" s="1974"/>
      <c r="AP1833" s="1974"/>
      <c r="AQ1833" s="1974"/>
      <c r="AR1833" s="1974"/>
      <c r="AS1833" s="1974"/>
      <c r="AT1833" s="1974"/>
    </row>
    <row r="1834" spans="3:46" ht="16.5">
      <c r="C1834" s="701"/>
      <c r="D1834" s="1956" t="s">
        <v>3554</v>
      </c>
      <c r="E1834" s="907" t="s">
        <v>3555</v>
      </c>
      <c r="J1834" s="1986" t="s">
        <v>136</v>
      </c>
      <c r="K1834" s="1986" t="s">
        <v>136</v>
      </c>
      <c r="L1834" s="1986" t="s">
        <v>136</v>
      </c>
      <c r="M1834" s="1"/>
      <c r="N1834" s="1"/>
      <c r="O1834" s="1"/>
      <c r="P1834" s="1"/>
      <c r="Q1834" s="1"/>
      <c r="R1834" s="1"/>
      <c r="S1834" s="1"/>
      <c r="T1834" s="1"/>
      <c r="V1834" s="1"/>
      <c r="X1834" s="1"/>
      <c r="Z1834" s="1"/>
      <c r="AA1834" s="1987">
        <v>60908.271142999998</v>
      </c>
      <c r="AB1834" s="1987">
        <v>82257.333933999995</v>
      </c>
      <c r="AC1834" s="1987">
        <v>92278.030673999994</v>
      </c>
      <c r="AD1834" s="1960">
        <f>+AD1835+AD1836</f>
        <v>102.49247013915866</v>
      </c>
      <c r="AE1834" s="1960">
        <f t="shared" ref="AE1834:AM1834" si="2055">+AE1835+AE1836</f>
        <v>139.11880432605938</v>
      </c>
      <c r="AF1834" s="1960">
        <f t="shared" si="2055"/>
        <v>180.68587590230516</v>
      </c>
      <c r="AG1834" s="1960">
        <f t="shared" si="2055"/>
        <v>220.33496040005537</v>
      </c>
      <c r="AH1834" s="1960">
        <f t="shared" si="2055"/>
        <v>303.50285692110134</v>
      </c>
      <c r="AI1834" s="1960">
        <f t="shared" si="2055"/>
        <v>417.72068484998749</v>
      </c>
      <c r="AJ1834" s="1960">
        <f t="shared" si="2055"/>
        <v>502.94296772257599</v>
      </c>
      <c r="AK1834" s="1960">
        <f t="shared" si="2055"/>
        <v>604.0949919615241</v>
      </c>
      <c r="AL1834" s="1960">
        <f t="shared" si="2055"/>
        <v>695.56878154798801</v>
      </c>
      <c r="AM1834" s="1960">
        <f t="shared" si="2055"/>
        <v>771.76202482229019</v>
      </c>
      <c r="AN1834" s="1960"/>
      <c r="AO1834" s="1960"/>
      <c r="AP1834" s="1960"/>
      <c r="AQ1834" s="1960"/>
      <c r="AR1834" s="1960"/>
      <c r="AS1834" s="1960"/>
      <c r="AT1834" s="1960"/>
    </row>
    <row r="1835" spans="3:46">
      <c r="C1835" s="1199"/>
      <c r="D1835" s="1961" t="s">
        <v>3556</v>
      </c>
      <c r="E1835" s="1966"/>
      <c r="J1835" s="1972" t="s">
        <v>136</v>
      </c>
      <c r="K1835" s="1972" t="s">
        <v>136</v>
      </c>
      <c r="L1835" s="1972" t="s">
        <v>136</v>
      </c>
      <c r="M1835" s="1"/>
      <c r="N1835" s="1"/>
      <c r="O1835" s="1"/>
      <c r="P1835" s="1"/>
      <c r="Q1835" s="1"/>
      <c r="R1835" s="1"/>
      <c r="S1835" s="1"/>
      <c r="T1835" s="1"/>
      <c r="V1835" s="1"/>
      <c r="X1835" s="1"/>
      <c r="Z1835" s="1"/>
      <c r="AA1835" s="1973">
        <v>31113.178805</v>
      </c>
      <c r="AB1835" s="1973">
        <v>45540.311555</v>
      </c>
      <c r="AC1835" s="1973">
        <v>42328.926555999999</v>
      </c>
      <c r="AD1835" s="1974">
        <f t="shared" ref="AD1835:AM1835" si="2056">AD1102</f>
        <v>54.603488966273204</v>
      </c>
      <c r="AE1835" s="1974">
        <f t="shared" si="2056"/>
        <v>78.301790404000002</v>
      </c>
      <c r="AF1835" s="1974">
        <f t="shared" si="2056"/>
        <v>113.50888140170532</v>
      </c>
      <c r="AG1835" s="1974">
        <f t="shared" si="2056"/>
        <v>150.36743937099999</v>
      </c>
      <c r="AH1835" s="1974">
        <f t="shared" si="2056"/>
        <v>202.65379407699999</v>
      </c>
      <c r="AI1835" s="1974">
        <f t="shared" si="2056"/>
        <v>234.46880806899998</v>
      </c>
      <c r="AJ1835" s="1974">
        <f t="shared" si="2056"/>
        <v>263.97084936803844</v>
      </c>
      <c r="AK1835" s="1974">
        <f t="shared" si="2056"/>
        <v>276.301972476</v>
      </c>
      <c r="AL1835" s="1974">
        <f t="shared" si="2056"/>
        <v>265.78112663799999</v>
      </c>
      <c r="AM1835" s="1974">
        <f t="shared" si="2056"/>
        <v>260.43490387700001</v>
      </c>
      <c r="AN1835" s="1974"/>
      <c r="AO1835" s="1974"/>
      <c r="AP1835" s="1974"/>
      <c r="AQ1835" s="1974"/>
      <c r="AR1835" s="1974"/>
      <c r="AS1835" s="1974"/>
      <c r="AT1835" s="1974"/>
    </row>
    <row r="1836" spans="3:46">
      <c r="C1836" s="1199"/>
      <c r="D1836" s="1961" t="s">
        <v>3557</v>
      </c>
      <c r="E1836" s="1966"/>
      <c r="J1836" s="1972">
        <v>78.301790404000002</v>
      </c>
      <c r="K1836" s="1972">
        <v>157.403956545</v>
      </c>
      <c r="L1836" s="1972">
        <v>186.62527323</v>
      </c>
      <c r="M1836" s="1"/>
      <c r="N1836" s="1"/>
      <c r="O1836" s="1"/>
      <c r="P1836" s="1"/>
      <c r="Q1836" s="1"/>
      <c r="R1836" s="1"/>
      <c r="S1836" s="1"/>
      <c r="T1836" s="1"/>
      <c r="V1836" s="1"/>
      <c r="X1836" s="1"/>
      <c r="Z1836" s="1"/>
      <c r="AA1836" s="1973">
        <v>29795.092337999999</v>
      </c>
      <c r="AB1836" s="1973">
        <v>36717.022379000002</v>
      </c>
      <c r="AC1836" s="1973">
        <v>49949.104118000003</v>
      </c>
      <c r="AD1836" s="1974">
        <f t="shared" ref="AD1836:AM1836" si="2057">AD1096</f>
        <v>47.888981172885451</v>
      </c>
      <c r="AE1836" s="1974">
        <f t="shared" si="2057"/>
        <v>60.817013922059381</v>
      </c>
      <c r="AF1836" s="1974">
        <f t="shared" si="2057"/>
        <v>67.176994500599847</v>
      </c>
      <c r="AG1836" s="1974">
        <f t="shared" si="2057"/>
        <v>69.967521029055391</v>
      </c>
      <c r="AH1836" s="1974">
        <f t="shared" si="2057"/>
        <v>100.84906284410137</v>
      </c>
      <c r="AI1836" s="1974">
        <f t="shared" si="2057"/>
        <v>183.25187678098752</v>
      </c>
      <c r="AJ1836" s="1974">
        <f t="shared" si="2057"/>
        <v>238.97211835453751</v>
      </c>
      <c r="AK1836" s="1974">
        <f t="shared" si="2057"/>
        <v>327.79301948552416</v>
      </c>
      <c r="AL1836" s="1974">
        <f t="shared" si="2057"/>
        <v>429.78765490998796</v>
      </c>
      <c r="AM1836" s="1974">
        <f t="shared" si="2057"/>
        <v>511.32712094529018</v>
      </c>
      <c r="AN1836" s="1974"/>
      <c r="AO1836" s="1974"/>
      <c r="AP1836" s="1974"/>
      <c r="AQ1836" s="1974"/>
      <c r="AR1836" s="1974"/>
      <c r="AS1836" s="1974"/>
      <c r="AT1836" s="1974"/>
    </row>
    <row r="1837" spans="3:46" ht="16.5">
      <c r="C1837" s="701"/>
      <c r="D1837" s="1956" t="s">
        <v>3558</v>
      </c>
      <c r="E1837" s="907" t="s">
        <v>3559</v>
      </c>
      <c r="J1837" s="1986">
        <v>60.817013922059381</v>
      </c>
      <c r="K1837" s="1986">
        <v>83.841743317253304</v>
      </c>
      <c r="L1837" s="1986">
        <v>109.5344837004652</v>
      </c>
      <c r="M1837" s="1"/>
      <c r="N1837" s="1"/>
      <c r="O1837" s="1"/>
      <c r="P1837" s="1"/>
      <c r="Q1837" s="1"/>
      <c r="R1837" s="1"/>
      <c r="S1837" s="1"/>
      <c r="T1837" s="1"/>
      <c r="V1837" s="1"/>
      <c r="X1837" s="1"/>
      <c r="Z1837" s="1"/>
      <c r="AA1837" s="1987">
        <v>115089.06663</v>
      </c>
      <c r="AB1837" s="1987">
        <v>135353.023139</v>
      </c>
      <c r="AC1837" s="1987">
        <v>137726.71072800001</v>
      </c>
      <c r="AD1837" s="1960">
        <f t="shared" ref="AD1837:AM1837" si="2058">AD1129</f>
        <v>170.62252833700001</v>
      </c>
      <c r="AE1837" s="1960">
        <f t="shared" si="2058"/>
        <v>144.34993801900001</v>
      </c>
      <c r="AF1837" s="1960">
        <f t="shared" si="2058"/>
        <v>132.26150189800001</v>
      </c>
      <c r="AG1837" s="1960">
        <f t="shared" si="2058"/>
        <v>147.01854875399999</v>
      </c>
      <c r="AH1837" s="1960">
        <f t="shared" si="2058"/>
        <v>127.70000000000002</v>
      </c>
      <c r="AI1837" s="1960">
        <f t="shared" si="2058"/>
        <v>139.12123366500001</v>
      </c>
      <c r="AJ1837" s="1960">
        <f t="shared" si="2058"/>
        <v>144.29711569243307</v>
      </c>
      <c r="AK1837" s="1960">
        <f t="shared" si="2058"/>
        <v>152.98324848558599</v>
      </c>
      <c r="AL1837" s="1960">
        <f t="shared" si="2058"/>
        <v>168.65948497698193</v>
      </c>
      <c r="AM1837" s="1960">
        <f t="shared" si="2058"/>
        <v>189.89689710093501</v>
      </c>
      <c r="AN1837" s="1960"/>
      <c r="AO1837" s="1960"/>
      <c r="AP1837" s="1960"/>
      <c r="AQ1837" s="1960"/>
      <c r="AR1837" s="1960"/>
      <c r="AS1837" s="1960"/>
      <c r="AT1837" s="1960"/>
    </row>
    <row r="1838" spans="3:46" ht="16.5">
      <c r="C1838" s="701"/>
      <c r="D1838" s="1961" t="s">
        <v>3560</v>
      </c>
      <c r="E1838" s="1966"/>
      <c r="J1838" s="1972">
        <v>144.34993801899998</v>
      </c>
      <c r="K1838" s="1972">
        <v>116.324949218626</v>
      </c>
      <c r="L1838" s="1972">
        <v>125.94107323560688</v>
      </c>
      <c r="M1838" s="1"/>
      <c r="N1838" s="1"/>
      <c r="O1838" s="1"/>
      <c r="P1838" s="1"/>
      <c r="Q1838" s="1"/>
      <c r="R1838" s="1"/>
      <c r="S1838" s="1"/>
      <c r="T1838" s="1"/>
      <c r="V1838" s="1"/>
      <c r="X1838" s="1"/>
      <c r="Z1838" s="1"/>
      <c r="AA1838" s="1973">
        <v>87327.781654999999</v>
      </c>
      <c r="AB1838" s="1973">
        <v>76220.217460999993</v>
      </c>
      <c r="AC1838" s="1973">
        <v>92741.097785999998</v>
      </c>
      <c r="AD1838" s="1974"/>
      <c r="AE1838" s="1974"/>
      <c r="AF1838" s="1974"/>
      <c r="AG1838" s="1974"/>
      <c r="AH1838" s="1974"/>
      <c r="AI1838" s="1974"/>
      <c r="AJ1838" s="1974"/>
      <c r="AK1838" s="1974"/>
      <c r="AL1838" s="1974"/>
      <c r="AM1838" s="1974"/>
      <c r="AN1838" s="1974"/>
      <c r="AO1838" s="1974"/>
      <c r="AP1838" s="1974"/>
      <c r="AQ1838" s="1974"/>
      <c r="AR1838" s="1974"/>
      <c r="AS1838" s="1974"/>
      <c r="AT1838" s="1974"/>
    </row>
    <row r="1839" spans="3:46" ht="16.5">
      <c r="C1839" s="701"/>
      <c r="D1839" s="1961" t="s">
        <v>3561</v>
      </c>
      <c r="E1839" s="1966"/>
      <c r="J1839" s="1972" t="s">
        <v>136</v>
      </c>
      <c r="K1839" s="1972" t="s">
        <v>136</v>
      </c>
      <c r="L1839" s="1972" t="s">
        <v>136</v>
      </c>
      <c r="M1839" s="1"/>
      <c r="N1839" s="1"/>
      <c r="O1839" s="1"/>
      <c r="P1839" s="1"/>
      <c r="Q1839" s="1"/>
      <c r="R1839" s="1"/>
      <c r="S1839" s="1"/>
      <c r="T1839" s="1"/>
      <c r="V1839" s="1"/>
      <c r="X1839" s="1"/>
      <c r="Z1839" s="1"/>
      <c r="AA1839" s="1973">
        <v>1.4881439999999999</v>
      </c>
      <c r="AB1839" s="1973">
        <v>0</v>
      </c>
      <c r="AC1839" s="1973">
        <v>0</v>
      </c>
      <c r="AD1839" s="1974"/>
      <c r="AE1839" s="1974"/>
      <c r="AF1839" s="1974"/>
      <c r="AG1839" s="1974"/>
      <c r="AH1839" s="1974"/>
      <c r="AI1839" s="1974"/>
      <c r="AJ1839" s="1974"/>
      <c r="AK1839" s="1974"/>
      <c r="AL1839" s="1974"/>
      <c r="AM1839" s="1974"/>
      <c r="AN1839" s="1974"/>
      <c r="AO1839" s="1974"/>
      <c r="AP1839" s="1974"/>
      <c r="AQ1839" s="1974"/>
      <c r="AR1839" s="1974"/>
      <c r="AS1839" s="1974"/>
      <c r="AT1839" s="1974"/>
    </row>
    <row r="1840" spans="3:46" ht="16.5">
      <c r="C1840" s="696"/>
      <c r="D1840" s="1961" t="s">
        <v>3562</v>
      </c>
      <c r="E1840" s="1966"/>
      <c r="J1840" s="1972" t="s">
        <v>136</v>
      </c>
      <c r="K1840" s="1972" t="s">
        <v>136</v>
      </c>
      <c r="L1840" s="1972" t="s">
        <v>136</v>
      </c>
      <c r="M1840" s="1"/>
      <c r="N1840" s="1"/>
      <c r="O1840" s="1"/>
      <c r="P1840" s="1"/>
      <c r="Q1840" s="1"/>
      <c r="R1840" s="1"/>
      <c r="S1840" s="1"/>
      <c r="T1840" s="1"/>
      <c r="V1840" s="1"/>
      <c r="X1840" s="1"/>
      <c r="Z1840" s="1"/>
      <c r="AA1840" s="1973">
        <v>0</v>
      </c>
      <c r="AB1840" s="1973">
        <v>0.6</v>
      </c>
      <c r="AC1840" s="1973">
        <v>47.176124999999999</v>
      </c>
      <c r="AD1840" s="1974"/>
      <c r="AE1840" s="1974"/>
      <c r="AF1840" s="1974"/>
      <c r="AG1840" s="1974"/>
      <c r="AH1840" s="1974"/>
      <c r="AI1840" s="1974"/>
      <c r="AJ1840" s="1974"/>
      <c r="AK1840" s="1974"/>
      <c r="AL1840" s="1974"/>
      <c r="AM1840" s="1974"/>
      <c r="AN1840" s="1974"/>
      <c r="AO1840" s="1974"/>
      <c r="AP1840" s="1974"/>
      <c r="AQ1840" s="1974"/>
      <c r="AR1840" s="1974"/>
      <c r="AS1840" s="1974"/>
      <c r="AT1840" s="1974"/>
    </row>
    <row r="1841" spans="3:46" ht="16.5">
      <c r="C1841" s="696"/>
      <c r="D1841" s="1961" t="s">
        <v>3230</v>
      </c>
      <c r="E1841" s="1966"/>
      <c r="J1841" s="1972" t="s">
        <v>136</v>
      </c>
      <c r="K1841" s="1972" t="s">
        <v>136</v>
      </c>
      <c r="L1841" s="1972" t="s">
        <v>136</v>
      </c>
      <c r="M1841" s="1"/>
      <c r="N1841" s="1"/>
      <c r="O1841" s="1"/>
      <c r="P1841" s="1"/>
      <c r="Q1841" s="1"/>
      <c r="R1841" s="1"/>
      <c r="S1841" s="1"/>
      <c r="T1841" s="1"/>
      <c r="V1841" s="1"/>
      <c r="X1841" s="1"/>
      <c r="Z1841" s="1"/>
      <c r="AA1841" s="1973">
        <v>24910.728912999999</v>
      </c>
      <c r="AB1841" s="1973">
        <v>58269.236934</v>
      </c>
      <c r="AC1841" s="1973">
        <v>42329.063367000002</v>
      </c>
      <c r="AD1841" s="1974"/>
      <c r="AE1841" s="1974"/>
      <c r="AF1841" s="1974"/>
      <c r="AG1841" s="1974"/>
      <c r="AH1841" s="1974"/>
      <c r="AI1841" s="1974"/>
      <c r="AJ1841" s="1974"/>
      <c r="AK1841" s="1974"/>
      <c r="AL1841" s="1974"/>
      <c r="AM1841" s="1974"/>
      <c r="AN1841" s="1974"/>
      <c r="AO1841" s="1974"/>
      <c r="AP1841" s="1974"/>
      <c r="AQ1841" s="1974"/>
      <c r="AR1841" s="1974"/>
      <c r="AS1841" s="1974"/>
      <c r="AT1841" s="1974"/>
    </row>
    <row r="1842" spans="3:46" ht="16.5">
      <c r="C1842" s="696"/>
      <c r="D1842" s="1961" t="s">
        <v>3563</v>
      </c>
      <c r="E1842" s="1966"/>
      <c r="J1842" s="1972">
        <v>0</v>
      </c>
      <c r="K1842" s="1972">
        <v>32.072597402901316</v>
      </c>
      <c r="L1842" s="1972">
        <v>0</v>
      </c>
      <c r="M1842" s="1"/>
      <c r="N1842" s="1"/>
      <c r="O1842" s="1"/>
      <c r="P1842" s="1"/>
      <c r="Q1842" s="1"/>
      <c r="R1842" s="1"/>
      <c r="S1842" s="1"/>
      <c r="T1842" s="1"/>
      <c r="V1842" s="1"/>
      <c r="X1842" s="1"/>
      <c r="Z1842" s="1"/>
      <c r="AA1842" s="1973">
        <v>2849.0679180000002</v>
      </c>
      <c r="AB1842" s="1973">
        <v>862.96874400000002</v>
      </c>
      <c r="AC1842" s="1973">
        <v>2609.37345</v>
      </c>
      <c r="AD1842" s="1974"/>
      <c r="AE1842" s="1974"/>
      <c r="AF1842" s="1974"/>
      <c r="AG1842" s="1974"/>
      <c r="AH1842" s="1974"/>
      <c r="AI1842" s="1974"/>
      <c r="AJ1842" s="1974"/>
      <c r="AK1842" s="1974"/>
      <c r="AL1842" s="1974"/>
      <c r="AM1842" s="1974"/>
      <c r="AN1842" s="1974"/>
      <c r="AO1842" s="1974"/>
      <c r="AP1842" s="1974"/>
      <c r="AQ1842" s="1974"/>
      <c r="AR1842" s="1974"/>
      <c r="AS1842" s="1974"/>
      <c r="AT1842" s="1974"/>
    </row>
    <row r="1843" spans="3:46" ht="16.5">
      <c r="C1843" s="696"/>
      <c r="D1843" s="1988" t="s">
        <v>3564</v>
      </c>
      <c r="E1843" s="907" t="s">
        <v>3565</v>
      </c>
      <c r="J1843" s="1986" t="s">
        <v>136</v>
      </c>
      <c r="K1843" s="1986" t="s">
        <v>136</v>
      </c>
      <c r="L1843" s="1986" t="s">
        <v>136</v>
      </c>
      <c r="M1843" s="1"/>
      <c r="N1843" s="1"/>
      <c r="O1843" s="1"/>
      <c r="P1843" s="1"/>
      <c r="Q1843" s="1"/>
      <c r="R1843" s="1"/>
      <c r="S1843" s="1"/>
      <c r="T1843" s="1"/>
      <c r="V1843" s="1"/>
      <c r="X1843" s="1"/>
      <c r="Z1843" s="1"/>
      <c r="AA1843" s="1987">
        <v>29937.647161000001</v>
      </c>
      <c r="AB1843" s="1987">
        <v>39333.804078000001</v>
      </c>
      <c r="AC1843" s="1987">
        <v>48494.987569999998</v>
      </c>
      <c r="AD1843" s="1955"/>
      <c r="AE1843" s="1955"/>
      <c r="AF1843" s="1955"/>
      <c r="AG1843" s="1955"/>
      <c r="AH1843" s="1955"/>
      <c r="AI1843" s="1955"/>
      <c r="AJ1843" s="1955"/>
      <c r="AK1843" s="1955"/>
      <c r="AL1843" s="1955"/>
      <c r="AM1843" s="1955"/>
      <c r="AN1843" s="1955"/>
      <c r="AO1843" s="1955"/>
      <c r="AP1843" s="1955"/>
      <c r="AQ1843" s="1955"/>
      <c r="AR1843" s="1955"/>
      <c r="AS1843" s="1955"/>
      <c r="AT1843" s="1955"/>
    </row>
    <row r="1844" spans="3:46" ht="16.5">
      <c r="C1844" s="704"/>
      <c r="D1844" s="1961" t="s">
        <v>3566</v>
      </c>
      <c r="E1844" s="1966"/>
      <c r="J1844" s="1972" t="s">
        <v>136</v>
      </c>
      <c r="K1844" s="1972" t="s">
        <v>136</v>
      </c>
      <c r="L1844" s="1972" t="s">
        <v>136</v>
      </c>
      <c r="M1844" s="1"/>
      <c r="N1844" s="1"/>
      <c r="O1844" s="1"/>
      <c r="P1844" s="1"/>
      <c r="Q1844" s="1"/>
      <c r="R1844" s="1"/>
      <c r="S1844" s="1"/>
      <c r="T1844" s="1"/>
      <c r="V1844" s="1"/>
      <c r="X1844" s="1"/>
      <c r="Z1844" s="1"/>
      <c r="AA1844" s="1973">
        <v>15039.4406</v>
      </c>
      <c r="AB1844" s="1973">
        <v>18559.683917999999</v>
      </c>
      <c r="AC1844" s="1973">
        <v>23786.032458000001</v>
      </c>
      <c r="AD1844" s="1974"/>
      <c r="AE1844" s="1974"/>
      <c r="AF1844" s="1974"/>
      <c r="AG1844" s="1974"/>
      <c r="AH1844" s="1974"/>
      <c r="AI1844" s="1974"/>
      <c r="AJ1844" s="1974"/>
      <c r="AK1844" s="1974"/>
      <c r="AL1844" s="1974"/>
      <c r="AM1844" s="1974"/>
      <c r="AN1844" s="1974"/>
      <c r="AO1844" s="1974"/>
      <c r="AP1844" s="1974"/>
      <c r="AQ1844" s="1974"/>
      <c r="AR1844" s="1974"/>
      <c r="AS1844" s="1974"/>
      <c r="AT1844" s="1974"/>
    </row>
    <row r="1845" spans="3:46" ht="16.5">
      <c r="C1845" s="698"/>
      <c r="D1845" s="1961" t="s">
        <v>3567</v>
      </c>
      <c r="E1845" s="1966"/>
      <c r="J1845" s="1972" t="s">
        <v>136</v>
      </c>
      <c r="K1845" s="1972" t="s">
        <v>136</v>
      </c>
      <c r="L1845" s="1972" t="s">
        <v>136</v>
      </c>
      <c r="M1845" s="1"/>
      <c r="N1845" s="1"/>
      <c r="O1845" s="1"/>
      <c r="P1845" s="1"/>
      <c r="Q1845" s="1"/>
      <c r="R1845" s="1"/>
      <c r="S1845" s="1"/>
      <c r="T1845" s="1"/>
      <c r="V1845" s="1"/>
      <c r="X1845" s="1"/>
      <c r="Z1845" s="1"/>
      <c r="AA1845" s="1973">
        <v>14898.206561000001</v>
      </c>
      <c r="AB1845" s="1973">
        <v>20774.120159999999</v>
      </c>
      <c r="AC1845" s="1973">
        <v>24708.955112</v>
      </c>
      <c r="AD1845" s="1974"/>
      <c r="AE1845" s="1974"/>
      <c r="AF1845" s="1974"/>
      <c r="AG1845" s="1974"/>
      <c r="AH1845" s="1974"/>
      <c r="AI1845" s="1974"/>
      <c r="AJ1845" s="1974"/>
      <c r="AK1845" s="1974"/>
      <c r="AL1845" s="1974"/>
      <c r="AM1845" s="1974"/>
      <c r="AN1845" s="1974"/>
      <c r="AO1845" s="1974"/>
      <c r="AP1845" s="1974"/>
      <c r="AQ1845" s="1974"/>
      <c r="AR1845" s="1974"/>
      <c r="AS1845" s="1974"/>
      <c r="AT1845" s="1974"/>
    </row>
    <row r="1846" spans="3:46" ht="16.5">
      <c r="C1846" s="704"/>
      <c r="D1846" s="1956" t="s">
        <v>3568</v>
      </c>
      <c r="E1846" s="907" t="s">
        <v>3569</v>
      </c>
      <c r="J1846" s="1986" t="s">
        <v>136</v>
      </c>
      <c r="K1846" s="1986" t="s">
        <v>136</v>
      </c>
      <c r="L1846" s="1986" t="s">
        <v>136</v>
      </c>
      <c r="M1846" s="1"/>
      <c r="N1846" s="1"/>
      <c r="O1846" s="1"/>
      <c r="P1846" s="1"/>
      <c r="Q1846" s="1"/>
      <c r="R1846" s="1"/>
      <c r="S1846" s="1"/>
      <c r="T1846" s="1"/>
      <c r="V1846" s="1"/>
      <c r="X1846" s="1"/>
      <c r="Z1846" s="1"/>
      <c r="AA1846" s="1987">
        <v>537525.27005299996</v>
      </c>
      <c r="AB1846" s="1987">
        <v>596099.425666</v>
      </c>
      <c r="AC1846" s="1987">
        <v>609695.32883100002</v>
      </c>
      <c r="AD1846" s="1955">
        <f>+AD1847</f>
        <v>1030.3649059697384</v>
      </c>
      <c r="AE1846" s="1955">
        <f t="shared" ref="AE1846:AM1846" si="2059">+AE1847</f>
        <v>1175.0382085953659</v>
      </c>
      <c r="AF1846" s="1955">
        <f t="shared" si="2059"/>
        <v>1434.949186045309</v>
      </c>
      <c r="AG1846" s="1955">
        <f t="shared" si="2059"/>
        <v>1735.5014178613301</v>
      </c>
      <c r="AH1846" s="1955">
        <f t="shared" si="2059"/>
        <v>1754.4301226455273</v>
      </c>
      <c r="AI1846" s="1955">
        <f t="shared" si="2059"/>
        <v>2002.9486684788885</v>
      </c>
      <c r="AJ1846" s="1955">
        <f t="shared" si="2059"/>
        <v>1932.7775014565491</v>
      </c>
      <c r="AK1846" s="1955">
        <f t="shared" si="2059"/>
        <v>1991.4309262653594</v>
      </c>
      <c r="AL1846" s="1955">
        <f t="shared" si="2059"/>
        <v>2455.1302298381765</v>
      </c>
      <c r="AM1846" s="1955">
        <f t="shared" si="2059"/>
        <v>2906.5939387724493</v>
      </c>
      <c r="AN1846" s="1955"/>
      <c r="AO1846" s="1955"/>
      <c r="AP1846" s="1955"/>
      <c r="AQ1846" s="1955"/>
      <c r="AR1846" s="1955"/>
      <c r="AS1846" s="1955"/>
      <c r="AT1846" s="1955"/>
    </row>
    <row r="1847" spans="3:46" ht="16.5">
      <c r="C1847" s="696"/>
      <c r="D1847" s="1961" t="s">
        <v>3570</v>
      </c>
      <c r="E1847" s="1966"/>
      <c r="J1847" s="1972">
        <v>422.64972231496813</v>
      </c>
      <c r="K1847" s="1972">
        <v>134.58066987922223</v>
      </c>
      <c r="L1847" s="1972">
        <v>178.08861808850509</v>
      </c>
      <c r="M1847" s="1"/>
      <c r="N1847" s="1"/>
      <c r="O1847" s="1"/>
      <c r="P1847" s="1"/>
      <c r="Q1847" s="1"/>
      <c r="R1847" s="1"/>
      <c r="S1847" s="1"/>
      <c r="T1847" s="1"/>
      <c r="V1847" s="1"/>
      <c r="X1847" s="1"/>
      <c r="Z1847" s="1"/>
      <c r="AA1847" s="1973">
        <v>398936.10491300002</v>
      </c>
      <c r="AB1847" s="1973">
        <v>219927.978087</v>
      </c>
      <c r="AC1847" s="1973">
        <v>542605.40342999995</v>
      </c>
      <c r="AD1847" s="1974">
        <f>+AD1115+AD1120+AD1133</f>
        <v>1030.3649059697384</v>
      </c>
      <c r="AE1847" s="1974">
        <f>+AE1115+AE1120+AE1133</f>
        <v>1175.0382085953659</v>
      </c>
      <c r="AF1847" s="1974">
        <f>+AF1115+AF1120+AF1133</f>
        <v>1434.949186045309</v>
      </c>
      <c r="AG1847" s="1974">
        <f t="shared" ref="AG1847:AM1847" si="2060">AG1115+AG1120+AG1133</f>
        <v>1735.5014178613301</v>
      </c>
      <c r="AH1847" s="1974">
        <f t="shared" si="2060"/>
        <v>1754.4301226455273</v>
      </c>
      <c r="AI1847" s="1974">
        <f t="shared" si="2060"/>
        <v>2002.9486684788885</v>
      </c>
      <c r="AJ1847" s="1974">
        <f t="shared" si="2060"/>
        <v>1932.7775014565491</v>
      </c>
      <c r="AK1847" s="1974">
        <f t="shared" si="2060"/>
        <v>1991.4309262653594</v>
      </c>
      <c r="AL1847" s="1974">
        <f t="shared" si="2060"/>
        <v>2455.1302298381765</v>
      </c>
      <c r="AM1847" s="1974">
        <f t="shared" si="2060"/>
        <v>2906.5939387724493</v>
      </c>
      <c r="AN1847" s="1974"/>
      <c r="AO1847" s="1974"/>
      <c r="AP1847" s="1974"/>
      <c r="AQ1847" s="1974"/>
      <c r="AR1847" s="1974"/>
      <c r="AS1847" s="1974"/>
      <c r="AT1847" s="1974"/>
    </row>
    <row r="1848" spans="3:46" ht="16.5">
      <c r="C1848" s="696"/>
      <c r="D1848" s="1961" t="s">
        <v>3571</v>
      </c>
      <c r="E1848" s="1966"/>
      <c r="J1848" s="1972">
        <v>0</v>
      </c>
      <c r="K1848" s="1972">
        <v>0</v>
      </c>
      <c r="L1848" s="1972">
        <v>0</v>
      </c>
      <c r="M1848" s="1"/>
      <c r="N1848" s="1"/>
      <c r="O1848" s="1"/>
      <c r="P1848" s="1"/>
      <c r="Q1848" s="1"/>
      <c r="R1848" s="1"/>
      <c r="S1848" s="1"/>
      <c r="T1848" s="1"/>
      <c r="V1848" s="1"/>
      <c r="X1848" s="1"/>
      <c r="Z1848" s="1"/>
      <c r="AA1848" s="1973">
        <v>254.01560699999999</v>
      </c>
      <c r="AB1848" s="1973">
        <v>1245.6161790000001</v>
      </c>
      <c r="AC1848" s="1973">
        <v>892.58522700000003</v>
      </c>
      <c r="AD1848" s="1974"/>
      <c r="AE1848" s="1974"/>
      <c r="AF1848" s="1974"/>
      <c r="AG1848" s="1974"/>
      <c r="AH1848" s="1974"/>
      <c r="AI1848" s="1974"/>
      <c r="AJ1848" s="1974"/>
      <c r="AK1848" s="1974"/>
      <c r="AL1848" s="1974"/>
      <c r="AM1848" s="1974"/>
      <c r="AN1848" s="1974"/>
      <c r="AO1848" s="1974"/>
      <c r="AP1848" s="1974"/>
      <c r="AQ1848" s="1974"/>
      <c r="AR1848" s="1974"/>
      <c r="AS1848" s="1974"/>
      <c r="AT1848" s="1974"/>
    </row>
    <row r="1849" spans="3:46" ht="16.5">
      <c r="C1849" s="704"/>
      <c r="D1849" s="1961" t="s">
        <v>3572</v>
      </c>
      <c r="E1849" s="1966"/>
      <c r="J1849" s="1972" t="s">
        <v>136</v>
      </c>
      <c r="K1849" s="1972" t="s">
        <v>136</v>
      </c>
      <c r="L1849" s="1972" t="s">
        <v>136</v>
      </c>
      <c r="M1849" s="1"/>
      <c r="N1849" s="1"/>
      <c r="O1849" s="1"/>
      <c r="P1849" s="1"/>
      <c r="Q1849" s="1"/>
      <c r="R1849" s="1"/>
      <c r="S1849" s="1"/>
      <c r="T1849" s="1"/>
      <c r="V1849" s="1"/>
      <c r="X1849" s="1"/>
      <c r="Z1849" s="1"/>
      <c r="AA1849" s="1973">
        <v>6120.1249230000003</v>
      </c>
      <c r="AB1849" s="1973">
        <v>115749.01530899999</v>
      </c>
      <c r="AC1849" s="1973">
        <v>23.396176000000001</v>
      </c>
      <c r="AD1849" s="1974"/>
      <c r="AE1849" s="1974"/>
      <c r="AF1849" s="1974"/>
      <c r="AG1849" s="1974"/>
      <c r="AH1849" s="1974"/>
      <c r="AI1849" s="1974"/>
      <c r="AJ1849" s="1974"/>
      <c r="AK1849" s="1974"/>
      <c r="AL1849" s="1974"/>
      <c r="AM1849" s="1974"/>
      <c r="AN1849" s="1974"/>
      <c r="AO1849" s="1974"/>
      <c r="AP1849" s="1974"/>
      <c r="AQ1849" s="1974"/>
      <c r="AR1849" s="1974"/>
      <c r="AS1849" s="1974"/>
      <c r="AT1849" s="1974"/>
    </row>
    <row r="1850" spans="3:46" ht="16.5">
      <c r="C1850" s="696"/>
      <c r="D1850" s="1961" t="s">
        <v>3573</v>
      </c>
      <c r="E1850" s="1966"/>
      <c r="J1850" s="1972" t="s">
        <v>136</v>
      </c>
      <c r="K1850" s="1972" t="s">
        <v>136</v>
      </c>
      <c r="L1850" s="1972" t="s">
        <v>136</v>
      </c>
      <c r="M1850" s="1"/>
      <c r="N1850" s="1"/>
      <c r="O1850" s="1"/>
      <c r="P1850" s="1"/>
      <c r="Q1850" s="1"/>
      <c r="R1850" s="1"/>
      <c r="S1850" s="1"/>
      <c r="T1850" s="1"/>
      <c r="V1850" s="1"/>
      <c r="X1850" s="1"/>
      <c r="Z1850" s="1"/>
      <c r="AA1850" s="1973">
        <v>130840.84448099999</v>
      </c>
      <c r="AB1850" s="1973">
        <v>247673.937293</v>
      </c>
      <c r="AC1850" s="1973">
        <v>48930.247314</v>
      </c>
      <c r="AD1850" s="1974"/>
      <c r="AE1850" s="1974"/>
      <c r="AF1850" s="1974"/>
      <c r="AG1850" s="1974"/>
      <c r="AH1850" s="1974"/>
      <c r="AI1850" s="1974"/>
      <c r="AJ1850" s="1974"/>
      <c r="AK1850" s="1974"/>
      <c r="AL1850" s="1974"/>
      <c r="AM1850" s="1974"/>
      <c r="AN1850" s="1974"/>
      <c r="AO1850" s="1974"/>
      <c r="AP1850" s="1974"/>
      <c r="AQ1850" s="1974"/>
      <c r="AR1850" s="1974"/>
      <c r="AS1850" s="1974"/>
      <c r="AT1850" s="1974"/>
    </row>
    <row r="1851" spans="3:46" ht="16.5">
      <c r="C1851" s="1151"/>
      <c r="D1851" s="1961" t="s">
        <v>3574</v>
      </c>
      <c r="E1851" s="1966"/>
      <c r="J1851" s="1972" t="s">
        <v>136</v>
      </c>
      <c r="K1851" s="1972" t="s">
        <v>136</v>
      </c>
      <c r="L1851" s="1972" t="s">
        <v>136</v>
      </c>
      <c r="M1851" s="1"/>
      <c r="N1851" s="1"/>
      <c r="O1851" s="1"/>
      <c r="P1851" s="1"/>
      <c r="Q1851" s="1"/>
      <c r="R1851" s="1"/>
      <c r="S1851" s="1"/>
      <c r="T1851" s="1"/>
      <c r="V1851" s="1"/>
      <c r="X1851" s="1"/>
      <c r="Z1851" s="1"/>
      <c r="AA1851" s="1973">
        <v>0</v>
      </c>
      <c r="AB1851" s="1973">
        <v>2910.021217</v>
      </c>
      <c r="AC1851" s="1973">
        <v>5949.6135979999999</v>
      </c>
      <c r="AD1851" s="1974"/>
      <c r="AE1851" s="1974"/>
      <c r="AF1851" s="1974"/>
      <c r="AG1851" s="1974"/>
      <c r="AH1851" s="1974"/>
      <c r="AI1851" s="1974"/>
      <c r="AJ1851" s="1974"/>
      <c r="AK1851" s="1974"/>
      <c r="AL1851" s="1974"/>
      <c r="AM1851" s="1974"/>
      <c r="AN1851" s="1974"/>
      <c r="AO1851" s="1974"/>
      <c r="AP1851" s="1974"/>
      <c r="AQ1851" s="1974"/>
      <c r="AR1851" s="1974"/>
      <c r="AS1851" s="1974"/>
      <c r="AT1851" s="1974"/>
    </row>
    <row r="1852" spans="3:46" ht="16.5">
      <c r="C1852" s="698"/>
      <c r="D1852" s="1961" t="s">
        <v>3575</v>
      </c>
      <c r="E1852" s="1966"/>
      <c r="J1852" s="1972" t="s">
        <v>136</v>
      </c>
      <c r="K1852" s="1972" t="s">
        <v>136</v>
      </c>
      <c r="L1852" s="1972" t="s">
        <v>136</v>
      </c>
      <c r="M1852" s="1"/>
      <c r="N1852" s="1"/>
      <c r="O1852" s="1"/>
      <c r="P1852" s="1"/>
      <c r="Q1852" s="1"/>
      <c r="R1852" s="1"/>
      <c r="S1852" s="1"/>
      <c r="T1852" s="1"/>
      <c r="V1852" s="1"/>
      <c r="X1852" s="1"/>
      <c r="Z1852" s="1"/>
      <c r="AA1852" s="1973">
        <v>1200.0252290000001</v>
      </c>
      <c r="AB1852" s="1973">
        <v>26.701032999999999</v>
      </c>
      <c r="AC1852" s="1973">
        <v>10494.203810000001</v>
      </c>
      <c r="AD1852" s="1974"/>
      <c r="AE1852" s="1974"/>
      <c r="AF1852" s="1974"/>
      <c r="AG1852" s="1974"/>
      <c r="AH1852" s="1974"/>
      <c r="AI1852" s="1974"/>
      <c r="AJ1852" s="1974"/>
      <c r="AK1852" s="1974"/>
      <c r="AL1852" s="1974"/>
      <c r="AM1852" s="1974"/>
      <c r="AN1852" s="1974"/>
      <c r="AO1852" s="1974"/>
      <c r="AP1852" s="1974"/>
      <c r="AQ1852" s="1974"/>
      <c r="AR1852" s="1974"/>
      <c r="AS1852" s="1974"/>
      <c r="AT1852" s="1974"/>
    </row>
    <row r="1853" spans="3:46" ht="16.5">
      <c r="C1853" s="704"/>
      <c r="D1853" s="1961" t="s">
        <v>3576</v>
      </c>
      <c r="E1853" s="1966"/>
      <c r="J1853" s="1972" t="s">
        <v>136</v>
      </c>
      <c r="K1853" s="1972" t="s">
        <v>136</v>
      </c>
      <c r="L1853" s="1972" t="s">
        <v>136</v>
      </c>
      <c r="M1853" s="1"/>
      <c r="N1853" s="1"/>
      <c r="O1853" s="1"/>
      <c r="P1853" s="1"/>
      <c r="Q1853" s="1"/>
      <c r="R1853" s="1"/>
      <c r="S1853" s="1"/>
      <c r="T1853" s="1"/>
      <c r="V1853" s="1"/>
      <c r="X1853" s="1"/>
      <c r="Z1853" s="1"/>
      <c r="AA1853" s="1973">
        <v>174.1549</v>
      </c>
      <c r="AB1853" s="1973">
        <v>8566.1565480000008</v>
      </c>
      <c r="AC1853" s="1973">
        <v>799.879276</v>
      </c>
      <c r="AD1853" s="1974"/>
      <c r="AE1853" s="1974"/>
      <c r="AF1853" s="1974"/>
      <c r="AG1853" s="1974"/>
      <c r="AH1853" s="1974"/>
      <c r="AI1853" s="1974"/>
      <c r="AJ1853" s="1974"/>
      <c r="AK1853" s="1974"/>
      <c r="AL1853" s="1974"/>
      <c r="AM1853" s="1974"/>
      <c r="AN1853" s="1974"/>
      <c r="AO1853" s="1974"/>
      <c r="AP1853" s="1974"/>
      <c r="AQ1853" s="1974"/>
      <c r="AR1853" s="1974"/>
      <c r="AS1853" s="1974"/>
      <c r="AT1853" s="1974"/>
    </row>
    <row r="1854" spans="3:46" ht="16.5">
      <c r="C1854" s="696"/>
      <c r="D1854" s="1980" t="s">
        <v>3577</v>
      </c>
      <c r="E1854" s="1981" t="s">
        <v>3578</v>
      </c>
      <c r="J1854" s="1982" t="s">
        <v>136</v>
      </c>
      <c r="K1854" s="1982" t="s">
        <v>136</v>
      </c>
      <c r="L1854" s="1982" t="s">
        <v>136</v>
      </c>
      <c r="M1854" s="1"/>
      <c r="N1854" s="1"/>
      <c r="O1854" s="1"/>
      <c r="P1854" s="1"/>
      <c r="Q1854" s="1"/>
      <c r="R1854" s="1"/>
      <c r="S1854" s="1"/>
      <c r="T1854" s="1"/>
      <c r="V1854" s="1"/>
      <c r="X1854" s="1"/>
      <c r="Z1854" s="1"/>
      <c r="AA1854" s="1983">
        <v>1923132.1839980001</v>
      </c>
      <c r="AB1854" s="1983">
        <v>2180807.2284229998</v>
      </c>
      <c r="AC1854" s="1983">
        <v>2313849.2298400002</v>
      </c>
      <c r="AD1854" s="1984">
        <f>+AD1810+AD1814+AD1824+AD1827+AD1831+AD1834+AD1837+AD1846</f>
        <v>2581.5415585083883</v>
      </c>
      <c r="AE1854" s="1984">
        <f t="shared" ref="AE1854:AG1854" si="2061">+AE1810+AE1814+AE1824+AE1827+AE1831+AE1834+AE1837+AE1846</f>
        <v>2872.2732671304257</v>
      </c>
      <c r="AF1854" s="1984">
        <f t="shared" si="2061"/>
        <v>3490.9010074486141</v>
      </c>
      <c r="AG1854" s="1984">
        <f t="shared" si="2061"/>
        <v>4061.0793741146181</v>
      </c>
      <c r="AH1854" s="1984">
        <f t="shared" ref="AH1854:AM1854" si="2062">+AH1810+AH1814+AH1824+AH1827+AH1831+AH1834+AH1837+AH1846</f>
        <v>4375.1188472118611</v>
      </c>
      <c r="AI1854" s="1984">
        <f t="shared" si="2062"/>
        <v>4927.9334817978761</v>
      </c>
      <c r="AJ1854" s="1984">
        <f t="shared" si="2062"/>
        <v>5223.8825191571159</v>
      </c>
      <c r="AK1854" s="1984">
        <f t="shared" si="2062"/>
        <v>5748.5320403112191</v>
      </c>
      <c r="AL1854" s="1984">
        <f t="shared" si="2062"/>
        <v>6483.4886357949981</v>
      </c>
      <c r="AM1854" s="1984">
        <f t="shared" si="2062"/>
        <v>7458.1202192251149</v>
      </c>
      <c r="AN1854" s="1984"/>
      <c r="AO1854" s="1984"/>
      <c r="AP1854" s="1984"/>
      <c r="AQ1854" s="1984"/>
      <c r="AR1854" s="1984"/>
      <c r="AS1854" s="1984"/>
      <c r="AT1854" s="1984"/>
    </row>
    <row r="1855" spans="3:46" ht="16.5">
      <c r="C1855" s="697"/>
      <c r="D1855" s="1951" t="s">
        <v>3579</v>
      </c>
      <c r="E1855" s="1989" t="s">
        <v>3580</v>
      </c>
      <c r="J1855" s="1958" t="s">
        <v>136</v>
      </c>
      <c r="K1855" s="1958" t="s">
        <v>136</v>
      </c>
      <c r="L1855" s="1958" t="s">
        <v>136</v>
      </c>
      <c r="M1855" s="1"/>
      <c r="N1855" s="1"/>
      <c r="O1855" s="1"/>
      <c r="P1855" s="1"/>
      <c r="Q1855" s="1"/>
      <c r="R1855" s="1"/>
      <c r="S1855" s="1"/>
      <c r="T1855" s="1"/>
      <c r="V1855" s="1"/>
      <c r="X1855" s="1"/>
      <c r="Z1855" s="1"/>
      <c r="AA1855" s="1990">
        <v>28876.183774000001</v>
      </c>
      <c r="AB1855" s="1990">
        <v>-62933.295232999997</v>
      </c>
      <c r="AC1855" s="1990">
        <v>-508.18797999999998</v>
      </c>
      <c r="AD1855" s="1960">
        <f t="shared" ref="AD1855:AM1855" si="2063">+AD1808-AD1854-(AD1193+AD1202+AD1208+AD1209+AD1210)</f>
        <v>-546.48294480264701</v>
      </c>
      <c r="AE1855" s="1960">
        <f t="shared" si="2063"/>
        <v>-772.83068309837233</v>
      </c>
      <c r="AF1855" s="1960">
        <f t="shared" si="2063"/>
        <v>-1036.4765652995268</v>
      </c>
      <c r="AG1855" s="1960">
        <f t="shared" si="2063"/>
        <v>-1117.8269037455145</v>
      </c>
      <c r="AH1855" s="1960">
        <f t="shared" si="2063"/>
        <v>-1116.9868303734929</v>
      </c>
      <c r="AI1855" s="1960">
        <f t="shared" si="2063"/>
        <v>-1228.2109644458326</v>
      </c>
      <c r="AJ1855" s="1960">
        <f t="shared" si="2063"/>
        <v>-1093.8329360575474</v>
      </c>
      <c r="AK1855" s="1960">
        <f t="shared" si="2063"/>
        <v>-1671.2071561101316</v>
      </c>
      <c r="AL1855" s="1960">
        <f t="shared" si="2063"/>
        <v>-1393.0137390038803</v>
      </c>
      <c r="AM1855" s="1960">
        <f t="shared" si="2063"/>
        <v>-1026.3410849647996</v>
      </c>
      <c r="AN1855" s="1960"/>
      <c r="AO1855" s="1960"/>
      <c r="AP1855" s="1960"/>
      <c r="AQ1855" s="1960"/>
      <c r="AR1855" s="1960"/>
      <c r="AS1855" s="1960"/>
      <c r="AT1855" s="1960"/>
    </row>
    <row r="1856" spans="3:46" ht="16.5">
      <c r="C1856" s="696"/>
      <c r="D1856" s="92" t="s">
        <v>3581</v>
      </c>
      <c r="E1856" s="1"/>
      <c r="F1856" s="1"/>
      <c r="G1856" s="1"/>
      <c r="H1856" s="1"/>
      <c r="I1856" s="1"/>
      <c r="J1856" s="1"/>
      <c r="K1856" s="1"/>
      <c r="L1856" s="1"/>
      <c r="M1856" s="1"/>
      <c r="N1856" s="1"/>
      <c r="O1856" s="1"/>
      <c r="P1856" s="1"/>
      <c r="Q1856" s="1"/>
      <c r="R1856" s="1"/>
      <c r="S1856" s="1"/>
      <c r="T1856" s="1"/>
      <c r="V1856" s="1"/>
      <c r="X1856" s="1"/>
      <c r="Z1856" s="1"/>
      <c r="AD1856" s="1991" t="str">
        <f t="shared" ref="AD1856:AM1856" si="2064">IF(ABS(AD1855-AD1158)&gt;0.01,AD1855-AD1158,"")</f>
        <v/>
      </c>
      <c r="AE1856" s="1991">
        <f t="shared" si="2064"/>
        <v>61.956207563999897</v>
      </c>
      <c r="AF1856" s="1991">
        <f t="shared" si="2064"/>
        <v>-146.68721376600035</v>
      </c>
      <c r="AG1856" s="1991">
        <f t="shared" si="2064"/>
        <v>-2.0000000000006821</v>
      </c>
      <c r="AH1856" s="1991" t="str">
        <f t="shared" si="2064"/>
        <v/>
      </c>
      <c r="AI1856" s="1991" t="str">
        <f t="shared" si="2064"/>
        <v/>
      </c>
      <c r="AJ1856" s="1991" t="str">
        <f t="shared" si="2064"/>
        <v/>
      </c>
      <c r="AK1856" s="1991" t="str">
        <f t="shared" si="2064"/>
        <v/>
      </c>
      <c r="AL1856" s="1991" t="str">
        <f t="shared" si="2064"/>
        <v/>
      </c>
      <c r="AM1856" s="1991" t="str">
        <f t="shared" si="2064"/>
        <v/>
      </c>
      <c r="AN1856" s="1991"/>
      <c r="AO1856" s="1991"/>
      <c r="AP1856" s="1991"/>
      <c r="AQ1856" s="1991"/>
      <c r="AR1856" s="1991"/>
      <c r="AS1856" s="1991"/>
      <c r="AT1856" s="1991"/>
    </row>
    <row r="1857" spans="3:39" ht="16.5">
      <c r="C1857" s="702"/>
      <c r="E1857" s="1"/>
      <c r="F1857" s="1"/>
      <c r="G1857" s="1"/>
      <c r="H1857" s="1"/>
      <c r="I1857" s="1"/>
      <c r="J1857" s="1"/>
      <c r="K1857" s="1"/>
      <c r="L1857" s="1"/>
      <c r="M1857" s="1"/>
      <c r="N1857" s="1"/>
      <c r="O1857" s="1"/>
      <c r="P1857" s="1"/>
      <c r="Q1857" s="1"/>
      <c r="R1857" s="1"/>
      <c r="S1857" s="1"/>
      <c r="T1857" s="1"/>
      <c r="V1857" s="1"/>
      <c r="X1857" s="1"/>
      <c r="Z1857" s="1"/>
    </row>
    <row r="1858" spans="3:39" ht="16.5">
      <c r="C1858" s="701"/>
      <c r="E1858" s="1"/>
      <c r="F1858" s="1"/>
      <c r="G1858" s="1"/>
      <c r="H1858" s="1"/>
      <c r="I1858" s="1"/>
      <c r="J1858" s="1"/>
      <c r="K1858" s="1"/>
      <c r="L1858" s="1"/>
      <c r="M1858" s="1"/>
      <c r="N1858" s="1"/>
      <c r="O1858" s="1"/>
      <c r="P1858" s="1"/>
      <c r="Q1858" s="1"/>
      <c r="R1858" s="1"/>
      <c r="S1858" s="1"/>
      <c r="T1858" s="1"/>
      <c r="V1858" s="1"/>
      <c r="X1858" s="1"/>
      <c r="Z1858" s="1"/>
    </row>
    <row r="1859" spans="3:39" ht="16.5">
      <c r="C1859" s="703"/>
      <c r="E1859" s="1"/>
      <c r="F1859" s="1"/>
      <c r="G1859" s="1"/>
      <c r="H1859" s="1"/>
      <c r="I1859" s="1"/>
      <c r="J1859" s="1"/>
      <c r="K1859" s="1"/>
      <c r="L1859" s="1"/>
      <c r="M1859" s="1"/>
      <c r="N1859" s="1"/>
      <c r="O1859" s="1"/>
      <c r="P1859" s="1"/>
      <c r="Q1859" s="1"/>
      <c r="R1859" s="1"/>
      <c r="S1859" s="1"/>
      <c r="T1859" s="1"/>
      <c r="V1859" s="1"/>
      <c r="X1859" s="1"/>
      <c r="Z1859" s="1"/>
    </row>
    <row r="1860" spans="3:39" ht="16.5">
      <c r="C1860" s="703"/>
      <c r="E1860" s="1"/>
      <c r="F1860" s="1"/>
      <c r="G1860" s="1"/>
      <c r="H1860" s="1"/>
      <c r="I1860" s="1"/>
      <c r="J1860" s="1"/>
      <c r="K1860" s="1"/>
      <c r="L1860" s="1"/>
      <c r="M1860" s="1"/>
      <c r="N1860" s="1"/>
      <c r="O1860" s="1"/>
      <c r="P1860" s="1"/>
      <c r="Q1860" s="1"/>
      <c r="R1860" s="1"/>
      <c r="S1860" s="1"/>
      <c r="T1860" s="1"/>
      <c r="V1860" s="1"/>
      <c r="X1860" s="1"/>
      <c r="Z1860" s="1"/>
    </row>
    <row r="1861" spans="3:39" ht="16.5">
      <c r="C1861" s="703"/>
      <c r="E1861" s="1"/>
      <c r="F1861" s="1"/>
      <c r="G1861" s="1"/>
      <c r="H1861" s="1"/>
      <c r="I1861" s="1"/>
      <c r="J1861" s="1"/>
      <c r="K1861" s="1"/>
      <c r="L1861" s="1"/>
      <c r="M1861" s="1"/>
      <c r="N1861" s="1"/>
      <c r="O1861" s="1"/>
      <c r="P1861" s="1"/>
      <c r="Q1861" s="1"/>
      <c r="R1861" s="1"/>
      <c r="S1861" s="1"/>
      <c r="T1861" s="1"/>
      <c r="V1861" s="1"/>
      <c r="X1861" s="1"/>
      <c r="Z1861" s="1"/>
      <c r="AE1861" s="1041">
        <f>AE1862+AE1863</f>
        <v>232.57558034203169</v>
      </c>
      <c r="AF1861" s="1041">
        <f t="shared" ref="AF1861:AM1861" si="2065">AF1862+AF1863</f>
        <v>303.75511621690532</v>
      </c>
      <c r="AG1861" s="1041">
        <f t="shared" si="2065"/>
        <v>396.92142349457174</v>
      </c>
      <c r="AH1861" s="1041">
        <f t="shared" si="2065"/>
        <v>610.82058181981176</v>
      </c>
      <c r="AI1861" s="1041">
        <f t="shared" si="2065"/>
        <v>638.25152475523601</v>
      </c>
      <c r="AJ1861" s="1041">
        <f t="shared" si="2065"/>
        <v>787.38506036315653</v>
      </c>
      <c r="AK1861" s="1041">
        <f t="shared" si="2065"/>
        <v>1071.0885707733023</v>
      </c>
      <c r="AL1861" s="1041">
        <f t="shared" si="2065"/>
        <v>1270.7448322186181</v>
      </c>
      <c r="AM1861" s="1041">
        <f t="shared" si="2065"/>
        <v>1544.8512810183595</v>
      </c>
    </row>
    <row r="1862" spans="3:39" ht="16.5">
      <c r="C1862" s="703"/>
      <c r="D1862" s="1" t="s">
        <v>3638</v>
      </c>
      <c r="E1862" s="1"/>
      <c r="F1862" s="1"/>
      <c r="G1862" s="1"/>
      <c r="H1862" s="1"/>
      <c r="I1862" s="1"/>
      <c r="J1862" s="1"/>
      <c r="K1862" s="1"/>
      <c r="L1862" s="1"/>
      <c r="M1862" s="1"/>
      <c r="N1862" s="1"/>
      <c r="O1862" s="1"/>
      <c r="P1862" s="1"/>
      <c r="Q1862" s="1"/>
      <c r="R1862" s="1"/>
      <c r="S1862" s="1"/>
      <c r="T1862" s="1"/>
      <c r="V1862" s="1"/>
      <c r="X1862" s="1"/>
      <c r="Z1862" s="1"/>
      <c r="AE1862" s="1041">
        <f t="shared" ref="AE1862:AM1862" si="2066">AE1096+AE1258</f>
        <v>115.71972342803167</v>
      </c>
      <c r="AF1862" s="1041">
        <f t="shared" si="2066"/>
        <v>143.54623481519999</v>
      </c>
      <c r="AG1862" s="1041">
        <f t="shared" si="2066"/>
        <v>165.11860005157172</v>
      </c>
      <c r="AH1862" s="1041">
        <f t="shared" si="2066"/>
        <v>186.06475665281187</v>
      </c>
      <c r="AI1862" s="1041">
        <f t="shared" si="2066"/>
        <v>307.99409060923603</v>
      </c>
      <c r="AJ1862" s="1041">
        <f t="shared" si="2066"/>
        <v>427.09952519475803</v>
      </c>
      <c r="AK1862" s="1041">
        <f t="shared" si="2066"/>
        <v>667.86038411994241</v>
      </c>
      <c r="AL1862" s="1041">
        <f t="shared" si="2066"/>
        <v>916.01773954825808</v>
      </c>
      <c r="AM1862" s="1041">
        <f t="shared" si="2066"/>
        <v>1120.6784127549995</v>
      </c>
    </row>
    <row r="1863" spans="3:39" ht="16.5">
      <c r="C1863" s="701"/>
      <c r="D1863" s="1" t="s">
        <v>3639</v>
      </c>
      <c r="E1863" s="1"/>
      <c r="F1863" s="1"/>
      <c r="G1863" s="1"/>
      <c r="H1863" s="1"/>
      <c r="I1863" s="1"/>
      <c r="J1863" s="1"/>
      <c r="K1863" s="1"/>
      <c r="L1863" s="1"/>
      <c r="M1863" s="1"/>
      <c r="N1863" s="1"/>
      <c r="O1863" s="1"/>
      <c r="P1863" s="1"/>
      <c r="Q1863" s="1"/>
      <c r="R1863" s="1"/>
      <c r="S1863" s="1"/>
      <c r="T1863" s="1"/>
      <c r="V1863" s="1"/>
      <c r="X1863" s="1"/>
      <c r="Z1863" s="1"/>
      <c r="AE1863" s="1041">
        <f t="shared" ref="AE1863:AM1863" si="2067">AE1102-AE1230</f>
        <v>116.855856914</v>
      </c>
      <c r="AF1863" s="1041">
        <f t="shared" si="2067"/>
        <v>160.20888140170533</v>
      </c>
      <c r="AG1863" s="1041">
        <f t="shared" si="2067"/>
        <v>231.80282344299999</v>
      </c>
      <c r="AH1863" s="1041">
        <f t="shared" si="2067"/>
        <v>424.7558251669999</v>
      </c>
      <c r="AI1863" s="1041">
        <f t="shared" si="2067"/>
        <v>330.25743414599998</v>
      </c>
      <c r="AJ1863" s="1041">
        <f t="shared" si="2067"/>
        <v>360.28553516839844</v>
      </c>
      <c r="AK1863" s="1041">
        <f t="shared" si="2067"/>
        <v>403.22818665336001</v>
      </c>
      <c r="AL1863" s="1041">
        <f t="shared" si="2067"/>
        <v>354.72709267035998</v>
      </c>
      <c r="AM1863" s="1041">
        <f t="shared" si="2067"/>
        <v>424.17286826335999</v>
      </c>
    </row>
    <row r="1864" spans="3:39" ht="16.5">
      <c r="C1864" s="703"/>
      <c r="E1864" s="1"/>
      <c r="F1864" s="1"/>
      <c r="G1864" s="1"/>
      <c r="H1864" s="1"/>
      <c r="I1864" s="1"/>
      <c r="J1864" s="1"/>
      <c r="K1864" s="1"/>
      <c r="L1864" s="1"/>
      <c r="M1864" s="1"/>
      <c r="N1864" s="1"/>
      <c r="O1864" s="1"/>
      <c r="P1864" s="1"/>
      <c r="Q1864" s="1"/>
      <c r="R1864" s="1"/>
      <c r="S1864" s="1"/>
      <c r="T1864" s="1"/>
      <c r="V1864" s="1"/>
      <c r="X1864" s="1"/>
      <c r="Z1864" s="1"/>
    </row>
    <row r="1865" spans="3:39" ht="16.5">
      <c r="C1865" s="702"/>
      <c r="E1865" s="1"/>
      <c r="F1865" s="1"/>
      <c r="G1865" s="1"/>
      <c r="H1865" s="1"/>
      <c r="I1865" s="1"/>
      <c r="J1865" s="1"/>
      <c r="K1865" s="1"/>
      <c r="L1865" s="1"/>
      <c r="M1865" s="1"/>
      <c r="N1865" s="1"/>
      <c r="O1865" s="1"/>
      <c r="P1865" s="1"/>
      <c r="Q1865" s="1"/>
      <c r="R1865" s="1"/>
      <c r="S1865" s="1"/>
      <c r="T1865" s="1"/>
      <c r="V1865" s="1"/>
      <c r="X1865" s="1"/>
      <c r="Z1865" s="1"/>
    </row>
    <row r="1866" spans="3:39" ht="16.5">
      <c r="C1866" s="698"/>
      <c r="E1866" s="1"/>
      <c r="F1866" s="1"/>
      <c r="G1866" s="1"/>
      <c r="H1866" s="1"/>
      <c r="I1866" s="1"/>
      <c r="J1866" s="1"/>
      <c r="K1866" s="1"/>
      <c r="L1866" s="1"/>
      <c r="M1866" s="1"/>
      <c r="N1866" s="1"/>
      <c r="O1866" s="1"/>
      <c r="P1866" s="1"/>
      <c r="Q1866" s="1"/>
      <c r="R1866" s="1"/>
      <c r="S1866" s="1"/>
      <c r="T1866" s="1"/>
      <c r="V1866" s="1"/>
      <c r="X1866" s="1"/>
      <c r="Z1866" s="1"/>
    </row>
    <row r="1867" spans="3:39" ht="16.5">
      <c r="C1867" s="699"/>
      <c r="E1867" s="1"/>
      <c r="F1867" s="1"/>
      <c r="G1867" s="1"/>
      <c r="H1867" s="1"/>
      <c r="I1867" s="1"/>
      <c r="J1867" s="1"/>
      <c r="K1867" s="1"/>
      <c r="L1867" s="1"/>
      <c r="M1867" s="1"/>
      <c r="N1867" s="1"/>
      <c r="O1867" s="1"/>
      <c r="P1867" s="1"/>
      <c r="Q1867" s="1"/>
      <c r="R1867" s="1"/>
      <c r="S1867" s="1"/>
      <c r="T1867" s="1"/>
      <c r="V1867" s="1"/>
      <c r="X1867" s="1"/>
      <c r="Z1867" s="1"/>
    </row>
    <row r="1868" spans="3:39" ht="16.5">
      <c r="C1868" s="1158"/>
      <c r="E1868" s="1"/>
      <c r="F1868" s="1"/>
      <c r="G1868" s="1"/>
      <c r="H1868" s="1"/>
      <c r="I1868" s="1"/>
      <c r="J1868" s="1"/>
      <c r="K1868" s="1"/>
      <c r="L1868" s="1"/>
      <c r="M1868" s="1"/>
      <c r="N1868" s="1"/>
      <c r="O1868" s="1"/>
      <c r="P1868" s="1"/>
      <c r="Q1868" s="1"/>
      <c r="R1868" s="1"/>
      <c r="S1868" s="1"/>
      <c r="T1868" s="1"/>
      <c r="V1868" s="1"/>
      <c r="X1868" s="1"/>
      <c r="Z1868" s="1"/>
    </row>
    <row r="1869" spans="3:39" ht="16.5">
      <c r="C1869" s="1159"/>
      <c r="E1869" s="1"/>
      <c r="F1869" s="1"/>
      <c r="G1869" s="1"/>
      <c r="H1869" s="1"/>
      <c r="I1869" s="1"/>
      <c r="J1869" s="1"/>
      <c r="K1869" s="1"/>
      <c r="L1869" s="1"/>
      <c r="M1869" s="1"/>
      <c r="N1869" s="1"/>
      <c r="O1869" s="1"/>
      <c r="P1869" s="1"/>
      <c r="Q1869" s="1"/>
      <c r="R1869" s="1"/>
      <c r="S1869" s="1"/>
      <c r="T1869" s="1"/>
      <c r="V1869" s="1"/>
      <c r="X1869" s="1"/>
      <c r="Z1869" s="1"/>
    </row>
    <row r="1870" spans="3:39" ht="16.5">
      <c r="C1870" s="703"/>
      <c r="E1870" s="1"/>
      <c r="F1870" s="1"/>
      <c r="G1870" s="1"/>
      <c r="H1870" s="1"/>
      <c r="I1870" s="1"/>
      <c r="J1870" s="1"/>
      <c r="K1870" s="1"/>
      <c r="L1870" s="1"/>
      <c r="M1870" s="1"/>
      <c r="N1870" s="1"/>
      <c r="O1870" s="1"/>
      <c r="P1870" s="1"/>
      <c r="Q1870" s="1"/>
      <c r="R1870" s="1"/>
      <c r="S1870" s="1"/>
      <c r="T1870" s="1"/>
      <c r="V1870" s="1"/>
      <c r="X1870" s="1"/>
      <c r="Z1870" s="1"/>
    </row>
    <row r="1871" spans="3:39" ht="16.5">
      <c r="C1871" s="703"/>
      <c r="E1871" s="1"/>
      <c r="F1871" s="1"/>
      <c r="G1871" s="1"/>
      <c r="H1871" s="1"/>
      <c r="I1871" s="1"/>
      <c r="J1871" s="1"/>
      <c r="K1871" s="1"/>
      <c r="L1871" s="1"/>
      <c r="M1871" s="1"/>
      <c r="N1871" s="1"/>
      <c r="O1871" s="1"/>
      <c r="P1871" s="1"/>
      <c r="Q1871" s="1"/>
      <c r="R1871" s="1"/>
      <c r="S1871" s="1"/>
      <c r="T1871" s="1"/>
      <c r="V1871" s="1"/>
      <c r="X1871" s="1"/>
      <c r="Z1871" s="1"/>
    </row>
    <row r="1872" spans="3:39" ht="16.5">
      <c r="C1872" s="703"/>
      <c r="E1872" s="1"/>
      <c r="F1872" s="1"/>
      <c r="G1872" s="1"/>
      <c r="H1872" s="1"/>
      <c r="I1872" s="1"/>
      <c r="J1872" s="1"/>
      <c r="K1872" s="1"/>
      <c r="L1872" s="1"/>
      <c r="M1872" s="1"/>
      <c r="N1872" s="1"/>
      <c r="O1872" s="1"/>
      <c r="P1872" s="1"/>
      <c r="Q1872" s="1"/>
      <c r="R1872" s="1"/>
      <c r="S1872" s="1"/>
      <c r="T1872" s="1"/>
      <c r="V1872" s="1"/>
      <c r="X1872" s="1"/>
      <c r="Z1872" s="1"/>
    </row>
    <row r="1873" spans="3:26" ht="16.5">
      <c r="C1873" s="703"/>
      <c r="E1873" s="1"/>
      <c r="F1873" s="1"/>
      <c r="G1873" s="1"/>
      <c r="H1873" s="1"/>
      <c r="I1873" s="1"/>
      <c r="J1873" s="1"/>
      <c r="K1873" s="1"/>
      <c r="L1873" s="1"/>
      <c r="M1873" s="1"/>
      <c r="N1873" s="1"/>
      <c r="O1873" s="1"/>
      <c r="P1873" s="1"/>
      <c r="Q1873" s="1"/>
      <c r="R1873" s="1"/>
      <c r="S1873" s="1"/>
      <c r="T1873" s="1"/>
      <c r="V1873" s="1"/>
      <c r="X1873" s="1"/>
      <c r="Z1873" s="1"/>
    </row>
    <row r="1874" spans="3:26" ht="16.5">
      <c r="C1874" s="703"/>
      <c r="E1874" s="1"/>
      <c r="F1874" s="1"/>
      <c r="G1874" s="1"/>
      <c r="H1874" s="1"/>
      <c r="I1874" s="1"/>
      <c r="J1874" s="1"/>
      <c r="K1874" s="1"/>
      <c r="L1874" s="1"/>
      <c r="M1874" s="1"/>
      <c r="N1874" s="1"/>
      <c r="O1874" s="1"/>
      <c r="P1874" s="1"/>
      <c r="Q1874" s="1"/>
      <c r="R1874" s="1"/>
      <c r="S1874" s="1"/>
      <c r="T1874" s="1"/>
      <c r="V1874" s="1"/>
      <c r="X1874" s="1"/>
      <c r="Z1874" s="1"/>
    </row>
    <row r="1875" spans="3:26" ht="16.5">
      <c r="C1875" s="702"/>
      <c r="E1875" s="1"/>
      <c r="F1875" s="1"/>
      <c r="G1875" s="1"/>
      <c r="H1875" s="1"/>
      <c r="I1875" s="1"/>
      <c r="J1875" s="1"/>
      <c r="K1875" s="1"/>
      <c r="L1875" s="1"/>
      <c r="M1875" s="1"/>
      <c r="N1875" s="1"/>
      <c r="O1875" s="1"/>
      <c r="P1875" s="1"/>
      <c r="Q1875" s="1"/>
      <c r="R1875" s="1"/>
      <c r="S1875" s="1"/>
      <c r="T1875" s="1"/>
      <c r="V1875" s="1"/>
      <c r="X1875" s="1"/>
      <c r="Z1875" s="1"/>
    </row>
    <row r="1876" spans="3:26" ht="16.5">
      <c r="C1876" s="701"/>
      <c r="E1876" s="1"/>
      <c r="F1876" s="1"/>
      <c r="G1876" s="1"/>
      <c r="H1876" s="1"/>
      <c r="I1876" s="1"/>
      <c r="J1876" s="1"/>
      <c r="K1876" s="1"/>
      <c r="L1876" s="1"/>
      <c r="M1876" s="1"/>
      <c r="N1876" s="1"/>
      <c r="O1876" s="1"/>
      <c r="P1876" s="1"/>
      <c r="Q1876" s="1"/>
      <c r="R1876" s="1"/>
      <c r="S1876" s="1"/>
      <c r="T1876" s="1"/>
      <c r="V1876" s="1"/>
      <c r="X1876" s="1"/>
      <c r="Z1876" s="1"/>
    </row>
    <row r="1877" spans="3:26" ht="16.5">
      <c r="C1877" s="703"/>
      <c r="E1877" s="1"/>
      <c r="F1877" s="1"/>
      <c r="G1877" s="1"/>
      <c r="H1877" s="1"/>
      <c r="I1877" s="1"/>
      <c r="J1877" s="1"/>
      <c r="K1877" s="1"/>
      <c r="L1877" s="1"/>
      <c r="M1877" s="1"/>
      <c r="N1877" s="1"/>
      <c r="O1877" s="1"/>
      <c r="P1877" s="1"/>
      <c r="Q1877" s="1"/>
      <c r="R1877" s="1"/>
      <c r="S1877" s="1"/>
      <c r="T1877" s="1"/>
      <c r="V1877" s="1"/>
      <c r="X1877" s="1"/>
      <c r="Z1877" s="1"/>
    </row>
    <row r="1878" spans="3:26" ht="16.5">
      <c r="C1878" s="703"/>
      <c r="E1878" s="1"/>
      <c r="F1878" s="1"/>
      <c r="G1878" s="1"/>
      <c r="H1878" s="1"/>
      <c r="I1878" s="1"/>
      <c r="J1878" s="1"/>
      <c r="K1878" s="1"/>
      <c r="L1878" s="1"/>
      <c r="M1878" s="1"/>
      <c r="N1878" s="1"/>
      <c r="O1878" s="1"/>
      <c r="P1878" s="1"/>
      <c r="Q1878" s="1"/>
      <c r="R1878" s="1"/>
      <c r="S1878" s="1"/>
      <c r="T1878" s="1"/>
      <c r="V1878" s="1"/>
      <c r="X1878" s="1"/>
      <c r="Z1878" s="1"/>
    </row>
    <row r="1879" spans="3:26" ht="16.5">
      <c r="C1879" s="701"/>
      <c r="E1879" s="1"/>
      <c r="F1879" s="1"/>
      <c r="G1879" s="1"/>
      <c r="H1879" s="1"/>
      <c r="I1879" s="1"/>
      <c r="J1879" s="1"/>
      <c r="K1879" s="1"/>
      <c r="L1879" s="1"/>
      <c r="M1879" s="1"/>
      <c r="N1879" s="1"/>
      <c r="O1879" s="1"/>
      <c r="P1879" s="1"/>
      <c r="Q1879" s="1"/>
      <c r="R1879" s="1"/>
      <c r="S1879" s="1"/>
      <c r="T1879" s="1"/>
      <c r="V1879" s="1"/>
      <c r="X1879" s="1"/>
      <c r="Z1879" s="1"/>
    </row>
    <row r="1880" spans="3:26" ht="17" thickBot="1">
      <c r="C1880" s="1200"/>
      <c r="E1880" s="1"/>
      <c r="F1880" s="1"/>
      <c r="G1880" s="1"/>
      <c r="H1880" s="1"/>
      <c r="I1880" s="1"/>
      <c r="J1880" s="1"/>
      <c r="K1880" s="1"/>
      <c r="L1880" s="1"/>
      <c r="M1880" s="1"/>
      <c r="N1880" s="1"/>
      <c r="O1880" s="1"/>
      <c r="P1880" s="1"/>
      <c r="Q1880" s="1"/>
      <c r="R1880" s="1"/>
      <c r="S1880" s="1"/>
      <c r="T1880" s="1"/>
      <c r="V1880" s="1"/>
      <c r="X1880" s="1"/>
      <c r="Z1880" s="1"/>
    </row>
    <row r="1881" spans="3:26">
      <c r="E1881" s="1"/>
      <c r="F1881" s="1"/>
      <c r="G1881" s="1"/>
      <c r="H1881" s="1"/>
      <c r="I1881" s="1"/>
      <c r="J1881" s="1"/>
      <c r="K1881" s="1"/>
      <c r="L1881" s="1"/>
      <c r="M1881" s="1"/>
      <c r="N1881" s="1"/>
      <c r="O1881" s="1"/>
      <c r="P1881" s="1"/>
      <c r="Q1881" s="1"/>
      <c r="R1881" s="1"/>
      <c r="S1881" s="1"/>
      <c r="T1881" s="1"/>
      <c r="V1881" s="1"/>
      <c r="X1881" s="1"/>
      <c r="Z1881" s="1"/>
    </row>
    <row r="1882" spans="3:26">
      <c r="E1882" s="1"/>
      <c r="F1882" s="1"/>
      <c r="G1882" s="1"/>
      <c r="H1882" s="1"/>
      <c r="I1882" s="1"/>
      <c r="J1882" s="1"/>
      <c r="K1882" s="1"/>
      <c r="L1882" s="1"/>
      <c r="M1882" s="1"/>
      <c r="N1882" s="1"/>
      <c r="O1882" s="1"/>
      <c r="P1882" s="1"/>
      <c r="Q1882" s="1"/>
      <c r="R1882" s="1"/>
      <c r="S1882" s="1"/>
      <c r="T1882" s="1"/>
      <c r="V1882" s="1"/>
      <c r="X1882" s="1"/>
      <c r="Z1882" s="1"/>
    </row>
    <row r="1883" spans="3:26">
      <c r="E1883" s="1"/>
      <c r="F1883" s="1"/>
      <c r="G1883" s="1"/>
      <c r="H1883" s="1"/>
      <c r="I1883" s="1"/>
      <c r="J1883" s="1"/>
      <c r="K1883" s="1"/>
      <c r="L1883" s="1"/>
      <c r="M1883" s="1"/>
      <c r="N1883" s="1"/>
      <c r="O1883" s="1"/>
      <c r="P1883" s="1"/>
      <c r="Q1883" s="1"/>
      <c r="R1883" s="1"/>
      <c r="S1883" s="1"/>
      <c r="T1883" s="1"/>
      <c r="V1883" s="1"/>
      <c r="X1883" s="1"/>
      <c r="Z1883" s="1"/>
    </row>
    <row r="1884" spans="3:26" ht="15.75" customHeight="1">
      <c r="E1884" s="1"/>
      <c r="F1884" s="1"/>
      <c r="G1884" s="1"/>
      <c r="H1884" s="1"/>
      <c r="I1884" s="1"/>
      <c r="J1884" s="1"/>
      <c r="K1884" s="1"/>
      <c r="L1884" s="1"/>
      <c r="M1884" s="1"/>
      <c r="N1884" s="1"/>
      <c r="O1884" s="1"/>
      <c r="P1884" s="1"/>
      <c r="Q1884" s="1"/>
      <c r="R1884" s="1"/>
      <c r="S1884" s="1"/>
      <c r="T1884" s="1"/>
      <c r="V1884" s="1"/>
      <c r="X1884" s="1"/>
      <c r="Z1884" s="1"/>
    </row>
    <row r="1885" spans="3:26" ht="15.75" customHeight="1">
      <c r="E1885" s="1"/>
      <c r="F1885" s="1"/>
      <c r="G1885" s="1"/>
      <c r="H1885" s="1"/>
      <c r="I1885" s="1"/>
      <c r="J1885" s="1"/>
      <c r="K1885" s="1"/>
      <c r="L1885" s="1"/>
      <c r="M1885" s="1"/>
      <c r="N1885" s="1"/>
      <c r="O1885" s="1"/>
      <c r="P1885" s="1"/>
      <c r="Q1885" s="1"/>
      <c r="R1885" s="1"/>
      <c r="S1885" s="1"/>
      <c r="T1885" s="1"/>
      <c r="V1885" s="1"/>
      <c r="X1885" s="1"/>
      <c r="Z1885" s="1"/>
    </row>
    <row r="1886" spans="3:26" ht="15.75" customHeight="1">
      <c r="E1886" s="1"/>
      <c r="F1886" s="1"/>
      <c r="G1886" s="1"/>
      <c r="H1886" s="1"/>
      <c r="I1886" s="1"/>
      <c r="J1886" s="1"/>
      <c r="K1886" s="1"/>
      <c r="L1886" s="1"/>
      <c r="M1886" s="1"/>
      <c r="N1886" s="1"/>
      <c r="O1886" s="1"/>
      <c r="P1886" s="1"/>
      <c r="Q1886" s="1"/>
      <c r="R1886" s="1"/>
      <c r="S1886" s="1"/>
      <c r="T1886" s="1"/>
      <c r="V1886" s="1"/>
      <c r="X1886" s="1"/>
      <c r="Z1886" s="1"/>
    </row>
    <row r="1887" spans="3:26" ht="15.75" customHeight="1">
      <c r="E1887" s="1"/>
      <c r="F1887" s="1"/>
      <c r="G1887" s="1"/>
      <c r="H1887" s="1"/>
      <c r="I1887" s="1"/>
      <c r="J1887" s="1"/>
      <c r="K1887" s="1"/>
      <c r="L1887" s="1"/>
      <c r="M1887" s="1"/>
      <c r="N1887" s="1"/>
      <c r="O1887" s="1"/>
      <c r="P1887" s="1"/>
      <c r="Q1887" s="1"/>
      <c r="R1887" s="1"/>
      <c r="S1887" s="1"/>
      <c r="T1887" s="1"/>
      <c r="V1887" s="1"/>
      <c r="X1887" s="1"/>
      <c r="Z1887" s="1"/>
    </row>
    <row r="1888" spans="3:26" ht="15.75" customHeight="1">
      <c r="E1888" s="1"/>
      <c r="F1888" s="1"/>
      <c r="G1888" s="1"/>
      <c r="H1888" s="1"/>
      <c r="I1888" s="1"/>
      <c r="J1888" s="1"/>
      <c r="K1888" s="1"/>
      <c r="L1888" s="1"/>
      <c r="M1888" s="1"/>
      <c r="N1888" s="1"/>
      <c r="O1888" s="1"/>
      <c r="P1888" s="1"/>
      <c r="Q1888" s="1"/>
      <c r="R1888" s="1"/>
      <c r="S1888" s="1"/>
      <c r="T1888" s="1"/>
      <c r="V1888" s="1"/>
      <c r="X1888" s="1"/>
      <c r="Z1888" s="1"/>
    </row>
    <row r="1889" spans="5:26" ht="15.75" customHeight="1">
      <c r="E1889" s="1"/>
      <c r="F1889" s="1"/>
      <c r="G1889" s="1"/>
      <c r="H1889" s="1"/>
      <c r="I1889" s="1"/>
      <c r="J1889" s="1"/>
      <c r="K1889" s="1"/>
      <c r="L1889" s="1"/>
      <c r="M1889" s="1"/>
      <c r="N1889" s="1"/>
      <c r="O1889" s="1"/>
      <c r="P1889" s="1"/>
      <c r="Q1889" s="1"/>
      <c r="R1889" s="1"/>
      <c r="S1889" s="1"/>
      <c r="T1889" s="1"/>
      <c r="V1889" s="1"/>
      <c r="X1889" s="1"/>
      <c r="Z1889" s="1"/>
    </row>
    <row r="1890" spans="5:26" ht="15.75" customHeight="1">
      <c r="E1890" s="1"/>
      <c r="F1890" s="1"/>
      <c r="G1890" s="1"/>
      <c r="H1890" s="1"/>
      <c r="I1890" s="1"/>
      <c r="J1890" s="1"/>
      <c r="K1890" s="1"/>
      <c r="L1890" s="1"/>
      <c r="M1890" s="1"/>
      <c r="N1890" s="1"/>
      <c r="O1890" s="1"/>
      <c r="P1890" s="1"/>
      <c r="Q1890" s="1"/>
      <c r="R1890" s="1"/>
      <c r="S1890" s="1"/>
      <c r="T1890" s="1"/>
      <c r="V1890" s="1"/>
      <c r="X1890" s="1"/>
      <c r="Z1890" s="1"/>
    </row>
    <row r="1891" spans="5:26" ht="15.75" customHeight="1">
      <c r="E1891" s="1"/>
      <c r="F1891" s="1"/>
      <c r="G1891" s="1"/>
      <c r="H1891" s="1"/>
      <c r="I1891" s="1"/>
      <c r="J1891" s="1"/>
      <c r="K1891" s="1"/>
      <c r="L1891" s="1"/>
      <c r="M1891" s="1"/>
      <c r="N1891" s="1"/>
      <c r="O1891" s="1"/>
      <c r="P1891" s="1"/>
      <c r="Q1891" s="1"/>
      <c r="R1891" s="1"/>
      <c r="S1891" s="1"/>
      <c r="T1891" s="1"/>
      <c r="V1891" s="1"/>
      <c r="X1891" s="1"/>
      <c r="Z1891" s="1"/>
    </row>
    <row r="1892" spans="5:26" ht="15.75" customHeight="1">
      <c r="E1892" s="1"/>
      <c r="F1892" s="1"/>
      <c r="G1892" s="1"/>
      <c r="H1892" s="1"/>
      <c r="I1892" s="1"/>
      <c r="J1892" s="1"/>
      <c r="K1892" s="1"/>
      <c r="L1892" s="1"/>
      <c r="M1892" s="1"/>
      <c r="N1892" s="1"/>
      <c r="O1892" s="1"/>
      <c r="P1892" s="1"/>
      <c r="Q1892" s="1"/>
      <c r="R1892" s="1"/>
      <c r="S1892" s="1"/>
      <c r="T1892" s="1"/>
      <c r="V1892" s="1"/>
      <c r="X1892" s="1"/>
      <c r="Z1892" s="1"/>
    </row>
    <row r="1893" spans="5:26" ht="15.75" customHeight="1">
      <c r="E1893" s="1"/>
      <c r="F1893" s="1"/>
      <c r="G1893" s="1"/>
      <c r="H1893" s="1"/>
      <c r="I1893" s="1"/>
      <c r="J1893" s="1"/>
      <c r="K1893" s="1"/>
      <c r="L1893" s="1"/>
      <c r="M1893" s="1"/>
      <c r="N1893" s="1"/>
      <c r="O1893" s="1"/>
      <c r="P1893" s="1"/>
      <c r="Q1893" s="1"/>
      <c r="R1893" s="1"/>
      <c r="S1893" s="1"/>
      <c r="T1893" s="1"/>
      <c r="V1893" s="1"/>
      <c r="X1893" s="1"/>
      <c r="Z1893" s="1"/>
    </row>
    <row r="1894" spans="5:26" ht="15.75" customHeight="1">
      <c r="E1894" s="1"/>
      <c r="F1894" s="1"/>
      <c r="G1894" s="1"/>
      <c r="H1894" s="1"/>
      <c r="I1894" s="1"/>
      <c r="J1894" s="1"/>
      <c r="K1894" s="1"/>
      <c r="L1894" s="1"/>
      <c r="M1894" s="1"/>
      <c r="N1894" s="1"/>
      <c r="O1894" s="1"/>
      <c r="P1894" s="1"/>
      <c r="Q1894" s="1"/>
      <c r="R1894" s="1"/>
      <c r="S1894" s="1"/>
      <c r="T1894" s="1"/>
      <c r="V1894" s="1"/>
      <c r="X1894" s="1"/>
      <c r="Z1894" s="1"/>
    </row>
    <row r="1895" spans="5:26" ht="15.75" customHeight="1">
      <c r="E1895" s="1"/>
      <c r="F1895" s="1"/>
      <c r="G1895" s="1"/>
      <c r="H1895" s="1"/>
      <c r="I1895" s="1"/>
      <c r="J1895" s="1"/>
      <c r="K1895" s="1"/>
      <c r="L1895" s="1"/>
      <c r="M1895" s="1"/>
      <c r="N1895" s="1"/>
      <c r="O1895" s="1"/>
      <c r="P1895" s="1"/>
      <c r="Q1895" s="1"/>
      <c r="R1895" s="1"/>
      <c r="S1895" s="1"/>
      <c r="T1895" s="1"/>
      <c r="V1895" s="1"/>
      <c r="X1895" s="1"/>
      <c r="Z1895" s="1"/>
    </row>
    <row r="1896" spans="5:26" ht="15.75" customHeight="1">
      <c r="E1896" s="1"/>
      <c r="F1896" s="1"/>
      <c r="G1896" s="1"/>
      <c r="H1896" s="1"/>
      <c r="I1896" s="1"/>
      <c r="J1896" s="1"/>
      <c r="K1896" s="1"/>
      <c r="L1896" s="1"/>
      <c r="M1896" s="1"/>
      <c r="N1896" s="1"/>
      <c r="O1896" s="1"/>
      <c r="P1896" s="1"/>
      <c r="Q1896" s="1"/>
      <c r="R1896" s="1"/>
      <c r="S1896" s="1"/>
      <c r="T1896" s="1"/>
      <c r="V1896" s="1"/>
      <c r="X1896" s="1"/>
      <c r="Z1896" s="1"/>
    </row>
    <row r="1897" spans="5:26" ht="15.75" customHeight="1">
      <c r="E1897" s="1"/>
      <c r="F1897" s="1"/>
      <c r="G1897" s="1"/>
      <c r="H1897" s="1"/>
      <c r="I1897" s="1"/>
      <c r="J1897" s="1"/>
      <c r="K1897" s="1"/>
      <c r="L1897" s="1"/>
      <c r="M1897" s="1"/>
      <c r="N1897" s="1"/>
      <c r="O1897" s="1"/>
      <c r="P1897" s="1"/>
      <c r="Q1897" s="1"/>
      <c r="R1897" s="1"/>
      <c r="S1897" s="1"/>
      <c r="T1897" s="1"/>
      <c r="V1897" s="1"/>
      <c r="X1897" s="1"/>
      <c r="Z1897" s="1"/>
    </row>
    <row r="1898" spans="5:26" ht="15.75" customHeight="1">
      <c r="E1898" s="1"/>
      <c r="F1898" s="1"/>
      <c r="G1898" s="1"/>
      <c r="H1898" s="1"/>
      <c r="I1898" s="1"/>
      <c r="J1898" s="1"/>
      <c r="K1898" s="1"/>
      <c r="L1898" s="1"/>
      <c r="M1898" s="1"/>
      <c r="N1898" s="1"/>
      <c r="O1898" s="1"/>
      <c r="P1898" s="1"/>
      <c r="Q1898" s="1"/>
      <c r="R1898" s="1"/>
      <c r="S1898" s="1"/>
      <c r="T1898" s="1"/>
      <c r="V1898" s="1"/>
      <c r="X1898" s="1"/>
      <c r="Z1898" s="1"/>
    </row>
    <row r="1899" spans="5:26" ht="15.75" customHeight="1">
      <c r="E1899" s="1"/>
      <c r="F1899" s="1"/>
      <c r="G1899" s="1"/>
      <c r="H1899" s="1"/>
      <c r="I1899" s="1"/>
      <c r="J1899" s="1"/>
      <c r="K1899" s="1"/>
      <c r="L1899" s="1"/>
      <c r="M1899" s="1"/>
      <c r="N1899" s="1"/>
      <c r="O1899" s="1"/>
      <c r="P1899" s="1"/>
      <c r="Q1899" s="1"/>
      <c r="R1899" s="1"/>
      <c r="S1899" s="1"/>
      <c r="T1899" s="1"/>
      <c r="V1899" s="1"/>
      <c r="X1899" s="1"/>
      <c r="Z1899" s="1"/>
    </row>
    <row r="1900" spans="5:26" ht="15.75" customHeight="1">
      <c r="E1900" s="1"/>
      <c r="F1900" s="1"/>
      <c r="G1900" s="1"/>
      <c r="H1900" s="1"/>
      <c r="I1900" s="1"/>
      <c r="J1900" s="1"/>
      <c r="K1900" s="1"/>
      <c r="L1900" s="1"/>
      <c r="M1900" s="1"/>
      <c r="N1900" s="1"/>
      <c r="O1900" s="1"/>
      <c r="P1900" s="1"/>
      <c r="Q1900" s="1"/>
      <c r="R1900" s="1"/>
      <c r="S1900" s="1"/>
      <c r="T1900" s="1"/>
      <c r="V1900" s="1"/>
      <c r="X1900" s="1"/>
      <c r="Z1900" s="1"/>
    </row>
    <row r="1901" spans="5:26" ht="15.75" customHeight="1">
      <c r="E1901" s="1"/>
      <c r="F1901" s="1"/>
      <c r="G1901" s="1"/>
      <c r="H1901" s="1"/>
      <c r="I1901" s="1"/>
      <c r="J1901" s="1"/>
      <c r="K1901" s="1"/>
      <c r="L1901" s="1"/>
      <c r="M1901" s="1"/>
      <c r="N1901" s="1"/>
      <c r="O1901" s="1"/>
      <c r="P1901" s="1"/>
      <c r="Q1901" s="1"/>
      <c r="R1901" s="1"/>
      <c r="S1901" s="1"/>
      <c r="T1901" s="1"/>
      <c r="V1901" s="1"/>
      <c r="X1901" s="1"/>
      <c r="Z1901" s="1"/>
    </row>
    <row r="1902" spans="5:26" ht="15.75" customHeight="1">
      <c r="E1902" s="1"/>
      <c r="F1902" s="1"/>
      <c r="G1902" s="1"/>
      <c r="H1902" s="1"/>
      <c r="I1902" s="1"/>
      <c r="J1902" s="1"/>
      <c r="K1902" s="1"/>
      <c r="L1902" s="1"/>
      <c r="M1902" s="1"/>
      <c r="N1902" s="1"/>
      <c r="O1902" s="1"/>
      <c r="P1902" s="1"/>
      <c r="Q1902" s="1"/>
      <c r="R1902" s="1"/>
      <c r="S1902" s="1"/>
      <c r="T1902" s="1"/>
      <c r="V1902" s="1"/>
      <c r="X1902" s="1"/>
      <c r="Z1902" s="1"/>
    </row>
    <row r="1903" spans="5:26" ht="15.75" customHeight="1">
      <c r="E1903" s="1"/>
      <c r="F1903" s="1"/>
      <c r="G1903" s="1"/>
      <c r="H1903" s="1"/>
      <c r="I1903" s="1"/>
      <c r="J1903" s="1"/>
      <c r="K1903" s="1"/>
      <c r="L1903" s="1"/>
      <c r="M1903" s="1"/>
      <c r="N1903" s="1"/>
      <c r="O1903" s="1"/>
      <c r="P1903" s="1"/>
      <c r="Q1903" s="1"/>
      <c r="R1903" s="1"/>
      <c r="S1903" s="1"/>
      <c r="T1903" s="1"/>
      <c r="V1903" s="1"/>
      <c r="X1903" s="1"/>
      <c r="Z1903" s="1"/>
    </row>
    <row r="1904" spans="5:26" ht="15.75" customHeight="1">
      <c r="E1904" s="1"/>
      <c r="F1904" s="1"/>
      <c r="G1904" s="1"/>
      <c r="H1904" s="1"/>
      <c r="I1904" s="1"/>
      <c r="J1904" s="1"/>
      <c r="K1904" s="1"/>
      <c r="L1904" s="1"/>
      <c r="M1904" s="1"/>
      <c r="N1904" s="1"/>
      <c r="O1904" s="1"/>
      <c r="P1904" s="1"/>
      <c r="Q1904" s="1"/>
      <c r="R1904" s="1"/>
      <c r="S1904" s="1"/>
      <c r="T1904" s="1"/>
      <c r="V1904" s="1"/>
      <c r="X1904" s="1"/>
      <c r="Z1904" s="1"/>
    </row>
    <row r="1905" spans="5:26" ht="15.75" customHeight="1">
      <c r="E1905" s="1"/>
      <c r="F1905" s="1"/>
      <c r="G1905" s="1"/>
      <c r="H1905" s="1"/>
      <c r="I1905" s="1"/>
      <c r="J1905" s="1"/>
      <c r="K1905" s="1"/>
      <c r="L1905" s="1"/>
      <c r="M1905" s="1"/>
      <c r="N1905" s="1"/>
      <c r="O1905" s="1"/>
      <c r="P1905" s="1"/>
      <c r="Q1905" s="1"/>
      <c r="R1905" s="1"/>
      <c r="S1905" s="1"/>
      <c r="T1905" s="1"/>
      <c r="V1905" s="1"/>
      <c r="X1905" s="1"/>
      <c r="Z1905" s="1"/>
    </row>
    <row r="1906" spans="5:26" ht="15.75" customHeight="1">
      <c r="E1906" s="1"/>
      <c r="F1906" s="1"/>
      <c r="G1906" s="1"/>
      <c r="H1906" s="1"/>
      <c r="I1906" s="1"/>
      <c r="J1906" s="1"/>
      <c r="K1906" s="1"/>
      <c r="L1906" s="1"/>
      <c r="M1906" s="1"/>
      <c r="N1906" s="1"/>
      <c r="O1906" s="1"/>
      <c r="P1906" s="1"/>
      <c r="Q1906" s="1"/>
      <c r="R1906" s="1"/>
      <c r="S1906" s="1"/>
      <c r="T1906" s="1"/>
      <c r="V1906" s="1"/>
      <c r="X1906" s="1"/>
      <c r="Z1906" s="1"/>
    </row>
    <row r="1907" spans="5:26" ht="15.75" customHeight="1">
      <c r="E1907" s="1"/>
      <c r="F1907" s="1"/>
      <c r="G1907" s="1"/>
      <c r="H1907" s="1"/>
      <c r="I1907" s="1"/>
      <c r="J1907" s="1"/>
      <c r="K1907" s="1"/>
      <c r="L1907" s="1"/>
      <c r="M1907" s="1"/>
      <c r="N1907" s="1"/>
      <c r="O1907" s="1"/>
      <c r="P1907" s="1"/>
      <c r="Q1907" s="1"/>
      <c r="R1907" s="1"/>
      <c r="S1907" s="1"/>
      <c r="T1907" s="1"/>
      <c r="V1907" s="1"/>
      <c r="X1907" s="1"/>
      <c r="Z1907" s="1"/>
    </row>
  </sheetData>
  <phoneticPr fontId="78" type="noConversion"/>
  <pageMargins left="0.25" right="0.25" top="0.25" bottom="0.25" header="0.3" footer="0.3"/>
  <pageSetup scale="81" fitToHeight="0" orientation="landscape" horizontalDpi="300" verticalDpi="300" r:id="rId1"/>
  <drawing r:id="rId2"/>
  <legacyDrawing r:id="rId3"/>
  <controls>
    <mc:AlternateContent xmlns:mc="http://schemas.openxmlformats.org/markup-compatibility/2006">
      <mc:Choice Requires="x14">
        <control shapeId="1171" r:id="rId4" name="CommandButton1">
          <controlPr autoFill="0" autoLine="0" r:id="rId5">
            <anchor moveWithCells="1">
              <from>
                <xdr:col>33</xdr:col>
                <xdr:colOff>0</xdr:colOff>
                <xdr:row>0</xdr:row>
                <xdr:rowOff>0</xdr:rowOff>
              </from>
              <to>
                <xdr:col>35</xdr:col>
                <xdr:colOff>76200</xdr:colOff>
                <xdr:row>1</xdr:row>
                <xdr:rowOff>107950</xdr:rowOff>
              </to>
            </anchor>
          </controlPr>
        </control>
      </mc:Choice>
      <mc:Fallback>
        <control shapeId="1171" r:id="rId4" name="CommandButton1"/>
      </mc:Fallback>
    </mc:AlternateContent>
    <mc:AlternateContent xmlns:mc="http://schemas.openxmlformats.org/markup-compatibility/2006">
      <mc:Choice Requires="x14">
        <control shapeId="1180" r:id="rId6" name="CommandButton2">
          <controlPr autoFill="0" autoLine="0" r:id="rId7">
            <anchor moveWithCells="1">
              <from>
                <xdr:col>33</xdr:col>
                <xdr:colOff>0</xdr:colOff>
                <xdr:row>0</xdr:row>
                <xdr:rowOff>0</xdr:rowOff>
              </from>
              <to>
                <xdr:col>35</xdr:col>
                <xdr:colOff>76200</xdr:colOff>
                <xdr:row>1</xdr:row>
                <xdr:rowOff>107950</xdr:rowOff>
              </to>
            </anchor>
          </controlPr>
        </control>
      </mc:Choice>
      <mc:Fallback>
        <control shapeId="1180" r:id="rId6" name="CommandButton2"/>
      </mc:Fallback>
    </mc:AlternateContent>
    <mc:AlternateContent xmlns:mc="http://schemas.openxmlformats.org/markup-compatibility/2006">
      <mc:Choice Requires="x14">
        <control shapeId="1181" r:id="rId8" name="CommandButton3">
          <controlPr autoFill="0" autoLine="0" r:id="rId9">
            <anchor moveWithCells="1">
              <from>
                <xdr:col>33</xdr:col>
                <xdr:colOff>0</xdr:colOff>
                <xdr:row>0</xdr:row>
                <xdr:rowOff>0</xdr:rowOff>
              </from>
              <to>
                <xdr:col>34</xdr:col>
                <xdr:colOff>241300</xdr:colOff>
                <xdr:row>1</xdr:row>
                <xdr:rowOff>107950</xdr:rowOff>
              </to>
            </anchor>
          </controlPr>
        </control>
      </mc:Choice>
      <mc:Fallback>
        <control shapeId="1181" r:id="rId8" name="CommandButton3"/>
      </mc:Fallback>
    </mc:AlternateContent>
    <mc:AlternateContent xmlns:mc="http://schemas.openxmlformats.org/markup-compatibility/2006">
      <mc:Choice Requires="x14">
        <control shapeId="1184" r:id="rId10" name="CommandButton4">
          <controlPr autoFill="0" autoLine="0" r:id="rId11">
            <anchor moveWithCells="1">
              <from>
                <xdr:col>33</xdr:col>
                <xdr:colOff>0</xdr:colOff>
                <xdr:row>0</xdr:row>
                <xdr:rowOff>0</xdr:rowOff>
              </from>
              <to>
                <xdr:col>34</xdr:col>
                <xdr:colOff>393700</xdr:colOff>
                <xdr:row>1</xdr:row>
                <xdr:rowOff>107950</xdr:rowOff>
              </to>
            </anchor>
          </controlPr>
        </control>
      </mc:Choice>
      <mc:Fallback>
        <control shapeId="1184" r:id="rId10" name="CommandButton4"/>
      </mc:Fallback>
    </mc:AlternateContent>
    <mc:AlternateContent xmlns:mc="http://schemas.openxmlformats.org/markup-compatibility/2006">
      <mc:Choice Requires="x14">
        <control shapeId="1206" r:id="rId12" name="CommandButton5">
          <controlPr autoFill="0" autoLine="0" r:id="rId13">
            <anchor moveWithCells="1">
              <from>
                <xdr:col>33</xdr:col>
                <xdr:colOff>0</xdr:colOff>
                <xdr:row>0</xdr:row>
                <xdr:rowOff>0</xdr:rowOff>
              </from>
              <to>
                <xdr:col>35</xdr:col>
                <xdr:colOff>107950</xdr:colOff>
                <xdr:row>1</xdr:row>
                <xdr:rowOff>107950</xdr:rowOff>
              </to>
            </anchor>
          </controlPr>
        </control>
      </mc:Choice>
      <mc:Fallback>
        <control shapeId="1206" r:id="rId12" name="CommandButton5"/>
      </mc:Fallback>
    </mc:AlternateContent>
    <mc:AlternateContent xmlns:mc="http://schemas.openxmlformats.org/markup-compatibility/2006">
      <mc:Choice Requires="x14">
        <control shapeId="1207" r:id="rId14" name="CommandButton6">
          <controlPr autoFill="0" autoLine="0" r:id="rId15">
            <anchor moveWithCells="1">
              <from>
                <xdr:col>35</xdr:col>
                <xdr:colOff>285750</xdr:colOff>
                <xdr:row>0</xdr:row>
                <xdr:rowOff>0</xdr:rowOff>
              </from>
              <to>
                <xdr:col>37</xdr:col>
                <xdr:colOff>190500</xdr:colOff>
                <xdr:row>1</xdr:row>
                <xdr:rowOff>107950</xdr:rowOff>
              </to>
            </anchor>
          </controlPr>
        </control>
      </mc:Choice>
      <mc:Fallback>
        <control shapeId="1207" r:id="rId14" name="CommandButton6"/>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825B6F-61CE-4BF2-AEFD-3F53308405CF}">
  <sheetPr codeName="Sheet7"/>
  <dimension ref="A1:BH128"/>
  <sheetViews>
    <sheetView zoomScale="90" zoomScaleNormal="90" workbookViewId="0">
      <pane xSplit="1" ySplit="3" topLeftCell="AH71" activePane="bottomRight" state="frozen"/>
      <selection pane="topRight" activeCell="B1" sqref="B1"/>
      <selection pane="bottomLeft" activeCell="A4" sqref="A4"/>
      <selection pane="bottomRight" activeCell="AR87" sqref="AR87"/>
    </sheetView>
  </sheetViews>
  <sheetFormatPr defaultColWidth="8.81640625" defaultRowHeight="13"/>
  <cols>
    <col min="1" max="1" width="40.453125" style="2024" bestFit="1" customWidth="1"/>
    <col min="2" max="2" width="8.36328125" style="2101" hidden="1" customWidth="1"/>
    <col min="3" max="3" width="6.6328125" style="2110" hidden="1" customWidth="1"/>
    <col min="4" max="4" width="8.36328125" style="2102" hidden="1" customWidth="1"/>
    <col min="5" max="5" width="6.6328125" style="2111" hidden="1" customWidth="1"/>
    <col min="6" max="6" width="6.26953125" style="2100" hidden="1" customWidth="1"/>
    <col min="7" max="7" width="8.26953125" style="2100" hidden="1" customWidth="1"/>
    <col min="8" max="8" width="8.36328125" style="2124" customWidth="1"/>
    <col min="9" max="9" width="6.6328125" style="2124" customWidth="1"/>
    <col min="10" max="10" width="9.6328125" style="2100" hidden="1" customWidth="1"/>
    <col min="11" max="11" width="9.6328125" style="2100" bestFit="1" customWidth="1"/>
    <col min="12" max="12" width="5.26953125" style="2100" bestFit="1" customWidth="1"/>
    <col min="13" max="13" width="7.453125" style="2100" bestFit="1" customWidth="1"/>
    <col min="14" max="14" width="8.453125" style="2100" customWidth="1"/>
    <col min="15" max="15" width="8.36328125" style="2102" bestFit="1" customWidth="1"/>
    <col min="16" max="16" width="6.6328125" style="2102" bestFit="1" customWidth="1"/>
    <col min="17" max="17" width="9" style="2100" bestFit="1" customWidth="1"/>
    <col min="18" max="18" width="10.26953125" style="2100" bestFit="1" customWidth="1"/>
    <col min="19" max="19" width="8.6328125" style="2124" customWidth="1"/>
    <col min="20" max="20" width="8.36328125" style="2124" bestFit="1" customWidth="1"/>
    <col min="21" max="21" width="7.54296875" style="2100" bestFit="1" customWidth="1"/>
    <col min="22" max="22" width="7.81640625" style="2100" bestFit="1" customWidth="1"/>
    <col min="23" max="23" width="8.08984375" style="2102" bestFit="1" customWidth="1"/>
    <col min="24" max="24" width="8.1796875" style="2102" bestFit="1" customWidth="1"/>
    <col min="25" max="25" width="9" style="2100" customWidth="1"/>
    <col min="26" max="26" width="8.90625" style="2100" customWidth="1"/>
    <col min="27" max="27" width="8.08984375" style="2124" bestFit="1" customWidth="1"/>
    <col min="28" max="28" width="6.6328125" style="2124" bestFit="1" customWidth="1"/>
    <col min="29" max="30" width="6.36328125" style="2100" bestFit="1" customWidth="1"/>
    <col min="31" max="31" width="8.1796875" style="2102" bestFit="1" customWidth="1"/>
    <col min="32" max="32" width="6.54296875" style="2111" bestFit="1" customWidth="1"/>
    <col min="33" max="33" width="8.6328125" style="2100" bestFit="1" customWidth="1"/>
    <col min="34" max="34" width="8.6328125" style="2102" bestFit="1" customWidth="1"/>
    <col min="35" max="35" width="8.08984375" style="2124" bestFit="1" customWidth="1"/>
    <col min="36" max="36" width="6.54296875" style="2124" bestFit="1" customWidth="1"/>
    <col min="37" max="38" width="6.1796875" style="2100" customWidth="1"/>
    <col min="39" max="39" width="8.08984375" style="2102" bestFit="1" customWidth="1"/>
    <col min="40" max="40" width="6.54296875" style="2111" bestFit="1" customWidth="1"/>
    <col min="41" max="41" width="8.6328125" style="2100" bestFit="1" customWidth="1"/>
    <col min="42" max="42" width="8.6328125" style="2102" bestFit="1" customWidth="1"/>
    <col min="43" max="43" width="8.08984375" style="2124" bestFit="1" customWidth="1"/>
    <col min="44" max="44" width="6.54296875" style="2124" bestFit="1" customWidth="1"/>
    <col min="45" max="46" width="6.1796875" style="2100" customWidth="1"/>
    <col min="47" max="47" width="8.08984375" style="2102" bestFit="1" customWidth="1"/>
    <col min="48" max="48" width="6.54296875" style="2111" bestFit="1" customWidth="1"/>
    <col min="49" max="49" width="8.6328125" style="2100" bestFit="1" customWidth="1"/>
    <col min="50" max="50" width="8.6328125" style="2102" bestFit="1" customWidth="1"/>
    <col min="51" max="51" width="8.1796875" style="2124" bestFit="1" customWidth="1"/>
    <col min="52" max="52" width="6.6328125" style="2124" customWidth="1"/>
    <col min="53" max="54" width="6.1796875" style="2100" customWidth="1"/>
    <col min="55" max="55" width="8.08984375" style="2102" bestFit="1" customWidth="1"/>
    <col min="56" max="56" width="6.54296875" style="2111" bestFit="1" customWidth="1"/>
    <col min="57" max="57" width="8.6328125" style="2100" hidden="1" customWidth="1"/>
    <col min="58" max="58" width="8.6328125" style="2102" hidden="1" customWidth="1"/>
    <col min="59" max="16384" width="8.81640625" style="2024"/>
  </cols>
  <sheetData>
    <row r="1" spans="1:58">
      <c r="A1" s="2186"/>
      <c r="B1" s="2338" t="s">
        <v>1142</v>
      </c>
      <c r="C1" s="2338"/>
      <c r="D1" s="2338"/>
      <c r="E1" s="2338"/>
      <c r="F1" s="2338"/>
      <c r="G1" s="2120"/>
      <c r="H1" s="2338" t="s">
        <v>1143</v>
      </c>
      <c r="I1" s="2338"/>
      <c r="J1" s="2338"/>
      <c r="K1" s="2338"/>
      <c r="L1" s="2338"/>
      <c r="M1" s="2338"/>
      <c r="N1" s="2338"/>
      <c r="O1" s="2338"/>
      <c r="P1" s="2338"/>
      <c r="Q1" s="2338"/>
      <c r="R1" s="2338"/>
      <c r="S1" s="2338" t="s">
        <v>1144</v>
      </c>
      <c r="T1" s="2338"/>
      <c r="U1" s="2338"/>
      <c r="V1" s="2338"/>
      <c r="W1" s="2338"/>
      <c r="X1" s="2338"/>
      <c r="Y1" s="2338"/>
      <c r="Z1" s="2294"/>
      <c r="AA1" s="2338" t="s">
        <v>3289</v>
      </c>
      <c r="AB1" s="2338"/>
      <c r="AC1" s="2338"/>
      <c r="AD1" s="2338"/>
      <c r="AE1" s="2338"/>
      <c r="AF1" s="2338"/>
      <c r="AG1" s="2338"/>
      <c r="AH1" s="2338"/>
      <c r="AI1" s="2347" t="s">
        <v>3400</v>
      </c>
      <c r="AJ1" s="2347"/>
      <c r="AK1" s="2347"/>
      <c r="AL1" s="2347"/>
      <c r="AM1" s="2347"/>
      <c r="AN1" s="2347"/>
      <c r="AO1" s="2347"/>
      <c r="AP1" s="2347"/>
      <c r="AQ1" s="2338" t="s">
        <v>3582</v>
      </c>
      <c r="AR1" s="2338"/>
      <c r="AS1" s="2338"/>
      <c r="AT1" s="2338"/>
      <c r="AU1" s="2338"/>
      <c r="AV1" s="2338"/>
      <c r="AW1" s="2338"/>
      <c r="AX1" s="2338"/>
      <c r="AY1" s="2338" t="s">
        <v>3583</v>
      </c>
      <c r="AZ1" s="2338"/>
      <c r="BA1" s="2338"/>
      <c r="BB1" s="2338"/>
      <c r="BC1" s="2338"/>
      <c r="BD1" s="2338"/>
      <c r="BE1" s="2338"/>
      <c r="BF1" s="2338"/>
    </row>
    <row r="2" spans="1:58" ht="65">
      <c r="A2" s="2322" t="s">
        <v>3663</v>
      </c>
      <c r="B2" s="2341" t="s">
        <v>3679</v>
      </c>
      <c r="C2" s="2343" t="s">
        <v>3664</v>
      </c>
      <c r="D2" s="2328" t="s">
        <v>3680</v>
      </c>
      <c r="E2" s="2330" t="s">
        <v>3664</v>
      </c>
      <c r="F2" s="2339" t="s">
        <v>3684</v>
      </c>
      <c r="G2" s="2339" t="s">
        <v>3685</v>
      </c>
      <c r="H2" s="2191" t="s">
        <v>3739</v>
      </c>
      <c r="I2" s="2192" t="s">
        <v>3664</v>
      </c>
      <c r="J2" s="2216" t="s">
        <v>3745</v>
      </c>
      <c r="K2" s="2216" t="s">
        <v>3746</v>
      </c>
      <c r="L2" s="2216" t="s">
        <v>3747</v>
      </c>
      <c r="M2" s="2216" t="s">
        <v>3748</v>
      </c>
      <c r="N2" s="2216" t="s">
        <v>3749</v>
      </c>
      <c r="O2" s="2345" t="s">
        <v>3740</v>
      </c>
      <c r="P2" s="2336" t="s">
        <v>3664</v>
      </c>
      <c r="Q2" s="2121" t="s">
        <v>3684</v>
      </c>
      <c r="R2" s="2175" t="s">
        <v>3683</v>
      </c>
      <c r="S2" s="2332" t="s">
        <v>3739</v>
      </c>
      <c r="T2" s="2334" t="s">
        <v>3664</v>
      </c>
      <c r="U2" s="2216" t="s">
        <v>3681</v>
      </c>
      <c r="V2" s="2216" t="s">
        <v>3682</v>
      </c>
      <c r="W2" s="2328" t="s">
        <v>3740</v>
      </c>
      <c r="X2" s="2336" t="s">
        <v>3664</v>
      </c>
      <c r="Y2" s="2326" t="s">
        <v>3665</v>
      </c>
      <c r="Z2" s="2339" t="s">
        <v>3683</v>
      </c>
      <c r="AA2" s="2332" t="s">
        <v>3739</v>
      </c>
      <c r="AB2" s="2334" t="s">
        <v>3664</v>
      </c>
      <c r="AC2" s="2216" t="s">
        <v>3692</v>
      </c>
      <c r="AD2" s="2216" t="s">
        <v>3693</v>
      </c>
      <c r="AE2" s="2328" t="s">
        <v>3740</v>
      </c>
      <c r="AF2" s="2330" t="s">
        <v>3664</v>
      </c>
      <c r="AG2" s="2326" t="s">
        <v>3665</v>
      </c>
      <c r="AH2" s="2324" t="s">
        <v>3683</v>
      </c>
      <c r="AI2" s="2332" t="s">
        <v>3739</v>
      </c>
      <c r="AJ2" s="2334" t="s">
        <v>3664</v>
      </c>
      <c r="AK2" s="2216" t="s">
        <v>3694</v>
      </c>
      <c r="AL2" s="2216" t="s">
        <v>3695</v>
      </c>
      <c r="AM2" s="2328" t="s">
        <v>3740</v>
      </c>
      <c r="AN2" s="2330" t="s">
        <v>3664</v>
      </c>
      <c r="AO2" s="2326" t="s">
        <v>3665</v>
      </c>
      <c r="AP2" s="2324" t="s">
        <v>3683</v>
      </c>
      <c r="AQ2" s="2332" t="s">
        <v>3739</v>
      </c>
      <c r="AR2" s="2334" t="s">
        <v>3664</v>
      </c>
      <c r="AS2" s="2216" t="s">
        <v>3793</v>
      </c>
      <c r="AT2" s="2216" t="s">
        <v>3794</v>
      </c>
      <c r="AU2" s="2328" t="s">
        <v>3740</v>
      </c>
      <c r="AV2" s="2330" t="s">
        <v>3664</v>
      </c>
      <c r="AW2" s="2326" t="s">
        <v>3665</v>
      </c>
      <c r="AX2" s="2324" t="s">
        <v>3683</v>
      </c>
      <c r="AY2" s="2332" t="s">
        <v>3739</v>
      </c>
      <c r="AZ2" s="2334" t="s">
        <v>3664</v>
      </c>
      <c r="BA2" s="2216" t="s">
        <v>3795</v>
      </c>
      <c r="BB2" s="2216" t="s">
        <v>3796</v>
      </c>
      <c r="BC2" s="2328" t="s">
        <v>3740</v>
      </c>
      <c r="BD2" s="2330" t="s">
        <v>3664</v>
      </c>
      <c r="BE2" s="2326" t="s">
        <v>3665</v>
      </c>
      <c r="BF2" s="2324" t="s">
        <v>3683</v>
      </c>
    </row>
    <row r="3" spans="1:58" ht="6.65" customHeight="1">
      <c r="A3" s="2323"/>
      <c r="B3" s="2342"/>
      <c r="C3" s="2344"/>
      <c r="D3" s="2329"/>
      <c r="E3" s="2331"/>
      <c r="F3" s="2340"/>
      <c r="G3" s="2340"/>
      <c r="H3" s="2125"/>
      <c r="I3" s="2125"/>
      <c r="J3" s="2217"/>
      <c r="K3" s="2217"/>
      <c r="L3" s="2217"/>
      <c r="M3" s="2217"/>
      <c r="N3" s="2217"/>
      <c r="O3" s="2346"/>
      <c r="P3" s="2337"/>
      <c r="Q3" s="2122"/>
      <c r="R3" s="2122"/>
      <c r="S3" s="2333"/>
      <c r="T3" s="2335"/>
      <c r="U3" s="2217"/>
      <c r="V3" s="2217"/>
      <c r="W3" s="2329"/>
      <c r="X3" s="2337"/>
      <c r="Y3" s="2327"/>
      <c r="Z3" s="2340"/>
      <c r="AA3" s="2333"/>
      <c r="AB3" s="2335"/>
      <c r="AC3" s="2217"/>
      <c r="AD3" s="2217"/>
      <c r="AE3" s="2329"/>
      <c r="AF3" s="2331"/>
      <c r="AG3" s="2327"/>
      <c r="AH3" s="2325"/>
      <c r="AI3" s="2333"/>
      <c r="AJ3" s="2335"/>
      <c r="AK3" s="2217"/>
      <c r="AL3" s="2217"/>
      <c r="AM3" s="2329"/>
      <c r="AN3" s="2331"/>
      <c r="AO3" s="2327"/>
      <c r="AP3" s="2325"/>
      <c r="AQ3" s="2333"/>
      <c r="AR3" s="2335"/>
      <c r="AS3" s="2217"/>
      <c r="AT3" s="2217"/>
      <c r="AU3" s="2329"/>
      <c r="AV3" s="2331"/>
      <c r="AW3" s="2327"/>
      <c r="AX3" s="2325"/>
      <c r="AY3" s="2333"/>
      <c r="AZ3" s="2335"/>
      <c r="BA3" s="2217"/>
      <c r="BB3" s="2217"/>
      <c r="BC3" s="2329"/>
      <c r="BD3" s="2331"/>
      <c r="BE3" s="2327"/>
      <c r="BF3" s="2325"/>
    </row>
    <row r="4" spans="1:58">
      <c r="A4" s="2025" t="s">
        <v>657</v>
      </c>
      <c r="B4" s="2026">
        <f>B5+B10+B18</f>
        <v>3845.4943783462686</v>
      </c>
      <c r="C4" s="2027">
        <f t="shared" ref="C4:C25" si="0">B4/$B$109</f>
        <v>0.22268996064565741</v>
      </c>
      <c r="D4" s="2028">
        <f>D5+D10+D18</f>
        <v>3811.1283616710434</v>
      </c>
      <c r="E4" s="2029">
        <f t="shared" ref="E4:E25" si="1">D4/$D$109</f>
        <v>0.21474775239032193</v>
      </c>
      <c r="F4" s="2030">
        <f>D4-B4</f>
        <v>-34.366016675225183</v>
      </c>
      <c r="G4" s="2030">
        <f>E4-C4</f>
        <v>-7.9422082553354811E-3</v>
      </c>
      <c r="H4" s="2193">
        <v>4192.7772888186018</v>
      </c>
      <c r="I4" s="2194">
        <f t="shared" ref="I4:I25" si="2">H4/$H$109</f>
        <v>0.21344715898832856</v>
      </c>
      <c r="J4" s="2225">
        <v>2058.5202412032399</v>
      </c>
      <c r="K4" s="2225">
        <f>FISCinyear!IW666</f>
        <v>2146.0470502049429</v>
      </c>
      <c r="L4" s="2225">
        <f>K4-J4</f>
        <v>87.526809001702986</v>
      </c>
      <c r="M4" s="2225">
        <v>2134.2570476153619</v>
      </c>
      <c r="N4" s="2225">
        <f t="shared" ref="N4:N8" si="3">O4-K4</f>
        <v>2139.0694423499972</v>
      </c>
      <c r="O4" s="2028">
        <f>O5+O10+O18</f>
        <v>4285.1164925549401</v>
      </c>
      <c r="P4" s="2137">
        <f t="shared" ref="P4:P34" si="4">O4/$O$109</f>
        <v>0.21389551951724589</v>
      </c>
      <c r="Q4" s="2030">
        <f t="shared" ref="Q4:Q29" si="5">O4-H4</f>
        <v>92.339203736338277</v>
      </c>
      <c r="R4" s="2188">
        <f t="shared" ref="R4:R30" si="6">P4-I4</f>
        <v>4.4836052891733535E-4</v>
      </c>
      <c r="S4" s="2193">
        <v>5024.6211353347589</v>
      </c>
      <c r="T4" s="2194">
        <f t="shared" ref="T4:T33" si="7">S4/$S$109</f>
        <v>0.22776197497619302</v>
      </c>
      <c r="U4" s="2240">
        <f>FISCinyear!IZ666</f>
        <v>2348.1315959829353</v>
      </c>
      <c r="V4" s="2240">
        <f>W4-U4</f>
        <v>2489.7121149149771</v>
      </c>
      <c r="W4" s="2028">
        <f>W5+W10+W18</f>
        <v>4837.8437108979124</v>
      </c>
      <c r="X4" s="2137">
        <f t="shared" ref="X4:X33" si="8">W4/$W$109</f>
        <v>0.21355855763605217</v>
      </c>
      <c r="Y4" s="2030">
        <f>W4-S4</f>
        <v>-186.77742443684656</v>
      </c>
      <c r="Z4" s="2188">
        <f>X4-T4</f>
        <v>-1.4203417340140856E-2</v>
      </c>
      <c r="AA4" s="2193">
        <v>5773.8677485167718</v>
      </c>
      <c r="AB4" s="2194">
        <f t="shared" ref="AB4:AB25" si="9">AA4/$AA$109</f>
        <v>0.2327406103419514</v>
      </c>
      <c r="AC4" s="2240">
        <f>FISCinyear!JC666</f>
        <v>2759.137479055496</v>
      </c>
      <c r="AD4" s="2240">
        <f>AE4-AC4</f>
        <v>2946.7456171232366</v>
      </c>
      <c r="AE4" s="2028">
        <f>AE5+AE10+AE18</f>
        <v>5705.8830961787326</v>
      </c>
      <c r="AF4" s="2029">
        <f t="shared" ref="AF4:AF36" si="10">AE4/$AE$109</f>
        <v>0.22321320690777666</v>
      </c>
      <c r="AG4" s="2030">
        <f>AE4-AA4</f>
        <v>-67.984652338039268</v>
      </c>
      <c r="AH4" s="2137">
        <f>AF4-AB4</f>
        <v>-9.5274034341747416E-3</v>
      </c>
      <c r="AI4" s="2193">
        <v>6413.1805201257712</v>
      </c>
      <c r="AJ4" s="2194">
        <f t="shared" ref="AJ4:AJ25" si="11">AI4/$AI$109</f>
        <v>0.22954795538643699</v>
      </c>
      <c r="AK4" s="2240">
        <f>FISCinyear!JF666</f>
        <v>3177.5875785639973</v>
      </c>
      <c r="AL4" s="2240">
        <f>AM4-AK4</f>
        <v>3392.4302755897652</v>
      </c>
      <c r="AM4" s="2028">
        <f>AM5+AM10+AM18</f>
        <v>6570.0178541537625</v>
      </c>
      <c r="AN4" s="2029">
        <f t="shared" ref="AN4:AN29" si="12">AM4/$AM$109</f>
        <v>0.22832324609970595</v>
      </c>
      <c r="AO4" s="2030">
        <f>AM4-AI4</f>
        <v>156.83733402799135</v>
      </c>
      <c r="AP4" s="2137">
        <f>AN4-AJ4</f>
        <v>-1.2247092867310461E-3</v>
      </c>
      <c r="AQ4" s="2193">
        <v>7334.8155105036312</v>
      </c>
      <c r="AR4" s="2194">
        <f t="shared" ref="AR4:AR33" si="13">AQ4/$AQ$109</f>
        <v>0.23315823992463877</v>
      </c>
      <c r="AS4" s="2240">
        <f>FISCinyear!JI666</f>
        <v>3598.7427700729168</v>
      </c>
      <c r="AT4" s="2240">
        <f>AU4-AS4</f>
        <v>3816.4973272371944</v>
      </c>
      <c r="AU4" s="2028">
        <f>AU5+AU10+AU18</f>
        <v>7415.2400973101112</v>
      </c>
      <c r="AV4" s="2029">
        <f t="shared" ref="AV4:AV36" si="14">AU4/$AU$109</f>
        <v>0.22933679019318989</v>
      </c>
      <c r="AW4" s="2030">
        <f t="shared" ref="AW4:AW23" si="15">AU4-AQ4</f>
        <v>80.424586806479965</v>
      </c>
      <c r="AX4" s="2137">
        <f>AV4-AR4</f>
        <v>-3.8214497314488782E-3</v>
      </c>
      <c r="AY4" s="2193">
        <v>8405.7528823447647</v>
      </c>
      <c r="AZ4" s="2194">
        <f t="shared" ref="AZ4:AZ33" si="16">AY4/$AY$109</f>
        <v>0.23730112723609925</v>
      </c>
      <c r="BA4" s="2240">
        <f>FISCinyear!JL666</f>
        <v>4044.4620855986518</v>
      </c>
      <c r="BB4" s="2240">
        <f>BC4-BA4</f>
        <v>4326.2710084915871</v>
      </c>
      <c r="BC4" s="2028">
        <f>BC5+BC10+BC18</f>
        <v>8370.7330940902393</v>
      </c>
      <c r="BD4" s="2029">
        <f t="shared" ref="BD4:BD38" si="17">BC4/$BC$109</f>
        <v>0.23042399432833918</v>
      </c>
      <c r="BE4" s="2030">
        <f t="shared" ref="BE4:BE25" si="18">BC4-AY4</f>
        <v>-35.019788254525338</v>
      </c>
      <c r="BF4" s="2137">
        <f t="shared" ref="BF4:BF25" si="19">BD4-AZ4</f>
        <v>-6.8771329077600696E-3</v>
      </c>
    </row>
    <row r="5" spans="1:58" ht="13.5">
      <c r="A5" s="2031" t="s">
        <v>494</v>
      </c>
      <c r="B5" s="2026">
        <v>2616.2570325193747</v>
      </c>
      <c r="C5" s="2032">
        <f t="shared" si="0"/>
        <v>0.15150566306671176</v>
      </c>
      <c r="D5" s="2033">
        <f>FISC!AI989</f>
        <v>2593.3215244053272</v>
      </c>
      <c r="E5" s="2034">
        <f t="shared" si="1"/>
        <v>0.14612731866824405</v>
      </c>
      <c r="F5" s="2035">
        <f>D5-B5</f>
        <v>-22.935508114047479</v>
      </c>
      <c r="G5" s="2129">
        <f t="shared" ref="G5:G76" si="20">E5-C5</f>
        <v>-5.3783443984677104E-3</v>
      </c>
      <c r="H5" s="2193">
        <v>3017.9199664052967</v>
      </c>
      <c r="I5" s="2195">
        <f t="shared" si="2"/>
        <v>0.1536371713807077</v>
      </c>
      <c r="J5" s="2226">
        <v>1448.6015838745423</v>
      </c>
      <c r="K5" s="2226">
        <f>FISCinyear!IW667</f>
        <v>1474.1343697112616</v>
      </c>
      <c r="L5" s="2226">
        <f t="shared" ref="L5:L70" si="21">K5-J5</f>
        <v>25.532785836719313</v>
      </c>
      <c r="M5" s="2226">
        <v>1569.3183825307544</v>
      </c>
      <c r="N5" s="2226">
        <f t="shared" si="3"/>
        <v>1632.2656302887385</v>
      </c>
      <c r="O5" s="2033">
        <f>FISC!AJ989</f>
        <v>3106.4</v>
      </c>
      <c r="P5" s="2138">
        <f t="shared" si="4"/>
        <v>0.15505880481494372</v>
      </c>
      <c r="Q5" s="2035">
        <f t="shared" si="5"/>
        <v>88.4800335947034</v>
      </c>
      <c r="R5" s="2129">
        <f t="shared" si="6"/>
        <v>1.4216334342360137E-3</v>
      </c>
      <c r="S5" s="2193">
        <v>3620.9544144556203</v>
      </c>
      <c r="T5" s="2195">
        <f t="shared" si="7"/>
        <v>0.16413490818949697</v>
      </c>
      <c r="U5" s="2241">
        <f>FISCinyear!IZ667</f>
        <v>1789.4989553865353</v>
      </c>
      <c r="V5" s="2241">
        <f t="shared" ref="V5:V68" si="22">W5-U5</f>
        <v>1918.7010446134645</v>
      </c>
      <c r="W5" s="2033">
        <f>FISC!AK989</f>
        <v>3708.2</v>
      </c>
      <c r="X5" s="2138">
        <f t="shared" si="8"/>
        <v>0.16369231640164483</v>
      </c>
      <c r="Y5" s="2035">
        <f t="shared" ref="Y5:Y63" si="23">W5-S5</f>
        <v>87.245585544379537</v>
      </c>
      <c r="Z5" s="2129">
        <f t="shared" ref="Z5:Z74" si="24">X5-T5</f>
        <v>-4.4259178785213682E-4</v>
      </c>
      <c r="AA5" s="2193">
        <v>4307.4229601680036</v>
      </c>
      <c r="AB5" s="2195">
        <f t="shared" si="9"/>
        <v>0.1736292364867498</v>
      </c>
      <c r="AC5" s="2241">
        <f>FISCinyear!JC667</f>
        <v>2141.2227828420896</v>
      </c>
      <c r="AD5" s="2241">
        <f t="shared" ref="AD5:AD68" si="25">AE5-AC5</f>
        <v>2296.67721715791</v>
      </c>
      <c r="AE5" s="2033">
        <f>FISC!AL989</f>
        <v>4437.8999999999996</v>
      </c>
      <c r="AF5" s="2034">
        <f t="shared" si="10"/>
        <v>0.17360991703447831</v>
      </c>
      <c r="AG5" s="2035">
        <f t="shared" ref="AG5:AG63" si="26">AE5-AA5</f>
        <v>130.47703983199608</v>
      </c>
      <c r="AH5" s="2138">
        <f t="shared" ref="AH5:AH72" si="27">AF5-AB5</f>
        <v>-1.9319452271487902E-5</v>
      </c>
      <c r="AI5" s="2193">
        <v>5003.7821594648067</v>
      </c>
      <c r="AJ5" s="2195">
        <f t="shared" si="11"/>
        <v>0.1791011433873923</v>
      </c>
      <c r="AK5" s="2241">
        <f>FISCinyear!JF667</f>
        <v>2479.3271142496351</v>
      </c>
      <c r="AL5" s="2241">
        <f t="shared" ref="AL5:AL68" si="28">AM5-AK5</f>
        <v>2658.1728857503649</v>
      </c>
      <c r="AM5" s="2033">
        <f>FISC!AM989</f>
        <v>5137.5</v>
      </c>
      <c r="AN5" s="2034">
        <f t="shared" si="12"/>
        <v>0.17853995268759076</v>
      </c>
      <c r="AO5" s="2035">
        <f>AM5-AI5</f>
        <v>133.71784053519332</v>
      </c>
      <c r="AP5" s="2138">
        <f t="shared" ref="AP5:AP72" si="29">AN5-AJ5</f>
        <v>-5.6119069980153924E-4</v>
      </c>
      <c r="AQ5" s="2193">
        <v>5790.7067768455254</v>
      </c>
      <c r="AR5" s="2195">
        <f t="shared" si="13"/>
        <v>0.18407429581228488</v>
      </c>
      <c r="AS5" s="2241">
        <f>FISCinyear!JI667</f>
        <v>2823.3174013662447</v>
      </c>
      <c r="AT5" s="2241">
        <f t="shared" ref="AT5:AT68" si="30">AU5-AS5</f>
        <v>3026.582598633755</v>
      </c>
      <c r="AU5" s="2033">
        <f>FISC!AN989</f>
        <v>5849.9</v>
      </c>
      <c r="AV5" s="2034">
        <f t="shared" si="14"/>
        <v>0.18092432225327509</v>
      </c>
      <c r="AW5" s="2035">
        <f t="shared" si="15"/>
        <v>59.193223154474254</v>
      </c>
      <c r="AX5" s="2138">
        <f t="shared" ref="AX5:AX70" si="31">AV5-AR5</f>
        <v>-3.1499735590097833E-3</v>
      </c>
      <c r="AY5" s="2193">
        <v>6694.3491430414861</v>
      </c>
      <c r="AZ5" s="2195">
        <f t="shared" si="16"/>
        <v>0.18898683080398029</v>
      </c>
      <c r="BA5" s="2241">
        <f>FISCinyear!JL667</f>
        <v>3192.5537776889155</v>
      </c>
      <c r="BB5" s="2241">
        <f t="shared" ref="BB5:BB68" si="32">BC5-BA5</f>
        <v>3423.3232745246855</v>
      </c>
      <c r="BC5" s="2033">
        <f>FISC!AO989</f>
        <v>6615.877052213601</v>
      </c>
      <c r="BD5" s="2034">
        <f t="shared" si="17"/>
        <v>0.18211747994121649</v>
      </c>
      <c r="BE5" s="2035">
        <f t="shared" si="18"/>
        <v>-78.47209082788504</v>
      </c>
      <c r="BF5" s="2138">
        <f t="shared" si="19"/>
        <v>-6.8693508627638011E-3</v>
      </c>
    </row>
    <row r="6" spans="1:58">
      <c r="A6" s="2036" t="s">
        <v>495</v>
      </c>
      <c r="B6" s="2026">
        <v>1215.0519384294253</v>
      </c>
      <c r="C6" s="2037">
        <f t="shared" si="0"/>
        <v>7.0362830296904419E-2</v>
      </c>
      <c r="D6" s="2038">
        <f>FISC!AI990</f>
        <v>1178.5718488090074</v>
      </c>
      <c r="E6" s="2039">
        <f t="shared" si="1"/>
        <v>6.6409638181608582E-2</v>
      </c>
      <c r="F6" s="2040">
        <f>D6-B6</f>
        <v>-36.480089620417857</v>
      </c>
      <c r="G6" s="2130">
        <f t="shared" si="20"/>
        <v>-3.9531921152958366E-3</v>
      </c>
      <c r="H6" s="2193">
        <v>1397.3398588499435</v>
      </c>
      <c r="I6" s="2196">
        <f t="shared" si="2"/>
        <v>7.1136195048583803E-2</v>
      </c>
      <c r="J6" s="2227">
        <v>670.7231322479729</v>
      </c>
      <c r="K6" s="2227">
        <f>FISCinyear!IW668</f>
        <v>634.97605721147011</v>
      </c>
      <c r="L6" s="2218">
        <f t="shared" si="21"/>
        <v>-35.747075036502792</v>
      </c>
      <c r="M6" s="2227">
        <v>726.61672660197064</v>
      </c>
      <c r="N6" s="2227">
        <f t="shared" si="3"/>
        <v>736.96382456794936</v>
      </c>
      <c r="O6" s="2038">
        <f>FISC!AJ990</f>
        <v>1371.9398817794195</v>
      </c>
      <c r="P6" s="2139">
        <f t="shared" si="4"/>
        <v>6.8481637376600554E-2</v>
      </c>
      <c r="Q6" s="2040">
        <f t="shared" si="5"/>
        <v>-25.399977070524073</v>
      </c>
      <c r="R6" s="2130">
        <f t="shared" si="6"/>
        <v>-2.6545576719832487E-3</v>
      </c>
      <c r="S6" s="2193">
        <v>1670.7989379104176</v>
      </c>
      <c r="T6" s="2196">
        <f t="shared" si="7"/>
        <v>7.5735952151793254E-2</v>
      </c>
      <c r="U6" s="2229">
        <f>FISCinyear!IZ668</f>
        <v>773.13456381445906</v>
      </c>
      <c r="V6" s="2229">
        <f t="shared" si="22"/>
        <v>837.5624441323306</v>
      </c>
      <c r="W6" s="2038">
        <f>FISC!AK990</f>
        <v>1610.6970079467897</v>
      </c>
      <c r="X6" s="2139">
        <f t="shared" si="8"/>
        <v>7.1101538280569698E-2</v>
      </c>
      <c r="Y6" s="2040">
        <f t="shared" si="23"/>
        <v>-60.101929963627981</v>
      </c>
      <c r="Z6" s="2130">
        <f t="shared" si="24"/>
        <v>-4.6344138712235555E-3</v>
      </c>
      <c r="AA6" s="2193">
        <v>2001.0616740357432</v>
      </c>
      <c r="AB6" s="2196">
        <f t="shared" si="9"/>
        <v>8.0661410276777673E-2</v>
      </c>
      <c r="AC6" s="2229">
        <f>FISCinyear!JC668</f>
        <v>928.82523145520486</v>
      </c>
      <c r="AD6" s="2229">
        <f t="shared" si="25"/>
        <v>1006.2273340764721</v>
      </c>
      <c r="AE6" s="2038">
        <f>FISC!AL990</f>
        <v>1935.0525655316769</v>
      </c>
      <c r="AF6" s="2039">
        <f t="shared" si="10"/>
        <v>7.5698937641521635E-2</v>
      </c>
      <c r="AG6" s="2040">
        <f t="shared" si="26"/>
        <v>-66.009108504066262</v>
      </c>
      <c r="AH6" s="2139">
        <f t="shared" si="27"/>
        <v>-4.9624726352560378E-3</v>
      </c>
      <c r="AI6" s="2193">
        <v>2334.85556760598</v>
      </c>
      <c r="AJ6" s="2196">
        <f t="shared" si="11"/>
        <v>8.3571843952410782E-2</v>
      </c>
      <c r="AK6" s="2229">
        <f>FISCinyear!JF668</f>
        <v>1068.652691785097</v>
      </c>
      <c r="AL6" s="2229">
        <f t="shared" si="28"/>
        <v>1157.7070827671887</v>
      </c>
      <c r="AM6" s="2038">
        <f>FISC!AM990</f>
        <v>2226.3597745522857</v>
      </c>
      <c r="AN6" s="2039">
        <f t="shared" si="12"/>
        <v>7.7371127749707114E-2</v>
      </c>
      <c r="AO6" s="2040">
        <f>AM6-AI6</f>
        <v>-108.49579305369434</v>
      </c>
      <c r="AP6" s="2139">
        <f t="shared" si="29"/>
        <v>-6.2007162027036683E-3</v>
      </c>
      <c r="AQ6" s="2193">
        <v>2726.4828465619144</v>
      </c>
      <c r="AR6" s="2196">
        <f t="shared" si="13"/>
        <v>8.6669111278771027E-2</v>
      </c>
      <c r="AS6" s="2229">
        <f>FISCinyear!JI668</f>
        <v>1211.139603805495</v>
      </c>
      <c r="AT6" s="2229">
        <f t="shared" si="30"/>
        <v>1312.0679041226194</v>
      </c>
      <c r="AU6" s="2038">
        <f>FISC!AN990</f>
        <v>2523.2075079281144</v>
      </c>
      <c r="AV6" s="2039">
        <f t="shared" si="14"/>
        <v>7.8037164443198914E-2</v>
      </c>
      <c r="AW6" s="2040">
        <f t="shared" si="15"/>
        <v>-203.27533863379995</v>
      </c>
      <c r="AX6" s="2139">
        <f t="shared" si="31"/>
        <v>-8.631946835572113E-3</v>
      </c>
      <c r="AY6" s="2193">
        <v>3193.6511219645317</v>
      </c>
      <c r="AZ6" s="2196">
        <f t="shared" si="16"/>
        <v>9.0159325624811146E-2</v>
      </c>
      <c r="BA6" s="2229">
        <f>FISCinyear!JL668</f>
        <v>1388.0297235817193</v>
      </c>
      <c r="BB6" s="2229">
        <f t="shared" si="32"/>
        <v>1503.6988672135294</v>
      </c>
      <c r="BC6" s="2038">
        <f>FISC!AO990</f>
        <v>2891.7285907952487</v>
      </c>
      <c r="BD6" s="2039">
        <f t="shared" si="17"/>
        <v>7.9601588644001436E-2</v>
      </c>
      <c r="BE6" s="2040">
        <f t="shared" si="18"/>
        <v>-301.92253116928305</v>
      </c>
      <c r="BF6" s="2139">
        <f t="shared" si="19"/>
        <v>-1.0557736980809709E-2</v>
      </c>
    </row>
    <row r="7" spans="1:58">
      <c r="A7" s="2036" t="s">
        <v>500</v>
      </c>
      <c r="B7" s="2041">
        <v>32.532917350397426</v>
      </c>
      <c r="C7" s="2037">
        <f t="shared" si="0"/>
        <v>1.8839590886527288E-3</v>
      </c>
      <c r="D7" s="2038">
        <f>FISC!AI996</f>
        <v>30.501623556453502</v>
      </c>
      <c r="E7" s="2039">
        <f t="shared" si="1"/>
        <v>1.7186918102469995E-3</v>
      </c>
      <c r="F7" s="2040">
        <f>D7-B7</f>
        <v>-2.0312937939439237</v>
      </c>
      <c r="G7" s="2130">
        <f t="shared" si="20"/>
        <v>-1.6526727840572922E-4</v>
      </c>
      <c r="H7" s="2197">
        <v>38.319353890824445</v>
      </c>
      <c r="I7" s="2196">
        <f t="shared" si="2"/>
        <v>1.9507731173981509E-3</v>
      </c>
      <c r="J7" s="2227">
        <v>18.393289867595733</v>
      </c>
      <c r="K7" s="2227">
        <f>FISCinyear!IW674</f>
        <v>26.171786943999997</v>
      </c>
      <c r="L7" s="2227">
        <f t="shared" si="21"/>
        <v>7.778497076404264</v>
      </c>
      <c r="M7" s="2227">
        <v>19.926064023228712</v>
      </c>
      <c r="N7" s="2227">
        <f t="shared" si="3"/>
        <v>17.078121996631886</v>
      </c>
      <c r="O7" s="2038">
        <f>FISC!AJ996</f>
        <v>43.249908940631883</v>
      </c>
      <c r="P7" s="2139">
        <f t="shared" si="4"/>
        <v>2.1588588683651585E-3</v>
      </c>
      <c r="Q7" s="2040">
        <f t="shared" si="5"/>
        <v>4.9305550498074382</v>
      </c>
      <c r="R7" s="2130">
        <f t="shared" si="6"/>
        <v>2.0808575096700754E-4</v>
      </c>
      <c r="S7" s="2197">
        <v>44.490579693789122</v>
      </c>
      <c r="T7" s="2196">
        <f t="shared" si="7"/>
        <v>2.016721664372413E-3</v>
      </c>
      <c r="U7" s="2229">
        <f>FISCinyear!IZ674</f>
        <v>22.911053873600725</v>
      </c>
      <c r="V7" s="2229">
        <f t="shared" si="22"/>
        <v>24.820308363067451</v>
      </c>
      <c r="W7" s="2038">
        <f>FISC!AK996</f>
        <v>47.731362236668176</v>
      </c>
      <c r="X7" s="2139">
        <f t="shared" si="8"/>
        <v>2.1070215332307345E-3</v>
      </c>
      <c r="Y7" s="2040">
        <f t="shared" si="23"/>
        <v>3.2407825428790531</v>
      </c>
      <c r="Z7" s="2130">
        <f t="shared" si="24"/>
        <v>9.029986885832151E-5</v>
      </c>
      <c r="AA7" s="2197">
        <v>50.815204931698105</v>
      </c>
      <c r="AB7" s="2196">
        <f t="shared" si="9"/>
        <v>2.048325719530533E-3</v>
      </c>
      <c r="AC7" s="2229">
        <f>FISCinyear!JC674</f>
        <v>26.206239026894007</v>
      </c>
      <c r="AD7" s="2229">
        <f t="shared" si="25"/>
        <v>28.390092279135178</v>
      </c>
      <c r="AE7" s="2038">
        <f>FISC!AL996</f>
        <v>54.596331306029185</v>
      </c>
      <c r="AF7" s="2039">
        <f t="shared" si="10"/>
        <v>2.1357994881422786E-3</v>
      </c>
      <c r="AG7" s="2040">
        <f t="shared" si="26"/>
        <v>3.7811263743310803</v>
      </c>
      <c r="AH7" s="2139">
        <f t="shared" si="27"/>
        <v>8.7473768611745668E-5</v>
      </c>
      <c r="AI7" s="2197">
        <v>58.655536998591799</v>
      </c>
      <c r="AJ7" s="2196">
        <f t="shared" si="11"/>
        <v>2.0994666449613993E-3</v>
      </c>
      <c r="AK7" s="2229">
        <f>FISCinyear!JF674</f>
        <v>29.21413439137126</v>
      </c>
      <c r="AL7" s="2229">
        <f t="shared" si="28"/>
        <v>31.648645590652201</v>
      </c>
      <c r="AM7" s="2038">
        <f>FISC!AM996</f>
        <v>60.862779982023461</v>
      </c>
      <c r="AN7" s="2039">
        <f t="shared" si="12"/>
        <v>2.1151217242677792E-3</v>
      </c>
      <c r="AO7" s="2040">
        <f>AM7-AI7</f>
        <v>2.2072429834316623</v>
      </c>
      <c r="AP7" s="2139">
        <f t="shared" si="29"/>
        <v>1.5655079306379875E-5</v>
      </c>
      <c r="AQ7" s="2197">
        <v>64.197608360743573</v>
      </c>
      <c r="AR7" s="2196">
        <f t="shared" si="13"/>
        <v>2.0407059115975616E-3</v>
      </c>
      <c r="AS7" s="2229">
        <f>FISCinyear!JI674</f>
        <v>30.283716481144673</v>
      </c>
      <c r="AT7" s="2229">
        <f t="shared" si="30"/>
        <v>32.807359521240066</v>
      </c>
      <c r="AU7" s="2038">
        <f>FISC!AN996</f>
        <v>63.091076002384739</v>
      </c>
      <c r="AV7" s="2039">
        <f t="shared" si="14"/>
        <v>1.9512658619739358E-3</v>
      </c>
      <c r="AW7" s="2040">
        <f t="shared" si="15"/>
        <v>-1.1065323583588338</v>
      </c>
      <c r="AX7" s="2139">
        <f t="shared" si="31"/>
        <v>-8.944004962362583E-5</v>
      </c>
      <c r="AY7" s="2197">
        <v>70.26671300113324</v>
      </c>
      <c r="AZ7" s="2196">
        <f t="shared" si="16"/>
        <v>1.9836855110702606E-3</v>
      </c>
      <c r="BA7" s="2229">
        <f>FISCinyear!JI674</f>
        <v>30.283716481144673</v>
      </c>
      <c r="BB7" s="2229">
        <f t="shared" si="32"/>
        <v>40.266719720893114</v>
      </c>
      <c r="BC7" s="2038">
        <f>FISC!AO996</f>
        <v>70.550436202037787</v>
      </c>
      <c r="BD7" s="2039">
        <f t="shared" si="17"/>
        <v>1.9420656624157988E-3</v>
      </c>
      <c r="BE7" s="2040">
        <f t="shared" si="18"/>
        <v>0.2837232009045465</v>
      </c>
      <c r="BF7" s="2139">
        <f t="shared" si="19"/>
        <v>-4.161984865446171E-5</v>
      </c>
    </row>
    <row r="8" spans="1:58">
      <c r="A8" s="2036" t="s">
        <v>507</v>
      </c>
      <c r="B8" s="2042">
        <v>1181.7777265860495</v>
      </c>
      <c r="C8" s="2037">
        <f t="shared" si="0"/>
        <v>6.8435943348989239E-2</v>
      </c>
      <c r="D8" s="2038">
        <f>FISC!AI1003</f>
        <v>1189.7617317343922</v>
      </c>
      <c r="E8" s="2039">
        <f t="shared" si="1"/>
        <v>6.7040160688251096E-2</v>
      </c>
      <c r="F8" s="2040">
        <f t="shared" ref="F8:F23" si="33">D8-B8</f>
        <v>7.9840051483427033</v>
      </c>
      <c r="G8" s="2130">
        <f t="shared" si="20"/>
        <v>-1.3957826607381429E-3</v>
      </c>
      <c r="H8" s="2198">
        <v>1373.0664928466858</v>
      </c>
      <c r="I8" s="2196">
        <f t="shared" si="2"/>
        <v>6.9900479279397534E-2</v>
      </c>
      <c r="J8" s="2227">
        <v>659.07191656640919</v>
      </c>
      <c r="K8" s="2227">
        <f>FISCinyear!IW681</f>
        <v>687.86829874547141</v>
      </c>
      <c r="L8" s="2227">
        <f t="shared" si="21"/>
        <v>28.796382179062221</v>
      </c>
      <c r="M8" s="2227">
        <v>713.99457628027665</v>
      </c>
      <c r="N8" s="2227">
        <f t="shared" si="3"/>
        <v>780.60495838998065</v>
      </c>
      <c r="O8" s="2038">
        <f>FISC!AJ1003</f>
        <v>1468.4732571354521</v>
      </c>
      <c r="P8" s="2139">
        <f t="shared" si="4"/>
        <v>7.3300189336251195E-2</v>
      </c>
      <c r="Q8" s="2040">
        <f t="shared" si="5"/>
        <v>95.406764288766226</v>
      </c>
      <c r="R8" s="2130">
        <f t="shared" si="6"/>
        <v>3.3997100568536609E-3</v>
      </c>
      <c r="S8" s="2198">
        <v>1665.4150709341056</v>
      </c>
      <c r="T8" s="2196">
        <f t="shared" si="7"/>
        <v>7.5491905856061498E-2</v>
      </c>
      <c r="U8" s="2229">
        <f>FISCinyear!IZ681</f>
        <v>869.13491767351672</v>
      </c>
      <c r="V8" s="2229">
        <f t="shared" si="22"/>
        <v>941.56282747964326</v>
      </c>
      <c r="W8" s="2038">
        <f>FISC!AK1003</f>
        <v>1810.69774515316</v>
      </c>
      <c r="X8" s="2139">
        <f t="shared" si="8"/>
        <v>7.9930237907166801E-2</v>
      </c>
      <c r="Y8" s="2040">
        <f t="shared" si="23"/>
        <v>145.28267421905434</v>
      </c>
      <c r="Z8" s="2130">
        <f t="shared" si="24"/>
        <v>4.4383320511053037E-3</v>
      </c>
      <c r="AA8" s="2198">
        <v>1967.3080395737302</v>
      </c>
      <c r="AB8" s="2196">
        <f t="shared" si="9"/>
        <v>7.9300824647159443E-2</v>
      </c>
      <c r="AC8" s="2229">
        <f>FISCinyear!JC681</f>
        <v>1042.791135412818</v>
      </c>
      <c r="AD8" s="2229">
        <f t="shared" si="25"/>
        <v>1129.6903966972197</v>
      </c>
      <c r="AE8" s="2038">
        <f>FISC!AL1003</f>
        <v>2172.4815321100377</v>
      </c>
      <c r="AF8" s="2039">
        <f t="shared" si="10"/>
        <v>8.4987119707194844E-2</v>
      </c>
      <c r="AG8" s="2040">
        <f t="shared" si="26"/>
        <v>205.17349253630755</v>
      </c>
      <c r="AH8" s="2139">
        <f t="shared" si="27"/>
        <v>5.6862950600354012E-3</v>
      </c>
      <c r="AI8" s="2198">
        <v>2275.8359525352948</v>
      </c>
      <c r="AJ8" s="2196">
        <f t="shared" si="11"/>
        <v>8.1459345805094535E-2</v>
      </c>
      <c r="AK8" s="2229">
        <f>FISCinyear!JF681</f>
        <v>1208.2078028279018</v>
      </c>
      <c r="AL8" s="2229">
        <f t="shared" si="28"/>
        <v>1308.8917863968938</v>
      </c>
      <c r="AM8" s="2038">
        <f>FISC!AM1003</f>
        <v>2517.0995892247956</v>
      </c>
      <c r="AN8" s="2039">
        <f t="shared" si="12"/>
        <v>8.7475005658423186E-2</v>
      </c>
      <c r="AO8" s="2040">
        <f t="shared" ref="AO8:AO23" si="34">AM8-AI8</f>
        <v>241.2636366895008</v>
      </c>
      <c r="AP8" s="2139">
        <f t="shared" si="29"/>
        <v>6.0156598533286504E-3</v>
      </c>
      <c r="AQ8" s="2198">
        <v>2616.7319883359287</v>
      </c>
      <c r="AR8" s="2196">
        <f t="shared" si="13"/>
        <v>8.3180364097939427E-2</v>
      </c>
      <c r="AS8" s="2229">
        <f>FISCinyear!JI681</f>
        <v>1382.14386331842</v>
      </c>
      <c r="AT8" s="2229">
        <f t="shared" si="30"/>
        <v>1497.3225185949552</v>
      </c>
      <c r="AU8" s="2038">
        <f>FISC!AN1003</f>
        <v>2879.4663819133752</v>
      </c>
      <c r="AV8" s="2039">
        <f t="shared" si="14"/>
        <v>8.905545455456805E-2</v>
      </c>
      <c r="AW8" s="2040">
        <f t="shared" si="15"/>
        <v>262.73439357744655</v>
      </c>
      <c r="AX8" s="2139">
        <f t="shared" si="31"/>
        <v>5.8750904566286233E-3</v>
      </c>
      <c r="AY8" s="2198">
        <v>3010.8662627389608</v>
      </c>
      <c r="AZ8" s="2196">
        <f t="shared" si="16"/>
        <v>8.4999162847836873E-2</v>
      </c>
      <c r="BA8" s="2229">
        <f>FISCinyear!JL681</f>
        <v>1550.5335405871856</v>
      </c>
      <c r="BB8" s="2229">
        <f t="shared" si="32"/>
        <v>1679.7446689694511</v>
      </c>
      <c r="BC8" s="2038">
        <f>FISC!AO1003</f>
        <v>3230.2782095566367</v>
      </c>
      <c r="BD8" s="2039">
        <f t="shared" si="17"/>
        <v>8.8920958232838382E-2</v>
      </c>
      <c r="BE8" s="2040">
        <f t="shared" si="18"/>
        <v>219.41194681767593</v>
      </c>
      <c r="BF8" s="2139">
        <f t="shared" si="19"/>
        <v>3.9217953850015086E-3</v>
      </c>
    </row>
    <row r="9" spans="1:58">
      <c r="A9" s="2036" t="s">
        <v>519</v>
      </c>
      <c r="B9" s="2042">
        <v>186.89445015350239</v>
      </c>
      <c r="C9" s="2037">
        <f t="shared" si="0"/>
        <v>1.0822930332165366E-2</v>
      </c>
      <c r="D9" s="2038">
        <f>FISC!AI1019</f>
        <v>194.48632030547415</v>
      </c>
      <c r="E9" s="2039">
        <f t="shared" si="1"/>
        <v>1.0958827988137384E-2</v>
      </c>
      <c r="F9" s="2040">
        <f t="shared" si="33"/>
        <v>7.5918701519717615</v>
      </c>
      <c r="G9" s="2130">
        <f t="shared" si="20"/>
        <v>1.3589765597201743E-4</v>
      </c>
      <c r="H9" s="2198">
        <v>209.19426081784277</v>
      </c>
      <c r="I9" s="2196">
        <f t="shared" si="2"/>
        <v>1.0649723935328204E-2</v>
      </c>
      <c r="J9" s="2227">
        <v>100.41324519256453</v>
      </c>
      <c r="K9" s="2227">
        <f>FISCinyear!IW697</f>
        <v>125.11822681032004</v>
      </c>
      <c r="L9" s="2227">
        <f t="shared" si="21"/>
        <v>24.704981617755507</v>
      </c>
      <c r="M9" s="2227">
        <v>108.78101562527824</v>
      </c>
      <c r="N9" s="2227">
        <f>O9-K9</f>
        <v>97.618725334176645</v>
      </c>
      <c r="O9" s="2038">
        <f>FISC!AJ1019</f>
        <v>222.73695214449668</v>
      </c>
      <c r="P9" s="2139">
        <f t="shared" si="4"/>
        <v>1.1118119233726811E-2</v>
      </c>
      <c r="Q9" s="2040">
        <f t="shared" si="5"/>
        <v>13.542691326653909</v>
      </c>
      <c r="R9" s="2130">
        <f t="shared" si="6"/>
        <v>4.6839529839860783E-4</v>
      </c>
      <c r="S9" s="2198">
        <v>240.24982591730819</v>
      </c>
      <c r="T9" s="2196">
        <f t="shared" si="7"/>
        <v>1.0890328517269798E-2</v>
      </c>
      <c r="U9" s="2229">
        <f>FISCinyear!IZ697</f>
        <v>124.31842002495875</v>
      </c>
      <c r="V9" s="2229">
        <f t="shared" si="22"/>
        <v>114.75546463842346</v>
      </c>
      <c r="W9" s="2038">
        <f>FISC!AK1019</f>
        <v>239.07388466338222</v>
      </c>
      <c r="X9" s="2139">
        <f t="shared" si="8"/>
        <v>1.0553518680677608E-2</v>
      </c>
      <c r="Y9" s="2040">
        <f t="shared" si="23"/>
        <v>-1.1759412539259699</v>
      </c>
      <c r="Z9" s="2130">
        <f t="shared" si="24"/>
        <v>-3.3680983659219003E-4</v>
      </c>
      <c r="AA9" s="2198">
        <v>288.23804162683166</v>
      </c>
      <c r="AB9" s="2196">
        <f t="shared" si="9"/>
        <v>1.161867584328213E-2</v>
      </c>
      <c r="AC9" s="2229">
        <f>FISCinyear!JC697</f>
        <v>143.40017694717295</v>
      </c>
      <c r="AD9" s="2229">
        <f t="shared" si="25"/>
        <v>132.36939410508273</v>
      </c>
      <c r="AE9" s="2038">
        <f>FISC!AL1019</f>
        <v>275.76957105225569</v>
      </c>
      <c r="AF9" s="2039">
        <f t="shared" si="10"/>
        <v>1.0788060197619546E-2</v>
      </c>
      <c r="AG9" s="2040">
        <f t="shared" si="26"/>
        <v>-12.468470574575974</v>
      </c>
      <c r="AH9" s="2139">
        <f t="shared" si="27"/>
        <v>-8.3061564566258399E-4</v>
      </c>
      <c r="AI9" s="2198">
        <v>334.43510232494009</v>
      </c>
      <c r="AJ9" s="2196">
        <f t="shared" si="11"/>
        <v>1.1970486984925584E-2</v>
      </c>
      <c r="AK9" s="2229">
        <f>FISCinyear!JF697</f>
        <v>173.2524852452654</v>
      </c>
      <c r="AL9" s="2229">
        <f t="shared" si="28"/>
        <v>159.92537099562958</v>
      </c>
      <c r="AM9" s="2038">
        <f>FISC!AM1019</f>
        <v>333.17785624089498</v>
      </c>
      <c r="AN9" s="2039">
        <f t="shared" si="12"/>
        <v>1.1578697555192663E-2</v>
      </c>
      <c r="AO9" s="2040">
        <f t="shared" si="34"/>
        <v>-1.2572460840451072</v>
      </c>
      <c r="AP9" s="2139">
        <f t="shared" si="29"/>
        <v>-3.9178942973292115E-4</v>
      </c>
      <c r="AQ9" s="2198">
        <v>383.29433358693819</v>
      </c>
      <c r="AR9" s="2196">
        <f t="shared" si="13"/>
        <v>1.2184114523976837E-2</v>
      </c>
      <c r="AS9" s="2229">
        <f>FISCinyear!JI697</f>
        <v>199.75021776118507</v>
      </c>
      <c r="AT9" s="2229">
        <f t="shared" si="30"/>
        <v>184.38481639494006</v>
      </c>
      <c r="AU9" s="2038">
        <f>FISC!AN1019</f>
        <v>384.13503415612513</v>
      </c>
      <c r="AV9" s="2039">
        <f t="shared" si="14"/>
        <v>1.1880437393534183E-2</v>
      </c>
      <c r="AW9" s="2040">
        <f t="shared" si="15"/>
        <v>0.84070056918693581</v>
      </c>
      <c r="AX9" s="2139">
        <f t="shared" si="31"/>
        <v>-3.0367713044265367E-4</v>
      </c>
      <c r="AY9" s="2198">
        <v>419.56504533686046</v>
      </c>
      <c r="AZ9" s="2196">
        <f t="shared" si="16"/>
        <v>1.1844656820262024E-2</v>
      </c>
      <c r="BA9" s="2229">
        <f>FISCinyear!JL697</f>
        <v>220.12630414303251</v>
      </c>
      <c r="BB9" s="2229">
        <f t="shared" si="32"/>
        <v>203.19351151664537</v>
      </c>
      <c r="BC9" s="2038">
        <f>FISC!AO1019</f>
        <v>423.31981565967789</v>
      </c>
      <c r="BD9" s="2039">
        <f t="shared" si="17"/>
        <v>1.165286740196087E-2</v>
      </c>
      <c r="BE9" s="2040">
        <f t="shared" si="18"/>
        <v>3.7547703228174214</v>
      </c>
      <c r="BF9" s="2139">
        <f t="shared" si="19"/>
        <v>-1.9178941830115363E-4</v>
      </c>
    </row>
    <row r="10" spans="1:58">
      <c r="A10" s="2052" t="s">
        <v>536</v>
      </c>
      <c r="B10" s="2053">
        <v>766.04295137792633</v>
      </c>
      <c r="C10" s="2054">
        <f t="shared" si="0"/>
        <v>4.4361025634523196E-2</v>
      </c>
      <c r="D10" s="2055">
        <f>FISC!AI1039</f>
        <v>757.7914095316321</v>
      </c>
      <c r="E10" s="2056">
        <f t="shared" si="1"/>
        <v>4.2699690625549791E-2</v>
      </c>
      <c r="F10" s="2057">
        <f t="shared" si="33"/>
        <v>-8.2515418462942307</v>
      </c>
      <c r="G10" s="2132">
        <f t="shared" si="20"/>
        <v>-1.6613350089734052E-3</v>
      </c>
      <c r="H10" s="2199">
        <v>621.21836669312574</v>
      </c>
      <c r="I10" s="2200">
        <f t="shared" si="2"/>
        <v>3.1625170226816247E-2</v>
      </c>
      <c r="J10" s="2228">
        <v>317.0952576865717</v>
      </c>
      <c r="K10" s="2228">
        <f>FISCinyear!IW717</f>
        <v>362.96966204594213</v>
      </c>
      <c r="L10" s="2219">
        <f t="shared" si="21"/>
        <v>45.87440435937043</v>
      </c>
      <c r="M10" s="2219">
        <v>304.12310900655405</v>
      </c>
      <c r="N10" s="2219">
        <f t="shared" ref="N10:N73" si="35">O10-K10</f>
        <v>262.799077188171</v>
      </c>
      <c r="O10" s="2055">
        <f>FISC!AJ1039</f>
        <v>625.76873923411313</v>
      </c>
      <c r="P10" s="2141">
        <f t="shared" si="4"/>
        <v>3.1235820498389053E-2</v>
      </c>
      <c r="Q10" s="2057">
        <f t="shared" si="5"/>
        <v>4.5503725409873823</v>
      </c>
      <c r="R10" s="2132">
        <f t="shared" si="6"/>
        <v>-3.893497284271942E-4</v>
      </c>
      <c r="S10" s="2199">
        <v>790.18425344425236</v>
      </c>
      <c r="T10" s="2200">
        <f t="shared" si="7"/>
        <v>3.5818407261378728E-2</v>
      </c>
      <c r="U10" s="2228">
        <f>FISCinyear!IZ717</f>
        <v>286.41828932310369</v>
      </c>
      <c r="V10" s="2228">
        <f t="shared" si="22"/>
        <v>298.79671902821593</v>
      </c>
      <c r="W10" s="2055">
        <f>FISC!AK1039</f>
        <v>585.21500835131963</v>
      </c>
      <c r="X10" s="2141">
        <f t="shared" si="8"/>
        <v>2.583334240602865E-2</v>
      </c>
      <c r="Y10" s="2057">
        <f t="shared" si="23"/>
        <v>-204.96924509293274</v>
      </c>
      <c r="Z10" s="2132">
        <f t="shared" si="24"/>
        <v>-9.9850648553500773E-3</v>
      </c>
      <c r="AA10" s="2199">
        <v>842.46962771578364</v>
      </c>
      <c r="AB10" s="2200">
        <f t="shared" si="9"/>
        <v>3.3959367254211455E-2</v>
      </c>
      <c r="AC10" s="2228">
        <f>FISCinyear!JC717</f>
        <v>313.95646001974819</v>
      </c>
      <c r="AD10" s="2228">
        <f t="shared" si="25"/>
        <v>346.11016377166845</v>
      </c>
      <c r="AE10" s="2055">
        <f>FISC!AL1039</f>
        <v>660.06662379141665</v>
      </c>
      <c r="AF10" s="2056">
        <f t="shared" si="10"/>
        <v>2.5821697603293461E-2</v>
      </c>
      <c r="AG10" s="2057">
        <f t="shared" si="26"/>
        <v>-182.403003924367</v>
      </c>
      <c r="AH10" s="2141">
        <f t="shared" si="27"/>
        <v>-8.1376696509179933E-3</v>
      </c>
      <c r="AI10" s="2199">
        <v>710.03686038055685</v>
      </c>
      <c r="AJ10" s="2200">
        <f t="shared" si="11"/>
        <v>2.5414458401393239E-2</v>
      </c>
      <c r="AK10" s="2228">
        <f>FISCinyear!JF717</f>
        <v>351.88672392521784</v>
      </c>
      <c r="AL10" s="2228">
        <f t="shared" si="28"/>
        <v>387.88364945025597</v>
      </c>
      <c r="AM10" s="2055">
        <f>FISC!AM1039</f>
        <v>739.77037337547381</v>
      </c>
      <c r="AN10" s="2056">
        <f t="shared" si="12"/>
        <v>2.5708723593603589E-2</v>
      </c>
      <c r="AO10" s="2057">
        <f t="shared" si="34"/>
        <v>29.733512994916964</v>
      </c>
      <c r="AP10" s="2141">
        <f t="shared" si="29"/>
        <v>2.9426519221035022E-4</v>
      </c>
      <c r="AQ10" s="2199">
        <v>771.85827119745818</v>
      </c>
      <c r="AR10" s="2200">
        <f t="shared" si="13"/>
        <v>2.4535738591646854E-2</v>
      </c>
      <c r="AS10" s="2228">
        <f>FISCinyear!JI717</f>
        <v>389.91734556529627</v>
      </c>
      <c r="AT10" s="2228">
        <f t="shared" si="30"/>
        <v>404.40670546206331</v>
      </c>
      <c r="AU10" s="2055">
        <f>FISC!AN1039</f>
        <v>794.32405102735959</v>
      </c>
      <c r="AV10" s="2056">
        <f t="shared" si="14"/>
        <v>2.456666619627702E-2</v>
      </c>
      <c r="AW10" s="2057">
        <f t="shared" si="15"/>
        <v>22.465779829901408</v>
      </c>
      <c r="AX10" s="2141">
        <f t="shared" si="31"/>
        <v>3.0927604630165417E-5</v>
      </c>
      <c r="AY10" s="2199">
        <v>771.28208823614398</v>
      </c>
      <c r="AZ10" s="2200">
        <f t="shared" si="16"/>
        <v>2.1773910263276124E-2</v>
      </c>
      <c r="BA10" s="2228">
        <f>FISCinyear!JL717</f>
        <v>406.96340689898079</v>
      </c>
      <c r="BB10" s="2228">
        <f t="shared" si="32"/>
        <v>458.00283295614702</v>
      </c>
      <c r="BC10" s="2055">
        <f>FISC!AO1039</f>
        <v>864.96623985512781</v>
      </c>
      <c r="BD10" s="2056">
        <f t="shared" si="17"/>
        <v>2.3810217540838272E-2</v>
      </c>
      <c r="BE10" s="2057">
        <f t="shared" si="18"/>
        <v>93.684151618983833</v>
      </c>
      <c r="BF10" s="2141">
        <f t="shared" si="19"/>
        <v>2.036307277562148E-3</v>
      </c>
    </row>
    <row r="11" spans="1:58">
      <c r="A11" s="2036" t="s">
        <v>537</v>
      </c>
      <c r="B11" s="2044">
        <v>23.58017573743324</v>
      </c>
      <c r="C11" s="2037">
        <f t="shared" si="0"/>
        <v>1.3655119187158671E-3</v>
      </c>
      <c r="D11" s="2045">
        <v>23.58017573743324</v>
      </c>
      <c r="E11" s="2039">
        <f t="shared" si="1"/>
        <v>1.3286851714336644E-3</v>
      </c>
      <c r="F11" s="2040">
        <f t="shared" si="33"/>
        <v>0</v>
      </c>
      <c r="G11" s="2130">
        <f t="shared" si="20"/>
        <v>-3.68267472822027E-5</v>
      </c>
      <c r="H11" s="2201">
        <v>317.26694238582718</v>
      </c>
      <c r="I11" s="2196">
        <f t="shared" si="2"/>
        <v>1.6151520299865461E-2</v>
      </c>
      <c r="J11" s="2229">
        <v>157.60233104202129</v>
      </c>
      <c r="K11" s="2229">
        <f>FISCinyear!IW718</f>
        <v>189.39986122976237</v>
      </c>
      <c r="L11" s="2218">
        <f t="shared" si="21"/>
        <v>31.797530187741074</v>
      </c>
      <c r="M11" s="2218">
        <v>159.66461134380589</v>
      </c>
      <c r="N11" s="2218">
        <f t="shared" si="35"/>
        <v>130.93625230962149</v>
      </c>
      <c r="O11" s="2045">
        <f>FISC!AJ1040</f>
        <v>320.33611353938386</v>
      </c>
      <c r="P11" s="2139">
        <f t="shared" si="4"/>
        <v>1.5989870880917127E-2</v>
      </c>
      <c r="Q11" s="2040">
        <f t="shared" si="5"/>
        <v>3.069171153556681</v>
      </c>
      <c r="R11" s="2130">
        <f t="shared" si="6"/>
        <v>-1.6164941894833418E-4</v>
      </c>
      <c r="S11" s="2201">
        <v>37.045007345929442</v>
      </c>
      <c r="T11" s="2196">
        <f t="shared" si="7"/>
        <v>1.6792199469093572E-3</v>
      </c>
      <c r="U11" s="2229">
        <f>FISCinyear!IZ718</f>
        <v>143.88927338352678</v>
      </c>
      <c r="V11" s="2229">
        <f t="shared" si="22"/>
        <v>173.82501632212958</v>
      </c>
      <c r="W11" s="2045">
        <f>FISC!AK1040</f>
        <v>317.71428970565637</v>
      </c>
      <c r="X11" s="2139">
        <f t="shared" si="8"/>
        <v>1.4024968457964013E-2</v>
      </c>
      <c r="Y11" s="2040">
        <f t="shared" si="23"/>
        <v>280.66928235972694</v>
      </c>
      <c r="Z11" s="2130">
        <f t="shared" si="24"/>
        <v>1.2345748511054655E-2</v>
      </c>
      <c r="AA11" s="2201">
        <v>31.62594038855277</v>
      </c>
      <c r="AB11" s="2196">
        <f t="shared" si="9"/>
        <v>1.2748197550179067E-3</v>
      </c>
      <c r="AC11" s="2229">
        <f>FISCinyear!JC718</f>
        <v>154.55013356247539</v>
      </c>
      <c r="AD11" s="2229">
        <f t="shared" si="25"/>
        <v>154.55013356247539</v>
      </c>
      <c r="AE11" s="2045">
        <f>FISC!AL1040</f>
        <v>309.10026712495079</v>
      </c>
      <c r="AF11" s="2039">
        <f t="shared" si="10"/>
        <v>1.2091951538091844E-2</v>
      </c>
      <c r="AG11" s="2040">
        <f t="shared" si="26"/>
        <v>277.47432673639804</v>
      </c>
      <c r="AH11" s="2139">
        <f t="shared" si="27"/>
        <v>1.0817131783073936E-2</v>
      </c>
      <c r="AI11" s="2201">
        <v>24.270676852917511</v>
      </c>
      <c r="AJ11" s="2196">
        <f t="shared" si="11"/>
        <v>8.6872406444016292E-4</v>
      </c>
      <c r="AK11" s="2229">
        <f>FISCinyear!JF718</f>
        <v>164.78379066986392</v>
      </c>
      <c r="AL11" s="2229">
        <f t="shared" si="28"/>
        <v>164.78379066986392</v>
      </c>
      <c r="AM11" s="2045">
        <f>FISC!AM1040</f>
        <v>329.56758133972784</v>
      </c>
      <c r="AN11" s="2039">
        <f t="shared" si="12"/>
        <v>1.1453232190707294E-2</v>
      </c>
      <c r="AO11" s="2040">
        <f t="shared" si="34"/>
        <v>305.29690448681032</v>
      </c>
      <c r="AP11" s="2139">
        <f t="shared" si="29"/>
        <v>1.0584508126267132E-2</v>
      </c>
      <c r="AQ11" s="2201">
        <v>25.509639576225492</v>
      </c>
      <c r="AR11" s="2196">
        <f t="shared" si="13"/>
        <v>8.1089737788050389E-4</v>
      </c>
      <c r="AS11" s="2229">
        <f>FISCinyear!JI718</f>
        <v>174.1115521681055</v>
      </c>
      <c r="AT11" s="2229">
        <f t="shared" si="30"/>
        <v>174.1115521681055</v>
      </c>
      <c r="AU11" s="2045">
        <f>FISC!AN1040</f>
        <v>348.22310433621101</v>
      </c>
      <c r="AV11" s="2039">
        <f t="shared" si="14"/>
        <v>1.0769761730108289E-2</v>
      </c>
      <c r="AW11" s="2040">
        <f t="shared" si="15"/>
        <v>322.71346475998553</v>
      </c>
      <c r="AX11" s="2139">
        <f t="shared" si="31"/>
        <v>9.9588643522277847E-3</v>
      </c>
      <c r="AY11" s="2201">
        <v>0</v>
      </c>
      <c r="AZ11" s="2196">
        <f t="shared" si="16"/>
        <v>0</v>
      </c>
      <c r="BA11" s="2229">
        <f>FISCinyear!JL718</f>
        <v>181.72320687112392</v>
      </c>
      <c r="BB11" s="2229">
        <f t="shared" si="32"/>
        <v>181.72320687112392</v>
      </c>
      <c r="BC11" s="2045">
        <f>FISC!AO1040</f>
        <v>363.44641374224784</v>
      </c>
      <c r="BD11" s="2039">
        <f t="shared" si="17"/>
        <v>1.0004712064935434E-2</v>
      </c>
      <c r="BE11" s="2040">
        <f t="shared" si="18"/>
        <v>363.44641374224784</v>
      </c>
      <c r="BF11" s="2139">
        <f t="shared" si="19"/>
        <v>1.0004712064935434E-2</v>
      </c>
    </row>
    <row r="12" spans="1:58">
      <c r="A12" s="2058" t="s">
        <v>538</v>
      </c>
      <c r="B12" s="2044">
        <v>23.58017573743324</v>
      </c>
      <c r="C12" s="2037">
        <f t="shared" si="0"/>
        <v>1.3655119187158671E-3</v>
      </c>
      <c r="D12" s="2045">
        <v>23.58017573743324</v>
      </c>
      <c r="E12" s="2039">
        <f t="shared" si="1"/>
        <v>1.3286851714336644E-3</v>
      </c>
      <c r="F12" s="2040">
        <f t="shared" si="33"/>
        <v>0</v>
      </c>
      <c r="G12" s="2130">
        <f t="shared" si="20"/>
        <v>-3.68267472822027E-5</v>
      </c>
      <c r="H12" s="2201">
        <v>34.371338363075999</v>
      </c>
      <c r="I12" s="2196">
        <f t="shared" si="2"/>
        <v>1.7497863632752869E-3</v>
      </c>
      <c r="J12" s="2229">
        <v>6.8742676726152006</v>
      </c>
      <c r="K12" s="2229">
        <f>FISCinyear!IW719</f>
        <v>36.051834947437044</v>
      </c>
      <c r="L12" s="2218">
        <f t="shared" si="21"/>
        <v>29.177567274821843</v>
      </c>
      <c r="M12" s="2218">
        <v>27.497070690460799</v>
      </c>
      <c r="N12" s="2218">
        <f t="shared" si="35"/>
        <v>1.008138730328767E-2</v>
      </c>
      <c r="O12" s="2045">
        <f>FISC!AJ1041</f>
        <v>36.061916334740332</v>
      </c>
      <c r="P12" s="2139">
        <f t="shared" si="4"/>
        <v>1.8000636254833025E-3</v>
      </c>
      <c r="Q12" s="2040">
        <f t="shared" si="5"/>
        <v>1.6905779716643323</v>
      </c>
      <c r="R12" s="2130">
        <f t="shared" si="6"/>
        <v>5.0277262208015547E-5</v>
      </c>
      <c r="S12" s="2201">
        <v>37.045007345929442</v>
      </c>
      <c r="T12" s="2196">
        <f t="shared" si="7"/>
        <v>1.6792199469093572E-3</v>
      </c>
      <c r="U12" s="2229">
        <f>FISCinyear!IZ719</f>
        <v>0</v>
      </c>
      <c r="V12" s="2229">
        <f t="shared" si="22"/>
        <v>29.935742938602822</v>
      </c>
      <c r="W12" s="2045">
        <f>FISC!AK1041</f>
        <v>29.935742938602822</v>
      </c>
      <c r="X12" s="2139">
        <f t="shared" si="8"/>
        <v>1.3214635415630435E-3</v>
      </c>
      <c r="Y12" s="2040">
        <f t="shared" si="23"/>
        <v>-7.10926440732662</v>
      </c>
      <c r="Z12" s="2130">
        <f t="shared" si="24"/>
        <v>-3.5775640534631368E-4</v>
      </c>
      <c r="AA12" s="2201">
        <v>31.62594038855277</v>
      </c>
      <c r="AB12" s="2196">
        <f t="shared" si="9"/>
        <v>1.2748197550179067E-3</v>
      </c>
      <c r="AC12" s="2229">
        <f>FISCinyear!JC719</f>
        <v>0</v>
      </c>
      <c r="AD12" s="2229">
        <f t="shared" si="25"/>
        <v>0</v>
      </c>
      <c r="AE12" s="2045">
        <f>FISC!AL1041</f>
        <v>0</v>
      </c>
      <c r="AF12" s="2039">
        <f t="shared" si="10"/>
        <v>0</v>
      </c>
      <c r="AG12" s="2040">
        <f t="shared" si="26"/>
        <v>-31.62594038855277</v>
      </c>
      <c r="AH12" s="2139">
        <f t="shared" si="27"/>
        <v>-1.2748197550179067E-3</v>
      </c>
      <c r="AI12" s="2201">
        <v>24.270676852917511</v>
      </c>
      <c r="AJ12" s="2196">
        <f t="shared" si="11"/>
        <v>8.6872406444016292E-4</v>
      </c>
      <c r="AK12" s="2229">
        <f>FISCinyear!JF719</f>
        <v>0</v>
      </c>
      <c r="AL12" s="2229">
        <f t="shared" si="28"/>
        <v>0</v>
      </c>
      <c r="AM12" s="2045">
        <f>FISC!AM1041</f>
        <v>0</v>
      </c>
      <c r="AN12" s="2039">
        <f t="shared" si="12"/>
        <v>0</v>
      </c>
      <c r="AO12" s="2040">
        <f t="shared" si="34"/>
        <v>-24.270676852917511</v>
      </c>
      <c r="AP12" s="2139">
        <f t="shared" si="29"/>
        <v>-8.6872406444016292E-4</v>
      </c>
      <c r="AQ12" s="2201">
        <v>25.509639576225492</v>
      </c>
      <c r="AR12" s="2196">
        <f t="shared" si="13"/>
        <v>8.1089737788050389E-4</v>
      </c>
      <c r="AS12" s="2229">
        <f>FISCinyear!JI719</f>
        <v>0</v>
      </c>
      <c r="AT12" s="2229">
        <f t="shared" si="30"/>
        <v>0</v>
      </c>
      <c r="AU12" s="2045">
        <f>FISC!AN1041</f>
        <v>0</v>
      </c>
      <c r="AV12" s="2039">
        <f t="shared" si="14"/>
        <v>0</v>
      </c>
      <c r="AW12" s="2040">
        <f t="shared" si="15"/>
        <v>-25.509639576225492</v>
      </c>
      <c r="AX12" s="2139">
        <f t="shared" si="31"/>
        <v>-8.1089737788050389E-4</v>
      </c>
      <c r="AY12" s="2201">
        <v>0</v>
      </c>
      <c r="AZ12" s="2196">
        <f t="shared" si="16"/>
        <v>0</v>
      </c>
      <c r="BA12" s="2229">
        <f>FISCinyear!JL719</f>
        <v>0</v>
      </c>
      <c r="BB12" s="2229">
        <f t="shared" si="32"/>
        <v>0</v>
      </c>
      <c r="BC12" s="2045">
        <f>FISC!AO1041</f>
        <v>0</v>
      </c>
      <c r="BD12" s="2039">
        <f t="shared" si="17"/>
        <v>0</v>
      </c>
      <c r="BE12" s="2040">
        <f t="shared" si="18"/>
        <v>0</v>
      </c>
      <c r="BF12" s="2139">
        <f t="shared" si="19"/>
        <v>0</v>
      </c>
    </row>
    <row r="13" spans="1:58">
      <c r="A13" s="2058" t="s">
        <v>539</v>
      </c>
      <c r="B13" s="2063">
        <v>0</v>
      </c>
      <c r="C13" s="2037">
        <f t="shared" si="0"/>
        <v>0</v>
      </c>
      <c r="D13" s="2045">
        <v>0</v>
      </c>
      <c r="E13" s="2039">
        <f t="shared" si="1"/>
        <v>0</v>
      </c>
      <c r="F13" s="2040">
        <f t="shared" si="33"/>
        <v>0</v>
      </c>
      <c r="G13" s="2130">
        <f t="shared" si="20"/>
        <v>0</v>
      </c>
      <c r="H13" s="2201">
        <v>282.89560402275117</v>
      </c>
      <c r="I13" s="2196">
        <f t="shared" si="2"/>
        <v>1.4401733936590175E-2</v>
      </c>
      <c r="J13" s="2229">
        <v>150.7280633694061</v>
      </c>
      <c r="K13" s="2229">
        <f>FISCinyear!IW721</f>
        <v>153.34802628232532</v>
      </c>
      <c r="L13" s="2218">
        <f t="shared" si="21"/>
        <v>2.6199629129192203</v>
      </c>
      <c r="M13" s="2218">
        <v>132.16754065334507</v>
      </c>
      <c r="N13" s="2218">
        <f t="shared" si="35"/>
        <v>130.92617092231822</v>
      </c>
      <c r="O13" s="2045">
        <f>FISC!AJ1043</f>
        <v>284.27419720464354</v>
      </c>
      <c r="P13" s="2139">
        <f t="shared" si="4"/>
        <v>1.4189807255433826E-2</v>
      </c>
      <c r="Q13" s="2040">
        <f t="shared" si="5"/>
        <v>1.37859318189237</v>
      </c>
      <c r="R13" s="2130">
        <f t="shared" si="6"/>
        <v>-2.1192668115634951E-4</v>
      </c>
      <c r="S13" s="2201">
        <v>0</v>
      </c>
      <c r="T13" s="2196">
        <f t="shared" si="7"/>
        <v>0</v>
      </c>
      <c r="U13" s="2229">
        <f>FISCinyear!IZ721</f>
        <v>143.88927338352678</v>
      </c>
      <c r="V13" s="2229">
        <f t="shared" si="22"/>
        <v>143.88927338352678</v>
      </c>
      <c r="W13" s="2045">
        <f>FISC!AK1043</f>
        <v>287.77854676705357</v>
      </c>
      <c r="X13" s="2139">
        <f t="shared" si="8"/>
        <v>1.270350491640097E-2</v>
      </c>
      <c r="Y13" s="2040">
        <f t="shared" si="23"/>
        <v>287.77854676705357</v>
      </c>
      <c r="Z13" s="2130">
        <f t="shared" si="24"/>
        <v>1.270350491640097E-2</v>
      </c>
      <c r="AA13" s="2201">
        <v>0</v>
      </c>
      <c r="AB13" s="2196">
        <f t="shared" si="9"/>
        <v>0</v>
      </c>
      <c r="AC13" s="2229">
        <f>FISCinyear!JC721</f>
        <v>154.55013356247539</v>
      </c>
      <c r="AD13" s="2229">
        <f t="shared" si="25"/>
        <v>154.55013356247539</v>
      </c>
      <c r="AE13" s="2045">
        <f>FISC!AL1043</f>
        <v>309.10026712495079</v>
      </c>
      <c r="AF13" s="2039">
        <f t="shared" si="10"/>
        <v>1.2091951538091844E-2</v>
      </c>
      <c r="AG13" s="2040">
        <f t="shared" si="26"/>
        <v>309.10026712495079</v>
      </c>
      <c r="AH13" s="2139">
        <f t="shared" si="27"/>
        <v>1.2091951538091844E-2</v>
      </c>
      <c r="AI13" s="2212">
        <v>0</v>
      </c>
      <c r="AJ13" s="2196">
        <f t="shared" si="11"/>
        <v>0</v>
      </c>
      <c r="AK13" s="2229">
        <f>FISCinyear!JF721</f>
        <v>164.78379066986392</v>
      </c>
      <c r="AL13" s="2229">
        <f t="shared" si="28"/>
        <v>164.78379066986392</v>
      </c>
      <c r="AM13" s="2045">
        <f>FISC!AM1043</f>
        <v>329.56758133972784</v>
      </c>
      <c r="AN13" s="2039">
        <f t="shared" si="12"/>
        <v>1.1453232190707294E-2</v>
      </c>
      <c r="AO13" s="2040">
        <f t="shared" si="34"/>
        <v>329.56758133972784</v>
      </c>
      <c r="AP13" s="2139">
        <f t="shared" si="29"/>
        <v>1.1453232190707294E-2</v>
      </c>
      <c r="AQ13" s="2212">
        <v>0</v>
      </c>
      <c r="AR13" s="2196">
        <f t="shared" si="13"/>
        <v>0</v>
      </c>
      <c r="AS13" s="2229">
        <f>FISCinyear!JI721</f>
        <v>174.1115521681055</v>
      </c>
      <c r="AT13" s="2229">
        <f t="shared" si="30"/>
        <v>174.1115521681055</v>
      </c>
      <c r="AU13" s="2045">
        <f>FISC!AN1043</f>
        <v>348.22310433621101</v>
      </c>
      <c r="AV13" s="2039">
        <f t="shared" si="14"/>
        <v>1.0769761730108289E-2</v>
      </c>
      <c r="AW13" s="2040">
        <f t="shared" si="15"/>
        <v>348.22310433621101</v>
      </c>
      <c r="AX13" s="2139">
        <f t="shared" si="31"/>
        <v>1.0769761730108289E-2</v>
      </c>
      <c r="AY13" s="2212">
        <v>0</v>
      </c>
      <c r="AZ13" s="2196">
        <f t="shared" si="16"/>
        <v>0</v>
      </c>
      <c r="BA13" s="2229">
        <f>FISCinyear!JL721</f>
        <v>181.72320687112392</v>
      </c>
      <c r="BB13" s="2229">
        <f t="shared" si="32"/>
        <v>181.72320687112392</v>
      </c>
      <c r="BC13" s="2045">
        <f>FISC!AO1043</f>
        <v>363.44641374224784</v>
      </c>
      <c r="BD13" s="2039">
        <f t="shared" si="17"/>
        <v>1.0004712064935434E-2</v>
      </c>
      <c r="BE13" s="2040">
        <f t="shared" si="18"/>
        <v>363.44641374224784</v>
      </c>
      <c r="BF13" s="2139">
        <f t="shared" si="19"/>
        <v>1.0004712064935434E-2</v>
      </c>
    </row>
    <row r="14" spans="1:58">
      <c r="A14" s="2036" t="s">
        <v>540</v>
      </c>
      <c r="B14" s="2044">
        <v>462.97874841539107</v>
      </c>
      <c r="C14" s="2037">
        <f t="shared" si="0"/>
        <v>2.6810784029474254E-2</v>
      </c>
      <c r="D14" s="2045">
        <v>462.97874841539107</v>
      </c>
      <c r="E14" s="2039">
        <f t="shared" si="1"/>
        <v>2.6087718961818395E-2</v>
      </c>
      <c r="F14" s="2040">
        <f t="shared" si="33"/>
        <v>0</v>
      </c>
      <c r="G14" s="2130">
        <f t="shared" si="20"/>
        <v>-7.2306506765585851E-4</v>
      </c>
      <c r="H14" s="2201">
        <v>303.95142430729857</v>
      </c>
      <c r="I14" s="2196">
        <f t="shared" si="2"/>
        <v>1.5473649926950784E-2</v>
      </c>
      <c r="J14" s="2229">
        <v>159.49292664455038</v>
      </c>
      <c r="K14" s="2229">
        <f>FISCinyear!IW722</f>
        <v>173.56980081617976</v>
      </c>
      <c r="L14" s="2218">
        <f t="shared" si="21"/>
        <v>14.076874171629385</v>
      </c>
      <c r="M14" s="2218">
        <v>144.45849766274819</v>
      </c>
      <c r="N14" s="2218">
        <f t="shared" si="35"/>
        <v>131.8628248785495</v>
      </c>
      <c r="O14" s="2045">
        <f>FISC!AJ1044</f>
        <v>305.43262569472927</v>
      </c>
      <c r="P14" s="2139">
        <f t="shared" si="4"/>
        <v>1.5245949617471924E-2</v>
      </c>
      <c r="Q14" s="2040">
        <f t="shared" si="5"/>
        <v>1.4812013874307013</v>
      </c>
      <c r="R14" s="2130">
        <f t="shared" si="6"/>
        <v>-2.2770030947886002E-4</v>
      </c>
      <c r="S14" s="2201">
        <v>589.0281950058743</v>
      </c>
      <c r="T14" s="2196">
        <f t="shared" si="7"/>
        <v>2.670016731565214E-2</v>
      </c>
      <c r="U14" s="2229">
        <f>FISCinyear!IZ722</f>
        <v>142.52901593957691</v>
      </c>
      <c r="V14" s="2229">
        <f t="shared" si="22"/>
        <v>124.97170270608635</v>
      </c>
      <c r="W14" s="2045">
        <f>FISC!AK1044</f>
        <v>267.50071864566326</v>
      </c>
      <c r="X14" s="2139">
        <f t="shared" si="8"/>
        <v>1.1808373948064636E-2</v>
      </c>
      <c r="Y14" s="2040">
        <f t="shared" si="23"/>
        <v>-321.52747636021104</v>
      </c>
      <c r="Z14" s="2130">
        <f t="shared" si="24"/>
        <v>-1.4891793367587504E-2</v>
      </c>
      <c r="AA14" s="2201">
        <v>616.69095010727392</v>
      </c>
      <c r="AB14" s="2196">
        <f t="shared" si="9"/>
        <v>2.4858385119263512E-2</v>
      </c>
      <c r="AC14" s="2229">
        <f>FISCinyear!JC722</f>
        <v>127.25262270535247</v>
      </c>
      <c r="AD14" s="2229">
        <f t="shared" si="25"/>
        <v>159.40632645727283</v>
      </c>
      <c r="AE14" s="2045">
        <f>FISC!AL1044</f>
        <v>286.65894916262528</v>
      </c>
      <c r="AF14" s="2039">
        <f t="shared" si="10"/>
        <v>1.1214050875710159E-2</v>
      </c>
      <c r="AG14" s="2040">
        <f t="shared" si="26"/>
        <v>-330.03200094464864</v>
      </c>
      <c r="AH14" s="2139">
        <f t="shared" si="27"/>
        <v>-1.3644334243553354E-2</v>
      </c>
      <c r="AI14" s="2201">
        <v>476.53621065766083</v>
      </c>
      <c r="AJ14" s="2196">
        <f t="shared" si="11"/>
        <v>1.7056733781434429E-2</v>
      </c>
      <c r="AK14" s="2229">
        <f>FISCinyear!JF722</f>
        <v>135.67875393387087</v>
      </c>
      <c r="AL14" s="2229">
        <f t="shared" si="28"/>
        <v>171.67567945890895</v>
      </c>
      <c r="AM14" s="2045">
        <f>FISC!AM1044</f>
        <v>307.35443339277981</v>
      </c>
      <c r="AN14" s="2039">
        <f t="shared" si="12"/>
        <v>1.0681274159857552E-2</v>
      </c>
      <c r="AO14" s="2040">
        <f t="shared" si="34"/>
        <v>-169.18177726488102</v>
      </c>
      <c r="AP14" s="2139">
        <f t="shared" si="29"/>
        <v>-6.3754596215768768E-3</v>
      </c>
      <c r="AQ14" s="2201">
        <v>526.43794561928883</v>
      </c>
      <c r="AR14" s="2196">
        <f t="shared" si="13"/>
        <v>1.6734346576865455E-2</v>
      </c>
      <c r="AS14" s="2229">
        <f>FISCinyear!JI722</f>
        <v>143.35899391335573</v>
      </c>
      <c r="AT14" s="2229">
        <f t="shared" si="30"/>
        <v>175.96005368108149</v>
      </c>
      <c r="AU14" s="2045">
        <f>FISC!AN1044</f>
        <v>319.31904759443722</v>
      </c>
      <c r="AV14" s="2039">
        <f t="shared" si="14"/>
        <v>9.8758239061496524E-3</v>
      </c>
      <c r="AW14" s="2040">
        <f t="shared" si="15"/>
        <v>-207.1188980248516</v>
      </c>
      <c r="AX14" s="2139">
        <f t="shared" si="31"/>
        <v>-6.8585226707158029E-3</v>
      </c>
      <c r="AY14" s="2201">
        <v>542.07579102835109</v>
      </c>
      <c r="AZ14" s="2196">
        <f t="shared" si="16"/>
        <v>1.5303233161732613E-2</v>
      </c>
      <c r="BA14" s="2229">
        <f>FISCinyear!JL722</f>
        <v>149.62623549872177</v>
      </c>
      <c r="BB14" s="2229">
        <f t="shared" si="32"/>
        <v>181.76217042360423</v>
      </c>
      <c r="BC14" s="2045">
        <f>FISC!AO1044</f>
        <v>331.388405922326</v>
      </c>
      <c r="BD14" s="2039">
        <f t="shared" si="17"/>
        <v>9.1222404666842938E-3</v>
      </c>
      <c r="BE14" s="2040">
        <f t="shared" si="18"/>
        <v>-210.68738510602509</v>
      </c>
      <c r="BF14" s="2139">
        <f t="shared" si="19"/>
        <v>-6.180992695048319E-3</v>
      </c>
    </row>
    <row r="15" spans="1:58">
      <c r="A15" s="2058" t="s">
        <v>538</v>
      </c>
      <c r="B15" s="2044">
        <v>16.262190163747064</v>
      </c>
      <c r="C15" s="2037">
        <f t="shared" si="0"/>
        <v>9.4173235773508085E-4</v>
      </c>
      <c r="D15" s="2045">
        <v>16.262190163747064</v>
      </c>
      <c r="E15" s="2039">
        <f t="shared" si="1"/>
        <v>9.1633460098873413E-4</v>
      </c>
      <c r="F15" s="2040">
        <f t="shared" si="33"/>
        <v>0</v>
      </c>
      <c r="G15" s="2130">
        <f t="shared" si="20"/>
        <v>-2.5397756746346712E-5</v>
      </c>
      <c r="H15" s="2201">
        <v>146.18770914736928</v>
      </c>
      <c r="I15" s="2196">
        <f t="shared" si="2"/>
        <v>7.4421675770215369E-3</v>
      </c>
      <c r="J15" s="2229">
        <v>71.340916317167768</v>
      </c>
      <c r="K15" s="2229">
        <f>FISCinyear!IW723</f>
        <v>83.88552773298251</v>
      </c>
      <c r="L15" s="2218">
        <f t="shared" si="21"/>
        <v>12.544611415814742</v>
      </c>
      <c r="M15" s="2218">
        <v>74.846792830201508</v>
      </c>
      <c r="N15" s="2218">
        <f t="shared" si="35"/>
        <v>63.014576291653313</v>
      </c>
      <c r="O15" s="2045">
        <f>FISC!AJ1045</f>
        <v>146.90010402463582</v>
      </c>
      <c r="P15" s="2139">
        <f t="shared" si="4"/>
        <v>7.3326534114251003E-3</v>
      </c>
      <c r="Q15" s="2040">
        <f t="shared" si="5"/>
        <v>0.71239487726654716</v>
      </c>
      <c r="R15" s="2130">
        <f t="shared" si="6"/>
        <v>-1.0951416559643653E-4</v>
      </c>
      <c r="S15" s="2201">
        <v>129.58703699224719</v>
      </c>
      <c r="T15" s="2196">
        <f t="shared" si="7"/>
        <v>5.8740746181056708E-3</v>
      </c>
      <c r="U15" s="2229">
        <f>FISCinyear!IZ723</f>
        <v>66.743557741371561</v>
      </c>
      <c r="V15" s="2229">
        <f t="shared" si="22"/>
        <v>49.186244507881</v>
      </c>
      <c r="W15" s="2045">
        <f>FISC!AK1045</f>
        <v>115.92980224925256</v>
      </c>
      <c r="X15" s="2139">
        <f t="shared" si="8"/>
        <v>5.1175281457755155E-3</v>
      </c>
      <c r="Y15" s="2040">
        <f t="shared" si="23"/>
        <v>-13.657234742994632</v>
      </c>
      <c r="Z15" s="2130">
        <f t="shared" si="24"/>
        <v>-7.5654647233015532E-4</v>
      </c>
      <c r="AA15" s="2201">
        <v>121.82505734313246</v>
      </c>
      <c r="AB15" s="2196">
        <f t="shared" si="9"/>
        <v>4.9106836934856265E-3</v>
      </c>
      <c r="AC15" s="2229">
        <f>FISCinyear!JC723</f>
        <v>45.852165178495838</v>
      </c>
      <c r="AD15" s="2229">
        <f t="shared" si="25"/>
        <v>78.005868930416199</v>
      </c>
      <c r="AE15" s="2045">
        <f>FISC!AL1045</f>
        <v>123.85803410891204</v>
      </c>
      <c r="AF15" s="2039">
        <f t="shared" si="10"/>
        <v>4.845305893711396E-3</v>
      </c>
      <c r="AG15" s="2040">
        <f t="shared" si="26"/>
        <v>2.0329767657795799</v>
      </c>
      <c r="AH15" s="2139">
        <f t="shared" si="27"/>
        <v>-6.5377799774230493E-5</v>
      </c>
      <c r="AI15" s="2201">
        <v>16.738397829598281</v>
      </c>
      <c r="AJ15" s="2196">
        <f t="shared" si="11"/>
        <v>5.9912004444149158E-4</v>
      </c>
      <c r="AK15" s="2229">
        <f>FISCinyear!JF723</f>
        <v>48.888301901589536</v>
      </c>
      <c r="AL15" s="2229">
        <f t="shared" si="28"/>
        <v>84.885227426627665</v>
      </c>
      <c r="AM15" s="2045">
        <f>FISC!AM1045</f>
        <v>133.77352932821719</v>
      </c>
      <c r="AN15" s="2039">
        <f t="shared" si="12"/>
        <v>4.6489381210923471E-3</v>
      </c>
      <c r="AO15" s="2040">
        <f t="shared" si="34"/>
        <v>117.03513149861891</v>
      </c>
      <c r="AP15" s="2139">
        <f t="shared" si="29"/>
        <v>4.049818076650856E-3</v>
      </c>
      <c r="AQ15" s="2201">
        <v>0</v>
      </c>
      <c r="AR15" s="2196">
        <f t="shared" si="13"/>
        <v>0</v>
      </c>
      <c r="AS15" s="2229">
        <f>FISCinyear!JI723</f>
        <v>51.655676158112549</v>
      </c>
      <c r="AT15" s="2229">
        <f t="shared" si="30"/>
        <v>84.256735925838285</v>
      </c>
      <c r="AU15" s="2045">
        <f>FISC!AN1045</f>
        <v>135.91241208395084</v>
      </c>
      <c r="AV15" s="2039">
        <f t="shared" si="14"/>
        <v>4.2034669040661625E-3</v>
      </c>
      <c r="AW15" s="2040">
        <f t="shared" si="15"/>
        <v>135.91241208395084</v>
      </c>
      <c r="AX15" s="2139">
        <f t="shared" si="31"/>
        <v>4.2034669040661625E-3</v>
      </c>
      <c r="AY15" s="2201">
        <v>0</v>
      </c>
      <c r="AZ15" s="2196">
        <f t="shared" si="16"/>
        <v>0</v>
      </c>
      <c r="BA15" s="2229">
        <f>FISCinyear!JL723</f>
        <v>53.913913279489023</v>
      </c>
      <c r="BB15" s="2229">
        <f t="shared" si="32"/>
        <v>86.049848204371429</v>
      </c>
      <c r="BC15" s="2045">
        <f>FISC!AO1045</f>
        <v>139.96376148386045</v>
      </c>
      <c r="BD15" s="2039">
        <f t="shared" si="17"/>
        <v>3.8528296888476091E-3</v>
      </c>
      <c r="BE15" s="2040">
        <f t="shared" si="18"/>
        <v>139.96376148386045</v>
      </c>
      <c r="BF15" s="2139">
        <f t="shared" si="19"/>
        <v>3.8528296888476091E-3</v>
      </c>
    </row>
    <row r="16" spans="1:58">
      <c r="A16" s="2058" t="s">
        <v>539</v>
      </c>
      <c r="B16" s="2044">
        <v>446.71655825164402</v>
      </c>
      <c r="C16" s="2037">
        <f t="shared" si="0"/>
        <v>2.5869051671739172E-2</v>
      </c>
      <c r="D16" s="2045">
        <v>446.71655825164402</v>
      </c>
      <c r="E16" s="2039">
        <f t="shared" si="1"/>
        <v>2.5171384360829663E-2</v>
      </c>
      <c r="F16" s="2040">
        <f t="shared" si="33"/>
        <v>0</v>
      </c>
      <c r="G16" s="2130">
        <f t="shared" si="20"/>
        <v>-6.9766731090950898E-4</v>
      </c>
      <c r="H16" s="2201">
        <v>157.76371515992932</v>
      </c>
      <c r="I16" s="2196">
        <f t="shared" si="2"/>
        <v>8.03148234992925E-3</v>
      </c>
      <c r="J16" s="2229">
        <v>88.152010327382598</v>
      </c>
      <c r="K16" s="2229">
        <f>FISCinyear!IW724</f>
        <v>89.684273083197269</v>
      </c>
      <c r="L16" s="2218">
        <f t="shared" si="21"/>
        <v>1.5322627558146706</v>
      </c>
      <c r="M16" s="2218">
        <v>69.611704832546721</v>
      </c>
      <c r="N16" s="2218">
        <f t="shared" si="35"/>
        <v>68.848248586896176</v>
      </c>
      <c r="O16" s="2045">
        <f>FISC!AJ1046</f>
        <v>158.53252167009344</v>
      </c>
      <c r="P16" s="2139">
        <f t="shared" si="4"/>
        <v>7.9132962060468239E-3</v>
      </c>
      <c r="Q16" s="2040">
        <f t="shared" si="5"/>
        <v>0.76880651016412571</v>
      </c>
      <c r="R16" s="2130">
        <f t="shared" si="6"/>
        <v>-1.181861438824261E-4</v>
      </c>
      <c r="S16" s="2201">
        <v>459.44115801362705</v>
      </c>
      <c r="T16" s="2196">
        <f t="shared" si="7"/>
        <v>2.0826092697546469E-2</v>
      </c>
      <c r="U16" s="2229">
        <f>FISCinyear!IZ724</f>
        <v>75.785458198205347</v>
      </c>
      <c r="V16" s="2229">
        <f t="shared" si="22"/>
        <v>75.785458198205347</v>
      </c>
      <c r="W16" s="2045">
        <f>FISC!AK1046</f>
        <v>151.57091639641069</v>
      </c>
      <c r="X16" s="2139">
        <f t="shared" si="8"/>
        <v>6.6908458022891205E-3</v>
      </c>
      <c r="Y16" s="2040">
        <f t="shared" si="23"/>
        <v>-307.87024161721638</v>
      </c>
      <c r="Z16" s="2130">
        <f t="shared" si="24"/>
        <v>-1.4135246895257348E-2</v>
      </c>
      <c r="AA16" s="2201">
        <v>494.86589276414151</v>
      </c>
      <c r="AB16" s="2196">
        <f t="shared" si="9"/>
        <v>1.9947701425777887E-2</v>
      </c>
      <c r="AC16" s="2229">
        <f>FISCinyear!JC724</f>
        <v>81.400457526856627</v>
      </c>
      <c r="AD16" s="2229">
        <f t="shared" si="25"/>
        <v>81.400457526856627</v>
      </c>
      <c r="AE16" s="2045">
        <f>FISC!AL1046</f>
        <v>162.80091505371325</v>
      </c>
      <c r="AF16" s="2039">
        <f t="shared" si="10"/>
        <v>6.3687449819987627E-3</v>
      </c>
      <c r="AG16" s="2040">
        <f t="shared" si="26"/>
        <v>-332.06497771042825</v>
      </c>
      <c r="AH16" s="2139">
        <f t="shared" si="27"/>
        <v>-1.3578956443779124E-2</v>
      </c>
      <c r="AI16" s="2201">
        <v>459.79781282806255</v>
      </c>
      <c r="AJ16" s="2196">
        <f t="shared" si="11"/>
        <v>1.6457613736992938E-2</v>
      </c>
      <c r="AK16" s="2229">
        <f>FISCinyear!JF724</f>
        <v>86.790452032281323</v>
      </c>
      <c r="AL16" s="2229">
        <f t="shared" si="28"/>
        <v>86.790452032281323</v>
      </c>
      <c r="AM16" s="2045">
        <f>FISC!AM1046</f>
        <v>173.58090406456265</v>
      </c>
      <c r="AN16" s="2039">
        <f t="shared" si="12"/>
        <v>6.0323360387652056E-3</v>
      </c>
      <c r="AO16" s="2040">
        <f t="shared" si="34"/>
        <v>-286.21690876349987</v>
      </c>
      <c r="AP16" s="2139">
        <f t="shared" si="29"/>
        <v>-1.0425277698227733E-2</v>
      </c>
      <c r="AQ16" s="2201">
        <v>526.43794561928883</v>
      </c>
      <c r="AR16" s="2196">
        <f t="shared" si="13"/>
        <v>1.6734346576865455E-2</v>
      </c>
      <c r="AS16" s="2229">
        <f>FISCinyear!JI724</f>
        <v>91.703317755243191</v>
      </c>
      <c r="AT16" s="2229">
        <f t="shared" si="30"/>
        <v>91.703317755243191</v>
      </c>
      <c r="AU16" s="2045">
        <f>FISC!AN1046</f>
        <v>183.40663551048638</v>
      </c>
      <c r="AV16" s="2039">
        <f t="shared" si="14"/>
        <v>5.6723570020834899E-3</v>
      </c>
      <c r="AW16" s="2040">
        <f t="shared" si="15"/>
        <v>-343.03131010880247</v>
      </c>
      <c r="AX16" s="2139">
        <f t="shared" si="31"/>
        <v>-1.1061989574781966E-2</v>
      </c>
      <c r="AY16" s="2201">
        <v>542.07579102835109</v>
      </c>
      <c r="AZ16" s="2196">
        <f t="shared" si="16"/>
        <v>1.5303233161732613E-2</v>
      </c>
      <c r="BA16" s="2229">
        <f>FISCinyear!JL724</f>
        <v>95.71232221923276</v>
      </c>
      <c r="BB16" s="2229">
        <f t="shared" si="32"/>
        <v>95.71232221923276</v>
      </c>
      <c r="BC16" s="2045">
        <f>FISC!AO1046</f>
        <v>191.42464443846552</v>
      </c>
      <c r="BD16" s="2039">
        <f t="shared" si="17"/>
        <v>5.2694107778366844E-3</v>
      </c>
      <c r="BE16" s="2040">
        <f t="shared" si="18"/>
        <v>-350.65114658988557</v>
      </c>
      <c r="BF16" s="2139">
        <f t="shared" si="19"/>
        <v>-1.0033822383895928E-2</v>
      </c>
    </row>
    <row r="17" spans="1:60">
      <c r="A17" s="2147" t="s">
        <v>3187</v>
      </c>
      <c r="B17" s="2065">
        <v>0</v>
      </c>
      <c r="C17" s="2048">
        <f t="shared" si="0"/>
        <v>0</v>
      </c>
      <c r="D17" s="2066">
        <v>0</v>
      </c>
      <c r="E17" s="2050">
        <f t="shared" si="1"/>
        <v>0</v>
      </c>
      <c r="F17" s="2051">
        <f t="shared" si="33"/>
        <v>0</v>
      </c>
      <c r="G17" s="2131">
        <f t="shared" si="20"/>
        <v>0</v>
      </c>
      <c r="H17" s="2202">
        <v>0</v>
      </c>
      <c r="I17" s="2203">
        <f t="shared" si="2"/>
        <v>0</v>
      </c>
      <c r="J17" s="2230">
        <v>0</v>
      </c>
      <c r="K17" s="2230">
        <f>FISCinyear!IW729</f>
        <v>0</v>
      </c>
      <c r="L17" s="2220">
        <f t="shared" si="21"/>
        <v>0</v>
      </c>
      <c r="M17" s="2220">
        <v>0</v>
      </c>
      <c r="N17" s="2220">
        <f t="shared" si="35"/>
        <v>0</v>
      </c>
      <c r="O17" s="2066">
        <f>H17</f>
        <v>0</v>
      </c>
      <c r="P17" s="2140">
        <f t="shared" si="4"/>
        <v>0</v>
      </c>
      <c r="Q17" s="2051">
        <f t="shared" si="5"/>
        <v>0</v>
      </c>
      <c r="R17" s="2131">
        <f t="shared" si="6"/>
        <v>0</v>
      </c>
      <c r="S17" s="2202">
        <v>164.11105109244869</v>
      </c>
      <c r="T17" s="2203">
        <f t="shared" si="7"/>
        <v>7.4390199988172354E-3</v>
      </c>
      <c r="U17" s="2230">
        <f>FISCinyear!IZ729</f>
        <v>0</v>
      </c>
      <c r="V17" s="2230">
        <f t="shared" si="22"/>
        <v>0</v>
      </c>
      <c r="W17" s="2066">
        <f>FISC!AK1051</f>
        <v>0</v>
      </c>
      <c r="X17" s="2140">
        <f t="shared" si="8"/>
        <v>0</v>
      </c>
      <c r="Y17" s="2051">
        <f t="shared" si="23"/>
        <v>-164.11105109244869</v>
      </c>
      <c r="Z17" s="2131">
        <f t="shared" si="24"/>
        <v>-7.4390199988172354E-3</v>
      </c>
      <c r="AA17" s="2202">
        <v>194.15273721995695</v>
      </c>
      <c r="AB17" s="2203">
        <f t="shared" si="9"/>
        <v>7.8261623799300347E-3</v>
      </c>
      <c r="AC17" s="2230">
        <f>FISCinyear!JC729</f>
        <v>32.153703751920332</v>
      </c>
      <c r="AD17" s="2230">
        <f t="shared" si="25"/>
        <v>32.153703751920332</v>
      </c>
      <c r="AE17" s="2066">
        <f>FISC!AL1051</f>
        <v>64.307407503840665</v>
      </c>
      <c r="AF17" s="2050">
        <f t="shared" si="10"/>
        <v>2.5156951894914634E-3</v>
      </c>
      <c r="AG17" s="2051">
        <f t="shared" si="26"/>
        <v>-129.84532971611628</v>
      </c>
      <c r="AH17" s="2140">
        <f t="shared" si="27"/>
        <v>-5.3104671904385713E-3</v>
      </c>
      <c r="AI17" s="2202">
        <v>209.22997286997852</v>
      </c>
      <c r="AJ17" s="2203">
        <f t="shared" si="11"/>
        <v>7.489000555518645E-3</v>
      </c>
      <c r="AK17" s="2230">
        <f>FISCinyear!JF729</f>
        <v>51.424179321483031</v>
      </c>
      <c r="AL17" s="2230">
        <f t="shared" si="28"/>
        <v>51.424179321483031</v>
      </c>
      <c r="AM17" s="2066">
        <f>FISC!AM1051</f>
        <v>102.84835864296606</v>
      </c>
      <c r="AN17" s="2050">
        <f t="shared" si="12"/>
        <v>3.5742172430387399E-3</v>
      </c>
      <c r="AO17" s="2051">
        <f t="shared" si="34"/>
        <v>-106.38161422701246</v>
      </c>
      <c r="AP17" s="2140">
        <f t="shared" si="29"/>
        <v>-3.9147833124799046E-3</v>
      </c>
      <c r="AQ17" s="2202">
        <v>219.91068600194387</v>
      </c>
      <c r="AR17" s="2203">
        <f t="shared" si="13"/>
        <v>6.9904946369008947E-3</v>
      </c>
      <c r="AS17" s="2230">
        <f>FISCinyear!JI729</f>
        <v>72.446799483835008</v>
      </c>
      <c r="AT17" s="2230">
        <f t="shared" si="30"/>
        <v>54.335099612876263</v>
      </c>
      <c r="AU17" s="2066">
        <f>FISC!AN1051</f>
        <v>126.78189909671127</v>
      </c>
      <c r="AV17" s="2050">
        <f t="shared" si="14"/>
        <v>3.9210805600190766E-3</v>
      </c>
      <c r="AW17" s="2051">
        <f t="shared" si="15"/>
        <v>-93.128786905232602</v>
      </c>
      <c r="AX17" s="2140">
        <f t="shared" si="31"/>
        <v>-3.0694140768818181E-3</v>
      </c>
      <c r="AY17" s="2202">
        <v>229.20629720779291</v>
      </c>
      <c r="AZ17" s="2203">
        <f t="shared" si="16"/>
        <v>6.4706771015435125E-3</v>
      </c>
      <c r="BA17" s="2230">
        <f>FISCinyear!JL729</f>
        <v>75.613964529135089</v>
      </c>
      <c r="BB17" s="2230">
        <f t="shared" si="32"/>
        <v>94.517455661418879</v>
      </c>
      <c r="BC17" s="2066">
        <f>FISC!AO1051</f>
        <v>170.13142019055397</v>
      </c>
      <c r="BD17" s="2050">
        <f t="shared" si="17"/>
        <v>4.6832650092185442E-3</v>
      </c>
      <c r="BE17" s="2051">
        <f t="shared" si="18"/>
        <v>-59.074877017238947</v>
      </c>
      <c r="BF17" s="2140">
        <f t="shared" si="19"/>
        <v>-1.7874120923249684E-3</v>
      </c>
    </row>
    <row r="18" spans="1:60" ht="13.5">
      <c r="A18" s="2031" t="s">
        <v>542</v>
      </c>
      <c r="B18" s="2053">
        <v>463.19439444896761</v>
      </c>
      <c r="C18" s="2054">
        <f t="shared" si="0"/>
        <v>2.6823271944422449E-2</v>
      </c>
      <c r="D18" s="2055">
        <f>FISC!AI1052</f>
        <v>460.01542773408448</v>
      </c>
      <c r="E18" s="2056">
        <f t="shared" si="1"/>
        <v>2.5920743096528115E-2</v>
      </c>
      <c r="F18" s="2057">
        <f t="shared" si="33"/>
        <v>-3.1789667148831313</v>
      </c>
      <c r="G18" s="2132">
        <f t="shared" si="20"/>
        <v>-9.0252884789433427E-4</v>
      </c>
      <c r="H18" s="2199">
        <v>553.63895572017907</v>
      </c>
      <c r="I18" s="2200">
        <f t="shared" si="2"/>
        <v>2.8184817380804583E-2</v>
      </c>
      <c r="J18" s="2228">
        <v>292.82339964212593</v>
      </c>
      <c r="K18" s="2228">
        <f>FISCinyear!IW730</f>
        <v>308.94301844773895</v>
      </c>
      <c r="L18" s="2219">
        <f t="shared" si="21"/>
        <v>16.119618805613015</v>
      </c>
      <c r="M18" s="2219">
        <v>260.81555607805313</v>
      </c>
      <c r="N18" s="2219">
        <f t="shared" si="35"/>
        <v>244.00473487308784</v>
      </c>
      <c r="O18" s="2055">
        <f>FISC!AJ1052</f>
        <v>552.94775332082679</v>
      </c>
      <c r="P18" s="2141">
        <f t="shared" si="4"/>
        <v>2.760089420391312E-2</v>
      </c>
      <c r="Q18" s="2057">
        <f t="shared" si="5"/>
        <v>-0.69120239935227801</v>
      </c>
      <c r="R18" s="2132">
        <f t="shared" si="6"/>
        <v>-5.8392317689146336E-4</v>
      </c>
      <c r="S18" s="2199">
        <v>613.4824674348863</v>
      </c>
      <c r="T18" s="2200">
        <f t="shared" si="7"/>
        <v>2.7808659525317331E-2</v>
      </c>
      <c r="U18" s="2228">
        <f>FISCinyear!IZ730</f>
        <v>272.21435127329619</v>
      </c>
      <c r="V18" s="2228">
        <f t="shared" si="22"/>
        <v>272.21435127329619</v>
      </c>
      <c r="W18" s="2055">
        <f>FISC!AK1052</f>
        <v>544.42870254659238</v>
      </c>
      <c r="X18" s="2141">
        <f t="shared" si="8"/>
        <v>2.4032898828378668E-2</v>
      </c>
      <c r="Y18" s="2057">
        <f t="shared" si="23"/>
        <v>-69.053764888293927</v>
      </c>
      <c r="Z18" s="2132">
        <f t="shared" si="24"/>
        <v>-3.7757606969386626E-3</v>
      </c>
      <c r="AA18" s="2199">
        <v>623.9751606329844</v>
      </c>
      <c r="AB18" s="2200">
        <f t="shared" si="9"/>
        <v>2.5152006600990148E-2</v>
      </c>
      <c r="AC18" s="2228">
        <f>FISCinyear!JC730</f>
        <v>303.95823619365837</v>
      </c>
      <c r="AD18" s="2228">
        <f t="shared" si="25"/>
        <v>303.95823619365837</v>
      </c>
      <c r="AE18" s="2055">
        <f>FISC!AL1052</f>
        <v>607.91647238731673</v>
      </c>
      <c r="AF18" s="2056">
        <f t="shared" si="10"/>
        <v>2.3781592270004908E-2</v>
      </c>
      <c r="AG18" s="2057">
        <f t="shared" si="26"/>
        <v>-16.058688245667668</v>
      </c>
      <c r="AH18" s="2141">
        <f t="shared" si="27"/>
        <v>-1.3704143309852396E-3</v>
      </c>
      <c r="AI18" s="2199">
        <v>699.36150028040822</v>
      </c>
      <c r="AJ18" s="2200">
        <f t="shared" si="11"/>
        <v>2.5032353597651488E-2</v>
      </c>
      <c r="AK18" s="2228">
        <f>FISCinyear!JF730</f>
        <v>346.37374038914453</v>
      </c>
      <c r="AL18" s="2228">
        <f t="shared" si="28"/>
        <v>346.37374038914453</v>
      </c>
      <c r="AM18" s="2055">
        <f>FISC!AM1052</f>
        <v>692.74748077828906</v>
      </c>
      <c r="AN18" s="2056">
        <f t="shared" si="12"/>
        <v>2.4074569818511613E-2</v>
      </c>
      <c r="AO18" s="2057">
        <f t="shared" si="34"/>
        <v>-6.614019502119163</v>
      </c>
      <c r="AP18" s="2141">
        <f t="shared" si="29"/>
        <v>-9.5778377913987439E-4</v>
      </c>
      <c r="AQ18" s="2199">
        <v>772.25046246064801</v>
      </c>
      <c r="AR18" s="2200">
        <f t="shared" si="13"/>
        <v>2.4548205520707061E-2</v>
      </c>
      <c r="AS18" s="2228">
        <f>FISCinyear!JI730</f>
        <v>385.50802314137593</v>
      </c>
      <c r="AT18" s="2228">
        <f t="shared" si="30"/>
        <v>385.50802314137593</v>
      </c>
      <c r="AU18" s="2055">
        <f>FISC!AN1052</f>
        <v>771.01604628275186</v>
      </c>
      <c r="AV18" s="2056">
        <f t="shared" si="14"/>
        <v>2.3845801743637783E-2</v>
      </c>
      <c r="AW18" s="2057">
        <f t="shared" si="15"/>
        <v>-1.2344161778961507</v>
      </c>
      <c r="AX18" s="2141">
        <f t="shared" si="31"/>
        <v>-7.0240377706927773E-4</v>
      </c>
      <c r="AY18" s="2199">
        <v>940.12165106713417</v>
      </c>
      <c r="AZ18" s="2200">
        <f t="shared" si="16"/>
        <v>2.6540386168842824E-2</v>
      </c>
      <c r="BA18" s="2228">
        <f>FISCinyear!JL730</f>
        <v>444.94490101075536</v>
      </c>
      <c r="BB18" s="2228">
        <f t="shared" si="32"/>
        <v>444.94490101075536</v>
      </c>
      <c r="BC18" s="2055">
        <f>FISC!AO1052</f>
        <v>889.88980202151072</v>
      </c>
      <c r="BD18" s="2056">
        <f t="shared" si="17"/>
        <v>2.4496296846284432E-2</v>
      </c>
      <c r="BE18" s="2057">
        <f t="shared" si="18"/>
        <v>-50.231849045623449</v>
      </c>
      <c r="BF18" s="2141">
        <f t="shared" si="19"/>
        <v>-2.0440893225583921E-3</v>
      </c>
    </row>
    <row r="19" spans="1:60">
      <c r="A19" s="2036" t="s">
        <v>543</v>
      </c>
      <c r="B19" s="2044">
        <v>22.609286810444505</v>
      </c>
      <c r="C19" s="2037">
        <f t="shared" si="0"/>
        <v>1.3092884021350408E-3</v>
      </c>
      <c r="D19" s="2045">
        <f>FISC!AI1053</f>
        <v>24.476467754939073</v>
      </c>
      <c r="E19" s="2039">
        <f t="shared" si="1"/>
        <v>1.3791890322273665E-3</v>
      </c>
      <c r="F19" s="2040">
        <f t="shared" si="33"/>
        <v>1.8671809444945673</v>
      </c>
      <c r="G19" s="2130">
        <f t="shared" si="20"/>
        <v>6.9900630092325665E-5</v>
      </c>
      <c r="H19" s="2201">
        <v>24.536088380129197</v>
      </c>
      <c r="I19" s="2196">
        <f t="shared" si="2"/>
        <v>1.249090518447449E-3</v>
      </c>
      <c r="J19" s="2229">
        <v>11.777322422462014</v>
      </c>
      <c r="K19" s="2229">
        <f>FISCinyear!IW731</f>
        <v>3.6416889182000003</v>
      </c>
      <c r="L19" s="2218">
        <f t="shared" si="21"/>
        <v>-8.1356335042620138</v>
      </c>
      <c r="M19" s="2218">
        <v>12.758765957667183</v>
      </c>
      <c r="N19" s="2218">
        <f t="shared" si="35"/>
        <v>20.894399461929197</v>
      </c>
      <c r="O19" s="2045">
        <f>FISC!AJ1053</f>
        <v>24.536088380129197</v>
      </c>
      <c r="P19" s="2139">
        <f t="shared" si="4"/>
        <v>1.2247413530313744E-3</v>
      </c>
      <c r="Q19" s="2040">
        <f t="shared" si="5"/>
        <v>0</v>
      </c>
      <c r="R19" s="2130">
        <f t="shared" si="6"/>
        <v>-2.4349165416074616E-5</v>
      </c>
      <c r="S19" s="2201">
        <v>26.396938397542488</v>
      </c>
      <c r="T19" s="2196">
        <f t="shared" si="7"/>
        <v>1.1965516724175113E-3</v>
      </c>
      <c r="U19" s="2229">
        <f>FISCinyear!IZ731</f>
        <v>13.198469198771244</v>
      </c>
      <c r="V19" s="2229">
        <f t="shared" si="22"/>
        <v>13.198469198771244</v>
      </c>
      <c r="W19" s="2045">
        <f>FISC!AK1053</f>
        <v>26.396938397542488</v>
      </c>
      <c r="X19" s="2139">
        <f t="shared" si="8"/>
        <v>1.1652489057238694E-3</v>
      </c>
      <c r="Y19" s="2040">
        <f t="shared" si="23"/>
        <v>0</v>
      </c>
      <c r="Z19" s="2130">
        <f t="shared" si="24"/>
        <v>-3.130276669364193E-5</v>
      </c>
      <c r="AA19" s="2201">
        <v>29.476193147379906</v>
      </c>
      <c r="AB19" s="2196">
        <f t="shared" si="9"/>
        <v>1.1881649324996689E-3</v>
      </c>
      <c r="AC19" s="2229">
        <f>FISCinyear!JF731</f>
        <v>15.98713573627705</v>
      </c>
      <c r="AD19" s="2229">
        <f t="shared" si="25"/>
        <v>13.489057411102863</v>
      </c>
      <c r="AE19" s="2045">
        <f>FISC!AL1053</f>
        <v>29.476193147379913</v>
      </c>
      <c r="AF19" s="2039">
        <f t="shared" si="10"/>
        <v>1.1531038209082866E-3</v>
      </c>
      <c r="AG19" s="2040">
        <f t="shared" si="26"/>
        <v>0</v>
      </c>
      <c r="AH19" s="2139">
        <f t="shared" si="27"/>
        <v>-3.5061111591382262E-5</v>
      </c>
      <c r="AI19" s="2201">
        <v>31.974271472554097</v>
      </c>
      <c r="AJ19" s="2196">
        <f t="shared" si="11"/>
        <v>1.1444600098909632E-3</v>
      </c>
      <c r="AK19" s="2229">
        <f>FISCinyear!JF731</f>
        <v>15.98713573627705</v>
      </c>
      <c r="AL19" s="2229">
        <f t="shared" si="28"/>
        <v>15.98713573627705</v>
      </c>
      <c r="AM19" s="2045">
        <f>FISC!AM1053</f>
        <v>31.974271472554101</v>
      </c>
      <c r="AN19" s="2039">
        <f t="shared" si="12"/>
        <v>1.1111795456798038E-3</v>
      </c>
      <c r="AO19" s="2040">
        <f t="shared" si="34"/>
        <v>0</v>
      </c>
      <c r="AP19" s="2139">
        <f t="shared" si="29"/>
        <v>-3.3280464211159428E-5</v>
      </c>
      <c r="AQ19" s="2201">
        <v>36.130926763986118</v>
      </c>
      <c r="AR19" s="2196">
        <f t="shared" si="13"/>
        <v>1.1485255871907533E-3</v>
      </c>
      <c r="AS19" s="2229">
        <f>FISCinyear!JI731</f>
        <v>18.065463381993059</v>
      </c>
      <c r="AT19" s="2229">
        <f t="shared" si="30"/>
        <v>18.065463381993059</v>
      </c>
      <c r="AU19" s="2045">
        <f>FISC!AN1053</f>
        <v>36.130926763986118</v>
      </c>
      <c r="AV19" s="2039">
        <f t="shared" si="14"/>
        <v>1.1174487490652671E-3</v>
      </c>
      <c r="AW19" s="2040">
        <f t="shared" si="15"/>
        <v>0</v>
      </c>
      <c r="AX19" s="2139">
        <f t="shared" si="31"/>
        <v>-3.1076838125486221E-5</v>
      </c>
      <c r="AY19" s="2201">
        <v>40.827947243304322</v>
      </c>
      <c r="AZ19" s="2196">
        <f t="shared" si="16"/>
        <v>1.1526056070386783E-3</v>
      </c>
      <c r="BA19" s="2229">
        <f>FISCinyear!JL731</f>
        <v>20.413973621652161</v>
      </c>
      <c r="BB19" s="2229">
        <f t="shared" si="32"/>
        <v>20.413973621652161</v>
      </c>
      <c r="BC19" s="2045">
        <f>FISC!AO1053</f>
        <v>40.827947243304322</v>
      </c>
      <c r="BD19" s="2039">
        <f t="shared" si="17"/>
        <v>1.1238846799058468E-3</v>
      </c>
      <c r="BE19" s="2040">
        <f t="shared" si="18"/>
        <v>0</v>
      </c>
      <c r="BF19" s="2139">
        <f t="shared" si="19"/>
        <v>-2.8720927132831536E-5</v>
      </c>
    </row>
    <row r="20" spans="1:60">
      <c r="A20" s="2036" t="s">
        <v>549</v>
      </c>
      <c r="B20" s="2044">
        <v>412.44366364680627</v>
      </c>
      <c r="C20" s="2037">
        <f t="shared" si="0"/>
        <v>2.3884331685216587E-2</v>
      </c>
      <c r="D20" s="2045">
        <f>FISC!AI1059</f>
        <v>395.34517266296109</v>
      </c>
      <c r="E20" s="2039">
        <f t="shared" si="1"/>
        <v>2.2276732555528318E-2</v>
      </c>
      <c r="F20" s="2040">
        <f t="shared" si="33"/>
        <v>-17.098490983845181</v>
      </c>
      <c r="G20" s="2130">
        <f t="shared" si="20"/>
        <v>-1.6075991296882683E-3</v>
      </c>
      <c r="H20" s="2201">
        <v>440.40229530523266</v>
      </c>
      <c r="I20" s="2196">
        <f t="shared" si="2"/>
        <v>2.2420131638169579E-2</v>
      </c>
      <c r="J20" s="2229">
        <v>211.39310174651166</v>
      </c>
      <c r="K20" s="2229">
        <f>FISCinyear!IW737</f>
        <v>229.79816260248896</v>
      </c>
      <c r="L20" s="2218">
        <f t="shared" si="21"/>
        <v>18.405060855977297</v>
      </c>
      <c r="M20" s="2218">
        <v>229.00919355872099</v>
      </c>
      <c r="N20" s="2218">
        <f t="shared" si="35"/>
        <v>209.72096850149131</v>
      </c>
      <c r="O20" s="2045">
        <f>FISC!AJ1059</f>
        <v>439.51913110398027</v>
      </c>
      <c r="P20" s="2139">
        <f t="shared" si="4"/>
        <v>2.1939000502924841E-2</v>
      </c>
      <c r="Q20" s="2040">
        <f t="shared" si="5"/>
        <v>-0.88316420125238437</v>
      </c>
      <c r="R20" s="2130">
        <f t="shared" si="6"/>
        <v>-4.8113113524473825E-4</v>
      </c>
      <c r="S20" s="2201">
        <v>496.69938964058036</v>
      </c>
      <c r="T20" s="2196">
        <f t="shared" si="7"/>
        <v>2.2514977927081285E-2</v>
      </c>
      <c r="U20" s="2229">
        <f>FISCinyear!IZ737</f>
        <v>238.12042125054504</v>
      </c>
      <c r="V20" s="2229">
        <f t="shared" si="22"/>
        <v>238.12042125054504</v>
      </c>
      <c r="W20" s="2045">
        <f>FISC!AK1059</f>
        <v>476.24084250109007</v>
      </c>
      <c r="X20" s="2139">
        <f t="shared" si="8"/>
        <v>2.1022859250869518E-2</v>
      </c>
      <c r="Y20" s="2040">
        <f t="shared" si="23"/>
        <v>-20.458547139490292</v>
      </c>
      <c r="Z20" s="2130">
        <f t="shared" si="24"/>
        <v>-1.4921186762117677E-3</v>
      </c>
      <c r="AA20" s="2201">
        <v>552.55009559036182</v>
      </c>
      <c r="AB20" s="2196">
        <f t="shared" si="9"/>
        <v>2.2272911693420796E-2</v>
      </c>
      <c r="AC20" s="2229">
        <f>FISCinyear!JC737</f>
        <v>265.90289931789857</v>
      </c>
      <c r="AD20" s="2229">
        <f t="shared" si="25"/>
        <v>265.90289931789857</v>
      </c>
      <c r="AE20" s="2045">
        <f>FISC!AL1059</f>
        <v>531.80579863579715</v>
      </c>
      <c r="AF20" s="2039">
        <f t="shared" si="10"/>
        <v>2.0804155249017603E-2</v>
      </c>
      <c r="AG20" s="2040">
        <f t="shared" si="26"/>
        <v>-20.744296954564675</v>
      </c>
      <c r="AH20" s="2139">
        <f t="shared" si="27"/>
        <v>-1.4687564444031929E-3</v>
      </c>
      <c r="AI20" s="2201">
        <v>624.33665135855767</v>
      </c>
      <c r="AJ20" s="2196">
        <f t="shared" si="11"/>
        <v>2.2346977656783791E-2</v>
      </c>
      <c r="AK20" s="2229">
        <f>FISCinyear!JF737</f>
        <v>304.23337886239176</v>
      </c>
      <c r="AL20" s="2229">
        <f t="shared" si="28"/>
        <v>304.23337886239176</v>
      </c>
      <c r="AM20" s="2045">
        <f>FISC!AM1059</f>
        <v>608.46675772478352</v>
      </c>
      <c r="AN20" s="2039">
        <f t="shared" si="12"/>
        <v>2.1145620659105517E-2</v>
      </c>
      <c r="AO20" s="2040">
        <f t="shared" si="34"/>
        <v>-15.869893633774154</v>
      </c>
      <c r="AP20" s="2139">
        <f t="shared" si="29"/>
        <v>-1.201356997678274E-3</v>
      </c>
      <c r="AQ20" s="2201">
        <v>692.33709843072734</v>
      </c>
      <c r="AR20" s="2196">
        <f t="shared" si="13"/>
        <v>2.2007929043815294E-2</v>
      </c>
      <c r="AS20" s="2229">
        <f>FISCinyear!JI737</f>
        <v>339.72453801993976</v>
      </c>
      <c r="AT20" s="2229">
        <f t="shared" si="30"/>
        <v>339.72453801993976</v>
      </c>
      <c r="AU20" s="2045">
        <f>FISC!AN1059</f>
        <v>679.44907603987951</v>
      </c>
      <c r="AV20" s="2039">
        <f t="shared" si="14"/>
        <v>2.1013840166178768E-2</v>
      </c>
      <c r="AW20" s="2040">
        <f t="shared" si="15"/>
        <v>-12.888022390847823</v>
      </c>
      <c r="AX20" s="2139">
        <f t="shared" si="31"/>
        <v>-9.9408887763652656E-4</v>
      </c>
      <c r="AY20" s="2201">
        <v>802.69638647737429</v>
      </c>
      <c r="AZ20" s="2196">
        <f t="shared" si="16"/>
        <v>2.2660761029449909E-2</v>
      </c>
      <c r="BA20" s="2229">
        <f>FISCinyear!JL737</f>
        <v>395.24810970069268</v>
      </c>
      <c r="BB20" s="2229">
        <f t="shared" si="32"/>
        <v>395.24810970069268</v>
      </c>
      <c r="BC20" s="2045">
        <f>FISC!AO1059</f>
        <v>790.49621940138536</v>
      </c>
      <c r="BD20" s="2039">
        <f t="shared" si="17"/>
        <v>2.1760256160182231E-2</v>
      </c>
      <c r="BE20" s="2040">
        <f t="shared" si="18"/>
        <v>-12.200167075988929</v>
      </c>
      <c r="BF20" s="2139">
        <f t="shared" si="19"/>
        <v>-9.0050486926767856E-4</v>
      </c>
    </row>
    <row r="21" spans="1:60">
      <c r="A21" s="2058" t="s">
        <v>3121</v>
      </c>
      <c r="B21" s="2044">
        <v>247.18529048895536</v>
      </c>
      <c r="C21" s="2037">
        <f t="shared" si="0"/>
        <v>1.4314331837573227E-2</v>
      </c>
      <c r="D21" s="2045">
        <v>247.18529048895536</v>
      </c>
      <c r="E21" s="2039">
        <f t="shared" si="1"/>
        <v>1.3928285935028758E-2</v>
      </c>
      <c r="F21" s="2040">
        <f t="shared" si="33"/>
        <v>0</v>
      </c>
      <c r="G21" s="2130">
        <f t="shared" si="20"/>
        <v>-3.8604590254446951E-4</v>
      </c>
      <c r="H21" s="2201">
        <v>208.97773724750209</v>
      </c>
      <c r="I21" s="2196">
        <f t="shared" si="2"/>
        <v>1.0638701088713745E-2</v>
      </c>
      <c r="J21" s="2229">
        <v>104.48886862375105</v>
      </c>
      <c r="K21" s="2229">
        <f>FISCinyear!IW744</f>
        <v>135.10533928253199</v>
      </c>
      <c r="L21" s="2218">
        <f t="shared" si="21"/>
        <v>30.616470658780941</v>
      </c>
      <c r="M21" s="2218">
        <v>104.48886862375105</v>
      </c>
      <c r="N21" s="2218">
        <f t="shared" si="35"/>
        <v>74.89077817180268</v>
      </c>
      <c r="O21" s="2045">
        <f>FISC!AJ1066</f>
        <v>209.99611745433467</v>
      </c>
      <c r="P21" s="2139">
        <f t="shared" si="4"/>
        <v>1.048214878581241E-2</v>
      </c>
      <c r="Q21" s="2040">
        <f t="shared" si="5"/>
        <v>1.0183802068325747</v>
      </c>
      <c r="R21" s="2130">
        <f t="shared" si="6"/>
        <v>-1.56552302901335E-4</v>
      </c>
      <c r="S21" s="2201">
        <v>225.23364466325103</v>
      </c>
      <c r="T21" s="2196">
        <f t="shared" si="7"/>
        <v>1.0209657277208893E-2</v>
      </c>
      <c r="U21" s="2229">
        <f>FISCinyear!IZ744</f>
        <v>98.624497302189511</v>
      </c>
      <c r="V21" s="2229">
        <f t="shared" si="22"/>
        <v>98.624497302189511</v>
      </c>
      <c r="W21" s="2045">
        <f>FISC!AK1066</f>
        <v>197.24899460437902</v>
      </c>
      <c r="X21" s="2139">
        <f t="shared" si="8"/>
        <v>8.7072285299299775E-3</v>
      </c>
      <c r="Y21" s="2040">
        <f t="shared" si="23"/>
        <v>-27.984650058872006</v>
      </c>
      <c r="Z21" s="2130">
        <f t="shared" si="24"/>
        <v>-1.5024287472789159E-3</v>
      </c>
      <c r="AA21" s="2201">
        <v>240.35714695300106</v>
      </c>
      <c r="AB21" s="2196">
        <f t="shared" si="9"/>
        <v>9.6886301381360913E-3</v>
      </c>
      <c r="AC21" s="2229">
        <f>FISCinyear!JC744</f>
        <v>105.93165753195345</v>
      </c>
      <c r="AD21" s="2229">
        <f t="shared" si="25"/>
        <v>105.93165753195345</v>
      </c>
      <c r="AE21" s="2045">
        <f>FISC!AL1066</f>
        <v>211.8633150639069</v>
      </c>
      <c r="AF21" s="2039">
        <f t="shared" si="10"/>
        <v>8.2880579893405467E-3</v>
      </c>
      <c r="AG21" s="2040">
        <f t="shared" si="26"/>
        <v>-28.493831889094167</v>
      </c>
      <c r="AH21" s="2139">
        <f t="shared" si="27"/>
        <v>-1.4005721487955446E-3</v>
      </c>
      <c r="AI21" s="2201">
        <v>254.42364700989387</v>
      </c>
      <c r="AJ21" s="2196">
        <f t="shared" si="11"/>
        <v>9.1066246755106724E-3</v>
      </c>
      <c r="AK21" s="2229">
        <f>FISCinyear!JF744</f>
        <v>112.94600449504487</v>
      </c>
      <c r="AL21" s="2229">
        <f t="shared" si="28"/>
        <v>112.94600449504487</v>
      </c>
      <c r="AM21" s="2045">
        <f>FISC!AM1066</f>
        <v>225.89200899008975</v>
      </c>
      <c r="AN21" s="2039">
        <f t="shared" si="12"/>
        <v>7.8502673669285546E-3</v>
      </c>
      <c r="AO21" s="2040">
        <f t="shared" si="34"/>
        <v>-28.53163801980412</v>
      </c>
      <c r="AP21" s="2139">
        <f t="shared" si="29"/>
        <v>-1.2563573085821178E-3</v>
      </c>
      <c r="AQ21" s="2201">
        <v>267.41139417836371</v>
      </c>
      <c r="AR21" s="2196">
        <f t="shared" si="13"/>
        <v>8.5004414784714873E-3</v>
      </c>
      <c r="AS21" s="2229">
        <f>FISCinyear!JI744</f>
        <v>119.33943304664193</v>
      </c>
      <c r="AT21" s="2229">
        <f t="shared" si="30"/>
        <v>119.33943304664193</v>
      </c>
      <c r="AU21" s="2045">
        <f>FISC!AN1066</f>
        <v>238.67886609328386</v>
      </c>
      <c r="AV21" s="2039">
        <f t="shared" si="14"/>
        <v>7.3818034640092279E-3</v>
      </c>
      <c r="AW21" s="2040">
        <f t="shared" si="15"/>
        <v>-28.732528085079849</v>
      </c>
      <c r="AX21" s="2139">
        <f t="shared" si="31"/>
        <v>-1.1186380144622594E-3</v>
      </c>
      <c r="AY21" s="2201">
        <v>278.7148574046762</v>
      </c>
      <c r="AZ21" s="2196">
        <f t="shared" si="16"/>
        <v>7.8683433554769117E-3</v>
      </c>
      <c r="BA21" s="2229">
        <f>FISCinyear!JL744</f>
        <v>124.55660873368646</v>
      </c>
      <c r="BB21" s="2229">
        <f t="shared" si="32"/>
        <v>124.55660873368646</v>
      </c>
      <c r="BC21" s="2045">
        <f>FISC!AO1066</f>
        <v>249.11321746737292</v>
      </c>
      <c r="BD21" s="2039">
        <f t="shared" si="17"/>
        <v>6.8574235928442152E-3</v>
      </c>
      <c r="BE21" s="2040">
        <f t="shared" si="18"/>
        <v>-29.601639937303275</v>
      </c>
      <c r="BF21" s="2139">
        <f t="shared" si="19"/>
        <v>-1.0109197626326965E-3</v>
      </c>
    </row>
    <row r="22" spans="1:60">
      <c r="A22" s="2036" t="s">
        <v>554</v>
      </c>
      <c r="B22" s="2044">
        <v>28.141443991716802</v>
      </c>
      <c r="C22" s="2037">
        <f t="shared" si="0"/>
        <v>1.6296518570708177E-3</v>
      </c>
      <c r="D22" s="2045">
        <f>FISC!AI1069</f>
        <v>40.193787316184228</v>
      </c>
      <c r="E22" s="2039">
        <f t="shared" si="1"/>
        <v>2.264821508772425E-3</v>
      </c>
      <c r="F22" s="2040">
        <f t="shared" si="33"/>
        <v>12.052343324467426</v>
      </c>
      <c r="G22" s="2130">
        <f t="shared" si="20"/>
        <v>6.3516965170160727E-4</v>
      </c>
      <c r="H22" s="2201">
        <v>36.629993387817201</v>
      </c>
      <c r="I22" s="2196">
        <f t="shared" si="2"/>
        <v>1.8647706481433165E-3</v>
      </c>
      <c r="J22" s="2229">
        <v>17.582396826152255</v>
      </c>
      <c r="K22" s="2229">
        <f>FISCinyear!IW747</f>
        <v>23.432588280049998</v>
      </c>
      <c r="L22" s="2218">
        <f t="shared" si="21"/>
        <v>5.8501914538977431</v>
      </c>
      <c r="M22" s="2218">
        <v>19.047596561664946</v>
      </c>
      <c r="N22" s="2218">
        <f t="shared" si="35"/>
        <v>13.389366909667302</v>
      </c>
      <c r="O22" s="2045">
        <f>FISC!AJ1069</f>
        <v>36.821955189717301</v>
      </c>
      <c r="P22" s="2139">
        <f t="shared" si="4"/>
        <v>1.8380016619453316E-3</v>
      </c>
      <c r="Q22" s="2040">
        <f t="shared" si="5"/>
        <v>0.19196180190009926</v>
      </c>
      <c r="R22" s="2130">
        <f t="shared" si="6"/>
        <v>-2.6768986197984969E-5</v>
      </c>
      <c r="S22" s="2201">
        <v>38.315560749763499</v>
      </c>
      <c r="T22" s="2196">
        <f t="shared" si="7"/>
        <v>1.7368130956812973E-3</v>
      </c>
      <c r="U22" s="2229">
        <f>FISCinyear!IZ747</f>
        <v>20.895460823979882</v>
      </c>
      <c r="V22" s="2229">
        <f t="shared" si="22"/>
        <v>20.895460823979882</v>
      </c>
      <c r="W22" s="2045">
        <f>FISC!AK1069</f>
        <v>41.790921647959763</v>
      </c>
      <c r="X22" s="2139">
        <f t="shared" si="8"/>
        <v>1.8447906717852806E-3</v>
      </c>
      <c r="Y22" s="2040">
        <f t="shared" si="23"/>
        <v>3.4753608981962643</v>
      </c>
      <c r="Z22" s="2130">
        <f t="shared" si="24"/>
        <v>1.079775761039833E-4</v>
      </c>
      <c r="AA22" s="2201">
        <v>41.948871895242604</v>
      </c>
      <c r="AB22" s="2196">
        <f t="shared" si="9"/>
        <v>1.6909299750696802E-3</v>
      </c>
      <c r="AC22" s="2229">
        <f>FISCinyear!JC747</f>
        <v>23.317240302069845</v>
      </c>
      <c r="AD22" s="2229">
        <f t="shared" si="25"/>
        <v>23.317240302069845</v>
      </c>
      <c r="AE22" s="2045">
        <f>FISC!AL1069</f>
        <v>46.634480604139689</v>
      </c>
      <c r="AF22" s="2039">
        <f t="shared" si="10"/>
        <v>1.8243332000790194E-3</v>
      </c>
      <c r="AG22" s="2040">
        <f t="shared" si="26"/>
        <v>4.6856087088970853</v>
      </c>
      <c r="AH22" s="2139">
        <f t="shared" si="27"/>
        <v>1.3340322500933911E-4</v>
      </c>
      <c r="AI22" s="2201">
        <v>43.05057744929649</v>
      </c>
      <c r="AJ22" s="2196">
        <f t="shared" si="11"/>
        <v>1.5409159309767346E-3</v>
      </c>
      <c r="AK22" s="2229">
        <f>FISCinyear!JF747</f>
        <v>26.153225790475751</v>
      </c>
      <c r="AL22" s="2229">
        <f t="shared" si="28"/>
        <v>26.153225790475751</v>
      </c>
      <c r="AM22" s="2045">
        <f>FISC!AM1069</f>
        <v>52.306451580951503</v>
      </c>
      <c r="AN22" s="2039">
        <f t="shared" si="12"/>
        <v>1.8177696137262945E-3</v>
      </c>
      <c r="AO22" s="2040">
        <f t="shared" si="34"/>
        <v>9.2558741316550126</v>
      </c>
      <c r="AP22" s="2139">
        <f t="shared" si="29"/>
        <v>2.7685368274955988E-4</v>
      </c>
      <c r="AQ22" s="2201">
        <v>43.782437265934526</v>
      </c>
      <c r="AR22" s="2196">
        <f t="shared" si="13"/>
        <v>1.3917508897010116E-3</v>
      </c>
      <c r="AS22" s="2229">
        <f>FISCinyear!JI747</f>
        <v>27.71802173944311</v>
      </c>
      <c r="AT22" s="2229">
        <f t="shared" si="30"/>
        <v>27.71802173944311</v>
      </c>
      <c r="AU22" s="2045">
        <f>FISC!AN1069</f>
        <v>55.436043478886219</v>
      </c>
      <c r="AV22" s="2039">
        <f t="shared" si="14"/>
        <v>1.7145128283937469E-3</v>
      </c>
      <c r="AW22" s="2040">
        <f t="shared" si="15"/>
        <v>11.653606212951694</v>
      </c>
      <c r="AX22" s="2139">
        <f t="shared" si="31"/>
        <v>3.2276193869273527E-4</v>
      </c>
      <c r="AY22" s="2201">
        <v>44.526738699455407</v>
      </c>
      <c r="AZ22" s="2196">
        <f t="shared" si="16"/>
        <v>1.2570254483356383E-3</v>
      </c>
      <c r="BA22" s="2229">
        <f>FISCinyear!JL747</f>
        <v>29.282817688410482</v>
      </c>
      <c r="BB22" s="2229">
        <f t="shared" si="32"/>
        <v>29.282817688410482</v>
      </c>
      <c r="BC22" s="2045">
        <f>FISC!AO1069</f>
        <v>58.565635376820964</v>
      </c>
      <c r="BD22" s="2039">
        <f t="shared" si="17"/>
        <v>1.6121560061963546E-3</v>
      </c>
      <c r="BE22" s="2040">
        <f t="shared" si="18"/>
        <v>14.038896677365557</v>
      </c>
      <c r="BF22" s="2139">
        <f t="shared" si="19"/>
        <v>3.5513055786071633E-4</v>
      </c>
    </row>
    <row r="23" spans="1:60">
      <c r="A23" s="2064" t="s">
        <v>85</v>
      </c>
      <c r="B23" s="2047">
        <v>0</v>
      </c>
      <c r="C23" s="2048">
        <f t="shared" si="0"/>
        <v>0</v>
      </c>
      <c r="D23" s="2049">
        <f>FISC!AI1075</f>
        <v>0</v>
      </c>
      <c r="E23" s="2050">
        <f t="shared" si="1"/>
        <v>0</v>
      </c>
      <c r="F23" s="2051">
        <f t="shared" si="33"/>
        <v>0</v>
      </c>
      <c r="G23" s="2131">
        <f t="shared" si="20"/>
        <v>0</v>
      </c>
      <c r="H23" s="2204">
        <v>52.070578646999998</v>
      </c>
      <c r="I23" s="2203">
        <f t="shared" si="2"/>
        <v>2.6508245760442366E-3</v>
      </c>
      <c r="J23" s="2230">
        <v>52.070578646999998</v>
      </c>
      <c r="K23" s="2230">
        <f>FISCinyear!IW749</f>
        <v>52.070578646999998</v>
      </c>
      <c r="L23" s="2220">
        <f t="shared" si="21"/>
        <v>0</v>
      </c>
      <c r="M23" s="2220">
        <v>0</v>
      </c>
      <c r="N23" s="2220">
        <f t="shared" si="35"/>
        <v>0</v>
      </c>
      <c r="O23" s="2049">
        <f>FISC!AJ1071</f>
        <v>52.070578646999998</v>
      </c>
      <c r="P23" s="2140">
        <f t="shared" si="4"/>
        <v>2.5991506860115724E-3</v>
      </c>
      <c r="Q23" s="2051">
        <f t="shared" si="5"/>
        <v>0</v>
      </c>
      <c r="R23" s="2131">
        <f t="shared" si="6"/>
        <v>-5.1673890032664233E-5</v>
      </c>
      <c r="S23" s="2204">
        <v>52.070578646999998</v>
      </c>
      <c r="T23" s="2203">
        <f t="shared" si="7"/>
        <v>2.3603168301372371E-3</v>
      </c>
      <c r="U23" s="2230">
        <f>FISCinyear!IZ753</f>
        <v>0</v>
      </c>
      <c r="V23" s="2230">
        <f t="shared" si="22"/>
        <v>0</v>
      </c>
      <c r="W23" s="2049">
        <f>FISC!AK1075</f>
        <v>0</v>
      </c>
      <c r="X23" s="2140">
        <f t="shared" si="8"/>
        <v>0</v>
      </c>
      <c r="Y23" s="2051">
        <f t="shared" si="23"/>
        <v>-52.070578646999998</v>
      </c>
      <c r="Z23" s="2131">
        <f t="shared" si="24"/>
        <v>-2.3603168301372371E-3</v>
      </c>
      <c r="AA23" s="2204">
        <v>0</v>
      </c>
      <c r="AB23" s="2203">
        <f t="shared" si="9"/>
        <v>0</v>
      </c>
      <c r="AC23" s="2230">
        <f>FISCinyear!JC749</f>
        <v>0</v>
      </c>
      <c r="AD23" s="2230">
        <f t="shared" si="25"/>
        <v>0</v>
      </c>
      <c r="AE23" s="2049">
        <v>0</v>
      </c>
      <c r="AF23" s="2050">
        <f t="shared" si="10"/>
        <v>0</v>
      </c>
      <c r="AG23" s="2051">
        <f t="shared" si="26"/>
        <v>0</v>
      </c>
      <c r="AH23" s="2140">
        <f t="shared" si="27"/>
        <v>0</v>
      </c>
      <c r="AI23" s="2204">
        <v>0</v>
      </c>
      <c r="AJ23" s="2203">
        <f t="shared" si="11"/>
        <v>0</v>
      </c>
      <c r="AK23" s="2230">
        <f>FISCinyear!JF749</f>
        <v>0</v>
      </c>
      <c r="AL23" s="2230">
        <f t="shared" si="28"/>
        <v>0</v>
      </c>
      <c r="AM23" s="2049">
        <v>0</v>
      </c>
      <c r="AN23" s="2050">
        <f t="shared" si="12"/>
        <v>0</v>
      </c>
      <c r="AO23" s="2051">
        <f t="shared" si="34"/>
        <v>0</v>
      </c>
      <c r="AP23" s="2140">
        <f t="shared" si="29"/>
        <v>0</v>
      </c>
      <c r="AQ23" s="2204">
        <v>0</v>
      </c>
      <c r="AR23" s="2203">
        <f t="shared" si="13"/>
        <v>0</v>
      </c>
      <c r="AS23" s="2230">
        <f>FISCinyear!JN749</f>
        <v>0</v>
      </c>
      <c r="AT23" s="2230">
        <f t="shared" si="30"/>
        <v>0</v>
      </c>
      <c r="AU23" s="2049">
        <v>0</v>
      </c>
      <c r="AV23" s="2050">
        <f t="shared" si="14"/>
        <v>0</v>
      </c>
      <c r="AW23" s="2051">
        <f t="shared" si="15"/>
        <v>0</v>
      </c>
      <c r="AX23" s="2140">
        <f t="shared" si="31"/>
        <v>0</v>
      </c>
      <c r="AY23" s="2204">
        <v>52.070578646999998</v>
      </c>
      <c r="AZ23" s="2203">
        <f t="shared" si="16"/>
        <v>1.4699940840185953E-3</v>
      </c>
      <c r="BA23" s="2230">
        <v>0</v>
      </c>
      <c r="BB23" s="2230">
        <f t="shared" si="32"/>
        <v>0</v>
      </c>
      <c r="BC23" s="2049">
        <v>0</v>
      </c>
      <c r="BD23" s="2050">
        <f t="shared" si="17"/>
        <v>0</v>
      </c>
      <c r="BE23" s="2051">
        <f t="shared" si="18"/>
        <v>-52.070578646999998</v>
      </c>
      <c r="BF23" s="2140">
        <f t="shared" si="19"/>
        <v>-1.4699940840185953E-3</v>
      </c>
    </row>
    <row r="24" spans="1:60">
      <c r="A24" s="2067" t="s">
        <v>590</v>
      </c>
      <c r="B24" s="2069">
        <v>3214.7330120331312</v>
      </c>
      <c r="C24" s="2070">
        <f t="shared" si="0"/>
        <v>0.18616299947467801</v>
      </c>
      <c r="D24" s="2071">
        <f>FISC!AI1076</f>
        <v>3172.9419577729877</v>
      </c>
      <c r="E24" s="2072">
        <f t="shared" si="1"/>
        <v>0.17878751100315476</v>
      </c>
      <c r="F24" s="2073">
        <f t="shared" ref="F24:F56" si="36">D24-B24</f>
        <v>-41.791054260143483</v>
      </c>
      <c r="G24" s="2135">
        <f t="shared" si="20"/>
        <v>-7.3754884715232505E-3</v>
      </c>
      <c r="H24" s="2205">
        <v>3440.6427815221341</v>
      </c>
      <c r="I24" s="2206">
        <f t="shared" si="2"/>
        <v>0.17515727075895568</v>
      </c>
      <c r="J24" s="2231">
        <v>1715.827280431758</v>
      </c>
      <c r="K24" s="2231">
        <f>FISCinyear!IW754</f>
        <v>1712.2823907092866</v>
      </c>
      <c r="L24" s="2221">
        <f t="shared" si="21"/>
        <v>-3.5448897224714528</v>
      </c>
      <c r="M24" s="2221">
        <v>1724.8155010903761</v>
      </c>
      <c r="N24" s="2221">
        <f t="shared" si="35"/>
        <v>1837.261990670831</v>
      </c>
      <c r="O24" s="2071">
        <f>FISC!AJ1076</f>
        <v>3549.5443813801176</v>
      </c>
      <c r="P24" s="2144">
        <f t="shared" si="4"/>
        <v>0.1771787630100437</v>
      </c>
      <c r="Q24" s="2073">
        <f t="shared" si="5"/>
        <v>108.90159985798346</v>
      </c>
      <c r="R24" s="2135">
        <f t="shared" si="6"/>
        <v>2.0214922510880251E-3</v>
      </c>
      <c r="S24" s="2205">
        <v>3758.6175118406832</v>
      </c>
      <c r="T24" s="2206">
        <f t="shared" si="7"/>
        <v>0.17037506403354011</v>
      </c>
      <c r="U24" s="2231">
        <f>FISCinyear!IZ754</f>
        <v>2288.0977010173992</v>
      </c>
      <c r="V24" s="2231">
        <f t="shared" si="22"/>
        <v>1751.8048217137798</v>
      </c>
      <c r="W24" s="2071">
        <f>FISC!AK1076</f>
        <v>4039.902522731179</v>
      </c>
      <c r="X24" s="2144">
        <f t="shared" si="8"/>
        <v>0.17833477212197704</v>
      </c>
      <c r="Y24" s="2073">
        <f t="shared" si="23"/>
        <v>281.28501089049587</v>
      </c>
      <c r="Z24" s="2135">
        <f t="shared" si="24"/>
        <v>7.9597080884369342E-3</v>
      </c>
      <c r="AA24" s="2205">
        <v>4140.891394402106</v>
      </c>
      <c r="AB24" s="2206">
        <f t="shared" si="9"/>
        <v>0.16691646439952762</v>
      </c>
      <c r="AC24" s="2231">
        <f>FISCinyear!JC754</f>
        <v>2376.7045687473419</v>
      </c>
      <c r="AD24" s="2231">
        <f t="shared" si="25"/>
        <v>1984.7281400411148</v>
      </c>
      <c r="AE24" s="2071">
        <f>FISC!AL1076</f>
        <v>4361.4327087884567</v>
      </c>
      <c r="AF24" s="2072">
        <f t="shared" si="10"/>
        <v>0.17061852919719325</v>
      </c>
      <c r="AG24" s="2073">
        <f t="shared" si="26"/>
        <v>220.54131438635068</v>
      </c>
      <c r="AH24" s="2144">
        <f t="shared" si="27"/>
        <v>3.7020647976656329E-3</v>
      </c>
      <c r="AI24" s="2205">
        <v>4602.1339212013727</v>
      </c>
      <c r="AJ24" s="2206">
        <f t="shared" si="11"/>
        <v>0.16472488630424884</v>
      </c>
      <c r="AK24" s="2231">
        <f>FISCinyear!JF754</f>
        <v>2640.409262628812</v>
      </c>
      <c r="AL24" s="2231">
        <f t="shared" si="28"/>
        <v>2327.7393339543032</v>
      </c>
      <c r="AM24" s="2071">
        <f>FISC!AM1076</f>
        <v>4968.1485965831152</v>
      </c>
      <c r="AN24" s="2072">
        <f t="shared" si="12"/>
        <v>0.17265460153359996</v>
      </c>
      <c r="AO24" s="2073">
        <f t="shared" ref="AO24:AO56" si="37">AM24-AI24</f>
        <v>366.01467538174256</v>
      </c>
      <c r="AP24" s="2144">
        <f t="shared" si="29"/>
        <v>7.9297152293511253E-3</v>
      </c>
      <c r="AQ24" s="2205">
        <v>5136.8138985407177</v>
      </c>
      <c r="AR24" s="2206">
        <f t="shared" si="13"/>
        <v>0.16328842704892227</v>
      </c>
      <c r="AS24" s="2231">
        <f>FISCinyear!JI754</f>
        <v>2917.4130081376838</v>
      </c>
      <c r="AT24" s="2231">
        <f t="shared" si="30"/>
        <v>2591.8249296287127</v>
      </c>
      <c r="AU24" s="2071">
        <f>FISC!AN1076</f>
        <v>5509.2379377663965</v>
      </c>
      <c r="AV24" s="2072">
        <f t="shared" si="14"/>
        <v>0.17038840664326163</v>
      </c>
      <c r="AW24" s="2073">
        <f t="shared" ref="AW24:AW29" si="38">AU24-AQ24</f>
        <v>372.42403922567883</v>
      </c>
      <c r="AX24" s="2144">
        <f t="shared" si="31"/>
        <v>7.0999795943393618E-3</v>
      </c>
      <c r="AY24" s="2205">
        <v>5480.0199085431277</v>
      </c>
      <c r="AZ24" s="2206">
        <f t="shared" si="16"/>
        <v>0.15470534522908816</v>
      </c>
      <c r="BA24" s="2231">
        <f>FISCinyear!JL754</f>
        <v>3192.0756559878182</v>
      </c>
      <c r="BB24" s="2231">
        <f t="shared" si="32"/>
        <v>3088.0290551006046</v>
      </c>
      <c r="BC24" s="2071">
        <f>FISC!AO1076</f>
        <v>6280.1047110884228</v>
      </c>
      <c r="BD24" s="2072">
        <f t="shared" si="17"/>
        <v>0.17287456141097871</v>
      </c>
      <c r="BE24" s="2073">
        <f t="shared" si="18"/>
        <v>800.08480254529513</v>
      </c>
      <c r="BF24" s="2144">
        <f t="shared" si="19"/>
        <v>1.8169216181890546E-2</v>
      </c>
    </row>
    <row r="25" spans="1:60">
      <c r="A25" s="2036" t="s">
        <v>559</v>
      </c>
      <c r="B25" s="2044">
        <v>467.56137557676493</v>
      </c>
      <c r="C25" s="2037">
        <f t="shared" si="0"/>
        <v>2.7076160847593261E-2</v>
      </c>
      <c r="D25" s="2045">
        <f>FISC!AI1077</f>
        <v>467.40752950900003</v>
      </c>
      <c r="E25" s="2039">
        <f t="shared" si="1"/>
        <v>2.6337269933453544E-2</v>
      </c>
      <c r="F25" s="2040">
        <f t="shared" si="36"/>
        <v>-0.15384606776490273</v>
      </c>
      <c r="G25" s="2130">
        <f t="shared" si="20"/>
        <v>-7.3889091413971777E-4</v>
      </c>
      <c r="H25" s="2201">
        <v>550.16441264770879</v>
      </c>
      <c r="I25" s="2196">
        <f t="shared" si="2"/>
        <v>2.8007934303904896E-2</v>
      </c>
      <c r="J25" s="2229">
        <v>284.30514802870675</v>
      </c>
      <c r="K25" s="2229">
        <f>FISCinyear!IW755</f>
        <v>274.86118187699998</v>
      </c>
      <c r="L25" s="2218">
        <f t="shared" si="21"/>
        <v>-9.4439661517067748</v>
      </c>
      <c r="M25" s="2218">
        <v>265.85926461900203</v>
      </c>
      <c r="N25" s="2218">
        <f t="shared" si="35"/>
        <v>293.74911418041353</v>
      </c>
      <c r="O25" s="2045">
        <f>FISC!AJ1077</f>
        <v>568.61029605741351</v>
      </c>
      <c r="P25" s="2139">
        <f t="shared" si="4"/>
        <v>2.83827043884026E-2</v>
      </c>
      <c r="Q25" s="2040">
        <f t="shared" si="5"/>
        <v>18.44588340970472</v>
      </c>
      <c r="R25" s="2130">
        <f t="shared" si="6"/>
        <v>3.7477008449770394E-4</v>
      </c>
      <c r="S25" s="2201">
        <v>635.77879788629457</v>
      </c>
      <c r="T25" s="2196">
        <f t="shared" si="7"/>
        <v>2.8819333986446875E-2</v>
      </c>
      <c r="U25" s="2229">
        <f>FISCinyear!IZ755</f>
        <v>336.33528235285195</v>
      </c>
      <c r="V25" s="2229">
        <f t="shared" si="22"/>
        <v>336.33528235285195</v>
      </c>
      <c r="W25" s="2045">
        <f>FISC!AK1077</f>
        <v>672.6705647057039</v>
      </c>
      <c r="X25" s="2139">
        <f t="shared" si="8"/>
        <v>2.9693922364456931E-2</v>
      </c>
      <c r="Y25" s="2040">
        <f t="shared" si="23"/>
        <v>36.891766819409327</v>
      </c>
      <c r="Z25" s="2130">
        <f t="shared" si="24"/>
        <v>8.7458837801005634E-4</v>
      </c>
      <c r="AA25" s="2201">
        <v>714.10674578588623</v>
      </c>
      <c r="AB25" s="2196">
        <f t="shared" si="9"/>
        <v>2.8785148379300313E-2</v>
      </c>
      <c r="AC25" s="2229">
        <f>FISCinyear!JC755</f>
        <v>378.5735702042652</v>
      </c>
      <c r="AD25" s="2229">
        <f t="shared" si="25"/>
        <v>378.5735702042652</v>
      </c>
      <c r="AE25" s="2045">
        <f>FISC!AL1077</f>
        <v>757.14714040853039</v>
      </c>
      <c r="AF25" s="2039">
        <f t="shared" si="10"/>
        <v>2.9619471423244656E-2</v>
      </c>
      <c r="AG25" s="2040">
        <f t="shared" si="26"/>
        <v>43.040394622644158</v>
      </c>
      <c r="AH25" s="2139">
        <f t="shared" si="27"/>
        <v>8.3432304394434262E-4</v>
      </c>
      <c r="AI25" s="2201">
        <v>802.08469686670753</v>
      </c>
      <c r="AJ25" s="2196">
        <f t="shared" si="11"/>
        <v>2.870914075078804E-2</v>
      </c>
      <c r="AK25" s="2229">
        <f>FISCinyear!JF755</f>
        <v>428.71117354791079</v>
      </c>
      <c r="AL25" s="2229">
        <f t="shared" si="28"/>
        <v>428.71117354791079</v>
      </c>
      <c r="AM25" s="2045">
        <f>FISC!AM1077</f>
        <v>857.42234709582158</v>
      </c>
      <c r="AN25" s="2039">
        <f t="shared" si="12"/>
        <v>2.9797400541853238E-2</v>
      </c>
      <c r="AO25" s="2040">
        <f t="shared" si="37"/>
        <v>55.337650229114047</v>
      </c>
      <c r="AP25" s="2139">
        <f t="shared" si="29"/>
        <v>1.0882597910651971E-3</v>
      </c>
      <c r="AQ25" s="2201">
        <v>900.90153152068604</v>
      </c>
      <c r="AR25" s="2196">
        <f t="shared" si="13"/>
        <v>2.8637750347500122E-2</v>
      </c>
      <c r="AS25" s="2229">
        <f>FISCinyear!JI755</f>
        <v>484.26821867813493</v>
      </c>
      <c r="AT25" s="2229">
        <f t="shared" si="30"/>
        <v>484.26821867813493</v>
      </c>
      <c r="AU25" s="2045">
        <f>FISC!AN1077</f>
        <v>968.53643735626986</v>
      </c>
      <c r="AV25" s="2039">
        <f t="shared" si="14"/>
        <v>2.9954665636384339E-2</v>
      </c>
      <c r="AW25" s="2040">
        <f t="shared" si="38"/>
        <v>67.634905835583822</v>
      </c>
      <c r="AX25" s="2139">
        <f t="shared" si="31"/>
        <v>1.316915288884217E-3</v>
      </c>
      <c r="AY25" s="2201">
        <v>1011.8926002040347</v>
      </c>
      <c r="AZ25" s="2196">
        <f t="shared" si="16"/>
        <v>2.8566537469193735E-2</v>
      </c>
      <c r="BA25" s="2229">
        <f>FISCinyear!JL755</f>
        <v>545.91238082304415</v>
      </c>
      <c r="BB25" s="2229">
        <f t="shared" si="32"/>
        <v>545.91238082304415</v>
      </c>
      <c r="BC25" s="2045">
        <f>FISC!AO1077</f>
        <v>1091.8247616460883</v>
      </c>
      <c r="BD25" s="2039">
        <f t="shared" si="17"/>
        <v>3.005502861663294E-2</v>
      </c>
      <c r="BE25" s="2040">
        <f t="shared" si="18"/>
        <v>79.932161442053598</v>
      </c>
      <c r="BF25" s="2139">
        <f t="shared" si="19"/>
        <v>1.4884911474392047E-3</v>
      </c>
    </row>
    <row r="26" spans="1:60">
      <c r="A26" s="2058" t="s">
        <v>3733</v>
      </c>
      <c r="B26" s="2044"/>
      <c r="C26" s="2037"/>
      <c r="D26" s="2045"/>
      <c r="E26" s="2039"/>
      <c r="F26" s="2040"/>
      <c r="G26" s="2130"/>
      <c r="H26" s="2201">
        <v>0</v>
      </c>
      <c r="I26" s="2196"/>
      <c r="J26" s="2229">
        <v>0</v>
      </c>
      <c r="K26" s="2229">
        <v>0</v>
      </c>
      <c r="L26" s="2218">
        <f t="shared" si="21"/>
        <v>0</v>
      </c>
      <c r="M26" s="2218">
        <v>0</v>
      </c>
      <c r="N26" s="2218">
        <f t="shared" si="35"/>
        <v>18.44588340970472</v>
      </c>
      <c r="O26" s="2045">
        <v>18.44588340970472</v>
      </c>
      <c r="P26" s="2139">
        <f t="shared" si="4"/>
        <v>9.2074318673210549E-4</v>
      </c>
      <c r="Q26" s="2040">
        <f t="shared" si="5"/>
        <v>18.44588340970472</v>
      </c>
      <c r="R26" s="2130">
        <f t="shared" si="6"/>
        <v>9.2074318673210549E-4</v>
      </c>
      <c r="S26" s="2201">
        <v>0</v>
      </c>
      <c r="T26" s="2196">
        <f t="shared" si="7"/>
        <v>0</v>
      </c>
      <c r="U26" s="2229">
        <f>W26/2</f>
        <v>18.445883409704663</v>
      </c>
      <c r="V26" s="2229">
        <f t="shared" si="22"/>
        <v>18.445883409704663</v>
      </c>
      <c r="W26" s="2045">
        <v>36.891766819409327</v>
      </c>
      <c r="X26" s="2139">
        <f t="shared" si="8"/>
        <v>1.6285256369177644E-3</v>
      </c>
      <c r="Y26" s="2040">
        <f t="shared" ref="Y26" si="39">W26-S26</f>
        <v>36.891766819409327</v>
      </c>
      <c r="Z26" s="2130">
        <f t="shared" ref="Z26" si="40">X26-T26</f>
        <v>1.6285256369177644E-3</v>
      </c>
      <c r="AA26" s="2201"/>
      <c r="AB26" s="2196"/>
      <c r="AC26" s="2229">
        <f>AE26/2</f>
        <v>21.520197311322079</v>
      </c>
      <c r="AD26" s="2229">
        <f t="shared" si="25"/>
        <v>21.520197311322079</v>
      </c>
      <c r="AE26" s="2045">
        <v>43.040394622644158</v>
      </c>
      <c r="AF26" s="2039">
        <f t="shared" si="10"/>
        <v>1.6837331484640164E-3</v>
      </c>
      <c r="AG26" s="2040">
        <f t="shared" ref="AG26" si="41">AE26-AA26</f>
        <v>43.040394622644158</v>
      </c>
      <c r="AH26" s="2139">
        <f t="shared" ref="AH26" si="42">AF26-AB26</f>
        <v>1.6837331484640164E-3</v>
      </c>
      <c r="AI26" s="2201">
        <v>0</v>
      </c>
      <c r="AJ26" s="2196"/>
      <c r="AK26" s="2229">
        <f>AM26/2</f>
        <v>27.668825114557023</v>
      </c>
      <c r="AL26" s="2229">
        <f t="shared" si="28"/>
        <v>27.668825114557023</v>
      </c>
      <c r="AM26" s="2045">
        <v>55.337650229114047</v>
      </c>
      <c r="AN26" s="2039">
        <f t="shared" si="12"/>
        <v>1.9231107452551762E-3</v>
      </c>
      <c r="AO26" s="2040">
        <f t="shared" ref="AO26" si="43">AM26-AI26</f>
        <v>55.337650229114047</v>
      </c>
      <c r="AP26" s="2139">
        <f t="shared" ref="AP26" si="44">AN26-AJ26</f>
        <v>1.9231107452551762E-3</v>
      </c>
      <c r="AQ26" s="2201"/>
      <c r="AR26" s="2196">
        <f t="shared" si="13"/>
        <v>0</v>
      </c>
      <c r="AS26" s="2229">
        <f>AU26/2</f>
        <v>33.817452917791911</v>
      </c>
      <c r="AT26" s="2229">
        <f t="shared" si="30"/>
        <v>33.817452917791911</v>
      </c>
      <c r="AU26" s="2045">
        <v>67.634905835583822</v>
      </c>
      <c r="AV26" s="2039">
        <f t="shared" si="14"/>
        <v>2.0917963553166866E-3</v>
      </c>
      <c r="AW26" s="2040">
        <f t="shared" si="38"/>
        <v>67.634905835583822</v>
      </c>
      <c r="AX26" s="2139">
        <f t="shared" si="31"/>
        <v>2.0917963553166866E-3</v>
      </c>
      <c r="AY26" s="2201"/>
      <c r="AZ26" s="2196">
        <f t="shared" si="16"/>
        <v>0</v>
      </c>
      <c r="BA26" s="2229">
        <f>BC26/2</f>
        <v>39.966080721026799</v>
      </c>
      <c r="BB26" s="2229">
        <f t="shared" si="32"/>
        <v>39.966080721026799</v>
      </c>
      <c r="BC26" s="2045">
        <v>79.932161442053598</v>
      </c>
      <c r="BD26" s="2039">
        <f t="shared" si="17"/>
        <v>2.2003195786733437E-3</v>
      </c>
      <c r="BE26" s="2040">
        <f t="shared" ref="BE26" si="45">BC26-AY26</f>
        <v>79.932161442053598</v>
      </c>
      <c r="BF26" s="2139">
        <f t="shared" ref="BF26" si="46">BD26-AZ26</f>
        <v>2.2003195786733437E-3</v>
      </c>
    </row>
    <row r="27" spans="1:60">
      <c r="A27" s="2036" t="s">
        <v>560</v>
      </c>
      <c r="B27" s="2044">
        <v>827.93485814831979</v>
      </c>
      <c r="C27" s="2037">
        <f>B27/$B$109</f>
        <v>4.7945143806842769E-2</v>
      </c>
      <c r="D27" s="2045">
        <f>FISC!AI1079</f>
        <v>798.7</v>
      </c>
      <c r="E27" s="2039">
        <f>D27/$D$109</f>
        <v>4.5004789541894408E-2</v>
      </c>
      <c r="F27" s="2040">
        <f t="shared" si="36"/>
        <v>-29.234858148319745</v>
      </c>
      <c r="G27" s="2130">
        <f t="shared" si="20"/>
        <v>-2.9403542649483611E-3</v>
      </c>
      <c r="H27" s="2201">
        <v>831.40441245975239</v>
      </c>
      <c r="I27" s="2196">
        <f t="shared" ref="I27:I33" si="47">H27/$H$109</f>
        <v>4.2325384246654746E-2</v>
      </c>
      <c r="J27" s="2229">
        <v>429.24210333842518</v>
      </c>
      <c r="K27" s="2229">
        <f>FISCinyear!IW757</f>
        <v>454.26165696299995</v>
      </c>
      <c r="L27" s="2218">
        <f t="shared" si="21"/>
        <v>25.019553624574769</v>
      </c>
      <c r="M27" s="2218">
        <v>402.16230912132721</v>
      </c>
      <c r="N27" s="2218">
        <f t="shared" si="35"/>
        <v>411.97606531269992</v>
      </c>
      <c r="O27" s="2045">
        <f>FISC!AJ1079</f>
        <v>866.23772227569987</v>
      </c>
      <c r="P27" s="2139">
        <f t="shared" si="4"/>
        <v>4.3239050316021488E-2</v>
      </c>
      <c r="Q27" s="2040">
        <f t="shared" si="5"/>
        <v>34.833309815947473</v>
      </c>
      <c r="R27" s="2130">
        <f t="shared" si="6"/>
        <v>9.13666069366742E-4</v>
      </c>
      <c r="S27" s="2201">
        <v>885.08047990427747</v>
      </c>
      <c r="T27" s="2196">
        <f t="shared" si="7"/>
        <v>4.0119975752648349E-2</v>
      </c>
      <c r="U27" s="2229">
        <f>FISCinyear!IZ757</f>
        <v>533.6148104285661</v>
      </c>
      <c r="V27" s="2229">
        <f t="shared" si="22"/>
        <v>355.74320695237736</v>
      </c>
      <c r="W27" s="2045">
        <f>FISC!AK1079</f>
        <v>889.35801738094347</v>
      </c>
      <c r="X27" s="2139">
        <f t="shared" si="8"/>
        <v>3.9259229269041837E-2</v>
      </c>
      <c r="Y27" s="2040">
        <f t="shared" si="23"/>
        <v>4.2775374766659979</v>
      </c>
      <c r="Z27" s="2130">
        <f t="shared" si="24"/>
        <v>-8.6074648360651151E-4</v>
      </c>
      <c r="AA27" s="2201">
        <v>973.57366165338851</v>
      </c>
      <c r="AB27" s="2196">
        <f>AA27/$AA$109</f>
        <v>3.9244080068211826E-2</v>
      </c>
      <c r="AC27" s="2229">
        <f>FISCinyear!JC757</f>
        <v>600.15023003333147</v>
      </c>
      <c r="AD27" s="2229">
        <f t="shared" si="25"/>
        <v>400.10015335555443</v>
      </c>
      <c r="AE27" s="2045">
        <f>FISC!AL1079</f>
        <v>1000.2503833888859</v>
      </c>
      <c r="AF27" s="2039">
        <f t="shared" si="10"/>
        <v>3.9129630247155094E-2</v>
      </c>
      <c r="AG27" s="2040">
        <f t="shared" si="26"/>
        <v>26.676721735497381</v>
      </c>
      <c r="AH27" s="2139">
        <f t="shared" si="27"/>
        <v>-1.1444982105673213E-4</v>
      </c>
      <c r="AI27" s="2201">
        <v>1083.6143857410723</v>
      </c>
      <c r="AJ27" s="2196">
        <f>AI27/$AI$109</f>
        <v>3.8785976146094019E-2</v>
      </c>
      <c r="AK27" s="2229">
        <f>FISCinyear!JF757</f>
        <v>624.4407338650193</v>
      </c>
      <c r="AL27" s="2229">
        <f t="shared" si="28"/>
        <v>510.90605498047023</v>
      </c>
      <c r="AM27" s="2045">
        <f>FISC!AM1079</f>
        <v>1135.3467888454895</v>
      </c>
      <c r="AN27" s="2039">
        <f t="shared" si="12"/>
        <v>3.9455914737612029E-2</v>
      </c>
      <c r="AO27" s="2040">
        <f t="shared" si="37"/>
        <v>51.732403104417244</v>
      </c>
      <c r="AP27" s="2139">
        <f t="shared" si="29"/>
        <v>6.6993859151801005E-4</v>
      </c>
      <c r="AQ27" s="2201">
        <v>1239.5363532526719</v>
      </c>
      <c r="AR27" s="2196">
        <f t="shared" si="13"/>
        <v>3.9402233639432613E-2</v>
      </c>
      <c r="AS27" s="2229">
        <f>FISCinyear!JI757</f>
        <v>701.08447754026452</v>
      </c>
      <c r="AT27" s="2229">
        <f t="shared" si="30"/>
        <v>573.61457253294361</v>
      </c>
      <c r="AU27" s="2045">
        <f>FISC!AN1079</f>
        <v>1274.6990500732081</v>
      </c>
      <c r="AV27" s="2039">
        <f t="shared" si="14"/>
        <v>3.9423590439390206E-2</v>
      </c>
      <c r="AW27" s="2040">
        <f t="shared" si="38"/>
        <v>35.162696820536212</v>
      </c>
      <c r="AX27" s="2139">
        <f t="shared" si="31"/>
        <v>2.1356799957593375E-5</v>
      </c>
      <c r="AY27" s="2201">
        <v>1472.5414164577339</v>
      </c>
      <c r="AZ27" s="2196">
        <f t="shared" si="16"/>
        <v>4.1571022003419673E-2</v>
      </c>
      <c r="BA27" s="2229">
        <f>FISCinyear!JL757</f>
        <v>741.60255580652677</v>
      </c>
      <c r="BB27" s="2229">
        <f t="shared" si="32"/>
        <v>606.76572747806733</v>
      </c>
      <c r="BC27" s="2045">
        <f>FISC!AO1079</f>
        <v>1348.3682832845941</v>
      </c>
      <c r="BD27" s="2039">
        <f t="shared" si="17"/>
        <v>3.7116988699524331E-2</v>
      </c>
      <c r="BE27" s="2040">
        <f t="shared" ref="BE27:BF29" si="48">BC27-AY27</f>
        <v>-124.17313317313983</v>
      </c>
      <c r="BF27" s="2139">
        <f t="shared" si="48"/>
        <v>-4.4540333038953425E-3</v>
      </c>
    </row>
    <row r="28" spans="1:60">
      <c r="A28" s="2074" t="s">
        <v>3666</v>
      </c>
      <c r="B28" s="2042">
        <v>253.80743503078881</v>
      </c>
      <c r="C28" s="2075">
        <f>B28/$B$109</f>
        <v>1.4697815718271274E-2</v>
      </c>
      <c r="D28" s="2038">
        <f>B28</f>
        <v>253.80743503078881</v>
      </c>
      <c r="E28" s="2076">
        <f>D28/$D$109</f>
        <v>1.4301427566957165E-2</v>
      </c>
      <c r="F28" s="2077">
        <f t="shared" si="36"/>
        <v>0</v>
      </c>
      <c r="G28" s="2133">
        <f t="shared" si="20"/>
        <v>-3.9638815131410807E-4</v>
      </c>
      <c r="H28" s="2198">
        <v>208.97773724750209</v>
      </c>
      <c r="I28" s="2198">
        <f t="shared" si="47"/>
        <v>1.0638701088713745E-2</v>
      </c>
      <c r="J28" s="2062">
        <v>104.48886862375105</v>
      </c>
      <c r="K28" s="2062">
        <f>FISCinyear!IW764</f>
        <v>135.10533928253199</v>
      </c>
      <c r="L28" s="2218">
        <f t="shared" si="21"/>
        <v>30.616470658780941</v>
      </c>
      <c r="M28" s="2218">
        <v>104.48886862375105</v>
      </c>
      <c r="N28" s="2218">
        <f t="shared" si="35"/>
        <v>74.89077817180268</v>
      </c>
      <c r="O28" s="2038">
        <f>O21</f>
        <v>209.99611745433467</v>
      </c>
      <c r="P28" s="2038">
        <f t="shared" si="4"/>
        <v>1.048214878581241E-2</v>
      </c>
      <c r="Q28" s="2040">
        <f t="shared" si="5"/>
        <v>1.0183802068325747</v>
      </c>
      <c r="R28" s="2130">
        <f t="shared" si="6"/>
        <v>-1.56552302901335E-4</v>
      </c>
      <c r="S28" s="2198">
        <v>225.23364466325103</v>
      </c>
      <c r="T28" s="2198">
        <f t="shared" si="7"/>
        <v>1.0209657277208893E-2</v>
      </c>
      <c r="U28" s="2062">
        <f>U21</f>
        <v>98.624497302189511</v>
      </c>
      <c r="V28" s="2062">
        <f t="shared" si="22"/>
        <v>98.624497302189511</v>
      </c>
      <c r="W28" s="2038">
        <f>W21</f>
        <v>197.24899460437902</v>
      </c>
      <c r="X28" s="2139">
        <f t="shared" si="8"/>
        <v>8.7072285299299775E-3</v>
      </c>
      <c r="Y28" s="2077">
        <f t="shared" si="23"/>
        <v>-27.984650058872006</v>
      </c>
      <c r="Z28" s="2133">
        <f t="shared" si="24"/>
        <v>-1.5024287472789159E-3</v>
      </c>
      <c r="AA28" s="2198">
        <v>240.35714695300106</v>
      </c>
      <c r="AB28" s="2198">
        <f>AA28/$AA$109</f>
        <v>9.6886301381360913E-3</v>
      </c>
      <c r="AC28" s="2062">
        <f>AC21</f>
        <v>105.93165753195345</v>
      </c>
      <c r="AD28" s="2062">
        <f t="shared" si="25"/>
        <v>105.93165753195345</v>
      </c>
      <c r="AE28" s="2038">
        <f>AE21</f>
        <v>211.8633150639069</v>
      </c>
      <c r="AF28" s="2039">
        <f t="shared" si="10"/>
        <v>8.2880579893405467E-3</v>
      </c>
      <c r="AG28" s="2077">
        <f t="shared" si="26"/>
        <v>-28.493831889094167</v>
      </c>
      <c r="AH28" s="2142">
        <f t="shared" si="27"/>
        <v>-1.4005721487955446E-3</v>
      </c>
      <c r="AI28" s="2198">
        <v>254.42364700989387</v>
      </c>
      <c r="AJ28" s="2198">
        <f>AI28/$AI$109</f>
        <v>9.1066246755106724E-3</v>
      </c>
      <c r="AK28" s="2062">
        <f>FISCinyear!JF764</f>
        <v>112.94600449504487</v>
      </c>
      <c r="AL28" s="2062">
        <f t="shared" si="28"/>
        <v>112.94600449504487</v>
      </c>
      <c r="AM28" s="2038">
        <f>AM21</f>
        <v>225.89200899008975</v>
      </c>
      <c r="AN28" s="2076">
        <f t="shared" si="12"/>
        <v>7.8502673669285546E-3</v>
      </c>
      <c r="AO28" s="2077">
        <f t="shared" si="37"/>
        <v>-28.53163801980412</v>
      </c>
      <c r="AP28" s="2142">
        <f t="shared" si="29"/>
        <v>-1.2563573085821178E-3</v>
      </c>
      <c r="AQ28" s="2198">
        <v>267.41139417836371</v>
      </c>
      <c r="AR28" s="2198">
        <f t="shared" si="13"/>
        <v>8.5004414784714873E-3</v>
      </c>
      <c r="AS28" s="2062">
        <f>FISCinyear!JI764</f>
        <v>119.33943304664193</v>
      </c>
      <c r="AT28" s="2062">
        <f t="shared" si="30"/>
        <v>119.33943304664193</v>
      </c>
      <c r="AU28" s="2038">
        <f>AU21</f>
        <v>238.67886609328386</v>
      </c>
      <c r="AV28" s="2076">
        <f t="shared" si="14"/>
        <v>7.3818034640092279E-3</v>
      </c>
      <c r="AW28" s="2077">
        <f t="shared" si="38"/>
        <v>-28.732528085079849</v>
      </c>
      <c r="AX28" s="2142">
        <f t="shared" si="31"/>
        <v>-1.1186380144622594E-3</v>
      </c>
      <c r="AY28" s="2198">
        <v>278.7148574046762</v>
      </c>
      <c r="AZ28" s="2198">
        <f t="shared" si="16"/>
        <v>7.8683433554769117E-3</v>
      </c>
      <c r="BA28" s="2062">
        <f>FISCinyear!JL764</f>
        <v>124.55660873368646</v>
      </c>
      <c r="BB28" s="2062">
        <f t="shared" si="32"/>
        <v>124.55660873368646</v>
      </c>
      <c r="BC28" s="2038">
        <f>BC21</f>
        <v>249.11321746737292</v>
      </c>
      <c r="BD28" s="2076">
        <f t="shared" si="17"/>
        <v>6.8574235928442152E-3</v>
      </c>
      <c r="BE28" s="2077">
        <f t="shared" si="48"/>
        <v>-29.601639937303275</v>
      </c>
      <c r="BF28" s="2142">
        <f t="shared" si="48"/>
        <v>-1.0109197626326965E-3</v>
      </c>
    </row>
    <row r="29" spans="1:60">
      <c r="A29" s="2074" t="s">
        <v>3672</v>
      </c>
      <c r="B29" s="2042">
        <v>0</v>
      </c>
      <c r="C29" s="2059">
        <f>B29/$B$109</f>
        <v>0</v>
      </c>
      <c r="D29" s="2060">
        <v>0</v>
      </c>
      <c r="E29" s="2061">
        <f>D29/$D$109</f>
        <v>0</v>
      </c>
      <c r="F29" s="2062">
        <f t="shared" si="36"/>
        <v>0</v>
      </c>
      <c r="G29" s="2133">
        <f t="shared" si="20"/>
        <v>0</v>
      </c>
      <c r="H29" s="2198">
        <v>82.8</v>
      </c>
      <c r="I29" s="2207">
        <f t="shared" si="47"/>
        <v>4.215207139994178E-3</v>
      </c>
      <c r="J29" s="2232">
        <v>82.973828088359994</v>
      </c>
      <c r="K29" s="2232">
        <v>82.083810964999998</v>
      </c>
      <c r="L29" s="2218">
        <f t="shared" si="21"/>
        <v>-0.89001712335999628</v>
      </c>
      <c r="M29" s="2218">
        <v>-0.17382808835999697</v>
      </c>
      <c r="N29" s="2218">
        <f t="shared" si="35"/>
        <v>0.71618903499999931</v>
      </c>
      <c r="O29" s="2060">
        <f>FISC!AJ1080</f>
        <v>82.8</v>
      </c>
      <c r="P29" s="2142">
        <f t="shared" si="4"/>
        <v>4.1330379341608737E-3</v>
      </c>
      <c r="Q29" s="2040">
        <f t="shared" si="5"/>
        <v>0</v>
      </c>
      <c r="R29" s="2130">
        <f t="shared" si="6"/>
        <v>-8.2169205833304386E-5</v>
      </c>
      <c r="S29" s="2198"/>
      <c r="T29" s="2207">
        <f t="shared" si="7"/>
        <v>0</v>
      </c>
      <c r="U29" s="2232">
        <f>FISCinyear!IZ758</f>
        <v>0</v>
      </c>
      <c r="V29" s="2232">
        <f t="shared" si="22"/>
        <v>0</v>
      </c>
      <c r="W29" s="2060">
        <f>S29</f>
        <v>0</v>
      </c>
      <c r="X29" s="2139">
        <f t="shared" si="8"/>
        <v>0</v>
      </c>
      <c r="Y29" s="2062">
        <f t="shared" si="23"/>
        <v>0</v>
      </c>
      <c r="Z29" s="2133">
        <f t="shared" si="24"/>
        <v>0</v>
      </c>
      <c r="AA29" s="2198"/>
      <c r="AB29" s="2207">
        <f>AA29/$AA$109</f>
        <v>0</v>
      </c>
      <c r="AC29" s="2232">
        <f>FISCinyear!JC758</f>
        <v>0</v>
      </c>
      <c r="AD29" s="2232">
        <f t="shared" si="25"/>
        <v>0</v>
      </c>
      <c r="AE29" s="2060">
        <f>AA29</f>
        <v>0</v>
      </c>
      <c r="AF29" s="2039">
        <f t="shared" si="10"/>
        <v>0</v>
      </c>
      <c r="AG29" s="2062">
        <f t="shared" si="26"/>
        <v>0</v>
      </c>
      <c r="AH29" s="2142">
        <f t="shared" si="27"/>
        <v>0</v>
      </c>
      <c r="AI29" s="2198">
        <v>0</v>
      </c>
      <c r="AJ29" s="2207">
        <f>AI29/$AI$109</f>
        <v>0</v>
      </c>
      <c r="AK29" s="2232">
        <v>0</v>
      </c>
      <c r="AL29" s="2232">
        <f t="shared" si="28"/>
        <v>0</v>
      </c>
      <c r="AM29" s="2060">
        <f>AI29</f>
        <v>0</v>
      </c>
      <c r="AN29" s="2061">
        <f t="shared" si="12"/>
        <v>0</v>
      </c>
      <c r="AO29" s="2062">
        <f t="shared" si="37"/>
        <v>0</v>
      </c>
      <c r="AP29" s="2142">
        <f t="shared" si="29"/>
        <v>0</v>
      </c>
      <c r="AQ29" s="2198"/>
      <c r="AR29" s="2207">
        <f t="shared" si="13"/>
        <v>0</v>
      </c>
      <c r="AS29" s="2232">
        <v>0</v>
      </c>
      <c r="AT29" s="2232">
        <f t="shared" si="30"/>
        <v>0</v>
      </c>
      <c r="AU29" s="2060">
        <f>AN29</f>
        <v>0</v>
      </c>
      <c r="AV29" s="2061">
        <f t="shared" si="14"/>
        <v>0</v>
      </c>
      <c r="AW29" s="2062">
        <f t="shared" si="38"/>
        <v>0</v>
      </c>
      <c r="AX29" s="2142">
        <f t="shared" si="31"/>
        <v>0</v>
      </c>
      <c r="AY29" s="2198"/>
      <c r="AZ29" s="2207">
        <f t="shared" si="16"/>
        <v>0</v>
      </c>
      <c r="BA29" s="2232">
        <v>0</v>
      </c>
      <c r="BB29" s="2232">
        <f t="shared" si="32"/>
        <v>0</v>
      </c>
      <c r="BC29" s="2060">
        <f>AV29</f>
        <v>0</v>
      </c>
      <c r="BD29" s="2061">
        <f t="shared" si="17"/>
        <v>0</v>
      </c>
      <c r="BE29" s="2062">
        <f t="shared" si="48"/>
        <v>0</v>
      </c>
      <c r="BF29" s="2142">
        <f t="shared" si="48"/>
        <v>0</v>
      </c>
    </row>
    <row r="30" spans="1:60">
      <c r="A30" s="2074" t="s">
        <v>3690</v>
      </c>
      <c r="B30" s="2042"/>
      <c r="C30" s="2059"/>
      <c r="D30" s="2060"/>
      <c r="E30" s="2061"/>
      <c r="F30" s="2062"/>
      <c r="G30" s="2133"/>
      <c r="H30" s="2198">
        <v>20</v>
      </c>
      <c r="I30" s="2207">
        <f t="shared" si="47"/>
        <v>1.0181659758440045E-3</v>
      </c>
      <c r="J30" s="2232">
        <v>20</v>
      </c>
      <c r="K30" s="2232">
        <v>50</v>
      </c>
      <c r="L30" s="2218">
        <f t="shared" si="21"/>
        <v>30</v>
      </c>
      <c r="M30" s="2218">
        <v>0</v>
      </c>
      <c r="N30" s="2218">
        <f t="shared" si="35"/>
        <v>0</v>
      </c>
      <c r="O30" s="2060">
        <f>FISC!AJ1081</f>
        <v>50</v>
      </c>
      <c r="P30" s="2142">
        <f t="shared" si="4"/>
        <v>2.4957958539618802E-3</v>
      </c>
      <c r="Q30" s="2040">
        <f t="shared" ref="Q30:Q39" si="49">O30-H30</f>
        <v>30</v>
      </c>
      <c r="R30" s="2130">
        <f t="shared" si="6"/>
        <v>1.4776298781178758E-3</v>
      </c>
      <c r="S30" s="2198">
        <v>20</v>
      </c>
      <c r="T30" s="2207">
        <f t="shared" si="7"/>
        <v>9.0658367602881428E-4</v>
      </c>
      <c r="U30" s="2232">
        <f>FISCinyear!IZ759</f>
        <v>0</v>
      </c>
      <c r="V30" s="2232">
        <f t="shared" si="22"/>
        <v>0</v>
      </c>
      <c r="W30" s="2060">
        <f>FISCinyear!JB759</f>
        <v>0</v>
      </c>
      <c r="X30" s="2139">
        <f t="shared" si="8"/>
        <v>0</v>
      </c>
      <c r="Y30" s="2062">
        <f t="shared" ref="Y30:Y31" si="50">W30-S30</f>
        <v>-20</v>
      </c>
      <c r="Z30" s="2133">
        <f t="shared" ref="Z30:Z31" si="51">X30-T30</f>
        <v>-9.0658367602881428E-4</v>
      </c>
      <c r="AA30" s="2198"/>
      <c r="AB30" s="2207"/>
      <c r="AC30" s="2232">
        <f>FISCinyear!JC759</f>
        <v>0</v>
      </c>
      <c r="AD30" s="2232">
        <f t="shared" si="25"/>
        <v>0</v>
      </c>
      <c r="AE30" s="2060"/>
      <c r="AF30" s="2039">
        <f t="shared" si="10"/>
        <v>0</v>
      </c>
      <c r="AG30" s="2062"/>
      <c r="AH30" s="2142">
        <f t="shared" si="27"/>
        <v>0</v>
      </c>
      <c r="AI30" s="2198">
        <v>0</v>
      </c>
      <c r="AJ30" s="2207"/>
      <c r="AK30" s="2232">
        <v>0</v>
      </c>
      <c r="AL30" s="2232">
        <f t="shared" si="28"/>
        <v>0</v>
      </c>
      <c r="AM30" s="2060"/>
      <c r="AN30" s="2061"/>
      <c r="AO30" s="2062"/>
      <c r="AP30" s="2142">
        <f t="shared" si="29"/>
        <v>0</v>
      </c>
      <c r="AQ30" s="2198"/>
      <c r="AR30" s="2207">
        <f t="shared" si="13"/>
        <v>0</v>
      </c>
      <c r="AS30" s="2232">
        <v>0</v>
      </c>
      <c r="AT30" s="2232">
        <f t="shared" si="30"/>
        <v>0</v>
      </c>
      <c r="AU30" s="2060"/>
      <c r="AV30" s="2061">
        <f t="shared" si="14"/>
        <v>0</v>
      </c>
      <c r="AW30" s="2062"/>
      <c r="AX30" s="2142">
        <f t="shared" si="31"/>
        <v>0</v>
      </c>
      <c r="AY30" s="2198"/>
      <c r="AZ30" s="2207">
        <f t="shared" si="16"/>
        <v>0</v>
      </c>
      <c r="BA30" s="2232">
        <v>0</v>
      </c>
      <c r="BB30" s="2232">
        <f t="shared" si="32"/>
        <v>0</v>
      </c>
      <c r="BC30" s="2060"/>
      <c r="BD30" s="2061">
        <f t="shared" si="17"/>
        <v>0</v>
      </c>
      <c r="BE30" s="2062"/>
      <c r="BF30" s="2142">
        <f>BD30-AZ30</f>
        <v>0</v>
      </c>
    </row>
    <row r="31" spans="1:60">
      <c r="A31" s="2036" t="s">
        <v>561</v>
      </c>
      <c r="B31" s="2078">
        <v>0</v>
      </c>
      <c r="C31" s="2079">
        <f>B31/$B$109</f>
        <v>0</v>
      </c>
      <c r="D31" s="2080">
        <v>0</v>
      </c>
      <c r="E31" s="2081">
        <f>D31/$D$109</f>
        <v>0</v>
      </c>
      <c r="F31" s="2068">
        <f t="shared" si="36"/>
        <v>0</v>
      </c>
      <c r="G31" s="2134">
        <f t="shared" si="20"/>
        <v>0</v>
      </c>
      <c r="H31" s="2208">
        <v>0</v>
      </c>
      <c r="I31" s="2209">
        <f t="shared" si="47"/>
        <v>0</v>
      </c>
      <c r="J31" s="2233">
        <v>0</v>
      </c>
      <c r="K31" s="2233">
        <v>0</v>
      </c>
      <c r="L31" s="2218">
        <f t="shared" si="21"/>
        <v>0</v>
      </c>
      <c r="M31" s="2218">
        <v>0</v>
      </c>
      <c r="N31" s="2218">
        <f t="shared" si="35"/>
        <v>0</v>
      </c>
      <c r="O31" s="2080">
        <f>FISC!AJ1094</f>
        <v>0</v>
      </c>
      <c r="P31" s="2143">
        <f t="shared" si="4"/>
        <v>0</v>
      </c>
      <c r="Q31" s="2040">
        <f t="shared" si="49"/>
        <v>0</v>
      </c>
      <c r="R31" s="2130">
        <f t="shared" ref="R31:R63" si="52">P31-I31</f>
        <v>0</v>
      </c>
      <c r="S31" s="2208">
        <v>0</v>
      </c>
      <c r="T31" s="2209">
        <f t="shared" si="7"/>
        <v>0</v>
      </c>
      <c r="U31" s="2233">
        <f>FISCinyear!IZ779</f>
        <v>0</v>
      </c>
      <c r="V31" s="2233">
        <f t="shared" si="22"/>
        <v>0</v>
      </c>
      <c r="W31" s="2080">
        <f>FISC!AK1094</f>
        <v>0</v>
      </c>
      <c r="X31" s="2139">
        <f t="shared" si="8"/>
        <v>0</v>
      </c>
      <c r="Y31" s="2062">
        <f t="shared" si="50"/>
        <v>0</v>
      </c>
      <c r="Z31" s="2133">
        <f t="shared" si="51"/>
        <v>0</v>
      </c>
      <c r="AA31" s="2208"/>
      <c r="AB31" s="2209">
        <f>AA31/$AA$109</f>
        <v>0</v>
      </c>
      <c r="AC31" s="2233">
        <v>0</v>
      </c>
      <c r="AD31" s="2233">
        <f t="shared" si="25"/>
        <v>0</v>
      </c>
      <c r="AE31" s="2080">
        <f>FISC!AL1094</f>
        <v>0</v>
      </c>
      <c r="AF31" s="2039">
        <f t="shared" si="10"/>
        <v>0</v>
      </c>
      <c r="AG31" s="2068">
        <f t="shared" si="26"/>
        <v>0</v>
      </c>
      <c r="AH31" s="2142">
        <f t="shared" si="27"/>
        <v>0</v>
      </c>
      <c r="AI31" s="2208">
        <v>0</v>
      </c>
      <c r="AJ31" s="2209">
        <f>AI31/$AI$109</f>
        <v>0</v>
      </c>
      <c r="AK31" s="2233">
        <v>0</v>
      </c>
      <c r="AL31" s="2233">
        <f t="shared" si="28"/>
        <v>0</v>
      </c>
      <c r="AM31" s="2080">
        <f>FISC!AM1094</f>
        <v>0</v>
      </c>
      <c r="AN31" s="2081">
        <f>AM31/$AM$109</f>
        <v>0</v>
      </c>
      <c r="AO31" s="2068">
        <f t="shared" si="37"/>
        <v>0</v>
      </c>
      <c r="AP31" s="2142">
        <f t="shared" si="29"/>
        <v>0</v>
      </c>
      <c r="AQ31" s="2208"/>
      <c r="AR31" s="2209">
        <f t="shared" si="13"/>
        <v>0</v>
      </c>
      <c r="AS31" s="2233">
        <v>0</v>
      </c>
      <c r="AT31" s="2233">
        <f t="shared" si="30"/>
        <v>0</v>
      </c>
      <c r="AU31" s="2080">
        <f>FISC!AN1094</f>
        <v>0</v>
      </c>
      <c r="AV31" s="2081">
        <f t="shared" si="14"/>
        <v>0</v>
      </c>
      <c r="AW31" s="2068">
        <f t="shared" ref="AW31:AW56" si="53">AU31-AQ31</f>
        <v>0</v>
      </c>
      <c r="AX31" s="2142">
        <f t="shared" si="31"/>
        <v>0</v>
      </c>
      <c r="AY31" s="2208"/>
      <c r="AZ31" s="2209">
        <f t="shared" si="16"/>
        <v>0</v>
      </c>
      <c r="BA31" s="2233">
        <v>0</v>
      </c>
      <c r="BB31" s="2233">
        <f t="shared" si="32"/>
        <v>0</v>
      </c>
      <c r="BC31" s="2080">
        <f>FISC!AO1094</f>
        <v>0</v>
      </c>
      <c r="BD31" s="2081">
        <f t="shared" si="17"/>
        <v>0</v>
      </c>
      <c r="BE31" s="2068">
        <f>BC31-AY31</f>
        <v>0</v>
      </c>
      <c r="BF31" s="2142">
        <f>BD31-AZ31</f>
        <v>0</v>
      </c>
    </row>
    <row r="32" spans="1:60">
      <c r="A32" s="2082" t="s">
        <v>544</v>
      </c>
      <c r="B32" s="2078">
        <v>420.80651242233085</v>
      </c>
      <c r="C32" s="2079">
        <f>B32/$B$109</f>
        <v>2.4368618562657828E-2</v>
      </c>
      <c r="D32" s="2083">
        <f>FISC!AI1095</f>
        <v>417.72068484998749</v>
      </c>
      <c r="E32" s="2081">
        <f>D32/$D$109</f>
        <v>2.353753788527568E-2</v>
      </c>
      <c r="F32" s="2068">
        <f t="shared" si="36"/>
        <v>-3.0858275723433621</v>
      </c>
      <c r="G32" s="2134">
        <f t="shared" si="20"/>
        <v>-8.310806773821483E-4</v>
      </c>
      <c r="H32" s="2208">
        <v>500.05423578942782</v>
      </c>
      <c r="I32" s="2209">
        <f t="shared" si="47"/>
        <v>2.5456910447873533E-2</v>
      </c>
      <c r="J32" s="2233">
        <v>243.28092977545765</v>
      </c>
      <c r="K32" s="2233">
        <f>FISCinyear!IW780</f>
        <v>224.36896574428638</v>
      </c>
      <c r="L32" s="2218">
        <f t="shared" si="21"/>
        <v>-18.911964031171266</v>
      </c>
      <c r="M32" s="2218">
        <v>256.77330601397017</v>
      </c>
      <c r="N32" s="2218">
        <f t="shared" si="35"/>
        <v>278.57400197828963</v>
      </c>
      <c r="O32" s="2083">
        <f>FISC!AJ1095</f>
        <v>502.94296772257599</v>
      </c>
      <c r="P32" s="2143">
        <f t="shared" si="4"/>
        <v>2.5104859472425779E-2</v>
      </c>
      <c r="Q32" s="2040">
        <f t="shared" si="49"/>
        <v>2.8887319331481649</v>
      </c>
      <c r="R32" s="2130">
        <f t="shared" si="52"/>
        <v>-3.5205097544775341E-4</v>
      </c>
      <c r="S32" s="2208">
        <v>558.57737525581888</v>
      </c>
      <c r="T32" s="2209">
        <f t="shared" si="7"/>
        <v>2.5319856510297337E-2</v>
      </c>
      <c r="U32" s="2233">
        <f>FISCinyear!IZ780</f>
        <v>268.74331082933145</v>
      </c>
      <c r="V32" s="2233">
        <f t="shared" si="22"/>
        <v>335.35168113219265</v>
      </c>
      <c r="W32" s="2083">
        <f>FISC!AK1095</f>
        <v>604.0949919615241</v>
      </c>
      <c r="X32" s="2139">
        <f t="shared" si="8"/>
        <v>2.6666767855243755E-2</v>
      </c>
      <c r="Y32" s="2068">
        <f t="shared" si="23"/>
        <v>45.517616705705223</v>
      </c>
      <c r="Z32" s="2134">
        <f t="shared" si="24"/>
        <v>1.3469113449464179E-3</v>
      </c>
      <c r="AA32" s="2208">
        <v>572.15332671663782</v>
      </c>
      <c r="AB32" s="2209">
        <f>AA32/$AA$109</f>
        <v>2.306310436421341E-2</v>
      </c>
      <c r="AC32" s="2233">
        <f>FISCinyear!JC780</f>
        <v>343.7873290582304</v>
      </c>
      <c r="AD32" s="2233">
        <f t="shared" si="25"/>
        <v>351.78145248975761</v>
      </c>
      <c r="AE32" s="2080">
        <f>FISC!AL1095</f>
        <v>695.56878154798801</v>
      </c>
      <c r="AF32" s="2039">
        <f t="shared" si="10"/>
        <v>2.7210536167178029E-2</v>
      </c>
      <c r="AG32" s="2068">
        <f t="shared" si="26"/>
        <v>123.41545483135019</v>
      </c>
      <c r="AH32" s="2143">
        <f t="shared" si="27"/>
        <v>4.1474318029646184E-3</v>
      </c>
      <c r="AI32" s="2208">
        <v>597.03831756766181</v>
      </c>
      <c r="AJ32" s="2209">
        <f>AI32/$AI$109</f>
        <v>2.1369884202530966E-2</v>
      </c>
      <c r="AK32" s="2233">
        <f>FISCinyear!JF780</f>
        <v>364.49642988590199</v>
      </c>
      <c r="AL32" s="2233">
        <f t="shared" si="28"/>
        <v>407.2655949363882</v>
      </c>
      <c r="AM32" s="2083">
        <f>FISC!AM1095</f>
        <v>771.76202482229019</v>
      </c>
      <c r="AN32" s="2081">
        <f>AM32/$AM$109</f>
        <v>2.6820507133401641E-2</v>
      </c>
      <c r="AO32" s="2068">
        <f t="shared" si="37"/>
        <v>174.72370725462838</v>
      </c>
      <c r="AP32" s="2143">
        <f t="shared" si="29"/>
        <v>5.4506229308706744E-3</v>
      </c>
      <c r="AQ32" s="2208">
        <v>610.05958064320453</v>
      </c>
      <c r="AR32" s="2209">
        <f t="shared" si="13"/>
        <v>1.9392501129475052E-2</v>
      </c>
      <c r="AS32" s="2233">
        <f>FISCinyear!JI780</f>
        <v>380.45897549990252</v>
      </c>
      <c r="AT32" s="2233">
        <f t="shared" si="30"/>
        <v>439.24779145606192</v>
      </c>
      <c r="AU32" s="2083">
        <f>FISC!AN1095</f>
        <v>819.70676695596444</v>
      </c>
      <c r="AV32" s="2081">
        <f t="shared" si="14"/>
        <v>2.5351696825233111E-2</v>
      </c>
      <c r="AW32" s="2068">
        <f t="shared" si="53"/>
        <v>209.64718631275991</v>
      </c>
      <c r="AX32" s="2143">
        <f t="shared" si="31"/>
        <v>5.9591956957580593E-3</v>
      </c>
      <c r="AY32" s="2208">
        <v>308.56856443763201</v>
      </c>
      <c r="AZ32" s="2209">
        <f t="shared" si="16"/>
        <v>8.7111373835973907E-3</v>
      </c>
      <c r="BA32" s="2233">
        <f>FISCinyear!JL780</f>
        <v>397.71239873446427</v>
      </c>
      <c r="BB32" s="2233">
        <f t="shared" si="32"/>
        <v>745.69804194194751</v>
      </c>
      <c r="BC32" s="2083">
        <f>FISC!AO1095</f>
        <v>1143.4104406764118</v>
      </c>
      <c r="BD32" s="2081">
        <f t="shared" si="17"/>
        <v>3.1475045009306923E-2</v>
      </c>
      <c r="BE32" s="2068">
        <f>BC32-AY32</f>
        <v>834.84187623877983</v>
      </c>
      <c r="BF32" s="2143">
        <f>BD32-AZ32</f>
        <v>2.2763907625709533E-2</v>
      </c>
      <c r="BH32" s="2186"/>
    </row>
    <row r="33" spans="1:60">
      <c r="A33" s="2084" t="s">
        <v>562</v>
      </c>
      <c r="B33" s="2078">
        <v>305.21703016014465</v>
      </c>
      <c r="C33" s="2037">
        <f>B33/$B$109</f>
        <v>1.767491036197447E-2</v>
      </c>
      <c r="D33" s="2045">
        <v>299.97083397306216</v>
      </c>
      <c r="E33" s="2039">
        <f>D33/$D$109</f>
        <v>1.6902622075452876E-2</v>
      </c>
      <c r="F33" s="2040">
        <f t="shared" si="36"/>
        <v>-5.2461961870824894</v>
      </c>
      <c r="G33" s="2130">
        <f t="shared" si="20"/>
        <v>-7.7228828652159409E-4</v>
      </c>
      <c r="H33" s="2208">
        <v>237.81321847454316</v>
      </c>
      <c r="I33" s="2196">
        <f t="shared" si="47"/>
        <v>1.2106666382836834E-2</v>
      </c>
      <c r="J33" s="2229">
        <v>116.24217673557304</v>
      </c>
      <c r="K33" s="2229">
        <f>FISCinyear!IW781</f>
        <v>99.007988737247942</v>
      </c>
      <c r="L33" s="2218">
        <f t="shared" si="21"/>
        <v>-17.234187998325098</v>
      </c>
      <c r="M33" s="2218">
        <v>121.57104173897012</v>
      </c>
      <c r="N33" s="2218">
        <f t="shared" si="35"/>
        <v>139.96412961728959</v>
      </c>
      <c r="O33" s="2045">
        <f>FISC!AJ1096</f>
        <v>238.97211835453751</v>
      </c>
      <c r="P33" s="2139">
        <f t="shared" si="4"/>
        <v>1.1928512444034849E-2</v>
      </c>
      <c r="Q33" s="2040">
        <f t="shared" si="49"/>
        <v>1.1588998799943511</v>
      </c>
      <c r="R33" s="2130">
        <f t="shared" si="52"/>
        <v>-1.7815393880198441E-4</v>
      </c>
      <c r="S33" s="2208">
        <v>257.67256226724072</v>
      </c>
      <c r="T33" s="2196">
        <f t="shared" si="7"/>
        <v>1.1680086935599932E-2</v>
      </c>
      <c r="U33" s="2229">
        <f>FISCinyear!IZ781</f>
        <v>123.82615222873142</v>
      </c>
      <c r="V33" s="2229">
        <f t="shared" si="22"/>
        <v>203.96686725679274</v>
      </c>
      <c r="W33" s="2045">
        <f>FISC!AK1096</f>
        <v>327.79301948552416</v>
      </c>
      <c r="X33" s="2139">
        <f t="shared" si="8"/>
        <v>1.446987720723665E-2</v>
      </c>
      <c r="Y33" s="2040">
        <f t="shared" si="23"/>
        <v>70.120457218283434</v>
      </c>
      <c r="Z33" s="2130">
        <f t="shared" si="24"/>
        <v>2.7897902716367187E-3</v>
      </c>
      <c r="AA33" s="2208">
        <v>284.07739387000947</v>
      </c>
      <c r="AB33" s="2196">
        <f>AA33/$AA$109</f>
        <v>1.1450963013595406E-2</v>
      </c>
      <c r="AC33" s="2233">
        <f>FISCinyear!JC781</f>
        <v>203.54585925123041</v>
      </c>
      <c r="AD33" s="2233">
        <f t="shared" si="25"/>
        <v>226.24179565875755</v>
      </c>
      <c r="AE33" s="2045">
        <f>FISC!AL1096</f>
        <v>429.78765490998796</v>
      </c>
      <c r="AF33" s="2039">
        <f t="shared" si="10"/>
        <v>1.6813222269849704E-2</v>
      </c>
      <c r="AG33" s="2040">
        <f t="shared" si="26"/>
        <v>145.71026103997849</v>
      </c>
      <c r="AH33" s="2139">
        <f t="shared" si="27"/>
        <v>5.3622592562542985E-3</v>
      </c>
      <c r="AI33" s="2208">
        <v>308.75491589753778</v>
      </c>
      <c r="AJ33" s="2196">
        <f>AI33/$AI$109</f>
        <v>1.10513121277929E-2</v>
      </c>
      <c r="AK33" s="2229">
        <f>FISCinyear!JF781</f>
        <v>225.71830945390201</v>
      </c>
      <c r="AL33" s="2229">
        <f t="shared" si="28"/>
        <v>285.60881149138817</v>
      </c>
      <c r="AM33" s="2083">
        <f>FISC!AM1096</f>
        <v>511.32712094529018</v>
      </c>
      <c r="AN33" s="2039">
        <f>AM33/$AM$109</f>
        <v>1.7769794643592039E-2</v>
      </c>
      <c r="AO33" s="2040">
        <f t="shared" si="37"/>
        <v>202.57220504775239</v>
      </c>
      <c r="AP33" s="2139">
        <f t="shared" si="29"/>
        <v>6.7184825157991391E-3</v>
      </c>
      <c r="AQ33" s="2208">
        <v>330.40278052608039</v>
      </c>
      <c r="AR33" s="2196">
        <f t="shared" si="13"/>
        <v>1.0502804148700133E-2</v>
      </c>
      <c r="AS33" s="2229">
        <f>FISCinyear!JI781</f>
        <v>247.88121907190254</v>
      </c>
      <c r="AT33" s="2229">
        <f t="shared" si="30"/>
        <v>323.83740914206186</v>
      </c>
      <c r="AU33" s="2083">
        <f>FISC!AN1096</f>
        <v>571.71862821396439</v>
      </c>
      <c r="AV33" s="2039">
        <f t="shared" si="14"/>
        <v>1.7681978380687476E-2</v>
      </c>
      <c r="AW33" s="2040">
        <f t="shared" si="53"/>
        <v>241.315847687884</v>
      </c>
      <c r="AX33" s="2139">
        <f t="shared" si="31"/>
        <v>7.1791742319873425E-3</v>
      </c>
      <c r="AY33" s="2208">
        <v>174.91136754514937</v>
      </c>
      <c r="AZ33" s="2196">
        <f t="shared" si="16"/>
        <v>4.9378878091992434E-3</v>
      </c>
      <c r="BA33" s="2229">
        <f>FISCinyear!JL781</f>
        <v>267.69253517846431</v>
      </c>
      <c r="BB33" s="2229">
        <f t="shared" si="32"/>
        <v>635.87340111594744</v>
      </c>
      <c r="BC33" s="2083">
        <f>FISC!AO1096</f>
        <v>903.56593629441181</v>
      </c>
      <c r="BD33" s="2039">
        <f t="shared" si="17"/>
        <v>2.4872764409006914E-2</v>
      </c>
      <c r="BE33" s="2040">
        <f>BC33-AY33</f>
        <v>728.65456874926247</v>
      </c>
      <c r="BF33" s="2139">
        <f>BD33-AZ33</f>
        <v>1.9934876599807669E-2</v>
      </c>
    </row>
    <row r="34" spans="1:60">
      <c r="A34" s="2183" t="s">
        <v>3776</v>
      </c>
      <c r="B34" s="2078"/>
      <c r="C34" s="2037"/>
      <c r="D34" s="2045"/>
      <c r="E34" s="2039"/>
      <c r="F34" s="2040"/>
      <c r="G34" s="2130"/>
      <c r="H34" s="2208">
        <v>0</v>
      </c>
      <c r="I34" s="2196">
        <f t="shared" ref="I34:I35" si="54">H34/$H$109</f>
        <v>0</v>
      </c>
      <c r="J34" s="2229"/>
      <c r="K34" s="2229"/>
      <c r="L34" s="2218"/>
      <c r="M34" s="2218"/>
      <c r="N34" s="2218">
        <f t="shared" si="35"/>
        <v>0</v>
      </c>
      <c r="O34" s="2045">
        <f>FISC!AJ1097+FISC!AJ1098+FISC!AJ1099</f>
        <v>0</v>
      </c>
      <c r="P34" s="2139">
        <f t="shared" si="4"/>
        <v>0</v>
      </c>
      <c r="Q34" s="2040">
        <f t="shared" ref="Q34" si="55">O34-H34</f>
        <v>0</v>
      </c>
      <c r="R34" s="2130">
        <f t="shared" ref="R34" si="56">P34-I34</f>
        <v>0</v>
      </c>
      <c r="S34" s="2208"/>
      <c r="T34" s="2196">
        <f t="shared" ref="T34:T35" si="57">S34/$S$109</f>
        <v>0</v>
      </c>
      <c r="U34" s="2229">
        <f>FISCinyear!IZ783+FISCinyear!IZ785+FISCinyear!IZ784</f>
        <v>0</v>
      </c>
      <c r="V34" s="2229">
        <f t="shared" si="22"/>
        <v>58.374698730275497</v>
      </c>
      <c r="W34" s="2045">
        <f>FISC!AK1097+FISC!AK1098+FISC!AK1099</f>
        <v>58.374698730275497</v>
      </c>
      <c r="X34" s="2139">
        <f t="shared" ref="X34:X35" si="58">W34/$W$109</f>
        <v>2.5768539060479346E-3</v>
      </c>
      <c r="Y34" s="2040">
        <f t="shared" ref="Y34:Y35" si="59">W34-S34</f>
        <v>58.374698730275497</v>
      </c>
      <c r="Z34" s="2130">
        <f t="shared" ref="Z34:Z35" si="60">X34-T34</f>
        <v>2.5768539060479346E-3</v>
      </c>
      <c r="AA34" s="2208">
        <v>0</v>
      </c>
      <c r="AB34" s="2196">
        <f t="shared" ref="AB34:AB35" si="61">AA34/$AA$109</f>
        <v>0</v>
      </c>
      <c r="AC34" s="2233">
        <f>FISCinyear!JC783+FISCinyear!JC784+FISCinyear!JC785</f>
        <v>62.699722316244653</v>
      </c>
      <c r="AD34" s="2233">
        <f t="shared" si="25"/>
        <v>83.975899791649709</v>
      </c>
      <c r="AE34" s="2045">
        <f>FISC!AL1097+FISC!AL1098+FISC!AL1099</f>
        <v>146.67562210789436</v>
      </c>
      <c r="AF34" s="2039">
        <f t="shared" si="10"/>
        <v>5.737926177951741E-3</v>
      </c>
      <c r="AG34" s="2040">
        <f t="shared" ref="AG34" si="62">AE34-AA34</f>
        <v>146.67562210789436</v>
      </c>
      <c r="AH34" s="2139">
        <f t="shared" si="27"/>
        <v>5.737926177951741E-3</v>
      </c>
      <c r="AI34" s="2208"/>
      <c r="AJ34" s="2196">
        <f t="shared" ref="AJ34:AJ35" si="63">AI34/$AI$109</f>
        <v>0</v>
      </c>
      <c r="AK34" s="2229">
        <f>FISCinyear!JF783+FISCinyear!JF784+FISCinyear!JF785</f>
        <v>90.994416537912144</v>
      </c>
      <c r="AL34" s="2229">
        <f t="shared" si="28"/>
        <v>105.52422928982506</v>
      </c>
      <c r="AM34" s="2083">
        <f>FISC!AM1097+FISC!AM1098+FISC!AM1099</f>
        <v>196.5186458277372</v>
      </c>
      <c r="AN34" s="2039">
        <f>AM34/$AM$109</f>
        <v>6.8294753729077574E-3</v>
      </c>
      <c r="AO34" s="2040">
        <f t="shared" ref="AO34" si="64">AM34-AI34</f>
        <v>196.5186458277372</v>
      </c>
      <c r="AP34" s="2139">
        <f t="shared" ref="AP34" si="65">AN34-AJ34</f>
        <v>6.8294753729077574E-3</v>
      </c>
      <c r="AQ34" s="2208"/>
      <c r="AR34" s="2196">
        <f t="shared" ref="AR34:AR35" si="66">AQ34/$AQ$109</f>
        <v>0</v>
      </c>
      <c r="AS34" s="2229">
        <f>FISCinyear!JI783+FISCinyear!JI784+FISCinyear!JI785</f>
        <v>115.6027214821662</v>
      </c>
      <c r="AT34" s="2229">
        <f t="shared" si="30"/>
        <v>110.29253527754716</v>
      </c>
      <c r="AU34" s="2083">
        <f>FISC!AN1097+FISC!AN1098+FISC!AN1099</f>
        <v>225.89525675971336</v>
      </c>
      <c r="AV34" s="2039">
        <f t="shared" si="14"/>
        <v>6.986435021022701E-3</v>
      </c>
      <c r="AW34" s="2040">
        <f t="shared" si="53"/>
        <v>225.89525675971336</v>
      </c>
      <c r="AX34" s="2139">
        <f t="shared" si="31"/>
        <v>6.986435021022701E-3</v>
      </c>
      <c r="AY34" s="2208"/>
      <c r="AZ34" s="2196"/>
      <c r="BA34" s="2229">
        <f>FISCinyear!JL783+FISCinyear!JL784+FISCinyear!JL785</f>
        <v>121.47453886107763</v>
      </c>
      <c r="BB34" s="2229">
        <f t="shared" si="32"/>
        <v>109.99232811052718</v>
      </c>
      <c r="BC34" s="2083">
        <f>FISC!AO1097+FISC!AO1098+FISC!AO1099</f>
        <v>231.46686697160482</v>
      </c>
      <c r="BD34" s="2039">
        <f t="shared" si="17"/>
        <v>6.3716665485270977E-3</v>
      </c>
      <c r="BE34" s="2040">
        <f t="shared" ref="BE34" si="67">BC34-AY34</f>
        <v>231.46686697160482</v>
      </c>
      <c r="BF34" s="2139">
        <f t="shared" ref="BF34" si="68">BD34-AZ34</f>
        <v>6.3716665485270977E-3</v>
      </c>
    </row>
    <row r="35" spans="1:60">
      <c r="A35" s="2183" t="s">
        <v>3780</v>
      </c>
      <c r="B35" s="2078"/>
      <c r="C35" s="2037"/>
      <c r="D35" s="2045"/>
      <c r="E35" s="2039"/>
      <c r="F35" s="2040"/>
      <c r="G35" s="2130"/>
      <c r="H35" s="2208">
        <v>0</v>
      </c>
      <c r="I35" s="2196">
        <f t="shared" si="54"/>
        <v>0</v>
      </c>
      <c r="J35" s="2229"/>
      <c r="K35" s="2229"/>
      <c r="L35" s="2218"/>
      <c r="M35" s="2218"/>
      <c r="N35" s="2218">
        <f t="shared" si="35"/>
        <v>0</v>
      </c>
      <c r="O35" s="2045">
        <v>0</v>
      </c>
      <c r="P35" s="2139">
        <v>0</v>
      </c>
      <c r="Q35" s="2040">
        <v>0</v>
      </c>
      <c r="R35" s="2130">
        <v>0</v>
      </c>
      <c r="S35" s="2208"/>
      <c r="T35" s="2196">
        <f t="shared" si="57"/>
        <v>0</v>
      </c>
      <c r="U35" s="2229">
        <f>FISCinyear!IZ786</f>
        <v>18.270806904184909</v>
      </c>
      <c r="V35" s="2229">
        <f t="shared" si="22"/>
        <v>0</v>
      </c>
      <c r="W35" s="2045">
        <f>FISC!AK1100</f>
        <v>18.270806904184909</v>
      </c>
      <c r="X35" s="2139">
        <f t="shared" si="58"/>
        <v>8.0653435755169433E-4</v>
      </c>
      <c r="Y35" s="2040">
        <f t="shared" si="59"/>
        <v>18.270806904184909</v>
      </c>
      <c r="Z35" s="2130">
        <f t="shared" si="60"/>
        <v>8.0653435755169433E-4</v>
      </c>
      <c r="AA35" s="2208">
        <v>0</v>
      </c>
      <c r="AB35" s="2196">
        <f t="shared" si="61"/>
        <v>0</v>
      </c>
      <c r="AC35" s="2233">
        <v>0</v>
      </c>
      <c r="AD35" s="2233">
        <f t="shared" si="25"/>
        <v>0</v>
      </c>
      <c r="AE35" s="2045">
        <v>0</v>
      </c>
      <c r="AF35" s="2039">
        <f t="shared" si="10"/>
        <v>0</v>
      </c>
      <c r="AG35" s="2040">
        <f t="shared" ref="AG35" si="69">AE35-AA35</f>
        <v>0</v>
      </c>
      <c r="AH35" s="2139">
        <f t="shared" ref="AH35" si="70">AF35-AB35</f>
        <v>0</v>
      </c>
      <c r="AI35" s="2208"/>
      <c r="AJ35" s="2196">
        <f t="shared" si="63"/>
        <v>0</v>
      </c>
      <c r="AK35" s="2229">
        <v>0</v>
      </c>
      <c r="AL35" s="2229">
        <f t="shared" si="28"/>
        <v>0</v>
      </c>
      <c r="AM35" s="2083">
        <v>0</v>
      </c>
      <c r="AN35" s="2039">
        <v>0</v>
      </c>
      <c r="AO35" s="2040">
        <f t="shared" ref="AO35" si="71">AM35-AI35</f>
        <v>0</v>
      </c>
      <c r="AP35" s="2139">
        <f t="shared" ref="AP35" si="72">AN35-AJ35</f>
        <v>0</v>
      </c>
      <c r="AQ35" s="2208"/>
      <c r="AR35" s="2196">
        <f t="shared" si="66"/>
        <v>0</v>
      </c>
      <c r="AS35" s="2229">
        <v>0</v>
      </c>
      <c r="AT35" s="2229">
        <f t="shared" si="30"/>
        <v>0</v>
      </c>
      <c r="AU35" s="2083">
        <v>0</v>
      </c>
      <c r="AV35" s="2039">
        <f t="shared" si="14"/>
        <v>0</v>
      </c>
      <c r="AW35" s="2040">
        <f t="shared" si="53"/>
        <v>0</v>
      </c>
      <c r="AX35" s="2139">
        <f t="shared" si="31"/>
        <v>0</v>
      </c>
      <c r="AY35" s="2208"/>
      <c r="AZ35" s="2196"/>
      <c r="BA35" s="2229">
        <v>0</v>
      </c>
      <c r="BB35" s="2229">
        <f t="shared" si="32"/>
        <v>0</v>
      </c>
      <c r="BC35" s="2083">
        <v>0</v>
      </c>
      <c r="BD35" s="2039">
        <f t="shared" si="17"/>
        <v>0</v>
      </c>
      <c r="BE35" s="2040"/>
      <c r="BF35" s="2139"/>
    </row>
    <row r="36" spans="1:60">
      <c r="A36" s="2058" t="s">
        <v>563</v>
      </c>
      <c r="B36" s="2085">
        <v>286.90411235925882</v>
      </c>
      <c r="C36" s="2079">
        <f>B36/$B$109</f>
        <v>1.6614421763330313E-2</v>
      </c>
      <c r="D36" s="2083">
        <v>288.28340167012408</v>
      </c>
      <c r="E36" s="2081">
        <f>D36/$D$109</f>
        <v>1.6244063879535926E-2</v>
      </c>
      <c r="F36" s="2068">
        <f t="shared" si="36"/>
        <v>1.3792893108652606</v>
      </c>
      <c r="G36" s="2134">
        <f t="shared" si="20"/>
        <v>-3.7035788379438661E-4</v>
      </c>
      <c r="H36" s="2210">
        <v>262.24101731488463</v>
      </c>
      <c r="I36" s="2209">
        <f t="shared" ref="I36:I56" si="73">H36/$H$109</f>
        <v>1.3350244065036699E-2</v>
      </c>
      <c r="J36" s="2233">
        <v>127.03875303988461</v>
      </c>
      <c r="K36" s="2233">
        <f>FISCinyear!IW788</f>
        <v>125.36097700703844</v>
      </c>
      <c r="L36" s="2218">
        <f t="shared" si="21"/>
        <v>-1.6777760328461682</v>
      </c>
      <c r="M36" s="2218">
        <v>135.202264275</v>
      </c>
      <c r="N36" s="2218">
        <f t="shared" si="35"/>
        <v>138.60987236099999</v>
      </c>
      <c r="O36" s="2083">
        <f>FISC!AJ1102</f>
        <v>263.97084936803844</v>
      </c>
      <c r="P36" s="2143">
        <f>O36/$O$109</f>
        <v>1.3176347028390928E-2</v>
      </c>
      <c r="Q36" s="2040">
        <f t="shared" si="49"/>
        <v>1.7298320531538138</v>
      </c>
      <c r="R36" s="2130">
        <f t="shared" si="52"/>
        <v>-1.7389703664577073E-4</v>
      </c>
      <c r="S36" s="2210">
        <v>300.9048129885781</v>
      </c>
      <c r="T36" s="2209">
        <f t="shared" ref="T36:T56" si="74">S36/$S$109</f>
        <v>1.3639769574697402E-2</v>
      </c>
      <c r="U36" s="2233">
        <f>FISCinyear!IZ788</f>
        <v>144.9171586006</v>
      </c>
      <c r="V36" s="2233">
        <f t="shared" si="22"/>
        <v>131.3848138754</v>
      </c>
      <c r="W36" s="2083">
        <f>FISC!AK1102</f>
        <v>276.301972476</v>
      </c>
      <c r="X36" s="2139">
        <f>W36/$W$109</f>
        <v>1.2196890648007106E-2</v>
      </c>
      <c r="Y36" s="2068">
        <f t="shared" si="23"/>
        <v>-24.602840512578098</v>
      </c>
      <c r="Z36" s="2134">
        <f t="shared" si="24"/>
        <v>-1.4428789266902955E-3</v>
      </c>
      <c r="AA36" s="2210">
        <v>288.0759328466284</v>
      </c>
      <c r="AB36" s="2209">
        <f>AA36/$AA$109</f>
        <v>1.1612141350618008E-2</v>
      </c>
      <c r="AC36" s="2233">
        <f>FISCinyear!JC788</f>
        <v>140.24146980699999</v>
      </c>
      <c r="AD36" s="2233">
        <f t="shared" si="25"/>
        <v>125.539656831</v>
      </c>
      <c r="AE36" s="2083">
        <f>FISC!AL1102</f>
        <v>265.78112663799999</v>
      </c>
      <c r="AF36" s="2039">
        <f t="shared" si="10"/>
        <v>1.0397313897328319E-2</v>
      </c>
      <c r="AG36" s="2068">
        <f t="shared" si="26"/>
        <v>-22.294806208628415</v>
      </c>
      <c r="AH36" s="2143">
        <f t="shared" si="27"/>
        <v>-1.2148274532896887E-3</v>
      </c>
      <c r="AI36" s="2210">
        <v>288.28340167012408</v>
      </c>
      <c r="AJ36" s="2209">
        <f t="shared" ref="AJ36:AJ56" si="75">AI36/$AI$109</f>
        <v>1.0318572074738068E-2</v>
      </c>
      <c r="AK36" s="2233">
        <f>FISCinyear!JF788</f>
        <v>138.77812043200001</v>
      </c>
      <c r="AL36" s="2233">
        <f t="shared" si="28"/>
        <v>121.656783445</v>
      </c>
      <c r="AM36" s="2083">
        <f>FISC!AM1102</f>
        <v>260.43490387700001</v>
      </c>
      <c r="AN36" s="2081">
        <f>AM36/$AM$109</f>
        <v>9.0507124898096016E-3</v>
      </c>
      <c r="AO36" s="2068">
        <f t="shared" si="37"/>
        <v>-27.848497793124068</v>
      </c>
      <c r="AP36" s="2143">
        <f t="shared" si="29"/>
        <v>-1.2678595849284664E-3</v>
      </c>
      <c r="AQ36" s="2210">
        <v>279.65680011712408</v>
      </c>
      <c r="AR36" s="2209">
        <f t="shared" ref="AR36:AR56" si="76">AQ36/$AQ$109</f>
        <v>8.8896969807749169E-3</v>
      </c>
      <c r="AS36" s="2233">
        <f>FISCinyear!JI788</f>
        <v>132.57775642799999</v>
      </c>
      <c r="AT36" s="2233">
        <f t="shared" si="30"/>
        <v>115.410382314</v>
      </c>
      <c r="AU36" s="2083">
        <f>FISC!AN1102</f>
        <v>247.98813874199999</v>
      </c>
      <c r="AV36" s="2081">
        <f t="shared" si="14"/>
        <v>7.6697184445456337E-3</v>
      </c>
      <c r="AW36" s="2068">
        <f t="shared" si="53"/>
        <v>-31.668661375124088</v>
      </c>
      <c r="AX36" s="2143">
        <f t="shared" si="31"/>
        <v>-1.2199785362292832E-3</v>
      </c>
      <c r="AY36" s="2210">
        <v>133.65719689248263</v>
      </c>
      <c r="AZ36" s="2209">
        <f>AY36/$AY$109</f>
        <v>3.7732495743981482E-3</v>
      </c>
      <c r="BA36" s="2233">
        <f>FISCinyear!JL788</f>
        <v>130.01986355599999</v>
      </c>
      <c r="BB36" s="2233">
        <f t="shared" si="32"/>
        <v>109.82464082600001</v>
      </c>
      <c r="BC36" s="2083">
        <f>FISC!AO1102</f>
        <v>239.844504382</v>
      </c>
      <c r="BD36" s="2081">
        <f t="shared" si="17"/>
        <v>6.6022806003000131E-3</v>
      </c>
      <c r="BE36" s="2068">
        <f t="shared" ref="BE36:BE56" si="77">BC36-AY36</f>
        <v>106.18730748951737</v>
      </c>
      <c r="BF36" s="2143">
        <f t="shared" ref="BF36:BF56" si="78">BD36-AZ36</f>
        <v>2.8290310259018649E-3</v>
      </c>
      <c r="BH36" s="2296"/>
    </row>
    <row r="37" spans="1:60">
      <c r="A37" s="2036" t="s">
        <v>564</v>
      </c>
      <c r="B37" s="2085">
        <v>307.99850444249296</v>
      </c>
      <c r="C37" s="2079">
        <f>B37/$B$109</f>
        <v>1.7835983643464854E-2</v>
      </c>
      <c r="D37" s="2083">
        <f>FISC!AI1103</f>
        <v>307.42047619799996</v>
      </c>
      <c r="E37" s="2081">
        <f>D37/$D$109</f>
        <v>1.7322391175860707E-2</v>
      </c>
      <c r="F37" s="2068">
        <f t="shared" si="36"/>
        <v>-0.57802824449299806</v>
      </c>
      <c r="G37" s="2134">
        <f t="shared" si="20"/>
        <v>-5.1359246760414659E-4</v>
      </c>
      <c r="H37" s="2210">
        <v>322.57291333448478</v>
      </c>
      <c r="I37" s="2209">
        <f t="shared" si="73"/>
        <v>1.6421638254302456E-2</v>
      </c>
      <c r="J37" s="2233">
        <v>161.28645666724239</v>
      </c>
      <c r="K37" s="2233">
        <f>FISCinyear!IW789</f>
        <v>153.11757144799998</v>
      </c>
      <c r="L37" s="2218">
        <f t="shared" si="21"/>
        <v>-8.1688852192424122</v>
      </c>
      <c r="M37" s="2218">
        <v>161.28645666724239</v>
      </c>
      <c r="N37" s="2218">
        <f t="shared" si="35"/>
        <v>169.4553418864848</v>
      </c>
      <c r="O37" s="2083">
        <f>FISC!AJ1103</f>
        <v>322.57291333448478</v>
      </c>
      <c r="P37" s="2143">
        <f>O37/$O$109</f>
        <v>1.6101522794012241E-2</v>
      </c>
      <c r="Q37" s="2040">
        <f t="shared" si="49"/>
        <v>0</v>
      </c>
      <c r="R37" s="2130">
        <f t="shared" si="52"/>
        <v>-3.2011546029021495E-4</v>
      </c>
      <c r="S37" s="2210">
        <v>349.77830596088694</v>
      </c>
      <c r="T37" s="2209">
        <f t="shared" si="74"/>
        <v>1.585516512065761E-2</v>
      </c>
      <c r="U37" s="2233">
        <f>FISCinyear!IZ789</f>
        <v>392.22999819500291</v>
      </c>
      <c r="V37" s="2233">
        <f t="shared" si="22"/>
        <v>98.057499548750684</v>
      </c>
      <c r="W37" s="2083">
        <f>FISC!AK1103</f>
        <v>490.28749774375359</v>
      </c>
      <c r="X37" s="2139">
        <f t="shared" ref="X37:X56" si="79">W37/$W$109</f>
        <v>2.1642925464764911E-2</v>
      </c>
      <c r="Y37" s="2068">
        <f t="shared" si="23"/>
        <v>140.50919178286665</v>
      </c>
      <c r="Z37" s="2134">
        <f>X37-T37</f>
        <v>5.7877603441073011E-3</v>
      </c>
      <c r="AA37" s="2210">
        <v>390.08273073386795</v>
      </c>
      <c r="AB37" s="2209">
        <f>AA37/$AA$109</f>
        <v>1.5723964730258628E-2</v>
      </c>
      <c r="AC37" s="2233">
        <f>FISCinyear!JC789</f>
        <v>176.90757480887774</v>
      </c>
      <c r="AD37" s="2233">
        <f t="shared" si="25"/>
        <v>136.50890360613639</v>
      </c>
      <c r="AE37" s="2083">
        <f>FISC!AL1103</f>
        <v>313.41647841501413</v>
      </c>
      <c r="AF37" s="2039">
        <f t="shared" ref="AF37:AF56" si="80">AE37/$AE$109</f>
        <v>1.2260801012836919E-2</v>
      </c>
      <c r="AG37" s="2068">
        <f t="shared" si="26"/>
        <v>-76.666252318853822</v>
      </c>
      <c r="AH37" s="2143">
        <f t="shared" si="27"/>
        <v>-3.4631637174217089E-3</v>
      </c>
      <c r="AI37" s="2210">
        <v>439.22721763304298</v>
      </c>
      <c r="AJ37" s="2209">
        <f t="shared" si="75"/>
        <v>1.5721327263646293E-2</v>
      </c>
      <c r="AK37" s="2233">
        <f>FISCinyear!JF789</f>
        <v>200.47073417959137</v>
      </c>
      <c r="AL37" s="2233">
        <f t="shared" si="28"/>
        <v>144.77964340913786</v>
      </c>
      <c r="AM37" s="2083">
        <f>FISC!AM1103</f>
        <v>345.25037758872924</v>
      </c>
      <c r="AN37" s="2081">
        <f>AM37/$AM$109</f>
        <v>1.1998245465705997E-2</v>
      </c>
      <c r="AO37" s="2068">
        <f t="shared" si="37"/>
        <v>-93.976840044313747</v>
      </c>
      <c r="AP37" s="2143">
        <f t="shared" si="29"/>
        <v>-3.723081797940295E-3</v>
      </c>
      <c r="AQ37" s="2210">
        <v>494.56984705480636</v>
      </c>
      <c r="AR37" s="2209">
        <f t="shared" si="76"/>
        <v>1.5721327263646293E-2</v>
      </c>
      <c r="AS37" s="2233">
        <f>FISCinyear!JI789</f>
        <v>204.77165977646254</v>
      </c>
      <c r="AT37" s="2233">
        <f t="shared" si="30"/>
        <v>156.74400980300052</v>
      </c>
      <c r="AU37" s="2083">
        <f>FISC!AN1103</f>
        <v>361.51566957946307</v>
      </c>
      <c r="AV37" s="2081">
        <f t="shared" ref="AV37:AV56" si="81">AU37/$AU$109</f>
        <v>1.1180871040975622E-2</v>
      </c>
      <c r="AW37" s="2068">
        <f t="shared" si="53"/>
        <v>-133.05417747534329</v>
      </c>
      <c r="AX37" s="2143">
        <f t="shared" si="31"/>
        <v>-4.5404562226706701E-3</v>
      </c>
      <c r="AY37" s="2210">
        <v>556.88564778371187</v>
      </c>
      <c r="AZ37" s="2209">
        <f>AY37/$AY$109</f>
        <v>1.5721327263646293E-2</v>
      </c>
      <c r="BA37" s="2233">
        <f>FISCinyear!JL789</f>
        <v>217.47739565264976</v>
      </c>
      <c r="BB37" s="2233">
        <f t="shared" si="32"/>
        <v>144.98493043509984</v>
      </c>
      <c r="BC37" s="2083">
        <f>FISC!AO1103</f>
        <v>362.4623260877496</v>
      </c>
      <c r="BD37" s="2081">
        <f t="shared" si="17"/>
        <v>9.9776227520198442E-3</v>
      </c>
      <c r="BE37" s="2068">
        <f t="shared" si="77"/>
        <v>-194.42332169596227</v>
      </c>
      <c r="BF37" s="2143">
        <f t="shared" si="78"/>
        <v>-5.7437045116264483E-3</v>
      </c>
      <c r="BH37" s="2296"/>
    </row>
    <row r="38" spans="1:60">
      <c r="A38" s="2058" t="s">
        <v>3667</v>
      </c>
      <c r="B38" s="2044">
        <v>178.42929748547007</v>
      </c>
      <c r="C38" s="2037">
        <f>B38/$B$109</f>
        <v>1.0332719105978558E-2</v>
      </c>
      <c r="D38" s="2045">
        <f>FISC!AI1104</f>
        <v>176.54582574299999</v>
      </c>
      <c r="E38" s="2039">
        <f>D38/$D$109</f>
        <v>9.9479250432749199E-3</v>
      </c>
      <c r="F38" s="2040">
        <f t="shared" si="36"/>
        <v>-1.8834717424700784</v>
      </c>
      <c r="G38" s="2130">
        <f t="shared" si="20"/>
        <v>-3.8479406270363822E-4</v>
      </c>
      <c r="H38" s="2201">
        <v>161.84644263661758</v>
      </c>
      <c r="I38" s="2196">
        <f t="shared" si="73"/>
        <v>8.2393270601996207E-3</v>
      </c>
      <c r="J38" s="2229">
        <v>80.923221318308791</v>
      </c>
      <c r="K38" s="2229">
        <f>FISCinyear!IW790</f>
        <v>79.773593396999999</v>
      </c>
      <c r="L38" s="2218">
        <f t="shared" si="21"/>
        <v>-1.1496279213087917</v>
      </c>
      <c r="M38" s="2218">
        <v>80.923221318308791</v>
      </c>
      <c r="N38" s="2218">
        <f t="shared" si="35"/>
        <v>82.054441666740942</v>
      </c>
      <c r="O38" s="2045">
        <f>FISC!AJ1104</f>
        <v>161.82803506374094</v>
      </c>
      <c r="P38" s="2139">
        <f>O38/$O$109</f>
        <v>8.0777947793376492E-3</v>
      </c>
      <c r="Q38" s="2040">
        <f t="shared" si="49"/>
        <v>-1.8407572876640188E-2</v>
      </c>
      <c r="R38" s="2130">
        <f t="shared" si="52"/>
        <v>-1.6153228086197152E-4</v>
      </c>
      <c r="S38" s="2201">
        <v>149.43554173586898</v>
      </c>
      <c r="T38" s="2196">
        <f t="shared" si="74"/>
        <v>6.7737911378130703E-3</v>
      </c>
      <c r="U38" s="2233">
        <f>FISCinyear!IZ790</f>
        <v>169.39295807671687</v>
      </c>
      <c r="V38" s="2233">
        <f t="shared" si="22"/>
        <v>0</v>
      </c>
      <c r="W38" s="2083">
        <f>FISC!AK1104</f>
        <v>169.39295807671687</v>
      </c>
      <c r="X38" s="2139">
        <f t="shared" si="79"/>
        <v>7.4775701660386431E-3</v>
      </c>
      <c r="Y38" s="2068">
        <f t="shared" ref="Y38:Y40" si="82">W38-S38</f>
        <v>19.957416340847885</v>
      </c>
      <c r="Z38" s="2134">
        <f t="shared" ref="Z38:Z40" si="83">X38-T38</f>
        <v>7.0377902822557278E-4</v>
      </c>
      <c r="AA38" s="2201">
        <v>166.63249823306981</v>
      </c>
      <c r="AB38" s="2196">
        <f>AA38/$AA$109</f>
        <v>6.7168406050747203E-3</v>
      </c>
      <c r="AC38" s="2233">
        <f>FISCinyear!JC790</f>
        <v>54.697646140356113</v>
      </c>
      <c r="AD38" s="2233">
        <f t="shared" si="25"/>
        <v>36.42442942239866</v>
      </c>
      <c r="AE38" s="2083">
        <f>FISC!AL1104</f>
        <v>91.122075562754773</v>
      </c>
      <c r="AF38" s="2039">
        <f t="shared" si="80"/>
        <v>3.564680587318173E-3</v>
      </c>
      <c r="AG38" s="2040">
        <f t="shared" si="26"/>
        <v>-75.510422670315037</v>
      </c>
      <c r="AH38" s="2143">
        <f t="shared" si="27"/>
        <v>-3.1521600177565473E-3</v>
      </c>
      <c r="AI38" s="2201">
        <v>178.75097689140489</v>
      </c>
      <c r="AJ38" s="2196">
        <f t="shared" si="75"/>
        <v>6.3980611710498913E-3</v>
      </c>
      <c r="AK38" s="2233">
        <f>FISCinyear!JF790</f>
        <v>58.254451952156927</v>
      </c>
      <c r="AL38" s="2233">
        <f t="shared" si="28"/>
        <v>28.06916834412101</v>
      </c>
      <c r="AM38" s="2045">
        <f>FISC!AM1104</f>
        <v>86.323620296277937</v>
      </c>
      <c r="AN38" s="2039">
        <f>AM38/$AM$109</f>
        <v>2.9999445418041875E-3</v>
      </c>
      <c r="AO38" s="2040">
        <f t="shared" si="37"/>
        <v>-92.427356595126952</v>
      </c>
      <c r="AP38" s="2143">
        <f t="shared" si="29"/>
        <v>-3.3981166292457038E-3</v>
      </c>
      <c r="AQ38" s="2201">
        <v>201.27359997972187</v>
      </c>
      <c r="AR38" s="2196">
        <f t="shared" si="76"/>
        <v>6.3980611710498904E-3</v>
      </c>
      <c r="AS38" s="2233">
        <f>FISCinyear!JI790</f>
        <v>44.487080148440889</v>
      </c>
      <c r="AT38" s="2233">
        <f t="shared" si="30"/>
        <v>25.346606746091901</v>
      </c>
      <c r="AU38" s="2045">
        <f>FISC!AN1104</f>
        <v>69.833686894532789</v>
      </c>
      <c r="AV38" s="2039">
        <f t="shared" si="81"/>
        <v>2.1597997353528715E-3</v>
      </c>
      <c r="AW38" s="2040">
        <f t="shared" si="53"/>
        <v>-131.43991308518906</v>
      </c>
      <c r="AX38" s="2143">
        <f t="shared" si="31"/>
        <v>-4.2382614356970185E-3</v>
      </c>
      <c r="AY38" s="2201">
        <v>226.63407357716679</v>
      </c>
      <c r="AZ38" s="2196">
        <f>AY38/$AY$109</f>
        <v>6.3980611710498904E-3</v>
      </c>
      <c r="BA38" s="2233">
        <f>FISCinyear!JL790</f>
        <v>36.631945546877233</v>
      </c>
      <c r="BB38" s="2233">
        <f t="shared" si="32"/>
        <v>3.0500853451962229</v>
      </c>
      <c r="BC38" s="2045">
        <f>FISC!AO1104</f>
        <v>39.682030892073456</v>
      </c>
      <c r="BD38" s="2039">
        <f t="shared" si="17"/>
        <v>1.0923406538511646E-3</v>
      </c>
      <c r="BE38" s="2040">
        <f t="shared" si="77"/>
        <v>-186.95204268509332</v>
      </c>
      <c r="BF38" s="2143">
        <f t="shared" si="78"/>
        <v>-5.3057205171987256E-3</v>
      </c>
      <c r="BH38" s="2186"/>
    </row>
    <row r="39" spans="1:60">
      <c r="A39" s="2183" t="s">
        <v>3741</v>
      </c>
      <c r="B39" s="2044"/>
      <c r="C39" s="2037"/>
      <c r="D39" s="2045"/>
      <c r="E39" s="2039"/>
      <c r="F39" s="2040"/>
      <c r="G39" s="2130"/>
      <c r="H39" s="2201">
        <f>H38</f>
        <v>161.84644263661758</v>
      </c>
      <c r="I39" s="2196">
        <f t="shared" si="73"/>
        <v>8.2393270601996207E-3</v>
      </c>
      <c r="J39" s="2229">
        <v>80.923221318308791</v>
      </c>
      <c r="K39" s="2229">
        <f>FISCinyear!IW790</f>
        <v>79.773593396999999</v>
      </c>
      <c r="L39" s="2218">
        <f t="shared" si="21"/>
        <v>-1.1496279213087917</v>
      </c>
      <c r="M39" s="2218">
        <v>80.923221318308791</v>
      </c>
      <c r="N39" s="2218">
        <f t="shared" si="35"/>
        <v>82.054441666740942</v>
      </c>
      <c r="O39" s="2045">
        <f>O38</f>
        <v>161.82803506374094</v>
      </c>
      <c r="P39" s="2139">
        <f>O39/$O$109</f>
        <v>8.0777947793376492E-3</v>
      </c>
      <c r="Q39" s="2040">
        <f t="shared" si="49"/>
        <v>-1.8407572876640188E-2</v>
      </c>
      <c r="R39" s="2130">
        <f t="shared" si="52"/>
        <v>-1.6153228086197152E-4</v>
      </c>
      <c r="S39" s="2201">
        <v>149.43554173586898</v>
      </c>
      <c r="T39" s="2196">
        <f t="shared" si="74"/>
        <v>6.7737911378130703E-3</v>
      </c>
      <c r="U39" s="2233"/>
      <c r="V39" s="2233"/>
      <c r="W39" s="2083">
        <f>FISC!AK1105</f>
        <v>149.43554173586898</v>
      </c>
      <c r="X39" s="2139">
        <f t="shared" si="79"/>
        <v>6.5965832424030703E-3</v>
      </c>
      <c r="Y39" s="2068">
        <f t="shared" si="82"/>
        <v>0</v>
      </c>
      <c r="Z39" s="2134">
        <f t="shared" si="83"/>
        <v>-1.7720789541000002E-4</v>
      </c>
      <c r="AA39" s="2201">
        <v>166.63249823306981</v>
      </c>
      <c r="AB39" s="2196">
        <f>AA39/$AA$109</f>
        <v>6.7168406050747203E-3</v>
      </c>
      <c r="AC39" s="2233"/>
      <c r="AD39" s="2233"/>
      <c r="AE39" s="2083">
        <f>AA39</f>
        <v>166.63249823306981</v>
      </c>
      <c r="AF39" s="2039">
        <f t="shared" si="80"/>
        <v>6.5186358848759781E-3</v>
      </c>
      <c r="AG39" s="2068">
        <f t="shared" ref="AG39:AG40" si="84">AE39-AA39</f>
        <v>0</v>
      </c>
      <c r="AH39" s="2143">
        <f t="shared" ref="AH39:AH40" si="85">AF39-AB39</f>
        <v>-1.9820472019874222E-4</v>
      </c>
      <c r="AI39" s="2201">
        <v>178.75097689140489</v>
      </c>
      <c r="AJ39" s="2196">
        <f t="shared" si="75"/>
        <v>6.3980611710498913E-3</v>
      </c>
      <c r="AK39" s="2233"/>
      <c r="AL39" s="2233"/>
      <c r="AM39" s="2045">
        <f>AI39</f>
        <v>178.75097689140489</v>
      </c>
      <c r="AN39" s="2039">
        <f t="shared" ref="AN39:AN40" si="86">AM39/$AM$109</f>
        <v>6.2120079721755834E-3</v>
      </c>
      <c r="AO39" s="2040">
        <f t="shared" si="37"/>
        <v>0</v>
      </c>
      <c r="AP39" s="2143">
        <f t="shared" si="29"/>
        <v>-1.8605319887430791E-4</v>
      </c>
      <c r="AQ39" s="2201"/>
      <c r="AR39" s="2196">
        <f t="shared" si="76"/>
        <v>0</v>
      </c>
      <c r="AS39" s="2233"/>
      <c r="AT39" s="2233"/>
      <c r="AU39" s="2045">
        <f>AQ39</f>
        <v>0</v>
      </c>
      <c r="AV39" s="2039">
        <f t="shared" si="81"/>
        <v>0</v>
      </c>
      <c r="AW39" s="2040">
        <f t="shared" si="53"/>
        <v>0</v>
      </c>
      <c r="AX39" s="2143">
        <f t="shared" si="31"/>
        <v>0</v>
      </c>
      <c r="AY39" s="2201">
        <f>AY38</f>
        <v>226.63407357716679</v>
      </c>
      <c r="AZ39" s="2196">
        <f t="shared" ref="AZ39:AZ40" si="87">AY39/$AY$109</f>
        <v>6.3980611710498904E-3</v>
      </c>
      <c r="BA39" s="2233"/>
      <c r="BB39" s="2233"/>
      <c r="BC39" s="2045">
        <f>AY39</f>
        <v>226.63407357716679</v>
      </c>
      <c r="BD39" s="2039">
        <f t="shared" ref="BD39:BD40" si="88">BC39/$BC$109</f>
        <v>6.2386326140803977E-3</v>
      </c>
      <c r="BE39" s="2040">
        <f t="shared" si="77"/>
        <v>0</v>
      </c>
      <c r="BF39" s="2143">
        <f t="shared" si="78"/>
        <v>-1.5942855696949275E-4</v>
      </c>
      <c r="BH39" s="2186"/>
    </row>
    <row r="40" spans="1:60" ht="26">
      <c r="A40" s="2183" t="s">
        <v>3744</v>
      </c>
      <c r="B40" s="2044"/>
      <c r="C40" s="2037"/>
      <c r="D40" s="2045"/>
      <c r="E40" s="2039"/>
      <c r="F40" s="2040"/>
      <c r="G40" s="2130"/>
      <c r="H40" s="2201">
        <v>0</v>
      </c>
      <c r="I40" s="2196">
        <f t="shared" si="73"/>
        <v>0</v>
      </c>
      <c r="J40" s="2229"/>
      <c r="K40" s="2229"/>
      <c r="L40" s="2218">
        <f t="shared" si="21"/>
        <v>0</v>
      </c>
      <c r="M40" s="2218"/>
      <c r="N40" s="2218">
        <f t="shared" si="35"/>
        <v>0</v>
      </c>
      <c r="O40" s="2045">
        <v>0</v>
      </c>
      <c r="P40" s="2139">
        <v>0</v>
      </c>
      <c r="Q40" s="2040">
        <v>0</v>
      </c>
      <c r="R40" s="2130">
        <f t="shared" si="52"/>
        <v>0</v>
      </c>
      <c r="S40" s="2201">
        <v>0</v>
      </c>
      <c r="T40" s="2196">
        <f t="shared" si="74"/>
        <v>0</v>
      </c>
      <c r="U40" s="2233"/>
      <c r="V40" s="2233"/>
      <c r="W40" s="2083">
        <f>W38-W39</f>
        <v>19.957416340847885</v>
      </c>
      <c r="X40" s="2139">
        <f t="shared" si="79"/>
        <v>8.8098692363557227E-4</v>
      </c>
      <c r="Y40" s="2068">
        <f t="shared" si="82"/>
        <v>19.957416340847885</v>
      </c>
      <c r="Z40" s="2134">
        <f t="shared" si="83"/>
        <v>8.8098692363557227E-4</v>
      </c>
      <c r="AA40" s="2201">
        <v>0</v>
      </c>
      <c r="AB40" s="2196">
        <f>AA40/$AA$109</f>
        <v>0</v>
      </c>
      <c r="AC40" s="2233"/>
      <c r="AD40" s="2233"/>
      <c r="AE40" s="2083">
        <f>AE38-AE39</f>
        <v>-75.510422670315037</v>
      </c>
      <c r="AF40" s="2039">
        <f t="shared" si="80"/>
        <v>-2.9539552975578051E-3</v>
      </c>
      <c r="AG40" s="2040">
        <f t="shared" si="84"/>
        <v>-75.510422670315037</v>
      </c>
      <c r="AH40" s="2143">
        <f t="shared" si="85"/>
        <v>-2.9539552975578051E-3</v>
      </c>
      <c r="AI40" s="2201"/>
      <c r="AJ40" s="2196">
        <f t="shared" si="75"/>
        <v>0</v>
      </c>
      <c r="AK40" s="2233"/>
      <c r="AL40" s="2233"/>
      <c r="AM40" s="2045">
        <f>AM38-AM39</f>
        <v>-92.427356595126952</v>
      </c>
      <c r="AN40" s="2039">
        <f t="shared" si="86"/>
        <v>-3.2120634303713959E-3</v>
      </c>
      <c r="AO40" s="2040">
        <f t="shared" si="37"/>
        <v>-92.427356595126952</v>
      </c>
      <c r="AP40" s="2143">
        <f t="shared" si="29"/>
        <v>-3.2120634303713959E-3</v>
      </c>
      <c r="AQ40" s="2201"/>
      <c r="AR40" s="2196">
        <f t="shared" si="76"/>
        <v>0</v>
      </c>
      <c r="AS40" s="2233"/>
      <c r="AT40" s="2233"/>
      <c r="AU40" s="2045">
        <f>AU38-AU39</f>
        <v>69.833686894532789</v>
      </c>
      <c r="AV40" s="2039">
        <f t="shared" si="81"/>
        <v>2.1597997353528715E-3</v>
      </c>
      <c r="AW40" s="2040">
        <f t="shared" si="53"/>
        <v>69.833686894532789</v>
      </c>
      <c r="AX40" s="2143">
        <f t="shared" si="31"/>
        <v>2.1597997353528715E-3</v>
      </c>
      <c r="AY40" s="2201">
        <v>0</v>
      </c>
      <c r="AZ40" s="2196">
        <f t="shared" si="87"/>
        <v>0</v>
      </c>
      <c r="BA40" s="2233"/>
      <c r="BB40" s="2233"/>
      <c r="BC40" s="2045">
        <f>BC38-BC39</f>
        <v>-186.95204268509332</v>
      </c>
      <c r="BD40" s="2039">
        <f t="shared" si="88"/>
        <v>-5.1462919602292328E-3</v>
      </c>
      <c r="BE40" s="2040">
        <f t="shared" si="77"/>
        <v>-186.95204268509332</v>
      </c>
      <c r="BF40" s="2143">
        <f t="shared" si="78"/>
        <v>-5.1462919602292328E-3</v>
      </c>
      <c r="BH40" s="2186"/>
    </row>
    <row r="41" spans="1:60">
      <c r="A41" s="2058" t="s">
        <v>3668</v>
      </c>
      <c r="B41" s="2044">
        <v>0</v>
      </c>
      <c r="C41" s="2037">
        <f>B41/$B$109</f>
        <v>0</v>
      </c>
      <c r="D41" s="2045">
        <f>FISC!K1107</f>
        <v>0</v>
      </c>
      <c r="E41" s="2039">
        <f>D41/$D$109</f>
        <v>0</v>
      </c>
      <c r="F41" s="2040">
        <f t="shared" si="36"/>
        <v>0</v>
      </c>
      <c r="G41" s="2130">
        <f t="shared" si="20"/>
        <v>0</v>
      </c>
      <c r="H41" s="2201"/>
      <c r="I41" s="2196">
        <f t="shared" si="73"/>
        <v>0</v>
      </c>
      <c r="J41" s="2229"/>
      <c r="K41" s="2229"/>
      <c r="L41" s="2218">
        <f t="shared" si="21"/>
        <v>0</v>
      </c>
      <c r="M41" s="2218"/>
      <c r="N41" s="2218">
        <f t="shared" si="35"/>
        <v>0</v>
      </c>
      <c r="O41" s="2045">
        <f>FISC!AJ1107</f>
        <v>0</v>
      </c>
      <c r="P41" s="2139">
        <f t="shared" ref="P41:P56" si="89">O41/$O$109</f>
        <v>0</v>
      </c>
      <c r="Q41" s="2040">
        <f t="shared" ref="Q41:Q56" si="90">O41-H41</f>
        <v>0</v>
      </c>
      <c r="R41" s="2130">
        <f t="shared" si="52"/>
        <v>0</v>
      </c>
      <c r="S41" s="2201">
        <v>0</v>
      </c>
      <c r="T41" s="2196">
        <f t="shared" si="74"/>
        <v>0</v>
      </c>
      <c r="U41" s="2233">
        <f>FISCinyear!IZ791</f>
        <v>121.82599314474984</v>
      </c>
      <c r="V41" s="2233">
        <f t="shared" si="22"/>
        <v>0</v>
      </c>
      <c r="W41" s="2083">
        <f>FISC!AK1107</f>
        <v>121.82599314474984</v>
      </c>
      <c r="X41" s="2139">
        <f t="shared" si="79"/>
        <v>5.3778056781713518E-3</v>
      </c>
      <c r="Y41" s="2040">
        <f t="shared" si="23"/>
        <v>121.82599314474984</v>
      </c>
      <c r="Z41" s="2130">
        <f t="shared" si="24"/>
        <v>5.3778056781713518E-3</v>
      </c>
      <c r="AA41" s="2201">
        <v>0</v>
      </c>
      <c r="AB41" s="2196">
        <v>0</v>
      </c>
      <c r="AC41" s="2233">
        <f>FISCinyear!JC791</f>
        <v>0</v>
      </c>
      <c r="AD41" s="2233">
        <f t="shared" si="25"/>
        <v>0</v>
      </c>
      <c r="AE41" s="2083">
        <f>FISC!AL1107</f>
        <v>0</v>
      </c>
      <c r="AF41" s="2039">
        <f t="shared" si="80"/>
        <v>0</v>
      </c>
      <c r="AG41" s="2040">
        <f t="shared" si="26"/>
        <v>0</v>
      </c>
      <c r="AH41" s="2139">
        <f t="shared" si="27"/>
        <v>0</v>
      </c>
      <c r="AI41" s="2201"/>
      <c r="AJ41" s="2196">
        <f t="shared" si="75"/>
        <v>0</v>
      </c>
      <c r="AK41" s="2233">
        <f>FISCinyear!JF791</f>
        <v>0</v>
      </c>
      <c r="AL41" s="2233">
        <f t="shared" si="28"/>
        <v>0</v>
      </c>
      <c r="AM41" s="2045">
        <f>FISC!AM1107</f>
        <v>0</v>
      </c>
      <c r="AN41" s="2039">
        <f t="shared" ref="AN41:AN56" si="91">AM41/$AM$109</f>
        <v>0</v>
      </c>
      <c r="AO41" s="2040">
        <f t="shared" si="37"/>
        <v>0</v>
      </c>
      <c r="AP41" s="2139">
        <f t="shared" si="29"/>
        <v>0</v>
      </c>
      <c r="AQ41" s="2201"/>
      <c r="AR41" s="2196">
        <f t="shared" si="76"/>
        <v>0</v>
      </c>
      <c r="AS41" s="2233">
        <f>FISCinyear!JF791</f>
        <v>0</v>
      </c>
      <c r="AT41" s="2233">
        <f t="shared" si="30"/>
        <v>0</v>
      </c>
      <c r="AU41" s="2045">
        <f>FISC!AN1107</f>
        <v>0</v>
      </c>
      <c r="AV41" s="2039">
        <f t="shared" si="81"/>
        <v>0</v>
      </c>
      <c r="AW41" s="2040">
        <f t="shared" si="53"/>
        <v>0</v>
      </c>
      <c r="AX41" s="2139">
        <f t="shared" si="31"/>
        <v>0</v>
      </c>
      <c r="AY41" s="2201">
        <v>0</v>
      </c>
      <c r="AZ41" s="2196">
        <f t="shared" ref="AZ41:AZ56" si="92">AY41/$AY$109</f>
        <v>0</v>
      </c>
      <c r="BA41" s="2233">
        <f>FISCinyear!JL791</f>
        <v>0</v>
      </c>
      <c r="BB41" s="2233">
        <f t="shared" si="32"/>
        <v>0</v>
      </c>
      <c r="BC41" s="2045">
        <f>FISC!AO1107</f>
        <v>0</v>
      </c>
      <c r="BD41" s="2039">
        <f t="shared" ref="BD41:BD56" si="93">BC41/$BC$109</f>
        <v>0</v>
      </c>
      <c r="BE41" s="2040">
        <f t="shared" si="77"/>
        <v>0</v>
      </c>
      <c r="BF41" s="2139">
        <f t="shared" si="78"/>
        <v>0</v>
      </c>
    </row>
    <row r="42" spans="1:60">
      <c r="A42" s="2058" t="s">
        <v>3669</v>
      </c>
      <c r="B42" s="2044">
        <v>120.75</v>
      </c>
      <c r="C42" s="2037">
        <f>B42/$B$109</f>
        <v>6.9925502685371059E-3</v>
      </c>
      <c r="D42" s="2045">
        <f>FISC!AI1108</f>
        <v>119.62825384899998</v>
      </c>
      <c r="E42" s="2039">
        <f>D42/$D$109</f>
        <v>6.7407592184031088E-3</v>
      </c>
      <c r="F42" s="2040">
        <f t="shared" si="36"/>
        <v>-1.1217461510000248</v>
      </c>
      <c r="G42" s="2130">
        <f t="shared" si="20"/>
        <v>-2.5179105013399712E-4</v>
      </c>
      <c r="H42" s="2201">
        <v>126.78750000000001</v>
      </c>
      <c r="I42" s="2196">
        <f t="shared" si="73"/>
        <v>6.4545359331160861E-3</v>
      </c>
      <c r="J42" s="2229">
        <v>63.393750000000004</v>
      </c>
      <c r="K42" s="2229">
        <f>FISCinyear!IW792</f>
        <v>63.718314026999991</v>
      </c>
      <c r="L42" s="2218">
        <f t="shared" si="21"/>
        <v>0.32456402699998677</v>
      </c>
      <c r="M42" s="2218">
        <v>63.393750000000004</v>
      </c>
      <c r="N42" s="2218">
        <f t="shared" si="35"/>
        <v>63.069185973000017</v>
      </c>
      <c r="O42" s="2045">
        <f>FISC!AJ1108</f>
        <v>126.78750000000001</v>
      </c>
      <c r="P42" s="2139">
        <f t="shared" si="89"/>
        <v>6.3287143366838388E-3</v>
      </c>
      <c r="Q42" s="2040">
        <f t="shared" si="90"/>
        <v>0</v>
      </c>
      <c r="R42" s="2130">
        <f t="shared" si="52"/>
        <v>-1.2582159643224726E-4</v>
      </c>
      <c r="S42" s="2201">
        <v>133.12687500000001</v>
      </c>
      <c r="T42" s="2196">
        <f t="shared" si="74"/>
        <v>6.0345325857864233E-3</v>
      </c>
      <c r="U42" s="2229">
        <f>FISCinyear!IZ792</f>
        <v>73.219781250000011</v>
      </c>
      <c r="V42" s="2229">
        <f t="shared" si="22"/>
        <v>59.907093750000001</v>
      </c>
      <c r="W42" s="2083">
        <f>FISC!AK1108</f>
        <v>133.12687500000001</v>
      </c>
      <c r="X42" s="2139">
        <f t="shared" si="79"/>
        <v>5.8766642964409206E-3</v>
      </c>
      <c r="Y42" s="2040">
        <f t="shared" si="23"/>
        <v>0</v>
      </c>
      <c r="Z42" s="2130">
        <f t="shared" si="24"/>
        <v>-1.5786828934550266E-4</v>
      </c>
      <c r="AA42" s="2201">
        <v>148.43646562500001</v>
      </c>
      <c r="AB42" s="2196">
        <f t="shared" ref="AB42:AB56" si="94">AA42/$AA$109</f>
        <v>5.9833711320179265E-3</v>
      </c>
      <c r="AC42" s="2233">
        <f>FISCinyear!JC792</f>
        <v>81.640056093750019</v>
      </c>
      <c r="AD42" s="2233">
        <f t="shared" si="25"/>
        <v>66.796409531249992</v>
      </c>
      <c r="AE42" s="2083">
        <f>FISC!AL1108</f>
        <v>148.43646562500001</v>
      </c>
      <c r="AF42" s="2039">
        <f t="shared" si="80"/>
        <v>5.8068100863127702E-3</v>
      </c>
      <c r="AG42" s="2040">
        <f t="shared" si="26"/>
        <v>0</v>
      </c>
      <c r="AH42" s="2139">
        <f t="shared" si="27"/>
        <v>-1.7656104570515623E-4</v>
      </c>
      <c r="AI42" s="2201">
        <v>155.85828890625001</v>
      </c>
      <c r="AJ42" s="2196">
        <f t="shared" si="75"/>
        <v>5.5786596738051355E-3</v>
      </c>
      <c r="AK42" s="2233">
        <f>FISCinyear!JF792</f>
        <v>85.72205889843751</v>
      </c>
      <c r="AL42" s="2233">
        <f t="shared" si="28"/>
        <v>70.1362300078125</v>
      </c>
      <c r="AM42" s="2045">
        <f>FISC!AM1108</f>
        <v>155.85828890625001</v>
      </c>
      <c r="AN42" s="2039">
        <f t="shared" si="91"/>
        <v>5.4164343605432076E-3</v>
      </c>
      <c r="AO42" s="2040">
        <f t="shared" si="37"/>
        <v>0</v>
      </c>
      <c r="AP42" s="2139">
        <f t="shared" si="29"/>
        <v>-1.622253132619279E-4</v>
      </c>
      <c r="AQ42" s="2201">
        <v>163.65120335156251</v>
      </c>
      <c r="AR42" s="2196">
        <f t="shared" si="76"/>
        <v>5.2021249178467082E-3</v>
      </c>
      <c r="AS42" s="2233">
        <f>FISCinyear!JI792</f>
        <v>90.008161843359389</v>
      </c>
      <c r="AT42" s="2233">
        <f t="shared" si="30"/>
        <v>73.643041508203126</v>
      </c>
      <c r="AU42" s="2045">
        <f>FISC!AN1108</f>
        <v>163.65120335156251</v>
      </c>
      <c r="AV42" s="2039">
        <f t="shared" si="81"/>
        <v>5.0613656733131075E-3</v>
      </c>
      <c r="AW42" s="2040">
        <f t="shared" si="53"/>
        <v>0</v>
      </c>
      <c r="AX42" s="2139">
        <f t="shared" si="31"/>
        <v>-1.4075924453360068E-4</v>
      </c>
      <c r="AY42" s="2201">
        <v>171.83376351914066</v>
      </c>
      <c r="AZ42" s="2196">
        <f t="shared" si="92"/>
        <v>4.8510045859138946E-3</v>
      </c>
      <c r="BA42" s="2233">
        <f>FISCinyear!JL792</f>
        <v>94.508569935527376</v>
      </c>
      <c r="BB42" s="2233">
        <f t="shared" si="32"/>
        <v>77.325193583613284</v>
      </c>
      <c r="BC42" s="2045">
        <f>FISC!AO1108</f>
        <v>171.83376351914066</v>
      </c>
      <c r="BD42" s="2039">
        <f t="shared" si="93"/>
        <v>4.7301259884281292E-3</v>
      </c>
      <c r="BE42" s="2040">
        <f t="shared" si="77"/>
        <v>0</v>
      </c>
      <c r="BF42" s="2139">
        <f t="shared" si="78"/>
        <v>-1.2087859748576534E-4</v>
      </c>
      <c r="BH42" s="2186"/>
    </row>
    <row r="43" spans="1:60">
      <c r="A43" s="2036" t="s">
        <v>536</v>
      </c>
      <c r="B43" s="2044">
        <v>1002.1224607769241</v>
      </c>
      <c r="C43" s="2037">
        <f>B43/$B$109</f>
        <v>5.8032229252279466E-2</v>
      </c>
      <c r="D43" s="2045">
        <f>FISC!AI1111</f>
        <v>993.64042799000003</v>
      </c>
      <c r="E43" s="2039">
        <f>D43/$D$109</f>
        <v>5.5989205386262467E-2</v>
      </c>
      <c r="F43" s="2040">
        <f t="shared" si="36"/>
        <v>-8.4820327869240373</v>
      </c>
      <c r="G43" s="2130">
        <f t="shared" si="20"/>
        <v>-2.0430238660169991E-3</v>
      </c>
      <c r="H43" s="2201">
        <v>1025.8761176367395</v>
      </c>
      <c r="I43" s="2196">
        <f t="shared" si="73"/>
        <v>5.222560792043348E-2</v>
      </c>
      <c r="J43" s="2229">
        <v>492.42729779491594</v>
      </c>
      <c r="K43" s="2229">
        <f>FISCinyear!IW795</f>
        <v>500.466346563</v>
      </c>
      <c r="L43" s="2218">
        <f t="shared" si="21"/>
        <v>8.0390487680840579</v>
      </c>
      <c r="M43" s="2218">
        <v>533.44881984182359</v>
      </c>
      <c r="N43" s="2218">
        <f t="shared" si="35"/>
        <v>576.97186464203048</v>
      </c>
      <c r="O43" s="2045">
        <f>FISC!AJ1111</f>
        <v>1077.4382112050305</v>
      </c>
      <c r="P43" s="2139">
        <f t="shared" si="89"/>
        <v>5.37813164085124E-2</v>
      </c>
      <c r="Q43" s="2040">
        <f t="shared" si="90"/>
        <v>51.562093568290948</v>
      </c>
      <c r="R43" s="2130">
        <f t="shared" si="52"/>
        <v>1.5557084880789204E-3</v>
      </c>
      <c r="S43" s="2201">
        <v>1103.459295868046</v>
      </c>
      <c r="T43" s="2196">
        <f t="shared" si="74"/>
        <v>5.0018909239811005E-2</v>
      </c>
      <c r="U43" s="2229">
        <f>FISCinyear!IZ795</f>
        <v>635.57352449513803</v>
      </c>
      <c r="V43" s="2229">
        <f t="shared" si="22"/>
        <v>520.0147018596582</v>
      </c>
      <c r="W43" s="2045">
        <f>FISC!AK1111</f>
        <v>1155.5882263547962</v>
      </c>
      <c r="X43" s="2139">
        <f t="shared" si="79"/>
        <v>5.1011518682510346E-2</v>
      </c>
      <c r="Y43" s="2040">
        <f t="shared" si="23"/>
        <v>52.128930486750278</v>
      </c>
      <c r="Z43" s="2130">
        <f t="shared" si="24"/>
        <v>9.9260944269934093E-4</v>
      </c>
      <c r="AA43" s="2201">
        <v>1247.8909458623325</v>
      </c>
      <c r="AB43" s="2196">
        <f t="shared" si="94"/>
        <v>5.0301619820579208E-2</v>
      </c>
      <c r="AC43" s="2229">
        <f>FISCinyear!JC795</f>
        <v>746.17942818174004</v>
      </c>
      <c r="AD43" s="2229">
        <f t="shared" si="25"/>
        <v>603.52357242220285</v>
      </c>
      <c r="AE43" s="2045">
        <f>FISC!AL1111</f>
        <v>1349.7030006039429</v>
      </c>
      <c r="AF43" s="2039">
        <f t="shared" si="80"/>
        <v>5.2800159074345286E-2</v>
      </c>
      <c r="AG43" s="2040">
        <f t="shared" si="26"/>
        <v>101.81205474161038</v>
      </c>
      <c r="AH43" s="2139">
        <f t="shared" si="27"/>
        <v>2.4985392537660786E-3</v>
      </c>
      <c r="AI43" s="2201">
        <v>1406.4574948152281</v>
      </c>
      <c r="AJ43" s="2196">
        <f t="shared" si="75"/>
        <v>5.0341549136127296E-2</v>
      </c>
      <c r="AK43" s="2229">
        <f>FISCinyear!JF795</f>
        <v>874.68428968994556</v>
      </c>
      <c r="AL43" s="2229">
        <f t="shared" si="28"/>
        <v>707.46065533004628</v>
      </c>
      <c r="AM43" s="2045">
        <f>FISC!AM1111</f>
        <v>1582.1449450199918</v>
      </c>
      <c r="AN43" s="2039">
        <f t="shared" si="91"/>
        <v>5.4983179295139704E-2</v>
      </c>
      <c r="AO43" s="2040">
        <f t="shared" si="37"/>
        <v>175.68745020476376</v>
      </c>
      <c r="AP43" s="2139">
        <f t="shared" si="29"/>
        <v>4.6416301590124082E-3</v>
      </c>
      <c r="AQ43" s="2201">
        <v>1583.5470896109039</v>
      </c>
      <c r="AR43" s="2196">
        <f t="shared" si="76"/>
        <v>5.0337605863805972E-2</v>
      </c>
      <c r="AS43" s="2229">
        <f>FISCinyear!JI795</f>
        <v>980.72641567584094</v>
      </c>
      <c r="AT43" s="2229">
        <f t="shared" si="30"/>
        <v>793.22946680505959</v>
      </c>
      <c r="AU43" s="2045">
        <f>FISC!AN1111</f>
        <v>1773.9558824809005</v>
      </c>
      <c r="AV43" s="2039">
        <f t="shared" si="81"/>
        <v>5.4864487554499644E-2</v>
      </c>
      <c r="AW43" s="2040">
        <f t="shared" si="53"/>
        <v>190.40879286999666</v>
      </c>
      <c r="AX43" s="2139">
        <f t="shared" si="31"/>
        <v>4.5268816906936724E-3</v>
      </c>
      <c r="AY43" s="2201">
        <v>1783.099046647807</v>
      </c>
      <c r="AZ43" s="2196">
        <f t="shared" si="92"/>
        <v>5.0338312304168881E-2</v>
      </c>
      <c r="BA43" s="2229">
        <f>FISCinyear!JL795</f>
        <v>1097.009365946134</v>
      </c>
      <c r="BB43" s="2229">
        <f t="shared" si="32"/>
        <v>887.28124431108267</v>
      </c>
      <c r="BC43" s="2045">
        <f>FISC!AO1111</f>
        <v>1984.2906102572167</v>
      </c>
      <c r="BD43" s="2039">
        <f t="shared" si="93"/>
        <v>5.4622237166597747E-2</v>
      </c>
      <c r="BE43" s="2040">
        <f t="shared" si="77"/>
        <v>201.19156360940974</v>
      </c>
      <c r="BF43" s="2139">
        <f t="shared" si="78"/>
        <v>4.2839248624288659E-3</v>
      </c>
    </row>
    <row r="44" spans="1:60">
      <c r="A44" s="2058" t="s">
        <v>3734</v>
      </c>
      <c r="B44" s="2044"/>
      <c r="C44" s="2037"/>
      <c r="D44" s="2045"/>
      <c r="E44" s="2039"/>
      <c r="F44" s="2040"/>
      <c r="G44" s="2130"/>
      <c r="H44" s="2201">
        <v>88.228735028536619</v>
      </c>
      <c r="I44" s="2196">
        <f t="shared" si="73"/>
        <v>4.4915748048906037E-3</v>
      </c>
      <c r="J44" s="2229">
        <v>43.713344159898107</v>
      </c>
      <c r="K44" s="2229">
        <f>FISCinyear!IW796</f>
        <v>38.742990922999994</v>
      </c>
      <c r="L44" s="2218">
        <f t="shared" si="21"/>
        <v>-4.9703532368981129</v>
      </c>
      <c r="M44" s="2218">
        <v>47.356122839889615</v>
      </c>
      <c r="N44" s="2218">
        <f t="shared" si="35"/>
        <v>52.326476076787728</v>
      </c>
      <c r="O44" s="2045">
        <f>FISC!AJ1112</f>
        <v>91.069466999787721</v>
      </c>
      <c r="P44" s="2139">
        <f t="shared" si="89"/>
        <v>4.5458159632117698E-3</v>
      </c>
      <c r="Q44" s="2040">
        <f t="shared" si="90"/>
        <v>2.8407319712511026</v>
      </c>
      <c r="R44" s="2130">
        <f t="shared" si="52"/>
        <v>5.4241158321166084E-5</v>
      </c>
      <c r="S44" s="2201">
        <v>97.575538244668749</v>
      </c>
      <c r="T44" s="2196">
        <f t="shared" si="74"/>
        <v>4.4230195076170979E-3</v>
      </c>
      <c r="U44" s="2229">
        <f>FISCinyear!IZ796</f>
        <v>56.791351202944028</v>
      </c>
      <c r="V44" s="2229">
        <f t="shared" si="22"/>
        <v>46.465650984226926</v>
      </c>
      <c r="W44" s="2045">
        <f>FISC!AK1112</f>
        <v>103.25700218717095</v>
      </c>
      <c r="X44" s="2139">
        <f t="shared" si="79"/>
        <v>4.558108481934017E-3</v>
      </c>
      <c r="Y44" s="2040">
        <f t="shared" ref="Y44:Y54" si="95">W44-S44</f>
        <v>5.6814639425022051</v>
      </c>
      <c r="Z44" s="2130">
        <f t="shared" ref="Z44:Z54" si="96">X44-T44</f>
        <v>1.3508897431691903E-4</v>
      </c>
      <c r="AA44" s="2201">
        <v>108.7</v>
      </c>
      <c r="AB44" s="2196">
        <f t="shared" si="94"/>
        <v>4.3816217215347656E-3</v>
      </c>
      <c r="AC44" s="2229">
        <f>FISCinyear!JC796</f>
        <v>63.430606029772278</v>
      </c>
      <c r="AD44" s="2229">
        <f t="shared" si="25"/>
        <v>51.897768569813678</v>
      </c>
      <c r="AE44" s="2045">
        <f>FISC!AL1112</f>
        <v>115.32837459958596</v>
      </c>
      <c r="AF44" s="2039">
        <f t="shared" si="80"/>
        <v>4.5116270186248801E-3</v>
      </c>
      <c r="AG44" s="2040">
        <f t="shared" ref="AG44:AG54" si="97">AE44-AA44</f>
        <v>6.6283745995859533</v>
      </c>
      <c r="AH44" s="2139">
        <f t="shared" si="27"/>
        <v>1.3000529709011454E-4</v>
      </c>
      <c r="AI44" s="2201">
        <v>108.7</v>
      </c>
      <c r="AJ44" s="2196">
        <f t="shared" si="75"/>
        <v>3.8907157957275718E-3</v>
      </c>
      <c r="AK44" s="2229">
        <f>FISCinyear!JF796</f>
        <v>64.472207752564358</v>
      </c>
      <c r="AL44" s="2229">
        <f t="shared" si="28"/>
        <v>52.749988161189009</v>
      </c>
      <c r="AM44" s="2045">
        <f>FISC!AM1112</f>
        <v>117.22219591375337</v>
      </c>
      <c r="AN44" s="2039">
        <f t="shared" si="91"/>
        <v>4.0737411800247239E-3</v>
      </c>
      <c r="AO44" s="2040">
        <f t="shared" si="37"/>
        <v>8.5221959137533645</v>
      </c>
      <c r="AP44" s="2139">
        <f t="shared" si="29"/>
        <v>1.8302538429715211E-4</v>
      </c>
      <c r="AQ44" s="2201">
        <v>108.7</v>
      </c>
      <c r="AR44" s="2196">
        <f t="shared" si="76"/>
        <v>3.4553426249800817E-3</v>
      </c>
      <c r="AS44" s="2229">
        <f>FISCinyear!JI796</f>
        <v>65.513809475356453</v>
      </c>
      <c r="AT44" s="2229">
        <f t="shared" si="30"/>
        <v>53.602207752564354</v>
      </c>
      <c r="AU44" s="2045">
        <f>FISC!AN1112</f>
        <v>119.11601722792081</v>
      </c>
      <c r="AV44" s="2039">
        <f t="shared" si="81"/>
        <v>3.6839919804562494E-3</v>
      </c>
      <c r="AW44" s="2040">
        <f t="shared" si="53"/>
        <v>10.416017227920804</v>
      </c>
      <c r="AX44" s="2139">
        <f t="shared" si="31"/>
        <v>2.2864935547616764E-4</v>
      </c>
      <c r="AY44" s="2201">
        <v>108.7</v>
      </c>
      <c r="AZ44" s="2196">
        <f t="shared" si="92"/>
        <v>3.0686879440320449E-3</v>
      </c>
      <c r="BA44" s="2229">
        <f>FISCinyear!JL796</f>
        <v>66.555411198148519</v>
      </c>
      <c r="BB44" s="2229">
        <f t="shared" si="32"/>
        <v>54.454427343939685</v>
      </c>
      <c r="BC44" s="2045">
        <f>FISC!AO1112</f>
        <v>121.0098385420882</v>
      </c>
      <c r="BD44" s="2039">
        <f t="shared" si="93"/>
        <v>3.3310786566090908E-3</v>
      </c>
      <c r="BE44" s="2040">
        <f t="shared" si="77"/>
        <v>12.309838542088201</v>
      </c>
      <c r="BF44" s="2139">
        <f t="shared" si="78"/>
        <v>2.6239071257704591E-4</v>
      </c>
    </row>
    <row r="45" spans="1:60">
      <c r="A45" s="2183" t="s">
        <v>586</v>
      </c>
      <c r="B45" s="2044"/>
      <c r="C45" s="2037"/>
      <c r="D45" s="2045"/>
      <c r="E45" s="2039"/>
      <c r="F45" s="2040"/>
      <c r="G45" s="2130"/>
      <c r="H45" s="2201">
        <v>48.929941479171745</v>
      </c>
      <c r="I45" s="2196">
        <f t="shared" si="73"/>
        <v>2.4909400807065466E-3</v>
      </c>
      <c r="J45" s="2229">
        <v>24.849923256202953</v>
      </c>
      <c r="K45" s="2229">
        <f>FISCinyear!IW797</f>
        <v>22.879467615000003</v>
      </c>
      <c r="L45" s="2218">
        <f t="shared" si="21"/>
        <v>-1.9704556412029497</v>
      </c>
      <c r="M45" s="2218">
        <v>26.920750194219867</v>
      </c>
      <c r="N45" s="2218">
        <f t="shared" si="35"/>
        <v>28.891205835422817</v>
      </c>
      <c r="O45" s="2045">
        <f>FISC!AJ1113</f>
        <v>51.770673450422819</v>
      </c>
      <c r="P45" s="2139">
        <f t="shared" si="89"/>
        <v>2.5841806430875933E-3</v>
      </c>
      <c r="Q45" s="2040">
        <f t="shared" si="90"/>
        <v>2.8407319712510741</v>
      </c>
      <c r="R45" s="2130">
        <f t="shared" si="52"/>
        <v>9.3240562381046756E-5</v>
      </c>
      <c r="S45" s="2201">
        <v>53.822935627088924</v>
      </c>
      <c r="T45" s="2196">
        <f t="shared" si="74"/>
        <v>2.4397497417734258E-3</v>
      </c>
      <c r="U45" s="2229">
        <f>FISCinyear!IZ797</f>
        <v>32.727419763275137</v>
      </c>
      <c r="V45" s="2229">
        <f t="shared" si="22"/>
        <v>26.776979806316014</v>
      </c>
      <c r="W45" s="2045">
        <f>FISC!AK1113</f>
        <v>59.504399569591151</v>
      </c>
      <c r="X45" s="2139">
        <f t="shared" si="79"/>
        <v>2.6267226691212482E-3</v>
      </c>
      <c r="Y45" s="2040">
        <f t="shared" si="95"/>
        <v>5.6814639425022264</v>
      </c>
      <c r="Z45" s="2130">
        <f t="shared" si="96"/>
        <v>1.8697292734782232E-4</v>
      </c>
      <c r="AA45" s="2201">
        <v>60</v>
      </c>
      <c r="AB45" s="2196">
        <f t="shared" si="94"/>
        <v>2.4185584479492726E-3</v>
      </c>
      <c r="AC45" s="2229">
        <f>FISCinyear!JC797</f>
        <v>36.645606029772274</v>
      </c>
      <c r="AD45" s="2229">
        <f t="shared" si="25"/>
        <v>29.982768569813679</v>
      </c>
      <c r="AE45" s="2045">
        <f>FISC!AL1113</f>
        <v>66.628374599585953</v>
      </c>
      <c r="AF45" s="2039">
        <f t="shared" si="80"/>
        <v>2.606491039991045E-3</v>
      </c>
      <c r="AG45" s="2040">
        <f t="shared" si="97"/>
        <v>6.6283745995859533</v>
      </c>
      <c r="AH45" s="2139">
        <f t="shared" si="27"/>
        <v>1.8793259204177241E-4</v>
      </c>
      <c r="AI45" s="2201">
        <v>60</v>
      </c>
      <c r="AJ45" s="2196">
        <f t="shared" si="75"/>
        <v>2.1475892156729926E-3</v>
      </c>
      <c r="AK45" s="2229">
        <f>FISCinyear!JF797</f>
        <v>37.687207752564355</v>
      </c>
      <c r="AL45" s="2229">
        <f t="shared" si="28"/>
        <v>30.83498816118901</v>
      </c>
      <c r="AM45" s="2045">
        <f>FISC!AM1113</f>
        <v>68.522195913753364</v>
      </c>
      <c r="AN45" s="2039">
        <f t="shared" si="91"/>
        <v>2.3813040616041557E-3</v>
      </c>
      <c r="AO45" s="2040">
        <f t="shared" si="37"/>
        <v>8.5221959137533645</v>
      </c>
      <c r="AP45" s="2139">
        <f t="shared" si="29"/>
        <v>2.3371484593116311E-4</v>
      </c>
      <c r="AQ45" s="2201">
        <v>60</v>
      </c>
      <c r="AR45" s="2196">
        <f t="shared" si="76"/>
        <v>1.9072728380754821E-3</v>
      </c>
      <c r="AS45" s="2229">
        <f>FISCinyear!JI797</f>
        <v>38.728809475356442</v>
      </c>
      <c r="AT45" s="2229">
        <f t="shared" si="30"/>
        <v>31.687207752564362</v>
      </c>
      <c r="AU45" s="2045">
        <f>FISC!AN1113</f>
        <v>70.416017227920804</v>
      </c>
      <c r="AV45" s="2039">
        <f t="shared" si="81"/>
        <v>2.1778099100388921E-3</v>
      </c>
      <c r="AW45" s="2040">
        <f t="shared" si="53"/>
        <v>10.416017227920804</v>
      </c>
      <c r="AX45" s="2139">
        <f t="shared" si="31"/>
        <v>2.7053707196341001E-4</v>
      </c>
      <c r="AY45" s="2201">
        <v>60</v>
      </c>
      <c r="AZ45" s="2196">
        <f t="shared" si="92"/>
        <v>1.6938479911860413E-3</v>
      </c>
      <c r="BA45" s="2229">
        <f>FISCinyear!JL797</f>
        <v>39.770411198148516</v>
      </c>
      <c r="BB45" s="2229">
        <f t="shared" si="32"/>
        <v>32.539427343939685</v>
      </c>
      <c r="BC45" s="2045">
        <f>FISC!AO1113</f>
        <v>72.309838542088201</v>
      </c>
      <c r="BD45" s="2039">
        <f t="shared" si="93"/>
        <v>1.9904973242867601E-3</v>
      </c>
      <c r="BE45" s="2040">
        <f t="shared" si="77"/>
        <v>12.309838542088201</v>
      </c>
      <c r="BF45" s="2139">
        <f t="shared" si="78"/>
        <v>2.9664933310071884E-4</v>
      </c>
    </row>
    <row r="46" spans="1:60">
      <c r="A46" s="2184" t="s">
        <v>3197</v>
      </c>
      <c r="B46" s="2044"/>
      <c r="C46" s="2037"/>
      <c r="D46" s="2045"/>
      <c r="E46" s="2039"/>
      <c r="F46" s="2040"/>
      <c r="G46" s="2130"/>
      <c r="H46" s="2201">
        <v>34.5</v>
      </c>
      <c r="I46" s="2196">
        <f t="shared" si="73"/>
        <v>1.7563363083309075E-3</v>
      </c>
      <c r="J46" s="2229">
        <v>18.670365985625558</v>
      </c>
      <c r="K46" s="2229">
        <f>FISCinyear!IW798</f>
        <v>17.194311173999999</v>
      </c>
      <c r="L46" s="2218">
        <f t="shared" si="21"/>
        <v>-1.4760548116255592</v>
      </c>
      <c r="M46" s="2218">
        <v>18.670365985625558</v>
      </c>
      <c r="N46" s="2218">
        <f t="shared" si="35"/>
        <v>20.146420797251118</v>
      </c>
      <c r="O46" s="2045">
        <f>FISC!AJ1114</f>
        <v>37.340731971251117</v>
      </c>
      <c r="P46" s="2139">
        <f t="shared" si="89"/>
        <v>1.8638968807550074E-3</v>
      </c>
      <c r="Q46" s="2040">
        <f t="shared" si="90"/>
        <v>2.8407319712511168</v>
      </c>
      <c r="R46" s="2130">
        <f t="shared" si="52"/>
        <v>1.0756057242409991E-4</v>
      </c>
      <c r="S46" s="2201">
        <v>34.700000000000003</v>
      </c>
      <c r="T46" s="2196">
        <f t="shared" si="74"/>
        <v>1.5729226779099929E-3</v>
      </c>
      <c r="U46" s="2229">
        <f>FISCinyear!IZ798</f>
        <v>20.190731971251125</v>
      </c>
      <c r="V46" s="2229">
        <f t="shared" si="22"/>
        <v>20.190731971251125</v>
      </c>
      <c r="W46" s="2045">
        <f>FISC!AK1114</f>
        <v>40.381463942502251</v>
      </c>
      <c r="X46" s="2139">
        <f t="shared" si="79"/>
        <v>1.7825725075340301E-3</v>
      </c>
      <c r="Y46" s="2040">
        <f t="shared" si="95"/>
        <v>5.6814639425022477</v>
      </c>
      <c r="Z46" s="2130">
        <f t="shared" si="96"/>
        <v>2.0964982962403712E-4</v>
      </c>
      <c r="AA46" s="2201">
        <v>38.700000000000003</v>
      </c>
      <c r="AB46" s="2196">
        <f t="shared" si="94"/>
        <v>1.5599701989272808E-3</v>
      </c>
      <c r="AC46" s="2229">
        <f>FISCinyear!JC798</f>
        <v>22.664187299792978</v>
      </c>
      <c r="AD46" s="2229">
        <f t="shared" si="25"/>
        <v>22.664187299792978</v>
      </c>
      <c r="AE46" s="2045">
        <f>FISC!AL1114</f>
        <v>45.328374599585956</v>
      </c>
      <c r="AF46" s="2039">
        <f t="shared" si="80"/>
        <v>1.7732385483093067E-3</v>
      </c>
      <c r="AG46" s="2040">
        <f t="shared" si="97"/>
        <v>6.6283745995859533</v>
      </c>
      <c r="AH46" s="2139">
        <f t="shared" si="27"/>
        <v>2.1326834938202588E-4</v>
      </c>
      <c r="AI46" s="2201">
        <v>38.700000000000003</v>
      </c>
      <c r="AJ46" s="2196">
        <f t="shared" si="75"/>
        <v>1.3851950441090804E-3</v>
      </c>
      <c r="AK46" s="2229">
        <f>FISCinyear!JF798</f>
        <v>23.611097956876687</v>
      </c>
      <c r="AL46" s="2229">
        <f t="shared" si="28"/>
        <v>23.611097956876687</v>
      </c>
      <c r="AM46" s="2045">
        <f>FISC!AM1114</f>
        <v>47.222195913753374</v>
      </c>
      <c r="AN46" s="2039">
        <f t="shared" si="91"/>
        <v>1.6410800241840719E-3</v>
      </c>
      <c r="AO46" s="2040">
        <f t="shared" si="37"/>
        <v>8.5221959137533716</v>
      </c>
      <c r="AP46" s="2139">
        <f t="shared" si="29"/>
        <v>2.5588498007499149E-4</v>
      </c>
      <c r="AQ46" s="2201">
        <v>38.700000000000003</v>
      </c>
      <c r="AR46" s="2196">
        <f t="shared" si="76"/>
        <v>1.230190980558686E-3</v>
      </c>
      <c r="AS46" s="2229">
        <f>FISCinyear!JI798</f>
        <v>24.558008613960403</v>
      </c>
      <c r="AT46" s="2229">
        <f t="shared" si="30"/>
        <v>24.558008613960403</v>
      </c>
      <c r="AU46" s="2045">
        <f>FISC!AN1114</f>
        <v>49.116017227920807</v>
      </c>
      <c r="AV46" s="2039">
        <f t="shared" si="81"/>
        <v>1.5190485527516292E-3</v>
      </c>
      <c r="AW46" s="2040">
        <f t="shared" si="53"/>
        <v>10.416017227920804</v>
      </c>
      <c r="AX46" s="2139">
        <f t="shared" si="31"/>
        <v>2.888575721929432E-4</v>
      </c>
      <c r="AY46" s="2201">
        <v>38.700000000000003</v>
      </c>
      <c r="AZ46" s="2196">
        <f t="shared" si="92"/>
        <v>1.0925319543149967E-3</v>
      </c>
      <c r="BA46" s="2229">
        <f>FISCinyear!JL798</f>
        <v>28.055411198148516</v>
      </c>
      <c r="BB46" s="2229">
        <f t="shared" si="32"/>
        <v>22.954427343939688</v>
      </c>
      <c r="BC46" s="2045">
        <f>FISC!AO1114</f>
        <v>51.009838542088204</v>
      </c>
      <c r="BD46" s="2039">
        <f t="shared" si="93"/>
        <v>1.4041650372546115E-3</v>
      </c>
      <c r="BE46" s="2040">
        <f t="shared" si="77"/>
        <v>12.309838542088201</v>
      </c>
      <c r="BF46" s="2139">
        <f t="shared" si="78"/>
        <v>3.1163308293961477E-4</v>
      </c>
    </row>
    <row r="47" spans="1:60">
      <c r="A47" s="2185" t="s">
        <v>3735</v>
      </c>
      <c r="B47" s="2044"/>
      <c r="C47" s="2037"/>
      <c r="D47" s="2045"/>
      <c r="E47" s="2039"/>
      <c r="F47" s="2040"/>
      <c r="G47" s="2130"/>
      <c r="H47" s="2201">
        <v>0</v>
      </c>
      <c r="I47" s="2196">
        <f t="shared" si="73"/>
        <v>0</v>
      </c>
      <c r="J47" s="2229">
        <v>0</v>
      </c>
      <c r="K47" s="2229">
        <v>0</v>
      </c>
      <c r="L47" s="2218">
        <f t="shared" si="21"/>
        <v>0</v>
      </c>
      <c r="M47" s="2218">
        <v>0</v>
      </c>
      <c r="N47" s="2218">
        <f t="shared" si="35"/>
        <v>2.8407319712511026</v>
      </c>
      <c r="O47" s="2045">
        <v>2.8407319712511026</v>
      </c>
      <c r="P47" s="2139">
        <f t="shared" si="89"/>
        <v>1.4179774152130924E-4</v>
      </c>
      <c r="Q47" s="2040">
        <f t="shared" si="90"/>
        <v>2.8407319712511026</v>
      </c>
      <c r="R47" s="2130">
        <f t="shared" si="52"/>
        <v>1.4179774152130924E-4</v>
      </c>
      <c r="S47" s="2201">
        <v>0</v>
      </c>
      <c r="T47" s="2196">
        <f t="shared" si="74"/>
        <v>0</v>
      </c>
      <c r="U47" s="2229">
        <f>W47/2</f>
        <v>2.8407319712511239</v>
      </c>
      <c r="V47" s="2229">
        <f t="shared" si="22"/>
        <v>2.8407319712511239</v>
      </c>
      <c r="W47" s="2045">
        <v>5.6814639425022477</v>
      </c>
      <c r="X47" s="2139">
        <f t="shared" si="79"/>
        <v>2.507987684862236E-4</v>
      </c>
      <c r="Y47" s="2040">
        <f t="shared" si="95"/>
        <v>5.6814639425022477</v>
      </c>
      <c r="Z47" s="2130">
        <f t="shared" si="96"/>
        <v>2.507987684862236E-4</v>
      </c>
      <c r="AA47" s="2201">
        <v>0</v>
      </c>
      <c r="AB47" s="2196">
        <f t="shared" si="94"/>
        <v>0</v>
      </c>
      <c r="AC47" s="2229">
        <f>AE47/2</f>
        <v>3.3141872997929767</v>
      </c>
      <c r="AD47" s="2229">
        <f t="shared" si="25"/>
        <v>3.3141872997929767</v>
      </c>
      <c r="AE47" s="2045">
        <v>6.6283745995859533</v>
      </c>
      <c r="AF47" s="2039">
        <f t="shared" si="80"/>
        <v>2.5930092257769682E-4</v>
      </c>
      <c r="AG47" s="2040">
        <f t="shared" si="97"/>
        <v>6.6283745995859533</v>
      </c>
      <c r="AH47" s="2139">
        <f t="shared" si="27"/>
        <v>2.5930092257769682E-4</v>
      </c>
      <c r="AI47" s="2201"/>
      <c r="AJ47" s="2196">
        <f t="shared" si="75"/>
        <v>0</v>
      </c>
      <c r="AK47" s="2229">
        <f>AM47/2</f>
        <v>4.2610979568766858</v>
      </c>
      <c r="AL47" s="2229">
        <f t="shared" si="28"/>
        <v>4.2610979568766858</v>
      </c>
      <c r="AM47" s="2045">
        <v>8.5221959137533716</v>
      </c>
      <c r="AN47" s="2039">
        <f t="shared" si="91"/>
        <v>2.9616592802645379E-4</v>
      </c>
      <c r="AO47" s="2040">
        <f t="shared" si="37"/>
        <v>8.5221959137533716</v>
      </c>
      <c r="AP47" s="2139">
        <f t="shared" si="29"/>
        <v>2.9616592802645379E-4</v>
      </c>
      <c r="AQ47" s="2201"/>
      <c r="AR47" s="2196">
        <f t="shared" si="76"/>
        <v>0</v>
      </c>
      <c r="AS47" s="2229">
        <f>AU47/2</f>
        <v>5.208008613960402</v>
      </c>
      <c r="AT47" s="2229">
        <f t="shared" si="30"/>
        <v>5.208008613960402</v>
      </c>
      <c r="AU47" s="2045">
        <v>10.416017227920804</v>
      </c>
      <c r="AV47" s="2039">
        <f t="shared" si="81"/>
        <v>3.2214411486350343E-4</v>
      </c>
      <c r="AW47" s="2040">
        <f t="shared" si="53"/>
        <v>10.416017227920804</v>
      </c>
      <c r="AX47" s="2139">
        <f t="shared" si="31"/>
        <v>3.2214411486350343E-4</v>
      </c>
      <c r="AY47" s="2201"/>
      <c r="AZ47" s="2196">
        <f t="shared" si="92"/>
        <v>0</v>
      </c>
      <c r="BA47" s="2229">
        <f>BC47/2</f>
        <v>6.1549192710441005</v>
      </c>
      <c r="BB47" s="2229">
        <f t="shared" si="32"/>
        <v>6.1549192710441005</v>
      </c>
      <c r="BC47" s="2045">
        <v>12.309838542088201</v>
      </c>
      <c r="BD47" s="2039">
        <f t="shared" si="93"/>
        <v>3.3885707912577779E-4</v>
      </c>
      <c r="BE47" s="2040">
        <f t="shared" si="77"/>
        <v>12.309838542088201</v>
      </c>
      <c r="BF47" s="2139">
        <f t="shared" si="78"/>
        <v>3.3885707912577779E-4</v>
      </c>
    </row>
    <row r="48" spans="1:60">
      <c r="A48" s="2183" t="s">
        <v>587</v>
      </c>
      <c r="B48" s="2044"/>
      <c r="C48" s="2037"/>
      <c r="D48" s="2045"/>
      <c r="E48" s="2039"/>
      <c r="F48" s="2040"/>
      <c r="G48" s="2130"/>
      <c r="H48" s="2201">
        <v>39.298793549364873</v>
      </c>
      <c r="I48" s="2196">
        <f t="shared" si="73"/>
        <v>2.0006347241840576E-3</v>
      </c>
      <c r="J48" s="2229">
        <v>15.863523308000001</v>
      </c>
      <c r="K48" s="2229">
        <f>FISCinyear!IW799</f>
        <v>15.863523308000001</v>
      </c>
      <c r="L48" s="2218">
        <f t="shared" si="21"/>
        <v>0</v>
      </c>
      <c r="M48" s="2218">
        <v>23.435270241364901</v>
      </c>
      <c r="N48" s="2218">
        <f t="shared" si="35"/>
        <v>23.435270241364901</v>
      </c>
      <c r="O48" s="2045">
        <f>FISC!AJ1115</f>
        <v>39.298793549364902</v>
      </c>
      <c r="P48" s="2139">
        <f t="shared" si="89"/>
        <v>1.9616353201241761E-3</v>
      </c>
      <c r="Q48" s="2040">
        <f t="shared" si="90"/>
        <v>0</v>
      </c>
      <c r="R48" s="2130">
        <f t="shared" si="52"/>
        <v>-3.8999404059881539E-5</v>
      </c>
      <c r="S48" s="2201">
        <v>43.752602617579825</v>
      </c>
      <c r="T48" s="2196">
        <f t="shared" si="74"/>
        <v>1.9832697658436721E-3</v>
      </c>
      <c r="U48" s="2229">
        <f>FISCinyear!IZ799</f>
        <v>24.063931439668895</v>
      </c>
      <c r="V48" s="2229">
        <f t="shared" si="22"/>
        <v>19.688671177910908</v>
      </c>
      <c r="W48" s="2045">
        <f>FISC!AK1115</f>
        <v>43.752602617579804</v>
      </c>
      <c r="X48" s="2139">
        <f t="shared" si="79"/>
        <v>1.9313858128127681E-3</v>
      </c>
      <c r="Y48" s="2040">
        <f t="shared" si="95"/>
        <v>0</v>
      </c>
      <c r="Z48" s="2130">
        <f t="shared" si="96"/>
        <v>-5.1883953030903941E-5</v>
      </c>
      <c r="AA48" s="2201">
        <v>48.7</v>
      </c>
      <c r="AB48" s="2196">
        <f t="shared" si="94"/>
        <v>1.9630632735854929E-3</v>
      </c>
      <c r="AC48" s="2229">
        <f>FISCinyear!JC799</f>
        <v>26.785000000000004</v>
      </c>
      <c r="AD48" s="2229">
        <f t="shared" si="25"/>
        <v>21.914999999999999</v>
      </c>
      <c r="AE48" s="2045">
        <f>FISC!AL1115</f>
        <v>48.7</v>
      </c>
      <c r="AF48" s="2039">
        <f t="shared" si="80"/>
        <v>1.9051359786338346E-3</v>
      </c>
      <c r="AG48" s="2040">
        <f t="shared" si="97"/>
        <v>0</v>
      </c>
      <c r="AH48" s="2139">
        <f t="shared" si="27"/>
        <v>-5.7927294951658301E-5</v>
      </c>
      <c r="AI48" s="2201">
        <v>48.7</v>
      </c>
      <c r="AJ48" s="2196">
        <f t="shared" si="75"/>
        <v>1.743126580054579E-3</v>
      </c>
      <c r="AK48" s="2229">
        <f>FISCinyear!JF799</f>
        <v>26.785000000000004</v>
      </c>
      <c r="AL48" s="2229">
        <f t="shared" si="28"/>
        <v>21.914999999999999</v>
      </c>
      <c r="AM48" s="2045">
        <f>FISC!AM1115</f>
        <v>48.7</v>
      </c>
      <c r="AN48" s="2039">
        <f t="shared" si="91"/>
        <v>1.6924371184205685E-3</v>
      </c>
      <c r="AO48" s="2040">
        <f t="shared" si="37"/>
        <v>0</v>
      </c>
      <c r="AP48" s="2139">
        <f t="shared" si="29"/>
        <v>-5.0689461634010561E-5</v>
      </c>
      <c r="AQ48" s="2201">
        <v>48.7</v>
      </c>
      <c r="AR48" s="2196">
        <f t="shared" si="76"/>
        <v>1.5480697869045996E-3</v>
      </c>
      <c r="AS48" s="2229">
        <f>FISCinyear!JI799</f>
        <v>26.785000000000004</v>
      </c>
      <c r="AT48" s="2229">
        <f t="shared" si="30"/>
        <v>21.914999999999999</v>
      </c>
      <c r="AU48" s="2045">
        <f>FISC!AN1115</f>
        <v>48.7</v>
      </c>
      <c r="AV48" s="2039">
        <f t="shared" si="81"/>
        <v>1.5061820704173571E-3</v>
      </c>
      <c r="AW48" s="2040">
        <f t="shared" si="53"/>
        <v>0</v>
      </c>
      <c r="AX48" s="2139">
        <f t="shared" si="31"/>
        <v>-4.1887716487242583E-5</v>
      </c>
      <c r="AY48" s="2201">
        <v>48.7</v>
      </c>
      <c r="AZ48" s="2196">
        <f t="shared" si="92"/>
        <v>1.3748399528460036E-3</v>
      </c>
      <c r="BA48" s="2229">
        <f>FISCinyear!JL799</f>
        <v>26.785000000000004</v>
      </c>
      <c r="BB48" s="2229">
        <f t="shared" si="32"/>
        <v>21.914999999999999</v>
      </c>
      <c r="BC48" s="2045">
        <f>FISC!AO1115</f>
        <v>48.7</v>
      </c>
      <c r="BD48" s="2039">
        <f t="shared" si="93"/>
        <v>1.3405813323223307E-3</v>
      </c>
      <c r="BE48" s="2040">
        <f t="shared" si="77"/>
        <v>0</v>
      </c>
      <c r="BF48" s="2139">
        <f t="shared" si="78"/>
        <v>-3.4258620523672928E-5</v>
      </c>
    </row>
    <row r="49" spans="1:58">
      <c r="A49" s="2058" t="s">
        <v>3736</v>
      </c>
      <c r="B49" s="2044"/>
      <c r="C49" s="2037"/>
      <c r="D49" s="2045"/>
      <c r="E49" s="2039"/>
      <c r="F49" s="2040"/>
      <c r="G49" s="2130"/>
      <c r="H49" s="2201">
        <v>937.64738260820286</v>
      </c>
      <c r="I49" s="2196">
        <f t="shared" si="73"/>
        <v>4.7734033115542869E-2</v>
      </c>
      <c r="J49" s="2229">
        <v>448.71395363501784</v>
      </c>
      <c r="K49" s="2229">
        <f>FISCinyear!IW800</f>
        <v>461.72335564000002</v>
      </c>
      <c r="L49" s="2218">
        <f t="shared" si="21"/>
        <v>13.009402004982178</v>
      </c>
      <c r="M49" s="2218">
        <v>488.93342897318502</v>
      </c>
      <c r="N49" s="2218">
        <f t="shared" si="35"/>
        <v>524.6453885652428</v>
      </c>
      <c r="O49" s="2045">
        <f>FISC!AJ1116</f>
        <v>986.36874420524282</v>
      </c>
      <c r="P49" s="2139">
        <f t="shared" si="89"/>
        <v>4.9235500445300631E-2</v>
      </c>
      <c r="Q49" s="2040">
        <f t="shared" si="90"/>
        <v>48.721361597039959</v>
      </c>
      <c r="R49" s="2130">
        <f t="shared" si="52"/>
        <v>1.5014673297577621E-3</v>
      </c>
      <c r="S49" s="2201">
        <v>1005.8837576233772</v>
      </c>
      <c r="T49" s="2196">
        <f t="shared" si="74"/>
        <v>4.559588973219391E-2</v>
      </c>
      <c r="U49" s="2229">
        <f>FISCinyear!IZ800</f>
        <v>578.78217329219399</v>
      </c>
      <c r="V49" s="2229">
        <f t="shared" si="22"/>
        <v>473.54905087543136</v>
      </c>
      <c r="W49" s="2045">
        <f>FISC!AK1116</f>
        <v>1052.3312241676254</v>
      </c>
      <c r="X49" s="2139">
        <f t="shared" si="79"/>
        <v>4.6453410200576334E-2</v>
      </c>
      <c r="Y49" s="2040">
        <f t="shared" si="95"/>
        <v>46.447466544248186</v>
      </c>
      <c r="Z49" s="2130">
        <f t="shared" si="96"/>
        <v>8.5752046838242363E-4</v>
      </c>
      <c r="AA49" s="2201">
        <v>1139.1909458623325</v>
      </c>
      <c r="AB49" s="2196">
        <f t="shared" si="94"/>
        <v>4.5919998099044443E-2</v>
      </c>
      <c r="AC49" s="2229">
        <f>FISCinyear!JC800</f>
        <v>682.77225391958018</v>
      </c>
      <c r="AD49" s="2229">
        <f t="shared" si="25"/>
        <v>551.60237208477679</v>
      </c>
      <c r="AE49" s="2045">
        <f>FISC!AL1116</f>
        <v>1234.374626004357</v>
      </c>
      <c r="AF49" s="2039">
        <f t="shared" si="80"/>
        <v>4.828853205572041E-2</v>
      </c>
      <c r="AG49" s="2040">
        <f t="shared" si="97"/>
        <v>95.183680142024514</v>
      </c>
      <c r="AH49" s="2139">
        <f t="shared" si="27"/>
        <v>2.3685339566759667E-3</v>
      </c>
      <c r="AI49" s="2201">
        <v>1297.757494815228</v>
      </c>
      <c r="AJ49" s="2196">
        <f t="shared" si="75"/>
        <v>4.6450833340399719E-2</v>
      </c>
      <c r="AK49" s="2229">
        <f>FISCinyear!JF800</f>
        <v>810.29582604349764</v>
      </c>
      <c r="AL49" s="2229">
        <f t="shared" si="28"/>
        <v>654.62692306274073</v>
      </c>
      <c r="AM49" s="2045">
        <f>FISC!AM1116</f>
        <v>1464.9227491062384</v>
      </c>
      <c r="AN49" s="2039">
        <f t="shared" si="91"/>
        <v>5.0909438115114974E-2</v>
      </c>
      <c r="AO49" s="2040">
        <f t="shared" si="37"/>
        <v>167.16525429101034</v>
      </c>
      <c r="AP49" s="2139">
        <f t="shared" si="29"/>
        <v>4.4586047747152552E-3</v>
      </c>
      <c r="AQ49" s="2201">
        <v>1474.8470896109038</v>
      </c>
      <c r="AR49" s="2196">
        <f t="shared" si="76"/>
        <v>4.688226323882589E-2</v>
      </c>
      <c r="AS49" s="2229">
        <f>FISCinyear!JI800</f>
        <v>915.34508314719938</v>
      </c>
      <c r="AT49" s="2229">
        <f t="shared" si="30"/>
        <v>739.49478210578036</v>
      </c>
      <c r="AU49" s="2045">
        <f>FISC!AN1116</f>
        <v>1654.8398652529797</v>
      </c>
      <c r="AV49" s="2039">
        <f t="shared" si="81"/>
        <v>5.1180495574043396E-2</v>
      </c>
      <c r="AW49" s="2040">
        <f t="shared" si="53"/>
        <v>179.99277564207591</v>
      </c>
      <c r="AX49" s="2139">
        <f t="shared" si="31"/>
        <v>4.2982323352175056E-3</v>
      </c>
      <c r="AY49" s="2201">
        <v>1674.3990466478069</v>
      </c>
      <c r="AZ49" s="2196">
        <f t="shared" si="92"/>
        <v>4.726962436013684E-2</v>
      </c>
      <c r="BA49" s="2229">
        <f>FISCinyear!JL800</f>
        <v>1030.6404436609528</v>
      </c>
      <c r="BB49" s="2229">
        <f t="shared" si="32"/>
        <v>832.64032805417582</v>
      </c>
      <c r="BC49" s="2045">
        <f>FISC!AO1116</f>
        <v>1863.2807717151286</v>
      </c>
      <c r="BD49" s="2039">
        <f t="shared" si="93"/>
        <v>5.1291158509988659E-2</v>
      </c>
      <c r="BE49" s="2040">
        <f t="shared" si="77"/>
        <v>188.88172506732167</v>
      </c>
      <c r="BF49" s="2139">
        <f t="shared" si="78"/>
        <v>4.0215341498518187E-3</v>
      </c>
    </row>
    <row r="50" spans="1:58">
      <c r="A50" s="2183" t="s">
        <v>586</v>
      </c>
      <c r="B50" s="2044"/>
      <c r="C50" s="2037"/>
      <c r="D50" s="2045"/>
      <c r="E50" s="2039"/>
      <c r="F50" s="2040"/>
      <c r="G50" s="2130"/>
      <c r="H50" s="2201">
        <v>728.48423912646035</v>
      </c>
      <c r="I50" s="2196">
        <f t="shared" si="73"/>
        <v>3.708589331085848E-2</v>
      </c>
      <c r="J50" s="2229">
        <v>348.62686365309463</v>
      </c>
      <c r="K50" s="2229">
        <f>FISCinyear!IW801</f>
        <v>365.73252688499997</v>
      </c>
      <c r="L50" s="2218">
        <f t="shared" si="21"/>
        <v>17.105663231905339</v>
      </c>
      <c r="M50" s="2218">
        <v>379.85737547336572</v>
      </c>
      <c r="N50" s="2218">
        <f t="shared" si="35"/>
        <v>401.49564719005605</v>
      </c>
      <c r="O50" s="2045">
        <f>FISC!AJ1117</f>
        <v>767.22817407505602</v>
      </c>
      <c r="P50" s="2139">
        <f t="shared" si="89"/>
        <v>3.8296897917985372E-2</v>
      </c>
      <c r="Q50" s="2040">
        <f t="shared" si="90"/>
        <v>38.743934948595665</v>
      </c>
      <c r="R50" s="2130">
        <f t="shared" si="52"/>
        <v>1.2110046071268921E-3</v>
      </c>
      <c r="S50" s="2201">
        <v>775.15533102685208</v>
      </c>
      <c r="T50" s="2196">
        <f t="shared" si="74"/>
        <v>3.5137158474782798E-2</v>
      </c>
      <c r="U50" s="2229">
        <f>FISCinyear!IZ801</f>
        <v>447.30532995493712</v>
      </c>
      <c r="V50" s="2229">
        <f t="shared" si="22"/>
        <v>365.97708814494848</v>
      </c>
      <c r="W50" s="2045">
        <f>FISC!AK1117</f>
        <v>813.2824180998856</v>
      </c>
      <c r="X50" s="2139">
        <f t="shared" si="79"/>
        <v>3.5900998572758018E-2</v>
      </c>
      <c r="Y50" s="2040">
        <f t="shared" si="95"/>
        <v>38.127087073033522</v>
      </c>
      <c r="Z50" s="2130">
        <f t="shared" si="96"/>
        <v>7.6384009797521996E-4</v>
      </c>
      <c r="AA50" s="2201">
        <v>873.96511114677924</v>
      </c>
      <c r="AB50" s="2196">
        <f t="shared" si="94"/>
        <v>3.522892837961613E-2</v>
      </c>
      <c r="AC50" s="2229">
        <f>FISCinyear!JC801</f>
        <v>526.37868486316643</v>
      </c>
      <c r="AD50" s="2229">
        <f t="shared" si="25"/>
        <v>423.62163830955569</v>
      </c>
      <c r="AE50" s="2045">
        <f>FISC!AL1117</f>
        <v>950.00032317272212</v>
      </c>
      <c r="AF50" s="2039">
        <f t="shared" si="80"/>
        <v>3.7163856168175011E-2</v>
      </c>
      <c r="AG50" s="2040">
        <f t="shared" si="97"/>
        <v>76.035212025942883</v>
      </c>
      <c r="AH50" s="2139">
        <f t="shared" si="27"/>
        <v>1.9349277885588809E-3</v>
      </c>
      <c r="AI50" s="2201">
        <v>966.82933363734492</v>
      </c>
      <c r="AJ50" s="2196">
        <f t="shared" si="75"/>
        <v>3.4605870838597792E-2</v>
      </c>
      <c r="AK50" s="2229">
        <f>FISCinyear!JF801</f>
        <v>607.82889344252794</v>
      </c>
      <c r="AL50" s="2229">
        <f t="shared" si="28"/>
        <v>489.17153953326056</v>
      </c>
      <c r="AM50" s="2045">
        <f>FISC!AM1117</f>
        <v>1097.0004329757885</v>
      </c>
      <c r="AN50" s="2039">
        <f t="shared" si="91"/>
        <v>3.8123290589151114E-2</v>
      </c>
      <c r="AO50" s="2040">
        <f t="shared" si="37"/>
        <v>130.17109933844358</v>
      </c>
      <c r="AP50" s="2139">
        <f t="shared" si="29"/>
        <v>3.5174197505533217E-3</v>
      </c>
      <c r="AQ50" s="2201">
        <v>1098.7610817601233</v>
      </c>
      <c r="AR50" s="2196">
        <f t="shared" si="76"/>
        <v>3.4927286112925282E-2</v>
      </c>
      <c r="AS50" s="2229">
        <f>FISCinyear!JI801</f>
        <v>686.88599079936466</v>
      </c>
      <c r="AT50" s="2229">
        <f t="shared" si="30"/>
        <v>552.79550088535643</v>
      </c>
      <c r="AU50" s="2045">
        <f>FISC!AN1117</f>
        <v>1239.6814916847211</v>
      </c>
      <c r="AV50" s="2039">
        <f t="shared" si="81"/>
        <v>3.8340575683855661E-2</v>
      </c>
      <c r="AW50" s="2040">
        <f t="shared" si="53"/>
        <v>140.92040992459783</v>
      </c>
      <c r="AX50" s="2139">
        <f t="shared" si="31"/>
        <v>3.4132895709303793E-3</v>
      </c>
      <c r="AY50" s="2201">
        <v>1247.4272897526162</v>
      </c>
      <c r="AZ50" s="2196">
        <f t="shared" si="92"/>
        <v>3.5215870148301943E-2</v>
      </c>
      <c r="BA50" s="2229">
        <f>FISCinyear!JL801</f>
        <v>773.57444542755127</v>
      </c>
      <c r="BB50" s="2229">
        <f t="shared" si="32"/>
        <v>622.56106364111713</v>
      </c>
      <c r="BC50" s="2045">
        <f>FISC!AO1117</f>
        <v>1396.1355090686684</v>
      </c>
      <c r="BD50" s="2039">
        <f t="shared" si="93"/>
        <v>3.8431893241268805E-2</v>
      </c>
      <c r="BE50" s="2040">
        <f t="shared" si="77"/>
        <v>148.70821931605224</v>
      </c>
      <c r="BF50" s="2139">
        <f t="shared" si="78"/>
        <v>3.2160230929668618E-3</v>
      </c>
    </row>
    <row r="51" spans="1:58">
      <c r="A51" s="2184" t="s">
        <v>3197</v>
      </c>
      <c r="B51" s="2044"/>
      <c r="C51" s="2037"/>
      <c r="D51" s="2045"/>
      <c r="E51" s="2039"/>
      <c r="F51" s="2040"/>
      <c r="G51" s="2130"/>
      <c r="H51" s="2201">
        <v>560.60132816494161</v>
      </c>
      <c r="I51" s="2196">
        <f t="shared" si="73"/>
        <v>2.8539259917525137E-2</v>
      </c>
      <c r="J51" s="2229">
        <v>285.26661411100002</v>
      </c>
      <c r="K51" s="2229">
        <f>FISCinyear!IW802</f>
        <v>285.166614111</v>
      </c>
      <c r="L51" s="2218">
        <f t="shared" si="21"/>
        <v>-0.10000000000002274</v>
      </c>
      <c r="M51" s="2218">
        <v>275.33471405394158</v>
      </c>
      <c r="N51" s="2218">
        <f t="shared" si="35"/>
        <v>294.81028156327051</v>
      </c>
      <c r="O51" s="2045">
        <f>FISC!AJ1118</f>
        <v>579.97689567427051</v>
      </c>
      <c r="P51" s="2139">
        <f t="shared" si="89"/>
        <v>2.8950078632350527E-2</v>
      </c>
      <c r="Q51" s="2040">
        <f t="shared" si="90"/>
        <v>19.375567509328903</v>
      </c>
      <c r="R51" s="2130">
        <f t="shared" si="52"/>
        <v>4.1081871482539015E-4</v>
      </c>
      <c r="S51" s="2201">
        <v>661.82528526018802</v>
      </c>
      <c r="T51" s="2196">
        <f t="shared" si="74"/>
        <v>2.9999999999999995E-2</v>
      </c>
      <c r="U51" s="2229">
        <f>FISCinyear!IZ802</f>
        <v>350.12476300926727</v>
      </c>
      <c r="V51" s="2229">
        <f t="shared" si="22"/>
        <v>350.12476300926727</v>
      </c>
      <c r="W51" s="2045">
        <f>FISC!AK1118</f>
        <v>700.24952601853454</v>
      </c>
      <c r="X51" s="2139">
        <f t="shared" si="79"/>
        <v>3.0911349704203599E-2</v>
      </c>
      <c r="Y51" s="2040">
        <f t="shared" si="95"/>
        <v>38.424240758346514</v>
      </c>
      <c r="Z51" s="2130">
        <f t="shared" si="96"/>
        <v>9.1134970420360395E-4</v>
      </c>
      <c r="AA51" s="2201">
        <v>744.24498673010919</v>
      </c>
      <c r="AB51" s="2196">
        <f t="shared" si="94"/>
        <v>2.9999999999999995E-2</v>
      </c>
      <c r="AC51" s="2229">
        <f>FISCinyear!JC802</f>
        <v>394.55323042520081</v>
      </c>
      <c r="AD51" s="2229">
        <f t="shared" si="25"/>
        <v>394.55323042520081</v>
      </c>
      <c r="AE51" s="2045">
        <f>FISC!AL1118</f>
        <v>789.10646085040162</v>
      </c>
      <c r="AF51" s="2039">
        <f t="shared" si="80"/>
        <v>3.0869714774918098E-2</v>
      </c>
      <c r="AG51" s="2040">
        <f t="shared" si="97"/>
        <v>44.861474120292428</v>
      </c>
      <c r="AH51" s="2139">
        <f t="shared" si="27"/>
        <v>8.6971477491810251E-4</v>
      </c>
      <c r="AI51" s="2201">
        <v>838.14911476724467</v>
      </c>
      <c r="AJ51" s="2196">
        <f t="shared" si="75"/>
        <v>3.0000000000000002E-2</v>
      </c>
      <c r="AK51" s="2229">
        <f>FISCinyear!JF802</f>
        <v>448.13078768075644</v>
      </c>
      <c r="AL51" s="2229">
        <f t="shared" si="28"/>
        <v>448.13078768075644</v>
      </c>
      <c r="AM51" s="2045">
        <f>FISC!AM1118</f>
        <v>896.26157536151288</v>
      </c>
      <c r="AN51" s="2039">
        <f t="shared" si="91"/>
        <v>3.1147153140778601E-2</v>
      </c>
      <c r="AO51" s="2040">
        <f t="shared" si="37"/>
        <v>58.112460594268214</v>
      </c>
      <c r="AP51" s="2139">
        <f t="shared" si="29"/>
        <v>1.1471531407785986E-3</v>
      </c>
      <c r="AQ51" s="2201">
        <v>943.75590322791732</v>
      </c>
      <c r="AR51" s="2196">
        <f t="shared" si="76"/>
        <v>0.03</v>
      </c>
      <c r="AS51" s="2229">
        <f>FISCinyear!JI802</f>
        <v>507.39740147508417</v>
      </c>
      <c r="AT51" s="2229">
        <f t="shared" si="30"/>
        <v>507.39740147508417</v>
      </c>
      <c r="AU51" s="2045">
        <f>FISC!AN1118</f>
        <v>1014.7948029501683</v>
      </c>
      <c r="AV51" s="2039">
        <f t="shared" si="81"/>
        <v>3.1385333415939597E-2</v>
      </c>
      <c r="AW51" s="2040">
        <f t="shared" si="53"/>
        <v>71.038899722251017</v>
      </c>
      <c r="AX51" s="2139">
        <f t="shared" si="31"/>
        <v>1.3853334159395977E-3</v>
      </c>
      <c r="AY51" s="2201">
        <v>1062.6691470346348</v>
      </c>
      <c r="AZ51" s="2196">
        <f t="shared" si="92"/>
        <v>0.03</v>
      </c>
      <c r="BA51" s="2229">
        <f>FISCinyear!JL802</f>
        <v>544.91285413808657</v>
      </c>
      <c r="BB51" s="2229">
        <f t="shared" si="32"/>
        <v>544.91285413808657</v>
      </c>
      <c r="BC51" s="2045">
        <f>FISC!AO1118</f>
        <v>1089.8257082761731</v>
      </c>
      <c r="BD51" s="2039">
        <f t="shared" si="93"/>
        <v>0.03</v>
      </c>
      <c r="BE51" s="2040">
        <f t="shared" si="77"/>
        <v>27.156561241538384</v>
      </c>
      <c r="BF51" s="2139">
        <f t="shared" si="78"/>
        <v>0</v>
      </c>
    </row>
    <row r="52" spans="1:58">
      <c r="A52" s="2185" t="s">
        <v>3735</v>
      </c>
      <c r="B52" s="2044"/>
      <c r="C52" s="2037"/>
      <c r="D52" s="2045"/>
      <c r="E52" s="2039"/>
      <c r="F52" s="2040"/>
      <c r="G52" s="2130"/>
      <c r="H52" s="2201">
        <v>0</v>
      </c>
      <c r="I52" s="2196">
        <f t="shared" si="73"/>
        <v>0</v>
      </c>
      <c r="J52" s="2229">
        <v>0</v>
      </c>
      <c r="K52" s="2229">
        <v>0</v>
      </c>
      <c r="L52" s="2218">
        <f t="shared" si="21"/>
        <v>0</v>
      </c>
      <c r="M52" s="2218">
        <v>0</v>
      </c>
      <c r="N52" s="2218">
        <f t="shared" si="35"/>
        <v>19.375567509328903</v>
      </c>
      <c r="O52" s="2045">
        <v>19.375567509328903</v>
      </c>
      <c r="P52" s="2139">
        <f t="shared" si="89"/>
        <v>9.6714922115883185E-4</v>
      </c>
      <c r="Q52" s="2040">
        <f t="shared" si="90"/>
        <v>19.375567509328903</v>
      </c>
      <c r="R52" s="2130">
        <f t="shared" si="52"/>
        <v>9.6714922115883185E-4</v>
      </c>
      <c r="S52" s="2201">
        <v>0</v>
      </c>
      <c r="T52" s="2196">
        <f t="shared" si="74"/>
        <v>0</v>
      </c>
      <c r="U52" s="2229">
        <f>W52/2</f>
        <v>19.369420015281548</v>
      </c>
      <c r="V52" s="2229">
        <f t="shared" si="22"/>
        <v>19.369420015281548</v>
      </c>
      <c r="W52" s="2045">
        <v>38.738840030563097</v>
      </c>
      <c r="X52" s="2139">
        <f t="shared" si="79"/>
        <v>1.7100616092216275E-3</v>
      </c>
      <c r="Y52" s="2040">
        <f t="shared" si="95"/>
        <v>38.738840030563097</v>
      </c>
      <c r="Z52" s="2130">
        <f t="shared" si="96"/>
        <v>1.7100616092216275E-3</v>
      </c>
      <c r="AA52" s="2201">
        <v>0</v>
      </c>
      <c r="AB52" s="2196">
        <f t="shared" si="94"/>
        <v>0</v>
      </c>
      <c r="AC52" s="2229">
        <f>AE52/2</f>
        <v>22.604828941122548</v>
      </c>
      <c r="AD52" s="2229">
        <f t="shared" si="25"/>
        <v>22.604828941122548</v>
      </c>
      <c r="AE52" s="2045">
        <v>45.209657882245097</v>
      </c>
      <c r="AF52" s="2039">
        <f t="shared" si="80"/>
        <v>1.7685943698807364E-3</v>
      </c>
      <c r="AG52" s="2040">
        <f t="shared" si="97"/>
        <v>45.209657882245097</v>
      </c>
      <c r="AH52" s="2139">
        <f t="shared" si="27"/>
        <v>1.7685943698807364E-3</v>
      </c>
      <c r="AI52" s="2201"/>
      <c r="AJ52" s="2196">
        <f t="shared" si="75"/>
        <v>0</v>
      </c>
      <c r="AK52" s="2229">
        <f>AM52/2</f>
        <v>29.063351263992786</v>
      </c>
      <c r="AL52" s="2229">
        <f t="shared" si="28"/>
        <v>29.063351263992786</v>
      </c>
      <c r="AM52" s="2045">
        <v>58.126702527985572</v>
      </c>
      <c r="AN52" s="2039">
        <f t="shared" si="91"/>
        <v>2.0200367336705022E-3</v>
      </c>
      <c r="AO52" s="2040">
        <f t="shared" si="37"/>
        <v>58.126702527985572</v>
      </c>
      <c r="AP52" s="2139">
        <f t="shared" si="29"/>
        <v>2.0200367336705022E-3</v>
      </c>
      <c r="AQ52" s="2201"/>
      <c r="AR52" s="2196">
        <f t="shared" si="76"/>
        <v>0</v>
      </c>
      <c r="AS52" s="2229">
        <f>AU52/2</f>
        <v>35.521873767103031</v>
      </c>
      <c r="AT52" s="2229">
        <f t="shared" si="30"/>
        <v>35.521873767103031</v>
      </c>
      <c r="AU52" s="2045">
        <v>71.043747534206062</v>
      </c>
      <c r="AV52" s="2039">
        <f t="shared" si="81"/>
        <v>2.1972242043383672E-3</v>
      </c>
      <c r="AW52" s="2040">
        <f t="shared" si="53"/>
        <v>71.043747534206062</v>
      </c>
      <c r="AX52" s="2139">
        <f t="shared" si="31"/>
        <v>2.1972242043383672E-3</v>
      </c>
      <c r="AY52" s="2201"/>
      <c r="AZ52" s="2196">
        <f t="shared" si="92"/>
        <v>0</v>
      </c>
      <c r="BA52" s="2229">
        <f>BC52/2</f>
        <v>41.98039627021268</v>
      </c>
      <c r="BB52" s="2229">
        <f t="shared" si="32"/>
        <v>41.98039627021268</v>
      </c>
      <c r="BC52" s="2045">
        <v>83.960792540425359</v>
      </c>
      <c r="BD52" s="2039">
        <f t="shared" si="93"/>
        <v>2.3112170662563086E-3</v>
      </c>
      <c r="BE52" s="2040">
        <f t="shared" si="77"/>
        <v>83.960792540425359</v>
      </c>
      <c r="BF52" s="2139">
        <f t="shared" si="78"/>
        <v>2.3112170662563086E-3</v>
      </c>
    </row>
    <row r="53" spans="1:58">
      <c r="A53" s="2183" t="s">
        <v>587</v>
      </c>
      <c r="B53" s="2044"/>
      <c r="C53" s="2037"/>
      <c r="D53" s="2045"/>
      <c r="E53" s="2039"/>
      <c r="F53" s="2040"/>
      <c r="G53" s="2130"/>
      <c r="H53" s="2201">
        <v>209.16314348174251</v>
      </c>
      <c r="I53" s="2196">
        <f t="shared" si="73"/>
        <v>1.0648139804684393E-2</v>
      </c>
      <c r="J53" s="2229">
        <v>100.08708998192321</v>
      </c>
      <c r="K53" s="2229">
        <f>FISCinyear!IW804</f>
        <v>95.990828754999995</v>
      </c>
      <c r="L53" s="2218">
        <f t="shared" si="21"/>
        <v>-4.0962612269232181</v>
      </c>
      <c r="M53" s="2218">
        <v>109.0760534998193</v>
      </c>
      <c r="N53" s="2218">
        <f t="shared" si="35"/>
        <v>123.14974137518681</v>
      </c>
      <c r="O53" s="2045">
        <f>FISC!AJ1120</f>
        <v>219.1405701301868</v>
      </c>
      <c r="P53" s="2139">
        <f t="shared" si="89"/>
        <v>1.0938602527315258E-2</v>
      </c>
      <c r="Q53" s="2040">
        <f t="shared" si="90"/>
        <v>9.9774266484442933</v>
      </c>
      <c r="R53" s="2130">
        <f t="shared" si="52"/>
        <v>2.9046272263086488E-4</v>
      </c>
      <c r="S53" s="2201">
        <v>230.72842659652508</v>
      </c>
      <c r="T53" s="2196">
        <f t="shared" si="74"/>
        <v>1.0458731257411109E-2</v>
      </c>
      <c r="U53" s="2229">
        <f>FISCinyear!IZ804</f>
        <v>131.47684333725687</v>
      </c>
      <c r="V53" s="2229">
        <f t="shared" si="22"/>
        <v>107.57196273048288</v>
      </c>
      <c r="W53" s="2045">
        <f>FISC!AK1120</f>
        <v>239.04880606773975</v>
      </c>
      <c r="X53" s="2139">
        <f t="shared" si="79"/>
        <v>1.0552411627818319E-2</v>
      </c>
      <c r="Y53" s="2040">
        <f t="shared" si="95"/>
        <v>8.3203794712146646</v>
      </c>
      <c r="Z53" s="2130">
        <f t="shared" si="96"/>
        <v>9.3680370407210611E-5</v>
      </c>
      <c r="AA53" s="2201">
        <v>265.22583471555322</v>
      </c>
      <c r="AB53" s="2196">
        <f t="shared" si="94"/>
        <v>1.0691069719428311E-2</v>
      </c>
      <c r="AC53" s="2229">
        <f>FISCinyear!JC804</f>
        <v>156.40586655739918</v>
      </c>
      <c r="AD53" s="2229">
        <f t="shared" si="25"/>
        <v>127.96843627423567</v>
      </c>
      <c r="AE53" s="2045">
        <f>FISC!AL1120</f>
        <v>284.37430283163485</v>
      </c>
      <c r="AF53" s="2039">
        <f t="shared" si="80"/>
        <v>1.1124675887545402E-2</v>
      </c>
      <c r="AG53" s="2040">
        <f t="shared" si="97"/>
        <v>19.148468116081631</v>
      </c>
      <c r="AH53" s="2139">
        <f t="shared" si="27"/>
        <v>4.33606168117091E-4</v>
      </c>
      <c r="AI53" s="2201">
        <v>330.92816117788311</v>
      </c>
      <c r="AJ53" s="2196">
        <f t="shared" si="75"/>
        <v>1.1844962501801929E-2</v>
      </c>
      <c r="AK53" s="2229">
        <f>FISCinyear!JF804</f>
        <v>202.35727387174745</v>
      </c>
      <c r="AL53" s="2229">
        <f t="shared" si="28"/>
        <v>165.56504225870242</v>
      </c>
      <c r="AM53" s="2045">
        <f>FISC!AM1120</f>
        <v>367.92231613044987</v>
      </c>
      <c r="AN53" s="2039">
        <f t="shared" si="91"/>
        <v>1.278614752596386E-2</v>
      </c>
      <c r="AO53" s="2040">
        <f t="shared" si="37"/>
        <v>36.99415495256676</v>
      </c>
      <c r="AP53" s="2139">
        <f t="shared" si="29"/>
        <v>9.4118502416193177E-4</v>
      </c>
      <c r="AQ53" s="2201">
        <v>376.08600785078056</v>
      </c>
      <c r="AR53" s="2196">
        <f t="shared" si="76"/>
        <v>1.1954977125900604E-2</v>
      </c>
      <c r="AS53" s="2229">
        <f>FISCinyear!JI804</f>
        <v>228.33710546254227</v>
      </c>
      <c r="AT53" s="2229">
        <f t="shared" si="30"/>
        <v>186.82126810571637</v>
      </c>
      <c r="AU53" s="2045">
        <f>FISC!AN1120</f>
        <v>415.15837356825864</v>
      </c>
      <c r="AV53" s="2039">
        <f t="shared" si="81"/>
        <v>1.2839919890187729E-2</v>
      </c>
      <c r="AW53" s="2040">
        <f t="shared" si="53"/>
        <v>39.072365717478078</v>
      </c>
      <c r="AX53" s="2139">
        <f t="shared" si="31"/>
        <v>8.8494276428712458E-4</v>
      </c>
      <c r="AY53" s="2201">
        <v>426.97175689519077</v>
      </c>
      <c r="AZ53" s="2196">
        <f t="shared" si="92"/>
        <v>1.2053754211834893E-2</v>
      </c>
      <c r="BA53" s="2229">
        <f>FISCinyear!JL804</f>
        <v>256.92989445555315</v>
      </c>
      <c r="BB53" s="2229">
        <f t="shared" si="32"/>
        <v>210.21536819090704</v>
      </c>
      <c r="BC53" s="2045">
        <f>FISC!AO1120</f>
        <v>467.1452626464602</v>
      </c>
      <c r="BD53" s="2039">
        <f t="shared" si="93"/>
        <v>1.285926526871985E-2</v>
      </c>
      <c r="BE53" s="2040">
        <f t="shared" si="77"/>
        <v>40.173505751269431</v>
      </c>
      <c r="BF53" s="2139">
        <f t="shared" si="78"/>
        <v>8.0551105688495689E-4</v>
      </c>
    </row>
    <row r="54" spans="1:58">
      <c r="A54" s="2184" t="s">
        <v>3735</v>
      </c>
      <c r="B54" s="2044"/>
      <c r="C54" s="2037"/>
      <c r="D54" s="2045"/>
      <c r="E54" s="2039"/>
      <c r="F54" s="2040"/>
      <c r="G54" s="2130"/>
      <c r="H54" s="2201">
        <v>0</v>
      </c>
      <c r="I54" s="2196">
        <f t="shared" si="73"/>
        <v>0</v>
      </c>
      <c r="J54" s="2229">
        <v>0</v>
      </c>
      <c r="K54" s="2229">
        <v>0</v>
      </c>
      <c r="L54" s="2218">
        <f t="shared" si="21"/>
        <v>0</v>
      </c>
      <c r="M54" s="2218">
        <v>0</v>
      </c>
      <c r="N54" s="2218">
        <f t="shared" si="35"/>
        <v>4.2519032123844909</v>
      </c>
      <c r="O54" s="2045">
        <v>4.2519032123844909</v>
      </c>
      <c r="P54" s="2139">
        <f t="shared" si="89"/>
        <v>2.1223764817832825E-4</v>
      </c>
      <c r="Q54" s="2040">
        <f t="shared" si="90"/>
        <v>4.2519032123844909</v>
      </c>
      <c r="R54" s="2130">
        <f t="shared" si="52"/>
        <v>2.1223764817832825E-4</v>
      </c>
      <c r="S54" s="2201">
        <v>0</v>
      </c>
      <c r="T54" s="2196">
        <f t="shared" si="74"/>
        <v>0</v>
      </c>
      <c r="U54" s="2229">
        <f>W54/2</f>
        <v>4.2519032123840361</v>
      </c>
      <c r="V54" s="2229">
        <f t="shared" si="22"/>
        <v>4.2519032123840361</v>
      </c>
      <c r="W54" s="2045">
        <v>8.5038064247680722</v>
      </c>
      <c r="X54" s="2139">
        <f t="shared" si="79"/>
        <v>3.7538637934886885E-4</v>
      </c>
      <c r="Y54" s="2040">
        <f t="shared" si="95"/>
        <v>8.5038064247680722</v>
      </c>
      <c r="Z54" s="2130">
        <f t="shared" si="96"/>
        <v>3.7538637934886885E-4</v>
      </c>
      <c r="AA54" s="2201">
        <v>0</v>
      </c>
      <c r="AB54" s="2196">
        <f t="shared" si="94"/>
        <v>0</v>
      </c>
      <c r="AC54" s="2229">
        <f>AE54/2</f>
        <v>4.9605537477816597</v>
      </c>
      <c r="AD54" s="2229">
        <f t="shared" si="25"/>
        <v>4.9605537477816597</v>
      </c>
      <c r="AE54" s="2045">
        <v>9.9211074955633194</v>
      </c>
      <c r="AF54" s="2039">
        <f t="shared" si="80"/>
        <v>3.8811209112302864E-4</v>
      </c>
      <c r="AG54" s="2040">
        <f t="shared" si="97"/>
        <v>9.9211074955633194</v>
      </c>
      <c r="AH54" s="2139">
        <f t="shared" si="27"/>
        <v>3.8811209112302864E-4</v>
      </c>
      <c r="AI54" s="2201"/>
      <c r="AJ54" s="2196">
        <f t="shared" si="75"/>
        <v>0</v>
      </c>
      <c r="AK54" s="2229">
        <f>AM54/2</f>
        <v>6.4061305986456318</v>
      </c>
      <c r="AL54" s="2229">
        <f t="shared" si="28"/>
        <v>6.4061305986456318</v>
      </c>
      <c r="AM54" s="2045">
        <v>12.812261197291264</v>
      </c>
      <c r="AN54" s="2039">
        <f t="shared" si="91"/>
        <v>4.4525557333049872E-4</v>
      </c>
      <c r="AO54" s="2040">
        <f t="shared" si="37"/>
        <v>12.812261197291264</v>
      </c>
      <c r="AP54" s="2139">
        <f t="shared" si="29"/>
        <v>4.4525557333049872E-4</v>
      </c>
      <c r="AQ54" s="2201"/>
      <c r="AR54" s="2196">
        <f t="shared" si="76"/>
        <v>0</v>
      </c>
      <c r="AS54" s="2229">
        <f>AU54/2</f>
        <v>7.7951558893707347</v>
      </c>
      <c r="AT54" s="2229">
        <f t="shared" si="30"/>
        <v>7.7951558893707347</v>
      </c>
      <c r="AU54" s="2045">
        <v>15.590311778741469</v>
      </c>
      <c r="AV54" s="2039">
        <f t="shared" si="81"/>
        <v>4.8217347173217526E-4</v>
      </c>
      <c r="AW54" s="2040">
        <f t="shared" si="53"/>
        <v>15.590311778741469</v>
      </c>
      <c r="AX54" s="2139">
        <f t="shared" si="31"/>
        <v>4.8217347173217526E-4</v>
      </c>
      <c r="AY54" s="2201"/>
      <c r="AZ54" s="2196">
        <f t="shared" si="92"/>
        <v>0</v>
      </c>
      <c r="BA54" s="2229">
        <f>BC54/2</f>
        <v>9.2124569601654134</v>
      </c>
      <c r="BB54" s="2229">
        <f t="shared" si="32"/>
        <v>9.2124569601654134</v>
      </c>
      <c r="BC54" s="2045">
        <v>18.424913920330827</v>
      </c>
      <c r="BD54" s="2039">
        <f t="shared" si="93"/>
        <v>5.0718882240742005E-4</v>
      </c>
      <c r="BE54" s="2040">
        <f t="shared" si="77"/>
        <v>18.424913920330827</v>
      </c>
      <c r="BF54" s="2139">
        <f t="shared" si="78"/>
        <v>5.0718882240742005E-4</v>
      </c>
    </row>
    <row r="55" spans="1:58">
      <c r="A55" s="2036" t="s">
        <v>565</v>
      </c>
      <c r="B55" s="2044">
        <v>49.610660862409667</v>
      </c>
      <c r="C55" s="2037">
        <f t="shared" ref="C55:C66" si="98">B55/$B$109</f>
        <v>2.8729195853892009E-3</v>
      </c>
      <c r="D55" s="2045">
        <f>FISC!AI1127</f>
        <v>48.931605560999998</v>
      </c>
      <c r="E55" s="2039">
        <f t="shared" ref="E55:E66" si="99">D55/$D$109</f>
        <v>2.757176174057587E-3</v>
      </c>
      <c r="F55" s="2040">
        <f t="shared" si="36"/>
        <v>-0.67905530140966874</v>
      </c>
      <c r="G55" s="2130">
        <f t="shared" si="20"/>
        <v>-1.1574341133161392E-4</v>
      </c>
      <c r="H55" s="2201">
        <v>66.27357396158753</v>
      </c>
      <c r="I55" s="2196">
        <f t="shared" si="73"/>
        <v>3.3738749052634786E-3</v>
      </c>
      <c r="J55" s="2229">
        <v>33.136786980793765</v>
      </c>
      <c r="K55" s="2229">
        <f>FISCinyear!IW811</f>
        <v>32.409272098000002</v>
      </c>
      <c r="L55" s="2218">
        <f t="shared" si="21"/>
        <v>-0.72751488279376275</v>
      </c>
      <c r="M55" s="2218">
        <v>33.136786980793765</v>
      </c>
      <c r="N55" s="2218">
        <f t="shared" si="35"/>
        <v>35.035882994479806</v>
      </c>
      <c r="O55" s="2045">
        <f>FISC!AJ1127</f>
        <v>67.445155092479808</v>
      </c>
      <c r="P55" s="2139">
        <f t="shared" si="89"/>
        <v>3.3665867689925424E-3</v>
      </c>
      <c r="Q55" s="2040">
        <f t="shared" si="90"/>
        <v>1.1715811308922781</v>
      </c>
      <c r="R55" s="2130">
        <f t="shared" si="52"/>
        <v>-7.2881362709362012E-6</v>
      </c>
      <c r="S55" s="2201">
        <v>72.960008479773521</v>
      </c>
      <c r="T55" s="2196">
        <f t="shared" si="74"/>
        <v>3.3072176345343273E-3</v>
      </c>
      <c r="U55" s="2229">
        <f>FISCinyear!IZ811</f>
        <v>37.459988049435907</v>
      </c>
      <c r="V55" s="2229">
        <f t="shared" si="22"/>
        <v>37.459988049435907</v>
      </c>
      <c r="W55" s="2045">
        <f>FISC!AK1127</f>
        <v>74.919976098871814</v>
      </c>
      <c r="X55" s="2139">
        <f t="shared" si="79"/>
        <v>3.3072176345343277E-3</v>
      </c>
      <c r="Y55" s="2040">
        <f t="shared" si="23"/>
        <v>1.9599676190982933</v>
      </c>
      <c r="Z55" s="2130">
        <f t="shared" si="24"/>
        <v>0</v>
      </c>
      <c r="AA55" s="2201">
        <v>74.42449867301093</v>
      </c>
      <c r="AB55" s="2196">
        <f t="shared" si="94"/>
        <v>3.0000000000000001E-3</v>
      </c>
      <c r="AC55" s="2229">
        <f>FISCinyear!JC811</f>
        <v>38.34371972355688</v>
      </c>
      <c r="AD55" s="2229">
        <f t="shared" si="25"/>
        <v>38.34371972355688</v>
      </c>
      <c r="AE55" s="2045">
        <f>FISC!AL1127</f>
        <v>76.687439447113761</v>
      </c>
      <c r="AF55" s="2039">
        <f t="shared" si="80"/>
        <v>3.0000000000000001E-3</v>
      </c>
      <c r="AG55" s="2040">
        <f t="shared" si="26"/>
        <v>2.2629407741028302</v>
      </c>
      <c r="AH55" s="2139">
        <f t="shared" si="27"/>
        <v>0</v>
      </c>
      <c r="AI55" s="2201">
        <v>83.814911476724461</v>
      </c>
      <c r="AJ55" s="2196">
        <f t="shared" si="75"/>
        <v>3.0000000000000001E-3</v>
      </c>
      <c r="AK55" s="2229">
        <f>FISCinyear!JF811</f>
        <v>43.162608054928732</v>
      </c>
      <c r="AL55" s="2229">
        <f t="shared" si="28"/>
        <v>43.162608054928732</v>
      </c>
      <c r="AM55" s="2045">
        <f>FISC!AM1127</f>
        <v>86.325216109857465</v>
      </c>
      <c r="AN55" s="2039">
        <f t="shared" si="91"/>
        <v>3.0000000000000001E-3</v>
      </c>
      <c r="AO55" s="2040">
        <f t="shared" si="37"/>
        <v>2.5103046331330034</v>
      </c>
      <c r="AP55" s="2139">
        <f t="shared" si="29"/>
        <v>0</v>
      </c>
      <c r="AQ55" s="2201">
        <v>94.375590322791737</v>
      </c>
      <c r="AR55" s="2196">
        <f t="shared" si="76"/>
        <v>3.0000000000000001E-3</v>
      </c>
      <c r="AS55" s="2229">
        <f>FISCinyear!JI811</f>
        <v>48.500112592469073</v>
      </c>
      <c r="AT55" s="2229">
        <f t="shared" si="30"/>
        <v>48.500112592469073</v>
      </c>
      <c r="AU55" s="2045">
        <f>FISC!AN1127</f>
        <v>97.000225184938145</v>
      </c>
      <c r="AV55" s="2039">
        <f t="shared" si="81"/>
        <v>3.0000000000000001E-3</v>
      </c>
      <c r="AW55" s="2040">
        <f t="shared" si="53"/>
        <v>2.624634862146408</v>
      </c>
      <c r="AX55" s="2139">
        <f t="shared" si="31"/>
        <v>0</v>
      </c>
      <c r="AY55" s="2201">
        <v>106.26691470346348</v>
      </c>
      <c r="AZ55" s="2196">
        <f t="shared" si="92"/>
        <v>3.0000000000000001E-3</v>
      </c>
      <c r="BA55" s="2229">
        <f>FISCinyear!JL811</f>
        <v>59.940413955189534</v>
      </c>
      <c r="BB55" s="2229">
        <f t="shared" si="32"/>
        <v>49.042156872427789</v>
      </c>
      <c r="BC55" s="2045">
        <f>FISC!AO1127</f>
        <v>108.98257082761732</v>
      </c>
      <c r="BD55" s="2039">
        <f t="shared" si="93"/>
        <v>3.0000000000000001E-3</v>
      </c>
      <c r="BE55" s="2040">
        <f t="shared" si="77"/>
        <v>2.7156561241538384</v>
      </c>
      <c r="BF55" s="2139">
        <f t="shared" si="78"/>
        <v>0</v>
      </c>
    </row>
    <row r="56" spans="1:58">
      <c r="A56" s="2036" t="s">
        <v>566</v>
      </c>
      <c r="B56" s="2085">
        <v>138.69863980388931</v>
      </c>
      <c r="C56" s="2079">
        <f t="shared" si="98"/>
        <v>8.0319437764506622E-3</v>
      </c>
      <c r="D56" s="2083">
        <f>FISC!AI1129</f>
        <v>139.12123366500001</v>
      </c>
      <c r="E56" s="2081">
        <f t="shared" si="99"/>
        <v>7.8391409063503694E-3</v>
      </c>
      <c r="F56" s="2068">
        <f t="shared" si="36"/>
        <v>0.4225938611106983</v>
      </c>
      <c r="G56" s="2134">
        <f t="shared" si="20"/>
        <v>-1.9280287010029276E-4</v>
      </c>
      <c r="H56" s="2210">
        <v>144.29711569243307</v>
      </c>
      <c r="I56" s="2209">
        <f t="shared" si="73"/>
        <v>7.3459206805230656E-3</v>
      </c>
      <c r="J56" s="2233">
        <v>72.148557846216534</v>
      </c>
      <c r="K56" s="2233">
        <f>FISCinyear!IW813</f>
        <v>72.797396015999993</v>
      </c>
      <c r="L56" s="2218">
        <f t="shared" si="21"/>
        <v>0.64883816978345976</v>
      </c>
      <c r="M56" s="2218">
        <v>72.148557846216534</v>
      </c>
      <c r="N56" s="2218">
        <f t="shared" si="35"/>
        <v>71.499719676433074</v>
      </c>
      <c r="O56" s="2083">
        <f>FISC!AJ1129</f>
        <v>144.29711569243307</v>
      </c>
      <c r="P56" s="2143">
        <f t="shared" si="89"/>
        <v>7.2027228616766449E-3</v>
      </c>
      <c r="Q56" s="2040">
        <f t="shared" si="90"/>
        <v>0</v>
      </c>
      <c r="R56" s="2130">
        <f t="shared" si="52"/>
        <v>-1.4319781884642065E-4</v>
      </c>
      <c r="S56" s="2210">
        <v>152.98324848558599</v>
      </c>
      <c r="T56" s="2209">
        <f t="shared" si="74"/>
        <v>6.9346057891446046E-3</v>
      </c>
      <c r="U56" s="2233">
        <f>FISCinyear!IZ813</f>
        <v>84.140786667072305</v>
      </c>
      <c r="V56" s="2233">
        <f t="shared" si="22"/>
        <v>68.842461818513684</v>
      </c>
      <c r="W56" s="2083">
        <f>FISC!AK1129</f>
        <v>152.98324848558599</v>
      </c>
      <c r="X56" s="2143">
        <f t="shared" si="79"/>
        <v>6.7531908514249488E-3</v>
      </c>
      <c r="Y56" s="2068">
        <f t="shared" si="23"/>
        <v>0</v>
      </c>
      <c r="Z56" s="2134">
        <f t="shared" si="24"/>
        <v>-1.814149377196558E-4</v>
      </c>
      <c r="AA56" s="2210">
        <v>168.65948497698193</v>
      </c>
      <c r="AB56" s="2209">
        <f t="shared" si="94"/>
        <v>6.7985470369642175E-3</v>
      </c>
      <c r="AC56" s="2233">
        <f>FISCinyear!JC813</f>
        <v>92.762716737340071</v>
      </c>
      <c r="AD56" s="2233">
        <f t="shared" si="25"/>
        <v>75.896768239641858</v>
      </c>
      <c r="AE56" s="2083">
        <f>FISC!AL1129</f>
        <v>168.65948497698193</v>
      </c>
      <c r="AF56" s="2081">
        <f t="shared" si="80"/>
        <v>6.5979312724332847E-3</v>
      </c>
      <c r="AG56" s="2068">
        <f t="shared" si="26"/>
        <v>0</v>
      </c>
      <c r="AH56" s="2143">
        <f t="shared" si="27"/>
        <v>-2.0061576453093283E-4</v>
      </c>
      <c r="AI56" s="2210">
        <v>189.89689710093501</v>
      </c>
      <c r="AJ56" s="2209">
        <f t="shared" si="75"/>
        <v>6.7970088050622003E-3</v>
      </c>
      <c r="AK56" s="2233">
        <f>FISCinyear!JF813</f>
        <v>104.44329340551427</v>
      </c>
      <c r="AL56" s="2233">
        <f t="shared" si="28"/>
        <v>85.453603695420739</v>
      </c>
      <c r="AM56" s="2083">
        <f>FISC!AM1129</f>
        <v>189.89689710093501</v>
      </c>
      <c r="AN56" s="2081">
        <f t="shared" si="91"/>
        <v>6.599354359887343E-3</v>
      </c>
      <c r="AO56" s="2068">
        <f t="shared" si="37"/>
        <v>0</v>
      </c>
      <c r="AP56" s="2143">
        <f t="shared" si="29"/>
        <v>-1.9765444517485728E-4</v>
      </c>
      <c r="AQ56" s="2210">
        <v>213.82390613565281</v>
      </c>
      <c r="AR56" s="2209">
        <f t="shared" si="76"/>
        <v>6.7970088050622003E-3</v>
      </c>
      <c r="AS56" s="2233">
        <f>FISCinyear!JI813</f>
        <v>117.60314837460905</v>
      </c>
      <c r="AT56" s="2233">
        <f t="shared" si="30"/>
        <v>96.220757761043757</v>
      </c>
      <c r="AU56" s="2083">
        <f>FISC!AN1129</f>
        <v>213.82390613565281</v>
      </c>
      <c r="AV56" s="2081">
        <f t="shared" si="81"/>
        <v>6.6130951467787301E-3</v>
      </c>
      <c r="AW56" s="2068">
        <f t="shared" si="53"/>
        <v>0</v>
      </c>
      <c r="AX56" s="2143">
        <f t="shared" si="31"/>
        <v>-1.8391365828347023E-4</v>
      </c>
      <c r="AY56" s="2210">
        <v>240.76571830874502</v>
      </c>
      <c r="AZ56" s="2209">
        <f t="shared" si="92"/>
        <v>6.7970088050622003E-3</v>
      </c>
      <c r="BA56" s="2233">
        <f>FISCinyear!JL813</f>
        <v>132.42114506980977</v>
      </c>
      <c r="BB56" s="2233">
        <f t="shared" si="32"/>
        <v>108.34457323893525</v>
      </c>
      <c r="BC56" s="2083">
        <f>FISC!AO1129</f>
        <v>240.76571830874502</v>
      </c>
      <c r="BD56" s="2081">
        <f t="shared" si="93"/>
        <v>6.6276391668969271E-3</v>
      </c>
      <c r="BE56" s="2068">
        <f t="shared" si="77"/>
        <v>0</v>
      </c>
      <c r="BF56" s="2143">
        <f t="shared" si="78"/>
        <v>-1.6936963816527317E-4</v>
      </c>
    </row>
    <row r="57" spans="1:58">
      <c r="A57" s="2052" t="s">
        <v>591</v>
      </c>
      <c r="B57" s="2086"/>
      <c r="C57" s="2054">
        <f t="shared" si="98"/>
        <v>0</v>
      </c>
      <c r="D57" s="2055"/>
      <c r="E57" s="2056">
        <f t="shared" si="99"/>
        <v>0</v>
      </c>
      <c r="F57" s="2087"/>
      <c r="G57" s="2136">
        <f t="shared" si="20"/>
        <v>0</v>
      </c>
      <c r="H57" s="2211"/>
      <c r="I57" s="2200"/>
      <c r="J57" s="2228"/>
      <c r="K57" s="2228"/>
      <c r="L57" s="2222"/>
      <c r="M57" s="2222"/>
      <c r="N57" s="2222">
        <f t="shared" si="35"/>
        <v>0</v>
      </c>
      <c r="O57" s="2055"/>
      <c r="P57" s="2141"/>
      <c r="Q57" s="2087"/>
      <c r="R57" s="2136"/>
      <c r="S57" s="2211"/>
      <c r="T57" s="2200"/>
      <c r="U57" s="2228"/>
      <c r="V57" s="2228">
        <f t="shared" si="22"/>
        <v>0</v>
      </c>
      <c r="W57" s="2055"/>
      <c r="X57" s="2141"/>
      <c r="Y57" s="2087"/>
      <c r="Z57" s="2136">
        <f t="shared" si="24"/>
        <v>0</v>
      </c>
      <c r="AA57" s="2211"/>
      <c r="AB57" s="2200"/>
      <c r="AC57" s="2228"/>
      <c r="AD57" s="2228">
        <f t="shared" si="25"/>
        <v>0</v>
      </c>
      <c r="AE57" s="2055"/>
      <c r="AF57" s="2056"/>
      <c r="AG57" s="2087"/>
      <c r="AH57" s="2145"/>
      <c r="AI57" s="2211"/>
      <c r="AJ57" s="2200"/>
      <c r="AK57" s="2228"/>
      <c r="AL57" s="2228">
        <f t="shared" si="28"/>
        <v>0</v>
      </c>
      <c r="AM57" s="2055"/>
      <c r="AN57" s="2056"/>
      <c r="AO57" s="2087"/>
      <c r="AP57" s="2145"/>
      <c r="AQ57" s="2211"/>
      <c r="AR57" s="2200"/>
      <c r="AS57" s="2228"/>
      <c r="AT57" s="2228">
        <f t="shared" si="30"/>
        <v>0</v>
      </c>
      <c r="AU57" s="2055"/>
      <c r="AV57" s="2056"/>
      <c r="AW57" s="2087"/>
      <c r="AX57" s="2145"/>
      <c r="AY57" s="2211"/>
      <c r="AZ57" s="2200"/>
      <c r="BA57" s="2228"/>
      <c r="BB57" s="2228">
        <f t="shared" si="32"/>
        <v>0</v>
      </c>
      <c r="BC57" s="2055"/>
      <c r="BD57" s="2056"/>
      <c r="BE57" s="2087"/>
      <c r="BF57" s="2145"/>
    </row>
    <row r="58" spans="1:58">
      <c r="A58" s="2043" t="s">
        <v>592</v>
      </c>
      <c r="B58" s="2044">
        <f>B4-B24</f>
        <v>630.76136631313739</v>
      </c>
      <c r="C58" s="2037">
        <f t="shared" si="98"/>
        <v>3.6526961170979387E-2</v>
      </c>
      <c r="D58" s="2045">
        <f>D4-D24</f>
        <v>638.18640389805569</v>
      </c>
      <c r="E58" s="2039">
        <f t="shared" si="99"/>
        <v>3.5960241387167163E-2</v>
      </c>
      <c r="F58" s="2040">
        <f t="shared" ref="F58:F63" si="100">D58-B58</f>
        <v>7.4250375849183001</v>
      </c>
      <c r="G58" s="2130">
        <f t="shared" si="20"/>
        <v>-5.6671978381222371E-4</v>
      </c>
      <c r="H58" s="2201">
        <f>H4-H24</f>
        <v>752.13450729646775</v>
      </c>
      <c r="I58" s="2196">
        <f t="shared" ref="I58:I63" si="101">H58/$H$109</f>
        <v>3.8289888229372876E-2</v>
      </c>
      <c r="J58" s="2229">
        <f t="shared" ref="J58:M58" si="102">J4-J24</f>
        <v>342.69296077148192</v>
      </c>
      <c r="K58" s="2229">
        <f t="shared" si="102"/>
        <v>433.76465949565636</v>
      </c>
      <c r="L58" s="2218">
        <f t="shared" si="21"/>
        <v>91.071698724174439</v>
      </c>
      <c r="M58" s="2218">
        <f t="shared" si="102"/>
        <v>409.44154652498582</v>
      </c>
      <c r="N58" s="2218">
        <f t="shared" si="35"/>
        <v>301.80745167916621</v>
      </c>
      <c r="O58" s="2045">
        <f>O4-O24</f>
        <v>735.57211117482257</v>
      </c>
      <c r="P58" s="2139">
        <f t="shared" ref="P58:P63" si="103">O58/$O$109</f>
        <v>3.6716756507202193E-2</v>
      </c>
      <c r="Q58" s="2040">
        <f t="shared" ref="Q58:Q63" si="104">O58-H58</f>
        <v>-16.562396121645179</v>
      </c>
      <c r="R58" s="2130">
        <f t="shared" si="52"/>
        <v>-1.5731317221706828E-3</v>
      </c>
      <c r="S58" s="2201">
        <v>1318.0606105016218</v>
      </c>
      <c r="T58" s="2196">
        <f t="shared" ref="T58:T63" si="105">S58/$S$109</f>
        <v>5.9746611674867174E-2</v>
      </c>
      <c r="U58" s="2229">
        <f>U4-U24</f>
        <v>60.033894965536092</v>
      </c>
      <c r="V58" s="2229">
        <f t="shared" si="22"/>
        <v>737.90729320119726</v>
      </c>
      <c r="W58" s="2045">
        <f>W4-W24</f>
        <v>797.94118816673335</v>
      </c>
      <c r="X58" s="2139">
        <f t="shared" ref="X58:X63" si="106">W58/$W$109</f>
        <v>3.5223785514075109E-2</v>
      </c>
      <c r="Y58" s="2040">
        <f t="shared" si="23"/>
        <v>-520.11942233488844</v>
      </c>
      <c r="Z58" s="2130">
        <f t="shared" si="24"/>
        <v>-2.4522826160792065E-2</v>
      </c>
      <c r="AA58" s="2201">
        <v>1632.9763541146658</v>
      </c>
      <c r="AB58" s="2196">
        <f t="shared" ref="AB58:AB63" si="107">AA58/$AA$109</f>
        <v>6.5824145942423792E-2</v>
      </c>
      <c r="AC58" s="2229">
        <f>AC4-AC24</f>
        <v>382.43291030815408</v>
      </c>
      <c r="AD58" s="2229">
        <f t="shared" si="25"/>
        <v>962.01747708212179</v>
      </c>
      <c r="AE58" s="2045">
        <f>AE4-AE24</f>
        <v>1344.4503873902759</v>
      </c>
      <c r="AF58" s="2039">
        <f t="shared" ref="AF58:AF63" si="108">AE58/$AE$109</f>
        <v>5.259467771058339E-2</v>
      </c>
      <c r="AG58" s="2040">
        <f t="shared" si="26"/>
        <v>-288.52596672438995</v>
      </c>
      <c r="AH58" s="2139">
        <f t="shared" si="27"/>
        <v>-1.3229468231840402E-2</v>
      </c>
      <c r="AI58" s="2201">
        <v>1811.0465989243985</v>
      </c>
      <c r="AJ58" s="2196">
        <f t="shared" ref="AJ58:AJ63" si="109">AI58/$AI$109</f>
        <v>6.482306908218817E-2</v>
      </c>
      <c r="AK58" s="2229">
        <f>AK4-AK24</f>
        <v>537.17831593518531</v>
      </c>
      <c r="AL58" s="2229">
        <f t="shared" si="28"/>
        <v>1064.690941635462</v>
      </c>
      <c r="AM58" s="2045">
        <f>AM4-AM24</f>
        <v>1601.8692575706473</v>
      </c>
      <c r="AN58" s="2039">
        <f t="shared" ref="AN58:AN63" si="110">AM58/$AM$109</f>
        <v>5.5668644566105985E-2</v>
      </c>
      <c r="AO58" s="2040">
        <f t="shared" ref="AO58:AO62" si="111">AM58-AI58</f>
        <v>-209.17734135375122</v>
      </c>
      <c r="AP58" s="2139">
        <f t="shared" si="29"/>
        <v>-9.1544245160821852E-3</v>
      </c>
      <c r="AQ58" s="2201">
        <v>2198.0016119629136</v>
      </c>
      <c r="AR58" s="2196">
        <f t="shared" ref="AR58:AR63" si="112">AQ58/$AQ$109</f>
        <v>6.9869812875716517E-2</v>
      </c>
      <c r="AS58" s="2229">
        <f>AS4-AS24</f>
        <v>681.32976193523291</v>
      </c>
      <c r="AT58" s="2229">
        <f t="shared" si="30"/>
        <v>1224.6723976084818</v>
      </c>
      <c r="AU58" s="2045">
        <f>AU4-AU24</f>
        <v>1906.0021595437147</v>
      </c>
      <c r="AV58" s="2039">
        <f t="shared" ref="AV58:AV63" si="113">AU58/$AU$109</f>
        <v>5.8948383549928256E-2</v>
      </c>
      <c r="AW58" s="2040">
        <f t="shared" ref="AW58:AW63" si="114">AU58-AQ58</f>
        <v>-291.99945241919886</v>
      </c>
      <c r="AX58" s="2139">
        <f t="shared" si="31"/>
        <v>-1.0921429325788261E-2</v>
      </c>
      <c r="AY58" s="2201">
        <v>2925.7329738016369</v>
      </c>
      <c r="AZ58" s="2196">
        <f t="shared" ref="AZ58:AZ63" si="115">AY58/$AY$109</f>
        <v>8.2595782007011093E-2</v>
      </c>
      <c r="BA58" s="2229">
        <f>BA4-BA24</f>
        <v>852.3864296108336</v>
      </c>
      <c r="BB58" s="2229">
        <f t="shared" si="32"/>
        <v>1238.2419533909829</v>
      </c>
      <c r="BC58" s="2045">
        <f>BC4-BC24</f>
        <v>2090.6283830018165</v>
      </c>
      <c r="BD58" s="2039">
        <f t="shared" ref="BD58:BD63" si="116">BC58/$BC$109</f>
        <v>5.754943291736047E-2</v>
      </c>
      <c r="BE58" s="2040">
        <f t="shared" ref="BE58:BE63" si="117">BC58-AY58</f>
        <v>-835.10459079982047</v>
      </c>
      <c r="BF58" s="2139">
        <f t="shared" ref="BF58:BF108" si="118">BD58-AZ58</f>
        <v>-2.5046349089650623E-2</v>
      </c>
    </row>
    <row r="59" spans="1:58">
      <c r="A59" s="2046" t="s">
        <v>593</v>
      </c>
      <c r="B59" s="2065">
        <f>B58-B10</f>
        <v>-135.28158506478894</v>
      </c>
      <c r="C59" s="2048">
        <f t="shared" si="98"/>
        <v>-7.8340644635438109E-3</v>
      </c>
      <c r="D59" s="2066">
        <f>D58-D10</f>
        <v>-119.60500563357641</v>
      </c>
      <c r="E59" s="2050">
        <f t="shared" si="99"/>
        <v>-6.7394492383826233E-3</v>
      </c>
      <c r="F59" s="2051">
        <f t="shared" si="100"/>
        <v>15.676579431212531</v>
      </c>
      <c r="G59" s="2131">
        <f t="shared" si="20"/>
        <v>1.0946152251611876E-3</v>
      </c>
      <c r="H59" s="2202">
        <f>H5-H25</f>
        <v>2467.7555537575881</v>
      </c>
      <c r="I59" s="2203">
        <f t="shared" si="101"/>
        <v>0.12562923707680282</v>
      </c>
      <c r="J59" s="2230">
        <f t="shared" ref="J59:M59" si="119">J5-J25</f>
        <v>1164.2964358458355</v>
      </c>
      <c r="K59" s="2230">
        <f t="shared" si="119"/>
        <v>1199.2731878342615</v>
      </c>
      <c r="L59" s="2220">
        <f t="shared" si="21"/>
        <v>34.976751988426031</v>
      </c>
      <c r="M59" s="2220">
        <f t="shared" si="119"/>
        <v>1303.4591179117524</v>
      </c>
      <c r="N59" s="2220">
        <f t="shared" si="35"/>
        <v>-1089.4698158935521</v>
      </c>
      <c r="O59" s="2066">
        <f>O58-O10</f>
        <v>109.80337194070944</v>
      </c>
      <c r="P59" s="2140">
        <f t="shared" si="103"/>
        <v>5.4809360088131382E-3</v>
      </c>
      <c r="Q59" s="2051">
        <f t="shared" si="104"/>
        <v>-2357.9521818168787</v>
      </c>
      <c r="R59" s="2131">
        <f t="shared" si="52"/>
        <v>-0.12014830106798968</v>
      </c>
      <c r="S59" s="2202">
        <v>527.87635705736943</v>
      </c>
      <c r="T59" s="2203">
        <f t="shared" si="105"/>
        <v>2.3928204413488446E-2</v>
      </c>
      <c r="U59" s="2230">
        <f t="shared" ref="U59" si="120">U58-U10</f>
        <v>-226.3843943575676</v>
      </c>
      <c r="V59" s="2230">
        <f t="shared" si="22"/>
        <v>439.11057417298133</v>
      </c>
      <c r="W59" s="2066">
        <f>W58-W10</f>
        <v>212.72617981541373</v>
      </c>
      <c r="X59" s="2140">
        <f t="shared" si="106"/>
        <v>9.3904431080464642E-3</v>
      </c>
      <c r="Y59" s="2051">
        <f t="shared" si="23"/>
        <v>-315.1501772419557</v>
      </c>
      <c r="Z59" s="2131">
        <f t="shared" si="24"/>
        <v>-1.4537761305441982E-2</v>
      </c>
      <c r="AA59" s="2202">
        <v>790.50672639888217</v>
      </c>
      <c r="AB59" s="2203">
        <f t="shared" si="107"/>
        <v>3.1864778688212345E-2</v>
      </c>
      <c r="AC59" s="2230">
        <f t="shared" ref="AC59" si="121">AC58-AC10</f>
        <v>68.476450288405886</v>
      </c>
      <c r="AD59" s="2230">
        <f t="shared" si="25"/>
        <v>615.90731331045333</v>
      </c>
      <c r="AE59" s="2066">
        <f>AE58-AE10</f>
        <v>684.38376359885922</v>
      </c>
      <c r="AF59" s="2050">
        <f t="shared" si="108"/>
        <v>2.6772980107289929E-2</v>
      </c>
      <c r="AG59" s="2051">
        <f t="shared" si="26"/>
        <v>-106.12296280002295</v>
      </c>
      <c r="AH59" s="2140">
        <f t="shared" si="27"/>
        <v>-5.0917985809224159E-3</v>
      </c>
      <c r="AI59" s="2202">
        <v>1101.0097385438416</v>
      </c>
      <c r="AJ59" s="2203">
        <f t="shared" si="109"/>
        <v>3.9408610680794924E-2</v>
      </c>
      <c r="AK59" s="2230">
        <f t="shared" ref="AK59" si="122">AK58-AK10</f>
        <v>185.29159200996747</v>
      </c>
      <c r="AL59" s="2230">
        <f t="shared" si="28"/>
        <v>676.80729218520605</v>
      </c>
      <c r="AM59" s="2066">
        <f>AM58-AM10</f>
        <v>862.09888419517347</v>
      </c>
      <c r="AN59" s="2050">
        <f t="shared" si="110"/>
        <v>2.9959920972502396E-2</v>
      </c>
      <c r="AO59" s="2051">
        <f t="shared" si="111"/>
        <v>-238.91085434866818</v>
      </c>
      <c r="AP59" s="2140">
        <f t="shared" si="29"/>
        <v>-9.4486897082925285E-3</v>
      </c>
      <c r="AQ59" s="2202">
        <v>1426.1433407654554</v>
      </c>
      <c r="AR59" s="2203">
        <f t="shared" si="112"/>
        <v>4.5334074284069659E-2</v>
      </c>
      <c r="AS59" s="2230">
        <f t="shared" ref="AS59" si="123">AS58-AS10</f>
        <v>291.41241636993664</v>
      </c>
      <c r="AT59" s="2230">
        <f t="shared" si="30"/>
        <v>820.26569214641859</v>
      </c>
      <c r="AU59" s="2066">
        <f>AU58-AU10</f>
        <v>1111.6781085163552</v>
      </c>
      <c r="AV59" s="2050">
        <f t="shared" si="113"/>
        <v>3.4381717353651239E-2</v>
      </c>
      <c r="AW59" s="2051">
        <f t="shared" si="114"/>
        <v>-314.46523224910015</v>
      </c>
      <c r="AX59" s="2140">
        <f t="shared" si="31"/>
        <v>-1.0952356930418419E-2</v>
      </c>
      <c r="AY59" s="2202">
        <v>2925.7329738016369</v>
      </c>
      <c r="AZ59" s="2203">
        <f t="shared" si="115"/>
        <v>8.2595782007011093E-2</v>
      </c>
      <c r="BA59" s="2230">
        <f t="shared" ref="BA59" si="124">BA58-BA10</f>
        <v>445.42302271185281</v>
      </c>
      <c r="BB59" s="2230">
        <f t="shared" si="32"/>
        <v>780.23912043483597</v>
      </c>
      <c r="BC59" s="2066">
        <f>BC58-BC10</f>
        <v>1225.6621431466888</v>
      </c>
      <c r="BD59" s="2050">
        <f t="shared" si="116"/>
        <v>3.3739215376522198E-2</v>
      </c>
      <c r="BE59" s="2051">
        <f t="shared" si="117"/>
        <v>-1700.0708306549482</v>
      </c>
      <c r="BF59" s="2140">
        <f t="shared" si="118"/>
        <v>-4.8856566630488894E-2</v>
      </c>
    </row>
    <row r="60" spans="1:58">
      <c r="A60" s="2052" t="str">
        <f>FISC!D1133</f>
        <v xml:space="preserve">Net Investment in nonfinancial assets </v>
      </c>
      <c r="B60" s="2053">
        <v>1676.4540072234172</v>
      </c>
      <c r="C60" s="2054">
        <f t="shared" si="98"/>
        <v>9.7082309883231577E-2</v>
      </c>
      <c r="D60" s="2055">
        <f>FISC!AI1133</f>
        <v>1754.9915240248883</v>
      </c>
      <c r="E60" s="2056">
        <f t="shared" si="99"/>
        <v>9.8889475631086285E-2</v>
      </c>
      <c r="F60" s="2057">
        <f t="shared" si="100"/>
        <v>78.537516801471156</v>
      </c>
      <c r="G60" s="2132">
        <f t="shared" si="20"/>
        <v>1.8071657478547082E-3</v>
      </c>
      <c r="H60" s="2199">
        <v>1719.2096581314629</v>
      </c>
      <c r="I60" s="2200">
        <f t="shared" si="101"/>
        <v>8.7522038962592905E-2</v>
      </c>
      <c r="J60" s="2228">
        <v>863.46848014253271</v>
      </c>
      <c r="K60" s="2228">
        <f>FISCinyear!IW817</f>
        <v>899.92619935753362</v>
      </c>
      <c r="L60" s="2219">
        <f t="shared" si="21"/>
        <v>36.457719215000907</v>
      </c>
      <c r="M60" s="2219">
        <v>855.74117798893019</v>
      </c>
      <c r="N60" s="2219">
        <f t="shared" si="35"/>
        <v>774.41193841946381</v>
      </c>
      <c r="O60" s="2055">
        <f>FISC!AJ1133</f>
        <v>1674.3381377769974</v>
      </c>
      <c r="P60" s="2141">
        <f t="shared" si="103"/>
        <v>8.3576123647881723E-2</v>
      </c>
      <c r="Q60" s="2057">
        <f t="shared" si="104"/>
        <v>-44.871520354465474</v>
      </c>
      <c r="R60" s="2132">
        <f t="shared" si="52"/>
        <v>-3.945915314711182E-3</v>
      </c>
      <c r="S60" s="2199">
        <v>1901.3172533901177</v>
      </c>
      <c r="T60" s="2200">
        <f t="shared" si="105"/>
        <v>8.6185159243771084E-2</v>
      </c>
      <c r="U60" s="2228">
        <f>FISCinyear!IZ817</f>
        <v>925.76961552036289</v>
      </c>
      <c r="V60" s="2228">
        <f t="shared" si="22"/>
        <v>782.85990205967698</v>
      </c>
      <c r="W60" s="2055">
        <f>FISC!AK1133</f>
        <v>1708.6295175800399</v>
      </c>
      <c r="X60" s="2141">
        <f t="shared" si="106"/>
        <v>7.5424605901758715E-2</v>
      </c>
      <c r="Y60" s="2057">
        <f>W60-S60</f>
        <v>-192.68773581007781</v>
      </c>
      <c r="Z60" s="2132">
        <f t="shared" si="24"/>
        <v>-1.0760553342012369E-2</v>
      </c>
      <c r="AA60" s="2199">
        <v>2308.6269924390826</v>
      </c>
      <c r="AB60" s="2200">
        <f t="shared" si="107"/>
        <v>9.3059155262121079E-2</v>
      </c>
      <c r="AC60" s="2228">
        <f>FISCinyear!JC817</f>
        <v>1132.9632744245912</v>
      </c>
      <c r="AD60" s="2228">
        <f t="shared" si="25"/>
        <v>989.09265258195069</v>
      </c>
      <c r="AE60" s="2055">
        <f>FISC!AL1133</f>
        <v>2122.0559270065419</v>
      </c>
      <c r="AF60" s="2056">
        <f t="shared" si="108"/>
        <v>8.3014478341136275E-2</v>
      </c>
      <c r="AG60" s="2057">
        <f>AE60-AA60</f>
        <v>-186.57106543254076</v>
      </c>
      <c r="AH60" s="2141">
        <f t="shared" si="27"/>
        <v>-1.0044676920984805E-2</v>
      </c>
      <c r="AI60" s="2199">
        <v>2553.8061048657264</v>
      </c>
      <c r="AJ60" s="2200">
        <f t="shared" si="109"/>
        <v>9.1408774162158091E-2</v>
      </c>
      <c r="AK60" s="2228">
        <f>FISCinyear!JF817</f>
        <v>1366.3024510012956</v>
      </c>
      <c r="AL60" s="2228">
        <f t="shared" si="28"/>
        <v>1123.669171640704</v>
      </c>
      <c r="AM60" s="2055">
        <f>FISC!AM1133</f>
        <v>2489.9716226419996</v>
      </c>
      <c r="AN60" s="2056">
        <f t="shared" si="110"/>
        <v>8.6532246364953033E-2</v>
      </c>
      <c r="AO60" s="2057">
        <f t="shared" si="111"/>
        <v>-63.834482223726809</v>
      </c>
      <c r="AP60" s="2141">
        <f t="shared" si="29"/>
        <v>-4.8765277972050575E-3</v>
      </c>
      <c r="AQ60" s="2199">
        <v>3075.3080239857823</v>
      </c>
      <c r="AR60" s="2200">
        <f t="shared" si="112"/>
        <v>9.7757524381061098E-2</v>
      </c>
      <c r="AS60" s="2228">
        <f>FISCinyear!JI817</f>
        <v>1516.4684590637853</v>
      </c>
      <c r="AT60" s="2228">
        <f t="shared" si="30"/>
        <v>1346.0153162767856</v>
      </c>
      <c r="AU60" s="2055">
        <f>FISC!AN1133</f>
        <v>2862.4837753405709</v>
      </c>
      <c r="AV60" s="2056">
        <f t="shared" si="113"/>
        <v>8.853022051906681E-2</v>
      </c>
      <c r="AW60" s="2057">
        <f t="shared" si="114"/>
        <v>-212.82424864521136</v>
      </c>
      <c r="AX60" s="2141">
        <f t="shared" si="31"/>
        <v>-9.2273038619942876E-3</v>
      </c>
      <c r="AY60" s="2199">
        <v>3973.2950791962971</v>
      </c>
      <c r="AZ60" s="2200">
        <f t="shared" si="115"/>
        <v>0.1121692981381005</v>
      </c>
      <c r="BA60" s="2228">
        <f>FISCinyear!JL817</f>
        <v>1663.9365097226173</v>
      </c>
      <c r="BB60" s="2228">
        <f t="shared" si="32"/>
        <v>1536.7103061538187</v>
      </c>
      <c r="BC60" s="2055">
        <f>FISC!AO1133</f>
        <v>3200.646815876436</v>
      </c>
      <c r="BD60" s="2056">
        <f t="shared" si="116"/>
        <v>8.8105284860797911E-2</v>
      </c>
      <c r="BE60" s="2057">
        <f t="shared" si="117"/>
        <v>-772.64826331986114</v>
      </c>
      <c r="BF60" s="2141">
        <f t="shared" si="118"/>
        <v>-2.4064013277302593E-2</v>
      </c>
    </row>
    <row r="61" spans="1:58">
      <c r="A61" s="2036" t="s">
        <v>594</v>
      </c>
      <c r="B61" s="2044">
        <v>1016.6207796657466</v>
      </c>
      <c r="C61" s="2037">
        <f t="shared" si="98"/>
        <v>5.8871817025690422E-2</v>
      </c>
      <c r="D61" s="2045">
        <f>FISC!AI1134</f>
        <v>1097.7924341418884</v>
      </c>
      <c r="E61" s="2039">
        <f t="shared" si="99"/>
        <v>6.1857915937447931E-2</v>
      </c>
      <c r="F61" s="2040">
        <f t="shared" si="100"/>
        <v>81.171654476141839</v>
      </c>
      <c r="G61" s="2130">
        <f t="shared" si="20"/>
        <v>2.9860989117575093E-3</v>
      </c>
      <c r="H61" s="2201">
        <v>1075.6204436966025</v>
      </c>
      <c r="I61" s="2196">
        <f t="shared" si="101"/>
        <v>5.4758006934705616E-2</v>
      </c>
      <c r="J61" s="2229">
        <v>541.6738729251025</v>
      </c>
      <c r="K61" s="2229">
        <f>FISCinyear!IW818</f>
        <v>562.94915331353366</v>
      </c>
      <c r="L61" s="2218">
        <f t="shared" si="21"/>
        <v>21.275280388431156</v>
      </c>
      <c r="M61" s="2218">
        <v>533.94657077149998</v>
      </c>
      <c r="N61" s="2218">
        <f t="shared" si="35"/>
        <v>444.86592773859832</v>
      </c>
      <c r="O61" s="2045">
        <f>FISC!AJ1134</f>
        <v>1007.815081052132</v>
      </c>
      <c r="P61" s="2139">
        <f t="shared" si="103"/>
        <v>5.0306014017003346E-2</v>
      </c>
      <c r="Q61" s="2040">
        <f t="shared" si="104"/>
        <v>-67.805362644470506</v>
      </c>
      <c r="R61" s="2130">
        <f t="shared" si="52"/>
        <v>-4.4519929177022702E-3</v>
      </c>
      <c r="S61" s="2201">
        <v>1201.62051186232</v>
      </c>
      <c r="T61" s="2196">
        <f t="shared" si="105"/>
        <v>5.446847704178838E-2</v>
      </c>
      <c r="U61" s="2229">
        <f>FISCinyear!IZ818</f>
        <v>522.71618142129239</v>
      </c>
      <c r="V61" s="2229">
        <f t="shared" si="22"/>
        <v>514.15761266029665</v>
      </c>
      <c r="W61" s="2045">
        <f>FISC!AK1134</f>
        <v>1036.873794081589</v>
      </c>
      <c r="X61" s="2139">
        <f t="shared" si="106"/>
        <v>4.57710676795689E-2</v>
      </c>
      <c r="Y61" s="2040">
        <f t="shared" si="23"/>
        <v>-164.74671778073093</v>
      </c>
      <c r="Z61" s="2130">
        <f t="shared" si="24"/>
        <v>-8.6974093622194798E-3</v>
      </c>
      <c r="AA61" s="2201">
        <v>1328.16280216015</v>
      </c>
      <c r="AB61" s="2196">
        <f t="shared" si="107"/>
        <v>5.3537322756940155E-2</v>
      </c>
      <c r="AC61" s="2229">
        <f>FISCinyear!JC818</f>
        <v>557.5326734808682</v>
      </c>
      <c r="AD61" s="2229">
        <f t="shared" si="25"/>
        <v>605.4722519528018</v>
      </c>
      <c r="AE61" s="2045">
        <f>FISC!AL1134</f>
        <v>1163.00492543367</v>
      </c>
      <c r="AF61" s="2039">
        <f t="shared" si="108"/>
        <v>4.5496561124682637E-2</v>
      </c>
      <c r="AG61" s="2040">
        <f t="shared" si="26"/>
        <v>-165.15787672648003</v>
      </c>
      <c r="AH61" s="2139">
        <f t="shared" si="27"/>
        <v>-8.0407616322575176E-3</v>
      </c>
      <c r="AI61" s="2201">
        <v>1346.1422683895844</v>
      </c>
      <c r="AJ61" s="2196">
        <f t="shared" si="109"/>
        <v>4.8182676972584181E-2</v>
      </c>
      <c r="AK61" s="2229">
        <f>FISCinyear!JF818</f>
        <v>628.95027327903131</v>
      </c>
      <c r="AL61" s="2229">
        <f t="shared" si="28"/>
        <v>632.10105315919395</v>
      </c>
      <c r="AM61" s="2045">
        <f>FISC!AM1134</f>
        <v>1261.0513264382253</v>
      </c>
      <c r="AN61" s="2039">
        <f t="shared" si="110"/>
        <v>4.3824436819251446E-2</v>
      </c>
      <c r="AO61" s="2040">
        <f t="shared" si="111"/>
        <v>-85.090941951359127</v>
      </c>
      <c r="AP61" s="2139">
        <f t="shared" si="29"/>
        <v>-4.3582401533327347E-3</v>
      </c>
      <c r="AQ61" s="2201">
        <v>1564.2591281995087</v>
      </c>
      <c r="AR61" s="2196">
        <f t="shared" si="112"/>
        <v>4.972448244877594E-2</v>
      </c>
      <c r="AS61" s="2229">
        <f>FISCinyear!JI818</f>
        <v>711.29041226111281</v>
      </c>
      <c r="AT61" s="2229">
        <f t="shared" si="30"/>
        <v>687.23327798369041</v>
      </c>
      <c r="AU61" s="2045">
        <f>FISC!AN1134</f>
        <v>1398.5236902448032</v>
      </c>
      <c r="AV61" s="2039">
        <f t="shared" si="113"/>
        <v>4.3253209595495695E-2</v>
      </c>
      <c r="AW61" s="2040">
        <f t="shared" si="114"/>
        <v>-165.7354379547055</v>
      </c>
      <c r="AX61" s="2139">
        <f t="shared" si="31"/>
        <v>-6.4712728532802452E-3</v>
      </c>
      <c r="AY61" s="2201">
        <v>1683.0425736348666</v>
      </c>
      <c r="AZ61" s="2196">
        <f t="shared" si="115"/>
        <v>4.7513638040533393E-2</v>
      </c>
      <c r="BA61" s="2229">
        <f>FISCinyear!JL818</f>
        <v>747.04543928424641</v>
      </c>
      <c r="BB61" s="2229">
        <f t="shared" si="32"/>
        <v>786.526703067879</v>
      </c>
      <c r="BC61" s="2045">
        <f>FISC!AO1134</f>
        <v>1533.5721423521254</v>
      </c>
      <c r="BD61" s="2039">
        <f t="shared" si="116"/>
        <v>4.2215157819441955E-2</v>
      </c>
      <c r="BE61" s="2040">
        <f t="shared" si="117"/>
        <v>-149.47043128274117</v>
      </c>
      <c r="BF61" s="2139">
        <f t="shared" si="118"/>
        <v>-5.2984802210914381E-3</v>
      </c>
    </row>
    <row r="62" spans="1:58">
      <c r="A62" s="2036" t="s">
        <v>595</v>
      </c>
      <c r="B62" s="2044">
        <v>659.83322755767051</v>
      </c>
      <c r="C62" s="2037">
        <f t="shared" si="98"/>
        <v>3.8210492857541155E-2</v>
      </c>
      <c r="D62" s="2045">
        <f>FISC!AI1138</f>
        <v>657.19908988299994</v>
      </c>
      <c r="E62" s="2039">
        <f t="shared" si="99"/>
        <v>3.7031559693638361E-2</v>
      </c>
      <c r="F62" s="2040">
        <f t="shared" si="100"/>
        <v>-2.6341376746705691</v>
      </c>
      <c r="G62" s="2130">
        <f t="shared" si="20"/>
        <v>-1.1789331639027942E-3</v>
      </c>
      <c r="H62" s="2201">
        <v>643.58921443486042</v>
      </c>
      <c r="I62" s="2196">
        <f t="shared" si="101"/>
        <v>3.2764032027887295E-2</v>
      </c>
      <c r="J62" s="2229">
        <v>321.79460721743021</v>
      </c>
      <c r="K62" s="2229">
        <f>FISCinyear!IW822</f>
        <v>336.97704604399996</v>
      </c>
      <c r="L62" s="2218">
        <f t="shared" si="21"/>
        <v>15.182438826569751</v>
      </c>
      <c r="M62" s="2218">
        <v>321.79460721743021</v>
      </c>
      <c r="N62" s="2218">
        <f t="shared" si="35"/>
        <v>329.54601068086549</v>
      </c>
      <c r="O62" s="2045">
        <f>FISC!AJ1138</f>
        <v>666.52305672486546</v>
      </c>
      <c r="P62" s="2139">
        <f t="shared" si="103"/>
        <v>3.3270109630878369E-2</v>
      </c>
      <c r="Q62" s="2040">
        <f t="shared" si="104"/>
        <v>22.933842290005032</v>
      </c>
      <c r="R62" s="2130">
        <f t="shared" si="52"/>
        <v>5.0607760299107435E-4</v>
      </c>
      <c r="S62" s="2201">
        <v>699.69674152779839</v>
      </c>
      <c r="T62" s="2196">
        <f t="shared" si="105"/>
        <v>3.1716682201982732E-2</v>
      </c>
      <c r="U62" s="2229">
        <f>FISCinyear!IZ822</f>
        <v>403.0534340990705</v>
      </c>
      <c r="V62" s="2229">
        <f t="shared" si="22"/>
        <v>268.70228939938033</v>
      </c>
      <c r="W62" s="2045">
        <f>FISC!AK1138</f>
        <v>671.75572349845083</v>
      </c>
      <c r="X62" s="2139">
        <f t="shared" si="106"/>
        <v>2.9653538222189812E-2</v>
      </c>
      <c r="Y62" s="2040">
        <f t="shared" si="23"/>
        <v>-27.941018029347561</v>
      </c>
      <c r="Z62" s="2130">
        <f t="shared" si="24"/>
        <v>-2.0631439797929203E-3</v>
      </c>
      <c r="AA62" s="2201">
        <v>980.4641902789316</v>
      </c>
      <c r="AB62" s="2196">
        <f t="shared" si="107"/>
        <v>3.9521832505180883E-2</v>
      </c>
      <c r="AC62" s="2229">
        <f>FISCinyear!JC822</f>
        <v>575.43060094372299</v>
      </c>
      <c r="AD62" s="2229">
        <f t="shared" si="25"/>
        <v>383.62040062914878</v>
      </c>
      <c r="AE62" s="2045">
        <f>FISC!AL1138</f>
        <v>959.05100157287177</v>
      </c>
      <c r="AF62" s="2039">
        <f t="shared" si="108"/>
        <v>3.7517917216453638E-2</v>
      </c>
      <c r="AG62" s="2040">
        <f t="shared" si="26"/>
        <v>-21.413188706059827</v>
      </c>
      <c r="AH62" s="2139">
        <f t="shared" si="27"/>
        <v>-2.0039152887272454E-3</v>
      </c>
      <c r="AI62" s="2201">
        <v>1207.663836476142</v>
      </c>
      <c r="AJ62" s="2196">
        <f t="shared" si="109"/>
        <v>4.3226097189573917E-2</v>
      </c>
      <c r="AK62" s="2229">
        <f>FISCinyear!JF822</f>
        <v>737.3521777222644</v>
      </c>
      <c r="AL62" s="2229">
        <f t="shared" si="28"/>
        <v>491.56811848150971</v>
      </c>
      <c r="AM62" s="2045">
        <f>FISC!AM1138</f>
        <v>1228.9202962037741</v>
      </c>
      <c r="AN62" s="2039">
        <f t="shared" si="110"/>
        <v>4.2707809545701574E-2</v>
      </c>
      <c r="AO62" s="2040">
        <f t="shared" si="111"/>
        <v>21.256459727632091</v>
      </c>
      <c r="AP62" s="2139">
        <f t="shared" si="29"/>
        <v>-5.1828764387234355E-4</v>
      </c>
      <c r="AQ62" s="2201">
        <v>1511.0488957862735</v>
      </c>
      <c r="AR62" s="2196">
        <f t="shared" si="112"/>
        <v>4.8033041932285157E-2</v>
      </c>
      <c r="AS62" s="2229">
        <f>FISCinyear!JI822</f>
        <v>805.17804680267238</v>
      </c>
      <c r="AT62" s="2229">
        <f t="shared" si="30"/>
        <v>658.78203829309552</v>
      </c>
      <c r="AU62" s="2045">
        <f>FISC!AN1138</f>
        <v>1463.9600850957679</v>
      </c>
      <c r="AV62" s="2039">
        <f t="shared" si="113"/>
        <v>4.5277010923571129E-2</v>
      </c>
      <c r="AW62" s="2040">
        <f t="shared" si="114"/>
        <v>-47.088810690505625</v>
      </c>
      <c r="AX62" s="2139">
        <f t="shared" si="31"/>
        <v>-2.7560310087140286E-3</v>
      </c>
      <c r="AY62" s="2201">
        <v>2290.2525055614306</v>
      </c>
      <c r="AZ62" s="2196">
        <f t="shared" si="115"/>
        <v>6.4655660097567111E-2</v>
      </c>
      <c r="BA62" s="2229">
        <f>FISCinyear!JL822</f>
        <v>916.89107043837089</v>
      </c>
      <c r="BB62" s="2229">
        <f t="shared" si="32"/>
        <v>750.18360308593969</v>
      </c>
      <c r="BC62" s="2045">
        <f>FISC!AO1138</f>
        <v>1667.0746735243106</v>
      </c>
      <c r="BD62" s="2039">
        <f t="shared" si="116"/>
        <v>4.5890127041355949E-2</v>
      </c>
      <c r="BE62" s="2040">
        <f t="shared" si="117"/>
        <v>-623.17783203711997</v>
      </c>
      <c r="BF62" s="2139">
        <f t="shared" si="118"/>
        <v>-1.8765533056211162E-2</v>
      </c>
    </row>
    <row r="63" spans="1:58">
      <c r="A63" s="2074" t="s">
        <v>3673</v>
      </c>
      <c r="B63" s="2044">
        <v>0</v>
      </c>
      <c r="C63" s="2037">
        <f t="shared" si="98"/>
        <v>0</v>
      </c>
      <c r="D63" s="2045">
        <v>0</v>
      </c>
      <c r="E63" s="2039">
        <f t="shared" si="99"/>
        <v>0</v>
      </c>
      <c r="F63" s="2040">
        <f t="shared" si="100"/>
        <v>0</v>
      </c>
      <c r="G63" s="2130">
        <f t="shared" si="20"/>
        <v>0</v>
      </c>
      <c r="H63" s="2201">
        <v>20</v>
      </c>
      <c r="I63" s="2196">
        <f t="shared" si="101"/>
        <v>1.0181659758440045E-3</v>
      </c>
      <c r="J63" s="2229">
        <v>20</v>
      </c>
      <c r="K63" s="2229">
        <v>20</v>
      </c>
      <c r="L63" s="2218">
        <f t="shared" si="21"/>
        <v>0</v>
      </c>
      <c r="M63" s="2218">
        <v>0</v>
      </c>
      <c r="N63" s="2218">
        <f t="shared" si="35"/>
        <v>0</v>
      </c>
      <c r="O63" s="2045">
        <f>FISC!AJ1139</f>
        <v>20</v>
      </c>
      <c r="P63" s="2139">
        <f t="shared" si="103"/>
        <v>9.9831834158475223E-4</v>
      </c>
      <c r="Q63" s="2040">
        <f t="shared" si="104"/>
        <v>0</v>
      </c>
      <c r="R63" s="2130">
        <f t="shared" si="52"/>
        <v>-1.9847634259252244E-5</v>
      </c>
      <c r="S63" s="2201"/>
      <c r="T63" s="2196">
        <f t="shared" si="105"/>
        <v>0</v>
      </c>
      <c r="U63" s="2229">
        <f>FISCinyear!IZ823</f>
        <v>0</v>
      </c>
      <c r="V63" s="2229">
        <f t="shared" si="22"/>
        <v>0</v>
      </c>
      <c r="W63" s="2045">
        <v>0</v>
      </c>
      <c r="X63" s="2139">
        <f t="shared" si="106"/>
        <v>0</v>
      </c>
      <c r="Y63" s="2040">
        <f t="shared" si="23"/>
        <v>0</v>
      </c>
      <c r="Z63" s="2130">
        <f t="shared" si="24"/>
        <v>0</v>
      </c>
      <c r="AA63" s="2201"/>
      <c r="AB63" s="2196">
        <f t="shared" si="107"/>
        <v>0</v>
      </c>
      <c r="AC63" s="2229">
        <v>0</v>
      </c>
      <c r="AD63" s="2229">
        <f t="shared" si="25"/>
        <v>0</v>
      </c>
      <c r="AE63" s="2045">
        <v>0</v>
      </c>
      <c r="AF63" s="2039">
        <f t="shared" si="108"/>
        <v>0</v>
      </c>
      <c r="AG63" s="2040">
        <f t="shared" si="26"/>
        <v>0</v>
      </c>
      <c r="AH63" s="2139">
        <f t="shared" si="27"/>
        <v>0</v>
      </c>
      <c r="AI63" s="2201"/>
      <c r="AJ63" s="2196">
        <f t="shared" si="109"/>
        <v>0</v>
      </c>
      <c r="AK63" s="2229">
        <v>0</v>
      </c>
      <c r="AL63" s="2229">
        <f t="shared" si="28"/>
        <v>0</v>
      </c>
      <c r="AM63" s="2045">
        <v>0</v>
      </c>
      <c r="AN63" s="2039">
        <f t="shared" si="110"/>
        <v>0</v>
      </c>
      <c r="AO63" s="2040">
        <f t="shared" ref="AO63" si="125">AM63-AI63</f>
        <v>0</v>
      </c>
      <c r="AP63" s="2139">
        <f t="shared" si="29"/>
        <v>0</v>
      </c>
      <c r="AQ63" s="2201"/>
      <c r="AR63" s="2196">
        <f t="shared" si="112"/>
        <v>0</v>
      </c>
      <c r="AS63" s="2229">
        <v>0</v>
      </c>
      <c r="AT63" s="2229">
        <f t="shared" si="30"/>
        <v>0</v>
      </c>
      <c r="AU63" s="2045">
        <v>0</v>
      </c>
      <c r="AV63" s="2039">
        <f t="shared" si="113"/>
        <v>0</v>
      </c>
      <c r="AW63" s="2040">
        <f t="shared" si="114"/>
        <v>0</v>
      </c>
      <c r="AX63" s="2139">
        <f t="shared" si="31"/>
        <v>0</v>
      </c>
      <c r="AY63" s="2201"/>
      <c r="AZ63" s="2196">
        <f t="shared" si="115"/>
        <v>0</v>
      </c>
      <c r="BA63" s="2229">
        <v>0</v>
      </c>
      <c r="BB63" s="2229">
        <f t="shared" si="32"/>
        <v>0</v>
      </c>
      <c r="BC63" s="2045">
        <v>0</v>
      </c>
      <c r="BD63" s="2039">
        <f t="shared" si="116"/>
        <v>0</v>
      </c>
      <c r="BE63" s="2040">
        <f t="shared" si="117"/>
        <v>0</v>
      </c>
      <c r="BF63" s="2139">
        <f t="shared" si="118"/>
        <v>0</v>
      </c>
    </row>
    <row r="64" spans="1:58" s="2088" customFormat="1" ht="11.4" customHeight="1" thickBot="1">
      <c r="A64" s="2288" t="s">
        <v>3244</v>
      </c>
      <c r="B64" s="2153"/>
      <c r="C64" s="2290">
        <f t="shared" si="98"/>
        <v>0</v>
      </c>
      <c r="D64" s="2153"/>
      <c r="E64" s="2290">
        <f t="shared" si="99"/>
        <v>0</v>
      </c>
      <c r="F64" s="2154"/>
      <c r="G64" s="2291"/>
      <c r="H64" s="2153"/>
      <c r="I64" s="2290"/>
      <c r="J64" s="2292"/>
      <c r="K64" s="2292"/>
      <c r="L64" s="2155"/>
      <c r="M64" s="2155"/>
      <c r="N64" s="2155"/>
      <c r="O64" s="2153"/>
      <c r="P64" s="2290"/>
      <c r="Q64" s="2154"/>
      <c r="R64" s="2291"/>
      <c r="S64" s="2153"/>
      <c r="T64" s="2290"/>
      <c r="U64" s="2292"/>
      <c r="V64" s="2292">
        <f t="shared" si="22"/>
        <v>0</v>
      </c>
      <c r="W64" s="2153"/>
      <c r="X64" s="2290"/>
      <c r="Y64" s="2154"/>
      <c r="Z64" s="2291"/>
      <c r="AA64" s="2153"/>
      <c r="AB64" s="2290"/>
      <c r="AC64" s="2292"/>
      <c r="AD64" s="2292">
        <f t="shared" si="25"/>
        <v>0</v>
      </c>
      <c r="AE64" s="2290"/>
      <c r="AF64" s="2290"/>
      <c r="AG64" s="2154"/>
      <c r="AH64" s="2291"/>
      <c r="AI64" s="2153"/>
      <c r="AJ64" s="2290"/>
      <c r="AK64" s="2292"/>
      <c r="AL64" s="2292">
        <f t="shared" si="28"/>
        <v>0</v>
      </c>
      <c r="AM64" s="2153"/>
      <c r="AN64" s="2290"/>
      <c r="AO64" s="2154"/>
      <c r="AP64" s="2291"/>
      <c r="AQ64" s="2153"/>
      <c r="AR64" s="2290"/>
      <c r="AS64" s="2292"/>
      <c r="AT64" s="2292">
        <f t="shared" si="30"/>
        <v>0</v>
      </c>
      <c r="AU64" s="2153"/>
      <c r="AV64" s="2290"/>
      <c r="AW64" s="2154"/>
      <c r="AX64" s="2291"/>
      <c r="AY64" s="2153"/>
      <c r="AZ64" s="2290"/>
      <c r="BA64" s="2292"/>
      <c r="BB64" s="2292">
        <f t="shared" si="32"/>
        <v>0</v>
      </c>
      <c r="BC64" s="2153"/>
      <c r="BD64" s="2290"/>
      <c r="BE64" s="2154"/>
      <c r="BF64" s="2291"/>
    </row>
    <row r="65" spans="1:60" s="2088" customFormat="1">
      <c r="A65" s="2289" t="s">
        <v>592</v>
      </c>
      <c r="B65" s="2156">
        <f>B4-B24-B60-B73-B76</f>
        <v>-1156.8461635955439</v>
      </c>
      <c r="C65" s="2157">
        <f t="shared" si="98"/>
        <v>-6.6992173514750647E-2</v>
      </c>
      <c r="D65" s="2156">
        <f>D4-D24-D60-D73-D76</f>
        <v>-1228.2109644458326</v>
      </c>
      <c r="E65" s="2157">
        <f t="shared" si="99"/>
        <v>-6.9206680816241206E-2</v>
      </c>
      <c r="F65" s="2156">
        <f>F4-F24-F60-F73-F76</f>
        <v>-71.364800850288759</v>
      </c>
      <c r="G65" s="2157">
        <f t="shared" si="20"/>
        <v>-2.2145073014905592E-3</v>
      </c>
      <c r="H65" s="2156">
        <v>-1097.9928311851368</v>
      </c>
      <c r="I65" s="2157">
        <f>H65/$H$109</f>
        <v>-5.5896947121666797E-2</v>
      </c>
      <c r="J65" s="2293">
        <f t="shared" ref="J65:M65" si="126">J4-J24-J60-J73-J76</f>
        <v>-603.95892328562161</v>
      </c>
      <c r="K65" s="2293">
        <f t="shared" si="126"/>
        <v>-577.56727900553426</v>
      </c>
      <c r="L65" s="2158">
        <f t="shared" si="21"/>
        <v>26.391644280087348</v>
      </c>
      <c r="M65" s="2158">
        <f t="shared" si="126"/>
        <v>-494.03390789951516</v>
      </c>
      <c r="N65" s="2158">
        <f t="shared" si="35"/>
        <v>-516.26565705201222</v>
      </c>
      <c r="O65" s="2156">
        <f>O4-O24-O60-O73-O76</f>
        <v>-1093.8329360575465</v>
      </c>
      <c r="P65" s="2157">
        <f t="shared" ref="P65:P108" si="127">O65/$O$109</f>
        <v>-5.4599674134787501E-2</v>
      </c>
      <c r="Q65" s="2156">
        <f>Q4-Q24-Q60-Q73-Q76</f>
        <v>4.159895127590211</v>
      </c>
      <c r="R65" s="2157">
        <f>P65-I65</f>
        <v>1.2972729868792957E-3</v>
      </c>
      <c r="S65" s="2156">
        <v>-720.9547122953627</v>
      </c>
      <c r="T65" s="2157">
        <f>S65/$S$109</f>
        <v>-3.268028866615131E-2</v>
      </c>
      <c r="U65" s="2293">
        <f>U4-U24-U60-U73-U76</f>
        <v>-1577.7060777322097</v>
      </c>
      <c r="V65" s="2293">
        <f t="shared" si="22"/>
        <v>-93.501078377920976</v>
      </c>
      <c r="W65" s="2156">
        <f>W4-W24-W60-W73-W76</f>
        <v>-1671.2071561101307</v>
      </c>
      <c r="X65" s="2157">
        <f t="shared" ref="X65:X108" si="128">W65/$W$109</f>
        <v>-7.3772658047212281E-2</v>
      </c>
      <c r="Y65" s="2156">
        <f>Y4-Y24-Y60-Y73-Y76</f>
        <v>-950.25244381476773</v>
      </c>
      <c r="Z65" s="2157">
        <f>X65-T65</f>
        <v>-4.1092369381060971E-2</v>
      </c>
      <c r="AA65" s="2156">
        <v>-757.55726456035552</v>
      </c>
      <c r="AB65" s="2157">
        <f>AA65/$AA$109</f>
        <v>-3.0536608700129832E-2</v>
      </c>
      <c r="AC65" s="2293">
        <f>AC4-AC24-AC60-AC73-AC76</f>
        <v>-1146.7502316888595</v>
      </c>
      <c r="AD65" s="2293">
        <f t="shared" si="25"/>
        <v>-246.26350731502134</v>
      </c>
      <c r="AE65" s="2156">
        <f>AE4-AE24-AE60-AE73-AE76</f>
        <v>-1393.0137390038808</v>
      </c>
      <c r="AF65" s="2157">
        <f t="shared" ref="AF65:AF106" si="129">AE65/$AE$109</f>
        <v>-5.4494468026848771E-2</v>
      </c>
      <c r="AG65" s="2156">
        <f>AG4-AG24-AG60-AG73-AG76</f>
        <v>-635.45647444352517</v>
      </c>
      <c r="AH65" s="2157">
        <f t="shared" si="27"/>
        <v>-2.3957859326718938E-2</v>
      </c>
      <c r="AI65" s="2156">
        <v>-827.68928265942225</v>
      </c>
      <c r="AJ65" s="2157">
        <f>AI65/$AI$109</f>
        <v>-2.962560962279151E-2</v>
      </c>
      <c r="AK65" s="2293">
        <f>AK4-AK24-AK60-AK73-AK76</f>
        <v>-911.49844320168904</v>
      </c>
      <c r="AL65" s="2293">
        <f t="shared" si="28"/>
        <v>-114.84264176311058</v>
      </c>
      <c r="AM65" s="2156">
        <f>AM4-AM24-AM60-AM73-AM76</f>
        <v>-1026.3410849647996</v>
      </c>
      <c r="AN65" s="2157">
        <f t="shared" ref="AN65:AN106" si="130">AM65/$AM$109</f>
        <v>-3.5667715571960273E-2</v>
      </c>
      <c r="AO65" s="2156">
        <f>AO4-AO24-AO60-AO73-AO76</f>
        <v>-198.65180230537726</v>
      </c>
      <c r="AP65" s="2157">
        <f t="shared" si="29"/>
        <v>-6.0421059491687634E-3</v>
      </c>
      <c r="AQ65" s="2156">
        <v>-943.6805666580558</v>
      </c>
      <c r="AR65" s="2157">
        <f>AQ65/$AQ$109</f>
        <v>-2.9997605210109822E-2</v>
      </c>
      <c r="AS65" s="2293">
        <f>AS4-AS24-AS60-AS73-AS76</f>
        <v>-867.54895401427245</v>
      </c>
      <c r="AT65" s="2293">
        <f t="shared" si="30"/>
        <v>-181.95891325815876</v>
      </c>
      <c r="AU65" s="2156">
        <f>AU4-AU24-AU60-AU73-AU76</f>
        <v>-1049.5078672724312</v>
      </c>
      <c r="AV65" s="2157">
        <f t="shared" ref="AV65:AV104" si="131">AU65/$AU$109</f>
        <v>-3.2458930851082035E-2</v>
      </c>
      <c r="AW65" s="2156">
        <f>AW4-AW24-AW60-AW73-AW76</f>
        <v>-105.8273006143755</v>
      </c>
      <c r="AX65" s="2157">
        <f t="shared" si="31"/>
        <v>-2.4613256409722131E-3</v>
      </c>
      <c r="AY65" s="2156">
        <v>-1112.6851212928605</v>
      </c>
      <c r="AZ65" s="2157">
        <f>AY65/$AY$109</f>
        <v>-3.1411990958741802E-2</v>
      </c>
      <c r="BA65" s="2293">
        <f>BA4-BA24-BA60-BA73-BA76</f>
        <v>-843.40891940838378</v>
      </c>
      <c r="BB65" s="2293">
        <f t="shared" si="32"/>
        <v>-331.48285183287589</v>
      </c>
      <c r="BC65" s="2156">
        <f>BC4-BC24-BC60-BC73-BC76</f>
        <v>-1174.8917712412597</v>
      </c>
      <c r="BD65" s="2157">
        <f t="shared" ref="BD65:BD104" si="132">BC65/$BC$109</f>
        <v>-3.2341642218175579E-2</v>
      </c>
      <c r="BE65" s="2156">
        <f>BE4-BE24-BE60-BE73-BE76</f>
        <v>-62.206649948399019</v>
      </c>
      <c r="BF65" s="2157">
        <f t="shared" si="118"/>
        <v>-9.2965125943377663E-4</v>
      </c>
      <c r="BH65" s="2305">
        <f>AU65-[1]With_Bugesera!$AA$61</f>
        <v>79.389150431940607</v>
      </c>
    </row>
    <row r="66" spans="1:60" s="2088" customFormat="1">
      <c r="A66" s="2089" t="s">
        <v>593</v>
      </c>
      <c r="B66" s="2159">
        <f>B65-B10</f>
        <v>-1922.8891149734702</v>
      </c>
      <c r="C66" s="2160">
        <f t="shared" si="98"/>
        <v>-0.11135319914927384</v>
      </c>
      <c r="D66" s="2159">
        <f>D65-D10</f>
        <v>-1986.0023739774647</v>
      </c>
      <c r="E66" s="2160">
        <f t="shared" si="99"/>
        <v>-0.11190637144179098</v>
      </c>
      <c r="F66" s="2159">
        <f>F65-F10</f>
        <v>-63.113259003994528</v>
      </c>
      <c r="G66" s="2160">
        <f t="shared" si="20"/>
        <v>-5.5317229251714006E-4</v>
      </c>
      <c r="H66" s="2159">
        <v>-1719.2111978782625</v>
      </c>
      <c r="I66" s="2160">
        <f>H66/$H$109</f>
        <v>-8.7522117348483044E-2</v>
      </c>
      <c r="J66" s="2162">
        <f t="shared" ref="J66:M66" si="133">J65-J10</f>
        <v>-921.05418097219331</v>
      </c>
      <c r="K66" s="2162">
        <f t="shared" si="133"/>
        <v>-940.53694105147633</v>
      </c>
      <c r="L66" s="2161">
        <f t="shared" si="21"/>
        <v>-19.482760079283025</v>
      </c>
      <c r="M66" s="2161">
        <f t="shared" si="133"/>
        <v>-798.1570169060692</v>
      </c>
      <c r="N66" s="2161">
        <f t="shared" si="35"/>
        <v>-779.06473424018327</v>
      </c>
      <c r="O66" s="2159">
        <f>O65-O10</f>
        <v>-1719.6016752916596</v>
      </c>
      <c r="P66" s="2160">
        <f t="shared" si="127"/>
        <v>-8.5835494633176551E-2</v>
      </c>
      <c r="Q66" s="2159">
        <f>Q65-Q10</f>
        <v>-0.39047741339717135</v>
      </c>
      <c r="R66" s="2160">
        <f>P66-I66</f>
        <v>1.6866227153064933E-3</v>
      </c>
      <c r="S66" s="2159">
        <v>-1511.1389657396151</v>
      </c>
      <c r="T66" s="2160">
        <f>S66/$S$109</f>
        <v>-6.8498695927530037E-2</v>
      </c>
      <c r="U66" s="2162">
        <f>U65-U10</f>
        <v>-1864.1243670553133</v>
      </c>
      <c r="V66" s="2162">
        <f t="shared" si="22"/>
        <v>-392.29779740613708</v>
      </c>
      <c r="W66" s="2159">
        <f>W65-W10</f>
        <v>-2256.4221644614504</v>
      </c>
      <c r="X66" s="2160">
        <f t="shared" si="128"/>
        <v>-9.9606000453240931E-2</v>
      </c>
      <c r="Y66" s="2159">
        <f>Y65-Y10</f>
        <v>-745.28319872183499</v>
      </c>
      <c r="Z66" s="2157">
        <f t="shared" si="24"/>
        <v>-3.1107304525710894E-2</v>
      </c>
      <c r="AA66" s="2159">
        <v>-1600.0268922761393</v>
      </c>
      <c r="AB66" s="2157">
        <f>AA66/$AA$109</f>
        <v>-6.4495975954341284E-2</v>
      </c>
      <c r="AC66" s="2162">
        <f>AC65-AC10</f>
        <v>-1460.7066917086077</v>
      </c>
      <c r="AD66" s="2162">
        <f t="shared" si="25"/>
        <v>-592.37367108668968</v>
      </c>
      <c r="AE66" s="2159">
        <f>AE65-AE10</f>
        <v>-2053.0803627952973</v>
      </c>
      <c r="AF66" s="2157">
        <f t="shared" si="129"/>
        <v>-8.0316165630142225E-2</v>
      </c>
      <c r="AG66" s="2156">
        <f t="shared" ref="AG66" si="134">AG5-AG25-AG61-AG74-AG77</f>
        <v>-292.3084738033225</v>
      </c>
      <c r="AH66" s="2157">
        <f t="shared" ref="AH66:AH68" si="135">AF66-AB66</f>
        <v>-1.5820189675800941E-2</v>
      </c>
      <c r="AI66" s="2159">
        <v>-1537.7261430399797</v>
      </c>
      <c r="AJ66" s="2157">
        <f>AI66/$AI$109</f>
        <v>-5.5040068024184763E-2</v>
      </c>
      <c r="AK66" s="2162">
        <f>AK65-AK10</f>
        <v>-1263.3851671269069</v>
      </c>
      <c r="AL66" s="2162">
        <f t="shared" si="28"/>
        <v>-502.72629121336649</v>
      </c>
      <c r="AM66" s="2159">
        <f>AM65-AM10</f>
        <v>-1766.1114583402734</v>
      </c>
      <c r="AN66" s="2157">
        <f t="shared" si="130"/>
        <v>-6.1376439165563859E-2</v>
      </c>
      <c r="AO66" s="2156">
        <f t="shared" ref="AO66" si="136">AO5-AO25-AO61-AO74-AO77</f>
        <v>93.441032173962469</v>
      </c>
      <c r="AP66" s="2157">
        <f t="shared" ref="AP66:AP67" si="137">AN66-AJ66</f>
        <v>-6.3363711413790963E-3</v>
      </c>
      <c r="AQ66" s="2159">
        <v>-1715.5388378555135</v>
      </c>
      <c r="AR66" s="2157">
        <f>AQ66/$AQ$109</f>
        <v>-5.4533343801756659E-2</v>
      </c>
      <c r="AS66" s="2162">
        <f>AS65-AS10</f>
        <v>-1257.4662995795688</v>
      </c>
      <c r="AT66" s="2162">
        <f t="shared" si="30"/>
        <v>-586.36561872022185</v>
      </c>
      <c r="AU66" s="2159">
        <f>AU65-AU10</f>
        <v>-1843.8319182997907</v>
      </c>
      <c r="AV66" s="2157">
        <f t="shared" si="131"/>
        <v>-5.7025597047359051E-2</v>
      </c>
      <c r="AW66" s="2156">
        <f t="shared" ref="AW66" si="138">AW5-AW25-AW61-AW74-AW77</f>
        <v>130.64165843320797</v>
      </c>
      <c r="AX66" s="2157">
        <f t="shared" ref="AX66:AX67" si="139">AV66-AR66</f>
        <v>-2.4922532456023924E-3</v>
      </c>
      <c r="AY66" s="2159">
        <v>-1112.6851212928605</v>
      </c>
      <c r="AZ66" s="2157">
        <f>AY66/$AY$109</f>
        <v>-3.1411990958741802E-2</v>
      </c>
      <c r="BA66" s="2162">
        <f>BA65-BA10</f>
        <v>-1250.3723263073646</v>
      </c>
      <c r="BB66" s="2162">
        <f t="shared" si="32"/>
        <v>-789.48568478902303</v>
      </c>
      <c r="BC66" s="2159">
        <f>BC65-BC10</f>
        <v>-2039.8580110963876</v>
      </c>
      <c r="BD66" s="2157">
        <f t="shared" si="132"/>
        <v>-5.6151859759013857E-2</v>
      </c>
      <c r="BE66" s="2156">
        <f t="shared" ref="BE66" si="140">BE5-BE25-BE61-BE74-BE77</f>
        <v>-8.6841434556371553</v>
      </c>
      <c r="BF66" s="2157">
        <f t="shared" ref="BF66:BF67" si="141">BD66-AZ66</f>
        <v>-2.4739868800272055E-2</v>
      </c>
    </row>
    <row r="67" spans="1:60" s="2124" customFormat="1">
      <c r="A67" s="2300" t="s">
        <v>3737</v>
      </c>
      <c r="B67" s="2301"/>
      <c r="C67" s="2302"/>
      <c r="D67" s="2301"/>
      <c r="E67" s="2302"/>
      <c r="F67" s="2301"/>
      <c r="G67" s="2302"/>
      <c r="H67" s="2301">
        <f>H65</f>
        <v>-1097.9928311851368</v>
      </c>
      <c r="I67" s="2302">
        <f>H67/$H$109</f>
        <v>-5.5896947121666797E-2</v>
      </c>
      <c r="J67" s="2303">
        <f>J65</f>
        <v>-603.95892328562161</v>
      </c>
      <c r="K67" s="2303">
        <f t="shared" ref="K67:M67" si="142">K65</f>
        <v>-577.56727900553426</v>
      </c>
      <c r="L67" s="2303">
        <f t="shared" si="142"/>
        <v>26.391644280087348</v>
      </c>
      <c r="M67" s="2303">
        <f t="shared" si="142"/>
        <v>-494.03390789951516</v>
      </c>
      <c r="N67" s="2303">
        <f t="shared" si="35"/>
        <v>-516.26565705201222</v>
      </c>
      <c r="O67" s="2301">
        <f>O65</f>
        <v>-1093.8329360575465</v>
      </c>
      <c r="P67" s="2302">
        <f t="shared" si="127"/>
        <v>-5.4599674134787501E-2</v>
      </c>
      <c r="Q67" s="2301">
        <f>Q66-Q11</f>
        <v>-3.4596485669538524</v>
      </c>
      <c r="R67" s="2302">
        <f>P67-I67</f>
        <v>1.2972729868792957E-3</v>
      </c>
      <c r="S67" s="2301">
        <v>-720.9547122953627</v>
      </c>
      <c r="T67" s="2302">
        <f>S67/$S$109</f>
        <v>-3.268028866615131E-2</v>
      </c>
      <c r="U67" s="2303">
        <f t="shared" ref="U67:V67" si="143">U65+U40+U41+U79+U34+U35</f>
        <v>-774.25082187333305</v>
      </c>
      <c r="V67" s="2303">
        <f t="shared" si="143"/>
        <v>-35.189811495645529</v>
      </c>
      <c r="W67" s="2301">
        <f>W65+W40+W41+W79+W34+W35</f>
        <v>-789.48321702813075</v>
      </c>
      <c r="X67" s="2302">
        <f t="shared" si="128"/>
        <v>-3.485042245713748E-2</v>
      </c>
      <c r="Y67" s="2301">
        <f>Y66-Y11</f>
        <v>-1025.9524810815619</v>
      </c>
      <c r="Z67" s="2206">
        <f t="shared" si="24"/>
        <v>-2.1701337909861701E-3</v>
      </c>
      <c r="AA67" s="2301">
        <v>-762.44219686897975</v>
      </c>
      <c r="AB67" s="2206">
        <f>AA67/$AA$109</f>
        <v>-3.0733516938507888E-2</v>
      </c>
      <c r="AC67" s="2303">
        <f t="shared" ref="AC67:AD67" si="144">AC65+AC40+AC41+AC79+AC34+AC35</f>
        <v>-1084.0505093726149</v>
      </c>
      <c r="AD67" s="2303">
        <f t="shared" si="144"/>
        <v>-162.28760752337163</v>
      </c>
      <c r="AE67" s="2301">
        <f>AE65+AE40+AE41+AE79+AE34+AE35</f>
        <v>-775.05299155058037</v>
      </c>
      <c r="AF67" s="2206">
        <f t="shared" si="129"/>
        <v>-3.0319945370652895E-2</v>
      </c>
      <c r="AG67" s="2304">
        <f>AG6-AG26-AG62-AG75-AG80</f>
        <v>-76.234891833172071</v>
      </c>
      <c r="AH67" s="2206">
        <f t="shared" si="135"/>
        <v>4.1357156785499366E-4</v>
      </c>
      <c r="AI67" s="2301">
        <v>-869.28769035596736</v>
      </c>
      <c r="AJ67" s="2206">
        <f>AJ65+AJ40+AJ41+AJ79+AJ34+AJ35</f>
        <v>-2.962560962279151E-2</v>
      </c>
      <c r="AK67" s="2303">
        <f t="shared" ref="AK67:AL67" si="145">AK65+AK40+AK41+AK79+AK34+AK35</f>
        <v>-820.50402666377693</v>
      </c>
      <c r="AL67" s="2303">
        <f t="shared" si="145"/>
        <v>-9.3184124732855196</v>
      </c>
      <c r="AM67" s="2301">
        <f>AM65+AM40+AM41+AM79+AM34+AM35</f>
        <v>-850.16006514538208</v>
      </c>
      <c r="AN67" s="2206">
        <f t="shared" si="130"/>
        <v>-2.9545019524658996E-2</v>
      </c>
      <c r="AO67" s="2304">
        <f>AO6-AO26-AO62-AO75-AO80</f>
        <v>-168.3687461023174</v>
      </c>
      <c r="AP67" s="2206">
        <f t="shared" si="137"/>
        <v>8.0590098132514443E-5</v>
      </c>
      <c r="AQ67" s="2301">
        <v>-999.14423094855056</v>
      </c>
      <c r="AR67" s="2206">
        <f>AQ67/$AQ$109</f>
        <v>-3.1760677550133114E-2</v>
      </c>
      <c r="AS67" s="2303">
        <f t="shared" ref="AS67:AT67" si="146">AS65+AS40+AS41+AS79+AS34+AS35</f>
        <v>-751.94623253210625</v>
      </c>
      <c r="AT67" s="2303">
        <f t="shared" si="146"/>
        <v>-71.6663779806116</v>
      </c>
      <c r="AU67" s="2301">
        <v>-953.34054332450057</v>
      </c>
      <c r="AV67" s="2206">
        <f t="shared" si="131"/>
        <v>-2.9484690623353273E-2</v>
      </c>
      <c r="AW67" s="2304">
        <f>AW6-AW26-AW62-AW75-AW80</f>
        <v>-223.82143377887814</v>
      </c>
      <c r="AX67" s="2206">
        <f t="shared" si="139"/>
        <v>2.275986926779841E-3</v>
      </c>
      <c r="AY67" s="2301">
        <f>AY65-(AY39-AY40)</f>
        <v>-1339.3191948700273</v>
      </c>
      <c r="AZ67" s="2206">
        <f>AY67/$AY$109</f>
        <v>-3.7810052129791695E-2</v>
      </c>
      <c r="BA67" s="2303">
        <f t="shared" ref="BA67" si="147">BA65+BA40+BA41+BA79+BA34+BA35</f>
        <v>-721.93438054730609</v>
      </c>
      <c r="BB67" s="2303">
        <f t="shared" si="32"/>
        <v>-128.17607009457777</v>
      </c>
      <c r="BC67" s="2301">
        <v>-850.11045064188386</v>
      </c>
      <c r="BD67" s="2206">
        <f t="shared" si="132"/>
        <v>-2.340127721853457E-2</v>
      </c>
      <c r="BE67" s="2304">
        <f>BE6-BE26-BE62-BE75-BE80</f>
        <v>241.32313942578332</v>
      </c>
      <c r="BF67" s="2206">
        <f t="shared" si="141"/>
        <v>1.4408774911257125E-2</v>
      </c>
    </row>
    <row r="68" spans="1:60" s="2088" customFormat="1" ht="12.65" hidden="1" customHeight="1">
      <c r="A68" s="2090" t="s">
        <v>3738</v>
      </c>
      <c r="B68" s="2234"/>
      <c r="C68" s="2235">
        <f t="shared" ref="C68:C74" si="148">B68/$B$109</f>
        <v>0</v>
      </c>
      <c r="D68" s="2234"/>
      <c r="E68" s="2235">
        <f t="shared" ref="E68:E74" si="149">D68/$D$109</f>
        <v>0</v>
      </c>
      <c r="F68" s="2234"/>
      <c r="G68" s="2235">
        <f t="shared" si="20"/>
        <v>0</v>
      </c>
      <c r="H68" s="2234"/>
      <c r="I68" s="2235"/>
      <c r="J68" s="2162">
        <f>J66</f>
        <v>-921.05418097219331</v>
      </c>
      <c r="K68" s="2236"/>
      <c r="L68" s="2237">
        <f t="shared" si="21"/>
        <v>921.05418097219331</v>
      </c>
      <c r="M68" s="2237"/>
      <c r="N68" s="2237">
        <f t="shared" si="35"/>
        <v>-590.88996833497049</v>
      </c>
      <c r="O68" s="2234">
        <f>FISC!AJ1163</f>
        <v>-590.88996833497049</v>
      </c>
      <c r="P68" s="2160">
        <f t="shared" si="127"/>
        <v>-2.9494814662361722E-2</v>
      </c>
      <c r="Q68" s="2159">
        <f>Q67-Q12</f>
        <v>-5.1502265386181847</v>
      </c>
      <c r="R68" s="2160">
        <f>P68-I68</f>
        <v>-2.9494814662361722E-2</v>
      </c>
      <c r="S68" s="2234"/>
      <c r="T68" s="2238"/>
      <c r="U68" s="2264"/>
      <c r="V68" s="2264">
        <f t="shared" si="22"/>
        <v>-1067.1121641486066</v>
      </c>
      <c r="W68" s="2234">
        <f>FISC!AK1163</f>
        <v>-1067.1121641486066</v>
      </c>
      <c r="X68" s="2160">
        <f t="shared" si="128"/>
        <v>-4.7105890191968522E-2</v>
      </c>
      <c r="Y68" s="2159">
        <f>Y67-Y12</f>
        <v>-1018.8432166742354</v>
      </c>
      <c r="Z68" s="2157">
        <f t="shared" ref="Z68" si="150">X68-T68</f>
        <v>-4.7105890191968522E-2</v>
      </c>
      <c r="AA68" s="2234"/>
      <c r="AB68" s="2235"/>
      <c r="AC68" s="2236"/>
      <c r="AD68" s="2236">
        <f t="shared" si="25"/>
        <v>-697.44495745589279</v>
      </c>
      <c r="AE68" s="2234">
        <f>FISC!AL1163</f>
        <v>-697.44495745589279</v>
      </c>
      <c r="AF68" s="2157">
        <f t="shared" si="129"/>
        <v>-2.7283931859670745E-2</v>
      </c>
      <c r="AG68" s="2156">
        <f>AG7-AG27-AG63-AG76-AG81</f>
        <v>-569.69114337688734</v>
      </c>
      <c r="AH68" s="2157">
        <f t="shared" si="135"/>
        <v>-2.7283931859670745E-2</v>
      </c>
      <c r="AI68" s="2234"/>
      <c r="AJ68" s="2235"/>
      <c r="AK68" s="2236"/>
      <c r="AL68" s="2236">
        <f t="shared" si="28"/>
        <v>-254.57906014250943</v>
      </c>
      <c r="AM68" s="2234">
        <f>FISC!AM1163</f>
        <v>-254.57906014250943</v>
      </c>
      <c r="AN68" s="2235">
        <f t="shared" si="130"/>
        <v>-8.8472084385586292E-3</v>
      </c>
      <c r="AO68" s="2234">
        <f>AO7-AO27-AO63-AO76-AO81</f>
        <v>-121.61489070779282</v>
      </c>
      <c r="AP68" s="2235">
        <f t="shared" ref="AP68" si="151">AN68-AJ68</f>
        <v>-8.8472084385586292E-3</v>
      </c>
      <c r="AQ68" s="2234"/>
      <c r="AR68" s="2235"/>
      <c r="AS68" s="2236"/>
      <c r="AT68" s="2236">
        <f t="shared" si="30"/>
        <v>-229.80110031646677</v>
      </c>
      <c r="AU68" s="2234">
        <f>FISC!AN1163</f>
        <v>-229.80110031646677</v>
      </c>
      <c r="AV68" s="2235">
        <f t="shared" si="131"/>
        <v>-7.1072340258489259E-3</v>
      </c>
      <c r="AW68" s="2234">
        <f>AW7-AW27-AW63-AW76-AW81</f>
        <v>-63.146491347830114</v>
      </c>
      <c r="AX68" s="2235">
        <f t="shared" ref="AX68" si="152">AV68-AR68</f>
        <v>-7.1072340258489259E-3</v>
      </c>
      <c r="AY68" s="2234"/>
      <c r="AZ68" s="2235"/>
      <c r="BA68" s="2236"/>
      <c r="BB68" s="2236">
        <f t="shared" si="32"/>
        <v>-31.481330564847894</v>
      </c>
      <c r="BC68" s="2234">
        <f>FISC!AO1163</f>
        <v>-31.481330564847894</v>
      </c>
      <c r="BD68" s="2235">
        <f t="shared" si="132"/>
        <v>-8.665972088686551E-4</v>
      </c>
      <c r="BE68" s="2234">
        <f>BE7-BE27-BE63-BE76-BE81</f>
        <v>124.58372067004439</v>
      </c>
      <c r="BF68" s="2235">
        <f t="shared" ref="BF68" si="153">BD68-AZ68</f>
        <v>-8.665972088686551E-4</v>
      </c>
    </row>
    <row r="69" spans="1:60">
      <c r="A69" s="2052" t="s">
        <v>596</v>
      </c>
      <c r="B69" s="2053">
        <v>184.95865616137789</v>
      </c>
      <c r="C69" s="2054">
        <f t="shared" si="148"/>
        <v>1.0710829820368573E-2</v>
      </c>
      <c r="D69" s="2055">
        <f>FISC!AI1173</f>
        <v>81.317297446793845</v>
      </c>
      <c r="E69" s="2056">
        <f t="shared" si="149"/>
        <v>4.5820306218963113E-3</v>
      </c>
      <c r="F69" s="2091">
        <f t="shared" ref="F69:F100" si="154">D69-B69</f>
        <v>-103.64135871458404</v>
      </c>
      <c r="G69" s="2136">
        <f t="shared" si="20"/>
        <v>-6.1287991984722619E-3</v>
      </c>
      <c r="H69" s="2199">
        <v>300.63460676457822</v>
      </c>
      <c r="I69" s="2200">
        <f t="shared" ref="I69:I101" si="155">H69/$H$109</f>
        <v>1.5304796388446765E-2</v>
      </c>
      <c r="J69" s="2228">
        <v>168.0418671217891</v>
      </c>
      <c r="K69" s="2228">
        <f>FISCinyear!IW856</f>
        <v>784.33719202955001</v>
      </c>
      <c r="L69" s="2222">
        <f t="shared" si="21"/>
        <v>616.29532490776091</v>
      </c>
      <c r="M69" s="2222">
        <v>132.59273964278913</v>
      </c>
      <c r="N69" s="2222">
        <f t="shared" si="35"/>
        <v>-459.57265888052137</v>
      </c>
      <c r="O69" s="2055">
        <f>FISC!AJ1173</f>
        <v>324.76453314902864</v>
      </c>
      <c r="P69" s="2141">
        <f t="shared" si="127"/>
        <v>1.6210919506944227E-2</v>
      </c>
      <c r="Q69" s="2091">
        <f t="shared" ref="Q69:Q108" si="156">O69-H69</f>
        <v>24.129926384450414</v>
      </c>
      <c r="R69" s="2136">
        <f t="shared" ref="R69:R108" si="157">P69-I69</f>
        <v>9.0612311849746184E-4</v>
      </c>
      <c r="S69" s="2199">
        <v>195.94529660935217</v>
      </c>
      <c r="T69" s="2200">
        <f t="shared" ref="T69:T101" si="158">S69/$S$109</f>
        <v>8.8820403650331434E-3</v>
      </c>
      <c r="U69" s="2228">
        <f>FISCinyear!IZ856</f>
        <v>767.08999833483085</v>
      </c>
      <c r="V69" s="2228">
        <f t="shared" ref="V69:V108" si="159">W69-U69</f>
        <v>103.668110676889</v>
      </c>
      <c r="W69" s="2055">
        <f>FISC!AK1173</f>
        <v>870.75810901171985</v>
      </c>
      <c r="X69" s="2141">
        <f t="shared" si="128"/>
        <v>3.8438167275131975E-2</v>
      </c>
      <c r="Y69" s="2091">
        <f t="shared" ref="Y69:Y108" si="160">W69-S69</f>
        <v>674.81281240236763</v>
      </c>
      <c r="Z69" s="2136">
        <f t="shared" si="24"/>
        <v>2.9556126910098832E-2</v>
      </c>
      <c r="AA69" s="2199">
        <v>205.94745735762359</v>
      </c>
      <c r="AB69" s="2200">
        <f t="shared" ref="AB69:AB102" si="161">AA69/$AA$109</f>
        <v>8.3015993804325516E-3</v>
      </c>
      <c r="AC69" s="2228">
        <f>FISCinyear!JC856</f>
        <v>458.16596087480383</v>
      </c>
      <c r="AD69" s="2228">
        <f t="shared" ref="AD69:AD108" si="162">AE69-AC69</f>
        <v>281.13442511757393</v>
      </c>
      <c r="AE69" s="2055">
        <f>FISC!AL1173</f>
        <v>739.30038599237776</v>
      </c>
      <c r="AF69" s="2056">
        <f t="shared" si="129"/>
        <v>2.8921309330019716E-2</v>
      </c>
      <c r="AG69" s="2091">
        <f t="shared" ref="AG69:AG108" si="163">AE69-AA69</f>
        <v>533.35292863475411</v>
      </c>
      <c r="AH69" s="2145">
        <f t="shared" si="27"/>
        <v>2.0619709949587166E-2</v>
      </c>
      <c r="AI69" s="2199">
        <v>224.62129584596849</v>
      </c>
      <c r="AJ69" s="2200">
        <f t="shared" ref="AJ69:AJ101" si="164">AI69/$AI$109</f>
        <v>8.0399045428215781E-3</v>
      </c>
      <c r="AK69" s="2228">
        <f>FISCinyear!JF856</f>
        <v>152.08171193232795</v>
      </c>
      <c r="AL69" s="2228">
        <f t="shared" ref="AL69:AL108" si="165">AM69-AK69</f>
        <v>125.57181555461773</v>
      </c>
      <c r="AM69" s="2055">
        <f>FISC!AM1173</f>
        <v>277.65352748694568</v>
      </c>
      <c r="AN69" s="2056">
        <f t="shared" si="130"/>
        <v>9.6490993014232522E-3</v>
      </c>
      <c r="AO69" s="2091">
        <f t="shared" ref="AO69:AP108" si="166">AM69-AI69</f>
        <v>53.032231640977187</v>
      </c>
      <c r="AP69" s="2145">
        <f t="shared" si="29"/>
        <v>1.6091947586016741E-3</v>
      </c>
      <c r="AQ69" s="2199">
        <v>160.74974495797881</v>
      </c>
      <c r="AR69" s="2200">
        <f t="shared" ref="AR69:AR101" si="167">AQ69/$AQ$109</f>
        <v>5.1098937047652357E-3</v>
      </c>
      <c r="AS69" s="2228">
        <f>FISCinyear!JI856</f>
        <v>80.910369478189068</v>
      </c>
      <c r="AT69" s="2228">
        <f t="shared" ref="AT69:AT108" si="168">AU69-AS69</f>
        <v>109.11610718232413</v>
      </c>
      <c r="AU69" s="2055">
        <f>FISC!AN1173</f>
        <v>190.0264766605132</v>
      </c>
      <c r="AV69" s="2056">
        <f t="shared" si="131"/>
        <v>5.8770938819434774E-3</v>
      </c>
      <c r="AW69" s="2091">
        <f t="shared" ref="AW69:AW94" si="169">AU69-AQ69</f>
        <v>29.276731702534391</v>
      </c>
      <c r="AX69" s="2145">
        <f t="shared" si="31"/>
        <v>7.672001771782417E-4</v>
      </c>
      <c r="AY69" s="2199">
        <v>171.38993060166379</v>
      </c>
      <c r="AZ69" s="2200">
        <f t="shared" ref="AZ69:AZ101" si="170">AY69/$AY$109</f>
        <v>4.8384748276523873E-3</v>
      </c>
      <c r="BA69" s="2228">
        <f>FISCinyear!JL856</f>
        <v>86.350124710408664</v>
      </c>
      <c r="BB69" s="2228">
        <f t="shared" ref="BB69:BB108" si="171">BC69-BA69</f>
        <v>87.505784483848657</v>
      </c>
      <c r="BC69" s="2055">
        <f>FISC!AO1173</f>
        <v>173.85590919425732</v>
      </c>
      <c r="BD69" s="2056">
        <f t="shared" si="132"/>
        <v>4.7857902747381444E-3</v>
      </c>
      <c r="BE69" s="2091">
        <f t="shared" ref="BE69:BE93" si="172">BC69-AY69</f>
        <v>2.4659785925935296</v>
      </c>
      <c r="BF69" s="2145">
        <f t="shared" si="118"/>
        <v>-5.2684552914242927E-5</v>
      </c>
    </row>
    <row r="70" spans="1:60">
      <c r="A70" s="2067" t="s">
        <v>597</v>
      </c>
      <c r="B70" s="2044">
        <v>184.95865616137789</v>
      </c>
      <c r="C70" s="2037">
        <f t="shared" si="148"/>
        <v>1.0710829820368573E-2</v>
      </c>
      <c r="D70" s="2045">
        <f>FISC!AI1174</f>
        <v>81.317297446793845</v>
      </c>
      <c r="E70" s="2039">
        <f t="shared" si="149"/>
        <v>4.5820306218963113E-3</v>
      </c>
      <c r="F70" s="2040">
        <f t="shared" si="154"/>
        <v>-103.64135871458404</v>
      </c>
      <c r="G70" s="2130">
        <f t="shared" si="20"/>
        <v>-6.1287991984722619E-3</v>
      </c>
      <c r="H70" s="2201">
        <v>300.63460676457822</v>
      </c>
      <c r="I70" s="2196">
        <f t="shared" si="155"/>
        <v>1.5304796388446765E-2</v>
      </c>
      <c r="J70" s="2229">
        <v>168.0418671217891</v>
      </c>
      <c r="K70" s="2229">
        <f>FISCinyear!IW857</f>
        <v>784.33719202955001</v>
      </c>
      <c r="L70" s="2218">
        <f t="shared" si="21"/>
        <v>616.29532490776091</v>
      </c>
      <c r="M70" s="2218">
        <v>132.59273964278913</v>
      </c>
      <c r="N70" s="2218">
        <f t="shared" si="35"/>
        <v>-459.57265888052137</v>
      </c>
      <c r="O70" s="2045">
        <f>FISC!AJ1174</f>
        <v>324.76453314902864</v>
      </c>
      <c r="P70" s="2139">
        <f t="shared" si="127"/>
        <v>1.6210919506944227E-2</v>
      </c>
      <c r="Q70" s="2040">
        <f t="shared" si="156"/>
        <v>24.129926384450414</v>
      </c>
      <c r="R70" s="2130">
        <f t="shared" si="157"/>
        <v>9.0612311849746184E-4</v>
      </c>
      <c r="S70" s="2201">
        <v>195.94529660935217</v>
      </c>
      <c r="T70" s="2196">
        <f t="shared" si="158"/>
        <v>8.8820403650331434E-3</v>
      </c>
      <c r="U70" s="2229">
        <f>FISCinyear!IZ857</f>
        <v>767.08999833483085</v>
      </c>
      <c r="V70" s="2229">
        <f t="shared" si="159"/>
        <v>103.668110676889</v>
      </c>
      <c r="W70" s="2045">
        <f>FISC!AK1174</f>
        <v>870.75810901171985</v>
      </c>
      <c r="X70" s="2139">
        <f t="shared" si="128"/>
        <v>3.8438167275131975E-2</v>
      </c>
      <c r="Y70" s="2040">
        <f t="shared" si="160"/>
        <v>674.81281240236763</v>
      </c>
      <c r="Z70" s="2130">
        <f t="shared" si="24"/>
        <v>2.9556126910098832E-2</v>
      </c>
      <c r="AA70" s="2201">
        <v>205.94745735762359</v>
      </c>
      <c r="AB70" s="2196">
        <f t="shared" si="161"/>
        <v>8.3015993804325516E-3</v>
      </c>
      <c r="AC70" s="2229">
        <f>FISCinyear!JC857</f>
        <v>458.16596087480383</v>
      </c>
      <c r="AD70" s="2229">
        <f t="shared" si="162"/>
        <v>281.13442511757393</v>
      </c>
      <c r="AE70" s="2045">
        <f>FISC!AL1174</f>
        <v>739.30038599237776</v>
      </c>
      <c r="AF70" s="2039">
        <f t="shared" si="129"/>
        <v>2.8921309330019716E-2</v>
      </c>
      <c r="AG70" s="2040">
        <f t="shared" si="163"/>
        <v>533.35292863475411</v>
      </c>
      <c r="AH70" s="2139">
        <f t="shared" si="27"/>
        <v>2.0619709949587166E-2</v>
      </c>
      <c r="AI70" s="2201">
        <v>224.62129584596849</v>
      </c>
      <c r="AJ70" s="2196">
        <f t="shared" si="164"/>
        <v>8.0399045428215781E-3</v>
      </c>
      <c r="AK70" s="2229">
        <f>FISCinyear!JF857</f>
        <v>152.08171193232795</v>
      </c>
      <c r="AL70" s="2229">
        <f t="shared" si="165"/>
        <v>125.57181555461773</v>
      </c>
      <c r="AM70" s="2045">
        <f>FISC!AM1174</f>
        <v>277.65352748694568</v>
      </c>
      <c r="AN70" s="2039">
        <f t="shared" si="130"/>
        <v>9.6490993014232522E-3</v>
      </c>
      <c r="AO70" s="2040">
        <f t="shared" si="166"/>
        <v>53.032231640977187</v>
      </c>
      <c r="AP70" s="2139">
        <f t="shared" si="29"/>
        <v>1.6091947586016741E-3</v>
      </c>
      <c r="AQ70" s="2201">
        <v>160.74974495797881</v>
      </c>
      <c r="AR70" s="2196">
        <f t="shared" si="167"/>
        <v>5.1098937047652357E-3</v>
      </c>
      <c r="AS70" s="2229">
        <f>FISCinyear!JI857</f>
        <v>80.910369478189068</v>
      </c>
      <c r="AT70" s="2229">
        <f t="shared" si="168"/>
        <v>109.11610718232413</v>
      </c>
      <c r="AU70" s="2045">
        <f>FISC!AN1174</f>
        <v>190.0264766605132</v>
      </c>
      <c r="AV70" s="2039">
        <f t="shared" si="131"/>
        <v>5.8770938819434774E-3</v>
      </c>
      <c r="AW70" s="2040">
        <f t="shared" si="169"/>
        <v>29.276731702534391</v>
      </c>
      <c r="AX70" s="2139">
        <f t="shared" si="31"/>
        <v>7.672001771782417E-4</v>
      </c>
      <c r="AY70" s="2201">
        <v>171.38993060166379</v>
      </c>
      <c r="AZ70" s="2196">
        <f t="shared" si="170"/>
        <v>4.8384748276523873E-3</v>
      </c>
      <c r="BA70" s="2229">
        <f>FISCinyear!JL857</f>
        <v>86.350124710408664</v>
      </c>
      <c r="BB70" s="2229">
        <f t="shared" si="171"/>
        <v>87.505784483848657</v>
      </c>
      <c r="BC70" s="2045">
        <f>FISC!AO1174</f>
        <v>173.85590919425732</v>
      </c>
      <c r="BD70" s="2039">
        <f t="shared" si="132"/>
        <v>4.7857902747381444E-3</v>
      </c>
      <c r="BE70" s="2040">
        <f t="shared" si="172"/>
        <v>2.4659785925935296</v>
      </c>
      <c r="BF70" s="2139">
        <f t="shared" si="118"/>
        <v>-5.2684552914242927E-5</v>
      </c>
    </row>
    <row r="71" spans="1:60">
      <c r="A71" s="2036" t="s">
        <v>598</v>
      </c>
      <c r="B71" s="2044">
        <v>73.805133476113781</v>
      </c>
      <c r="C71" s="2037">
        <f t="shared" si="148"/>
        <v>4.2740050178701151E-3</v>
      </c>
      <c r="D71" s="2045">
        <f>FISC!AI1176</f>
        <v>-30.088546872206166</v>
      </c>
      <c r="E71" s="2039">
        <f t="shared" si="149"/>
        <v>-1.6954159504257715E-3</v>
      </c>
      <c r="F71" s="2040">
        <f t="shared" si="154"/>
        <v>-103.89368034831995</v>
      </c>
      <c r="G71" s="2130">
        <f t="shared" si="20"/>
        <v>-5.9694209682958866E-3</v>
      </c>
      <c r="H71" s="2201">
        <v>169.71692641443667</v>
      </c>
      <c r="I71" s="2196">
        <f t="shared" si="155"/>
        <v>8.6400000000000001E-3</v>
      </c>
      <c r="J71" s="2229">
        <v>84.858463207218335</v>
      </c>
      <c r="K71" s="2229">
        <f>FISCinyear!IW859</f>
        <v>672.93145288589301</v>
      </c>
      <c r="L71" s="2218">
        <f t="shared" ref="L71:L108" si="173">K71-J71</f>
        <v>588.07298967867473</v>
      </c>
      <c r="M71" s="2218">
        <v>84.858463207218335</v>
      </c>
      <c r="N71" s="2218">
        <f t="shared" si="35"/>
        <v>-503.23382919223604</v>
      </c>
      <c r="O71" s="2045">
        <f>FISC!AJ1176</f>
        <v>169.69762369365699</v>
      </c>
      <c r="P71" s="2139">
        <f t="shared" si="127"/>
        <v>8.4706125128362498E-3</v>
      </c>
      <c r="Q71" s="2040">
        <f t="shared" si="156"/>
        <v>-1.9302720779677429E-2</v>
      </c>
      <c r="R71" s="2130">
        <f t="shared" si="157"/>
        <v>-1.6938748716375032E-4</v>
      </c>
      <c r="S71" s="2201">
        <v>110.30421421003135</v>
      </c>
      <c r="T71" s="2196">
        <f t="shared" si="158"/>
        <v>5.0000000000000001E-3</v>
      </c>
      <c r="U71" s="2229">
        <f>FISCinyear!IZ859</f>
        <v>55.119641157447958</v>
      </c>
      <c r="V71" s="2229">
        <f t="shared" si="159"/>
        <v>55.119641157447958</v>
      </c>
      <c r="W71" s="2045">
        <f>FISC!AK1176</f>
        <v>110.23928231489592</v>
      </c>
      <c r="X71" s="2139">
        <f t="shared" si="128"/>
        <v>4.8663296156033096E-3</v>
      </c>
      <c r="Y71" s="2040">
        <f t="shared" si="160"/>
        <v>-6.4931895135430295E-2</v>
      </c>
      <c r="Z71" s="2130">
        <f t="shared" si="24"/>
        <v>-1.3367038439669049E-4</v>
      </c>
      <c r="AA71" s="2201">
        <v>124.04083112168487</v>
      </c>
      <c r="AB71" s="2196">
        <f t="shared" si="161"/>
        <v>5.0000000000000001E-3</v>
      </c>
      <c r="AC71" s="2229">
        <f>FISCinyear!JC859</f>
        <v>61.946093302381556</v>
      </c>
      <c r="AD71" s="2229">
        <f t="shared" si="162"/>
        <v>61.946093302381556</v>
      </c>
      <c r="AE71" s="2045">
        <f>FISC!AL1176</f>
        <v>123.89218660476311</v>
      </c>
      <c r="AF71" s="2039">
        <f t="shared" si="129"/>
        <v>4.8466419337238401E-3</v>
      </c>
      <c r="AG71" s="2040">
        <f t="shared" si="163"/>
        <v>-0.14864451692176317</v>
      </c>
      <c r="AH71" s="2139">
        <f t="shared" si="27"/>
        <v>-1.5335806627616005E-4</v>
      </c>
      <c r="AI71" s="2201">
        <v>139.6915191278741</v>
      </c>
      <c r="AJ71" s="2196">
        <f t="shared" si="164"/>
        <v>5.0000000000000001E-3</v>
      </c>
      <c r="AK71" s="2229">
        <f>FISCinyear!JF859</f>
        <v>69.707403796749219</v>
      </c>
      <c r="AL71" s="2229">
        <f t="shared" si="165"/>
        <v>69.707403796749219</v>
      </c>
      <c r="AM71" s="2045">
        <f>FISC!AM1176</f>
        <v>139.41480759349844</v>
      </c>
      <c r="AN71" s="2039">
        <f t="shared" si="130"/>
        <v>4.8449855283100298E-3</v>
      </c>
      <c r="AO71" s="2040">
        <f t="shared" si="166"/>
        <v>-0.27671153437566431</v>
      </c>
      <c r="AP71" s="2139">
        <f t="shared" si="29"/>
        <v>-1.5501447168997026E-4</v>
      </c>
      <c r="AQ71" s="2201">
        <v>94.375590322791737</v>
      </c>
      <c r="AR71" s="2196">
        <f t="shared" si="167"/>
        <v>3.0000000000000001E-3</v>
      </c>
      <c r="AS71" s="2229">
        <f>FISCinyear!JI859</f>
        <v>48.500112592469073</v>
      </c>
      <c r="AT71" s="2229">
        <f t="shared" si="168"/>
        <v>48.500112592469073</v>
      </c>
      <c r="AU71" s="2045">
        <f>FISC!AN1176</f>
        <v>97.000225184938145</v>
      </c>
      <c r="AV71" s="2039">
        <f t="shared" si="131"/>
        <v>3.0000000000000001E-3</v>
      </c>
      <c r="AW71" s="2040">
        <f t="shared" si="169"/>
        <v>2.624634862146408</v>
      </c>
      <c r="AX71" s="2139">
        <f t="shared" ref="AX71:AX108" si="174">AV71-AR71</f>
        <v>0</v>
      </c>
      <c r="AY71" s="2201">
        <v>106.26691470346348</v>
      </c>
      <c r="AZ71" s="2196">
        <f t="shared" si="170"/>
        <v>3.0000000000000001E-3</v>
      </c>
      <c r="BA71" s="2229">
        <f>FISCinyear!JL859</f>
        <v>54.491285413808662</v>
      </c>
      <c r="BB71" s="2229">
        <f t="shared" si="171"/>
        <v>54.491285413808662</v>
      </c>
      <c r="BC71" s="2045">
        <f>FISC!AO1176</f>
        <v>108.98257082761732</v>
      </c>
      <c r="BD71" s="2039">
        <f t="shared" si="132"/>
        <v>3.0000000000000001E-3</v>
      </c>
      <c r="BE71" s="2040">
        <f t="shared" si="172"/>
        <v>2.7156561241538384</v>
      </c>
      <c r="BF71" s="2139">
        <f t="shared" si="118"/>
        <v>0</v>
      </c>
    </row>
    <row r="72" spans="1:60">
      <c r="A72" s="2036" t="s">
        <v>600</v>
      </c>
      <c r="B72" s="2063">
        <v>0</v>
      </c>
      <c r="C72" s="2037">
        <f t="shared" si="148"/>
        <v>0</v>
      </c>
      <c r="D72" s="2092">
        <f t="shared" ref="D72" si="175">B72</f>
        <v>0</v>
      </c>
      <c r="E72" s="2039">
        <f t="shared" si="149"/>
        <v>0</v>
      </c>
      <c r="F72" s="2040">
        <f t="shared" si="154"/>
        <v>0</v>
      </c>
      <c r="G72" s="2130">
        <f t="shared" si="20"/>
        <v>0</v>
      </c>
      <c r="H72" s="2212">
        <v>0</v>
      </c>
      <c r="I72" s="2196">
        <f t="shared" si="155"/>
        <v>0</v>
      </c>
      <c r="J72" s="2229">
        <v>0</v>
      </c>
      <c r="K72" s="2229">
        <f>FISCinyear!IW875</f>
        <v>0</v>
      </c>
      <c r="L72" s="2218">
        <f t="shared" si="173"/>
        <v>0</v>
      </c>
      <c r="M72" s="2218">
        <v>0</v>
      </c>
      <c r="N72" s="2218">
        <f t="shared" si="35"/>
        <v>0</v>
      </c>
      <c r="O72" s="2092">
        <f>H72</f>
        <v>0</v>
      </c>
      <c r="P72" s="2139">
        <f t="shared" si="127"/>
        <v>0</v>
      </c>
      <c r="Q72" s="2040">
        <f t="shared" si="156"/>
        <v>0</v>
      </c>
      <c r="R72" s="2130">
        <f t="shared" si="157"/>
        <v>0</v>
      </c>
      <c r="S72" s="2212">
        <v>0</v>
      </c>
      <c r="T72" s="2196">
        <f t="shared" si="158"/>
        <v>0</v>
      </c>
      <c r="U72" s="2229">
        <f>FISCinyear!IZ875</f>
        <v>0</v>
      </c>
      <c r="V72" s="2229">
        <f t="shared" si="159"/>
        <v>0</v>
      </c>
      <c r="W72" s="2092">
        <f>S72</f>
        <v>0</v>
      </c>
      <c r="X72" s="2139">
        <f t="shared" si="128"/>
        <v>0</v>
      </c>
      <c r="Y72" s="2040">
        <f t="shared" si="160"/>
        <v>0</v>
      </c>
      <c r="Z72" s="2130">
        <f t="shared" si="24"/>
        <v>0</v>
      </c>
      <c r="AA72" s="2212">
        <v>0</v>
      </c>
      <c r="AB72" s="2196">
        <f t="shared" si="161"/>
        <v>0</v>
      </c>
      <c r="AC72" s="2229">
        <f>FISCinyear!JC875</f>
        <v>0</v>
      </c>
      <c r="AD72" s="2229">
        <f t="shared" si="162"/>
        <v>0</v>
      </c>
      <c r="AE72" s="2092">
        <f>AA72</f>
        <v>0</v>
      </c>
      <c r="AF72" s="2039">
        <f t="shared" si="129"/>
        <v>0</v>
      </c>
      <c r="AG72" s="2040">
        <f t="shared" si="163"/>
        <v>0</v>
      </c>
      <c r="AH72" s="2139">
        <f t="shared" si="27"/>
        <v>0</v>
      </c>
      <c r="AI72" s="2212">
        <v>0</v>
      </c>
      <c r="AJ72" s="2196">
        <f t="shared" si="164"/>
        <v>0</v>
      </c>
      <c r="AK72" s="2229">
        <f>FISCinyear!JF875</f>
        <v>0</v>
      </c>
      <c r="AL72" s="2229">
        <f t="shared" si="165"/>
        <v>0</v>
      </c>
      <c r="AM72" s="2092">
        <f>AI72</f>
        <v>0</v>
      </c>
      <c r="AN72" s="2039">
        <f t="shared" si="130"/>
        <v>0</v>
      </c>
      <c r="AO72" s="2040">
        <f t="shared" si="166"/>
        <v>0</v>
      </c>
      <c r="AP72" s="2139">
        <f t="shared" si="29"/>
        <v>0</v>
      </c>
      <c r="AQ72" s="2212">
        <v>0</v>
      </c>
      <c r="AR72" s="2196">
        <f t="shared" si="167"/>
        <v>0</v>
      </c>
      <c r="AS72" s="2229">
        <f>FISCinyear!JI875</f>
        <v>0</v>
      </c>
      <c r="AT72" s="2229">
        <f t="shared" si="168"/>
        <v>0</v>
      </c>
      <c r="AU72" s="2092">
        <f>AN72</f>
        <v>0</v>
      </c>
      <c r="AV72" s="2039">
        <f t="shared" si="131"/>
        <v>0</v>
      </c>
      <c r="AW72" s="2040">
        <f t="shared" si="169"/>
        <v>0</v>
      </c>
      <c r="AX72" s="2139">
        <f t="shared" si="174"/>
        <v>0</v>
      </c>
      <c r="AY72" s="2212">
        <v>0</v>
      </c>
      <c r="AZ72" s="2196">
        <f t="shared" si="170"/>
        <v>0</v>
      </c>
      <c r="BA72" s="2229">
        <f>FISCinyear!JL875</f>
        <v>0</v>
      </c>
      <c r="BB72" s="2229">
        <f t="shared" si="171"/>
        <v>0</v>
      </c>
      <c r="BC72" s="2092">
        <f>AV72</f>
        <v>0</v>
      </c>
      <c r="BD72" s="2039">
        <f t="shared" si="132"/>
        <v>0</v>
      </c>
      <c r="BE72" s="2040">
        <f t="shared" si="172"/>
        <v>0</v>
      </c>
      <c r="BF72" s="2139">
        <f t="shared" si="118"/>
        <v>0</v>
      </c>
    </row>
    <row r="73" spans="1:60">
      <c r="A73" s="2036" t="s">
        <v>601</v>
      </c>
      <c r="B73" s="2063">
        <v>81.638807056264099</v>
      </c>
      <c r="C73" s="2037">
        <f t="shared" si="148"/>
        <v>4.7276477201186624E-3</v>
      </c>
      <c r="D73" s="2045">
        <f>FISC!AI1193</f>
        <v>82.891332118999998</v>
      </c>
      <c r="E73" s="2039">
        <f t="shared" si="149"/>
        <v>4.6707236219642751E-3</v>
      </c>
      <c r="F73" s="2040">
        <f t="shared" si="154"/>
        <v>1.2525250627358986</v>
      </c>
      <c r="G73" s="2130">
        <f t="shared" si="20"/>
        <v>-5.6924098154387259E-5</v>
      </c>
      <c r="H73" s="2212">
        <v>91.108972023501536</v>
      </c>
      <c r="I73" s="2196">
        <f t="shared" si="155"/>
        <v>4.6382027704226269E-3</v>
      </c>
      <c r="J73" s="2229">
        <v>63.279049751250774</v>
      </c>
      <c r="K73" s="2229">
        <f>FISCinyear!IW876</f>
        <v>91.068999886656997</v>
      </c>
      <c r="L73" s="2218">
        <f t="shared" si="173"/>
        <v>27.789950135406222</v>
      </c>
      <c r="M73" s="2218">
        <v>27.829922272250762</v>
      </c>
      <c r="N73" s="2218">
        <f t="shared" si="35"/>
        <v>24.016065538714628</v>
      </c>
      <c r="O73" s="2045">
        <f>FISC!AJ1193</f>
        <v>115.08506542537162</v>
      </c>
      <c r="P73" s="2139">
        <f t="shared" si="127"/>
        <v>5.7445765828314848E-3</v>
      </c>
      <c r="Q73" s="2040">
        <f t="shared" si="156"/>
        <v>23.976093401870088</v>
      </c>
      <c r="R73" s="2130">
        <f t="shared" si="157"/>
        <v>1.106373812408858E-3</v>
      </c>
      <c r="S73" s="2212">
        <v>47.179797608428935</v>
      </c>
      <c r="T73" s="2196">
        <f t="shared" si="158"/>
        <v>2.1386217175072483E-3</v>
      </c>
      <c r="U73" s="2229">
        <f>FISCinyear!IZ876</f>
        <v>29.381258971995152</v>
      </c>
      <c r="V73" s="2229">
        <f t="shared" si="159"/>
        <v>29.381258971995152</v>
      </c>
      <c r="W73" s="2045">
        <f>FISC!AK1193</f>
        <v>58.762517943990304</v>
      </c>
      <c r="X73" s="2139">
        <f t="shared" si="128"/>
        <v>2.5939735396809755E-3</v>
      </c>
      <c r="Y73" s="2040">
        <f t="shared" si="160"/>
        <v>11.582720335561369</v>
      </c>
      <c r="Z73" s="2130">
        <f t="shared" si="24"/>
        <v>4.5535182217372721E-4</v>
      </c>
      <c r="AA73" s="2212">
        <v>45.797817909298722</v>
      </c>
      <c r="AB73" s="2196">
        <f t="shared" si="161"/>
        <v>1.8460783233696153E-3</v>
      </c>
      <c r="AC73" s="2229">
        <f>FISCinyear!JC876</f>
        <v>16.251921522626819</v>
      </c>
      <c r="AD73" s="2229">
        <f t="shared" si="162"/>
        <v>16.251921522626819</v>
      </c>
      <c r="AE73" s="2045">
        <f>FISC!AL1193</f>
        <v>32.503843045253639</v>
      </c>
      <c r="AF73" s="2039">
        <f t="shared" si="129"/>
        <v>1.2715449862295656E-3</v>
      </c>
      <c r="AG73" s="2040">
        <f t="shared" si="163"/>
        <v>-13.293974864045083</v>
      </c>
      <c r="AH73" s="2139">
        <f t="shared" ref="AH73:AH108" si="176">AF73-AB73</f>
        <v>-5.7453333714004972E-4</v>
      </c>
      <c r="AI73" s="2212">
        <v>48.821068391454382</v>
      </c>
      <c r="AJ73" s="2196">
        <f t="shared" si="164"/>
        <v>1.7474599995853507E-3</v>
      </c>
      <c r="AK73" s="2229">
        <f>FISCinyear!JF876</f>
        <v>15.020140489999999</v>
      </c>
      <c r="AL73" s="2229">
        <f t="shared" si="165"/>
        <v>15.020140489999999</v>
      </c>
      <c r="AM73" s="2045">
        <f>FISC!AM1193</f>
        <v>30.040280979999999</v>
      </c>
      <c r="AN73" s="2039">
        <f t="shared" si="130"/>
        <v>1.0439689235797825E-3</v>
      </c>
      <c r="AO73" s="2040">
        <f t="shared" si="166"/>
        <v>-18.780787411454384</v>
      </c>
      <c r="AP73" s="2139">
        <f t="shared" si="166"/>
        <v>-7.0349107600556826E-4</v>
      </c>
      <c r="AQ73" s="2212">
        <v>30.26544630854708</v>
      </c>
      <c r="AR73" s="2196">
        <f t="shared" si="167"/>
        <v>9.6207439460872855E-4</v>
      </c>
      <c r="AS73" s="2229">
        <f>FISCinyear!JI876</f>
        <v>14.419334870399998</v>
      </c>
      <c r="AT73" s="2229">
        <f t="shared" si="168"/>
        <v>15.6209461096</v>
      </c>
      <c r="AU73" s="2045">
        <f>FISC!AN1193</f>
        <v>30.040280979999999</v>
      </c>
      <c r="AV73" s="2039">
        <f t="shared" si="131"/>
        <v>9.2907869820072994E-4</v>
      </c>
      <c r="AW73" s="2040">
        <f t="shared" ref="AW73:AW81" si="177">AU73-AQ73</f>
        <v>-0.2251653285470816</v>
      </c>
      <c r="AX73" s="2139">
        <f t="shared" ref="AX73:AX81" si="178">AV73-AR73</f>
        <v>-3.2995696407998616E-5</v>
      </c>
      <c r="AY73" s="2212">
        <v>29.014307571560309</v>
      </c>
      <c r="AZ73" s="2196">
        <f t="shared" si="170"/>
        <v>8.1909710992902288E-4</v>
      </c>
      <c r="BA73" s="2229">
        <f>FISCinyear!JL876</f>
        <v>13.86791728128</v>
      </c>
      <c r="BB73" s="2229">
        <f t="shared" si="171"/>
        <v>15.02357705472</v>
      </c>
      <c r="BC73" s="2045">
        <f>FISC!AO1193</f>
        <v>28.891494336000001</v>
      </c>
      <c r="BD73" s="2039">
        <f t="shared" si="132"/>
        <v>7.9530591313630296E-4</v>
      </c>
      <c r="BE73" s="2040">
        <f t="shared" si="172"/>
        <v>-0.12281323556030799</v>
      </c>
      <c r="BF73" s="2139">
        <f t="shared" si="118"/>
        <v>-2.3791196792719927E-5</v>
      </c>
    </row>
    <row r="74" spans="1:60" ht="12.65" customHeight="1">
      <c r="A74" s="2058" t="s">
        <v>3139</v>
      </c>
      <c r="B74" s="2044">
        <v>32.099911483331297</v>
      </c>
      <c r="C74" s="2037">
        <f t="shared" si="148"/>
        <v>1.8588840137704812E-3</v>
      </c>
      <c r="D74" s="2045">
        <v>32.099911483331297</v>
      </c>
      <c r="E74" s="2039">
        <f t="shared" si="149"/>
        <v>1.8087514218364398E-3</v>
      </c>
      <c r="F74" s="2040">
        <f t="shared" si="154"/>
        <v>0</v>
      </c>
      <c r="G74" s="2130">
        <f t="shared" si="20"/>
        <v>-5.0132591934041321E-5</v>
      </c>
      <c r="H74" s="2201">
        <v>34.567770112860906</v>
      </c>
      <c r="I74" s="2196">
        <f t="shared" si="155"/>
        <v>1.7597863694856118E-3</v>
      </c>
      <c r="J74" s="2229">
        <v>17.283885056430453</v>
      </c>
      <c r="K74" s="2229">
        <f>FISCinyear!IW877</f>
        <v>17.294035967999999</v>
      </c>
      <c r="L74" s="2218">
        <f t="shared" si="173"/>
        <v>1.0150911569546395E-2</v>
      </c>
      <c r="M74" s="2218">
        <v>17.283885056430453</v>
      </c>
      <c r="N74" s="2218">
        <f t="shared" ref="N74:N108" si="179">O74-K74</f>
        <v>17.273734144860907</v>
      </c>
      <c r="O74" s="2045">
        <v>34.567770112860906</v>
      </c>
      <c r="P74" s="2139">
        <f t="shared" si="127"/>
        <v>1.7254819465677129E-3</v>
      </c>
      <c r="Q74" s="2040">
        <f t="shared" si="156"/>
        <v>0</v>
      </c>
      <c r="R74" s="2130">
        <f t="shared" si="157"/>
        <v>-3.430442291789881E-5</v>
      </c>
      <c r="S74" s="2201">
        <v>34.491734694473891</v>
      </c>
      <c r="T74" s="2196">
        <f t="shared" si="158"/>
        <v>1.5634821815963366E-3</v>
      </c>
      <c r="U74" s="2229">
        <f>FISCinyear!IZ877</f>
        <v>16.984838593999999</v>
      </c>
      <c r="V74" s="2229">
        <f t="shared" si="159"/>
        <v>16.984838593999999</v>
      </c>
      <c r="W74" s="2045">
        <f>FISC!AK1194</f>
        <v>33.969677187999999</v>
      </c>
      <c r="X74" s="2139">
        <f t="shared" si="128"/>
        <v>1.4995348541933641E-3</v>
      </c>
      <c r="Y74" s="2040">
        <f t="shared" si="160"/>
        <v>-0.52205750647389237</v>
      </c>
      <c r="Z74" s="2130">
        <f t="shared" si="24"/>
        <v>-6.3947327402972534E-5</v>
      </c>
      <c r="AA74" s="2201">
        <v>34.396395321820201</v>
      </c>
      <c r="AB74" s="2196">
        <f t="shared" si="161"/>
        <v>1.3864948747431846E-3</v>
      </c>
      <c r="AC74" s="2229">
        <f>FISCinyear!JC877</f>
        <v>16.251921522626819</v>
      </c>
      <c r="AD74" s="2229">
        <f t="shared" si="162"/>
        <v>16.251921522626819</v>
      </c>
      <c r="AE74" s="2045">
        <f>FISCinyear!JE877</f>
        <v>32.503843045253639</v>
      </c>
      <c r="AF74" s="2039">
        <f t="shared" si="129"/>
        <v>1.2715449862295656E-3</v>
      </c>
      <c r="AG74" s="2040">
        <f t="shared" si="163"/>
        <v>-1.8925522765665619</v>
      </c>
      <c r="AH74" s="2139">
        <f t="shared" si="176"/>
        <v>-1.1494988851361906E-4</v>
      </c>
      <c r="AI74" s="2201">
        <v>32.099911483331297</v>
      </c>
      <c r="AJ74" s="2196">
        <f t="shared" si="164"/>
        <v>1.1489570620943324E-3</v>
      </c>
      <c r="AK74" s="2229">
        <f>FISCinyear!JF877</f>
        <v>15.020140489999999</v>
      </c>
      <c r="AL74" s="2229">
        <f t="shared" si="165"/>
        <v>15.020140489999999</v>
      </c>
      <c r="AM74" s="2045">
        <f>FISC!AM1194</f>
        <v>30.040280979999999</v>
      </c>
      <c r="AN74" s="2039">
        <f t="shared" si="130"/>
        <v>1.0439689235797825E-3</v>
      </c>
      <c r="AO74" s="2040">
        <f t="shared" si="166"/>
        <v>-2.0596305033312987</v>
      </c>
      <c r="AP74" s="2139">
        <f t="shared" si="166"/>
        <v>-1.0498813851454996E-4</v>
      </c>
      <c r="AQ74" s="2201">
        <v>30.26544630854708</v>
      </c>
      <c r="AR74" s="2196">
        <f t="shared" si="167"/>
        <v>9.6207439460872855E-4</v>
      </c>
      <c r="AS74" s="2229">
        <f>FISCinyear!JI877</f>
        <v>14.419334870399998</v>
      </c>
      <c r="AT74" s="2229">
        <f t="shared" si="168"/>
        <v>15.6209461096</v>
      </c>
      <c r="AU74" s="2045">
        <f>FISC!AN1194</f>
        <v>30.040280979999999</v>
      </c>
      <c r="AV74" s="2039">
        <f t="shared" si="131"/>
        <v>9.2907869820072994E-4</v>
      </c>
      <c r="AW74" s="2040">
        <f t="shared" si="177"/>
        <v>-0.2251653285470816</v>
      </c>
      <c r="AX74" s="2139">
        <f t="shared" si="178"/>
        <v>-3.2995696407998616E-5</v>
      </c>
      <c r="AY74" s="2201">
        <v>29.014307571560309</v>
      </c>
      <c r="AZ74" s="2196">
        <f t="shared" si="170"/>
        <v>8.1909710992902288E-4</v>
      </c>
      <c r="BA74" s="2229">
        <f>FISCinyear!JL877</f>
        <v>13.86791728128</v>
      </c>
      <c r="BB74" s="2229">
        <f t="shared" si="171"/>
        <v>15.02357705472</v>
      </c>
      <c r="BC74" s="2045">
        <f>FISC!AO1194</f>
        <v>28.891494336000001</v>
      </c>
      <c r="BD74" s="2039">
        <f t="shared" si="132"/>
        <v>7.9530591313630296E-4</v>
      </c>
      <c r="BE74" s="2040">
        <f t="shared" ref="BE74:BE81" si="180">BC74-AY74</f>
        <v>-0.12281323556030799</v>
      </c>
      <c r="BF74" s="2139">
        <f t="shared" ref="BF74:BF81" si="181">BD74-AZ74</f>
        <v>-2.3791196792719927E-5</v>
      </c>
    </row>
    <row r="75" spans="1:60" ht="12.65" customHeight="1">
      <c r="A75" s="2058" t="s">
        <v>3199</v>
      </c>
      <c r="B75" s="2044"/>
      <c r="C75" s="2037"/>
      <c r="D75" s="2045"/>
      <c r="E75" s="2039"/>
      <c r="F75" s="2040"/>
      <c r="G75" s="2130"/>
      <c r="H75" s="2201">
        <v>21.092074431640629</v>
      </c>
      <c r="I75" s="2196">
        <f t="shared" si="155"/>
        <v>1.0737616273132878E-3</v>
      </c>
      <c r="J75" s="2229">
        <v>10.546037215820315</v>
      </c>
      <c r="K75" s="2229">
        <f>FISCinyear!IW881</f>
        <v>38.037262263656999</v>
      </c>
      <c r="L75" s="2218">
        <f t="shared" si="173"/>
        <v>27.491225047836686</v>
      </c>
      <c r="M75" s="2218">
        <v>10.546037215820315</v>
      </c>
      <c r="N75" s="2218">
        <f t="shared" si="179"/>
        <v>5.6289984947146294</v>
      </c>
      <c r="O75" s="2045">
        <f>FISC!AJ1200</f>
        <v>43.666260758371628</v>
      </c>
      <c r="P75" s="2139">
        <f t="shared" si="127"/>
        <v>2.1796414511752451E-3</v>
      </c>
      <c r="Q75" s="2040">
        <f>O75-H75</f>
        <v>22.574186326730999</v>
      </c>
      <c r="R75" s="2130">
        <f t="shared" si="157"/>
        <v>1.1058798238619573E-3</v>
      </c>
      <c r="S75" s="2201">
        <v>12.688062913955042</v>
      </c>
      <c r="T75" s="2196">
        <f t="shared" si="158"/>
        <v>5.7513953591091158E-4</v>
      </c>
      <c r="U75" s="2229">
        <f>FISCinyear!IZ881</f>
        <v>12.396420377995154</v>
      </c>
      <c r="V75" s="2229">
        <f t="shared" si="159"/>
        <v>12.396420377995154</v>
      </c>
      <c r="W75" s="2045">
        <f>FISC!AK1200</f>
        <v>24.792840755990309</v>
      </c>
      <c r="X75" s="2139">
        <f t="shared" si="128"/>
        <v>1.0944386854876114E-3</v>
      </c>
      <c r="Y75" s="2040">
        <f t="shared" ref="Y75:Y79" si="182">W75-S75</f>
        <v>12.104777842035267</v>
      </c>
      <c r="Z75" s="2130">
        <f t="shared" ref="Z75:Z79" si="183">X75-T75</f>
        <v>5.1929914957669985E-4</v>
      </c>
      <c r="AA75" s="2201">
        <v>11.401422587478521</v>
      </c>
      <c r="AB75" s="2196">
        <f t="shared" si="161"/>
        <v>4.595834486264305E-4</v>
      </c>
      <c r="AC75" s="2229">
        <v>0</v>
      </c>
      <c r="AD75" s="2229">
        <f t="shared" si="162"/>
        <v>0</v>
      </c>
      <c r="AE75" s="2045">
        <f>FISC!AL1200</f>
        <v>0</v>
      </c>
      <c r="AF75" s="2039">
        <f t="shared" si="129"/>
        <v>0</v>
      </c>
      <c r="AG75" s="2040">
        <f t="shared" ref="AG75:AG77" si="184">AE75-AA75</f>
        <v>-11.401422587478521</v>
      </c>
      <c r="AH75" s="2139">
        <f t="shared" ref="AH75:AH77" si="185">AF75-AB75</f>
        <v>-4.595834486264305E-4</v>
      </c>
      <c r="AI75" s="2201">
        <v>16.721156908123085</v>
      </c>
      <c r="AJ75" s="2196">
        <f t="shared" si="164"/>
        <v>5.985029374910183E-4</v>
      </c>
      <c r="AK75" s="2229">
        <v>0</v>
      </c>
      <c r="AL75" s="2229">
        <f t="shared" si="165"/>
        <v>0</v>
      </c>
      <c r="AM75" s="2045">
        <f>FISC!AM1200</f>
        <v>0</v>
      </c>
      <c r="AN75" s="2039">
        <f t="shared" si="130"/>
        <v>0</v>
      </c>
      <c r="AO75" s="2040">
        <f t="shared" si="166"/>
        <v>-16.721156908123085</v>
      </c>
      <c r="AP75" s="2139">
        <f t="shared" si="166"/>
        <v>-5.985029374910183E-4</v>
      </c>
      <c r="AQ75" s="2201">
        <v>0</v>
      </c>
      <c r="AR75" s="2196">
        <f t="shared" si="167"/>
        <v>0</v>
      </c>
      <c r="AS75" s="2229">
        <v>0</v>
      </c>
      <c r="AT75" s="2229">
        <f t="shared" si="168"/>
        <v>0</v>
      </c>
      <c r="AU75" s="2045">
        <v>0</v>
      </c>
      <c r="AV75" s="2039">
        <f t="shared" si="131"/>
        <v>0</v>
      </c>
      <c r="AW75" s="2040">
        <f t="shared" si="177"/>
        <v>0</v>
      </c>
      <c r="AX75" s="2139">
        <f t="shared" si="178"/>
        <v>0</v>
      </c>
      <c r="AY75" s="2201">
        <v>0</v>
      </c>
      <c r="AZ75" s="2196">
        <f t="shared" si="170"/>
        <v>0</v>
      </c>
      <c r="BA75" s="2229">
        <v>0</v>
      </c>
      <c r="BB75" s="2229">
        <f t="shared" si="171"/>
        <v>0</v>
      </c>
      <c r="BC75" s="2045">
        <v>0</v>
      </c>
      <c r="BD75" s="2039">
        <f t="shared" si="132"/>
        <v>0</v>
      </c>
      <c r="BE75" s="2040">
        <f t="shared" si="180"/>
        <v>0</v>
      </c>
      <c r="BF75" s="2139">
        <f t="shared" si="181"/>
        <v>0</v>
      </c>
    </row>
    <row r="76" spans="1:60">
      <c r="A76" s="2036" t="s">
        <v>3133</v>
      </c>
      <c r="B76" s="2044">
        <v>29.514715629000001</v>
      </c>
      <c r="C76" s="2037">
        <f>B76/$B$109</f>
        <v>1.7091770823797951E-3</v>
      </c>
      <c r="D76" s="2045">
        <f>FISC!AI1202</f>
        <v>28.514512200000002</v>
      </c>
      <c r="E76" s="2039">
        <f>D76/$D$109</f>
        <v>1.6067229503578071E-3</v>
      </c>
      <c r="F76" s="2040">
        <f t="shared" si="154"/>
        <v>-1.000203428999999</v>
      </c>
      <c r="G76" s="2130">
        <f t="shared" si="20"/>
        <v>-1.0245413202198805E-4</v>
      </c>
      <c r="H76" s="2201">
        <v>39.808708326640001</v>
      </c>
      <c r="I76" s="2196">
        <f t="shared" si="155"/>
        <v>2.0265936180241381E-3</v>
      </c>
      <c r="J76" s="2229">
        <v>19.904354163320001</v>
      </c>
      <c r="K76" s="2229">
        <f>FISCinyear!IW883</f>
        <v>20.336739256999998</v>
      </c>
      <c r="L76" s="2218">
        <f t="shared" si="173"/>
        <v>0.43238509367999711</v>
      </c>
      <c r="M76" s="2218">
        <v>19.904354163320001</v>
      </c>
      <c r="N76" s="2218">
        <f t="shared" si="179"/>
        <v>19.645104773</v>
      </c>
      <c r="O76" s="2045">
        <f>FISC!AJ1202</f>
        <v>39.981844029999998</v>
      </c>
      <c r="P76" s="2139">
        <f t="shared" si="127"/>
        <v>1.995730411276491E-3</v>
      </c>
      <c r="Q76" s="2040">
        <f t="shared" si="156"/>
        <v>0.17313570335999628</v>
      </c>
      <c r="R76" s="2130">
        <f t="shared" si="157"/>
        <v>-3.0863206747647112E-5</v>
      </c>
      <c r="S76" s="2201">
        <v>38.461284790891888</v>
      </c>
      <c r="T76" s="2196">
        <f t="shared" si="158"/>
        <v>1.7434186475258947E-3</v>
      </c>
      <c r="U76" s="2229">
        <f>FISCinyear!IZ883</f>
        <v>682.5890982053877</v>
      </c>
      <c r="V76" s="2229">
        <f t="shared" si="159"/>
        <v>19.167210547445961</v>
      </c>
      <c r="W76" s="2045">
        <f>FISC!AK1202</f>
        <v>701.75630875283366</v>
      </c>
      <c r="X76" s="2139">
        <f t="shared" si="128"/>
        <v>3.0977864119847692E-2</v>
      </c>
      <c r="Y76" s="2040">
        <f t="shared" si="182"/>
        <v>663.29502396194175</v>
      </c>
      <c r="Z76" s="2130">
        <f t="shared" si="183"/>
        <v>2.9234445472321798E-2</v>
      </c>
      <c r="AA76" s="2201">
        <v>36.108808326640002</v>
      </c>
      <c r="AB76" s="2196">
        <f t="shared" si="161"/>
        <v>1.4555210570629368E-3</v>
      </c>
      <c r="AC76" s="2229">
        <f>FISCinyear!JC883</f>
        <v>379.96794604979544</v>
      </c>
      <c r="AD76" s="2229">
        <f t="shared" si="162"/>
        <v>202.93641029256554</v>
      </c>
      <c r="AE76" s="2045">
        <f>FISC!AL1202</f>
        <v>582.90435634236098</v>
      </c>
      <c r="AF76" s="2039">
        <f t="shared" si="129"/>
        <v>2.2803122410066309E-2</v>
      </c>
      <c r="AG76" s="2040">
        <f t="shared" si="184"/>
        <v>546.79554801572101</v>
      </c>
      <c r="AH76" s="2139">
        <f t="shared" si="185"/>
        <v>2.1347601353003374E-2</v>
      </c>
      <c r="AI76" s="2201">
        <v>36.108708326639999</v>
      </c>
      <c r="AJ76" s="2196">
        <f t="shared" si="164"/>
        <v>1.2924445432362275E-3</v>
      </c>
      <c r="AK76" s="2229">
        <f>FISCinyear!JF883</f>
        <v>67.354167645578713</v>
      </c>
      <c r="AL76" s="2229">
        <f t="shared" si="165"/>
        <v>40.844271267868521</v>
      </c>
      <c r="AM76" s="2045">
        <f>FISC!AM1202</f>
        <v>108.19843891344723</v>
      </c>
      <c r="AN76" s="2039">
        <f t="shared" si="130"/>
        <v>3.7601448495334401E-3</v>
      </c>
      <c r="AO76" s="2040">
        <f t="shared" si="166"/>
        <v>72.089730586807235</v>
      </c>
      <c r="AP76" s="2139">
        <f t="shared" si="166"/>
        <v>2.4677003062972126E-3</v>
      </c>
      <c r="AQ76" s="2201">
        <v>36.108708326639999</v>
      </c>
      <c r="AR76" s="2196">
        <f t="shared" si="167"/>
        <v>1.1478193101565077E-3</v>
      </c>
      <c r="AS76" s="2229">
        <f>FISCinyear!JI883</f>
        <v>17.990922015319999</v>
      </c>
      <c r="AT76" s="2229">
        <f t="shared" si="168"/>
        <v>44.995048480255065</v>
      </c>
      <c r="AU76" s="2045">
        <f>FISC!AN1202</f>
        <v>62.985970495575067</v>
      </c>
      <c r="AV76" s="2039">
        <f t="shared" si="131"/>
        <v>1.9480151837427478E-3</v>
      </c>
      <c r="AW76" s="2040">
        <f t="shared" si="177"/>
        <v>26.877262168935069</v>
      </c>
      <c r="AX76" s="2139">
        <f t="shared" si="178"/>
        <v>8.0019587358624009E-4</v>
      </c>
      <c r="AY76" s="2201">
        <v>36.108708326639999</v>
      </c>
      <c r="AZ76" s="2196">
        <f t="shared" si="170"/>
        <v>1.0193777177233639E-3</v>
      </c>
      <c r="BA76" s="2229">
        <f>FISCinyear!JL883</f>
        <v>17.990922015319999</v>
      </c>
      <c r="BB76" s="2229">
        <f t="shared" si="171"/>
        <v>17.990922015319999</v>
      </c>
      <c r="BC76" s="2045">
        <f>FISC!AO1202</f>
        <v>35.981844030639998</v>
      </c>
      <c r="BD76" s="2039">
        <f t="shared" si="132"/>
        <v>9.9048436160184116E-4</v>
      </c>
      <c r="BE76" s="2040">
        <f t="shared" si="180"/>
        <v>-0.12686429600000082</v>
      </c>
      <c r="BF76" s="2139">
        <f t="shared" si="181"/>
        <v>-2.8893356121522783E-5</v>
      </c>
    </row>
    <row r="77" spans="1:60">
      <c r="A77" s="2058" t="s">
        <v>3700</v>
      </c>
      <c r="B77" s="2044"/>
      <c r="C77" s="2037"/>
      <c r="D77" s="2045"/>
      <c r="E77" s="2039"/>
      <c r="F77" s="2040"/>
      <c r="G77" s="2130"/>
      <c r="H77" s="2201">
        <v>35.808708326640001</v>
      </c>
      <c r="I77" s="2196">
        <f t="shared" si="155"/>
        <v>1.8229604228553371E-3</v>
      </c>
      <c r="J77" s="2229"/>
      <c r="K77" s="2229"/>
      <c r="L77" s="2218">
        <f t="shared" si="173"/>
        <v>0</v>
      </c>
      <c r="M77" s="2218"/>
      <c r="N77" s="2218">
        <f t="shared" si="179"/>
        <v>35.981844029999998</v>
      </c>
      <c r="O77" s="2045">
        <f>FISC!AJ1204</f>
        <v>35.981844029999998</v>
      </c>
      <c r="P77" s="2139">
        <f t="shared" si="127"/>
        <v>1.7960667429595407E-3</v>
      </c>
      <c r="Q77" s="2040">
        <f t="shared" si="156"/>
        <v>0.17313570335999628</v>
      </c>
      <c r="R77" s="2130">
        <f t="shared" si="157"/>
        <v>-2.6893679895796403E-5</v>
      </c>
      <c r="S77" s="2201">
        <v>36.108707726639999</v>
      </c>
      <c r="T77" s="2196">
        <f t="shared" si="158"/>
        <v>1.636778249373367E-3</v>
      </c>
      <c r="U77" s="2229">
        <f>FISCinyear!IZ885</f>
        <v>681.41280967326179</v>
      </c>
      <c r="V77" s="2229">
        <f t="shared" si="159"/>
        <v>17.990922015319939</v>
      </c>
      <c r="W77" s="2045">
        <f>FISC!AK1204</f>
        <v>699.40373168858173</v>
      </c>
      <c r="X77" s="2139">
        <f t="shared" si="128"/>
        <v>3.0874013521400796E-2</v>
      </c>
      <c r="Y77" s="2040">
        <f t="shared" si="182"/>
        <v>663.29502396194175</v>
      </c>
      <c r="Z77" s="2130">
        <f t="shared" si="183"/>
        <v>2.9237235272027429E-2</v>
      </c>
      <c r="AA77" s="2201">
        <v>36.108808326640002</v>
      </c>
      <c r="AB77" s="2196">
        <f t="shared" si="161"/>
        <v>1.4555210570629368E-3</v>
      </c>
      <c r="AC77" s="2229">
        <f>FISCinyear!JC885</f>
        <v>379.96794604979544</v>
      </c>
      <c r="AD77" s="2229">
        <f t="shared" si="162"/>
        <v>202.93641029256554</v>
      </c>
      <c r="AE77" s="2045">
        <f>FISC!AL1204</f>
        <v>582.90435634236098</v>
      </c>
      <c r="AF77" s="2039">
        <f t="shared" si="129"/>
        <v>2.2803122410066309E-2</v>
      </c>
      <c r="AG77" s="2040">
        <f t="shared" si="184"/>
        <v>546.79554801572101</v>
      </c>
      <c r="AH77" s="2139">
        <f t="shared" si="185"/>
        <v>2.1347601353003374E-2</v>
      </c>
      <c r="AI77" s="2201">
        <v>36.108708326639999</v>
      </c>
      <c r="AJ77" s="2196">
        <f t="shared" si="164"/>
        <v>1.2924445432362275E-3</v>
      </c>
      <c r="AK77" s="2229">
        <f>FISCinyear!JF885</f>
        <v>67.354167645578713</v>
      </c>
      <c r="AL77" s="2229">
        <f t="shared" si="165"/>
        <v>40.844271267868521</v>
      </c>
      <c r="AM77" s="2045">
        <f>FISC!AM1204</f>
        <v>108.19843891344723</v>
      </c>
      <c r="AN77" s="2039">
        <f t="shared" si="130"/>
        <v>3.7601448495334401E-3</v>
      </c>
      <c r="AO77" s="2040">
        <f t="shared" si="166"/>
        <v>72.089730586807235</v>
      </c>
      <c r="AP77" s="2139">
        <f t="shared" si="166"/>
        <v>2.4677003062972126E-3</v>
      </c>
      <c r="AQ77" s="2201">
        <v>36.108708326639999</v>
      </c>
      <c r="AR77" s="2196">
        <f t="shared" si="167"/>
        <v>1.1478193101565077E-3</v>
      </c>
      <c r="AS77" s="2229">
        <f>FISCinyear!JI885</f>
        <v>17.990922015319999</v>
      </c>
      <c r="AT77" s="2229">
        <f t="shared" si="168"/>
        <v>44.995048480255065</v>
      </c>
      <c r="AU77" s="2045">
        <f>FISC!AN1204</f>
        <v>62.985970495575067</v>
      </c>
      <c r="AV77" s="2039">
        <f t="shared" si="131"/>
        <v>1.9480151837427478E-3</v>
      </c>
      <c r="AW77" s="2040">
        <f t="shared" si="177"/>
        <v>26.877262168935069</v>
      </c>
      <c r="AX77" s="2139">
        <f t="shared" si="178"/>
        <v>8.0019587358624009E-4</v>
      </c>
      <c r="AY77" s="2201">
        <v>36.108708326639999</v>
      </c>
      <c r="AZ77" s="2196">
        <f t="shared" si="170"/>
        <v>1.0193777177233639E-3</v>
      </c>
      <c r="BA77" s="2229">
        <f>FISCinyear!JL885</f>
        <v>17.990922015319999</v>
      </c>
      <c r="BB77" s="2229">
        <f t="shared" si="171"/>
        <v>17.990922015319999</v>
      </c>
      <c r="BC77" s="2045">
        <f>FISC!AO1204</f>
        <v>35.981844030639998</v>
      </c>
      <c r="BD77" s="2039">
        <f t="shared" si="132"/>
        <v>9.9048436160184116E-4</v>
      </c>
      <c r="BE77" s="2040">
        <f t="shared" si="180"/>
        <v>-0.12686429600000082</v>
      </c>
      <c r="BF77" s="2139">
        <f t="shared" si="181"/>
        <v>-2.8893356121522783E-5</v>
      </c>
    </row>
    <row r="78" spans="1:60">
      <c r="A78" s="2183" t="s">
        <v>3742</v>
      </c>
      <c r="B78" s="2044"/>
      <c r="C78" s="2037"/>
      <c r="D78" s="2045"/>
      <c r="E78" s="2039"/>
      <c r="F78" s="2040"/>
      <c r="G78" s="2130"/>
      <c r="H78" s="2201">
        <v>35.808708326640001</v>
      </c>
      <c r="I78" s="2196">
        <f t="shared" si="155"/>
        <v>1.8229604228553371E-3</v>
      </c>
      <c r="J78" s="2229"/>
      <c r="K78" s="2229"/>
      <c r="L78" s="2218">
        <f t="shared" si="173"/>
        <v>0</v>
      </c>
      <c r="M78" s="2218"/>
      <c r="N78" s="2218">
        <f t="shared" si="179"/>
        <v>35.808708326640001</v>
      </c>
      <c r="O78" s="2045">
        <v>35.808708326640001</v>
      </c>
      <c r="P78" s="2139">
        <f t="shared" si="127"/>
        <v>1.7874245155471676E-3</v>
      </c>
      <c r="Q78" s="2040">
        <f t="shared" si="156"/>
        <v>0</v>
      </c>
      <c r="R78" s="2130">
        <f t="shared" si="157"/>
        <v>-3.5535907308169518E-5</v>
      </c>
      <c r="S78" s="2201">
        <v>36.108707726639999</v>
      </c>
      <c r="T78" s="2196">
        <f t="shared" si="158"/>
        <v>1.636778249373367E-3</v>
      </c>
      <c r="U78" s="2229">
        <f>W78/2</f>
        <v>18.054353863319999</v>
      </c>
      <c r="V78" s="2229">
        <f t="shared" si="159"/>
        <v>18.054353863319999</v>
      </c>
      <c r="W78" s="2045">
        <v>36.108707726639999</v>
      </c>
      <c r="X78" s="2139">
        <f t="shared" si="128"/>
        <v>1.5939587967325581E-3</v>
      </c>
      <c r="Y78" s="2040">
        <f t="shared" si="182"/>
        <v>0</v>
      </c>
      <c r="Z78" s="2130">
        <f t="shared" si="183"/>
        <v>-4.2819452640808879E-5</v>
      </c>
      <c r="AA78" s="2201">
        <v>36.108808326640002</v>
      </c>
      <c r="AB78" s="2196">
        <f t="shared" si="161"/>
        <v>1.4555210570629368E-3</v>
      </c>
      <c r="AC78" s="2229"/>
      <c r="AD78" s="2229"/>
      <c r="AE78" s="2045">
        <v>36.108808326640002</v>
      </c>
      <c r="AF78" s="2039">
        <f t="shared" si="129"/>
        <v>1.4125706342643706E-3</v>
      </c>
      <c r="AG78" s="2040">
        <f t="shared" ref="AG78:AG79" si="186">AE78-AA78</f>
        <v>0</v>
      </c>
      <c r="AH78" s="2139">
        <f t="shared" ref="AH78:AH79" si="187">AF78-AB78</f>
        <v>-4.2950422798566272E-5</v>
      </c>
      <c r="AI78" s="2201">
        <v>36.108708326639999</v>
      </c>
      <c r="AJ78" s="2196">
        <f t="shared" si="164"/>
        <v>1.2924445432362275E-3</v>
      </c>
      <c r="AK78" s="2229"/>
      <c r="AL78" s="2229"/>
      <c r="AM78" s="2045">
        <v>36.108708326639999</v>
      </c>
      <c r="AN78" s="2039">
        <f t="shared" si="130"/>
        <v>1.2548607447685294E-3</v>
      </c>
      <c r="AO78" s="2040">
        <f t="shared" ref="AO78:AO79" si="188">AM78-AI78</f>
        <v>0</v>
      </c>
      <c r="AP78" s="2139">
        <f t="shared" ref="AP78:AP79" si="189">AN78-AJ78</f>
        <v>-3.7583798467698097E-5</v>
      </c>
      <c r="AQ78" s="2201">
        <v>36.108708326639999</v>
      </c>
      <c r="AR78" s="2196">
        <f t="shared" si="167"/>
        <v>1.1478193101565077E-3</v>
      </c>
      <c r="AS78" s="2229"/>
      <c r="AT78" s="2229"/>
      <c r="AU78" s="2045">
        <v>36.108708326639999</v>
      </c>
      <c r="AV78" s="2039">
        <f t="shared" si="131"/>
        <v>1.1167615824951764E-3</v>
      </c>
      <c r="AW78" s="2040">
        <f t="shared" si="177"/>
        <v>0</v>
      </c>
      <c r="AX78" s="2139">
        <f t="shared" si="178"/>
        <v>-3.105772766133128E-5</v>
      </c>
      <c r="AY78" s="2201">
        <v>36.108708326639999</v>
      </c>
      <c r="AZ78" s="2196">
        <f t="shared" si="170"/>
        <v>1.0193777177233639E-3</v>
      </c>
      <c r="BA78" s="2229"/>
      <c r="BB78" s="2229"/>
      <c r="BC78" s="2045">
        <v>36.108708326639999</v>
      </c>
      <c r="BD78" s="2039">
        <f t="shared" si="132"/>
        <v>9.9397659788430146E-4</v>
      </c>
      <c r="BE78" s="2040">
        <f t="shared" ref="BE78:BE79" si="190">BC78-AY78</f>
        <v>0</v>
      </c>
      <c r="BF78" s="2139">
        <f t="shared" ref="BF78:BF79" si="191">BD78-AZ78</f>
        <v>-2.5401119839062484E-5</v>
      </c>
    </row>
    <row r="79" spans="1:60">
      <c r="A79" s="2183" t="s">
        <v>3743</v>
      </c>
      <c r="B79" s="2044"/>
      <c r="C79" s="2037"/>
      <c r="D79" s="2045"/>
      <c r="E79" s="2039"/>
      <c r="F79" s="2040"/>
      <c r="G79" s="2130"/>
      <c r="H79" s="2201">
        <v>0</v>
      </c>
      <c r="I79" s="2196">
        <f t="shared" si="155"/>
        <v>0</v>
      </c>
      <c r="J79" s="2229"/>
      <c r="K79" s="2229"/>
      <c r="L79" s="2218">
        <f t="shared" si="173"/>
        <v>0</v>
      </c>
      <c r="M79" s="2218"/>
      <c r="N79" s="2218">
        <f t="shared" si="179"/>
        <v>0</v>
      </c>
      <c r="O79" s="2045">
        <v>0</v>
      </c>
      <c r="P79" s="2139">
        <f t="shared" si="127"/>
        <v>0</v>
      </c>
      <c r="Q79" s="2040">
        <f t="shared" si="156"/>
        <v>0</v>
      </c>
      <c r="R79" s="2130">
        <f t="shared" si="157"/>
        <v>0</v>
      </c>
      <c r="S79" s="2201">
        <v>0</v>
      </c>
      <c r="T79" s="2196">
        <f t="shared" si="158"/>
        <v>0</v>
      </c>
      <c r="U79" s="2229">
        <f>U77-U78</f>
        <v>663.3584558099418</v>
      </c>
      <c r="V79" s="2229">
        <f t="shared" si="159"/>
        <v>-6.3431848000050195E-2</v>
      </c>
      <c r="W79" s="2045">
        <f>W77-W78</f>
        <v>663.29502396194175</v>
      </c>
      <c r="X79" s="2139">
        <f t="shared" si="128"/>
        <v>2.9280054724668238E-2</v>
      </c>
      <c r="Y79" s="2040">
        <f t="shared" si="182"/>
        <v>663.29502396194175</v>
      </c>
      <c r="Z79" s="2130">
        <f t="shared" si="183"/>
        <v>2.9280054724668238E-2</v>
      </c>
      <c r="AA79" s="2201">
        <v>0</v>
      </c>
      <c r="AB79" s="2196">
        <f t="shared" si="161"/>
        <v>0</v>
      </c>
      <c r="AC79" s="2229"/>
      <c r="AD79" s="2229"/>
      <c r="AE79" s="2045">
        <f>AE77-AE78</f>
        <v>546.79554801572101</v>
      </c>
      <c r="AF79" s="2039">
        <f t="shared" si="129"/>
        <v>2.1390551775801941E-2</v>
      </c>
      <c r="AG79" s="2040">
        <f t="shared" si="186"/>
        <v>546.79554801572101</v>
      </c>
      <c r="AH79" s="2139">
        <f t="shared" si="187"/>
        <v>2.1390551775801941E-2</v>
      </c>
      <c r="AI79" s="2201">
        <v>0</v>
      </c>
      <c r="AJ79" s="2196">
        <f t="shared" si="164"/>
        <v>0</v>
      </c>
      <c r="AK79" s="2229"/>
      <c r="AL79" s="2229"/>
      <c r="AM79" s="2045">
        <f>AM77-AM78</f>
        <v>72.089730586807235</v>
      </c>
      <c r="AN79" s="2039">
        <f t="shared" si="130"/>
        <v>2.5052841047649107E-3</v>
      </c>
      <c r="AO79" s="2040">
        <f t="shared" si="188"/>
        <v>72.089730586807235</v>
      </c>
      <c r="AP79" s="2139">
        <f t="shared" si="189"/>
        <v>2.5052841047649107E-3</v>
      </c>
      <c r="AQ79" s="2201">
        <v>0</v>
      </c>
      <c r="AR79" s="2196">
        <f t="shared" si="167"/>
        <v>0</v>
      </c>
      <c r="AS79" s="2229"/>
      <c r="AT79" s="2229"/>
      <c r="AU79" s="2045">
        <f>AU77-AU78</f>
        <v>26.877262168935069</v>
      </c>
      <c r="AV79" s="2039">
        <f t="shared" si="131"/>
        <v>8.3125360124757137E-4</v>
      </c>
      <c r="AW79" s="2040">
        <f t="shared" si="177"/>
        <v>26.877262168935069</v>
      </c>
      <c r="AX79" s="2139">
        <f t="shared" si="178"/>
        <v>8.3125360124757137E-4</v>
      </c>
      <c r="AY79" s="2201">
        <v>0</v>
      </c>
      <c r="AZ79" s="2196">
        <f t="shared" si="170"/>
        <v>0</v>
      </c>
      <c r="BA79" s="2229"/>
      <c r="BB79" s="2229"/>
      <c r="BC79" s="2045">
        <f>BC77-BC78</f>
        <v>-0.12686429600000082</v>
      </c>
      <c r="BD79" s="2039">
        <f t="shared" si="132"/>
        <v>-3.4922362824602797E-6</v>
      </c>
      <c r="BE79" s="2040">
        <f t="shared" si="190"/>
        <v>-0.12686429600000082</v>
      </c>
      <c r="BF79" s="2139">
        <f t="shared" si="191"/>
        <v>-3.4922362824602797E-6</v>
      </c>
    </row>
    <row r="80" spans="1:60">
      <c r="A80" s="2067" t="s">
        <v>602</v>
      </c>
      <c r="B80" s="2063">
        <v>0</v>
      </c>
      <c r="C80" s="2037">
        <f t="shared" ref="C80:C85" si="192">B80/$B$109</f>
        <v>0</v>
      </c>
      <c r="D80" s="2092">
        <f>0</f>
        <v>0</v>
      </c>
      <c r="E80" s="2039">
        <f t="shared" ref="E80:E85" si="193">D80/$D$109</f>
        <v>0</v>
      </c>
      <c r="F80" s="2040">
        <f t="shared" si="154"/>
        <v>0</v>
      </c>
      <c r="G80" s="2130">
        <f t="shared" ref="G80:G108" si="194">E80-C80</f>
        <v>0</v>
      </c>
      <c r="H80" s="2212">
        <v>0</v>
      </c>
      <c r="I80" s="2196">
        <f t="shared" si="155"/>
        <v>0</v>
      </c>
      <c r="J80" s="2229">
        <v>0</v>
      </c>
      <c r="K80" s="2229">
        <v>0</v>
      </c>
      <c r="L80" s="2229">
        <f t="shared" si="173"/>
        <v>0</v>
      </c>
      <c r="M80" s="2229">
        <v>0</v>
      </c>
      <c r="N80" s="2218">
        <f t="shared" si="179"/>
        <v>0</v>
      </c>
      <c r="O80" s="2092">
        <f>H80</f>
        <v>0</v>
      </c>
      <c r="P80" s="2139">
        <f t="shared" si="127"/>
        <v>0</v>
      </c>
      <c r="Q80" s="2040">
        <f t="shared" si="156"/>
        <v>0</v>
      </c>
      <c r="R80" s="2130">
        <f t="shared" si="157"/>
        <v>0</v>
      </c>
      <c r="S80" s="2212">
        <v>0</v>
      </c>
      <c r="T80" s="2196">
        <f t="shared" si="158"/>
        <v>0</v>
      </c>
      <c r="U80" s="2229">
        <f>FISCinyear!IZ890</f>
        <v>0</v>
      </c>
      <c r="V80" s="2229">
        <f t="shared" si="159"/>
        <v>0</v>
      </c>
      <c r="W80" s="2092">
        <f>FISC!AK1211</f>
        <v>0</v>
      </c>
      <c r="X80" s="2139">
        <f t="shared" si="128"/>
        <v>0</v>
      </c>
      <c r="Y80" s="2040">
        <f t="shared" si="160"/>
        <v>0</v>
      </c>
      <c r="Z80" s="2130">
        <f t="shared" ref="Z80:Z108" si="195">X80-T80</f>
        <v>0</v>
      </c>
      <c r="AA80" s="2212">
        <v>0</v>
      </c>
      <c r="AB80" s="2196">
        <f t="shared" si="161"/>
        <v>0</v>
      </c>
      <c r="AC80" s="2229">
        <v>0</v>
      </c>
      <c r="AD80" s="2229">
        <f t="shared" si="162"/>
        <v>0</v>
      </c>
      <c r="AE80" s="2092">
        <f>FISC!AL1211</f>
        <v>0</v>
      </c>
      <c r="AF80" s="2039">
        <f t="shared" si="129"/>
        <v>0</v>
      </c>
      <c r="AG80" s="2040">
        <f t="shared" si="163"/>
        <v>0</v>
      </c>
      <c r="AH80" s="2139">
        <f t="shared" si="176"/>
        <v>0</v>
      </c>
      <c r="AI80" s="2212">
        <v>0</v>
      </c>
      <c r="AJ80" s="2196">
        <f t="shared" si="164"/>
        <v>0</v>
      </c>
      <c r="AK80" s="2229"/>
      <c r="AL80" s="2229">
        <f t="shared" si="165"/>
        <v>0</v>
      </c>
      <c r="AM80" s="2092">
        <f>FISC!AU1211</f>
        <v>0</v>
      </c>
      <c r="AN80" s="2039">
        <f t="shared" si="130"/>
        <v>0</v>
      </c>
      <c r="AO80" s="2040">
        <f t="shared" si="166"/>
        <v>0</v>
      </c>
      <c r="AP80" s="2139">
        <f t="shared" si="166"/>
        <v>0</v>
      </c>
      <c r="AQ80" s="2212">
        <v>0</v>
      </c>
      <c r="AR80" s="2196">
        <f t="shared" si="167"/>
        <v>0</v>
      </c>
      <c r="AS80" s="2229"/>
      <c r="AT80" s="2229">
        <f t="shared" si="168"/>
        <v>0</v>
      </c>
      <c r="AU80" s="2092">
        <f>FISC!AZ1211</f>
        <v>0</v>
      </c>
      <c r="AV80" s="2039">
        <f t="shared" si="131"/>
        <v>0</v>
      </c>
      <c r="AW80" s="2040">
        <f t="shared" si="177"/>
        <v>0</v>
      </c>
      <c r="AX80" s="2139">
        <f t="shared" si="178"/>
        <v>0</v>
      </c>
      <c r="AY80" s="2212">
        <v>0</v>
      </c>
      <c r="AZ80" s="2196">
        <f t="shared" si="170"/>
        <v>0</v>
      </c>
      <c r="BA80" s="2229"/>
      <c r="BB80" s="2229">
        <f t="shared" si="171"/>
        <v>0</v>
      </c>
      <c r="BC80" s="2092">
        <f>FISC!BE1211</f>
        <v>0</v>
      </c>
      <c r="BD80" s="2039">
        <f t="shared" si="132"/>
        <v>0</v>
      </c>
      <c r="BE80" s="2040">
        <f t="shared" si="180"/>
        <v>0</v>
      </c>
      <c r="BF80" s="2139">
        <f t="shared" si="181"/>
        <v>0</v>
      </c>
    </row>
    <row r="81" spans="1:58" ht="12.65" customHeight="1">
      <c r="A81" s="2046" t="s">
        <v>3290</v>
      </c>
      <c r="B81" s="2065">
        <v>0</v>
      </c>
      <c r="C81" s="2048">
        <f t="shared" si="192"/>
        <v>0</v>
      </c>
      <c r="D81" s="2066">
        <f t="shared" ref="D81" si="196">B81</f>
        <v>0</v>
      </c>
      <c r="E81" s="2050">
        <f t="shared" si="193"/>
        <v>0</v>
      </c>
      <c r="F81" s="2051">
        <f t="shared" si="154"/>
        <v>0</v>
      </c>
      <c r="G81" s="2131">
        <f t="shared" si="194"/>
        <v>0</v>
      </c>
      <c r="H81" s="2202">
        <v>0</v>
      </c>
      <c r="I81" s="2196">
        <f t="shared" si="155"/>
        <v>0</v>
      </c>
      <c r="J81" s="2229">
        <v>0</v>
      </c>
      <c r="K81" s="2229">
        <v>0</v>
      </c>
      <c r="L81" s="2229">
        <f t="shared" si="173"/>
        <v>0</v>
      </c>
      <c r="M81" s="2229">
        <v>0</v>
      </c>
      <c r="N81" s="2220">
        <f t="shared" si="179"/>
        <v>0</v>
      </c>
      <c r="O81" s="2066">
        <f>H81</f>
        <v>0</v>
      </c>
      <c r="P81" s="2140">
        <f t="shared" si="127"/>
        <v>0</v>
      </c>
      <c r="Q81" s="2040">
        <f t="shared" si="156"/>
        <v>0</v>
      </c>
      <c r="R81" s="2130">
        <f t="shared" si="157"/>
        <v>0</v>
      </c>
      <c r="S81" s="2202">
        <v>0</v>
      </c>
      <c r="T81" s="2203">
        <f t="shared" si="158"/>
        <v>0</v>
      </c>
      <c r="U81" s="2230">
        <v>0</v>
      </c>
      <c r="V81" s="2230">
        <f t="shared" si="159"/>
        <v>0</v>
      </c>
      <c r="W81" s="2066">
        <f>S81</f>
        <v>0</v>
      </c>
      <c r="X81" s="2140">
        <f t="shared" si="128"/>
        <v>0</v>
      </c>
      <c r="Y81" s="2051">
        <f t="shared" si="160"/>
        <v>0</v>
      </c>
      <c r="Z81" s="2131">
        <f t="shared" si="195"/>
        <v>0</v>
      </c>
      <c r="AA81" s="2202">
        <v>0</v>
      </c>
      <c r="AB81" s="2203">
        <f t="shared" si="161"/>
        <v>0</v>
      </c>
      <c r="AC81" s="2230">
        <v>0</v>
      </c>
      <c r="AD81" s="2230">
        <f t="shared" si="162"/>
        <v>0</v>
      </c>
      <c r="AE81" s="2066">
        <f>AA81</f>
        <v>0</v>
      </c>
      <c r="AF81" s="2050">
        <f t="shared" si="129"/>
        <v>0</v>
      </c>
      <c r="AG81" s="2051">
        <f t="shared" si="163"/>
        <v>0</v>
      </c>
      <c r="AH81" s="2140">
        <f t="shared" si="176"/>
        <v>0</v>
      </c>
      <c r="AI81" s="2202">
        <v>0</v>
      </c>
      <c r="AJ81" s="2203">
        <f t="shared" si="164"/>
        <v>0</v>
      </c>
      <c r="AK81" s="2230"/>
      <c r="AL81" s="2230">
        <f t="shared" si="165"/>
        <v>0</v>
      </c>
      <c r="AM81" s="2066">
        <f>AI81</f>
        <v>0</v>
      </c>
      <c r="AN81" s="2050">
        <f t="shared" si="130"/>
        <v>0</v>
      </c>
      <c r="AO81" s="2051">
        <f t="shared" si="166"/>
        <v>0</v>
      </c>
      <c r="AP81" s="2140">
        <f t="shared" si="166"/>
        <v>0</v>
      </c>
      <c r="AQ81" s="2202">
        <v>0</v>
      </c>
      <c r="AR81" s="2203">
        <f t="shared" si="167"/>
        <v>0</v>
      </c>
      <c r="AS81" s="2230"/>
      <c r="AT81" s="2230">
        <f t="shared" si="168"/>
        <v>0</v>
      </c>
      <c r="AU81" s="2066">
        <f>AN81</f>
        <v>0</v>
      </c>
      <c r="AV81" s="2039">
        <f t="shared" si="131"/>
        <v>0</v>
      </c>
      <c r="AW81" s="2040">
        <f t="shared" si="177"/>
        <v>0</v>
      </c>
      <c r="AX81" s="2139">
        <f t="shared" si="178"/>
        <v>0</v>
      </c>
      <c r="AY81" s="2202">
        <v>0</v>
      </c>
      <c r="AZ81" s="2203">
        <f t="shared" si="170"/>
        <v>0</v>
      </c>
      <c r="BA81" s="2230"/>
      <c r="BB81" s="2230">
        <f t="shared" si="171"/>
        <v>0</v>
      </c>
      <c r="BC81" s="2066">
        <f>AV81</f>
        <v>0</v>
      </c>
      <c r="BD81" s="2039">
        <f t="shared" si="132"/>
        <v>0</v>
      </c>
      <c r="BE81" s="2040">
        <f t="shared" si="180"/>
        <v>0</v>
      </c>
      <c r="BF81" s="2139">
        <f t="shared" si="181"/>
        <v>0</v>
      </c>
    </row>
    <row r="82" spans="1:58">
      <c r="A82" s="2052" t="s">
        <v>603</v>
      </c>
      <c r="B82" s="2053">
        <v>1299.0381424499506</v>
      </c>
      <c r="C82" s="2054">
        <f t="shared" si="192"/>
        <v>7.5226414176632256E-2</v>
      </c>
      <c r="D82" s="2055">
        <f>FISC!AI1213</f>
        <v>1281.5282433489474</v>
      </c>
      <c r="E82" s="2056">
        <f t="shared" si="193"/>
        <v>7.2210978945677989E-2</v>
      </c>
      <c r="F82" s="2057">
        <f t="shared" si="154"/>
        <v>-17.509899101003157</v>
      </c>
      <c r="G82" s="2132">
        <f t="shared" si="194"/>
        <v>-3.0154352309542665E-3</v>
      </c>
      <c r="H82" s="2199">
        <v>1267.7097575995733</v>
      </c>
      <c r="I82" s="2200">
        <f t="shared" si="155"/>
        <v>6.4536947121666799E-2</v>
      </c>
      <c r="J82" s="2228">
        <v>688.81738649283989</v>
      </c>
      <c r="K82" s="2228">
        <f>FISCinyear!IW892</f>
        <v>1281.0498286458217</v>
      </c>
      <c r="L82" s="2219">
        <f t="shared" si="173"/>
        <v>592.23244215298178</v>
      </c>
      <c r="M82" s="2219">
        <v>578.89237110673344</v>
      </c>
      <c r="N82" s="2219">
        <f t="shared" si="179"/>
        <v>-17.519268894618108</v>
      </c>
      <c r="O82" s="2055">
        <f>FISC!AJ1213</f>
        <v>1263.5305597512036</v>
      </c>
      <c r="P82" s="2141">
        <f t="shared" si="127"/>
        <v>6.3070286647623749E-2</v>
      </c>
      <c r="Q82" s="2057">
        <f t="shared" si="156"/>
        <v>-4.1791978483697676</v>
      </c>
      <c r="R82" s="2132">
        <f t="shared" si="157"/>
        <v>-1.4666604740430494E-3</v>
      </c>
      <c r="S82" s="2199">
        <v>831.25892650539413</v>
      </c>
      <c r="T82" s="2200">
        <f t="shared" si="158"/>
        <v>3.7680288666151314E-2</v>
      </c>
      <c r="U82" s="2228">
        <f>FISCinyear!IZ892</f>
        <v>1632.8257188896578</v>
      </c>
      <c r="V82" s="2228">
        <f t="shared" si="159"/>
        <v>148.62071953536861</v>
      </c>
      <c r="W82" s="2055">
        <f>FISC!AK1213</f>
        <v>1781.4464384250264</v>
      </c>
      <c r="X82" s="2141">
        <f t="shared" si="128"/>
        <v>7.8638987662815574E-2</v>
      </c>
      <c r="Y82" s="2057">
        <f t="shared" si="160"/>
        <v>950.18751191963224</v>
      </c>
      <c r="Z82" s="2132">
        <f t="shared" si="195"/>
        <v>4.095869899666426E-2</v>
      </c>
      <c r="AA82" s="2199">
        <v>886.4830279906646</v>
      </c>
      <c r="AB82" s="2200">
        <f t="shared" si="161"/>
        <v>3.5733516938507889E-2</v>
      </c>
      <c r="AC82" s="2228">
        <f>FISCinyear!JC892</f>
        <v>1208.696324991241</v>
      </c>
      <c r="AD82" s="2228">
        <f t="shared" si="162"/>
        <v>308.20960061740288</v>
      </c>
      <c r="AE82" s="2055">
        <f>FISC!AL1213</f>
        <v>1516.9059256086439</v>
      </c>
      <c r="AF82" s="2056">
        <f t="shared" si="129"/>
        <v>5.9341109960572611E-2</v>
      </c>
      <c r="AG82" s="2057">
        <f t="shared" si="163"/>
        <v>630.42289761797929</v>
      </c>
      <c r="AH82" s="2141">
        <f t="shared" si="176"/>
        <v>2.3607593022064721E-2</v>
      </c>
      <c r="AI82" s="2199">
        <v>967.38080178729638</v>
      </c>
      <c r="AJ82" s="2200">
        <f t="shared" si="164"/>
        <v>3.4625609622791508E-2</v>
      </c>
      <c r="AK82" s="2228">
        <f>FISCinyear!JF892</f>
        <v>981.20584699843823</v>
      </c>
      <c r="AL82" s="2228">
        <f t="shared" si="165"/>
        <v>184.55004555985977</v>
      </c>
      <c r="AM82" s="2055">
        <f>FISC!AM1213</f>
        <v>1165.755892558298</v>
      </c>
      <c r="AN82" s="2056">
        <f t="shared" si="130"/>
        <v>4.0512701100270297E-2</v>
      </c>
      <c r="AO82" s="2057">
        <f t="shared" si="166"/>
        <v>198.37509077100162</v>
      </c>
      <c r="AP82" s="2141">
        <f t="shared" si="166"/>
        <v>5.8870914774787897E-3</v>
      </c>
      <c r="AQ82" s="2199">
        <v>1038.0561569808474</v>
      </c>
      <c r="AR82" s="2200">
        <f t="shared" si="167"/>
        <v>3.2997605210109818E-2</v>
      </c>
      <c r="AS82" s="2228">
        <f>FISCinyear!JI892</f>
        <v>916.04906660674146</v>
      </c>
      <c r="AT82" s="2228">
        <f t="shared" si="168"/>
        <v>230.459025850628</v>
      </c>
      <c r="AU82" s="2055">
        <f>FISC!AN1213</f>
        <v>1146.5080924573695</v>
      </c>
      <c r="AV82" s="2056">
        <f t="shared" si="131"/>
        <v>3.5458930851082038E-2</v>
      </c>
      <c r="AW82" s="2057">
        <f t="shared" si="169"/>
        <v>108.45193547652207</v>
      </c>
      <c r="AX82" s="2141">
        <f t="shared" si="174"/>
        <v>2.4613256409722201E-3</v>
      </c>
      <c r="AY82" s="2199">
        <v>1218.952035996324</v>
      </c>
      <c r="AZ82" s="2200">
        <f t="shared" si="170"/>
        <v>3.4411990958741805E-2</v>
      </c>
      <c r="BA82" s="2228">
        <f>FISCinyear!JL892</f>
        <v>897.90020482219234</v>
      </c>
      <c r="BB82" s="2228">
        <f t="shared" si="171"/>
        <v>385.97413724668445</v>
      </c>
      <c r="BC82" s="2055">
        <f>FISC!AO1213</f>
        <v>1283.8743420688768</v>
      </c>
      <c r="BD82" s="2056">
        <f t="shared" si="132"/>
        <v>3.5341642218175574E-2</v>
      </c>
      <c r="BE82" s="2057">
        <f t="shared" si="172"/>
        <v>64.922306072552828</v>
      </c>
      <c r="BF82" s="2141">
        <f t="shared" si="118"/>
        <v>9.2965125943376969E-4</v>
      </c>
    </row>
    <row r="83" spans="1:58">
      <c r="A83" s="2067" t="s">
        <v>597</v>
      </c>
      <c r="B83" s="2044">
        <v>90.706809400701559</v>
      </c>
      <c r="C83" s="2037">
        <f t="shared" si="192"/>
        <v>5.2527695605219023E-3</v>
      </c>
      <c r="D83" s="2045">
        <f>FISC!AI1214</f>
        <v>-25.685910036448661</v>
      </c>
      <c r="E83" s="2039">
        <f t="shared" si="193"/>
        <v>-1.4473381437115377E-3</v>
      </c>
      <c r="F83" s="2040">
        <f t="shared" si="154"/>
        <v>-116.39271943715022</v>
      </c>
      <c r="G83" s="2130">
        <f t="shared" si="194"/>
        <v>-6.7001077042334401E-3</v>
      </c>
      <c r="H83" s="2212">
        <v>-48.544990256820029</v>
      </c>
      <c r="I83" s="2196">
        <f t="shared" si="155"/>
        <v>-2.4713428688586427E-3</v>
      </c>
      <c r="J83" s="2229">
        <v>-273.33116587324889</v>
      </c>
      <c r="K83" s="2229">
        <f>FISCinyear!IW893</f>
        <v>249.45885628999986</v>
      </c>
      <c r="L83" s="2218">
        <f t="shared" si="173"/>
        <v>522.79002216324875</v>
      </c>
      <c r="M83" s="2218">
        <v>224.78617561642886</v>
      </c>
      <c r="N83" s="2218">
        <f t="shared" si="179"/>
        <v>-270.55180000355153</v>
      </c>
      <c r="O83" s="2092">
        <f>FISC!AJ1214</f>
        <v>-21.092943713551676</v>
      </c>
      <c r="P83" s="2139">
        <f t="shared" si="127"/>
        <v>-1.0528736293626717E-3</v>
      </c>
      <c r="Q83" s="2040">
        <f t="shared" si="156"/>
        <v>27.452046543268352</v>
      </c>
      <c r="R83" s="2130">
        <f t="shared" si="157"/>
        <v>1.4184692394959709E-3</v>
      </c>
      <c r="S83" s="2212">
        <v>-225.97821137225833</v>
      </c>
      <c r="T83" s="2196">
        <f t="shared" si="158"/>
        <v>-1.0243407878413919E-2</v>
      </c>
      <c r="U83" s="2229">
        <f>FISCinyear!IZ893</f>
        <v>189.38002069126992</v>
      </c>
      <c r="V83" s="2229">
        <f t="shared" si="159"/>
        <v>-219.72099467202406</v>
      </c>
      <c r="W83" s="2092">
        <f>FISC!AK1214</f>
        <v>-30.340973980754143</v>
      </c>
      <c r="X83" s="2139">
        <f t="shared" si="128"/>
        <v>-1.3393517913790195E-3</v>
      </c>
      <c r="Y83" s="2040">
        <f t="shared" si="160"/>
        <v>195.63723739150419</v>
      </c>
      <c r="Z83" s="2130">
        <f t="shared" si="195"/>
        <v>8.9040560870349006E-3</v>
      </c>
      <c r="AA83" s="2212">
        <v>-109.81713418802792</v>
      </c>
      <c r="AB83" s="2196">
        <f t="shared" si="161"/>
        <v>-4.4266526270005631E-3</v>
      </c>
      <c r="AC83" s="2229">
        <f>FISCinyear!JC893</f>
        <v>59.389836158466778</v>
      </c>
      <c r="AD83" s="2229">
        <f t="shared" si="162"/>
        <v>-175.14970342222591</v>
      </c>
      <c r="AE83" s="2092">
        <f>FISC!AL1214</f>
        <v>-115.75986726375913</v>
      </c>
      <c r="AF83" s="2039">
        <f t="shared" si="129"/>
        <v>-4.5285069405762738E-3</v>
      </c>
      <c r="AG83" s="2040">
        <f t="shared" si="163"/>
        <v>-5.942733075731212</v>
      </c>
      <c r="AH83" s="2139">
        <f t="shared" si="176"/>
        <v>-1.0185431357571072E-4</v>
      </c>
      <c r="AI83" s="2201">
        <v>221.17304388028492</v>
      </c>
      <c r="AJ83" s="2196">
        <f t="shared" si="164"/>
        <v>7.9164807305811581E-3</v>
      </c>
      <c r="AK83" s="2229">
        <f>FISCinyear!JF893</f>
        <v>202.1773989299528</v>
      </c>
      <c r="AL83" s="2229">
        <f t="shared" si="165"/>
        <v>-16.458495639690568</v>
      </c>
      <c r="AM83" s="2045">
        <f>FISC!AM1214</f>
        <v>185.71890329026223</v>
      </c>
      <c r="AN83" s="2039">
        <f t="shared" si="130"/>
        <v>6.4541594562792532E-3</v>
      </c>
      <c r="AO83" s="2040">
        <f t="shared" si="166"/>
        <v>-35.454140590022689</v>
      </c>
      <c r="AP83" s="2139">
        <f t="shared" si="166"/>
        <v>-1.4623212743019049E-3</v>
      </c>
      <c r="AQ83" s="2201">
        <v>-72.211964284506848</v>
      </c>
      <c r="AR83" s="2196">
        <f t="shared" si="167"/>
        <v>-2.2954653010652786E-3</v>
      </c>
      <c r="AS83" s="2229">
        <f>FISCinyear!JI893</f>
        <v>262.35592353322522</v>
      </c>
      <c r="AT83" s="2229">
        <f t="shared" si="168"/>
        <v>112.45905381266596</v>
      </c>
      <c r="AU83" s="2045">
        <f>FISC!AN1214</f>
        <v>374.81497734589118</v>
      </c>
      <c r="AV83" s="2039">
        <f t="shared" si="131"/>
        <v>1.1592188883003474E-2</v>
      </c>
      <c r="AW83" s="2040">
        <f t="shared" si="169"/>
        <v>447.02694163039803</v>
      </c>
      <c r="AX83" s="2139">
        <f t="shared" si="174"/>
        <v>1.3887654184068753E-2</v>
      </c>
      <c r="AY83" s="2201">
        <v>-173.02416010767593</v>
      </c>
      <c r="AZ83" s="2196">
        <f t="shared" si="170"/>
        <v>-4.8846104337506475E-3</v>
      </c>
      <c r="BA83" s="2229">
        <f>FISCinyear!JL893</f>
        <v>622.95133363793491</v>
      </c>
      <c r="BB83" s="2229">
        <f t="shared" si="171"/>
        <v>328.42918103137924</v>
      </c>
      <c r="BC83" s="2045">
        <f>FISC!AO1214</f>
        <v>951.38051466931415</v>
      </c>
      <c r="BD83" s="2039">
        <f t="shared" si="132"/>
        <v>2.6188972441496792E-2</v>
      </c>
      <c r="BE83" s="2040">
        <f t="shared" si="172"/>
        <v>1124.4046747769901</v>
      </c>
      <c r="BF83" s="2139">
        <f t="shared" si="118"/>
        <v>3.1073582875247439E-2</v>
      </c>
    </row>
    <row r="84" spans="1:58">
      <c r="A84" s="2036" t="s">
        <v>3234</v>
      </c>
      <c r="B84" s="2044">
        <v>219.34147124206154</v>
      </c>
      <c r="C84" s="2037">
        <f t="shared" si="192"/>
        <v>1.2701915226790901E-2</v>
      </c>
      <c r="D84" s="2045">
        <f>FISC!AI1219</f>
        <v>154.48750000000004</v>
      </c>
      <c r="E84" s="2039">
        <f t="shared" si="193"/>
        <v>8.7049923930805229E-3</v>
      </c>
      <c r="F84" s="2040">
        <f t="shared" si="154"/>
        <v>-64.853971242061505</v>
      </c>
      <c r="G84" s="2130">
        <f t="shared" si="194"/>
        <v>-3.9969228337103785E-3</v>
      </c>
      <c r="H84" s="2201">
        <v>110.47832671353997</v>
      </c>
      <c r="I84" s="2196">
        <f t="shared" si="155"/>
        <v>5.6242636663952081E-3</v>
      </c>
      <c r="J84" s="2229">
        <v>-167.31524305556889</v>
      </c>
      <c r="K84" s="2229">
        <f>FISCinyear!IW898</f>
        <v>351.16669999999988</v>
      </c>
      <c r="L84" s="2218">
        <f t="shared" si="173"/>
        <v>518.48194305556876</v>
      </c>
      <c r="M84" s="2218">
        <v>277.79356976910884</v>
      </c>
      <c r="N84" s="2218">
        <f t="shared" si="179"/>
        <v>-195.94495791319156</v>
      </c>
      <c r="O84" s="2045">
        <f>FISC!AJ1219</f>
        <v>155.22174208680832</v>
      </c>
      <c r="P84" s="2139">
        <f t="shared" si="127"/>
        <v>7.74803560689993E-3</v>
      </c>
      <c r="Q84" s="2040">
        <f t="shared" si="156"/>
        <v>44.743415373268348</v>
      </c>
      <c r="R84" s="2130">
        <f t="shared" si="157"/>
        <v>2.1237719405047218E-3</v>
      </c>
      <c r="S84" s="2201">
        <v>-54.732283993056512</v>
      </c>
      <c r="T84" s="2196">
        <f t="shared" si="158"/>
        <v>-2.4809697609939102E-3</v>
      </c>
      <c r="U84" s="2229">
        <f>FISCinyear!IZ898</f>
        <v>270.70131777994993</v>
      </c>
      <c r="V84" s="2229">
        <f t="shared" si="159"/>
        <v>-134.11607758334407</v>
      </c>
      <c r="W84" s="2092">
        <f>FISC!AK1219</f>
        <v>136.58524019660587</v>
      </c>
      <c r="X84" s="2139">
        <f t="shared" si="128"/>
        <v>6.0293280713169372E-3</v>
      </c>
      <c r="Y84" s="2040">
        <f t="shared" si="160"/>
        <v>191.31752418966238</v>
      </c>
      <c r="Z84" s="2130">
        <f t="shared" si="195"/>
        <v>8.510297832310847E-3</v>
      </c>
      <c r="AA84" s="2201">
        <v>29.531716958309232</v>
      </c>
      <c r="AB84" s="2196">
        <f t="shared" si="161"/>
        <v>1.1904030588660932E-3</v>
      </c>
      <c r="AC84" s="2229">
        <f>FISCinyear!JC898</f>
        <v>144.26843583514676</v>
      </c>
      <c r="AD84" s="2229">
        <f t="shared" si="162"/>
        <v>-131.0823370665459</v>
      </c>
      <c r="AE84" s="2092">
        <f>FISC!AL1219</f>
        <v>13.186098768600871</v>
      </c>
      <c r="AF84" s="2039">
        <f t="shared" si="129"/>
        <v>5.1583801194827149E-4</v>
      </c>
      <c r="AG84" s="2040">
        <f t="shared" si="163"/>
        <v>-16.345618189708361</v>
      </c>
      <c r="AH84" s="2139">
        <f t="shared" si="176"/>
        <v>-6.7456504691782175E-4</v>
      </c>
      <c r="AI84" s="2201">
        <v>351.06995035865407</v>
      </c>
      <c r="AJ84" s="2196">
        <f t="shared" si="164"/>
        <v>1.2565900655618306E-2</v>
      </c>
      <c r="AK84" s="2229">
        <f>FISCinyear!JF898</f>
        <v>279.85297691663277</v>
      </c>
      <c r="AL84" s="2229">
        <f t="shared" si="165"/>
        <v>29.60389075998944</v>
      </c>
      <c r="AM84" s="2045">
        <f>FISC!AM1219</f>
        <v>309.45686767662221</v>
      </c>
      <c r="AN84" s="2039">
        <f t="shared" si="130"/>
        <v>1.0754338591500568E-2</v>
      </c>
      <c r="AO84" s="2040">
        <f t="shared" si="166"/>
        <v>-41.613082682031859</v>
      </c>
      <c r="AP84" s="2139">
        <f t="shared" si="166"/>
        <v>-1.8115620641177381E-3</v>
      </c>
      <c r="AQ84" s="2201">
        <v>-5.1713848991377347</v>
      </c>
      <c r="AR84" s="2196">
        <f t="shared" si="167"/>
        <v>-1.6438736588931862E-4</v>
      </c>
      <c r="AS84" s="2229">
        <f>FISCinyear!JI898</f>
        <v>315.23766625090525</v>
      </c>
      <c r="AT84" s="2229">
        <f t="shared" si="168"/>
        <v>115.4589483883459</v>
      </c>
      <c r="AU84" s="2045">
        <f>FISC!AN1219</f>
        <v>430.69661463925115</v>
      </c>
      <c r="AV84" s="2039">
        <f t="shared" si="131"/>
        <v>1.3320482931398231E-2</v>
      </c>
      <c r="AW84" s="2040">
        <f t="shared" si="169"/>
        <v>435.86799953838886</v>
      </c>
      <c r="AX84" s="2139">
        <f t="shared" si="174"/>
        <v>1.348487029728755E-2</v>
      </c>
      <c r="AY84" s="2201">
        <v>-52.534243386306827</v>
      </c>
      <c r="AZ84" s="2196">
        <f t="shared" si="170"/>
        <v>-1.4830837104729065E-3</v>
      </c>
      <c r="BA84" s="2229">
        <f>FISCinyear!JL898</f>
        <v>709.03720311561494</v>
      </c>
      <c r="BB84" s="2229">
        <f t="shared" si="171"/>
        <v>351.67428618305928</v>
      </c>
      <c r="BC84" s="2045">
        <f>FISC!AO1219</f>
        <v>1060.7114892986742</v>
      </c>
      <c r="BD84" s="2039">
        <f t="shared" si="132"/>
        <v>2.919856307050555E-2</v>
      </c>
      <c r="BE84" s="2040">
        <f t="shared" si="172"/>
        <v>1113.245732684981</v>
      </c>
      <c r="BF84" s="2139">
        <f t="shared" si="118"/>
        <v>3.0681646780978455E-2</v>
      </c>
    </row>
    <row r="85" spans="1:58">
      <c r="A85" s="2036" t="s">
        <v>604</v>
      </c>
      <c r="B85" s="2044">
        <v>194.63887996167909</v>
      </c>
      <c r="C85" s="2037">
        <f t="shared" si="192"/>
        <v>1.1271404988354456E-2</v>
      </c>
      <c r="D85" s="2045">
        <v>205.34307552212306</v>
      </c>
      <c r="E85" s="2039">
        <f t="shared" si="193"/>
        <v>1.1570579563989578E-2</v>
      </c>
      <c r="F85" s="2040">
        <f t="shared" si="154"/>
        <v>10.704195560443964</v>
      </c>
      <c r="G85" s="2130">
        <f t="shared" si="194"/>
        <v>2.9917457563512218E-4</v>
      </c>
      <c r="H85" s="2201">
        <v>-38.544990256820014</v>
      </c>
      <c r="I85" s="2196">
        <f t="shared" si="155"/>
        <v>-1.9622598809366397E-3</v>
      </c>
      <c r="J85" s="2229">
        <v>-167.31524305556889</v>
      </c>
      <c r="K85" s="2229">
        <f>FISCinyear!IW899</f>
        <v>240.03859999999997</v>
      </c>
      <c r="L85" s="2218">
        <f t="shared" si="173"/>
        <v>407.35384305556886</v>
      </c>
      <c r="M85" s="2218">
        <v>128.77025279874886</v>
      </c>
      <c r="N85" s="2218">
        <f t="shared" si="179"/>
        <v>-251.13154371355165</v>
      </c>
      <c r="O85" s="2045">
        <f>FISC!AJ1220</f>
        <v>-11.092943713551676</v>
      </c>
      <c r="P85" s="2139">
        <f t="shared" si="127"/>
        <v>-5.5371445857029552E-4</v>
      </c>
      <c r="Q85" s="2040">
        <f t="shared" si="156"/>
        <v>27.452046543268338</v>
      </c>
      <c r="R85" s="2130">
        <f t="shared" si="157"/>
        <v>1.4085454223663441E-3</v>
      </c>
      <c r="S85" s="2201">
        <v>-205.97821137225833</v>
      </c>
      <c r="T85" s="2196">
        <f t="shared" si="158"/>
        <v>-9.336824202385104E-3</v>
      </c>
      <c r="U85" s="2229">
        <f>FISCinyear!IZ899</f>
        <v>197.2382106912699</v>
      </c>
      <c r="V85" s="2229">
        <f t="shared" si="159"/>
        <v>-207.57918467202404</v>
      </c>
      <c r="W85" s="2045">
        <f>FISC!AK1220</f>
        <v>-10.340973980754157</v>
      </c>
      <c r="X85" s="2139">
        <f t="shared" si="128"/>
        <v>-4.564850829941174E-4</v>
      </c>
      <c r="Y85" s="2040">
        <f t="shared" si="160"/>
        <v>195.63723739150419</v>
      </c>
      <c r="Z85" s="2130">
        <f t="shared" si="195"/>
        <v>8.8803391193909859E-3</v>
      </c>
      <c r="AA85" s="2201">
        <v>-89.817134188027921</v>
      </c>
      <c r="AB85" s="2196">
        <f t="shared" si="161"/>
        <v>-3.6204664776841393E-3</v>
      </c>
      <c r="AC85" s="2229">
        <f>FISCinyear!JC899</f>
        <v>89.795452818966766</v>
      </c>
      <c r="AD85" s="2229">
        <f t="shared" si="162"/>
        <v>-185.5553200827259</v>
      </c>
      <c r="AE85" s="2045">
        <f>FISC!AL1220</f>
        <v>-95.759867263759133</v>
      </c>
      <c r="AF85" s="2039">
        <f t="shared" si="129"/>
        <v>-3.7461102347718244E-3</v>
      </c>
      <c r="AG85" s="2040">
        <f t="shared" si="163"/>
        <v>-5.942733075731212</v>
      </c>
      <c r="AH85" s="2139">
        <f t="shared" si="176"/>
        <v>-1.2564375708768501E-4</v>
      </c>
      <c r="AI85" s="2201">
        <v>160.17304388028492</v>
      </c>
      <c r="AJ85" s="2196">
        <f t="shared" si="164"/>
        <v>5.7330983613136152E-3</v>
      </c>
      <c r="AK85" s="2229">
        <f>FISCinyear!JF899</f>
        <v>187.48399472345281</v>
      </c>
      <c r="AL85" s="2229">
        <f t="shared" si="165"/>
        <v>-62.765091433190577</v>
      </c>
      <c r="AM85" s="2045">
        <f>FISC!AM1220</f>
        <v>124.71890329026223</v>
      </c>
      <c r="AN85" s="2039">
        <f t="shared" si="130"/>
        <v>4.334269020475256E-3</v>
      </c>
      <c r="AO85" s="2040">
        <f t="shared" si="166"/>
        <v>-35.454140590022689</v>
      </c>
      <c r="AP85" s="2139">
        <f t="shared" si="166"/>
        <v>-1.3988293408383591E-3</v>
      </c>
      <c r="AQ85" s="2201">
        <v>-134.21196428450685</v>
      </c>
      <c r="AR85" s="2196">
        <f t="shared" si="167"/>
        <v>-4.2663139004099435E-3</v>
      </c>
      <c r="AS85" s="2229">
        <f>FISCinyear!JI899</f>
        <v>256.29684760422526</v>
      </c>
      <c r="AT85" s="2229">
        <f t="shared" si="168"/>
        <v>56.518129741665916</v>
      </c>
      <c r="AU85" s="2045">
        <f>FISC!AN1220</f>
        <v>312.81497734589118</v>
      </c>
      <c r="AV85" s="2039">
        <f t="shared" si="131"/>
        <v>9.6746675613222383E-3</v>
      </c>
      <c r="AW85" s="2040">
        <f t="shared" si="169"/>
        <v>447.02694163039803</v>
      </c>
      <c r="AX85" s="2139">
        <f t="shared" si="174"/>
        <v>1.3940981461732182E-2</v>
      </c>
      <c r="AY85" s="2201">
        <v>-236.02416010767595</v>
      </c>
      <c r="AZ85" s="2196">
        <f t="shared" si="170"/>
        <v>-6.6631508244959911E-3</v>
      </c>
      <c r="BA85" s="2229">
        <f>FISCinyear!JL899</f>
        <v>622.87171580093491</v>
      </c>
      <c r="BB85" s="2229">
        <f t="shared" si="171"/>
        <v>265.50879886837924</v>
      </c>
      <c r="BC85" s="2045">
        <f>FISC!AO1220</f>
        <v>888.38051466931415</v>
      </c>
      <c r="BD85" s="2039">
        <f t="shared" si="132"/>
        <v>2.4454750184077761E-2</v>
      </c>
      <c r="BE85" s="2040">
        <f t="shared" si="172"/>
        <v>1124.4046747769901</v>
      </c>
      <c r="BF85" s="2139">
        <f t="shared" si="118"/>
        <v>3.1117901008573753E-2</v>
      </c>
    </row>
    <row r="86" spans="1:58">
      <c r="A86" s="2058" t="s">
        <v>3696</v>
      </c>
      <c r="B86" s="2044"/>
      <c r="C86" s="2037"/>
      <c r="D86" s="2045"/>
      <c r="E86" s="2039"/>
      <c r="F86" s="2040"/>
      <c r="G86" s="2130"/>
      <c r="H86" s="2201">
        <v>-30.065092400319614</v>
      </c>
      <c r="I86" s="2196">
        <f t="shared" si="155"/>
        <v>-1.530562707130579E-3</v>
      </c>
      <c r="J86" s="2229">
        <v>-1.1209999999999809</v>
      </c>
      <c r="K86" s="2229">
        <f>FISCinyear!IW900</f>
        <v>207.52760000000001</v>
      </c>
      <c r="L86" s="2218">
        <f t="shared" si="173"/>
        <v>208.64859999999999</v>
      </c>
      <c r="M86" s="2218">
        <v>-28.944092400319633</v>
      </c>
      <c r="N86" s="2218">
        <f t="shared" si="179"/>
        <v>-216.18009609657031</v>
      </c>
      <c r="O86" s="2045">
        <f>FISC!AJ1221</f>
        <v>-8.6524960965703084</v>
      </c>
      <c r="P86" s="2139">
        <f t="shared" si="127"/>
        <v>-4.3189727768483058E-4</v>
      </c>
      <c r="Q86" s="2040">
        <f t="shared" si="156"/>
        <v>21.412596303749304</v>
      </c>
      <c r="R86" s="2130">
        <f t="shared" si="157"/>
        <v>1.0986654294457485E-3</v>
      </c>
      <c r="S86" s="2201">
        <v>-160.6630048703615</v>
      </c>
      <c r="T86" s="2196">
        <f t="shared" si="158"/>
        <v>-7.2827228778603818E-3</v>
      </c>
      <c r="U86" s="2229">
        <f>FISCinyear!IZ900</f>
        <v>198.37571782915285</v>
      </c>
      <c r="V86" s="2229">
        <f t="shared" si="159"/>
        <v>-206.44167753414109</v>
      </c>
      <c r="W86" s="2045">
        <f>FISC!AK1221</f>
        <v>-8.0659597049882432</v>
      </c>
      <c r="X86" s="2139">
        <f t="shared" si="128"/>
        <v>-3.560583647354116E-4</v>
      </c>
      <c r="Y86" s="2040">
        <f t="shared" si="160"/>
        <v>152.59704516537326</v>
      </c>
      <c r="Z86" s="2130">
        <f t="shared" si="195"/>
        <v>6.9266645131249704E-3</v>
      </c>
      <c r="AA86" s="2201">
        <v>-70.057364666661783</v>
      </c>
      <c r="AB86" s="2196">
        <f t="shared" si="161"/>
        <v>-2.8239638525936286E-3</v>
      </c>
      <c r="AC86" s="2229">
        <f>FISCinyear!JC900</f>
        <v>100.32903821798027</v>
      </c>
      <c r="AD86" s="2229">
        <f t="shared" si="162"/>
        <v>-175.0217346837124</v>
      </c>
      <c r="AE86" s="2045">
        <f>FISCinyear!JE900</f>
        <v>-74.692696465732126</v>
      </c>
      <c r="AF86" s="2039">
        <f t="shared" si="129"/>
        <v>-2.9219659831220229E-3</v>
      </c>
      <c r="AG86" s="2040">
        <f t="shared" si="163"/>
        <v>-4.6353317990703431</v>
      </c>
      <c r="AH86" s="2139">
        <f t="shared" si="176"/>
        <v>-9.8002130528394328E-5</v>
      </c>
      <c r="AI86" s="2201">
        <v>124.93497422662224</v>
      </c>
      <c r="AJ86" s="2196">
        <f t="shared" si="164"/>
        <v>4.47181672182462E-3</v>
      </c>
      <c r="AK86" s="2229">
        <f>FISCinyear!JF900</f>
        <v>173.76491536152398</v>
      </c>
      <c r="AL86" s="2229">
        <f t="shared" si="165"/>
        <v>-76.484170795119425</v>
      </c>
      <c r="AM86" s="2045">
        <f>FISC!AM1221</f>
        <v>97.28074456640455</v>
      </c>
      <c r="AN86" s="2039">
        <f t="shared" si="130"/>
        <v>3.3807298359706996E-3</v>
      </c>
      <c r="AO86" s="2040">
        <f t="shared" si="166"/>
        <v>-27.654229660217695</v>
      </c>
      <c r="AP86" s="2139">
        <f t="shared" si="166"/>
        <v>-1.0910868858539204E-3</v>
      </c>
      <c r="AQ86" s="2201">
        <v>-104.68533214191534</v>
      </c>
      <c r="AR86" s="2196">
        <f t="shared" si="167"/>
        <v>-3.3277248423197558E-3</v>
      </c>
      <c r="AS86" s="2229">
        <f>FISCinyear!JI900</f>
        <v>221.88720009617722</v>
      </c>
      <c r="AT86" s="2229">
        <f t="shared" si="168"/>
        <v>22.108482233617906</v>
      </c>
      <c r="AU86" s="2045">
        <f>FISC!AN1221</f>
        <v>243.99568232979513</v>
      </c>
      <c r="AV86" s="2039">
        <f t="shared" si="131"/>
        <v>7.5462406978313466E-3</v>
      </c>
      <c r="AW86" s="2040">
        <f t="shared" si="169"/>
        <v>348.68101447171045</v>
      </c>
      <c r="AX86" s="2139">
        <f t="shared" si="174"/>
        <v>1.0873965540151102E-2</v>
      </c>
      <c r="AY86" s="2201">
        <v>-184.09884488398725</v>
      </c>
      <c r="AZ86" s="2196">
        <f t="shared" si="170"/>
        <v>-5.1972576431068736E-3</v>
      </c>
      <c r="BA86" s="2229">
        <f>FISCinyear!JL900</f>
        <v>525.14985918731043</v>
      </c>
      <c r="BB86" s="2229">
        <f t="shared" si="171"/>
        <v>167.78694225475465</v>
      </c>
      <c r="BC86" s="2045">
        <f>FISC!AO1221</f>
        <v>692.93680144206508</v>
      </c>
      <c r="BD86" s="2039">
        <f t="shared" si="132"/>
        <v>1.9074705143580655E-2</v>
      </c>
      <c r="BE86" s="2040">
        <f t="shared" si="172"/>
        <v>877.0356463260523</v>
      </c>
      <c r="BF86" s="2139">
        <f t="shared" si="118"/>
        <v>2.4271962786687529E-2</v>
      </c>
    </row>
    <row r="87" spans="1:58">
      <c r="A87" s="2058" t="s">
        <v>3697</v>
      </c>
      <c r="B87" s="2044"/>
      <c r="C87" s="2037"/>
      <c r="D87" s="2045"/>
      <c r="E87" s="2039"/>
      <c r="F87" s="2040"/>
      <c r="G87" s="2130"/>
      <c r="H87" s="2201">
        <v>-8.4798978565004006</v>
      </c>
      <c r="I87" s="2196">
        <f t="shared" si="155"/>
        <v>-4.3169717380606056E-4</v>
      </c>
      <c r="J87" s="2229">
        <v>0.92319999999995161</v>
      </c>
      <c r="K87" s="2229">
        <f>FISCinyear!IW903</f>
        <v>32.510999999999967</v>
      </c>
      <c r="L87" s="2218">
        <f t="shared" si="173"/>
        <v>31.587800000000016</v>
      </c>
      <c r="M87" s="2218">
        <v>-9.4030978565003522</v>
      </c>
      <c r="N87" s="2218">
        <f t="shared" si="179"/>
        <v>-34.951447616981334</v>
      </c>
      <c r="O87" s="2045">
        <f>FISC!AJ1224</f>
        <v>-2.440447616981368</v>
      </c>
      <c r="P87" s="2139">
        <f t="shared" si="127"/>
        <v>-1.2181718088546499E-4</v>
      </c>
      <c r="Q87" s="2040">
        <f t="shared" si="156"/>
        <v>6.0394502395190326</v>
      </c>
      <c r="R87" s="2130">
        <f t="shared" si="157"/>
        <v>3.0987999292059556E-4</v>
      </c>
      <c r="S87" s="2201">
        <v>-45.315206501896824</v>
      </c>
      <c r="T87" s="2196">
        <f t="shared" si="158"/>
        <v>-2.0541013245247226E-3</v>
      </c>
      <c r="U87" s="2229">
        <f>FISCinyear!IZ903</f>
        <v>-1.1375071378829569</v>
      </c>
      <c r="V87" s="2229">
        <f t="shared" si="159"/>
        <v>-1.1375071378829569</v>
      </c>
      <c r="W87" s="2045">
        <f>FISC!AK1224</f>
        <v>-2.2750142757659138</v>
      </c>
      <c r="X87" s="2139">
        <f t="shared" si="128"/>
        <v>-1.004267182587058E-4</v>
      </c>
      <c r="Y87" s="2040">
        <f t="shared" si="160"/>
        <v>43.040192226130912</v>
      </c>
      <c r="Z87" s="2130">
        <f t="shared" si="195"/>
        <v>1.9536746062660169E-3</v>
      </c>
      <c r="AA87" s="2201">
        <v>-19.759769521366138</v>
      </c>
      <c r="AB87" s="2196">
        <f t="shared" si="161"/>
        <v>-7.9650262509051043E-4</v>
      </c>
      <c r="AC87" s="2229">
        <f>FISCinyear!JC903</f>
        <v>-10.533585399013504</v>
      </c>
      <c r="AD87" s="2229">
        <f t="shared" si="162"/>
        <v>-10.533585399013504</v>
      </c>
      <c r="AE87" s="2045">
        <f>FISCinyear!JE903</f>
        <v>-21.067170798027007</v>
      </c>
      <c r="AF87" s="2039">
        <f t="shared" si="129"/>
        <v>-8.2414425164980122E-4</v>
      </c>
      <c r="AG87" s="2040">
        <f t="shared" si="163"/>
        <v>-1.3074012766608689</v>
      </c>
      <c r="AH87" s="2139">
        <f t="shared" si="176"/>
        <v>-2.7641626559290794E-5</v>
      </c>
      <c r="AI87" s="2201">
        <v>35.238069653662677</v>
      </c>
      <c r="AJ87" s="2196">
        <f t="shared" si="164"/>
        <v>1.2612816394889951E-3</v>
      </c>
      <c r="AK87" s="2229">
        <f>FISCinyear!JF903</f>
        <v>13.719079361928841</v>
      </c>
      <c r="AL87" s="2229">
        <f t="shared" si="165"/>
        <v>13.719079361928841</v>
      </c>
      <c r="AM87" s="2045">
        <f>FISC!AM1224</f>
        <v>27.438158723857683</v>
      </c>
      <c r="AN87" s="2039">
        <f t="shared" si="130"/>
        <v>9.5353918450455594E-4</v>
      </c>
      <c r="AO87" s="2040">
        <f t="shared" si="166"/>
        <v>-7.7999109298049945</v>
      </c>
      <c r="AP87" s="2139">
        <f t="shared" si="166"/>
        <v>-3.0774245498443919E-4</v>
      </c>
      <c r="AQ87" s="2201">
        <v>-29.526632142591509</v>
      </c>
      <c r="AR87" s="2196">
        <f t="shared" si="167"/>
        <v>-9.385890580901877E-4</v>
      </c>
      <c r="AS87" s="2229">
        <f>FISCinyear!JI903</f>
        <v>34.409647508048025</v>
      </c>
      <c r="AT87" s="2229">
        <f t="shared" si="168"/>
        <v>34.409647508048025</v>
      </c>
      <c r="AU87" s="2045">
        <f>FISC!AN1224</f>
        <v>68.819295016096049</v>
      </c>
      <c r="AV87" s="2039">
        <f t="shared" si="131"/>
        <v>2.1284268634908922E-3</v>
      </c>
      <c r="AW87" s="2040">
        <f t="shared" si="169"/>
        <v>98.345927158687559</v>
      </c>
      <c r="AX87" s="2139">
        <f t="shared" si="174"/>
        <v>3.0670159215810799E-3</v>
      </c>
      <c r="AY87" s="2201">
        <v>-51.925315223688699</v>
      </c>
      <c r="AZ87" s="2196">
        <f t="shared" si="170"/>
        <v>-1.4658931813891177E-3</v>
      </c>
      <c r="BA87" s="2229">
        <f>FISCinyear!JL903</f>
        <v>97.721856613624539</v>
      </c>
      <c r="BB87" s="2229">
        <f t="shared" si="171"/>
        <v>97.721856613624539</v>
      </c>
      <c r="BC87" s="2045">
        <f>FISC!AO1224</f>
        <v>195.44371322724908</v>
      </c>
      <c r="BD87" s="2039">
        <f t="shared" si="132"/>
        <v>5.3800450404971065E-3</v>
      </c>
      <c r="BE87" s="2040">
        <f t="shared" si="172"/>
        <v>247.36902845093778</v>
      </c>
      <c r="BF87" s="2139">
        <f t="shared" si="118"/>
        <v>6.845938221886224E-3</v>
      </c>
    </row>
    <row r="88" spans="1:58">
      <c r="A88" s="2036" t="s">
        <v>607</v>
      </c>
      <c r="B88" s="2044">
        <v>160.64853764336911</v>
      </c>
      <c r="C88" s="2037">
        <f>B88/$B$109</f>
        <v>9.3030474123249191E-3</v>
      </c>
      <c r="D88" s="2045">
        <v>190.89690647836912</v>
      </c>
      <c r="E88" s="2039">
        <f>D88/$D$109</f>
        <v>1.0756573306945913E-2</v>
      </c>
      <c r="F88" s="2040">
        <f t="shared" si="154"/>
        <v>30.248368835000008</v>
      </c>
      <c r="G88" s="2130">
        <f t="shared" si="194"/>
        <v>1.4535258946209943E-3</v>
      </c>
      <c r="H88" s="2201">
        <v>149.02331697035999</v>
      </c>
      <c r="I88" s="2196">
        <f t="shared" si="155"/>
        <v>7.5865235473318478E-3</v>
      </c>
      <c r="J88" s="2229">
        <v>74.511658485179993</v>
      </c>
      <c r="K88" s="2229">
        <f>FISCinyear!IW906</f>
        <v>111.1280999999999</v>
      </c>
      <c r="L88" s="2218">
        <f t="shared" si="173"/>
        <v>36.616441514819911</v>
      </c>
      <c r="M88" s="2218">
        <v>74.511658485179993</v>
      </c>
      <c r="N88" s="2218">
        <f t="shared" si="179"/>
        <v>37.895216970360082</v>
      </c>
      <c r="O88" s="2045">
        <v>149.02331697035999</v>
      </c>
      <c r="P88" s="2139">
        <f t="shared" si="127"/>
        <v>7.4386355327654315E-3</v>
      </c>
      <c r="Q88" s="2040">
        <f t="shared" si="156"/>
        <v>0</v>
      </c>
      <c r="R88" s="2130">
        <f t="shared" si="157"/>
        <v>-1.4788801456641631E-4</v>
      </c>
      <c r="S88" s="2201">
        <v>151.24592737920182</v>
      </c>
      <c r="T88" s="2196">
        <f t="shared" si="158"/>
        <v>6.8558544413911942E-3</v>
      </c>
      <c r="U88" s="2229">
        <f>FISCinyear!IZ906</f>
        <v>73.463107088680005</v>
      </c>
      <c r="V88" s="2229">
        <f t="shared" si="159"/>
        <v>73.463107088680005</v>
      </c>
      <c r="W88" s="2045">
        <f>FISC!AK1227</f>
        <v>146.92621417736001</v>
      </c>
      <c r="X88" s="2139">
        <f t="shared" si="128"/>
        <v>6.4858131543110535E-3</v>
      </c>
      <c r="Y88" s="2040">
        <f t="shared" si="160"/>
        <v>-4.3197132018418074</v>
      </c>
      <c r="Z88" s="2130">
        <f t="shared" si="195"/>
        <v>-3.7004128708014068E-4</v>
      </c>
      <c r="AA88" s="2201">
        <v>119.34885114633715</v>
      </c>
      <c r="AB88" s="2196">
        <f t="shared" si="161"/>
        <v>4.8108695365502328E-3</v>
      </c>
      <c r="AC88" s="2229">
        <f>FISCinyear!JC906</f>
        <v>54.472983016180002</v>
      </c>
      <c r="AD88" s="2229">
        <f t="shared" si="162"/>
        <v>54.472983016180002</v>
      </c>
      <c r="AE88" s="2045">
        <f>FISC!AL1227</f>
        <v>108.94596603236</v>
      </c>
      <c r="AF88" s="2039">
        <f t="shared" si="129"/>
        <v>4.2619482467200955E-3</v>
      </c>
      <c r="AG88" s="2040">
        <f t="shared" si="163"/>
        <v>-10.402885113977149</v>
      </c>
      <c r="AH88" s="2139">
        <f t="shared" si="176"/>
        <v>-5.4892128983013728E-4</v>
      </c>
      <c r="AI88" s="2201">
        <v>190.89690647836912</v>
      </c>
      <c r="AJ88" s="2196">
        <f t="shared" si="164"/>
        <v>6.8328022943046889E-3</v>
      </c>
      <c r="AK88" s="2229">
        <f>FISCinyear!JF906</f>
        <v>92.368982193179988</v>
      </c>
      <c r="AL88" s="2229">
        <f t="shared" si="165"/>
        <v>92.368982193179988</v>
      </c>
      <c r="AM88" s="2045">
        <f>FISC!AM1227</f>
        <v>184.73796438635998</v>
      </c>
      <c r="AN88" s="2039">
        <f t="shared" si="130"/>
        <v>6.4200695710253117E-3</v>
      </c>
      <c r="AO88" s="2040">
        <f t="shared" si="166"/>
        <v>-6.1589420920091413</v>
      </c>
      <c r="AP88" s="2139">
        <f t="shared" si="166"/>
        <v>-4.1273272327937722E-4</v>
      </c>
      <c r="AQ88" s="2201">
        <v>129.04057938536911</v>
      </c>
      <c r="AR88" s="2196">
        <f t="shared" si="167"/>
        <v>4.1019265345206253E-3</v>
      </c>
      <c r="AS88" s="2229">
        <f>FISCinyear!JI906</f>
        <v>58.94081864668</v>
      </c>
      <c r="AT88" s="2229">
        <f t="shared" si="168"/>
        <v>58.94081864668</v>
      </c>
      <c r="AU88" s="2045">
        <f>FISC!AN1227</f>
        <v>117.88163729336</v>
      </c>
      <c r="AV88" s="2039">
        <f t="shared" si="131"/>
        <v>3.6458153700759939E-3</v>
      </c>
      <c r="AW88" s="2040">
        <f t="shared" si="169"/>
        <v>-11.158942092009113</v>
      </c>
      <c r="AX88" s="2139">
        <f t="shared" si="174"/>
        <v>-4.5611116444463145E-4</v>
      </c>
      <c r="AY88" s="2201">
        <v>183.4899167213691</v>
      </c>
      <c r="AZ88" s="2196">
        <f t="shared" si="170"/>
        <v>5.1800671140230835E-3</v>
      </c>
      <c r="BA88" s="2229">
        <f>FISCinyear!JL906</f>
        <v>86.165487314679993</v>
      </c>
      <c r="BB88" s="2229">
        <f t="shared" si="171"/>
        <v>86.165487314679993</v>
      </c>
      <c r="BC88" s="2045">
        <f>FISC!AO1227</f>
        <v>172.33097462935999</v>
      </c>
      <c r="BD88" s="2039">
        <f t="shared" si="132"/>
        <v>4.7438128864277862E-3</v>
      </c>
      <c r="BE88" s="2040">
        <f t="shared" si="172"/>
        <v>-11.158942092009113</v>
      </c>
      <c r="BF88" s="2139">
        <f t="shared" si="118"/>
        <v>-4.3625422759529728E-4</v>
      </c>
    </row>
    <row r="89" spans="1:58">
      <c r="A89" s="2058" t="s">
        <v>3696</v>
      </c>
      <c r="B89" s="2044"/>
      <c r="C89" s="2037"/>
      <c r="D89" s="2045"/>
      <c r="E89" s="2039"/>
      <c r="F89" s="2040"/>
      <c r="G89" s="2130"/>
      <c r="H89" s="2201">
        <v>79.02331697036</v>
      </c>
      <c r="I89" s="2196">
        <f t="shared" si="155"/>
        <v>4.0229426318778329E-3</v>
      </c>
      <c r="J89" s="2229">
        <v>-2.7152999999999992</v>
      </c>
      <c r="K89" s="2229">
        <f>FISCinyear!IW907</f>
        <v>-16.360900000000015</v>
      </c>
      <c r="L89" s="2218">
        <f t="shared" si="173"/>
        <v>-13.645600000000016</v>
      </c>
      <c r="M89" s="2218">
        <v>81.738616970359999</v>
      </c>
      <c r="N89" s="2218">
        <f t="shared" si="179"/>
        <v>112.67558580036001</v>
      </c>
      <c r="O89" s="2045">
        <f>FISC!AJ1228</f>
        <v>96.314685800359996</v>
      </c>
      <c r="P89" s="2139">
        <f t="shared" si="127"/>
        <v>4.8076358699235934E-3</v>
      </c>
      <c r="Q89" s="2040">
        <f t="shared" si="156"/>
        <v>17.291368829999996</v>
      </c>
      <c r="R89" s="2130">
        <f t="shared" si="157"/>
        <v>7.8469323804576056E-4</v>
      </c>
      <c r="S89" s="2201">
        <v>131.24592737920182</v>
      </c>
      <c r="T89" s="2196">
        <f t="shared" si="158"/>
        <v>5.9492707653623798E-3</v>
      </c>
      <c r="U89" s="2229">
        <f>FISCinyear!IZ907</f>
        <v>63.463107088679998</v>
      </c>
      <c r="V89" s="2229">
        <f t="shared" si="159"/>
        <v>63.463107088679998</v>
      </c>
      <c r="W89" s="2045">
        <f>FISC!AK1228</f>
        <v>126.92621417736</v>
      </c>
      <c r="X89" s="2139">
        <f t="shared" si="128"/>
        <v>5.6029464459261503E-3</v>
      </c>
      <c r="Y89" s="2040">
        <f t="shared" si="160"/>
        <v>-4.3197132018418216</v>
      </c>
      <c r="Z89" s="2130">
        <f t="shared" si="195"/>
        <v>-3.4632431943622949E-4</v>
      </c>
      <c r="AA89" s="2201">
        <v>99.348851146337154</v>
      </c>
      <c r="AB89" s="2196">
        <f t="shared" si="161"/>
        <v>4.0046833872338086E-3</v>
      </c>
      <c r="AC89" s="2229">
        <f>FISCinyear!JC907</f>
        <v>44.472983016180002</v>
      </c>
      <c r="AD89" s="2229">
        <f t="shared" si="162"/>
        <v>44.472983016180002</v>
      </c>
      <c r="AE89" s="2045">
        <f>FISCinyear!JE907</f>
        <v>88.945966032360005</v>
      </c>
      <c r="AF89" s="2039">
        <f t="shared" si="129"/>
        <v>3.4795515409156465E-3</v>
      </c>
      <c r="AG89" s="2040">
        <f t="shared" si="163"/>
        <v>-10.402885113977149</v>
      </c>
      <c r="AH89" s="2139">
        <f t="shared" si="176"/>
        <v>-5.2513184631816211E-4</v>
      </c>
      <c r="AI89" s="2201">
        <v>169.89690647836912</v>
      </c>
      <c r="AJ89" s="2196">
        <f t="shared" si="164"/>
        <v>6.0811460688191422E-3</v>
      </c>
      <c r="AK89" s="2229">
        <f>FISCinyear!JF907</f>
        <v>81.868982193179988</v>
      </c>
      <c r="AL89" s="2229">
        <f t="shared" si="165"/>
        <v>81.868982193179988</v>
      </c>
      <c r="AM89" s="2045">
        <f>FISC!AM1228</f>
        <v>163.73796438635998</v>
      </c>
      <c r="AN89" s="2039">
        <f t="shared" si="130"/>
        <v>5.6902712242731151E-3</v>
      </c>
      <c r="AO89" s="2040">
        <f t="shared" si="166"/>
        <v>-6.1589420920091413</v>
      </c>
      <c r="AP89" s="2139">
        <f t="shared" si="166"/>
        <v>-3.9087484454602712E-4</v>
      </c>
      <c r="AQ89" s="2201">
        <v>107.04057938536911</v>
      </c>
      <c r="AR89" s="2196">
        <f t="shared" si="167"/>
        <v>3.4025931605596148E-3</v>
      </c>
      <c r="AS89" s="2229">
        <f>FISCinyear!JI907</f>
        <v>47.94081864668</v>
      </c>
      <c r="AT89" s="2229">
        <f t="shared" si="168"/>
        <v>47.94081864668</v>
      </c>
      <c r="AU89" s="2045">
        <f>FISC!AN1228</f>
        <v>95.881637293360001</v>
      </c>
      <c r="AV89" s="2039">
        <f t="shared" si="131"/>
        <v>2.9654045785116848E-3</v>
      </c>
      <c r="AW89" s="2040">
        <f t="shared" si="169"/>
        <v>-11.158942092009113</v>
      </c>
      <c r="AX89" s="2139">
        <f t="shared" si="174"/>
        <v>-4.3718858204793007E-4</v>
      </c>
      <c r="AY89" s="2201">
        <v>160.4899167213691</v>
      </c>
      <c r="AZ89" s="2196">
        <f t="shared" si="170"/>
        <v>4.5307587174017684E-3</v>
      </c>
      <c r="BA89" s="2229">
        <f>FISCinyear!JL907</f>
        <v>74.665487314679993</v>
      </c>
      <c r="BB89" s="2229">
        <f t="shared" si="171"/>
        <v>74.665487314679993</v>
      </c>
      <c r="BC89" s="2045">
        <f>FISC!AO1228</f>
        <v>149.33097462935999</v>
      </c>
      <c r="BD89" s="2039">
        <f t="shared" si="132"/>
        <v>4.1106841257827426E-3</v>
      </c>
      <c r="BE89" s="2040">
        <f t="shared" si="172"/>
        <v>-11.158942092009113</v>
      </c>
      <c r="BF89" s="2139">
        <f t="shared" si="118"/>
        <v>-4.2007459161902579E-4</v>
      </c>
    </row>
    <row r="90" spans="1:58">
      <c r="A90" s="2058" t="s">
        <v>3697</v>
      </c>
      <c r="B90" s="2044"/>
      <c r="C90" s="2037"/>
      <c r="D90" s="2045"/>
      <c r="E90" s="2039"/>
      <c r="F90" s="2040"/>
      <c r="G90" s="2130"/>
      <c r="H90" s="2201">
        <v>70</v>
      </c>
      <c r="I90" s="2196">
        <f t="shared" si="155"/>
        <v>3.5635809154540153E-3</v>
      </c>
      <c r="J90" s="2229">
        <v>59.076800000000048</v>
      </c>
      <c r="K90" s="2229">
        <f>FISCinyear!IW908</f>
        <v>127.48899999999992</v>
      </c>
      <c r="L90" s="2218">
        <f t="shared" si="173"/>
        <v>68.412199999999871</v>
      </c>
      <c r="M90" s="2218">
        <v>10.923199999999952</v>
      </c>
      <c r="N90" s="2218">
        <f t="shared" si="179"/>
        <v>-57.488999999999919</v>
      </c>
      <c r="O90" s="2045">
        <f>FISC!AJ1229</f>
        <v>70</v>
      </c>
      <c r="P90" s="2139">
        <f t="shared" si="127"/>
        <v>3.4941141955466327E-3</v>
      </c>
      <c r="Q90" s="2040">
        <f t="shared" si="156"/>
        <v>0</v>
      </c>
      <c r="R90" s="2130">
        <f t="shared" si="157"/>
        <v>-6.9466719907382637E-5</v>
      </c>
      <c r="S90" s="2201">
        <v>20</v>
      </c>
      <c r="T90" s="2196">
        <f t="shared" si="158"/>
        <v>9.0658367602881428E-4</v>
      </c>
      <c r="U90" s="2229">
        <f>FISCinyear!IZ908</f>
        <v>10</v>
      </c>
      <c r="V90" s="2229">
        <f t="shared" si="159"/>
        <v>10</v>
      </c>
      <c r="W90" s="2045">
        <f>FISC!AK1229</f>
        <v>20</v>
      </c>
      <c r="X90" s="2139">
        <f t="shared" si="128"/>
        <v>8.8286670838490287E-4</v>
      </c>
      <c r="Y90" s="2040">
        <f t="shared" si="160"/>
        <v>0</v>
      </c>
      <c r="Z90" s="2130">
        <f t="shared" si="195"/>
        <v>-2.3716967643911411E-5</v>
      </c>
      <c r="AA90" s="2201">
        <v>20</v>
      </c>
      <c r="AB90" s="2196">
        <f t="shared" si="161"/>
        <v>8.0618614931642421E-4</v>
      </c>
      <c r="AC90" s="2229">
        <f>FISCinyear!JC908</f>
        <v>10</v>
      </c>
      <c r="AD90" s="2229">
        <f t="shared" si="162"/>
        <v>10</v>
      </c>
      <c r="AE90" s="2045">
        <f>FISCinyear!JE908</f>
        <v>20</v>
      </c>
      <c r="AF90" s="2039">
        <f t="shared" si="129"/>
        <v>7.8239670580444948E-4</v>
      </c>
      <c r="AG90" s="2040">
        <f t="shared" si="163"/>
        <v>0</v>
      </c>
      <c r="AH90" s="2139">
        <f t="shared" si="176"/>
        <v>-2.378944351197473E-5</v>
      </c>
      <c r="AI90" s="2201">
        <v>21</v>
      </c>
      <c r="AJ90" s="2196">
        <f t="shared" si="164"/>
        <v>7.516562254855474E-4</v>
      </c>
      <c r="AK90" s="2229">
        <f>FISCinyear!JF908</f>
        <v>10.5</v>
      </c>
      <c r="AL90" s="2229">
        <f t="shared" si="165"/>
        <v>10.5</v>
      </c>
      <c r="AM90" s="2045">
        <f>FISC!AM1229</f>
        <v>21</v>
      </c>
      <c r="AN90" s="2039">
        <f t="shared" si="130"/>
        <v>7.2979834675219579E-4</v>
      </c>
      <c r="AO90" s="2040">
        <f t="shared" si="166"/>
        <v>0</v>
      </c>
      <c r="AP90" s="2139">
        <f t="shared" si="166"/>
        <v>-2.1857878733351618E-5</v>
      </c>
      <c r="AQ90" s="2201">
        <v>22</v>
      </c>
      <c r="AR90" s="2196">
        <f t="shared" si="167"/>
        <v>6.9933337396101006E-4</v>
      </c>
      <c r="AS90" s="2229">
        <f>FISCinyear!JI908</f>
        <v>11</v>
      </c>
      <c r="AT90" s="2229">
        <f t="shared" si="168"/>
        <v>11</v>
      </c>
      <c r="AU90" s="2045">
        <f>FISC!AN1229</f>
        <v>22</v>
      </c>
      <c r="AV90" s="2039">
        <f t="shared" si="131"/>
        <v>6.8041079156430911E-4</v>
      </c>
      <c r="AW90" s="2040">
        <f t="shared" si="169"/>
        <v>0</v>
      </c>
      <c r="AX90" s="2139">
        <f t="shared" si="174"/>
        <v>-1.8922582396700954E-5</v>
      </c>
      <c r="AY90" s="2201">
        <v>23</v>
      </c>
      <c r="AZ90" s="2196">
        <f t="shared" si="170"/>
        <v>6.4930839662131578E-4</v>
      </c>
      <c r="BA90" s="2229">
        <f>FISCinyear!JL908</f>
        <v>11.5</v>
      </c>
      <c r="BB90" s="2229">
        <f t="shared" si="171"/>
        <v>11.5</v>
      </c>
      <c r="BC90" s="2045">
        <f>FISC!AO1229</f>
        <v>23</v>
      </c>
      <c r="BD90" s="2039">
        <f t="shared" si="132"/>
        <v>6.3312876064504321E-4</v>
      </c>
      <c r="BE90" s="2040">
        <f t="shared" si="172"/>
        <v>0</v>
      </c>
      <c r="BF90" s="2139">
        <f t="shared" si="118"/>
        <v>-1.6179635976272576E-5</v>
      </c>
    </row>
    <row r="91" spans="1:58">
      <c r="A91" s="2036" t="s">
        <v>608</v>
      </c>
      <c r="B91" s="2063">
        <v>-105.43466184136</v>
      </c>
      <c r="C91" s="2037">
        <f>B91/$B$109</f>
        <v>-6.105649465605969E-3</v>
      </c>
      <c r="D91" s="2092">
        <f>FISC!AI1230</f>
        <v>-95.788626077000004</v>
      </c>
      <c r="E91" s="2039">
        <f>D91/$D$109</f>
        <v>-5.3974545600383164E-3</v>
      </c>
      <c r="F91" s="2040">
        <f t="shared" si="154"/>
        <v>9.6460357643599934</v>
      </c>
      <c r="G91" s="2130">
        <f t="shared" si="194"/>
        <v>7.0819490556765265E-4</v>
      </c>
      <c r="H91" s="2212">
        <v>-79.02331697036</v>
      </c>
      <c r="I91" s="2196">
        <f t="shared" si="155"/>
        <v>-4.0229426318778329E-3</v>
      </c>
      <c r="J91" s="2229">
        <v>-66.015922817680007</v>
      </c>
      <c r="K91" s="2229">
        <f>FISCinyear!IW909</f>
        <v>-81.707843709999992</v>
      </c>
      <c r="L91" s="2218">
        <f t="shared" si="173"/>
        <v>-15.691920892319985</v>
      </c>
      <c r="M91" s="2218">
        <v>-13.007394152679993</v>
      </c>
      <c r="N91" s="2218">
        <f t="shared" si="179"/>
        <v>-14.606842090360004</v>
      </c>
      <c r="O91" s="2092">
        <f>FISC!AJ1230</f>
        <v>-96.314685800359996</v>
      </c>
      <c r="P91" s="2139">
        <f t="shared" si="127"/>
        <v>-4.8076358699235934E-3</v>
      </c>
      <c r="Q91" s="2040">
        <f t="shared" si="156"/>
        <v>-17.291368829999996</v>
      </c>
      <c r="R91" s="2130">
        <f t="shared" si="157"/>
        <v>-7.8469323804576056E-4</v>
      </c>
      <c r="S91" s="2212">
        <v>-131.24592737920182</v>
      </c>
      <c r="T91" s="2196">
        <f t="shared" si="158"/>
        <v>-5.9492707653623798E-3</v>
      </c>
      <c r="U91" s="2229">
        <f>FISCinyear!IZ909</f>
        <v>-61.321297088679998</v>
      </c>
      <c r="V91" s="2229">
        <f t="shared" si="159"/>
        <v>-65.604917088679997</v>
      </c>
      <c r="W91" s="2092">
        <f>FISC!AK1230</f>
        <v>-126.92621417736</v>
      </c>
      <c r="X91" s="2139">
        <f t="shared" si="128"/>
        <v>-5.6029464459261503E-3</v>
      </c>
      <c r="Y91" s="2040">
        <f t="shared" si="160"/>
        <v>4.3197132018418216</v>
      </c>
      <c r="Z91" s="2130">
        <f t="shared" si="195"/>
        <v>3.4632431943622949E-4</v>
      </c>
      <c r="AA91" s="2212">
        <v>-99.348851146337154</v>
      </c>
      <c r="AB91" s="2196">
        <f t="shared" si="161"/>
        <v>-4.0046833872338086E-3</v>
      </c>
      <c r="AC91" s="2229">
        <f>FISCinyear!JC909</f>
        <v>-64.878599676679997</v>
      </c>
      <c r="AD91" s="2229">
        <f t="shared" si="162"/>
        <v>-24.067366355680008</v>
      </c>
      <c r="AE91" s="2092">
        <f>FISC!AL1230</f>
        <v>-88.945966032360005</v>
      </c>
      <c r="AF91" s="2039">
        <f t="shared" si="129"/>
        <v>-3.4795515409156465E-3</v>
      </c>
      <c r="AG91" s="2040">
        <f t="shared" si="163"/>
        <v>10.402885113977149</v>
      </c>
      <c r="AH91" s="2139">
        <f t="shared" si="176"/>
        <v>5.2513184631816211E-4</v>
      </c>
      <c r="AI91" s="2212">
        <v>-169.89690647836912</v>
      </c>
      <c r="AJ91" s="2196">
        <f t="shared" si="164"/>
        <v>-6.0811460688191422E-3</v>
      </c>
      <c r="AK91" s="2229">
        <f>FISCinyear!JF909</f>
        <v>-97.675577986679997</v>
      </c>
      <c r="AL91" s="2229">
        <f t="shared" si="165"/>
        <v>-66.06238639967998</v>
      </c>
      <c r="AM91" s="2092">
        <f>FISC!AM1230</f>
        <v>-163.73796438635998</v>
      </c>
      <c r="AN91" s="2039">
        <f t="shared" si="130"/>
        <v>-5.6902712242731151E-3</v>
      </c>
      <c r="AO91" s="2040">
        <f t="shared" si="166"/>
        <v>6.1589420920091413</v>
      </c>
      <c r="AP91" s="2139">
        <f t="shared" si="166"/>
        <v>3.9087484454602712E-4</v>
      </c>
      <c r="AQ91" s="2212">
        <v>-107.04057938536911</v>
      </c>
      <c r="AR91" s="2196">
        <f t="shared" si="167"/>
        <v>-3.4025931605596148E-3</v>
      </c>
      <c r="AS91" s="2229">
        <f>FISCinyear!JI909</f>
        <v>-72.881742717679998</v>
      </c>
      <c r="AT91" s="2229">
        <f t="shared" si="168"/>
        <v>-22.999894575680003</v>
      </c>
      <c r="AU91" s="2092">
        <f>FISC!AN1230</f>
        <v>-95.881637293360001</v>
      </c>
      <c r="AV91" s="2039">
        <f t="shared" si="131"/>
        <v>-2.9654045785116848E-3</v>
      </c>
      <c r="AW91" s="2040">
        <f t="shared" si="169"/>
        <v>11.158942092009113</v>
      </c>
      <c r="AX91" s="2139">
        <f t="shared" si="174"/>
        <v>4.3718858204793007E-4</v>
      </c>
      <c r="AY91" s="2212">
        <v>-160.4899167213691</v>
      </c>
      <c r="AZ91" s="2196">
        <f t="shared" si="170"/>
        <v>-4.5307587174017684E-3</v>
      </c>
      <c r="BA91" s="2229">
        <f>FISCinyear!JL909</f>
        <v>-106.08586947768001</v>
      </c>
      <c r="BB91" s="2229">
        <f t="shared" si="171"/>
        <v>-43.245105151679979</v>
      </c>
      <c r="BC91" s="2092">
        <f>FISC!AO1230</f>
        <v>-149.33097462935999</v>
      </c>
      <c r="BD91" s="2039">
        <f t="shared" si="132"/>
        <v>-4.1106841257827426E-3</v>
      </c>
      <c r="BE91" s="2040">
        <f t="shared" si="172"/>
        <v>11.158942092009113</v>
      </c>
      <c r="BF91" s="2139">
        <f t="shared" si="118"/>
        <v>4.2007459161902579E-4</v>
      </c>
    </row>
    <row r="92" spans="1:58">
      <c r="A92" s="2058" t="s">
        <v>3698</v>
      </c>
      <c r="B92" s="2063"/>
      <c r="C92" s="2037"/>
      <c r="D92" s="2092"/>
      <c r="E92" s="2039"/>
      <c r="F92" s="2040"/>
      <c r="G92" s="2130"/>
      <c r="H92" s="2212">
        <v>-13.45119197036</v>
      </c>
      <c r="I92" s="2196">
        <f t="shared" si="155"/>
        <v>-6.8477729993833125E-4</v>
      </c>
      <c r="J92" s="2229">
        <v>-17.756314396</v>
      </c>
      <c r="K92" s="2229">
        <f>FISCinyear!IW910</f>
        <v>-26.707843709999999</v>
      </c>
      <c r="L92" s="2218">
        <f t="shared" si="173"/>
        <v>-8.9515293139999983</v>
      </c>
      <c r="M92" s="2218">
        <v>4.3051224256400005</v>
      </c>
      <c r="N92" s="2218">
        <f t="shared" si="179"/>
        <v>-4.0347170903600009</v>
      </c>
      <c r="O92" s="2092">
        <f>FISC!AJ1231</f>
        <v>-30.74256080036</v>
      </c>
      <c r="P92" s="2139">
        <f t="shared" si="127"/>
        <v>-1.5345431157141904E-3</v>
      </c>
      <c r="Q92" s="2040">
        <f t="shared" si="156"/>
        <v>-17.29136883</v>
      </c>
      <c r="R92" s="2130">
        <f t="shared" si="157"/>
        <v>-8.4976581577585913E-4</v>
      </c>
      <c r="S92" s="2212">
        <v>-6.9623073792018264</v>
      </c>
      <c r="T92" s="2196">
        <f t="shared" si="158"/>
        <v>-3.1559571087396657E-4</v>
      </c>
      <c r="U92" s="2229">
        <f>FISCinyear!IZ910</f>
        <v>-1.3212970886800002</v>
      </c>
      <c r="V92" s="2229">
        <f t="shared" si="159"/>
        <v>-1.3212970886800002</v>
      </c>
      <c r="W92" s="2092">
        <f>FISC!AK1231</f>
        <v>-2.6425941773600004</v>
      </c>
      <c r="X92" s="2139">
        <f t="shared" si="128"/>
        <v>-1.1665292114814669E-4</v>
      </c>
      <c r="Y92" s="2040">
        <f t="shared" si="160"/>
        <v>4.3197132018418261</v>
      </c>
      <c r="Z92" s="2130">
        <f t="shared" si="195"/>
        <v>1.9894278972581989E-4</v>
      </c>
      <c r="AA92" s="2212">
        <v>-15.500951146337163</v>
      </c>
      <c r="AB92" s="2196">
        <f t="shared" si="161"/>
        <v>-6.2483260577037849E-4</v>
      </c>
      <c r="AC92" s="2229">
        <f>FISCinyear!JC910</f>
        <v>-2.5001996766800003</v>
      </c>
      <c r="AD92" s="2229">
        <f t="shared" si="162"/>
        <v>-2.5978663556799999</v>
      </c>
      <c r="AE92" s="2092">
        <f>FISCinyear!JE910</f>
        <v>-5.0980660323600002</v>
      </c>
      <c r="AF92" s="2039">
        <f t="shared" si="129"/>
        <v>-1.9943550348460121E-4</v>
      </c>
      <c r="AG92" s="2040">
        <f t="shared" si="163"/>
        <v>10.402885113977163</v>
      </c>
      <c r="AH92" s="2139">
        <f t="shared" si="176"/>
        <v>4.2539710228577728E-4</v>
      </c>
      <c r="AI92" s="2212">
        <v>-16.612206478369121</v>
      </c>
      <c r="AJ92" s="2196">
        <f t="shared" si="164"/>
        <v>-5.9460325802464242E-4</v>
      </c>
      <c r="AK92" s="2229">
        <f>FISCinyear!JF909</f>
        <v>-97.675577986679997</v>
      </c>
      <c r="AL92" s="2229">
        <f t="shared" si="165"/>
        <v>92.222313600319993</v>
      </c>
      <c r="AM92" s="2092">
        <f>FISC!AM1231</f>
        <v>-5.4532643863600008</v>
      </c>
      <c r="AN92" s="2039">
        <f t="shared" si="130"/>
        <v>-1.895134920746741E-4</v>
      </c>
      <c r="AO92" s="2040">
        <f t="shared" si="166"/>
        <v>11.15894209200912</v>
      </c>
      <c r="AP92" s="2139">
        <f t="shared" si="166"/>
        <v>4.0508976594996835E-4</v>
      </c>
      <c r="AQ92" s="2212">
        <v>-17.040579385369121</v>
      </c>
      <c r="AR92" s="2196">
        <f t="shared" si="167"/>
        <v>-5.4168390344639197E-4</v>
      </c>
      <c r="AS92" s="2229">
        <f>FISCinyear!JI910</f>
        <v>-2.8817427176800003</v>
      </c>
      <c r="AT92" s="2229">
        <f t="shared" si="168"/>
        <v>-2.9998945756800004</v>
      </c>
      <c r="AU92" s="2092">
        <f>FISC!AN1231</f>
        <v>-5.8816372933600007</v>
      </c>
      <c r="AV92" s="2039">
        <f t="shared" si="131"/>
        <v>-1.8190588574860177E-4</v>
      </c>
      <c r="AW92" s="2040">
        <f t="shared" si="169"/>
        <v>11.15894209200912</v>
      </c>
      <c r="AX92" s="2139">
        <f t="shared" si="174"/>
        <v>3.5977801769779022E-4</v>
      </c>
      <c r="AY92" s="2212">
        <v>-17.511716721369122</v>
      </c>
      <c r="AZ92" s="2196">
        <f t="shared" si="170"/>
        <v>-4.9436976984516823E-4</v>
      </c>
      <c r="BA92" s="2229">
        <f>FISCinyear!JL910</f>
        <v>-3.1076694776800005</v>
      </c>
      <c r="BB92" s="2229">
        <f t="shared" si="171"/>
        <v>-3.2451051516800002</v>
      </c>
      <c r="BC92" s="2092">
        <f>FISC!AO1231</f>
        <v>-6.3527746293600007</v>
      </c>
      <c r="BD92" s="2039">
        <f t="shared" si="132"/>
        <v>-1.7487497077147701E-4</v>
      </c>
      <c r="BE92" s="2040">
        <f t="shared" si="172"/>
        <v>11.158942092009122</v>
      </c>
      <c r="BF92" s="2139">
        <f t="shared" si="118"/>
        <v>3.1949479907369125E-4</v>
      </c>
    </row>
    <row r="93" spans="1:58">
      <c r="A93" s="2058" t="s">
        <v>3699</v>
      </c>
      <c r="B93" s="2063"/>
      <c r="C93" s="2037"/>
      <c r="D93" s="2092"/>
      <c r="E93" s="2039"/>
      <c r="F93" s="2040"/>
      <c r="G93" s="2130"/>
      <c r="H93" s="2212">
        <v>-65.572125</v>
      </c>
      <c r="I93" s="2196">
        <f t="shared" si="155"/>
        <v>-3.3381653319395021E-3</v>
      </c>
      <c r="J93" s="2229">
        <v>-17.756314396</v>
      </c>
      <c r="K93" s="2229">
        <f>FISCinyear!IW915</f>
        <v>-55</v>
      </c>
      <c r="L93" s="2218">
        <f t="shared" si="173"/>
        <v>-37.243685604</v>
      </c>
      <c r="M93" s="2218">
        <v>-47.815810603999999</v>
      </c>
      <c r="N93" s="2218">
        <f t="shared" si="179"/>
        <v>-10.572125</v>
      </c>
      <c r="O93" s="2092">
        <f>FISC!AJ1234</f>
        <v>-65.572125</v>
      </c>
      <c r="P93" s="2139">
        <f t="shared" si="127"/>
        <v>-3.2730927542094033E-3</v>
      </c>
      <c r="Q93" s="2040">
        <f t="shared" si="156"/>
        <v>0</v>
      </c>
      <c r="R93" s="2130">
        <f t="shared" si="157"/>
        <v>6.507257773009879E-5</v>
      </c>
      <c r="S93" s="2212">
        <v>-124.28361999999998</v>
      </c>
      <c r="T93" s="2196">
        <f t="shared" si="158"/>
        <v>-5.6336750544884124E-3</v>
      </c>
      <c r="U93" s="2229">
        <f>FISCinyear!IZ915</f>
        <v>-60</v>
      </c>
      <c r="V93" s="2229">
        <f t="shared" si="159"/>
        <v>-64.283619999999999</v>
      </c>
      <c r="W93" s="2092">
        <f>FISC!AK1234</f>
        <v>-124.28362</v>
      </c>
      <c r="X93" s="2139">
        <f t="shared" si="128"/>
        <v>-5.4862935247780038E-3</v>
      </c>
      <c r="Y93" s="2040">
        <f t="shared" si="160"/>
        <v>0</v>
      </c>
      <c r="Z93" s="2130">
        <f t="shared" si="195"/>
        <v>1.473815297104086E-4</v>
      </c>
      <c r="AA93" s="2212">
        <v>-83.847899999999996</v>
      </c>
      <c r="AB93" s="2196">
        <f t="shared" si="161"/>
        <v>-3.3798507814634298E-3</v>
      </c>
      <c r="AC93" s="2229">
        <f>FISCinyear!JC915</f>
        <v>-62.378399999999999</v>
      </c>
      <c r="AD93" s="2229">
        <f t="shared" si="162"/>
        <v>-21.469500000000011</v>
      </c>
      <c r="AE93" s="2092">
        <f>FISCinyear!JE915</f>
        <v>-83.84790000000001</v>
      </c>
      <c r="AF93" s="2039">
        <f t="shared" si="129"/>
        <v>-3.2801160374310453E-3</v>
      </c>
      <c r="AG93" s="2040">
        <f t="shared" si="163"/>
        <v>0</v>
      </c>
      <c r="AH93" s="2139">
        <f t="shared" si="176"/>
        <v>9.9734744032384508E-5</v>
      </c>
      <c r="AI93" s="2212">
        <v>-153.28469999999999</v>
      </c>
      <c r="AJ93" s="2196">
        <f t="shared" si="164"/>
        <v>-5.4865428107944989E-3</v>
      </c>
      <c r="AK93" s="2229">
        <f>FISCinyear!JF915</f>
        <v>-95</v>
      </c>
      <c r="AL93" s="2229">
        <f t="shared" si="165"/>
        <v>-63.284699999999987</v>
      </c>
      <c r="AM93" s="2092">
        <f>FISC!AM1234</f>
        <v>-158.28469999999999</v>
      </c>
      <c r="AN93" s="2039">
        <f t="shared" si="130"/>
        <v>-5.5007577321984419E-3</v>
      </c>
      <c r="AO93" s="2040">
        <f t="shared" si="166"/>
        <v>-5</v>
      </c>
      <c r="AP93" s="2139">
        <f t="shared" si="166"/>
        <v>-1.4214921403942968E-5</v>
      </c>
      <c r="AQ93" s="2212">
        <v>-90</v>
      </c>
      <c r="AR93" s="2196">
        <f t="shared" si="167"/>
        <v>-2.8609092571132231E-3</v>
      </c>
      <c r="AS93" s="2229">
        <f>FISCinyear!JI915</f>
        <v>-70</v>
      </c>
      <c r="AT93" s="2229">
        <f t="shared" si="168"/>
        <v>-20</v>
      </c>
      <c r="AU93" s="2092">
        <f>FISC!AN1234</f>
        <v>-90</v>
      </c>
      <c r="AV93" s="2039">
        <f t="shared" si="131"/>
        <v>-2.7834986927630827E-3</v>
      </c>
      <c r="AW93" s="2040">
        <f t="shared" si="169"/>
        <v>0</v>
      </c>
      <c r="AX93" s="2139">
        <f t="shared" si="174"/>
        <v>7.7410564350140383E-5</v>
      </c>
      <c r="AY93" s="2212">
        <v>-142.97819999999999</v>
      </c>
      <c r="AZ93" s="2196">
        <f t="shared" si="170"/>
        <v>-4.0363889475566002E-3</v>
      </c>
      <c r="BA93" s="2229">
        <f>FISCinyear!JL915</f>
        <v>-102.9782</v>
      </c>
      <c r="BB93" s="2229">
        <f t="shared" si="171"/>
        <v>-39.999999999999986</v>
      </c>
      <c r="BC93" s="2092">
        <f>FISC!AO1234</f>
        <v>-142.97819999999999</v>
      </c>
      <c r="BD93" s="2039">
        <f t="shared" si="132"/>
        <v>-3.9358091550112662E-3</v>
      </c>
      <c r="BE93" s="2040">
        <f t="shared" si="172"/>
        <v>0</v>
      </c>
      <c r="BF93" s="2139">
        <f t="shared" si="118"/>
        <v>1.0057979254533399E-4</v>
      </c>
    </row>
    <row r="94" spans="1:58">
      <c r="A94" s="2036" t="s">
        <v>609</v>
      </c>
      <c r="B94" s="2063">
        <v>-23.2</v>
      </c>
      <c r="C94" s="2037">
        <f t="shared" ref="C94:C101" si="197">B94/$B$109</f>
        <v>-1.3434962006630298E-3</v>
      </c>
      <c r="D94" s="2092">
        <f>FISC!AI1238</f>
        <v>-84.384783959448697</v>
      </c>
      <c r="E94" s="2039">
        <f t="shared" ref="E94:E101" si="198">D94/$D$109</f>
        <v>-4.7548759767537443E-3</v>
      </c>
      <c r="F94" s="2040">
        <f t="shared" si="154"/>
        <v>-61.184783959448694</v>
      </c>
      <c r="G94" s="2130">
        <f t="shared" si="194"/>
        <v>-3.4113797760907142E-3</v>
      </c>
      <c r="H94" s="2212">
        <v>-80</v>
      </c>
      <c r="I94" s="2196">
        <f t="shared" si="155"/>
        <v>-4.0726639033760179E-3</v>
      </c>
      <c r="J94" s="2229">
        <v>-40</v>
      </c>
      <c r="K94" s="2229">
        <f>FISCinyear!IW919</f>
        <v>-20</v>
      </c>
      <c r="L94" s="2218">
        <f t="shared" si="173"/>
        <v>20</v>
      </c>
      <c r="M94" s="2218">
        <v>-40</v>
      </c>
      <c r="N94" s="2218">
        <f t="shared" si="179"/>
        <v>-60</v>
      </c>
      <c r="O94" s="2092">
        <f>FISC!AJ1238</f>
        <v>-80</v>
      </c>
      <c r="P94" s="2139">
        <f t="shared" si="127"/>
        <v>-3.9932733663390089E-3</v>
      </c>
      <c r="Q94" s="2040">
        <f t="shared" si="156"/>
        <v>0</v>
      </c>
      <c r="R94" s="2130">
        <f t="shared" si="157"/>
        <v>7.9390537037008976E-5</v>
      </c>
      <c r="S94" s="2212">
        <v>-40</v>
      </c>
      <c r="T94" s="2196">
        <f t="shared" si="158"/>
        <v>-1.8131673520576286E-3</v>
      </c>
      <c r="U94" s="2229">
        <f>FISCinyear!IZ919</f>
        <v>-20</v>
      </c>
      <c r="V94" s="2229">
        <f t="shared" si="159"/>
        <v>-20</v>
      </c>
      <c r="W94" s="2092">
        <f>FISC!AK1238</f>
        <v>-40</v>
      </c>
      <c r="X94" s="2139">
        <f t="shared" si="128"/>
        <v>-1.7657334167698057E-3</v>
      </c>
      <c r="Y94" s="2040">
        <f t="shared" si="160"/>
        <v>0</v>
      </c>
      <c r="Z94" s="2130">
        <f t="shared" si="195"/>
        <v>4.7433935287822821E-5</v>
      </c>
      <c r="AA94" s="2212">
        <v>-40</v>
      </c>
      <c r="AB94" s="2196">
        <f t="shared" si="161"/>
        <v>-1.6123722986328484E-3</v>
      </c>
      <c r="AC94" s="2229">
        <f>FISCinyear!JC919</f>
        <v>-20</v>
      </c>
      <c r="AD94" s="2229">
        <f t="shared" si="162"/>
        <v>-20</v>
      </c>
      <c r="AE94" s="2092">
        <f>FISC!AL1238</f>
        <v>-40</v>
      </c>
      <c r="AF94" s="2039">
        <f t="shared" si="129"/>
        <v>-1.564793411608899E-3</v>
      </c>
      <c r="AG94" s="2040">
        <f t="shared" si="163"/>
        <v>0</v>
      </c>
      <c r="AH94" s="2139">
        <f t="shared" si="176"/>
        <v>4.7578887023949461E-5</v>
      </c>
      <c r="AI94" s="2212">
        <v>40</v>
      </c>
      <c r="AJ94" s="2196">
        <f t="shared" si="164"/>
        <v>1.4317261437819951E-3</v>
      </c>
      <c r="AK94" s="2229">
        <f>FISCinyear!JF919</f>
        <v>20</v>
      </c>
      <c r="AL94" s="2229">
        <f t="shared" si="165"/>
        <v>20</v>
      </c>
      <c r="AM94" s="2092">
        <f>FISC!AM1238</f>
        <v>40</v>
      </c>
      <c r="AN94" s="2039">
        <f t="shared" si="130"/>
        <v>1.3900920890518016E-3</v>
      </c>
      <c r="AO94" s="2040">
        <f t="shared" si="166"/>
        <v>0</v>
      </c>
      <c r="AP94" s="2139">
        <f t="shared" si="166"/>
        <v>-4.1634054730193496E-5</v>
      </c>
      <c r="AQ94" s="2212">
        <v>40</v>
      </c>
      <c r="AR94" s="2196">
        <f t="shared" si="167"/>
        <v>1.2715152253836546E-3</v>
      </c>
      <c r="AS94" s="2229">
        <f>FISCinyear!JI919</f>
        <v>20</v>
      </c>
      <c r="AT94" s="2229">
        <f t="shared" si="168"/>
        <v>20</v>
      </c>
      <c r="AU94" s="2092">
        <f>FISC!AN1238</f>
        <v>40</v>
      </c>
      <c r="AV94" s="2039">
        <f t="shared" si="131"/>
        <v>1.2371105301169256E-3</v>
      </c>
      <c r="AW94" s="2040">
        <f t="shared" si="169"/>
        <v>0</v>
      </c>
      <c r="AX94" s="2139">
        <f t="shared" si="174"/>
        <v>-3.4404695266728987E-5</v>
      </c>
      <c r="AY94" s="2212">
        <v>40</v>
      </c>
      <c r="AZ94" s="2196">
        <f t="shared" si="170"/>
        <v>1.1292319941240275E-3</v>
      </c>
      <c r="BA94" s="2229">
        <f>FISCinyear!JL919</f>
        <v>20</v>
      </c>
      <c r="BB94" s="2229">
        <f t="shared" si="171"/>
        <v>20</v>
      </c>
      <c r="BC94" s="2092">
        <f>FISC!AO1238</f>
        <v>40</v>
      </c>
      <c r="BD94" s="2039">
        <f t="shared" si="132"/>
        <v>1.1010934967739883E-3</v>
      </c>
      <c r="BE94" s="2040">
        <f t="shared" ref="BE94:BE108" si="199">BC94-AY94</f>
        <v>0</v>
      </c>
      <c r="BF94" s="2139">
        <f t="shared" si="118"/>
        <v>-2.8138497350039225E-5</v>
      </c>
    </row>
    <row r="95" spans="1:58">
      <c r="A95" s="2067" t="s">
        <v>602</v>
      </c>
      <c r="B95" s="2063">
        <v>1208.331333049249</v>
      </c>
      <c r="C95" s="2037">
        <f t="shared" si="197"/>
        <v>6.9973644616110359E-2</v>
      </c>
      <c r="D95" s="2092">
        <f>FISC!AI1239</f>
        <v>1307.214153385396</v>
      </c>
      <c r="E95" s="2039">
        <f t="shared" si="198"/>
        <v>7.3658317089389524E-2</v>
      </c>
      <c r="F95" s="2040">
        <f t="shared" si="154"/>
        <v>98.882820336147006</v>
      </c>
      <c r="G95" s="2130">
        <f t="shared" si="194"/>
        <v>3.6846724732791658E-3</v>
      </c>
      <c r="H95" s="2212">
        <v>1316.2547478563934</v>
      </c>
      <c r="I95" s="2196">
        <f t="shared" si="155"/>
        <v>6.7008289990525438E-2</v>
      </c>
      <c r="J95" s="2229">
        <v>962.14855236608878</v>
      </c>
      <c r="K95" s="2229">
        <f>FISCinyear!IW920</f>
        <v>1031.5909723558216</v>
      </c>
      <c r="L95" s="2218">
        <f t="shared" si="173"/>
        <v>69.442419989732798</v>
      </c>
      <c r="M95" s="2218">
        <v>354.10619549030457</v>
      </c>
      <c r="N95" s="2218">
        <f t="shared" si="179"/>
        <v>253.03253110893365</v>
      </c>
      <c r="O95" s="2092">
        <f>FISC!AJ1239</f>
        <v>1284.6235034647552</v>
      </c>
      <c r="P95" s="2139">
        <f t="shared" si="127"/>
        <v>6.4123160276986432E-2</v>
      </c>
      <c r="Q95" s="2040">
        <f t="shared" si="156"/>
        <v>-31.63124439163812</v>
      </c>
      <c r="R95" s="2130">
        <f t="shared" si="157"/>
        <v>-2.8851297135390058E-3</v>
      </c>
      <c r="S95" s="2212">
        <v>1057.2371378776525</v>
      </c>
      <c r="T95" s="2196">
        <f t="shared" si="158"/>
        <v>4.7923696544565228E-2</v>
      </c>
      <c r="U95" s="2229">
        <f>FISCinyear!IZ920</f>
        <v>1443.4456981983878</v>
      </c>
      <c r="V95" s="2229">
        <f t="shared" si="159"/>
        <v>368.34171420739267</v>
      </c>
      <c r="W95" s="2092">
        <f>FISC!AK1239</f>
        <v>1811.7874124057805</v>
      </c>
      <c r="X95" s="2139">
        <f t="shared" si="128"/>
        <v>7.9978339454194594E-2</v>
      </c>
      <c r="Y95" s="2040">
        <f t="shared" si="160"/>
        <v>754.55027452812806</v>
      </c>
      <c r="Z95" s="2130">
        <f t="shared" si="195"/>
        <v>3.2054642909629366E-2</v>
      </c>
      <c r="AA95" s="2212">
        <v>991.41522987006829</v>
      </c>
      <c r="AB95" s="2196">
        <f t="shared" si="161"/>
        <v>3.9963261327130392E-2</v>
      </c>
      <c r="AC95" s="2229">
        <f>FISCinyear!JC920</f>
        <v>1149.3064888327742</v>
      </c>
      <c r="AD95" s="2229">
        <f t="shared" si="162"/>
        <v>483.3593040396288</v>
      </c>
      <c r="AE95" s="2092">
        <f>FISC!AL1239</f>
        <v>1632.665792872403</v>
      </c>
      <c r="AF95" s="2039">
        <f t="shared" si="129"/>
        <v>6.3869616901148882E-2</v>
      </c>
      <c r="AG95" s="2040">
        <f t="shared" si="163"/>
        <v>641.25056300233473</v>
      </c>
      <c r="AH95" s="2139">
        <f t="shared" si="176"/>
        <v>2.390635557401849E-2</v>
      </c>
      <c r="AI95" s="2212">
        <v>746.20775790701146</v>
      </c>
      <c r="AJ95" s="2196">
        <f t="shared" si="164"/>
        <v>2.6709128892210353E-2</v>
      </c>
      <c r="AK95" s="2229">
        <f>FISCinyear!JF920</f>
        <v>779.02844806848543</v>
      </c>
      <c r="AL95" s="2229">
        <f t="shared" si="165"/>
        <v>201.00854119955034</v>
      </c>
      <c r="AM95" s="2092">
        <f>FISC!AM1239</f>
        <v>980.03698926803577</v>
      </c>
      <c r="AN95" s="2039">
        <f t="shared" si="130"/>
        <v>3.4058541643991046E-2</v>
      </c>
      <c r="AO95" s="2040">
        <f t="shared" si="166"/>
        <v>233.82923136102431</v>
      </c>
      <c r="AP95" s="2139">
        <f t="shared" si="166"/>
        <v>7.3494127517806929E-3</v>
      </c>
      <c r="AQ95" s="2212">
        <v>1110.2681212653542</v>
      </c>
      <c r="AR95" s="2196">
        <f t="shared" si="167"/>
        <v>3.5293070511175098E-2</v>
      </c>
      <c r="AS95" s="2229">
        <f>FISCinyear!JI920</f>
        <v>653.69314307351624</v>
      </c>
      <c r="AT95" s="2229">
        <f>AU95-AS95</f>
        <v>117.99997203796204</v>
      </c>
      <c r="AU95" s="2092">
        <f>FISC!AN1239</f>
        <v>771.69311511147828</v>
      </c>
      <c r="AV95" s="2039">
        <f t="shared" si="131"/>
        <v>2.3866741968078566E-2</v>
      </c>
      <c r="AW95" s="2040">
        <f t="shared" ref="AW95:AW108" si="200">AU95-AQ95</f>
        <v>-338.57500615387596</v>
      </c>
      <c r="AX95" s="2139">
        <f t="shared" si="174"/>
        <v>-1.1426328543096533E-2</v>
      </c>
      <c r="AY95" s="2212">
        <v>1391.9761961039999</v>
      </c>
      <c r="AZ95" s="2196">
        <f t="shared" si="170"/>
        <v>3.9296601392492449E-2</v>
      </c>
      <c r="BA95" s="2229">
        <f>FISCinyear!JL920</f>
        <v>274.94887118425743</v>
      </c>
      <c r="BB95" s="2229">
        <f t="shared" si="171"/>
        <v>57.544956215305206</v>
      </c>
      <c r="BC95" s="2092">
        <f>FISC!AO1247</f>
        <v>332.49382739956263</v>
      </c>
      <c r="BD95" s="2039">
        <f t="shared" si="132"/>
        <v>9.1526697766787825E-3</v>
      </c>
      <c r="BE95" s="2040">
        <f t="shared" si="199"/>
        <v>-1059.4823687044372</v>
      </c>
      <c r="BF95" s="2139">
        <f t="shared" si="118"/>
        <v>-3.0143931615813666E-2</v>
      </c>
    </row>
    <row r="96" spans="1:58" ht="12.65" customHeight="1">
      <c r="A96" s="2067" t="s">
        <v>3237</v>
      </c>
      <c r="B96" s="2063">
        <v>0</v>
      </c>
      <c r="C96" s="2037">
        <f t="shared" si="197"/>
        <v>0</v>
      </c>
      <c r="D96" s="2092"/>
      <c r="E96" s="2039">
        <f t="shared" si="198"/>
        <v>0</v>
      </c>
      <c r="F96" s="2040">
        <f t="shared" si="154"/>
        <v>0</v>
      </c>
      <c r="G96" s="2130">
        <f t="shared" si="194"/>
        <v>0</v>
      </c>
      <c r="H96" s="2212">
        <v>0</v>
      </c>
      <c r="I96" s="2196">
        <f t="shared" si="155"/>
        <v>0</v>
      </c>
      <c r="J96" s="2229">
        <v>0</v>
      </c>
      <c r="K96" s="2229">
        <v>0</v>
      </c>
      <c r="L96" s="2218">
        <f t="shared" si="173"/>
        <v>0</v>
      </c>
      <c r="M96" s="2218">
        <v>0</v>
      </c>
      <c r="N96" s="2218">
        <f t="shared" si="179"/>
        <v>0</v>
      </c>
      <c r="O96" s="2092">
        <f>H96</f>
        <v>0</v>
      </c>
      <c r="P96" s="2139">
        <f t="shared" si="127"/>
        <v>0</v>
      </c>
      <c r="Q96" s="2040">
        <f t="shared" si="156"/>
        <v>0</v>
      </c>
      <c r="R96" s="2130">
        <f t="shared" si="157"/>
        <v>0</v>
      </c>
      <c r="S96" s="2212">
        <v>0</v>
      </c>
      <c r="T96" s="2196">
        <f t="shared" si="158"/>
        <v>0</v>
      </c>
      <c r="U96" s="2229">
        <v>0</v>
      </c>
      <c r="V96" s="2229">
        <f t="shared" si="159"/>
        <v>0</v>
      </c>
      <c r="W96" s="2092">
        <f>S96</f>
        <v>0</v>
      </c>
      <c r="X96" s="2139">
        <f t="shared" si="128"/>
        <v>0</v>
      </c>
      <c r="Y96" s="2040">
        <f t="shared" si="160"/>
        <v>0</v>
      </c>
      <c r="Z96" s="2130">
        <f t="shared" si="195"/>
        <v>0</v>
      </c>
      <c r="AA96" s="2212">
        <v>0</v>
      </c>
      <c r="AB96" s="2196">
        <f t="shared" si="161"/>
        <v>0</v>
      </c>
      <c r="AC96" s="2229"/>
      <c r="AD96" s="2229">
        <f t="shared" si="162"/>
        <v>0</v>
      </c>
      <c r="AE96" s="2092">
        <f>AA96</f>
        <v>0</v>
      </c>
      <c r="AF96" s="2039">
        <f t="shared" si="129"/>
        <v>0</v>
      </c>
      <c r="AG96" s="2040">
        <f t="shared" si="163"/>
        <v>0</v>
      </c>
      <c r="AH96" s="2139">
        <f t="shared" si="176"/>
        <v>0</v>
      </c>
      <c r="AI96" s="2212">
        <v>0</v>
      </c>
      <c r="AJ96" s="2196">
        <f t="shared" si="164"/>
        <v>0</v>
      </c>
      <c r="AK96" s="2229"/>
      <c r="AL96" s="2229">
        <f t="shared" si="165"/>
        <v>0</v>
      </c>
      <c r="AM96" s="2092">
        <f>AI96</f>
        <v>0</v>
      </c>
      <c r="AN96" s="2039">
        <f t="shared" si="130"/>
        <v>0</v>
      </c>
      <c r="AO96" s="2040">
        <f t="shared" si="166"/>
        <v>0</v>
      </c>
      <c r="AP96" s="2139">
        <f t="shared" si="166"/>
        <v>0</v>
      </c>
      <c r="AQ96" s="2212">
        <v>0</v>
      </c>
      <c r="AR96" s="2196">
        <f t="shared" si="167"/>
        <v>0</v>
      </c>
      <c r="AS96" s="2229"/>
      <c r="AT96" s="2229">
        <f t="shared" si="168"/>
        <v>0</v>
      </c>
      <c r="AU96" s="2092">
        <f>AN96</f>
        <v>0</v>
      </c>
      <c r="AV96" s="2039">
        <f t="shared" si="131"/>
        <v>0</v>
      </c>
      <c r="AW96" s="2040">
        <f t="shared" si="200"/>
        <v>0</v>
      </c>
      <c r="AX96" s="2139">
        <f t="shared" si="174"/>
        <v>0</v>
      </c>
      <c r="AY96" s="2212">
        <v>0</v>
      </c>
      <c r="AZ96" s="2196">
        <f t="shared" si="170"/>
        <v>0</v>
      </c>
      <c r="BA96" s="2229">
        <v>0</v>
      </c>
      <c r="BB96" s="2229">
        <f t="shared" si="171"/>
        <v>0</v>
      </c>
      <c r="BC96" s="2092">
        <f>AV96</f>
        <v>0</v>
      </c>
      <c r="BD96" s="2039">
        <f t="shared" si="132"/>
        <v>0</v>
      </c>
      <c r="BE96" s="2040">
        <f t="shared" si="199"/>
        <v>0</v>
      </c>
      <c r="BF96" s="2139">
        <f t="shared" si="118"/>
        <v>0</v>
      </c>
    </row>
    <row r="97" spans="1:58" ht="12.65" customHeight="1">
      <c r="A97" s="2043" t="s">
        <v>3238</v>
      </c>
      <c r="B97" s="2063">
        <v>0</v>
      </c>
      <c r="C97" s="2037">
        <f t="shared" si="197"/>
        <v>0</v>
      </c>
      <c r="D97" s="2092">
        <f>B97</f>
        <v>0</v>
      </c>
      <c r="E97" s="2039">
        <f t="shared" si="198"/>
        <v>0</v>
      </c>
      <c r="F97" s="2040">
        <f t="shared" si="154"/>
        <v>0</v>
      </c>
      <c r="G97" s="2130">
        <f t="shared" si="194"/>
        <v>0</v>
      </c>
      <c r="H97" s="2212">
        <v>0</v>
      </c>
      <c r="I97" s="2196">
        <f t="shared" si="155"/>
        <v>0</v>
      </c>
      <c r="J97" s="2229">
        <v>0</v>
      </c>
      <c r="K97" s="2229">
        <v>0</v>
      </c>
      <c r="L97" s="2218">
        <f t="shared" si="173"/>
        <v>0</v>
      </c>
      <c r="M97" s="2218">
        <v>0</v>
      </c>
      <c r="N97" s="2218">
        <f t="shared" si="179"/>
        <v>0</v>
      </c>
      <c r="O97" s="2092">
        <f>H97</f>
        <v>0</v>
      </c>
      <c r="P97" s="2139">
        <f t="shared" si="127"/>
        <v>0</v>
      </c>
      <c r="Q97" s="2040">
        <f t="shared" si="156"/>
        <v>0</v>
      </c>
      <c r="R97" s="2130">
        <f t="shared" si="157"/>
        <v>0</v>
      </c>
      <c r="S97" s="2212">
        <v>0</v>
      </c>
      <c r="T97" s="2196">
        <f t="shared" si="158"/>
        <v>0</v>
      </c>
      <c r="U97" s="2229">
        <v>0</v>
      </c>
      <c r="V97" s="2229">
        <f t="shared" si="159"/>
        <v>0</v>
      </c>
      <c r="W97" s="2092">
        <f>S97</f>
        <v>0</v>
      </c>
      <c r="X97" s="2139">
        <f t="shared" si="128"/>
        <v>0</v>
      </c>
      <c r="Y97" s="2040">
        <f t="shared" si="160"/>
        <v>0</v>
      </c>
      <c r="Z97" s="2130">
        <f t="shared" si="195"/>
        <v>0</v>
      </c>
      <c r="AA97" s="2212">
        <v>0</v>
      </c>
      <c r="AB97" s="2196">
        <f t="shared" si="161"/>
        <v>0</v>
      </c>
      <c r="AC97" s="2229"/>
      <c r="AD97" s="2229">
        <f t="shared" si="162"/>
        <v>0</v>
      </c>
      <c r="AE97" s="2092">
        <f>AA97</f>
        <v>0</v>
      </c>
      <c r="AF97" s="2039">
        <f t="shared" si="129"/>
        <v>0</v>
      </c>
      <c r="AG97" s="2040">
        <f t="shared" si="163"/>
        <v>0</v>
      </c>
      <c r="AH97" s="2139">
        <f t="shared" si="176"/>
        <v>0</v>
      </c>
      <c r="AI97" s="2212">
        <v>0</v>
      </c>
      <c r="AJ97" s="2196">
        <f t="shared" si="164"/>
        <v>0</v>
      </c>
      <c r="AK97" s="2229"/>
      <c r="AL97" s="2229">
        <f t="shared" si="165"/>
        <v>0</v>
      </c>
      <c r="AM97" s="2092">
        <f>AI97</f>
        <v>0</v>
      </c>
      <c r="AN97" s="2039">
        <f t="shared" si="130"/>
        <v>0</v>
      </c>
      <c r="AO97" s="2040">
        <f t="shared" si="166"/>
        <v>0</v>
      </c>
      <c r="AP97" s="2139">
        <f t="shared" si="166"/>
        <v>0</v>
      </c>
      <c r="AQ97" s="2212">
        <v>0</v>
      </c>
      <c r="AR97" s="2196">
        <f t="shared" si="167"/>
        <v>0</v>
      </c>
      <c r="AS97" s="2229"/>
      <c r="AT97" s="2229">
        <f t="shared" si="168"/>
        <v>0</v>
      </c>
      <c r="AU97" s="2092">
        <f>AN97</f>
        <v>0</v>
      </c>
      <c r="AV97" s="2039">
        <f t="shared" si="131"/>
        <v>0</v>
      </c>
      <c r="AW97" s="2040">
        <f t="shared" si="200"/>
        <v>0</v>
      </c>
      <c r="AX97" s="2139">
        <f t="shared" si="174"/>
        <v>0</v>
      </c>
      <c r="AY97" s="2212">
        <v>0</v>
      </c>
      <c r="AZ97" s="2196">
        <f t="shared" si="170"/>
        <v>0</v>
      </c>
      <c r="BA97" s="2229">
        <v>0</v>
      </c>
      <c r="BB97" s="2229">
        <f t="shared" si="171"/>
        <v>0</v>
      </c>
      <c r="BC97" s="2092">
        <f>AV97</f>
        <v>0</v>
      </c>
      <c r="BD97" s="2039">
        <f t="shared" si="132"/>
        <v>0</v>
      </c>
      <c r="BE97" s="2040">
        <f t="shared" si="199"/>
        <v>0</v>
      </c>
      <c r="BF97" s="2139">
        <f t="shared" si="118"/>
        <v>0</v>
      </c>
    </row>
    <row r="98" spans="1:58" ht="12.65" customHeight="1">
      <c r="A98" s="2043" t="s">
        <v>3239</v>
      </c>
      <c r="B98" s="2063">
        <v>0</v>
      </c>
      <c r="C98" s="2037">
        <f t="shared" si="197"/>
        <v>0</v>
      </c>
      <c r="D98" s="2092">
        <f>B98</f>
        <v>0</v>
      </c>
      <c r="E98" s="2039">
        <f t="shared" si="198"/>
        <v>0</v>
      </c>
      <c r="F98" s="2040">
        <f t="shared" si="154"/>
        <v>0</v>
      </c>
      <c r="G98" s="2130">
        <f t="shared" si="194"/>
        <v>0</v>
      </c>
      <c r="H98" s="2212">
        <v>0</v>
      </c>
      <c r="I98" s="2196">
        <f t="shared" si="155"/>
        <v>0</v>
      </c>
      <c r="J98" s="2229">
        <v>0</v>
      </c>
      <c r="K98" s="2229">
        <v>0</v>
      </c>
      <c r="L98" s="2218">
        <f t="shared" si="173"/>
        <v>0</v>
      </c>
      <c r="M98" s="2218">
        <v>0</v>
      </c>
      <c r="N98" s="2218">
        <f t="shared" si="179"/>
        <v>0</v>
      </c>
      <c r="O98" s="2092">
        <f>H98</f>
        <v>0</v>
      </c>
      <c r="P98" s="2139">
        <f t="shared" si="127"/>
        <v>0</v>
      </c>
      <c r="Q98" s="2040">
        <f t="shared" si="156"/>
        <v>0</v>
      </c>
      <c r="R98" s="2130">
        <f t="shared" si="157"/>
        <v>0</v>
      </c>
      <c r="S98" s="2212">
        <v>0</v>
      </c>
      <c r="T98" s="2196">
        <f t="shared" si="158"/>
        <v>0</v>
      </c>
      <c r="U98" s="2229">
        <v>0</v>
      </c>
      <c r="V98" s="2229">
        <f t="shared" si="159"/>
        <v>0</v>
      </c>
      <c r="W98" s="2092">
        <f>S98</f>
        <v>0</v>
      </c>
      <c r="X98" s="2139">
        <f t="shared" si="128"/>
        <v>0</v>
      </c>
      <c r="Y98" s="2040">
        <f t="shared" si="160"/>
        <v>0</v>
      </c>
      <c r="Z98" s="2130">
        <f t="shared" si="195"/>
        <v>0</v>
      </c>
      <c r="AA98" s="2212">
        <v>0</v>
      </c>
      <c r="AB98" s="2196">
        <f t="shared" si="161"/>
        <v>0</v>
      </c>
      <c r="AC98" s="2229"/>
      <c r="AD98" s="2229">
        <f t="shared" si="162"/>
        <v>0</v>
      </c>
      <c r="AE98" s="2092">
        <f>AA98</f>
        <v>0</v>
      </c>
      <c r="AF98" s="2039">
        <f t="shared" si="129"/>
        <v>0</v>
      </c>
      <c r="AG98" s="2040">
        <f t="shared" si="163"/>
        <v>0</v>
      </c>
      <c r="AH98" s="2139">
        <f t="shared" si="176"/>
        <v>0</v>
      </c>
      <c r="AI98" s="2212">
        <v>0</v>
      </c>
      <c r="AJ98" s="2196">
        <f t="shared" si="164"/>
        <v>0</v>
      </c>
      <c r="AK98" s="2229"/>
      <c r="AL98" s="2229">
        <f t="shared" si="165"/>
        <v>0</v>
      </c>
      <c r="AM98" s="2092">
        <f>AI98</f>
        <v>0</v>
      </c>
      <c r="AN98" s="2039">
        <f t="shared" si="130"/>
        <v>0</v>
      </c>
      <c r="AO98" s="2040">
        <f t="shared" si="166"/>
        <v>0</v>
      </c>
      <c r="AP98" s="2139">
        <f t="shared" si="166"/>
        <v>0</v>
      </c>
      <c r="AQ98" s="2212">
        <v>0</v>
      </c>
      <c r="AR98" s="2196">
        <f t="shared" si="167"/>
        <v>0</v>
      </c>
      <c r="AS98" s="2229"/>
      <c r="AT98" s="2229">
        <f t="shared" si="168"/>
        <v>0</v>
      </c>
      <c r="AU98" s="2092">
        <f>AN98</f>
        <v>0</v>
      </c>
      <c r="AV98" s="2039">
        <f t="shared" si="131"/>
        <v>0</v>
      </c>
      <c r="AW98" s="2040">
        <f t="shared" si="200"/>
        <v>0</v>
      </c>
      <c r="AX98" s="2139">
        <f t="shared" si="174"/>
        <v>0</v>
      </c>
      <c r="AY98" s="2212">
        <v>0</v>
      </c>
      <c r="AZ98" s="2196">
        <f t="shared" si="170"/>
        <v>0</v>
      </c>
      <c r="BA98" s="2229">
        <v>0</v>
      </c>
      <c r="BB98" s="2229">
        <f t="shared" si="171"/>
        <v>0</v>
      </c>
      <c r="BC98" s="2092">
        <f>AV98</f>
        <v>0</v>
      </c>
      <c r="BD98" s="2039">
        <f t="shared" si="132"/>
        <v>0</v>
      </c>
      <c r="BE98" s="2040">
        <f t="shared" si="199"/>
        <v>0</v>
      </c>
      <c r="BF98" s="2139">
        <f t="shared" si="118"/>
        <v>0</v>
      </c>
    </row>
    <row r="99" spans="1:58">
      <c r="A99" s="2067" t="s">
        <v>601</v>
      </c>
      <c r="B99" s="2044">
        <v>1208.331333049249</v>
      </c>
      <c r="C99" s="2037">
        <f t="shared" si="197"/>
        <v>6.9973644616110359E-2</v>
      </c>
      <c r="D99" s="2045">
        <f>FISC!AI1247</f>
        <v>1307.214153385396</v>
      </c>
      <c r="E99" s="2039">
        <f t="shared" si="198"/>
        <v>7.3658317089389524E-2</v>
      </c>
      <c r="F99" s="2040">
        <f t="shared" si="154"/>
        <v>98.882820336147006</v>
      </c>
      <c r="G99" s="2130">
        <f t="shared" si="194"/>
        <v>3.6846724732791658E-3</v>
      </c>
      <c r="H99" s="2201">
        <v>1316.2547478563934</v>
      </c>
      <c r="I99" s="2196">
        <f t="shared" si="155"/>
        <v>6.7008289990525438E-2</v>
      </c>
      <c r="J99" s="2229">
        <v>962.14855236608878</v>
      </c>
      <c r="K99" s="2229">
        <f>FISCinyear!IW928</f>
        <v>1031.5909723558216</v>
      </c>
      <c r="L99" s="2218">
        <f t="shared" si="173"/>
        <v>69.442419989732798</v>
      </c>
      <c r="M99" s="2218">
        <v>354.10619549030457</v>
      </c>
      <c r="N99" s="2218">
        <f t="shared" si="179"/>
        <v>253.03253110893365</v>
      </c>
      <c r="O99" s="2045">
        <f>FISC!AJ1247</f>
        <v>1284.6235034647552</v>
      </c>
      <c r="P99" s="2139">
        <f t="shared" si="127"/>
        <v>6.4123160276986432E-2</v>
      </c>
      <c r="Q99" s="2040">
        <f t="shared" si="156"/>
        <v>-31.63124439163812</v>
      </c>
      <c r="R99" s="2130">
        <f t="shared" si="157"/>
        <v>-2.8851297135390058E-3</v>
      </c>
      <c r="S99" s="2201">
        <v>1057.2371378776525</v>
      </c>
      <c r="T99" s="2196">
        <f t="shared" si="158"/>
        <v>4.7923696544565228E-2</v>
      </c>
      <c r="U99" s="2229">
        <f>FISCinyear!IZ928</f>
        <v>1443.4456981983878</v>
      </c>
      <c r="V99" s="2229">
        <f t="shared" si="159"/>
        <v>368.34171420739267</v>
      </c>
      <c r="W99" s="2045">
        <f>FISC!AK1247</f>
        <v>1811.7874124057805</v>
      </c>
      <c r="X99" s="2139">
        <f t="shared" si="128"/>
        <v>7.9978339454194594E-2</v>
      </c>
      <c r="Y99" s="2040">
        <f t="shared" si="160"/>
        <v>754.55027452812806</v>
      </c>
      <c r="Z99" s="2130">
        <f t="shared" si="195"/>
        <v>3.2054642909629366E-2</v>
      </c>
      <c r="AA99" s="2201">
        <v>991.41522987006829</v>
      </c>
      <c r="AB99" s="2196">
        <f t="shared" si="161"/>
        <v>3.9963261327130392E-2</v>
      </c>
      <c r="AC99" s="2229">
        <f>FISCinyear!JC928</f>
        <v>1149.3064888327742</v>
      </c>
      <c r="AD99" s="2229">
        <f t="shared" si="162"/>
        <v>483.3593040396288</v>
      </c>
      <c r="AE99" s="2045">
        <f>FISC!AL1247</f>
        <v>1632.665792872403</v>
      </c>
      <c r="AF99" s="2039">
        <f t="shared" si="129"/>
        <v>6.3869616901148882E-2</v>
      </c>
      <c r="AG99" s="2040">
        <f t="shared" si="163"/>
        <v>641.25056300233473</v>
      </c>
      <c r="AH99" s="2139">
        <f t="shared" si="176"/>
        <v>2.390635557401849E-2</v>
      </c>
      <c r="AI99" s="2201">
        <v>746.20775790701146</v>
      </c>
      <c r="AJ99" s="2196">
        <f t="shared" si="164"/>
        <v>2.6709128892210353E-2</v>
      </c>
      <c r="AK99" s="2229">
        <f>FISCinyear!JF928</f>
        <v>779.02844806848543</v>
      </c>
      <c r="AL99" s="2229">
        <f t="shared" si="165"/>
        <v>201.00854119955034</v>
      </c>
      <c r="AM99" s="2045">
        <f>FISC!AM1247</f>
        <v>980.03698926803577</v>
      </c>
      <c r="AN99" s="2039">
        <f t="shared" si="130"/>
        <v>3.4058541643991046E-2</v>
      </c>
      <c r="AO99" s="2040">
        <f t="shared" si="166"/>
        <v>233.82923136102431</v>
      </c>
      <c r="AP99" s="2139">
        <f t="shared" si="166"/>
        <v>7.3494127517806929E-3</v>
      </c>
      <c r="AQ99" s="2201">
        <v>1110.2681212653542</v>
      </c>
      <c r="AR99" s="2196">
        <f t="shared" si="167"/>
        <v>3.5293070511175098E-2</v>
      </c>
      <c r="AS99" s="2229">
        <f>FISCinyear!JI928</f>
        <v>653.69314307351624</v>
      </c>
      <c r="AT99" s="2229">
        <f t="shared" si="168"/>
        <v>117.99997203796204</v>
      </c>
      <c r="AU99" s="2045">
        <f>FISC!AN1247</f>
        <v>771.69311511147828</v>
      </c>
      <c r="AV99" s="2039">
        <f t="shared" si="131"/>
        <v>2.3866741968078566E-2</v>
      </c>
      <c r="AW99" s="2040">
        <f t="shared" si="200"/>
        <v>-338.57500615387596</v>
      </c>
      <c r="AX99" s="2139">
        <f t="shared" si="174"/>
        <v>-1.1426328543096533E-2</v>
      </c>
      <c r="AY99" s="2201">
        <v>1391.9761961039999</v>
      </c>
      <c r="AZ99" s="2196">
        <f t="shared" si="170"/>
        <v>3.9296601392492449E-2</v>
      </c>
      <c r="BA99" s="2229">
        <f>FISCinyear!JL928</f>
        <v>274.94887118425743</v>
      </c>
      <c r="BB99" s="2229">
        <f t="shared" si="171"/>
        <v>57.544956215305206</v>
      </c>
      <c r="BC99" s="2045">
        <f>FISC!AO1247</f>
        <v>332.49382739956263</v>
      </c>
      <c r="BD99" s="2039">
        <f t="shared" si="132"/>
        <v>9.1526697766787825E-3</v>
      </c>
      <c r="BE99" s="2040">
        <f t="shared" si="199"/>
        <v>-1059.4823687044372</v>
      </c>
      <c r="BF99" s="2139">
        <f t="shared" si="118"/>
        <v>-3.0143931615813666E-2</v>
      </c>
    </row>
    <row r="100" spans="1:58">
      <c r="A100" s="2093" t="s">
        <v>610</v>
      </c>
      <c r="B100" s="2044">
        <v>1334.907565264964</v>
      </c>
      <c r="C100" s="2037">
        <f t="shared" si="197"/>
        <v>7.7303588024560971E-2</v>
      </c>
      <c r="D100" s="2045">
        <f>FISC!AI1248</f>
        <v>1431.9563672136446</v>
      </c>
      <c r="E100" s="2039">
        <f t="shared" si="198"/>
        <v>8.0687235432109344E-2</v>
      </c>
      <c r="F100" s="2040">
        <f t="shared" si="154"/>
        <v>97.048801948680648</v>
      </c>
      <c r="G100" s="2130">
        <f t="shared" si="194"/>
        <v>3.3836474075483736E-3</v>
      </c>
      <c r="H100" s="2201">
        <v>1503.4698272221285</v>
      </c>
      <c r="I100" s="2196">
        <f t="shared" si="155"/>
        <v>7.653909118928176E-2</v>
      </c>
      <c r="J100" s="2229">
        <v>1050.2182405450476</v>
      </c>
      <c r="K100" s="2229">
        <f>FISCinyear!IW929</f>
        <v>1111.4045313455024</v>
      </c>
      <c r="L100" s="2218">
        <f t="shared" si="173"/>
        <v>61.186290800454799</v>
      </c>
      <c r="M100" s="2218">
        <v>453.25158667708092</v>
      </c>
      <c r="N100" s="2218">
        <f t="shared" si="179"/>
        <v>361.34637895947321</v>
      </c>
      <c r="O100" s="2045">
        <f>FISC!AJ1248</f>
        <v>1472.7509103049756</v>
      </c>
      <c r="P100" s="2139">
        <f t="shared" si="127"/>
        <v>7.3513712317154867E-2</v>
      </c>
      <c r="Q100" s="2040">
        <f t="shared" si="156"/>
        <v>-30.71891691715291</v>
      </c>
      <c r="R100" s="2130">
        <f t="shared" si="157"/>
        <v>-3.0253788721268937E-3</v>
      </c>
      <c r="S100" s="2201">
        <v>1403.1259249112591</v>
      </c>
      <c r="T100" s="2196">
        <f t="shared" si="158"/>
        <v>6.3602552946868965E-2</v>
      </c>
      <c r="U100" s="2229">
        <f>FISCinyear!IZ929</f>
        <v>1598.005596340166</v>
      </c>
      <c r="V100" s="2229">
        <f t="shared" si="159"/>
        <v>553.84918070003278</v>
      </c>
      <c r="W100" s="2045">
        <f>FISC!AK1248</f>
        <v>2151.8547770401988</v>
      </c>
      <c r="X100" s="2139">
        <f t="shared" si="128"/>
        <v>9.4990047196390467E-2</v>
      </c>
      <c r="Y100" s="2040">
        <f t="shared" si="160"/>
        <v>748.72885212893971</v>
      </c>
      <c r="Z100" s="2130">
        <f t="shared" si="195"/>
        <v>3.1387494249521503E-2</v>
      </c>
      <c r="AA100" s="2201">
        <v>1480.3797337933986</v>
      </c>
      <c r="AB100" s="2196">
        <f t="shared" si="161"/>
        <v>5.9673081855648659E-2</v>
      </c>
      <c r="AC100" s="2229">
        <f>FISCinyear!JC929</f>
        <v>1381.3308276047744</v>
      </c>
      <c r="AD100" s="2229">
        <f t="shared" si="162"/>
        <v>737.5650499058986</v>
      </c>
      <c r="AE100" s="2045">
        <f>FISC!AL1248</f>
        <v>2118.895877510673</v>
      </c>
      <c r="AF100" s="2039">
        <f t="shared" si="129"/>
        <v>8.2890857725348946E-2</v>
      </c>
      <c r="AG100" s="2040">
        <f t="shared" si="163"/>
        <v>638.51614371727442</v>
      </c>
      <c r="AH100" s="2139">
        <f t="shared" si="176"/>
        <v>2.3217775869700287E-2</v>
      </c>
      <c r="AI100" s="2201">
        <v>1313.1563592948028</v>
      </c>
      <c r="AJ100" s="2196">
        <f t="shared" si="164"/>
        <v>4.70020072618988E-2</v>
      </c>
      <c r="AK100" s="2229">
        <f>FISCinyear!JF929</f>
        <v>1055.8021186277633</v>
      </c>
      <c r="AL100" s="2229">
        <f t="shared" si="165"/>
        <v>533.58616244998166</v>
      </c>
      <c r="AM100" s="2045">
        <f>FISC!AM1248</f>
        <v>1589.388281077745</v>
      </c>
      <c r="AN100" s="2039">
        <f t="shared" si="130"/>
        <v>5.5234901898945359E-2</v>
      </c>
      <c r="AO100" s="2040">
        <f t="shared" si="166"/>
        <v>276.23192178294221</v>
      </c>
      <c r="AP100" s="2139">
        <f t="shared" si="166"/>
        <v>8.2328946370465589E-3</v>
      </c>
      <c r="AQ100" s="2201">
        <v>1770.2996955154945</v>
      </c>
      <c r="AR100" s="2196">
        <f t="shared" si="167"/>
        <v>5.6274075408499984E-2</v>
      </c>
      <c r="AS100" s="2229">
        <f>FISCinyear!JI929</f>
        <v>1014.4501179115673</v>
      </c>
      <c r="AT100" s="2229">
        <f t="shared" si="168"/>
        <v>546.21594075520352</v>
      </c>
      <c r="AU100" s="2045">
        <f>FISC!AN1248</f>
        <v>1560.6660586667708</v>
      </c>
      <c r="AV100" s="2039">
        <f t="shared" si="131"/>
        <v>4.8267910379318546E-2</v>
      </c>
      <c r="AW100" s="2040">
        <f t="shared" si="200"/>
        <v>-209.63363684872365</v>
      </c>
      <c r="AX100" s="2139">
        <f t="shared" si="174"/>
        <v>-8.0061650291814376E-3</v>
      </c>
      <c r="AY100" s="2201">
        <v>1791.3764834484145</v>
      </c>
      <c r="AZ100" s="2196">
        <f t="shared" si="170"/>
        <v>5.0571990965783527E-2</v>
      </c>
      <c r="BA100" s="2229">
        <f>FISCinyear!JL929</f>
        <v>753.65170203310254</v>
      </c>
      <c r="BB100" s="2229">
        <f t="shared" si="171"/>
        <v>584.70513850665725</v>
      </c>
      <c r="BC100" s="2045">
        <f>FISC!AO1248</f>
        <v>1338.3568405397598</v>
      </c>
      <c r="BD100" s="2039">
        <f t="shared" si="132"/>
        <v>3.684140033703278E-2</v>
      </c>
      <c r="BE100" s="2040">
        <f t="shared" si="199"/>
        <v>-453.01964290865476</v>
      </c>
      <c r="BF100" s="2139">
        <f t="shared" si="118"/>
        <v>-1.3730590628750747E-2</v>
      </c>
    </row>
    <row r="101" spans="1:58">
      <c r="A101" s="2058" t="s">
        <v>538</v>
      </c>
      <c r="B101" s="2044">
        <v>775.99502296359105</v>
      </c>
      <c r="C101" s="2037">
        <f t="shared" si="197"/>
        <v>4.4937343322629532E-2</v>
      </c>
      <c r="D101" s="2045">
        <f>FISC!AI1249</f>
        <v>791.94458221729565</v>
      </c>
      <c r="E101" s="2039">
        <f t="shared" si="198"/>
        <v>4.4624138289135945E-2</v>
      </c>
      <c r="F101" s="2040">
        <f>D101-B101</f>
        <v>15.949559253704592</v>
      </c>
      <c r="G101" s="2130">
        <f t="shared" si="194"/>
        <v>-3.132050334935868E-4</v>
      </c>
      <c r="H101" s="2201">
        <v>847.41662827656592</v>
      </c>
      <c r="I101" s="2196">
        <f t="shared" si="155"/>
        <v>4.3140538913782285E-2</v>
      </c>
      <c r="J101" s="2229">
        <v>736.8784041009136</v>
      </c>
      <c r="K101" s="2229">
        <f>FISCinyear!IW930</f>
        <v>753.45041513383433</v>
      </c>
      <c r="L101" s="2218">
        <f t="shared" si="173"/>
        <v>16.572011032920727</v>
      </c>
      <c r="M101" s="2218">
        <v>110.53822417565232</v>
      </c>
      <c r="N101" s="2218">
        <f t="shared" si="179"/>
        <v>110.6258722353748</v>
      </c>
      <c r="O101" s="2045">
        <f>FISC!AJ1249</f>
        <v>864.07628736920913</v>
      </c>
      <c r="P101" s="2139">
        <f t="shared" si="127"/>
        <v>4.3131160310456926E-2</v>
      </c>
      <c r="Q101" s="2040">
        <f t="shared" si="156"/>
        <v>16.65965909264321</v>
      </c>
      <c r="R101" s="2130">
        <f t="shared" si="157"/>
        <v>-9.3786033253592804E-6</v>
      </c>
      <c r="S101" s="2201">
        <v>648.2585081486119</v>
      </c>
      <c r="T101" s="2196">
        <f t="shared" si="158"/>
        <v>2.9385029066716185E-2</v>
      </c>
      <c r="U101" s="2229">
        <f>FISCinyear!IZ930</f>
        <v>1282.5677261226106</v>
      </c>
      <c r="V101" s="2229">
        <f t="shared" si="159"/>
        <v>246.96987924347332</v>
      </c>
      <c r="W101" s="2045">
        <f>FISC!AK1249</f>
        <v>1529.5376053660839</v>
      </c>
      <c r="X101" s="2139">
        <f t="shared" si="128"/>
        <v>6.7518891550024052E-2</v>
      </c>
      <c r="Y101" s="2040">
        <f t="shared" si="160"/>
        <v>881.27909721747199</v>
      </c>
      <c r="Z101" s="2130">
        <f t="shared" si="195"/>
        <v>3.813386248330787E-2</v>
      </c>
      <c r="AA101" s="2201">
        <v>635.68140180991077</v>
      </c>
      <c r="AB101" s="2196">
        <f t="shared" si="161"/>
        <v>2.5623877075859929E-2</v>
      </c>
      <c r="AC101" s="2229">
        <f>FISCinyear!JC930</f>
        <v>1059.7487452132382</v>
      </c>
      <c r="AD101" s="2229">
        <f t="shared" si="162"/>
        <v>368.04338904242877</v>
      </c>
      <c r="AE101" s="2045">
        <f>FISC!AL1249</f>
        <v>1427.792134255667</v>
      </c>
      <c r="AF101" s="2039">
        <f t="shared" si="129"/>
        <v>5.5854993120756903E-2</v>
      </c>
      <c r="AG101" s="2040">
        <f t="shared" si="163"/>
        <v>792.11073244575618</v>
      </c>
      <c r="AH101" s="2139">
        <f t="shared" si="176"/>
        <v>3.0231116044896974E-2</v>
      </c>
      <c r="AI101" s="2201">
        <v>410.09074682515791</v>
      </c>
      <c r="AJ101" s="2196">
        <f t="shared" si="164"/>
        <v>1.4678441088816545E-2</v>
      </c>
      <c r="AK101" s="2229">
        <f>FISCinyear!JF930</f>
        <v>678.4260880508773</v>
      </c>
      <c r="AL101" s="2229">
        <f t="shared" si="165"/>
        <v>153.05935199293287</v>
      </c>
      <c r="AM101" s="2045">
        <f>FISC!AM1249</f>
        <v>831.48544004381017</v>
      </c>
      <c r="AN101" s="2039">
        <f t="shared" si="130"/>
        <v>2.8896033309166413E-2</v>
      </c>
      <c r="AO101" s="2040">
        <f>AM101-AI101</f>
        <v>421.39469321865226</v>
      </c>
      <c r="AP101" s="2139">
        <f t="shared" si="166"/>
        <v>1.4217592220349868E-2</v>
      </c>
      <c r="AQ101" s="2201">
        <v>732.47851293527469</v>
      </c>
      <c r="AR101" s="2196">
        <f t="shared" si="167"/>
        <v>2.3283939536589502E-2</v>
      </c>
      <c r="AS101" s="2229">
        <f>FISCinyear!JI930</f>
        <v>568.97457557380312</v>
      </c>
      <c r="AT101" s="2229">
        <f t="shared" si="168"/>
        <v>124.79753269486196</v>
      </c>
      <c r="AU101" s="2045">
        <f>FISC!AN1249</f>
        <v>693.77210826866508</v>
      </c>
      <c r="AV101" s="2039">
        <f t="shared" si="131"/>
        <v>2.1456819516014636E-2</v>
      </c>
      <c r="AW101" s="2040">
        <f t="shared" si="200"/>
        <v>-38.706404666609615</v>
      </c>
      <c r="AX101" s="2139">
        <f t="shared" si="174"/>
        <v>-1.8271200205748662E-3</v>
      </c>
      <c r="AY101" s="2201">
        <v>650.40970084189905</v>
      </c>
      <c r="AZ101" s="2196">
        <f t="shared" si="170"/>
        <v>1.8361586086982747E-2</v>
      </c>
      <c r="BA101" s="2229">
        <f>FISCinyear!JL930</f>
        <v>284.04179183921281</v>
      </c>
      <c r="BB101" s="2229">
        <f t="shared" si="171"/>
        <v>75.613964529135046</v>
      </c>
      <c r="BC101" s="2045">
        <f>FISC!AO1249</f>
        <v>359.65575636834785</v>
      </c>
      <c r="BD101" s="2039">
        <f t="shared" si="132"/>
        <v>9.9003653603629439E-3</v>
      </c>
      <c r="BE101" s="2040">
        <f t="shared" si="199"/>
        <v>-290.7539444735512</v>
      </c>
      <c r="BF101" s="2139">
        <f t="shared" si="118"/>
        <v>-8.4612207266198027E-3</v>
      </c>
    </row>
    <row r="102" spans="1:58">
      <c r="A102" s="2183" t="s">
        <v>3777</v>
      </c>
      <c r="B102" s="2044"/>
      <c r="C102" s="2037"/>
      <c r="D102" s="2045"/>
      <c r="E102" s="2039"/>
      <c r="F102" s="2040"/>
      <c r="G102" s="2130"/>
      <c r="H102" s="2201"/>
      <c r="I102" s="2196"/>
      <c r="J102" s="2229"/>
      <c r="K102" s="2229"/>
      <c r="L102" s="2218"/>
      <c r="M102" s="2218"/>
      <c r="N102" s="2218">
        <f t="shared" si="179"/>
        <v>0</v>
      </c>
      <c r="O102" s="2045">
        <f>FISC!AJ1251+FISC!AJ1252</f>
        <v>0</v>
      </c>
      <c r="P102" s="2139">
        <f t="shared" si="127"/>
        <v>0</v>
      </c>
      <c r="Q102" s="2040">
        <f t="shared" ref="Q102" si="201">O102-H102</f>
        <v>0</v>
      </c>
      <c r="R102" s="2130">
        <f t="shared" ref="R102" si="202">P102-I102</f>
        <v>0</v>
      </c>
      <c r="S102" s="2201"/>
      <c r="T102" s="2196"/>
      <c r="U102" s="2229"/>
      <c r="V102" s="2229">
        <f t="shared" si="159"/>
        <v>972.91164550459166</v>
      </c>
      <c r="W102" s="2045">
        <f>FISC!AK1251+FISC!AK1252</f>
        <v>972.91164550459166</v>
      </c>
      <c r="X102" s="2139">
        <f t="shared" si="128"/>
        <v>4.2947565100798911E-2</v>
      </c>
      <c r="Y102" s="2040">
        <f t="shared" ref="Y102" si="203">W102-S102</f>
        <v>972.91164550459166</v>
      </c>
      <c r="Z102" s="2130">
        <f t="shared" ref="Z102" si="204">X102-T102</f>
        <v>4.2947565100798911E-2</v>
      </c>
      <c r="AA102" s="2201">
        <v>0</v>
      </c>
      <c r="AB102" s="2196">
        <f t="shared" si="161"/>
        <v>0</v>
      </c>
      <c r="AC102" s="2229">
        <f>FISCinyear!JC931+FISCinyear!JC932</f>
        <v>416.67467017483159</v>
      </c>
      <c r="AD102" s="2229">
        <f t="shared" si="162"/>
        <v>221.36991769964413</v>
      </c>
      <c r="AE102" s="2045">
        <f>FISC!AL1251+FISC!AL1252</f>
        <v>638.04458787447572</v>
      </c>
      <c r="AF102" s="2039">
        <f t="shared" si="129"/>
        <v>2.496019918546737E-2</v>
      </c>
      <c r="AG102" s="2040">
        <f t="shared" ref="AG102" si="205">AE102-AA102</f>
        <v>638.04458787447572</v>
      </c>
      <c r="AH102" s="2139">
        <f t="shared" ref="AH102" si="206">AF102-AB102</f>
        <v>2.496019918546737E-2</v>
      </c>
      <c r="AI102" s="2201"/>
      <c r="AJ102" s="2196"/>
      <c r="AK102" s="2229">
        <f>FISCinyear!JF931+FISCinyear!JF932</f>
        <v>107.61769758241564</v>
      </c>
      <c r="AL102" s="2229">
        <f t="shared" si="165"/>
        <v>50.922517596669536</v>
      </c>
      <c r="AM102" s="2045">
        <f>FISC!AM1251+FISC!AM1252</f>
        <v>158.54021517908518</v>
      </c>
      <c r="AN102" s="2039">
        <f t="shared" si="130"/>
        <v>5.5096374729254162E-3</v>
      </c>
      <c r="AO102" s="2040">
        <f>AM102-AI102</f>
        <v>158.54021517908518</v>
      </c>
      <c r="AP102" s="2139">
        <f t="shared" ref="AP102" si="207">AN102-AJ102</f>
        <v>5.5096374729254162E-3</v>
      </c>
      <c r="AQ102" s="2201"/>
      <c r="AR102" s="2196"/>
      <c r="AS102" s="2229">
        <f>FISCinyear!JI931+FISCinyear!JI932</f>
        <v>44.487080148440889</v>
      </c>
      <c r="AT102" s="2229">
        <f t="shared" si="168"/>
        <v>52.35073321102697</v>
      </c>
      <c r="AU102" s="2045">
        <f>FISC!AN1251+FISC!AN1252</f>
        <v>96.837813359467859</v>
      </c>
      <c r="AV102" s="2039">
        <f t="shared" si="131"/>
        <v>2.99497696551238E-3</v>
      </c>
      <c r="AW102" s="2040">
        <f t="shared" ref="AW102" si="208">AU102-AQ102</f>
        <v>96.837813359467859</v>
      </c>
      <c r="AX102" s="2139">
        <f t="shared" ref="AX102" si="209">AV102-AR102</f>
        <v>2.99497696551238E-3</v>
      </c>
      <c r="AY102" s="2201"/>
      <c r="AZ102" s="2196"/>
      <c r="BA102" s="2229">
        <f>FISCinyear!JL931+FISCinyear!JL932</f>
        <v>36.631945546877233</v>
      </c>
      <c r="BB102" s="2229">
        <f t="shared" si="171"/>
        <v>0</v>
      </c>
      <c r="BC102" s="2045">
        <f>FISC!AO1251+FISC!AO1252</f>
        <v>36.631945546877233</v>
      </c>
      <c r="BD102" s="2039">
        <f t="shared" si="132"/>
        <v>1.0083799253961345E-3</v>
      </c>
      <c r="BE102" s="2040">
        <f t="shared" ref="BE102" si="210">BC102-AY102</f>
        <v>36.631945546877233</v>
      </c>
      <c r="BF102" s="2139">
        <f t="shared" ref="BF102" si="211">BD102-AZ102</f>
        <v>1.0083799253961345E-3</v>
      </c>
    </row>
    <row r="103" spans="1:58">
      <c r="A103" s="2148" t="s">
        <v>3686</v>
      </c>
      <c r="B103" s="2044"/>
      <c r="C103" s="2037"/>
      <c r="D103" s="2045"/>
      <c r="E103" s="2039"/>
      <c r="F103" s="2040"/>
      <c r="G103" s="2130"/>
      <c r="H103" s="2201">
        <v>0</v>
      </c>
      <c r="I103" s="2196">
        <f>H103/$H$109</f>
        <v>0</v>
      </c>
      <c r="J103" s="2229">
        <v>0</v>
      </c>
      <c r="K103" s="2229">
        <v>0</v>
      </c>
      <c r="L103" s="2218">
        <f t="shared" si="173"/>
        <v>0</v>
      </c>
      <c r="M103" s="2218">
        <v>0</v>
      </c>
      <c r="N103" s="2218">
        <f t="shared" si="179"/>
        <v>0</v>
      </c>
      <c r="O103" s="2045">
        <v>0</v>
      </c>
      <c r="P103" s="2139">
        <f t="shared" si="127"/>
        <v>0</v>
      </c>
      <c r="Q103" s="2040">
        <f t="shared" si="156"/>
        <v>0</v>
      </c>
      <c r="R103" s="2130">
        <f t="shared" si="157"/>
        <v>0</v>
      </c>
      <c r="S103" s="2201">
        <v>88.90801763023066</v>
      </c>
      <c r="T103" s="2196">
        <f>S103/$S$109</f>
        <v>4.0301278725824573E-3</v>
      </c>
      <c r="U103" s="2229">
        <f>FISCinyear!IZ933</f>
        <v>0</v>
      </c>
      <c r="V103" s="2229">
        <f t="shared" si="159"/>
        <v>0</v>
      </c>
      <c r="W103" s="2045">
        <f>FISC!AK1253</f>
        <v>0</v>
      </c>
      <c r="X103" s="2139">
        <f t="shared" si="128"/>
        <v>0</v>
      </c>
      <c r="Y103" s="2040">
        <f t="shared" si="160"/>
        <v>-88.90801763023066</v>
      </c>
      <c r="Z103" s="2130">
        <f t="shared" si="195"/>
        <v>-4.0301278725824573E-3</v>
      </c>
      <c r="AA103" s="2201">
        <v>113.85338539878998</v>
      </c>
      <c r="AB103" s="2196">
        <f>AA103/$AA$109</f>
        <v>4.5893511180644646E-3</v>
      </c>
      <c r="AC103" s="2229">
        <f>FISCinyear!JC933</f>
        <v>57.876666753456604</v>
      </c>
      <c r="AD103" s="2229">
        <f t="shared" si="162"/>
        <v>57.876666753456604</v>
      </c>
      <c r="AE103" s="2045">
        <f>FISC!AL1253</f>
        <v>115.75333350691321</v>
      </c>
      <c r="AF103" s="2039">
        <f t="shared" si="129"/>
        <v>4.528251341084635E-3</v>
      </c>
      <c r="AG103" s="2040">
        <f t="shared" si="163"/>
        <v>1.8999481081232261</v>
      </c>
      <c r="AH103" s="2139">
        <f t="shared" si="176"/>
        <v>-6.1099776979829656E-5</v>
      </c>
      <c r="AI103" s="2201">
        <v>16.738397829598281</v>
      </c>
      <c r="AJ103" s="2196">
        <f>AI103/$AI$109</f>
        <v>5.9912004444149158E-4</v>
      </c>
      <c r="AK103" s="2229">
        <f>FISCinyear!JF933</f>
        <v>0</v>
      </c>
      <c r="AL103" s="2229">
        <f t="shared" si="165"/>
        <v>17.141393107161011</v>
      </c>
      <c r="AM103" s="2045">
        <f>FISC!AM1253</f>
        <v>17.141393107161011</v>
      </c>
      <c r="AN103" s="2039">
        <f t="shared" si="130"/>
        <v>5.9570287383979006E-4</v>
      </c>
      <c r="AO103" s="2040">
        <f>AM103-AI103</f>
        <v>0.40299527756273079</v>
      </c>
      <c r="AP103" s="2139">
        <f t="shared" si="166"/>
        <v>-3.4171706017015191E-6</v>
      </c>
      <c r="AQ103" s="2201">
        <v>35.185709760311013</v>
      </c>
      <c r="AR103" s="2196">
        <f>AQ103/$AQ$109</f>
        <v>1.1184791419041429E-3</v>
      </c>
      <c r="AS103" s="2229">
        <f>FISCinyear!JI933</f>
        <v>72.446799483835008</v>
      </c>
      <c r="AT103" s="2229">
        <f t="shared" si="168"/>
        <v>72.446799483835008</v>
      </c>
      <c r="AU103" s="2045">
        <f>FISC!AN1253</f>
        <v>144.89359896767002</v>
      </c>
      <c r="AV103" s="2039">
        <f t="shared" si="131"/>
        <v>4.4812349257360874E-3</v>
      </c>
      <c r="AW103" s="2040">
        <f t="shared" si="200"/>
        <v>109.707889207359</v>
      </c>
      <c r="AX103" s="2139">
        <f t="shared" si="174"/>
        <v>3.3627557838319445E-3</v>
      </c>
      <c r="AY103" s="2201">
        <v>36.673007553246869</v>
      </c>
      <c r="AZ103" s="2196">
        <f>AY103/$AY$109</f>
        <v>1.0353083362469621E-3</v>
      </c>
      <c r="BA103" s="2229">
        <f>FISCinyear!JL933</f>
        <v>75.613964529135089</v>
      </c>
      <c r="BB103" s="2229">
        <f t="shared" si="171"/>
        <v>75.613964529135089</v>
      </c>
      <c r="BC103" s="2045">
        <f>FISC!AO1253</f>
        <v>151.22792905827018</v>
      </c>
      <c r="BD103" s="2039">
        <f t="shared" si="132"/>
        <v>4.1629022304164832E-3</v>
      </c>
      <c r="BE103" s="2040">
        <f t="shared" si="199"/>
        <v>114.55492150502332</v>
      </c>
      <c r="BF103" s="2139">
        <f t="shared" si="118"/>
        <v>3.1275938941695211E-3</v>
      </c>
    </row>
    <row r="104" spans="1:58">
      <c r="A104" s="2058" t="s">
        <v>539</v>
      </c>
      <c r="B104" s="2044">
        <v>558.91254230137281</v>
      </c>
      <c r="C104" s="2037">
        <f>B104/$B$109</f>
        <v>3.2366244701931439E-2</v>
      </c>
      <c r="D104" s="2045">
        <f>FISC!AI1255</f>
        <v>640.01178499634898</v>
      </c>
      <c r="E104" s="2039">
        <f>D104/$D$109</f>
        <v>3.6063097142973399E-2</v>
      </c>
      <c r="F104" s="2040">
        <f t="shared" ref="F104:F108" si="212">D104-B104</f>
        <v>81.099242694976169</v>
      </c>
      <c r="G104" s="2130">
        <f t="shared" si="194"/>
        <v>3.6968524410419604E-3</v>
      </c>
      <c r="H104" s="2201">
        <v>656.05319894556249</v>
      </c>
      <c r="I104" s="2196">
        <f>H104/$H$109</f>
        <v>3.3398552275499468E-2</v>
      </c>
      <c r="J104" s="2229">
        <v>313.33983644413405</v>
      </c>
      <c r="K104" s="2229">
        <f>FISCinyear!IW935</f>
        <v>357.95411621166807</v>
      </c>
      <c r="L104" s="2218">
        <f t="shared" si="173"/>
        <v>44.614279767534015</v>
      </c>
      <c r="M104" s="2218">
        <v>342.71336250142843</v>
      </c>
      <c r="N104" s="2218">
        <f t="shared" si="179"/>
        <v>250.72050672409853</v>
      </c>
      <c r="O104" s="2045">
        <f>FISC!AJ1255</f>
        <v>608.67462293576659</v>
      </c>
      <c r="P104" s="2139">
        <f t="shared" si="127"/>
        <v>3.0382552006697941E-2</v>
      </c>
      <c r="Q104" s="2040">
        <f t="shared" si="156"/>
        <v>-47.378576009795893</v>
      </c>
      <c r="R104" s="2130">
        <f t="shared" si="157"/>
        <v>-3.0160002688015275E-3</v>
      </c>
      <c r="S104" s="2201">
        <v>754.86741676264728</v>
      </c>
      <c r="T104" s="2196">
        <f>S104/$S$109</f>
        <v>3.4217523880152791E-2</v>
      </c>
      <c r="U104" s="2229">
        <f>FISCinyear!IZ935</f>
        <v>315.43787021755537</v>
      </c>
      <c r="V104" s="2229">
        <f t="shared" si="159"/>
        <v>306.87930145655952</v>
      </c>
      <c r="W104" s="2045">
        <f>FISC!AK1255</f>
        <v>622.31717167411489</v>
      </c>
      <c r="X104" s="2139">
        <f t="shared" si="128"/>
        <v>2.7471155646366416E-2</v>
      </c>
      <c r="Y104" s="2040">
        <f t="shared" si="160"/>
        <v>-132.55024508853239</v>
      </c>
      <c r="Z104" s="2130">
        <f t="shared" si="195"/>
        <v>-6.7463682337863748E-3</v>
      </c>
      <c r="AA104" s="2201">
        <v>844.69833198348783</v>
      </c>
      <c r="AB104" s="2196">
        <f>AA104/$AA$109</f>
        <v>3.4049204779788726E-2</v>
      </c>
      <c r="AC104" s="2229">
        <f>FISCinyear!JC935</f>
        <v>321.58208239153623</v>
      </c>
      <c r="AD104" s="2229">
        <f t="shared" si="162"/>
        <v>369.52166086346972</v>
      </c>
      <c r="AE104" s="2045">
        <f>FISC!AL1255</f>
        <v>691.10374325500595</v>
      </c>
      <c r="AF104" s="2039">
        <f t="shared" si="129"/>
        <v>2.7035864604592032E-2</v>
      </c>
      <c r="AG104" s="2040">
        <f t="shared" si="163"/>
        <v>-153.59458872848188</v>
      </c>
      <c r="AH104" s="2139">
        <f t="shared" si="176"/>
        <v>-7.0133401751966938E-3</v>
      </c>
      <c r="AI104" s="2201">
        <v>903.06561246964486</v>
      </c>
      <c r="AJ104" s="2196">
        <f>AI104/$AI$109</f>
        <v>3.2323566173082255E-2</v>
      </c>
      <c r="AK104" s="2229">
        <f>FISCinyear!JF935</f>
        <v>377.37603057688602</v>
      </c>
      <c r="AL104" s="2229">
        <f t="shared" si="165"/>
        <v>380.5268104570489</v>
      </c>
      <c r="AM104" s="2045">
        <f>FISC!AM1255</f>
        <v>757.90284103393492</v>
      </c>
      <c r="AN104" s="2039">
        <f t="shared" si="130"/>
        <v>2.6338868589778949E-2</v>
      </c>
      <c r="AO104" s="2040">
        <f t="shared" si="166"/>
        <v>-145.16277143570994</v>
      </c>
      <c r="AP104" s="2139">
        <f t="shared" si="166"/>
        <v>-5.9846975833033056E-3</v>
      </c>
      <c r="AQ104" s="2201">
        <v>1037.8211825802198</v>
      </c>
      <c r="AR104" s="2196">
        <f>AQ104/$AQ$109</f>
        <v>3.2990135871910478E-2</v>
      </c>
      <c r="AS104" s="2229">
        <f>FISCinyear!JI935</f>
        <v>445.47554233776413</v>
      </c>
      <c r="AT104" s="2229">
        <f t="shared" si="168"/>
        <v>421.41840806034162</v>
      </c>
      <c r="AU104" s="2045">
        <f>FISC!AN1255</f>
        <v>866.89395039810574</v>
      </c>
      <c r="AV104" s="2039">
        <f t="shared" si="131"/>
        <v>2.6811090863303914E-2</v>
      </c>
      <c r="AW104" s="2040">
        <f t="shared" si="200"/>
        <v>-170.92723218211404</v>
      </c>
      <c r="AX104" s="2139">
        <f t="shared" si="174"/>
        <v>-6.1790450086065644E-3</v>
      </c>
      <c r="AY104" s="2201">
        <v>1140.9667826065156</v>
      </c>
      <c r="AZ104" s="2196">
        <f>AY104/$AY$109</f>
        <v>3.221040487880078E-2</v>
      </c>
      <c r="BA104" s="2229">
        <f>FISCinyear!JL935</f>
        <v>469.60991019388968</v>
      </c>
      <c r="BB104" s="2229">
        <f t="shared" si="171"/>
        <v>509.09117397752226</v>
      </c>
      <c r="BC104" s="2045">
        <f>FISC!AO1255</f>
        <v>978.70108417141194</v>
      </c>
      <c r="BD104" s="2039">
        <f t="shared" si="132"/>
        <v>2.6941034976669834E-2</v>
      </c>
      <c r="BE104" s="2040">
        <f t="shared" si="199"/>
        <v>-162.26569843510367</v>
      </c>
      <c r="BF104" s="2139">
        <f t="shared" si="118"/>
        <v>-5.2693699021309458E-3</v>
      </c>
    </row>
    <row r="105" spans="1:58">
      <c r="A105" s="2183" t="s">
        <v>3199</v>
      </c>
      <c r="B105" s="2044"/>
      <c r="C105" s="2037"/>
      <c r="D105" s="2045"/>
      <c r="E105" s="2039"/>
      <c r="F105" s="2040"/>
      <c r="G105" s="2130"/>
      <c r="H105" s="2201">
        <v>21.092074431640629</v>
      </c>
      <c r="I105" s="2196">
        <f>H105/$H$109</f>
        <v>1.0737616273132878E-3</v>
      </c>
      <c r="J105" s="2229">
        <v>10.546037215820315</v>
      </c>
      <c r="K105" s="2229">
        <f>FISCinyear!IW937</f>
        <v>38.037262263656999</v>
      </c>
      <c r="L105" s="2218">
        <f t="shared" si="173"/>
        <v>27.491225047836686</v>
      </c>
      <c r="M105" s="2218">
        <v>10.546037215820315</v>
      </c>
      <c r="N105" s="2218">
        <f t="shared" si="179"/>
        <v>5.6289984947146294</v>
      </c>
      <c r="O105" s="2045">
        <f>FISC!AJ1257</f>
        <v>43.666260758371628</v>
      </c>
      <c r="P105" s="2139">
        <f t="shared" si="127"/>
        <v>2.1796414511752451E-3</v>
      </c>
      <c r="Q105" s="2040">
        <f t="shared" si="156"/>
        <v>22.574186326730999</v>
      </c>
      <c r="R105" s="2130">
        <f t="shared" si="157"/>
        <v>1.1058798238619573E-3</v>
      </c>
      <c r="S105" s="2201">
        <v>12.688062913955042</v>
      </c>
      <c r="T105" s="2196">
        <f t="shared" ref="T105:T106" si="213">S105/$S$109</f>
        <v>5.7513953591091158E-4</v>
      </c>
      <c r="U105" s="2229">
        <f>FISCinyear!IZ937</f>
        <v>12.396420377995154</v>
      </c>
      <c r="V105" s="2229">
        <f t="shared" si="159"/>
        <v>12.396420377995154</v>
      </c>
      <c r="W105" s="2045">
        <f>FISC!AK1257</f>
        <v>24.792840755990309</v>
      </c>
      <c r="X105" s="2139">
        <f t="shared" si="128"/>
        <v>1.0944386854876114E-3</v>
      </c>
      <c r="Y105" s="2040">
        <f t="shared" ref="Y105" si="214">W105-S105</f>
        <v>12.104777842035267</v>
      </c>
      <c r="Z105" s="2130">
        <f t="shared" ref="Z105" si="215">X105-T105</f>
        <v>5.1929914957669985E-4</v>
      </c>
      <c r="AA105" s="2201">
        <v>11.401422587478521</v>
      </c>
      <c r="AB105" s="2196">
        <f>AA105/$AA$109</f>
        <v>4.595834486264305E-4</v>
      </c>
      <c r="AC105" s="2229">
        <f>FISCinyear!JC937</f>
        <v>0</v>
      </c>
      <c r="AD105" s="2229">
        <f t="shared" si="162"/>
        <v>0</v>
      </c>
      <c r="AE105" s="2045">
        <f>FISC!AL1257</f>
        <v>0</v>
      </c>
      <c r="AF105" s="2039">
        <f t="shared" si="129"/>
        <v>0</v>
      </c>
      <c r="AG105" s="2040">
        <f t="shared" ref="AG105" si="216">AE105-AA105</f>
        <v>-11.401422587478521</v>
      </c>
      <c r="AH105" s="2139">
        <f t="shared" ref="AH105" si="217">AF105-AB105</f>
        <v>-4.595834486264305E-4</v>
      </c>
      <c r="AI105" s="2201">
        <v>16.721156908123085</v>
      </c>
      <c r="AJ105" s="2196">
        <f>AI105/$AI$109</f>
        <v>5.985029374910183E-4</v>
      </c>
      <c r="AK105" s="2229"/>
      <c r="AL105" s="2229">
        <f t="shared" si="165"/>
        <v>0</v>
      </c>
      <c r="AM105" s="2045">
        <f>FISC!AM1257</f>
        <v>0</v>
      </c>
      <c r="AN105" s="2039">
        <f t="shared" si="130"/>
        <v>0</v>
      </c>
      <c r="AO105" s="2040">
        <f t="shared" si="166"/>
        <v>-16.721156908123085</v>
      </c>
      <c r="AP105" s="2139">
        <f t="shared" si="166"/>
        <v>-5.985029374910183E-4</v>
      </c>
      <c r="AQ105" s="2201">
        <v>0</v>
      </c>
      <c r="AR105" s="2196">
        <f>AQ105/$AQ$109</f>
        <v>0</v>
      </c>
      <c r="AS105" s="2229">
        <v>0</v>
      </c>
      <c r="AT105" s="2229">
        <f t="shared" si="168"/>
        <v>0</v>
      </c>
      <c r="AU105" s="2045">
        <v>0</v>
      </c>
      <c r="AV105" s="2039">
        <f t="shared" ref="AV105" si="218">AU105/$AU$109</f>
        <v>0</v>
      </c>
      <c r="AW105" s="2040">
        <f t="shared" ref="AW105" si="219">AU105-AQ105</f>
        <v>0</v>
      </c>
      <c r="AX105" s="2139">
        <f t="shared" ref="AX105" si="220">AV105-AR105</f>
        <v>0</v>
      </c>
      <c r="AY105" s="2201">
        <v>0</v>
      </c>
      <c r="AZ105" s="2196">
        <f>AY105/$AY$109</f>
        <v>0</v>
      </c>
      <c r="BA105" s="2229">
        <v>0</v>
      </c>
      <c r="BB105" s="2229">
        <f t="shared" si="171"/>
        <v>0</v>
      </c>
      <c r="BC105" s="2045">
        <v>0</v>
      </c>
      <c r="BD105" s="2039">
        <f t="shared" ref="BD105" si="221">BC105/$BC$109</f>
        <v>0</v>
      </c>
      <c r="BE105" s="2040">
        <f t="shared" ref="BE105" si="222">BC105-AY105</f>
        <v>0</v>
      </c>
      <c r="BF105" s="2139">
        <f t="shared" ref="BF105" si="223">BD105-AZ105</f>
        <v>0</v>
      </c>
    </row>
    <row r="106" spans="1:58">
      <c r="A106" s="2094" t="s">
        <v>611</v>
      </c>
      <c r="B106" s="2047">
        <v>126.57623221571507</v>
      </c>
      <c r="C106" s="2048">
        <f>B106/$B$109</f>
        <v>7.3299434084506286E-3</v>
      </c>
      <c r="D106" s="2049">
        <f>FISC!AI1258</f>
        <v>124.74221382824851</v>
      </c>
      <c r="E106" s="2050">
        <f>D106/$D$109</f>
        <v>7.028918342719812E-3</v>
      </c>
      <c r="F106" s="2051">
        <f t="shared" si="212"/>
        <v>-1.834018387466557</v>
      </c>
      <c r="G106" s="2131">
        <f t="shared" si="194"/>
        <v>-3.0102506573081653E-4</v>
      </c>
      <c r="H106" s="2204">
        <v>187.21507936573525</v>
      </c>
      <c r="I106" s="2203">
        <f>H106/$H$109</f>
        <v>9.5308011987563276E-3</v>
      </c>
      <c r="J106" s="2230">
        <v>88.069688178958842</v>
      </c>
      <c r="K106" s="2230">
        <f>FISCinyear!IW938</f>
        <v>79.813558989680743</v>
      </c>
      <c r="L106" s="2220">
        <f t="shared" si="173"/>
        <v>-8.2561291892780986</v>
      </c>
      <c r="M106" s="2220">
        <v>99.145391186776408</v>
      </c>
      <c r="N106" s="2220">
        <f t="shared" si="179"/>
        <v>108.31384785053974</v>
      </c>
      <c r="O106" s="2049">
        <f>FISC!AJ1258</f>
        <v>188.12740684022049</v>
      </c>
      <c r="P106" s="2140">
        <f t="shared" si="127"/>
        <v>9.3905520401684432E-3</v>
      </c>
      <c r="Q106" s="2051">
        <f t="shared" si="156"/>
        <v>0.9123274744852381</v>
      </c>
      <c r="R106" s="2131">
        <f t="shared" si="157"/>
        <v>-1.4024915858788442E-4</v>
      </c>
      <c r="S106" s="2204">
        <v>345.88878703360666</v>
      </c>
      <c r="T106" s="2196">
        <f t="shared" si="213"/>
        <v>1.567885640230374E-2</v>
      </c>
      <c r="U106" s="2230">
        <f>FISCinyear!IZ938</f>
        <v>154.55989814177818</v>
      </c>
      <c r="V106" s="2230">
        <f t="shared" si="159"/>
        <v>185.50746649264013</v>
      </c>
      <c r="W106" s="2049">
        <f>FISC!AK1258</f>
        <v>340.06736463441831</v>
      </c>
      <c r="X106" s="2140">
        <f t="shared" si="128"/>
        <v>1.501170774219587E-2</v>
      </c>
      <c r="Y106" s="2051">
        <f t="shared" si="160"/>
        <v>-5.82142239918835</v>
      </c>
      <c r="Z106" s="2131">
        <f t="shared" si="195"/>
        <v>-6.6714866010787049E-4</v>
      </c>
      <c r="AA106" s="2204">
        <v>488.96450392333031</v>
      </c>
      <c r="AB106" s="2203">
        <f>AA106/$AA$109</f>
        <v>1.9709820528518263E-2</v>
      </c>
      <c r="AC106" s="2230">
        <f>FISCinyear!JC938</f>
        <v>232.02433877200025</v>
      </c>
      <c r="AD106" s="2230">
        <f t="shared" si="162"/>
        <v>254.20574586626981</v>
      </c>
      <c r="AE106" s="2049">
        <f>FISC!AL1258</f>
        <v>486.23008463827006</v>
      </c>
      <c r="AF106" s="2050">
        <f t="shared" si="129"/>
        <v>1.9021240824200057E-2</v>
      </c>
      <c r="AG106" s="2051">
        <f t="shared" si="163"/>
        <v>-2.7344192850602553</v>
      </c>
      <c r="AH106" s="2140">
        <f t="shared" si="176"/>
        <v>-6.8857970431820612E-4</v>
      </c>
      <c r="AI106" s="2204">
        <v>566.94860138779131</v>
      </c>
      <c r="AJ106" s="2203">
        <f>AI106/$AI$109</f>
        <v>2.0292878369688447E-2</v>
      </c>
      <c r="AK106" s="2230">
        <f>FISCinyear!JF938</f>
        <v>276.77367055927795</v>
      </c>
      <c r="AL106" s="2230">
        <f t="shared" si="165"/>
        <v>332.57762125043126</v>
      </c>
      <c r="AM106" s="2049">
        <f>FISC!AM1258</f>
        <v>609.35129180970921</v>
      </c>
      <c r="AN106" s="2050">
        <f t="shared" si="130"/>
        <v>2.1176360254954316E-2</v>
      </c>
      <c r="AO106" s="2051">
        <f t="shared" si="166"/>
        <v>42.402690421917896</v>
      </c>
      <c r="AP106" s="2140">
        <f t="shared" si="166"/>
        <v>8.8348188526586949E-4</v>
      </c>
      <c r="AQ106" s="2204">
        <v>660.03157425014012</v>
      </c>
      <c r="AR106" s="2203">
        <f>AQ106/$AQ$109</f>
        <v>2.0981004897324886E-2</v>
      </c>
      <c r="AS106" s="2230">
        <f>FISCinyear!JI938</f>
        <v>360.75697483805101</v>
      </c>
      <c r="AT106" s="2230">
        <f t="shared" si="168"/>
        <v>428.21596871724154</v>
      </c>
      <c r="AU106" s="2049">
        <f>FISC!AN1258</f>
        <v>788.97294355529255</v>
      </c>
      <c r="AV106" s="2050">
        <f>AU106/$AU$109</f>
        <v>2.440116841123998E-2</v>
      </c>
      <c r="AW106" s="2051">
        <f t="shared" si="200"/>
        <v>128.94136930515242</v>
      </c>
      <c r="AX106" s="2140">
        <f t="shared" si="174"/>
        <v>3.4201635139150949E-3</v>
      </c>
      <c r="AY106" s="2204">
        <v>399.40028734441466</v>
      </c>
      <c r="AZ106" s="2203">
        <f>AY106/$AY$109</f>
        <v>1.1275389573291073E-2</v>
      </c>
      <c r="BA106" s="2230">
        <f>FISCinyear!JL938</f>
        <v>478.70283084884511</v>
      </c>
      <c r="BB106" s="2230">
        <f t="shared" si="171"/>
        <v>527.16018229135204</v>
      </c>
      <c r="BC106" s="2049">
        <f>FISC!AO1258</f>
        <v>1005.8630131401972</v>
      </c>
      <c r="BD106" s="2050">
        <f>BC106/$BC$109</f>
        <v>2.7688730560353994E-2</v>
      </c>
      <c r="BE106" s="2051">
        <f t="shared" si="199"/>
        <v>606.46272579578249</v>
      </c>
      <c r="BF106" s="2140">
        <f t="shared" si="118"/>
        <v>1.6413340987062923E-2</v>
      </c>
    </row>
    <row r="107" spans="1:58">
      <c r="A107" s="2183" t="s">
        <v>3777</v>
      </c>
      <c r="B107" s="2044"/>
      <c r="C107" s="2037"/>
      <c r="D107" s="2045"/>
      <c r="E107" s="2039"/>
      <c r="F107" s="2040"/>
      <c r="G107" s="2130"/>
      <c r="H107" s="2201"/>
      <c r="I107" s="2196"/>
      <c r="J107" s="2229"/>
      <c r="K107" s="2229"/>
      <c r="L107" s="2218"/>
      <c r="M107" s="2218"/>
      <c r="N107" s="2218">
        <f t="shared" si="179"/>
        <v>0</v>
      </c>
      <c r="O107" s="2045">
        <f>FISC!AJ1259+FISC!AJ1260</f>
        <v>0</v>
      </c>
      <c r="P107" s="2140">
        <f t="shared" si="127"/>
        <v>0</v>
      </c>
      <c r="Q107" s="2051">
        <f t="shared" ref="Q107" si="224">O107-H107</f>
        <v>0</v>
      </c>
      <c r="R107" s="2131">
        <f t="shared" ref="R107" si="225">P107-I107</f>
        <v>0</v>
      </c>
      <c r="S107" s="2201"/>
      <c r="T107" s="2196"/>
      <c r="U107" s="2229">
        <f>FISCinyear!IZ940+FISCinyear!IZ939</f>
        <v>0</v>
      </c>
      <c r="V107" s="2229">
        <f t="shared" si="159"/>
        <v>0</v>
      </c>
      <c r="W107" s="2045">
        <f>FISC!AK1259+FISC!AK1260</f>
        <v>0</v>
      </c>
      <c r="X107" s="2139">
        <f t="shared" si="128"/>
        <v>0</v>
      </c>
      <c r="Y107" s="2051">
        <f t="shared" ref="Y107" si="226">W107-S107</f>
        <v>0</v>
      </c>
      <c r="Z107" s="2131">
        <f t="shared" ref="Z107" si="227">X107-T107</f>
        <v>0</v>
      </c>
      <c r="AA107" s="2201"/>
      <c r="AB107" s="2196"/>
      <c r="AC107" s="2229">
        <f>FISCinyear!JC940+FISCinyear!JC939</f>
        <v>0</v>
      </c>
      <c r="AD107" s="2229">
        <f t="shared" si="162"/>
        <v>0</v>
      </c>
      <c r="AE107" s="2045">
        <f>FISC!AL1259+FISC!AL1260</f>
        <v>0</v>
      </c>
      <c r="AF107" s="2050">
        <f t="shared" ref="AF107" si="228">AE107/$AE$109</f>
        <v>0</v>
      </c>
      <c r="AG107" s="2051">
        <f t="shared" ref="AG107" si="229">AE107-AA107</f>
        <v>0</v>
      </c>
      <c r="AH107" s="2140">
        <f t="shared" ref="AH107" si="230">AF107-AB107</f>
        <v>0</v>
      </c>
      <c r="AI107" s="2201"/>
      <c r="AJ107" s="2196"/>
      <c r="AK107" s="2229">
        <f>FISCinyear!JF940+FISCinyear!JF939</f>
        <v>0</v>
      </c>
      <c r="AL107" s="2229">
        <f t="shared" si="165"/>
        <v>37.022092251901547</v>
      </c>
      <c r="AM107" s="2045">
        <f>FISC!AM1259+FISC!AM1260</f>
        <v>37.022092251901547</v>
      </c>
      <c r="AN107" s="2050">
        <f t="shared" ref="AN107" si="231">AM107/$AM$109</f>
        <v>1.2866029389878584E-3</v>
      </c>
      <c r="AO107" s="2051">
        <f t="shared" ref="AO107" si="232">AM107-AI107</f>
        <v>37.022092251901547</v>
      </c>
      <c r="AP107" s="2140">
        <f t="shared" ref="AP107" si="233">AN107-AJ107</f>
        <v>1.2866029389878584E-3</v>
      </c>
      <c r="AQ107" s="2201"/>
      <c r="AR107" s="2196"/>
      <c r="AS107" s="2229">
        <f>FISCinyear!JI940+FISCinyear!JI939</f>
        <v>39.11776710734587</v>
      </c>
      <c r="AT107" s="2229">
        <f t="shared" si="168"/>
        <v>69.375953073241519</v>
      </c>
      <c r="AU107" s="2045">
        <f>FISC!AN1259+FISC!AN1260</f>
        <v>108.49372018058739</v>
      </c>
      <c r="AV107" s="2050">
        <f t="shared" ref="AV107" si="234">AU107/$AU$109</f>
        <v>3.3554680921740968E-3</v>
      </c>
      <c r="AW107" s="2051">
        <f t="shared" ref="AW107" si="235">AU107-AQ107</f>
        <v>108.49372018058739</v>
      </c>
      <c r="AX107" s="2140">
        <f t="shared" ref="AX107" si="236">AV107-AR107</f>
        <v>3.3554680921740968E-3</v>
      </c>
      <c r="AY107" s="2201"/>
      <c r="AZ107" s="2196"/>
      <c r="BA107" s="2229">
        <f>FISCinyear!JL940+FISCinyear!JL939</f>
        <v>77.551487748154017</v>
      </c>
      <c r="BB107" s="2229">
        <f t="shared" si="171"/>
        <v>75.815348805073825</v>
      </c>
      <c r="BC107" s="2045">
        <f>FISC!AO1259+FISC!AO1260</f>
        <v>153.36683655322784</v>
      </c>
      <c r="BD107" s="2050">
        <f t="shared" ref="BD107" si="237">BC107/$BC$109</f>
        <v>4.2217806587389588E-3</v>
      </c>
      <c r="BE107" s="2051">
        <f t="shared" ref="BE107" si="238">BC107-AY107</f>
        <v>153.36683655322784</v>
      </c>
      <c r="BF107" s="2140">
        <f t="shared" ref="BF107" si="239">BD107-AZ107</f>
        <v>4.2217806587389588E-3</v>
      </c>
    </row>
    <row r="108" spans="1:58">
      <c r="A108" s="2025" t="s">
        <v>612</v>
      </c>
      <c r="B108" s="2095">
        <v>68.386845378292946</v>
      </c>
      <c r="C108" s="2096">
        <f>B108/$B$109</f>
        <v>3.9602356440114938E-3</v>
      </c>
      <c r="D108" s="2097">
        <f>FISC!K1261</f>
        <v>0</v>
      </c>
      <c r="E108" s="2098">
        <f>D108/$D$109</f>
        <v>0</v>
      </c>
      <c r="F108" s="2099">
        <f t="shared" si="212"/>
        <v>-68.386845378292946</v>
      </c>
      <c r="G108" s="2136">
        <f t="shared" si="194"/>
        <v>-3.9602356440114938E-3</v>
      </c>
      <c r="H108" s="2213">
        <v>0</v>
      </c>
      <c r="I108" s="2214">
        <f>H108/$H$109</f>
        <v>0</v>
      </c>
      <c r="J108" s="2223">
        <v>0</v>
      </c>
      <c r="K108" s="2223">
        <f>FISCinyear!IW941</f>
        <v>30.551096754394194</v>
      </c>
      <c r="L108" s="2223">
        <f t="shared" si="173"/>
        <v>30.551096754394194</v>
      </c>
      <c r="M108" s="2223">
        <v>0</v>
      </c>
      <c r="N108" s="2223">
        <f t="shared" si="179"/>
        <v>-30.551096754394194</v>
      </c>
      <c r="O108" s="2097">
        <f>FISC!AJ1261</f>
        <v>0</v>
      </c>
      <c r="P108" s="2151">
        <f t="shared" si="127"/>
        <v>0</v>
      </c>
      <c r="Q108" s="2099">
        <f t="shared" si="156"/>
        <v>0</v>
      </c>
      <c r="R108" s="2189">
        <f t="shared" si="157"/>
        <v>0</v>
      </c>
      <c r="S108" s="2213">
        <v>0</v>
      </c>
      <c r="T108" s="2214">
        <f>S108/$S$109</f>
        <v>0</v>
      </c>
      <c r="U108" s="2242">
        <f>FISCinyear!IZ941</f>
        <v>0</v>
      </c>
      <c r="V108" s="2242">
        <f t="shared" si="159"/>
        <v>0</v>
      </c>
      <c r="W108" s="2097">
        <f>FISC!AK1261</f>
        <v>0</v>
      </c>
      <c r="X108" s="2151">
        <f t="shared" si="128"/>
        <v>0</v>
      </c>
      <c r="Y108" s="2099">
        <f t="shared" si="160"/>
        <v>0</v>
      </c>
      <c r="Z108" s="2189">
        <f t="shared" si="195"/>
        <v>0</v>
      </c>
      <c r="AA108" s="2213">
        <v>0</v>
      </c>
      <c r="AB108" s="2214">
        <f>AA108/$AA$109</f>
        <v>0</v>
      </c>
      <c r="AC108" s="2242">
        <f>FISCinyear!JC941</f>
        <v>0</v>
      </c>
      <c r="AD108" s="2242">
        <f t="shared" si="162"/>
        <v>0</v>
      </c>
      <c r="AE108" s="2097">
        <f>FISC!AL1261</f>
        <v>0</v>
      </c>
      <c r="AF108" s="2098">
        <f>AE108/$AE$109</f>
        <v>0</v>
      </c>
      <c r="AG108" s="2099">
        <f t="shared" si="163"/>
        <v>0</v>
      </c>
      <c r="AH108" s="2151">
        <f t="shared" si="176"/>
        <v>0</v>
      </c>
      <c r="AI108" s="2213">
        <v>0</v>
      </c>
      <c r="AJ108" s="2214">
        <f>AI108/$AI$109</f>
        <v>0</v>
      </c>
      <c r="AK108" s="2242">
        <f>FISCinyear!JF941</f>
        <v>0</v>
      </c>
      <c r="AL108" s="2242">
        <f t="shared" si="165"/>
        <v>0</v>
      </c>
      <c r="AM108" s="2097">
        <f>FISC!AM1261</f>
        <v>0</v>
      </c>
      <c r="AN108" s="2098">
        <f>AM108/$AM$109</f>
        <v>0</v>
      </c>
      <c r="AO108" s="2099">
        <f t="shared" si="166"/>
        <v>0</v>
      </c>
      <c r="AP108" s="2151">
        <f t="shared" si="166"/>
        <v>0</v>
      </c>
      <c r="AQ108" s="2213">
        <v>0</v>
      </c>
      <c r="AR108" s="2214">
        <f>AQ108/$AQ$109</f>
        <v>0</v>
      </c>
      <c r="AS108" s="2242">
        <f>FISCinyear!JI941</f>
        <v>0</v>
      </c>
      <c r="AT108" s="2242">
        <f t="shared" si="168"/>
        <v>0</v>
      </c>
      <c r="AU108" s="2097">
        <f>FISC!AN1261</f>
        <v>0</v>
      </c>
      <c r="AV108" s="2098">
        <f>AU108/$AU$109</f>
        <v>0</v>
      </c>
      <c r="AW108" s="2099">
        <f t="shared" si="200"/>
        <v>0</v>
      </c>
      <c r="AX108" s="2151">
        <f t="shared" si="174"/>
        <v>0</v>
      </c>
      <c r="AY108" s="2213">
        <v>0</v>
      </c>
      <c r="AZ108" s="2214">
        <f>AY108/$AY$109</f>
        <v>0</v>
      </c>
      <c r="BA108" s="2242">
        <f>FISCinyear!JQ941</f>
        <v>0</v>
      </c>
      <c r="BB108" s="2242">
        <f t="shared" si="171"/>
        <v>0</v>
      </c>
      <c r="BC108" s="2097">
        <f>FISC!AO1261</f>
        <v>0</v>
      </c>
      <c r="BD108" s="2098">
        <f>BC108/$BC$109</f>
        <v>0</v>
      </c>
      <c r="BE108" s="2099">
        <f t="shared" si="199"/>
        <v>0</v>
      </c>
      <c r="BF108" s="2151">
        <f t="shared" si="118"/>
        <v>0</v>
      </c>
    </row>
    <row r="109" spans="1:58">
      <c r="A109" s="2104" t="s">
        <v>3670</v>
      </c>
      <c r="B109" s="2105">
        <v>17268.377825371259</v>
      </c>
      <c r="C109" s="2106">
        <v>0</v>
      </c>
      <c r="D109" s="2107">
        <f>FISC!AI402</f>
        <v>17747</v>
      </c>
      <c r="E109" s="2108">
        <v>0</v>
      </c>
      <c r="F109" s="2109">
        <f>D109-B109</f>
        <v>478.62217462874105</v>
      </c>
      <c r="G109" s="2109"/>
      <c r="H109" s="2126">
        <v>19643.162779448689</v>
      </c>
      <c r="I109" s="2126">
        <v>0</v>
      </c>
      <c r="J109" s="2224"/>
      <c r="K109" s="2224"/>
      <c r="L109" s="2109"/>
      <c r="M109" s="2109"/>
      <c r="N109" s="2109"/>
      <c r="O109" s="2107">
        <f>FISC!AJ402</f>
        <v>20033.689823079447</v>
      </c>
      <c r="P109" s="2187">
        <v>0</v>
      </c>
      <c r="Q109" s="2109">
        <f>O109-H109</f>
        <v>390.52704363075827</v>
      </c>
      <c r="R109" s="2109"/>
      <c r="S109" s="2126">
        <v>22060.84284200627</v>
      </c>
      <c r="T109" s="2126">
        <v>0</v>
      </c>
      <c r="U109" s="2224"/>
      <c r="V109" s="2224"/>
      <c r="W109" s="2107">
        <f>FISC!AK402</f>
        <v>22653.476238318653</v>
      </c>
      <c r="X109" s="2187">
        <v>0</v>
      </c>
      <c r="Y109" s="2109">
        <f>W109-S109</f>
        <v>592.63339631238341</v>
      </c>
      <c r="Z109" s="2109"/>
      <c r="AA109" s="2126">
        <v>24808.166224336976</v>
      </c>
      <c r="AB109" s="2126">
        <v>0</v>
      </c>
      <c r="AC109" s="2224"/>
      <c r="AD109" s="2224"/>
      <c r="AE109" s="2107">
        <f>FISC!AL402</f>
        <v>25562.479815704588</v>
      </c>
      <c r="AF109" s="2108">
        <v>0</v>
      </c>
      <c r="AG109" s="2109">
        <f>AE109-AA109</f>
        <v>754.31359136761239</v>
      </c>
      <c r="AH109" s="2119"/>
      <c r="AI109" s="2126">
        <v>27938.303825574822</v>
      </c>
      <c r="AJ109" s="2126">
        <v>0</v>
      </c>
      <c r="AK109" s="2224"/>
      <c r="AL109" s="2224"/>
      <c r="AM109" s="2107">
        <f>FISC!AM402</f>
        <v>28775.072036619156</v>
      </c>
      <c r="AN109" s="2108">
        <v>0</v>
      </c>
      <c r="AO109" s="2109">
        <f>AM109-AI109</f>
        <v>836.76821104433475</v>
      </c>
      <c r="AP109" s="2119"/>
      <c r="AQ109" s="2126">
        <v>31458.530107597246</v>
      </c>
      <c r="AR109" s="2126">
        <v>0</v>
      </c>
      <c r="AS109" s="2224"/>
      <c r="AT109" s="2224"/>
      <c r="AU109" s="2107">
        <f>FISC!AN402</f>
        <v>32333.408394979382</v>
      </c>
      <c r="AV109" s="2108">
        <v>0</v>
      </c>
      <c r="AW109" s="2109">
        <f>AU109-AQ109</f>
        <v>874.87828738213648</v>
      </c>
      <c r="AX109" s="2119"/>
      <c r="AY109" s="2126">
        <v>35422.304901154494</v>
      </c>
      <c r="AZ109" s="2126">
        <v>0</v>
      </c>
      <c r="BA109" s="2224"/>
      <c r="BB109" s="2224"/>
      <c r="BC109" s="2107">
        <f>FISC!AO402</f>
        <v>36327.523609205775</v>
      </c>
      <c r="BD109" s="2108">
        <v>0</v>
      </c>
      <c r="BE109" s="2109">
        <f>BC109-AY109</f>
        <v>905.21870805128128</v>
      </c>
      <c r="BF109" s="2119"/>
    </row>
    <row r="111" spans="1:58">
      <c r="P111" s="2150"/>
      <c r="Z111" s="2265"/>
      <c r="AE111" s="2112"/>
    </row>
    <row r="112" spans="1:58">
      <c r="F112" s="2103"/>
      <c r="G112" s="2103"/>
      <c r="L112" s="2103"/>
      <c r="M112" s="2103"/>
      <c r="N112" s="2103"/>
      <c r="O112" s="2112"/>
      <c r="P112" s="2112"/>
      <c r="Q112" s="2103"/>
      <c r="R112" s="2103"/>
      <c r="W112" s="2118"/>
      <c r="Y112" s="2243"/>
      <c r="Z112" s="2127"/>
      <c r="AF112" s="2146"/>
      <c r="AG112" s="2103"/>
      <c r="AO112" s="2103"/>
      <c r="AW112" s="2103"/>
      <c r="BE112" s="2103"/>
    </row>
    <row r="113" spans="6:58">
      <c r="F113" s="2103"/>
      <c r="G113" s="2103"/>
      <c r="L113" s="2127"/>
      <c r="M113" s="2127"/>
      <c r="N113" s="2127"/>
      <c r="O113" s="2112"/>
      <c r="P113" s="2118"/>
      <c r="Q113" s="2127"/>
      <c r="R113" s="2127"/>
      <c r="Y113" s="2243"/>
      <c r="Z113" s="2127"/>
      <c r="AN113" s="2146"/>
      <c r="AO113" s="2103"/>
      <c r="AV113" s="2146"/>
      <c r="AW113" s="2103"/>
      <c r="BD113" s="2146"/>
      <c r="BE113" s="2103"/>
    </row>
    <row r="114" spans="6:58">
      <c r="N114" s="2128"/>
      <c r="O114" s="2117"/>
      <c r="P114" s="2117"/>
      <c r="Q114" s="2128"/>
      <c r="R114" s="2128"/>
      <c r="W114" s="2112"/>
      <c r="Y114" s="2243"/>
      <c r="Z114" s="2127"/>
      <c r="AF114" s="2116"/>
      <c r="AN114" s="2116"/>
      <c r="AV114" s="2116"/>
      <c r="BD114" s="2116"/>
    </row>
    <row r="115" spans="6:58">
      <c r="H115" s="2215"/>
      <c r="O115" s="2112"/>
      <c r="P115" s="2112"/>
      <c r="Q115" s="2127"/>
      <c r="R115" s="2127"/>
      <c r="W115" s="2149"/>
      <c r="Y115" s="2128"/>
      <c r="Z115" s="2103"/>
      <c r="AH115" s="2118"/>
      <c r="AP115" s="2118"/>
      <c r="AX115" s="2118"/>
      <c r="BF115" s="2118"/>
    </row>
    <row r="116" spans="6:58">
      <c r="H116" s="2215"/>
      <c r="P116" s="2112"/>
      <c r="Q116" s="2128"/>
      <c r="R116" s="2190"/>
      <c r="W116" s="2112">
        <f>S51+Y52</f>
        <v>700.56412529075112</v>
      </c>
      <c r="AE116" s="2112">
        <f>AA51+AG52</f>
        <v>789.45464461235429</v>
      </c>
      <c r="AM116" s="2112">
        <f>AI51+AO52</f>
        <v>896.27581729523024</v>
      </c>
      <c r="AU116" s="2112">
        <f>AQ51+AW52</f>
        <v>1014.7996507621234</v>
      </c>
    </row>
    <row r="117" spans="6:58">
      <c r="P117" s="2112"/>
      <c r="W117" s="2112"/>
      <c r="AN117" s="2116"/>
      <c r="AV117" s="2116"/>
      <c r="BD117" s="2116"/>
    </row>
    <row r="118" spans="6:58">
      <c r="P118" s="2112"/>
      <c r="W118" s="2112"/>
      <c r="AN118" s="2116"/>
      <c r="AV118" s="2116"/>
      <c r="BD118" s="2116"/>
    </row>
    <row r="119" spans="6:58">
      <c r="P119" s="2112"/>
      <c r="Q119" s="2127"/>
      <c r="R119" s="2127"/>
    </row>
    <row r="120" spans="6:58">
      <c r="W120" s="2118"/>
    </row>
    <row r="121" spans="6:58">
      <c r="Q121" s="2127"/>
      <c r="R121" s="2127"/>
    </row>
    <row r="123" spans="6:58">
      <c r="W123" s="2112"/>
    </row>
    <row r="128" spans="6:58">
      <c r="W128" s="2112"/>
      <c r="X128" s="2112"/>
    </row>
  </sheetData>
  <mergeCells count="46">
    <mergeCell ref="AI1:AP1"/>
    <mergeCell ref="AA1:AH1"/>
    <mergeCell ref="AQ1:AX1"/>
    <mergeCell ref="AY1:BF1"/>
    <mergeCell ref="BF2:BF3"/>
    <mergeCell ref="AG2:AG3"/>
    <mergeCell ref="AI2:AI3"/>
    <mergeCell ref="AJ2:AJ3"/>
    <mergeCell ref="AV2:AV3"/>
    <mergeCell ref="AX2:AX3"/>
    <mergeCell ref="AY2:AY3"/>
    <mergeCell ref="AZ2:AZ3"/>
    <mergeCell ref="BC2:BC3"/>
    <mergeCell ref="BD2:BD3"/>
    <mergeCell ref="BE2:BE3"/>
    <mergeCell ref="H1:R1"/>
    <mergeCell ref="Z2:Z3"/>
    <mergeCell ref="G2:G3"/>
    <mergeCell ref="B1:F1"/>
    <mergeCell ref="B2:B3"/>
    <mergeCell ref="C2:C3"/>
    <mergeCell ref="D2:D3"/>
    <mergeCell ref="E2:E3"/>
    <mergeCell ref="F2:F3"/>
    <mergeCell ref="S2:S3"/>
    <mergeCell ref="T2:T3"/>
    <mergeCell ref="W2:W3"/>
    <mergeCell ref="O2:O3"/>
    <mergeCell ref="P2:P3"/>
    <mergeCell ref="S1:Y1"/>
    <mergeCell ref="A2:A3"/>
    <mergeCell ref="AH2:AH3"/>
    <mergeCell ref="AW2:AW3"/>
    <mergeCell ref="AM2:AM3"/>
    <mergeCell ref="AN2:AN3"/>
    <mergeCell ref="AO2:AO3"/>
    <mergeCell ref="AP2:AP3"/>
    <mergeCell ref="AE2:AE3"/>
    <mergeCell ref="AF2:AF3"/>
    <mergeCell ref="AA2:AA3"/>
    <mergeCell ref="AB2:AB3"/>
    <mergeCell ref="X2:X3"/>
    <mergeCell ref="Y2:Y3"/>
    <mergeCell ref="AQ2:AQ3"/>
    <mergeCell ref="AR2:AR3"/>
    <mergeCell ref="AU2:AU3"/>
  </mergeCells>
  <phoneticPr fontId="78" type="noConversion"/>
  <pageMargins left="0.70866141732283472" right="0.70866141732283472" top="0.74803149606299213" bottom="0.74803149606299213" header="0.31496062992125984" footer="0.31496062992125984"/>
  <pageSetup paperSize="9" scale="65" fitToHeight="0" orientation="landscape" horizontalDpi="300" verticalDpi="300"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LL1300"/>
  <sheetViews>
    <sheetView showGridLines="0" tabSelected="1" topLeftCell="A9" zoomScale="90" zoomScaleNormal="90" workbookViewId="0">
      <pane xSplit="5910" ySplit="2640" topLeftCell="IT663" activePane="bottomRight"/>
      <selection activeCell="D663" sqref="D663:JA1105"/>
      <selection pane="topRight" activeCell="JA1103" sqref="JA1103"/>
      <selection pane="bottomLeft" activeCell="D961" sqref="D961"/>
      <selection pane="bottomRight" activeCell="JL959" activeCellId="5" sqref="JG959 JH959 JI959 JJ959 JK959 JL959"/>
    </sheetView>
  </sheetViews>
  <sheetFormatPr defaultColWidth="9.1796875" defaultRowHeight="15" outlineLevelRow="1" outlineLevelCol="1"/>
  <cols>
    <col min="1" max="1" width="7.26953125" style="117" customWidth="1"/>
    <col min="2" max="3" width="13.26953125" style="117" customWidth="1"/>
    <col min="4" max="4" width="48.453125" style="117" customWidth="1"/>
    <col min="5" max="5" width="9.26953125" style="302" customWidth="1"/>
    <col min="6" max="24" width="9.26953125" style="302" hidden="1" customWidth="1"/>
    <col min="25" max="40" width="8.7265625" style="302" hidden="1" customWidth="1"/>
    <col min="41" max="41" width="7.54296875" style="302" hidden="1" customWidth="1"/>
    <col min="42" max="42" width="8.1796875" style="302" hidden="1" customWidth="1"/>
    <col min="43" max="43" width="8.453125" style="302" hidden="1" customWidth="1"/>
    <col min="44" max="44" width="8.1796875" style="302" hidden="1" customWidth="1"/>
    <col min="45" max="80" width="8.7265625" style="302" hidden="1" customWidth="1"/>
    <col min="81" max="81" width="9.54296875" style="302" hidden="1" customWidth="1"/>
    <col min="82" max="82" width="8.7265625" style="302" hidden="1" customWidth="1"/>
    <col min="83" max="83" width="7.54296875" style="302" hidden="1" customWidth="1" outlineLevel="1"/>
    <col min="84" max="84" width="8.453125" style="302" hidden="1" customWidth="1" outlineLevel="1"/>
    <col min="85" max="86" width="8.1796875" style="302" hidden="1" customWidth="1" outlineLevel="1"/>
    <col min="87" max="91" width="8.453125" style="302" hidden="1" customWidth="1" outlineLevel="1"/>
    <col min="92" max="92" width="8.7265625" style="302" hidden="1" customWidth="1" outlineLevel="1"/>
    <col min="93" max="93" width="9.453125" style="302" hidden="1" customWidth="1" outlineLevel="1"/>
    <col min="94" max="94" width="9" style="302" hidden="1" customWidth="1" outlineLevel="1"/>
    <col min="95" max="95" width="7.54296875" style="302" hidden="1" customWidth="1" outlineLevel="1" collapsed="1"/>
    <col min="96" max="96" width="8.453125" style="302" hidden="1" customWidth="1" outlineLevel="1"/>
    <col min="97" max="98" width="8.1796875" style="302" hidden="1" customWidth="1" outlineLevel="1"/>
    <col min="99" max="100" width="8.453125" style="302" hidden="1" customWidth="1" outlineLevel="1"/>
    <col min="101" max="101" width="7.90625" style="302" hidden="1" customWidth="1" outlineLevel="1"/>
    <col min="102" max="102" width="8.1796875" style="302" hidden="1" customWidth="1" outlineLevel="1"/>
    <col min="103" max="103" width="8.7265625" style="302" hidden="1" customWidth="1" outlineLevel="1"/>
    <col min="104" max="104" width="8.453125" style="302" hidden="1" customWidth="1" outlineLevel="1"/>
    <col min="105" max="105" width="9" style="302" hidden="1" customWidth="1" outlineLevel="1"/>
    <col min="106" max="106" width="8.1796875" style="706" hidden="1" customWidth="1" outlineLevel="1"/>
    <col min="107" max="107" width="11" style="302" hidden="1" customWidth="1" collapsed="1"/>
    <col min="108" max="109" width="9.90625" style="302" hidden="1" customWidth="1"/>
    <col min="110" max="110" width="9.54296875" style="302" hidden="1" customWidth="1"/>
    <col min="111" max="116" width="8.7265625" style="302" hidden="1" customWidth="1"/>
    <col min="117" max="117" width="9" style="302" hidden="1" customWidth="1"/>
    <col min="118" max="118" width="10.08984375" style="303" hidden="1" customWidth="1"/>
    <col min="119" max="119" width="10.08984375" style="302" hidden="1" customWidth="1" outlineLevel="1"/>
    <col min="120" max="120" width="8.453125" style="302" hidden="1" customWidth="1" outlineLevel="1"/>
    <col min="121" max="122" width="8.1796875" style="302" hidden="1" customWidth="1" outlineLevel="1"/>
    <col min="123" max="124" width="8.453125" style="302" hidden="1" customWidth="1" outlineLevel="1"/>
    <col min="125" max="125" width="7.90625" style="302" hidden="1" customWidth="1" outlineLevel="1"/>
    <col min="126" max="126" width="8.1796875" style="302" hidden="1" customWidth="1" outlineLevel="1"/>
    <col min="127" max="127" width="8.7265625" style="302" hidden="1" customWidth="1" outlineLevel="1"/>
    <col min="128" max="128" width="8.453125" style="302" hidden="1" customWidth="1" outlineLevel="1"/>
    <col min="129" max="129" width="9" style="302" hidden="1" customWidth="1" outlineLevel="1"/>
    <col min="130" max="130" width="9.81640625" style="303" hidden="1" customWidth="1" outlineLevel="1"/>
    <col min="131" max="131" width="9.81640625" style="378" hidden="1" customWidth="1" collapsed="1"/>
    <col min="132" max="132" width="8.453125" style="378" hidden="1" customWidth="1"/>
    <col min="133" max="133" width="8.1796875" style="378" hidden="1" customWidth="1"/>
    <col min="134" max="141" width="9.1796875" style="378" hidden="1" customWidth="1"/>
    <col min="142" max="142" width="9.1796875" style="1556" hidden="1" customWidth="1"/>
    <col min="143" max="153" width="9.1796875" style="378" hidden="1" customWidth="1"/>
    <col min="154" max="154" width="9.1796875" style="1556" hidden="1" customWidth="1"/>
    <col min="155" max="165" width="9.1796875" style="378" hidden="1" customWidth="1"/>
    <col min="166" max="166" width="9.1796875" style="1556" hidden="1" customWidth="1"/>
    <col min="167" max="221" width="9.1796875" style="378" hidden="1" customWidth="1"/>
    <col min="222" max="222" width="6.453125" style="304" hidden="1" customWidth="1"/>
    <col min="223" max="223" width="59.7265625" style="302" hidden="1" customWidth="1"/>
    <col min="224" max="224" width="12.54296875" style="302" hidden="1" customWidth="1"/>
    <col min="225" max="225" width="10.7265625" style="302" hidden="1" customWidth="1"/>
    <col min="226" max="226" width="11.453125" style="302" hidden="1" customWidth="1"/>
    <col min="227" max="228" width="10.453125" style="302" hidden="1" customWidth="1"/>
    <col min="229" max="229" width="11.1796875" style="302" hidden="1" customWidth="1"/>
    <col min="230" max="231" width="10.453125" style="302" hidden="1" customWidth="1"/>
    <col min="232" max="232" width="12.1796875" style="302" hidden="1" customWidth="1"/>
    <col min="233" max="233" width="10.08984375" style="302" hidden="1" customWidth="1"/>
    <col min="234" max="234" width="9.453125" style="302" hidden="1" customWidth="1"/>
    <col min="235" max="235" width="11.6328125" style="302" hidden="1" customWidth="1"/>
    <col min="236" max="236" width="9.6328125" style="302" hidden="1" customWidth="1"/>
    <col min="237" max="237" width="9.90625" style="302" hidden="1" customWidth="1"/>
    <col min="238" max="238" width="10.1796875" style="302" hidden="1" customWidth="1"/>
    <col min="239" max="240" width="10.453125" style="302" hidden="1" customWidth="1"/>
    <col min="241" max="241" width="11.1796875" style="302" hidden="1" customWidth="1"/>
    <col min="242" max="242" width="10.36328125" style="302" hidden="1" customWidth="1"/>
    <col min="243" max="243" width="11.1796875" style="302" hidden="1" customWidth="1"/>
    <col min="244" max="244" width="11.90625" style="302" hidden="1" customWidth="1"/>
    <col min="245" max="247" width="12.81640625" style="302" hidden="1" customWidth="1"/>
    <col min="248" max="248" width="16.90625" style="302" hidden="1" customWidth="1"/>
    <col min="249" max="250" width="12.81640625" style="302" hidden="1" customWidth="1"/>
    <col min="251" max="251" width="12.81640625" style="302" bestFit="1" customWidth="1"/>
    <col min="252" max="252" width="15.1796875" style="302" bestFit="1" customWidth="1"/>
    <col min="253" max="254" width="12.81640625" style="302" bestFit="1" customWidth="1"/>
    <col min="255" max="255" width="15.1796875" style="302" bestFit="1" customWidth="1"/>
    <col min="256" max="259" width="12.81640625" style="302" bestFit="1" customWidth="1"/>
    <col min="260" max="260" width="11.90625" style="302" bestFit="1" customWidth="1"/>
    <col min="261" max="261" width="12.81640625" style="302" bestFit="1" customWidth="1"/>
    <col min="262" max="274" width="11.6328125" style="302" customWidth="1"/>
    <col min="275" max="293" width="9.1796875" style="302"/>
    <col min="294" max="294" width="10.453125" style="302" customWidth="1"/>
    <col min="295" max="295" width="5.26953125" style="304" customWidth="1"/>
    <col min="296" max="296" width="5.26953125" style="302" customWidth="1"/>
    <col min="297" max="302" width="15.7265625" style="302" customWidth="1"/>
    <col min="303" max="16384" width="9.1796875" style="302"/>
  </cols>
  <sheetData>
    <row r="1" spans="1:302" s="117" customFormat="1" ht="22.5" customHeight="1">
      <c r="A1" s="293" t="s">
        <v>9</v>
      </c>
      <c r="B1" s="294" t="s">
        <v>26</v>
      </c>
      <c r="C1" s="295" t="s">
        <v>37</v>
      </c>
      <c r="E1" s="296">
        <v>39083</v>
      </c>
      <c r="F1" s="296">
        <v>39114</v>
      </c>
      <c r="G1" s="296">
        <v>39142</v>
      </c>
      <c r="H1" s="296">
        <v>39173</v>
      </c>
      <c r="I1" s="296">
        <v>39203</v>
      </c>
      <c r="J1" s="296">
        <v>39234</v>
      </c>
      <c r="K1" s="296">
        <v>39264</v>
      </c>
      <c r="L1" s="296">
        <v>39295</v>
      </c>
      <c r="M1" s="296">
        <v>39326</v>
      </c>
      <c r="N1" s="296">
        <v>39356</v>
      </c>
      <c r="O1" s="296">
        <v>39387</v>
      </c>
      <c r="P1" s="296">
        <v>39417</v>
      </c>
      <c r="Q1" s="296">
        <v>39448</v>
      </c>
      <c r="R1" s="296">
        <v>39479</v>
      </c>
      <c r="S1" s="296">
        <v>39508</v>
      </c>
      <c r="T1" s="296">
        <v>39539</v>
      </c>
      <c r="U1" s="296">
        <v>39569</v>
      </c>
      <c r="V1" s="296">
        <v>39600</v>
      </c>
      <c r="W1" s="296">
        <v>39630</v>
      </c>
      <c r="X1" s="296">
        <v>39661</v>
      </c>
      <c r="Y1" s="296">
        <v>39692</v>
      </c>
      <c r="Z1" s="296">
        <v>39722</v>
      </c>
      <c r="AA1" s="296">
        <v>39753</v>
      </c>
      <c r="AB1" s="296">
        <v>39783</v>
      </c>
      <c r="AC1" s="296">
        <v>39814</v>
      </c>
      <c r="AD1" s="296">
        <v>39845</v>
      </c>
      <c r="AE1" s="296">
        <v>39873</v>
      </c>
      <c r="AF1" s="296">
        <v>39904</v>
      </c>
      <c r="AG1" s="296">
        <v>39934</v>
      </c>
      <c r="AH1" s="296">
        <v>39965</v>
      </c>
      <c r="AI1" s="296">
        <v>39995</v>
      </c>
      <c r="AJ1" s="296">
        <v>40026</v>
      </c>
      <c r="AK1" s="296">
        <v>40057</v>
      </c>
      <c r="AL1" s="296">
        <v>40087</v>
      </c>
      <c r="AM1" s="296">
        <v>40118</v>
      </c>
      <c r="AN1" s="296">
        <v>40148</v>
      </c>
      <c r="AO1" s="296">
        <v>40179</v>
      </c>
      <c r="AP1" s="296">
        <v>40210</v>
      </c>
      <c r="AQ1" s="296">
        <v>40238</v>
      </c>
      <c r="AR1" s="296">
        <v>40269</v>
      </c>
      <c r="AS1" s="296">
        <v>40299</v>
      </c>
      <c r="AT1" s="296">
        <v>40330</v>
      </c>
      <c r="AU1" s="296">
        <v>40360</v>
      </c>
      <c r="AV1" s="296">
        <v>40391</v>
      </c>
      <c r="AW1" s="296">
        <v>40422</v>
      </c>
      <c r="AX1" s="296">
        <v>40452</v>
      </c>
      <c r="AY1" s="296">
        <v>40483</v>
      </c>
      <c r="AZ1" s="296">
        <v>40513</v>
      </c>
      <c r="BA1" s="296">
        <v>40544</v>
      </c>
      <c r="BB1" s="296">
        <v>40575</v>
      </c>
      <c r="BC1" s="296">
        <v>40603</v>
      </c>
      <c r="BD1" s="296">
        <v>40634</v>
      </c>
      <c r="BE1" s="296">
        <v>40664</v>
      </c>
      <c r="BF1" s="296">
        <v>40695</v>
      </c>
      <c r="BG1" s="296">
        <v>40725</v>
      </c>
      <c r="BH1" s="296">
        <v>40756</v>
      </c>
      <c r="BI1" s="296">
        <v>40787</v>
      </c>
      <c r="BJ1" s="296">
        <v>40817</v>
      </c>
      <c r="BK1" s="296">
        <v>40848</v>
      </c>
      <c r="BL1" s="296">
        <v>40878</v>
      </c>
      <c r="BM1" s="296">
        <v>40909</v>
      </c>
      <c r="BN1" s="296">
        <v>40940</v>
      </c>
      <c r="BO1" s="296">
        <v>40969</v>
      </c>
      <c r="BP1" s="296">
        <v>41000</v>
      </c>
      <c r="BQ1" s="296">
        <v>41030</v>
      </c>
      <c r="BR1" s="296">
        <v>41061</v>
      </c>
      <c r="BS1" s="296">
        <v>41091</v>
      </c>
      <c r="BT1" s="296">
        <v>41122</v>
      </c>
      <c r="BU1" s="296">
        <v>41153</v>
      </c>
      <c r="BV1" s="296">
        <v>41183</v>
      </c>
      <c r="BW1" s="296">
        <v>41214</v>
      </c>
      <c r="BX1" s="296">
        <v>41244</v>
      </c>
      <c r="BY1" s="296">
        <v>41275</v>
      </c>
      <c r="BZ1" s="296">
        <v>41306</v>
      </c>
      <c r="CA1" s="296">
        <v>41334</v>
      </c>
      <c r="CB1" s="296">
        <v>41365</v>
      </c>
      <c r="CC1" s="296">
        <v>41395</v>
      </c>
      <c r="CD1" s="296">
        <v>41426</v>
      </c>
      <c r="CE1" s="296">
        <v>41456</v>
      </c>
      <c r="CF1" s="296">
        <v>41487</v>
      </c>
      <c r="CG1" s="296">
        <v>41518</v>
      </c>
      <c r="CH1" s="296">
        <v>41548</v>
      </c>
      <c r="CI1" s="296">
        <v>41579</v>
      </c>
      <c r="CJ1" s="296">
        <v>41609</v>
      </c>
      <c r="CK1" s="296">
        <v>41640</v>
      </c>
      <c r="CL1" s="296">
        <v>41671</v>
      </c>
      <c r="CM1" s="296">
        <v>41699</v>
      </c>
      <c r="CN1" s="296">
        <v>41730</v>
      </c>
      <c r="CO1" s="296">
        <v>41760</v>
      </c>
      <c r="CP1" s="297">
        <v>41791</v>
      </c>
      <c r="CQ1" s="296">
        <v>41821</v>
      </c>
      <c r="CR1" s="296">
        <v>41852</v>
      </c>
      <c r="CS1" s="296">
        <v>41883</v>
      </c>
      <c r="CT1" s="296">
        <v>41913</v>
      </c>
      <c r="CU1" s="296">
        <v>41944</v>
      </c>
      <c r="CV1" s="296">
        <v>41974</v>
      </c>
      <c r="CW1" s="296">
        <v>42005</v>
      </c>
      <c r="CX1" s="296">
        <v>42036</v>
      </c>
      <c r="CY1" s="296">
        <v>42064</v>
      </c>
      <c r="CZ1" s="296">
        <v>42095</v>
      </c>
      <c r="DA1" s="296">
        <v>42125</v>
      </c>
      <c r="DB1" s="1497">
        <v>42156</v>
      </c>
      <c r="DC1" s="296">
        <v>42186</v>
      </c>
      <c r="DD1" s="296">
        <v>42217</v>
      </c>
      <c r="DE1" s="296">
        <v>42248</v>
      </c>
      <c r="DF1" s="296">
        <v>42278</v>
      </c>
      <c r="DG1" s="296">
        <v>42309</v>
      </c>
      <c r="DH1" s="296">
        <v>42339</v>
      </c>
      <c r="DI1" s="296">
        <v>42370</v>
      </c>
      <c r="DJ1" s="296">
        <v>42401</v>
      </c>
      <c r="DK1" s="296">
        <v>42430</v>
      </c>
      <c r="DL1" s="296">
        <v>42461</v>
      </c>
      <c r="DM1" s="296">
        <v>42491</v>
      </c>
      <c r="DN1" s="297">
        <v>42522</v>
      </c>
      <c r="DO1" s="296">
        <v>42552</v>
      </c>
      <c r="DP1" s="296">
        <v>42583</v>
      </c>
      <c r="DQ1" s="296">
        <v>42615</v>
      </c>
      <c r="DR1" s="296">
        <v>42646</v>
      </c>
      <c r="DS1" s="296">
        <v>42678</v>
      </c>
      <c r="DT1" s="296">
        <v>42709</v>
      </c>
      <c r="DU1" s="296">
        <v>42736</v>
      </c>
      <c r="DV1" s="296">
        <v>42767</v>
      </c>
      <c r="DW1" s="296">
        <v>42795</v>
      </c>
      <c r="DX1" s="296">
        <v>42826</v>
      </c>
      <c r="DY1" s="296">
        <v>42856</v>
      </c>
      <c r="DZ1" s="297">
        <v>42887</v>
      </c>
      <c r="EA1" s="296">
        <v>42917</v>
      </c>
      <c r="EB1" s="296">
        <v>42948</v>
      </c>
      <c r="EC1" s="296">
        <v>42979</v>
      </c>
      <c r="ED1" s="296">
        <v>43009</v>
      </c>
      <c r="EE1" s="296">
        <v>43040</v>
      </c>
      <c r="EF1" s="296">
        <v>43070</v>
      </c>
      <c r="EG1" s="296">
        <v>43101</v>
      </c>
      <c r="EH1" s="296">
        <v>43132</v>
      </c>
      <c r="EI1" s="296">
        <v>43160</v>
      </c>
      <c r="EJ1" s="296">
        <v>43191</v>
      </c>
      <c r="EK1" s="296">
        <v>43221</v>
      </c>
      <c r="EL1" s="297">
        <v>43252</v>
      </c>
      <c r="EM1" s="296">
        <v>43282</v>
      </c>
      <c r="EN1" s="296">
        <v>43313</v>
      </c>
      <c r="EO1" s="296">
        <v>43344</v>
      </c>
      <c r="EP1" s="296">
        <v>43374</v>
      </c>
      <c r="EQ1" s="296">
        <v>43405</v>
      </c>
      <c r="ER1" s="296">
        <v>43435</v>
      </c>
      <c r="ES1" s="296">
        <v>43466</v>
      </c>
      <c r="ET1" s="296">
        <v>43497</v>
      </c>
      <c r="EU1" s="296">
        <v>43525</v>
      </c>
      <c r="EV1" s="296">
        <v>43556</v>
      </c>
      <c r="EW1" s="296">
        <v>43586</v>
      </c>
      <c r="EX1" s="297">
        <v>43617</v>
      </c>
      <c r="EY1" s="296">
        <v>43647</v>
      </c>
      <c r="EZ1" s="296">
        <v>43678</v>
      </c>
      <c r="FA1" s="296">
        <v>43709</v>
      </c>
      <c r="FB1" s="296">
        <v>43739</v>
      </c>
      <c r="FC1" s="296">
        <v>43770</v>
      </c>
      <c r="FD1" s="296">
        <v>43800</v>
      </c>
      <c r="FE1" s="296">
        <v>43831</v>
      </c>
      <c r="FF1" s="296">
        <v>43862</v>
      </c>
      <c r="FG1" s="296">
        <v>43891</v>
      </c>
      <c r="FH1" s="296">
        <v>43922</v>
      </c>
      <c r="FI1" s="296">
        <v>43952</v>
      </c>
      <c r="FJ1" s="297">
        <v>43983</v>
      </c>
      <c r="FK1" s="296">
        <v>44013</v>
      </c>
      <c r="FL1" s="296">
        <v>44044</v>
      </c>
      <c r="FM1" s="296">
        <v>44075</v>
      </c>
      <c r="FN1" s="296">
        <v>44105</v>
      </c>
      <c r="FO1" s="296">
        <v>44136</v>
      </c>
      <c r="FP1" s="296">
        <v>44166</v>
      </c>
      <c r="FQ1" s="296">
        <v>44197</v>
      </c>
      <c r="FR1" s="296">
        <v>44228</v>
      </c>
      <c r="FS1" s="296">
        <v>44256</v>
      </c>
      <c r="FT1" s="296">
        <v>44287</v>
      </c>
      <c r="FU1" s="296">
        <v>44317</v>
      </c>
      <c r="FV1" s="296">
        <v>44348</v>
      </c>
      <c r="FW1" s="296">
        <v>44378</v>
      </c>
      <c r="FX1" s="296">
        <v>44409</v>
      </c>
      <c r="FY1" s="296">
        <v>44440</v>
      </c>
      <c r="FZ1" s="296">
        <v>44470</v>
      </c>
      <c r="GA1" s="296">
        <v>44501</v>
      </c>
      <c r="GB1" s="296">
        <v>44531</v>
      </c>
      <c r="GC1" s="296">
        <v>44562</v>
      </c>
      <c r="GD1" s="296">
        <v>44593</v>
      </c>
      <c r="GE1" s="296">
        <v>44621</v>
      </c>
      <c r="GF1" s="296">
        <v>44652</v>
      </c>
      <c r="GG1" s="296">
        <v>44682</v>
      </c>
      <c r="GH1" s="296">
        <v>44713</v>
      </c>
      <c r="GI1" s="296">
        <v>44743</v>
      </c>
      <c r="GJ1" s="296">
        <v>44774</v>
      </c>
      <c r="GK1" s="296">
        <v>44805</v>
      </c>
      <c r="GL1" s="296">
        <v>44835</v>
      </c>
      <c r="GM1" s="296">
        <v>44866</v>
      </c>
      <c r="GN1" s="296">
        <v>44896</v>
      </c>
      <c r="GO1" s="296">
        <v>44927</v>
      </c>
      <c r="GP1" s="296">
        <v>44958</v>
      </c>
      <c r="GQ1" s="296">
        <v>44986</v>
      </c>
      <c r="GR1" s="296">
        <v>45017</v>
      </c>
      <c r="GS1" s="296">
        <v>45047</v>
      </c>
      <c r="GT1" s="296">
        <v>45078</v>
      </c>
      <c r="GU1" s="296">
        <v>45108</v>
      </c>
      <c r="GV1" s="296">
        <v>45139</v>
      </c>
      <c r="GW1" s="296">
        <v>45170</v>
      </c>
      <c r="GX1" s="296">
        <v>45200</v>
      </c>
      <c r="GY1" s="296">
        <v>45231</v>
      </c>
      <c r="GZ1" s="296">
        <v>45261</v>
      </c>
      <c r="HA1" s="296">
        <v>45292</v>
      </c>
      <c r="HB1" s="296">
        <v>45323</v>
      </c>
      <c r="HC1" s="296">
        <v>45352</v>
      </c>
      <c r="HD1" s="296">
        <v>45383</v>
      </c>
      <c r="HE1" s="296">
        <v>45413</v>
      </c>
      <c r="HF1" s="296">
        <v>45444</v>
      </c>
      <c r="HG1" s="296">
        <v>45474</v>
      </c>
      <c r="HH1" s="296">
        <v>45505</v>
      </c>
      <c r="HI1" s="296">
        <v>45536</v>
      </c>
      <c r="HJ1" s="296">
        <v>45566</v>
      </c>
      <c r="HK1" s="296">
        <v>45597</v>
      </c>
      <c r="HL1" s="296">
        <v>45627</v>
      </c>
      <c r="HM1" s="296"/>
      <c r="HN1" s="298"/>
      <c r="HO1" s="2348" t="s">
        <v>355</v>
      </c>
      <c r="HP1" s="1496"/>
      <c r="HQ1" s="1496"/>
      <c r="HR1" s="299">
        <v>2015</v>
      </c>
      <c r="HS1" s="300">
        <v>2014</v>
      </c>
      <c r="HT1" s="300">
        <v>2015</v>
      </c>
      <c r="HU1" s="300">
        <v>2015</v>
      </c>
      <c r="HV1" s="468">
        <v>2015</v>
      </c>
      <c r="HW1" s="468">
        <v>2016</v>
      </c>
      <c r="HX1" s="468">
        <v>2016</v>
      </c>
      <c r="HY1" s="468">
        <v>2016</v>
      </c>
      <c r="HZ1" s="468">
        <v>2017</v>
      </c>
      <c r="IA1" s="468">
        <v>2017</v>
      </c>
      <c r="IB1" s="468">
        <v>2017</v>
      </c>
      <c r="IC1" s="468">
        <v>2018</v>
      </c>
      <c r="ID1" s="468">
        <v>2018</v>
      </c>
      <c r="IE1" s="468">
        <v>2018</v>
      </c>
      <c r="IF1" s="468">
        <v>2019</v>
      </c>
      <c r="IG1" s="468">
        <v>2019</v>
      </c>
      <c r="IH1" s="468">
        <v>2019</v>
      </c>
      <c r="II1" s="468">
        <v>2020</v>
      </c>
      <c r="IK1" s="468">
        <v>2020</v>
      </c>
      <c r="IL1" s="468">
        <v>2021</v>
      </c>
      <c r="IN1" s="468">
        <v>2021</v>
      </c>
      <c r="IO1" s="117">
        <v>2022</v>
      </c>
      <c r="IQ1" s="468">
        <v>2022</v>
      </c>
      <c r="IR1" s="468">
        <v>2023</v>
      </c>
      <c r="IT1" s="468">
        <v>2023</v>
      </c>
      <c r="IU1" s="468">
        <v>2024</v>
      </c>
      <c r="IW1" s="468">
        <v>2024</v>
      </c>
      <c r="IX1" s="468">
        <v>2025</v>
      </c>
      <c r="IZ1" s="468">
        <v>2025</v>
      </c>
      <c r="JA1" s="468">
        <v>2026</v>
      </c>
      <c r="JB1" s="468"/>
      <c r="JC1" s="468">
        <v>2026</v>
      </c>
      <c r="JD1" s="468">
        <v>2027</v>
      </c>
      <c r="JE1" s="468"/>
      <c r="JF1" s="468">
        <v>2027</v>
      </c>
      <c r="JG1" s="468">
        <v>2028</v>
      </c>
      <c r="JH1" s="468"/>
      <c r="JI1" s="468">
        <v>2028</v>
      </c>
      <c r="JJ1" s="468">
        <v>2029</v>
      </c>
      <c r="JK1" s="468"/>
      <c r="JL1" s="468">
        <v>2029</v>
      </c>
      <c r="JM1" s="468">
        <v>2030</v>
      </c>
      <c r="JN1" s="468"/>
      <c r="JO1" s="468"/>
      <c r="JP1" s="468"/>
      <c r="JQ1" s="468"/>
      <c r="JR1" s="468"/>
      <c r="JS1" s="468"/>
      <c r="JT1" s="468"/>
      <c r="JU1" s="468"/>
      <c r="JV1" s="468"/>
      <c r="JW1" s="468"/>
      <c r="JX1" s="468"/>
      <c r="JY1" s="468"/>
      <c r="JZ1" s="468"/>
      <c r="KA1" s="468"/>
      <c r="KB1" s="468"/>
      <c r="KC1" s="468"/>
      <c r="KD1" s="468"/>
      <c r="KE1" s="468"/>
      <c r="KF1" s="468"/>
      <c r="KG1" s="468"/>
      <c r="KH1" s="468">
        <v>2021</v>
      </c>
      <c r="KI1" s="298"/>
      <c r="KJ1" s="2348" t="s">
        <v>356</v>
      </c>
      <c r="KO1" s="300">
        <v>2018</v>
      </c>
      <c r="KP1" s="300">
        <v>2018</v>
      </c>
    </row>
    <row r="2" spans="1:302" ht="12.75" customHeight="1">
      <c r="A2" s="301"/>
      <c r="CP2" s="303"/>
      <c r="EA2" s="302"/>
      <c r="EB2" s="302"/>
      <c r="EC2" s="302"/>
      <c r="ED2" s="302"/>
      <c r="EE2" s="302"/>
      <c r="EF2" s="302"/>
      <c r="EG2" s="302"/>
      <c r="EH2" s="302"/>
      <c r="EI2" s="302"/>
      <c r="EJ2" s="302"/>
      <c r="EK2" s="302"/>
      <c r="EL2" s="303"/>
      <c r="EM2" s="1548" t="s">
        <v>3102</v>
      </c>
      <c r="EN2" s="302"/>
      <c r="EO2" s="302"/>
      <c r="EP2" s="302"/>
      <c r="EQ2" s="302"/>
      <c r="ER2" s="302"/>
      <c r="ES2" s="302"/>
      <c r="ET2" s="302"/>
      <c r="EU2" s="302"/>
      <c r="EV2" s="302"/>
      <c r="EW2" s="302"/>
      <c r="EX2" s="303"/>
      <c r="EY2" s="302"/>
      <c r="EZ2" s="302"/>
      <c r="FA2" s="302"/>
      <c r="FB2" s="302"/>
      <c r="FC2" s="302"/>
      <c r="FD2" s="302"/>
      <c r="FE2" s="302"/>
      <c r="FF2" s="302"/>
      <c r="FG2" s="302"/>
      <c r="FH2" s="302"/>
      <c r="FI2" s="302"/>
      <c r="FJ2" s="303"/>
      <c r="FK2" s="302"/>
      <c r="FL2" s="302"/>
      <c r="FM2" s="302"/>
      <c r="FN2" s="302"/>
      <c r="FO2" s="302"/>
      <c r="FP2" s="302"/>
      <c r="FQ2" s="302"/>
      <c r="FR2" s="302"/>
      <c r="FS2" s="302"/>
      <c r="FT2" s="302"/>
      <c r="FU2" s="302"/>
      <c r="FV2" s="302"/>
      <c r="FW2" s="302"/>
      <c r="FX2" s="302"/>
      <c r="FY2" s="302"/>
      <c r="FZ2" s="302"/>
      <c r="GA2" s="302"/>
      <c r="GB2" s="302"/>
      <c r="GC2" s="302"/>
      <c r="GD2" s="302"/>
      <c r="GE2" s="302"/>
      <c r="GF2" s="302"/>
      <c r="GG2" s="302"/>
      <c r="GH2" s="302"/>
      <c r="GI2" s="302"/>
      <c r="GJ2" s="302"/>
      <c r="GK2" s="302"/>
      <c r="GL2" s="302"/>
      <c r="GM2" s="302"/>
      <c r="GN2" s="302"/>
      <c r="GO2" s="302"/>
      <c r="GP2" s="302"/>
      <c r="GQ2" s="302"/>
      <c r="GR2" s="302"/>
      <c r="GS2" s="302"/>
      <c r="GT2" s="302"/>
      <c r="GU2" s="302"/>
      <c r="GV2" s="302"/>
      <c r="GW2" s="302"/>
      <c r="GX2" s="302"/>
      <c r="GY2" s="302"/>
      <c r="GZ2" s="302"/>
      <c r="HA2" s="302"/>
      <c r="HB2" s="302"/>
      <c r="HC2" s="302"/>
      <c r="HD2" s="302"/>
      <c r="HE2" s="302"/>
      <c r="HF2" s="302"/>
      <c r="HG2" s="302"/>
      <c r="HH2" s="302"/>
      <c r="HI2" s="302"/>
      <c r="HJ2" s="302"/>
      <c r="HK2" s="302"/>
      <c r="HL2" s="302"/>
      <c r="HM2" s="302"/>
      <c r="HO2" s="2348"/>
      <c r="HP2" s="1496"/>
      <c r="HQ2" s="1496"/>
      <c r="HR2" s="306" t="s">
        <v>197</v>
      </c>
      <c r="HS2" s="306" t="s">
        <v>198</v>
      </c>
      <c r="HT2" s="306" t="s">
        <v>198</v>
      </c>
      <c r="HU2" s="306" t="s">
        <v>198</v>
      </c>
      <c r="HV2" s="467" t="s">
        <v>199</v>
      </c>
      <c r="HW2" s="467" t="s">
        <v>199</v>
      </c>
      <c r="HX2" s="467" t="s">
        <v>199</v>
      </c>
      <c r="HY2" s="467" t="s">
        <v>200</v>
      </c>
      <c r="HZ2" s="467" t="s">
        <v>200</v>
      </c>
      <c r="IA2" s="467" t="s">
        <v>200</v>
      </c>
      <c r="IB2" s="467" t="s">
        <v>201</v>
      </c>
      <c r="IC2" s="467" t="s">
        <v>201</v>
      </c>
      <c r="ID2" s="467" t="s">
        <v>201</v>
      </c>
      <c r="IE2" s="1035" t="s">
        <v>202</v>
      </c>
      <c r="IF2" s="1035" t="s">
        <v>202</v>
      </c>
      <c r="IG2" s="467" t="s">
        <v>202</v>
      </c>
      <c r="IH2" s="1035" t="s">
        <v>203</v>
      </c>
      <c r="II2" s="1035" t="s">
        <v>203</v>
      </c>
      <c r="IJ2" s="467" t="s">
        <v>203</v>
      </c>
      <c r="IK2" s="467" t="s">
        <v>357</v>
      </c>
      <c r="IL2" s="467" t="s">
        <v>357</v>
      </c>
      <c r="IM2" s="467" t="s">
        <v>357</v>
      </c>
      <c r="IN2" s="467" t="s">
        <v>1221</v>
      </c>
      <c r="IO2" s="467" t="s">
        <v>1221</v>
      </c>
      <c r="IP2" s="467" t="s">
        <v>1221</v>
      </c>
      <c r="IQ2" s="467" t="s">
        <v>1222</v>
      </c>
      <c r="IR2" s="467" t="s">
        <v>1222</v>
      </c>
      <c r="IS2" s="467" t="s">
        <v>1222</v>
      </c>
      <c r="IT2" s="467" t="s">
        <v>1223</v>
      </c>
      <c r="IU2" s="467" t="s">
        <v>1223</v>
      </c>
      <c r="IV2" s="467" t="s">
        <v>1223</v>
      </c>
      <c r="IW2" s="467" t="s">
        <v>1224</v>
      </c>
      <c r="IX2" s="467" t="s">
        <v>1224</v>
      </c>
      <c r="IY2" s="467" t="s">
        <v>1224</v>
      </c>
      <c r="IZ2" s="467" t="s">
        <v>1225</v>
      </c>
      <c r="JA2" s="467" t="s">
        <v>1225</v>
      </c>
      <c r="JB2" s="467" t="s">
        <v>1225</v>
      </c>
      <c r="JC2" s="467" t="s">
        <v>1226</v>
      </c>
      <c r="JD2" s="467" t="s">
        <v>1226</v>
      </c>
      <c r="JE2" s="467" t="s">
        <v>1226</v>
      </c>
      <c r="JF2" s="467" t="s">
        <v>1227</v>
      </c>
      <c r="JG2" s="467" t="s">
        <v>1227</v>
      </c>
      <c r="JH2" s="467" t="s">
        <v>1227</v>
      </c>
      <c r="JI2" s="467" t="s">
        <v>3586</v>
      </c>
      <c r="JJ2" s="467" t="s">
        <v>3586</v>
      </c>
      <c r="JK2" s="467" t="s">
        <v>3586</v>
      </c>
      <c r="JL2" s="467" t="s">
        <v>3587</v>
      </c>
      <c r="JM2" s="467" t="s">
        <v>3587</v>
      </c>
      <c r="JN2" s="467" t="s">
        <v>3587</v>
      </c>
      <c r="JO2" s="467"/>
      <c r="JP2" s="467"/>
      <c r="JQ2" s="1035"/>
      <c r="JR2" s="467"/>
      <c r="JS2" s="467"/>
      <c r="JT2" s="467"/>
      <c r="JU2" s="467"/>
      <c r="JV2" s="1035"/>
      <c r="JW2" s="467"/>
      <c r="JX2" s="467"/>
      <c r="JY2" s="467"/>
      <c r="JZ2" s="467"/>
      <c r="KA2" s="1035"/>
      <c r="KB2" s="467"/>
      <c r="KC2" s="467"/>
      <c r="KD2" s="467"/>
      <c r="KE2" s="467"/>
      <c r="KF2" s="1035"/>
      <c r="KG2" s="467"/>
      <c r="KH2" s="467" t="s">
        <v>357</v>
      </c>
      <c r="KJ2" s="2348"/>
      <c r="KO2" s="306" t="s">
        <v>201</v>
      </c>
      <c r="KP2" s="306" t="s">
        <v>201</v>
      </c>
    </row>
    <row r="3" spans="1:302" ht="15" customHeight="1">
      <c r="CP3" s="303"/>
      <c r="DB3" s="1530"/>
      <c r="EA3" s="302"/>
      <c r="EB3" s="302"/>
      <c r="EC3" s="302"/>
      <c r="ED3" s="302"/>
      <c r="EE3" s="302"/>
      <c r="EF3" s="302"/>
      <c r="EG3" s="302"/>
      <c r="EH3" s="302"/>
      <c r="EI3" s="302"/>
      <c r="EJ3" s="302"/>
      <c r="EK3" s="302"/>
      <c r="EL3" s="303"/>
      <c r="EM3" s="302"/>
      <c r="EN3" s="302"/>
      <c r="EO3" s="302"/>
      <c r="EP3" s="302"/>
      <c r="EQ3" s="302"/>
      <c r="ER3" s="302"/>
      <c r="ES3" s="302"/>
      <c r="ET3" s="302"/>
      <c r="EU3" s="302"/>
      <c r="EV3" s="302"/>
      <c r="EW3" s="302"/>
      <c r="EX3" s="303"/>
      <c r="EY3" s="302"/>
      <c r="EZ3" s="302"/>
      <c r="FA3" s="302"/>
      <c r="FB3" s="302"/>
      <c r="FC3" s="302"/>
      <c r="FD3" s="302"/>
      <c r="FE3" s="302"/>
      <c r="FF3" s="302"/>
      <c r="FG3" s="302"/>
      <c r="FH3" s="302"/>
      <c r="FI3" s="302"/>
      <c r="FJ3" s="303"/>
      <c r="FK3" s="302"/>
      <c r="FL3" s="302"/>
      <c r="FM3" s="302"/>
      <c r="FN3" s="302"/>
      <c r="FO3" s="302"/>
      <c r="FP3" s="302"/>
      <c r="FQ3" s="302"/>
      <c r="FR3" s="302"/>
      <c r="FS3" s="302"/>
      <c r="FT3" s="302"/>
      <c r="FU3" s="302"/>
      <c r="FV3" s="302"/>
      <c r="FW3" s="302"/>
      <c r="FX3" s="302"/>
      <c r="FY3" s="302"/>
      <c r="FZ3" s="302"/>
      <c r="GA3" s="302"/>
      <c r="GB3" s="302"/>
      <c r="GC3" s="302"/>
      <c r="GD3" s="302"/>
      <c r="GE3" s="302"/>
      <c r="GF3" s="302"/>
      <c r="GG3" s="302"/>
      <c r="GH3" s="302"/>
      <c r="GI3" s="302"/>
      <c r="GJ3" s="302"/>
      <c r="GK3" s="302"/>
      <c r="GL3" s="302"/>
      <c r="GM3" s="302"/>
      <c r="GN3" s="302"/>
      <c r="GO3" s="1918">
        <v>0.5238697536262662</v>
      </c>
      <c r="GP3" s="1918">
        <v>0.90779575580418537</v>
      </c>
      <c r="GQ3" s="1918">
        <v>0.91364618775367357</v>
      </c>
      <c r="GR3" s="1918">
        <v>0.6917610057084056</v>
      </c>
      <c r="GS3" s="1918">
        <v>0.63350891186110803</v>
      </c>
      <c r="GT3" s="1918">
        <v>0.96344281944936894</v>
      </c>
      <c r="GU3" s="1918"/>
      <c r="GV3" s="1918"/>
      <c r="GW3" s="1918"/>
      <c r="GX3" s="1918"/>
      <c r="GY3" s="1918"/>
      <c r="GZ3" s="1918"/>
      <c r="HA3" s="1918"/>
      <c r="HB3" s="1918"/>
      <c r="HC3" s="1918"/>
      <c r="HD3" s="1918"/>
      <c r="HE3" s="1918"/>
      <c r="HF3" s="1918"/>
      <c r="HG3" s="1918"/>
      <c r="HH3" s="1918"/>
      <c r="HI3" s="1918"/>
      <c r="HJ3" s="1918"/>
      <c r="HK3" s="1918"/>
      <c r="HL3" s="1918"/>
      <c r="HM3" s="1918"/>
      <c r="HO3" s="2348"/>
      <c r="HP3" s="307" t="s">
        <v>358</v>
      </c>
      <c r="HQ3" s="307" t="s">
        <v>359</v>
      </c>
      <c r="HR3" s="307" t="s">
        <v>244</v>
      </c>
      <c r="HS3" s="307" t="s">
        <v>358</v>
      </c>
      <c r="HT3" s="307" t="s">
        <v>359</v>
      </c>
      <c r="HU3" s="307" t="s">
        <v>1049</v>
      </c>
      <c r="HV3" s="307" t="s">
        <v>646</v>
      </c>
      <c r="HW3" s="307" t="s">
        <v>647</v>
      </c>
      <c r="HX3" s="307" t="s">
        <v>1049</v>
      </c>
      <c r="HY3" s="307" t="s">
        <v>358</v>
      </c>
      <c r="HZ3" s="307" t="s">
        <v>359</v>
      </c>
      <c r="IA3" s="307" t="s">
        <v>244</v>
      </c>
      <c r="IB3" s="307" t="s">
        <v>358</v>
      </c>
      <c r="IC3" s="307" t="s">
        <v>359</v>
      </c>
      <c r="ID3" s="307" t="s">
        <v>244</v>
      </c>
      <c r="IE3" s="307" t="s">
        <v>358</v>
      </c>
      <c r="IF3" s="307" t="s">
        <v>359</v>
      </c>
      <c r="IG3" s="307" t="s">
        <v>244</v>
      </c>
      <c r="IH3" s="307" t="s">
        <v>358</v>
      </c>
      <c r="II3" s="307" t="s">
        <v>359</v>
      </c>
      <c r="IJ3" s="307" t="s">
        <v>244</v>
      </c>
      <c r="IK3" s="307" t="s">
        <v>358</v>
      </c>
      <c r="IL3" s="307" t="s">
        <v>359</v>
      </c>
      <c r="IM3" s="308" t="s">
        <v>244</v>
      </c>
      <c r="IN3" s="307" t="s">
        <v>358</v>
      </c>
      <c r="IO3" s="307" t="s">
        <v>359</v>
      </c>
      <c r="IP3" s="308" t="s">
        <v>244</v>
      </c>
      <c r="IQ3" s="307" t="s">
        <v>358</v>
      </c>
      <c r="IR3" s="307" t="s">
        <v>359</v>
      </c>
      <c r="IS3" s="308" t="s">
        <v>244</v>
      </c>
      <c r="IT3" s="307" t="s">
        <v>358</v>
      </c>
      <c r="IU3" s="307" t="s">
        <v>359</v>
      </c>
      <c r="IV3" s="308" t="s">
        <v>244</v>
      </c>
      <c r="IW3" s="307" t="s">
        <v>358</v>
      </c>
      <c r="IX3" s="307" t="s">
        <v>359</v>
      </c>
      <c r="IY3" s="308" t="s">
        <v>244</v>
      </c>
      <c r="IZ3" s="307" t="s">
        <v>358</v>
      </c>
      <c r="JA3" s="307" t="s">
        <v>359</v>
      </c>
      <c r="JB3" s="308" t="s">
        <v>244</v>
      </c>
      <c r="JC3" s="307" t="s">
        <v>358</v>
      </c>
      <c r="JD3" s="307" t="s">
        <v>359</v>
      </c>
      <c r="JE3" s="308" t="s">
        <v>244</v>
      </c>
      <c r="JF3" s="307" t="s">
        <v>358</v>
      </c>
      <c r="JG3" s="307" t="s">
        <v>359</v>
      </c>
      <c r="JH3" s="308" t="s">
        <v>244</v>
      </c>
      <c r="JI3" s="307" t="s">
        <v>358</v>
      </c>
      <c r="JJ3" s="307" t="s">
        <v>359</v>
      </c>
      <c r="JK3" s="308" t="s">
        <v>244</v>
      </c>
      <c r="JL3" s="307" t="s">
        <v>358</v>
      </c>
      <c r="JM3" s="307" t="s">
        <v>359</v>
      </c>
      <c r="JN3" s="308" t="s">
        <v>244</v>
      </c>
      <c r="JO3" s="307"/>
      <c r="JP3" s="307"/>
      <c r="JQ3" s="307"/>
      <c r="JR3" s="307"/>
      <c r="JS3" s="307"/>
      <c r="JT3" s="307"/>
      <c r="JU3" s="307"/>
      <c r="JV3" s="307"/>
      <c r="JW3" s="307"/>
      <c r="JX3" s="307"/>
      <c r="JY3" s="307"/>
      <c r="JZ3" s="307"/>
      <c r="KA3" s="307"/>
      <c r="KB3" s="307"/>
      <c r="KC3" s="307"/>
      <c r="KD3" s="307"/>
      <c r="KE3" s="307"/>
      <c r="KF3" s="307"/>
      <c r="KG3" s="307"/>
      <c r="KH3" s="308" t="s">
        <v>244</v>
      </c>
      <c r="KJ3" s="2348"/>
      <c r="KO3" s="307" t="s">
        <v>358</v>
      </c>
      <c r="KP3" s="307" t="s">
        <v>359</v>
      </c>
    </row>
    <row r="4" spans="1:302">
      <c r="D4" s="309" t="s">
        <v>977</v>
      </c>
      <c r="E4" s="310"/>
      <c r="F4" s="310"/>
      <c r="G4" s="310"/>
      <c r="H4" s="310"/>
      <c r="I4" s="310"/>
      <c r="J4" s="310"/>
      <c r="K4" s="310"/>
      <c r="L4" s="310"/>
      <c r="M4" s="310"/>
      <c r="N4" s="310"/>
      <c r="O4" s="310"/>
      <c r="P4" s="310"/>
      <c r="Q4" s="310"/>
      <c r="R4" s="310"/>
      <c r="S4" s="310"/>
      <c r="T4" s="310"/>
      <c r="U4" s="310"/>
      <c r="V4" s="310"/>
      <c r="W4" s="310"/>
      <c r="X4" s="310"/>
      <c r="Y4" s="310"/>
      <c r="Z4" s="310"/>
      <c r="AA4" s="310"/>
      <c r="AB4" s="310"/>
      <c r="AC4" s="310"/>
      <c r="AD4" s="310"/>
      <c r="AE4" s="310"/>
      <c r="AF4" s="310"/>
      <c r="AG4" s="310"/>
      <c r="AH4" s="310"/>
      <c r="AI4" s="310"/>
      <c r="AJ4" s="310"/>
      <c r="AK4" s="310"/>
      <c r="AL4" s="310"/>
      <c r="AM4" s="310"/>
      <c r="AN4" s="310"/>
      <c r="AO4" s="310"/>
      <c r="AP4" s="310"/>
      <c r="AQ4" s="310"/>
      <c r="AR4" s="310"/>
      <c r="AS4" s="310"/>
      <c r="AT4" s="310"/>
      <c r="AU4" s="310"/>
      <c r="AV4" s="310"/>
      <c r="AW4" s="310"/>
      <c r="AX4" s="310"/>
      <c r="AY4" s="310"/>
      <c r="AZ4" s="310"/>
      <c r="BA4" s="310"/>
      <c r="BB4" s="310"/>
      <c r="BC4" s="310"/>
      <c r="BD4" s="310"/>
      <c r="BE4" s="310"/>
      <c r="BF4" s="310"/>
      <c r="BG4" s="310"/>
      <c r="BH4" s="310"/>
      <c r="BI4" s="310"/>
      <c r="BJ4" s="310"/>
      <c r="BK4" s="310"/>
      <c r="BL4" s="310"/>
      <c r="BM4" s="310"/>
      <c r="BN4" s="310"/>
      <c r="BO4" s="310"/>
      <c r="BP4" s="310"/>
      <c r="BQ4" s="310"/>
      <c r="BR4" s="310"/>
      <c r="BS4" s="310"/>
      <c r="BT4" s="310"/>
      <c r="BU4" s="310"/>
      <c r="BV4" s="310"/>
      <c r="BW4" s="310"/>
      <c r="BX4" s="310"/>
      <c r="BY4" s="310"/>
      <c r="BZ4" s="310"/>
      <c r="CA4" s="310"/>
      <c r="CB4" s="310"/>
      <c r="CC4" s="310"/>
      <c r="CD4" s="310"/>
      <c r="CE4" s="310"/>
      <c r="CF4" s="310"/>
      <c r="CG4" s="310"/>
      <c r="CH4" s="310"/>
      <c r="CI4" s="310"/>
      <c r="CJ4" s="310"/>
      <c r="CK4" s="310"/>
      <c r="CL4" s="310"/>
      <c r="CM4" s="310"/>
      <c r="CN4" s="310"/>
      <c r="CO4" s="310"/>
      <c r="CP4" s="311"/>
      <c r="CQ4" s="310"/>
      <c r="CR4" s="310"/>
      <c r="CS4" s="310"/>
      <c r="CT4" s="310"/>
      <c r="CU4" s="310"/>
      <c r="CV4" s="310"/>
      <c r="CW4" s="310"/>
      <c r="CX4" s="310"/>
      <c r="CY4" s="310"/>
      <c r="CZ4" s="310"/>
      <c r="DA4" s="310"/>
      <c r="DB4" s="313"/>
      <c r="DC4" s="857" t="s">
        <v>986</v>
      </c>
      <c r="DD4" s="310"/>
      <c r="DE4" s="310"/>
      <c r="DF4" s="310"/>
      <c r="DG4" s="310"/>
      <c r="DH4" s="310"/>
      <c r="DI4" s="310"/>
      <c r="DJ4" s="310"/>
      <c r="DK4" s="310"/>
      <c r="DL4" s="310"/>
      <c r="DM4" s="310"/>
      <c r="DN4" s="311"/>
      <c r="DO4" s="310"/>
      <c r="DP4" s="310"/>
      <c r="DQ4" s="310"/>
      <c r="DR4" s="310"/>
      <c r="DS4" s="310"/>
      <c r="DT4" s="310"/>
      <c r="DU4" s="310"/>
      <c r="DV4" s="310"/>
      <c r="DW4" s="310"/>
      <c r="DX4" s="310"/>
      <c r="DY4" s="310"/>
      <c r="DZ4" s="311"/>
      <c r="EA4" s="310"/>
      <c r="EB4" s="310"/>
      <c r="EC4" s="310"/>
      <c r="ED4" s="310"/>
      <c r="EE4" s="310"/>
      <c r="EF4" s="310"/>
      <c r="EG4" s="310"/>
      <c r="EH4" s="310"/>
      <c r="EI4" s="310"/>
      <c r="EJ4" s="310"/>
      <c r="EK4" s="310"/>
      <c r="EL4" s="311"/>
      <c r="EM4" s="310"/>
      <c r="EN4" s="310"/>
      <c r="EO4" s="310"/>
      <c r="EP4" s="310"/>
      <c r="EQ4" s="310"/>
      <c r="ER4" s="310"/>
      <c r="ES4" s="310"/>
      <c r="ET4" s="310"/>
      <c r="EU4" s="310"/>
      <c r="EV4" s="310"/>
      <c r="EW4" s="310"/>
      <c r="EX4" s="311"/>
      <c r="EY4" s="310"/>
      <c r="EZ4" s="310"/>
      <c r="FA4" s="310"/>
      <c r="FB4" s="310"/>
      <c r="FC4" s="310"/>
      <c r="FD4" s="310"/>
      <c r="FE4" s="310"/>
      <c r="FF4" s="310"/>
      <c r="FG4" s="310"/>
      <c r="FH4" s="310"/>
      <c r="FI4" s="310"/>
      <c r="FJ4" s="311"/>
      <c r="FK4" s="310"/>
      <c r="FL4" s="310"/>
      <c r="FM4" s="310"/>
      <c r="FN4" s="310"/>
      <c r="FO4" s="310"/>
      <c r="FP4" s="310"/>
      <c r="FQ4" s="310"/>
      <c r="FR4" s="310"/>
      <c r="FS4" s="310"/>
      <c r="FT4" s="310"/>
      <c r="FU4" s="310"/>
      <c r="FV4" s="310"/>
      <c r="FW4" s="310"/>
      <c r="FX4" s="310"/>
      <c r="FY4" s="310"/>
      <c r="FZ4" s="310"/>
      <c r="GA4" s="310"/>
      <c r="GB4" s="310"/>
      <c r="GC4" s="310"/>
      <c r="GD4" s="310"/>
      <c r="GE4" s="310"/>
      <c r="GF4" s="310"/>
      <c r="GG4" s="310"/>
      <c r="GH4" s="310"/>
      <c r="GI4" s="310"/>
      <c r="GJ4" s="310"/>
      <c r="GK4" s="310"/>
      <c r="GL4" s="310"/>
      <c r="GM4" s="310"/>
      <c r="GN4" s="310"/>
      <c r="GO4" s="310"/>
      <c r="GP4" s="310"/>
      <c r="GQ4" s="310"/>
      <c r="GR4" s="310"/>
      <c r="GS4" s="310"/>
      <c r="GT4" s="310"/>
      <c r="GU4" s="310"/>
      <c r="GV4" s="310"/>
      <c r="GW4" s="310"/>
      <c r="GX4" s="310"/>
      <c r="GY4" s="310"/>
      <c r="GZ4" s="310"/>
      <c r="HA4" s="310"/>
      <c r="HB4" s="310"/>
      <c r="HC4" s="310"/>
      <c r="HD4" s="310"/>
      <c r="HE4" s="310"/>
      <c r="HF4" s="310"/>
      <c r="HG4" s="310"/>
      <c r="HH4" s="310"/>
      <c r="HI4" s="310"/>
      <c r="HJ4" s="310"/>
      <c r="HK4" s="310"/>
      <c r="HL4" s="310"/>
      <c r="HM4" s="310"/>
      <c r="HN4" s="312"/>
      <c r="HO4" s="310"/>
      <c r="HP4" s="310"/>
      <c r="HQ4" s="310"/>
      <c r="HR4" s="310"/>
      <c r="HS4" s="310"/>
      <c r="HT4" s="310"/>
      <c r="HU4" s="310"/>
      <c r="HV4" s="310"/>
      <c r="HW4" s="310"/>
      <c r="HX4" s="310"/>
      <c r="HY4" s="310"/>
      <c r="HZ4" s="310"/>
      <c r="IA4" s="310"/>
      <c r="IB4" s="310"/>
      <c r="IC4" s="310"/>
      <c r="ID4" s="310"/>
      <c r="IE4" s="310"/>
      <c r="IF4" s="310"/>
      <c r="IG4" s="310"/>
      <c r="IH4" s="310"/>
      <c r="II4" s="310"/>
      <c r="IJ4" s="310"/>
      <c r="IK4" s="310"/>
      <c r="IL4" s="310"/>
      <c r="IM4" s="310"/>
      <c r="IN4" s="310"/>
      <c r="IO4" s="310"/>
      <c r="IP4" s="310"/>
      <c r="IQ4" s="310"/>
      <c r="IR4" s="310"/>
      <c r="IS4" s="310"/>
      <c r="IT4" s="310"/>
      <c r="IU4" s="310"/>
      <c r="IV4" s="310"/>
      <c r="IW4" s="310"/>
      <c r="IX4" s="310"/>
      <c r="IY4" s="310"/>
      <c r="IZ4" s="310"/>
      <c r="JA4" s="310"/>
      <c r="JB4" s="310"/>
      <c r="JC4" s="310"/>
      <c r="JD4" s="310"/>
      <c r="JE4" s="310"/>
      <c r="JF4" s="310"/>
      <c r="JG4" s="310"/>
      <c r="JH4" s="310"/>
      <c r="JI4" s="310"/>
      <c r="JJ4" s="310"/>
      <c r="JK4" s="310"/>
      <c r="JL4" s="310"/>
      <c r="JM4" s="310"/>
      <c r="JN4" s="310"/>
      <c r="JO4" s="310"/>
      <c r="JP4" s="310"/>
      <c r="JQ4" s="310"/>
      <c r="JR4" s="310"/>
      <c r="JS4" s="310"/>
      <c r="JT4" s="310"/>
      <c r="JU4" s="310"/>
      <c r="JV4" s="310"/>
      <c r="JW4" s="310"/>
      <c r="JX4" s="310"/>
      <c r="JY4" s="310"/>
      <c r="JZ4" s="310"/>
      <c r="KA4" s="310"/>
      <c r="KB4" s="310"/>
      <c r="KC4" s="310"/>
      <c r="KD4" s="310"/>
      <c r="KE4" s="310"/>
      <c r="KF4" s="310"/>
      <c r="KG4" s="310"/>
      <c r="KH4" s="311"/>
      <c r="KI4" s="312"/>
      <c r="KJ4" s="310"/>
      <c r="KO4" s="310"/>
      <c r="KP4" s="313"/>
    </row>
    <row r="5" spans="1:302" outlineLevel="1">
      <c r="A5" s="314" t="s">
        <v>1101</v>
      </c>
      <c r="D5" s="315" t="s">
        <v>978</v>
      </c>
      <c r="E5" s="316"/>
      <c r="F5" s="316"/>
      <c r="G5" s="316"/>
      <c r="H5" s="316"/>
      <c r="I5" s="316"/>
      <c r="J5" s="316"/>
      <c r="K5" s="316"/>
      <c r="L5" s="316"/>
      <c r="M5" s="316"/>
      <c r="N5" s="316"/>
      <c r="O5" s="316"/>
      <c r="P5" s="316"/>
      <c r="Q5" s="316"/>
      <c r="R5" s="316"/>
      <c r="S5" s="316"/>
      <c r="T5" s="316"/>
      <c r="U5" s="316"/>
      <c r="V5" s="316"/>
      <c r="W5" s="316"/>
      <c r="X5" s="316"/>
      <c r="Y5" s="316"/>
      <c r="Z5" s="316"/>
      <c r="AA5" s="316"/>
      <c r="AB5" s="316"/>
      <c r="AC5" s="316"/>
      <c r="AD5" s="316"/>
      <c r="AE5" s="316"/>
      <c r="AF5" s="316"/>
      <c r="AG5" s="316"/>
      <c r="AH5" s="316"/>
      <c r="AI5" s="316"/>
      <c r="AJ5" s="316"/>
      <c r="AK5" s="316"/>
      <c r="AL5" s="316"/>
      <c r="AM5" s="316"/>
      <c r="AN5" s="316"/>
      <c r="AO5" s="316"/>
      <c r="AP5" s="316"/>
      <c r="AQ5" s="316"/>
      <c r="AR5" s="316"/>
      <c r="AS5" s="316"/>
      <c r="AT5" s="316"/>
      <c r="AU5" s="316"/>
      <c r="AV5" s="316"/>
      <c r="AW5" s="316"/>
      <c r="AX5" s="316"/>
      <c r="AY5" s="316"/>
      <c r="AZ5" s="316"/>
      <c r="BA5" s="316"/>
      <c r="BB5" s="316"/>
      <c r="BC5" s="316"/>
      <c r="BD5" s="316"/>
      <c r="BE5" s="316"/>
      <c r="BF5" s="316"/>
      <c r="BG5" s="316"/>
      <c r="BH5" s="316"/>
      <c r="BI5" s="316"/>
      <c r="BJ5" s="316"/>
      <c r="BK5" s="316"/>
      <c r="BL5" s="316"/>
      <c r="BM5" s="316"/>
      <c r="BN5" s="316"/>
      <c r="BO5" s="316"/>
      <c r="BP5" s="316"/>
      <c r="BQ5" s="316"/>
      <c r="BR5" s="316"/>
      <c r="BS5" s="316"/>
      <c r="BT5" s="316"/>
      <c r="BU5" s="316"/>
      <c r="BV5" s="316"/>
      <c r="BW5" s="316"/>
      <c r="BX5" s="316"/>
      <c r="BY5" s="316"/>
      <c r="BZ5" s="316"/>
      <c r="CA5" s="316"/>
      <c r="CB5" s="316"/>
      <c r="CC5" s="316"/>
      <c r="CD5" s="316"/>
      <c r="CE5" s="317"/>
      <c r="CF5" s="316"/>
      <c r="CG5" s="316"/>
      <c r="CH5" s="316"/>
      <c r="CI5" s="316"/>
      <c r="CJ5" s="316"/>
      <c r="CK5" s="316"/>
      <c r="CL5" s="316"/>
      <c r="CM5" s="316"/>
      <c r="CN5" s="316"/>
      <c r="CO5" s="316"/>
      <c r="CP5" s="318"/>
      <c r="CQ5" s="316"/>
      <c r="CR5" s="316"/>
      <c r="CS5" s="316"/>
      <c r="CT5" s="316"/>
      <c r="CU5" s="316"/>
      <c r="CV5" s="316"/>
      <c r="CW5" s="316"/>
      <c r="CX5" s="316"/>
      <c r="CY5" s="316"/>
      <c r="CZ5" s="316"/>
      <c r="DA5" s="316"/>
      <c r="DB5" s="1498"/>
      <c r="DC5" s="839">
        <v>42186</v>
      </c>
      <c r="DD5" s="839">
        <v>42217</v>
      </c>
      <c r="DE5" s="839">
        <v>42248</v>
      </c>
      <c r="DF5" s="839">
        <v>42278</v>
      </c>
      <c r="DG5" s="839">
        <v>42309</v>
      </c>
      <c r="DH5" s="839">
        <v>42339</v>
      </c>
      <c r="DI5" s="839">
        <v>42370</v>
      </c>
      <c r="DJ5" s="839">
        <v>42401</v>
      </c>
      <c r="DK5" s="839">
        <v>42430</v>
      </c>
      <c r="DL5" s="839">
        <v>42461</v>
      </c>
      <c r="DM5" s="839">
        <v>42491</v>
      </c>
      <c r="DN5" s="927">
        <v>42522</v>
      </c>
      <c r="DO5" s="839">
        <v>42552</v>
      </c>
      <c r="DP5" s="839">
        <v>42583</v>
      </c>
      <c r="DQ5" s="839">
        <v>42614</v>
      </c>
      <c r="DR5" s="839">
        <v>42644</v>
      </c>
      <c r="DS5" s="839">
        <v>42675</v>
      </c>
      <c r="DT5" s="839">
        <v>42705</v>
      </c>
      <c r="DU5" s="925">
        <v>42736</v>
      </c>
      <c r="DV5" s="925">
        <v>42767</v>
      </c>
      <c r="DW5" s="925">
        <v>42795</v>
      </c>
      <c r="DX5" s="925">
        <v>42826</v>
      </c>
      <c r="DY5" s="925">
        <v>42856</v>
      </c>
      <c r="DZ5" s="1532">
        <v>42887</v>
      </c>
      <c r="EA5" s="925">
        <v>42917</v>
      </c>
      <c r="EB5" s="925">
        <v>42948</v>
      </c>
      <c r="EC5" s="925">
        <v>42979</v>
      </c>
      <c r="ED5" s="925">
        <v>43009</v>
      </c>
      <c r="EE5" s="925">
        <v>43040</v>
      </c>
      <c r="EF5" s="925">
        <v>43070</v>
      </c>
      <c r="EG5" s="925">
        <v>43101</v>
      </c>
      <c r="EH5" s="925">
        <v>43132</v>
      </c>
      <c r="EI5" s="925">
        <v>43160</v>
      </c>
      <c r="EJ5" s="925">
        <v>43191</v>
      </c>
      <c r="EK5" s="925">
        <v>43221</v>
      </c>
      <c r="EL5" s="1532">
        <v>43252</v>
      </c>
      <c r="EM5" s="1205">
        <v>43282</v>
      </c>
      <c r="EN5" s="1205">
        <v>43313</v>
      </c>
      <c r="EO5" s="1205">
        <v>43344</v>
      </c>
      <c r="EP5" s="1205">
        <v>43374</v>
      </c>
      <c r="EQ5" s="1205">
        <v>43405</v>
      </c>
      <c r="ER5" s="1205">
        <v>43435</v>
      </c>
      <c r="ES5" s="1205">
        <v>43466</v>
      </c>
      <c r="ET5" s="1205">
        <v>43497</v>
      </c>
      <c r="EU5" s="1205">
        <v>43525</v>
      </c>
      <c r="EV5" s="1205">
        <v>43556</v>
      </c>
      <c r="EW5" s="1205">
        <v>43586</v>
      </c>
      <c r="EX5" s="1558">
        <v>43617</v>
      </c>
      <c r="EY5" s="1205">
        <v>43647</v>
      </c>
      <c r="EZ5" s="1205">
        <v>43678</v>
      </c>
      <c r="FA5" s="1205">
        <v>43709</v>
      </c>
      <c r="FB5" s="1205">
        <v>43739</v>
      </c>
      <c r="FC5" s="1205">
        <v>43770</v>
      </c>
      <c r="FD5" s="1205">
        <v>43800</v>
      </c>
      <c r="FE5" s="1205">
        <v>43831</v>
      </c>
      <c r="FF5" s="1205">
        <v>43862</v>
      </c>
      <c r="FG5" s="1205">
        <v>43891</v>
      </c>
      <c r="FH5" s="1205">
        <v>43922</v>
      </c>
      <c r="FI5" s="1205">
        <v>43952</v>
      </c>
      <c r="FJ5" s="1558">
        <v>43983</v>
      </c>
      <c r="FK5" s="1205">
        <v>44013</v>
      </c>
      <c r="FL5" s="1205">
        <v>44044</v>
      </c>
      <c r="FM5" s="1205">
        <v>44075</v>
      </c>
      <c r="FN5" s="1205">
        <v>44105</v>
      </c>
      <c r="FO5" s="1205">
        <v>44136</v>
      </c>
      <c r="FP5" s="1205">
        <v>44166</v>
      </c>
      <c r="FQ5" s="1205">
        <v>44197</v>
      </c>
      <c r="FR5" s="1205">
        <v>44228</v>
      </c>
      <c r="FS5" s="1205">
        <v>44256</v>
      </c>
      <c r="FT5" s="1205">
        <v>44287</v>
      </c>
      <c r="FU5" s="1205">
        <v>44317</v>
      </c>
      <c r="FV5" s="1867">
        <v>44348</v>
      </c>
      <c r="FW5" s="1205">
        <v>44378</v>
      </c>
      <c r="FX5" s="1205">
        <v>44409</v>
      </c>
      <c r="FY5" s="1205">
        <v>44440</v>
      </c>
      <c r="FZ5" s="1205">
        <v>44470</v>
      </c>
      <c r="GA5" s="1205">
        <v>44501</v>
      </c>
      <c r="GB5" s="1205">
        <v>44531</v>
      </c>
      <c r="GC5" s="1205">
        <v>44562</v>
      </c>
      <c r="GD5" s="1205">
        <v>44593</v>
      </c>
      <c r="GE5" s="1205">
        <v>44621</v>
      </c>
      <c r="GF5" s="1205">
        <v>44652</v>
      </c>
      <c r="GG5" s="1205">
        <v>44682</v>
      </c>
      <c r="GH5" s="1558">
        <v>44713</v>
      </c>
      <c r="GI5" s="1205">
        <v>44743</v>
      </c>
      <c r="GJ5" s="1205">
        <v>44774</v>
      </c>
      <c r="GK5" s="1205">
        <v>44805</v>
      </c>
      <c r="GL5" s="1205">
        <v>44835</v>
      </c>
      <c r="GM5" s="1205">
        <v>44866</v>
      </c>
      <c r="GN5" s="1205">
        <v>44896</v>
      </c>
      <c r="GO5" s="1205">
        <v>44927</v>
      </c>
      <c r="GP5" s="1205">
        <v>44958</v>
      </c>
      <c r="GQ5" s="1205">
        <v>44986</v>
      </c>
      <c r="GR5" s="1205">
        <v>45017</v>
      </c>
      <c r="GS5" s="1205">
        <v>45047</v>
      </c>
      <c r="GT5" s="1205">
        <v>45078</v>
      </c>
      <c r="GU5" s="1205">
        <v>45108</v>
      </c>
      <c r="GV5" s="1205">
        <v>45139</v>
      </c>
      <c r="GW5" s="1205">
        <v>45170</v>
      </c>
      <c r="GX5" s="1205">
        <v>45200</v>
      </c>
      <c r="GY5" s="1205">
        <v>45231</v>
      </c>
      <c r="GZ5" s="1205">
        <v>45261</v>
      </c>
      <c r="HA5" s="1205">
        <v>45292</v>
      </c>
      <c r="HB5" s="1205">
        <v>45323</v>
      </c>
      <c r="HC5" s="1205">
        <v>45352</v>
      </c>
      <c r="HD5" s="1205">
        <v>45383</v>
      </c>
      <c r="HE5" s="1205">
        <v>45413</v>
      </c>
      <c r="HF5" s="1205">
        <v>45444</v>
      </c>
      <c r="HG5" s="1205">
        <v>45474</v>
      </c>
      <c r="HH5" s="1205">
        <v>45505</v>
      </c>
      <c r="HI5" s="1205">
        <v>45536</v>
      </c>
      <c r="HJ5" s="1205">
        <v>45566</v>
      </c>
      <c r="HK5" s="1205">
        <v>45597</v>
      </c>
      <c r="HL5" s="1205">
        <v>45627</v>
      </c>
      <c r="HM5" s="1205"/>
      <c r="KH5" s="303"/>
    </row>
    <row r="6" spans="1:302" outlineLevel="1">
      <c r="A6" s="117" t="s">
        <v>360</v>
      </c>
      <c r="B6" s="117" t="s">
        <v>361</v>
      </c>
      <c r="D6" s="319" t="s">
        <v>362</v>
      </c>
      <c r="E6" s="316"/>
      <c r="F6" s="316"/>
      <c r="G6" s="316"/>
      <c r="H6" s="316"/>
      <c r="I6" s="316"/>
      <c r="J6" s="316"/>
      <c r="K6" s="316"/>
      <c r="L6" s="316"/>
      <c r="M6" s="316"/>
      <c r="N6" s="316"/>
      <c r="O6" s="316"/>
      <c r="P6" s="316"/>
      <c r="Q6" s="316"/>
      <c r="R6" s="316"/>
      <c r="S6" s="316"/>
      <c r="T6" s="316"/>
      <c r="U6" s="316"/>
      <c r="V6" s="316"/>
      <c r="W6" s="316"/>
      <c r="X6" s="316"/>
      <c r="Y6" s="316"/>
      <c r="Z6" s="316"/>
      <c r="AA6" s="316"/>
      <c r="AB6" s="316"/>
      <c r="AC6" s="316"/>
      <c r="AD6" s="316"/>
      <c r="AE6" s="316"/>
      <c r="AF6" s="316"/>
      <c r="AG6" s="316"/>
      <c r="AH6" s="316"/>
      <c r="AI6" s="316"/>
      <c r="AJ6" s="316"/>
      <c r="AK6" s="316"/>
      <c r="AL6" s="316"/>
      <c r="AM6" s="316"/>
      <c r="AN6" s="316"/>
      <c r="AO6" s="316">
        <v>0</v>
      </c>
      <c r="AP6" s="316">
        <v>0</v>
      </c>
      <c r="AQ6" s="316">
        <v>0</v>
      </c>
      <c r="AR6" s="316">
        <v>0</v>
      </c>
      <c r="AS6" s="316">
        <v>0</v>
      </c>
      <c r="AT6" s="316">
        <v>0</v>
      </c>
      <c r="AU6" s="316">
        <v>0</v>
      </c>
      <c r="AV6" s="316">
        <v>0</v>
      </c>
      <c r="AW6" s="316">
        <v>0</v>
      </c>
      <c r="AX6" s="316">
        <v>0</v>
      </c>
      <c r="AY6" s="316">
        <v>0</v>
      </c>
      <c r="AZ6" s="316">
        <v>0</v>
      </c>
      <c r="BA6" s="316">
        <v>0</v>
      </c>
      <c r="BB6" s="316">
        <v>0</v>
      </c>
      <c r="BC6" s="316">
        <v>0</v>
      </c>
      <c r="BD6" s="316">
        <v>0</v>
      </c>
      <c r="BE6" s="316">
        <v>0</v>
      </c>
      <c r="BF6" s="316">
        <v>0</v>
      </c>
      <c r="BG6" s="316">
        <v>0</v>
      </c>
      <c r="BH6" s="316">
        <v>0</v>
      </c>
      <c r="BI6" s="316">
        <v>0</v>
      </c>
      <c r="BJ6" s="316">
        <v>0</v>
      </c>
      <c r="BK6" s="316">
        <v>0</v>
      </c>
      <c r="BL6" s="316">
        <v>0</v>
      </c>
      <c r="BM6" s="316">
        <v>0</v>
      </c>
      <c r="BN6" s="316">
        <v>0</v>
      </c>
      <c r="BO6" s="316">
        <v>0</v>
      </c>
      <c r="BP6" s="316">
        <v>0</v>
      </c>
      <c r="BQ6" s="316">
        <v>0</v>
      </c>
      <c r="BR6" s="316">
        <v>0</v>
      </c>
      <c r="BS6" s="316">
        <v>0</v>
      </c>
      <c r="BT6" s="316">
        <v>0</v>
      </c>
      <c r="BU6" s="316">
        <v>0</v>
      </c>
      <c r="BV6" s="316">
        <v>0</v>
      </c>
      <c r="BW6" s="316">
        <v>0</v>
      </c>
      <c r="BX6" s="316">
        <v>0</v>
      </c>
      <c r="BY6" s="316">
        <v>0</v>
      </c>
      <c r="BZ6" s="316">
        <v>0</v>
      </c>
      <c r="CA6" s="316">
        <v>0</v>
      </c>
      <c r="CB6" s="316">
        <v>0</v>
      </c>
      <c r="CC6" s="316">
        <v>0</v>
      </c>
      <c r="CD6" s="316">
        <v>0</v>
      </c>
      <c r="CE6" s="317">
        <v>0</v>
      </c>
      <c r="CF6" s="316">
        <v>0</v>
      </c>
      <c r="CG6" s="316">
        <v>0</v>
      </c>
      <c r="CH6" s="316">
        <v>0</v>
      </c>
      <c r="CI6" s="316">
        <v>0</v>
      </c>
      <c r="CJ6" s="316">
        <v>0</v>
      </c>
      <c r="CK6" s="316">
        <v>0</v>
      </c>
      <c r="CL6" s="316">
        <v>0</v>
      </c>
      <c r="CM6" s="316">
        <v>0</v>
      </c>
      <c r="CN6" s="316">
        <v>0</v>
      </c>
      <c r="CO6" s="316">
        <v>0</v>
      </c>
      <c r="CP6" s="318">
        <v>0</v>
      </c>
      <c r="CQ6" s="316">
        <v>0</v>
      </c>
      <c r="CR6" s="316">
        <v>0</v>
      </c>
      <c r="CS6" s="316">
        <v>0</v>
      </c>
      <c r="CT6" s="316">
        <v>0</v>
      </c>
      <c r="CU6" s="316">
        <v>0</v>
      </c>
      <c r="CV6" s="316">
        <v>0</v>
      </c>
      <c r="CW6" s="316">
        <v>0</v>
      </c>
      <c r="CX6" s="316">
        <v>0</v>
      </c>
      <c r="CY6" s="316">
        <v>0</v>
      </c>
      <c r="CZ6" s="316">
        <v>0</v>
      </c>
      <c r="DA6" s="316">
        <v>0</v>
      </c>
      <c r="DB6" s="1498">
        <v>0</v>
      </c>
      <c r="DC6" s="316">
        <v>0</v>
      </c>
      <c r="DD6" s="316">
        <v>0</v>
      </c>
      <c r="DE6" s="316">
        <v>0</v>
      </c>
      <c r="DF6" s="316">
        <v>0</v>
      </c>
      <c r="DG6" s="316">
        <v>0</v>
      </c>
      <c r="DH6" s="316">
        <v>0</v>
      </c>
      <c r="DI6" s="316">
        <v>0</v>
      </c>
      <c r="DJ6" s="316">
        <v>0</v>
      </c>
      <c r="DK6" s="316">
        <v>0</v>
      </c>
      <c r="DL6" s="316">
        <v>0</v>
      </c>
      <c r="DM6" s="316">
        <v>0</v>
      </c>
      <c r="DN6" s="318">
        <v>0</v>
      </c>
      <c r="DO6" s="316">
        <v>0</v>
      </c>
      <c r="DP6" s="316">
        <v>0</v>
      </c>
      <c r="DQ6" s="316">
        <v>0</v>
      </c>
      <c r="DR6" s="316">
        <v>0</v>
      </c>
      <c r="DS6" s="316">
        <v>0</v>
      </c>
      <c r="DT6" s="316">
        <v>0</v>
      </c>
      <c r="DU6" s="316">
        <v>0</v>
      </c>
      <c r="DV6" s="316">
        <v>0</v>
      </c>
      <c r="DW6" s="316">
        <v>0</v>
      </c>
      <c r="DX6" s="316">
        <v>0</v>
      </c>
      <c r="DY6" s="316">
        <v>0</v>
      </c>
      <c r="DZ6" s="318">
        <v>0</v>
      </c>
      <c r="EA6" s="316">
        <v>0</v>
      </c>
      <c r="EB6" s="316">
        <v>0</v>
      </c>
      <c r="EC6" s="316">
        <v>0</v>
      </c>
      <c r="ED6" s="316">
        <v>0</v>
      </c>
      <c r="EE6" s="316">
        <v>0</v>
      </c>
      <c r="EF6" s="316">
        <v>0</v>
      </c>
      <c r="EG6" s="316">
        <v>0</v>
      </c>
      <c r="EH6" s="316">
        <v>0</v>
      </c>
      <c r="EI6" s="316">
        <v>0</v>
      </c>
      <c r="EJ6" s="316">
        <v>0</v>
      </c>
      <c r="EK6" s="316">
        <v>0</v>
      </c>
      <c r="EL6" s="318">
        <v>0</v>
      </c>
      <c r="EM6" s="1206">
        <v>0</v>
      </c>
      <c r="EN6" s="1206">
        <v>0</v>
      </c>
      <c r="EO6" s="1206">
        <v>0</v>
      </c>
      <c r="EP6" s="1206">
        <v>0</v>
      </c>
      <c r="EQ6" s="1206">
        <v>0</v>
      </c>
      <c r="ER6" s="1206">
        <v>0</v>
      </c>
      <c r="ES6" s="1206">
        <v>0</v>
      </c>
      <c r="ET6" s="1206">
        <v>0</v>
      </c>
      <c r="EU6" s="1206">
        <v>0</v>
      </c>
      <c r="EV6" s="1206">
        <v>0</v>
      </c>
      <c r="EW6" s="1206">
        <v>0</v>
      </c>
      <c r="EX6" s="1550">
        <v>0</v>
      </c>
      <c r="EY6" s="1206"/>
      <c r="EZ6" s="1206"/>
      <c r="FA6" s="1206"/>
      <c r="FB6" s="1206"/>
      <c r="FC6" s="1206"/>
      <c r="FD6" s="1206"/>
      <c r="FE6" s="1206"/>
      <c r="FF6" s="1206"/>
      <c r="FG6" s="1206"/>
      <c r="FH6" s="1206"/>
      <c r="FI6" s="1206"/>
      <c r="FJ6" s="1550"/>
      <c r="FK6" s="1206"/>
      <c r="FL6" s="1206"/>
      <c r="FM6" s="1206"/>
      <c r="FN6" s="1206"/>
      <c r="FO6" s="1206"/>
      <c r="FP6" s="1206"/>
      <c r="FQ6" s="316">
        <v>0</v>
      </c>
      <c r="FR6" s="316">
        <v>0</v>
      </c>
      <c r="FS6" s="316">
        <v>0</v>
      </c>
      <c r="FT6" s="316">
        <v>0</v>
      </c>
      <c r="FU6" s="316">
        <v>0</v>
      </c>
      <c r="FV6" s="1498">
        <v>0</v>
      </c>
      <c r="FW6" s="316">
        <v>0</v>
      </c>
      <c r="FX6" s="316">
        <v>0</v>
      </c>
      <c r="FY6" s="316">
        <v>0</v>
      </c>
      <c r="FZ6" s="316">
        <v>0</v>
      </c>
      <c r="GA6" s="316">
        <v>0</v>
      </c>
      <c r="GB6" s="316">
        <v>0</v>
      </c>
      <c r="GC6" s="316">
        <v>0</v>
      </c>
      <c r="GD6" s="316">
        <v>0</v>
      </c>
      <c r="GE6" s="316">
        <v>0</v>
      </c>
      <c r="GF6" s="316">
        <v>0</v>
      </c>
      <c r="GG6" s="316">
        <v>0</v>
      </c>
      <c r="GH6" s="316">
        <v>0</v>
      </c>
      <c r="GI6" s="316"/>
      <c r="GJ6" s="316"/>
      <c r="GK6" s="316"/>
      <c r="GL6" s="316"/>
      <c r="GM6" s="316"/>
      <c r="GN6" s="316"/>
      <c r="GO6" s="316"/>
      <c r="GP6" s="316"/>
      <c r="GQ6" s="316"/>
      <c r="GR6" s="316"/>
      <c r="GS6" s="316"/>
      <c r="GT6" s="316"/>
      <c r="GU6" s="316"/>
      <c r="GV6" s="316"/>
      <c r="GW6" s="316"/>
      <c r="GX6" s="316"/>
      <c r="GY6" s="316"/>
      <c r="GZ6" s="316"/>
      <c r="HA6" s="316"/>
      <c r="HB6" s="316"/>
      <c r="HC6" s="316"/>
      <c r="HD6" s="316"/>
      <c r="HE6" s="316"/>
      <c r="HF6" s="316"/>
      <c r="HG6" s="316"/>
      <c r="HH6" s="316"/>
      <c r="HI6" s="316"/>
      <c r="HJ6" s="316"/>
      <c r="HK6" s="316"/>
      <c r="HL6" s="316"/>
      <c r="HM6" s="316"/>
      <c r="HV6" s="302">
        <f t="shared" ref="HV6:HV11" si="0">+SUM(DC6:DH6)</f>
        <v>0</v>
      </c>
      <c r="HW6" s="302">
        <f t="shared" ref="HW6:HW11" si="1">+SUM(DI6:DN6)</f>
        <v>0</v>
      </c>
      <c r="HX6" s="302">
        <f t="shared" ref="HX6:HX24" si="2">+HV6+HW6</f>
        <v>0</v>
      </c>
      <c r="HY6" s="302">
        <f t="shared" ref="HY6:HY11" si="3">SUM(DO6:DT6)</f>
        <v>0</v>
      </c>
      <c r="KH6" s="303"/>
    </row>
    <row r="7" spans="1:302" outlineLevel="1">
      <c r="B7" s="117" t="s">
        <v>361</v>
      </c>
      <c r="D7" s="319" t="s">
        <v>363</v>
      </c>
      <c r="E7" s="316"/>
      <c r="F7" s="316"/>
      <c r="G7" s="316"/>
      <c r="H7" s="316"/>
      <c r="I7" s="316"/>
      <c r="J7" s="316"/>
      <c r="K7" s="316"/>
      <c r="L7" s="316"/>
      <c r="M7" s="316"/>
      <c r="N7" s="316"/>
      <c r="O7" s="316"/>
      <c r="P7" s="316"/>
      <c r="Q7" s="316"/>
      <c r="R7" s="316"/>
      <c r="S7" s="316"/>
      <c r="T7" s="316"/>
      <c r="U7" s="316"/>
      <c r="V7" s="316"/>
      <c r="W7" s="316"/>
      <c r="X7" s="316"/>
      <c r="Y7" s="316"/>
      <c r="Z7" s="316"/>
      <c r="AA7" s="316"/>
      <c r="AB7" s="316"/>
      <c r="AC7" s="316"/>
      <c r="AD7" s="316"/>
      <c r="AE7" s="316"/>
      <c r="AF7" s="316"/>
      <c r="AG7" s="316"/>
      <c r="AH7" s="316"/>
      <c r="AI7" s="316"/>
      <c r="AJ7" s="316"/>
      <c r="AK7" s="316"/>
      <c r="AL7" s="316"/>
      <c r="AM7" s="316"/>
      <c r="AN7" s="316"/>
      <c r="AO7" s="316">
        <v>0</v>
      </c>
      <c r="AP7" s="316">
        <v>0</v>
      </c>
      <c r="AQ7" s="316">
        <v>0</v>
      </c>
      <c r="AR7" s="316">
        <v>0</v>
      </c>
      <c r="AS7" s="316">
        <v>0</v>
      </c>
      <c r="AT7" s="316">
        <v>0</v>
      </c>
      <c r="AU7" s="316">
        <v>0</v>
      </c>
      <c r="AV7" s="316">
        <v>0</v>
      </c>
      <c r="AW7" s="316">
        <v>0</v>
      </c>
      <c r="AX7" s="316">
        <v>0</v>
      </c>
      <c r="AY7" s="316">
        <v>0</v>
      </c>
      <c r="AZ7" s="316">
        <v>0</v>
      </c>
      <c r="BA7" s="316">
        <v>0</v>
      </c>
      <c r="BB7" s="316">
        <v>0</v>
      </c>
      <c r="BC7" s="316">
        <v>0</v>
      </c>
      <c r="BD7" s="316">
        <v>0</v>
      </c>
      <c r="BE7" s="316">
        <v>0</v>
      </c>
      <c r="BF7" s="316">
        <v>0</v>
      </c>
      <c r="BG7" s="316">
        <v>0</v>
      </c>
      <c r="BH7" s="316">
        <v>0</v>
      </c>
      <c r="BI7" s="316">
        <v>0</v>
      </c>
      <c r="BJ7" s="316">
        <v>0</v>
      </c>
      <c r="BK7" s="316">
        <v>0</v>
      </c>
      <c r="BL7" s="316">
        <v>0</v>
      </c>
      <c r="BM7" s="316">
        <v>0</v>
      </c>
      <c r="BN7" s="316">
        <v>0</v>
      </c>
      <c r="BO7" s="316">
        <v>0</v>
      </c>
      <c r="BP7" s="316">
        <v>0</v>
      </c>
      <c r="BQ7" s="316">
        <v>0</v>
      </c>
      <c r="BR7" s="316">
        <v>0</v>
      </c>
      <c r="BS7" s="316">
        <v>0</v>
      </c>
      <c r="BT7" s="316">
        <v>0</v>
      </c>
      <c r="BU7" s="316">
        <v>0</v>
      </c>
      <c r="BV7" s="316">
        <v>0</v>
      </c>
      <c r="BW7" s="316">
        <v>0</v>
      </c>
      <c r="BX7" s="316">
        <v>0</v>
      </c>
      <c r="BY7" s="316">
        <v>0</v>
      </c>
      <c r="BZ7" s="316">
        <v>0</v>
      </c>
      <c r="CA7" s="316">
        <v>0</v>
      </c>
      <c r="CB7" s="316">
        <v>0</v>
      </c>
      <c r="CC7" s="316">
        <v>0</v>
      </c>
      <c r="CD7" s="316">
        <v>0</v>
      </c>
      <c r="CE7" s="317">
        <v>0</v>
      </c>
      <c r="CF7" s="316">
        <v>0</v>
      </c>
      <c r="CG7" s="316">
        <v>0</v>
      </c>
      <c r="CH7" s="316">
        <v>0</v>
      </c>
      <c r="CI7" s="316">
        <v>0</v>
      </c>
      <c r="CJ7" s="316">
        <v>0</v>
      </c>
      <c r="CK7" s="316">
        <v>0</v>
      </c>
      <c r="CL7" s="316">
        <v>0</v>
      </c>
      <c r="CM7" s="316">
        <v>0</v>
      </c>
      <c r="CN7" s="316">
        <v>0</v>
      </c>
      <c r="CO7" s="316">
        <v>0</v>
      </c>
      <c r="CP7" s="318">
        <v>0</v>
      </c>
      <c r="CQ7" s="316">
        <v>0</v>
      </c>
      <c r="CR7" s="316">
        <v>0</v>
      </c>
      <c r="CS7" s="316">
        <v>0</v>
      </c>
      <c r="CT7" s="316">
        <v>0</v>
      </c>
      <c r="CU7" s="316">
        <v>0</v>
      </c>
      <c r="CV7" s="316">
        <v>0</v>
      </c>
      <c r="CW7" s="316">
        <v>0</v>
      </c>
      <c r="CX7" s="316">
        <v>0</v>
      </c>
      <c r="CY7" s="316">
        <v>0</v>
      </c>
      <c r="CZ7" s="316">
        <v>0</v>
      </c>
      <c r="DA7" s="316">
        <v>0</v>
      </c>
      <c r="DB7" s="1498">
        <v>0</v>
      </c>
      <c r="DC7" s="316">
        <v>0</v>
      </c>
      <c r="DD7" s="316">
        <v>0</v>
      </c>
      <c r="DE7" s="316">
        <v>0</v>
      </c>
      <c r="DF7" s="316">
        <v>0</v>
      </c>
      <c r="DG7" s="316">
        <v>0</v>
      </c>
      <c r="DH7" s="316">
        <v>0</v>
      </c>
      <c r="DI7" s="316">
        <v>0</v>
      </c>
      <c r="DJ7" s="316">
        <v>0</v>
      </c>
      <c r="DK7" s="316">
        <v>0</v>
      </c>
      <c r="DL7" s="316">
        <v>0</v>
      </c>
      <c r="DM7" s="316">
        <v>0</v>
      </c>
      <c r="DN7" s="318">
        <v>0</v>
      </c>
      <c r="DO7" s="316">
        <v>0</v>
      </c>
      <c r="DP7" s="316">
        <v>0</v>
      </c>
      <c r="DQ7" s="316">
        <v>0</v>
      </c>
      <c r="DR7" s="316">
        <v>0</v>
      </c>
      <c r="DS7" s="316">
        <v>0</v>
      </c>
      <c r="DT7" s="316">
        <v>0</v>
      </c>
      <c r="DU7" s="316">
        <v>0</v>
      </c>
      <c r="DV7" s="316">
        <v>0</v>
      </c>
      <c r="DW7" s="316">
        <v>0</v>
      </c>
      <c r="DX7" s="316">
        <v>0</v>
      </c>
      <c r="DY7" s="316">
        <v>0</v>
      </c>
      <c r="DZ7" s="318">
        <v>0</v>
      </c>
      <c r="EA7" s="316">
        <v>0</v>
      </c>
      <c r="EB7" s="316">
        <v>0</v>
      </c>
      <c r="EC7" s="316">
        <v>0</v>
      </c>
      <c r="ED7" s="316">
        <v>0</v>
      </c>
      <c r="EE7" s="316">
        <v>0</v>
      </c>
      <c r="EF7" s="316">
        <v>0</v>
      </c>
      <c r="EG7" s="316">
        <v>0</v>
      </c>
      <c r="EH7" s="316">
        <v>0</v>
      </c>
      <c r="EI7" s="316">
        <v>0</v>
      </c>
      <c r="EJ7" s="316">
        <v>0</v>
      </c>
      <c r="EK7" s="316">
        <v>0</v>
      </c>
      <c r="EL7" s="318">
        <v>0</v>
      </c>
      <c r="EM7" s="1206">
        <v>0</v>
      </c>
      <c r="EN7" s="1206">
        <v>0</v>
      </c>
      <c r="EO7" s="1206">
        <v>0</v>
      </c>
      <c r="EP7" s="1206">
        <v>0</v>
      </c>
      <c r="EQ7" s="1206">
        <v>0</v>
      </c>
      <c r="ER7" s="1206">
        <v>0</v>
      </c>
      <c r="ES7" s="1206">
        <v>0</v>
      </c>
      <c r="ET7" s="1206">
        <v>0</v>
      </c>
      <c r="EU7" s="1206">
        <v>0</v>
      </c>
      <c r="EV7" s="1206">
        <v>0</v>
      </c>
      <c r="EW7" s="1206">
        <v>0</v>
      </c>
      <c r="EX7" s="1550">
        <v>0</v>
      </c>
      <c r="EY7" s="1206"/>
      <c r="EZ7" s="1206"/>
      <c r="FA7" s="1206"/>
      <c r="FB7" s="1206"/>
      <c r="FC7" s="1206"/>
      <c r="FD7" s="1206"/>
      <c r="FE7" s="1206"/>
      <c r="FF7" s="1206"/>
      <c r="FG7" s="1206"/>
      <c r="FH7" s="1206"/>
      <c r="FI7" s="1206"/>
      <c r="FJ7" s="1550"/>
      <c r="FK7" s="1206"/>
      <c r="FL7" s="1206"/>
      <c r="FM7" s="1206"/>
      <c r="FN7" s="1206"/>
      <c r="FO7" s="1206"/>
      <c r="FP7" s="1206"/>
      <c r="FQ7" s="316">
        <v>0</v>
      </c>
      <c r="FR7" s="316">
        <v>0</v>
      </c>
      <c r="FS7" s="316">
        <v>0</v>
      </c>
      <c r="FT7" s="316">
        <v>0</v>
      </c>
      <c r="FU7" s="316">
        <v>0</v>
      </c>
      <c r="FV7" s="1498">
        <v>0</v>
      </c>
      <c r="FW7" s="316">
        <v>0</v>
      </c>
      <c r="FX7" s="316">
        <v>0</v>
      </c>
      <c r="FY7" s="316">
        <v>0</v>
      </c>
      <c r="FZ7" s="316">
        <v>0</v>
      </c>
      <c r="GA7" s="316">
        <v>0</v>
      </c>
      <c r="GB7" s="316">
        <v>11.40836094</v>
      </c>
      <c r="GC7" s="316">
        <v>0</v>
      </c>
      <c r="GD7" s="316">
        <v>0</v>
      </c>
      <c r="GE7" s="316">
        <v>0</v>
      </c>
      <c r="GF7" s="316">
        <v>0</v>
      </c>
      <c r="GG7" s="316">
        <v>0</v>
      </c>
      <c r="GH7" s="316">
        <v>0</v>
      </c>
      <c r="GI7" s="316"/>
      <c r="GJ7" s="316"/>
      <c r="GK7" s="316"/>
      <c r="GL7" s="316"/>
      <c r="GM7" s="316"/>
      <c r="GN7" s="316"/>
      <c r="GO7" s="316"/>
      <c r="GP7" s="316"/>
      <c r="GQ7" s="316"/>
      <c r="GR7" s="316"/>
      <c r="GS7" s="316"/>
      <c r="GT7" s="316"/>
      <c r="GU7" s="316"/>
      <c r="GV7" s="316"/>
      <c r="GW7" s="316"/>
      <c r="GX7" s="316"/>
      <c r="GY7" s="316"/>
      <c r="GZ7" s="316"/>
      <c r="HA7" s="316"/>
      <c r="HB7" s="316"/>
      <c r="HC7" s="316"/>
      <c r="HD7" s="316"/>
      <c r="HE7" s="316"/>
      <c r="HF7" s="316"/>
      <c r="HG7" s="316"/>
      <c r="HH7" s="316"/>
      <c r="HI7" s="316"/>
      <c r="HJ7" s="316"/>
      <c r="HK7" s="316"/>
      <c r="HL7" s="316"/>
      <c r="HM7" s="316"/>
      <c r="HV7" s="302">
        <f t="shared" si="0"/>
        <v>0</v>
      </c>
      <c r="HW7" s="302">
        <f t="shared" si="1"/>
        <v>0</v>
      </c>
      <c r="HX7" s="302">
        <f t="shared" si="2"/>
        <v>0</v>
      </c>
      <c r="HY7" s="302">
        <f t="shared" si="3"/>
        <v>0</v>
      </c>
      <c r="KH7" s="303"/>
    </row>
    <row r="8" spans="1:302" outlineLevel="1">
      <c r="B8" s="117" t="s">
        <v>361</v>
      </c>
      <c r="D8" s="319" t="s">
        <v>364</v>
      </c>
      <c r="E8" s="316"/>
      <c r="F8" s="316"/>
      <c r="G8" s="316"/>
      <c r="H8" s="316"/>
      <c r="I8" s="316"/>
      <c r="J8" s="316"/>
      <c r="K8" s="316"/>
      <c r="L8" s="316"/>
      <c r="M8" s="316"/>
      <c r="N8" s="316"/>
      <c r="O8" s="316"/>
      <c r="P8" s="316"/>
      <c r="Q8" s="316"/>
      <c r="R8" s="316"/>
      <c r="S8" s="316"/>
      <c r="T8" s="316"/>
      <c r="U8" s="316"/>
      <c r="V8" s="316"/>
      <c r="W8" s="316"/>
      <c r="X8" s="316"/>
      <c r="Y8" s="316"/>
      <c r="Z8" s="316"/>
      <c r="AA8" s="316"/>
      <c r="AB8" s="316"/>
      <c r="AC8" s="316"/>
      <c r="AD8" s="316"/>
      <c r="AE8" s="316"/>
      <c r="AF8" s="316"/>
      <c r="AG8" s="316"/>
      <c r="AH8" s="316"/>
      <c r="AI8" s="316"/>
      <c r="AJ8" s="316"/>
      <c r="AK8" s="316"/>
      <c r="AL8" s="316"/>
      <c r="AM8" s="316"/>
      <c r="AN8" s="316"/>
      <c r="AO8" s="316">
        <v>0</v>
      </c>
      <c r="AP8" s="316">
        <v>2.9740689636877652E-2</v>
      </c>
      <c r="AQ8" s="316">
        <v>0</v>
      </c>
      <c r="AR8" s="316">
        <v>0</v>
      </c>
      <c r="AS8" s="316">
        <v>8.4186650112917996E-2</v>
      </c>
      <c r="AT8" s="316">
        <v>0</v>
      </c>
      <c r="AU8" s="316">
        <v>0</v>
      </c>
      <c r="AV8" s="316">
        <v>0</v>
      </c>
      <c r="AW8" s="316">
        <v>0.11930038683128376</v>
      </c>
      <c r="AX8" s="316">
        <v>0.52255340548611207</v>
      </c>
      <c r="AY8" s="316">
        <v>1.1813182578226604</v>
      </c>
      <c r="AZ8" s="316">
        <v>0</v>
      </c>
      <c r="BA8" s="316">
        <v>0.56326042561233791</v>
      </c>
      <c r="BB8" s="316">
        <v>2.2680170306444453E-2</v>
      </c>
      <c r="BC8" s="316">
        <v>0.53437029727907581</v>
      </c>
      <c r="BD8" s="316">
        <v>1.7418738991631579E-5</v>
      </c>
      <c r="BE8" s="316">
        <v>0.13447717156930089</v>
      </c>
      <c r="BF8" s="316">
        <v>0</v>
      </c>
      <c r="BG8" s="316">
        <v>0</v>
      </c>
      <c r="BH8" s="316">
        <v>0</v>
      </c>
      <c r="BI8" s="316">
        <v>0</v>
      </c>
      <c r="BJ8" s="316">
        <v>8.9378025273226108E-2</v>
      </c>
      <c r="BK8" s="316">
        <v>2.3522670214040837</v>
      </c>
      <c r="BL8" s="316">
        <v>0</v>
      </c>
      <c r="BM8" s="316">
        <v>2.1673534835526025E-2</v>
      </c>
      <c r="BN8" s="316">
        <v>0</v>
      </c>
      <c r="BO8" s="316">
        <v>0</v>
      </c>
      <c r="BP8" s="316">
        <v>0</v>
      </c>
      <c r="BQ8" s="316">
        <v>0</v>
      </c>
      <c r="BR8" s="316">
        <v>0</v>
      </c>
      <c r="BS8" s="316">
        <v>0</v>
      </c>
      <c r="BT8" s="316">
        <v>4.0670445740891549E-2</v>
      </c>
      <c r="BU8" s="316">
        <v>0</v>
      </c>
      <c r="BV8" s="316">
        <v>0</v>
      </c>
      <c r="BW8" s="316">
        <v>1.3898695798189852E-2</v>
      </c>
      <c r="BX8" s="316">
        <v>1.3947744714096788E-2</v>
      </c>
      <c r="BY8" s="316">
        <v>0</v>
      </c>
      <c r="BZ8" s="316">
        <v>0</v>
      </c>
      <c r="CA8" s="316">
        <v>0</v>
      </c>
      <c r="CB8" s="316">
        <v>0</v>
      </c>
      <c r="CC8" s="316">
        <v>0</v>
      </c>
      <c r="CD8" s="316">
        <v>0</v>
      </c>
      <c r="CE8" s="317">
        <v>0</v>
      </c>
      <c r="CF8" s="316">
        <v>0.56298837999999995</v>
      </c>
      <c r="CG8" s="316">
        <v>8.4175E-5</v>
      </c>
      <c r="CH8" s="316">
        <v>0.93616186599999995</v>
      </c>
      <c r="CI8" s="316">
        <v>0.44800588200000002</v>
      </c>
      <c r="CJ8" s="316">
        <v>1.3764000000000001E-5</v>
      </c>
      <c r="CK8" s="316">
        <v>5.4915919999999999E-6</v>
      </c>
      <c r="CL8" s="316">
        <v>-3.2321920999999997E-5</v>
      </c>
      <c r="CM8" s="316">
        <v>9.0229975828999998E-2</v>
      </c>
      <c r="CN8" s="316">
        <v>3.5773630234999999E-2</v>
      </c>
      <c r="CO8" s="316">
        <v>8.4102854673999999E-2</v>
      </c>
      <c r="CP8" s="318">
        <v>4.2000451626000003E-2</v>
      </c>
      <c r="CQ8" s="316">
        <v>1.4015645E-5</v>
      </c>
      <c r="CR8" s="316">
        <v>4.4606708092E-2</v>
      </c>
      <c r="CS8" s="316">
        <v>0</v>
      </c>
      <c r="CT8" s="316">
        <v>0.25544032971800001</v>
      </c>
      <c r="CU8" s="316">
        <v>0</v>
      </c>
      <c r="CV8" s="316">
        <v>0.96033684744000003</v>
      </c>
      <c r="CW8" s="316">
        <v>0.42288229479400002</v>
      </c>
      <c r="CX8" s="316">
        <v>1.6740283E-5</v>
      </c>
      <c r="CY8" s="316">
        <v>0</v>
      </c>
      <c r="CZ8" s="316">
        <v>4.6766319059E-2</v>
      </c>
      <c r="DA8" s="316">
        <v>0.81102829156499989</v>
      </c>
      <c r="DB8" s="1498">
        <v>2.0299747066739999</v>
      </c>
      <c r="DC8" s="316">
        <v>-0.16310685939899999</v>
      </c>
      <c r="DD8" s="316">
        <v>0</v>
      </c>
      <c r="DE8" s="316">
        <v>0</v>
      </c>
      <c r="DF8" s="316">
        <v>0.35212025449800005</v>
      </c>
      <c r="DG8" s="316">
        <v>0.351907104907</v>
      </c>
      <c r="DH8" s="316">
        <v>0.15880996319499993</v>
      </c>
      <c r="DI8" s="316">
        <v>0.30030992774100002</v>
      </c>
      <c r="DJ8" s="316">
        <v>0.17050575306400001</v>
      </c>
      <c r="DK8" s="316">
        <v>0.78136699936699994</v>
      </c>
      <c r="DL8" s="316">
        <v>0.22722779860299999</v>
      </c>
      <c r="DM8" s="316">
        <v>0.51361210264599999</v>
      </c>
      <c r="DN8" s="318">
        <v>4.3283532000000001E-5</v>
      </c>
      <c r="DO8" s="316">
        <v>3.7189919509999995E-2</v>
      </c>
      <c r="DP8" s="316">
        <v>4.4595464751E-2</v>
      </c>
      <c r="DQ8" s="316">
        <v>4.0865658273000004E-2</v>
      </c>
      <c r="DR8" s="316">
        <v>0.48902457197000004</v>
      </c>
      <c r="DS8" s="316">
        <v>0.57438125517700001</v>
      </c>
      <c r="DT8" s="316">
        <v>0.23245738453500001</v>
      </c>
      <c r="DU8" s="316">
        <v>8.0539746981999991E-2</v>
      </c>
      <c r="DV8" s="316">
        <v>-2.7181183000000001E-2</v>
      </c>
      <c r="DW8" s="316">
        <v>0.79337277396500006</v>
      </c>
      <c r="DX8" s="316">
        <v>0</v>
      </c>
      <c r="DY8" s="316">
        <v>5.8207344043999999E-2</v>
      </c>
      <c r="DZ8" s="318">
        <v>0.24950593558299999</v>
      </c>
      <c r="EA8" s="316">
        <v>1.0196884680539999</v>
      </c>
      <c r="EB8" s="316">
        <v>0</v>
      </c>
      <c r="EC8" s="316">
        <v>0</v>
      </c>
      <c r="ED8" s="316">
        <v>0</v>
      </c>
      <c r="EE8" s="316">
        <v>6.0070203394000002E-2</v>
      </c>
      <c r="EF8" s="316">
        <v>0.116146482072</v>
      </c>
      <c r="EG8" s="316">
        <v>0.68423161258700005</v>
      </c>
      <c r="EH8" s="316">
        <v>0.31273327011900004</v>
      </c>
      <c r="EI8" s="316">
        <v>0.40093740304500003</v>
      </c>
      <c r="EJ8" s="316">
        <v>1.8004320570510002</v>
      </c>
      <c r="EK8" s="316">
        <v>0.49099953851400002</v>
      </c>
      <c r="EL8" s="318">
        <v>0.63862996356500001</v>
      </c>
      <c r="EM8" s="1206">
        <v>0.72825133412499998</v>
      </c>
      <c r="EN8" s="1206">
        <v>0</v>
      </c>
      <c r="EO8" s="1206">
        <v>0.110825189947</v>
      </c>
      <c r="EP8" s="1206">
        <v>0.41299931610000001</v>
      </c>
      <c r="EQ8" s="1206">
        <v>0.92203036582200004</v>
      </c>
      <c r="ER8" s="1206">
        <v>1.084816097976</v>
      </c>
      <c r="ES8" s="1206">
        <v>0</v>
      </c>
      <c r="ET8" s="1206">
        <v>1.1552709666429999</v>
      </c>
      <c r="EU8" s="1206">
        <v>0.62394524085500003</v>
      </c>
      <c r="EV8" s="1206">
        <v>2.6132518482999998E-2</v>
      </c>
      <c r="EW8" s="1206">
        <v>2.4087729637719999</v>
      </c>
      <c r="EX8" s="1550">
        <v>3.8773516917319997</v>
      </c>
      <c r="EY8" s="1206"/>
      <c r="EZ8" s="1206"/>
      <c r="FA8" s="1206"/>
      <c r="FB8" s="1206"/>
      <c r="FC8" s="1206"/>
      <c r="FD8" s="1206"/>
      <c r="FE8" s="1206"/>
      <c r="FF8" s="1206"/>
      <c r="FG8" s="1206"/>
      <c r="FH8" s="1206"/>
      <c r="FI8" s="1206"/>
      <c r="FJ8" s="1550"/>
      <c r="FK8" s="1206">
        <v>0.36532984335300001</v>
      </c>
      <c r="FL8" s="1206" t="s">
        <v>821</v>
      </c>
      <c r="FM8" s="1206" t="s">
        <v>821</v>
      </c>
      <c r="FN8" s="1206">
        <v>5.8083137829000001E-2</v>
      </c>
      <c r="FO8" s="1206">
        <v>0.47244207650499997</v>
      </c>
      <c r="FP8" s="1206">
        <v>0.19043613252399999</v>
      </c>
      <c r="FQ8" s="316">
        <v>1.2943424177379999</v>
      </c>
      <c r="FR8" s="316">
        <v>0.12892857277399999</v>
      </c>
      <c r="FS8" s="316">
        <v>0</v>
      </c>
      <c r="FT8" s="316">
        <v>0</v>
      </c>
      <c r="FU8" s="316">
        <v>0</v>
      </c>
      <c r="FV8" s="1498">
        <v>0</v>
      </c>
      <c r="FW8" s="316">
        <v>0</v>
      </c>
      <c r="FX8" s="316">
        <v>0</v>
      </c>
      <c r="FY8" s="316">
        <v>0.41036296687400003</v>
      </c>
      <c r="FZ8" s="316">
        <v>0</v>
      </c>
      <c r="GA8" s="316">
        <v>0</v>
      </c>
      <c r="GB8" s="316">
        <v>0</v>
      </c>
      <c r="GC8" s="316">
        <v>0</v>
      </c>
      <c r="GD8" s="316">
        <v>0</v>
      </c>
      <c r="GE8" s="316">
        <v>0</v>
      </c>
      <c r="GF8" s="316">
        <v>0</v>
      </c>
      <c r="GG8" s="316">
        <v>0</v>
      </c>
      <c r="GH8" s="316">
        <v>0</v>
      </c>
      <c r="GI8" s="316"/>
      <c r="GJ8" s="316"/>
      <c r="GK8" s="316"/>
      <c r="GL8" s="316"/>
      <c r="GM8" s="316"/>
      <c r="GN8" s="316"/>
      <c r="GO8" s="316"/>
      <c r="GP8" s="316"/>
      <c r="GQ8" s="316"/>
      <c r="GR8" s="316"/>
      <c r="GS8" s="316"/>
      <c r="GT8" s="316"/>
      <c r="GU8" s="316"/>
      <c r="GV8" s="316"/>
      <c r="GW8" s="316"/>
      <c r="GX8" s="316"/>
      <c r="GY8" s="316"/>
      <c r="GZ8" s="316"/>
      <c r="HA8" s="316"/>
      <c r="HB8" s="316"/>
      <c r="HC8" s="316"/>
      <c r="HD8" s="316"/>
      <c r="HE8" s="316"/>
      <c r="HF8" s="316"/>
      <c r="HG8" s="316"/>
      <c r="HH8" s="316"/>
      <c r="HI8" s="316"/>
      <c r="HJ8" s="316"/>
      <c r="HK8" s="316"/>
      <c r="HL8" s="316"/>
      <c r="HM8" s="316"/>
      <c r="HV8" s="302">
        <f t="shared" si="0"/>
        <v>0.69973046320099996</v>
      </c>
      <c r="HW8" s="302">
        <f t="shared" si="1"/>
        <v>1.993065864953</v>
      </c>
      <c r="HX8" s="302">
        <f t="shared" si="2"/>
        <v>2.6927963281539999</v>
      </c>
      <c r="HY8" s="302">
        <f t="shared" si="3"/>
        <v>1.4185142542160001</v>
      </c>
      <c r="KH8" s="303"/>
    </row>
    <row r="9" spans="1:302" outlineLevel="1">
      <c r="B9" s="117" t="s">
        <v>361</v>
      </c>
      <c r="D9" s="319" t="s">
        <v>365</v>
      </c>
      <c r="E9" s="316"/>
      <c r="F9" s="316"/>
      <c r="G9" s="316"/>
      <c r="H9" s="316"/>
      <c r="I9" s="316"/>
      <c r="J9" s="316"/>
      <c r="K9" s="316"/>
      <c r="L9" s="316"/>
      <c r="M9" s="316"/>
      <c r="N9" s="316"/>
      <c r="O9" s="316"/>
      <c r="P9" s="316"/>
      <c r="Q9" s="316"/>
      <c r="R9" s="316"/>
      <c r="S9" s="316"/>
      <c r="T9" s="316"/>
      <c r="U9" s="316"/>
      <c r="V9" s="316"/>
      <c r="W9" s="316"/>
      <c r="X9" s="316"/>
      <c r="Y9" s="316"/>
      <c r="Z9" s="316"/>
      <c r="AA9" s="316"/>
      <c r="AB9" s="316"/>
      <c r="AC9" s="316"/>
      <c r="AD9" s="316"/>
      <c r="AE9" s="316"/>
      <c r="AF9" s="316"/>
      <c r="AG9" s="316"/>
      <c r="AH9" s="316"/>
      <c r="AI9" s="316"/>
      <c r="AJ9" s="316"/>
      <c r="AK9" s="316"/>
      <c r="AL9" s="316"/>
      <c r="AM9" s="316"/>
      <c r="AN9" s="316"/>
      <c r="AO9" s="316">
        <v>0</v>
      </c>
      <c r="AP9" s="316">
        <v>0</v>
      </c>
      <c r="AQ9" s="316">
        <v>0</v>
      </c>
      <c r="AR9" s="316">
        <v>0</v>
      </c>
      <c r="AS9" s="316">
        <v>0</v>
      </c>
      <c r="AT9" s="316">
        <v>0</v>
      </c>
      <c r="AU9" s="316">
        <v>0</v>
      </c>
      <c r="AV9" s="316">
        <v>0</v>
      </c>
      <c r="AW9" s="316">
        <v>0</v>
      </c>
      <c r="AX9" s="316">
        <v>0</v>
      </c>
      <c r="AY9" s="316">
        <v>0</v>
      </c>
      <c r="AZ9" s="316">
        <v>0</v>
      </c>
      <c r="BA9" s="316">
        <v>0</v>
      </c>
      <c r="BB9" s="316">
        <v>0</v>
      </c>
      <c r="BC9" s="316">
        <v>0</v>
      </c>
      <c r="BD9" s="316">
        <v>0</v>
      </c>
      <c r="BE9" s="316">
        <v>0</v>
      </c>
      <c r="BF9" s="316">
        <v>0</v>
      </c>
      <c r="BG9" s="316">
        <v>0</v>
      </c>
      <c r="BH9" s="316">
        <v>0</v>
      </c>
      <c r="BI9" s="316">
        <v>0</v>
      </c>
      <c r="BJ9" s="316">
        <v>0</v>
      </c>
      <c r="BK9" s="316">
        <v>0</v>
      </c>
      <c r="BL9" s="316">
        <v>0</v>
      </c>
      <c r="BM9" s="316">
        <v>0</v>
      </c>
      <c r="BN9" s="316">
        <v>0</v>
      </c>
      <c r="BO9" s="316">
        <v>0</v>
      </c>
      <c r="BP9" s="316">
        <v>0</v>
      </c>
      <c r="BQ9" s="316">
        <v>0</v>
      </c>
      <c r="BR9" s="316">
        <v>0</v>
      </c>
      <c r="BS9" s="316">
        <v>0</v>
      </c>
      <c r="BT9" s="316">
        <v>0</v>
      </c>
      <c r="BU9" s="316">
        <v>0</v>
      </c>
      <c r="BV9" s="316">
        <v>0</v>
      </c>
      <c r="BW9" s="316">
        <v>0</v>
      </c>
      <c r="BX9" s="316">
        <v>0</v>
      </c>
      <c r="BY9" s="316">
        <v>0</v>
      </c>
      <c r="BZ9" s="316">
        <v>0</v>
      </c>
      <c r="CA9" s="316">
        <v>0</v>
      </c>
      <c r="CB9" s="316">
        <v>0</v>
      </c>
      <c r="CC9" s="316">
        <v>0</v>
      </c>
      <c r="CD9" s="316">
        <v>0</v>
      </c>
      <c r="CE9" s="317">
        <v>0</v>
      </c>
      <c r="CF9" s="316">
        <v>0</v>
      </c>
      <c r="CG9" s="316">
        <v>0</v>
      </c>
      <c r="CH9" s="316">
        <v>0</v>
      </c>
      <c r="CI9" s="316">
        <v>0</v>
      </c>
      <c r="CJ9" s="316">
        <v>0</v>
      </c>
      <c r="CK9" s="316">
        <v>0</v>
      </c>
      <c r="CL9" s="316">
        <v>0</v>
      </c>
      <c r="CM9" s="316">
        <v>0</v>
      </c>
      <c r="CN9" s="316">
        <v>0</v>
      </c>
      <c r="CO9" s="316">
        <v>0</v>
      </c>
      <c r="CP9" s="318">
        <v>0</v>
      </c>
      <c r="CQ9" s="316">
        <v>0</v>
      </c>
      <c r="CR9" s="316">
        <v>0</v>
      </c>
      <c r="CS9" s="316">
        <v>0</v>
      </c>
      <c r="CT9" s="316">
        <v>0</v>
      </c>
      <c r="CU9" s="316">
        <v>0</v>
      </c>
      <c r="CV9" s="316">
        <v>0</v>
      </c>
      <c r="CW9" s="316">
        <v>0</v>
      </c>
      <c r="CX9" s="316">
        <v>0</v>
      </c>
      <c r="CY9" s="316">
        <v>0</v>
      </c>
      <c r="CZ9" s="316">
        <v>0</v>
      </c>
      <c r="DA9" s="316">
        <v>0</v>
      </c>
      <c r="DB9" s="1498">
        <v>0</v>
      </c>
      <c r="DC9" s="316">
        <v>0</v>
      </c>
      <c r="DD9" s="316">
        <v>0</v>
      </c>
      <c r="DE9" s="316">
        <v>0</v>
      </c>
      <c r="DF9" s="316">
        <v>0</v>
      </c>
      <c r="DG9" s="316">
        <v>0</v>
      </c>
      <c r="DH9" s="316">
        <v>0</v>
      </c>
      <c r="DI9" s="316">
        <v>0</v>
      </c>
      <c r="DJ9" s="316">
        <v>0</v>
      </c>
      <c r="DK9" s="316">
        <v>0</v>
      </c>
      <c r="DL9" s="316">
        <v>0</v>
      </c>
      <c r="DM9" s="316">
        <v>0</v>
      </c>
      <c r="DN9" s="318">
        <v>0</v>
      </c>
      <c r="DO9" s="316">
        <v>0</v>
      </c>
      <c r="DP9" s="316">
        <v>0</v>
      </c>
      <c r="DQ9" s="316">
        <v>0</v>
      </c>
      <c r="DR9" s="316">
        <v>0</v>
      </c>
      <c r="DS9" s="316">
        <v>0</v>
      </c>
      <c r="DT9" s="316">
        <v>0</v>
      </c>
      <c r="DU9" s="316">
        <v>0</v>
      </c>
      <c r="DV9" s="316">
        <v>0</v>
      </c>
      <c r="DW9" s="316">
        <v>0</v>
      </c>
      <c r="DX9" s="316">
        <v>0</v>
      </c>
      <c r="DY9" s="316">
        <v>0</v>
      </c>
      <c r="DZ9" s="318">
        <v>0</v>
      </c>
      <c r="EA9" s="316">
        <v>0</v>
      </c>
      <c r="EB9" s="316">
        <v>0</v>
      </c>
      <c r="EC9" s="316">
        <v>0</v>
      </c>
      <c r="ED9" s="316">
        <v>0</v>
      </c>
      <c r="EE9" s="316">
        <v>0</v>
      </c>
      <c r="EF9" s="316">
        <v>0</v>
      </c>
      <c r="EG9" s="316">
        <v>0</v>
      </c>
      <c r="EH9" s="316">
        <v>0</v>
      </c>
      <c r="EI9" s="316">
        <v>0</v>
      </c>
      <c r="EJ9" s="316">
        <v>0</v>
      </c>
      <c r="EK9" s="316">
        <v>0</v>
      </c>
      <c r="EL9" s="318">
        <v>0</v>
      </c>
      <c r="EM9" s="1206">
        <v>0</v>
      </c>
      <c r="EN9" s="1206">
        <v>0</v>
      </c>
      <c r="EO9" s="1206">
        <v>0</v>
      </c>
      <c r="EP9" s="1206">
        <v>0</v>
      </c>
      <c r="EQ9" s="1206">
        <v>0</v>
      </c>
      <c r="ER9" s="1206">
        <v>0</v>
      </c>
      <c r="ES9" s="1206">
        <v>0</v>
      </c>
      <c r="ET9" s="1206">
        <v>0</v>
      </c>
      <c r="EU9" s="1206">
        <v>0</v>
      </c>
      <c r="EV9" s="1206">
        <v>0</v>
      </c>
      <c r="EW9" s="1206">
        <v>0</v>
      </c>
      <c r="EX9" s="1550">
        <v>0</v>
      </c>
      <c r="EY9" s="1206"/>
      <c r="EZ9" s="1206"/>
      <c r="FA9" s="1206"/>
      <c r="FB9" s="1206"/>
      <c r="FC9" s="1206"/>
      <c r="FD9" s="1206"/>
      <c r="FE9" s="1206"/>
      <c r="FF9" s="1206"/>
      <c r="FG9" s="1206"/>
      <c r="FH9" s="1206"/>
      <c r="FI9" s="1206"/>
      <c r="FJ9" s="1550"/>
      <c r="FK9" s="1206">
        <v>0</v>
      </c>
      <c r="FL9" s="1206">
        <v>0</v>
      </c>
      <c r="FM9" s="1206">
        <v>0</v>
      </c>
      <c r="FN9" s="1206">
        <v>0</v>
      </c>
      <c r="FO9" s="1206">
        <v>0</v>
      </c>
      <c r="FP9" s="1206">
        <v>0</v>
      </c>
      <c r="FQ9" s="316">
        <v>0</v>
      </c>
      <c r="FR9" s="316">
        <v>0</v>
      </c>
      <c r="FS9" s="316">
        <v>0</v>
      </c>
      <c r="FT9" s="316">
        <v>0</v>
      </c>
      <c r="FU9" s="316">
        <v>0</v>
      </c>
      <c r="FV9" s="1498">
        <v>0</v>
      </c>
      <c r="FW9" s="316">
        <v>0</v>
      </c>
      <c r="FX9" s="316">
        <v>0</v>
      </c>
      <c r="FY9" s="316">
        <v>0</v>
      </c>
      <c r="FZ9" s="316">
        <v>0</v>
      </c>
      <c r="GA9" s="316">
        <v>0</v>
      </c>
      <c r="GB9" s="316">
        <v>0</v>
      </c>
      <c r="GC9" s="316">
        <v>0</v>
      </c>
      <c r="GD9" s="316">
        <v>0</v>
      </c>
      <c r="GE9" s="316">
        <v>0</v>
      </c>
      <c r="GF9" s="316">
        <v>0</v>
      </c>
      <c r="GG9" s="316">
        <v>0</v>
      </c>
      <c r="GH9" s="316">
        <v>0</v>
      </c>
      <c r="GI9" s="316"/>
      <c r="GJ9" s="316"/>
      <c r="GK9" s="316"/>
      <c r="GL9" s="316"/>
      <c r="GM9" s="316"/>
      <c r="GN9" s="316"/>
      <c r="GO9" s="316"/>
      <c r="GP9" s="316"/>
      <c r="GQ9" s="316"/>
      <c r="GR9" s="316"/>
      <c r="GS9" s="316"/>
      <c r="GT9" s="316"/>
      <c r="GU9" s="316"/>
      <c r="GV9" s="316"/>
      <c r="GW9" s="316"/>
      <c r="GX9" s="316"/>
      <c r="GY9" s="316"/>
      <c r="GZ9" s="316"/>
      <c r="HA9" s="316"/>
      <c r="HB9" s="316"/>
      <c r="HC9" s="316"/>
      <c r="HD9" s="316"/>
      <c r="HE9" s="316"/>
      <c r="HF9" s="316"/>
      <c r="HG9" s="316"/>
      <c r="HH9" s="316"/>
      <c r="HI9" s="316"/>
      <c r="HJ9" s="316"/>
      <c r="HK9" s="316"/>
      <c r="HL9" s="316"/>
      <c r="HM9" s="316"/>
      <c r="HV9" s="302">
        <f t="shared" si="0"/>
        <v>0</v>
      </c>
      <c r="HW9" s="302">
        <f t="shared" si="1"/>
        <v>0</v>
      </c>
      <c r="HX9" s="302">
        <f t="shared" si="2"/>
        <v>0</v>
      </c>
      <c r="HY9" s="302">
        <f t="shared" si="3"/>
        <v>0</v>
      </c>
      <c r="KH9" s="303"/>
    </row>
    <row r="10" spans="1:302" outlineLevel="1">
      <c r="B10" s="117" t="s">
        <v>361</v>
      </c>
      <c r="D10" s="319" t="s">
        <v>366</v>
      </c>
      <c r="E10" s="316"/>
      <c r="F10" s="316"/>
      <c r="G10" s="316"/>
      <c r="H10" s="316"/>
      <c r="I10" s="316"/>
      <c r="J10" s="316"/>
      <c r="K10" s="316"/>
      <c r="L10" s="316"/>
      <c r="M10" s="316"/>
      <c r="N10" s="316"/>
      <c r="O10" s="316"/>
      <c r="P10" s="316"/>
      <c r="Q10" s="316"/>
      <c r="R10" s="316"/>
      <c r="S10" s="316"/>
      <c r="T10" s="316"/>
      <c r="U10" s="316"/>
      <c r="V10" s="316"/>
      <c r="W10" s="316"/>
      <c r="X10" s="316"/>
      <c r="Y10" s="316"/>
      <c r="Z10" s="316"/>
      <c r="AA10" s="316"/>
      <c r="AB10" s="316"/>
      <c r="AC10" s="316"/>
      <c r="AD10" s="316"/>
      <c r="AE10" s="316"/>
      <c r="AF10" s="316"/>
      <c r="AG10" s="316"/>
      <c r="AH10" s="316"/>
      <c r="AI10" s="316"/>
      <c r="AJ10" s="316"/>
      <c r="AK10" s="316"/>
      <c r="AL10" s="316"/>
      <c r="AM10" s="316"/>
      <c r="AN10" s="316"/>
      <c r="AO10" s="316">
        <v>0</v>
      </c>
      <c r="AP10" s="316">
        <v>0</v>
      </c>
      <c r="AQ10" s="316">
        <v>0</v>
      </c>
      <c r="AR10" s="316">
        <v>2.2226683290031577</v>
      </c>
      <c r="AS10" s="316">
        <v>0</v>
      </c>
      <c r="AT10" s="316">
        <v>0</v>
      </c>
      <c r="AU10" s="316">
        <v>0</v>
      </c>
      <c r="AV10" s="316">
        <v>0</v>
      </c>
      <c r="AW10" s="316">
        <v>0</v>
      </c>
      <c r="AX10" s="316">
        <v>0</v>
      </c>
      <c r="AY10" s="316">
        <v>0</v>
      </c>
      <c r="AZ10" s="316">
        <v>0</v>
      </c>
      <c r="BA10" s="316">
        <v>1.2309653035512178</v>
      </c>
      <c r="BB10" s="316">
        <v>0</v>
      </c>
      <c r="BC10" s="316">
        <v>0.98233865193655889</v>
      </c>
      <c r="BD10" s="316">
        <v>0</v>
      </c>
      <c r="BE10" s="316">
        <v>1.174021434962645</v>
      </c>
      <c r="BF10" s="316">
        <v>0</v>
      </c>
      <c r="BG10" s="316">
        <v>0</v>
      </c>
      <c r="BH10" s="316">
        <v>0</v>
      </c>
      <c r="BI10" s="316">
        <v>0</v>
      </c>
      <c r="BJ10" s="316">
        <v>0.33261078512877973</v>
      </c>
      <c r="BK10" s="316">
        <v>0.48125896321101042</v>
      </c>
      <c r="BL10" s="316">
        <v>0</v>
      </c>
      <c r="BM10" s="316">
        <v>0</v>
      </c>
      <c r="BN10" s="316">
        <v>0.44777277293120821</v>
      </c>
      <c r="BO10" s="316">
        <v>0</v>
      </c>
      <c r="BP10" s="316">
        <v>0</v>
      </c>
      <c r="BQ10" s="316">
        <v>0.93852163273747502</v>
      </c>
      <c r="BR10" s="316">
        <v>0</v>
      </c>
      <c r="BS10" s="316">
        <v>0</v>
      </c>
      <c r="BT10" s="316">
        <v>0</v>
      </c>
      <c r="BU10" s="316">
        <v>0</v>
      </c>
      <c r="BV10" s="316">
        <v>0</v>
      </c>
      <c r="BW10" s="316">
        <v>0</v>
      </c>
      <c r="BX10" s="316">
        <v>0</v>
      </c>
      <c r="BY10" s="316">
        <v>0</v>
      </c>
      <c r="BZ10" s="316">
        <v>0</v>
      </c>
      <c r="CA10" s="316">
        <v>0.977959668</v>
      </c>
      <c r="CB10" s="316">
        <v>0</v>
      </c>
      <c r="CC10" s="316">
        <v>0</v>
      </c>
      <c r="CD10" s="316">
        <v>14.594761006000001</v>
      </c>
      <c r="CE10" s="317">
        <v>0</v>
      </c>
      <c r="CF10" s="316">
        <v>0</v>
      </c>
      <c r="CG10" s="316">
        <v>0</v>
      </c>
      <c r="CH10" s="316">
        <v>0</v>
      </c>
      <c r="CI10" s="316">
        <v>0</v>
      </c>
      <c r="CJ10" s="316">
        <v>0</v>
      </c>
      <c r="CK10" s="316">
        <v>0</v>
      </c>
      <c r="CL10" s="316">
        <v>0</v>
      </c>
      <c r="CM10" s="316">
        <v>0</v>
      </c>
      <c r="CN10" s="316">
        <v>0</v>
      </c>
      <c r="CO10" s="316">
        <v>1.280768916105</v>
      </c>
      <c r="CP10" s="318">
        <v>3.2802914484340002</v>
      </c>
      <c r="CQ10" s="316">
        <v>0</v>
      </c>
      <c r="CR10" s="316">
        <v>0</v>
      </c>
      <c r="CS10" s="316">
        <v>3.3668679032769999</v>
      </c>
      <c r="CT10" s="316">
        <v>4.08817388799</v>
      </c>
      <c r="CU10" s="316">
        <v>8.5026660188979992</v>
      </c>
      <c r="CV10" s="316">
        <v>0</v>
      </c>
      <c r="CW10" s="316">
        <v>1.9127015256429998</v>
      </c>
      <c r="CX10" s="316">
        <v>0</v>
      </c>
      <c r="CY10" s="316">
        <v>2.4656669982760002</v>
      </c>
      <c r="CZ10" s="316">
        <v>0</v>
      </c>
      <c r="DA10" s="316">
        <v>0</v>
      </c>
      <c r="DB10" s="1498">
        <v>5.1808096117689999</v>
      </c>
      <c r="DC10" s="316">
        <v>0</v>
      </c>
      <c r="DD10" s="316">
        <v>1.8171333582579998</v>
      </c>
      <c r="DE10" s="316">
        <v>1.463987930631</v>
      </c>
      <c r="DF10" s="316">
        <v>0</v>
      </c>
      <c r="DG10" s="316">
        <v>0</v>
      </c>
      <c r="DH10" s="316">
        <v>13.921256179095</v>
      </c>
      <c r="DI10" s="316">
        <v>2.0732012026020001</v>
      </c>
      <c r="DJ10" s="316">
        <v>0</v>
      </c>
      <c r="DK10" s="316">
        <v>0</v>
      </c>
      <c r="DL10" s="316">
        <v>0</v>
      </c>
      <c r="DM10" s="316">
        <v>0</v>
      </c>
      <c r="DN10" s="318">
        <v>0</v>
      </c>
      <c r="DO10" s="316">
        <v>0</v>
      </c>
      <c r="DP10" s="316">
        <v>3.6336942879860001</v>
      </c>
      <c r="DQ10" s="316">
        <v>0</v>
      </c>
      <c r="DR10" s="316">
        <v>0</v>
      </c>
      <c r="DS10" s="316">
        <v>0</v>
      </c>
      <c r="DT10" s="316">
        <v>12.528171557055</v>
      </c>
      <c r="DU10" s="316">
        <v>0</v>
      </c>
      <c r="DV10" s="316">
        <v>0</v>
      </c>
      <c r="DW10" s="316">
        <v>0</v>
      </c>
      <c r="DX10" s="316">
        <v>0</v>
      </c>
      <c r="DY10" s="316">
        <v>0</v>
      </c>
      <c r="DZ10" s="318">
        <v>4.7183107182110007</v>
      </c>
      <c r="EA10" s="316">
        <v>0</v>
      </c>
      <c r="EB10" s="316">
        <v>9.4682369263080002</v>
      </c>
      <c r="EC10" s="316">
        <v>0</v>
      </c>
      <c r="ED10" s="316">
        <v>3.4071670850569999</v>
      </c>
      <c r="EE10" s="316">
        <v>0</v>
      </c>
      <c r="EF10" s="316">
        <v>1.8340214268269999</v>
      </c>
      <c r="EG10" s="316">
        <v>0</v>
      </c>
      <c r="EH10" s="316">
        <v>0</v>
      </c>
      <c r="EI10" s="316">
        <v>0</v>
      </c>
      <c r="EJ10" s="316">
        <v>0</v>
      </c>
      <c r="EK10" s="316">
        <v>3.7690874845110001</v>
      </c>
      <c r="EL10" s="318">
        <v>0</v>
      </c>
      <c r="EM10" s="1206">
        <v>0</v>
      </c>
      <c r="EN10" s="1206">
        <v>0</v>
      </c>
      <c r="EO10" s="1206">
        <v>0</v>
      </c>
      <c r="EP10" s="1206">
        <v>0</v>
      </c>
      <c r="EQ10" s="1206">
        <v>0</v>
      </c>
      <c r="ER10" s="1206">
        <v>5.5544946251330005</v>
      </c>
      <c r="ES10" s="1206">
        <v>0</v>
      </c>
      <c r="ET10" s="1206">
        <v>0</v>
      </c>
      <c r="EU10" s="1206">
        <v>0</v>
      </c>
      <c r="EV10" s="1206">
        <v>0</v>
      </c>
      <c r="EW10" s="1206">
        <v>0</v>
      </c>
      <c r="EX10" s="1550">
        <v>0</v>
      </c>
      <c r="EY10" s="1206"/>
      <c r="EZ10" s="1206"/>
      <c r="FA10" s="1206"/>
      <c r="FB10" s="1206"/>
      <c r="FC10" s="1206"/>
      <c r="FD10" s="1206"/>
      <c r="FE10" s="1206"/>
      <c r="FF10" s="1206"/>
      <c r="FG10" s="1206"/>
      <c r="FH10" s="1206"/>
      <c r="FI10" s="1206"/>
      <c r="FJ10" s="1550"/>
      <c r="FK10" s="1206">
        <v>12.915484955155002</v>
      </c>
      <c r="FL10" s="1206">
        <v>14.756165214121001</v>
      </c>
      <c r="FM10" s="1206">
        <v>3.0260920412250001</v>
      </c>
      <c r="FN10" s="1206" t="s">
        <v>821</v>
      </c>
      <c r="FO10" s="1206">
        <v>8.0285703957619994</v>
      </c>
      <c r="FP10" s="1206">
        <v>1.9463766624579999</v>
      </c>
      <c r="FQ10" s="316">
        <v>0</v>
      </c>
      <c r="FR10" s="316">
        <v>1.9587643958610002</v>
      </c>
      <c r="FS10" s="316">
        <v>0</v>
      </c>
      <c r="FT10" s="316">
        <v>6.5069289194560005</v>
      </c>
      <c r="FU10" s="316">
        <v>0</v>
      </c>
      <c r="FV10" s="1498">
        <v>7.2876695831400005</v>
      </c>
      <c r="FW10" s="316">
        <v>13.288919354778001</v>
      </c>
      <c r="FX10" s="316">
        <v>0</v>
      </c>
      <c r="FY10" s="316">
        <v>0</v>
      </c>
      <c r="FZ10" s="316">
        <v>46.571288186700997</v>
      </c>
      <c r="GA10" s="316">
        <v>2.6740687166220001</v>
      </c>
      <c r="GB10" s="316">
        <v>0</v>
      </c>
      <c r="GC10" s="316">
        <v>0</v>
      </c>
      <c r="GD10" s="316">
        <v>10.444376883524999</v>
      </c>
      <c r="GE10" s="316">
        <v>0</v>
      </c>
      <c r="GF10" s="316">
        <v>0</v>
      </c>
      <c r="GG10" s="316">
        <v>4.9606885363459998</v>
      </c>
      <c r="GH10" s="316">
        <v>4.0121737968830002</v>
      </c>
      <c r="GI10" s="316"/>
      <c r="GJ10" s="316"/>
      <c r="GK10" s="316"/>
      <c r="GL10" s="316"/>
      <c r="GM10" s="316"/>
      <c r="GN10" s="316"/>
      <c r="GO10" s="316"/>
      <c r="GP10" s="316"/>
      <c r="GQ10" s="316"/>
      <c r="GR10" s="316"/>
      <c r="GS10" s="316"/>
      <c r="GT10" s="316"/>
      <c r="GU10" s="316"/>
      <c r="GV10" s="316"/>
      <c r="GW10" s="316"/>
      <c r="GX10" s="316"/>
      <c r="GY10" s="316"/>
      <c r="GZ10" s="316"/>
      <c r="HA10" s="316"/>
      <c r="HB10" s="316"/>
      <c r="HC10" s="316"/>
      <c r="HD10" s="316"/>
      <c r="HE10" s="316"/>
      <c r="HF10" s="316"/>
      <c r="HG10" s="316"/>
      <c r="HH10" s="316"/>
      <c r="HI10" s="316"/>
      <c r="HJ10" s="316"/>
      <c r="HK10" s="316"/>
      <c r="HL10" s="316"/>
      <c r="HM10" s="316"/>
      <c r="HV10" s="302">
        <f t="shared" si="0"/>
        <v>17.202377467984</v>
      </c>
      <c r="HW10" s="302">
        <f t="shared" si="1"/>
        <v>2.0732012026020001</v>
      </c>
      <c r="HX10" s="302">
        <f t="shared" si="2"/>
        <v>19.275578670586</v>
      </c>
      <c r="HY10" s="302">
        <f t="shared" si="3"/>
        <v>16.161865845041</v>
      </c>
      <c r="KH10" s="303"/>
    </row>
    <row r="11" spans="1:302" outlineLevel="1">
      <c r="B11" s="117" t="s">
        <v>361</v>
      </c>
      <c r="D11" s="319" t="s">
        <v>367</v>
      </c>
      <c r="E11" s="316"/>
      <c r="F11" s="316"/>
      <c r="G11" s="316"/>
      <c r="H11" s="316"/>
      <c r="I11" s="316"/>
      <c r="J11" s="316"/>
      <c r="K11" s="316"/>
      <c r="L11" s="316"/>
      <c r="M11" s="316"/>
      <c r="N11" s="316"/>
      <c r="O11" s="316"/>
      <c r="P11" s="316"/>
      <c r="Q11" s="316"/>
      <c r="R11" s="316"/>
      <c r="S11" s="316"/>
      <c r="T11" s="316"/>
      <c r="U11" s="316"/>
      <c r="V11" s="316"/>
      <c r="W11" s="316"/>
      <c r="X11" s="316"/>
      <c r="Y11" s="316"/>
      <c r="Z11" s="316"/>
      <c r="AA11" s="316"/>
      <c r="AB11" s="316"/>
      <c r="AC11" s="316"/>
      <c r="AD11" s="316"/>
      <c r="AE11" s="316"/>
      <c r="AF11" s="316"/>
      <c r="AG11" s="316"/>
      <c r="AH11" s="316"/>
      <c r="AI11" s="316"/>
      <c r="AJ11" s="316"/>
      <c r="AK11" s="316"/>
      <c r="AL11" s="316"/>
      <c r="AM11" s="316"/>
      <c r="AN11" s="316"/>
      <c r="AO11" s="316">
        <v>0</v>
      </c>
      <c r="AP11" s="316">
        <v>0</v>
      </c>
      <c r="AQ11" s="316">
        <v>0</v>
      </c>
      <c r="AR11" s="316">
        <v>0</v>
      </c>
      <c r="AS11" s="316">
        <v>0</v>
      </c>
      <c r="AT11" s="316">
        <v>0.975064889792013</v>
      </c>
      <c r="AU11" s="316">
        <v>0</v>
      </c>
      <c r="AV11" s="316">
        <v>0</v>
      </c>
      <c r="AW11" s="316">
        <v>0</v>
      </c>
      <c r="AX11" s="316">
        <v>0</v>
      </c>
      <c r="AY11" s="316">
        <v>0.49465738445053337</v>
      </c>
      <c r="AZ11" s="316">
        <v>0</v>
      </c>
      <c r="BA11" s="316">
        <v>0</v>
      </c>
      <c r="BB11" s="316">
        <v>0</v>
      </c>
      <c r="BC11" s="316">
        <v>2.8168632996986274</v>
      </c>
      <c r="BD11" s="316">
        <v>0.2525325607951876</v>
      </c>
      <c r="BE11" s="316">
        <v>0</v>
      </c>
      <c r="BF11" s="316">
        <v>0.99795361821098594</v>
      </c>
      <c r="BG11" s="316">
        <v>0</v>
      </c>
      <c r="BH11" s="316">
        <v>8.7500169392668008E-3</v>
      </c>
      <c r="BI11" s="316">
        <v>0</v>
      </c>
      <c r="BJ11" s="316">
        <v>0</v>
      </c>
      <c r="BK11" s="316">
        <v>1.3323079044657018</v>
      </c>
      <c r="BL11" s="316">
        <v>0.68605026006983194</v>
      </c>
      <c r="BM11" s="316">
        <v>5.6241161977459452E-2</v>
      </c>
      <c r="BN11" s="316">
        <v>1.3466506110011838</v>
      </c>
      <c r="BO11" s="316">
        <v>1.43845327585016</v>
      </c>
      <c r="BP11" s="316">
        <v>0.45825206557696302</v>
      </c>
      <c r="BQ11" s="316">
        <v>1.9919466026667405</v>
      </c>
      <c r="BR11" s="316">
        <v>1.3323548334740791</v>
      </c>
      <c r="BS11" s="316">
        <v>0.64607868565013393</v>
      </c>
      <c r="BT11" s="316">
        <v>0</v>
      </c>
      <c r="BU11" s="316">
        <v>1.2933291113550387</v>
      </c>
      <c r="BV11" s="316">
        <v>0.67435441796462237</v>
      </c>
      <c r="BW11" s="316">
        <v>1.0223331291715785</v>
      </c>
      <c r="BX11" s="316">
        <v>2.1452337991113586</v>
      </c>
      <c r="BY11" s="316">
        <v>1.013354579</v>
      </c>
      <c r="BZ11" s="316">
        <v>1.06065483</v>
      </c>
      <c r="CA11" s="316">
        <v>1.3027897129999999</v>
      </c>
      <c r="CB11" s="316">
        <v>1.60670001</v>
      </c>
      <c r="CC11" s="316">
        <v>1.5664002589999999</v>
      </c>
      <c r="CD11" s="316">
        <v>0.14311622700000001</v>
      </c>
      <c r="CE11" s="317">
        <v>1.2964227129999999</v>
      </c>
      <c r="CF11" s="316">
        <v>0.64066841799999996</v>
      </c>
      <c r="CG11" s="316">
        <v>0.56003700199999995</v>
      </c>
      <c r="CH11" s="316">
        <v>1.8017629399999999</v>
      </c>
      <c r="CI11" s="316">
        <v>0.376599401</v>
      </c>
      <c r="CJ11" s="316">
        <v>1.7032702689999999</v>
      </c>
      <c r="CK11" s="316">
        <v>0.74655730596899994</v>
      </c>
      <c r="CL11" s="316">
        <v>0.40116545643699997</v>
      </c>
      <c r="CM11" s="316">
        <v>0.59553747507700006</v>
      </c>
      <c r="CN11" s="316">
        <v>0.95418582930200002</v>
      </c>
      <c r="CO11" s="316">
        <v>0.472726470181</v>
      </c>
      <c r="CP11" s="318">
        <v>1.5391950461E-2</v>
      </c>
      <c r="CQ11" s="316">
        <v>7.0812332867999997E-2</v>
      </c>
      <c r="CR11" s="316">
        <v>9.5260513448999995E-2</v>
      </c>
      <c r="CS11" s="316">
        <v>1.0930170474779999</v>
      </c>
      <c r="CT11" s="316">
        <v>4.8415305819999997E-2</v>
      </c>
      <c r="CU11" s="316">
        <v>0</v>
      </c>
      <c r="CV11" s="316">
        <v>0</v>
      </c>
      <c r="CW11" s="316">
        <v>1.1693384690399999</v>
      </c>
      <c r="CX11" s="316">
        <v>0</v>
      </c>
      <c r="CY11" s="316">
        <v>1.1379639478250001</v>
      </c>
      <c r="CZ11" s="316">
        <v>0</v>
      </c>
      <c r="DA11" s="316">
        <v>0</v>
      </c>
      <c r="DB11" s="1498">
        <v>0</v>
      </c>
      <c r="DC11" s="316">
        <v>0</v>
      </c>
      <c r="DD11" s="316">
        <v>0</v>
      </c>
      <c r="DE11" s="316">
        <v>0</v>
      </c>
      <c r="DF11" s="316">
        <v>0</v>
      </c>
      <c r="DG11" s="316">
        <v>0</v>
      </c>
      <c r="DH11" s="316">
        <v>0</v>
      </c>
      <c r="DI11" s="316">
        <v>0</v>
      </c>
      <c r="DJ11" s="316">
        <v>0</v>
      </c>
      <c r="DK11" s="316">
        <v>0.50194844523400006</v>
      </c>
      <c r="DL11" s="316">
        <v>0</v>
      </c>
      <c r="DM11" s="316">
        <v>0</v>
      </c>
      <c r="DN11" s="318">
        <v>0</v>
      </c>
      <c r="DO11" s="316">
        <v>0</v>
      </c>
      <c r="DP11" s="316">
        <v>0</v>
      </c>
      <c r="DQ11" s="316">
        <v>0.87141989385200003</v>
      </c>
      <c r="DR11" s="316">
        <v>0</v>
      </c>
      <c r="DS11" s="316">
        <v>0</v>
      </c>
      <c r="DT11" s="316">
        <v>0.53593706462199997</v>
      </c>
      <c r="DU11" s="316">
        <v>1.104247869792</v>
      </c>
      <c r="DV11" s="316">
        <v>6.7336388539000008E-2</v>
      </c>
      <c r="DW11" s="316">
        <v>1.2589329087019998</v>
      </c>
      <c r="DX11" s="316">
        <v>0</v>
      </c>
      <c r="DY11" s="316">
        <v>0</v>
      </c>
      <c r="DZ11" s="318">
        <v>0</v>
      </c>
      <c r="EA11" s="316">
        <v>0</v>
      </c>
      <c r="EB11" s="316">
        <v>0</v>
      </c>
      <c r="EC11" s="316">
        <v>0</v>
      </c>
      <c r="ED11" s="316">
        <v>0</v>
      </c>
      <c r="EE11" s="316">
        <v>0</v>
      </c>
      <c r="EF11" s="316">
        <v>0</v>
      </c>
      <c r="EG11" s="316">
        <v>5.2264396314699999</v>
      </c>
      <c r="EH11" s="316">
        <v>0</v>
      </c>
      <c r="EI11" s="316">
        <v>0</v>
      </c>
      <c r="EJ11" s="316">
        <v>0</v>
      </c>
      <c r="EK11" s="316">
        <v>0</v>
      </c>
      <c r="EL11" s="318">
        <v>0</v>
      </c>
      <c r="EM11" s="1206">
        <v>0</v>
      </c>
      <c r="EN11" s="1206">
        <v>0</v>
      </c>
      <c r="EO11" s="1206">
        <v>0</v>
      </c>
      <c r="EP11" s="1206">
        <v>0</v>
      </c>
      <c r="EQ11" s="1206">
        <v>0</v>
      </c>
      <c r="ER11" s="1206">
        <v>0</v>
      </c>
      <c r="ES11" s="1206">
        <v>0</v>
      </c>
      <c r="ET11" s="1206">
        <v>1.0757566319579999</v>
      </c>
      <c r="EU11" s="1206">
        <v>0.79136726268299995</v>
      </c>
      <c r="EV11" s="1206">
        <v>0</v>
      </c>
      <c r="EW11" s="1206">
        <v>0.149901381168</v>
      </c>
      <c r="EX11" s="1550">
        <v>0</v>
      </c>
      <c r="EY11" s="1206"/>
      <c r="EZ11" s="1206"/>
      <c r="FA11" s="1206"/>
      <c r="FB11" s="1206"/>
      <c r="FC11" s="1206"/>
      <c r="FD11" s="1206"/>
      <c r="FE11" s="1206"/>
      <c r="FF11" s="1206"/>
      <c r="FG11" s="1206"/>
      <c r="FH11" s="1206"/>
      <c r="FI11" s="1206"/>
      <c r="FJ11" s="1550"/>
      <c r="FK11" s="1206">
        <v>8.1193965724000006E-2</v>
      </c>
      <c r="FL11" s="1206" t="s">
        <v>821</v>
      </c>
      <c r="FM11" s="1206" t="s">
        <v>821</v>
      </c>
      <c r="FN11" s="1206" t="s">
        <v>821</v>
      </c>
      <c r="FO11" s="1206" t="s">
        <v>821</v>
      </c>
      <c r="FP11" s="1206">
        <v>0.60666125477699995</v>
      </c>
      <c r="FQ11" s="316">
        <v>0</v>
      </c>
      <c r="FR11" s="316">
        <v>0</v>
      </c>
      <c r="FS11" s="316">
        <v>6.5759950770999998E-2</v>
      </c>
      <c r="FT11" s="316">
        <v>1.8733560075639999</v>
      </c>
      <c r="FU11" s="316">
        <v>0</v>
      </c>
      <c r="FV11" s="1498">
        <v>0.47773678406499998</v>
      </c>
      <c r="FW11" s="316">
        <v>0.21331012655700002</v>
      </c>
      <c r="FX11" s="316">
        <v>0</v>
      </c>
      <c r="FY11" s="316">
        <v>2.2352624318889998</v>
      </c>
      <c r="FZ11" s="316">
        <v>0.21537995638299998</v>
      </c>
      <c r="GA11" s="316">
        <v>0.216774407083</v>
      </c>
      <c r="GB11" s="316">
        <v>7.2157075743529999</v>
      </c>
      <c r="GC11" s="316">
        <v>0.218107032891</v>
      </c>
      <c r="GD11" s="316">
        <v>0.22112596702599999</v>
      </c>
      <c r="GE11" s="316">
        <v>0.38523220053399998</v>
      </c>
      <c r="GF11" s="316">
        <v>0</v>
      </c>
      <c r="GG11" s="316">
        <v>2.1722532036389999</v>
      </c>
      <c r="GH11" s="316">
        <v>0.79496101471000002</v>
      </c>
      <c r="GI11" s="316"/>
      <c r="GJ11" s="316"/>
      <c r="GK11" s="316"/>
      <c r="GL11" s="316"/>
      <c r="GM11" s="316"/>
      <c r="GN11" s="316"/>
      <c r="GO11" s="316"/>
      <c r="GP11" s="316"/>
      <c r="GQ11" s="316"/>
      <c r="GR11" s="316"/>
      <c r="GS11" s="316"/>
      <c r="GT11" s="316"/>
      <c r="GU11" s="316"/>
      <c r="GV11" s="316"/>
      <c r="GW11" s="316"/>
      <c r="GX11" s="316"/>
      <c r="GY11" s="316"/>
      <c r="GZ11" s="316"/>
      <c r="HA11" s="316"/>
      <c r="HB11" s="316"/>
      <c r="HC11" s="316"/>
      <c r="HD11" s="316"/>
      <c r="HE11" s="316"/>
      <c r="HF11" s="316"/>
      <c r="HG11" s="316"/>
      <c r="HH11" s="316"/>
      <c r="HI11" s="316"/>
      <c r="HJ11" s="316"/>
      <c r="HK11" s="316"/>
      <c r="HL11" s="316"/>
      <c r="HM11" s="316"/>
      <c r="HV11" s="302">
        <f t="shared" si="0"/>
        <v>0</v>
      </c>
      <c r="HW11" s="302">
        <f t="shared" si="1"/>
        <v>0.50194844523400006</v>
      </c>
      <c r="HX11" s="302">
        <f t="shared" si="2"/>
        <v>0.50194844523400006</v>
      </c>
      <c r="HY11" s="302">
        <f t="shared" si="3"/>
        <v>1.407356958474</v>
      </c>
      <c r="KH11" s="303"/>
    </row>
    <row r="12" spans="1:302" outlineLevel="1">
      <c r="D12" s="1773" t="s">
        <v>389</v>
      </c>
      <c r="E12" s="316"/>
      <c r="F12" s="316"/>
      <c r="G12" s="316"/>
      <c r="H12" s="316"/>
      <c r="I12" s="316"/>
      <c r="J12" s="316"/>
      <c r="K12" s="316"/>
      <c r="L12" s="316"/>
      <c r="M12" s="316"/>
      <c r="N12" s="316"/>
      <c r="O12" s="316"/>
      <c r="P12" s="316"/>
      <c r="Q12" s="316"/>
      <c r="R12" s="316"/>
      <c r="S12" s="316"/>
      <c r="T12" s="316"/>
      <c r="U12" s="316"/>
      <c r="V12" s="316"/>
      <c r="W12" s="316"/>
      <c r="X12" s="316"/>
      <c r="Y12" s="316"/>
      <c r="Z12" s="316"/>
      <c r="AA12" s="316"/>
      <c r="AB12" s="316"/>
      <c r="AC12" s="316"/>
      <c r="AD12" s="316"/>
      <c r="AE12" s="316"/>
      <c r="AF12" s="316"/>
      <c r="AG12" s="316"/>
      <c r="AH12" s="316"/>
      <c r="AI12" s="316"/>
      <c r="AJ12" s="316"/>
      <c r="AK12" s="316"/>
      <c r="AL12" s="316"/>
      <c r="AM12" s="316"/>
      <c r="AN12" s="316"/>
      <c r="AO12" s="677">
        <v>0</v>
      </c>
      <c r="AP12" s="677">
        <v>0.62987147756908735</v>
      </c>
      <c r="AQ12" s="677">
        <v>0.46903793163968949</v>
      </c>
      <c r="AR12" s="677">
        <v>1.5382727642693179</v>
      </c>
      <c r="AS12" s="677">
        <v>0.66772426061501222</v>
      </c>
      <c r="AT12" s="677">
        <v>0.80601616600687898</v>
      </c>
      <c r="AU12" s="677">
        <v>0.40943237950525851</v>
      </c>
      <c r="AV12" s="677">
        <v>0.14770808726970486</v>
      </c>
      <c r="AW12" s="677">
        <v>1.0854496303238198E-2</v>
      </c>
      <c r="AX12" s="677">
        <v>0.42133289425627951</v>
      </c>
      <c r="AY12" s="677">
        <v>0.47285869135073139</v>
      </c>
      <c r="AZ12" s="677">
        <v>1.8407461084819923</v>
      </c>
      <c r="BA12" s="677">
        <v>7.3301808746352856E-3</v>
      </c>
      <c r="BB12" s="677">
        <v>0.87324361303377784</v>
      </c>
      <c r="BC12" s="677">
        <v>1.9696082116248088</v>
      </c>
      <c r="BD12" s="677">
        <v>0.57534902993784531</v>
      </c>
      <c r="BE12" s="677">
        <v>0.17189124847520285</v>
      </c>
      <c r="BF12" s="677">
        <v>1.4451711138386929</v>
      </c>
      <c r="BG12" s="677">
        <v>0.84569521100331568</v>
      </c>
      <c r="BH12" s="677">
        <v>0.10832097426186578</v>
      </c>
      <c r="BI12" s="677">
        <v>1.1372708434074972</v>
      </c>
      <c r="BJ12" s="677">
        <v>0.15116915305881987</v>
      </c>
      <c r="BK12" s="677">
        <v>0.35742179334210161</v>
      </c>
      <c r="BL12" s="677">
        <v>2.2016366119144366</v>
      </c>
      <c r="BM12" s="677">
        <v>0.4265463639957266</v>
      </c>
      <c r="BN12" s="677">
        <v>1.0207255730323341</v>
      </c>
      <c r="BO12" s="677">
        <v>1.049368305890777</v>
      </c>
      <c r="BP12" s="677">
        <v>1.498617270910265</v>
      </c>
      <c r="BQ12" s="677">
        <v>0.13491215672981391</v>
      </c>
      <c r="BR12" s="677">
        <v>0.5990665543869258</v>
      </c>
      <c r="BS12" s="677">
        <v>0.20316325565785112</v>
      </c>
      <c r="BT12" s="677">
        <v>0.34687577757021076</v>
      </c>
      <c r="BU12" s="677">
        <v>1.1246205889797547</v>
      </c>
      <c r="BV12" s="677">
        <v>0.12811694454582651</v>
      </c>
      <c r="BW12" s="677">
        <v>8.8232161337934364E-2</v>
      </c>
      <c r="BX12" s="677">
        <v>2.1294989825098733E-2</v>
      </c>
      <c r="BY12" s="677">
        <v>0</v>
      </c>
      <c r="BZ12" s="677">
        <v>0.26288379299999998</v>
      </c>
      <c r="CA12" s="677">
        <v>2.2267379E-2</v>
      </c>
      <c r="CB12" s="677">
        <v>0.53933414499999999</v>
      </c>
      <c r="CC12" s="677">
        <v>0</v>
      </c>
      <c r="CD12" s="677">
        <v>0</v>
      </c>
      <c r="CE12" s="678">
        <v>0</v>
      </c>
      <c r="CF12" s="677">
        <v>0</v>
      </c>
      <c r="CG12" s="677">
        <v>0</v>
      </c>
      <c r="CH12" s="677">
        <v>0</v>
      </c>
      <c r="CI12" s="677">
        <v>2.4603709999999998E-3</v>
      </c>
      <c r="CJ12" s="677">
        <v>0</v>
      </c>
      <c r="CK12" s="677">
        <v>0.11113218389</v>
      </c>
      <c r="CL12" s="677">
        <v>0</v>
      </c>
      <c r="CM12" s="677">
        <v>7.4429138459999999E-3</v>
      </c>
      <c r="CN12" s="677">
        <v>2.6725002002999997E-2</v>
      </c>
      <c r="CO12" s="677">
        <v>0</v>
      </c>
      <c r="CP12" s="679">
        <v>0</v>
      </c>
      <c r="CQ12" s="677">
        <v>4.0366138055999999E-2</v>
      </c>
      <c r="CR12" s="677">
        <v>0</v>
      </c>
      <c r="CS12" s="677">
        <v>0</v>
      </c>
      <c r="CT12" s="677">
        <v>0</v>
      </c>
      <c r="CU12" s="677">
        <v>4.0728351676000002E-2</v>
      </c>
      <c r="CV12" s="677">
        <v>0</v>
      </c>
      <c r="CW12" s="677">
        <v>0</v>
      </c>
      <c r="CX12" s="677">
        <v>7.7267098870000004E-3</v>
      </c>
      <c r="CY12" s="677">
        <v>0</v>
      </c>
      <c r="CZ12" s="677">
        <v>0.10089830698</v>
      </c>
      <c r="DA12" s="677">
        <v>0</v>
      </c>
      <c r="DB12" s="1507">
        <v>0.17147718804499998</v>
      </c>
      <c r="DC12" s="677">
        <v>1.6090924023000001E-2</v>
      </c>
      <c r="DD12" s="677">
        <v>0</v>
      </c>
      <c r="DE12" s="677">
        <v>6.1497489998399999</v>
      </c>
      <c r="DF12" s="677">
        <v>1.6925788320999998E-2</v>
      </c>
      <c r="DG12" s="677">
        <v>1.5365522868029999</v>
      </c>
      <c r="DH12" s="677">
        <v>1.5992617926830002</v>
      </c>
      <c r="DI12" s="677" t="s">
        <v>821</v>
      </c>
      <c r="DJ12" s="677">
        <v>0.57027368294799996</v>
      </c>
      <c r="DK12" s="677">
        <v>1.9470509080999999E-2</v>
      </c>
      <c r="DL12" s="677">
        <v>0</v>
      </c>
      <c r="DM12" s="677">
        <v>1.2481807650480001</v>
      </c>
      <c r="DN12" s="679">
        <v>1.7867102900840002</v>
      </c>
      <c r="DO12" s="677">
        <v>0.25569111553500001</v>
      </c>
      <c r="DP12" s="677">
        <v>2.039985803</v>
      </c>
      <c r="DQ12" s="677">
        <v>2.7194589919999999</v>
      </c>
      <c r="DR12" s="677">
        <v>2.0883871636299998</v>
      </c>
      <c r="DS12" s="677">
        <v>4.3103186004910006</v>
      </c>
      <c r="DT12" s="677">
        <v>1.66435042402</v>
      </c>
      <c r="DU12" s="677">
        <v>2.1325078408490001</v>
      </c>
      <c r="DV12" s="677">
        <v>1.5232825937980001</v>
      </c>
      <c r="DW12" s="677">
        <v>13.489673663556999</v>
      </c>
      <c r="DX12" s="677">
        <v>3.5808020246069998</v>
      </c>
      <c r="DY12" s="677">
        <v>4.5919727956800003</v>
      </c>
      <c r="DZ12" s="679">
        <v>0.8541788837180001</v>
      </c>
      <c r="EA12" s="677">
        <v>2.6886608503030001</v>
      </c>
      <c r="EB12" s="677">
        <v>0.83068743746300011</v>
      </c>
      <c r="EC12" s="677">
        <v>2.6944973510830001</v>
      </c>
      <c r="ED12" s="677">
        <v>4.0957703531269996</v>
      </c>
      <c r="EE12" s="677">
        <v>2.6437281777020001</v>
      </c>
      <c r="EF12" s="677">
        <v>2.2218570656050001</v>
      </c>
      <c r="EG12" s="677">
        <v>5.3138598929640004</v>
      </c>
      <c r="EH12" s="677">
        <v>1.0225014096380001</v>
      </c>
      <c r="EI12" s="677">
        <v>1.955999127174</v>
      </c>
      <c r="EJ12" s="677">
        <v>4.7458401664960004</v>
      </c>
      <c r="EK12" s="677">
        <v>4.0866103111919996</v>
      </c>
      <c r="EL12" s="679">
        <v>1.7385531645599999</v>
      </c>
      <c r="EM12" s="1217">
        <v>3.0468384840140001</v>
      </c>
      <c r="EN12" s="1217">
        <v>8.1344925602000004E-2</v>
      </c>
      <c r="EO12" s="1217">
        <v>4.1602363178799999</v>
      </c>
      <c r="EP12" s="1217">
        <v>8.6083117238999987E-2</v>
      </c>
      <c r="EQ12" s="1217">
        <v>12.117729091913001</v>
      </c>
      <c r="ER12" s="1217">
        <v>8.6248222192419988</v>
      </c>
      <c r="ES12" s="1217">
        <v>5.2067549842599998</v>
      </c>
      <c r="ET12" s="1217">
        <v>5.4594286788790001</v>
      </c>
      <c r="EU12" s="1217">
        <v>3.493867046958</v>
      </c>
      <c r="EV12" s="1217">
        <v>5.6470137177569999</v>
      </c>
      <c r="EW12" s="1217">
        <v>5.0694254165959993</v>
      </c>
      <c r="EX12" s="1568">
        <v>8.607382020166007</v>
      </c>
      <c r="EY12" s="1206"/>
      <c r="EZ12" s="1206"/>
      <c r="FA12" s="1206"/>
      <c r="FB12" s="1206"/>
      <c r="FC12" s="1206"/>
      <c r="FD12" s="1206"/>
      <c r="FE12" s="1206"/>
      <c r="FF12" s="1206"/>
      <c r="FG12" s="1206"/>
      <c r="FH12" s="1206"/>
      <c r="FI12" s="1206"/>
      <c r="FJ12" s="1550"/>
      <c r="FK12" s="1217">
        <v>3.8410756129279999</v>
      </c>
      <c r="FL12" s="1217">
        <v>4.8958825017490009</v>
      </c>
      <c r="FM12" s="1217">
        <v>6.3554328568909995</v>
      </c>
      <c r="FN12" s="1217">
        <v>2.3168341295220003</v>
      </c>
      <c r="FO12" s="1217">
        <v>5.7657995125120003</v>
      </c>
      <c r="FP12" s="1217">
        <v>8.3365674637470004</v>
      </c>
      <c r="FQ12" s="1217">
        <v>0</v>
      </c>
      <c r="FR12" s="1217">
        <v>0</v>
      </c>
      <c r="FS12" s="1217">
        <v>0</v>
      </c>
      <c r="FT12" s="1217">
        <v>0.106700373859</v>
      </c>
      <c r="FU12" s="1217">
        <v>0</v>
      </c>
      <c r="FV12" s="1868">
        <v>0.86960528377400004</v>
      </c>
      <c r="FW12" s="316">
        <v>0</v>
      </c>
      <c r="FX12" s="316">
        <v>0</v>
      </c>
      <c r="FY12" s="316">
        <v>0</v>
      </c>
      <c r="FZ12" s="316">
        <v>1.03359400672</v>
      </c>
      <c r="GA12" s="316">
        <v>0.10322305306100001</v>
      </c>
      <c r="GB12" s="316">
        <v>6.7653921511210005</v>
      </c>
      <c r="GC12" s="316">
        <v>0.10210640737700001</v>
      </c>
      <c r="GD12" s="316">
        <v>0</v>
      </c>
      <c r="GE12" s="316">
        <v>0.94057824194799999</v>
      </c>
      <c r="GF12" s="316">
        <v>0</v>
      </c>
      <c r="GG12" s="316">
        <v>0.972880331303</v>
      </c>
      <c r="GH12" s="316">
        <v>0</v>
      </c>
      <c r="GI12" s="316"/>
      <c r="GJ12" s="316"/>
      <c r="GK12" s="316"/>
      <c r="GL12" s="316"/>
      <c r="GM12" s="316"/>
      <c r="GN12" s="316"/>
      <c r="GO12" s="316"/>
      <c r="GP12" s="316"/>
      <c r="GQ12" s="316"/>
      <c r="GR12" s="316"/>
      <c r="GS12" s="316"/>
      <c r="GT12" s="316"/>
      <c r="GU12" s="316"/>
      <c r="GV12" s="316"/>
      <c r="GW12" s="316"/>
      <c r="GX12" s="316"/>
      <c r="GY12" s="316"/>
      <c r="GZ12" s="316"/>
      <c r="HA12" s="316"/>
      <c r="HB12" s="316"/>
      <c r="HC12" s="316"/>
      <c r="HD12" s="316"/>
      <c r="HE12" s="316"/>
      <c r="HF12" s="316"/>
      <c r="HG12" s="316"/>
      <c r="HH12" s="316"/>
      <c r="HI12" s="316"/>
      <c r="HJ12" s="316"/>
      <c r="HK12" s="316"/>
      <c r="HL12" s="316"/>
      <c r="HM12" s="316"/>
      <c r="KH12" s="303"/>
    </row>
    <row r="13" spans="1:302" outlineLevel="1">
      <c r="B13" s="117" t="s">
        <v>361</v>
      </c>
      <c r="D13" s="319" t="s">
        <v>368</v>
      </c>
      <c r="E13" s="316"/>
      <c r="F13" s="316"/>
      <c r="G13" s="316"/>
      <c r="H13" s="316"/>
      <c r="I13" s="316"/>
      <c r="J13" s="316"/>
      <c r="K13" s="316"/>
      <c r="L13" s="316"/>
      <c r="M13" s="316"/>
      <c r="N13" s="316"/>
      <c r="O13" s="316"/>
      <c r="P13" s="316"/>
      <c r="Q13" s="316"/>
      <c r="R13" s="316"/>
      <c r="S13" s="316"/>
      <c r="T13" s="316"/>
      <c r="U13" s="316"/>
      <c r="V13" s="316"/>
      <c r="W13" s="316"/>
      <c r="X13" s="316"/>
      <c r="Y13" s="316"/>
      <c r="Z13" s="316"/>
      <c r="AA13" s="316"/>
      <c r="AB13" s="316"/>
      <c r="AC13" s="316"/>
      <c r="AD13" s="316"/>
      <c r="AE13" s="316"/>
      <c r="AF13" s="316"/>
      <c r="AG13" s="316"/>
      <c r="AH13" s="316"/>
      <c r="AI13" s="316"/>
      <c r="AJ13" s="316"/>
      <c r="AK13" s="316"/>
      <c r="AL13" s="316"/>
      <c r="AM13" s="316"/>
      <c r="AN13" s="316"/>
      <c r="AO13" s="316">
        <v>0</v>
      </c>
      <c r="AP13" s="316">
        <v>0.62987147756908735</v>
      </c>
      <c r="AQ13" s="316">
        <v>0.46903793163968949</v>
      </c>
      <c r="AR13" s="316">
        <v>1.5382727642693179</v>
      </c>
      <c r="AS13" s="316">
        <v>0.66772426061501222</v>
      </c>
      <c r="AT13" s="316">
        <v>0.80601616600687898</v>
      </c>
      <c r="AU13" s="316">
        <v>0.40943237950525851</v>
      </c>
      <c r="AV13" s="316">
        <v>0.14770808726970486</v>
      </c>
      <c r="AW13" s="316">
        <v>1.0854496303238198E-2</v>
      </c>
      <c r="AX13" s="316">
        <v>0.42133289425627951</v>
      </c>
      <c r="AY13" s="316">
        <v>0.47285869135073139</v>
      </c>
      <c r="AZ13" s="316">
        <v>1.8407461084819923</v>
      </c>
      <c r="BA13" s="316">
        <v>7.3301808746352856E-3</v>
      </c>
      <c r="BB13" s="316">
        <v>0.87324361303377784</v>
      </c>
      <c r="BC13" s="316">
        <v>1.9696082116248088</v>
      </c>
      <c r="BD13" s="316">
        <v>0.57534902993784531</v>
      </c>
      <c r="BE13" s="316">
        <v>0.17189124847520285</v>
      </c>
      <c r="BF13" s="316">
        <v>1.4451711138386929</v>
      </c>
      <c r="BG13" s="316">
        <v>0.84569521100331568</v>
      </c>
      <c r="BH13" s="316">
        <v>0.10832097426186578</v>
      </c>
      <c r="BI13" s="316">
        <v>1.1372708434074972</v>
      </c>
      <c r="BJ13" s="316">
        <v>0.15116915305881987</v>
      </c>
      <c r="BK13" s="316">
        <v>0.35742179334210161</v>
      </c>
      <c r="BL13" s="316">
        <v>2.2016366119144366</v>
      </c>
      <c r="BM13" s="316">
        <v>0.4265463639957266</v>
      </c>
      <c r="BN13" s="316">
        <v>1.0207255730323341</v>
      </c>
      <c r="BO13" s="316">
        <v>1.049368305890777</v>
      </c>
      <c r="BP13" s="316">
        <v>1.498617270910265</v>
      </c>
      <c r="BQ13" s="316">
        <v>0.13491215672981391</v>
      </c>
      <c r="BR13" s="316">
        <v>0.5990665543869258</v>
      </c>
      <c r="BS13" s="316">
        <v>0.20316325565785112</v>
      </c>
      <c r="BT13" s="316">
        <v>0.34687577757021076</v>
      </c>
      <c r="BU13" s="316">
        <v>1.1246205889797547</v>
      </c>
      <c r="BV13" s="316">
        <v>0.12811694454582651</v>
      </c>
      <c r="BW13" s="316">
        <v>8.8232161337934364E-2</v>
      </c>
      <c r="BX13" s="316">
        <v>2.1294989825098733E-2</v>
      </c>
      <c r="BY13" s="316">
        <v>0</v>
      </c>
      <c r="BZ13" s="316">
        <v>0.26288379299999998</v>
      </c>
      <c r="CA13" s="316">
        <v>2.2267379E-2</v>
      </c>
      <c r="CB13" s="316">
        <v>0.53933414499999999</v>
      </c>
      <c r="CC13" s="316">
        <v>0</v>
      </c>
      <c r="CD13" s="316">
        <v>0</v>
      </c>
      <c r="CE13" s="317">
        <v>0</v>
      </c>
      <c r="CF13" s="316">
        <v>0</v>
      </c>
      <c r="CG13" s="316">
        <v>0</v>
      </c>
      <c r="CH13" s="316">
        <v>0</v>
      </c>
      <c r="CI13" s="316">
        <v>2.4603709999999998E-3</v>
      </c>
      <c r="CJ13" s="316">
        <v>0</v>
      </c>
      <c r="CK13" s="316">
        <v>0.11113218389</v>
      </c>
      <c r="CL13" s="316">
        <v>0</v>
      </c>
      <c r="CM13" s="316">
        <v>7.4429138459999999E-3</v>
      </c>
      <c r="CN13" s="316">
        <v>2.6725002002999997E-2</v>
      </c>
      <c r="CO13" s="316">
        <v>0</v>
      </c>
      <c r="CP13" s="318">
        <v>0</v>
      </c>
      <c r="CQ13" s="316">
        <v>4.0366138055999999E-2</v>
      </c>
      <c r="CR13" s="316">
        <v>0</v>
      </c>
      <c r="CS13" s="316">
        <v>0</v>
      </c>
      <c r="CT13" s="316">
        <v>0</v>
      </c>
      <c r="CU13" s="316">
        <v>4.0728351676000002E-2</v>
      </c>
      <c r="CV13" s="316">
        <v>0</v>
      </c>
      <c r="CW13" s="316">
        <v>0</v>
      </c>
      <c r="CX13" s="316">
        <v>7.7267098870000004E-3</v>
      </c>
      <c r="CY13" s="316">
        <v>0</v>
      </c>
      <c r="CZ13" s="316">
        <v>0.10089830698</v>
      </c>
      <c r="DA13" s="316">
        <v>0</v>
      </c>
      <c r="DB13" s="1498">
        <v>0.17147718804499998</v>
      </c>
      <c r="DC13" s="316">
        <v>1.6090924023000001E-2</v>
      </c>
      <c r="DD13" s="316">
        <v>0</v>
      </c>
      <c r="DE13" s="316">
        <v>6.1497489998399999</v>
      </c>
      <c r="DF13" s="316">
        <v>1.6925788320999998E-2</v>
      </c>
      <c r="DG13" s="316">
        <v>1.5365522868029999</v>
      </c>
      <c r="DH13" s="316">
        <v>1.5992617926830002</v>
      </c>
      <c r="DI13" s="316" t="s">
        <v>821</v>
      </c>
      <c r="DJ13" s="316">
        <v>0.57027368294799996</v>
      </c>
      <c r="DK13" s="316">
        <v>1.9470509080999999E-2</v>
      </c>
      <c r="DL13" s="316">
        <v>0</v>
      </c>
      <c r="DM13" s="316">
        <v>1.2481807650480001</v>
      </c>
      <c r="DN13" s="318">
        <v>1.7867102900840002</v>
      </c>
      <c r="DO13" s="316">
        <v>0.25569111553500001</v>
      </c>
      <c r="DP13" s="316">
        <v>2.039985803</v>
      </c>
      <c r="DQ13" s="316">
        <v>2.7194589919999999</v>
      </c>
      <c r="DR13" s="316">
        <v>2.0883871636299998</v>
      </c>
      <c r="DS13" s="316">
        <v>4.3103186004910006</v>
      </c>
      <c r="DT13" s="316">
        <v>1.66435042402</v>
      </c>
      <c r="DU13" s="316">
        <v>2.1325078408490001</v>
      </c>
      <c r="DV13" s="316">
        <v>1.5232825937980001</v>
      </c>
      <c r="DW13" s="316">
        <v>13.489673663556999</v>
      </c>
      <c r="DX13" s="316">
        <v>3.5808020246069998</v>
      </c>
      <c r="DY13" s="316">
        <v>4.5919727956800003</v>
      </c>
      <c r="DZ13" s="318">
        <v>0.8541788837180001</v>
      </c>
      <c r="EA13" s="316">
        <v>2.6886608503030001</v>
      </c>
      <c r="EB13" s="316">
        <v>0.83068743746300011</v>
      </c>
      <c r="EC13" s="316">
        <v>2.6944973510830001</v>
      </c>
      <c r="ED13" s="316">
        <v>4.0957703531269996</v>
      </c>
      <c r="EE13" s="316">
        <v>2.6437281777020001</v>
      </c>
      <c r="EF13" s="316">
        <v>2.2218570656050001</v>
      </c>
      <c r="EG13" s="316">
        <v>5.3138598929640004</v>
      </c>
      <c r="EH13" s="316">
        <v>1.0225014096380001</v>
      </c>
      <c r="EI13" s="316">
        <v>1.955999127174</v>
      </c>
      <c r="EJ13" s="316">
        <v>4.7458401664960004</v>
      </c>
      <c r="EK13" s="316">
        <v>4.0866103111919996</v>
      </c>
      <c r="EL13" s="318">
        <v>1.7385531645599999</v>
      </c>
      <c r="EM13" s="1206">
        <v>3.0468384840140001</v>
      </c>
      <c r="EN13" s="1206">
        <v>8.1344925602000004E-2</v>
      </c>
      <c r="EO13" s="1206">
        <v>4.1602363178799999</v>
      </c>
      <c r="EP13" s="1206">
        <v>8.6083117238999987E-2</v>
      </c>
      <c r="EQ13" s="1206">
        <v>12.117729091913001</v>
      </c>
      <c r="ER13" s="1206">
        <v>8.6248222192419988</v>
      </c>
      <c r="ES13" s="1206">
        <v>5.2067549842599998</v>
      </c>
      <c r="ET13" s="1206">
        <v>5.4594286788790001</v>
      </c>
      <c r="EU13" s="1206">
        <v>3.493867046958</v>
      </c>
      <c r="EV13" s="1206">
        <v>5.6470137177569999</v>
      </c>
      <c r="EW13" s="1206">
        <v>5.0694254165959993</v>
      </c>
      <c r="EX13" s="1550">
        <v>8.607382020166007</v>
      </c>
      <c r="EY13" s="1206"/>
      <c r="EZ13" s="1206"/>
      <c r="FA13" s="1206"/>
      <c r="FB13" s="1206"/>
      <c r="FC13" s="1206"/>
      <c r="FD13" s="1206"/>
      <c r="FE13" s="1206"/>
      <c r="FF13" s="1206"/>
      <c r="FG13" s="1206"/>
      <c r="FH13" s="1206"/>
      <c r="FI13" s="1206"/>
      <c r="FJ13" s="1550"/>
      <c r="FK13" s="1206">
        <v>3.8410756129279999</v>
      </c>
      <c r="FL13" s="1206">
        <v>4.8958825017490009</v>
      </c>
      <c r="FM13" s="1206">
        <v>6.3554328568909995</v>
      </c>
      <c r="FN13" s="1206">
        <v>2.3168341295220003</v>
      </c>
      <c r="FO13" s="1206">
        <v>5.7657995125120003</v>
      </c>
      <c r="FP13" s="1206">
        <v>8.3365674637470004</v>
      </c>
      <c r="FQ13" s="316">
        <v>0</v>
      </c>
      <c r="FR13" s="316">
        <v>0</v>
      </c>
      <c r="FS13" s="316">
        <v>0</v>
      </c>
      <c r="FT13" s="316">
        <v>0.106700373859</v>
      </c>
      <c r="FU13" s="316">
        <v>0</v>
      </c>
      <c r="FV13" s="1498">
        <v>0.86960528377400004</v>
      </c>
      <c r="FW13" s="316">
        <v>3.5280660226739999</v>
      </c>
      <c r="FX13" s="316">
        <v>0.61964839929799997</v>
      </c>
      <c r="FY13" s="316">
        <v>2.195106579645</v>
      </c>
      <c r="FZ13" s="316">
        <v>1.3696345967880001</v>
      </c>
      <c r="GA13" s="316">
        <v>1.260438374579</v>
      </c>
      <c r="GB13" s="316">
        <v>1.495084896944</v>
      </c>
      <c r="GC13" s="316">
        <v>0.62445635215200002</v>
      </c>
      <c r="GD13" s="316">
        <v>3.5535268257329999</v>
      </c>
      <c r="GE13" s="316">
        <v>11.140313286441</v>
      </c>
      <c r="GF13" s="316">
        <v>0.50131041203600002</v>
      </c>
      <c r="GG13" s="316">
        <v>3.925336123448</v>
      </c>
      <c r="GH13" s="316">
        <v>3.1383682738180001</v>
      </c>
      <c r="GI13" s="316"/>
      <c r="GJ13" s="316"/>
      <c r="GK13" s="316"/>
      <c r="GL13" s="316"/>
      <c r="GM13" s="316"/>
      <c r="GN13" s="316"/>
      <c r="GO13" s="316"/>
      <c r="GP13" s="316"/>
      <c r="GQ13" s="316"/>
      <c r="GR13" s="316"/>
      <c r="GS13" s="316"/>
      <c r="GT13" s="316"/>
      <c r="GU13" s="316"/>
      <c r="GV13" s="316"/>
      <c r="GW13" s="316"/>
      <c r="GX13" s="316"/>
      <c r="GY13" s="316"/>
      <c r="GZ13" s="316"/>
      <c r="HA13" s="316"/>
      <c r="HB13" s="316"/>
      <c r="HC13" s="316"/>
      <c r="HD13" s="316"/>
      <c r="HE13" s="316"/>
      <c r="HF13" s="316"/>
      <c r="HG13" s="316"/>
      <c r="HH13" s="316"/>
      <c r="HI13" s="316"/>
      <c r="HJ13" s="316"/>
      <c r="HK13" s="316"/>
      <c r="HL13" s="316"/>
      <c r="HM13" s="316"/>
      <c r="HV13" s="302">
        <f t="shared" ref="HV13:HV20" si="4">+SUM(DC13:DH13)</f>
        <v>9.3185797916700004</v>
      </c>
      <c r="HW13" s="302">
        <f t="shared" ref="HW13:HW20" si="5">+SUM(DI13:DN13)</f>
        <v>3.6246352471610002</v>
      </c>
      <c r="HX13" s="302">
        <f t="shared" si="2"/>
        <v>12.943215038831001</v>
      </c>
      <c r="HY13" s="302">
        <f t="shared" ref="HY13:HY20" si="6">SUM(DO13:DT13)</f>
        <v>13.078192098675999</v>
      </c>
      <c r="KH13" s="303"/>
    </row>
    <row r="14" spans="1:302" outlineLevel="1">
      <c r="B14" s="117" t="s">
        <v>361</v>
      </c>
      <c r="D14" s="319" t="s">
        <v>369</v>
      </c>
      <c r="E14" s="316"/>
      <c r="F14" s="316"/>
      <c r="G14" s="316"/>
      <c r="H14" s="316"/>
      <c r="I14" s="316"/>
      <c r="J14" s="316"/>
      <c r="K14" s="316"/>
      <c r="L14" s="316"/>
      <c r="M14" s="316"/>
      <c r="N14" s="316"/>
      <c r="O14" s="316"/>
      <c r="P14" s="316"/>
      <c r="Q14" s="316"/>
      <c r="R14" s="316"/>
      <c r="S14" s="316"/>
      <c r="T14" s="316"/>
      <c r="U14" s="316"/>
      <c r="V14" s="316"/>
      <c r="W14" s="316"/>
      <c r="X14" s="316"/>
      <c r="Y14" s="316"/>
      <c r="Z14" s="316"/>
      <c r="AA14" s="316"/>
      <c r="AB14" s="316"/>
      <c r="AC14" s="316"/>
      <c r="AD14" s="316"/>
      <c r="AE14" s="316"/>
      <c r="AF14" s="316"/>
      <c r="AG14" s="316"/>
      <c r="AH14" s="316"/>
      <c r="AI14" s="316"/>
      <c r="AJ14" s="316"/>
      <c r="AK14" s="316"/>
      <c r="AL14" s="316"/>
      <c r="AM14" s="316"/>
      <c r="AN14" s="316"/>
      <c r="AO14" s="316">
        <v>0.15121262838337154</v>
      </c>
      <c r="AP14" s="316">
        <v>0.40405211319615802</v>
      </c>
      <c r="AQ14" s="316">
        <v>0.5903355355383838</v>
      </c>
      <c r="AR14" s="316">
        <v>0.29547137039647092</v>
      </c>
      <c r="AS14" s="316">
        <v>0.38386617255405059</v>
      </c>
      <c r="AT14" s="316">
        <v>0.46619956910663252</v>
      </c>
      <c r="AU14" s="316">
        <v>0.15337404391303955</v>
      </c>
      <c r="AV14" s="316">
        <v>0.13470263292321874</v>
      </c>
      <c r="AW14" s="316">
        <v>0.17912753577734158</v>
      </c>
      <c r="AX14" s="316">
        <v>0.43778330096598655</v>
      </c>
      <c r="AY14" s="316">
        <v>0.47100094731048531</v>
      </c>
      <c r="AZ14" s="316">
        <v>0.28099531632912206</v>
      </c>
      <c r="BA14" s="316">
        <v>4.5865264276066971E-3</v>
      </c>
      <c r="BB14" s="316">
        <v>0.48653746224311117</v>
      </c>
      <c r="BC14" s="316">
        <v>0.35666118216098935</v>
      </c>
      <c r="BD14" s="316">
        <v>2.3132367976928369E-2</v>
      </c>
      <c r="BE14" s="316">
        <v>0.52205370462431422</v>
      </c>
      <c r="BF14" s="316">
        <v>0.52306999169352297</v>
      </c>
      <c r="BG14" s="316">
        <v>0.18022409874481357</v>
      </c>
      <c r="BH14" s="316">
        <v>0.38686132493004238</v>
      </c>
      <c r="BI14" s="316">
        <v>0.81361631362272702</v>
      </c>
      <c r="BJ14" s="316">
        <v>0</v>
      </c>
      <c r="BK14" s="316">
        <v>0.21851829468552719</v>
      </c>
      <c r="BL14" s="316">
        <v>0.13400371005617012</v>
      </c>
      <c r="BM14" s="316">
        <v>0</v>
      </c>
      <c r="BN14" s="316">
        <v>1.4556381421114177</v>
      </c>
      <c r="BO14" s="316">
        <v>4.4367182043520872E-2</v>
      </c>
      <c r="BP14" s="316">
        <v>0.23068983753588582</v>
      </c>
      <c r="BQ14" s="316">
        <v>0.1497630528638855</v>
      </c>
      <c r="BR14" s="316">
        <v>9.67376121194439E-2</v>
      </c>
      <c r="BS14" s="316">
        <v>0.15879861444307972</v>
      </c>
      <c r="BT14" s="316">
        <v>8.2079498445504592E-2</v>
      </c>
      <c r="BU14" s="316">
        <v>6.0481909197479039E-3</v>
      </c>
      <c r="BV14" s="316">
        <v>0.15490046903886867</v>
      </c>
      <c r="BW14" s="316">
        <v>0.45456886589353973</v>
      </c>
      <c r="BX14" s="316">
        <v>4.66932845368421E-2</v>
      </c>
      <c r="BY14" s="316">
        <v>0.159343598</v>
      </c>
      <c r="BZ14" s="316">
        <v>8.5260111E-2</v>
      </c>
      <c r="CA14" s="316">
        <v>3.4782216999999997E-2</v>
      </c>
      <c r="CB14" s="316">
        <v>0.58702941200000003</v>
      </c>
      <c r="CC14" s="316">
        <v>0.12740231699999999</v>
      </c>
      <c r="CD14" s="316">
        <v>5.4149111999999999E-2</v>
      </c>
      <c r="CE14" s="317">
        <v>0.49624851599999997</v>
      </c>
      <c r="CF14" s="316">
        <v>1.5832816999999999E-2</v>
      </c>
      <c r="CG14" s="316">
        <v>0.91986201899999998</v>
      </c>
      <c r="CH14" s="316">
        <v>7.8370711999999995E-2</v>
      </c>
      <c r="CI14" s="316">
        <v>0.60025536000000002</v>
      </c>
      <c r="CJ14" s="316">
        <v>2.361924E-2</v>
      </c>
      <c r="CK14" s="316">
        <v>0</v>
      </c>
      <c r="CL14" s="316">
        <v>0.31045328816900003</v>
      </c>
      <c r="CM14" s="316">
        <v>1.021182253583</v>
      </c>
      <c r="CN14" s="316">
        <v>0.96312723010000001</v>
      </c>
      <c r="CO14" s="316">
        <v>0.74302963183199999</v>
      </c>
      <c r="CP14" s="318">
        <v>0</v>
      </c>
      <c r="CQ14" s="316">
        <v>0</v>
      </c>
      <c r="CR14" s="316">
        <v>0.76723446345699997</v>
      </c>
      <c r="CS14" s="316">
        <v>0.98649587605000011</v>
      </c>
      <c r="CT14" s="316">
        <v>0</v>
      </c>
      <c r="CU14" s="316">
        <v>0.68849808205999996</v>
      </c>
      <c r="CV14" s="316">
        <v>1.365995890842</v>
      </c>
      <c r="CW14" s="316">
        <v>1.047519147981</v>
      </c>
      <c r="CX14" s="316">
        <v>0.23521032178199999</v>
      </c>
      <c r="CY14" s="316">
        <v>0</v>
      </c>
      <c r="CZ14" s="316">
        <v>0.41967274927699999</v>
      </c>
      <c r="DA14" s="316">
        <v>0.41072906142900001</v>
      </c>
      <c r="DB14" s="1498">
        <v>0.76524943692299996</v>
      </c>
      <c r="DC14" s="316">
        <v>0</v>
      </c>
      <c r="DD14" s="316">
        <v>0</v>
      </c>
      <c r="DE14" s="316">
        <v>0.49584901991199998</v>
      </c>
      <c r="DF14" s="316">
        <v>0</v>
      </c>
      <c r="DG14" s="316">
        <v>0.82307524964500001</v>
      </c>
      <c r="DH14" s="316">
        <v>0</v>
      </c>
      <c r="DI14" s="316">
        <v>0.54413688209</v>
      </c>
      <c r="DJ14" s="316">
        <v>0.87984006774899992</v>
      </c>
      <c r="DK14" s="316">
        <v>0.26914333848799998</v>
      </c>
      <c r="DL14" s="316">
        <v>0.76994738925100004</v>
      </c>
      <c r="DM14" s="316">
        <v>0</v>
      </c>
      <c r="DN14" s="318">
        <v>0.62876480249</v>
      </c>
      <c r="DO14" s="316">
        <v>0</v>
      </c>
      <c r="DP14" s="316">
        <v>0</v>
      </c>
      <c r="DQ14" s="316">
        <v>1.0632502633680001</v>
      </c>
      <c r="DR14" s="316">
        <v>0</v>
      </c>
      <c r="DS14" s="316">
        <v>0.56147823166700006</v>
      </c>
      <c r="DT14" s="316">
        <v>1.580026E-2</v>
      </c>
      <c r="DU14" s="316">
        <v>1.1463625985129999</v>
      </c>
      <c r="DV14" s="316">
        <v>0.111353198485</v>
      </c>
      <c r="DW14" s="316">
        <v>0</v>
      </c>
      <c r="DX14" s="316">
        <v>0</v>
      </c>
      <c r="DY14" s="316">
        <v>0</v>
      </c>
      <c r="DZ14" s="318">
        <v>0</v>
      </c>
      <c r="EA14" s="316">
        <v>4.6218510147080005</v>
      </c>
      <c r="EB14" s="316">
        <v>0</v>
      </c>
      <c r="EC14" s="316">
        <v>0</v>
      </c>
      <c r="ED14" s="316">
        <v>0</v>
      </c>
      <c r="EE14" s="316">
        <v>1.813387635325</v>
      </c>
      <c r="EF14" s="316">
        <v>2.4034539212729999</v>
      </c>
      <c r="EG14" s="316">
        <v>0</v>
      </c>
      <c r="EH14" s="316">
        <v>0</v>
      </c>
      <c r="EI14" s="316">
        <v>0.85907526114999999</v>
      </c>
      <c r="EJ14" s="316">
        <v>0.97360889527600003</v>
      </c>
      <c r="EK14" s="316">
        <v>0</v>
      </c>
      <c r="EL14" s="318">
        <v>1.738330080328</v>
      </c>
      <c r="EM14" s="1206">
        <v>1.9306169420399999</v>
      </c>
      <c r="EN14" s="1206">
        <v>0.81286479060899997</v>
      </c>
      <c r="EO14" s="1206">
        <v>0</v>
      </c>
      <c r="EP14" s="1206">
        <v>0.78326335962899996</v>
      </c>
      <c r="EQ14" s="1206">
        <v>0</v>
      </c>
      <c r="ER14" s="1206">
        <v>0</v>
      </c>
      <c r="ES14" s="1206">
        <v>1.6214632490810001</v>
      </c>
      <c r="ET14" s="1206">
        <v>1.8948252522390001</v>
      </c>
      <c r="EU14" s="1206">
        <v>0.974874216834</v>
      </c>
      <c r="EV14" s="1206">
        <v>2.3283352503999999</v>
      </c>
      <c r="EW14" s="1206">
        <v>0.70247521909900001</v>
      </c>
      <c r="EX14" s="1550">
        <v>2.438829625546</v>
      </c>
      <c r="EY14" s="1206"/>
      <c r="EZ14" s="1206"/>
      <c r="FA14" s="1206"/>
      <c r="FB14" s="1206"/>
      <c r="FC14" s="1206"/>
      <c r="FD14" s="1206"/>
      <c r="FE14" s="1206"/>
      <c r="FF14" s="1206"/>
      <c r="FG14" s="1206"/>
      <c r="FH14" s="1206"/>
      <c r="FI14" s="1206"/>
      <c r="FJ14" s="1550"/>
      <c r="FK14" s="1206">
        <v>0.44280816804000001</v>
      </c>
      <c r="FL14" s="1206">
        <v>0.81206731599899995</v>
      </c>
      <c r="FM14" s="1206">
        <v>1.7493690011359999</v>
      </c>
      <c r="FN14" s="1206">
        <v>1.002382818689</v>
      </c>
      <c r="FO14" s="1206">
        <v>0.37275386200400001</v>
      </c>
      <c r="FP14" s="1206">
        <v>1.049282897354</v>
      </c>
      <c r="FQ14" s="316">
        <v>1.800158455117</v>
      </c>
      <c r="FR14" s="316">
        <v>0.75912669339899996</v>
      </c>
      <c r="FS14" s="316">
        <v>4.9279119313940001</v>
      </c>
      <c r="FT14" s="316">
        <v>5.3178165647190001</v>
      </c>
      <c r="FU14" s="316">
        <v>2.605270743862</v>
      </c>
      <c r="FV14" s="1498">
        <v>6.1800606386219998</v>
      </c>
      <c r="FW14" s="316">
        <v>1.989558949691</v>
      </c>
      <c r="FX14" s="316">
        <v>1.006461941889</v>
      </c>
      <c r="FY14" s="316" t="s">
        <v>821</v>
      </c>
      <c r="FZ14" s="316">
        <v>1.765058101493</v>
      </c>
      <c r="GA14" s="316">
        <v>2.1901079727150004</v>
      </c>
      <c r="GB14" s="316">
        <v>2.9452805239109998</v>
      </c>
      <c r="GC14" s="316">
        <v>0</v>
      </c>
      <c r="GD14" s="316">
        <v>2.5872853970460001</v>
      </c>
      <c r="GE14" s="316">
        <v>0</v>
      </c>
      <c r="GF14" s="316">
        <v>2.1750678848639997</v>
      </c>
      <c r="GG14" s="316">
        <v>0</v>
      </c>
      <c r="GH14" s="316">
        <v>5.0316258258820001</v>
      </c>
      <c r="GI14" s="316"/>
      <c r="GJ14" s="316"/>
      <c r="GK14" s="316"/>
      <c r="GL14" s="316"/>
      <c r="GM14" s="316"/>
      <c r="GN14" s="316"/>
      <c r="GO14" s="316"/>
      <c r="GP14" s="316"/>
      <c r="GQ14" s="316"/>
      <c r="GR14" s="316"/>
      <c r="GS14" s="316"/>
      <c r="GT14" s="316"/>
      <c r="GU14" s="316"/>
      <c r="GV14" s="316"/>
      <c r="GW14" s="316"/>
      <c r="GX14" s="316"/>
      <c r="GY14" s="316"/>
      <c r="GZ14" s="316"/>
      <c r="HA14" s="316"/>
      <c r="HB14" s="316"/>
      <c r="HC14" s="316"/>
      <c r="HD14" s="316"/>
      <c r="HE14" s="316"/>
      <c r="HF14" s="316"/>
      <c r="HG14" s="316"/>
      <c r="HH14" s="316"/>
      <c r="HI14" s="316"/>
      <c r="HJ14" s="316"/>
      <c r="HK14" s="316"/>
      <c r="HL14" s="316"/>
      <c r="HM14" s="316"/>
      <c r="HV14" s="302">
        <f t="shared" si="4"/>
        <v>1.318924269557</v>
      </c>
      <c r="HW14" s="302">
        <f t="shared" si="5"/>
        <v>3.0918324800680002</v>
      </c>
      <c r="HX14" s="302">
        <f t="shared" si="2"/>
        <v>4.4107567496250004</v>
      </c>
      <c r="HY14" s="302">
        <f t="shared" si="6"/>
        <v>1.6405287550350003</v>
      </c>
      <c r="KH14" s="303"/>
    </row>
    <row r="15" spans="1:302" outlineLevel="1">
      <c r="B15" s="117" t="s">
        <v>361</v>
      </c>
      <c r="D15" s="319" t="s">
        <v>370</v>
      </c>
      <c r="E15" s="316"/>
      <c r="F15" s="316"/>
      <c r="G15" s="316"/>
      <c r="H15" s="316"/>
      <c r="I15" s="316"/>
      <c r="J15" s="316"/>
      <c r="K15" s="316"/>
      <c r="L15" s="316"/>
      <c r="M15" s="316"/>
      <c r="N15" s="316"/>
      <c r="O15" s="316"/>
      <c r="P15" s="316"/>
      <c r="Q15" s="316"/>
      <c r="R15" s="316"/>
      <c r="S15" s="316"/>
      <c r="T15" s="316"/>
      <c r="U15" s="316"/>
      <c r="V15" s="316"/>
      <c r="W15" s="316"/>
      <c r="X15" s="316"/>
      <c r="Y15" s="316"/>
      <c r="Z15" s="316"/>
      <c r="AA15" s="316"/>
      <c r="AB15" s="316"/>
      <c r="AC15" s="316"/>
      <c r="AD15" s="316"/>
      <c r="AE15" s="316"/>
      <c r="AF15" s="316"/>
      <c r="AG15" s="316"/>
      <c r="AH15" s="316"/>
      <c r="AI15" s="316"/>
      <c r="AJ15" s="316"/>
      <c r="AK15" s="316"/>
      <c r="AL15" s="316"/>
      <c r="AM15" s="316"/>
      <c r="AN15" s="316"/>
      <c r="AO15" s="316">
        <v>0</v>
      </c>
      <c r="AP15" s="316">
        <v>0</v>
      </c>
      <c r="AQ15" s="316">
        <v>5.5145709689639673E-2</v>
      </c>
      <c r="AR15" s="316">
        <v>0</v>
      </c>
      <c r="AS15" s="316">
        <v>0</v>
      </c>
      <c r="AT15" s="316">
        <v>3.8856512545183117E-2</v>
      </c>
      <c r="AU15" s="316">
        <v>0</v>
      </c>
      <c r="AV15" s="316">
        <v>0</v>
      </c>
      <c r="AW15" s="316">
        <v>0</v>
      </c>
      <c r="AX15" s="316">
        <v>0</v>
      </c>
      <c r="AY15" s="316">
        <v>0</v>
      </c>
      <c r="AZ15" s="316">
        <v>0</v>
      </c>
      <c r="BA15" s="316">
        <v>1.4362426939984267</v>
      </c>
      <c r="BB15" s="316">
        <v>0</v>
      </c>
      <c r="BC15" s="316">
        <v>0.56042527854030633</v>
      </c>
      <c r="BD15" s="316">
        <v>0.16064419107766489</v>
      </c>
      <c r="BE15" s="316">
        <v>6.0116321268729379E-2</v>
      </c>
      <c r="BF15" s="316">
        <v>0</v>
      </c>
      <c r="BG15" s="316">
        <v>0.83627570918513494</v>
      </c>
      <c r="BH15" s="316">
        <v>3.4356642175975165E-2</v>
      </c>
      <c r="BI15" s="316">
        <v>0</v>
      </c>
      <c r="BJ15" s="316">
        <v>0</v>
      </c>
      <c r="BK15" s="316">
        <v>1.0730895220860011</v>
      </c>
      <c r="BL15" s="316">
        <v>0.39148079538299901</v>
      </c>
      <c r="BM15" s="316">
        <v>0</v>
      </c>
      <c r="BN15" s="316">
        <v>0</v>
      </c>
      <c r="BO15" s="316">
        <v>0</v>
      </c>
      <c r="BP15" s="316">
        <v>5.9421745656795817E-2</v>
      </c>
      <c r="BQ15" s="316">
        <v>0</v>
      </c>
      <c r="BR15" s="316">
        <v>0</v>
      </c>
      <c r="BS15" s="316">
        <v>0</v>
      </c>
      <c r="BT15" s="316">
        <v>2.9062114096645008E-2</v>
      </c>
      <c r="BU15" s="316">
        <v>3.1387285514865131E-2</v>
      </c>
      <c r="BV15" s="316">
        <v>1.7091670804216429E-2</v>
      </c>
      <c r="BW15" s="316">
        <v>3.3831056593174383E-2</v>
      </c>
      <c r="BX15" s="316">
        <v>0.2363882549641034</v>
      </c>
      <c r="BY15" s="316">
        <v>9.9147664999999996E-2</v>
      </c>
      <c r="BZ15" s="316">
        <v>0</v>
      </c>
      <c r="CA15" s="316">
        <v>0</v>
      </c>
      <c r="CB15" s="316">
        <v>0.227307907</v>
      </c>
      <c r="CC15" s="316">
        <v>0.111897128</v>
      </c>
      <c r="CD15" s="316">
        <v>0.636716748</v>
      </c>
      <c r="CE15" s="317">
        <v>0</v>
      </c>
      <c r="CF15" s="316">
        <v>0.111963807</v>
      </c>
      <c r="CG15" s="316">
        <v>0.16341673200000001</v>
      </c>
      <c r="CH15" s="316">
        <v>0</v>
      </c>
      <c r="CI15" s="316">
        <v>4.7216342000000001E-2</v>
      </c>
      <c r="CJ15" s="316">
        <v>0</v>
      </c>
      <c r="CK15" s="316">
        <v>4.5068199963000002E-2</v>
      </c>
      <c r="CL15" s="316">
        <v>0</v>
      </c>
      <c r="CM15" s="316">
        <v>0.57428198502600003</v>
      </c>
      <c r="CN15" s="316">
        <v>6.4206444897000003E-2</v>
      </c>
      <c r="CO15" s="316">
        <v>0</v>
      </c>
      <c r="CP15" s="318">
        <v>0.68579579402799995</v>
      </c>
      <c r="CQ15" s="316">
        <v>0</v>
      </c>
      <c r="CR15" s="316">
        <v>0</v>
      </c>
      <c r="CS15" s="316">
        <v>0.86522042536900001</v>
      </c>
      <c r="CT15" s="316">
        <v>0.39645159378600003</v>
      </c>
      <c r="CU15" s="316">
        <v>0.28064657799999998</v>
      </c>
      <c r="CV15" s="316">
        <v>0.18965442298500002</v>
      </c>
      <c r="CW15" s="316">
        <v>0</v>
      </c>
      <c r="CX15" s="316">
        <v>8.1037126429999995E-3</v>
      </c>
      <c r="CY15" s="316">
        <v>0.43331470500000002</v>
      </c>
      <c r="CZ15" s="316">
        <v>0.72874135900000003</v>
      </c>
      <c r="DA15" s="316">
        <v>0.58992677946599992</v>
      </c>
      <c r="DB15" s="1498">
        <v>3.9106876277000005E-2</v>
      </c>
      <c r="DC15" s="316">
        <v>0.39297279852299999</v>
      </c>
      <c r="DD15" s="316">
        <v>0.31874791800000002</v>
      </c>
      <c r="DE15" s="316">
        <v>1.807316938836</v>
      </c>
      <c r="DF15" s="316">
        <v>0</v>
      </c>
      <c r="DG15" s="316">
        <v>0</v>
      </c>
      <c r="DH15" s="316">
        <v>0</v>
      </c>
      <c r="DI15" s="316">
        <v>0.39636885064999999</v>
      </c>
      <c r="DJ15" s="316">
        <v>0</v>
      </c>
      <c r="DK15" s="316">
        <v>0</v>
      </c>
      <c r="DL15" s="316">
        <v>0</v>
      </c>
      <c r="DM15" s="316">
        <v>0</v>
      </c>
      <c r="DN15" s="318">
        <v>0</v>
      </c>
      <c r="DO15" s="316">
        <v>0.69421433991900006</v>
      </c>
      <c r="DP15" s="316">
        <v>0</v>
      </c>
      <c r="DQ15" s="316">
        <v>0</v>
      </c>
      <c r="DR15" s="316">
        <v>0.83719511631099996</v>
      </c>
      <c r="DS15" s="316">
        <v>0</v>
      </c>
      <c r="DT15" s="316">
        <v>0.47036653392700001</v>
      </c>
      <c r="DU15" s="316">
        <v>0</v>
      </c>
      <c r="DV15" s="316">
        <v>0</v>
      </c>
      <c r="DW15" s="316">
        <v>0</v>
      </c>
      <c r="DX15" s="316">
        <v>0</v>
      </c>
      <c r="DY15" s="316">
        <v>0.44656365122300001</v>
      </c>
      <c r="DZ15" s="318">
        <v>0.56836205627500003</v>
      </c>
      <c r="EA15" s="316">
        <v>0.19964822262500001</v>
      </c>
      <c r="EB15" s="316">
        <v>0</v>
      </c>
      <c r="EC15" s="316">
        <v>0</v>
      </c>
      <c r="ED15" s="316">
        <v>0</v>
      </c>
      <c r="EE15" s="316">
        <v>0.34008854236699998</v>
      </c>
      <c r="EF15" s="316">
        <v>1.0501174047719999</v>
      </c>
      <c r="EG15" s="316">
        <v>0</v>
      </c>
      <c r="EH15" s="316">
        <v>0</v>
      </c>
      <c r="EI15" s="316">
        <v>0</v>
      </c>
      <c r="EJ15" s="316">
        <v>1.5901740747240001</v>
      </c>
      <c r="EK15" s="316">
        <v>0.63152250721600001</v>
      </c>
      <c r="EL15" s="318">
        <v>0</v>
      </c>
      <c r="EM15" s="1206">
        <v>0.54756133911000004</v>
      </c>
      <c r="EN15" s="1206">
        <v>0.245538131785</v>
      </c>
      <c r="EO15" s="1206">
        <v>0</v>
      </c>
      <c r="EP15" s="1206">
        <v>0.69634819987899998</v>
      </c>
      <c r="EQ15" s="1206">
        <v>5.9589602999999998E-2</v>
      </c>
      <c r="ER15" s="1206">
        <v>0</v>
      </c>
      <c r="ES15" s="1206">
        <v>1.680571919668</v>
      </c>
      <c r="ET15" s="1206">
        <v>0</v>
      </c>
      <c r="EU15" s="1206">
        <v>0.39788917029299997</v>
      </c>
      <c r="EV15" s="1206">
        <v>0.93053961782200001</v>
      </c>
      <c r="EW15" s="1206">
        <v>4.1044339999999999E-2</v>
      </c>
      <c r="EX15" s="1550">
        <v>0.58190508402100005</v>
      </c>
      <c r="EY15" s="1206"/>
      <c r="EZ15" s="1206"/>
      <c r="FA15" s="1206"/>
      <c r="FB15" s="1206"/>
      <c r="FC15" s="1206"/>
      <c r="FD15" s="1206"/>
      <c r="FE15" s="1206"/>
      <c r="FF15" s="1206"/>
      <c r="FG15" s="1206"/>
      <c r="FH15" s="1206"/>
      <c r="FI15" s="1206"/>
      <c r="FJ15" s="1550"/>
      <c r="FK15" s="1206">
        <v>0.840430022469</v>
      </c>
      <c r="FL15" s="1206">
        <v>0.17260172285800002</v>
      </c>
      <c r="FM15" s="1206">
        <v>0.33301274801800002</v>
      </c>
      <c r="FN15" s="1206">
        <v>0.48383616511400002</v>
      </c>
      <c r="FO15" s="1206">
        <v>0.44761951201599998</v>
      </c>
      <c r="FP15" s="1206">
        <v>0.8889884954809999</v>
      </c>
      <c r="FQ15" s="316">
        <v>0</v>
      </c>
      <c r="FR15" s="316">
        <v>0</v>
      </c>
      <c r="FS15" s="316">
        <v>3.9308362146799998</v>
      </c>
      <c r="FT15" s="316">
        <v>2.4134086697880002</v>
      </c>
      <c r="FU15" s="316">
        <v>0</v>
      </c>
      <c r="FV15" s="1498">
        <v>1.684519010099</v>
      </c>
      <c r="FW15" s="316">
        <v>0.99299984325599999</v>
      </c>
      <c r="FX15" s="316">
        <v>0.12528313899999999</v>
      </c>
      <c r="FY15" s="316">
        <v>2.4417442177959998</v>
      </c>
      <c r="FZ15" s="316">
        <v>0.51298695462099997</v>
      </c>
      <c r="GA15" s="316">
        <v>0</v>
      </c>
      <c r="GB15" s="316">
        <v>0.92428405999999996</v>
      </c>
      <c r="GC15" s="316">
        <v>0.49298856232900001</v>
      </c>
      <c r="GD15" s="316">
        <v>0</v>
      </c>
      <c r="GE15" s="316">
        <v>0</v>
      </c>
      <c r="GF15" s="316">
        <v>0.55951096486600005</v>
      </c>
      <c r="GG15" s="316">
        <v>0</v>
      </c>
      <c r="GH15" s="316">
        <v>0.31547917483799998</v>
      </c>
      <c r="GI15" s="316"/>
      <c r="GJ15" s="316"/>
      <c r="GK15" s="316"/>
      <c r="GL15" s="316"/>
      <c r="GM15" s="316"/>
      <c r="GN15" s="316"/>
      <c r="GO15" s="316"/>
      <c r="GP15" s="316"/>
      <c r="GQ15" s="316"/>
      <c r="GR15" s="316"/>
      <c r="GS15" s="316"/>
      <c r="GT15" s="316"/>
      <c r="GU15" s="316"/>
      <c r="GV15" s="316"/>
      <c r="GW15" s="316"/>
      <c r="GX15" s="316"/>
      <c r="GY15" s="316"/>
      <c r="GZ15" s="316"/>
      <c r="HA15" s="316"/>
      <c r="HB15" s="316"/>
      <c r="HC15" s="316"/>
      <c r="HD15" s="316"/>
      <c r="HE15" s="316"/>
      <c r="HF15" s="316"/>
      <c r="HG15" s="316"/>
      <c r="HH15" s="316"/>
      <c r="HI15" s="316"/>
      <c r="HJ15" s="316"/>
      <c r="HK15" s="316"/>
      <c r="HL15" s="316"/>
      <c r="HM15" s="316"/>
      <c r="HV15" s="302">
        <f t="shared" si="4"/>
        <v>2.5190376553589999</v>
      </c>
      <c r="HW15" s="302">
        <f t="shared" si="5"/>
        <v>0.39636885064999999</v>
      </c>
      <c r="HX15" s="302">
        <f t="shared" si="2"/>
        <v>2.915406506009</v>
      </c>
      <c r="HY15" s="302">
        <f t="shared" si="6"/>
        <v>2.0017759901570003</v>
      </c>
      <c r="KH15" s="303"/>
    </row>
    <row r="16" spans="1:302" outlineLevel="1">
      <c r="B16" s="117" t="s">
        <v>361</v>
      </c>
      <c r="D16" s="319" t="s">
        <v>371</v>
      </c>
      <c r="E16" s="316"/>
      <c r="F16" s="316"/>
      <c r="G16" s="316"/>
      <c r="H16" s="316"/>
      <c r="I16" s="316"/>
      <c r="J16" s="316"/>
      <c r="K16" s="316"/>
      <c r="L16" s="316"/>
      <c r="M16" s="316"/>
      <c r="N16" s="316"/>
      <c r="O16" s="316"/>
      <c r="P16" s="316"/>
      <c r="Q16" s="316"/>
      <c r="R16" s="316"/>
      <c r="S16" s="316"/>
      <c r="T16" s="316"/>
      <c r="U16" s="316"/>
      <c r="V16" s="316"/>
      <c r="W16" s="316"/>
      <c r="X16" s="316"/>
      <c r="Y16" s="316"/>
      <c r="Z16" s="316"/>
      <c r="AA16" s="316"/>
      <c r="AB16" s="316"/>
      <c r="AC16" s="316"/>
      <c r="AD16" s="316"/>
      <c r="AE16" s="316"/>
      <c r="AF16" s="316"/>
      <c r="AG16" s="316"/>
      <c r="AH16" s="316"/>
      <c r="AI16" s="316"/>
      <c r="AJ16" s="316"/>
      <c r="AK16" s="316"/>
      <c r="AL16" s="316"/>
      <c r="AM16" s="316"/>
      <c r="AN16" s="316"/>
      <c r="AO16" s="316">
        <v>0</v>
      </c>
      <c r="AP16" s="316">
        <v>0</v>
      </c>
      <c r="AQ16" s="316">
        <v>0.30836062464245823</v>
      </c>
      <c r="AR16" s="316">
        <v>0</v>
      </c>
      <c r="AS16" s="316">
        <v>0</v>
      </c>
      <c r="AT16" s="316">
        <v>0</v>
      </c>
      <c r="AU16" s="316">
        <v>0</v>
      </c>
      <c r="AV16" s="316">
        <v>0</v>
      </c>
      <c r="AW16" s="316">
        <v>0</v>
      </c>
      <c r="AX16" s="316">
        <v>0.15638905726962565</v>
      </c>
      <c r="AY16" s="316">
        <v>0</v>
      </c>
      <c r="AZ16" s="316">
        <v>0</v>
      </c>
      <c r="BA16" s="316">
        <v>0</v>
      </c>
      <c r="BB16" s="316">
        <v>0</v>
      </c>
      <c r="BC16" s="316">
        <v>0</v>
      </c>
      <c r="BD16" s="316">
        <v>0</v>
      </c>
      <c r="BE16" s="316">
        <v>0</v>
      </c>
      <c r="BF16" s="316">
        <v>0</v>
      </c>
      <c r="BG16" s="316">
        <v>0</v>
      </c>
      <c r="BH16" s="316">
        <v>0</v>
      </c>
      <c r="BI16" s="316">
        <v>0</v>
      </c>
      <c r="BJ16" s="316">
        <v>0</v>
      </c>
      <c r="BK16" s="316">
        <v>0</v>
      </c>
      <c r="BL16" s="316">
        <v>0</v>
      </c>
      <c r="BM16" s="316">
        <v>0</v>
      </c>
      <c r="BN16" s="316">
        <v>0</v>
      </c>
      <c r="BO16" s="316">
        <v>0</v>
      </c>
      <c r="BP16" s="316">
        <v>0</v>
      </c>
      <c r="BQ16" s="316">
        <v>0</v>
      </c>
      <c r="BR16" s="316">
        <v>0</v>
      </c>
      <c r="BS16" s="316">
        <v>0</v>
      </c>
      <c r="BT16" s="316">
        <v>0</v>
      </c>
      <c r="BU16" s="316">
        <v>0</v>
      </c>
      <c r="BV16" s="316">
        <v>0</v>
      </c>
      <c r="BW16" s="316">
        <v>0</v>
      </c>
      <c r="BX16" s="316">
        <v>0</v>
      </c>
      <c r="BY16" s="316">
        <v>0</v>
      </c>
      <c r="BZ16" s="316">
        <v>0</v>
      </c>
      <c r="CA16" s="316">
        <v>0</v>
      </c>
      <c r="CB16" s="316">
        <v>0</v>
      </c>
      <c r="CC16" s="316">
        <v>0</v>
      </c>
      <c r="CD16" s="316">
        <v>0</v>
      </c>
      <c r="CE16" s="317">
        <v>0</v>
      </c>
      <c r="CF16" s="316">
        <v>0</v>
      </c>
      <c r="CG16" s="316">
        <v>0</v>
      </c>
      <c r="CH16" s="316">
        <v>0</v>
      </c>
      <c r="CI16" s="316">
        <v>0</v>
      </c>
      <c r="CJ16" s="316">
        <v>0.13881025699999999</v>
      </c>
      <c r="CK16" s="316">
        <v>0.10178113997400001</v>
      </c>
      <c r="CL16" s="316">
        <v>3.4927264475000004E-2</v>
      </c>
      <c r="CM16" s="316">
        <v>3.0593679925000002E-2</v>
      </c>
      <c r="CN16" s="316">
        <v>0</v>
      </c>
      <c r="CO16" s="316">
        <v>0</v>
      </c>
      <c r="CP16" s="318">
        <v>0</v>
      </c>
      <c r="CQ16" s="316">
        <v>0</v>
      </c>
      <c r="CR16" s="316">
        <v>0</v>
      </c>
      <c r="CS16" s="316">
        <v>0</v>
      </c>
      <c r="CT16" s="316">
        <v>0</v>
      </c>
      <c r="CU16" s="316">
        <v>0</v>
      </c>
      <c r="CV16" s="316">
        <v>0</v>
      </c>
      <c r="CW16" s="316">
        <v>0</v>
      </c>
      <c r="CX16" s="316">
        <v>0</v>
      </c>
      <c r="CY16" s="316">
        <v>0</v>
      </c>
      <c r="CZ16" s="316">
        <v>0</v>
      </c>
      <c r="DA16" s="316">
        <v>0</v>
      </c>
      <c r="DB16" s="1498">
        <v>0</v>
      </c>
      <c r="DC16" s="316">
        <v>0</v>
      </c>
      <c r="DD16" s="316">
        <v>0.22555105915999998</v>
      </c>
      <c r="DE16" s="316">
        <v>0</v>
      </c>
      <c r="DF16" s="316">
        <v>2.7255230151100003</v>
      </c>
      <c r="DG16" s="316">
        <v>0</v>
      </c>
      <c r="DH16" s="316">
        <v>0</v>
      </c>
      <c r="DI16" s="316">
        <v>0</v>
      </c>
      <c r="DJ16" s="316">
        <v>0.2392511618</v>
      </c>
      <c r="DK16" s="316">
        <v>0</v>
      </c>
      <c r="DL16" s="316">
        <v>0</v>
      </c>
      <c r="DM16" s="316">
        <v>0.58986174650000001</v>
      </c>
      <c r="DN16" s="318">
        <v>0</v>
      </c>
      <c r="DO16" s="316">
        <v>0</v>
      </c>
      <c r="DP16" s="316">
        <v>0</v>
      </c>
      <c r="DQ16" s="316">
        <v>0</v>
      </c>
      <c r="DR16" s="316">
        <v>0</v>
      </c>
      <c r="DS16" s="316">
        <v>1.3786968727620001</v>
      </c>
      <c r="DT16" s="316">
        <v>0.27185621597299997</v>
      </c>
      <c r="DU16" s="316">
        <v>0.56699715055299993</v>
      </c>
      <c r="DV16" s="316">
        <v>0.295197205071</v>
      </c>
      <c r="DW16" s="316">
        <v>0.9800665630319999</v>
      </c>
      <c r="DX16" s="316">
        <v>0.85589401307000001</v>
      </c>
      <c r="DY16" s="316">
        <v>0.32095934085900002</v>
      </c>
      <c r="DZ16" s="318">
        <v>0.20591534028299999</v>
      </c>
      <c r="EA16" s="316">
        <v>0.35360736174500002</v>
      </c>
      <c r="EB16" s="316">
        <v>1.5075551773410001</v>
      </c>
      <c r="EC16" s="316">
        <v>8.7778389078999999E-2</v>
      </c>
      <c r="ED16" s="316">
        <v>0.32602503338200001</v>
      </c>
      <c r="EE16" s="316">
        <v>0.50780080967300001</v>
      </c>
      <c r="EF16" s="316">
        <v>0.74201893375600003</v>
      </c>
      <c r="EG16" s="316">
        <v>0.22591377923</v>
      </c>
      <c r="EH16" s="316">
        <v>9.4684850000000001E-2</v>
      </c>
      <c r="EI16" s="316">
        <v>0.85160641731300002</v>
      </c>
      <c r="EJ16" s="316">
        <v>0.152956887806</v>
      </c>
      <c r="EK16" s="316">
        <v>0.35203509069</v>
      </c>
      <c r="EL16" s="318">
        <v>0.29074056025099998</v>
      </c>
      <c r="EM16" s="1206">
        <v>0.97738845805599994</v>
      </c>
      <c r="EN16" s="1206">
        <v>2.6186236510000002E-2</v>
      </c>
      <c r="EO16" s="1206">
        <v>0.11514031550499999</v>
      </c>
      <c r="EP16" s="1206">
        <v>0.8309283364429999</v>
      </c>
      <c r="EQ16" s="1206">
        <v>0.34972738640899997</v>
      </c>
      <c r="ER16" s="1206">
        <v>1.262201904089</v>
      </c>
      <c r="ES16" s="1206">
        <v>0.32840445906900001</v>
      </c>
      <c r="ET16" s="1206">
        <v>0.66767252266599997</v>
      </c>
      <c r="EU16" s="1206">
        <v>0</v>
      </c>
      <c r="EV16" s="1206">
        <v>0.35159372478100004</v>
      </c>
      <c r="EW16" s="1206">
        <v>0.47149621695900001</v>
      </c>
      <c r="EX16" s="1550">
        <v>2.7868466803429999</v>
      </c>
      <c r="EY16" s="1206"/>
      <c r="EZ16" s="1206"/>
      <c r="FA16" s="1206"/>
      <c r="FB16" s="1206"/>
      <c r="FC16" s="1206"/>
      <c r="FD16" s="1206"/>
      <c r="FE16" s="1206"/>
      <c r="FF16" s="1206"/>
      <c r="FG16" s="1206"/>
      <c r="FH16" s="1206"/>
      <c r="FI16" s="1206"/>
      <c r="FJ16" s="1550"/>
      <c r="FK16" s="1206">
        <v>1.8626267087969999</v>
      </c>
      <c r="FL16" s="1206">
        <v>1.811210023671</v>
      </c>
      <c r="FM16" s="1206">
        <v>0.37321769487599998</v>
      </c>
      <c r="FN16" s="1206" t="s">
        <v>821</v>
      </c>
      <c r="FO16" s="1206">
        <v>2.4209464606590001</v>
      </c>
      <c r="FP16" s="1206">
        <v>0.25096082383000001</v>
      </c>
      <c r="FQ16" s="316">
        <v>0</v>
      </c>
      <c r="FR16" s="316">
        <v>0.45617892798199999</v>
      </c>
      <c r="FS16" s="316">
        <v>0.63408395614699997</v>
      </c>
      <c r="FT16" s="316">
        <v>0.55448333623000001</v>
      </c>
      <c r="FU16" s="316">
        <v>0.37194545728899997</v>
      </c>
      <c r="FV16" s="1498">
        <v>0.68865482595000005</v>
      </c>
      <c r="FW16" s="316" t="s">
        <v>821</v>
      </c>
      <c r="FX16" s="316">
        <v>0.84203425015400002</v>
      </c>
      <c r="FY16" s="316">
        <v>1.211814815408</v>
      </c>
      <c r="FZ16" s="316">
        <v>1.661089649849</v>
      </c>
      <c r="GA16" s="316">
        <v>0</v>
      </c>
      <c r="GB16" s="316">
        <v>0</v>
      </c>
      <c r="GC16" s="316">
        <v>0</v>
      </c>
      <c r="GD16" s="316">
        <v>0</v>
      </c>
      <c r="GE16" s="316">
        <v>0</v>
      </c>
      <c r="GF16" s="316">
        <v>0</v>
      </c>
      <c r="GG16" s="316">
        <v>0</v>
      </c>
      <c r="GH16" s="316">
        <v>0</v>
      </c>
      <c r="GI16" s="316"/>
      <c r="GJ16" s="316"/>
      <c r="GK16" s="316"/>
      <c r="GL16" s="316"/>
      <c r="GM16" s="316"/>
      <c r="GN16" s="316"/>
      <c r="GO16" s="316"/>
      <c r="GP16" s="316"/>
      <c r="GQ16" s="316"/>
      <c r="GR16" s="316"/>
      <c r="GS16" s="316"/>
      <c r="GT16" s="316"/>
      <c r="GU16" s="316"/>
      <c r="GV16" s="316"/>
      <c r="GW16" s="316"/>
      <c r="GX16" s="316"/>
      <c r="GY16" s="316"/>
      <c r="GZ16" s="316"/>
      <c r="HA16" s="316"/>
      <c r="HB16" s="316"/>
      <c r="HC16" s="316"/>
      <c r="HD16" s="316"/>
      <c r="HE16" s="316"/>
      <c r="HF16" s="316"/>
      <c r="HG16" s="316"/>
      <c r="HH16" s="316"/>
      <c r="HI16" s="316"/>
      <c r="HJ16" s="316"/>
      <c r="HK16" s="316"/>
      <c r="HL16" s="316"/>
      <c r="HM16" s="316"/>
      <c r="HV16" s="302">
        <f t="shared" si="4"/>
        <v>2.9510740742700001</v>
      </c>
      <c r="HW16" s="302">
        <f t="shared" si="5"/>
        <v>0.82911290829999995</v>
      </c>
      <c r="HX16" s="302">
        <f t="shared" si="2"/>
        <v>3.7801869825700001</v>
      </c>
      <c r="HY16" s="302">
        <f t="shared" si="6"/>
        <v>1.6505530887350002</v>
      </c>
      <c r="KH16" s="303"/>
    </row>
    <row r="17" spans="1:294" outlineLevel="1">
      <c r="B17" s="117" t="s">
        <v>361</v>
      </c>
      <c r="D17" s="319" t="s">
        <v>372</v>
      </c>
      <c r="E17" s="316"/>
      <c r="F17" s="316"/>
      <c r="G17" s="316"/>
      <c r="H17" s="316"/>
      <c r="I17" s="316"/>
      <c r="J17" s="316"/>
      <c r="K17" s="316"/>
      <c r="L17" s="316"/>
      <c r="M17" s="316"/>
      <c r="N17" s="316"/>
      <c r="O17" s="316"/>
      <c r="P17" s="316"/>
      <c r="Q17" s="316"/>
      <c r="R17" s="316"/>
      <c r="S17" s="316"/>
      <c r="T17" s="316"/>
      <c r="U17" s="316"/>
      <c r="V17" s="316"/>
      <c r="W17" s="316"/>
      <c r="X17" s="316"/>
      <c r="Y17" s="316"/>
      <c r="Z17" s="316"/>
      <c r="AA17" s="316"/>
      <c r="AB17" s="316"/>
      <c r="AC17" s="316"/>
      <c r="AD17" s="316"/>
      <c r="AE17" s="316"/>
      <c r="AF17" s="316"/>
      <c r="AG17" s="316"/>
      <c r="AH17" s="316"/>
      <c r="AI17" s="316"/>
      <c r="AJ17" s="316"/>
      <c r="AK17" s="316"/>
      <c r="AL17" s="316"/>
      <c r="AM17" s="316"/>
      <c r="AN17" s="316"/>
      <c r="AO17" s="316">
        <v>0.33855190364412385</v>
      </c>
      <c r="AP17" s="316">
        <v>0</v>
      </c>
      <c r="AQ17" s="316">
        <v>0.31134720201117783</v>
      </c>
      <c r="AR17" s="316">
        <v>0.36958119308734783</v>
      </c>
      <c r="AS17" s="316">
        <v>0.58613594179121897</v>
      </c>
      <c r="AT17" s="316">
        <v>0.55568300279352145</v>
      </c>
      <c r="AU17" s="316">
        <v>1.7681560903500004E-4</v>
      </c>
      <c r="AV17" s="316">
        <v>0.53252607878127811</v>
      </c>
      <c r="AW17" s="316">
        <v>0.18486280357499213</v>
      </c>
      <c r="AX17" s="316">
        <v>2.8548894700353085</v>
      </c>
      <c r="AY17" s="316">
        <v>1.098606121503651E-2</v>
      </c>
      <c r="AZ17" s="316">
        <v>0.1796419610325373</v>
      </c>
      <c r="BA17" s="316">
        <v>2.0074144277487482</v>
      </c>
      <c r="BB17" s="316">
        <v>2.2083189090922226</v>
      </c>
      <c r="BC17" s="316">
        <v>1.9596896386010971</v>
      </c>
      <c r="BD17" s="316">
        <v>1.6228235463462208</v>
      </c>
      <c r="BE17" s="316">
        <v>3.3886493142356215</v>
      </c>
      <c r="BF17" s="316">
        <v>0.71925519660708381</v>
      </c>
      <c r="BG17" s="316">
        <v>1.9113975608443423</v>
      </c>
      <c r="BH17" s="316">
        <v>1.7817193354440028</v>
      </c>
      <c r="BI17" s="316">
        <v>1.0014922069776067</v>
      </c>
      <c r="BJ17" s="316">
        <v>1.8563527923604279</v>
      </c>
      <c r="BK17" s="316">
        <v>1.586457867036686</v>
      </c>
      <c r="BL17" s="316">
        <v>0.44624445247085243</v>
      </c>
      <c r="BM17" s="316">
        <v>1.627721160125464</v>
      </c>
      <c r="BN17" s="316">
        <v>1.1564071394442847</v>
      </c>
      <c r="BO17" s="316">
        <v>2.291399802652589</v>
      </c>
      <c r="BP17" s="316">
        <v>0.47491831800340084</v>
      </c>
      <c r="BQ17" s="316">
        <v>1.560281435826623</v>
      </c>
      <c r="BR17" s="316">
        <v>2.9358879021649784</v>
      </c>
      <c r="BS17" s="316">
        <v>0</v>
      </c>
      <c r="BT17" s="316">
        <v>6.9158268959234119</v>
      </c>
      <c r="BU17" s="316">
        <v>2.1978313202719719</v>
      </c>
      <c r="BV17" s="316">
        <v>0.62120544830408575</v>
      </c>
      <c r="BW17" s="316">
        <v>3.6087456821974211</v>
      </c>
      <c r="BX17" s="316">
        <v>1.562985823762119</v>
      </c>
      <c r="BY17" s="316">
        <v>0.797745555</v>
      </c>
      <c r="BZ17" s="316">
        <v>2.793872291</v>
      </c>
      <c r="CA17" s="316">
        <v>2.6443026490000001</v>
      </c>
      <c r="CB17" s="316">
        <v>0.73768946899999999</v>
      </c>
      <c r="CC17" s="316">
        <v>3.9671887909999999</v>
      </c>
      <c r="CD17" s="316">
        <v>2.0971520080000001</v>
      </c>
      <c r="CE17" s="317">
        <v>4.9927896279999997</v>
      </c>
      <c r="CF17" s="316">
        <v>2.0344760169999998</v>
      </c>
      <c r="CG17" s="316">
        <v>2.233281523</v>
      </c>
      <c r="CH17" s="316">
        <v>2.9437945700000001</v>
      </c>
      <c r="CI17" s="316">
        <v>1.698187624</v>
      </c>
      <c r="CJ17" s="316">
        <v>1.9657278170000001</v>
      </c>
      <c r="CK17" s="316">
        <v>8.6240498227539995</v>
      </c>
      <c r="CL17" s="316">
        <v>0.97412893533800005</v>
      </c>
      <c r="CM17" s="316">
        <v>0.61258721095499991</v>
      </c>
      <c r="CN17" s="316">
        <v>0.55244815589199991</v>
      </c>
      <c r="CO17" s="316">
        <v>5.3929450801819998</v>
      </c>
      <c r="CP17" s="318">
        <v>4.3170867350389992</v>
      </c>
      <c r="CQ17" s="316">
        <v>5.2889461115620007</v>
      </c>
      <c r="CR17" s="316">
        <v>3.0401654257100001</v>
      </c>
      <c r="CS17" s="316">
        <v>6.679492927698</v>
      </c>
      <c r="CT17" s="316">
        <v>1.9499304969589999</v>
      </c>
      <c r="CU17" s="316">
        <v>2.5904300050170002</v>
      </c>
      <c r="CV17" s="316">
        <v>6.0595469789059999</v>
      </c>
      <c r="CW17" s="316">
        <v>3.736838548028</v>
      </c>
      <c r="CX17" s="316">
        <v>3.4641142257539999</v>
      </c>
      <c r="CY17" s="316">
        <v>5.0004132840109996</v>
      </c>
      <c r="CZ17" s="316">
        <v>2.6704488259629997</v>
      </c>
      <c r="DA17" s="316">
        <v>4.5714071228559998</v>
      </c>
      <c r="DB17" s="1498">
        <v>5.6210082731310003</v>
      </c>
      <c r="DC17" s="316">
        <v>1.5805202322160001</v>
      </c>
      <c r="DD17" s="316">
        <v>1.746338425944</v>
      </c>
      <c r="DE17" s="316">
        <v>1.777324866407997</v>
      </c>
      <c r="DF17" s="316">
        <v>2.698834795637</v>
      </c>
      <c r="DG17" s="316">
        <v>2.1883567193869999</v>
      </c>
      <c r="DH17" s="316">
        <v>6.0380495024049985</v>
      </c>
      <c r="DI17" s="316">
        <v>2.7577891864919999</v>
      </c>
      <c r="DJ17" s="316">
        <v>2.4804694308119997</v>
      </c>
      <c r="DK17" s="316">
        <v>7.7474050834709995</v>
      </c>
      <c r="DL17" s="316">
        <v>10.418803095227</v>
      </c>
      <c r="DM17" s="316">
        <v>4.5851539983269998</v>
      </c>
      <c r="DN17" s="318">
        <v>2.8197473283219998</v>
      </c>
      <c r="DO17" s="316">
        <v>1.83979213875</v>
      </c>
      <c r="DP17" s="316">
        <v>2.7107116616729998</v>
      </c>
      <c r="DQ17" s="316">
        <v>14.981349973805999</v>
      </c>
      <c r="DR17" s="316">
        <v>1.9042192160509988</v>
      </c>
      <c r="DS17" s="316">
        <v>3.9929392889819999</v>
      </c>
      <c r="DT17" s="316">
        <v>4.6062054690989989</v>
      </c>
      <c r="DU17" s="316">
        <v>5.2966603487550001</v>
      </c>
      <c r="DV17" s="316">
        <v>0.879445653371</v>
      </c>
      <c r="DW17" s="316">
        <v>5.0921869011109999</v>
      </c>
      <c r="DX17" s="316">
        <v>17.089886967251001</v>
      </c>
      <c r="DY17" s="316">
        <v>0.53169662601400003</v>
      </c>
      <c r="DZ17" s="318">
        <v>13.80472364651</v>
      </c>
      <c r="EA17" s="316">
        <v>0.76841537380700009</v>
      </c>
      <c r="EB17" s="316">
        <v>1.178340024345</v>
      </c>
      <c r="EC17" s="316">
        <v>1.3245516461759987</v>
      </c>
      <c r="ED17" s="316">
        <v>6.1345736700369997</v>
      </c>
      <c r="EE17" s="316">
        <v>2.7038618261789988</v>
      </c>
      <c r="EF17" s="316">
        <v>7.3971609489759977</v>
      </c>
      <c r="EG17" s="316">
        <v>8.7250784766609986</v>
      </c>
      <c r="EH17" s="316">
        <v>1.9588455612580002</v>
      </c>
      <c r="EI17" s="316">
        <v>13.597515409221002</v>
      </c>
      <c r="EJ17" s="316">
        <v>2.3972953954130003</v>
      </c>
      <c r="EK17" s="316">
        <v>7.1049149463099992</v>
      </c>
      <c r="EL17" s="318">
        <v>21.023927960369001</v>
      </c>
      <c r="EM17" s="1206">
        <v>0.43020289087399999</v>
      </c>
      <c r="EN17" s="1206">
        <v>0.99883471616999997</v>
      </c>
      <c r="EO17" s="1206">
        <v>8.5073556533589993</v>
      </c>
      <c r="EP17" s="1206">
        <v>0.2273989298529997</v>
      </c>
      <c r="EQ17" s="1206">
        <v>0.89324934977499992</v>
      </c>
      <c r="ER17" s="1206">
        <v>8.9367424312989954</v>
      </c>
      <c r="ES17" s="1206">
        <v>12.958628544143</v>
      </c>
      <c r="ET17" s="1206">
        <v>5.363306308936</v>
      </c>
      <c r="EU17" s="1206">
        <v>4.3981844449449996</v>
      </c>
      <c r="EV17" s="1206">
        <v>5.3981721493209998</v>
      </c>
      <c r="EW17" s="1206">
        <v>10.201897727186001</v>
      </c>
      <c r="EX17" s="1550">
        <v>27.188056232454002</v>
      </c>
      <c r="EY17" s="1206"/>
      <c r="EZ17" s="1206"/>
      <c r="FA17" s="1206"/>
      <c r="FB17" s="1206"/>
      <c r="FC17" s="1206"/>
      <c r="FD17" s="1206"/>
      <c r="FE17" s="1206"/>
      <c r="FF17" s="1206"/>
      <c r="FG17" s="1206"/>
      <c r="FH17" s="1206"/>
      <c r="FI17" s="1206"/>
      <c r="FJ17" s="1550"/>
      <c r="FK17" s="1206">
        <v>96.686721230108006</v>
      </c>
      <c r="FL17" s="1206">
        <v>21.811861975347998</v>
      </c>
      <c r="FM17" s="1206">
        <v>6.6989419774300005</v>
      </c>
      <c r="FN17" s="1206">
        <v>9.070540428695999</v>
      </c>
      <c r="FO17" s="1206">
        <v>7.5474681795159997</v>
      </c>
      <c r="FP17" s="1206">
        <v>12.457865922636</v>
      </c>
      <c r="FQ17" s="316">
        <v>0.95634603790100003</v>
      </c>
      <c r="FR17" s="316">
        <v>0.17695199337200002</v>
      </c>
      <c r="FS17" s="316">
        <v>0</v>
      </c>
      <c r="FT17" s="316">
        <v>1.8295049990599999</v>
      </c>
      <c r="FU17" s="316">
        <v>6.2484629E-2</v>
      </c>
      <c r="FV17" s="1498">
        <v>0</v>
      </c>
      <c r="FW17" s="316">
        <v>11.962703968295001</v>
      </c>
      <c r="FX17" s="316">
        <v>5.5927003425350001</v>
      </c>
      <c r="FY17" s="316">
        <v>23.856103993584</v>
      </c>
      <c r="FZ17" s="316">
        <v>8.1474089752130006</v>
      </c>
      <c r="GA17" s="316">
        <v>9.7931805755739987</v>
      </c>
      <c r="GB17" s="316">
        <v>8.1567610492969997</v>
      </c>
      <c r="GC17" s="316">
        <v>0.83453769383799981</v>
      </c>
      <c r="GD17" s="316">
        <v>2.4330393760849995</v>
      </c>
      <c r="GE17" s="316">
        <v>5.2320236857359923</v>
      </c>
      <c r="GF17" s="316">
        <v>6.4888941510620004</v>
      </c>
      <c r="GG17" s="316">
        <v>14.164006603239999</v>
      </c>
      <c r="GH17" s="316">
        <v>47.684859863566999</v>
      </c>
      <c r="GI17" s="316"/>
      <c r="GJ17" s="316"/>
      <c r="GK17" s="316"/>
      <c r="GL17" s="316"/>
      <c r="GM17" s="316"/>
      <c r="GN17" s="316"/>
      <c r="GO17" s="316"/>
      <c r="GP17" s="316"/>
      <c r="GQ17" s="316"/>
      <c r="GR17" s="316"/>
      <c r="GS17" s="316"/>
      <c r="GT17" s="316"/>
      <c r="GU17" s="316"/>
      <c r="GV17" s="316"/>
      <c r="GW17" s="316"/>
      <c r="GX17" s="316"/>
      <c r="GY17" s="316"/>
      <c r="GZ17" s="316"/>
      <c r="HA17" s="316"/>
      <c r="HB17" s="316"/>
      <c r="HC17" s="316"/>
      <c r="HD17" s="316"/>
      <c r="HE17" s="316"/>
      <c r="HF17" s="316"/>
      <c r="HG17" s="316"/>
      <c r="HH17" s="316"/>
      <c r="HI17" s="316"/>
      <c r="HJ17" s="316"/>
      <c r="HK17" s="316"/>
      <c r="HL17" s="316"/>
      <c r="HM17" s="316"/>
      <c r="HV17" s="302">
        <f t="shared" si="4"/>
        <v>16.029424541996995</v>
      </c>
      <c r="HW17" s="302">
        <f t="shared" si="5"/>
        <v>30.809368122650998</v>
      </c>
      <c r="HX17" s="302">
        <f t="shared" si="2"/>
        <v>46.838792664647997</v>
      </c>
      <c r="HY17" s="302">
        <f t="shared" si="6"/>
        <v>30.035217748360996</v>
      </c>
      <c r="KH17" s="303"/>
    </row>
    <row r="18" spans="1:294" outlineLevel="1">
      <c r="B18" s="117" t="s">
        <v>361</v>
      </c>
      <c r="D18" s="319" t="s">
        <v>373</v>
      </c>
      <c r="E18" s="316"/>
      <c r="F18" s="316"/>
      <c r="G18" s="316"/>
      <c r="H18" s="316"/>
      <c r="I18" s="316"/>
      <c r="J18" s="316"/>
      <c r="K18" s="316"/>
      <c r="L18" s="316"/>
      <c r="M18" s="316"/>
      <c r="N18" s="316"/>
      <c r="O18" s="316"/>
      <c r="P18" s="316"/>
      <c r="Q18" s="316"/>
      <c r="R18" s="316"/>
      <c r="S18" s="316"/>
      <c r="T18" s="316"/>
      <c r="U18" s="316"/>
      <c r="V18" s="316"/>
      <c r="W18" s="316"/>
      <c r="X18" s="316"/>
      <c r="Y18" s="316"/>
      <c r="Z18" s="316"/>
      <c r="AA18" s="316"/>
      <c r="AB18" s="316"/>
      <c r="AC18" s="316"/>
      <c r="AD18" s="316"/>
      <c r="AE18" s="316"/>
      <c r="AF18" s="316"/>
      <c r="AG18" s="316"/>
      <c r="AH18" s="316"/>
      <c r="AI18" s="316"/>
      <c r="AJ18" s="316"/>
      <c r="AK18" s="316"/>
      <c r="AL18" s="316"/>
      <c r="AM18" s="316"/>
      <c r="AN18" s="316"/>
      <c r="AO18" s="316">
        <v>0</v>
      </c>
      <c r="AP18" s="316">
        <v>0.12489321485572014</v>
      </c>
      <c r="AQ18" s="316">
        <v>0.23909803229154075</v>
      </c>
      <c r="AR18" s="316">
        <v>0</v>
      </c>
      <c r="AS18" s="316">
        <v>0</v>
      </c>
      <c r="AT18" s="316">
        <v>0</v>
      </c>
      <c r="AU18" s="316">
        <v>0</v>
      </c>
      <c r="AV18" s="316">
        <v>0</v>
      </c>
      <c r="AW18" s="316">
        <v>0.37003519181093075</v>
      </c>
      <c r="AX18" s="316">
        <v>0</v>
      </c>
      <c r="AY18" s="316">
        <v>0</v>
      </c>
      <c r="AZ18" s="316">
        <v>0</v>
      </c>
      <c r="BA18" s="316">
        <v>0</v>
      </c>
      <c r="BB18" s="316">
        <v>0</v>
      </c>
      <c r="BC18" s="316">
        <v>0</v>
      </c>
      <c r="BD18" s="316">
        <v>0</v>
      </c>
      <c r="BE18" s="316">
        <v>0</v>
      </c>
      <c r="BF18" s="316">
        <v>0</v>
      </c>
      <c r="BG18" s="316">
        <v>0</v>
      </c>
      <c r="BH18" s="316">
        <v>0</v>
      </c>
      <c r="BI18" s="316">
        <v>0</v>
      </c>
      <c r="BJ18" s="316">
        <v>0</v>
      </c>
      <c r="BK18" s="316">
        <v>0</v>
      </c>
      <c r="BL18" s="316">
        <v>0</v>
      </c>
      <c r="BM18" s="316">
        <v>0</v>
      </c>
      <c r="BN18" s="316">
        <v>0</v>
      </c>
      <c r="BO18" s="316">
        <v>0</v>
      </c>
      <c r="BP18" s="316">
        <v>0</v>
      </c>
      <c r="BQ18" s="316">
        <v>0</v>
      </c>
      <c r="BR18" s="316">
        <v>0</v>
      </c>
      <c r="BS18" s="316">
        <v>0</v>
      </c>
      <c r="BT18" s="316">
        <v>0</v>
      </c>
      <c r="BU18" s="316">
        <v>0</v>
      </c>
      <c r="BV18" s="316">
        <v>0</v>
      </c>
      <c r="BW18" s="316">
        <v>0</v>
      </c>
      <c r="BX18" s="316">
        <v>0</v>
      </c>
      <c r="BY18" s="316">
        <v>0</v>
      </c>
      <c r="BZ18" s="316">
        <v>0</v>
      </c>
      <c r="CA18" s="316">
        <v>0</v>
      </c>
      <c r="CB18" s="316">
        <v>0</v>
      </c>
      <c r="CC18" s="316">
        <v>0</v>
      </c>
      <c r="CD18" s="316">
        <v>0</v>
      </c>
      <c r="CE18" s="317">
        <v>0</v>
      </c>
      <c r="CF18" s="316">
        <v>0</v>
      </c>
      <c r="CG18" s="316">
        <v>0</v>
      </c>
      <c r="CH18" s="316">
        <v>0</v>
      </c>
      <c r="CI18" s="316">
        <v>0</v>
      </c>
      <c r="CJ18" s="316">
        <v>0</v>
      </c>
      <c r="CK18" s="316">
        <v>0</v>
      </c>
      <c r="CL18" s="316">
        <v>0</v>
      </c>
      <c r="CM18" s="316">
        <v>0</v>
      </c>
      <c r="CN18" s="316">
        <v>0</v>
      </c>
      <c r="CO18" s="316">
        <v>0</v>
      </c>
      <c r="CP18" s="318">
        <v>0</v>
      </c>
      <c r="CQ18" s="316">
        <v>0</v>
      </c>
      <c r="CR18" s="316">
        <v>0</v>
      </c>
      <c r="CS18" s="316">
        <v>0</v>
      </c>
      <c r="CT18" s="316">
        <v>0</v>
      </c>
      <c r="CU18" s="316">
        <v>0</v>
      </c>
      <c r="CV18" s="316">
        <v>0</v>
      </c>
      <c r="CW18" s="316">
        <v>0</v>
      </c>
      <c r="CX18" s="316">
        <v>0</v>
      </c>
      <c r="CY18" s="316">
        <v>0</v>
      </c>
      <c r="CZ18" s="316">
        <v>0</v>
      </c>
      <c r="DA18" s="316">
        <v>0</v>
      </c>
      <c r="DB18" s="1498">
        <v>0</v>
      </c>
      <c r="DC18" s="316">
        <v>0</v>
      </c>
      <c r="DD18" s="316">
        <v>0</v>
      </c>
      <c r="DE18" s="316">
        <v>0</v>
      </c>
      <c r="DF18" s="316">
        <v>0</v>
      </c>
      <c r="DG18" s="316">
        <v>0</v>
      </c>
      <c r="DH18" s="316">
        <v>0</v>
      </c>
      <c r="DI18" s="316">
        <v>0</v>
      </c>
      <c r="DJ18" s="316">
        <v>0</v>
      </c>
      <c r="DK18" s="316">
        <v>0</v>
      </c>
      <c r="DL18" s="316">
        <v>0</v>
      </c>
      <c r="DM18" s="316">
        <v>0</v>
      </c>
      <c r="DN18" s="318">
        <v>0</v>
      </c>
      <c r="DO18" s="316">
        <v>0</v>
      </c>
      <c r="DP18" s="316">
        <v>0</v>
      </c>
      <c r="DQ18" s="316">
        <v>0</v>
      </c>
      <c r="DR18" s="316">
        <v>0</v>
      </c>
      <c r="DS18" s="316">
        <v>0</v>
      </c>
      <c r="DT18" s="316">
        <v>0</v>
      </c>
      <c r="DU18" s="316">
        <v>0</v>
      </c>
      <c r="DV18" s="316">
        <v>0</v>
      </c>
      <c r="DW18" s="316">
        <v>0</v>
      </c>
      <c r="DX18" s="316">
        <v>0</v>
      </c>
      <c r="DY18" s="316">
        <v>0</v>
      </c>
      <c r="DZ18" s="318">
        <v>0</v>
      </c>
      <c r="EA18" s="316">
        <v>0</v>
      </c>
      <c r="EB18" s="316">
        <v>0</v>
      </c>
      <c r="EC18" s="316">
        <v>0</v>
      </c>
      <c r="ED18" s="316">
        <v>0</v>
      </c>
      <c r="EE18" s="316">
        <v>0</v>
      </c>
      <c r="EF18" s="316">
        <v>0</v>
      </c>
      <c r="EG18" s="316">
        <v>0</v>
      </c>
      <c r="EH18" s="316">
        <v>0</v>
      </c>
      <c r="EI18" s="316">
        <v>0</v>
      </c>
      <c r="EJ18" s="316">
        <v>0</v>
      </c>
      <c r="EK18" s="316">
        <v>0</v>
      </c>
      <c r="EL18" s="318">
        <v>0</v>
      </c>
      <c r="EM18" s="1206">
        <v>0</v>
      </c>
      <c r="EN18" s="1206">
        <v>0</v>
      </c>
      <c r="EO18" s="1206">
        <v>0</v>
      </c>
      <c r="EP18" s="1206">
        <v>0</v>
      </c>
      <c r="EQ18" s="1206">
        <v>0</v>
      </c>
      <c r="ER18" s="1206">
        <v>0</v>
      </c>
      <c r="ES18" s="1206">
        <v>0</v>
      </c>
      <c r="ET18" s="1206">
        <v>0</v>
      </c>
      <c r="EU18" s="1206">
        <v>0</v>
      </c>
      <c r="EV18" s="1206">
        <v>0</v>
      </c>
      <c r="EW18" s="1206">
        <v>0</v>
      </c>
      <c r="EX18" s="1550">
        <v>0</v>
      </c>
      <c r="EY18" s="1206"/>
      <c r="EZ18" s="1206"/>
      <c r="FA18" s="1206"/>
      <c r="FB18" s="1206"/>
      <c r="FC18" s="1206"/>
      <c r="FD18" s="1206"/>
      <c r="FE18" s="1206"/>
      <c r="FF18" s="1206"/>
      <c r="FG18" s="1206"/>
      <c r="FH18" s="1206"/>
      <c r="FI18" s="1206"/>
      <c r="FJ18" s="1550"/>
      <c r="FK18" s="1206">
        <v>0</v>
      </c>
      <c r="FL18" s="1206">
        <v>0</v>
      </c>
      <c r="FM18" s="1206">
        <v>0</v>
      </c>
      <c r="FN18" s="1206">
        <v>0</v>
      </c>
      <c r="FO18" s="1206">
        <v>0</v>
      </c>
      <c r="FP18" s="1206">
        <v>0</v>
      </c>
      <c r="FQ18" s="316">
        <v>11.973351035448999</v>
      </c>
      <c r="FR18" s="316">
        <v>10.003837520611999</v>
      </c>
      <c r="FS18" s="316">
        <v>25.762679988261993</v>
      </c>
      <c r="FT18" s="316">
        <v>6.7727748809960007</v>
      </c>
      <c r="FU18" s="316">
        <v>5.6356721540069996</v>
      </c>
      <c r="FV18" s="1498">
        <v>22.781771527964999</v>
      </c>
      <c r="FW18" s="316">
        <v>0</v>
      </c>
      <c r="FX18" s="316">
        <v>0</v>
      </c>
      <c r="FY18" s="316">
        <v>0</v>
      </c>
      <c r="FZ18" s="316">
        <v>0</v>
      </c>
      <c r="GA18" s="316">
        <v>0</v>
      </c>
      <c r="GB18" s="316">
        <v>0</v>
      </c>
      <c r="GC18" s="316">
        <v>0</v>
      </c>
      <c r="GD18" s="316">
        <v>0</v>
      </c>
      <c r="GE18" s="316">
        <v>0</v>
      </c>
      <c r="GF18" s="316">
        <v>0</v>
      </c>
      <c r="GG18" s="316">
        <v>0</v>
      </c>
      <c r="GH18" s="316">
        <v>0</v>
      </c>
      <c r="GI18" s="316"/>
      <c r="GJ18" s="316"/>
      <c r="GK18" s="316"/>
      <c r="GL18" s="316"/>
      <c r="GM18" s="316"/>
      <c r="GN18" s="316"/>
      <c r="GO18" s="316"/>
      <c r="GP18" s="316"/>
      <c r="GQ18" s="316"/>
      <c r="GR18" s="316"/>
      <c r="GS18" s="316"/>
      <c r="GT18" s="316"/>
      <c r="GU18" s="316"/>
      <c r="GV18" s="316"/>
      <c r="GW18" s="316"/>
      <c r="GX18" s="316"/>
      <c r="GY18" s="316"/>
      <c r="GZ18" s="316"/>
      <c r="HA18" s="316"/>
      <c r="HB18" s="316"/>
      <c r="HC18" s="316"/>
      <c r="HD18" s="316"/>
      <c r="HE18" s="316"/>
      <c r="HF18" s="316"/>
      <c r="HG18" s="316"/>
      <c r="HH18" s="316"/>
      <c r="HI18" s="316"/>
      <c r="HJ18" s="316"/>
      <c r="HK18" s="316"/>
      <c r="HL18" s="316"/>
      <c r="HM18" s="316"/>
      <c r="HV18" s="302">
        <f t="shared" si="4"/>
        <v>0</v>
      </c>
      <c r="HW18" s="302">
        <f t="shared" si="5"/>
        <v>0</v>
      </c>
      <c r="HX18" s="302">
        <f t="shared" si="2"/>
        <v>0</v>
      </c>
      <c r="HY18" s="302">
        <f t="shared" si="6"/>
        <v>0</v>
      </c>
      <c r="KH18" s="303"/>
    </row>
    <row r="19" spans="1:294" outlineLevel="1">
      <c r="B19" s="117" t="s">
        <v>361</v>
      </c>
      <c r="D19" s="319" t="s">
        <v>374</v>
      </c>
      <c r="E19" s="316"/>
      <c r="F19" s="316"/>
      <c r="G19" s="316"/>
      <c r="H19" s="316"/>
      <c r="I19" s="316"/>
      <c r="J19" s="316"/>
      <c r="K19" s="316"/>
      <c r="L19" s="316"/>
      <c r="M19" s="316"/>
      <c r="N19" s="316"/>
      <c r="O19" s="316"/>
      <c r="P19" s="316"/>
      <c r="Q19" s="316"/>
      <c r="R19" s="316"/>
      <c r="S19" s="316"/>
      <c r="T19" s="316"/>
      <c r="U19" s="316"/>
      <c r="V19" s="316"/>
      <c r="W19" s="316"/>
      <c r="X19" s="316"/>
      <c r="Y19" s="316"/>
      <c r="Z19" s="316"/>
      <c r="AA19" s="316"/>
      <c r="AB19" s="316"/>
      <c r="AC19" s="316"/>
      <c r="AD19" s="316"/>
      <c r="AE19" s="316"/>
      <c r="AF19" s="316"/>
      <c r="AG19" s="316"/>
      <c r="AH19" s="316"/>
      <c r="AI19" s="316"/>
      <c r="AJ19" s="316"/>
      <c r="AK19" s="316"/>
      <c r="AL19" s="316"/>
      <c r="AM19" s="316"/>
      <c r="AN19" s="316"/>
      <c r="AO19" s="316">
        <v>0.32514685355036577</v>
      </c>
      <c r="AP19" s="316">
        <v>0.37939195358851757</v>
      </c>
      <c r="AQ19" s="316">
        <v>0</v>
      </c>
      <c r="AR19" s="316">
        <v>0</v>
      </c>
      <c r="AS19" s="316">
        <v>0</v>
      </c>
      <c r="AT19" s="316">
        <v>0</v>
      </c>
      <c r="AU19" s="316">
        <v>0</v>
      </c>
      <c r="AV19" s="316">
        <v>0.88194894383686995</v>
      </c>
      <c r="AW19" s="316">
        <v>0</v>
      </c>
      <c r="AX19" s="316">
        <v>0.35291346957730968</v>
      </c>
      <c r="AY19" s="316">
        <v>0</v>
      </c>
      <c r="AZ19" s="316">
        <v>0</v>
      </c>
      <c r="BA19" s="316">
        <v>0</v>
      </c>
      <c r="BB19" s="316">
        <v>0</v>
      </c>
      <c r="BC19" s="316">
        <v>1.2734744369679765</v>
      </c>
      <c r="BD19" s="316">
        <v>0</v>
      </c>
      <c r="BE19" s="316">
        <v>0.26741118322995583</v>
      </c>
      <c r="BF19" s="316">
        <v>0</v>
      </c>
      <c r="BG19" s="316">
        <v>0</v>
      </c>
      <c r="BH19" s="316">
        <v>0</v>
      </c>
      <c r="BI19" s="316">
        <v>0</v>
      </c>
      <c r="BJ19" s="316">
        <v>0</v>
      </c>
      <c r="BK19" s="316">
        <v>0</v>
      </c>
      <c r="BL19" s="316">
        <v>0</v>
      </c>
      <c r="BM19" s="316">
        <v>0</v>
      </c>
      <c r="BN19" s="316">
        <v>0</v>
      </c>
      <c r="BO19" s="316">
        <v>0</v>
      </c>
      <c r="BP19" s="316">
        <v>0</v>
      </c>
      <c r="BQ19" s="316">
        <v>0</v>
      </c>
      <c r="BR19" s="316">
        <v>0</v>
      </c>
      <c r="BS19" s="316">
        <v>0</v>
      </c>
      <c r="BT19" s="316">
        <v>0</v>
      </c>
      <c r="BU19" s="316">
        <v>0</v>
      </c>
      <c r="BV19" s="316">
        <v>0</v>
      </c>
      <c r="BW19" s="316">
        <v>0</v>
      </c>
      <c r="BX19" s="316">
        <v>0</v>
      </c>
      <c r="BY19" s="316">
        <v>0</v>
      </c>
      <c r="BZ19" s="316">
        <v>0</v>
      </c>
      <c r="CA19" s="316">
        <v>0</v>
      </c>
      <c r="CB19" s="316">
        <v>0</v>
      </c>
      <c r="CC19" s="316">
        <v>0</v>
      </c>
      <c r="CD19" s="316">
        <v>0</v>
      </c>
      <c r="CE19" s="317">
        <v>0</v>
      </c>
      <c r="CF19" s="316">
        <v>0</v>
      </c>
      <c r="CG19" s="316">
        <v>0</v>
      </c>
      <c r="CH19" s="316">
        <v>0</v>
      </c>
      <c r="CI19" s="316">
        <v>0</v>
      </c>
      <c r="CJ19" s="316">
        <v>0</v>
      </c>
      <c r="CK19" s="316">
        <v>0</v>
      </c>
      <c r="CL19" s="316">
        <v>0</v>
      </c>
      <c r="CM19" s="316">
        <v>0</v>
      </c>
      <c r="CN19" s="316">
        <v>0</v>
      </c>
      <c r="CO19" s="316">
        <v>0</v>
      </c>
      <c r="CP19" s="318">
        <v>0</v>
      </c>
      <c r="CQ19" s="316">
        <v>0</v>
      </c>
      <c r="CR19" s="316">
        <v>0</v>
      </c>
      <c r="CS19" s="316">
        <v>0</v>
      </c>
      <c r="CT19" s="316">
        <v>0</v>
      </c>
      <c r="CU19" s="316">
        <v>0</v>
      </c>
      <c r="CV19" s="316">
        <v>0</v>
      </c>
      <c r="CW19" s="316">
        <v>0</v>
      </c>
      <c r="CX19" s="316">
        <v>0</v>
      </c>
      <c r="CY19" s="316">
        <v>0</v>
      </c>
      <c r="CZ19" s="316">
        <v>0</v>
      </c>
      <c r="DA19" s="316">
        <v>0</v>
      </c>
      <c r="DB19" s="1498">
        <v>0</v>
      </c>
      <c r="DC19" s="316">
        <v>0</v>
      </c>
      <c r="DD19" s="316">
        <v>0</v>
      </c>
      <c r="DE19" s="316">
        <v>0</v>
      </c>
      <c r="DF19" s="316">
        <v>0</v>
      </c>
      <c r="DG19" s="316">
        <v>0</v>
      </c>
      <c r="DH19" s="316">
        <v>0</v>
      </c>
      <c r="DI19" s="316">
        <v>0</v>
      </c>
      <c r="DJ19" s="316">
        <v>0</v>
      </c>
      <c r="DK19" s="316">
        <v>3.9726954742420002</v>
      </c>
      <c r="DL19" s="316">
        <v>1.6270050549999999</v>
      </c>
      <c r="DM19" s="316">
        <v>7.3571720000000004E-3</v>
      </c>
      <c r="DN19" s="318">
        <v>1.5443644540999999E-2</v>
      </c>
      <c r="DO19" s="316">
        <v>0</v>
      </c>
      <c r="DP19" s="316">
        <v>0</v>
      </c>
      <c r="DQ19" s="316">
        <v>0</v>
      </c>
      <c r="DR19" s="316">
        <v>0</v>
      </c>
      <c r="DS19" s="316">
        <v>0</v>
      </c>
      <c r="DT19" s="316">
        <v>0</v>
      </c>
      <c r="DU19" s="316">
        <v>0</v>
      </c>
      <c r="DV19" s="316">
        <v>0</v>
      </c>
      <c r="DW19" s="316">
        <v>0</v>
      </c>
      <c r="DX19" s="316">
        <v>0</v>
      </c>
      <c r="DY19" s="316">
        <v>0</v>
      </c>
      <c r="DZ19" s="318">
        <v>0</v>
      </c>
      <c r="EA19" s="316">
        <v>0</v>
      </c>
      <c r="EB19" s="316">
        <v>0</v>
      </c>
      <c r="EC19" s="316">
        <v>0</v>
      </c>
      <c r="ED19" s="316">
        <v>0</v>
      </c>
      <c r="EE19" s="316">
        <v>0</v>
      </c>
      <c r="EF19" s="316">
        <v>0</v>
      </c>
      <c r="EG19" s="316">
        <v>0</v>
      </c>
      <c r="EH19" s="316">
        <v>0</v>
      </c>
      <c r="EI19" s="316">
        <v>0</v>
      </c>
      <c r="EJ19" s="316">
        <v>0</v>
      </c>
      <c r="EK19" s="316">
        <v>0</v>
      </c>
      <c r="EL19" s="318">
        <v>0</v>
      </c>
      <c r="EM19" s="1206">
        <v>0</v>
      </c>
      <c r="EN19" s="1206">
        <v>0</v>
      </c>
      <c r="EO19" s="1206">
        <v>0</v>
      </c>
      <c r="EP19" s="1206">
        <v>0</v>
      </c>
      <c r="EQ19" s="1206">
        <v>0</v>
      </c>
      <c r="ER19" s="1206">
        <v>0</v>
      </c>
      <c r="ES19" s="1206">
        <v>0</v>
      </c>
      <c r="ET19" s="1206">
        <v>0</v>
      </c>
      <c r="EU19" s="1206">
        <v>0</v>
      </c>
      <c r="EV19" s="1206">
        <v>0</v>
      </c>
      <c r="EW19" s="1206">
        <v>0</v>
      </c>
      <c r="EX19" s="1550">
        <v>0</v>
      </c>
      <c r="EY19" s="1206"/>
      <c r="EZ19" s="1206"/>
      <c r="FA19" s="1206"/>
      <c r="FB19" s="1206"/>
      <c r="FC19" s="1206"/>
      <c r="FD19" s="1206"/>
      <c r="FE19" s="1206"/>
      <c r="FF19" s="1206"/>
      <c r="FG19" s="1206"/>
      <c r="FH19" s="1206"/>
      <c r="FI19" s="1206"/>
      <c r="FJ19" s="1550"/>
      <c r="FK19" s="1206">
        <v>0</v>
      </c>
      <c r="FL19" s="1206">
        <v>0</v>
      </c>
      <c r="FM19" s="1206">
        <v>0</v>
      </c>
      <c r="FN19" s="1206">
        <v>0</v>
      </c>
      <c r="FO19" s="1206">
        <v>0</v>
      </c>
      <c r="FP19" s="1206">
        <v>0</v>
      </c>
      <c r="FQ19" s="316">
        <v>0</v>
      </c>
      <c r="FR19" s="316">
        <v>0</v>
      </c>
      <c r="FS19" s="316">
        <v>0</v>
      </c>
      <c r="FT19" s="316">
        <v>0</v>
      </c>
      <c r="FU19" s="316">
        <v>0</v>
      </c>
      <c r="FV19" s="1498">
        <v>0</v>
      </c>
      <c r="FW19" s="316">
        <v>0</v>
      </c>
      <c r="FX19" s="316">
        <v>0</v>
      </c>
      <c r="FY19" s="316">
        <v>0</v>
      </c>
      <c r="FZ19" s="316">
        <v>0</v>
      </c>
      <c r="GA19" s="316">
        <v>0</v>
      </c>
      <c r="GB19" s="316">
        <v>0</v>
      </c>
      <c r="GC19" s="316">
        <v>0</v>
      </c>
      <c r="GD19" s="316">
        <v>0</v>
      </c>
      <c r="GE19" s="316">
        <v>0</v>
      </c>
      <c r="GF19" s="316">
        <v>0</v>
      </c>
      <c r="GG19" s="316">
        <v>0</v>
      </c>
      <c r="GH19" s="316">
        <v>0</v>
      </c>
      <c r="GI19" s="316"/>
      <c r="GJ19" s="316"/>
      <c r="GK19" s="316"/>
      <c r="GL19" s="316"/>
      <c r="GM19" s="316"/>
      <c r="GN19" s="316"/>
      <c r="GO19" s="316"/>
      <c r="GP19" s="316"/>
      <c r="GQ19" s="316"/>
      <c r="GR19" s="316"/>
      <c r="GS19" s="316"/>
      <c r="GT19" s="316"/>
      <c r="GU19" s="316"/>
      <c r="GV19" s="316"/>
      <c r="GW19" s="316"/>
      <c r="GX19" s="316"/>
      <c r="GY19" s="316"/>
      <c r="GZ19" s="316"/>
      <c r="HA19" s="316"/>
      <c r="HB19" s="316"/>
      <c r="HC19" s="316"/>
      <c r="HD19" s="316"/>
      <c r="HE19" s="316"/>
      <c r="HF19" s="316"/>
      <c r="HG19" s="316"/>
      <c r="HH19" s="316"/>
      <c r="HI19" s="316"/>
      <c r="HJ19" s="316"/>
      <c r="HK19" s="316"/>
      <c r="HL19" s="316"/>
      <c r="HM19" s="316"/>
      <c r="HV19" s="302">
        <f t="shared" si="4"/>
        <v>0</v>
      </c>
      <c r="HW19" s="302">
        <f t="shared" si="5"/>
        <v>5.6225013457829993</v>
      </c>
      <c r="HX19" s="302">
        <f t="shared" si="2"/>
        <v>5.6225013457829993</v>
      </c>
      <c r="HY19" s="302">
        <f t="shared" si="6"/>
        <v>0</v>
      </c>
      <c r="KH19" s="303"/>
    </row>
    <row r="20" spans="1:294" outlineLevel="1">
      <c r="B20" s="117" t="s">
        <v>361</v>
      </c>
      <c r="D20" s="319" t="s">
        <v>375</v>
      </c>
      <c r="E20" s="316"/>
      <c r="F20" s="316"/>
      <c r="G20" s="316"/>
      <c r="H20" s="316"/>
      <c r="I20" s="316"/>
      <c r="J20" s="316"/>
      <c r="K20" s="316"/>
      <c r="L20" s="316"/>
      <c r="M20" s="316"/>
      <c r="N20" s="316"/>
      <c r="O20" s="316"/>
      <c r="P20" s="316"/>
      <c r="Q20" s="316"/>
      <c r="R20" s="316"/>
      <c r="S20" s="316"/>
      <c r="T20" s="316"/>
      <c r="U20" s="316"/>
      <c r="V20" s="316"/>
      <c r="W20" s="316"/>
      <c r="X20" s="316"/>
      <c r="Y20" s="316"/>
      <c r="Z20" s="316"/>
      <c r="AA20" s="316"/>
      <c r="AB20" s="316"/>
      <c r="AC20" s="316"/>
      <c r="AD20" s="316"/>
      <c r="AE20" s="316"/>
      <c r="AF20" s="316"/>
      <c r="AG20" s="316"/>
      <c r="AH20" s="316"/>
      <c r="AI20" s="316"/>
      <c r="AJ20" s="316"/>
      <c r="AK20" s="316"/>
      <c r="AL20" s="316"/>
      <c r="AM20" s="316"/>
      <c r="AN20" s="316"/>
      <c r="AO20" s="316">
        <v>0.12708601102244471</v>
      </c>
      <c r="AP20" s="316">
        <v>0.11424906913411614</v>
      </c>
      <c r="AQ20" s="316">
        <v>0.73751628315701701</v>
      </c>
      <c r="AR20" s="316">
        <v>9.6416481672639207E-2</v>
      </c>
      <c r="AS20" s="316">
        <v>0</v>
      </c>
      <c r="AT20" s="316">
        <v>0.19992315768901858</v>
      </c>
      <c r="AU20" s="316">
        <v>0.13307152755525281</v>
      </c>
      <c r="AV20" s="316">
        <v>0</v>
      </c>
      <c r="AW20" s="316">
        <v>0.33692375940849933</v>
      </c>
      <c r="AX20" s="316">
        <v>0.37442923162819308</v>
      </c>
      <c r="AY20" s="316">
        <v>0.9027416396807354</v>
      </c>
      <c r="AZ20" s="316">
        <v>0.40324566953420116</v>
      </c>
      <c r="BA20" s="316">
        <v>0.63825488044816447</v>
      </c>
      <c r="BB20" s="316">
        <v>7.1239729774000005E-2</v>
      </c>
      <c r="BC20" s="316">
        <v>0.85749284495987543</v>
      </c>
      <c r="BD20" s="316">
        <v>0.18690695357260884</v>
      </c>
      <c r="BE20" s="316">
        <v>0.1626014442828578</v>
      </c>
      <c r="BF20" s="316">
        <v>5.4855761871738268E-2</v>
      </c>
      <c r="BG20" s="316">
        <v>0.12367859528431648</v>
      </c>
      <c r="BH20" s="316">
        <v>7.7907117523211403E-2</v>
      </c>
      <c r="BI20" s="316">
        <v>0.15512518781541537</v>
      </c>
      <c r="BJ20" s="316">
        <v>0.49614054725108347</v>
      </c>
      <c r="BK20" s="316">
        <v>2.7975077457032788E-2</v>
      </c>
      <c r="BL20" s="316">
        <v>1.9816970453240494</v>
      </c>
      <c r="BM20" s="316">
        <v>0</v>
      </c>
      <c r="BN20" s="316">
        <v>0.69413086086903864</v>
      </c>
      <c r="BO20" s="316">
        <v>0</v>
      </c>
      <c r="BP20" s="316">
        <v>2.1191573096438394E-2</v>
      </c>
      <c r="BQ20" s="316">
        <v>0.1588985657090265</v>
      </c>
      <c r="BR20" s="316">
        <v>1.269554077035424E-2</v>
      </c>
      <c r="BS20" s="316">
        <v>4.07303254554525E-2</v>
      </c>
      <c r="BT20" s="316">
        <v>0.24956884822657513</v>
      </c>
      <c r="BU20" s="316">
        <v>0.44618773972127901</v>
      </c>
      <c r="BV20" s="316">
        <v>0</v>
      </c>
      <c r="BW20" s="316">
        <v>0.24311068085117926</v>
      </c>
      <c r="BX20" s="316">
        <v>0.66509802808989205</v>
      </c>
      <c r="BY20" s="316">
        <v>3.0502308999999998E-2</v>
      </c>
      <c r="BZ20" s="316">
        <v>0</v>
      </c>
      <c r="CA20" s="316">
        <v>0.19476104299999999</v>
      </c>
      <c r="CB20" s="316">
        <v>1.1014628310000001</v>
      </c>
      <c r="CC20" s="316">
        <v>0.27515335400000002</v>
      </c>
      <c r="CD20" s="316">
        <v>0.35636367299999999</v>
      </c>
      <c r="CE20" s="317">
        <v>3.1718713000000003E-2</v>
      </c>
      <c r="CF20" s="316">
        <v>0.53805890000000001</v>
      </c>
      <c r="CG20" s="316">
        <v>1.1538921000000001E-2</v>
      </c>
      <c r="CH20" s="316">
        <v>0.49774282800000003</v>
      </c>
      <c r="CI20" s="316">
        <v>0.34844001899999999</v>
      </c>
      <c r="CJ20" s="316">
        <v>2.908280827</v>
      </c>
      <c r="CK20" s="316">
        <v>1.5781185681450001</v>
      </c>
      <c r="CL20" s="316">
        <v>2.4277681464E-2</v>
      </c>
      <c r="CM20" s="316">
        <v>1.8013210831999998E-2</v>
      </c>
      <c r="CN20" s="316">
        <v>0.33998532403600001</v>
      </c>
      <c r="CO20" s="316">
        <v>0</v>
      </c>
      <c r="CP20" s="318">
        <v>0.42907836476099998</v>
      </c>
      <c r="CQ20" s="316">
        <v>0.36060493664600002</v>
      </c>
      <c r="CR20" s="316">
        <v>0</v>
      </c>
      <c r="CS20" s="316">
        <v>0</v>
      </c>
      <c r="CT20" s="316">
        <v>0.35861147830000001</v>
      </c>
      <c r="CU20" s="316">
        <v>0</v>
      </c>
      <c r="CV20" s="316">
        <v>3.0455430727369999</v>
      </c>
      <c r="CW20" s="316">
        <v>0.12955523312199999</v>
      </c>
      <c r="CX20" s="316">
        <v>0</v>
      </c>
      <c r="CY20" s="316">
        <v>0.259057437537</v>
      </c>
      <c r="CZ20" s="316">
        <v>0</v>
      </c>
      <c r="DA20" s="316">
        <v>0</v>
      </c>
      <c r="DB20" s="1498">
        <v>0.12535869126099999</v>
      </c>
      <c r="DC20" s="316">
        <v>0</v>
      </c>
      <c r="DD20" s="316">
        <v>0.72592760136800005</v>
      </c>
      <c r="DE20" s="316">
        <v>0</v>
      </c>
      <c r="DF20" s="316">
        <v>2.7195241193089998</v>
      </c>
      <c r="DG20" s="316">
        <v>0</v>
      </c>
      <c r="DH20" s="316">
        <v>1.029264712512</v>
      </c>
      <c r="DI20" s="316">
        <v>0.63296806264200001</v>
      </c>
      <c r="DJ20" s="316">
        <v>1.2031693864549999</v>
      </c>
      <c r="DK20" s="316">
        <v>0.50421963252299995</v>
      </c>
      <c r="DL20" s="316">
        <v>8.5136793466999997E-2</v>
      </c>
      <c r="DM20" s="316">
        <v>0</v>
      </c>
      <c r="DN20" s="318">
        <v>6.936324917E-3</v>
      </c>
      <c r="DO20" s="316">
        <v>0.47083787681</v>
      </c>
      <c r="DP20" s="316">
        <v>0</v>
      </c>
      <c r="DQ20" s="316">
        <v>0</v>
      </c>
      <c r="DR20" s="316">
        <v>0.90623592113999996</v>
      </c>
      <c r="DS20" s="316">
        <v>0.55141103813399994</v>
      </c>
      <c r="DT20" s="316">
        <v>0</v>
      </c>
      <c r="DU20" s="316">
        <v>0.89589726259800007</v>
      </c>
      <c r="DV20" s="316">
        <v>0.26887603691100004</v>
      </c>
      <c r="DW20" s="316">
        <v>0</v>
      </c>
      <c r="DX20" s="316">
        <v>0</v>
      </c>
      <c r="DY20" s="316">
        <v>0.70626172670200005</v>
      </c>
      <c r="DZ20" s="318">
        <v>0.76328087588500004</v>
      </c>
      <c r="EA20" s="316">
        <v>5.2711841581E-2</v>
      </c>
      <c r="EB20" s="316">
        <v>0.98403476142200008</v>
      </c>
      <c r="EC20" s="316">
        <v>0</v>
      </c>
      <c r="ED20" s="316">
        <v>0.53591780804400002</v>
      </c>
      <c r="EE20" s="316">
        <v>0</v>
      </c>
      <c r="EF20" s="316">
        <v>0.78215706116700001</v>
      </c>
      <c r="EG20" s="316">
        <v>0</v>
      </c>
      <c r="EH20" s="316">
        <v>0</v>
      </c>
      <c r="EI20" s="316">
        <v>4.9372558034000001E-2</v>
      </c>
      <c r="EJ20" s="316">
        <v>0.47975526163200005</v>
      </c>
      <c r="EK20" s="316">
        <v>0.611997325885</v>
      </c>
      <c r="EL20" s="318">
        <v>2.2956607287810002</v>
      </c>
      <c r="EM20" s="1206">
        <v>1.6579289656659999</v>
      </c>
      <c r="EN20" s="1206">
        <v>0</v>
      </c>
      <c r="EO20" s="1206">
        <v>0.233790132776</v>
      </c>
      <c r="EP20" s="1206">
        <v>0.43203627201400002</v>
      </c>
      <c r="EQ20" s="1206">
        <v>0</v>
      </c>
      <c r="ER20" s="1206">
        <v>0.31391317453399997</v>
      </c>
      <c r="ES20" s="1206">
        <v>0</v>
      </c>
      <c r="ET20" s="1206">
        <v>0.38983785810799998</v>
      </c>
      <c r="EU20" s="1206">
        <v>6.0804409530150005</v>
      </c>
      <c r="EV20" s="1206">
        <v>0</v>
      </c>
      <c r="EW20" s="1206">
        <v>0.56960825138100002</v>
      </c>
      <c r="EX20" s="1550">
        <v>1.2748739419840001</v>
      </c>
      <c r="EY20" s="1206"/>
      <c r="EZ20" s="1206"/>
      <c r="FA20" s="1206"/>
      <c r="FB20" s="1206"/>
      <c r="FC20" s="1206"/>
      <c r="FD20" s="1206"/>
      <c r="FE20" s="1206"/>
      <c r="FF20" s="1206"/>
      <c r="FG20" s="1206"/>
      <c r="FH20" s="1206"/>
      <c r="FI20" s="1206"/>
      <c r="FJ20" s="1550"/>
      <c r="FK20" s="1206">
        <v>0.46222976466500004</v>
      </c>
      <c r="FL20" s="1206" t="s">
        <v>821</v>
      </c>
      <c r="FM20" s="1206">
        <v>0.232099678368</v>
      </c>
      <c r="FN20" s="1206" t="s">
        <v>821</v>
      </c>
      <c r="FO20" s="1206">
        <v>0.44165510077800002</v>
      </c>
      <c r="FP20" s="1206">
        <v>1.9888326105910001</v>
      </c>
      <c r="FQ20" s="316">
        <v>0</v>
      </c>
      <c r="FR20" s="316">
        <v>0.266684633394</v>
      </c>
      <c r="FS20" s="316">
        <v>0.429994523086</v>
      </c>
      <c r="FT20" s="316">
        <v>0.68704811645000008</v>
      </c>
      <c r="FU20" s="316">
        <v>0.30363631442299999</v>
      </c>
      <c r="FV20" s="1498">
        <v>0</v>
      </c>
      <c r="FW20" s="316">
        <v>0</v>
      </c>
      <c r="FX20" s="316">
        <v>13.256808306701</v>
      </c>
      <c r="FY20" s="316">
        <v>1.2269030554979998</v>
      </c>
      <c r="FZ20" s="316">
        <v>7.4198022000000002E-2</v>
      </c>
      <c r="GA20" s="316">
        <v>0.63607283446899998</v>
      </c>
      <c r="GB20" s="316">
        <v>0</v>
      </c>
      <c r="GC20" s="316">
        <v>1.15763505905</v>
      </c>
      <c r="GD20" s="316">
        <v>0.27275886904199997</v>
      </c>
      <c r="GE20" s="316">
        <v>0.18434304047400002</v>
      </c>
      <c r="GF20" s="316">
        <v>0.35171455674400004</v>
      </c>
      <c r="GG20" s="316">
        <v>6.7756563017000004E-2</v>
      </c>
      <c r="GH20" s="316">
        <v>1.715773079671</v>
      </c>
      <c r="GI20" s="316"/>
      <c r="GJ20" s="316"/>
      <c r="GK20" s="316"/>
      <c r="GL20" s="316"/>
      <c r="GM20" s="316"/>
      <c r="GN20" s="316"/>
      <c r="GO20" s="316"/>
      <c r="GP20" s="316"/>
      <c r="GQ20" s="316"/>
      <c r="GR20" s="316"/>
      <c r="GS20" s="316"/>
      <c r="GT20" s="316"/>
      <c r="GU20" s="316"/>
      <c r="GV20" s="316"/>
      <c r="GW20" s="316"/>
      <c r="GX20" s="316"/>
      <c r="GY20" s="316"/>
      <c r="GZ20" s="316"/>
      <c r="HA20" s="316"/>
      <c r="HB20" s="316"/>
      <c r="HC20" s="316"/>
      <c r="HD20" s="316"/>
      <c r="HE20" s="316"/>
      <c r="HF20" s="316"/>
      <c r="HG20" s="316"/>
      <c r="HH20" s="316"/>
      <c r="HI20" s="316"/>
      <c r="HJ20" s="316"/>
      <c r="HK20" s="316"/>
      <c r="HL20" s="316"/>
      <c r="HM20" s="316"/>
      <c r="HV20" s="302">
        <f t="shared" si="4"/>
        <v>4.4747164331890001</v>
      </c>
      <c r="HW20" s="302">
        <f t="shared" si="5"/>
        <v>2.4324302000039997</v>
      </c>
      <c r="HX20" s="302">
        <f t="shared" si="2"/>
        <v>6.9071466331929994</v>
      </c>
      <c r="HY20" s="302">
        <f t="shared" si="6"/>
        <v>1.9284848360839999</v>
      </c>
      <c r="KH20" s="303"/>
    </row>
    <row r="21" spans="1:294" outlineLevel="1">
      <c r="B21" s="117" t="s">
        <v>361</v>
      </c>
      <c r="D21" s="319" t="s">
        <v>1164</v>
      </c>
      <c r="E21" s="316"/>
      <c r="F21" s="316"/>
      <c r="G21" s="316"/>
      <c r="H21" s="316"/>
      <c r="I21" s="316"/>
      <c r="J21" s="316"/>
      <c r="K21" s="316"/>
      <c r="L21" s="316"/>
      <c r="M21" s="316"/>
      <c r="N21" s="316"/>
      <c r="O21" s="316"/>
      <c r="P21" s="316"/>
      <c r="Q21" s="316"/>
      <c r="R21" s="316"/>
      <c r="S21" s="316"/>
      <c r="T21" s="316"/>
      <c r="U21" s="316"/>
      <c r="V21" s="316"/>
      <c r="W21" s="316"/>
      <c r="X21" s="316"/>
      <c r="Y21" s="316"/>
      <c r="Z21" s="316"/>
      <c r="AA21" s="316"/>
      <c r="AB21" s="316"/>
      <c r="AC21" s="316"/>
      <c r="AD21" s="316"/>
      <c r="AE21" s="316"/>
      <c r="AF21" s="316"/>
      <c r="AG21" s="316"/>
      <c r="AH21" s="316"/>
      <c r="AI21" s="316"/>
      <c r="AJ21" s="316"/>
      <c r="AK21" s="316"/>
      <c r="AL21" s="316"/>
      <c r="AM21" s="316"/>
      <c r="AN21" s="316"/>
      <c r="AO21" s="316"/>
      <c r="AP21" s="316"/>
      <c r="AQ21" s="316"/>
      <c r="AR21" s="316"/>
      <c r="AS21" s="316"/>
      <c r="AT21" s="316"/>
      <c r="AU21" s="316"/>
      <c r="AV21" s="316"/>
      <c r="AW21" s="316"/>
      <c r="AX21" s="316"/>
      <c r="AY21" s="316"/>
      <c r="AZ21" s="316"/>
      <c r="BA21" s="316"/>
      <c r="BB21" s="316"/>
      <c r="BC21" s="316"/>
      <c r="BD21" s="316"/>
      <c r="BE21" s="316"/>
      <c r="BF21" s="316"/>
      <c r="BG21" s="316"/>
      <c r="BH21" s="316"/>
      <c r="BI21" s="316"/>
      <c r="BJ21" s="316"/>
      <c r="BK21" s="316"/>
      <c r="BL21" s="316"/>
      <c r="BM21" s="316"/>
      <c r="BN21" s="316"/>
      <c r="BO21" s="316"/>
      <c r="BP21" s="316"/>
      <c r="BQ21" s="316"/>
      <c r="BR21" s="316"/>
      <c r="BS21" s="316"/>
      <c r="BT21" s="316"/>
      <c r="BU21" s="316"/>
      <c r="BV21" s="316"/>
      <c r="BW21" s="316"/>
      <c r="BX21" s="316"/>
      <c r="BY21" s="316"/>
      <c r="BZ21" s="316"/>
      <c r="CA21" s="316"/>
      <c r="CB21" s="316"/>
      <c r="CC21" s="316"/>
      <c r="CD21" s="316"/>
      <c r="CE21" s="317"/>
      <c r="CF21" s="316"/>
      <c r="CG21" s="316"/>
      <c r="CH21" s="316"/>
      <c r="CI21" s="316"/>
      <c r="CJ21" s="316"/>
      <c r="CK21" s="316"/>
      <c r="CL21" s="316"/>
      <c r="CM21" s="316"/>
      <c r="CN21" s="316"/>
      <c r="CO21" s="316"/>
      <c r="CP21" s="318"/>
      <c r="CQ21" s="316"/>
      <c r="CR21" s="316"/>
      <c r="CS21" s="316"/>
      <c r="CT21" s="316"/>
      <c r="CU21" s="316"/>
      <c r="CV21" s="316"/>
      <c r="CW21" s="316"/>
      <c r="CX21" s="316"/>
      <c r="CY21" s="316"/>
      <c r="CZ21" s="316"/>
      <c r="DA21" s="316"/>
      <c r="DB21" s="1498"/>
      <c r="DC21" s="316"/>
      <c r="DD21" s="316"/>
      <c r="DE21" s="316"/>
      <c r="DF21" s="316"/>
      <c r="DG21" s="316"/>
      <c r="DH21" s="316"/>
      <c r="DI21" s="316"/>
      <c r="DJ21" s="316"/>
      <c r="DK21" s="316"/>
      <c r="DL21" s="316"/>
      <c r="DM21" s="316"/>
      <c r="DN21" s="318"/>
      <c r="DO21" s="316"/>
      <c r="DP21" s="316"/>
      <c r="DQ21" s="316"/>
      <c r="DR21" s="316"/>
      <c r="DS21" s="316"/>
      <c r="DT21" s="316"/>
      <c r="DU21" s="316"/>
      <c r="DV21" s="316"/>
      <c r="DW21" s="316"/>
      <c r="DX21" s="316"/>
      <c r="DY21" s="316"/>
      <c r="DZ21" s="318"/>
      <c r="EA21" s="316">
        <v>9.7045831328230019</v>
      </c>
      <c r="EB21" s="316">
        <v>13.968854326879001</v>
      </c>
      <c r="EC21" s="316">
        <v>4.1068273863379989</v>
      </c>
      <c r="ED21" s="316">
        <v>14.499453949646998</v>
      </c>
      <c r="EE21" s="316">
        <v>8.0689371946400001</v>
      </c>
      <c r="EF21" s="316">
        <v>16.546933244447995</v>
      </c>
      <c r="EG21" s="316">
        <v>20.175523392911998</v>
      </c>
      <c r="EH21" s="316">
        <v>3.3887650910150002</v>
      </c>
      <c r="EI21" s="316">
        <v>17.714506175937004</v>
      </c>
      <c r="EJ21" s="316">
        <v>12.140062738398003</v>
      </c>
      <c r="EK21" s="316">
        <v>17.047167204317997</v>
      </c>
      <c r="EL21" s="318">
        <v>27.725842457854</v>
      </c>
      <c r="EM21" s="1206">
        <v>1.158868176955</v>
      </c>
      <c r="EN21" s="1206">
        <v>0</v>
      </c>
      <c r="EO21" s="1206">
        <v>1.930759193813</v>
      </c>
      <c r="EP21" s="1206">
        <v>3.8928851979E-2</v>
      </c>
      <c r="EQ21" s="1206">
        <v>0.93881695715500002</v>
      </c>
      <c r="ER21" s="1206">
        <v>1.1947827834240001</v>
      </c>
      <c r="ES21" s="1206">
        <v>1.7800955154070002</v>
      </c>
      <c r="ET21" s="1206">
        <v>0</v>
      </c>
      <c r="EU21" s="1206">
        <v>0.96206658543200008</v>
      </c>
      <c r="EV21" s="1206">
        <v>0.17624569521700001</v>
      </c>
      <c r="EW21" s="1206">
        <v>0</v>
      </c>
      <c r="EX21" s="1550">
        <v>2.934478393649</v>
      </c>
      <c r="EY21" s="1206"/>
      <c r="EZ21" s="1206"/>
      <c r="FA21" s="1206"/>
      <c r="FB21" s="1206"/>
      <c r="FC21" s="1206"/>
      <c r="FD21" s="1206"/>
      <c r="FE21" s="1206"/>
      <c r="FF21" s="1206"/>
      <c r="FG21" s="1206"/>
      <c r="FH21" s="1206"/>
      <c r="FI21" s="1206"/>
      <c r="FJ21" s="1550"/>
      <c r="FK21" s="1206">
        <v>7.7962867796999999E-2</v>
      </c>
      <c r="FL21" s="1206" t="s">
        <v>821</v>
      </c>
      <c r="FM21" s="1206" t="s">
        <v>821</v>
      </c>
      <c r="FN21" s="1206" t="s">
        <v>821</v>
      </c>
      <c r="FO21" s="1206" t="s">
        <v>821</v>
      </c>
      <c r="FP21" s="1206" t="s">
        <v>821</v>
      </c>
      <c r="FQ21" s="316">
        <v>0</v>
      </c>
      <c r="FR21" s="316">
        <v>0</v>
      </c>
      <c r="FS21" s="316">
        <v>0</v>
      </c>
      <c r="FT21" s="316">
        <v>2.4071460131000002E-2</v>
      </c>
      <c r="FU21" s="316">
        <v>0</v>
      </c>
      <c r="FV21" s="1498">
        <v>3.2602583867949999</v>
      </c>
      <c r="FW21" s="316">
        <v>0</v>
      </c>
      <c r="FX21" s="316">
        <v>0</v>
      </c>
      <c r="FY21" s="316">
        <v>0.12068431677500001</v>
      </c>
      <c r="FZ21" s="316">
        <v>0</v>
      </c>
      <c r="GA21" s="316">
        <v>10.967254985699</v>
      </c>
      <c r="GB21" s="316">
        <v>0.80705413035599993</v>
      </c>
      <c r="GC21" s="316" t="s">
        <v>821</v>
      </c>
      <c r="GD21" s="316" t="s">
        <v>821</v>
      </c>
      <c r="GE21" s="316">
        <v>0.122969246373</v>
      </c>
      <c r="GF21" s="316">
        <v>0.86578484419400004</v>
      </c>
      <c r="GG21" s="316" t="s">
        <v>821</v>
      </c>
      <c r="GH21" s="316">
        <v>2.2342935057940001</v>
      </c>
      <c r="GI21" s="316"/>
      <c r="GJ21" s="316"/>
      <c r="GK21" s="316"/>
      <c r="GL21" s="316"/>
      <c r="GM21" s="316"/>
      <c r="GN21" s="316"/>
      <c r="GO21" s="316"/>
      <c r="GP21" s="316"/>
      <c r="GQ21" s="316"/>
      <c r="GR21" s="316"/>
      <c r="GS21" s="316"/>
      <c r="GT21" s="316"/>
      <c r="GU21" s="316"/>
      <c r="GV21" s="316"/>
      <c r="GW21" s="316"/>
      <c r="GX21" s="316"/>
      <c r="GY21" s="316"/>
      <c r="GZ21" s="316"/>
      <c r="HA21" s="316"/>
      <c r="HB21" s="316"/>
      <c r="HC21" s="316"/>
      <c r="HD21" s="316"/>
      <c r="HE21" s="316"/>
      <c r="HF21" s="316"/>
      <c r="HG21" s="316"/>
      <c r="HH21" s="316"/>
      <c r="HI21" s="316"/>
      <c r="HJ21" s="316"/>
      <c r="HK21" s="316"/>
      <c r="HL21" s="316"/>
      <c r="HM21" s="316"/>
      <c r="KH21" s="303"/>
    </row>
    <row r="22" spans="1:294" outlineLevel="1">
      <c r="B22" s="117" t="s">
        <v>361</v>
      </c>
      <c r="D22" s="320" t="s">
        <v>3375</v>
      </c>
      <c r="E22" s="316"/>
      <c r="F22" s="316"/>
      <c r="G22" s="316"/>
      <c r="H22" s="316"/>
      <c r="I22" s="316"/>
      <c r="J22" s="316"/>
      <c r="K22" s="316"/>
      <c r="L22" s="316"/>
      <c r="M22" s="316"/>
      <c r="N22" s="316"/>
      <c r="O22" s="316"/>
      <c r="P22" s="316"/>
      <c r="Q22" s="316"/>
      <c r="R22" s="316"/>
      <c r="S22" s="316"/>
      <c r="T22" s="316"/>
      <c r="U22" s="316"/>
      <c r="V22" s="316"/>
      <c r="W22" s="316"/>
      <c r="X22" s="316"/>
      <c r="Y22" s="316"/>
      <c r="Z22" s="316"/>
      <c r="AA22" s="316"/>
      <c r="AB22" s="316"/>
      <c r="AC22" s="316"/>
      <c r="AD22" s="316"/>
      <c r="AE22" s="316"/>
      <c r="AF22" s="316"/>
      <c r="AG22" s="316"/>
      <c r="AH22" s="316"/>
      <c r="AI22" s="316"/>
      <c r="AJ22" s="316"/>
      <c r="AK22" s="316"/>
      <c r="AL22" s="316"/>
      <c r="AM22" s="316"/>
      <c r="AN22" s="316"/>
      <c r="AO22" s="316"/>
      <c r="AP22" s="316"/>
      <c r="AQ22" s="316"/>
      <c r="AR22" s="316"/>
      <c r="AS22" s="316"/>
      <c r="AT22" s="316"/>
      <c r="AU22" s="316"/>
      <c r="AV22" s="316"/>
      <c r="AW22" s="316"/>
      <c r="AX22" s="316"/>
      <c r="AY22" s="316"/>
      <c r="AZ22" s="316"/>
      <c r="BA22" s="316"/>
      <c r="BB22" s="316"/>
      <c r="BC22" s="316"/>
      <c r="BD22" s="316"/>
      <c r="BE22" s="316"/>
      <c r="BF22" s="316"/>
      <c r="BG22" s="316"/>
      <c r="BH22" s="316"/>
      <c r="BI22" s="316"/>
      <c r="BJ22" s="316"/>
      <c r="BK22" s="316"/>
      <c r="BL22" s="316"/>
      <c r="BM22" s="316"/>
      <c r="BN22" s="316"/>
      <c r="BO22" s="316"/>
      <c r="BP22" s="316"/>
      <c r="BQ22" s="316"/>
      <c r="BR22" s="316"/>
      <c r="BS22" s="316"/>
      <c r="BT22" s="316"/>
      <c r="BU22" s="316"/>
      <c r="BV22" s="316"/>
      <c r="BW22" s="316"/>
      <c r="BX22" s="316"/>
      <c r="BY22" s="316"/>
      <c r="BZ22" s="316"/>
      <c r="CA22" s="316"/>
      <c r="CB22" s="316"/>
      <c r="CC22" s="316"/>
      <c r="CD22" s="316"/>
      <c r="CE22" s="317"/>
      <c r="CF22" s="316"/>
      <c r="CG22" s="316"/>
      <c r="CH22" s="316"/>
      <c r="CI22" s="316"/>
      <c r="CJ22" s="316"/>
      <c r="CK22" s="316"/>
      <c r="CL22" s="316"/>
      <c r="CM22" s="316"/>
      <c r="CN22" s="316"/>
      <c r="CO22" s="316"/>
      <c r="CP22" s="318"/>
      <c r="CQ22" s="316"/>
      <c r="CR22" s="316"/>
      <c r="CS22" s="316"/>
      <c r="CT22" s="316"/>
      <c r="CU22" s="316"/>
      <c r="CV22" s="316"/>
      <c r="CW22" s="316"/>
      <c r="CX22" s="316"/>
      <c r="CY22" s="316"/>
      <c r="CZ22" s="316"/>
      <c r="DA22" s="316"/>
      <c r="DB22" s="1498"/>
      <c r="DC22" s="316"/>
      <c r="DD22" s="316"/>
      <c r="DE22" s="316"/>
      <c r="DF22" s="316"/>
      <c r="DG22" s="316"/>
      <c r="DH22" s="316"/>
      <c r="DI22" s="316"/>
      <c r="DJ22" s="316"/>
      <c r="DK22" s="316"/>
      <c r="DL22" s="316"/>
      <c r="DM22" s="316"/>
      <c r="DN22" s="318"/>
      <c r="DO22" s="316"/>
      <c r="DP22" s="316"/>
      <c r="DQ22" s="316"/>
      <c r="DR22" s="316"/>
      <c r="DS22" s="316"/>
      <c r="DT22" s="316"/>
      <c r="DU22" s="316"/>
      <c r="DV22" s="316"/>
      <c r="DW22" s="316"/>
      <c r="DX22" s="316"/>
      <c r="DY22" s="316"/>
      <c r="DZ22" s="318"/>
      <c r="EA22" s="316"/>
      <c r="EB22" s="316"/>
      <c r="EC22" s="316"/>
      <c r="ED22" s="316"/>
      <c r="EE22" s="316"/>
      <c r="EF22" s="316"/>
      <c r="EG22" s="316"/>
      <c r="EH22" s="316"/>
      <c r="EI22" s="316"/>
      <c r="EJ22" s="316"/>
      <c r="EK22" s="316"/>
      <c r="EL22" s="318"/>
      <c r="EM22" s="1206"/>
      <c r="EN22" s="1206"/>
      <c r="EO22" s="1206"/>
      <c r="EP22" s="1206"/>
      <c r="EQ22" s="1206"/>
      <c r="ER22" s="1206"/>
      <c r="ES22" s="1206"/>
      <c r="ET22" s="1206"/>
      <c r="EU22" s="1206"/>
      <c r="EV22" s="1206"/>
      <c r="EW22" s="1206"/>
      <c r="EX22" s="1550"/>
      <c r="EY22" s="1206"/>
      <c r="EZ22" s="1206"/>
      <c r="FA22" s="1206"/>
      <c r="FB22" s="1206"/>
      <c r="FC22" s="1206"/>
      <c r="FD22" s="1206"/>
      <c r="FE22" s="1206"/>
      <c r="FF22" s="1206"/>
      <c r="FG22" s="1206"/>
      <c r="FH22" s="1206"/>
      <c r="FI22" s="1206"/>
      <c r="FJ22" s="1550"/>
      <c r="FK22" s="1206"/>
      <c r="FL22" s="1206"/>
      <c r="FM22" s="1206"/>
      <c r="FN22" s="1206"/>
      <c r="FO22" s="1206"/>
      <c r="FP22" s="1206"/>
      <c r="FQ22" s="316"/>
      <c r="FR22" s="316"/>
      <c r="FS22" s="316"/>
      <c r="FT22" s="316"/>
      <c r="FU22" s="316"/>
      <c r="FV22" s="1498"/>
      <c r="FW22" s="316"/>
      <c r="FX22" s="316"/>
      <c r="FY22" s="316"/>
      <c r="FZ22" s="316"/>
      <c r="GA22" s="316"/>
      <c r="GB22" s="316"/>
      <c r="GC22" s="316">
        <v>0</v>
      </c>
      <c r="GD22" s="316">
        <v>0</v>
      </c>
      <c r="GE22" s="316">
        <v>0</v>
      </c>
      <c r="GF22" s="316">
        <v>0</v>
      </c>
      <c r="GG22" s="316">
        <v>0</v>
      </c>
      <c r="GH22" s="316">
        <v>0</v>
      </c>
      <c r="GI22" s="316"/>
      <c r="GJ22" s="316"/>
      <c r="GK22" s="316"/>
      <c r="GL22" s="316"/>
      <c r="GM22" s="316"/>
      <c r="GN22" s="316"/>
      <c r="GO22" s="316"/>
      <c r="GP22" s="316"/>
      <c r="GQ22" s="316"/>
      <c r="GR22" s="316"/>
      <c r="GS22" s="316"/>
      <c r="GT22" s="316"/>
      <c r="GU22" s="316"/>
      <c r="GV22" s="316"/>
      <c r="GW22" s="316"/>
      <c r="GX22" s="316"/>
      <c r="GY22" s="316"/>
      <c r="GZ22" s="316"/>
      <c r="HA22" s="316"/>
      <c r="HB22" s="316"/>
      <c r="HC22" s="316"/>
      <c r="HD22" s="316"/>
      <c r="HE22" s="316"/>
      <c r="HF22" s="316"/>
      <c r="HG22" s="316"/>
      <c r="HH22" s="316"/>
      <c r="HI22" s="316"/>
      <c r="HJ22" s="316"/>
      <c r="HK22" s="316"/>
      <c r="HL22" s="316"/>
      <c r="HM22" s="316"/>
      <c r="KH22" s="303"/>
    </row>
    <row r="23" spans="1:294" outlineLevel="1">
      <c r="B23" s="117" t="s">
        <v>361</v>
      </c>
      <c r="D23" s="319" t="s">
        <v>3291</v>
      </c>
      <c r="E23" s="316"/>
      <c r="F23" s="316"/>
      <c r="G23" s="316"/>
      <c r="H23" s="316"/>
      <c r="I23" s="316"/>
      <c r="J23" s="316"/>
      <c r="K23" s="316"/>
      <c r="L23" s="316"/>
      <c r="M23" s="316"/>
      <c r="N23" s="316"/>
      <c r="O23" s="316"/>
      <c r="P23" s="316"/>
      <c r="Q23" s="316"/>
      <c r="R23" s="316"/>
      <c r="S23" s="316"/>
      <c r="T23" s="316"/>
      <c r="U23" s="316"/>
      <c r="V23" s="316"/>
      <c r="W23" s="316"/>
      <c r="X23" s="316"/>
      <c r="Y23" s="316"/>
      <c r="Z23" s="316"/>
      <c r="AA23" s="316"/>
      <c r="AB23" s="316"/>
      <c r="AC23" s="316"/>
      <c r="AD23" s="316"/>
      <c r="AE23" s="316"/>
      <c r="AF23" s="316"/>
      <c r="AG23" s="316"/>
      <c r="AH23" s="316"/>
      <c r="AI23" s="316"/>
      <c r="AJ23" s="316"/>
      <c r="AK23" s="316"/>
      <c r="AL23" s="316"/>
      <c r="AM23" s="316"/>
      <c r="AN23" s="316"/>
      <c r="AO23" s="316"/>
      <c r="AP23" s="316"/>
      <c r="AQ23" s="316"/>
      <c r="AR23" s="316"/>
      <c r="AS23" s="316"/>
      <c r="AT23" s="316"/>
      <c r="AU23" s="316"/>
      <c r="AV23" s="316"/>
      <c r="AW23" s="316"/>
      <c r="AX23" s="316"/>
      <c r="AY23" s="316"/>
      <c r="AZ23" s="316"/>
      <c r="BA23" s="316"/>
      <c r="BB23" s="316"/>
      <c r="BC23" s="316"/>
      <c r="BD23" s="316"/>
      <c r="BE23" s="316"/>
      <c r="BF23" s="316"/>
      <c r="BG23" s="316"/>
      <c r="BH23" s="316"/>
      <c r="BI23" s="316"/>
      <c r="BJ23" s="316"/>
      <c r="BK23" s="316"/>
      <c r="BL23" s="316"/>
      <c r="BM23" s="316"/>
      <c r="BN23" s="316"/>
      <c r="BO23" s="316"/>
      <c r="BP23" s="316"/>
      <c r="BQ23" s="316"/>
      <c r="BR23" s="316"/>
      <c r="BS23" s="316"/>
      <c r="BT23" s="316"/>
      <c r="BU23" s="316"/>
      <c r="BV23" s="316"/>
      <c r="BW23" s="316"/>
      <c r="BX23" s="316"/>
      <c r="BY23" s="316"/>
      <c r="BZ23" s="316"/>
      <c r="CA23" s="316"/>
      <c r="CB23" s="316"/>
      <c r="CC23" s="316"/>
      <c r="CD23" s="316"/>
      <c r="CE23" s="317"/>
      <c r="CF23" s="316"/>
      <c r="CG23" s="316"/>
      <c r="CH23" s="316"/>
      <c r="CI23" s="316"/>
      <c r="CJ23" s="316"/>
      <c r="CK23" s="316"/>
      <c r="CL23" s="316"/>
      <c r="CM23" s="316"/>
      <c r="CN23" s="316"/>
      <c r="CO23" s="316"/>
      <c r="CP23" s="318"/>
      <c r="CQ23" s="316"/>
      <c r="CR23" s="316"/>
      <c r="CS23" s="316"/>
      <c r="CT23" s="316"/>
      <c r="CU23" s="316"/>
      <c r="CV23" s="316"/>
      <c r="CW23" s="316"/>
      <c r="CX23" s="316"/>
      <c r="CY23" s="316"/>
      <c r="CZ23" s="316"/>
      <c r="DA23" s="316"/>
      <c r="DB23" s="1498"/>
      <c r="DC23" s="316"/>
      <c r="DD23" s="316"/>
      <c r="DE23" s="316"/>
      <c r="DF23" s="316"/>
      <c r="DG23" s="316"/>
      <c r="DH23" s="316"/>
      <c r="DI23" s="316"/>
      <c r="DJ23" s="316"/>
      <c r="DK23" s="316"/>
      <c r="DL23" s="316"/>
      <c r="DM23" s="316"/>
      <c r="DN23" s="318"/>
      <c r="DO23" s="316"/>
      <c r="DP23" s="316"/>
      <c r="DQ23" s="316"/>
      <c r="DR23" s="316"/>
      <c r="DS23" s="316"/>
      <c r="DT23" s="316"/>
      <c r="DU23" s="316"/>
      <c r="DV23" s="316"/>
      <c r="DW23" s="316"/>
      <c r="DX23" s="316"/>
      <c r="DY23" s="316"/>
      <c r="DZ23" s="318"/>
      <c r="EA23" s="316"/>
      <c r="EB23" s="316"/>
      <c r="EC23" s="316"/>
      <c r="ED23" s="316"/>
      <c r="EE23" s="316"/>
      <c r="EF23" s="316"/>
      <c r="EG23" s="316"/>
      <c r="EH23" s="316"/>
      <c r="EI23" s="316"/>
      <c r="EJ23" s="316"/>
      <c r="EK23" s="316"/>
      <c r="EL23" s="318"/>
      <c r="EM23" s="1206"/>
      <c r="EN23" s="1206"/>
      <c r="EO23" s="1206"/>
      <c r="EP23" s="1206"/>
      <c r="EQ23" s="1206"/>
      <c r="ER23" s="1206"/>
      <c r="ES23" s="1206"/>
      <c r="ET23" s="1206"/>
      <c r="EU23" s="1206"/>
      <c r="EV23" s="1206"/>
      <c r="EW23" s="1206"/>
      <c r="EX23" s="1550"/>
      <c r="EY23" s="1206"/>
      <c r="EZ23" s="1206"/>
      <c r="FA23" s="1206"/>
      <c r="FB23" s="1206"/>
      <c r="FC23" s="1206"/>
      <c r="FD23" s="1206"/>
      <c r="FE23" s="1206"/>
      <c r="FF23" s="1206"/>
      <c r="FG23" s="1206"/>
      <c r="FH23" s="1206"/>
      <c r="FI23" s="1206"/>
      <c r="FJ23" s="1550"/>
      <c r="FK23" s="1206"/>
      <c r="FL23" s="1206"/>
      <c r="FM23" s="1206"/>
      <c r="FN23" s="1206"/>
      <c r="FO23" s="1206"/>
      <c r="FP23" s="1206"/>
      <c r="FQ23" s="316"/>
      <c r="FR23" s="316"/>
      <c r="FS23" s="316"/>
      <c r="FT23" s="316"/>
      <c r="FU23" s="316"/>
      <c r="FV23" s="1498"/>
      <c r="FW23" s="316"/>
      <c r="FX23" s="316"/>
      <c r="FY23" s="316"/>
      <c r="FZ23" s="316"/>
      <c r="GA23" s="316"/>
      <c r="GB23" s="316"/>
      <c r="GC23" s="316">
        <v>0</v>
      </c>
      <c r="GD23" s="316">
        <v>0</v>
      </c>
      <c r="GE23" s="316">
        <v>0</v>
      </c>
      <c r="GF23" s="316">
        <v>10.598435385886999</v>
      </c>
      <c r="GG23" s="316">
        <v>0</v>
      </c>
      <c r="GH23" s="316">
        <v>29.265513434999999</v>
      </c>
      <c r="GI23" s="316"/>
      <c r="GJ23" s="316"/>
      <c r="GK23" s="316"/>
      <c r="GL23" s="316"/>
      <c r="GM23" s="316"/>
      <c r="GN23" s="316"/>
      <c r="GO23" s="316"/>
      <c r="GP23" s="316"/>
      <c r="GQ23" s="316"/>
      <c r="GR23" s="316"/>
      <c r="GS23" s="316"/>
      <c r="GT23" s="316"/>
      <c r="GU23" s="316"/>
      <c r="GV23" s="316"/>
      <c r="GW23" s="316"/>
      <c r="GX23" s="316"/>
      <c r="GY23" s="316"/>
      <c r="GZ23" s="316"/>
      <c r="HA23" s="316"/>
      <c r="HB23" s="316"/>
      <c r="HC23" s="316"/>
      <c r="HD23" s="316"/>
      <c r="HE23" s="316"/>
      <c r="HF23" s="316"/>
      <c r="HG23" s="316"/>
      <c r="HH23" s="316"/>
      <c r="HI23" s="316"/>
      <c r="HJ23" s="316"/>
      <c r="HK23" s="316"/>
      <c r="HL23" s="316"/>
      <c r="HM23" s="316"/>
      <c r="KH23" s="303"/>
    </row>
    <row r="24" spans="1:294" outlineLevel="1">
      <c r="B24" s="117" t="s">
        <v>361</v>
      </c>
      <c r="D24" s="315" t="s">
        <v>376</v>
      </c>
      <c r="E24" s="316">
        <f>SUM(E6:E20)</f>
        <v>0</v>
      </c>
      <c r="F24" s="316">
        <f t="shared" ref="F24:BQ24" si="7">SUM(F6:F20)</f>
        <v>0</v>
      </c>
      <c r="G24" s="316">
        <f t="shared" si="7"/>
        <v>0</v>
      </c>
      <c r="H24" s="316">
        <f t="shared" si="7"/>
        <v>0</v>
      </c>
      <c r="I24" s="316">
        <f t="shared" si="7"/>
        <v>0</v>
      </c>
      <c r="J24" s="316">
        <f t="shared" si="7"/>
        <v>0</v>
      </c>
      <c r="K24" s="316">
        <f t="shared" si="7"/>
        <v>0</v>
      </c>
      <c r="L24" s="316">
        <f t="shared" si="7"/>
        <v>0</v>
      </c>
      <c r="M24" s="316">
        <f t="shared" si="7"/>
        <v>0</v>
      </c>
      <c r="N24" s="316">
        <f t="shared" si="7"/>
        <v>0</v>
      </c>
      <c r="O24" s="316">
        <f t="shared" si="7"/>
        <v>0</v>
      </c>
      <c r="P24" s="316">
        <f t="shared" si="7"/>
        <v>0</v>
      </c>
      <c r="Q24" s="316">
        <f t="shared" si="7"/>
        <v>0</v>
      </c>
      <c r="R24" s="316">
        <f t="shared" si="7"/>
        <v>0</v>
      </c>
      <c r="S24" s="316">
        <f t="shared" si="7"/>
        <v>0</v>
      </c>
      <c r="T24" s="316">
        <f t="shared" si="7"/>
        <v>0</v>
      </c>
      <c r="U24" s="316">
        <f t="shared" si="7"/>
        <v>0</v>
      </c>
      <c r="V24" s="316">
        <f t="shared" si="7"/>
        <v>0</v>
      </c>
      <c r="W24" s="316">
        <f t="shared" si="7"/>
        <v>0</v>
      </c>
      <c r="X24" s="316">
        <f t="shared" si="7"/>
        <v>0</v>
      </c>
      <c r="Y24" s="316">
        <f t="shared" si="7"/>
        <v>0</v>
      </c>
      <c r="Z24" s="316">
        <f t="shared" si="7"/>
        <v>0</v>
      </c>
      <c r="AA24" s="316">
        <f t="shared" si="7"/>
        <v>0</v>
      </c>
      <c r="AB24" s="316">
        <f t="shared" si="7"/>
        <v>0</v>
      </c>
      <c r="AC24" s="316">
        <f t="shared" si="7"/>
        <v>0</v>
      </c>
      <c r="AD24" s="316">
        <f t="shared" si="7"/>
        <v>0</v>
      </c>
      <c r="AE24" s="316">
        <f t="shared" si="7"/>
        <v>0</v>
      </c>
      <c r="AF24" s="316">
        <f t="shared" si="7"/>
        <v>0</v>
      </c>
      <c r="AG24" s="316">
        <f t="shared" si="7"/>
        <v>0</v>
      </c>
      <c r="AH24" s="316">
        <f t="shared" si="7"/>
        <v>0</v>
      </c>
      <c r="AI24" s="316">
        <f t="shared" si="7"/>
        <v>0</v>
      </c>
      <c r="AJ24" s="316">
        <f t="shared" si="7"/>
        <v>0</v>
      </c>
      <c r="AK24" s="316">
        <f t="shared" si="7"/>
        <v>0</v>
      </c>
      <c r="AL24" s="316">
        <f t="shared" si="7"/>
        <v>0</v>
      </c>
      <c r="AM24" s="316">
        <f t="shared" si="7"/>
        <v>0</v>
      </c>
      <c r="AN24" s="316">
        <f t="shared" si="7"/>
        <v>0</v>
      </c>
      <c r="AO24" s="316">
        <f t="shared" si="7"/>
        <v>0.9419973966003059</v>
      </c>
      <c r="AP24" s="316">
        <f t="shared" si="7"/>
        <v>2.3120699955495643</v>
      </c>
      <c r="AQ24" s="316">
        <f t="shared" si="7"/>
        <v>3.1798792506095959</v>
      </c>
      <c r="AR24" s="316">
        <f t="shared" si="7"/>
        <v>6.0606829026982521</v>
      </c>
      <c r="AS24" s="316">
        <f t="shared" si="7"/>
        <v>2.3896372856882122</v>
      </c>
      <c r="AT24" s="316">
        <f t="shared" si="7"/>
        <v>3.8477594639401271</v>
      </c>
      <c r="AU24" s="316">
        <f t="shared" si="7"/>
        <v>1.1054871460878444</v>
      </c>
      <c r="AV24" s="316">
        <f t="shared" si="7"/>
        <v>1.8445938300807765</v>
      </c>
      <c r="AW24" s="316">
        <f t="shared" si="7"/>
        <v>1.211958670009524</v>
      </c>
      <c r="AX24" s="316">
        <f t="shared" si="7"/>
        <v>5.5416237234750945</v>
      </c>
      <c r="AY24" s="316">
        <f t="shared" si="7"/>
        <v>4.0064216731809141</v>
      </c>
      <c r="AZ24" s="316">
        <f t="shared" si="7"/>
        <v>4.5453751638598456</v>
      </c>
      <c r="BA24" s="316">
        <f t="shared" si="7"/>
        <v>5.895384619535772</v>
      </c>
      <c r="BB24" s="316">
        <f t="shared" si="7"/>
        <v>4.5352634974833332</v>
      </c>
      <c r="BC24" s="316">
        <f t="shared" si="7"/>
        <v>13.280532053394124</v>
      </c>
      <c r="BD24" s="316">
        <f t="shared" si="7"/>
        <v>3.3967550983832928</v>
      </c>
      <c r="BE24" s="316">
        <f t="shared" si="7"/>
        <v>6.053113071123831</v>
      </c>
      <c r="BF24" s="316">
        <f t="shared" si="7"/>
        <v>5.1854767960607164</v>
      </c>
      <c r="BG24" s="316">
        <f t="shared" si="7"/>
        <v>4.7429663860652393</v>
      </c>
      <c r="BH24" s="316">
        <f t="shared" si="7"/>
        <v>2.50623638553623</v>
      </c>
      <c r="BI24" s="316">
        <f t="shared" si="7"/>
        <v>4.2447753952307439</v>
      </c>
      <c r="BJ24" s="316">
        <f t="shared" si="7"/>
        <v>3.076820456131157</v>
      </c>
      <c r="BK24" s="316">
        <f t="shared" si="7"/>
        <v>7.7867182370302457</v>
      </c>
      <c r="BL24" s="316">
        <f t="shared" si="7"/>
        <v>8.0427494871327756</v>
      </c>
      <c r="BM24" s="316">
        <f t="shared" si="7"/>
        <v>2.5587285849299026</v>
      </c>
      <c r="BN24" s="316">
        <f t="shared" si="7"/>
        <v>7.142050672421802</v>
      </c>
      <c r="BO24" s="316">
        <f t="shared" si="7"/>
        <v>5.8729568723278245</v>
      </c>
      <c r="BP24" s="316">
        <f t="shared" si="7"/>
        <v>4.2417080816900139</v>
      </c>
      <c r="BQ24" s="316">
        <f t="shared" si="7"/>
        <v>5.0692356032633779</v>
      </c>
      <c r="BR24" s="316">
        <f t="shared" ref="BR24:CD24" si="8">SUM(BR6:BR20)</f>
        <v>5.5758089973027074</v>
      </c>
      <c r="BS24" s="316">
        <f t="shared" si="8"/>
        <v>1.2519341368643684</v>
      </c>
      <c r="BT24" s="316">
        <f t="shared" si="8"/>
        <v>8.0109593575734497</v>
      </c>
      <c r="BU24" s="316">
        <f t="shared" si="8"/>
        <v>6.2240248257424122</v>
      </c>
      <c r="BV24" s="316">
        <f t="shared" si="8"/>
        <v>1.7237858952034464</v>
      </c>
      <c r="BW24" s="316">
        <f t="shared" si="8"/>
        <v>5.5529524331809519</v>
      </c>
      <c r="BX24" s="316">
        <f t="shared" si="8"/>
        <v>4.7129369148286093</v>
      </c>
      <c r="BY24" s="316">
        <f t="shared" si="8"/>
        <v>2.100093706</v>
      </c>
      <c r="BZ24" s="316">
        <f t="shared" si="8"/>
        <v>4.4655548180000002</v>
      </c>
      <c r="CA24" s="316">
        <f t="shared" si="8"/>
        <v>5.1991300479999998</v>
      </c>
      <c r="CB24" s="316">
        <f t="shared" si="8"/>
        <v>5.3388579189999996</v>
      </c>
      <c r="CC24" s="316">
        <f t="shared" si="8"/>
        <v>6.0480418490000005</v>
      </c>
      <c r="CD24" s="316">
        <f t="shared" si="8"/>
        <v>17.882258774</v>
      </c>
      <c r="CE24" s="317">
        <v>6.8171795699999995</v>
      </c>
      <c r="CF24" s="316">
        <v>3.9039883389999996</v>
      </c>
      <c r="CG24" s="316">
        <v>3.8882203720000001</v>
      </c>
      <c r="CH24" s="316">
        <v>6.2578329159999999</v>
      </c>
      <c r="CI24" s="316">
        <v>3.5211649989999998</v>
      </c>
      <c r="CJ24" s="316">
        <v>6.7397221740000006</v>
      </c>
      <c r="CK24" s="316">
        <v>11.206712712286999</v>
      </c>
      <c r="CL24" s="316">
        <v>1.744920303962</v>
      </c>
      <c r="CM24" s="316">
        <v>2.9498687050729999</v>
      </c>
      <c r="CN24" s="316">
        <v>2.9364516164649999</v>
      </c>
      <c r="CO24" s="316">
        <v>7.9735729529739992</v>
      </c>
      <c r="CP24" s="318">
        <v>8.7696447443489998</v>
      </c>
      <c r="CQ24" s="316">
        <v>5.7607435347770011</v>
      </c>
      <c r="CR24" s="316">
        <v>3.9472671107080002</v>
      </c>
      <c r="CS24" s="316">
        <v>12.991094179872</v>
      </c>
      <c r="CT24" s="316">
        <v>7.097023092573</v>
      </c>
      <c r="CU24" s="316">
        <v>12.102969035651</v>
      </c>
      <c r="CV24" s="316">
        <v>11.621077212909999</v>
      </c>
      <c r="CW24" s="316">
        <v>8.4188352186079989</v>
      </c>
      <c r="CX24" s="316">
        <v>3.7151717103489998</v>
      </c>
      <c r="CY24" s="316">
        <v>9.2964163726490003</v>
      </c>
      <c r="CZ24" s="316">
        <v>3.9665275602789998</v>
      </c>
      <c r="DA24" s="316">
        <v>6.3830912553159997</v>
      </c>
      <c r="DB24" s="1498">
        <v>13.932984784080002</v>
      </c>
      <c r="DC24" s="316">
        <v>0.42216898336300002</v>
      </c>
      <c r="DD24" s="316">
        <v>3.7189687297299998</v>
      </c>
      <c r="DE24" s="316">
        <v>11.694227755626997</v>
      </c>
      <c r="DF24" s="316">
        <v>8.5129279728749996</v>
      </c>
      <c r="DG24" s="316">
        <v>4.8652677647420006</v>
      </c>
      <c r="DH24" s="316">
        <v>22.350273298890002</v>
      </c>
      <c r="DI24" s="316">
        <v>6.7047741122170006</v>
      </c>
      <c r="DJ24" s="316">
        <v>5.5435094828279992</v>
      </c>
      <c r="DK24" s="316">
        <v>13.796249482406001</v>
      </c>
      <c r="DL24" s="316">
        <v>13.128120131547998</v>
      </c>
      <c r="DM24" s="316">
        <v>6.8738819535209998</v>
      </c>
      <c r="DN24" s="318">
        <v>5.2576456738859996</v>
      </c>
      <c r="DO24" s="316">
        <v>3.2977253905239996</v>
      </c>
      <c r="DP24" s="316">
        <v>8.4289872174100005</v>
      </c>
      <c r="DQ24" s="316">
        <v>19.676344781299001</v>
      </c>
      <c r="DR24" s="316">
        <v>6.2250619891019987</v>
      </c>
      <c r="DS24" s="316">
        <v>11.369225287213002</v>
      </c>
      <c r="DT24" s="316">
        <v>20.325144909231</v>
      </c>
      <c r="DU24" s="316">
        <v>11.223212818042001</v>
      </c>
      <c r="DV24" s="316">
        <v>3.1183098931750002</v>
      </c>
      <c r="DW24" s="316">
        <v>21.614232810366996</v>
      </c>
      <c r="DX24" s="316">
        <v>21.526583004928</v>
      </c>
      <c r="DY24" s="316">
        <v>12.780071612072998</v>
      </c>
      <c r="DZ24" s="318">
        <v>21.164277456465001</v>
      </c>
      <c r="EA24" s="316">
        <v>9.7045831328230001</v>
      </c>
      <c r="EB24" s="316">
        <v>14.178791869796999</v>
      </c>
      <c r="EC24" s="316">
        <v>4.1068273863379989</v>
      </c>
      <c r="ED24" s="316">
        <v>14.499453949647002</v>
      </c>
      <c r="EE24" s="316">
        <v>8.0689371946400001</v>
      </c>
      <c r="EF24" s="316">
        <v>16.683415901944997</v>
      </c>
      <c r="EG24" s="316">
        <v>20.175523392911998</v>
      </c>
      <c r="EH24" s="316">
        <v>4.4105177353120002</v>
      </c>
      <c r="EI24" s="316">
        <v>18.571578294357</v>
      </c>
      <c r="EJ24" s="316">
        <v>12.140062738398001</v>
      </c>
      <c r="EK24" s="316">
        <v>19.123543562072001</v>
      </c>
      <c r="EL24" s="318">
        <v>28.687180347918996</v>
      </c>
      <c r="EM24" s="1209">
        <v>10.477656590839999</v>
      </c>
      <c r="EN24" s="1209">
        <v>2.1647688006760002</v>
      </c>
      <c r="EO24" s="1209">
        <v>15.058106803279999</v>
      </c>
      <c r="EP24" s="1209">
        <v>3.5079863831359996</v>
      </c>
      <c r="EQ24" s="1209">
        <v>15.281142754074001</v>
      </c>
      <c r="ER24" s="1209">
        <v>26.971773235696993</v>
      </c>
      <c r="ES24" s="1209">
        <v>23.575918671628003</v>
      </c>
      <c r="ET24" s="1209">
        <v>16.006098219428999</v>
      </c>
      <c r="EU24" s="1209">
        <v>17.722634921015</v>
      </c>
      <c r="EV24" s="1209">
        <v>14.858032673780999</v>
      </c>
      <c r="EW24" s="1209">
        <v>19.614621516160998</v>
      </c>
      <c r="EX24" s="1539">
        <v>49.68972366989501</v>
      </c>
      <c r="EY24" s="1206">
        <v>19.924202328219</v>
      </c>
      <c r="EZ24" s="1206">
        <v>27.841981081697003</v>
      </c>
      <c r="FA24" s="1206">
        <v>9.9377495896189991</v>
      </c>
      <c r="FB24" s="1206">
        <v>17.643032780835</v>
      </c>
      <c r="FC24" s="1206">
        <v>24.679553929534006</v>
      </c>
      <c r="FD24" s="1206">
        <v>36.914323498831997</v>
      </c>
      <c r="FE24" s="1206">
        <v>23.042271596590833</v>
      </c>
      <c r="FF24" s="1206">
        <v>23.042271596590833</v>
      </c>
      <c r="FG24" s="1206">
        <v>23.042271596590833</v>
      </c>
      <c r="FH24" s="1206">
        <v>27.301130899202501</v>
      </c>
      <c r="FI24" s="1206">
        <v>27.301130899202501</v>
      </c>
      <c r="FJ24" s="1550">
        <v>27.301130899202501</v>
      </c>
      <c r="FK24" s="1206">
        <v>117.575863139036</v>
      </c>
      <c r="FL24" s="1206">
        <v>44.259788753746001</v>
      </c>
      <c r="FM24" s="1206">
        <v>18.768165997943996</v>
      </c>
      <c r="FN24" s="1206">
        <v>12.931676679849998</v>
      </c>
      <c r="FO24" s="1206">
        <v>25.497255099752</v>
      </c>
      <c r="FP24" s="1206">
        <v>27.715972263397997</v>
      </c>
      <c r="FQ24" s="316">
        <v>16.024197946205</v>
      </c>
      <c r="FR24" s="316">
        <v>13.750472737393999</v>
      </c>
      <c r="FS24" s="316">
        <v>35.751266564339986</v>
      </c>
      <c r="FT24" s="316">
        <v>26.086093328253</v>
      </c>
      <c r="FU24" s="316">
        <v>8.9790092985810013</v>
      </c>
      <c r="FV24" s="1498">
        <v>43.230276040410004</v>
      </c>
      <c r="FW24" s="316">
        <v>31.975558265251003</v>
      </c>
      <c r="FX24" s="316">
        <v>21.442936379576999</v>
      </c>
      <c r="FY24" s="316">
        <v>33.697982377468996</v>
      </c>
      <c r="FZ24" s="316">
        <v>61.350638449767992</v>
      </c>
      <c r="GA24" s="316">
        <v>27.841120919802002</v>
      </c>
      <c r="GB24" s="316">
        <v>39.717925325982002</v>
      </c>
      <c r="GC24" s="316">
        <v>3.4298311076370003</v>
      </c>
      <c r="GD24" s="316">
        <v>20.862679986603997</v>
      </c>
      <c r="GE24" s="316">
        <v>18.005459701505991</v>
      </c>
      <c r="GF24" s="316">
        <v>21.540718199653</v>
      </c>
      <c r="GG24" s="316">
        <v>26.262921360992998</v>
      </c>
      <c r="GH24" s="316">
        <v>94.193047970162993</v>
      </c>
      <c r="GI24" s="316"/>
      <c r="GJ24" s="316"/>
      <c r="GK24" s="316"/>
      <c r="GL24" s="316"/>
      <c r="GM24" s="316"/>
      <c r="GN24" s="316"/>
      <c r="GO24" s="316"/>
      <c r="GP24" s="316"/>
      <c r="GQ24" s="316"/>
      <c r="GR24" s="316"/>
      <c r="GS24" s="316"/>
      <c r="GT24" s="316"/>
      <c r="GU24" s="316"/>
      <c r="GV24" s="316"/>
      <c r="GW24" s="316"/>
      <c r="GX24" s="316"/>
      <c r="GY24" s="316"/>
      <c r="GZ24" s="316"/>
      <c r="HA24" s="316"/>
      <c r="HB24" s="316"/>
      <c r="HC24" s="316"/>
      <c r="HD24" s="316"/>
      <c r="HE24" s="316"/>
      <c r="HF24" s="316"/>
      <c r="HG24" s="316"/>
      <c r="HH24" s="316"/>
      <c r="HI24" s="316"/>
      <c r="HJ24" s="316"/>
      <c r="HK24" s="316"/>
      <c r="HL24" s="316"/>
      <c r="HM24" s="316"/>
      <c r="HV24" s="302">
        <f>+SUM(DC24:DH24)</f>
        <v>51.563834505227</v>
      </c>
      <c r="HW24" s="302">
        <f>+SUM(DI24:DN24)</f>
        <v>51.30418083640599</v>
      </c>
      <c r="HX24" s="302">
        <f t="shared" si="2"/>
        <v>102.868015341633</v>
      </c>
      <c r="HY24" s="302">
        <f>SUM(DO24:DT24)</f>
        <v>69.322489574778999</v>
      </c>
      <c r="KH24" s="303"/>
    </row>
    <row r="25" spans="1:294" outlineLevel="1">
      <c r="D25" s="320"/>
      <c r="E25" s="316"/>
      <c r="F25" s="316"/>
      <c r="G25" s="316"/>
      <c r="H25" s="316"/>
      <c r="I25" s="316"/>
      <c r="J25" s="316"/>
      <c r="K25" s="316"/>
      <c r="L25" s="316"/>
      <c r="M25" s="316"/>
      <c r="N25" s="316"/>
      <c r="O25" s="316"/>
      <c r="P25" s="316"/>
      <c r="Q25" s="316"/>
      <c r="R25" s="316"/>
      <c r="S25" s="316"/>
      <c r="T25" s="316"/>
      <c r="U25" s="316"/>
      <c r="V25" s="316"/>
      <c r="W25" s="316"/>
      <c r="X25" s="316"/>
      <c r="Y25" s="316"/>
      <c r="Z25" s="316"/>
      <c r="AA25" s="316"/>
      <c r="AB25" s="316"/>
      <c r="AC25" s="316"/>
      <c r="AD25" s="316"/>
      <c r="AE25" s="316"/>
      <c r="AF25" s="316"/>
      <c r="AG25" s="316"/>
      <c r="AH25" s="316"/>
      <c r="AI25" s="316"/>
      <c r="AJ25" s="316"/>
      <c r="AK25" s="316"/>
      <c r="AL25" s="316"/>
      <c r="AM25" s="316"/>
      <c r="AN25" s="316"/>
      <c r="AO25" s="316"/>
      <c r="AP25" s="316"/>
      <c r="AQ25" s="316"/>
      <c r="AR25" s="316"/>
      <c r="AS25" s="316"/>
      <c r="AT25" s="316"/>
      <c r="AU25" s="316"/>
      <c r="AV25" s="316"/>
      <c r="AW25" s="316"/>
      <c r="AX25" s="316"/>
      <c r="AY25" s="316"/>
      <c r="AZ25" s="316"/>
      <c r="BA25" s="316"/>
      <c r="BB25" s="316"/>
      <c r="BC25" s="316"/>
      <c r="BD25" s="316"/>
      <c r="BE25" s="316"/>
      <c r="BF25" s="316"/>
      <c r="BG25" s="316"/>
      <c r="BH25" s="316"/>
      <c r="BI25" s="316"/>
      <c r="BJ25" s="316"/>
      <c r="BK25" s="316"/>
      <c r="BL25" s="316"/>
      <c r="BM25" s="316"/>
      <c r="BN25" s="316"/>
      <c r="BO25" s="316"/>
      <c r="BP25" s="316"/>
      <c r="BQ25" s="316"/>
      <c r="BR25" s="316"/>
      <c r="BS25" s="316"/>
      <c r="BT25" s="316"/>
      <c r="BU25" s="316"/>
      <c r="BV25" s="316"/>
      <c r="BW25" s="316"/>
      <c r="BX25" s="316"/>
      <c r="BY25" s="316"/>
      <c r="BZ25" s="316"/>
      <c r="CA25" s="316"/>
      <c r="CB25" s="316"/>
      <c r="CC25" s="316"/>
      <c r="CD25" s="316"/>
      <c r="CE25" s="317"/>
      <c r="CF25" s="316"/>
      <c r="CG25" s="316"/>
      <c r="CH25" s="316"/>
      <c r="CI25" s="316"/>
      <c r="CJ25" s="316"/>
      <c r="CK25" s="316"/>
      <c r="CL25" s="316"/>
      <c r="CM25" s="316"/>
      <c r="CN25" s="316"/>
      <c r="CO25" s="316"/>
      <c r="CP25" s="318"/>
      <c r="CQ25" s="316"/>
      <c r="CR25" s="316"/>
      <c r="CS25" s="316"/>
      <c r="CT25" s="316"/>
      <c r="CU25" s="316"/>
      <c r="CV25" s="316"/>
      <c r="CW25" s="316"/>
      <c r="CX25" s="316"/>
      <c r="CY25" s="316"/>
      <c r="CZ25" s="316"/>
      <c r="DA25" s="316"/>
      <c r="DB25" s="1498"/>
      <c r="DC25" s="316"/>
      <c r="DD25" s="316"/>
      <c r="DE25" s="316"/>
      <c r="DF25" s="316"/>
      <c r="DG25" s="316"/>
      <c r="DH25" s="316"/>
      <c r="DI25" s="316"/>
      <c r="DJ25" s="316"/>
      <c r="DK25" s="316"/>
      <c r="DL25" s="316"/>
      <c r="DM25" s="316"/>
      <c r="DN25" s="318"/>
      <c r="DO25" s="316"/>
      <c r="DP25" s="316"/>
      <c r="DQ25" s="316"/>
      <c r="DR25" s="316"/>
      <c r="DS25" s="316"/>
      <c r="DT25" s="316"/>
      <c r="DU25" s="316"/>
      <c r="DV25" s="316"/>
      <c r="DW25" s="316"/>
      <c r="DX25" s="316"/>
      <c r="DY25" s="316"/>
      <c r="DZ25" s="318"/>
      <c r="EA25" s="316"/>
      <c r="EB25" s="316"/>
      <c r="EC25" s="316"/>
      <c r="ED25" s="316"/>
      <c r="EE25" s="316"/>
      <c r="EF25" s="316"/>
      <c r="EG25" s="316"/>
      <c r="EH25" s="316"/>
      <c r="EI25" s="316"/>
      <c r="EJ25" s="316"/>
      <c r="EK25" s="316"/>
      <c r="EL25" s="318"/>
      <c r="EM25" s="1206"/>
      <c r="EN25" s="1206"/>
      <c r="EO25" s="1206"/>
      <c r="EP25" s="1206"/>
      <c r="EQ25" s="1206"/>
      <c r="ER25" s="1206"/>
      <c r="ES25" s="1206"/>
      <c r="ET25" s="1206"/>
      <c r="EU25" s="1206"/>
      <c r="EV25" s="1206"/>
      <c r="EW25" s="1206"/>
      <c r="EX25" s="1550"/>
      <c r="EY25" s="1206"/>
      <c r="EZ25" s="1206"/>
      <c r="FA25" s="1206"/>
      <c r="FB25" s="1206"/>
      <c r="FC25" s="1206"/>
      <c r="FD25" s="1206"/>
      <c r="FE25" s="1206"/>
      <c r="FF25" s="1206"/>
      <c r="FG25" s="1206"/>
      <c r="FH25" s="1206"/>
      <c r="FI25" s="1206"/>
      <c r="FJ25" s="1550"/>
      <c r="FK25" s="1206"/>
      <c r="FL25" s="1206"/>
      <c r="FM25" s="1206"/>
      <c r="FN25" s="1206"/>
      <c r="FO25" s="1206"/>
      <c r="FP25" s="1206"/>
      <c r="FQ25" s="316"/>
      <c r="FR25" s="316"/>
      <c r="FS25" s="316"/>
      <c r="FT25" s="316"/>
      <c r="FU25" s="316"/>
      <c r="FV25" s="1498"/>
      <c r="FW25" s="316"/>
      <c r="FX25" s="316"/>
      <c r="FY25" s="316"/>
      <c r="FZ25" s="316"/>
      <c r="GA25" s="316"/>
      <c r="GB25" s="316"/>
      <c r="GC25" s="316"/>
      <c r="GD25" s="316"/>
      <c r="GE25" s="316"/>
      <c r="GF25" s="316"/>
      <c r="GG25" s="316"/>
      <c r="GH25" s="316"/>
      <c r="GI25" s="316"/>
      <c r="GJ25" s="316"/>
      <c r="GK25" s="316"/>
      <c r="GL25" s="316"/>
      <c r="GM25" s="316"/>
      <c r="GN25" s="316"/>
      <c r="GO25" s="316"/>
      <c r="GP25" s="316"/>
      <c r="GQ25" s="316"/>
      <c r="GR25" s="316"/>
      <c r="GS25" s="316"/>
      <c r="GT25" s="316"/>
      <c r="GU25" s="316"/>
      <c r="GV25" s="316"/>
      <c r="GW25" s="316"/>
      <c r="GX25" s="316"/>
      <c r="GY25" s="316"/>
      <c r="GZ25" s="316"/>
      <c r="HA25" s="316"/>
      <c r="HB25" s="316"/>
      <c r="HC25" s="316"/>
      <c r="HD25" s="316"/>
      <c r="HE25" s="316"/>
      <c r="HF25" s="316"/>
      <c r="HG25" s="316"/>
      <c r="HH25" s="316"/>
      <c r="HI25" s="316"/>
      <c r="HJ25" s="316"/>
      <c r="HK25" s="316"/>
      <c r="HL25" s="316"/>
      <c r="HM25" s="316"/>
      <c r="KH25" s="303"/>
    </row>
    <row r="26" spans="1:294" outlineLevel="1">
      <c r="A26" s="314"/>
      <c r="D26" s="315" t="s">
        <v>979</v>
      </c>
      <c r="E26" s="316"/>
      <c r="F26" s="316"/>
      <c r="G26" s="316"/>
      <c r="H26" s="316"/>
      <c r="I26" s="316"/>
      <c r="J26" s="316"/>
      <c r="K26" s="316"/>
      <c r="L26" s="316"/>
      <c r="M26" s="316"/>
      <c r="N26" s="316"/>
      <c r="O26" s="316"/>
      <c r="P26" s="316"/>
      <c r="Q26" s="316"/>
      <c r="R26" s="316"/>
      <c r="S26" s="316"/>
      <c r="T26" s="316"/>
      <c r="U26" s="316"/>
      <c r="V26" s="316"/>
      <c r="W26" s="316"/>
      <c r="X26" s="316"/>
      <c r="Y26" s="316"/>
      <c r="Z26" s="316"/>
      <c r="AA26" s="316"/>
      <c r="AB26" s="316"/>
      <c r="AC26" s="316"/>
      <c r="AD26" s="316"/>
      <c r="AE26" s="316"/>
      <c r="AF26" s="316"/>
      <c r="AG26" s="316"/>
      <c r="AH26" s="316"/>
      <c r="AI26" s="316"/>
      <c r="AJ26" s="316"/>
      <c r="AK26" s="316"/>
      <c r="AL26" s="316"/>
      <c r="AM26" s="316"/>
      <c r="AN26" s="316"/>
      <c r="AO26" s="316"/>
      <c r="AP26" s="316"/>
      <c r="AQ26" s="316"/>
      <c r="AR26" s="316"/>
      <c r="AS26" s="316"/>
      <c r="AT26" s="316"/>
      <c r="AU26" s="316"/>
      <c r="AV26" s="316"/>
      <c r="AW26" s="316"/>
      <c r="AX26" s="316"/>
      <c r="AY26" s="316"/>
      <c r="AZ26" s="316"/>
      <c r="BA26" s="316"/>
      <c r="BB26" s="316"/>
      <c r="BC26" s="316"/>
      <c r="BD26" s="316"/>
      <c r="BE26" s="316"/>
      <c r="BF26" s="316"/>
      <c r="BG26" s="316"/>
      <c r="BH26" s="316"/>
      <c r="BI26" s="316"/>
      <c r="BJ26" s="316"/>
      <c r="BK26" s="316"/>
      <c r="BL26" s="316"/>
      <c r="BM26" s="316"/>
      <c r="BN26" s="316"/>
      <c r="BO26" s="316"/>
      <c r="BP26" s="316"/>
      <c r="BQ26" s="316"/>
      <c r="BR26" s="316"/>
      <c r="BS26" s="316"/>
      <c r="BT26" s="316"/>
      <c r="BU26" s="316"/>
      <c r="BV26" s="316"/>
      <c r="BW26" s="316"/>
      <c r="BX26" s="316"/>
      <c r="BY26" s="316"/>
      <c r="BZ26" s="316"/>
      <c r="CA26" s="316"/>
      <c r="CB26" s="316"/>
      <c r="CC26" s="316"/>
      <c r="CD26" s="316"/>
      <c r="CE26" s="317"/>
      <c r="CF26" s="316"/>
      <c r="CG26" s="316"/>
      <c r="CH26" s="316"/>
      <c r="CI26" s="316"/>
      <c r="CJ26" s="316"/>
      <c r="CK26" s="316"/>
      <c r="CL26" s="316"/>
      <c r="CM26" s="316"/>
      <c r="CN26" s="316"/>
      <c r="CO26" s="316"/>
      <c r="CP26" s="318"/>
      <c r="CQ26" s="316"/>
      <c r="CR26" s="316"/>
      <c r="CS26" s="316"/>
      <c r="CT26" s="316"/>
      <c r="CU26" s="316"/>
      <c r="CV26" s="316"/>
      <c r="CW26" s="316"/>
      <c r="CX26" s="316"/>
      <c r="CY26" s="316"/>
      <c r="CZ26" s="316"/>
      <c r="DA26" s="316"/>
      <c r="DB26" s="1498"/>
      <c r="DC26" s="316"/>
      <c r="DD26" s="316"/>
      <c r="DE26" s="316"/>
      <c r="DF26" s="316"/>
      <c r="DG26" s="316"/>
      <c r="DH26" s="316"/>
      <c r="DI26" s="316"/>
      <c r="DJ26" s="316"/>
      <c r="DK26" s="316"/>
      <c r="DL26" s="316"/>
      <c r="DM26" s="316"/>
      <c r="DN26" s="318"/>
      <c r="DO26" s="316"/>
      <c r="DP26" s="316"/>
      <c r="DQ26" s="316"/>
      <c r="DR26" s="316"/>
      <c r="DS26" s="316"/>
      <c r="DT26" s="316"/>
      <c r="DU26" s="316"/>
      <c r="DV26" s="316"/>
      <c r="DW26" s="316"/>
      <c r="DX26" s="316"/>
      <c r="DY26" s="316"/>
      <c r="DZ26" s="318"/>
      <c r="EA26" s="316">
        <v>0</v>
      </c>
      <c r="EB26" s="316">
        <v>0</v>
      </c>
      <c r="EC26" s="316">
        <v>0</v>
      </c>
      <c r="ED26" s="316">
        <v>0</v>
      </c>
      <c r="EE26" s="316">
        <v>0</v>
      </c>
      <c r="EF26" s="316">
        <v>0</v>
      </c>
      <c r="EG26" s="316">
        <v>36.409625616</v>
      </c>
      <c r="EH26" s="316">
        <v>0</v>
      </c>
      <c r="EI26" s="316">
        <v>0</v>
      </c>
      <c r="EJ26" s="316">
        <v>0</v>
      </c>
      <c r="EK26" s="316">
        <v>0</v>
      </c>
      <c r="EL26" s="318">
        <v>0</v>
      </c>
      <c r="EM26" s="1206"/>
      <c r="EN26" s="1206"/>
      <c r="EO26" s="1206"/>
      <c r="EP26" s="1206"/>
      <c r="EQ26" s="1206"/>
      <c r="ER26" s="1206"/>
      <c r="ES26" s="1206"/>
      <c r="ET26" s="1206"/>
      <c r="EU26" s="1206"/>
      <c r="EV26" s="1206"/>
      <c r="EW26" s="1206"/>
      <c r="EX26" s="1550"/>
      <c r="EY26" s="1206"/>
      <c r="EZ26" s="1206"/>
      <c r="FA26" s="1206"/>
      <c r="FB26" s="1206"/>
      <c r="FC26" s="1206"/>
      <c r="FD26" s="1206"/>
      <c r="FE26" s="1206"/>
      <c r="FF26" s="1206"/>
      <c r="FG26" s="1206"/>
      <c r="FH26" s="1206"/>
      <c r="FI26" s="1206"/>
      <c r="FJ26" s="1550"/>
      <c r="FK26" s="1206"/>
      <c r="FL26" s="1206"/>
      <c r="FM26" s="1206"/>
      <c r="FN26" s="1206"/>
      <c r="FO26" s="1206"/>
      <c r="FP26" s="1206"/>
      <c r="FQ26" s="316"/>
      <c r="FR26" s="316"/>
      <c r="FS26" s="316"/>
      <c r="FT26" s="316"/>
      <c r="FU26" s="316"/>
      <c r="FV26" s="1498"/>
      <c r="FW26" s="316"/>
      <c r="FX26" s="316"/>
      <c r="FY26" s="316"/>
      <c r="FZ26" s="316"/>
      <c r="GA26" s="316"/>
      <c r="GB26" s="316"/>
      <c r="GC26" s="316"/>
      <c r="GD26" s="316"/>
      <c r="GE26" s="316"/>
      <c r="GF26" s="316"/>
      <c r="GG26" s="316"/>
      <c r="GH26" s="316"/>
      <c r="GI26" s="316"/>
      <c r="GJ26" s="316"/>
      <c r="GK26" s="316"/>
      <c r="GL26" s="316"/>
      <c r="GM26" s="316"/>
      <c r="GN26" s="316"/>
      <c r="GO26" s="316"/>
      <c r="GP26" s="316"/>
      <c r="GQ26" s="316"/>
      <c r="GR26" s="316"/>
      <c r="GS26" s="316"/>
      <c r="GT26" s="316"/>
      <c r="GU26" s="316"/>
      <c r="GV26" s="316"/>
      <c r="GW26" s="316"/>
      <c r="GX26" s="316"/>
      <c r="GY26" s="316"/>
      <c r="GZ26" s="316"/>
      <c r="HA26" s="316"/>
      <c r="HB26" s="316"/>
      <c r="HC26" s="316"/>
      <c r="HD26" s="316"/>
      <c r="HE26" s="316"/>
      <c r="HF26" s="316"/>
      <c r="HG26" s="316"/>
      <c r="HH26" s="316"/>
      <c r="HI26" s="316"/>
      <c r="HJ26" s="316"/>
      <c r="HK26" s="316"/>
      <c r="HL26" s="316"/>
      <c r="HM26" s="316"/>
      <c r="HV26" s="302">
        <f>+SUM(DC26:DH26)</f>
        <v>0</v>
      </c>
      <c r="HW26" s="302">
        <f>+SUM(DI26:DN26)</f>
        <v>0</v>
      </c>
      <c r="HX26" s="302">
        <f>+HV26+HW26</f>
        <v>0</v>
      </c>
      <c r="HY26" s="302">
        <f>SUM(DO26:DT26)</f>
        <v>0</v>
      </c>
      <c r="KH26" s="303"/>
    </row>
    <row r="27" spans="1:294" outlineLevel="1">
      <c r="A27" s="117" t="s">
        <v>976</v>
      </c>
      <c r="B27" s="117" t="s">
        <v>361</v>
      </c>
      <c r="D27" s="319" t="s">
        <v>368</v>
      </c>
      <c r="E27" s="316"/>
      <c r="F27" s="316"/>
      <c r="G27" s="316"/>
      <c r="H27" s="316"/>
      <c r="I27" s="316"/>
      <c r="J27" s="316"/>
      <c r="K27" s="316"/>
      <c r="L27" s="316"/>
      <c r="M27" s="316"/>
      <c r="N27" s="316"/>
      <c r="O27" s="316"/>
      <c r="P27" s="316"/>
      <c r="Q27" s="316"/>
      <c r="R27" s="316"/>
      <c r="S27" s="316"/>
      <c r="T27" s="316"/>
      <c r="U27" s="316"/>
      <c r="V27" s="316"/>
      <c r="W27" s="316"/>
      <c r="X27" s="316"/>
      <c r="Y27" s="316"/>
      <c r="Z27" s="316"/>
      <c r="AA27" s="316"/>
      <c r="AB27" s="316"/>
      <c r="AC27" s="316"/>
      <c r="AD27" s="316"/>
      <c r="AE27" s="316"/>
      <c r="AF27" s="316"/>
      <c r="AG27" s="316"/>
      <c r="AH27" s="316"/>
      <c r="AI27" s="316"/>
      <c r="AJ27" s="316"/>
      <c r="AK27" s="316"/>
      <c r="AL27" s="316"/>
      <c r="AM27" s="316"/>
      <c r="AN27" s="316"/>
      <c r="AO27" s="316">
        <v>0</v>
      </c>
      <c r="AP27" s="316">
        <v>0</v>
      </c>
      <c r="AQ27" s="316">
        <v>0</v>
      </c>
      <c r="AR27" s="316">
        <v>0</v>
      </c>
      <c r="AS27" s="316">
        <v>0</v>
      </c>
      <c r="AT27" s="316">
        <v>0</v>
      </c>
      <c r="AU27" s="316">
        <v>0</v>
      </c>
      <c r="AV27" s="316">
        <v>0</v>
      </c>
      <c r="AW27" s="316">
        <v>0</v>
      </c>
      <c r="AX27" s="316">
        <v>0</v>
      </c>
      <c r="AY27" s="316">
        <v>0</v>
      </c>
      <c r="AZ27" s="316">
        <v>0</v>
      </c>
      <c r="BA27" s="316">
        <v>0</v>
      </c>
      <c r="BB27" s="316">
        <v>0</v>
      </c>
      <c r="BC27" s="316">
        <v>0</v>
      </c>
      <c r="BD27" s="316">
        <v>0</v>
      </c>
      <c r="BE27" s="316">
        <v>0</v>
      </c>
      <c r="BF27" s="316">
        <v>0</v>
      </c>
      <c r="BG27" s="316">
        <v>0</v>
      </c>
      <c r="BH27" s="316">
        <v>0</v>
      </c>
      <c r="BI27" s="316">
        <v>0</v>
      </c>
      <c r="BJ27" s="316">
        <v>0</v>
      </c>
      <c r="BK27" s="316">
        <v>0</v>
      </c>
      <c r="BL27" s="316">
        <v>12.105659661156361</v>
      </c>
      <c r="BM27" s="316">
        <v>0</v>
      </c>
      <c r="BN27" s="316">
        <v>0</v>
      </c>
      <c r="BO27" s="316">
        <v>0</v>
      </c>
      <c r="BP27" s="316">
        <v>0</v>
      </c>
      <c r="BQ27" s="316">
        <v>0</v>
      </c>
      <c r="BR27" s="316">
        <v>0</v>
      </c>
      <c r="BS27" s="316">
        <v>0</v>
      </c>
      <c r="BT27" s="316">
        <v>0</v>
      </c>
      <c r="BU27" s="316">
        <v>8.29243541834194</v>
      </c>
      <c r="BV27" s="316">
        <v>0</v>
      </c>
      <c r="BW27" s="316">
        <v>0</v>
      </c>
      <c r="BX27" s="316">
        <v>0</v>
      </c>
      <c r="BY27" s="316">
        <v>0</v>
      </c>
      <c r="BZ27" s="316">
        <v>0</v>
      </c>
      <c r="CA27" s="316">
        <v>0</v>
      </c>
      <c r="CB27" s="316">
        <v>0</v>
      </c>
      <c r="CC27" s="316">
        <v>0</v>
      </c>
      <c r="CD27" s="316">
        <v>8.2463667340000004</v>
      </c>
      <c r="CE27" s="317">
        <v>0</v>
      </c>
      <c r="CF27" s="316">
        <v>0</v>
      </c>
      <c r="CG27" s="316">
        <v>0</v>
      </c>
      <c r="CH27" s="316">
        <v>0</v>
      </c>
      <c r="CI27" s="316">
        <v>0</v>
      </c>
      <c r="CJ27" s="316">
        <v>0</v>
      </c>
      <c r="CK27" s="316">
        <v>0</v>
      </c>
      <c r="CL27" s="316">
        <v>0</v>
      </c>
      <c r="CM27" s="316">
        <v>0</v>
      </c>
      <c r="CN27" s="316">
        <v>0</v>
      </c>
      <c r="CO27" s="316">
        <v>0</v>
      </c>
      <c r="CP27" s="318">
        <v>17.854694282301999</v>
      </c>
      <c r="CQ27" s="316">
        <v>0</v>
      </c>
      <c r="CR27" s="316">
        <v>0</v>
      </c>
      <c r="CS27" s="316">
        <v>0</v>
      </c>
      <c r="CT27" s="316">
        <v>0</v>
      </c>
      <c r="CU27" s="316">
        <v>0</v>
      </c>
      <c r="CV27" s="316">
        <v>17.141914232569</v>
      </c>
      <c r="CW27" s="316">
        <v>0</v>
      </c>
      <c r="CX27" s="316">
        <v>0</v>
      </c>
      <c r="CY27" s="316">
        <v>0</v>
      </c>
      <c r="CZ27" s="316">
        <v>0</v>
      </c>
      <c r="DA27" s="316">
        <v>0</v>
      </c>
      <c r="DB27" s="1498">
        <v>0</v>
      </c>
      <c r="DC27" s="316">
        <v>0</v>
      </c>
      <c r="DD27" s="316">
        <v>0</v>
      </c>
      <c r="DE27" s="316">
        <v>0</v>
      </c>
      <c r="DF27" s="316">
        <v>0</v>
      </c>
      <c r="DG27" s="316">
        <v>0</v>
      </c>
      <c r="DH27" s="316">
        <v>0</v>
      </c>
      <c r="DI27" s="316">
        <v>0</v>
      </c>
      <c r="DJ27" s="316">
        <v>16.048668081999999</v>
      </c>
      <c r="DK27" s="316">
        <v>0</v>
      </c>
      <c r="DL27" s="316">
        <v>0</v>
      </c>
      <c r="DM27" s="316">
        <v>0</v>
      </c>
      <c r="DN27" s="318">
        <v>0</v>
      </c>
      <c r="DO27" s="316">
        <v>0</v>
      </c>
      <c r="DP27" s="316">
        <v>0</v>
      </c>
      <c r="DQ27" s="316">
        <v>0</v>
      </c>
      <c r="DR27" s="316">
        <v>40.211763817859129</v>
      </c>
      <c r="DS27" s="316">
        <v>0</v>
      </c>
      <c r="DT27" s="316">
        <v>0</v>
      </c>
      <c r="DU27" s="316">
        <v>0</v>
      </c>
      <c r="DV27" s="316">
        <v>0</v>
      </c>
      <c r="DW27" s="316">
        <v>0</v>
      </c>
      <c r="DX27" s="316">
        <v>0</v>
      </c>
      <c r="DY27" s="316">
        <v>0</v>
      </c>
      <c r="DZ27" s="318">
        <v>0</v>
      </c>
      <c r="EA27" s="316">
        <v>0</v>
      </c>
      <c r="EB27" s="316">
        <v>0</v>
      </c>
      <c r="EC27" s="316">
        <v>0</v>
      </c>
      <c r="ED27" s="316">
        <v>0</v>
      </c>
      <c r="EE27" s="316">
        <v>0</v>
      </c>
      <c r="EF27" s="316">
        <v>0</v>
      </c>
      <c r="EG27" s="316">
        <v>0</v>
      </c>
      <c r="EH27" s="316">
        <v>0</v>
      </c>
      <c r="EI27" s="316">
        <v>0</v>
      </c>
      <c r="EJ27" s="316">
        <v>0</v>
      </c>
      <c r="EK27" s="316">
        <v>20.856450759000001</v>
      </c>
      <c r="EL27" s="318">
        <v>0</v>
      </c>
      <c r="EM27" s="1206">
        <v>0</v>
      </c>
      <c r="EN27" s="1206">
        <v>0</v>
      </c>
      <c r="EO27" s="1206">
        <v>0</v>
      </c>
      <c r="EP27" s="1206">
        <v>0</v>
      </c>
      <c r="EQ27" s="1206">
        <v>0</v>
      </c>
      <c r="ER27" s="1206">
        <v>76.131426722094361</v>
      </c>
      <c r="ES27" s="1206">
        <v>0</v>
      </c>
      <c r="ET27" s="1206">
        <v>0</v>
      </c>
      <c r="EU27" s="1206">
        <v>0</v>
      </c>
      <c r="EV27" s="1206">
        <v>5.3858014279999997</v>
      </c>
      <c r="EW27" s="1206">
        <v>0</v>
      </c>
      <c r="EX27" s="1550">
        <v>41.546851434980397</v>
      </c>
      <c r="EY27" s="1206"/>
      <c r="EZ27" s="1206"/>
      <c r="FA27" s="1206"/>
      <c r="FB27" s="1206"/>
      <c r="FC27" s="1206"/>
      <c r="FD27" s="1206"/>
      <c r="FE27" s="1206"/>
      <c r="FF27" s="1206"/>
      <c r="FG27" s="1206"/>
      <c r="FH27" s="1206"/>
      <c r="FI27" s="1206"/>
      <c r="FJ27" s="1550"/>
      <c r="FK27" s="1206"/>
      <c r="FL27" s="1206"/>
      <c r="FM27" s="1206"/>
      <c r="FN27" s="1206"/>
      <c r="FO27" s="1206"/>
      <c r="FP27" s="1206"/>
      <c r="FQ27" s="316">
        <v>0</v>
      </c>
      <c r="FR27" s="316">
        <v>21.210518928999999</v>
      </c>
      <c r="FS27" s="316">
        <v>0</v>
      </c>
      <c r="FT27" s="316">
        <v>0</v>
      </c>
      <c r="FU27" s="316">
        <v>0</v>
      </c>
      <c r="FV27" s="1498">
        <v>0</v>
      </c>
      <c r="FW27" s="316">
        <v>0</v>
      </c>
      <c r="FX27" s="316">
        <v>0</v>
      </c>
      <c r="FY27" s="316">
        <v>0</v>
      </c>
      <c r="FZ27" s="316">
        <v>0</v>
      </c>
      <c r="GA27" s="316">
        <v>0</v>
      </c>
      <c r="GB27" s="316">
        <v>0</v>
      </c>
      <c r="GC27" s="316">
        <v>0</v>
      </c>
      <c r="GD27" s="316">
        <v>0</v>
      </c>
      <c r="GE27" s="316">
        <v>0</v>
      </c>
      <c r="GF27" s="316">
        <v>0</v>
      </c>
      <c r="GG27" s="316">
        <v>0</v>
      </c>
      <c r="GH27" s="316">
        <v>0</v>
      </c>
      <c r="GI27" s="316"/>
      <c r="GJ27" s="316"/>
      <c r="GK27" s="316"/>
      <c r="GL27" s="316"/>
      <c r="GM27" s="316"/>
      <c r="GN27" s="316"/>
      <c r="GO27" s="316"/>
      <c r="GP27" s="316"/>
      <c r="GQ27" s="316"/>
      <c r="GR27" s="316"/>
      <c r="GS27" s="316"/>
      <c r="GT27" s="316"/>
      <c r="GU27" s="316"/>
      <c r="GV27" s="316"/>
      <c r="GW27" s="316"/>
      <c r="GX27" s="316"/>
      <c r="GY27" s="316"/>
      <c r="GZ27" s="316"/>
      <c r="HA27" s="316"/>
      <c r="HB27" s="316"/>
      <c r="HC27" s="316"/>
      <c r="HD27" s="316"/>
      <c r="HE27" s="316"/>
      <c r="HF27" s="316"/>
      <c r="HG27" s="316"/>
      <c r="HH27" s="316"/>
      <c r="HI27" s="316"/>
      <c r="HJ27" s="316"/>
      <c r="HK27" s="316"/>
      <c r="HL27" s="316"/>
      <c r="HM27" s="316"/>
      <c r="HV27" s="302">
        <f>+SUM(DC27:DH27)</f>
        <v>0</v>
      </c>
      <c r="HW27" s="302">
        <f>+SUM(DI27:DN27)</f>
        <v>16.048668081999999</v>
      </c>
      <c r="HX27" s="302">
        <f>+HV27+HW27</f>
        <v>16.048668081999999</v>
      </c>
      <c r="HY27" s="302">
        <f>SUM(DO27:DT27)</f>
        <v>40.211763817859129</v>
      </c>
      <c r="KH27" s="303"/>
    </row>
    <row r="28" spans="1:294" outlineLevel="1">
      <c r="B28" s="117" t="s">
        <v>361</v>
      </c>
      <c r="D28" s="319" t="s">
        <v>372</v>
      </c>
      <c r="E28" s="316"/>
      <c r="F28" s="316"/>
      <c r="G28" s="316"/>
      <c r="H28" s="316"/>
      <c r="I28" s="316"/>
      <c r="J28" s="316"/>
      <c r="K28" s="316"/>
      <c r="L28" s="316"/>
      <c r="M28" s="316"/>
      <c r="N28" s="316"/>
      <c r="O28" s="316"/>
      <c r="P28" s="316"/>
      <c r="Q28" s="316"/>
      <c r="R28" s="316"/>
      <c r="S28" s="316"/>
      <c r="T28" s="316"/>
      <c r="U28" s="316"/>
      <c r="V28" s="316"/>
      <c r="W28" s="316"/>
      <c r="X28" s="316"/>
      <c r="Y28" s="316"/>
      <c r="Z28" s="316"/>
      <c r="AA28" s="316"/>
      <c r="AB28" s="316"/>
      <c r="AC28" s="316"/>
      <c r="AD28" s="316"/>
      <c r="AE28" s="316"/>
      <c r="AF28" s="316"/>
      <c r="AG28" s="316"/>
      <c r="AH28" s="316"/>
      <c r="AI28" s="316"/>
      <c r="AJ28" s="316"/>
      <c r="AK28" s="316"/>
      <c r="AL28" s="316"/>
      <c r="AM28" s="316"/>
      <c r="AN28" s="316"/>
      <c r="AO28" s="316">
        <v>0</v>
      </c>
      <c r="AP28" s="316">
        <v>0</v>
      </c>
      <c r="AQ28" s="316">
        <v>0</v>
      </c>
      <c r="AR28" s="316">
        <v>0</v>
      </c>
      <c r="AS28" s="316">
        <v>0</v>
      </c>
      <c r="AT28" s="316">
        <v>0</v>
      </c>
      <c r="AU28" s="316">
        <v>0</v>
      </c>
      <c r="AV28" s="316">
        <v>0</v>
      </c>
      <c r="AW28" s="316">
        <v>0</v>
      </c>
      <c r="AX28" s="316">
        <v>0</v>
      </c>
      <c r="AY28" s="316">
        <v>0</v>
      </c>
      <c r="AZ28" s="316">
        <v>0</v>
      </c>
      <c r="BA28" s="316">
        <v>0</v>
      </c>
      <c r="BB28" s="316">
        <v>0</v>
      </c>
      <c r="BC28" s="316">
        <v>0</v>
      </c>
      <c r="BD28" s="316">
        <v>21.355904322269506</v>
      </c>
      <c r="BE28" s="316">
        <v>0</v>
      </c>
      <c r="BF28" s="316">
        <v>0</v>
      </c>
      <c r="BG28" s="316">
        <v>0</v>
      </c>
      <c r="BH28" s="316">
        <v>0</v>
      </c>
      <c r="BI28" s="316">
        <v>0</v>
      </c>
      <c r="BJ28" s="316">
        <v>3.7449328516212752</v>
      </c>
      <c r="BK28" s="316">
        <v>0</v>
      </c>
      <c r="BL28" s="316">
        <v>37.569468888850373</v>
      </c>
      <c r="BM28" s="316">
        <v>0</v>
      </c>
      <c r="BN28" s="316">
        <v>0</v>
      </c>
      <c r="BO28" s="316">
        <v>0</v>
      </c>
      <c r="BP28" s="316">
        <v>0</v>
      </c>
      <c r="BQ28" s="316">
        <v>0</v>
      </c>
      <c r="BR28" s="316">
        <v>0</v>
      </c>
      <c r="BS28" s="316">
        <v>0</v>
      </c>
      <c r="BT28" s="316">
        <v>0</v>
      </c>
      <c r="BU28" s="316">
        <v>0</v>
      </c>
      <c r="BV28" s="316">
        <v>0</v>
      </c>
      <c r="BW28" s="316">
        <v>0</v>
      </c>
      <c r="BX28" s="316">
        <v>0</v>
      </c>
      <c r="BY28" s="316">
        <v>0</v>
      </c>
      <c r="BZ28" s="316">
        <v>0</v>
      </c>
      <c r="CA28" s="316">
        <v>0</v>
      </c>
      <c r="CB28" s="316">
        <v>0</v>
      </c>
      <c r="CC28" s="316">
        <v>0</v>
      </c>
      <c r="CD28" s="316">
        <v>0</v>
      </c>
      <c r="CE28" s="317">
        <v>0</v>
      </c>
      <c r="CF28" s="316">
        <v>0</v>
      </c>
      <c r="CG28" s="316">
        <v>0</v>
      </c>
      <c r="CH28" s="316">
        <v>0</v>
      </c>
      <c r="CI28" s="316">
        <v>0</v>
      </c>
      <c r="CJ28" s="316">
        <v>0</v>
      </c>
      <c r="CK28" s="316">
        <v>0</v>
      </c>
      <c r="CL28" s="316">
        <v>0</v>
      </c>
      <c r="CM28" s="316">
        <v>0</v>
      </c>
      <c r="CN28" s="316">
        <v>0</v>
      </c>
      <c r="CO28" s="316">
        <v>31.631566856500001</v>
      </c>
      <c r="CP28" s="318">
        <v>0</v>
      </c>
      <c r="CQ28" s="316">
        <v>0</v>
      </c>
      <c r="CR28" s="316">
        <v>0</v>
      </c>
      <c r="CS28" s="316">
        <v>0</v>
      </c>
      <c r="CT28" s="316">
        <v>0</v>
      </c>
      <c r="CU28" s="316">
        <v>0</v>
      </c>
      <c r="CV28" s="316">
        <v>39.54042132072</v>
      </c>
      <c r="CW28" s="316">
        <v>0</v>
      </c>
      <c r="CX28" s="316">
        <v>0</v>
      </c>
      <c r="CY28" s="316">
        <v>0</v>
      </c>
      <c r="CZ28" s="316">
        <v>46.908105421953671</v>
      </c>
      <c r="DA28" s="316">
        <v>0</v>
      </c>
      <c r="DB28" s="1498">
        <v>0</v>
      </c>
      <c r="DC28" s="316">
        <v>0</v>
      </c>
      <c r="DD28" s="316">
        <v>0</v>
      </c>
      <c r="DE28" s="316">
        <v>44.87491947503694</v>
      </c>
      <c r="DF28" s="316">
        <v>7.6787741383385413</v>
      </c>
      <c r="DG28" s="316">
        <v>0</v>
      </c>
      <c r="DH28" s="316">
        <v>70.05920556739467</v>
      </c>
      <c r="DI28" s="316">
        <v>0</v>
      </c>
      <c r="DJ28" s="316">
        <v>0</v>
      </c>
      <c r="DK28" s="316">
        <v>0</v>
      </c>
      <c r="DL28" s="316">
        <v>0</v>
      </c>
      <c r="DM28" s="316">
        <v>0</v>
      </c>
      <c r="DN28" s="318">
        <v>0</v>
      </c>
      <c r="DO28" s="316">
        <v>0</v>
      </c>
      <c r="DP28" s="316">
        <v>0</v>
      </c>
      <c r="DQ28" s="316">
        <v>19.271476517449592</v>
      </c>
      <c r="DR28" s="316">
        <v>23.474741639787275</v>
      </c>
      <c r="DS28" s="316">
        <v>0</v>
      </c>
      <c r="DT28" s="316">
        <v>74.902879725146917</v>
      </c>
      <c r="DU28" s="316">
        <v>0</v>
      </c>
      <c r="DV28" s="316">
        <v>0</v>
      </c>
      <c r="DW28" s="316">
        <v>0</v>
      </c>
      <c r="DX28" s="316">
        <v>0</v>
      </c>
      <c r="DY28" s="316">
        <v>25.959476439408562</v>
      </c>
      <c r="DZ28" s="318">
        <v>0</v>
      </c>
      <c r="EA28" s="316">
        <v>0</v>
      </c>
      <c r="EB28" s="316">
        <v>0</v>
      </c>
      <c r="EC28" s="316">
        <v>0</v>
      </c>
      <c r="ED28" s="316">
        <v>0</v>
      </c>
      <c r="EE28" s="316">
        <v>0</v>
      </c>
      <c r="EF28" s="316">
        <v>0</v>
      </c>
      <c r="EG28" s="316">
        <v>36.409625616</v>
      </c>
      <c r="EH28" s="316">
        <v>0</v>
      </c>
      <c r="EI28" s="316">
        <v>0</v>
      </c>
      <c r="EJ28" s="316">
        <v>0</v>
      </c>
      <c r="EK28" s="316">
        <v>20.856450759000001</v>
      </c>
      <c r="EL28" s="318">
        <v>0</v>
      </c>
      <c r="EM28" s="1206">
        <v>0</v>
      </c>
      <c r="EN28" s="1206">
        <v>0</v>
      </c>
      <c r="EO28" s="1206">
        <v>0</v>
      </c>
      <c r="EP28" s="1206">
        <v>4.4390382572712728</v>
      </c>
      <c r="EQ28" s="1206">
        <v>0</v>
      </c>
      <c r="ER28" s="1206">
        <v>118.03590894932972</v>
      </c>
      <c r="ES28" s="1206">
        <v>0</v>
      </c>
      <c r="ET28" s="1206">
        <v>0</v>
      </c>
      <c r="EU28" s="1206">
        <v>0</v>
      </c>
      <c r="EV28" s="1206">
        <v>0</v>
      </c>
      <c r="EW28" s="1206">
        <v>0</v>
      </c>
      <c r="EX28" s="1550">
        <v>16.20009202</v>
      </c>
      <c r="EY28" s="1206"/>
      <c r="EZ28" s="1206"/>
      <c r="FA28" s="1206"/>
      <c r="FB28" s="1206"/>
      <c r="FC28" s="1206"/>
      <c r="FD28" s="1206"/>
      <c r="FE28" s="1206"/>
      <c r="FF28" s="1206"/>
      <c r="FG28" s="1206"/>
      <c r="FH28" s="1206"/>
      <c r="FI28" s="1206"/>
      <c r="FJ28" s="1550"/>
      <c r="FK28" s="1206"/>
      <c r="FL28" s="1206"/>
      <c r="FM28" s="1206"/>
      <c r="FN28" s="1206"/>
      <c r="FO28" s="1206"/>
      <c r="FP28" s="1206"/>
      <c r="FQ28" s="316">
        <v>0</v>
      </c>
      <c r="FR28" s="316">
        <v>0</v>
      </c>
      <c r="FS28" s="316">
        <v>77.391814847999996</v>
      </c>
      <c r="FT28" s="316">
        <v>0.7073382329598551</v>
      </c>
      <c r="FU28" s="316">
        <v>0</v>
      </c>
      <c r="FV28" s="1498">
        <v>3.9146463928729198</v>
      </c>
      <c r="FW28" s="316">
        <v>0</v>
      </c>
      <c r="FX28" s="316">
        <v>0</v>
      </c>
      <c r="FY28" s="316">
        <v>0</v>
      </c>
      <c r="FZ28" s="316">
        <v>0</v>
      </c>
      <c r="GA28" s="316">
        <v>0</v>
      </c>
      <c r="GB28" s="316">
        <v>0</v>
      </c>
      <c r="GC28" s="316">
        <v>0</v>
      </c>
      <c r="GD28" s="316">
        <v>0</v>
      </c>
      <c r="GE28" s="316">
        <v>0</v>
      </c>
      <c r="GF28" s="316">
        <v>0</v>
      </c>
      <c r="GG28" s="316">
        <v>0</v>
      </c>
      <c r="GH28" s="316">
        <v>0</v>
      </c>
      <c r="GI28" s="316"/>
      <c r="GJ28" s="316"/>
      <c r="GK28" s="316"/>
      <c r="GL28" s="316"/>
      <c r="GM28" s="316"/>
      <c r="GN28" s="316"/>
      <c r="GO28" s="316"/>
      <c r="GP28" s="316"/>
      <c r="GQ28" s="316"/>
      <c r="GR28" s="316"/>
      <c r="GS28" s="316"/>
      <c r="GT28" s="316"/>
      <c r="GU28" s="316"/>
      <c r="GV28" s="316"/>
      <c r="GW28" s="316"/>
      <c r="GX28" s="316"/>
      <c r="GY28" s="316"/>
      <c r="GZ28" s="316"/>
      <c r="HA28" s="316"/>
      <c r="HB28" s="316"/>
      <c r="HC28" s="316"/>
      <c r="HD28" s="316"/>
      <c r="HE28" s="316"/>
      <c r="HF28" s="316"/>
      <c r="HG28" s="316"/>
      <c r="HH28" s="316"/>
      <c r="HI28" s="316"/>
      <c r="HJ28" s="316"/>
      <c r="HK28" s="316"/>
      <c r="HL28" s="316"/>
      <c r="HM28" s="316"/>
      <c r="HV28" s="302">
        <f>+SUM(DC28:DH28)</f>
        <v>122.61289918077014</v>
      </c>
      <c r="HW28" s="302">
        <f>+SUM(DI28:DN28)</f>
        <v>0</v>
      </c>
      <c r="HX28" s="302">
        <f>+HV28+HW28</f>
        <v>122.61289918077014</v>
      </c>
      <c r="HY28" s="302">
        <f>SUM(DO28:DT28)</f>
        <v>117.64909788238378</v>
      </c>
      <c r="KH28" s="303"/>
    </row>
    <row r="29" spans="1:294" outlineLevel="1">
      <c r="B29" s="117" t="s">
        <v>361</v>
      </c>
      <c r="D29" s="315" t="s">
        <v>376</v>
      </c>
      <c r="E29" s="316">
        <f t="shared" ref="E29:BP29" si="9">SUM(E27:E28)</f>
        <v>0</v>
      </c>
      <c r="F29" s="316">
        <f t="shared" si="9"/>
        <v>0</v>
      </c>
      <c r="G29" s="316">
        <f t="shared" si="9"/>
        <v>0</v>
      </c>
      <c r="H29" s="316">
        <f t="shared" si="9"/>
        <v>0</v>
      </c>
      <c r="I29" s="316">
        <f t="shared" si="9"/>
        <v>0</v>
      </c>
      <c r="J29" s="316">
        <f t="shared" si="9"/>
        <v>0</v>
      </c>
      <c r="K29" s="316">
        <f t="shared" si="9"/>
        <v>0</v>
      </c>
      <c r="L29" s="316">
        <f t="shared" si="9"/>
        <v>0</v>
      </c>
      <c r="M29" s="316">
        <f t="shared" si="9"/>
        <v>0</v>
      </c>
      <c r="N29" s="316">
        <f t="shared" si="9"/>
        <v>0</v>
      </c>
      <c r="O29" s="316">
        <f t="shared" si="9"/>
        <v>0</v>
      </c>
      <c r="P29" s="316">
        <f t="shared" si="9"/>
        <v>0</v>
      </c>
      <c r="Q29" s="316">
        <f t="shared" si="9"/>
        <v>0</v>
      </c>
      <c r="R29" s="316">
        <f t="shared" si="9"/>
        <v>0</v>
      </c>
      <c r="S29" s="316">
        <f t="shared" si="9"/>
        <v>0</v>
      </c>
      <c r="T29" s="316">
        <f t="shared" si="9"/>
        <v>0</v>
      </c>
      <c r="U29" s="316">
        <f t="shared" si="9"/>
        <v>0</v>
      </c>
      <c r="V29" s="316">
        <f t="shared" si="9"/>
        <v>0</v>
      </c>
      <c r="W29" s="316">
        <f t="shared" si="9"/>
        <v>0</v>
      </c>
      <c r="X29" s="316">
        <f t="shared" si="9"/>
        <v>0</v>
      </c>
      <c r="Y29" s="316">
        <f t="shared" si="9"/>
        <v>0</v>
      </c>
      <c r="Z29" s="316">
        <f t="shared" si="9"/>
        <v>0</v>
      </c>
      <c r="AA29" s="316">
        <f t="shared" si="9"/>
        <v>0</v>
      </c>
      <c r="AB29" s="316">
        <f t="shared" si="9"/>
        <v>0</v>
      </c>
      <c r="AC29" s="316">
        <f t="shared" si="9"/>
        <v>0</v>
      </c>
      <c r="AD29" s="316">
        <f t="shared" si="9"/>
        <v>0</v>
      </c>
      <c r="AE29" s="316">
        <f t="shared" si="9"/>
        <v>0</v>
      </c>
      <c r="AF29" s="316">
        <f t="shared" si="9"/>
        <v>0</v>
      </c>
      <c r="AG29" s="316">
        <f t="shared" si="9"/>
        <v>0</v>
      </c>
      <c r="AH29" s="316">
        <f t="shared" si="9"/>
        <v>0</v>
      </c>
      <c r="AI29" s="316">
        <f t="shared" si="9"/>
        <v>0</v>
      </c>
      <c r="AJ29" s="316">
        <f t="shared" si="9"/>
        <v>0</v>
      </c>
      <c r="AK29" s="316">
        <f t="shared" si="9"/>
        <v>0</v>
      </c>
      <c r="AL29" s="316">
        <f t="shared" si="9"/>
        <v>0</v>
      </c>
      <c r="AM29" s="316">
        <f t="shared" si="9"/>
        <v>0</v>
      </c>
      <c r="AN29" s="316">
        <f t="shared" si="9"/>
        <v>0</v>
      </c>
      <c r="AO29" s="316">
        <f t="shared" si="9"/>
        <v>0</v>
      </c>
      <c r="AP29" s="316">
        <f t="shared" si="9"/>
        <v>0</v>
      </c>
      <c r="AQ29" s="316">
        <f t="shared" si="9"/>
        <v>0</v>
      </c>
      <c r="AR29" s="316">
        <f t="shared" si="9"/>
        <v>0</v>
      </c>
      <c r="AS29" s="316">
        <f t="shared" si="9"/>
        <v>0</v>
      </c>
      <c r="AT29" s="316">
        <f t="shared" si="9"/>
        <v>0</v>
      </c>
      <c r="AU29" s="316">
        <f t="shared" si="9"/>
        <v>0</v>
      </c>
      <c r="AV29" s="316">
        <f t="shared" si="9"/>
        <v>0</v>
      </c>
      <c r="AW29" s="316">
        <f t="shared" si="9"/>
        <v>0</v>
      </c>
      <c r="AX29" s="316">
        <f t="shared" si="9"/>
        <v>0</v>
      </c>
      <c r="AY29" s="316">
        <f t="shared" si="9"/>
        <v>0</v>
      </c>
      <c r="AZ29" s="316">
        <f t="shared" si="9"/>
        <v>0</v>
      </c>
      <c r="BA29" s="316">
        <f t="shared" si="9"/>
        <v>0</v>
      </c>
      <c r="BB29" s="316">
        <f t="shared" si="9"/>
        <v>0</v>
      </c>
      <c r="BC29" s="316">
        <f t="shared" si="9"/>
        <v>0</v>
      </c>
      <c r="BD29" s="316">
        <f t="shared" si="9"/>
        <v>21.355904322269506</v>
      </c>
      <c r="BE29" s="316">
        <f t="shared" si="9"/>
        <v>0</v>
      </c>
      <c r="BF29" s="316">
        <f t="shared" si="9"/>
        <v>0</v>
      </c>
      <c r="BG29" s="316">
        <f t="shared" si="9"/>
        <v>0</v>
      </c>
      <c r="BH29" s="316">
        <f t="shared" si="9"/>
        <v>0</v>
      </c>
      <c r="BI29" s="316">
        <f t="shared" si="9"/>
        <v>0</v>
      </c>
      <c r="BJ29" s="316">
        <f t="shared" si="9"/>
        <v>3.7449328516212752</v>
      </c>
      <c r="BK29" s="316">
        <f t="shared" si="9"/>
        <v>0</v>
      </c>
      <c r="BL29" s="316">
        <f t="shared" si="9"/>
        <v>49.675128550006733</v>
      </c>
      <c r="BM29" s="316">
        <f t="shared" si="9"/>
        <v>0</v>
      </c>
      <c r="BN29" s="316">
        <f t="shared" si="9"/>
        <v>0</v>
      </c>
      <c r="BO29" s="316">
        <f t="shared" si="9"/>
        <v>0</v>
      </c>
      <c r="BP29" s="316">
        <f t="shared" si="9"/>
        <v>0</v>
      </c>
      <c r="BQ29" s="316">
        <f t="shared" ref="BQ29:CD29" si="10">SUM(BQ27:BQ28)</f>
        <v>0</v>
      </c>
      <c r="BR29" s="316">
        <f t="shared" si="10"/>
        <v>0</v>
      </c>
      <c r="BS29" s="316">
        <f t="shared" si="10"/>
        <v>0</v>
      </c>
      <c r="BT29" s="316">
        <f t="shared" si="10"/>
        <v>0</v>
      </c>
      <c r="BU29" s="316">
        <f t="shared" si="10"/>
        <v>8.29243541834194</v>
      </c>
      <c r="BV29" s="316">
        <f t="shared" si="10"/>
        <v>0</v>
      </c>
      <c r="BW29" s="316">
        <f t="shared" si="10"/>
        <v>0</v>
      </c>
      <c r="BX29" s="316">
        <f t="shared" si="10"/>
        <v>0</v>
      </c>
      <c r="BY29" s="316">
        <f t="shared" si="10"/>
        <v>0</v>
      </c>
      <c r="BZ29" s="316">
        <f t="shared" si="10"/>
        <v>0</v>
      </c>
      <c r="CA29" s="316">
        <f t="shared" si="10"/>
        <v>0</v>
      </c>
      <c r="CB29" s="316">
        <f t="shared" si="10"/>
        <v>0</v>
      </c>
      <c r="CC29" s="316">
        <f t="shared" si="10"/>
        <v>0</v>
      </c>
      <c r="CD29" s="316">
        <f t="shared" si="10"/>
        <v>8.2463667340000004</v>
      </c>
      <c r="CE29" s="317">
        <v>0</v>
      </c>
      <c r="CF29" s="316">
        <v>0</v>
      </c>
      <c r="CG29" s="316">
        <v>0</v>
      </c>
      <c r="CH29" s="316">
        <v>0</v>
      </c>
      <c r="CI29" s="316">
        <v>0</v>
      </c>
      <c r="CJ29" s="316">
        <v>0</v>
      </c>
      <c r="CK29" s="316">
        <v>0</v>
      </c>
      <c r="CL29" s="316">
        <v>0</v>
      </c>
      <c r="CM29" s="316">
        <v>0</v>
      </c>
      <c r="CN29" s="316">
        <v>0</v>
      </c>
      <c r="CO29" s="316">
        <v>31.631566856500001</v>
      </c>
      <c r="CP29" s="318">
        <v>17.854694282301999</v>
      </c>
      <c r="CQ29" s="316">
        <v>0</v>
      </c>
      <c r="CR29" s="316">
        <v>0</v>
      </c>
      <c r="CS29" s="316">
        <v>0</v>
      </c>
      <c r="CT29" s="316">
        <v>0</v>
      </c>
      <c r="CU29" s="316">
        <v>0</v>
      </c>
      <c r="CV29" s="316">
        <v>56.682335553289001</v>
      </c>
      <c r="CW29" s="316">
        <v>0</v>
      </c>
      <c r="CX29" s="316">
        <v>0</v>
      </c>
      <c r="CY29" s="316">
        <v>0</v>
      </c>
      <c r="CZ29" s="316">
        <v>46.908105421953671</v>
      </c>
      <c r="DA29" s="316">
        <v>0</v>
      </c>
      <c r="DB29" s="1498">
        <v>0</v>
      </c>
      <c r="DC29" s="316">
        <v>0</v>
      </c>
      <c r="DD29" s="316">
        <v>0</v>
      </c>
      <c r="DE29" s="316">
        <v>44.87491947503694</v>
      </c>
      <c r="DF29" s="316">
        <v>7.6787741383385413</v>
      </c>
      <c r="DG29" s="316">
        <v>0</v>
      </c>
      <c r="DH29" s="316">
        <v>70.05920556739467</v>
      </c>
      <c r="DI29" s="316">
        <v>0</v>
      </c>
      <c r="DJ29" s="316">
        <v>16.048668081999999</v>
      </c>
      <c r="DK29" s="316">
        <v>0</v>
      </c>
      <c r="DL29" s="316">
        <v>0</v>
      </c>
      <c r="DM29" s="316">
        <v>0</v>
      </c>
      <c r="DN29" s="318">
        <v>0</v>
      </c>
      <c r="DO29" s="316">
        <v>0</v>
      </c>
      <c r="DP29" s="316">
        <v>0</v>
      </c>
      <c r="DQ29" s="316">
        <v>19.271476517449592</v>
      </c>
      <c r="DR29" s="316">
        <v>63.686505457646405</v>
      </c>
      <c r="DS29" s="316">
        <v>0</v>
      </c>
      <c r="DT29" s="316">
        <v>74.902879725146917</v>
      </c>
      <c r="DU29" s="316">
        <v>0</v>
      </c>
      <c r="DV29" s="316">
        <v>0</v>
      </c>
      <c r="DW29" s="316">
        <v>0</v>
      </c>
      <c r="DX29" s="316">
        <v>0</v>
      </c>
      <c r="DY29" s="316">
        <v>25.959476439408562</v>
      </c>
      <c r="DZ29" s="318">
        <v>0</v>
      </c>
      <c r="EA29" s="316">
        <v>0</v>
      </c>
      <c r="EB29" s="316">
        <v>17.655663775983001</v>
      </c>
      <c r="EC29" s="316">
        <v>25.542790115999999</v>
      </c>
      <c r="ED29" s="316">
        <v>6.2556475300000001</v>
      </c>
      <c r="EE29" s="316">
        <v>104.77629606000001</v>
      </c>
      <c r="EF29" s="316">
        <v>0</v>
      </c>
      <c r="EG29" s="316">
        <v>36.409625616</v>
      </c>
      <c r="EH29" s="316">
        <v>0</v>
      </c>
      <c r="EI29" s="316">
        <v>0</v>
      </c>
      <c r="EJ29" s="316">
        <v>0</v>
      </c>
      <c r="EK29" s="316">
        <v>20.856450759000001</v>
      </c>
      <c r="EL29" s="318"/>
      <c r="EM29" s="1209">
        <v>0</v>
      </c>
      <c r="EN29" s="1209">
        <v>0</v>
      </c>
      <c r="EO29" s="1209">
        <v>0</v>
      </c>
      <c r="EP29" s="1209">
        <v>4.4390382572712728</v>
      </c>
      <c r="EQ29" s="1209">
        <v>0</v>
      </c>
      <c r="ER29" s="1209">
        <v>194.16733567142407</v>
      </c>
      <c r="ES29" s="1209">
        <v>0</v>
      </c>
      <c r="ET29" s="1209">
        <v>0</v>
      </c>
      <c r="EU29" s="1209">
        <v>0</v>
      </c>
      <c r="EV29" s="1209">
        <v>5.3858014281060003</v>
      </c>
      <c r="EW29" s="1209">
        <v>0</v>
      </c>
      <c r="EX29" s="1539">
        <v>58.056333345380395</v>
      </c>
      <c r="EY29" s="1206">
        <v>0</v>
      </c>
      <c r="EZ29" s="1206">
        <v>0</v>
      </c>
      <c r="FA29" s="1206">
        <v>21.862293567408003</v>
      </c>
      <c r="FB29" s="1206">
        <v>168.37595167678001</v>
      </c>
      <c r="FC29" s="1206">
        <v>12.978702141386998</v>
      </c>
      <c r="FD29" s="1206">
        <v>111.34618143695599</v>
      </c>
      <c r="FE29" s="1206">
        <v>46.971522584283328</v>
      </c>
      <c r="FF29" s="1206">
        <v>4.5113808899999999</v>
      </c>
      <c r="FG29" s="1206">
        <v>0</v>
      </c>
      <c r="FH29" s="1206">
        <v>102.50687064179</v>
      </c>
      <c r="FI29" s="1206">
        <v>6.9664088161651447</v>
      </c>
      <c r="FJ29" s="1550">
        <v>245.4320386331857</v>
      </c>
      <c r="FK29" s="1206">
        <v>53.911287541610434</v>
      </c>
      <c r="FL29" s="1206">
        <v>0</v>
      </c>
      <c r="FM29" s="1206">
        <v>44.669390200000002</v>
      </c>
      <c r="FN29" s="1206">
        <v>19.46088985149353</v>
      </c>
      <c r="FO29" s="1206">
        <v>0.94926956868242574</v>
      </c>
      <c r="FP29" s="1206">
        <v>120.85648703055867</v>
      </c>
      <c r="FQ29" s="316">
        <v>0</v>
      </c>
      <c r="FR29" s="316">
        <v>21.210518928999999</v>
      </c>
      <c r="FS29" s="316">
        <v>77.391814847999996</v>
      </c>
      <c r="FT29" s="316">
        <v>0.7073382329598551</v>
      </c>
      <c r="FU29" s="316">
        <v>0</v>
      </c>
      <c r="FV29" s="1498">
        <v>3.9146463928729198</v>
      </c>
      <c r="FW29" s="316">
        <v>3.9260314720886353</v>
      </c>
      <c r="FX29" s="316">
        <v>0</v>
      </c>
      <c r="FY29" s="316">
        <v>0</v>
      </c>
      <c r="FZ29" s="316">
        <v>26.227729108165409</v>
      </c>
      <c r="GA29" s="316">
        <v>45.826820963338797</v>
      </c>
      <c r="GB29" s="316">
        <v>0</v>
      </c>
      <c r="GC29" s="316">
        <v>0</v>
      </c>
      <c r="GD29" s="316">
        <v>0</v>
      </c>
      <c r="GE29" s="316">
        <v>0</v>
      </c>
      <c r="GF29" s="316">
        <v>0</v>
      </c>
      <c r="GG29" s="316">
        <v>0</v>
      </c>
      <c r="GH29" s="316">
        <v>0</v>
      </c>
      <c r="GI29" s="316"/>
      <c r="GJ29" s="316"/>
      <c r="GK29" s="316"/>
      <c r="GL29" s="316"/>
      <c r="GM29" s="316"/>
      <c r="GN29" s="316"/>
      <c r="GO29" s="316"/>
      <c r="GP29" s="316"/>
      <c r="GQ29" s="316"/>
      <c r="GR29" s="316"/>
      <c r="GS29" s="316"/>
      <c r="GT29" s="316"/>
      <c r="GU29" s="316"/>
      <c r="GV29" s="316"/>
      <c r="GW29" s="316"/>
      <c r="GX29" s="316"/>
      <c r="GY29" s="316"/>
      <c r="GZ29" s="316"/>
      <c r="HA29" s="316"/>
      <c r="HB29" s="316"/>
      <c r="HC29" s="316"/>
      <c r="HD29" s="316"/>
      <c r="HE29" s="316"/>
      <c r="HF29" s="316"/>
      <c r="HG29" s="316"/>
      <c r="HH29" s="316"/>
      <c r="HI29" s="316"/>
      <c r="HJ29" s="316"/>
      <c r="HK29" s="316"/>
      <c r="HL29" s="316"/>
      <c r="HM29" s="316"/>
      <c r="HV29" s="302">
        <f>+SUM(DC29:DH29)</f>
        <v>122.61289918077014</v>
      </c>
      <c r="HW29" s="302">
        <f>+SUM(DI29:DN29)</f>
        <v>16.048668081999999</v>
      </c>
      <c r="HX29" s="302">
        <f>+HV29+HW29</f>
        <v>138.66156726277015</v>
      </c>
      <c r="HY29" s="302">
        <f>SUM(DO29:DT29)</f>
        <v>157.86086170024294</v>
      </c>
      <c r="KH29" s="303"/>
    </row>
    <row r="30" spans="1:294" outlineLevel="1">
      <c r="E30" s="117"/>
      <c r="F30" s="117"/>
      <c r="G30" s="117"/>
      <c r="H30" s="117"/>
      <c r="I30" s="117"/>
      <c r="J30" s="117"/>
      <c r="K30" s="117"/>
      <c r="L30" s="117"/>
      <c r="M30" s="117"/>
      <c r="N30" s="117"/>
      <c r="O30" s="117"/>
      <c r="P30" s="117"/>
      <c r="Q30" s="117"/>
      <c r="R30" s="117"/>
      <c r="S30" s="117"/>
      <c r="T30" s="117"/>
      <c r="U30" s="117"/>
      <c r="V30" s="117"/>
      <c r="W30" s="117"/>
      <c r="X30" s="117"/>
      <c r="Y30" s="117"/>
      <c r="Z30" s="117"/>
      <c r="AA30" s="117"/>
      <c r="AB30" s="117"/>
      <c r="AC30" s="117"/>
      <c r="AD30" s="117"/>
      <c r="AE30" s="117"/>
      <c r="AF30" s="117"/>
      <c r="AG30" s="117"/>
      <c r="AH30" s="117"/>
      <c r="AI30" s="117"/>
      <c r="AJ30" s="117"/>
      <c r="AK30" s="117"/>
      <c r="AL30" s="117"/>
      <c r="AM30" s="117"/>
      <c r="AN30" s="117"/>
      <c r="AO30" s="117"/>
      <c r="AP30" s="117"/>
      <c r="AQ30" s="117"/>
      <c r="AR30" s="117"/>
      <c r="AS30" s="117"/>
      <c r="AT30" s="117"/>
      <c r="AU30" s="117"/>
      <c r="AV30" s="117"/>
      <c r="AW30" s="117"/>
      <c r="AX30" s="117"/>
      <c r="AY30" s="117"/>
      <c r="AZ30" s="117"/>
      <c r="BA30" s="117"/>
      <c r="BB30" s="117"/>
      <c r="BC30" s="117"/>
      <c r="BD30" s="117"/>
      <c r="BE30" s="117"/>
      <c r="BF30" s="117"/>
      <c r="BG30" s="117"/>
      <c r="BH30" s="117"/>
      <c r="BI30" s="117"/>
      <c r="BJ30" s="117"/>
      <c r="BK30" s="117"/>
      <c r="BL30" s="117"/>
      <c r="BM30" s="117"/>
      <c r="BN30" s="117"/>
      <c r="BO30" s="117"/>
      <c r="BP30" s="117"/>
      <c r="BQ30" s="117"/>
      <c r="BR30" s="117"/>
      <c r="BS30" s="117"/>
      <c r="BT30" s="117"/>
      <c r="BU30" s="117"/>
      <c r="BV30" s="117"/>
      <c r="BW30" s="117"/>
      <c r="BX30" s="117"/>
      <c r="BY30" s="117"/>
      <c r="BZ30" s="117"/>
      <c r="CA30" s="117"/>
      <c r="CB30" s="117"/>
      <c r="CC30" s="117"/>
      <c r="CD30" s="117"/>
      <c r="CE30" s="117"/>
      <c r="CF30" s="117"/>
      <c r="CG30" s="117"/>
      <c r="CH30" s="117"/>
      <c r="CI30" s="117"/>
      <c r="CJ30" s="117"/>
      <c r="CK30" s="117"/>
      <c r="CL30" s="117"/>
      <c r="CM30" s="117"/>
      <c r="CN30" s="117"/>
      <c r="CO30" s="117"/>
      <c r="CP30" s="1481"/>
      <c r="CQ30" s="117"/>
      <c r="CR30" s="117"/>
      <c r="CS30" s="117"/>
      <c r="CT30" s="117"/>
      <c r="CU30" s="117"/>
      <c r="CV30" s="117"/>
      <c r="CW30" s="117"/>
      <c r="CX30" s="117"/>
      <c r="CY30" s="117"/>
      <c r="CZ30" s="117"/>
      <c r="DA30" s="117"/>
      <c r="DB30" s="1499"/>
      <c r="DC30" s="858" t="s">
        <v>985</v>
      </c>
      <c r="DD30" s="117"/>
      <c r="DE30" s="117"/>
      <c r="DF30" s="117"/>
      <c r="DG30" s="117"/>
      <c r="DH30" s="117"/>
      <c r="DI30" s="117"/>
      <c r="DJ30" s="117"/>
      <c r="DK30" s="117"/>
      <c r="DL30" s="117"/>
      <c r="DM30" s="117"/>
      <c r="DN30" s="1481"/>
      <c r="DO30" s="117"/>
      <c r="DP30" s="117"/>
      <c r="DQ30" s="117"/>
      <c r="DR30" s="117"/>
      <c r="DS30" s="117"/>
      <c r="DT30" s="117"/>
      <c r="DU30" s="117"/>
      <c r="DV30" s="117"/>
      <c r="DW30" s="117"/>
      <c r="DX30" s="117"/>
      <c r="DY30" s="117"/>
      <c r="DZ30" s="1481"/>
      <c r="EA30" s="117"/>
      <c r="EB30" s="117"/>
      <c r="EC30" s="117"/>
      <c r="ED30" s="117"/>
      <c r="EE30" s="117"/>
      <c r="EF30" s="117"/>
      <c r="EG30" s="117"/>
      <c r="EH30" s="117"/>
      <c r="EI30" s="117"/>
      <c r="EJ30" s="117"/>
      <c r="EK30" s="117"/>
      <c r="EL30" s="1481"/>
      <c r="EM30" s="1207"/>
      <c r="EN30" s="1207"/>
      <c r="EO30" s="1207"/>
      <c r="EP30" s="1207"/>
      <c r="EQ30" s="1207"/>
      <c r="ER30" s="1207"/>
      <c r="ES30" s="1207"/>
      <c r="ET30" s="1207"/>
      <c r="EU30" s="1207"/>
      <c r="EV30" s="1207"/>
      <c r="EW30" s="1207"/>
      <c r="EX30" s="1559"/>
      <c r="EY30" s="1207"/>
      <c r="EZ30" s="1207"/>
      <c r="FA30" s="1207"/>
      <c r="FB30" s="1207"/>
      <c r="FC30" s="1207"/>
      <c r="FD30" s="1207"/>
      <c r="FE30" s="1207"/>
      <c r="FF30" s="1207"/>
      <c r="FG30" s="1207"/>
      <c r="FH30" s="1207"/>
      <c r="FI30" s="1207"/>
      <c r="FJ30" s="1559"/>
      <c r="FK30" s="1207"/>
      <c r="FL30" s="1207"/>
      <c r="FM30" s="1207"/>
      <c r="FN30" s="1207"/>
      <c r="FO30" s="1207"/>
      <c r="FP30" s="1207"/>
      <c r="FQ30" s="117"/>
      <c r="FR30" s="117"/>
      <c r="FS30" s="117"/>
      <c r="FT30" s="117"/>
      <c r="FU30" s="117"/>
      <c r="FV30" s="117"/>
      <c r="FW30" s="117"/>
      <c r="FX30" s="117"/>
      <c r="FY30" s="117"/>
      <c r="FZ30" s="117"/>
      <c r="GA30" s="117"/>
      <c r="GB30" s="117"/>
      <c r="GC30" s="117"/>
      <c r="GD30" s="117"/>
      <c r="GE30" s="117"/>
      <c r="GF30" s="117"/>
      <c r="GG30" s="117"/>
      <c r="GH30" s="117"/>
      <c r="GI30" s="117"/>
      <c r="GJ30" s="117"/>
      <c r="GK30" s="117"/>
      <c r="GL30" s="117"/>
      <c r="GM30" s="117"/>
      <c r="GN30" s="117"/>
      <c r="GO30" s="117"/>
      <c r="GP30" s="117"/>
      <c r="GQ30" s="117"/>
      <c r="GR30" s="117"/>
      <c r="GS30" s="117"/>
      <c r="GT30" s="117"/>
      <c r="GU30" s="117"/>
      <c r="GV30" s="117"/>
      <c r="GW30" s="117"/>
      <c r="GX30" s="117"/>
      <c r="GY30" s="117"/>
      <c r="GZ30" s="117"/>
      <c r="HA30" s="117"/>
      <c r="HB30" s="117"/>
      <c r="HC30" s="117"/>
      <c r="HD30" s="117"/>
      <c r="HE30" s="117"/>
      <c r="HF30" s="117"/>
      <c r="HG30" s="117"/>
      <c r="HH30" s="117"/>
      <c r="HI30" s="117"/>
      <c r="HJ30" s="117"/>
      <c r="HK30" s="117"/>
      <c r="HL30" s="117"/>
      <c r="HM30" s="117"/>
      <c r="KH30" s="303"/>
    </row>
    <row r="31" spans="1:294" outlineLevel="1">
      <c r="E31" s="117"/>
      <c r="F31" s="117"/>
      <c r="G31" s="117"/>
      <c r="H31" s="117"/>
      <c r="I31" s="117"/>
      <c r="J31" s="117"/>
      <c r="K31" s="117"/>
      <c r="L31" s="117"/>
      <c r="M31" s="117"/>
      <c r="N31" s="117"/>
      <c r="O31" s="117"/>
      <c r="P31" s="117"/>
      <c r="Q31" s="117"/>
      <c r="R31" s="117"/>
      <c r="S31" s="117"/>
      <c r="T31" s="117"/>
      <c r="U31" s="117"/>
      <c r="V31" s="117"/>
      <c r="W31" s="117"/>
      <c r="X31" s="117"/>
      <c r="Y31" s="117"/>
      <c r="Z31" s="117"/>
      <c r="AA31" s="117"/>
      <c r="AB31" s="117"/>
      <c r="AC31" s="117"/>
      <c r="AD31" s="117"/>
      <c r="AE31" s="117"/>
      <c r="AF31" s="117"/>
      <c r="AG31" s="117"/>
      <c r="AH31" s="117"/>
      <c r="AI31" s="117"/>
      <c r="AJ31" s="117"/>
      <c r="AK31" s="117"/>
      <c r="AL31" s="117"/>
      <c r="AM31" s="117"/>
      <c r="AN31" s="117"/>
      <c r="AO31" s="117"/>
      <c r="AP31" s="117"/>
      <c r="AQ31" s="117"/>
      <c r="AR31" s="117"/>
      <c r="AS31" s="117"/>
      <c r="AT31" s="117"/>
      <c r="AU31" s="117"/>
      <c r="AV31" s="117"/>
      <c r="AW31" s="117"/>
      <c r="AX31" s="117"/>
      <c r="AY31" s="117"/>
      <c r="AZ31" s="117"/>
      <c r="BA31" s="117"/>
      <c r="BB31" s="117"/>
      <c r="BC31" s="117"/>
      <c r="BD31" s="117"/>
      <c r="BE31" s="117"/>
      <c r="BF31" s="117"/>
      <c r="BG31" s="117"/>
      <c r="BH31" s="117"/>
      <c r="BI31" s="117"/>
      <c r="BJ31" s="117"/>
      <c r="BK31" s="117"/>
      <c r="BL31" s="117"/>
      <c r="BM31" s="117"/>
      <c r="BN31" s="117"/>
      <c r="BO31" s="117"/>
      <c r="BP31" s="117"/>
      <c r="BQ31" s="117"/>
      <c r="BR31" s="117"/>
      <c r="BS31" s="117"/>
      <c r="BT31" s="117"/>
      <c r="BU31" s="117"/>
      <c r="BV31" s="117"/>
      <c r="BW31" s="117"/>
      <c r="BX31" s="117"/>
      <c r="BY31" s="117"/>
      <c r="BZ31" s="117"/>
      <c r="CA31" s="117"/>
      <c r="CB31" s="117"/>
      <c r="CC31" s="117"/>
      <c r="CD31" s="117"/>
      <c r="CE31" s="117"/>
      <c r="CF31" s="117"/>
      <c r="CG31" s="117"/>
      <c r="CH31" s="117"/>
      <c r="CI31" s="117"/>
      <c r="CJ31" s="117"/>
      <c r="CK31" s="117"/>
      <c r="CL31" s="117"/>
      <c r="CM31" s="117"/>
      <c r="CN31" s="117"/>
      <c r="CO31" s="117"/>
      <c r="CP31" s="1481"/>
      <c r="CQ31" s="117"/>
      <c r="CR31" s="117"/>
      <c r="CS31" s="117"/>
      <c r="CT31" s="117"/>
      <c r="CU31" s="117"/>
      <c r="CV31" s="117"/>
      <c r="CW31" s="117"/>
      <c r="CX31" s="117"/>
      <c r="CY31" s="117"/>
      <c r="CZ31" s="117"/>
      <c r="DA31" s="117"/>
      <c r="DB31" s="1499"/>
      <c r="DC31" s="858"/>
      <c r="DD31" s="117"/>
      <c r="DE31" s="117"/>
      <c r="DF31" s="117"/>
      <c r="DG31" s="117"/>
      <c r="DH31" s="117"/>
      <c r="DI31" s="117"/>
      <c r="DJ31" s="117"/>
      <c r="DK31" s="117"/>
      <c r="DL31" s="117"/>
      <c r="DM31" s="117"/>
      <c r="DN31" s="1481"/>
      <c r="DO31" s="117"/>
      <c r="DP31" s="117"/>
      <c r="DQ31" s="117"/>
      <c r="DR31" s="117"/>
      <c r="DS31" s="117"/>
      <c r="DT31" s="117"/>
      <c r="DU31" s="117"/>
      <c r="DV31" s="117"/>
      <c r="DW31" s="117"/>
      <c r="DX31" s="117"/>
      <c r="DY31" s="117"/>
      <c r="DZ31" s="1481"/>
      <c r="EA31" s="117"/>
      <c r="EB31" s="117"/>
      <c r="EC31" s="117"/>
      <c r="ED31" s="117"/>
      <c r="EE31" s="117"/>
      <c r="EF31" s="117"/>
      <c r="EG31" s="117"/>
      <c r="EH31" s="117"/>
      <c r="EI31" s="117"/>
      <c r="EJ31" s="117"/>
      <c r="EK31" s="117"/>
      <c r="EL31" s="1481"/>
      <c r="EM31" s="1207"/>
      <c r="EN31" s="1207"/>
      <c r="EO31" s="1207"/>
      <c r="EP31" s="1207"/>
      <c r="EQ31" s="1207"/>
      <c r="ER31" s="1207"/>
      <c r="ES31" s="1207"/>
      <c r="ET31" s="1207"/>
      <c r="EU31" s="1207"/>
      <c r="EV31" s="1207"/>
      <c r="EW31" s="1207"/>
      <c r="EX31" s="1559"/>
      <c r="EY31" s="1207"/>
      <c r="EZ31" s="1207"/>
      <c r="FA31" s="1207"/>
      <c r="FB31" s="1207"/>
      <c r="FC31" s="1207"/>
      <c r="FD31" s="1207"/>
      <c r="FE31" s="1207"/>
      <c r="FF31" s="1207"/>
      <c r="FG31" s="1207"/>
      <c r="FH31" s="1207"/>
      <c r="FI31" s="1207"/>
      <c r="FJ31" s="1559"/>
      <c r="FK31" s="1207"/>
      <c r="FL31" s="1207"/>
      <c r="FM31" s="1207"/>
      <c r="FN31" s="1207"/>
      <c r="FO31" s="1207"/>
      <c r="FP31" s="1207"/>
      <c r="FQ31" s="117"/>
      <c r="FR31" s="117"/>
      <c r="FS31" s="117"/>
      <c r="FT31" s="117"/>
      <c r="FU31" s="117"/>
      <c r="FV31" s="117"/>
      <c r="FW31" s="117"/>
      <c r="FX31" s="117"/>
      <c r="FY31" s="117"/>
      <c r="FZ31" s="117"/>
      <c r="GA31" s="117"/>
      <c r="GB31" s="117"/>
      <c r="GC31" s="117"/>
      <c r="GD31" s="117"/>
      <c r="GE31" s="117"/>
      <c r="GF31" s="117"/>
      <c r="GG31" s="117"/>
      <c r="GH31" s="117"/>
      <c r="GI31" s="117"/>
      <c r="GJ31" s="117"/>
      <c r="GK31" s="117"/>
      <c r="GL31" s="117"/>
      <c r="GM31" s="117"/>
      <c r="GN31" s="117"/>
      <c r="GO31" s="117"/>
      <c r="GP31" s="117"/>
      <c r="GQ31" s="117"/>
      <c r="GR31" s="117"/>
      <c r="GS31" s="117"/>
      <c r="GT31" s="117"/>
      <c r="GU31" s="117"/>
      <c r="GV31" s="117"/>
      <c r="GW31" s="117"/>
      <c r="GX31" s="117"/>
      <c r="GY31" s="117"/>
      <c r="GZ31" s="117"/>
      <c r="HA31" s="117"/>
      <c r="HB31" s="117"/>
      <c r="HC31" s="117"/>
      <c r="HD31" s="117"/>
      <c r="HE31" s="117"/>
      <c r="HF31" s="117"/>
      <c r="HG31" s="117"/>
      <c r="HH31" s="117"/>
      <c r="HI31" s="117"/>
      <c r="HJ31" s="117"/>
      <c r="HK31" s="117"/>
      <c r="HL31" s="117"/>
      <c r="HM31" s="117"/>
      <c r="KH31" s="303"/>
    </row>
    <row r="32" spans="1:294" outlineLevel="1">
      <c r="A32" s="314" t="s">
        <v>1100</v>
      </c>
      <c r="CE32" s="840"/>
      <c r="CP32" s="303"/>
      <c r="DC32" s="859" t="s">
        <v>983</v>
      </c>
      <c r="DN32" s="656"/>
      <c r="DO32" s="934"/>
      <c r="EA32" s="302"/>
      <c r="EB32" s="302"/>
      <c r="EC32" s="302"/>
      <c r="ED32" s="302"/>
      <c r="EE32" s="302"/>
      <c r="EF32" s="302"/>
      <c r="EG32" s="302"/>
      <c r="EH32" s="302"/>
      <c r="EI32" s="302"/>
      <c r="EJ32" s="302"/>
      <c r="EK32" s="302"/>
      <c r="EL32" s="303"/>
      <c r="EM32" s="1208"/>
      <c r="EN32" s="1208"/>
      <c r="EO32" s="1208"/>
      <c r="EP32" s="1208"/>
      <c r="EQ32" s="1208"/>
      <c r="ER32" s="1208"/>
      <c r="ES32" s="1208"/>
      <c r="ET32" s="1208"/>
      <c r="EU32" s="1208"/>
      <c r="EV32" s="1208"/>
      <c r="EW32" s="1208"/>
      <c r="EX32" s="1560"/>
      <c r="EY32" s="1208"/>
      <c r="EZ32" s="1208"/>
      <c r="FA32" s="1208"/>
      <c r="FB32" s="1208"/>
      <c r="FC32" s="1208"/>
      <c r="FD32" s="1208"/>
      <c r="FE32" s="1208"/>
      <c r="FF32" s="1208"/>
      <c r="FG32" s="1208"/>
      <c r="FH32" s="1208"/>
      <c r="FI32" s="1208"/>
      <c r="FJ32" s="1560"/>
      <c r="FK32" s="1208"/>
      <c r="FL32" s="1208"/>
      <c r="FM32" s="1208"/>
      <c r="FN32" s="1208"/>
      <c r="FO32" s="1208"/>
      <c r="FP32" s="1208"/>
      <c r="FQ32" s="302"/>
      <c r="FR32" s="302"/>
      <c r="FS32" s="302"/>
      <c r="FT32" s="302"/>
      <c r="FU32" s="302"/>
      <c r="FV32" s="302"/>
      <c r="FW32" s="302"/>
      <c r="FX32" s="302"/>
      <c r="FY32" s="302"/>
      <c r="FZ32" s="302"/>
      <c r="GA32" s="302"/>
      <c r="GB32" s="302"/>
      <c r="GC32" s="302"/>
      <c r="GD32" s="302"/>
      <c r="GE32" s="302"/>
      <c r="GF32" s="302"/>
      <c r="GG32" s="302"/>
      <c r="GH32" s="302"/>
      <c r="GI32" s="302"/>
      <c r="GJ32" s="302"/>
      <c r="GK32" s="302"/>
      <c r="GL32" s="302"/>
      <c r="GM32" s="302"/>
      <c r="GN32" s="302"/>
      <c r="GO32" s="302"/>
      <c r="GP32" s="302"/>
      <c r="GQ32" s="302"/>
      <c r="GR32" s="302"/>
      <c r="GS32" s="302"/>
      <c r="GT32" s="302"/>
      <c r="GU32" s="302"/>
      <c r="GV32" s="302"/>
      <c r="GW32" s="302"/>
      <c r="GX32" s="302"/>
      <c r="GY32" s="302"/>
      <c r="GZ32" s="302"/>
      <c r="HA32" s="302"/>
      <c r="HB32" s="302"/>
      <c r="HC32" s="302"/>
      <c r="HD32" s="302"/>
      <c r="HE32" s="302"/>
      <c r="HF32" s="302"/>
      <c r="HG32" s="302"/>
      <c r="HH32" s="302"/>
      <c r="HI32" s="302"/>
      <c r="HJ32" s="302"/>
      <c r="HK32" s="302"/>
      <c r="HL32" s="302"/>
      <c r="HM32" s="302"/>
      <c r="KH32" s="303"/>
    </row>
    <row r="33" spans="1:294" outlineLevel="1">
      <c r="A33" s="314"/>
      <c r="D33" s="319"/>
      <c r="E33" s="319"/>
      <c r="F33" s="319"/>
      <c r="G33" s="319"/>
      <c r="H33" s="319"/>
      <c r="I33" s="319"/>
      <c r="J33" s="319"/>
      <c r="K33" s="319"/>
      <c r="L33" s="319"/>
      <c r="M33" s="319"/>
      <c r="N33" s="319"/>
      <c r="O33" s="319"/>
      <c r="P33" s="319"/>
      <c r="Q33" s="319"/>
      <c r="R33" s="319"/>
      <c r="S33" s="319"/>
      <c r="T33" s="319"/>
      <c r="U33" s="319"/>
      <c r="V33" s="319"/>
      <c r="W33" s="319"/>
      <c r="X33" s="319"/>
      <c r="Y33" s="319"/>
      <c r="Z33" s="319"/>
      <c r="AA33" s="319"/>
      <c r="AB33" s="319"/>
      <c r="AC33" s="319"/>
      <c r="AD33" s="319"/>
      <c r="AE33" s="319"/>
      <c r="AF33" s="319"/>
      <c r="AG33" s="319"/>
      <c r="AH33" s="319"/>
      <c r="AI33" s="319"/>
      <c r="AJ33" s="319"/>
      <c r="AK33" s="319"/>
      <c r="AL33" s="319"/>
      <c r="AM33" s="319"/>
      <c r="AN33" s="319"/>
      <c r="AO33" s="319"/>
      <c r="AP33" s="319"/>
      <c r="AQ33" s="319"/>
      <c r="AR33" s="319"/>
      <c r="AS33" s="319"/>
      <c r="AT33" s="319"/>
      <c r="AU33" s="319"/>
      <c r="AV33" s="319"/>
      <c r="AW33" s="319"/>
      <c r="AX33" s="319"/>
      <c r="AY33" s="319"/>
      <c r="AZ33" s="319"/>
      <c r="BA33" s="319"/>
      <c r="BB33" s="319"/>
      <c r="BC33" s="319"/>
      <c r="BD33" s="319"/>
      <c r="BE33" s="319"/>
      <c r="BF33" s="319"/>
      <c r="BG33" s="319"/>
      <c r="BH33" s="319"/>
      <c r="BI33" s="319"/>
      <c r="BJ33" s="319"/>
      <c r="BK33" s="319"/>
      <c r="BL33" s="319"/>
      <c r="BM33" s="319"/>
      <c r="BN33" s="319"/>
      <c r="BO33" s="319"/>
      <c r="BP33" s="319"/>
      <c r="BQ33" s="319"/>
      <c r="BR33" s="319"/>
      <c r="BS33" s="319"/>
      <c r="BT33" s="319"/>
      <c r="BU33" s="319"/>
      <c r="BV33" s="319"/>
      <c r="BW33" s="319"/>
      <c r="BX33" s="319"/>
      <c r="BY33" s="319"/>
      <c r="BZ33" s="319"/>
      <c r="CA33" s="319"/>
      <c r="CB33" s="319"/>
      <c r="CC33" s="319"/>
      <c r="CD33" s="319"/>
      <c r="CE33" s="319"/>
      <c r="CF33" s="319"/>
      <c r="CG33" s="319"/>
      <c r="CH33" s="319"/>
      <c r="CI33" s="319"/>
      <c r="CJ33" s="319"/>
      <c r="CK33" s="319"/>
      <c r="CL33" s="319"/>
      <c r="CM33" s="319"/>
      <c r="CN33" s="319"/>
      <c r="CO33" s="319"/>
      <c r="CP33" s="1482"/>
      <c r="CQ33" s="319"/>
      <c r="CR33" s="319"/>
      <c r="CS33" s="319"/>
      <c r="CT33" s="319"/>
      <c r="CU33" s="319"/>
      <c r="CV33" s="319"/>
      <c r="CW33" s="319"/>
      <c r="CX33" s="319"/>
      <c r="CY33" s="319"/>
      <c r="CZ33" s="319"/>
      <c r="DA33" s="319"/>
      <c r="DB33" s="1500"/>
      <c r="DC33" s="839">
        <v>42186</v>
      </c>
      <c r="DD33" s="839">
        <v>42217</v>
      </c>
      <c r="DE33" s="839">
        <v>42248</v>
      </c>
      <c r="DF33" s="839">
        <v>42278</v>
      </c>
      <c r="DG33" s="839">
        <v>42309</v>
      </c>
      <c r="DH33" s="839">
        <v>42339</v>
      </c>
      <c r="DI33" s="839">
        <v>42370</v>
      </c>
      <c r="DJ33" s="839">
        <v>42401</v>
      </c>
      <c r="DK33" s="839">
        <v>42430</v>
      </c>
      <c r="DL33" s="839">
        <v>42461</v>
      </c>
      <c r="DM33" s="839">
        <v>42491</v>
      </c>
      <c r="DN33" s="1532">
        <v>42522</v>
      </c>
      <c r="DO33" s="925">
        <v>42552</v>
      </c>
      <c r="DP33" s="925">
        <v>42584</v>
      </c>
      <c r="DQ33" s="925">
        <v>42616</v>
      </c>
      <c r="DR33" s="925">
        <v>42647</v>
      </c>
      <c r="DS33" s="925">
        <v>42679</v>
      </c>
      <c r="DT33" s="925">
        <v>42705</v>
      </c>
      <c r="DU33" s="839">
        <v>42736</v>
      </c>
      <c r="DV33" s="839">
        <v>42767</v>
      </c>
      <c r="DW33" s="839">
        <v>42795</v>
      </c>
      <c r="DX33" s="839">
        <v>42826</v>
      </c>
      <c r="DY33" s="839">
        <v>42856</v>
      </c>
      <c r="DZ33" s="927">
        <v>42887</v>
      </c>
      <c r="EA33" s="839">
        <v>42917</v>
      </c>
      <c r="EB33" s="839">
        <v>42948</v>
      </c>
      <c r="EC33" s="839">
        <v>42979</v>
      </c>
      <c r="ED33" s="839">
        <v>43009</v>
      </c>
      <c r="EE33" s="839">
        <v>43040</v>
      </c>
      <c r="EF33" s="839">
        <v>43070</v>
      </c>
      <c r="EG33" s="839">
        <v>43101</v>
      </c>
      <c r="EH33" s="839">
        <v>43132</v>
      </c>
      <c r="EI33" s="839">
        <v>43160</v>
      </c>
      <c r="EJ33" s="839">
        <v>43191</v>
      </c>
      <c r="EK33" s="839">
        <v>43221</v>
      </c>
      <c r="EL33" s="927">
        <v>43252</v>
      </c>
      <c r="EM33" s="1205">
        <v>43282</v>
      </c>
      <c r="EN33" s="1205">
        <v>43313</v>
      </c>
      <c r="EO33" s="1205">
        <v>43344</v>
      </c>
      <c r="EP33" s="1205">
        <v>43374</v>
      </c>
      <c r="EQ33" s="1205">
        <v>43405</v>
      </c>
      <c r="ER33" s="1205">
        <v>43435</v>
      </c>
      <c r="ES33" s="1205">
        <v>43466</v>
      </c>
      <c r="ET33" s="1205">
        <v>43497</v>
      </c>
      <c r="EU33" s="1205">
        <v>43525</v>
      </c>
      <c r="EV33" s="1205">
        <v>43556</v>
      </c>
      <c r="EW33" s="1205">
        <v>43586</v>
      </c>
      <c r="EX33" s="1558">
        <v>43617</v>
      </c>
      <c r="EY33" s="1205">
        <v>43647</v>
      </c>
      <c r="EZ33" s="1205">
        <v>43678</v>
      </c>
      <c r="FA33" s="1205">
        <v>43709</v>
      </c>
      <c r="FB33" s="1205">
        <v>43739</v>
      </c>
      <c r="FC33" s="1205">
        <v>43770</v>
      </c>
      <c r="FD33" s="1205">
        <v>43800</v>
      </c>
      <c r="FE33" s="1205">
        <v>43831</v>
      </c>
      <c r="FF33" s="1205">
        <v>43862</v>
      </c>
      <c r="FG33" s="1205">
        <v>43891</v>
      </c>
      <c r="FH33" s="1205">
        <v>43922</v>
      </c>
      <c r="FI33" s="1205">
        <v>43952</v>
      </c>
      <c r="FJ33" s="1558">
        <v>43983</v>
      </c>
      <c r="FK33" s="1205">
        <v>44013</v>
      </c>
      <c r="FL33" s="1205">
        <v>44044</v>
      </c>
      <c r="FM33" s="1205">
        <v>44075</v>
      </c>
      <c r="FN33" s="1205">
        <v>44105</v>
      </c>
      <c r="FO33" s="1205">
        <v>44136</v>
      </c>
      <c r="FP33" s="1205">
        <v>44166</v>
      </c>
      <c r="FQ33" s="1205">
        <v>44197</v>
      </c>
      <c r="FR33" s="1205">
        <v>44228</v>
      </c>
      <c r="FS33" s="1205">
        <v>44256</v>
      </c>
      <c r="FT33" s="1205">
        <v>44287</v>
      </c>
      <c r="FU33" s="1205">
        <v>44317</v>
      </c>
      <c r="FV33" s="1205">
        <v>44348</v>
      </c>
      <c r="FW33" s="1205">
        <v>44378</v>
      </c>
      <c r="FX33" s="1205">
        <v>44409</v>
      </c>
      <c r="FY33" s="1205">
        <v>44440</v>
      </c>
      <c r="FZ33" s="1205">
        <v>44470</v>
      </c>
      <c r="GA33" s="1205">
        <v>44501</v>
      </c>
      <c r="GB33" s="1205">
        <v>44531</v>
      </c>
      <c r="GC33" s="1205">
        <v>44562</v>
      </c>
      <c r="GD33" s="1205">
        <v>44593</v>
      </c>
      <c r="GE33" s="1205">
        <v>44621</v>
      </c>
      <c r="GF33" s="1205">
        <v>44652</v>
      </c>
      <c r="GG33" s="1205">
        <v>44682</v>
      </c>
      <c r="GH33" s="1205">
        <v>44713</v>
      </c>
      <c r="GI33" s="1205">
        <v>44743</v>
      </c>
      <c r="GJ33" s="1205">
        <v>44774</v>
      </c>
      <c r="GK33" s="1205">
        <v>44805</v>
      </c>
      <c r="GL33" s="1205">
        <v>44835</v>
      </c>
      <c r="GM33" s="1205">
        <v>44866</v>
      </c>
      <c r="GN33" s="1205">
        <v>44896</v>
      </c>
      <c r="GO33" s="1205">
        <v>44927</v>
      </c>
      <c r="GP33" s="1205">
        <v>44958</v>
      </c>
      <c r="GQ33" s="1205">
        <v>44986</v>
      </c>
      <c r="GR33" s="1205">
        <v>45017</v>
      </c>
      <c r="GS33" s="925"/>
      <c r="GT33" s="925"/>
      <c r="GU33" s="925"/>
      <c r="GV33" s="925"/>
      <c r="GW33" s="925"/>
      <c r="GX33" s="925"/>
      <c r="GY33" s="925"/>
      <c r="GZ33" s="925"/>
      <c r="HA33" s="925"/>
      <c r="HB33" s="925"/>
      <c r="HC33" s="925"/>
      <c r="HD33" s="925"/>
      <c r="HE33" s="925"/>
      <c r="HF33" s="925"/>
      <c r="HG33" s="925"/>
      <c r="HH33" s="925"/>
      <c r="HI33" s="925"/>
      <c r="HJ33" s="925"/>
      <c r="HK33" s="925"/>
      <c r="HL33" s="925"/>
      <c r="HM33" s="925"/>
      <c r="KH33" s="303"/>
    </row>
    <row r="34" spans="1:294" outlineLevel="1">
      <c r="A34" s="117" t="s">
        <v>360</v>
      </c>
      <c r="B34" s="117" t="s">
        <v>361</v>
      </c>
      <c r="D34" s="322" t="s">
        <v>980</v>
      </c>
      <c r="E34" s="316"/>
      <c r="F34" s="316"/>
      <c r="G34" s="316"/>
      <c r="H34" s="316"/>
      <c r="I34" s="316"/>
      <c r="J34" s="316"/>
      <c r="K34" s="316"/>
      <c r="L34" s="316"/>
      <c r="M34" s="316"/>
      <c r="N34" s="316"/>
      <c r="O34" s="316"/>
      <c r="P34" s="316"/>
      <c r="Q34" s="316"/>
      <c r="R34" s="316"/>
      <c r="S34" s="316"/>
      <c r="T34" s="316"/>
      <c r="U34" s="316"/>
      <c r="V34" s="316"/>
      <c r="W34" s="316"/>
      <c r="X34" s="316"/>
      <c r="Y34" s="316"/>
      <c r="Z34" s="316"/>
      <c r="AA34" s="316"/>
      <c r="AB34" s="316"/>
      <c r="AC34" s="316"/>
      <c r="AD34" s="316"/>
      <c r="AE34" s="316"/>
      <c r="AF34" s="316"/>
      <c r="AG34" s="316"/>
      <c r="AH34" s="316"/>
      <c r="AI34" s="316"/>
      <c r="AJ34" s="316"/>
      <c r="AK34" s="316"/>
      <c r="AL34" s="316"/>
      <c r="AM34" s="316"/>
      <c r="AN34" s="316"/>
      <c r="AO34" s="316">
        <v>0.50416171644470009</v>
      </c>
      <c r="AP34" s="316">
        <v>4.5415558513199991E-2</v>
      </c>
      <c r="AQ34" s="316">
        <v>0.28030969104419995</v>
      </c>
      <c r="AR34" s="316">
        <v>0.13036110185559999</v>
      </c>
      <c r="AS34" s="316">
        <v>0.8763264495396601</v>
      </c>
      <c r="AT34" s="316">
        <v>0.75793896155719986</v>
      </c>
      <c r="AU34" s="316">
        <v>1.09487848581088</v>
      </c>
      <c r="AV34" s="316">
        <v>4.4247888205200002E-2</v>
      </c>
      <c r="AW34" s="316">
        <v>0.1181440424188</v>
      </c>
      <c r="AX34" s="316">
        <v>0.55873281320259993</v>
      </c>
      <c r="AY34" s="316">
        <v>0.48578478754509002</v>
      </c>
      <c r="AZ34" s="316">
        <v>0.82678376716189994</v>
      </c>
      <c r="BA34" s="316">
        <v>1.1587666129717</v>
      </c>
      <c r="BB34" s="316">
        <v>0.1011394620086</v>
      </c>
      <c r="BC34" s="316">
        <v>0.60107188094909991</v>
      </c>
      <c r="BD34" s="316">
        <v>0.1553745045022</v>
      </c>
      <c r="BE34" s="316">
        <v>0.3793469685184</v>
      </c>
      <c r="BF34" s="316">
        <v>2.3014962661476295</v>
      </c>
      <c r="BG34" s="316">
        <v>1.2113927502194999</v>
      </c>
      <c r="BH34" s="316">
        <v>0.1036105505071</v>
      </c>
      <c r="BI34" s="316">
        <v>0.79913965341629989</v>
      </c>
      <c r="BJ34" s="316">
        <v>0.38528748443739996</v>
      </c>
      <c r="BK34" s="316">
        <v>0.94467971162808995</v>
      </c>
      <c r="BL34" s="316">
        <v>0.91084219767920005</v>
      </c>
      <c r="BM34" s="316">
        <v>1.1393097169990862</v>
      </c>
      <c r="BN34" s="316">
        <v>0.10130504225370002</v>
      </c>
      <c r="BO34" s="316">
        <v>0.9578711698304001</v>
      </c>
      <c r="BP34" s="316">
        <v>0.37928600190899997</v>
      </c>
      <c r="BQ34" s="316">
        <v>1.1134903517659409</v>
      </c>
      <c r="BR34" s="316">
        <v>1.6244805469230001</v>
      </c>
      <c r="BS34" s="316">
        <v>1.2678553357753</v>
      </c>
      <c r="BT34" s="316">
        <v>9.9735856027200004E-2</v>
      </c>
      <c r="BU34" s="316">
        <v>0.94179400166010008</v>
      </c>
      <c r="BV34" s="316">
        <v>0.38139120839280005</v>
      </c>
      <c r="BW34" s="316">
        <v>1.1547205098069999</v>
      </c>
      <c r="BX34" s="316">
        <v>0.9300369617419999</v>
      </c>
      <c r="BY34" s="316">
        <v>1.3474862237792347</v>
      </c>
      <c r="BZ34" s="316">
        <v>0.12517140289654885</v>
      </c>
      <c r="CA34" s="316">
        <v>0.45873459011050866</v>
      </c>
      <c r="CB34" s="316">
        <v>1.3895624175322565</v>
      </c>
      <c r="CC34" s="316">
        <v>1.1650459448089734</v>
      </c>
      <c r="CD34" s="636">
        <v>1.766669445009392</v>
      </c>
      <c r="CE34" s="635">
        <v>0.75231223210998577</v>
      </c>
      <c r="CF34" s="636">
        <v>0.10966848389490923</v>
      </c>
      <c r="CG34" s="636">
        <v>0.47387485241576605</v>
      </c>
      <c r="CH34" s="636">
        <v>1.4513836032679843</v>
      </c>
      <c r="CI34" s="636">
        <v>0.58777857013412638</v>
      </c>
      <c r="CJ34" s="636">
        <v>0.67328982647967961</v>
      </c>
      <c r="CK34" s="636">
        <v>0.65696933155801895</v>
      </c>
      <c r="CL34" s="636">
        <v>0.13550613930183492</v>
      </c>
      <c r="CM34" s="636">
        <v>0.94102121532754346</v>
      </c>
      <c r="CN34" s="636">
        <v>1.6646100604409304</v>
      </c>
      <c r="CO34" s="636">
        <v>1.4997860588471599</v>
      </c>
      <c r="CP34" s="653">
        <v>2.092424797395688</v>
      </c>
      <c r="CQ34" s="636">
        <v>0.81872423393511529</v>
      </c>
      <c r="CR34" s="636">
        <v>0.11637316555133259</v>
      </c>
      <c r="CS34" s="636">
        <v>0.98822693728794064</v>
      </c>
      <c r="CT34" s="636">
        <v>1.9076891664129094</v>
      </c>
      <c r="CU34" s="636">
        <v>1.6371101983136604</v>
      </c>
      <c r="CV34" s="636">
        <v>1.2823343003148511</v>
      </c>
      <c r="CW34" s="636">
        <v>0.54259925348207405</v>
      </c>
      <c r="CX34" s="636">
        <v>0.16658080707395662</v>
      </c>
      <c r="CY34" s="636">
        <v>0.64064937036626235</v>
      </c>
      <c r="CZ34" s="636">
        <v>2.6615469227826445</v>
      </c>
      <c r="DA34" s="636">
        <v>1.4873097549746874</v>
      </c>
      <c r="DB34" s="1501">
        <v>2.3879191262870338</v>
      </c>
      <c r="DC34" s="636">
        <v>0.7496316773618682</v>
      </c>
      <c r="DD34" s="636">
        <v>0.18844025208556964</v>
      </c>
      <c r="DE34" s="636">
        <v>1.1651190338380673</v>
      </c>
      <c r="DF34" s="636">
        <v>2.3537645624842876</v>
      </c>
      <c r="DG34" s="636">
        <v>0.81354493592348931</v>
      </c>
      <c r="DH34" s="636">
        <v>2.3913343737472514</v>
      </c>
      <c r="DI34" s="636">
        <v>0.82900468326802634</v>
      </c>
      <c r="DJ34" s="636">
        <v>0.11983319186926601</v>
      </c>
      <c r="DK34" s="636">
        <v>2.3683025380918479</v>
      </c>
      <c r="DL34" s="636">
        <v>2.6336685600717291</v>
      </c>
      <c r="DM34" s="636">
        <v>1.9423298927616031</v>
      </c>
      <c r="DN34" s="653">
        <v>1.5664812432107276</v>
      </c>
      <c r="DO34" s="636">
        <v>0.81482773460129687</v>
      </c>
      <c r="DP34" s="636">
        <v>0.18105762339779582</v>
      </c>
      <c r="DQ34" s="636">
        <v>4.1449209053121328</v>
      </c>
      <c r="DR34" s="636">
        <v>1.6766759256303281</v>
      </c>
      <c r="DS34" s="636">
        <v>1.6324040521808563</v>
      </c>
      <c r="DT34" s="636">
        <v>1.9212676525864625</v>
      </c>
      <c r="DU34" s="636">
        <v>0.70013142949925244</v>
      </c>
      <c r="DV34" s="636">
        <v>0.1429723286373058</v>
      </c>
      <c r="DW34" s="636">
        <v>5.3287087216909566</v>
      </c>
      <c r="DX34" s="636">
        <v>1.5963297269627943</v>
      </c>
      <c r="DY34" s="636">
        <v>2.1598769611755211</v>
      </c>
      <c r="DZ34" s="653">
        <v>1.2814078564345341</v>
      </c>
      <c r="EA34" s="636">
        <v>1.2814078564345341</v>
      </c>
      <c r="EB34" s="636">
        <v>0.1508550394771061</v>
      </c>
      <c r="EC34" s="636">
        <v>4.9908027326786346</v>
      </c>
      <c r="ED34" s="636">
        <v>2.0712650367908614</v>
      </c>
      <c r="EE34" s="636">
        <v>1.8791482955264269</v>
      </c>
      <c r="EF34" s="636">
        <v>2.1693559036259176</v>
      </c>
      <c r="EG34" s="636">
        <v>1.1618025330384665</v>
      </c>
      <c r="EH34" s="636">
        <v>0.51454785319515561</v>
      </c>
      <c r="EI34" s="636">
        <v>3.9915140101251882</v>
      </c>
      <c r="EJ34" s="636">
        <v>3.2862055830739316</v>
      </c>
      <c r="EK34" s="636">
        <v>1.5905199425173457</v>
      </c>
      <c r="EL34" s="653">
        <v>2.7303336994329461</v>
      </c>
      <c r="EM34" s="1209">
        <v>1.3470474729735158</v>
      </c>
      <c r="EN34" s="1209">
        <v>0.52934734873926026</v>
      </c>
      <c r="EO34" s="1209">
        <v>4.0709369091479815</v>
      </c>
      <c r="EP34" s="1209">
        <v>3.3849278688892088</v>
      </c>
      <c r="EQ34" s="1209">
        <v>2.1046109426230299</v>
      </c>
      <c r="ER34" s="1209">
        <v>1.862306207048356</v>
      </c>
      <c r="ES34" s="1209">
        <v>1.1961686853698605</v>
      </c>
      <c r="ET34" s="1209">
        <v>0.84681447803554177</v>
      </c>
      <c r="EU34" s="1209">
        <v>6.3283366049876717</v>
      </c>
      <c r="EV34" s="1209">
        <v>1.7937734377266965</v>
      </c>
      <c r="EW34" s="1209">
        <v>3.4748833155086563</v>
      </c>
      <c r="EX34" s="1539">
        <v>1.7258530270004859</v>
      </c>
      <c r="EY34" s="1209">
        <v>1.2138781874569999</v>
      </c>
      <c r="EZ34" s="1209">
        <v>1.4837054531594001</v>
      </c>
      <c r="FA34" s="1209">
        <v>6.13808794155341</v>
      </c>
      <c r="FB34" s="1209">
        <v>5.6781241033618901</v>
      </c>
      <c r="FC34" s="1209">
        <v>2.1977080392551098</v>
      </c>
      <c r="FD34" s="1209">
        <v>1.9407424889834901</v>
      </c>
      <c r="FE34" s="1209">
        <v>9.7877725839660599</v>
      </c>
      <c r="FF34" s="1209">
        <v>0.91229063457439197</v>
      </c>
      <c r="FG34" s="1209">
        <v>11.3366559583202</v>
      </c>
      <c r="FH34" s="1209">
        <v>5.6902335057443398</v>
      </c>
      <c r="FI34" s="1209">
        <v>1.33152815319922</v>
      </c>
      <c r="FJ34" s="1539">
        <v>7.1919824563977901</v>
      </c>
      <c r="FK34" s="1209">
        <v>6.1199881177133246</v>
      </c>
      <c r="FL34" s="1209">
        <v>1.5830492608096534</v>
      </c>
      <c r="FM34" s="1209">
        <v>16.063851876547236</v>
      </c>
      <c r="FN34" s="1209">
        <v>2.5869239420633345</v>
      </c>
      <c r="FO34" s="1209">
        <v>2.3134264672229445</v>
      </c>
      <c r="FP34" s="1209">
        <v>6.5370663809978087</v>
      </c>
      <c r="FQ34" s="636">
        <v>7.8658266829999999</v>
      </c>
      <c r="FR34" s="636">
        <v>4.2643026479999993</v>
      </c>
      <c r="FS34" s="636">
        <v>17.094426761000001</v>
      </c>
      <c r="FT34" s="636">
        <v>2.5643725678531339</v>
      </c>
      <c r="FU34" s="636">
        <v>1.4306740770765325</v>
      </c>
      <c r="FV34" s="636">
        <v>7.9453315323161871</v>
      </c>
      <c r="FW34" s="636">
        <v>8.2773949473601771</v>
      </c>
      <c r="FX34" s="636">
        <v>6.4585053852723444</v>
      </c>
      <c r="FY34" s="636">
        <v>16.285536350457846</v>
      </c>
      <c r="FZ34" s="636">
        <v>3.5614254144632755</v>
      </c>
      <c r="GA34" s="636">
        <v>2.6219920706043354</v>
      </c>
      <c r="GB34" s="636">
        <v>7.5800072149037652</v>
      </c>
      <c r="GC34" s="636"/>
      <c r="GD34" s="636"/>
      <c r="GE34" s="636"/>
      <c r="GF34" s="636"/>
      <c r="GG34" s="636"/>
      <c r="GH34" s="636"/>
      <c r="GI34" s="636"/>
      <c r="GJ34" s="636"/>
      <c r="GK34" s="636"/>
      <c r="GL34" s="636"/>
      <c r="GM34" s="636"/>
      <c r="GN34" s="636"/>
      <c r="GO34" s="636"/>
      <c r="GP34" s="636"/>
      <c r="GQ34" s="636"/>
      <c r="GR34" s="636"/>
      <c r="GS34" s="636"/>
      <c r="GT34" s="636"/>
      <c r="GU34" s="636"/>
      <c r="GV34" s="636"/>
      <c r="GW34" s="636"/>
      <c r="GX34" s="636"/>
      <c r="GY34" s="636"/>
      <c r="GZ34" s="636"/>
      <c r="HA34" s="636"/>
      <c r="HB34" s="636"/>
      <c r="HC34" s="636"/>
      <c r="HD34" s="636"/>
      <c r="HE34" s="636"/>
      <c r="HF34" s="636"/>
      <c r="HG34" s="636"/>
      <c r="HH34" s="636"/>
      <c r="HI34" s="636"/>
      <c r="HJ34" s="636"/>
      <c r="HK34" s="636"/>
      <c r="HL34" s="636"/>
      <c r="HM34" s="636"/>
      <c r="HV34" s="710">
        <f t="shared" ref="HV34:HV72" si="11">+SUM(DC34:DH34)</f>
        <v>7.6618348354405335</v>
      </c>
      <c r="HW34" s="710">
        <f t="shared" ref="HW34:HW72" si="12">+SUM(DI34:DN34)</f>
        <v>9.4596201092731995</v>
      </c>
      <c r="HX34" s="710">
        <f t="shared" ref="HX34:HX72" si="13">+HV34+HW34</f>
        <v>17.121454944713733</v>
      </c>
      <c r="HY34" s="710">
        <f t="shared" ref="HY34:HY72" si="14">SUM(DO34:DT34)</f>
        <v>10.371153893708872</v>
      </c>
      <c r="KH34" s="303"/>
    </row>
    <row r="35" spans="1:294" outlineLevel="1">
      <c r="B35" s="117" t="s">
        <v>361</v>
      </c>
      <c r="D35" s="319" t="s">
        <v>377</v>
      </c>
      <c r="E35" s="316"/>
      <c r="F35" s="316"/>
      <c r="G35" s="316"/>
      <c r="H35" s="316"/>
      <c r="I35" s="316"/>
      <c r="J35" s="316"/>
      <c r="K35" s="316"/>
      <c r="L35" s="316"/>
      <c r="M35" s="316"/>
      <c r="N35" s="316"/>
      <c r="O35" s="316"/>
      <c r="P35" s="316"/>
      <c r="Q35" s="316"/>
      <c r="R35" s="316"/>
      <c r="S35" s="316"/>
      <c r="T35" s="316"/>
      <c r="U35" s="316"/>
      <c r="V35" s="316"/>
      <c r="W35" s="316"/>
      <c r="X35" s="316"/>
      <c r="Y35" s="316"/>
      <c r="Z35" s="316"/>
      <c r="AA35" s="316"/>
      <c r="AB35" s="316"/>
      <c r="AC35" s="316"/>
      <c r="AD35" s="316"/>
      <c r="AE35" s="316"/>
      <c r="AF35" s="316"/>
      <c r="AG35" s="316"/>
      <c r="AH35" s="316"/>
      <c r="AI35" s="316"/>
      <c r="AJ35" s="316"/>
      <c r="AK35" s="316"/>
      <c r="AL35" s="316"/>
      <c r="AM35" s="316"/>
      <c r="AN35" s="316"/>
      <c r="AO35" s="316">
        <v>0</v>
      </c>
      <c r="AP35" s="316">
        <v>0</v>
      </c>
      <c r="AQ35" s="316">
        <v>0</v>
      </c>
      <c r="AR35" s="316">
        <v>5.5135802608000011E-3</v>
      </c>
      <c r="AS35" s="316">
        <v>0</v>
      </c>
      <c r="AT35" s="316">
        <v>0</v>
      </c>
      <c r="AU35" s="316">
        <v>0</v>
      </c>
      <c r="AV35" s="316">
        <v>0</v>
      </c>
      <c r="AW35" s="316">
        <v>0</v>
      </c>
      <c r="AX35" s="316">
        <v>0.26638057392639997</v>
      </c>
      <c r="AY35" s="316">
        <v>5.6128827664000003E-3</v>
      </c>
      <c r="AZ35" s="316">
        <v>0</v>
      </c>
      <c r="BA35" s="316">
        <v>0</v>
      </c>
      <c r="BB35" s="316">
        <v>0</v>
      </c>
      <c r="BC35" s="316">
        <v>0.28096687062469999</v>
      </c>
      <c r="BD35" s="316">
        <v>5.9459135807999998E-3</v>
      </c>
      <c r="BE35" s="316">
        <v>0</v>
      </c>
      <c r="BF35" s="316">
        <v>0.30015571833120003</v>
      </c>
      <c r="BG35" s="316">
        <v>0</v>
      </c>
      <c r="BH35" s="316">
        <v>0</v>
      </c>
      <c r="BI35" s="316">
        <v>0.32899312496189997</v>
      </c>
      <c r="BJ35" s="316">
        <v>0.23658802775089999</v>
      </c>
      <c r="BK35" s="316">
        <v>0</v>
      </c>
      <c r="BL35" s="316">
        <v>0.29776921742649998</v>
      </c>
      <c r="BM35" s="316">
        <v>0</v>
      </c>
      <c r="BN35" s="316">
        <v>0</v>
      </c>
      <c r="BO35" s="316">
        <v>0.32043694383939997</v>
      </c>
      <c r="BP35" s="316">
        <v>0.22990115686919999</v>
      </c>
      <c r="BQ35" s="316">
        <v>0</v>
      </c>
      <c r="BR35" s="316">
        <v>0.2933289262464</v>
      </c>
      <c r="BS35" s="316">
        <v>0.12144376168899999</v>
      </c>
      <c r="BT35" s="316">
        <v>0</v>
      </c>
      <c r="BU35" s="316">
        <v>0.31993610439780001</v>
      </c>
      <c r="BV35" s="316">
        <v>0.22770686700080001</v>
      </c>
      <c r="BW35" s="316">
        <v>0</v>
      </c>
      <c r="BX35" s="316">
        <v>0.30452303197000002</v>
      </c>
      <c r="BY35" s="316">
        <v>0.12393717313703749</v>
      </c>
      <c r="BZ35" s="316">
        <v>0</v>
      </c>
      <c r="CA35" s="316">
        <v>4.1856196021750114E-2</v>
      </c>
      <c r="CB35" s="316">
        <v>0.82584192957423674</v>
      </c>
      <c r="CC35" s="316">
        <v>0</v>
      </c>
      <c r="CD35" s="316">
        <v>0.30289609751252949</v>
      </c>
      <c r="CE35" s="317">
        <v>0.124691570342809</v>
      </c>
      <c r="CF35" s="316">
        <v>0</v>
      </c>
      <c r="CG35" s="316">
        <v>4.1882149670277001E-2</v>
      </c>
      <c r="CH35" s="316">
        <v>0.84882019171820111</v>
      </c>
      <c r="CI35" s="316">
        <v>0</v>
      </c>
      <c r="CJ35" s="316">
        <v>6.0071726824731395E-3</v>
      </c>
      <c r="CK35" s="316">
        <v>0</v>
      </c>
      <c r="CL35" s="316">
        <v>0</v>
      </c>
      <c r="CM35" s="316">
        <v>4.4458959986167321E-2</v>
      </c>
      <c r="CN35" s="316">
        <v>0.88524147688819099</v>
      </c>
      <c r="CO35" s="316">
        <v>0</v>
      </c>
      <c r="CP35" s="318">
        <v>0.33107713164170632</v>
      </c>
      <c r="CQ35" s="316">
        <v>0.13572506334824128</v>
      </c>
      <c r="CR35" s="316">
        <v>0</v>
      </c>
      <c r="CS35" s="316">
        <v>4.5413779879891418E-2</v>
      </c>
      <c r="CT35" s="316">
        <v>0.89314346504607545</v>
      </c>
      <c r="CU35" s="316">
        <v>0.13869996536554408</v>
      </c>
      <c r="CV35" s="316">
        <v>0.45379834019673715</v>
      </c>
      <c r="CW35" s="316">
        <v>0</v>
      </c>
      <c r="CX35" s="316">
        <v>0</v>
      </c>
      <c r="CY35" s="316">
        <v>0.20934765537276095</v>
      </c>
      <c r="CZ35" s="316">
        <v>0.95442696410567629</v>
      </c>
      <c r="DA35" s="316">
        <v>0.12476327861868908</v>
      </c>
      <c r="DB35" s="1498">
        <v>0.30861785569722866</v>
      </c>
      <c r="DC35" s="316">
        <v>0.129693904</v>
      </c>
      <c r="DD35" s="316">
        <v>0</v>
      </c>
      <c r="DE35" s="316">
        <v>0.21124853900000001</v>
      </c>
      <c r="DF35" s="316">
        <v>0.97693371973036769</v>
      </c>
      <c r="DG35" s="316">
        <v>0.13301958758717933</v>
      </c>
      <c r="DH35" s="316">
        <v>0.33106574662885846</v>
      </c>
      <c r="DI35" s="316">
        <v>0.1336837289962132</v>
      </c>
      <c r="DJ35" s="316">
        <v>0</v>
      </c>
      <c r="DK35" s="316">
        <v>0.53638662066267229</v>
      </c>
      <c r="DL35" s="316">
        <v>0.70779935435372565</v>
      </c>
      <c r="DM35" s="316">
        <v>0.13808450462584609</v>
      </c>
      <c r="DN35" s="318">
        <v>0.34477701904624963</v>
      </c>
      <c r="DO35" s="316">
        <v>0.14242003051508639</v>
      </c>
      <c r="DP35" s="316">
        <v>0</v>
      </c>
      <c r="DQ35" s="316">
        <v>0.57239811359461756</v>
      </c>
      <c r="DR35" s="316">
        <v>0.7398146366727697</v>
      </c>
      <c r="DS35" s="316">
        <v>0.14569345278690035</v>
      </c>
      <c r="DT35" s="316">
        <v>0.35421393440656351</v>
      </c>
      <c r="DU35" s="316">
        <v>0</v>
      </c>
      <c r="DV35" s="316">
        <v>0</v>
      </c>
      <c r="DW35" s="316">
        <v>0.56797615099999998</v>
      </c>
      <c r="DX35" s="316">
        <v>0.72190988716691684</v>
      </c>
      <c r="DY35" s="316">
        <v>0.14965496045952736</v>
      </c>
      <c r="DZ35" s="318">
        <v>0.35363171990259584</v>
      </c>
      <c r="EA35" s="316">
        <v>0.14560428824432203</v>
      </c>
      <c r="EB35" s="316">
        <v>0</v>
      </c>
      <c r="EC35" s="316">
        <v>0.59487636700280733</v>
      </c>
      <c r="ED35" s="316">
        <v>0.77139662767255623</v>
      </c>
      <c r="EE35" s="316">
        <v>0.15302632251071843</v>
      </c>
      <c r="EF35" s="316">
        <v>0.52685894708779757</v>
      </c>
      <c r="EG35" s="316">
        <v>0</v>
      </c>
      <c r="EH35" s="316">
        <v>0</v>
      </c>
      <c r="EI35" s="316">
        <v>0.62428633827907154</v>
      </c>
      <c r="EJ35" s="316">
        <v>0.81343956611383739</v>
      </c>
      <c r="EK35" s="316">
        <v>0.15879638206043001</v>
      </c>
      <c r="EL35" s="318">
        <v>0.39189916500681488</v>
      </c>
      <c r="EM35" s="1206">
        <v>0.15792183339521648</v>
      </c>
      <c r="EN35" s="1206">
        <v>0</v>
      </c>
      <c r="EO35" s="1206">
        <v>0.61700008003990703</v>
      </c>
      <c r="EP35" s="1206">
        <v>0.78723351456807922</v>
      </c>
      <c r="EQ35" s="1206">
        <v>0.15668338192738071</v>
      </c>
      <c r="ER35" s="1206">
        <v>0.54120740006700041</v>
      </c>
      <c r="ES35" s="1206">
        <v>0</v>
      </c>
      <c r="ET35" s="1206">
        <v>0</v>
      </c>
      <c r="EU35" s="1206">
        <v>0.6287603766595119</v>
      </c>
      <c r="EV35" s="1206">
        <v>0.79837339050917355</v>
      </c>
      <c r="EW35" s="1206">
        <v>0.16656945592177763</v>
      </c>
      <c r="EX35" s="1550">
        <v>0.39122842107326072</v>
      </c>
      <c r="EY35" s="1206"/>
      <c r="EZ35" s="1206"/>
      <c r="FA35" s="1206"/>
      <c r="FB35" s="1206"/>
      <c r="FC35" s="1206"/>
      <c r="FD35" s="1206"/>
      <c r="FE35" s="1206"/>
      <c r="FF35" s="1206"/>
      <c r="FG35" s="1206"/>
      <c r="FH35" s="1206"/>
      <c r="FI35" s="1206"/>
      <c r="FJ35" s="1550"/>
      <c r="FK35" s="1206"/>
      <c r="FL35" s="1206"/>
      <c r="FM35" s="1206"/>
      <c r="FN35" s="1206"/>
      <c r="FO35" s="1206"/>
      <c r="FP35" s="1206"/>
      <c r="FQ35" s="316"/>
      <c r="FR35" s="316"/>
      <c r="FS35" s="316"/>
      <c r="FT35" s="316"/>
      <c r="FU35" s="316"/>
      <c r="FV35" s="316"/>
      <c r="FW35" s="316"/>
      <c r="FX35" s="316"/>
      <c r="FY35" s="316"/>
      <c r="FZ35" s="316"/>
      <c r="GA35" s="316"/>
      <c r="GB35" s="316"/>
      <c r="GC35" s="316"/>
      <c r="GD35" s="316"/>
      <c r="GE35" s="316"/>
      <c r="GF35" s="316"/>
      <c r="GG35" s="316"/>
      <c r="GH35" s="316"/>
      <c r="GI35" s="316"/>
      <c r="GJ35" s="316"/>
      <c r="GK35" s="316"/>
      <c r="GL35" s="316"/>
      <c r="GM35" s="316"/>
      <c r="GN35" s="316"/>
      <c r="GO35" s="316"/>
      <c r="GP35" s="316"/>
      <c r="GQ35" s="316"/>
      <c r="GR35" s="316"/>
      <c r="GS35" s="316"/>
      <c r="GT35" s="316"/>
      <c r="GU35" s="316"/>
      <c r="GV35" s="316"/>
      <c r="GW35" s="316"/>
      <c r="GX35" s="316"/>
      <c r="GY35" s="316"/>
      <c r="GZ35" s="316"/>
      <c r="HA35" s="316"/>
      <c r="HB35" s="316"/>
      <c r="HC35" s="316"/>
      <c r="HD35" s="316"/>
      <c r="HE35" s="316"/>
      <c r="HF35" s="316"/>
      <c r="HG35" s="316"/>
      <c r="HH35" s="316"/>
      <c r="HI35" s="316"/>
      <c r="HJ35" s="316"/>
      <c r="HK35" s="316"/>
      <c r="HL35" s="316"/>
      <c r="HM35" s="316"/>
      <c r="HV35" s="302">
        <f t="shared" si="11"/>
        <v>1.7819614969464055</v>
      </c>
      <c r="HW35" s="302">
        <f t="shared" si="12"/>
        <v>1.8607312276847068</v>
      </c>
      <c r="HX35" s="302">
        <f t="shared" si="13"/>
        <v>3.6426927246311123</v>
      </c>
      <c r="HY35" s="302">
        <f t="shared" si="14"/>
        <v>1.9545401679759373</v>
      </c>
      <c r="KH35" s="303"/>
    </row>
    <row r="36" spans="1:294" outlineLevel="1">
      <c r="B36" s="117" t="s">
        <v>361</v>
      </c>
      <c r="D36" s="319" t="s">
        <v>378</v>
      </c>
      <c r="E36" s="316"/>
      <c r="F36" s="316"/>
      <c r="G36" s="316"/>
      <c r="H36" s="316"/>
      <c r="I36" s="316"/>
      <c r="J36" s="316"/>
      <c r="K36" s="316"/>
      <c r="L36" s="316"/>
      <c r="M36" s="316"/>
      <c r="N36" s="316"/>
      <c r="O36" s="316"/>
      <c r="P36" s="316"/>
      <c r="Q36" s="316"/>
      <c r="R36" s="316"/>
      <c r="S36" s="316"/>
      <c r="T36" s="316"/>
      <c r="U36" s="316"/>
      <c r="V36" s="316"/>
      <c r="W36" s="316"/>
      <c r="X36" s="316"/>
      <c r="Y36" s="316"/>
      <c r="Z36" s="316"/>
      <c r="AA36" s="316"/>
      <c r="AB36" s="316"/>
      <c r="AC36" s="316"/>
      <c r="AD36" s="316"/>
      <c r="AE36" s="316"/>
      <c r="AF36" s="316"/>
      <c r="AG36" s="316"/>
      <c r="AH36" s="316"/>
      <c r="AI36" s="316"/>
      <c r="AJ36" s="316"/>
      <c r="AK36" s="316"/>
      <c r="AL36" s="316"/>
      <c r="AM36" s="316"/>
      <c r="AN36" s="316"/>
      <c r="AO36" s="316">
        <v>5.4975535028000009E-3</v>
      </c>
      <c r="AP36" s="316">
        <v>0</v>
      </c>
      <c r="AQ36" s="316">
        <v>0.15995442501569998</v>
      </c>
      <c r="AR36" s="316">
        <v>0</v>
      </c>
      <c r="AS36" s="316">
        <v>-1.7765399152000001E-2</v>
      </c>
      <c r="AT36" s="316">
        <v>0</v>
      </c>
      <c r="AU36" s="316">
        <v>5.2897562638999987E-3</v>
      </c>
      <c r="AV36" s="316">
        <v>0</v>
      </c>
      <c r="AW36" s="316">
        <v>0</v>
      </c>
      <c r="AX36" s="316">
        <v>0.1644613691904</v>
      </c>
      <c r="AY36" s="316">
        <v>0</v>
      </c>
      <c r="AZ36" s="316">
        <v>0</v>
      </c>
      <c r="BA36" s="316">
        <v>5.8897960898E-2</v>
      </c>
      <c r="BB36" s="316">
        <v>0</v>
      </c>
      <c r="BC36" s="316">
        <v>0.17332065390009999</v>
      </c>
      <c r="BD36" s="316">
        <v>0</v>
      </c>
      <c r="BE36" s="316">
        <v>0</v>
      </c>
      <c r="BF36" s="316">
        <v>0</v>
      </c>
      <c r="BG36" s="316">
        <v>6.1391313435000004E-2</v>
      </c>
      <c r="BH36" s="316">
        <v>0</v>
      </c>
      <c r="BI36" s="316">
        <v>0.17858819561440001</v>
      </c>
      <c r="BJ36" s="316">
        <v>0</v>
      </c>
      <c r="BK36" s="316">
        <v>0</v>
      </c>
      <c r="BL36" s="316">
        <v>5.9334319934999996E-3</v>
      </c>
      <c r="BM36" s="316">
        <v>5.5540855128699995E-2</v>
      </c>
      <c r="BN36" s="316">
        <v>0</v>
      </c>
      <c r="BO36" s="316">
        <v>0.21470121535600001</v>
      </c>
      <c r="BP36" s="316">
        <v>0</v>
      </c>
      <c r="BQ36" s="316">
        <v>0</v>
      </c>
      <c r="BR36" s="316">
        <v>0</v>
      </c>
      <c r="BS36" s="316">
        <v>6.0825752703900005E-2</v>
      </c>
      <c r="BT36" s="316">
        <v>0</v>
      </c>
      <c r="BU36" s="316">
        <v>0.21354290582470006</v>
      </c>
      <c r="BV36" s="316">
        <v>0</v>
      </c>
      <c r="BW36" s="316">
        <v>0</v>
      </c>
      <c r="BX36" s="316">
        <v>0</v>
      </c>
      <c r="BY36" s="316">
        <v>6.2367679355559431E-2</v>
      </c>
      <c r="BZ36" s="316">
        <v>0</v>
      </c>
      <c r="CA36" s="316">
        <v>0</v>
      </c>
      <c r="CB36" s="316">
        <v>0.21106418306569844</v>
      </c>
      <c r="CC36" s="316">
        <v>0</v>
      </c>
      <c r="CD36" s="316">
        <v>0</v>
      </c>
      <c r="CE36" s="317">
        <v>5.9730101267504804E-2</v>
      </c>
      <c r="CF36" s="316">
        <v>0</v>
      </c>
      <c r="CG36" s="316">
        <v>0</v>
      </c>
      <c r="CH36" s="316">
        <v>0.21261406994560864</v>
      </c>
      <c r="CI36" s="316">
        <v>0</v>
      </c>
      <c r="CJ36" s="316">
        <v>0</v>
      </c>
      <c r="CK36" s="316">
        <v>5.6898796936733997E-2</v>
      </c>
      <c r="CL36" s="316">
        <v>0</v>
      </c>
      <c r="CM36" s="316">
        <v>0</v>
      </c>
      <c r="CN36" s="316">
        <v>0.29192507027493914</v>
      </c>
      <c r="CO36" s="316">
        <v>5.7402181618272458E-2</v>
      </c>
      <c r="CP36" s="318">
        <v>0</v>
      </c>
      <c r="CQ36" s="316">
        <v>6.3812142257684015E-2</v>
      </c>
      <c r="CR36" s="316">
        <v>0</v>
      </c>
      <c r="CS36" s="316">
        <v>2.1637444808902909E-2</v>
      </c>
      <c r="CT36" s="316">
        <v>0.29533952562273325</v>
      </c>
      <c r="CU36" s="316">
        <v>5.5107655834798798E-2</v>
      </c>
      <c r="CV36" s="316">
        <v>5.6984434045285991E-3</v>
      </c>
      <c r="CW36" s="316">
        <v>0</v>
      </c>
      <c r="CX36" s="316">
        <v>5.5201008506487473E-2</v>
      </c>
      <c r="CY36" s="316">
        <v>2.0674629735207121E-2</v>
      </c>
      <c r="CZ36" s="316">
        <v>0.52264080281942427</v>
      </c>
      <c r="DA36" s="316">
        <v>0</v>
      </c>
      <c r="DB36" s="1498">
        <v>5.2200515035975947E-2</v>
      </c>
      <c r="DC36" s="316">
        <v>5.4098669999999996E-3</v>
      </c>
      <c r="DD36" s="316">
        <v>7.4737059999999994E-2</v>
      </c>
      <c r="DE36" s="316">
        <v>0</v>
      </c>
      <c r="DF36" s="316">
        <v>0.52723577097524166</v>
      </c>
      <c r="DG36" s="316">
        <v>0</v>
      </c>
      <c r="DH36" s="316">
        <v>5.5032217771614537E-2</v>
      </c>
      <c r="DI36" s="316">
        <v>6.1840797292858365E-2</v>
      </c>
      <c r="DJ36" s="316">
        <v>0</v>
      </c>
      <c r="DK36" s="316">
        <v>2.1065384123148602E-2</v>
      </c>
      <c r="DL36" s="316">
        <v>0.55485799410482406</v>
      </c>
      <c r="DM36" s="316">
        <v>0.24960324752265889</v>
      </c>
      <c r="DN36" s="318">
        <v>5.9176484642128872E-2</v>
      </c>
      <c r="DO36" s="316">
        <v>6.0747261821519991E-3</v>
      </c>
      <c r="DP36" s="316">
        <v>8.4569211726526525E-2</v>
      </c>
      <c r="DQ36" s="316">
        <v>0.60912252323162419</v>
      </c>
      <c r="DR36" s="316">
        <v>0</v>
      </c>
      <c r="DS36" s="316">
        <v>6.3965820951001048E-2</v>
      </c>
      <c r="DT36" s="316">
        <v>6.3400570700124798E-3</v>
      </c>
      <c r="DU36" s="316">
        <v>6.3089398328497387E-2</v>
      </c>
      <c r="DV36" s="316">
        <v>0</v>
      </c>
      <c r="DW36" s="316">
        <v>0.62073020507285137</v>
      </c>
      <c r="DX36" s="316">
        <v>6.0503638241623109E-2</v>
      </c>
      <c r="DY36" s="316">
        <v>6.1692849472604061E-2</v>
      </c>
      <c r="DZ36" s="318">
        <v>0</v>
      </c>
      <c r="EA36" s="316">
        <v>7.1218663871704849E-2</v>
      </c>
      <c r="EB36" s="316">
        <v>2.370969899920718E-2</v>
      </c>
      <c r="EC36" s="316">
        <v>0.6347144042963786</v>
      </c>
      <c r="ED36" s="316">
        <v>8.4112073727352965E-2</v>
      </c>
      <c r="EE36" s="316">
        <v>6.5017457110855909E-2</v>
      </c>
      <c r="EF36" s="316">
        <v>8.9289448642274998E-3</v>
      </c>
      <c r="EG36" s="316">
        <v>6.6886852260211599E-2</v>
      </c>
      <c r="EH36" s="316">
        <v>0</v>
      </c>
      <c r="EI36" s="316">
        <v>0</v>
      </c>
      <c r="EJ36" s="316">
        <v>0.59156723758316898</v>
      </c>
      <c r="EK36" s="316">
        <v>6.8459976006136181E-2</v>
      </c>
      <c r="EL36" s="318">
        <v>0.20991610299999999</v>
      </c>
      <c r="EM36" s="1206">
        <v>8.1716829288997275E-2</v>
      </c>
      <c r="EN36" s="1206">
        <v>2.4878428695712902E-2</v>
      </c>
      <c r="EO36" s="1206">
        <v>0</v>
      </c>
      <c r="EP36" s="1206">
        <v>0.65859046225565532</v>
      </c>
      <c r="EQ36" s="1206">
        <v>6.6935316893337191E-2</v>
      </c>
      <c r="ER36" s="1206">
        <v>1.2926018028519001E-2</v>
      </c>
      <c r="ES36" s="1206">
        <v>6.8624551475166495E-2</v>
      </c>
      <c r="ET36" s="1206">
        <v>0</v>
      </c>
      <c r="EU36" s="1206">
        <v>0.87228663869857059</v>
      </c>
      <c r="EV36" s="1206">
        <v>0</v>
      </c>
      <c r="EW36" s="1206">
        <v>6.8068332010024143E-2</v>
      </c>
      <c r="EX36" s="1550">
        <v>0</v>
      </c>
      <c r="EY36" s="1206"/>
      <c r="EZ36" s="1206"/>
      <c r="FA36" s="1206"/>
      <c r="FB36" s="1206"/>
      <c r="FC36" s="1206"/>
      <c r="FD36" s="1206"/>
      <c r="FE36" s="1206"/>
      <c r="FF36" s="1206"/>
      <c r="FG36" s="1206"/>
      <c r="FH36" s="1206"/>
      <c r="FI36" s="1206"/>
      <c r="FJ36" s="1550"/>
      <c r="FK36" s="1206"/>
      <c r="FL36" s="1206"/>
      <c r="FM36" s="1206"/>
      <c r="FN36" s="1206"/>
      <c r="FO36" s="1206"/>
      <c r="FP36" s="1206"/>
      <c r="FQ36" s="316"/>
      <c r="FR36" s="316"/>
      <c r="FS36" s="316"/>
      <c r="FT36" s="316"/>
      <c r="FU36" s="316"/>
      <c r="FV36" s="316"/>
      <c r="FW36" s="316"/>
      <c r="FX36" s="316"/>
      <c r="FY36" s="316"/>
      <c r="FZ36" s="316"/>
      <c r="GA36" s="316"/>
      <c r="GB36" s="316"/>
      <c r="GC36" s="316"/>
      <c r="GD36" s="316"/>
      <c r="GE36" s="316"/>
      <c r="GF36" s="316"/>
      <c r="GG36" s="316"/>
      <c r="GH36" s="316"/>
      <c r="GI36" s="316"/>
      <c r="GJ36" s="316"/>
      <c r="GK36" s="316"/>
      <c r="GL36" s="316"/>
      <c r="GM36" s="316"/>
      <c r="GN36" s="316"/>
      <c r="GO36" s="316"/>
      <c r="GP36" s="316"/>
      <c r="GQ36" s="316"/>
      <c r="GR36" s="316"/>
      <c r="GS36" s="316"/>
      <c r="GT36" s="316"/>
      <c r="GU36" s="316"/>
      <c r="GV36" s="316"/>
      <c r="GW36" s="316"/>
      <c r="GX36" s="316"/>
      <c r="GY36" s="316"/>
      <c r="GZ36" s="316"/>
      <c r="HA36" s="316"/>
      <c r="HB36" s="316"/>
      <c r="HC36" s="316"/>
      <c r="HD36" s="316"/>
      <c r="HE36" s="316"/>
      <c r="HF36" s="316"/>
      <c r="HG36" s="316"/>
      <c r="HH36" s="316"/>
      <c r="HI36" s="316"/>
      <c r="HJ36" s="316"/>
      <c r="HK36" s="316"/>
      <c r="HL36" s="316"/>
      <c r="HM36" s="316"/>
      <c r="HV36" s="302">
        <f t="shared" si="11"/>
        <v>0.66241491574685618</v>
      </c>
      <c r="HW36" s="302">
        <f t="shared" si="12"/>
        <v>0.94654390768561869</v>
      </c>
      <c r="HX36" s="302">
        <f t="shared" si="13"/>
        <v>1.608958823432475</v>
      </c>
      <c r="HY36" s="302">
        <f t="shared" si="14"/>
        <v>0.77007233916131623</v>
      </c>
      <c r="KH36" s="303"/>
    </row>
    <row r="37" spans="1:294" outlineLevel="1">
      <c r="B37" s="117" t="s">
        <v>361</v>
      </c>
      <c r="D37" s="319" t="s">
        <v>379</v>
      </c>
      <c r="E37" s="316"/>
      <c r="F37" s="316"/>
      <c r="G37" s="316"/>
      <c r="H37" s="316"/>
      <c r="I37" s="316"/>
      <c r="J37" s="316"/>
      <c r="K37" s="316"/>
      <c r="L37" s="316"/>
      <c r="M37" s="316"/>
      <c r="N37" s="316"/>
      <c r="O37" s="316"/>
      <c r="P37" s="316"/>
      <c r="Q37" s="316"/>
      <c r="R37" s="316"/>
      <c r="S37" s="316"/>
      <c r="T37" s="316"/>
      <c r="U37" s="316"/>
      <c r="V37" s="316"/>
      <c r="W37" s="316"/>
      <c r="X37" s="316"/>
      <c r="Y37" s="316"/>
      <c r="Z37" s="316"/>
      <c r="AA37" s="316"/>
      <c r="AB37" s="316"/>
      <c r="AC37" s="316"/>
      <c r="AD37" s="316"/>
      <c r="AE37" s="316"/>
      <c r="AF37" s="316"/>
      <c r="AG37" s="316"/>
      <c r="AH37" s="316"/>
      <c r="AI37" s="316"/>
      <c r="AJ37" s="316"/>
      <c r="AK37" s="316"/>
      <c r="AL37" s="316"/>
      <c r="AM37" s="316"/>
      <c r="AN37" s="316"/>
      <c r="AO37" s="316">
        <v>0.11271658752710001</v>
      </c>
      <c r="AP37" s="316">
        <v>0</v>
      </c>
      <c r="AQ37" s="316">
        <v>0</v>
      </c>
      <c r="AR37" s="316">
        <v>0</v>
      </c>
      <c r="AS37" s="316">
        <v>6.4073253463999988E-2</v>
      </c>
      <c r="AT37" s="316">
        <v>0</v>
      </c>
      <c r="AU37" s="316">
        <v>0.11627054629789998</v>
      </c>
      <c r="AV37" s="316">
        <v>0</v>
      </c>
      <c r="AW37" s="316">
        <v>0</v>
      </c>
      <c r="AX37" s="316">
        <v>0</v>
      </c>
      <c r="AY37" s="316">
        <v>0</v>
      </c>
      <c r="AZ37" s="316">
        <v>9.0544394861999999E-2</v>
      </c>
      <c r="BA37" s="316">
        <v>0.11762387496890001</v>
      </c>
      <c r="BB37" s="316">
        <v>0</v>
      </c>
      <c r="BC37" s="316">
        <v>0</v>
      </c>
      <c r="BD37" s="316">
        <v>0</v>
      </c>
      <c r="BE37" s="316">
        <v>0</v>
      </c>
      <c r="BF37" s="316">
        <v>0.13834084617010001</v>
      </c>
      <c r="BG37" s="316">
        <v>0.1190046624825</v>
      </c>
      <c r="BH37" s="316">
        <v>0</v>
      </c>
      <c r="BI37" s="316">
        <v>0</v>
      </c>
      <c r="BJ37" s="316">
        <v>0</v>
      </c>
      <c r="BK37" s="316">
        <v>0.14727193477770001</v>
      </c>
      <c r="BL37" s="316">
        <v>1.0720582092000001E-2</v>
      </c>
      <c r="BM37" s="316">
        <v>0.10869874861018636</v>
      </c>
      <c r="BN37" s="316">
        <v>0</v>
      </c>
      <c r="BO37" s="316">
        <v>0</v>
      </c>
      <c r="BP37" s="316">
        <v>0</v>
      </c>
      <c r="BQ37" s="316">
        <v>0.148879278231</v>
      </c>
      <c r="BR37" s="316">
        <v>0</v>
      </c>
      <c r="BS37" s="316">
        <v>0.12109153452009999</v>
      </c>
      <c r="BT37" s="316">
        <v>0</v>
      </c>
      <c r="BU37" s="316">
        <v>0</v>
      </c>
      <c r="BV37" s="316">
        <v>0</v>
      </c>
      <c r="BW37" s="316">
        <v>0.15389040782069999</v>
      </c>
      <c r="BX37" s="316">
        <v>0</v>
      </c>
      <c r="BY37" s="316">
        <v>0.12463368340039105</v>
      </c>
      <c r="BZ37" s="316">
        <v>0</v>
      </c>
      <c r="CA37" s="316">
        <v>0</v>
      </c>
      <c r="CB37" s="316">
        <v>0</v>
      </c>
      <c r="CC37" s="316">
        <v>0.15664583500388765</v>
      </c>
      <c r="CD37" s="316">
        <v>0</v>
      </c>
      <c r="CE37" s="317">
        <v>0</v>
      </c>
      <c r="CF37" s="316">
        <v>0</v>
      </c>
      <c r="CG37" s="316">
        <v>0</v>
      </c>
      <c r="CH37" s="316">
        <v>0</v>
      </c>
      <c r="CI37" s="316">
        <v>0</v>
      </c>
      <c r="CJ37" s="316">
        <v>7.5688763304832013E-2</v>
      </c>
      <c r="CK37" s="316">
        <v>0</v>
      </c>
      <c r="CL37" s="316">
        <v>0</v>
      </c>
      <c r="CM37" s="316">
        <v>0</v>
      </c>
      <c r="CN37" s="316">
        <v>0</v>
      </c>
      <c r="CO37" s="316">
        <v>0.16677519610808783</v>
      </c>
      <c r="CP37" s="318">
        <v>0</v>
      </c>
      <c r="CQ37" s="316">
        <v>0</v>
      </c>
      <c r="CR37" s="316">
        <v>0</v>
      </c>
      <c r="CS37" s="316">
        <v>0</v>
      </c>
      <c r="CT37" s="316">
        <v>0</v>
      </c>
      <c r="CU37" s="316">
        <v>0.16920595009597514</v>
      </c>
      <c r="CV37" s="316">
        <v>0</v>
      </c>
      <c r="CW37" s="316">
        <v>0</v>
      </c>
      <c r="CX37" s="316">
        <v>0</v>
      </c>
      <c r="CY37" s="316">
        <v>0</v>
      </c>
      <c r="CZ37" s="316">
        <v>0</v>
      </c>
      <c r="DA37" s="316">
        <v>0</v>
      </c>
      <c r="DB37" s="1498">
        <v>0.17497061175154366</v>
      </c>
      <c r="DC37" s="316">
        <v>0</v>
      </c>
      <c r="DD37" s="316">
        <v>0</v>
      </c>
      <c r="DE37" s="316">
        <v>0</v>
      </c>
      <c r="DF37" s="316">
        <v>0</v>
      </c>
      <c r="DG37" s="316">
        <v>0</v>
      </c>
      <c r="DH37" s="316">
        <v>0.18168287001217243</v>
      </c>
      <c r="DI37" s="316">
        <v>0</v>
      </c>
      <c r="DJ37" s="316">
        <v>0</v>
      </c>
      <c r="DK37" s="316">
        <v>0</v>
      </c>
      <c r="DL37" s="316">
        <v>0</v>
      </c>
      <c r="DM37" s="316">
        <v>0</v>
      </c>
      <c r="DN37" s="318">
        <v>0</v>
      </c>
      <c r="DO37" s="316">
        <v>0</v>
      </c>
      <c r="DP37" s="316">
        <v>0</v>
      </c>
      <c r="DQ37" s="316">
        <v>0</v>
      </c>
      <c r="DR37" s="316">
        <v>0</v>
      </c>
      <c r="DS37" s="316">
        <v>0.20000699097339683</v>
      </c>
      <c r="DT37" s="316">
        <v>0</v>
      </c>
      <c r="DU37" s="316">
        <v>0</v>
      </c>
      <c r="DV37" s="316">
        <v>0</v>
      </c>
      <c r="DW37" s="316">
        <v>0</v>
      </c>
      <c r="DX37" s="316">
        <v>0</v>
      </c>
      <c r="DY37" s="316">
        <v>0.20271680233122366</v>
      </c>
      <c r="DZ37" s="318">
        <v>0</v>
      </c>
      <c r="EA37" s="316">
        <v>0</v>
      </c>
      <c r="EB37" s="316">
        <v>0</v>
      </c>
      <c r="EC37" s="316">
        <v>0</v>
      </c>
      <c r="ED37" s="316">
        <v>0</v>
      </c>
      <c r="EE37" s="316">
        <v>0</v>
      </c>
      <c r="EF37" s="316">
        <v>0</v>
      </c>
      <c r="EG37" s="316">
        <v>0</v>
      </c>
      <c r="EH37" s="316">
        <v>0</v>
      </c>
      <c r="EI37" s="316">
        <v>0</v>
      </c>
      <c r="EJ37" s="316">
        <v>0</v>
      </c>
      <c r="EK37" s="316">
        <v>0</v>
      </c>
      <c r="EL37" s="318">
        <v>0</v>
      </c>
      <c r="EM37" s="1206">
        <v>0</v>
      </c>
      <c r="EN37" s="1206">
        <v>0</v>
      </c>
      <c r="EO37" s="1206">
        <v>0</v>
      </c>
      <c r="EP37" s="1206">
        <v>0</v>
      </c>
      <c r="EQ37" s="1206">
        <v>0.21458127057116363</v>
      </c>
      <c r="ER37" s="1206">
        <v>0</v>
      </c>
      <c r="ES37" s="1206">
        <v>0</v>
      </c>
      <c r="ET37" s="1206">
        <v>0</v>
      </c>
      <c r="EU37" s="1206">
        <v>0</v>
      </c>
      <c r="EV37" s="1206">
        <v>0</v>
      </c>
      <c r="EW37" s="1206">
        <v>0.21902283812940421</v>
      </c>
      <c r="EX37" s="1550">
        <v>0</v>
      </c>
      <c r="EY37" s="1206"/>
      <c r="EZ37" s="1206"/>
      <c r="FA37" s="1206"/>
      <c r="FB37" s="1206"/>
      <c r="FC37" s="1206"/>
      <c r="FD37" s="1206"/>
      <c r="FE37" s="1206"/>
      <c r="FF37" s="1206"/>
      <c r="FG37" s="1206"/>
      <c r="FH37" s="1206"/>
      <c r="FI37" s="1206"/>
      <c r="FJ37" s="1550"/>
      <c r="FK37" s="1206"/>
      <c r="FL37" s="1206"/>
      <c r="FM37" s="1206"/>
      <c r="FN37" s="1206"/>
      <c r="FO37" s="1206"/>
      <c r="FP37" s="1206"/>
      <c r="FQ37" s="316"/>
      <c r="FR37" s="316"/>
      <c r="FS37" s="316"/>
      <c r="FT37" s="316"/>
      <c r="FU37" s="316"/>
      <c r="FV37" s="316"/>
      <c r="FW37" s="316"/>
      <c r="FX37" s="316"/>
      <c r="FY37" s="316"/>
      <c r="FZ37" s="316"/>
      <c r="GA37" s="316"/>
      <c r="GB37" s="316"/>
      <c r="GC37" s="316"/>
      <c r="GD37" s="316"/>
      <c r="GE37" s="316"/>
      <c r="GF37" s="316"/>
      <c r="GG37" s="316"/>
      <c r="GH37" s="316"/>
      <c r="GI37" s="316"/>
      <c r="GJ37" s="316"/>
      <c r="GK37" s="316"/>
      <c r="GL37" s="316"/>
      <c r="GM37" s="316"/>
      <c r="GN37" s="316"/>
      <c r="GO37" s="316"/>
      <c r="GP37" s="316"/>
      <c r="GQ37" s="316"/>
      <c r="GR37" s="316"/>
      <c r="GS37" s="316"/>
      <c r="GT37" s="316"/>
      <c r="GU37" s="316"/>
      <c r="GV37" s="316"/>
      <c r="GW37" s="316"/>
      <c r="GX37" s="316"/>
      <c r="GY37" s="316"/>
      <c r="GZ37" s="316"/>
      <c r="HA37" s="316"/>
      <c r="HB37" s="316"/>
      <c r="HC37" s="316"/>
      <c r="HD37" s="316"/>
      <c r="HE37" s="316"/>
      <c r="HF37" s="316"/>
      <c r="HG37" s="316"/>
      <c r="HH37" s="316"/>
      <c r="HI37" s="316"/>
      <c r="HJ37" s="316"/>
      <c r="HK37" s="316"/>
      <c r="HL37" s="316"/>
      <c r="HM37" s="316"/>
      <c r="HV37" s="302">
        <f t="shared" si="11"/>
        <v>0.18168287001217243</v>
      </c>
      <c r="HW37" s="302">
        <f t="shared" si="12"/>
        <v>0</v>
      </c>
      <c r="HX37" s="302">
        <f t="shared" si="13"/>
        <v>0.18168287001217243</v>
      </c>
      <c r="HY37" s="302">
        <f t="shared" si="14"/>
        <v>0.20000699097339683</v>
      </c>
      <c r="KH37" s="303"/>
    </row>
    <row r="38" spans="1:294" outlineLevel="1">
      <c r="B38" s="117" t="s">
        <v>361</v>
      </c>
      <c r="D38" s="319" t="s">
        <v>380</v>
      </c>
      <c r="E38" s="316"/>
      <c r="F38" s="316"/>
      <c r="G38" s="316"/>
      <c r="H38" s="316"/>
      <c r="I38" s="316"/>
      <c r="J38" s="316"/>
      <c r="K38" s="316"/>
      <c r="L38" s="316"/>
      <c r="M38" s="316"/>
      <c r="N38" s="316"/>
      <c r="O38" s="316"/>
      <c r="P38" s="316"/>
      <c r="Q38" s="316"/>
      <c r="R38" s="316"/>
      <c r="S38" s="316"/>
      <c r="T38" s="316"/>
      <c r="U38" s="316"/>
      <c r="V38" s="316"/>
      <c r="W38" s="316"/>
      <c r="X38" s="316"/>
      <c r="Y38" s="316"/>
      <c r="Z38" s="316"/>
      <c r="AA38" s="316"/>
      <c r="AB38" s="316"/>
      <c r="AC38" s="316"/>
      <c r="AD38" s="316"/>
      <c r="AE38" s="316"/>
      <c r="AF38" s="316"/>
      <c r="AG38" s="316"/>
      <c r="AH38" s="316"/>
      <c r="AI38" s="316"/>
      <c r="AJ38" s="316"/>
      <c r="AK38" s="316"/>
      <c r="AL38" s="316"/>
      <c r="AM38" s="316"/>
      <c r="AN38" s="316"/>
      <c r="AO38" s="316">
        <v>0.15253256660000003</v>
      </c>
      <c r="AP38" s="316">
        <v>0</v>
      </c>
      <c r="AQ38" s="316">
        <v>5.2886115479999996E-2</v>
      </c>
      <c r="AR38" s="316">
        <v>0</v>
      </c>
      <c r="AS38" s="316">
        <v>0.12472229580000001</v>
      </c>
      <c r="AT38" s="316">
        <v>6.4650771199999998E-2</v>
      </c>
      <c r="AU38" s="316">
        <v>0.32093173349999998</v>
      </c>
      <c r="AV38" s="316">
        <v>0</v>
      </c>
      <c r="AW38" s="316">
        <v>5.3643517240000001E-2</v>
      </c>
      <c r="AX38" s="316">
        <v>0</v>
      </c>
      <c r="AY38" s="316">
        <v>0.13444943449999999</v>
      </c>
      <c r="AZ38" s="316">
        <v>6.9475253760000008E-2</v>
      </c>
      <c r="BA38" s="316">
        <v>0.33688554410000005</v>
      </c>
      <c r="BB38" s="316">
        <v>0</v>
      </c>
      <c r="BC38" s="316">
        <v>5.6834400680000001E-2</v>
      </c>
      <c r="BD38" s="316">
        <v>0</v>
      </c>
      <c r="BE38" s="316">
        <v>0.139078383</v>
      </c>
      <c r="BF38" s="316">
        <v>7.2714366719999993E-2</v>
      </c>
      <c r="BG38" s="316">
        <v>0.35587800080000004</v>
      </c>
      <c r="BH38" s="316">
        <v>0</v>
      </c>
      <c r="BI38" s="316">
        <v>5.6825440880000001E-2</v>
      </c>
      <c r="BJ38" s="316">
        <v>0</v>
      </c>
      <c r="BK38" s="316">
        <v>0.13563551925</v>
      </c>
      <c r="BL38" s="316">
        <v>7.0373880320000012E-2</v>
      </c>
      <c r="BM38" s="316">
        <v>0.34444725349999999</v>
      </c>
      <c r="BN38" s="316">
        <v>0</v>
      </c>
      <c r="BO38" s="316">
        <v>0.1905968778048</v>
      </c>
      <c r="BP38" s="316">
        <v>0</v>
      </c>
      <c r="BQ38" s="316">
        <v>0.13608738989999999</v>
      </c>
      <c r="BR38" s="316">
        <v>7.0143964160000002E-2</v>
      </c>
      <c r="BS38" s="316">
        <v>0.34332659199999999</v>
      </c>
      <c r="BT38" s="316">
        <v>0</v>
      </c>
      <c r="BU38" s="316">
        <v>0.19516369399199998</v>
      </c>
      <c r="BV38" s="316">
        <v>0</v>
      </c>
      <c r="BW38" s="316">
        <v>0.13988657634999999</v>
      </c>
      <c r="BX38" s="316">
        <v>7.332973056E-2</v>
      </c>
      <c r="BY38" s="316">
        <v>0.35924538358156</v>
      </c>
      <c r="BZ38" s="316">
        <v>0</v>
      </c>
      <c r="CA38" s="316">
        <v>0.19387480407094299</v>
      </c>
      <c r="CB38" s="316">
        <v>0.19578165737499997</v>
      </c>
      <c r="CC38" s="316">
        <v>0.13808148436985498</v>
      </c>
      <c r="CD38" s="316">
        <v>7.3653760044928004E-2</v>
      </c>
      <c r="CE38" s="317">
        <v>0.34853167734673601</v>
      </c>
      <c r="CF38" s="316">
        <v>0</v>
      </c>
      <c r="CG38" s="316">
        <v>0.201638140853871</v>
      </c>
      <c r="CH38" s="316">
        <v>0.206761823957887</v>
      </c>
      <c r="CI38" s="316">
        <v>0.14634253540970499</v>
      </c>
      <c r="CJ38" s="316">
        <v>0.17677517671172452</v>
      </c>
      <c r="CK38" s="316">
        <v>0.37089700934202396</v>
      </c>
      <c r="CL38" s="316">
        <v>0</v>
      </c>
      <c r="CM38" s="316">
        <v>0.21318909019719198</v>
      </c>
      <c r="CN38" s="316">
        <v>0.213752424657149</v>
      </c>
      <c r="CO38" s="316">
        <v>0.15316874540642</v>
      </c>
      <c r="CP38" s="318">
        <v>0.23559678939798004</v>
      </c>
      <c r="CQ38" s="316">
        <v>0.38500149893197205</v>
      </c>
      <c r="CR38" s="316">
        <v>0</v>
      </c>
      <c r="CS38" s="316">
        <v>0.21149375011510699</v>
      </c>
      <c r="CT38" s="316">
        <v>0.21075508321255598</v>
      </c>
      <c r="CU38" s="316">
        <v>0.14790563591266501</v>
      </c>
      <c r="CV38" s="316">
        <v>0.25822833660101996</v>
      </c>
      <c r="CW38" s="316">
        <v>0.30506121254082003</v>
      </c>
      <c r="CX38" s="316">
        <v>0</v>
      </c>
      <c r="CY38" s="316">
        <v>0.15242994585051897</v>
      </c>
      <c r="CZ38" s="316">
        <v>0.20239802761231704</v>
      </c>
      <c r="DA38" s="316">
        <v>0.14672966393782999</v>
      </c>
      <c r="DB38" s="1498">
        <v>0.25672739833505998</v>
      </c>
      <c r="DC38" s="316">
        <v>0.368876547</v>
      </c>
      <c r="DD38" s="316">
        <v>0</v>
      </c>
      <c r="DE38" s="316">
        <v>0.21120575</v>
      </c>
      <c r="DF38" s="316">
        <v>0.31011811049271726</v>
      </c>
      <c r="DG38" s="316">
        <v>0.14896677362943</v>
      </c>
      <c r="DH38" s="316">
        <v>0.26380707144161397</v>
      </c>
      <c r="DI38" s="316">
        <v>0.37993575394389595</v>
      </c>
      <c r="DJ38" s="316">
        <v>0</v>
      </c>
      <c r="DK38" s="316">
        <v>0.21966347298875397</v>
      </c>
      <c r="DL38" s="316">
        <v>0.32724736054603004</v>
      </c>
      <c r="DM38" s="316">
        <v>0.159864473117625</v>
      </c>
      <c r="DN38" s="318">
        <v>0.27929875337999999</v>
      </c>
      <c r="DO38" s="316">
        <v>0.39885741872000002</v>
      </c>
      <c r="DP38" s="316">
        <v>0</v>
      </c>
      <c r="DQ38" s="316">
        <v>0.23298698495999998</v>
      </c>
      <c r="DR38" s="316">
        <v>0.34089564661691063</v>
      </c>
      <c r="DS38" s="316">
        <v>0.16219620854999997</v>
      </c>
      <c r="DT38" s="316">
        <v>0.28002670391999995</v>
      </c>
      <c r="DU38" s="316">
        <v>0.3583839659092794</v>
      </c>
      <c r="DV38" s="316">
        <v>0</v>
      </c>
      <c r="DW38" s="316">
        <v>0.22939274407834656</v>
      </c>
      <c r="DX38" s="316">
        <v>0.23242945843246302</v>
      </c>
      <c r="DY38" s="316">
        <v>0.27141050729398097</v>
      </c>
      <c r="DZ38" s="318">
        <v>0.29181182465489652</v>
      </c>
      <c r="EA38" s="316">
        <v>0.42085643197448563</v>
      </c>
      <c r="EB38" s="316">
        <v>0</v>
      </c>
      <c r="EC38" s="316">
        <v>0</v>
      </c>
      <c r="ED38" s="316">
        <v>0.60313854588842863</v>
      </c>
      <c r="EE38" s="316">
        <v>0.17206899702116105</v>
      </c>
      <c r="EF38" s="316">
        <v>0.30282261033288743</v>
      </c>
      <c r="EG38" s="316">
        <v>0.43764504105279317</v>
      </c>
      <c r="EH38" s="316">
        <v>0</v>
      </c>
      <c r="EI38" s="316">
        <v>0.25418024657176796</v>
      </c>
      <c r="EJ38" s="316">
        <v>0.25706763419202128</v>
      </c>
      <c r="EK38" s="316">
        <v>0.17859772539678814</v>
      </c>
      <c r="EL38" s="318">
        <v>0.30997545201240118</v>
      </c>
      <c r="EM38" s="1206">
        <v>0.44019497307574706</v>
      </c>
      <c r="EN38" s="1206">
        <v>0</v>
      </c>
      <c r="EO38" s="1206">
        <v>0.24989694274402965</v>
      </c>
      <c r="EP38" s="1206">
        <v>0.36798252598845727</v>
      </c>
      <c r="EQ38" s="1206">
        <v>0.17588468263863968</v>
      </c>
      <c r="ER38" s="1206">
        <v>0.30932771450470675</v>
      </c>
      <c r="ES38" s="1206">
        <v>0.44567177002092262</v>
      </c>
      <c r="ET38" s="1206">
        <v>0</v>
      </c>
      <c r="EU38" s="1206">
        <v>0.2538413448965377</v>
      </c>
      <c r="EV38" s="1206">
        <v>0.37295936216598241</v>
      </c>
      <c r="EW38" s="1206">
        <v>0.18016263001178051</v>
      </c>
      <c r="EX38" s="1550">
        <v>0.31576543627962983</v>
      </c>
      <c r="EY38" s="1206"/>
      <c r="EZ38" s="1206"/>
      <c r="FA38" s="1206"/>
      <c r="FB38" s="1206"/>
      <c r="FC38" s="1206"/>
      <c r="FD38" s="1206"/>
      <c r="FE38" s="1206"/>
      <c r="FF38" s="1206"/>
      <c r="FG38" s="1206"/>
      <c r="FH38" s="1206"/>
      <c r="FI38" s="1206"/>
      <c r="FJ38" s="1550"/>
      <c r="FK38" s="1206"/>
      <c r="FL38" s="1206"/>
      <c r="FM38" s="1206"/>
      <c r="FN38" s="1206"/>
      <c r="FO38" s="1206"/>
      <c r="FP38" s="1206"/>
      <c r="FQ38" s="316"/>
      <c r="FR38" s="316"/>
      <c r="FS38" s="316"/>
      <c r="FT38" s="316"/>
      <c r="FU38" s="316"/>
      <c r="FV38" s="316"/>
      <c r="FW38" s="316"/>
      <c r="FX38" s="316"/>
      <c r="FY38" s="316"/>
      <c r="FZ38" s="316"/>
      <c r="GA38" s="316"/>
      <c r="GB38" s="316"/>
      <c r="GC38" s="316"/>
      <c r="GD38" s="316"/>
      <c r="GE38" s="316"/>
      <c r="GF38" s="316"/>
      <c r="GG38" s="316"/>
      <c r="GH38" s="316"/>
      <c r="GI38" s="316"/>
      <c r="GJ38" s="316"/>
      <c r="GK38" s="316"/>
      <c r="GL38" s="316"/>
      <c r="GM38" s="316"/>
      <c r="GN38" s="316"/>
      <c r="GO38" s="316"/>
      <c r="GP38" s="316"/>
      <c r="GQ38" s="316"/>
      <c r="GR38" s="316"/>
      <c r="GS38" s="316"/>
      <c r="GT38" s="316"/>
      <c r="GU38" s="316"/>
      <c r="GV38" s="316"/>
      <c r="GW38" s="316"/>
      <c r="GX38" s="316"/>
      <c r="GY38" s="316"/>
      <c r="GZ38" s="316"/>
      <c r="HA38" s="316"/>
      <c r="HB38" s="316"/>
      <c r="HC38" s="316"/>
      <c r="HD38" s="316"/>
      <c r="HE38" s="316"/>
      <c r="HF38" s="316"/>
      <c r="HG38" s="316"/>
      <c r="HH38" s="316"/>
      <c r="HI38" s="316"/>
      <c r="HJ38" s="316"/>
      <c r="HK38" s="316"/>
      <c r="HL38" s="316"/>
      <c r="HM38" s="316"/>
      <c r="HV38" s="302">
        <f t="shared" si="11"/>
        <v>1.3029742525637613</v>
      </c>
      <c r="HW38" s="302">
        <f t="shared" si="12"/>
        <v>1.3660098139763051</v>
      </c>
      <c r="HX38" s="302">
        <f t="shared" si="13"/>
        <v>2.6689840665400664</v>
      </c>
      <c r="HY38" s="302">
        <f t="shared" si="14"/>
        <v>1.4149629627669105</v>
      </c>
      <c r="KH38" s="303"/>
    </row>
    <row r="39" spans="1:294" outlineLevel="1">
      <c r="B39" s="117" t="s">
        <v>361</v>
      </c>
      <c r="D39" s="319" t="s">
        <v>381</v>
      </c>
      <c r="E39" s="316"/>
      <c r="F39" s="316"/>
      <c r="G39" s="316"/>
      <c r="H39" s="316"/>
      <c r="I39" s="316"/>
      <c r="J39" s="316"/>
      <c r="K39" s="316"/>
      <c r="L39" s="316"/>
      <c r="M39" s="316"/>
      <c r="N39" s="316"/>
      <c r="O39" s="316"/>
      <c r="P39" s="316"/>
      <c r="Q39" s="316"/>
      <c r="R39" s="316"/>
      <c r="S39" s="316"/>
      <c r="T39" s="316"/>
      <c r="U39" s="316"/>
      <c r="V39" s="316"/>
      <c r="W39" s="316"/>
      <c r="X39" s="316"/>
      <c r="Y39" s="316"/>
      <c r="Z39" s="316"/>
      <c r="AA39" s="316"/>
      <c r="AB39" s="316"/>
      <c r="AC39" s="316"/>
      <c r="AD39" s="316"/>
      <c r="AE39" s="316"/>
      <c r="AF39" s="316"/>
      <c r="AG39" s="316"/>
      <c r="AH39" s="316"/>
      <c r="AI39" s="316"/>
      <c r="AJ39" s="316"/>
      <c r="AK39" s="316"/>
      <c r="AL39" s="316"/>
      <c r="AM39" s="316"/>
      <c r="AN39" s="316"/>
      <c r="AO39" s="316">
        <v>7.2710600147999991E-3</v>
      </c>
      <c r="AP39" s="316">
        <v>4.5415558513199991E-2</v>
      </c>
      <c r="AQ39" s="316">
        <v>6.7469150548499987E-2</v>
      </c>
      <c r="AR39" s="316">
        <v>1.6108738594800002E-2</v>
      </c>
      <c r="AS39" s="316">
        <v>0.70529629942766003</v>
      </c>
      <c r="AT39" s="316">
        <v>0.42617804545719995</v>
      </c>
      <c r="AU39" s="316">
        <v>6.4154540575999995E-3</v>
      </c>
      <c r="AV39" s="316">
        <v>4.4247888205200002E-2</v>
      </c>
      <c r="AW39" s="316">
        <v>6.4500525178799992E-2</v>
      </c>
      <c r="AX39" s="316">
        <v>1.7141180239799998E-2</v>
      </c>
      <c r="AY39" s="316">
        <v>3.7106884020689991E-2</v>
      </c>
      <c r="AZ39" s="316">
        <v>0.15321890226049997</v>
      </c>
      <c r="BA39" s="316">
        <v>6.9748421191999999E-3</v>
      </c>
      <c r="BB39" s="316">
        <v>4.7706809008600005E-2</v>
      </c>
      <c r="BC39" s="316">
        <v>7.248339374429999E-2</v>
      </c>
      <c r="BD39" s="316">
        <v>1.8016789721399997E-2</v>
      </c>
      <c r="BE39" s="316">
        <v>3.90720973084E-2</v>
      </c>
      <c r="BF39" s="316">
        <v>0.99973722806249998</v>
      </c>
      <c r="BG39" s="316">
        <v>7.8364663019999982E-3</v>
      </c>
      <c r="BH39" s="316">
        <v>5.0298772507100006E-2</v>
      </c>
      <c r="BI39" s="316">
        <v>7.6152100260000008E-2</v>
      </c>
      <c r="BJ39" s="316">
        <v>1.73078042865E-2</v>
      </c>
      <c r="BK39" s="316">
        <v>3.8055534307999996E-2</v>
      </c>
      <c r="BL39" s="316">
        <v>0.15149236634720001</v>
      </c>
      <c r="BM39" s="316">
        <v>7.0446628349999998E-3</v>
      </c>
      <c r="BN39" s="316">
        <v>4.7420334353700015E-2</v>
      </c>
      <c r="BO39" s="316">
        <v>7.1712622704000015E-2</v>
      </c>
      <c r="BP39" s="316">
        <v>1.67284870398E-2</v>
      </c>
      <c r="BQ39" s="316">
        <v>3.6473476888199997E-2</v>
      </c>
      <c r="BR39" s="316">
        <v>0.88270971781660001</v>
      </c>
      <c r="BS39" s="316">
        <v>6.9044574009999998E-3</v>
      </c>
      <c r="BT39" s="316">
        <v>4.5162071827200001E-2</v>
      </c>
      <c r="BU39" s="316">
        <v>6.8225367845600016E-2</v>
      </c>
      <c r="BV39" s="316">
        <v>1.7088354792000004E-2</v>
      </c>
      <c r="BW39" s="316">
        <v>3.7526260302299996E-2</v>
      </c>
      <c r="BX39" s="316">
        <v>0.16034680031199999</v>
      </c>
      <c r="BY39" s="316">
        <v>7.6430867889419997E-3</v>
      </c>
      <c r="BZ39" s="316">
        <v>5.040550427099106E-2</v>
      </c>
      <c r="CA39" s="316">
        <v>7.3631789664495559E-2</v>
      </c>
      <c r="CB39" s="316">
        <v>1.7647362855121317E-2</v>
      </c>
      <c r="CC39" s="316">
        <v>3.8948420698469405E-2</v>
      </c>
      <c r="CD39" s="316">
        <v>0.99184520269815468</v>
      </c>
      <c r="CE39" s="317">
        <v>7.6397973776723988E-3</v>
      </c>
      <c r="CF39" s="316">
        <v>5.1865642008819227E-2</v>
      </c>
      <c r="CG39" s="316">
        <v>7.6824185580708054E-2</v>
      </c>
      <c r="CH39" s="316">
        <v>1.9075973806224E-2</v>
      </c>
      <c r="CI39" s="316">
        <v>4.2317036228318873E-2</v>
      </c>
      <c r="CJ39" s="316">
        <v>0</v>
      </c>
      <c r="CK39" s="316">
        <v>8.4837637189753602E-3</v>
      </c>
      <c r="CL39" s="316">
        <v>5.5732809866689124E-2</v>
      </c>
      <c r="CM39" s="316">
        <v>8.2763276184412538E-2</v>
      </c>
      <c r="CN39" s="316">
        <v>2.0029569251531178E-2</v>
      </c>
      <c r="CO39" s="316">
        <v>4.4515471269526603E-2</v>
      </c>
      <c r="CP39" s="318">
        <v>1.1019007130801717</v>
      </c>
      <c r="CQ39" s="316">
        <v>8.5888839263660796E-3</v>
      </c>
      <c r="CR39" s="316">
        <v>5.5403948276812588E-2</v>
      </c>
      <c r="CS39" s="316">
        <v>8.0667529655178899E-2</v>
      </c>
      <c r="CT39" s="316">
        <v>1.860369584279228E-2</v>
      </c>
      <c r="CU39" s="316">
        <v>4.1559748289703838E-2</v>
      </c>
      <c r="CV39" s="316">
        <v>0.1707175640345156</v>
      </c>
      <c r="CW39" s="316">
        <v>7.7535362664613488E-3</v>
      </c>
      <c r="CX39" s="316">
        <v>4.8800869057949135E-2</v>
      </c>
      <c r="CY39" s="316">
        <v>7.1124551447077813E-2</v>
      </c>
      <c r="CZ39" s="316">
        <v>1.6244705525502796E-2</v>
      </c>
      <c r="DA39" s="316">
        <v>3.9214918154772613E-2</v>
      </c>
      <c r="DB39" s="1498">
        <v>0.94654672903454562</v>
      </c>
      <c r="DC39" s="316">
        <v>7.5321553618681999E-3</v>
      </c>
      <c r="DD39" s="316">
        <v>4.9130964085569648E-2</v>
      </c>
      <c r="DE39" s="316">
        <v>7.3956599838067308E-2</v>
      </c>
      <c r="DF39" s="316">
        <v>1.8194427989999998E-2</v>
      </c>
      <c r="DG39" s="316">
        <v>3.860677429E-2</v>
      </c>
      <c r="DH39" s="316">
        <v>0.16301502700000001</v>
      </c>
      <c r="DI39" s="316">
        <v>7.61252724362788E-3</v>
      </c>
      <c r="DJ39" s="316">
        <v>5.2230806138146027E-2</v>
      </c>
      <c r="DK39" s="316">
        <v>7.527742218644648E-2</v>
      </c>
      <c r="DL39" s="316">
        <v>1.8788693631716251E-2</v>
      </c>
      <c r="DM39" s="316">
        <v>4.3034172216132351E-2</v>
      </c>
      <c r="DN39" s="318">
        <v>0.17535801121262887</v>
      </c>
      <c r="DO39" s="316">
        <v>8.1096583336919999E-3</v>
      </c>
      <c r="DP39" s="316">
        <v>5.4739512278144282E-2</v>
      </c>
      <c r="DQ39" s="316">
        <v>8.2274635221279299E-2</v>
      </c>
      <c r="DR39" s="316">
        <v>1.9517442883861584E-2</v>
      </c>
      <c r="DS39" s="316">
        <v>4.2877739811698637E-2</v>
      </c>
      <c r="DT39" s="316">
        <v>0.17293152081705962</v>
      </c>
      <c r="DU39" s="316">
        <v>8.0617926688679991E-3</v>
      </c>
      <c r="DV39" s="316">
        <v>5.3660630180701115E-2</v>
      </c>
      <c r="DW39" s="316">
        <v>8.0017292500992016E-2</v>
      </c>
      <c r="DX39" s="316">
        <v>1.9285618641511501E-2</v>
      </c>
      <c r="DY39" s="316">
        <v>4.4314308796291502E-2</v>
      </c>
      <c r="DZ39" s="318">
        <v>0.18757827730886098</v>
      </c>
      <c r="EA39" s="316">
        <v>8.9552796568032004E-3</v>
      </c>
      <c r="EB39" s="316">
        <v>6.0971156078098915E-2</v>
      </c>
      <c r="EC39" s="316">
        <v>9.1004338656000008E-2</v>
      </c>
      <c r="ED39" s="316">
        <v>2.1454756803700101E-2</v>
      </c>
      <c r="EE39" s="316">
        <v>4.8387924957650194E-2</v>
      </c>
      <c r="EF39" s="316">
        <v>0.19974909925171808</v>
      </c>
      <c r="EG39" s="316">
        <v>1.1013374463771281E-2</v>
      </c>
      <c r="EH39" s="316">
        <v>7.9532264764167512E-2</v>
      </c>
      <c r="EI39" s="316">
        <v>0.11309195508770994</v>
      </c>
      <c r="EJ39" s="316">
        <v>2.315573850159185E-2</v>
      </c>
      <c r="EK39" s="316">
        <v>5.0739999973355952E-2</v>
      </c>
      <c r="EL39" s="318">
        <v>0.2054607282231091</v>
      </c>
      <c r="EM39" s="1206">
        <v>9.5035419559667978E-3</v>
      </c>
      <c r="EN39" s="1206">
        <v>6.1483538782773905E-2</v>
      </c>
      <c r="EO39" s="1206">
        <v>9.3895499709118799E-2</v>
      </c>
      <c r="EP39" s="1206">
        <v>2.2277759446254479E-2</v>
      </c>
      <c r="EQ39" s="1206">
        <v>0</v>
      </c>
      <c r="ER39" s="1206">
        <v>0.20346838770586964</v>
      </c>
      <c r="ES39" s="1206">
        <v>9.5900531485996511E-3</v>
      </c>
      <c r="ET39" s="1206">
        <v>6.253031661754177E-2</v>
      </c>
      <c r="EU39" s="1206">
        <v>9.3548371074757219E-2</v>
      </c>
      <c r="EV39" s="1206">
        <v>2.2278795214100318E-2</v>
      </c>
      <c r="EW39" s="1206">
        <v>0</v>
      </c>
      <c r="EX39" s="1550">
        <v>0.20744093115547532</v>
      </c>
      <c r="EY39" s="1206"/>
      <c r="EZ39" s="1206"/>
      <c r="FA39" s="1206"/>
      <c r="FB39" s="1206"/>
      <c r="FC39" s="1206"/>
      <c r="FD39" s="1206"/>
      <c r="FE39" s="1206"/>
      <c r="FF39" s="1206"/>
      <c r="FG39" s="1206"/>
      <c r="FH39" s="1206"/>
      <c r="FI39" s="1206"/>
      <c r="FJ39" s="1550"/>
      <c r="FK39" s="1206"/>
      <c r="FL39" s="1206"/>
      <c r="FM39" s="1206"/>
      <c r="FN39" s="1206"/>
      <c r="FO39" s="1206"/>
      <c r="FP39" s="1206"/>
      <c r="FQ39" s="316"/>
      <c r="FR39" s="316"/>
      <c r="FS39" s="316"/>
      <c r="FT39" s="316"/>
      <c r="FU39" s="316"/>
      <c r="FV39" s="316"/>
      <c r="FW39" s="316"/>
      <c r="FX39" s="316"/>
      <c r="FY39" s="316"/>
      <c r="FZ39" s="316"/>
      <c r="GA39" s="316"/>
      <c r="GB39" s="316"/>
      <c r="GC39" s="316"/>
      <c r="GD39" s="316"/>
      <c r="GE39" s="316"/>
      <c r="GF39" s="316"/>
      <c r="GG39" s="316"/>
      <c r="GH39" s="316"/>
      <c r="GI39" s="316"/>
      <c r="GJ39" s="316"/>
      <c r="GK39" s="316"/>
      <c r="GL39" s="316"/>
      <c r="GM39" s="316"/>
      <c r="GN39" s="316"/>
      <c r="GO39" s="316"/>
      <c r="GP39" s="316"/>
      <c r="GQ39" s="316"/>
      <c r="GR39" s="316"/>
      <c r="GS39" s="316"/>
      <c r="GT39" s="316"/>
      <c r="GU39" s="316"/>
      <c r="GV39" s="316"/>
      <c r="GW39" s="316"/>
      <c r="GX39" s="316"/>
      <c r="GY39" s="316"/>
      <c r="GZ39" s="316"/>
      <c r="HA39" s="316"/>
      <c r="HB39" s="316"/>
      <c r="HC39" s="316"/>
      <c r="HD39" s="316"/>
      <c r="HE39" s="316"/>
      <c r="HF39" s="316"/>
      <c r="HG39" s="316"/>
      <c r="HH39" s="316"/>
      <c r="HI39" s="316"/>
      <c r="HJ39" s="316"/>
      <c r="HK39" s="316"/>
      <c r="HL39" s="316"/>
      <c r="HM39" s="316"/>
      <c r="HV39" s="302">
        <f t="shared" si="11"/>
        <v>0.35043594856550514</v>
      </c>
      <c r="HW39" s="302">
        <f t="shared" si="12"/>
        <v>0.37230163262869787</v>
      </c>
      <c r="HX39" s="302">
        <f t="shared" si="13"/>
        <v>0.72273758119420295</v>
      </c>
      <c r="HY39" s="302">
        <f t="shared" si="14"/>
        <v>0.38045050934573543</v>
      </c>
      <c r="KH39" s="303"/>
    </row>
    <row r="40" spans="1:294" outlineLevel="1">
      <c r="B40" s="117" t="s">
        <v>361</v>
      </c>
      <c r="D40" s="319" t="s">
        <v>382</v>
      </c>
      <c r="E40" s="316"/>
      <c r="F40" s="316"/>
      <c r="G40" s="316"/>
      <c r="H40" s="316"/>
      <c r="I40" s="316"/>
      <c r="J40" s="316"/>
      <c r="K40" s="316"/>
      <c r="L40" s="316"/>
      <c r="M40" s="316"/>
      <c r="N40" s="316"/>
      <c r="O40" s="316"/>
      <c r="P40" s="316"/>
      <c r="Q40" s="316"/>
      <c r="R40" s="316"/>
      <c r="S40" s="316"/>
      <c r="T40" s="316"/>
      <c r="U40" s="316"/>
      <c r="V40" s="316"/>
      <c r="W40" s="316"/>
      <c r="X40" s="316"/>
      <c r="Y40" s="316"/>
      <c r="Z40" s="316"/>
      <c r="AA40" s="316"/>
      <c r="AB40" s="316"/>
      <c r="AC40" s="316"/>
      <c r="AD40" s="316"/>
      <c r="AE40" s="316"/>
      <c r="AF40" s="316"/>
      <c r="AG40" s="316"/>
      <c r="AH40" s="316"/>
      <c r="AI40" s="316"/>
      <c r="AJ40" s="316"/>
      <c r="AK40" s="316"/>
      <c r="AL40" s="316"/>
      <c r="AM40" s="316"/>
      <c r="AN40" s="316"/>
      <c r="AO40" s="316">
        <v>0</v>
      </c>
      <c r="AP40" s="316">
        <v>0</v>
      </c>
      <c r="AQ40" s="316">
        <v>0</v>
      </c>
      <c r="AR40" s="316">
        <v>0</v>
      </c>
      <c r="AS40" s="316">
        <v>0</v>
      </c>
      <c r="AT40" s="316">
        <v>0</v>
      </c>
      <c r="AU40" s="316">
        <v>0</v>
      </c>
      <c r="AV40" s="316">
        <v>0</v>
      </c>
      <c r="AW40" s="316">
        <v>0</v>
      </c>
      <c r="AX40" s="316">
        <v>0</v>
      </c>
      <c r="AY40" s="316">
        <v>0</v>
      </c>
      <c r="AZ40" s="316">
        <v>0</v>
      </c>
      <c r="BA40" s="316">
        <v>0</v>
      </c>
      <c r="BB40" s="316">
        <v>0</v>
      </c>
      <c r="BC40" s="316">
        <v>1.7466562000000001E-2</v>
      </c>
      <c r="BD40" s="316">
        <v>1.8254776E-2</v>
      </c>
      <c r="BE40" s="316">
        <v>0</v>
      </c>
      <c r="BF40" s="316">
        <v>0.26779142900000003</v>
      </c>
      <c r="BG40" s="316">
        <v>0</v>
      </c>
      <c r="BH40" s="316">
        <v>0</v>
      </c>
      <c r="BI40" s="316">
        <v>1.7441808E-2</v>
      </c>
      <c r="BJ40" s="316">
        <v>1.8258893000000002E-2</v>
      </c>
      <c r="BK40" s="316">
        <v>0.26964776252850003</v>
      </c>
      <c r="BL40" s="316">
        <v>0</v>
      </c>
      <c r="BM40" s="316">
        <v>0</v>
      </c>
      <c r="BN40" s="316">
        <v>0</v>
      </c>
      <c r="BO40" s="316">
        <v>1.7639549926200003E-2</v>
      </c>
      <c r="BP40" s="316">
        <v>1.8448437000000002E-2</v>
      </c>
      <c r="BQ40" s="316">
        <v>0.272592373</v>
      </c>
      <c r="BR40" s="316">
        <v>0</v>
      </c>
      <c r="BS40" s="316">
        <v>0</v>
      </c>
      <c r="BT40" s="316">
        <v>0</v>
      </c>
      <c r="BU40" s="316">
        <v>0</v>
      </c>
      <c r="BV40" s="316">
        <v>1.9026319E-2</v>
      </c>
      <c r="BW40" s="316">
        <v>0.281766087</v>
      </c>
      <c r="BX40" s="316">
        <v>0</v>
      </c>
      <c r="BY40" s="316">
        <v>0</v>
      </c>
      <c r="BZ40" s="316">
        <v>1.8452545717707779E-2</v>
      </c>
      <c r="CA40" s="316">
        <v>0</v>
      </c>
      <c r="CB40" s="316">
        <v>1.9386222452999997E-2</v>
      </c>
      <c r="CC40" s="316">
        <v>0.28681091873998232</v>
      </c>
      <c r="CD40" s="316">
        <v>0</v>
      </c>
      <c r="CE40" s="317">
        <v>0</v>
      </c>
      <c r="CF40" s="316">
        <v>0</v>
      </c>
      <c r="CG40" s="316">
        <v>0</v>
      </c>
      <c r="CH40" s="316">
        <v>3.9384361394723517E-2</v>
      </c>
      <c r="CI40" s="316">
        <v>0</v>
      </c>
      <c r="CJ40" s="316">
        <v>0.41481871378064999</v>
      </c>
      <c r="CK40" s="316">
        <v>0</v>
      </c>
      <c r="CL40" s="316">
        <v>1.9680527660775781E-2</v>
      </c>
      <c r="CM40" s="316">
        <v>0</v>
      </c>
      <c r="CN40" s="316">
        <v>2.064228215462028E-2</v>
      </c>
      <c r="CO40" s="316">
        <v>0.30535728714149518</v>
      </c>
      <c r="CP40" s="318">
        <v>0</v>
      </c>
      <c r="CQ40" s="316">
        <v>0</v>
      </c>
      <c r="CR40" s="316">
        <v>0</v>
      </c>
      <c r="CS40" s="316">
        <v>1.99600163082954E-2</v>
      </c>
      <c r="CT40" s="316">
        <v>2.09550084522525E-2</v>
      </c>
      <c r="CU40" s="316">
        <v>0.30980787968025958</v>
      </c>
      <c r="CV40" s="316">
        <v>0</v>
      </c>
      <c r="CW40" s="316">
        <v>0</v>
      </c>
      <c r="CX40" s="316">
        <v>0</v>
      </c>
      <c r="CY40" s="316">
        <v>2.0595290408447459E-2</v>
      </c>
      <c r="CZ40" s="316">
        <v>2.1596167303579439E-2</v>
      </c>
      <c r="DA40" s="316">
        <v>0.32012953412150663</v>
      </c>
      <c r="DB40" s="1498">
        <v>0</v>
      </c>
      <c r="DC40" s="316">
        <v>0</v>
      </c>
      <c r="DD40" s="316">
        <v>0</v>
      </c>
      <c r="DE40" s="316">
        <v>2.1178250999999999E-2</v>
      </c>
      <c r="DF40" s="316">
        <v>2.2369699640000001E-2</v>
      </c>
      <c r="DG40" s="316">
        <v>0</v>
      </c>
      <c r="DH40" s="316">
        <v>0.33265251429260612</v>
      </c>
      <c r="DI40" s="316">
        <v>0</v>
      </c>
      <c r="DJ40" s="316">
        <v>0</v>
      </c>
      <c r="DK40" s="316">
        <v>2.2233530490567602E-2</v>
      </c>
      <c r="DL40" s="316">
        <v>0</v>
      </c>
      <c r="DM40" s="316">
        <v>0.34866215761874608</v>
      </c>
      <c r="DN40" s="318">
        <v>0</v>
      </c>
      <c r="DO40" s="316">
        <v>0</v>
      </c>
      <c r="DP40" s="316">
        <v>0</v>
      </c>
      <c r="DQ40" s="316">
        <v>2.35441998265392E-2</v>
      </c>
      <c r="DR40" s="316">
        <v>2.4726341478666061E-2</v>
      </c>
      <c r="DS40" s="316">
        <v>0</v>
      </c>
      <c r="DT40" s="316">
        <v>0.36629289770758677</v>
      </c>
      <c r="DU40" s="316">
        <v>0</v>
      </c>
      <c r="DV40" s="316">
        <v>2.4018772855204679E-2</v>
      </c>
      <c r="DW40" s="316">
        <v>0</v>
      </c>
      <c r="DX40" s="316">
        <v>0</v>
      </c>
      <c r="DY40" s="316">
        <v>0.396311324555295</v>
      </c>
      <c r="DZ40" s="318">
        <v>0</v>
      </c>
      <c r="EA40" s="316">
        <v>0</v>
      </c>
      <c r="EB40" s="316">
        <v>0</v>
      </c>
      <c r="EC40" s="316">
        <v>2.4336112362182759E-2</v>
      </c>
      <c r="ED40" s="316">
        <v>2.5538059601863561E-2</v>
      </c>
      <c r="EE40" s="316">
        <v>0.37798751277899201</v>
      </c>
      <c r="EF40" s="316">
        <v>0.36629289770758677</v>
      </c>
      <c r="EG40" s="316">
        <v>0</v>
      </c>
      <c r="EH40" s="316">
        <v>2.477976963098814E-2</v>
      </c>
      <c r="EI40" s="316">
        <v>0</v>
      </c>
      <c r="EJ40" s="316">
        <v>2.5980460060087984E-2</v>
      </c>
      <c r="EK40" s="316">
        <v>0</v>
      </c>
      <c r="EL40" s="318">
        <v>0.38434619470992687</v>
      </c>
      <c r="EM40" s="1206">
        <v>0</v>
      </c>
      <c r="EN40" s="1206">
        <v>2.5222648019573402E-2</v>
      </c>
      <c r="EO40" s="1206">
        <v>0</v>
      </c>
      <c r="EP40" s="1206">
        <v>2.651844083988834E-2</v>
      </c>
      <c r="EQ40" s="1206">
        <v>0.39291001621925914</v>
      </c>
      <c r="ER40" s="1206">
        <v>0</v>
      </c>
      <c r="ES40" s="1206">
        <v>0</v>
      </c>
      <c r="ET40" s="1206">
        <v>0</v>
      </c>
      <c r="EU40" s="1206">
        <v>2.5822745611982698E-2</v>
      </c>
      <c r="EV40" s="1206">
        <v>0</v>
      </c>
      <c r="EW40" s="1206">
        <v>0.42794734935121875</v>
      </c>
      <c r="EX40" s="1550">
        <v>0</v>
      </c>
      <c r="EY40" s="1206"/>
      <c r="EZ40" s="1206"/>
      <c r="FA40" s="1206"/>
      <c r="FB40" s="1206"/>
      <c r="FC40" s="1206"/>
      <c r="FD40" s="1206"/>
      <c r="FE40" s="1206"/>
      <c r="FF40" s="1206"/>
      <c r="FG40" s="1206"/>
      <c r="FH40" s="1206"/>
      <c r="FI40" s="1206"/>
      <c r="FJ40" s="1550"/>
      <c r="FK40" s="1206"/>
      <c r="FL40" s="1206"/>
      <c r="FM40" s="1206"/>
      <c r="FN40" s="1206"/>
      <c r="FO40" s="1206"/>
      <c r="FP40" s="1206"/>
      <c r="FQ40" s="316"/>
      <c r="FR40" s="316"/>
      <c r="FS40" s="316"/>
      <c r="FT40" s="316"/>
      <c r="FU40" s="316"/>
      <c r="FV40" s="316"/>
      <c r="FW40" s="316"/>
      <c r="FX40" s="316"/>
      <c r="FY40" s="316"/>
      <c r="FZ40" s="316"/>
      <c r="GA40" s="316"/>
      <c r="GB40" s="316"/>
      <c r="GC40" s="316"/>
      <c r="GD40" s="316"/>
      <c r="GE40" s="316"/>
      <c r="GF40" s="316"/>
      <c r="GG40" s="316"/>
      <c r="GH40" s="316"/>
      <c r="GI40" s="316"/>
      <c r="GJ40" s="316"/>
      <c r="GK40" s="316"/>
      <c r="GL40" s="316"/>
      <c r="GM40" s="316"/>
      <c r="GN40" s="316"/>
      <c r="GO40" s="316"/>
      <c r="GP40" s="316"/>
      <c r="GQ40" s="316"/>
      <c r="GR40" s="316"/>
      <c r="GS40" s="316"/>
      <c r="GT40" s="316"/>
      <c r="GU40" s="316"/>
      <c r="GV40" s="316"/>
      <c r="GW40" s="316"/>
      <c r="GX40" s="316"/>
      <c r="GY40" s="316"/>
      <c r="GZ40" s="316"/>
      <c r="HA40" s="316"/>
      <c r="HB40" s="316"/>
      <c r="HC40" s="316"/>
      <c r="HD40" s="316"/>
      <c r="HE40" s="316"/>
      <c r="HF40" s="316"/>
      <c r="HG40" s="316"/>
      <c r="HH40" s="316"/>
      <c r="HI40" s="316"/>
      <c r="HJ40" s="316"/>
      <c r="HK40" s="316"/>
      <c r="HL40" s="316"/>
      <c r="HM40" s="316"/>
      <c r="HV40" s="302">
        <f t="shared" si="11"/>
        <v>0.37620046493260612</v>
      </c>
      <c r="HW40" s="302">
        <f t="shared" si="12"/>
        <v>0.37089568810931367</v>
      </c>
      <c r="HX40" s="302">
        <f t="shared" si="13"/>
        <v>0.74709615304191979</v>
      </c>
      <c r="HY40" s="302">
        <f t="shared" si="14"/>
        <v>0.41456343901279202</v>
      </c>
      <c r="KH40" s="303"/>
    </row>
    <row r="41" spans="1:294" outlineLevel="1">
      <c r="B41" s="117" t="s">
        <v>361</v>
      </c>
      <c r="D41" s="319" t="s">
        <v>383</v>
      </c>
      <c r="E41" s="316"/>
      <c r="F41" s="316"/>
      <c r="G41" s="316"/>
      <c r="H41" s="316"/>
      <c r="I41" s="316"/>
      <c r="J41" s="316"/>
      <c r="K41" s="316"/>
      <c r="L41" s="316"/>
      <c r="M41" s="316"/>
      <c r="N41" s="316"/>
      <c r="O41" s="316"/>
      <c r="P41" s="316"/>
      <c r="Q41" s="316"/>
      <c r="R41" s="316"/>
      <c r="S41" s="316"/>
      <c r="T41" s="316"/>
      <c r="U41" s="316"/>
      <c r="V41" s="316"/>
      <c r="W41" s="316"/>
      <c r="X41" s="316"/>
      <c r="Y41" s="316"/>
      <c r="Z41" s="316"/>
      <c r="AA41" s="316"/>
      <c r="AB41" s="316"/>
      <c r="AC41" s="316"/>
      <c r="AD41" s="316"/>
      <c r="AE41" s="316"/>
      <c r="AF41" s="316"/>
      <c r="AG41" s="316"/>
      <c r="AH41" s="316"/>
      <c r="AI41" s="316"/>
      <c r="AJ41" s="316"/>
      <c r="AK41" s="316"/>
      <c r="AL41" s="316"/>
      <c r="AM41" s="316"/>
      <c r="AN41" s="316"/>
      <c r="AO41" s="316">
        <v>0.15309178880000002</v>
      </c>
      <c r="AP41" s="316">
        <v>0</v>
      </c>
      <c r="AQ41" s="316">
        <v>0</v>
      </c>
      <c r="AR41" s="316">
        <v>0.10873878299999999</v>
      </c>
      <c r="AS41" s="316">
        <v>0</v>
      </c>
      <c r="AT41" s="316">
        <v>0.26711014489999996</v>
      </c>
      <c r="AU41" s="316">
        <v>0.157926330738</v>
      </c>
      <c r="AV41" s="316">
        <v>0</v>
      </c>
      <c r="AW41" s="316">
        <v>0</v>
      </c>
      <c r="AX41" s="316">
        <v>0.11074968984599999</v>
      </c>
      <c r="AY41" s="316">
        <v>0.30861558625800001</v>
      </c>
      <c r="AZ41" s="316">
        <v>0.3679123473</v>
      </c>
      <c r="BA41" s="316">
        <v>0.120254</v>
      </c>
      <c r="BB41" s="316">
        <v>5.3432652999999997E-2</v>
      </c>
      <c r="BC41" s="316">
        <v>0</v>
      </c>
      <c r="BD41" s="316">
        <v>0.1131570252</v>
      </c>
      <c r="BE41" s="316">
        <v>0.20119648821</v>
      </c>
      <c r="BF41" s="316">
        <v>0.37225507680000003</v>
      </c>
      <c r="BG41" s="316">
        <v>0.121044</v>
      </c>
      <c r="BH41" s="316">
        <v>5.3311777999999997E-2</v>
      </c>
      <c r="BI41" s="316">
        <v>0.1411389837</v>
      </c>
      <c r="BJ41" s="316">
        <v>0.1131327594</v>
      </c>
      <c r="BK41" s="316">
        <v>0.20213464529999997</v>
      </c>
      <c r="BL41" s="316">
        <v>0.37455271950000002</v>
      </c>
      <c r="BM41" s="316">
        <v>0.121846</v>
      </c>
      <c r="BN41" s="316">
        <v>5.3884707899999995E-2</v>
      </c>
      <c r="BO41" s="316">
        <v>0.1427839602</v>
      </c>
      <c r="BP41" s="316">
        <v>0.114207921</v>
      </c>
      <c r="BQ41" s="316">
        <v>0.20443462229999998</v>
      </c>
      <c r="BR41" s="316">
        <v>0.3782979387</v>
      </c>
      <c r="BS41" s="316">
        <v>0.12359199999999999</v>
      </c>
      <c r="BT41" s="316">
        <v>5.4573784199999996E-2</v>
      </c>
      <c r="BU41" s="316">
        <v>0.1449259296</v>
      </c>
      <c r="BV41" s="316">
        <v>0.11756966760000001</v>
      </c>
      <c r="BW41" s="316">
        <v>0.21117455489999998</v>
      </c>
      <c r="BX41" s="316">
        <v>0.39183739889999997</v>
      </c>
      <c r="BY41" s="316">
        <v>0.12721605159999999</v>
      </c>
      <c r="BZ41" s="316">
        <v>5.6313352907850008E-2</v>
      </c>
      <c r="CA41" s="316">
        <v>0.14937180035332001</v>
      </c>
      <c r="CB41" s="316">
        <v>0.11984106220920002</v>
      </c>
      <c r="CC41" s="316">
        <v>0.21506893095585</v>
      </c>
      <c r="CD41" s="316">
        <v>0.39827438475378002</v>
      </c>
      <c r="CE41" s="317">
        <v>0.12999125019999999</v>
      </c>
      <c r="CF41" s="316">
        <v>5.7802841886090001E-2</v>
      </c>
      <c r="CG41" s="316">
        <v>0.15353037631090999</v>
      </c>
      <c r="CH41" s="316">
        <v>0.12472718244533999</v>
      </c>
      <c r="CI41" s="316">
        <v>0.22352486072903999</v>
      </c>
      <c r="CJ41" s="316">
        <v>0</v>
      </c>
      <c r="CK41" s="316">
        <v>0.13558645320000001</v>
      </c>
      <c r="CL41" s="316">
        <v>6.009280177437E-2</v>
      </c>
      <c r="CM41" s="316">
        <v>0.15920415692241</v>
      </c>
      <c r="CN41" s="316">
        <v>0.23301923721449999</v>
      </c>
      <c r="CO41" s="316">
        <v>0.22910481059565002</v>
      </c>
      <c r="CP41" s="318">
        <v>0.42385016327582997</v>
      </c>
      <c r="CQ41" s="316">
        <v>0.1380660856</v>
      </c>
      <c r="CR41" s="316">
        <v>6.0969217274520003E-2</v>
      </c>
      <c r="CS41" s="316">
        <v>0.16149602964756998</v>
      </c>
      <c r="CT41" s="316">
        <v>0.46889238823649998</v>
      </c>
      <c r="CU41" s="316">
        <v>0.23225828539392002</v>
      </c>
      <c r="CV41" s="316">
        <v>0.39389161607804996</v>
      </c>
      <c r="CW41" s="316">
        <v>0.14065986699999999</v>
      </c>
      <c r="CX41" s="316">
        <v>6.2578929509520001E-2</v>
      </c>
      <c r="CY41" s="316">
        <v>0.16647729755224999</v>
      </c>
      <c r="CZ41" s="316">
        <v>0.48279143113073997</v>
      </c>
      <c r="DA41" s="316">
        <v>0.23995261144989002</v>
      </c>
      <c r="DB41" s="1498">
        <v>0.64885601643267998</v>
      </c>
      <c r="DC41" s="316">
        <v>0.145607612</v>
      </c>
      <c r="DD41" s="316">
        <v>6.4572227999999995E-2</v>
      </c>
      <c r="DE41" s="316">
        <v>0.17154840199999999</v>
      </c>
      <c r="DF41" s="316">
        <v>0.4989128336559609</v>
      </c>
      <c r="DG41" s="316">
        <v>0.24865094513235</v>
      </c>
      <c r="DH41" s="316">
        <v>0.67380925105438005</v>
      </c>
      <c r="DI41" s="316">
        <v>0.1498114946997908</v>
      </c>
      <c r="DJ41" s="316">
        <v>6.7602385731119985E-2</v>
      </c>
      <c r="DK41" s="316">
        <v>0</v>
      </c>
      <c r="DL41" s="316">
        <v>0.52407597639556003</v>
      </c>
      <c r="DM41" s="316">
        <v>0.26122263574752003</v>
      </c>
      <c r="DN41" s="318">
        <v>0.70787097492972006</v>
      </c>
      <c r="DO41" s="316">
        <v>0.15856867199999999</v>
      </c>
      <c r="DP41" s="316">
        <v>4.1748899393125004E-2</v>
      </c>
      <c r="DQ41" s="316">
        <v>0.19057520882479001</v>
      </c>
      <c r="DR41" s="316">
        <v>0.55172185797812001</v>
      </c>
      <c r="DS41" s="316">
        <v>0.27432378973466998</v>
      </c>
      <c r="DT41" s="316">
        <v>0.74146253866524003</v>
      </c>
      <c r="DU41" s="316">
        <v>0.16567204059999999</v>
      </c>
      <c r="DV41" s="316">
        <v>6.5292925601400001E-2</v>
      </c>
      <c r="DW41" s="316">
        <v>0.4719301529819</v>
      </c>
      <c r="DX41" s="316">
        <v>0.56220112448027992</v>
      </c>
      <c r="DY41" s="316">
        <v>0.27856843495446004</v>
      </c>
      <c r="DZ41" s="318">
        <v>0.75116828743375996</v>
      </c>
      <c r="EA41" s="316">
        <v>0.167783187</v>
      </c>
      <c r="EB41" s="316">
        <v>6.6174184399799996E-2</v>
      </c>
      <c r="EC41" s="316">
        <v>0.47835246945768001</v>
      </c>
      <c r="ED41" s="316">
        <v>0.56562497309695992</v>
      </c>
      <c r="EE41" s="316">
        <v>0.28337512022046002</v>
      </c>
      <c r="EF41" s="316">
        <v>0.76470340438170004</v>
      </c>
      <c r="EG41" s="316">
        <v>0.1707834168</v>
      </c>
      <c r="EH41" s="316">
        <v>0.41023581879999999</v>
      </c>
      <c r="EI41" s="316">
        <v>0.48722399641888003</v>
      </c>
      <c r="EJ41" s="316">
        <v>0.57547487752384008</v>
      </c>
      <c r="EK41" s="316">
        <v>0.28809515001968999</v>
      </c>
      <c r="EL41" s="318">
        <v>0.77760481662037995</v>
      </c>
      <c r="EM41" s="1206">
        <v>0.17374228859999999</v>
      </c>
      <c r="EN41" s="1206">
        <v>0.41776273324120006</v>
      </c>
      <c r="EO41" s="1206">
        <v>0.49619299003340006</v>
      </c>
      <c r="EP41" s="1206">
        <v>0.58720861751103992</v>
      </c>
      <c r="EQ41" s="1206">
        <v>0.29451386516522998</v>
      </c>
      <c r="ER41" s="1206">
        <v>0.79537668674226014</v>
      </c>
      <c r="ES41" s="1206">
        <v>0.1777145802</v>
      </c>
      <c r="ET41" s="1206">
        <v>0.78428416141799995</v>
      </c>
      <c r="EU41" s="1206">
        <v>0.50773785850982001</v>
      </c>
      <c r="EV41" s="1206">
        <v>0.60016188983744001</v>
      </c>
      <c r="EW41" s="1206">
        <v>0.30059408769573004</v>
      </c>
      <c r="EX41" s="1550">
        <v>0.81141823849212003</v>
      </c>
      <c r="EY41" s="1206"/>
      <c r="EZ41" s="1206"/>
      <c r="FA41" s="1206"/>
      <c r="FB41" s="1206"/>
      <c r="FC41" s="1206"/>
      <c r="FD41" s="1206"/>
      <c r="FE41" s="1206"/>
      <c r="FF41" s="1206"/>
      <c r="FG41" s="1206"/>
      <c r="FH41" s="1206"/>
      <c r="FI41" s="1206"/>
      <c r="FJ41" s="1550"/>
      <c r="FK41" s="1206"/>
      <c r="FL41" s="1206"/>
      <c r="FM41" s="1206"/>
      <c r="FN41" s="1206"/>
      <c r="FO41" s="1206"/>
      <c r="FP41" s="1206"/>
      <c r="FQ41" s="316"/>
      <c r="FR41" s="316"/>
      <c r="FS41" s="316"/>
      <c r="FT41" s="316"/>
      <c r="FU41" s="316"/>
      <c r="FV41" s="316"/>
      <c r="FW41" s="316"/>
      <c r="FX41" s="316"/>
      <c r="FY41" s="316"/>
      <c r="FZ41" s="316"/>
      <c r="GA41" s="316"/>
      <c r="GB41" s="316"/>
      <c r="GC41" s="316"/>
      <c r="GD41" s="316"/>
      <c r="GE41" s="316"/>
      <c r="GF41" s="316"/>
      <c r="GG41" s="316"/>
      <c r="GH41" s="316"/>
      <c r="GI41" s="316"/>
      <c r="GJ41" s="316"/>
      <c r="GK41" s="316"/>
      <c r="GL41" s="316"/>
      <c r="GM41" s="316"/>
      <c r="GN41" s="316"/>
      <c r="GO41" s="316"/>
      <c r="GP41" s="316"/>
      <c r="GQ41" s="316"/>
      <c r="GR41" s="316"/>
      <c r="GS41" s="316"/>
      <c r="GT41" s="316"/>
      <c r="GU41" s="316"/>
      <c r="GV41" s="316"/>
      <c r="GW41" s="316"/>
      <c r="GX41" s="316"/>
      <c r="GY41" s="316"/>
      <c r="GZ41" s="316"/>
      <c r="HA41" s="316"/>
      <c r="HB41" s="316"/>
      <c r="HC41" s="316"/>
      <c r="HD41" s="316"/>
      <c r="HE41" s="316"/>
      <c r="HF41" s="316"/>
      <c r="HG41" s="316"/>
      <c r="HH41" s="316"/>
      <c r="HI41" s="316"/>
      <c r="HJ41" s="316"/>
      <c r="HK41" s="316"/>
      <c r="HL41" s="316"/>
      <c r="HM41" s="316"/>
      <c r="HV41" s="302">
        <f t="shared" si="11"/>
        <v>1.8031012718426909</v>
      </c>
      <c r="HW41" s="302">
        <f t="shared" si="12"/>
        <v>1.7105834675037108</v>
      </c>
      <c r="HX41" s="302">
        <f t="shared" si="13"/>
        <v>3.5136847393464015</v>
      </c>
      <c r="HY41" s="302">
        <f t="shared" si="14"/>
        <v>1.958400966595945</v>
      </c>
      <c r="KH41" s="303"/>
    </row>
    <row r="42" spans="1:294" outlineLevel="1">
      <c r="B42" s="117" t="s">
        <v>361</v>
      </c>
      <c r="D42" s="319" t="s">
        <v>384</v>
      </c>
      <c r="E42" s="316"/>
      <c r="F42" s="316"/>
      <c r="G42" s="316"/>
      <c r="H42" s="316"/>
      <c r="I42" s="316"/>
      <c r="J42" s="316"/>
      <c r="K42" s="316"/>
      <c r="L42" s="316"/>
      <c r="M42" s="316"/>
      <c r="N42" s="316"/>
      <c r="O42" s="316"/>
      <c r="P42" s="316"/>
      <c r="Q42" s="316"/>
      <c r="R42" s="316"/>
      <c r="S42" s="316"/>
      <c r="T42" s="316"/>
      <c r="U42" s="316"/>
      <c r="V42" s="316"/>
      <c r="W42" s="316"/>
      <c r="X42" s="316"/>
      <c r="Y42" s="316"/>
      <c r="Z42" s="316"/>
      <c r="AA42" s="316"/>
      <c r="AB42" s="316"/>
      <c r="AC42" s="316"/>
      <c r="AD42" s="316"/>
      <c r="AE42" s="316"/>
      <c r="AF42" s="316"/>
      <c r="AG42" s="316"/>
      <c r="AH42" s="316"/>
      <c r="AI42" s="316"/>
      <c r="AJ42" s="316"/>
      <c r="AK42" s="316"/>
      <c r="AL42" s="316"/>
      <c r="AM42" s="316"/>
      <c r="AN42" s="316"/>
      <c r="AO42" s="316">
        <v>7.3052160000000005E-2</v>
      </c>
      <c r="AP42" s="316">
        <v>0</v>
      </c>
      <c r="AQ42" s="316">
        <v>0</v>
      </c>
      <c r="AR42" s="316">
        <v>0</v>
      </c>
      <c r="AS42" s="316">
        <v>0</v>
      </c>
      <c r="AT42" s="316">
        <v>0</v>
      </c>
      <c r="AU42" s="316">
        <v>7.4320344630180002E-2</v>
      </c>
      <c r="AV42" s="316">
        <v>0</v>
      </c>
      <c r="AW42" s="316">
        <v>0</v>
      </c>
      <c r="AX42" s="316">
        <v>0</v>
      </c>
      <c r="AY42" s="316">
        <v>0</v>
      </c>
      <c r="AZ42" s="316">
        <v>0.1456328689794</v>
      </c>
      <c r="BA42" s="316">
        <v>7.6100304885600004E-2</v>
      </c>
      <c r="BB42" s="316">
        <v>0</v>
      </c>
      <c r="BC42" s="316">
        <v>0</v>
      </c>
      <c r="BD42" s="316">
        <v>0</v>
      </c>
      <c r="BE42" s="316">
        <v>0</v>
      </c>
      <c r="BF42" s="316">
        <v>0.15050160106382979</v>
      </c>
      <c r="BG42" s="316">
        <v>7.6758035200000005E-2</v>
      </c>
      <c r="BH42" s="316">
        <v>0</v>
      </c>
      <c r="BI42" s="316">
        <v>0</v>
      </c>
      <c r="BJ42" s="316">
        <v>0</v>
      </c>
      <c r="BK42" s="316">
        <v>0.15193431546389005</v>
      </c>
      <c r="BL42" s="316">
        <v>0</v>
      </c>
      <c r="BM42" s="316">
        <v>7.7541823999999995E-2</v>
      </c>
      <c r="BN42" s="316">
        <v>0</v>
      </c>
      <c r="BO42" s="316">
        <v>0</v>
      </c>
      <c r="BP42" s="316">
        <v>0</v>
      </c>
      <c r="BQ42" s="316">
        <v>0.31502321144674089</v>
      </c>
      <c r="BR42" s="316">
        <v>0</v>
      </c>
      <c r="BS42" s="316">
        <v>7.7714464211999998E-2</v>
      </c>
      <c r="BT42" s="316">
        <v>0</v>
      </c>
      <c r="BU42" s="316">
        <v>0</v>
      </c>
      <c r="BV42" s="316">
        <v>0</v>
      </c>
      <c r="BW42" s="316">
        <v>0.33047662343400003</v>
      </c>
      <c r="BX42" s="316">
        <v>0</v>
      </c>
      <c r="BY42" s="316">
        <v>8.0271712915744683E-2</v>
      </c>
      <c r="BZ42" s="316">
        <v>0</v>
      </c>
      <c r="CA42" s="316">
        <v>0</v>
      </c>
      <c r="CB42" s="316">
        <v>0</v>
      </c>
      <c r="CC42" s="316">
        <v>0.32949035504092899</v>
      </c>
      <c r="CD42" s="316">
        <v>0</v>
      </c>
      <c r="CE42" s="317">
        <v>8.1727835575263572E-2</v>
      </c>
      <c r="CF42" s="316">
        <v>0</v>
      </c>
      <c r="CG42" s="316">
        <v>0</v>
      </c>
      <c r="CH42" s="316">
        <v>0</v>
      </c>
      <c r="CI42" s="316">
        <v>0</v>
      </c>
      <c r="CJ42" s="316">
        <v>0</v>
      </c>
      <c r="CK42" s="316">
        <v>8.5103308360285637E-2</v>
      </c>
      <c r="CL42" s="316">
        <v>0</v>
      </c>
      <c r="CM42" s="316">
        <v>0</v>
      </c>
      <c r="CN42" s="316">
        <v>0</v>
      </c>
      <c r="CO42" s="316">
        <v>0.36099897195466296</v>
      </c>
      <c r="CP42" s="318">
        <v>0</v>
      </c>
      <c r="CQ42" s="316">
        <v>8.7530559870851898E-2</v>
      </c>
      <c r="CR42" s="316">
        <v>0</v>
      </c>
      <c r="CS42" s="316">
        <v>0</v>
      </c>
      <c r="CT42" s="316">
        <v>0</v>
      </c>
      <c r="CU42" s="316">
        <v>0.36340432659169702</v>
      </c>
      <c r="CV42" s="316">
        <v>0</v>
      </c>
      <c r="CW42" s="316">
        <v>8.91246376747927E-2</v>
      </c>
      <c r="CX42" s="316">
        <v>0</v>
      </c>
      <c r="CY42" s="316">
        <v>0</v>
      </c>
      <c r="CZ42" s="316">
        <v>0</v>
      </c>
      <c r="DA42" s="316">
        <v>0.37578218809629454</v>
      </c>
      <c r="DB42" s="1498">
        <v>0</v>
      </c>
      <c r="DC42" s="316">
        <v>9.2511592000000004E-2</v>
      </c>
      <c r="DD42" s="316">
        <v>0</v>
      </c>
      <c r="DE42" s="316">
        <v>0</v>
      </c>
      <c r="DF42" s="316">
        <v>0</v>
      </c>
      <c r="DG42" s="316">
        <v>0</v>
      </c>
      <c r="DH42" s="316">
        <v>0.39026967554600583</v>
      </c>
      <c r="DI42" s="316">
        <v>9.6120381091639978E-2</v>
      </c>
      <c r="DJ42" s="316">
        <v>0</v>
      </c>
      <c r="DK42" s="316">
        <v>0</v>
      </c>
      <c r="DL42" s="316">
        <v>0</v>
      </c>
      <c r="DM42" s="316">
        <v>0.40924434552112848</v>
      </c>
      <c r="DN42" s="318">
        <v>0</v>
      </c>
      <c r="DO42" s="316">
        <v>0.1007972288503664</v>
      </c>
      <c r="DP42" s="316">
        <v>0</v>
      </c>
      <c r="DQ42" s="316">
        <v>0</v>
      </c>
      <c r="DR42" s="316">
        <v>0</v>
      </c>
      <c r="DS42" s="316">
        <v>0.42976864120977398</v>
      </c>
      <c r="DT42" s="316">
        <v>0</v>
      </c>
      <c r="DU42" s="316">
        <v>0.10492423199260768</v>
      </c>
      <c r="DV42" s="316">
        <v>0</v>
      </c>
      <c r="DW42" s="316">
        <v>0</v>
      </c>
      <c r="DX42" s="316">
        <v>0</v>
      </c>
      <c r="DY42" s="316">
        <v>0.43567145231928217</v>
      </c>
      <c r="DZ42" s="318">
        <v>0</v>
      </c>
      <c r="EA42" s="316">
        <v>0.46699000568721843</v>
      </c>
      <c r="EB42" s="316">
        <v>0</v>
      </c>
      <c r="EC42" s="316">
        <v>0</v>
      </c>
      <c r="ED42" s="316">
        <v>0</v>
      </c>
      <c r="EE42" s="316">
        <v>0.44367347200352347</v>
      </c>
      <c r="EF42" s="316">
        <v>0</v>
      </c>
      <c r="EG42" s="316">
        <v>0.4754738484616905</v>
      </c>
      <c r="EH42" s="316">
        <v>0</v>
      </c>
      <c r="EI42" s="316">
        <v>0</v>
      </c>
      <c r="EJ42" s="316">
        <v>0</v>
      </c>
      <c r="EK42" s="316">
        <v>0.45113123986031423</v>
      </c>
      <c r="EL42" s="318">
        <v>0.45113123986031423</v>
      </c>
      <c r="EM42" s="1206">
        <v>0.4839680066575881</v>
      </c>
      <c r="EN42" s="1206">
        <v>0</v>
      </c>
      <c r="EO42" s="1206">
        <v>0</v>
      </c>
      <c r="EP42" s="1206">
        <v>0</v>
      </c>
      <c r="EQ42" s="1206">
        <v>0.46096690757073427</v>
      </c>
      <c r="ER42" s="1206">
        <v>0</v>
      </c>
      <c r="ES42" s="1206">
        <v>0.49456773052517178</v>
      </c>
      <c r="ET42" s="1206">
        <v>0</v>
      </c>
      <c r="EU42" s="1206">
        <v>0</v>
      </c>
      <c r="EV42" s="1206">
        <v>0</v>
      </c>
      <c r="EW42" s="1206">
        <v>1.7641744903939998</v>
      </c>
      <c r="EX42" s="1550">
        <v>0</v>
      </c>
      <c r="EY42" s="1206"/>
      <c r="EZ42" s="1206"/>
      <c r="FA42" s="1206"/>
      <c r="FB42" s="1206"/>
      <c r="FC42" s="1206"/>
      <c r="FD42" s="1206"/>
      <c r="FE42" s="1206"/>
      <c r="FF42" s="1206"/>
      <c r="FG42" s="1206"/>
      <c r="FH42" s="1206"/>
      <c r="FI42" s="1206"/>
      <c r="FJ42" s="1550"/>
      <c r="FK42" s="1206"/>
      <c r="FL42" s="1206"/>
      <c r="FM42" s="1206"/>
      <c r="FN42" s="1206"/>
      <c r="FO42" s="1206"/>
      <c r="FP42" s="1206"/>
      <c r="FQ42" s="316"/>
      <c r="FR42" s="316"/>
      <c r="FS42" s="316"/>
      <c r="FT42" s="316"/>
      <c r="FU42" s="316"/>
      <c r="FV42" s="316"/>
      <c r="FW42" s="316"/>
      <c r="FX42" s="316"/>
      <c r="FY42" s="316"/>
      <c r="FZ42" s="316"/>
      <c r="GA42" s="316"/>
      <c r="GB42" s="316"/>
      <c r="GC42" s="316"/>
      <c r="GD42" s="316"/>
      <c r="GE42" s="316"/>
      <c r="GF42" s="316"/>
      <c r="GG42" s="316"/>
      <c r="GH42" s="316"/>
      <c r="GI42" s="316"/>
      <c r="GJ42" s="316"/>
      <c r="GK42" s="316"/>
      <c r="GL42" s="316"/>
      <c r="GM42" s="316"/>
      <c r="GN42" s="316"/>
      <c r="GO42" s="316"/>
      <c r="GP42" s="316"/>
      <c r="GQ42" s="316"/>
      <c r="GR42" s="316"/>
      <c r="GS42" s="316"/>
      <c r="GT42" s="316"/>
      <c r="GU42" s="316"/>
      <c r="GV42" s="316"/>
      <c r="GW42" s="316"/>
      <c r="GX42" s="316"/>
      <c r="GY42" s="316"/>
      <c r="GZ42" s="316"/>
      <c r="HA42" s="316"/>
      <c r="HB42" s="316"/>
      <c r="HC42" s="316"/>
      <c r="HD42" s="316"/>
      <c r="HE42" s="316"/>
      <c r="HF42" s="316"/>
      <c r="HG42" s="316"/>
      <c r="HH42" s="316"/>
      <c r="HI42" s="316"/>
      <c r="HJ42" s="316"/>
      <c r="HK42" s="316"/>
      <c r="HL42" s="316"/>
      <c r="HM42" s="316"/>
      <c r="HV42" s="302">
        <f t="shared" si="11"/>
        <v>0.48278126754600581</v>
      </c>
      <c r="HW42" s="302">
        <f t="shared" si="12"/>
        <v>0.50536472661276843</v>
      </c>
      <c r="HX42" s="302">
        <f t="shared" si="13"/>
        <v>0.98814599415877424</v>
      </c>
      <c r="HY42" s="302">
        <f t="shared" si="14"/>
        <v>0.53056587006014033</v>
      </c>
      <c r="KH42" s="303"/>
    </row>
    <row r="43" spans="1:294" outlineLevel="1">
      <c r="B43" s="117" t="s">
        <v>361</v>
      </c>
      <c r="D43" s="319" t="s">
        <v>385</v>
      </c>
      <c r="E43" s="316"/>
      <c r="F43" s="316"/>
      <c r="G43" s="316"/>
      <c r="H43" s="316"/>
      <c r="I43" s="316"/>
      <c r="J43" s="316"/>
      <c r="K43" s="316"/>
      <c r="L43" s="316"/>
      <c r="M43" s="316"/>
      <c r="N43" s="316"/>
      <c r="O43" s="316"/>
      <c r="P43" s="316"/>
      <c r="Q43" s="316"/>
      <c r="R43" s="316"/>
      <c r="S43" s="316"/>
      <c r="T43" s="316"/>
      <c r="U43" s="316"/>
      <c r="V43" s="316"/>
      <c r="W43" s="316"/>
      <c r="X43" s="316"/>
      <c r="Y43" s="316"/>
      <c r="Z43" s="316"/>
      <c r="AA43" s="316"/>
      <c r="AB43" s="316"/>
      <c r="AC43" s="316"/>
      <c r="AD43" s="316"/>
      <c r="AE43" s="316"/>
      <c r="AF43" s="316"/>
      <c r="AG43" s="316"/>
      <c r="AH43" s="316"/>
      <c r="AI43" s="316"/>
      <c r="AJ43" s="316"/>
      <c r="AK43" s="316"/>
      <c r="AL43" s="316"/>
      <c r="AM43" s="316"/>
      <c r="AN43" s="316"/>
      <c r="AO43" s="316">
        <v>0</v>
      </c>
      <c r="AP43" s="316">
        <v>0</v>
      </c>
      <c r="AQ43" s="316">
        <v>0</v>
      </c>
      <c r="AR43" s="316">
        <v>0</v>
      </c>
      <c r="AS43" s="316">
        <v>0</v>
      </c>
      <c r="AT43" s="316">
        <v>0</v>
      </c>
      <c r="AU43" s="316">
        <v>0</v>
      </c>
      <c r="AV43" s="316">
        <v>0</v>
      </c>
      <c r="AW43" s="316">
        <v>0</v>
      </c>
      <c r="AX43" s="316">
        <v>0</v>
      </c>
      <c r="AY43" s="316">
        <v>0</v>
      </c>
      <c r="AZ43" s="316">
        <v>0</v>
      </c>
      <c r="BA43" s="316">
        <v>0</v>
      </c>
      <c r="BB43" s="316">
        <v>0</v>
      </c>
      <c r="BC43" s="316">
        <v>0</v>
      </c>
      <c r="BD43" s="316">
        <v>0</v>
      </c>
      <c r="BE43" s="316">
        <v>0</v>
      </c>
      <c r="BF43" s="316">
        <v>0</v>
      </c>
      <c r="BG43" s="316">
        <v>0</v>
      </c>
      <c r="BH43" s="316">
        <v>0</v>
      </c>
      <c r="BI43" s="316">
        <v>0</v>
      </c>
      <c r="BJ43" s="316">
        <v>0</v>
      </c>
      <c r="BK43" s="316">
        <v>0</v>
      </c>
      <c r="BL43" s="316">
        <v>0</v>
      </c>
      <c r="BM43" s="316">
        <v>0</v>
      </c>
      <c r="BN43" s="316">
        <v>0</v>
      </c>
      <c r="BO43" s="316">
        <v>0</v>
      </c>
      <c r="BP43" s="316">
        <v>0</v>
      </c>
      <c r="BQ43" s="316">
        <v>0</v>
      </c>
      <c r="BR43" s="316">
        <v>0</v>
      </c>
      <c r="BS43" s="316">
        <v>0</v>
      </c>
      <c r="BT43" s="316">
        <v>0</v>
      </c>
      <c r="BU43" s="316">
        <v>0</v>
      </c>
      <c r="BV43" s="316">
        <v>0</v>
      </c>
      <c r="BW43" s="316">
        <v>0</v>
      </c>
      <c r="BX43" s="316">
        <v>0</v>
      </c>
      <c r="BY43" s="316">
        <v>0</v>
      </c>
      <c r="BZ43" s="316">
        <v>0</v>
      </c>
      <c r="CA43" s="316">
        <v>0</v>
      </c>
      <c r="CB43" s="316">
        <v>0</v>
      </c>
      <c r="CC43" s="316">
        <v>0</v>
      </c>
      <c r="CD43" s="316">
        <v>0</v>
      </c>
      <c r="CE43" s="317">
        <v>0</v>
      </c>
      <c r="CF43" s="316">
        <v>0</v>
      </c>
      <c r="CG43" s="316">
        <v>0</v>
      </c>
      <c r="CH43" s="316">
        <v>0</v>
      </c>
      <c r="CI43" s="316">
        <v>0.17559413776706254</v>
      </c>
      <c r="CJ43" s="316">
        <v>0</v>
      </c>
      <c r="CK43" s="316">
        <v>0</v>
      </c>
      <c r="CL43" s="316">
        <v>0</v>
      </c>
      <c r="CM43" s="316">
        <v>0</v>
      </c>
      <c r="CN43" s="316">
        <v>0</v>
      </c>
      <c r="CO43" s="316">
        <v>0.18246339475304479</v>
      </c>
      <c r="CP43" s="318">
        <v>0</v>
      </c>
      <c r="CQ43" s="316">
        <v>0</v>
      </c>
      <c r="CR43" s="316">
        <v>0</v>
      </c>
      <c r="CS43" s="316">
        <v>0</v>
      </c>
      <c r="CT43" s="316">
        <v>0</v>
      </c>
      <c r="CU43" s="316">
        <v>0.17916075114909696</v>
      </c>
      <c r="CV43" s="316">
        <v>0</v>
      </c>
      <c r="CW43" s="316">
        <v>0</v>
      </c>
      <c r="CX43" s="316">
        <v>0</v>
      </c>
      <c r="CY43" s="316">
        <v>0</v>
      </c>
      <c r="CZ43" s="316">
        <v>0</v>
      </c>
      <c r="DA43" s="316">
        <v>0.17913511037070431</v>
      </c>
      <c r="DB43" s="1498">
        <v>0</v>
      </c>
      <c r="DC43" s="316">
        <v>0</v>
      </c>
      <c r="DD43" s="316">
        <v>0</v>
      </c>
      <c r="DE43" s="316">
        <v>0</v>
      </c>
      <c r="DF43" s="316">
        <v>0</v>
      </c>
      <c r="DG43" s="316">
        <v>0.18378016410952988</v>
      </c>
      <c r="DH43" s="316">
        <v>0</v>
      </c>
      <c r="DI43" s="316">
        <v>0</v>
      </c>
      <c r="DJ43" s="316">
        <v>0</v>
      </c>
      <c r="DK43" s="316">
        <v>0</v>
      </c>
      <c r="DL43" s="316">
        <v>0</v>
      </c>
      <c r="DM43" s="316">
        <v>0.19462686629059486</v>
      </c>
      <c r="DN43" s="318">
        <v>0</v>
      </c>
      <c r="DO43" s="316">
        <v>0</v>
      </c>
      <c r="DP43" s="316">
        <v>0</v>
      </c>
      <c r="DQ43" s="316">
        <v>0.27760942542202666</v>
      </c>
      <c r="DR43" s="316">
        <v>0</v>
      </c>
      <c r="DS43" s="316">
        <v>0.20308792657422048</v>
      </c>
      <c r="DT43" s="316">
        <v>0</v>
      </c>
      <c r="DU43" s="316">
        <v>0</v>
      </c>
      <c r="DV43" s="316">
        <v>0</v>
      </c>
      <c r="DW43" s="316">
        <v>0.27917717531143998</v>
      </c>
      <c r="DX43" s="316">
        <v>0</v>
      </c>
      <c r="DY43" s="316">
        <v>0.20535121838403858</v>
      </c>
      <c r="DZ43" s="318">
        <v>0</v>
      </c>
      <c r="EA43" s="316">
        <v>0</v>
      </c>
      <c r="EB43" s="316">
        <v>0</v>
      </c>
      <c r="EC43" s="316">
        <v>0</v>
      </c>
      <c r="ED43" s="316">
        <v>0</v>
      </c>
      <c r="EE43" s="316">
        <v>0.21041166740186593</v>
      </c>
      <c r="EF43" s="316">
        <v>0</v>
      </c>
      <c r="EG43" s="316">
        <v>0</v>
      </c>
      <c r="EH43" s="316">
        <v>0</v>
      </c>
      <c r="EI43" s="316">
        <v>0.29386883616751247</v>
      </c>
      <c r="EJ43" s="316">
        <v>0</v>
      </c>
      <c r="EK43" s="316">
        <v>0.21450138093777393</v>
      </c>
      <c r="EL43" s="318">
        <v>0</v>
      </c>
      <c r="EM43" s="1206">
        <v>0</v>
      </c>
      <c r="EN43" s="1206">
        <v>0</v>
      </c>
      <c r="EO43" s="1206">
        <v>0.29627052445114516</v>
      </c>
      <c r="EP43" s="1206">
        <v>0</v>
      </c>
      <c r="EQ43" s="1206">
        <v>0.21744960699692728</v>
      </c>
      <c r="ER43" s="1206">
        <v>0</v>
      </c>
      <c r="ES43" s="1206">
        <v>0</v>
      </c>
      <c r="ET43" s="1206">
        <v>0</v>
      </c>
      <c r="EU43" s="1206">
        <v>0.58167158037263078</v>
      </c>
      <c r="EV43" s="1206">
        <v>0</v>
      </c>
      <c r="EW43" s="1206">
        <v>0.22199149115610026</v>
      </c>
      <c r="EX43" s="1550">
        <v>0</v>
      </c>
      <c r="EY43" s="1206"/>
      <c r="EZ43" s="1206"/>
      <c r="FA43" s="1206"/>
      <c r="FB43" s="1206"/>
      <c r="FC43" s="1206"/>
      <c r="FD43" s="1206"/>
      <c r="FE43" s="1206"/>
      <c r="FF43" s="1206"/>
      <c r="FG43" s="1206"/>
      <c r="FH43" s="1206"/>
      <c r="FI43" s="1206"/>
      <c r="FJ43" s="1550"/>
      <c r="FK43" s="1206"/>
      <c r="FL43" s="1206"/>
      <c r="FM43" s="1206"/>
      <c r="FN43" s="1206"/>
      <c r="FO43" s="1206"/>
      <c r="FP43" s="1206"/>
      <c r="FQ43" s="316"/>
      <c r="FR43" s="316"/>
      <c r="FS43" s="316"/>
      <c r="FT43" s="316"/>
      <c r="FU43" s="316"/>
      <c r="FV43" s="316"/>
      <c r="FW43" s="316"/>
      <c r="FX43" s="316"/>
      <c r="FY43" s="316"/>
      <c r="FZ43" s="316"/>
      <c r="GA43" s="316"/>
      <c r="GB43" s="316"/>
      <c r="GC43" s="316"/>
      <c r="GD43" s="316"/>
      <c r="GE43" s="316"/>
      <c r="GF43" s="316"/>
      <c r="GG43" s="316"/>
      <c r="GH43" s="316"/>
      <c r="GI43" s="316"/>
      <c r="GJ43" s="316"/>
      <c r="GK43" s="316"/>
      <c r="GL43" s="316"/>
      <c r="GM43" s="316"/>
      <c r="GN43" s="316"/>
      <c r="GO43" s="316"/>
      <c r="GP43" s="316"/>
      <c r="GQ43" s="316"/>
      <c r="GR43" s="316"/>
      <c r="GS43" s="316"/>
      <c r="GT43" s="316"/>
      <c r="GU43" s="316"/>
      <c r="GV43" s="316"/>
      <c r="GW43" s="316"/>
      <c r="GX43" s="316"/>
      <c r="GY43" s="316"/>
      <c r="GZ43" s="316"/>
      <c r="HA43" s="316"/>
      <c r="HB43" s="316"/>
      <c r="HC43" s="316"/>
      <c r="HD43" s="316"/>
      <c r="HE43" s="316"/>
      <c r="HF43" s="316"/>
      <c r="HG43" s="316"/>
      <c r="HH43" s="316"/>
      <c r="HI43" s="316"/>
      <c r="HJ43" s="316"/>
      <c r="HK43" s="316"/>
      <c r="HL43" s="316"/>
      <c r="HM43" s="316"/>
      <c r="HV43" s="302">
        <f t="shared" si="11"/>
        <v>0.18378016410952988</v>
      </c>
      <c r="HW43" s="302">
        <f t="shared" si="12"/>
        <v>0.19462686629059486</v>
      </c>
      <c r="HX43" s="302">
        <f t="shared" si="13"/>
        <v>0.37840703040012474</v>
      </c>
      <c r="HY43" s="302">
        <f t="shared" si="14"/>
        <v>0.48069735199624714</v>
      </c>
      <c r="KH43" s="303"/>
    </row>
    <row r="44" spans="1:294" outlineLevel="1">
      <c r="B44" s="117" t="s">
        <v>361</v>
      </c>
      <c r="D44" s="319" t="s">
        <v>386</v>
      </c>
      <c r="E44" s="316"/>
      <c r="F44" s="316"/>
      <c r="G44" s="316"/>
      <c r="H44" s="316"/>
      <c r="I44" s="316"/>
      <c r="J44" s="316"/>
      <c r="K44" s="316"/>
      <c r="L44" s="316"/>
      <c r="M44" s="316"/>
      <c r="N44" s="316"/>
      <c r="O44" s="316"/>
      <c r="P44" s="316"/>
      <c r="Q44" s="316"/>
      <c r="R44" s="316"/>
      <c r="S44" s="316"/>
      <c r="T44" s="316"/>
      <c r="U44" s="316"/>
      <c r="V44" s="316"/>
      <c r="W44" s="316"/>
      <c r="X44" s="316"/>
      <c r="Y44" s="316"/>
      <c r="Z44" s="316"/>
      <c r="AA44" s="316"/>
      <c r="AB44" s="316"/>
      <c r="AC44" s="316"/>
      <c r="AD44" s="316"/>
      <c r="AE44" s="316"/>
      <c r="AF44" s="316"/>
      <c r="AG44" s="316"/>
      <c r="AH44" s="316"/>
      <c r="AI44" s="316"/>
      <c r="AJ44" s="316"/>
      <c r="AK44" s="316"/>
      <c r="AL44" s="316"/>
      <c r="AM44" s="316"/>
      <c r="AN44" s="316"/>
      <c r="AO44" s="316">
        <v>0</v>
      </c>
      <c r="AP44" s="316">
        <v>0</v>
      </c>
      <c r="AQ44" s="316">
        <v>0</v>
      </c>
      <c r="AR44" s="316">
        <v>0</v>
      </c>
      <c r="AS44" s="316">
        <v>0</v>
      </c>
      <c r="AT44" s="316">
        <v>0</v>
      </c>
      <c r="AU44" s="316">
        <v>0</v>
      </c>
      <c r="AV44" s="316">
        <v>0</v>
      </c>
      <c r="AW44" s="316">
        <v>0</v>
      </c>
      <c r="AX44" s="316">
        <v>0</v>
      </c>
      <c r="AY44" s="316">
        <v>0</v>
      </c>
      <c r="AZ44" s="316">
        <v>0</v>
      </c>
      <c r="BA44" s="316">
        <v>0</v>
      </c>
      <c r="BB44" s="316">
        <v>0</v>
      </c>
      <c r="BC44" s="316">
        <v>0</v>
      </c>
      <c r="BD44" s="316">
        <v>0</v>
      </c>
      <c r="BE44" s="316">
        <v>0</v>
      </c>
      <c r="BF44" s="316">
        <v>0</v>
      </c>
      <c r="BG44" s="316">
        <v>0</v>
      </c>
      <c r="BH44" s="316">
        <v>0</v>
      </c>
      <c r="BI44" s="316">
        <v>0</v>
      </c>
      <c r="BJ44" s="316">
        <v>0</v>
      </c>
      <c r="BK44" s="316">
        <v>0</v>
      </c>
      <c r="BL44" s="316">
        <v>0</v>
      </c>
      <c r="BM44" s="316">
        <v>0</v>
      </c>
      <c r="BN44" s="316">
        <v>0</v>
      </c>
      <c r="BO44" s="316">
        <v>0</v>
      </c>
      <c r="BP44" s="316">
        <v>0</v>
      </c>
      <c r="BQ44" s="316">
        <v>0</v>
      </c>
      <c r="BR44" s="316">
        <v>0</v>
      </c>
      <c r="BS44" s="316">
        <v>0</v>
      </c>
      <c r="BT44" s="316">
        <v>0</v>
      </c>
      <c r="BU44" s="316">
        <v>0</v>
      </c>
      <c r="BV44" s="316">
        <v>0</v>
      </c>
      <c r="BW44" s="316">
        <v>0</v>
      </c>
      <c r="BX44" s="316">
        <v>0</v>
      </c>
      <c r="BY44" s="316">
        <v>0</v>
      </c>
      <c r="BZ44" s="316">
        <v>0</v>
      </c>
      <c r="CA44" s="316">
        <v>0</v>
      </c>
      <c r="CB44" s="316">
        <v>0</v>
      </c>
      <c r="CC44" s="316">
        <v>0</v>
      </c>
      <c r="CD44" s="316">
        <v>0</v>
      </c>
      <c r="CE44" s="317">
        <v>0</v>
      </c>
      <c r="CF44" s="316">
        <v>0</v>
      </c>
      <c r="CG44" s="316">
        <v>0</v>
      </c>
      <c r="CH44" s="316">
        <v>0</v>
      </c>
      <c r="CI44" s="316">
        <v>0</v>
      </c>
      <c r="CJ44" s="316">
        <v>0</v>
      </c>
      <c r="CK44" s="316">
        <v>0</v>
      </c>
      <c r="CL44" s="316">
        <v>0</v>
      </c>
      <c r="CM44" s="316">
        <v>0</v>
      </c>
      <c r="CN44" s="316">
        <v>0</v>
      </c>
      <c r="CO44" s="316">
        <v>0</v>
      </c>
      <c r="CP44" s="318">
        <v>0</v>
      </c>
      <c r="CQ44" s="316">
        <v>0</v>
      </c>
      <c r="CR44" s="316">
        <v>0</v>
      </c>
      <c r="CS44" s="316">
        <v>0</v>
      </c>
      <c r="CT44" s="316">
        <v>0</v>
      </c>
      <c r="CU44" s="316">
        <v>0</v>
      </c>
      <c r="CV44" s="316">
        <v>0</v>
      </c>
      <c r="CW44" s="316">
        <v>0</v>
      </c>
      <c r="CX44" s="316">
        <v>0</v>
      </c>
      <c r="CY44" s="316">
        <v>0</v>
      </c>
      <c r="CZ44" s="316">
        <v>0</v>
      </c>
      <c r="DA44" s="316">
        <v>6.1602450225000001E-2</v>
      </c>
      <c r="DB44" s="1498">
        <v>0</v>
      </c>
      <c r="DC44" s="316">
        <v>0</v>
      </c>
      <c r="DD44" s="316">
        <v>0</v>
      </c>
      <c r="DE44" s="316">
        <v>0</v>
      </c>
      <c r="DF44" s="316">
        <v>0</v>
      </c>
      <c r="DG44" s="316">
        <v>6.0520691174999995E-2</v>
      </c>
      <c r="DH44" s="316">
        <v>0</v>
      </c>
      <c r="DI44" s="316">
        <v>0</v>
      </c>
      <c r="DJ44" s="316">
        <v>0</v>
      </c>
      <c r="DK44" s="316">
        <v>0</v>
      </c>
      <c r="DL44" s="316">
        <v>0</v>
      </c>
      <c r="DM44" s="316">
        <v>0.13798749010135142</v>
      </c>
      <c r="DN44" s="318">
        <v>0</v>
      </c>
      <c r="DO44" s="316">
        <v>0</v>
      </c>
      <c r="DP44" s="316">
        <v>0</v>
      </c>
      <c r="DQ44" s="316">
        <v>0</v>
      </c>
      <c r="DR44" s="316">
        <v>0</v>
      </c>
      <c r="DS44" s="316">
        <v>0.11048348158919513</v>
      </c>
      <c r="DT44" s="316">
        <v>0</v>
      </c>
      <c r="DU44" s="316">
        <v>0</v>
      </c>
      <c r="DV44" s="316">
        <v>0</v>
      </c>
      <c r="DW44" s="316">
        <v>0</v>
      </c>
      <c r="DX44" s="316">
        <v>0</v>
      </c>
      <c r="DY44" s="316">
        <v>0.11418510260881731</v>
      </c>
      <c r="DZ44" s="318">
        <v>0</v>
      </c>
      <c r="EA44" s="316">
        <v>0</v>
      </c>
      <c r="EB44" s="316">
        <v>0</v>
      </c>
      <c r="EC44" s="316">
        <v>0</v>
      </c>
      <c r="ED44" s="316">
        <v>0</v>
      </c>
      <c r="EE44" s="316">
        <v>0.12519982152119999</v>
      </c>
      <c r="EF44" s="316">
        <v>0</v>
      </c>
      <c r="EG44" s="316">
        <v>0</v>
      </c>
      <c r="EH44" s="316">
        <v>0</v>
      </c>
      <c r="EI44" s="316">
        <v>0</v>
      </c>
      <c r="EJ44" s="316">
        <v>0</v>
      </c>
      <c r="EK44" s="316">
        <v>0.12870967422268789</v>
      </c>
      <c r="EL44" s="318">
        <v>0</v>
      </c>
      <c r="EM44" s="1206">
        <v>0</v>
      </c>
      <c r="EN44" s="1206">
        <v>0</v>
      </c>
      <c r="EO44" s="1206">
        <v>0</v>
      </c>
      <c r="EP44" s="1206">
        <v>0</v>
      </c>
      <c r="EQ44" s="1206">
        <v>0.12468589464035797</v>
      </c>
      <c r="ER44" s="1206">
        <v>0</v>
      </c>
      <c r="ES44" s="1206">
        <v>0</v>
      </c>
      <c r="ET44" s="1206">
        <v>0</v>
      </c>
      <c r="EU44" s="1206">
        <v>0</v>
      </c>
      <c r="EV44" s="1206">
        <v>0</v>
      </c>
      <c r="EW44" s="1206">
        <v>0.12635264083862088</v>
      </c>
      <c r="EX44" s="1550">
        <v>0</v>
      </c>
      <c r="EY44" s="1206"/>
      <c r="EZ44" s="1206"/>
      <c r="FA44" s="1206"/>
      <c r="FB44" s="1206"/>
      <c r="FC44" s="1206"/>
      <c r="FD44" s="1206"/>
      <c r="FE44" s="1206"/>
      <c r="FF44" s="1206"/>
      <c r="FG44" s="1206"/>
      <c r="FH44" s="1206"/>
      <c r="FI44" s="1206"/>
      <c r="FJ44" s="1550"/>
      <c r="FK44" s="1206"/>
      <c r="FL44" s="1206"/>
      <c r="FM44" s="1206"/>
      <c r="FN44" s="1206"/>
      <c r="FO44" s="1206"/>
      <c r="FP44" s="1206"/>
      <c r="FQ44" s="316"/>
      <c r="FR44" s="316"/>
      <c r="FS44" s="316"/>
      <c r="FT44" s="316"/>
      <c r="FU44" s="316"/>
      <c r="FV44" s="316"/>
      <c r="FW44" s="316"/>
      <c r="FX44" s="316"/>
      <c r="FY44" s="316"/>
      <c r="FZ44" s="316"/>
      <c r="GA44" s="316"/>
      <c r="GB44" s="316"/>
      <c r="GC44" s="316"/>
      <c r="GD44" s="316"/>
      <c r="GE44" s="316"/>
      <c r="GF44" s="316"/>
      <c r="GG44" s="316"/>
      <c r="GH44" s="316"/>
      <c r="GI44" s="316"/>
      <c r="GJ44" s="316"/>
      <c r="GK44" s="316"/>
      <c r="GL44" s="316"/>
      <c r="GM44" s="316"/>
      <c r="GN44" s="316"/>
      <c r="GO44" s="316"/>
      <c r="GP44" s="316"/>
      <c r="GQ44" s="316"/>
      <c r="GR44" s="316"/>
      <c r="GS44" s="316"/>
      <c r="GT44" s="316"/>
      <c r="GU44" s="316"/>
      <c r="GV44" s="316"/>
      <c r="GW44" s="316"/>
      <c r="GX44" s="316"/>
      <c r="GY44" s="316"/>
      <c r="GZ44" s="316"/>
      <c r="HA44" s="316"/>
      <c r="HB44" s="316"/>
      <c r="HC44" s="316"/>
      <c r="HD44" s="316"/>
      <c r="HE44" s="316"/>
      <c r="HF44" s="316"/>
      <c r="HG44" s="316"/>
      <c r="HH44" s="316"/>
      <c r="HI44" s="316"/>
      <c r="HJ44" s="316"/>
      <c r="HK44" s="316"/>
      <c r="HL44" s="316"/>
      <c r="HM44" s="316"/>
      <c r="HV44" s="302">
        <f t="shared" si="11"/>
        <v>6.0520691174999995E-2</v>
      </c>
      <c r="HW44" s="302">
        <f t="shared" si="12"/>
        <v>0.13798749010135142</v>
      </c>
      <c r="HX44" s="302">
        <f t="shared" si="13"/>
        <v>0.19850818127635142</v>
      </c>
      <c r="HY44" s="302">
        <f t="shared" si="14"/>
        <v>0.11048348158919513</v>
      </c>
      <c r="KH44" s="303"/>
    </row>
    <row r="45" spans="1:294" outlineLevel="1">
      <c r="B45" s="117" t="s">
        <v>361</v>
      </c>
      <c r="D45" s="319" t="s">
        <v>387</v>
      </c>
      <c r="E45" s="316"/>
      <c r="F45" s="316"/>
      <c r="G45" s="316"/>
      <c r="H45" s="316"/>
      <c r="I45" s="316"/>
      <c r="J45" s="316"/>
      <c r="K45" s="316"/>
      <c r="L45" s="316"/>
      <c r="M45" s="316"/>
      <c r="N45" s="316"/>
      <c r="O45" s="316"/>
      <c r="P45" s="316"/>
      <c r="Q45" s="316"/>
      <c r="R45" s="316"/>
      <c r="S45" s="316"/>
      <c r="T45" s="316"/>
      <c r="U45" s="316"/>
      <c r="V45" s="316"/>
      <c r="W45" s="316"/>
      <c r="X45" s="316"/>
      <c r="Y45" s="316"/>
      <c r="Z45" s="316"/>
      <c r="AA45" s="316"/>
      <c r="AB45" s="316"/>
      <c r="AC45" s="316"/>
      <c r="AD45" s="316"/>
      <c r="AE45" s="316"/>
      <c r="AF45" s="316"/>
      <c r="AG45" s="316"/>
      <c r="AH45" s="316"/>
      <c r="AI45" s="316"/>
      <c r="AJ45" s="316"/>
      <c r="AK45" s="316"/>
      <c r="AL45" s="316"/>
      <c r="AM45" s="316"/>
      <c r="AN45" s="316"/>
      <c r="AO45" s="316">
        <v>0</v>
      </c>
      <c r="AP45" s="316">
        <v>0</v>
      </c>
      <c r="AQ45" s="316">
        <v>0</v>
      </c>
      <c r="AR45" s="316">
        <v>0</v>
      </c>
      <c r="AS45" s="316">
        <v>0</v>
      </c>
      <c r="AT45" s="316">
        <v>0</v>
      </c>
      <c r="AU45" s="316">
        <v>0</v>
      </c>
      <c r="AV45" s="316">
        <v>0</v>
      </c>
      <c r="AW45" s="316">
        <v>0</v>
      </c>
      <c r="AX45" s="316">
        <v>0</v>
      </c>
      <c r="AY45" s="316">
        <v>0</v>
      </c>
      <c r="AZ45" s="316">
        <v>0</v>
      </c>
      <c r="BA45" s="316">
        <v>0</v>
      </c>
      <c r="BB45" s="316">
        <v>0</v>
      </c>
      <c r="BC45" s="316">
        <v>0</v>
      </c>
      <c r="BD45" s="316">
        <v>0</v>
      </c>
      <c r="BE45" s="316">
        <v>0</v>
      </c>
      <c r="BF45" s="316">
        <v>0</v>
      </c>
      <c r="BG45" s="316">
        <v>0</v>
      </c>
      <c r="BH45" s="316">
        <v>0</v>
      </c>
      <c r="BI45" s="316">
        <v>0</v>
      </c>
      <c r="BJ45" s="316">
        <v>0</v>
      </c>
      <c r="BK45" s="316">
        <v>0</v>
      </c>
      <c r="BL45" s="316">
        <v>0</v>
      </c>
      <c r="BM45" s="316">
        <v>0</v>
      </c>
      <c r="BN45" s="316">
        <v>0</v>
      </c>
      <c r="BO45" s="316">
        <v>0</v>
      </c>
      <c r="BP45" s="316">
        <v>0</v>
      </c>
      <c r="BQ45" s="316">
        <v>0</v>
      </c>
      <c r="BR45" s="316">
        <v>0</v>
      </c>
      <c r="BS45" s="316">
        <v>0</v>
      </c>
      <c r="BT45" s="316">
        <v>0</v>
      </c>
      <c r="BU45" s="316">
        <v>0</v>
      </c>
      <c r="BV45" s="316">
        <v>0</v>
      </c>
      <c r="BW45" s="316">
        <v>0</v>
      </c>
      <c r="BX45" s="316">
        <v>0</v>
      </c>
      <c r="BY45" s="316">
        <v>0</v>
      </c>
      <c r="BZ45" s="316">
        <v>0</v>
      </c>
      <c r="CA45" s="316">
        <v>0</v>
      </c>
      <c r="CB45" s="316">
        <v>0</v>
      </c>
      <c r="CC45" s="316">
        <v>0</v>
      </c>
      <c r="CD45" s="316">
        <v>0</v>
      </c>
      <c r="CE45" s="317">
        <v>0</v>
      </c>
      <c r="CF45" s="316">
        <v>0</v>
      </c>
      <c r="CG45" s="316">
        <v>0</v>
      </c>
      <c r="CH45" s="316">
        <v>0</v>
      </c>
      <c r="CI45" s="316">
        <v>0</v>
      </c>
      <c r="CJ45" s="316">
        <v>0</v>
      </c>
      <c r="CK45" s="316">
        <v>0</v>
      </c>
      <c r="CL45" s="316">
        <v>0</v>
      </c>
      <c r="CM45" s="316">
        <v>0.44140573203736166</v>
      </c>
      <c r="CN45" s="316">
        <v>0</v>
      </c>
      <c r="CO45" s="316">
        <v>0</v>
      </c>
      <c r="CP45" s="318">
        <v>0</v>
      </c>
      <c r="CQ45" s="316">
        <v>0</v>
      </c>
      <c r="CR45" s="316">
        <v>0</v>
      </c>
      <c r="CS45" s="316">
        <v>0.44755838687299504</v>
      </c>
      <c r="CT45" s="316">
        <v>0</v>
      </c>
      <c r="CU45" s="316">
        <v>0</v>
      </c>
      <c r="CV45" s="316">
        <v>0</v>
      </c>
      <c r="CW45" s="316">
        <v>0</v>
      </c>
      <c r="CX45" s="316">
        <v>0</v>
      </c>
      <c r="CY45" s="316">
        <v>0</v>
      </c>
      <c r="CZ45" s="316">
        <v>0.46144882428540462</v>
      </c>
      <c r="DA45" s="316">
        <v>0</v>
      </c>
      <c r="DB45" s="1498">
        <v>0</v>
      </c>
      <c r="DC45" s="316">
        <v>0</v>
      </c>
      <c r="DD45" s="316">
        <v>0</v>
      </c>
      <c r="DE45" s="316">
        <v>0.47598149200000001</v>
      </c>
      <c r="DF45" s="316">
        <v>0</v>
      </c>
      <c r="DG45" s="316">
        <v>0</v>
      </c>
      <c r="DH45" s="316">
        <v>0</v>
      </c>
      <c r="DI45" s="316">
        <v>0</v>
      </c>
      <c r="DJ45" s="316">
        <v>0</v>
      </c>
      <c r="DK45" s="316">
        <v>1.4936761076402587</v>
      </c>
      <c r="DL45" s="316">
        <v>0.50089918103987296</v>
      </c>
      <c r="DM45" s="316">
        <v>0</v>
      </c>
      <c r="DN45" s="318">
        <v>0</v>
      </c>
      <c r="DO45" s="316">
        <v>0</v>
      </c>
      <c r="DP45" s="316">
        <v>0</v>
      </c>
      <c r="DQ45" s="316">
        <v>2.1076205144300606</v>
      </c>
      <c r="DR45" s="316">
        <v>0</v>
      </c>
      <c r="DS45" s="316">
        <v>0</v>
      </c>
      <c r="DT45" s="316">
        <v>0</v>
      </c>
      <c r="DU45" s="316">
        <v>0</v>
      </c>
      <c r="DV45" s="316">
        <v>0</v>
      </c>
      <c r="DW45" s="316">
        <v>2.1495803002155323</v>
      </c>
      <c r="DX45" s="316">
        <v>0</v>
      </c>
      <c r="DY45" s="316">
        <v>0</v>
      </c>
      <c r="DZ45" s="318">
        <v>0</v>
      </c>
      <c r="EA45" s="316">
        <v>0</v>
      </c>
      <c r="EB45" s="316">
        <v>0</v>
      </c>
      <c r="EC45" s="316">
        <v>2.1789612324589065</v>
      </c>
      <c r="ED45" s="316">
        <v>0</v>
      </c>
      <c r="EE45" s="316">
        <v>0</v>
      </c>
      <c r="EF45" s="316">
        <v>0</v>
      </c>
      <c r="EG45" s="316">
        <v>0</v>
      </c>
      <c r="EH45" s="316">
        <v>0</v>
      </c>
      <c r="EI45" s="316">
        <v>2.2188626376002465</v>
      </c>
      <c r="EJ45" s="316">
        <v>0</v>
      </c>
      <c r="EK45" s="316">
        <v>0</v>
      </c>
      <c r="EL45" s="318">
        <v>0</v>
      </c>
      <c r="EM45" s="1206">
        <v>0</v>
      </c>
      <c r="EN45" s="1206">
        <v>0</v>
      </c>
      <c r="EO45" s="1206">
        <v>2.2653413524157164</v>
      </c>
      <c r="EP45" s="1206">
        <v>0</v>
      </c>
      <c r="EQ45" s="1206">
        <v>0</v>
      </c>
      <c r="ER45" s="1206">
        <v>0</v>
      </c>
      <c r="ES45" s="1206">
        <v>0</v>
      </c>
      <c r="ET45" s="1206">
        <v>0</v>
      </c>
      <c r="EU45" s="1206">
        <v>2.3116276640054765</v>
      </c>
      <c r="EV45" s="1206">
        <v>0</v>
      </c>
      <c r="EW45" s="1206">
        <v>0</v>
      </c>
      <c r="EX45" s="1550">
        <v>0</v>
      </c>
      <c r="EY45" s="1206"/>
      <c r="EZ45" s="1206"/>
      <c r="FA45" s="1206"/>
      <c r="FB45" s="1206"/>
      <c r="FC45" s="1206"/>
      <c r="FD45" s="1206"/>
      <c r="FE45" s="1206"/>
      <c r="FF45" s="1206"/>
      <c r="FG45" s="1206"/>
      <c r="FH45" s="1206"/>
      <c r="FI45" s="1206"/>
      <c r="FJ45" s="1550"/>
      <c r="FK45" s="1206"/>
      <c r="FL45" s="1206"/>
      <c r="FM45" s="1206"/>
      <c r="FN45" s="1206"/>
      <c r="FO45" s="1206"/>
      <c r="FP45" s="1206"/>
      <c r="FQ45" s="316"/>
      <c r="FR45" s="316"/>
      <c r="FS45" s="316"/>
      <c r="FT45" s="316"/>
      <c r="FU45" s="316"/>
      <c r="FV45" s="316"/>
      <c r="FW45" s="316"/>
      <c r="FX45" s="316"/>
      <c r="FY45" s="316"/>
      <c r="FZ45" s="316"/>
      <c r="GA45" s="316"/>
      <c r="GB45" s="316"/>
      <c r="GC45" s="316"/>
      <c r="GD45" s="316"/>
      <c r="GE45" s="316"/>
      <c r="GF45" s="316"/>
      <c r="GG45" s="316"/>
      <c r="GH45" s="316"/>
      <c r="GI45" s="316"/>
      <c r="GJ45" s="316"/>
      <c r="GK45" s="316"/>
      <c r="GL45" s="316"/>
      <c r="GM45" s="316"/>
      <c r="GN45" s="316"/>
      <c r="GO45" s="316"/>
      <c r="GP45" s="316"/>
      <c r="GQ45" s="316"/>
      <c r="GR45" s="316"/>
      <c r="GS45" s="316"/>
      <c r="GT45" s="316"/>
      <c r="GU45" s="316"/>
      <c r="GV45" s="316"/>
      <c r="GW45" s="316"/>
      <c r="GX45" s="316"/>
      <c r="GY45" s="316"/>
      <c r="GZ45" s="316"/>
      <c r="HA45" s="316"/>
      <c r="HB45" s="316"/>
      <c r="HC45" s="316"/>
      <c r="HD45" s="316"/>
      <c r="HE45" s="316"/>
      <c r="HF45" s="316"/>
      <c r="HG45" s="316"/>
      <c r="HH45" s="316"/>
      <c r="HI45" s="316"/>
      <c r="HJ45" s="316"/>
      <c r="HK45" s="316"/>
      <c r="HL45" s="316"/>
      <c r="HM45" s="316"/>
      <c r="HV45" s="302">
        <f t="shared" si="11"/>
        <v>0.47598149200000001</v>
      </c>
      <c r="HW45" s="302">
        <f t="shared" si="12"/>
        <v>1.9945752886801316</v>
      </c>
      <c r="HX45" s="302">
        <f t="shared" si="13"/>
        <v>2.4705567806801314</v>
      </c>
      <c r="HY45" s="302">
        <f t="shared" si="14"/>
        <v>2.1076205144300606</v>
      </c>
      <c r="KH45" s="303"/>
    </row>
    <row r="46" spans="1:294" outlineLevel="1">
      <c r="B46" s="117" t="s">
        <v>361</v>
      </c>
      <c r="D46" s="319" t="s">
        <v>388</v>
      </c>
      <c r="E46" s="316"/>
      <c r="F46" s="316"/>
      <c r="G46" s="316"/>
      <c r="H46" s="316"/>
      <c r="I46" s="316"/>
      <c r="J46" s="316"/>
      <c r="K46" s="316"/>
      <c r="L46" s="316"/>
      <c r="M46" s="316"/>
      <c r="N46" s="316"/>
      <c r="O46" s="316"/>
      <c r="P46" s="316"/>
      <c r="Q46" s="316"/>
      <c r="R46" s="316"/>
      <c r="S46" s="316"/>
      <c r="T46" s="316"/>
      <c r="U46" s="316"/>
      <c r="V46" s="316"/>
      <c r="W46" s="316"/>
      <c r="X46" s="316"/>
      <c r="Y46" s="316"/>
      <c r="Z46" s="316"/>
      <c r="AA46" s="316"/>
      <c r="AB46" s="316"/>
      <c r="AC46" s="316"/>
      <c r="AD46" s="316"/>
      <c r="AE46" s="316"/>
      <c r="AF46" s="316"/>
      <c r="AG46" s="316"/>
      <c r="AH46" s="316"/>
      <c r="AI46" s="316"/>
      <c r="AJ46" s="316"/>
      <c r="AK46" s="316"/>
      <c r="AL46" s="316"/>
      <c r="AM46" s="316"/>
      <c r="AN46" s="316"/>
      <c r="AO46" s="316">
        <v>0</v>
      </c>
      <c r="AP46" s="316">
        <v>0</v>
      </c>
      <c r="AQ46" s="316">
        <v>0</v>
      </c>
      <c r="AR46" s="316">
        <v>0</v>
      </c>
      <c r="AS46" s="316">
        <v>0</v>
      </c>
      <c r="AT46" s="316">
        <v>0</v>
      </c>
      <c r="AU46" s="316">
        <v>0</v>
      </c>
      <c r="AV46" s="316">
        <v>0</v>
      </c>
      <c r="AW46" s="316">
        <v>0</v>
      </c>
      <c r="AX46" s="316">
        <v>0</v>
      </c>
      <c r="AY46" s="316">
        <v>0</v>
      </c>
      <c r="AZ46" s="316">
        <v>0</v>
      </c>
      <c r="BA46" s="316">
        <v>0</v>
      </c>
      <c r="BB46" s="316">
        <v>0</v>
      </c>
      <c r="BC46" s="316">
        <v>0</v>
      </c>
      <c r="BD46" s="316">
        <v>0</v>
      </c>
      <c r="BE46" s="316">
        <v>0</v>
      </c>
      <c r="BF46" s="316">
        <v>0</v>
      </c>
      <c r="BG46" s="316">
        <v>0</v>
      </c>
      <c r="BH46" s="316">
        <v>0</v>
      </c>
      <c r="BI46" s="316">
        <v>0</v>
      </c>
      <c r="BJ46" s="316">
        <v>0</v>
      </c>
      <c r="BK46" s="316">
        <v>0</v>
      </c>
      <c r="BL46" s="316">
        <v>0</v>
      </c>
      <c r="BM46" s="316">
        <v>0</v>
      </c>
      <c r="BN46" s="316">
        <v>0</v>
      </c>
      <c r="BO46" s="316">
        <v>0</v>
      </c>
      <c r="BP46" s="316">
        <v>0</v>
      </c>
      <c r="BQ46" s="316">
        <v>0</v>
      </c>
      <c r="BR46" s="316">
        <v>0</v>
      </c>
      <c r="BS46" s="316">
        <v>0</v>
      </c>
      <c r="BT46" s="316">
        <v>0</v>
      </c>
      <c r="BU46" s="316">
        <v>0</v>
      </c>
      <c r="BV46" s="316">
        <v>0</v>
      </c>
      <c r="BW46" s="316">
        <v>0</v>
      </c>
      <c r="BX46" s="316">
        <v>0</v>
      </c>
      <c r="BY46" s="316">
        <v>0</v>
      </c>
      <c r="BZ46" s="316">
        <v>0</v>
      </c>
      <c r="CA46" s="316">
        <v>0</v>
      </c>
      <c r="CB46" s="316">
        <v>0</v>
      </c>
      <c r="CC46" s="316">
        <v>0</v>
      </c>
      <c r="CD46" s="316">
        <v>0</v>
      </c>
      <c r="CE46" s="317">
        <v>0</v>
      </c>
      <c r="CF46" s="316">
        <v>0</v>
      </c>
      <c r="CG46" s="316">
        <v>0</v>
      </c>
      <c r="CH46" s="316">
        <v>0</v>
      </c>
      <c r="CI46" s="316">
        <v>0</v>
      </c>
      <c r="CJ46" s="316">
        <v>0</v>
      </c>
      <c r="CK46" s="316">
        <v>0</v>
      </c>
      <c r="CL46" s="316">
        <v>0</v>
      </c>
      <c r="CM46" s="316">
        <v>0</v>
      </c>
      <c r="CN46" s="316">
        <v>0</v>
      </c>
      <c r="CO46" s="316">
        <v>0</v>
      </c>
      <c r="CP46" s="318">
        <v>0</v>
      </c>
      <c r="CQ46" s="316">
        <v>0</v>
      </c>
      <c r="CR46" s="316">
        <v>0</v>
      </c>
      <c r="CS46" s="316">
        <v>0</v>
      </c>
      <c r="CT46" s="316">
        <v>0</v>
      </c>
      <c r="CU46" s="316">
        <v>0</v>
      </c>
      <c r="CV46" s="316">
        <v>0</v>
      </c>
      <c r="CW46" s="316">
        <v>0</v>
      </c>
      <c r="CX46" s="316">
        <v>0</v>
      </c>
      <c r="CY46" s="316">
        <v>0</v>
      </c>
      <c r="CZ46" s="316">
        <v>0</v>
      </c>
      <c r="DA46" s="316">
        <v>0</v>
      </c>
      <c r="DB46" s="1498">
        <v>0</v>
      </c>
      <c r="DC46" s="316">
        <v>0</v>
      </c>
      <c r="DD46" s="316">
        <v>0</v>
      </c>
      <c r="DE46" s="316">
        <v>0</v>
      </c>
      <c r="DF46" s="316">
        <v>0</v>
      </c>
      <c r="DG46" s="316">
        <v>0</v>
      </c>
      <c r="DH46" s="316">
        <v>0</v>
      </c>
      <c r="DI46" s="316">
        <v>0</v>
      </c>
      <c r="DJ46" s="316">
        <v>0</v>
      </c>
      <c r="DK46" s="316">
        <v>0</v>
      </c>
      <c r="DL46" s="316">
        <v>0</v>
      </c>
      <c r="DM46" s="316">
        <v>0</v>
      </c>
      <c r="DN46" s="318">
        <v>0</v>
      </c>
      <c r="DO46" s="316">
        <v>0</v>
      </c>
      <c r="DP46" s="316">
        <v>0</v>
      </c>
      <c r="DQ46" s="316">
        <v>0</v>
      </c>
      <c r="DR46" s="316">
        <v>0</v>
      </c>
      <c r="DS46" s="316">
        <v>0</v>
      </c>
      <c r="DT46" s="316">
        <v>0</v>
      </c>
      <c r="DU46" s="316">
        <v>0</v>
      </c>
      <c r="DV46" s="316">
        <v>0</v>
      </c>
      <c r="DW46" s="316">
        <v>0.88365095306489061</v>
      </c>
      <c r="DX46" s="316">
        <v>0</v>
      </c>
      <c r="DY46" s="316">
        <v>0</v>
      </c>
      <c r="DZ46" s="318">
        <v>0</v>
      </c>
      <c r="EA46" s="316">
        <v>0</v>
      </c>
      <c r="EB46" s="316">
        <v>0</v>
      </c>
      <c r="EC46" s="316">
        <v>0.9381165005595038</v>
      </c>
      <c r="ED46" s="316">
        <v>0</v>
      </c>
      <c r="EE46" s="316">
        <v>0</v>
      </c>
      <c r="EF46" s="316">
        <v>0</v>
      </c>
      <c r="EG46" s="316">
        <v>0</v>
      </c>
      <c r="EH46" s="316">
        <v>0</v>
      </c>
      <c r="EI46" s="316">
        <v>0</v>
      </c>
      <c r="EJ46" s="316">
        <v>0.99952006909938385</v>
      </c>
      <c r="EK46" s="316">
        <v>0</v>
      </c>
      <c r="EL46" s="318">
        <v>0</v>
      </c>
      <c r="EM46" s="1206">
        <v>0</v>
      </c>
      <c r="EN46" s="1206">
        <v>0</v>
      </c>
      <c r="EO46" s="1206">
        <v>0</v>
      </c>
      <c r="EP46" s="1206">
        <v>0.93511654827983426</v>
      </c>
      <c r="EQ46" s="1206">
        <v>0</v>
      </c>
      <c r="ER46" s="1206">
        <v>0</v>
      </c>
      <c r="ES46" s="1206">
        <v>0</v>
      </c>
      <c r="ET46" s="1206">
        <v>0</v>
      </c>
      <c r="EU46" s="1206">
        <v>0.99952006909938396</v>
      </c>
      <c r="EV46" s="1206">
        <v>0</v>
      </c>
      <c r="EW46" s="1206">
        <v>0</v>
      </c>
      <c r="EX46" s="1550">
        <v>0</v>
      </c>
      <c r="EY46" s="1206"/>
      <c r="EZ46" s="1206"/>
      <c r="FA46" s="1206"/>
      <c r="FB46" s="1206"/>
      <c r="FC46" s="1206"/>
      <c r="FD46" s="1206"/>
      <c r="FE46" s="1206"/>
      <c r="FF46" s="1206"/>
      <c r="FG46" s="1206"/>
      <c r="FH46" s="1206"/>
      <c r="FI46" s="1206"/>
      <c r="FJ46" s="1550"/>
      <c r="FK46" s="1206"/>
      <c r="FL46" s="1206"/>
      <c r="FM46" s="1206"/>
      <c r="FN46" s="1206"/>
      <c r="FO46" s="1206"/>
      <c r="FP46" s="1206"/>
      <c r="FQ46" s="316"/>
      <c r="FR46" s="316"/>
      <c r="FS46" s="316"/>
      <c r="FT46" s="316"/>
      <c r="FU46" s="316"/>
      <c r="FV46" s="316"/>
      <c r="FW46" s="316"/>
      <c r="FX46" s="316"/>
      <c r="FY46" s="316"/>
      <c r="FZ46" s="316"/>
      <c r="GA46" s="316"/>
      <c r="GB46" s="316"/>
      <c r="GC46" s="316"/>
      <c r="GD46" s="316"/>
      <c r="GE46" s="316"/>
      <c r="GF46" s="316"/>
      <c r="GG46" s="316"/>
      <c r="GH46" s="316"/>
      <c r="GI46" s="316"/>
      <c r="GJ46" s="316"/>
      <c r="GK46" s="316"/>
      <c r="GL46" s="316"/>
      <c r="GM46" s="316"/>
      <c r="GN46" s="316"/>
      <c r="GO46" s="316"/>
      <c r="GP46" s="316"/>
      <c r="GQ46" s="316"/>
      <c r="GR46" s="316"/>
      <c r="GS46" s="316"/>
      <c r="GT46" s="316"/>
      <c r="GU46" s="316"/>
      <c r="GV46" s="316"/>
      <c r="GW46" s="316"/>
      <c r="GX46" s="316"/>
      <c r="GY46" s="316"/>
      <c r="GZ46" s="316"/>
      <c r="HA46" s="316"/>
      <c r="HB46" s="316"/>
      <c r="HC46" s="316"/>
      <c r="HD46" s="316"/>
      <c r="HE46" s="316"/>
      <c r="HF46" s="316"/>
      <c r="HG46" s="316"/>
      <c r="HH46" s="316"/>
      <c r="HI46" s="316"/>
      <c r="HJ46" s="316"/>
      <c r="HK46" s="316"/>
      <c r="HL46" s="316"/>
      <c r="HM46" s="316"/>
      <c r="HV46" s="302">
        <f t="shared" si="11"/>
        <v>0</v>
      </c>
      <c r="HW46" s="302">
        <f t="shared" si="12"/>
        <v>0</v>
      </c>
      <c r="HX46" s="302">
        <f t="shared" si="13"/>
        <v>0</v>
      </c>
      <c r="HY46" s="302">
        <f t="shared" si="14"/>
        <v>0</v>
      </c>
      <c r="KH46" s="303"/>
    </row>
    <row r="47" spans="1:294" outlineLevel="1">
      <c r="B47" s="117" t="s">
        <v>361</v>
      </c>
      <c r="D47" s="319" t="s">
        <v>389</v>
      </c>
      <c r="E47" s="316"/>
      <c r="F47" s="316"/>
      <c r="G47" s="316"/>
      <c r="H47" s="316"/>
      <c r="I47" s="316"/>
      <c r="J47" s="316"/>
      <c r="K47" s="316"/>
      <c r="L47" s="316"/>
      <c r="M47" s="316"/>
      <c r="N47" s="316"/>
      <c r="O47" s="316"/>
      <c r="P47" s="316"/>
      <c r="Q47" s="316"/>
      <c r="R47" s="316"/>
      <c r="S47" s="316"/>
      <c r="T47" s="316"/>
      <c r="U47" s="316"/>
      <c r="V47" s="316"/>
      <c r="W47" s="316"/>
      <c r="X47" s="316"/>
      <c r="Y47" s="316"/>
      <c r="Z47" s="316"/>
      <c r="AA47" s="316"/>
      <c r="AB47" s="316"/>
      <c r="AC47" s="316"/>
      <c r="AD47" s="316"/>
      <c r="AE47" s="316"/>
      <c r="AF47" s="316"/>
      <c r="AG47" s="316"/>
      <c r="AH47" s="316"/>
      <c r="AI47" s="316"/>
      <c r="AJ47" s="316"/>
      <c r="AK47" s="316"/>
      <c r="AL47" s="316"/>
      <c r="AM47" s="316"/>
      <c r="AN47" s="316"/>
      <c r="AO47" s="316">
        <v>0</v>
      </c>
      <c r="AP47" s="316">
        <v>0</v>
      </c>
      <c r="AQ47" s="316">
        <v>0</v>
      </c>
      <c r="AR47" s="316">
        <v>0</v>
      </c>
      <c r="AS47" s="316">
        <v>0</v>
      </c>
      <c r="AT47" s="316">
        <v>0</v>
      </c>
      <c r="AU47" s="316">
        <v>0</v>
      </c>
      <c r="AV47" s="316">
        <v>0</v>
      </c>
      <c r="AW47" s="316">
        <v>0</v>
      </c>
      <c r="AX47" s="316">
        <v>0</v>
      </c>
      <c r="AY47" s="316">
        <v>0</v>
      </c>
      <c r="AZ47" s="316">
        <v>0</v>
      </c>
      <c r="BA47" s="316">
        <v>0</v>
      </c>
      <c r="BB47" s="316">
        <v>0</v>
      </c>
      <c r="BC47" s="316">
        <v>0</v>
      </c>
      <c r="BD47" s="316">
        <v>0</v>
      </c>
      <c r="BE47" s="316">
        <v>0</v>
      </c>
      <c r="BF47" s="316">
        <v>0</v>
      </c>
      <c r="BG47" s="316">
        <v>0</v>
      </c>
      <c r="BH47" s="316">
        <v>0</v>
      </c>
      <c r="BI47" s="316">
        <v>0</v>
      </c>
      <c r="BJ47" s="316">
        <v>0</v>
      </c>
      <c r="BK47" s="316">
        <v>0</v>
      </c>
      <c r="BL47" s="316">
        <v>0</v>
      </c>
      <c r="BM47" s="316">
        <v>0</v>
      </c>
      <c r="BN47" s="316">
        <v>0</v>
      </c>
      <c r="BO47" s="316">
        <v>0</v>
      </c>
      <c r="BP47" s="316">
        <v>0</v>
      </c>
      <c r="BQ47" s="316">
        <v>0</v>
      </c>
      <c r="BR47" s="316">
        <v>0</v>
      </c>
      <c r="BS47" s="316">
        <v>0</v>
      </c>
      <c r="BT47" s="316">
        <v>0</v>
      </c>
      <c r="BU47" s="316">
        <v>0</v>
      </c>
      <c r="BV47" s="316">
        <v>0</v>
      </c>
      <c r="BW47" s="316">
        <v>0</v>
      </c>
      <c r="BX47" s="316">
        <v>0</v>
      </c>
      <c r="BY47" s="316"/>
      <c r="BZ47" s="316"/>
      <c r="CA47" s="316"/>
      <c r="CB47" s="316"/>
      <c r="CC47" s="316"/>
      <c r="CD47" s="316"/>
      <c r="CE47" s="317"/>
      <c r="CF47" s="316"/>
      <c r="CG47" s="316"/>
      <c r="CH47" s="316"/>
      <c r="CI47" s="316"/>
      <c r="CJ47" s="316"/>
      <c r="CK47" s="316">
        <v>0</v>
      </c>
      <c r="CL47" s="316">
        <v>0</v>
      </c>
      <c r="CM47" s="316">
        <v>0</v>
      </c>
      <c r="CN47" s="316">
        <v>0</v>
      </c>
      <c r="CO47" s="316">
        <v>0</v>
      </c>
      <c r="CP47" s="318">
        <v>0</v>
      </c>
      <c r="CQ47" s="316">
        <v>0</v>
      </c>
      <c r="CR47" s="316">
        <v>0</v>
      </c>
      <c r="CS47" s="316">
        <v>0</v>
      </c>
      <c r="CT47" s="316">
        <v>0</v>
      </c>
      <c r="CU47" s="316">
        <v>0</v>
      </c>
      <c r="CV47" s="316">
        <v>0</v>
      </c>
      <c r="CW47" s="316">
        <v>0</v>
      </c>
      <c r="CX47" s="316">
        <v>0</v>
      </c>
      <c r="CY47" s="316">
        <v>0</v>
      </c>
      <c r="CZ47" s="316">
        <v>0</v>
      </c>
      <c r="DA47" s="316">
        <v>0</v>
      </c>
      <c r="DB47" s="1498">
        <v>0</v>
      </c>
      <c r="DC47" s="316">
        <v>0</v>
      </c>
      <c r="DD47" s="316">
        <v>0</v>
      </c>
      <c r="DE47" s="316">
        <v>0</v>
      </c>
      <c r="DF47" s="316">
        <v>0</v>
      </c>
      <c r="DG47" s="316">
        <v>0</v>
      </c>
      <c r="DH47" s="316">
        <v>0</v>
      </c>
      <c r="DI47" s="316">
        <v>0</v>
      </c>
      <c r="DJ47" s="316">
        <v>0</v>
      </c>
      <c r="DK47" s="316">
        <v>0</v>
      </c>
      <c r="DL47" s="316">
        <v>0</v>
      </c>
      <c r="DM47" s="316">
        <v>0</v>
      </c>
      <c r="DN47" s="318">
        <v>0</v>
      </c>
      <c r="DO47" s="316">
        <v>0</v>
      </c>
      <c r="DP47" s="316">
        <v>0</v>
      </c>
      <c r="DQ47" s="316">
        <v>0</v>
      </c>
      <c r="DR47" s="316">
        <v>0</v>
      </c>
      <c r="DS47" s="316">
        <v>0</v>
      </c>
      <c r="DT47" s="316">
        <v>0</v>
      </c>
      <c r="DU47" s="316">
        <v>0</v>
      </c>
      <c r="DV47" s="316">
        <v>0</v>
      </c>
      <c r="DW47" s="316">
        <v>0</v>
      </c>
      <c r="DX47" s="316">
        <v>0</v>
      </c>
      <c r="DY47" s="316">
        <v>0</v>
      </c>
      <c r="DZ47" s="318">
        <v>0</v>
      </c>
      <c r="EA47" s="316">
        <v>0</v>
      </c>
      <c r="EB47" s="316">
        <v>0</v>
      </c>
      <c r="EC47" s="316">
        <v>0</v>
      </c>
      <c r="ED47" s="316">
        <v>0</v>
      </c>
      <c r="EE47" s="316">
        <v>0</v>
      </c>
      <c r="EF47" s="316">
        <v>0</v>
      </c>
      <c r="EG47" s="316">
        <v>0</v>
      </c>
      <c r="EH47" s="316">
        <v>0</v>
      </c>
      <c r="EI47" s="316">
        <v>0</v>
      </c>
      <c r="EJ47" s="316">
        <v>0</v>
      </c>
      <c r="EK47" s="316">
        <v>0</v>
      </c>
      <c r="EL47" s="318">
        <v>0</v>
      </c>
      <c r="EM47" s="1206">
        <v>0</v>
      </c>
      <c r="EN47" s="1206">
        <v>0</v>
      </c>
      <c r="EO47" s="1206">
        <v>0</v>
      </c>
      <c r="EP47" s="1206">
        <v>0</v>
      </c>
      <c r="EQ47" s="1206">
        <v>0</v>
      </c>
      <c r="ER47" s="1206">
        <v>0</v>
      </c>
      <c r="ES47" s="1206">
        <v>0</v>
      </c>
      <c r="ET47" s="1206">
        <v>0</v>
      </c>
      <c r="EU47" s="1206">
        <v>0</v>
      </c>
      <c r="EV47" s="1206">
        <v>0</v>
      </c>
      <c r="EW47" s="1206">
        <v>0</v>
      </c>
      <c r="EX47" s="1550">
        <v>0</v>
      </c>
      <c r="EY47" s="1206"/>
      <c r="EZ47" s="1206"/>
      <c r="FA47" s="1206"/>
      <c r="FB47" s="1206"/>
      <c r="FC47" s="1206"/>
      <c r="FD47" s="1206"/>
      <c r="FE47" s="1206"/>
      <c r="FF47" s="1206"/>
      <c r="FG47" s="1206"/>
      <c r="FH47" s="1206"/>
      <c r="FI47" s="1206"/>
      <c r="FJ47" s="1550"/>
      <c r="FK47" s="1206"/>
      <c r="FL47" s="1206"/>
      <c r="FM47" s="1206"/>
      <c r="FN47" s="1206"/>
      <c r="FO47" s="1206"/>
      <c r="FP47" s="1206"/>
      <c r="FQ47" s="316"/>
      <c r="FR47" s="316"/>
      <c r="FS47" s="316"/>
      <c r="FT47" s="316"/>
      <c r="FU47" s="316"/>
      <c r="FV47" s="316"/>
      <c r="FW47" s="316"/>
      <c r="FX47" s="316"/>
      <c r="FY47" s="316"/>
      <c r="FZ47" s="316"/>
      <c r="GA47" s="316"/>
      <c r="GB47" s="316"/>
      <c r="GC47" s="316"/>
      <c r="GD47" s="316"/>
      <c r="GE47" s="316"/>
      <c r="GF47" s="316"/>
      <c r="GG47" s="316"/>
      <c r="GH47" s="316"/>
      <c r="GI47" s="316"/>
      <c r="GJ47" s="316"/>
      <c r="GK47" s="316"/>
      <c r="GL47" s="316"/>
      <c r="GM47" s="316"/>
      <c r="GN47" s="316"/>
      <c r="GO47" s="316"/>
      <c r="GP47" s="316"/>
      <c r="GQ47" s="316"/>
      <c r="GR47" s="316"/>
      <c r="GS47" s="316"/>
      <c r="GT47" s="316"/>
      <c r="GU47" s="316"/>
      <c r="GV47" s="316"/>
      <c r="GW47" s="316"/>
      <c r="GX47" s="316"/>
      <c r="GY47" s="316"/>
      <c r="GZ47" s="316"/>
      <c r="HA47" s="316"/>
      <c r="HB47" s="316"/>
      <c r="HC47" s="316"/>
      <c r="HD47" s="316"/>
      <c r="HE47" s="316"/>
      <c r="HF47" s="316"/>
      <c r="HG47" s="316"/>
      <c r="HH47" s="316"/>
      <c r="HI47" s="316"/>
      <c r="HJ47" s="316"/>
      <c r="HK47" s="316"/>
      <c r="HL47" s="316"/>
      <c r="HM47" s="316"/>
      <c r="HV47" s="302">
        <f t="shared" si="11"/>
        <v>0</v>
      </c>
      <c r="HW47" s="302">
        <f t="shared" si="12"/>
        <v>0</v>
      </c>
      <c r="HX47" s="302">
        <f t="shared" si="13"/>
        <v>0</v>
      </c>
      <c r="HY47" s="302">
        <f t="shared" si="14"/>
        <v>0</v>
      </c>
      <c r="KH47" s="303"/>
    </row>
    <row r="48" spans="1:294" outlineLevel="1">
      <c r="B48" s="117" t="s">
        <v>361</v>
      </c>
      <c r="D48" s="319" t="s">
        <v>390</v>
      </c>
      <c r="E48" s="316"/>
      <c r="F48" s="316"/>
      <c r="G48" s="316"/>
      <c r="H48" s="316"/>
      <c r="I48" s="316"/>
      <c r="J48" s="316"/>
      <c r="K48" s="316"/>
      <c r="L48" s="316"/>
      <c r="M48" s="316"/>
      <c r="N48" s="316"/>
      <c r="O48" s="316"/>
      <c r="P48" s="316"/>
      <c r="Q48" s="316"/>
      <c r="R48" s="316"/>
      <c r="S48" s="316"/>
      <c r="T48" s="316"/>
      <c r="U48" s="316"/>
      <c r="V48" s="316"/>
      <c r="W48" s="316"/>
      <c r="X48" s="316"/>
      <c r="Y48" s="316"/>
      <c r="Z48" s="316"/>
      <c r="AA48" s="316"/>
      <c r="AB48" s="316"/>
      <c r="AC48" s="316"/>
      <c r="AD48" s="316"/>
      <c r="AE48" s="316"/>
      <c r="AF48" s="316"/>
      <c r="AG48" s="316"/>
      <c r="AH48" s="316"/>
      <c r="AI48" s="316"/>
      <c r="AJ48" s="316"/>
      <c r="AK48" s="316"/>
      <c r="AL48" s="316"/>
      <c r="AM48" s="316"/>
      <c r="AN48" s="316"/>
      <c r="AO48" s="316">
        <v>0</v>
      </c>
      <c r="AP48" s="316">
        <v>0</v>
      </c>
      <c r="AQ48" s="316">
        <v>0</v>
      </c>
      <c r="AR48" s="316">
        <v>0</v>
      </c>
      <c r="AS48" s="316">
        <v>0</v>
      </c>
      <c r="AT48" s="316">
        <v>0</v>
      </c>
      <c r="AU48" s="316">
        <v>0.41372432032329998</v>
      </c>
      <c r="AV48" s="316">
        <v>0</v>
      </c>
      <c r="AW48" s="316">
        <v>0</v>
      </c>
      <c r="AX48" s="316">
        <v>0</v>
      </c>
      <c r="AY48" s="316">
        <v>0</v>
      </c>
      <c r="AZ48" s="316">
        <v>0</v>
      </c>
      <c r="BA48" s="316">
        <v>0.44203008599999999</v>
      </c>
      <c r="BB48" s="316">
        <v>0</v>
      </c>
      <c r="BC48" s="316">
        <v>0</v>
      </c>
      <c r="BD48" s="316">
        <v>0</v>
      </c>
      <c r="BE48" s="316">
        <v>0</v>
      </c>
      <c r="BF48" s="316">
        <v>0</v>
      </c>
      <c r="BG48" s="316">
        <v>0.46948027199999998</v>
      </c>
      <c r="BH48" s="316">
        <v>0</v>
      </c>
      <c r="BI48" s="316">
        <v>0</v>
      </c>
      <c r="BJ48" s="316">
        <v>0</v>
      </c>
      <c r="BK48" s="316">
        <v>0</v>
      </c>
      <c r="BL48" s="316">
        <v>0</v>
      </c>
      <c r="BM48" s="316">
        <v>0.42419037292520001</v>
      </c>
      <c r="BN48" s="316">
        <v>0</v>
      </c>
      <c r="BO48" s="316">
        <v>0</v>
      </c>
      <c r="BP48" s="316">
        <v>0</v>
      </c>
      <c r="BQ48" s="316">
        <v>0</v>
      </c>
      <c r="BR48" s="316">
        <v>0</v>
      </c>
      <c r="BS48" s="316">
        <v>0.41295677324930002</v>
      </c>
      <c r="BT48" s="316">
        <v>0</v>
      </c>
      <c r="BU48" s="316">
        <v>0</v>
      </c>
      <c r="BV48" s="316">
        <v>0</v>
      </c>
      <c r="BW48" s="316">
        <v>0</v>
      </c>
      <c r="BX48" s="316">
        <v>0</v>
      </c>
      <c r="BY48" s="316">
        <v>0.46217145300000001</v>
      </c>
      <c r="BZ48" s="316">
        <v>0</v>
      </c>
      <c r="CA48" s="316">
        <v>0</v>
      </c>
      <c r="CB48" s="316">
        <v>0</v>
      </c>
      <c r="CC48" s="316">
        <v>0</v>
      </c>
      <c r="CD48" s="316">
        <v>0</v>
      </c>
      <c r="CE48" s="317">
        <v>0</v>
      </c>
      <c r="CF48" s="316">
        <v>0</v>
      </c>
      <c r="CG48" s="316">
        <v>0</v>
      </c>
      <c r="CH48" s="316">
        <v>0</v>
      </c>
      <c r="CI48" s="316">
        <v>0</v>
      </c>
      <c r="CJ48" s="316">
        <v>0</v>
      </c>
      <c r="CK48" s="316">
        <v>0</v>
      </c>
      <c r="CL48" s="316">
        <v>0</v>
      </c>
      <c r="CM48" s="316">
        <v>0</v>
      </c>
      <c r="CN48" s="316">
        <v>0</v>
      </c>
      <c r="CO48" s="316">
        <v>0</v>
      </c>
      <c r="CP48" s="318">
        <v>0</v>
      </c>
      <c r="CQ48" s="316">
        <v>0</v>
      </c>
      <c r="CR48" s="316">
        <v>0</v>
      </c>
      <c r="CS48" s="316">
        <v>0</v>
      </c>
      <c r="CT48" s="316">
        <v>0</v>
      </c>
      <c r="CU48" s="316">
        <v>0</v>
      </c>
      <c r="CV48" s="316">
        <v>0</v>
      </c>
      <c r="CW48" s="316">
        <v>0</v>
      </c>
      <c r="CX48" s="316">
        <v>0</v>
      </c>
      <c r="CY48" s="316">
        <v>0</v>
      </c>
      <c r="CZ48" s="316">
        <v>0</v>
      </c>
      <c r="DA48" s="316">
        <v>0</v>
      </c>
      <c r="DB48" s="1498">
        <v>0</v>
      </c>
      <c r="DC48" s="316">
        <v>0</v>
      </c>
      <c r="DD48" s="316">
        <v>0</v>
      </c>
      <c r="DE48" s="316">
        <v>0</v>
      </c>
      <c r="DF48" s="316">
        <v>0</v>
      </c>
      <c r="DG48" s="316">
        <v>0</v>
      </c>
      <c r="DH48" s="316">
        <v>0</v>
      </c>
      <c r="DI48" s="316">
        <v>0</v>
      </c>
      <c r="DJ48" s="316">
        <v>0</v>
      </c>
      <c r="DK48" s="316">
        <v>0</v>
      </c>
      <c r="DL48" s="316">
        <v>0</v>
      </c>
      <c r="DM48" s="316">
        <v>0</v>
      </c>
      <c r="DN48" s="318">
        <v>0</v>
      </c>
      <c r="DO48" s="316">
        <v>0</v>
      </c>
      <c r="DP48" s="316">
        <v>0</v>
      </c>
      <c r="DQ48" s="316">
        <v>0</v>
      </c>
      <c r="DR48" s="316">
        <v>0</v>
      </c>
      <c r="DS48" s="316">
        <v>0</v>
      </c>
      <c r="DT48" s="316">
        <v>0</v>
      </c>
      <c r="DU48" s="316">
        <v>0</v>
      </c>
      <c r="DV48" s="316">
        <v>0</v>
      </c>
      <c r="DW48" s="316">
        <v>0</v>
      </c>
      <c r="DX48" s="316">
        <v>0</v>
      </c>
      <c r="DY48" s="316">
        <v>0</v>
      </c>
      <c r="DZ48" s="318">
        <v>0</v>
      </c>
      <c r="EA48" s="316">
        <v>0</v>
      </c>
      <c r="EB48" s="316">
        <v>0</v>
      </c>
      <c r="EC48" s="316">
        <v>0</v>
      </c>
      <c r="ED48" s="316">
        <v>0</v>
      </c>
      <c r="EE48" s="316">
        <v>0</v>
      </c>
      <c r="EF48" s="316">
        <v>0</v>
      </c>
      <c r="EG48" s="316">
        <v>0</v>
      </c>
      <c r="EH48" s="316">
        <v>0</v>
      </c>
      <c r="EI48" s="316">
        <v>0</v>
      </c>
      <c r="EJ48" s="316">
        <v>0</v>
      </c>
      <c r="EK48" s="316">
        <v>0</v>
      </c>
      <c r="EL48" s="318">
        <v>0</v>
      </c>
      <c r="EM48" s="1206">
        <v>0</v>
      </c>
      <c r="EN48" s="1206">
        <v>0</v>
      </c>
      <c r="EO48" s="1206">
        <v>0</v>
      </c>
      <c r="EP48" s="1206">
        <v>0</v>
      </c>
      <c r="EQ48" s="1206">
        <v>0</v>
      </c>
      <c r="ER48" s="1206">
        <v>0</v>
      </c>
      <c r="ES48" s="1206">
        <v>0</v>
      </c>
      <c r="ET48" s="1206">
        <v>0</v>
      </c>
      <c r="EU48" s="1206">
        <v>0</v>
      </c>
      <c r="EV48" s="1206">
        <v>0</v>
      </c>
      <c r="EW48" s="1206">
        <v>0</v>
      </c>
      <c r="EX48" s="1550">
        <v>0</v>
      </c>
      <c r="EY48" s="1206"/>
      <c r="EZ48" s="1206"/>
      <c r="FA48" s="1206"/>
      <c r="FB48" s="1206"/>
      <c r="FC48" s="1206"/>
      <c r="FD48" s="1206"/>
      <c r="FE48" s="1206"/>
      <c r="FF48" s="1206"/>
      <c r="FG48" s="1206"/>
      <c r="FH48" s="1206"/>
      <c r="FI48" s="1206"/>
      <c r="FJ48" s="1550"/>
      <c r="FK48" s="1206"/>
      <c r="FL48" s="1206"/>
      <c r="FM48" s="1206"/>
      <c r="FN48" s="1206"/>
      <c r="FO48" s="1206"/>
      <c r="FP48" s="1206"/>
      <c r="FQ48" s="316"/>
      <c r="FR48" s="316"/>
      <c r="FS48" s="316"/>
      <c r="FT48" s="316"/>
      <c r="FU48" s="316"/>
      <c r="FV48" s="316"/>
      <c r="FW48" s="316"/>
      <c r="FX48" s="316"/>
      <c r="FY48" s="316"/>
      <c r="FZ48" s="316"/>
      <c r="GA48" s="316"/>
      <c r="GB48" s="316"/>
      <c r="GC48" s="316"/>
      <c r="GD48" s="316"/>
      <c r="GE48" s="316"/>
      <c r="GF48" s="316"/>
      <c r="GG48" s="316"/>
      <c r="GH48" s="316"/>
      <c r="GI48" s="316"/>
      <c r="GJ48" s="316"/>
      <c r="GK48" s="316"/>
      <c r="GL48" s="316"/>
      <c r="GM48" s="316"/>
      <c r="GN48" s="316"/>
      <c r="GO48" s="316"/>
      <c r="GP48" s="316"/>
      <c r="GQ48" s="316"/>
      <c r="GR48" s="316"/>
      <c r="GS48" s="316"/>
      <c r="GT48" s="316"/>
      <c r="GU48" s="316"/>
      <c r="GV48" s="316"/>
      <c r="GW48" s="316"/>
      <c r="GX48" s="316"/>
      <c r="GY48" s="316"/>
      <c r="GZ48" s="316"/>
      <c r="HA48" s="316"/>
      <c r="HB48" s="316"/>
      <c r="HC48" s="316"/>
      <c r="HD48" s="316"/>
      <c r="HE48" s="316"/>
      <c r="HF48" s="316"/>
      <c r="HG48" s="316"/>
      <c r="HH48" s="316"/>
      <c r="HI48" s="316"/>
      <c r="HJ48" s="316"/>
      <c r="HK48" s="316"/>
      <c r="HL48" s="316"/>
      <c r="HM48" s="316"/>
      <c r="HV48" s="302">
        <f t="shared" si="11"/>
        <v>0</v>
      </c>
      <c r="HW48" s="302">
        <f t="shared" si="12"/>
        <v>0</v>
      </c>
      <c r="HX48" s="302">
        <f t="shared" si="13"/>
        <v>0</v>
      </c>
      <c r="HY48" s="302">
        <f t="shared" si="14"/>
        <v>0</v>
      </c>
      <c r="KH48" s="303"/>
    </row>
    <row r="49" spans="1:294" outlineLevel="1">
      <c r="B49" s="117" t="s">
        <v>361</v>
      </c>
      <c r="D49" s="319" t="s">
        <v>391</v>
      </c>
      <c r="E49" s="316"/>
      <c r="F49" s="316"/>
      <c r="G49" s="316"/>
      <c r="H49" s="316"/>
      <c r="I49" s="316"/>
      <c r="J49" s="316"/>
      <c r="K49" s="316"/>
      <c r="L49" s="316"/>
      <c r="M49" s="316"/>
      <c r="N49" s="316"/>
      <c r="O49" s="316"/>
      <c r="P49" s="316"/>
      <c r="Q49" s="316"/>
      <c r="R49" s="316"/>
      <c r="S49" s="316"/>
      <c r="T49" s="316"/>
      <c r="U49" s="316"/>
      <c r="V49" s="316"/>
      <c r="W49" s="316"/>
      <c r="X49" s="316"/>
      <c r="Y49" s="316"/>
      <c r="Z49" s="316"/>
      <c r="AA49" s="316"/>
      <c r="AB49" s="316"/>
      <c r="AC49" s="316"/>
      <c r="AD49" s="316"/>
      <c r="AE49" s="316"/>
      <c r="AF49" s="316"/>
      <c r="AG49" s="316"/>
      <c r="AH49" s="316"/>
      <c r="AI49" s="316"/>
      <c r="AJ49" s="316"/>
      <c r="AK49" s="316"/>
      <c r="AL49" s="316"/>
      <c r="AM49" s="316"/>
      <c r="AN49" s="316"/>
      <c r="AO49" s="316">
        <v>0</v>
      </c>
      <c r="AP49" s="316">
        <v>0</v>
      </c>
      <c r="AQ49" s="316">
        <v>0</v>
      </c>
      <c r="AR49" s="316">
        <v>0</v>
      </c>
      <c r="AS49" s="316">
        <v>0</v>
      </c>
      <c r="AT49" s="316">
        <v>0</v>
      </c>
      <c r="AU49" s="316">
        <v>0</v>
      </c>
      <c r="AV49" s="316">
        <v>0</v>
      </c>
      <c r="AW49" s="316">
        <v>0</v>
      </c>
      <c r="AX49" s="316">
        <v>0</v>
      </c>
      <c r="AY49" s="316">
        <v>0</v>
      </c>
      <c r="AZ49" s="316">
        <v>0</v>
      </c>
      <c r="BA49" s="316">
        <v>0</v>
      </c>
      <c r="BB49" s="316">
        <v>0</v>
      </c>
      <c r="BC49" s="316">
        <v>0</v>
      </c>
      <c r="BD49" s="316">
        <v>0</v>
      </c>
      <c r="BE49" s="316">
        <v>0</v>
      </c>
      <c r="BF49" s="316">
        <v>0</v>
      </c>
      <c r="BG49" s="316">
        <v>0</v>
      </c>
      <c r="BH49" s="316">
        <v>0</v>
      </c>
      <c r="BI49" s="316">
        <v>0</v>
      </c>
      <c r="BJ49" s="316">
        <v>0</v>
      </c>
      <c r="BK49" s="316">
        <v>0</v>
      </c>
      <c r="BL49" s="316">
        <v>0</v>
      </c>
      <c r="BM49" s="316">
        <v>0</v>
      </c>
      <c r="BN49" s="316">
        <v>0</v>
      </c>
      <c r="BO49" s="316">
        <v>0</v>
      </c>
      <c r="BP49" s="316">
        <v>0</v>
      </c>
      <c r="BQ49" s="316">
        <v>0</v>
      </c>
      <c r="BR49" s="316">
        <v>0</v>
      </c>
      <c r="BS49" s="316">
        <v>0</v>
      </c>
      <c r="BT49" s="316">
        <v>0</v>
      </c>
      <c r="BU49" s="316">
        <v>0</v>
      </c>
      <c r="BV49" s="316">
        <v>0</v>
      </c>
      <c r="BW49" s="316">
        <v>0</v>
      </c>
      <c r="BX49" s="316">
        <v>0</v>
      </c>
      <c r="BY49" s="316">
        <v>0</v>
      </c>
      <c r="BZ49" s="316">
        <v>0</v>
      </c>
      <c r="CA49" s="316">
        <v>0</v>
      </c>
      <c r="CB49" s="316">
        <v>0</v>
      </c>
      <c r="CC49" s="316">
        <v>0</v>
      </c>
      <c r="CD49" s="316">
        <v>0</v>
      </c>
      <c r="CE49" s="317">
        <v>0</v>
      </c>
      <c r="CF49" s="316">
        <v>0</v>
      </c>
      <c r="CG49" s="316">
        <v>0</v>
      </c>
      <c r="CH49" s="316">
        <v>0</v>
      </c>
      <c r="CI49" s="316">
        <v>0</v>
      </c>
      <c r="CJ49" s="316">
        <v>0</v>
      </c>
      <c r="CK49" s="316">
        <v>0</v>
      </c>
      <c r="CL49" s="316">
        <v>0</v>
      </c>
      <c r="CM49" s="316">
        <v>0</v>
      </c>
      <c r="CN49" s="316">
        <v>0</v>
      </c>
      <c r="CO49" s="316">
        <v>0</v>
      </c>
      <c r="CP49" s="318">
        <v>0</v>
      </c>
      <c r="CQ49" s="316">
        <v>0</v>
      </c>
      <c r="CR49" s="316">
        <v>0</v>
      </c>
      <c r="CS49" s="316">
        <v>0</v>
      </c>
      <c r="CT49" s="316">
        <v>0</v>
      </c>
      <c r="CU49" s="316">
        <v>0</v>
      </c>
      <c r="CV49" s="316">
        <v>0</v>
      </c>
      <c r="CW49" s="316">
        <v>0</v>
      </c>
      <c r="CX49" s="316">
        <v>0</v>
      </c>
      <c r="CY49" s="316">
        <v>0</v>
      </c>
      <c r="CZ49" s="316">
        <v>0</v>
      </c>
      <c r="DA49" s="316">
        <v>0</v>
      </c>
      <c r="DB49" s="1498">
        <v>0</v>
      </c>
      <c r="DC49" s="316">
        <v>0</v>
      </c>
      <c r="DD49" s="316">
        <v>0</v>
      </c>
      <c r="DE49" s="316">
        <v>0</v>
      </c>
      <c r="DF49" s="316">
        <v>0</v>
      </c>
      <c r="DG49" s="316">
        <v>0</v>
      </c>
      <c r="DH49" s="316">
        <v>0</v>
      </c>
      <c r="DI49" s="316">
        <v>0</v>
      </c>
      <c r="DJ49" s="316">
        <v>0</v>
      </c>
      <c r="DK49" s="316">
        <v>0</v>
      </c>
      <c r="DL49" s="316">
        <v>0</v>
      </c>
      <c r="DM49" s="316">
        <v>0</v>
      </c>
      <c r="DN49" s="318">
        <v>0</v>
      </c>
      <c r="DO49" s="316">
        <v>0</v>
      </c>
      <c r="DP49" s="316">
        <v>0</v>
      </c>
      <c r="DQ49" s="316">
        <v>4.8789299801195313E-2</v>
      </c>
      <c r="DR49" s="316">
        <v>0</v>
      </c>
      <c r="DS49" s="316">
        <v>0</v>
      </c>
      <c r="DT49" s="316">
        <v>0</v>
      </c>
      <c r="DU49" s="316">
        <v>0</v>
      </c>
      <c r="DV49" s="316">
        <v>0</v>
      </c>
      <c r="DW49" s="316">
        <v>4.6253747465003756E-2</v>
      </c>
      <c r="DX49" s="316">
        <v>0</v>
      </c>
      <c r="DY49" s="316">
        <v>0</v>
      </c>
      <c r="DZ49" s="318">
        <v>0</v>
      </c>
      <c r="EA49" s="316">
        <v>0</v>
      </c>
      <c r="EB49" s="316">
        <v>0</v>
      </c>
      <c r="EC49" s="316">
        <v>5.0441307885175264E-2</v>
      </c>
      <c r="ED49" s="316">
        <v>0</v>
      </c>
      <c r="EE49" s="316">
        <v>0</v>
      </c>
      <c r="EF49" s="316">
        <v>0</v>
      </c>
      <c r="EG49" s="316">
        <v>0</v>
      </c>
      <c r="EH49" s="316">
        <v>0</v>
      </c>
      <c r="EI49" s="316">
        <v>0</v>
      </c>
      <c r="EJ49" s="316">
        <v>0</v>
      </c>
      <c r="EK49" s="316">
        <v>5.1488414040169288E-2</v>
      </c>
      <c r="EL49" s="318">
        <v>0</v>
      </c>
      <c r="EM49" s="1206">
        <v>0</v>
      </c>
      <c r="EN49" s="1206">
        <v>0</v>
      </c>
      <c r="EO49" s="1206">
        <v>5.2339519754664457E-2</v>
      </c>
      <c r="EP49" s="1206">
        <v>0</v>
      </c>
      <c r="EQ49" s="1206">
        <v>0</v>
      </c>
      <c r="ER49" s="1206">
        <v>0</v>
      </c>
      <c r="ES49" s="1206">
        <v>0</v>
      </c>
      <c r="ET49" s="1206">
        <v>0</v>
      </c>
      <c r="EU49" s="1206">
        <v>5.3519956059E-2</v>
      </c>
      <c r="EV49" s="1206">
        <v>0</v>
      </c>
      <c r="EW49" s="1206">
        <v>0</v>
      </c>
      <c r="EX49" s="1550">
        <v>0</v>
      </c>
      <c r="EY49" s="1206"/>
      <c r="EZ49" s="1206"/>
      <c r="FA49" s="1206"/>
      <c r="FB49" s="1206"/>
      <c r="FC49" s="1206"/>
      <c r="FD49" s="1206"/>
      <c r="FE49" s="1206"/>
      <c r="FF49" s="1206"/>
      <c r="FG49" s="1206"/>
      <c r="FH49" s="1206"/>
      <c r="FI49" s="1206"/>
      <c r="FJ49" s="1550"/>
      <c r="FK49" s="1206"/>
      <c r="FL49" s="1206"/>
      <c r="FM49" s="1206"/>
      <c r="FN49" s="1206"/>
      <c r="FO49" s="1206"/>
      <c r="FP49" s="1206"/>
      <c r="FQ49" s="316"/>
      <c r="FR49" s="316"/>
      <c r="FS49" s="316"/>
      <c r="FT49" s="316"/>
      <c r="FU49" s="316"/>
      <c r="FV49" s="316"/>
      <c r="FW49" s="316"/>
      <c r="FX49" s="316"/>
      <c r="FY49" s="316"/>
      <c r="FZ49" s="316"/>
      <c r="GA49" s="316"/>
      <c r="GB49" s="316"/>
      <c r="GC49" s="316"/>
      <c r="GD49" s="316"/>
      <c r="GE49" s="316"/>
      <c r="GF49" s="316"/>
      <c r="GG49" s="316"/>
      <c r="GH49" s="316"/>
      <c r="GI49" s="316"/>
      <c r="GJ49" s="316"/>
      <c r="GK49" s="316"/>
      <c r="GL49" s="316"/>
      <c r="GM49" s="316"/>
      <c r="GN49" s="316"/>
      <c r="GO49" s="316"/>
      <c r="GP49" s="316"/>
      <c r="GQ49" s="316"/>
      <c r="GR49" s="316"/>
      <c r="GS49" s="316"/>
      <c r="GT49" s="316"/>
      <c r="GU49" s="316"/>
      <c r="GV49" s="316"/>
      <c r="GW49" s="316"/>
      <c r="GX49" s="316"/>
      <c r="GY49" s="316"/>
      <c r="GZ49" s="316"/>
      <c r="HA49" s="316"/>
      <c r="HB49" s="316"/>
      <c r="HC49" s="316"/>
      <c r="HD49" s="316"/>
      <c r="HE49" s="316"/>
      <c r="HF49" s="316"/>
      <c r="HG49" s="316"/>
      <c r="HH49" s="316"/>
      <c r="HI49" s="316"/>
      <c r="HJ49" s="316"/>
      <c r="HK49" s="316"/>
      <c r="HL49" s="316"/>
      <c r="HM49" s="316"/>
      <c r="HV49" s="302">
        <f t="shared" si="11"/>
        <v>0</v>
      </c>
      <c r="HW49" s="302">
        <f t="shared" si="12"/>
        <v>0</v>
      </c>
      <c r="HX49" s="302">
        <f t="shared" si="13"/>
        <v>0</v>
      </c>
      <c r="HY49" s="302">
        <f t="shared" si="14"/>
        <v>4.8789299801195313E-2</v>
      </c>
      <c r="KH49" s="303"/>
    </row>
    <row r="50" spans="1:294" outlineLevel="1">
      <c r="B50" s="117" t="s">
        <v>361</v>
      </c>
      <c r="D50" s="319" t="s">
        <v>392</v>
      </c>
      <c r="E50" s="316"/>
      <c r="F50" s="316"/>
      <c r="G50" s="316"/>
      <c r="H50" s="316"/>
      <c r="I50" s="316"/>
      <c r="J50" s="316"/>
      <c r="K50" s="316"/>
      <c r="L50" s="316"/>
      <c r="M50" s="316"/>
      <c r="N50" s="316"/>
      <c r="O50" s="316"/>
      <c r="P50" s="316"/>
      <c r="Q50" s="316"/>
      <c r="R50" s="316"/>
      <c r="S50" s="316"/>
      <c r="T50" s="316"/>
      <c r="U50" s="316"/>
      <c r="V50" s="316"/>
      <c r="W50" s="316"/>
      <c r="X50" s="316"/>
      <c r="Y50" s="316"/>
      <c r="Z50" s="316"/>
      <c r="AA50" s="316"/>
      <c r="AB50" s="316"/>
      <c r="AC50" s="316"/>
      <c r="AD50" s="316"/>
      <c r="AE50" s="316"/>
      <c r="AF50" s="316"/>
      <c r="AG50" s="316"/>
      <c r="AH50" s="316"/>
      <c r="AI50" s="316"/>
      <c r="AJ50" s="316"/>
      <c r="AK50" s="316"/>
      <c r="AL50" s="316"/>
      <c r="AM50" s="316"/>
      <c r="AN50" s="316"/>
      <c r="AO50" s="316">
        <v>0</v>
      </c>
      <c r="AP50" s="316">
        <v>0</v>
      </c>
      <c r="AQ50" s="316">
        <v>0</v>
      </c>
      <c r="AR50" s="316">
        <v>0</v>
      </c>
      <c r="AS50" s="316">
        <v>0</v>
      </c>
      <c r="AT50" s="316">
        <v>0</v>
      </c>
      <c r="AU50" s="316">
        <v>0</v>
      </c>
      <c r="AV50" s="316">
        <v>0</v>
      </c>
      <c r="AW50" s="316">
        <v>0</v>
      </c>
      <c r="AX50" s="316">
        <v>0</v>
      </c>
      <c r="AY50" s="316">
        <v>0</v>
      </c>
      <c r="AZ50" s="316">
        <v>0</v>
      </c>
      <c r="BA50" s="316">
        <v>0</v>
      </c>
      <c r="BB50" s="316">
        <v>0</v>
      </c>
      <c r="BC50" s="316">
        <v>0</v>
      </c>
      <c r="BD50" s="316">
        <v>0</v>
      </c>
      <c r="BE50" s="316">
        <v>0</v>
      </c>
      <c r="BF50" s="316">
        <v>0</v>
      </c>
      <c r="BG50" s="316">
        <v>0</v>
      </c>
      <c r="BH50" s="316">
        <v>0</v>
      </c>
      <c r="BI50" s="316">
        <v>0</v>
      </c>
      <c r="BJ50" s="316">
        <v>0</v>
      </c>
      <c r="BK50" s="316">
        <v>0</v>
      </c>
      <c r="BL50" s="316">
        <v>0</v>
      </c>
      <c r="BM50" s="316">
        <v>0</v>
      </c>
      <c r="BN50" s="316">
        <v>0</v>
      </c>
      <c r="BO50" s="316">
        <v>0</v>
      </c>
      <c r="BP50" s="316">
        <v>0</v>
      </c>
      <c r="BQ50" s="316">
        <v>0</v>
      </c>
      <c r="BR50" s="316">
        <v>0</v>
      </c>
      <c r="BS50" s="316">
        <v>0</v>
      </c>
      <c r="BT50" s="316">
        <v>0</v>
      </c>
      <c r="BU50" s="316">
        <v>0</v>
      </c>
      <c r="BV50" s="316">
        <v>0</v>
      </c>
      <c r="BW50" s="316">
        <v>0</v>
      </c>
      <c r="BX50" s="316">
        <v>0</v>
      </c>
      <c r="BY50" s="316">
        <v>0</v>
      </c>
      <c r="BZ50" s="316">
        <v>0</v>
      </c>
      <c r="CA50" s="316">
        <v>0</v>
      </c>
      <c r="CB50" s="316">
        <v>0</v>
      </c>
      <c r="CC50" s="316">
        <v>0</v>
      </c>
      <c r="CD50" s="316">
        <v>0</v>
      </c>
      <c r="CE50" s="317">
        <v>0</v>
      </c>
      <c r="CF50" s="316">
        <v>0</v>
      </c>
      <c r="CG50" s="316">
        <v>0</v>
      </c>
      <c r="CH50" s="316">
        <v>0</v>
      </c>
      <c r="CI50" s="316">
        <v>0</v>
      </c>
      <c r="CJ50" s="316">
        <v>0</v>
      </c>
      <c r="CK50" s="316">
        <v>0</v>
      </c>
      <c r="CL50" s="316">
        <v>0</v>
      </c>
      <c r="CM50" s="316">
        <v>0</v>
      </c>
      <c r="CN50" s="316">
        <v>0</v>
      </c>
      <c r="CO50" s="316">
        <v>0</v>
      </c>
      <c r="CP50" s="318">
        <v>0</v>
      </c>
      <c r="CQ50" s="316">
        <v>0</v>
      </c>
      <c r="CR50" s="316">
        <v>0</v>
      </c>
      <c r="CS50" s="316">
        <v>0</v>
      </c>
      <c r="CT50" s="316">
        <v>0</v>
      </c>
      <c r="CU50" s="316">
        <v>0</v>
      </c>
      <c r="CV50" s="316">
        <v>0</v>
      </c>
      <c r="CW50" s="316">
        <v>0</v>
      </c>
      <c r="CX50" s="316">
        <v>0</v>
      </c>
      <c r="CY50" s="316">
        <v>0</v>
      </c>
      <c r="CZ50" s="316">
        <v>0</v>
      </c>
      <c r="DA50" s="316">
        <v>0</v>
      </c>
      <c r="DB50" s="1498">
        <v>0</v>
      </c>
      <c r="DC50" s="316">
        <v>0</v>
      </c>
      <c r="DD50" s="316">
        <v>0</v>
      </c>
      <c r="DE50" s="316">
        <v>0</v>
      </c>
      <c r="DF50" s="316">
        <v>0</v>
      </c>
      <c r="DG50" s="316">
        <v>0</v>
      </c>
      <c r="DH50" s="316">
        <v>0</v>
      </c>
      <c r="DI50" s="316">
        <v>0</v>
      </c>
      <c r="DJ50" s="316">
        <v>0</v>
      </c>
      <c r="DK50" s="316">
        <v>0</v>
      </c>
      <c r="DL50" s="316">
        <v>0</v>
      </c>
      <c r="DM50" s="316">
        <v>0</v>
      </c>
      <c r="DN50" s="318">
        <v>0</v>
      </c>
      <c r="DO50" s="316">
        <v>0</v>
      </c>
      <c r="DP50" s="316">
        <v>0</v>
      </c>
      <c r="DQ50" s="316">
        <v>0</v>
      </c>
      <c r="DR50" s="316">
        <v>0</v>
      </c>
      <c r="DS50" s="316">
        <v>0</v>
      </c>
      <c r="DT50" s="316">
        <v>0</v>
      </c>
      <c r="DU50" s="316">
        <v>0</v>
      </c>
      <c r="DV50" s="316">
        <v>0</v>
      </c>
      <c r="DW50" s="316">
        <v>0</v>
      </c>
      <c r="DX50" s="316">
        <v>0</v>
      </c>
      <c r="DY50" s="316">
        <v>0</v>
      </c>
      <c r="DZ50" s="318">
        <v>0</v>
      </c>
      <c r="EA50" s="316">
        <v>0</v>
      </c>
      <c r="EB50" s="316">
        <v>0</v>
      </c>
      <c r="EC50" s="316">
        <v>0</v>
      </c>
      <c r="ED50" s="316">
        <v>0</v>
      </c>
      <c r="EE50" s="316">
        <v>0</v>
      </c>
      <c r="EF50" s="316">
        <v>0</v>
      </c>
      <c r="EG50" s="316">
        <v>0</v>
      </c>
      <c r="EH50" s="316">
        <v>0</v>
      </c>
      <c r="EI50" s="316">
        <v>0</v>
      </c>
      <c r="EJ50" s="316">
        <v>0</v>
      </c>
      <c r="EK50" s="316">
        <v>0</v>
      </c>
      <c r="EL50" s="318">
        <v>0</v>
      </c>
      <c r="EM50" s="1206">
        <v>0</v>
      </c>
      <c r="EN50" s="1206">
        <v>0</v>
      </c>
      <c r="EO50" s="1206">
        <v>0</v>
      </c>
      <c r="EP50" s="1206">
        <v>0</v>
      </c>
      <c r="EQ50" s="1206">
        <v>0</v>
      </c>
      <c r="ER50" s="1206">
        <v>0</v>
      </c>
      <c r="ES50" s="1206">
        <v>0</v>
      </c>
      <c r="ET50" s="1206">
        <v>0</v>
      </c>
      <c r="EU50" s="1206">
        <v>0</v>
      </c>
      <c r="EV50" s="1206">
        <v>0</v>
      </c>
      <c r="EW50" s="1206">
        <v>0</v>
      </c>
      <c r="EX50" s="1550">
        <v>0</v>
      </c>
      <c r="EY50" s="1206"/>
      <c r="EZ50" s="1206"/>
      <c r="FA50" s="1206"/>
      <c r="FB50" s="1206"/>
      <c r="FC50" s="1206"/>
      <c r="FD50" s="1206"/>
      <c r="FE50" s="1206"/>
      <c r="FF50" s="1206"/>
      <c r="FG50" s="1206"/>
      <c r="FH50" s="1206"/>
      <c r="FI50" s="1206"/>
      <c r="FJ50" s="1550"/>
      <c r="FK50" s="1206"/>
      <c r="FL50" s="1206"/>
      <c r="FM50" s="1206"/>
      <c r="FN50" s="1206"/>
      <c r="FO50" s="1206"/>
      <c r="FP50" s="1206"/>
      <c r="FQ50" s="316"/>
      <c r="FR50" s="316"/>
      <c r="FS50" s="316"/>
      <c r="FT50" s="316"/>
      <c r="FU50" s="316"/>
      <c r="FV50" s="316"/>
      <c r="FW50" s="316"/>
      <c r="FX50" s="316"/>
      <c r="FY50" s="316"/>
      <c r="FZ50" s="316"/>
      <c r="GA50" s="316"/>
      <c r="GB50" s="316"/>
      <c r="GC50" s="316"/>
      <c r="GD50" s="316"/>
      <c r="GE50" s="316"/>
      <c r="GF50" s="316"/>
      <c r="GG50" s="316"/>
      <c r="GH50" s="316"/>
      <c r="GI50" s="316"/>
      <c r="GJ50" s="316"/>
      <c r="GK50" s="316"/>
      <c r="GL50" s="316"/>
      <c r="GM50" s="316"/>
      <c r="GN50" s="316"/>
      <c r="GO50" s="316"/>
      <c r="GP50" s="316"/>
      <c r="GQ50" s="316"/>
      <c r="GR50" s="316"/>
      <c r="GS50" s="316"/>
      <c r="GT50" s="316"/>
      <c r="GU50" s="316"/>
      <c r="GV50" s="316"/>
      <c r="GW50" s="316"/>
      <c r="GX50" s="316"/>
      <c r="GY50" s="316"/>
      <c r="GZ50" s="316"/>
      <c r="HA50" s="316"/>
      <c r="HB50" s="316"/>
      <c r="HC50" s="316"/>
      <c r="HD50" s="316"/>
      <c r="HE50" s="316"/>
      <c r="HF50" s="316"/>
      <c r="HG50" s="316"/>
      <c r="HH50" s="316"/>
      <c r="HI50" s="316"/>
      <c r="HJ50" s="316"/>
      <c r="HK50" s="316"/>
      <c r="HL50" s="316"/>
      <c r="HM50" s="316"/>
      <c r="HV50" s="302">
        <f t="shared" si="11"/>
        <v>0</v>
      </c>
      <c r="HW50" s="302">
        <f t="shared" si="12"/>
        <v>0</v>
      </c>
      <c r="HX50" s="302">
        <f t="shared" si="13"/>
        <v>0</v>
      </c>
      <c r="HY50" s="302">
        <f t="shared" si="14"/>
        <v>0</v>
      </c>
      <c r="KH50" s="303"/>
    </row>
    <row r="51" spans="1:294" outlineLevel="1">
      <c r="A51" s="117" t="s">
        <v>360</v>
      </c>
      <c r="B51" s="117" t="s">
        <v>361</v>
      </c>
      <c r="D51" s="322" t="s">
        <v>981</v>
      </c>
      <c r="E51" s="316"/>
      <c r="F51" s="316"/>
      <c r="G51" s="316"/>
      <c r="H51" s="316"/>
      <c r="I51" s="316"/>
      <c r="J51" s="316"/>
      <c r="K51" s="316"/>
      <c r="L51" s="316"/>
      <c r="M51" s="316"/>
      <c r="N51" s="316"/>
      <c r="O51" s="316"/>
      <c r="P51" s="316"/>
      <c r="Q51" s="316"/>
      <c r="R51" s="316"/>
      <c r="S51" s="316"/>
      <c r="T51" s="316"/>
      <c r="U51" s="316"/>
      <c r="V51" s="316"/>
      <c r="W51" s="316"/>
      <c r="X51" s="316"/>
      <c r="Y51" s="316"/>
      <c r="Z51" s="316"/>
      <c r="AA51" s="316"/>
      <c r="AB51" s="316"/>
      <c r="AC51" s="316"/>
      <c r="AD51" s="316"/>
      <c r="AE51" s="316"/>
      <c r="AF51" s="316"/>
      <c r="AG51" s="316"/>
      <c r="AH51" s="316"/>
      <c r="AI51" s="316"/>
      <c r="AJ51" s="316"/>
      <c r="AK51" s="316"/>
      <c r="AL51" s="316"/>
      <c r="AM51" s="316"/>
      <c r="AN51" s="316"/>
      <c r="AO51" s="316">
        <v>0.4218368758062</v>
      </c>
      <c r="AP51" s="316">
        <v>0.15930158205101999</v>
      </c>
      <c r="AQ51" s="316">
        <v>0.61614968011050009</v>
      </c>
      <c r="AR51" s="316">
        <v>0.29238099254990002</v>
      </c>
      <c r="AS51" s="316">
        <v>0.49848143689416663</v>
      </c>
      <c r="AT51" s="316">
        <v>0.27567536453119995</v>
      </c>
      <c r="AU51" s="316">
        <v>0.41900182074452003</v>
      </c>
      <c r="AV51" s="316">
        <v>5.9318858289000003E-3</v>
      </c>
      <c r="AW51" s="316">
        <v>0.31037488525610002</v>
      </c>
      <c r="AX51" s="316">
        <v>0.79970507613979092</v>
      </c>
      <c r="AY51" s="316">
        <v>0.12941338107390002</v>
      </c>
      <c r="AZ51" s="316">
        <v>0.66349748529589991</v>
      </c>
      <c r="BA51" s="316">
        <v>0.43553760418569998</v>
      </c>
      <c r="BB51" s="316">
        <v>1.0110004030600001E-2</v>
      </c>
      <c r="BC51" s="316">
        <v>0.92716271887939983</v>
      </c>
      <c r="BD51" s="316">
        <v>0.33346708193720004</v>
      </c>
      <c r="BE51" s="316">
        <v>0.16446884016910002</v>
      </c>
      <c r="BF51" s="316">
        <v>0.46283348290624249</v>
      </c>
      <c r="BG51" s="316">
        <v>0.34485740744133997</v>
      </c>
      <c r="BH51" s="316">
        <v>9.8169443462000003E-3</v>
      </c>
      <c r="BI51" s="316">
        <v>1.2120026289219998</v>
      </c>
      <c r="BJ51" s="316">
        <v>0.33039555101270002</v>
      </c>
      <c r="BK51" s="316">
        <v>0.32488939680901541</v>
      </c>
      <c r="BL51" s="316">
        <v>0.34050568651879998</v>
      </c>
      <c r="BM51" s="316">
        <v>0.39396392489391369</v>
      </c>
      <c r="BN51" s="316">
        <v>7.2656133475500012E-2</v>
      </c>
      <c r="BO51" s="316">
        <v>1.2065038944793001</v>
      </c>
      <c r="BP51" s="316">
        <v>0.31303042793640007</v>
      </c>
      <c r="BQ51" s="316">
        <v>0.34902942384715879</v>
      </c>
      <c r="BR51" s="316">
        <v>0.31419376258039999</v>
      </c>
      <c r="BS51" s="316">
        <v>0.43520851936100008</v>
      </c>
      <c r="BT51" s="316">
        <v>0.1174770905835</v>
      </c>
      <c r="BU51" s="316">
        <v>1.4745296531095</v>
      </c>
      <c r="BV51" s="316">
        <v>0.32665665659969995</v>
      </c>
      <c r="BW51" s="316">
        <v>0.39447036437689997</v>
      </c>
      <c r="BX51" s="316">
        <v>0.29238563276329999</v>
      </c>
      <c r="BY51" s="316">
        <v>0.58962372103436689</v>
      </c>
      <c r="BZ51" s="316">
        <v>0.26209405264554808</v>
      </c>
      <c r="CA51" s="316">
        <v>1.5240433492468854</v>
      </c>
      <c r="CB51" s="316">
        <v>0.94911435578394543</v>
      </c>
      <c r="CC51" s="316">
        <v>0.83735857921354295</v>
      </c>
      <c r="CD51" s="636">
        <v>0.3171077764414989</v>
      </c>
      <c r="CE51" s="635">
        <v>0.6969246684296645</v>
      </c>
      <c r="CF51" s="636">
        <v>0.20840830560696241</v>
      </c>
      <c r="CG51" s="636">
        <v>0.97392462447706141</v>
      </c>
      <c r="CH51" s="636">
        <v>9.8554909258991508</v>
      </c>
      <c r="CI51" s="636">
        <v>0.32145879232868413</v>
      </c>
      <c r="CJ51" s="636">
        <v>0.19237510966634239</v>
      </c>
      <c r="CK51" s="636">
        <v>0.71346271088450908</v>
      </c>
      <c r="CL51" s="636">
        <v>0.21600343383900905</v>
      </c>
      <c r="CM51" s="636">
        <v>1.1769884505048114</v>
      </c>
      <c r="CN51" s="636">
        <v>10.349296616037982</v>
      </c>
      <c r="CO51" s="636">
        <v>0.49532113773663172</v>
      </c>
      <c r="CP51" s="653">
        <v>0.33179743428691255</v>
      </c>
      <c r="CQ51" s="636">
        <v>0.79099153748848061</v>
      </c>
      <c r="CR51" s="636">
        <v>0.11403729645791975</v>
      </c>
      <c r="CS51" s="636">
        <v>1.4733748898749943</v>
      </c>
      <c r="CT51" s="636">
        <v>10.366451704121625</v>
      </c>
      <c r="CU51" s="636">
        <v>0.50758294923288882</v>
      </c>
      <c r="CV51" s="636">
        <v>0.35534728540567539</v>
      </c>
      <c r="CW51" s="636">
        <v>0.24830707547233477</v>
      </c>
      <c r="CX51" s="636">
        <v>0.74359800471522997</v>
      </c>
      <c r="CY51" s="636">
        <v>1.1104098504566957</v>
      </c>
      <c r="CZ51" s="636">
        <v>11.084422587891101</v>
      </c>
      <c r="DA51" s="636">
        <v>0.40285186905315495</v>
      </c>
      <c r="DB51" s="1501">
        <v>0.41327722969822789</v>
      </c>
      <c r="DC51" s="636">
        <v>0.30581300002400003</v>
      </c>
      <c r="DD51" s="636">
        <v>1.3218321449999999</v>
      </c>
      <c r="DE51" s="636">
        <v>1.7112772300000001</v>
      </c>
      <c r="DF51" s="636">
        <v>10.920185254000002</v>
      </c>
      <c r="DG51" s="636">
        <v>0.41516584300000003</v>
      </c>
      <c r="DH51" s="636">
        <v>0.48394333900000003</v>
      </c>
      <c r="DI51" s="636">
        <v>1.017606302988461</v>
      </c>
      <c r="DJ51" s="636">
        <v>1.3759804558694047</v>
      </c>
      <c r="DK51" s="636">
        <v>1.4788225950813481</v>
      </c>
      <c r="DL51" s="636">
        <v>11.335465838468624</v>
      </c>
      <c r="DM51" s="636">
        <v>0.57451591380627609</v>
      </c>
      <c r="DN51" s="653">
        <v>0.40663164738113922</v>
      </c>
      <c r="DO51" s="636">
        <v>0.32722966209005344</v>
      </c>
      <c r="DP51" s="636">
        <v>1.9954767715179773</v>
      </c>
      <c r="DQ51" s="636">
        <v>2.9979238477775936</v>
      </c>
      <c r="DR51" s="636">
        <v>11.535534062562478</v>
      </c>
      <c r="DS51" s="636">
        <v>1.269771634989743</v>
      </c>
      <c r="DT51" s="636">
        <v>0.36580835911539161</v>
      </c>
      <c r="DU51" s="636">
        <v>1.2244464356620535</v>
      </c>
      <c r="DV51" s="636">
        <v>1.4120260280794017</v>
      </c>
      <c r="DW51" s="636">
        <v>3.1098523726815488</v>
      </c>
      <c r="DX51" s="636">
        <v>11.528777302292301</v>
      </c>
      <c r="DY51" s="636">
        <v>0.82126644185797826</v>
      </c>
      <c r="DZ51" s="653">
        <v>0.35050648456913208</v>
      </c>
      <c r="EA51" s="636">
        <v>1.3678306704717365</v>
      </c>
      <c r="EB51" s="636">
        <v>2.772290399442614</v>
      </c>
      <c r="EC51" s="636">
        <v>3.5298521251364812</v>
      </c>
      <c r="ED51" s="636">
        <v>12.121851679449437</v>
      </c>
      <c r="EE51" s="636">
        <v>0.77899620178828854</v>
      </c>
      <c r="EF51" s="636">
        <v>0.43908386018975831</v>
      </c>
      <c r="EG51" s="636">
        <v>1.1161334320857534</v>
      </c>
      <c r="EH51" s="636">
        <v>3.0604763937396848</v>
      </c>
      <c r="EI51" s="636">
        <v>2.0036299772964439</v>
      </c>
      <c r="EJ51" s="636">
        <v>13.871885997789011</v>
      </c>
      <c r="EK51" s="636">
        <v>0.75602008683280353</v>
      </c>
      <c r="EL51" s="653">
        <v>1.0089266132560877</v>
      </c>
      <c r="EM51" s="1209">
        <v>1.6198623873765028</v>
      </c>
      <c r="EN51" s="1209">
        <v>2.7373024249772246</v>
      </c>
      <c r="EO51" s="1209">
        <v>2.0123866936801722</v>
      </c>
      <c r="EP51" s="1209">
        <v>14.22283591316187</v>
      </c>
      <c r="EQ51" s="1209">
        <v>1.4073944976639343</v>
      </c>
      <c r="ER51" s="1209">
        <v>1.0850148726375077</v>
      </c>
      <c r="ES51" s="1209">
        <v>1.7520355385139252</v>
      </c>
      <c r="ET51" s="1209">
        <v>2.54408384332124</v>
      </c>
      <c r="EU51" s="1209">
        <v>4.4114107411148815</v>
      </c>
      <c r="EV51" s="1209">
        <v>12.708406492627095</v>
      </c>
      <c r="EW51" s="1209">
        <v>2.0007631160883328</v>
      </c>
      <c r="EX51" s="1539">
        <v>1.3867201917728373</v>
      </c>
      <c r="EY51" s="1209"/>
      <c r="EZ51" s="1209"/>
      <c r="FA51" s="1209"/>
      <c r="FB51" s="1209"/>
      <c r="FC51" s="1209"/>
      <c r="FD51" s="1209"/>
      <c r="FE51" s="1209"/>
      <c r="FF51" s="1209"/>
      <c r="FG51" s="1209"/>
      <c r="FH51" s="1209"/>
      <c r="FI51" s="1209"/>
      <c r="FJ51" s="1539"/>
      <c r="FK51" s="1209"/>
      <c r="FL51" s="1209"/>
      <c r="FM51" s="1209"/>
      <c r="FN51" s="1209"/>
      <c r="FO51" s="1209"/>
      <c r="FP51" s="1209"/>
      <c r="FQ51" s="316">
        <v>3.0185221513997238</v>
      </c>
      <c r="FR51" s="316">
        <v>4.1255898384212824</v>
      </c>
      <c r="FS51" s="316">
        <v>7.0408369434813949</v>
      </c>
      <c r="FT51" s="316">
        <v>14.877754502617986</v>
      </c>
      <c r="FU51" s="316">
        <v>3.4291730150068678</v>
      </c>
      <c r="FV51" s="316">
        <v>1.9037964901119935</v>
      </c>
      <c r="FW51" s="636">
        <v>3.0111710048357687</v>
      </c>
      <c r="FX51" s="636">
        <v>10.635850491463843</v>
      </c>
      <c r="FY51" s="636">
        <v>6.8643131069934533</v>
      </c>
      <c r="FZ51" s="636">
        <v>1.3540609383678777</v>
      </c>
      <c r="GA51" s="636">
        <v>4.381167408148027</v>
      </c>
      <c r="GB51" s="636">
        <v>1.5505532426927384</v>
      </c>
      <c r="GC51" s="636"/>
      <c r="GD51" s="636"/>
      <c r="GE51" s="636"/>
      <c r="GF51" s="636"/>
      <c r="GG51" s="636"/>
      <c r="GH51" s="636"/>
      <c r="GI51" s="636"/>
      <c r="GJ51" s="636"/>
      <c r="GK51" s="636"/>
      <c r="GL51" s="636"/>
      <c r="GM51" s="636"/>
      <c r="GN51" s="636"/>
      <c r="GO51" s="636"/>
      <c r="GP51" s="636"/>
      <c r="GQ51" s="636"/>
      <c r="GR51" s="636"/>
      <c r="GS51" s="636"/>
      <c r="GT51" s="636"/>
      <c r="GU51" s="636"/>
      <c r="GV51" s="636"/>
      <c r="GW51" s="636"/>
      <c r="GX51" s="636"/>
      <c r="GY51" s="636"/>
      <c r="GZ51" s="636"/>
      <c r="HA51" s="636"/>
      <c r="HB51" s="636"/>
      <c r="HC51" s="636"/>
      <c r="HD51" s="636"/>
      <c r="HE51" s="636"/>
      <c r="HF51" s="636"/>
      <c r="HG51" s="636"/>
      <c r="HH51" s="636"/>
      <c r="HI51" s="636"/>
      <c r="HJ51" s="636"/>
      <c r="HK51" s="636"/>
      <c r="HL51" s="636"/>
      <c r="HM51" s="636"/>
      <c r="HV51" s="710">
        <f t="shared" si="11"/>
        <v>15.158216811024001</v>
      </c>
      <c r="HW51" s="710">
        <f t="shared" si="12"/>
        <v>16.189022753595253</v>
      </c>
      <c r="HX51" s="710">
        <f t="shared" si="13"/>
        <v>31.347239564619255</v>
      </c>
      <c r="HY51" s="302">
        <f t="shared" si="14"/>
        <v>18.491744338053238</v>
      </c>
      <c r="KH51" s="303"/>
    </row>
    <row r="52" spans="1:294" outlineLevel="1">
      <c r="B52" s="117" t="s">
        <v>361</v>
      </c>
      <c r="D52" s="319" t="str">
        <f t="shared" ref="D52:D67" si="15">D35</f>
        <v>IDA</v>
      </c>
      <c r="E52" s="316"/>
      <c r="F52" s="316"/>
      <c r="G52" s="316"/>
      <c r="H52" s="316"/>
      <c r="I52" s="316"/>
      <c r="J52" s="316"/>
      <c r="K52" s="316"/>
      <c r="L52" s="316"/>
      <c r="M52" s="316"/>
      <c r="N52" s="316"/>
      <c r="O52" s="316"/>
      <c r="P52" s="316"/>
      <c r="Q52" s="316"/>
      <c r="R52" s="316"/>
      <c r="S52" s="316"/>
      <c r="T52" s="316"/>
      <c r="U52" s="316"/>
      <c r="V52" s="316"/>
      <c r="W52" s="316"/>
      <c r="X52" s="316"/>
      <c r="Y52" s="316"/>
      <c r="Z52" s="316"/>
      <c r="AA52" s="316"/>
      <c r="AB52" s="316"/>
      <c r="AC52" s="316"/>
      <c r="AD52" s="316"/>
      <c r="AE52" s="316"/>
      <c r="AF52" s="316"/>
      <c r="AG52" s="316"/>
      <c r="AH52" s="316"/>
      <c r="AI52" s="316"/>
      <c r="AJ52" s="316"/>
      <c r="AK52" s="316"/>
      <c r="AL52" s="316"/>
      <c r="AM52" s="316"/>
      <c r="AN52" s="316"/>
      <c r="AO52" s="316">
        <v>4.4862295000000003E-2</v>
      </c>
      <c r="AP52" s="316">
        <v>0</v>
      </c>
      <c r="AQ52" s="316">
        <v>0.16140206625850001</v>
      </c>
      <c r="AR52" s="316">
        <v>0.21855020274180001</v>
      </c>
      <c r="AS52" s="316">
        <v>1.7004950950800003E-2</v>
      </c>
      <c r="AT52" s="316">
        <v>0.103170177</v>
      </c>
      <c r="AU52" s="316">
        <v>4.1812950000000002E-2</v>
      </c>
      <c r="AV52" s="316">
        <v>0</v>
      </c>
      <c r="AW52" s="316">
        <v>5.9111038999999997E-2</v>
      </c>
      <c r="AX52" s="316">
        <v>0.31286225245161592</v>
      </c>
      <c r="AY52" s="316">
        <v>2.7147527573199999E-2</v>
      </c>
      <c r="AZ52" s="316">
        <v>0.106218098</v>
      </c>
      <c r="BA52" s="316">
        <v>4.4547954000000001E-2</v>
      </c>
      <c r="BB52" s="316">
        <v>0</v>
      </c>
      <c r="BC52" s="316">
        <v>0.19294682986559999</v>
      </c>
      <c r="BD52" s="316">
        <v>0.24013712047980004</v>
      </c>
      <c r="BE52" s="316">
        <v>3.2391121725599999E-2</v>
      </c>
      <c r="BF52" s="316">
        <v>0.109633800576</v>
      </c>
      <c r="BG52" s="316">
        <v>4.5665788844999999E-2</v>
      </c>
      <c r="BH52" s="316">
        <v>0</v>
      </c>
      <c r="BI52" s="316">
        <v>0.29783244267769998</v>
      </c>
      <c r="BJ52" s="316">
        <v>0.24364431718690002</v>
      </c>
      <c r="BK52" s="316">
        <v>3.6504164936400005E-2</v>
      </c>
      <c r="BL52" s="316">
        <v>0.15442927169999998</v>
      </c>
      <c r="BM52" s="316">
        <v>0</v>
      </c>
      <c r="BN52" s="316">
        <v>0</v>
      </c>
      <c r="BO52" s="316">
        <v>0.38328086233590003</v>
      </c>
      <c r="BP52" s="316">
        <v>0.22099763054160002</v>
      </c>
      <c r="BQ52" s="316">
        <v>4.0685506000000003E-2</v>
      </c>
      <c r="BR52" s="316">
        <v>9.9273948684899999E-2</v>
      </c>
      <c r="BS52" s="316">
        <v>4.4520270725499994E-2</v>
      </c>
      <c r="BT52" s="316">
        <v>8.5468001579999989E-4</v>
      </c>
      <c r="BU52" s="316">
        <v>0.50159681891959995</v>
      </c>
      <c r="BV52" s="316">
        <v>0.2278344503269</v>
      </c>
      <c r="BW52" s="316">
        <v>5.8058849537299992E-2</v>
      </c>
      <c r="BX52" s="316">
        <v>0.10448431166100001</v>
      </c>
      <c r="BY52" s="316">
        <v>4.1105772397730278E-2</v>
      </c>
      <c r="BZ52" s="316">
        <v>1.7180774425698501E-3</v>
      </c>
      <c r="CA52" s="316">
        <v>0.4614079292668356</v>
      </c>
      <c r="CB52" s="316">
        <v>0.35740396864470697</v>
      </c>
      <c r="CC52" s="316">
        <v>8.8903978193477159E-2</v>
      </c>
      <c r="CD52" s="316">
        <v>0.10815191058703091</v>
      </c>
      <c r="CE52" s="317">
        <v>4.5601996963125238E-2</v>
      </c>
      <c r="CF52" s="316">
        <v>1.9928582874858699E-3</v>
      </c>
      <c r="CG52" s="316">
        <v>0.46511758053730484</v>
      </c>
      <c r="CH52" s="316">
        <v>0.32456128822444019</v>
      </c>
      <c r="CI52" s="316">
        <v>0.11992946669432353</v>
      </c>
      <c r="CJ52" s="316">
        <v>3.3237559517455902E-3</v>
      </c>
      <c r="CK52" s="316">
        <v>0</v>
      </c>
      <c r="CL52" s="316">
        <v>2.5848554639240403E-3</v>
      </c>
      <c r="CM52" s="316">
        <v>0.54578319540196685</v>
      </c>
      <c r="CN52" s="316">
        <v>0.37100998407188351</v>
      </c>
      <c r="CO52" s="316">
        <v>0.16002186442836494</v>
      </c>
      <c r="CP52" s="318">
        <v>0.11902266351261069</v>
      </c>
      <c r="CQ52" s="316">
        <v>4.9852623843655831E-2</v>
      </c>
      <c r="CR52" s="316">
        <v>6.8149563996915394E-2</v>
      </c>
      <c r="CS52" s="316">
        <v>0.60551557235916342</v>
      </c>
      <c r="CT52" s="316">
        <v>0.36094059468037942</v>
      </c>
      <c r="CU52" s="316">
        <v>0.17715602631848038</v>
      </c>
      <c r="CV52" s="316">
        <v>0.15595467803359722</v>
      </c>
      <c r="CW52" s="316">
        <v>0</v>
      </c>
      <c r="CX52" s="316">
        <v>0.12115844623030154</v>
      </c>
      <c r="CY52" s="316">
        <v>0.60689469622975956</v>
      </c>
      <c r="CZ52" s="316">
        <v>0.30164943849909465</v>
      </c>
      <c r="DA52" s="316">
        <v>0.16345511711249752</v>
      </c>
      <c r="DB52" s="1498">
        <v>9.9513475628224893E-2</v>
      </c>
      <c r="DC52" s="316">
        <v>4.2027249000000003E-2</v>
      </c>
      <c r="DD52" s="316">
        <v>0.45936125</v>
      </c>
      <c r="DE52" s="316">
        <v>0.66213271200000001</v>
      </c>
      <c r="DF52" s="316">
        <v>0.30458998500000001</v>
      </c>
      <c r="DG52" s="316">
        <v>0.231129106</v>
      </c>
      <c r="DH52" s="316">
        <v>0.123792366</v>
      </c>
      <c r="DI52" s="316">
        <v>0.18469480975335731</v>
      </c>
      <c r="DJ52" s="316">
        <v>0.50443115737986555</v>
      </c>
      <c r="DK52" s="316">
        <v>0.87571893427797454</v>
      </c>
      <c r="DL52" s="316">
        <v>0.25763075873328828</v>
      </c>
      <c r="DM52" s="316">
        <v>0.2111585688043344</v>
      </c>
      <c r="DN52" s="318">
        <v>0.10824372182507923</v>
      </c>
      <c r="DO52" s="316">
        <v>4.6805349188928001E-2</v>
      </c>
      <c r="DP52" s="316">
        <v>1.1406969198986436</v>
      </c>
      <c r="DQ52" s="316">
        <v>0.989274015895792</v>
      </c>
      <c r="DR52" s="316">
        <v>0.25665552673563174</v>
      </c>
      <c r="DS52" s="316">
        <v>0.32007712782978825</v>
      </c>
      <c r="DT52" s="316">
        <v>0.11134253080202726</v>
      </c>
      <c r="DU52" s="316">
        <v>0.25397819020673951</v>
      </c>
      <c r="DV52" s="316">
        <v>0.91942553004649019</v>
      </c>
      <c r="DW52" s="316">
        <v>1.0090457870010361</v>
      </c>
      <c r="DX52" s="316">
        <v>0.23564299655890653</v>
      </c>
      <c r="DY52" s="316">
        <v>0.33413610502526758</v>
      </c>
      <c r="DZ52" s="318">
        <v>0.10308580085413344</v>
      </c>
      <c r="EA52" s="316">
        <v>0.34736859754956884</v>
      </c>
      <c r="EB52" s="316">
        <v>1.4737939278287451</v>
      </c>
      <c r="EC52" s="316">
        <v>1.0842750617965116</v>
      </c>
      <c r="ED52" s="316">
        <v>0.46114325579141385</v>
      </c>
      <c r="EE52" s="316">
        <v>0.41449487032429494</v>
      </c>
      <c r="EF52" s="316">
        <v>0.19022861844242966</v>
      </c>
      <c r="EG52" s="316">
        <v>4.2889590908017916E-2</v>
      </c>
      <c r="EH52" s="316">
        <v>2.0795600811564015</v>
      </c>
      <c r="EI52" s="316">
        <v>1.2090638720820728</v>
      </c>
      <c r="EJ52" s="316">
        <v>0.2785973176911874</v>
      </c>
      <c r="EK52" s="316">
        <v>0.41739874938292987</v>
      </c>
      <c r="EL52" s="318">
        <v>0.5098548414471018</v>
      </c>
      <c r="EM52" s="1206">
        <v>0.42575524170428053</v>
      </c>
      <c r="EN52" s="1206">
        <v>1.9874565575865852</v>
      </c>
      <c r="EO52" s="1206">
        <v>1.2635194938092706</v>
      </c>
      <c r="EP52" s="1206">
        <v>0.25799993610598337</v>
      </c>
      <c r="EQ52" s="1206">
        <v>0.83188050439587302</v>
      </c>
      <c r="ER52" s="1206">
        <v>0.18993380102618998</v>
      </c>
      <c r="ES52" s="1206">
        <v>0.41084156822510887</v>
      </c>
      <c r="ET52" s="1206">
        <v>1.9450468567024899</v>
      </c>
      <c r="EU52" s="1206">
        <v>1.5629162924708755</v>
      </c>
      <c r="EV52" s="1206">
        <v>0.27312299590225753</v>
      </c>
      <c r="EW52" s="1206">
        <v>0.7664274166425854</v>
      </c>
      <c r="EX52" s="1550">
        <v>0.61769747335749381</v>
      </c>
      <c r="EY52" s="1206"/>
      <c r="EZ52" s="1206"/>
      <c r="FA52" s="1206"/>
      <c r="FB52" s="1206"/>
      <c r="FC52" s="1206"/>
      <c r="FD52" s="1206"/>
      <c r="FE52" s="1206"/>
      <c r="FF52" s="1206"/>
      <c r="FG52" s="1206"/>
      <c r="FH52" s="1206"/>
      <c r="FI52" s="1206"/>
      <c r="FJ52" s="1550"/>
      <c r="FK52" s="1206"/>
      <c r="FL52" s="1206"/>
      <c r="FM52" s="1206"/>
      <c r="FN52" s="1206"/>
      <c r="FO52" s="1206"/>
      <c r="FP52" s="1206"/>
      <c r="FQ52" s="316"/>
      <c r="FR52" s="316"/>
      <c r="FS52" s="316"/>
      <c r="FT52" s="316"/>
      <c r="FU52" s="316"/>
      <c r="FV52" s="316"/>
      <c r="FW52" s="316"/>
      <c r="FX52" s="316"/>
      <c r="FY52" s="316"/>
      <c r="FZ52" s="316"/>
      <c r="GA52" s="316"/>
      <c r="GB52" s="316"/>
      <c r="GC52" s="316"/>
      <c r="GD52" s="316"/>
      <c r="GE52" s="316"/>
      <c r="GF52" s="316"/>
      <c r="GG52" s="316"/>
      <c r="GH52" s="316"/>
      <c r="GI52" s="316"/>
      <c r="GJ52" s="316"/>
      <c r="GK52" s="316"/>
      <c r="GL52" s="316"/>
      <c r="GM52" s="316"/>
      <c r="GN52" s="316"/>
      <c r="GO52" s="316"/>
      <c r="GP52" s="316"/>
      <c r="GQ52" s="316"/>
      <c r="GR52" s="316"/>
      <c r="GS52" s="316"/>
      <c r="GT52" s="316"/>
      <c r="GU52" s="316"/>
      <c r="GV52" s="316"/>
      <c r="GW52" s="316"/>
      <c r="GX52" s="316"/>
      <c r="GY52" s="316"/>
      <c r="GZ52" s="316"/>
      <c r="HA52" s="316"/>
      <c r="HB52" s="316"/>
      <c r="HC52" s="316"/>
      <c r="HD52" s="316"/>
      <c r="HE52" s="316"/>
      <c r="HF52" s="316"/>
      <c r="HG52" s="316"/>
      <c r="HH52" s="316"/>
      <c r="HI52" s="316"/>
      <c r="HJ52" s="316"/>
      <c r="HK52" s="316"/>
      <c r="HL52" s="316"/>
      <c r="HM52" s="316"/>
      <c r="HV52" s="302">
        <f t="shared" si="11"/>
        <v>1.823032668</v>
      </c>
      <c r="HW52" s="302">
        <f t="shared" si="12"/>
        <v>2.1418779507738992</v>
      </c>
      <c r="HX52" s="302">
        <f t="shared" si="13"/>
        <v>3.9649106187738994</v>
      </c>
      <c r="HY52" s="302">
        <f t="shared" si="14"/>
        <v>2.864851470350811</v>
      </c>
      <c r="KH52" s="303"/>
    </row>
    <row r="53" spans="1:294" outlineLevel="1">
      <c r="B53" s="117" t="s">
        <v>361</v>
      </c>
      <c r="D53" s="319" t="str">
        <f t="shared" si="15"/>
        <v>FAD</v>
      </c>
      <c r="E53" s="316"/>
      <c r="F53" s="316"/>
      <c r="G53" s="316"/>
      <c r="H53" s="316"/>
      <c r="I53" s="316"/>
      <c r="J53" s="316"/>
      <c r="K53" s="316"/>
      <c r="L53" s="316"/>
      <c r="M53" s="316"/>
      <c r="N53" s="316"/>
      <c r="O53" s="316"/>
      <c r="P53" s="316"/>
      <c r="Q53" s="316"/>
      <c r="R53" s="316"/>
      <c r="S53" s="316"/>
      <c r="T53" s="316"/>
      <c r="U53" s="316"/>
      <c r="V53" s="316"/>
      <c r="W53" s="316"/>
      <c r="X53" s="316"/>
      <c r="Y53" s="316"/>
      <c r="Z53" s="316"/>
      <c r="AA53" s="316"/>
      <c r="AB53" s="316"/>
      <c r="AC53" s="316"/>
      <c r="AD53" s="316"/>
      <c r="AE53" s="316"/>
      <c r="AF53" s="316"/>
      <c r="AG53" s="316"/>
      <c r="AH53" s="316"/>
      <c r="AI53" s="316"/>
      <c r="AJ53" s="316"/>
      <c r="AK53" s="316"/>
      <c r="AL53" s="316"/>
      <c r="AM53" s="316"/>
      <c r="AN53" s="316"/>
      <c r="AO53" s="316">
        <v>4.1504484580999999E-2</v>
      </c>
      <c r="AP53" s="316">
        <v>1.2206978729399999E-2</v>
      </c>
      <c r="AQ53" s="316">
        <v>0.31759151440029998</v>
      </c>
      <c r="AR53" s="316">
        <v>0</v>
      </c>
      <c r="AS53" s="316">
        <v>3.3052167387999994E-2</v>
      </c>
      <c r="AT53" s="316">
        <v>0</v>
      </c>
      <c r="AU53" s="316">
        <v>3.9746922685499994E-2</v>
      </c>
      <c r="AV53" s="316">
        <v>0</v>
      </c>
      <c r="AW53" s="316">
        <v>1.2919806000000001E-2</v>
      </c>
      <c r="AX53" s="316">
        <v>0.32730585820319996</v>
      </c>
      <c r="AY53" s="316">
        <v>0</v>
      </c>
      <c r="AZ53" s="316">
        <v>3.6599226254100004E-2</v>
      </c>
      <c r="BA53" s="316">
        <v>4.1524572736099996E-2</v>
      </c>
      <c r="BB53" s="316">
        <v>0</v>
      </c>
      <c r="BC53" s="316">
        <v>0.35894853396680004</v>
      </c>
      <c r="BD53" s="316">
        <v>0</v>
      </c>
      <c r="BE53" s="316">
        <v>0</v>
      </c>
      <c r="BF53" s="316">
        <v>3.8110704070499997E-2</v>
      </c>
      <c r="BG53" s="316">
        <v>4.3607091572399996E-2</v>
      </c>
      <c r="BH53" s="316">
        <v>0</v>
      </c>
      <c r="BI53" s="316">
        <v>0.36674657030239999</v>
      </c>
      <c r="BJ53" s="316">
        <v>0</v>
      </c>
      <c r="BK53" s="316">
        <v>2.37362281077E-2</v>
      </c>
      <c r="BL53" s="316">
        <v>2.6393525730000001E-3</v>
      </c>
      <c r="BM53" s="316">
        <v>4.0594612665800001E-2</v>
      </c>
      <c r="BN53" s="316">
        <v>1.3269068096100001E-2</v>
      </c>
      <c r="BO53" s="316">
        <v>0.38859096538119992</v>
      </c>
      <c r="BP53" s="316">
        <v>0</v>
      </c>
      <c r="BQ53" s="316">
        <v>2.1655616258999998E-2</v>
      </c>
      <c r="BR53" s="316">
        <v>0</v>
      </c>
      <c r="BS53" s="316">
        <v>3.5385176684299996E-2</v>
      </c>
      <c r="BT53" s="316">
        <v>1.9088855720999998E-2</v>
      </c>
      <c r="BU53" s="316">
        <v>0.43049112471369999</v>
      </c>
      <c r="BV53" s="316">
        <v>0</v>
      </c>
      <c r="BW53" s="316">
        <v>4.2254302946400001E-2</v>
      </c>
      <c r="BX53" s="316">
        <v>0</v>
      </c>
      <c r="BY53" s="316">
        <v>4.2766463745235309E-2</v>
      </c>
      <c r="BZ53" s="316">
        <v>3.6091077785721459E-2</v>
      </c>
      <c r="CA53" s="316">
        <v>0</v>
      </c>
      <c r="CB53" s="316">
        <v>0.48802034332142918</v>
      </c>
      <c r="CC53" s="316">
        <v>4.0373746509806782E-2</v>
      </c>
      <c r="CD53" s="316">
        <v>0</v>
      </c>
      <c r="CE53" s="317">
        <v>4.1865807513474428E-2</v>
      </c>
      <c r="CF53" s="316">
        <v>3.6374821750350998E-2</v>
      </c>
      <c r="CG53" s="316">
        <v>4.8641618447402592E-3</v>
      </c>
      <c r="CH53" s="316">
        <v>0.54395239911597182</v>
      </c>
      <c r="CI53" s="316">
        <v>0</v>
      </c>
      <c r="CJ53" s="316">
        <v>0</v>
      </c>
      <c r="CK53" s="316">
        <v>5.5637042102838E-2</v>
      </c>
      <c r="CL53" s="316">
        <v>3.4035207315957515E-2</v>
      </c>
      <c r="CM53" s="316">
        <v>5.3349474692946243E-2</v>
      </c>
      <c r="CN53" s="316">
        <v>0.7001369122657245</v>
      </c>
      <c r="CO53" s="316">
        <v>5.7090479359268032E-2</v>
      </c>
      <c r="CP53" s="318">
        <v>0</v>
      </c>
      <c r="CQ53" s="316">
        <v>4.3869850503904628E-2</v>
      </c>
      <c r="CR53" s="316">
        <v>2.5228015894947442E-2</v>
      </c>
      <c r="CS53" s="316">
        <v>0.10075924328527405</v>
      </c>
      <c r="CT53" s="316">
        <v>0.56934281517482443</v>
      </c>
      <c r="CU53" s="316">
        <v>4.1029528511663284E-2</v>
      </c>
      <c r="CV53" s="316">
        <v>2.3193443182504998E-3</v>
      </c>
      <c r="CW53" s="316">
        <v>0</v>
      </c>
      <c r="CX53" s="316">
        <v>0.11193935008985001</v>
      </c>
      <c r="CY53" s="316">
        <v>0.2220033171088488</v>
      </c>
      <c r="CZ53" s="316">
        <v>0.48136032796931449</v>
      </c>
      <c r="DA53" s="316">
        <v>0</v>
      </c>
      <c r="DB53" s="1498">
        <v>3.8457469991905649E-2</v>
      </c>
      <c r="DC53" s="316">
        <v>2.1710710000000001E-3</v>
      </c>
      <c r="DD53" s="316">
        <v>0.13682549699999999</v>
      </c>
      <c r="DE53" s="316">
        <v>0.252534908</v>
      </c>
      <c r="DF53" s="316">
        <v>0.55459566000000005</v>
      </c>
      <c r="DG53" s="316">
        <v>0</v>
      </c>
      <c r="DH53" s="316">
        <v>4.0559497999999999E-2</v>
      </c>
      <c r="DI53" s="316">
        <v>4.2690146496468025E-2</v>
      </c>
      <c r="DJ53" s="316">
        <v>0.108112289793158</v>
      </c>
      <c r="DK53" s="316">
        <v>0.2840132463625149</v>
      </c>
      <c r="DL53" s="316">
        <v>0.48513976327093833</v>
      </c>
      <c r="DM53" s="316">
        <v>9.1128486879094306E-2</v>
      </c>
      <c r="DN53" s="318">
        <v>4.3391365933202614E-2</v>
      </c>
      <c r="DO53" s="316">
        <v>2.4210899115648002E-3</v>
      </c>
      <c r="DP53" s="316">
        <v>0.20023790318974097</v>
      </c>
      <c r="DQ53" s="316">
        <v>0.79468807956308019</v>
      </c>
      <c r="DR53" s="316">
        <v>0.12651774405149455</v>
      </c>
      <c r="DS53" s="316">
        <v>4.6685651061771298E-2</v>
      </c>
      <c r="DT53" s="316">
        <v>2.5848560662984099E-3</v>
      </c>
      <c r="DU53" s="316">
        <v>8.2554074645655895E-2</v>
      </c>
      <c r="DV53" s="316">
        <v>0.153920190869162</v>
      </c>
      <c r="DW53" s="316">
        <v>1.0097716787785627</v>
      </c>
      <c r="DX53" s="316">
        <v>7.6456932045960185E-2</v>
      </c>
      <c r="DY53" s="316">
        <v>4.4527876149382702E-2</v>
      </c>
      <c r="DZ53" s="318">
        <v>0</v>
      </c>
      <c r="EA53" s="316">
        <v>9.8463281224580243E-2</v>
      </c>
      <c r="EB53" s="316">
        <v>0.34015013967126279</v>
      </c>
      <c r="EC53" s="316">
        <v>0.99073348554333285</v>
      </c>
      <c r="ED53" s="316">
        <v>6.3200405315073593E-2</v>
      </c>
      <c r="EE53" s="316">
        <v>4.6940829559234377E-2</v>
      </c>
      <c r="EF53" s="316">
        <v>2.5630400441462001E-3</v>
      </c>
      <c r="EG53" s="316">
        <v>0.10028979079945391</v>
      </c>
      <c r="EH53" s="316">
        <v>0.34505773019792002</v>
      </c>
      <c r="EI53" s="316">
        <v>0.49574062303866684</v>
      </c>
      <c r="EJ53" s="316">
        <v>0.69013969731520763</v>
      </c>
      <c r="EK53" s="316">
        <v>4.8900118926155797E-2</v>
      </c>
      <c r="EL53" s="318">
        <v>0</v>
      </c>
      <c r="EM53" s="1206">
        <v>0.10369765496283315</v>
      </c>
      <c r="EN53" s="1206">
        <v>0.37569691070852201</v>
      </c>
      <c r="EO53" s="1206">
        <v>0.51577138106914922</v>
      </c>
      <c r="EP53" s="1206">
        <v>0.68829862250255702</v>
      </c>
      <c r="EQ53" s="1206">
        <v>4.7822065191184863E-2</v>
      </c>
      <c r="ER53" s="1206">
        <v>0.2402285277000768</v>
      </c>
      <c r="ES53" s="1206">
        <v>0.10192413374764391</v>
      </c>
      <c r="ET53" s="1206">
        <v>0.37501988535409175</v>
      </c>
      <c r="EU53" s="1206">
        <v>1.0680398490813414</v>
      </c>
      <c r="EV53" s="1206">
        <v>0.17232131964008149</v>
      </c>
      <c r="EW53" s="1206">
        <v>0.11406176284495258</v>
      </c>
      <c r="EX53" s="1550">
        <v>0.25522571932212151</v>
      </c>
      <c r="EY53" s="1206"/>
      <c r="EZ53" s="1206"/>
      <c r="FA53" s="1206"/>
      <c r="FB53" s="1206"/>
      <c r="FC53" s="1206"/>
      <c r="FD53" s="1206"/>
      <c r="FE53" s="1206"/>
      <c r="FF53" s="1206"/>
      <c r="FG53" s="1206"/>
      <c r="FH53" s="1206"/>
      <c r="FI53" s="1206"/>
      <c r="FJ53" s="1550"/>
      <c r="FK53" s="1206"/>
      <c r="FL53" s="1206"/>
      <c r="FM53" s="1206"/>
      <c r="FN53" s="1206"/>
      <c r="FO53" s="1206"/>
      <c r="FP53" s="1206"/>
      <c r="FQ53" s="316"/>
      <c r="FR53" s="316"/>
      <c r="FS53" s="316"/>
      <c r="FT53" s="316"/>
      <c r="FU53" s="316"/>
      <c r="FV53" s="316"/>
      <c r="FW53" s="316"/>
      <c r="FX53" s="316"/>
      <c r="FY53" s="316"/>
      <c r="FZ53" s="316"/>
      <c r="GA53" s="316"/>
      <c r="GB53" s="316"/>
      <c r="GC53" s="316"/>
      <c r="GD53" s="316"/>
      <c r="GE53" s="316"/>
      <c r="GF53" s="316"/>
      <c r="GG53" s="316"/>
      <c r="GH53" s="316"/>
      <c r="GI53" s="316"/>
      <c r="GJ53" s="316"/>
      <c r="GK53" s="316"/>
      <c r="GL53" s="316"/>
      <c r="GM53" s="316"/>
      <c r="GN53" s="316"/>
      <c r="GO53" s="316"/>
      <c r="GP53" s="316"/>
      <c r="GQ53" s="316"/>
      <c r="GR53" s="316"/>
      <c r="GS53" s="316"/>
      <c r="GT53" s="316"/>
      <c r="GU53" s="316"/>
      <c r="GV53" s="316"/>
      <c r="GW53" s="316"/>
      <c r="GX53" s="316"/>
      <c r="GY53" s="316"/>
      <c r="GZ53" s="316"/>
      <c r="HA53" s="316"/>
      <c r="HB53" s="316"/>
      <c r="HC53" s="316"/>
      <c r="HD53" s="316"/>
      <c r="HE53" s="316"/>
      <c r="HF53" s="316"/>
      <c r="HG53" s="316"/>
      <c r="HH53" s="316"/>
      <c r="HI53" s="316"/>
      <c r="HJ53" s="316"/>
      <c r="HK53" s="316"/>
      <c r="HL53" s="316"/>
      <c r="HM53" s="316"/>
      <c r="HV53" s="302">
        <f t="shared" si="11"/>
        <v>0.98668663400000012</v>
      </c>
      <c r="HW53" s="302">
        <f t="shared" si="12"/>
        <v>1.054475298735376</v>
      </c>
      <c r="HX53" s="302">
        <f t="shared" si="13"/>
        <v>2.0411619327353763</v>
      </c>
      <c r="HY53" s="302">
        <f t="shared" si="14"/>
        <v>1.1731353238439501</v>
      </c>
      <c r="KH53" s="303"/>
    </row>
    <row r="54" spans="1:294" outlineLevel="1">
      <c r="B54" s="117" t="s">
        <v>361</v>
      </c>
      <c r="D54" s="319" t="str">
        <f t="shared" si="15"/>
        <v>FSN</v>
      </c>
      <c r="E54" s="316"/>
      <c r="F54" s="316"/>
      <c r="G54" s="316"/>
      <c r="H54" s="316"/>
      <c r="I54" s="316"/>
      <c r="J54" s="316"/>
      <c r="K54" s="316"/>
      <c r="L54" s="316"/>
      <c r="M54" s="316"/>
      <c r="N54" s="316"/>
      <c r="O54" s="316"/>
      <c r="P54" s="316"/>
      <c r="Q54" s="316"/>
      <c r="R54" s="316"/>
      <c r="S54" s="316"/>
      <c r="T54" s="316"/>
      <c r="U54" s="316"/>
      <c r="V54" s="316"/>
      <c r="W54" s="316"/>
      <c r="X54" s="316"/>
      <c r="Y54" s="316"/>
      <c r="Z54" s="316"/>
      <c r="AA54" s="316"/>
      <c r="AB54" s="316"/>
      <c r="AC54" s="316"/>
      <c r="AD54" s="316"/>
      <c r="AE54" s="316"/>
      <c r="AF54" s="316"/>
      <c r="AG54" s="316"/>
      <c r="AH54" s="316"/>
      <c r="AI54" s="316"/>
      <c r="AJ54" s="316"/>
      <c r="AK54" s="316"/>
      <c r="AL54" s="316"/>
      <c r="AM54" s="316"/>
      <c r="AN54" s="316"/>
      <c r="AO54" s="316">
        <v>1.6703422319000003E-2</v>
      </c>
      <c r="AP54" s="316">
        <v>0</v>
      </c>
      <c r="AQ54" s="316">
        <v>0</v>
      </c>
      <c r="AR54" s="316">
        <v>0</v>
      </c>
      <c r="AS54" s="316">
        <v>3.0864557651999996E-2</v>
      </c>
      <c r="AT54" s="316">
        <v>0</v>
      </c>
      <c r="AU54" s="316">
        <v>1.35752600785E-2</v>
      </c>
      <c r="AV54" s="316">
        <v>0</v>
      </c>
      <c r="AW54" s="316">
        <v>0</v>
      </c>
      <c r="AX54" s="316">
        <v>0</v>
      </c>
      <c r="AY54" s="316">
        <v>0</v>
      </c>
      <c r="AZ54" s="316">
        <v>3.72359149848E-2</v>
      </c>
      <c r="BA54" s="316">
        <v>1.2513920680200002E-2</v>
      </c>
      <c r="BB54" s="316">
        <v>0</v>
      </c>
      <c r="BC54" s="316">
        <v>0</v>
      </c>
      <c r="BD54" s="316">
        <v>0</v>
      </c>
      <c r="BE54" s="316">
        <v>0</v>
      </c>
      <c r="BF54" s="316">
        <v>4.3282594615399995E-2</v>
      </c>
      <c r="BG54" s="316">
        <v>1.02676601325E-2</v>
      </c>
      <c r="BH54" s="316">
        <v>0</v>
      </c>
      <c r="BI54" s="316">
        <v>0</v>
      </c>
      <c r="BJ54" s="316">
        <v>0</v>
      </c>
      <c r="BK54" s="316">
        <v>5.0724060884400006E-2</v>
      </c>
      <c r="BL54" s="316">
        <v>7.345470825E-4</v>
      </c>
      <c r="BM54" s="316">
        <v>7.4448015663136505E-3</v>
      </c>
      <c r="BN54" s="316">
        <v>0</v>
      </c>
      <c r="BO54" s="316">
        <v>0</v>
      </c>
      <c r="BP54" s="316">
        <v>0</v>
      </c>
      <c r="BQ54" s="316">
        <v>4.9754228475000002E-2</v>
      </c>
      <c r="BR54" s="316">
        <v>0</v>
      </c>
      <c r="BS54" s="316">
        <v>5.9485403021999998E-3</v>
      </c>
      <c r="BT54" s="316">
        <v>0</v>
      </c>
      <c r="BU54" s="316">
        <v>0</v>
      </c>
      <c r="BV54" s="316">
        <v>0</v>
      </c>
      <c r="BW54" s="316">
        <v>4.9868927693999997E-2</v>
      </c>
      <c r="BX54" s="316">
        <v>0</v>
      </c>
      <c r="BY54" s="316">
        <v>4.1955324411146397E-3</v>
      </c>
      <c r="BZ54" s="316">
        <v>0</v>
      </c>
      <c r="CA54" s="316">
        <v>0</v>
      </c>
      <c r="CB54" s="316">
        <v>0</v>
      </c>
      <c r="CC54" s="316">
        <v>4.8942164114776525E-2</v>
      </c>
      <c r="CD54" s="316">
        <v>0</v>
      </c>
      <c r="CE54" s="317">
        <v>0</v>
      </c>
      <c r="CF54" s="316">
        <v>0</v>
      </c>
      <c r="CG54" s="316">
        <v>0</v>
      </c>
      <c r="CH54" s="316">
        <v>0</v>
      </c>
      <c r="CI54" s="316">
        <v>0</v>
      </c>
      <c r="CJ54" s="316">
        <v>6.1982484856379347E-2</v>
      </c>
      <c r="CK54" s="316">
        <v>0</v>
      </c>
      <c r="CL54" s="316">
        <v>0</v>
      </c>
      <c r="CM54" s="316">
        <v>0</v>
      </c>
      <c r="CN54" s="316">
        <v>0</v>
      </c>
      <c r="CO54" s="316">
        <v>2.435145779847853E-2</v>
      </c>
      <c r="CP54" s="318">
        <v>0</v>
      </c>
      <c r="CQ54" s="316">
        <v>0</v>
      </c>
      <c r="CR54" s="316">
        <v>7.5781357955460003E-4</v>
      </c>
      <c r="CS54" s="316">
        <v>0</v>
      </c>
      <c r="CT54" s="316">
        <v>0</v>
      </c>
      <c r="CU54" s="316">
        <v>4.7507466270618005E-2</v>
      </c>
      <c r="CV54" s="316">
        <v>0</v>
      </c>
      <c r="CW54" s="316">
        <v>0</v>
      </c>
      <c r="CX54" s="316">
        <v>1.6915844275047363E-2</v>
      </c>
      <c r="CY54" s="316">
        <v>0</v>
      </c>
      <c r="CZ54" s="316">
        <v>0</v>
      </c>
      <c r="DA54" s="316">
        <v>0</v>
      </c>
      <c r="DB54" s="1498">
        <v>4.711263465015135E-2</v>
      </c>
      <c r="DC54" s="316">
        <v>0</v>
      </c>
      <c r="DD54" s="316">
        <v>1.6639002999999999E-2</v>
      </c>
      <c r="DE54" s="316">
        <v>0</v>
      </c>
      <c r="DF54" s="316">
        <v>0</v>
      </c>
      <c r="DG54" s="316">
        <v>0</v>
      </c>
      <c r="DH54" s="316">
        <v>4.7366963999999998E-2</v>
      </c>
      <c r="DI54" s="316">
        <v>0</v>
      </c>
      <c r="DJ54" s="316">
        <v>1.738206517522272E-2</v>
      </c>
      <c r="DK54" s="316">
        <v>0</v>
      </c>
      <c r="DL54" s="316">
        <v>0</v>
      </c>
      <c r="DM54" s="316">
        <v>0</v>
      </c>
      <c r="DN54" s="318">
        <v>0</v>
      </c>
      <c r="DO54" s="316">
        <v>0</v>
      </c>
      <c r="DP54" s="316">
        <v>3.1733897942445612E-2</v>
      </c>
      <c r="DQ54" s="316">
        <v>0</v>
      </c>
      <c r="DR54" s="316">
        <v>0</v>
      </c>
      <c r="DS54" s="316">
        <v>4.8133191213607644E-2</v>
      </c>
      <c r="DT54" s="316">
        <v>0</v>
      </c>
      <c r="DU54" s="316">
        <v>5.196062052649944E-2</v>
      </c>
      <c r="DV54" s="316">
        <v>1.8326444940162522E-2</v>
      </c>
      <c r="DW54" s="316">
        <v>0</v>
      </c>
      <c r="DX54" s="316">
        <v>0</v>
      </c>
      <c r="DY54" s="316">
        <v>4.6497123428308904E-2</v>
      </c>
      <c r="DZ54" s="318">
        <v>0</v>
      </c>
      <c r="EA54" s="316">
        <v>8.1128237966747382E-2</v>
      </c>
      <c r="EB54" s="316">
        <v>9.5718851317312031E-2</v>
      </c>
      <c r="EC54" s="316">
        <v>0</v>
      </c>
      <c r="ED54" s="316">
        <v>0</v>
      </c>
      <c r="EE54" s="316">
        <v>4.5541943861147904E-2</v>
      </c>
      <c r="EF54" s="316">
        <v>0</v>
      </c>
      <c r="EG54" s="316">
        <v>0.12924144777586044</v>
      </c>
      <c r="EH54" s="316">
        <v>0.27934351498158</v>
      </c>
      <c r="EI54" s="316">
        <v>0.10764011525</v>
      </c>
      <c r="EJ54" s="316">
        <v>0</v>
      </c>
      <c r="EK54" s="316">
        <v>0</v>
      </c>
      <c r="EL54" s="318">
        <v>0.17373103409367782</v>
      </c>
      <c r="EM54" s="1206">
        <v>0.21128650166513235</v>
      </c>
      <c r="EN54" s="1206">
        <v>2.012568039407242E-2</v>
      </c>
      <c r="EO54" s="1206">
        <v>0</v>
      </c>
      <c r="EP54" s="1206">
        <v>0</v>
      </c>
      <c r="EQ54" s="1206">
        <v>0.26258815532941482</v>
      </c>
      <c r="ER54" s="1206">
        <v>0.41951590799989996</v>
      </c>
      <c r="ES54" s="1206">
        <v>0.31492971197945724</v>
      </c>
      <c r="ET54" s="1206">
        <v>2.006241678089532E-2</v>
      </c>
      <c r="EU54" s="1206">
        <v>0</v>
      </c>
      <c r="EV54" s="1206">
        <v>0</v>
      </c>
      <c r="EW54" s="1206">
        <v>0.55583548591303822</v>
      </c>
      <c r="EX54" s="1550">
        <v>0</v>
      </c>
      <c r="EY54" s="1206"/>
      <c r="EZ54" s="1206"/>
      <c r="FA54" s="1206"/>
      <c r="FB54" s="1206"/>
      <c r="FC54" s="1206"/>
      <c r="FD54" s="1206"/>
      <c r="FE54" s="1206"/>
      <c r="FF54" s="1206"/>
      <c r="FG54" s="1206"/>
      <c r="FH54" s="1206"/>
      <c r="FI54" s="1206"/>
      <c r="FJ54" s="1550"/>
      <c r="FK54" s="1206"/>
      <c r="FL54" s="1206"/>
      <c r="FM54" s="1206"/>
      <c r="FN54" s="1206"/>
      <c r="FO54" s="1206"/>
      <c r="FP54" s="1206"/>
      <c r="FQ54" s="316"/>
      <c r="FR54" s="316"/>
      <c r="FS54" s="316"/>
      <c r="FT54" s="316"/>
      <c r="FU54" s="316"/>
      <c r="FV54" s="316"/>
      <c r="FW54" s="316"/>
      <c r="FX54" s="316"/>
      <c r="FY54" s="316"/>
      <c r="FZ54" s="316"/>
      <c r="GA54" s="316"/>
      <c r="GB54" s="316"/>
      <c r="GC54" s="316"/>
      <c r="GD54" s="316"/>
      <c r="GE54" s="316"/>
      <c r="GF54" s="316"/>
      <c r="GG54" s="316"/>
      <c r="GH54" s="316"/>
      <c r="GI54" s="316"/>
      <c r="GJ54" s="316"/>
      <c r="GK54" s="316"/>
      <c r="GL54" s="316"/>
      <c r="GM54" s="316"/>
      <c r="GN54" s="316"/>
      <c r="GO54" s="316"/>
      <c r="GP54" s="316"/>
      <c r="GQ54" s="316"/>
      <c r="GR54" s="316"/>
      <c r="GS54" s="316"/>
      <c r="GT54" s="316"/>
      <c r="GU54" s="316"/>
      <c r="GV54" s="316"/>
      <c r="GW54" s="316"/>
      <c r="GX54" s="316"/>
      <c r="GY54" s="316"/>
      <c r="GZ54" s="316"/>
      <c r="HA54" s="316"/>
      <c r="HB54" s="316"/>
      <c r="HC54" s="316"/>
      <c r="HD54" s="316"/>
      <c r="HE54" s="316"/>
      <c r="HF54" s="316"/>
      <c r="HG54" s="316"/>
      <c r="HH54" s="316"/>
      <c r="HI54" s="316"/>
      <c r="HJ54" s="316"/>
      <c r="HK54" s="316"/>
      <c r="HL54" s="316"/>
      <c r="HM54" s="316"/>
      <c r="HV54" s="302">
        <f t="shared" si="11"/>
        <v>6.4005966999999997E-2</v>
      </c>
      <c r="HW54" s="302">
        <f t="shared" si="12"/>
        <v>1.738206517522272E-2</v>
      </c>
      <c r="HX54" s="302">
        <f t="shared" si="13"/>
        <v>8.1388032175222724E-2</v>
      </c>
      <c r="HY54" s="302">
        <f t="shared" si="14"/>
        <v>7.9867089156053256E-2</v>
      </c>
      <c r="KH54" s="303"/>
    </row>
    <row r="55" spans="1:294" outlineLevel="1">
      <c r="B55" s="117" t="s">
        <v>361</v>
      </c>
      <c r="D55" s="319" t="str">
        <f t="shared" si="15"/>
        <v>FIDA</v>
      </c>
      <c r="E55" s="316"/>
      <c r="F55" s="316"/>
      <c r="G55" s="316"/>
      <c r="H55" s="316"/>
      <c r="I55" s="316"/>
      <c r="J55" s="316"/>
      <c r="K55" s="316"/>
      <c r="L55" s="316"/>
      <c r="M55" s="316"/>
      <c r="N55" s="316"/>
      <c r="O55" s="316"/>
      <c r="P55" s="316"/>
      <c r="Q55" s="316"/>
      <c r="R55" s="316"/>
      <c r="S55" s="316"/>
      <c r="T55" s="316"/>
      <c r="U55" s="316"/>
      <c r="V55" s="316"/>
      <c r="W55" s="316"/>
      <c r="X55" s="316"/>
      <c r="Y55" s="316"/>
      <c r="Z55" s="316"/>
      <c r="AA55" s="316"/>
      <c r="AB55" s="316"/>
      <c r="AC55" s="316"/>
      <c r="AD55" s="316"/>
      <c r="AE55" s="316"/>
      <c r="AF55" s="316"/>
      <c r="AG55" s="316"/>
      <c r="AH55" s="316"/>
      <c r="AI55" s="316"/>
      <c r="AJ55" s="316"/>
      <c r="AK55" s="316"/>
      <c r="AL55" s="316"/>
      <c r="AM55" s="316"/>
      <c r="AN55" s="316"/>
      <c r="AO55" s="316">
        <v>6.5569659927000007E-2</v>
      </c>
      <c r="AP55" s="316">
        <v>0</v>
      </c>
      <c r="AQ55" s="316">
        <v>4.4982318635100001E-2</v>
      </c>
      <c r="AR55" s="316">
        <v>4.5528815228100004E-2</v>
      </c>
      <c r="AS55" s="316">
        <v>3.4605596336099997E-2</v>
      </c>
      <c r="AT55" s="316">
        <v>4.4464072116500004E-2</v>
      </c>
      <c r="AU55" s="316">
        <v>6.4303834459499998E-2</v>
      </c>
      <c r="AV55" s="316">
        <v>0</v>
      </c>
      <c r="AW55" s="316">
        <v>4.54326697861E-2</v>
      </c>
      <c r="AX55" s="316">
        <v>5.2211958407199999E-2</v>
      </c>
      <c r="AY55" s="316">
        <v>3.6642754367100003E-2</v>
      </c>
      <c r="AZ55" s="316">
        <v>4.9990845979800004E-2</v>
      </c>
      <c r="BA55" s="316">
        <v>6.7544025003499999E-2</v>
      </c>
      <c r="BB55" s="316">
        <v>0</v>
      </c>
      <c r="BC55" s="316">
        <v>4.7850974449300004E-2</v>
      </c>
      <c r="BD55" s="316">
        <v>5.7504149036399999E-2</v>
      </c>
      <c r="BE55" s="316">
        <v>3.7185224575500005E-2</v>
      </c>
      <c r="BF55" s="316">
        <v>5.4081561868199991E-2</v>
      </c>
      <c r="BG55" s="316">
        <v>7.0775178084799995E-2</v>
      </c>
      <c r="BH55" s="316">
        <v>0</v>
      </c>
      <c r="BI55" s="316">
        <v>4.7559303659400004E-2</v>
      </c>
      <c r="BJ55" s="316">
        <v>6.0940423247799989E-2</v>
      </c>
      <c r="BK55" s="316">
        <v>3.5680622713499997E-2</v>
      </c>
      <c r="BL55" s="316">
        <v>5.4746628507399996E-2</v>
      </c>
      <c r="BM55" s="316">
        <v>6.9503133593500008E-2</v>
      </c>
      <c r="BN55" s="316">
        <v>0</v>
      </c>
      <c r="BO55" s="316">
        <v>4.6518845190000005E-2</v>
      </c>
      <c r="BP55" s="316">
        <v>6.4858769037300007E-2</v>
      </c>
      <c r="BQ55" s="316">
        <v>3.5032214061800002E-2</v>
      </c>
      <c r="BR55" s="316">
        <v>5.8904331197599996E-2</v>
      </c>
      <c r="BS55" s="316">
        <v>6.7736599551999996E-2</v>
      </c>
      <c r="BT55" s="316">
        <v>0</v>
      </c>
      <c r="BU55" s="316">
        <v>4.6830036934000001E-2</v>
      </c>
      <c r="BV55" s="316">
        <v>7.1155859456000004E-2</v>
      </c>
      <c r="BW55" s="316">
        <v>3.5322740971000001E-2</v>
      </c>
      <c r="BX55" s="316">
        <v>6.11969179068E-2</v>
      </c>
      <c r="BY55" s="316">
        <v>6.9384428312718405E-2</v>
      </c>
      <c r="BZ55" s="316">
        <v>0</v>
      </c>
      <c r="CA55" s="316">
        <v>4.5722642002298898E-2</v>
      </c>
      <c r="CB55" s="316">
        <v>4.3994296785556004E-2</v>
      </c>
      <c r="CC55" s="316">
        <v>6.4220255311683377E-2</v>
      </c>
      <c r="CD55" s="316">
        <v>5.9525140463907646E-2</v>
      </c>
      <c r="CE55" s="317">
        <v>6.6936374872096596E-2</v>
      </c>
      <c r="CF55" s="316">
        <v>0</v>
      </c>
      <c r="CG55" s="316">
        <v>4.6723434355322606E-2</v>
      </c>
      <c r="CH55" s="316">
        <v>8.003354533912091E-2</v>
      </c>
      <c r="CI55" s="316">
        <v>3.5492680090771556E-2</v>
      </c>
      <c r="CJ55" s="316">
        <v>1.4479858336051669E-2</v>
      </c>
      <c r="CK55" s="316">
        <v>6.9860676795523879E-2</v>
      </c>
      <c r="CL55" s="316">
        <v>0</v>
      </c>
      <c r="CM55" s="316">
        <v>4.8522368009005189E-2</v>
      </c>
      <c r="CN55" s="316">
        <v>9.104580101859823E-2</v>
      </c>
      <c r="CO55" s="316">
        <v>3.6387144946489883E-2</v>
      </c>
      <c r="CP55" s="318">
        <v>5.7423625998236555E-2</v>
      </c>
      <c r="CQ55" s="316">
        <v>7.075582366899151E-2</v>
      </c>
      <c r="CR55" s="316">
        <v>0</v>
      </c>
      <c r="CS55" s="316">
        <v>4.7265840240198531E-2</v>
      </c>
      <c r="CT55" s="316">
        <v>9.9480290228547028E-2</v>
      </c>
      <c r="CU55" s="316">
        <v>3.4398607750535042E-2</v>
      </c>
      <c r="CV55" s="316">
        <v>6.1950974795366841E-2</v>
      </c>
      <c r="CW55" s="316">
        <v>5.4930730014209242E-2</v>
      </c>
      <c r="CX55" s="316">
        <v>0</v>
      </c>
      <c r="CY55" s="316">
        <v>3.3438414892986594E-2</v>
      </c>
      <c r="CZ55" s="316">
        <v>0.10689428719256494</v>
      </c>
      <c r="DA55" s="316">
        <v>3.341001331401481E-2</v>
      </c>
      <c r="DB55" s="1498">
        <v>6.0596480481072947E-2</v>
      </c>
      <c r="DC55" s="316">
        <v>6.4741081000000006E-2</v>
      </c>
      <c r="DD55" s="316">
        <v>0</v>
      </c>
      <c r="DE55" s="316">
        <v>4.5462529000000002E-2</v>
      </c>
      <c r="DF55" s="316">
        <v>0.122449634</v>
      </c>
      <c r="DG55" s="316">
        <v>3.3143802999999999E-2</v>
      </c>
      <c r="DH55" s="316">
        <v>6.1208150000000003E-2</v>
      </c>
      <c r="DI55" s="316">
        <v>6.526280304710172E-2</v>
      </c>
      <c r="DJ55" s="316">
        <v>0</v>
      </c>
      <c r="DK55" s="316">
        <v>4.637877747717311E-2</v>
      </c>
      <c r="DL55" s="316">
        <v>0.13573058251230338</v>
      </c>
      <c r="DM55" s="316">
        <v>3.4783919837957998E-2</v>
      </c>
      <c r="DN55" s="318">
        <v>6.3651000112499995E-2</v>
      </c>
      <c r="DO55" s="316">
        <v>6.6755624310400011E-2</v>
      </c>
      <c r="DP55" s="316">
        <v>0</v>
      </c>
      <c r="DQ55" s="316">
        <v>4.8232710374399995E-2</v>
      </c>
      <c r="DR55" s="316">
        <v>0.15028947084140784</v>
      </c>
      <c r="DS55" s="316">
        <v>3.4468042579199998E-2</v>
      </c>
      <c r="DT55" s="316">
        <v>6.2662375729999983E-2</v>
      </c>
      <c r="DU55" s="316">
        <v>6.5493012959912777E-2</v>
      </c>
      <c r="DV55" s="316">
        <v>0</v>
      </c>
      <c r="DW55" s="316">
        <v>4.6544281942352397E-2</v>
      </c>
      <c r="DX55" s="316">
        <v>4.5323740470433999E-2</v>
      </c>
      <c r="DY55" s="316">
        <v>0.1451367119867594</v>
      </c>
      <c r="DZ55" s="318">
        <v>6.4096468235229687E-2</v>
      </c>
      <c r="EA55" s="316">
        <v>6.6979576767439056E-2</v>
      </c>
      <c r="EB55" s="316">
        <v>0</v>
      </c>
      <c r="EC55" s="316">
        <v>0</v>
      </c>
      <c r="ED55" s="316">
        <v>0.22253457040020747</v>
      </c>
      <c r="EE55" s="316">
        <v>3.4857938553409427E-2</v>
      </c>
      <c r="EF55" s="316">
        <v>6.5266487360313735E-2</v>
      </c>
      <c r="EG55" s="316">
        <v>6.7839297572475726E-2</v>
      </c>
      <c r="EH55" s="316">
        <v>9.7451123734767012E-3</v>
      </c>
      <c r="EI55" s="316">
        <v>4.9480944289808398E-2</v>
      </c>
      <c r="EJ55" s="316">
        <v>4.8200163642380306E-2</v>
      </c>
      <c r="EK55" s="316">
        <v>3.5279720881394083E-2</v>
      </c>
      <c r="EL55" s="318">
        <v>6.5530138672874647E-2</v>
      </c>
      <c r="EM55" s="1206">
        <v>6.6411793737534724E-2</v>
      </c>
      <c r="EN55" s="1206">
        <v>1.7907998913716788E-2</v>
      </c>
      <c r="EO55" s="1206">
        <v>4.7618356709400025E-2</v>
      </c>
      <c r="EP55" s="1206">
        <v>0.20760307365310504</v>
      </c>
      <c r="EQ55" s="1206">
        <v>3.3868901751869379E-2</v>
      </c>
      <c r="ER55" s="1206">
        <v>6.4117879129054395E-2</v>
      </c>
      <c r="ES55" s="1206">
        <v>6.5392640062050297E-2</v>
      </c>
      <c r="ET55" s="1206">
        <v>2.908202675126112E-2</v>
      </c>
      <c r="EU55" s="1206">
        <v>4.7324995376891402E-2</v>
      </c>
      <c r="EV55" s="1206">
        <v>0.21567830468606222</v>
      </c>
      <c r="EW55" s="1206">
        <v>3.3797729999112805E-2</v>
      </c>
      <c r="EX55" s="1550">
        <v>6.4150437795326989E-2</v>
      </c>
      <c r="EY55" s="1206"/>
      <c r="EZ55" s="1206"/>
      <c r="FA55" s="1206"/>
      <c r="FB55" s="1206"/>
      <c r="FC55" s="1206"/>
      <c r="FD55" s="1206"/>
      <c r="FE55" s="1206"/>
      <c r="FF55" s="1206"/>
      <c r="FG55" s="1206"/>
      <c r="FH55" s="1206"/>
      <c r="FI55" s="1206"/>
      <c r="FJ55" s="1550"/>
      <c r="FK55" s="1206"/>
      <c r="FL55" s="1206"/>
      <c r="FM55" s="1206"/>
      <c r="FN55" s="1206"/>
      <c r="FO55" s="1206"/>
      <c r="FP55" s="1206"/>
      <c r="FQ55" s="316"/>
      <c r="FR55" s="316"/>
      <c r="FS55" s="316"/>
      <c r="FT55" s="316"/>
      <c r="FU55" s="316"/>
      <c r="FV55" s="316"/>
      <c r="FW55" s="316"/>
      <c r="FX55" s="316"/>
      <c r="FY55" s="316"/>
      <c r="FZ55" s="316"/>
      <c r="GA55" s="316"/>
      <c r="GB55" s="316"/>
      <c r="GC55" s="316"/>
      <c r="GD55" s="316"/>
      <c r="GE55" s="316"/>
      <c r="GF55" s="316"/>
      <c r="GG55" s="316"/>
      <c r="GH55" s="316"/>
      <c r="GI55" s="316"/>
      <c r="GJ55" s="316"/>
      <c r="GK55" s="316"/>
      <c r="GL55" s="316"/>
      <c r="GM55" s="316"/>
      <c r="GN55" s="316"/>
      <c r="GO55" s="316"/>
      <c r="GP55" s="316"/>
      <c r="GQ55" s="316"/>
      <c r="GR55" s="316"/>
      <c r="GS55" s="316"/>
      <c r="GT55" s="316"/>
      <c r="GU55" s="316"/>
      <c r="GV55" s="316"/>
      <c r="GW55" s="316"/>
      <c r="GX55" s="316"/>
      <c r="GY55" s="316"/>
      <c r="GZ55" s="316"/>
      <c r="HA55" s="316"/>
      <c r="HB55" s="316"/>
      <c r="HC55" s="316"/>
      <c r="HD55" s="316"/>
      <c r="HE55" s="316"/>
      <c r="HF55" s="316"/>
      <c r="HG55" s="316"/>
      <c r="HH55" s="316"/>
      <c r="HI55" s="316"/>
      <c r="HJ55" s="316"/>
      <c r="HK55" s="316"/>
      <c r="HL55" s="316"/>
      <c r="HM55" s="316"/>
      <c r="HV55" s="302">
        <f t="shared" si="11"/>
        <v>0.32700519700000003</v>
      </c>
      <c r="HW55" s="302">
        <f t="shared" si="12"/>
        <v>0.34580708298703622</v>
      </c>
      <c r="HX55" s="302">
        <f t="shared" si="13"/>
        <v>0.67281227998703619</v>
      </c>
      <c r="HY55" s="302">
        <f t="shared" si="14"/>
        <v>0.36240822383540783</v>
      </c>
      <c r="KH55" s="303"/>
    </row>
    <row r="56" spans="1:294" outlineLevel="1">
      <c r="B56" s="117" t="s">
        <v>361</v>
      </c>
      <c r="D56" s="319" t="str">
        <f t="shared" si="15"/>
        <v>BEI/CEE</v>
      </c>
      <c r="E56" s="316"/>
      <c r="F56" s="316"/>
      <c r="G56" s="316"/>
      <c r="H56" s="316"/>
      <c r="I56" s="316"/>
      <c r="J56" s="316"/>
      <c r="K56" s="316"/>
      <c r="L56" s="316"/>
      <c r="M56" s="316"/>
      <c r="N56" s="316"/>
      <c r="O56" s="316"/>
      <c r="P56" s="316"/>
      <c r="Q56" s="316"/>
      <c r="R56" s="316"/>
      <c r="S56" s="316"/>
      <c r="T56" s="316"/>
      <c r="U56" s="316"/>
      <c r="V56" s="316"/>
      <c r="W56" s="316"/>
      <c r="X56" s="316"/>
      <c r="Y56" s="316"/>
      <c r="Z56" s="316"/>
      <c r="AA56" s="316"/>
      <c r="AB56" s="316"/>
      <c r="AC56" s="316"/>
      <c r="AD56" s="316"/>
      <c r="AE56" s="316"/>
      <c r="AF56" s="316"/>
      <c r="AG56" s="316"/>
      <c r="AH56" s="316"/>
      <c r="AI56" s="316"/>
      <c r="AJ56" s="316"/>
      <c r="AK56" s="316"/>
      <c r="AL56" s="316"/>
      <c r="AM56" s="316"/>
      <c r="AN56" s="316"/>
      <c r="AO56" s="316">
        <v>1.3657561487999998E-3</v>
      </c>
      <c r="AP56" s="316">
        <v>6.2572316066999995E-3</v>
      </c>
      <c r="AQ56" s="316">
        <v>7.9993548349999999E-3</v>
      </c>
      <c r="AR56" s="316">
        <v>2.1146345600000001E-3</v>
      </c>
      <c r="AS56" s="316">
        <v>4.4442610040400003E-2</v>
      </c>
      <c r="AT56" s="316">
        <v>2.0817314668199999E-2</v>
      </c>
      <c r="AU56" s="316">
        <v>1.1735169432000002E-3</v>
      </c>
      <c r="AV56" s="316">
        <v>5.9318858289000003E-3</v>
      </c>
      <c r="AW56" s="316">
        <v>7.4054713931999989E-3</v>
      </c>
      <c r="AX56" s="316">
        <v>2.1858876236999993E-3</v>
      </c>
      <c r="AY56" s="316">
        <v>3.0915354827999999E-3</v>
      </c>
      <c r="AZ56" s="316">
        <v>1.6244378362499999E-2</v>
      </c>
      <c r="BA56" s="316">
        <v>1.2496758242000001E-3</v>
      </c>
      <c r="BB56" s="316">
        <v>6.1832520305999993E-3</v>
      </c>
      <c r="BC56" s="316">
        <v>8.0022732237000002E-3</v>
      </c>
      <c r="BD56" s="316">
        <v>1.0936347000599998E-2</v>
      </c>
      <c r="BE56" s="316">
        <v>3.042818347E-3</v>
      </c>
      <c r="BF56" s="316">
        <v>5.9484112425000006E-2</v>
      </c>
      <c r="BG56" s="316">
        <v>1.3660259526000001E-3</v>
      </c>
      <c r="BH56" s="316">
        <v>6.3331783461999993E-3</v>
      </c>
      <c r="BI56" s="316">
        <v>8.0736942825000001E-3</v>
      </c>
      <c r="BJ56" s="316">
        <v>2.0520825779999996E-3</v>
      </c>
      <c r="BK56" s="316">
        <v>2.7579618440000007E-3</v>
      </c>
      <c r="BL56" s="316">
        <v>1.4837359630399997E-2</v>
      </c>
      <c r="BM56" s="316">
        <v>1.2015837045E-3</v>
      </c>
      <c r="BN56" s="316">
        <v>5.7627666440999998E-3</v>
      </c>
      <c r="BO56" s="316">
        <v>7.3341245339999996E-3</v>
      </c>
      <c r="BP56" s="316">
        <v>1.9206477090000004E-3</v>
      </c>
      <c r="BQ56" s="316">
        <v>2.4473447379E-3</v>
      </c>
      <c r="BR56" s="316">
        <v>4.3761392876400004E-2</v>
      </c>
      <c r="BS56" s="316">
        <v>1.1445724569999999E-3</v>
      </c>
      <c r="BT56" s="316">
        <v>5.2908743881000002E-3</v>
      </c>
      <c r="BU56" s="316">
        <v>6.6820602982000012E-3</v>
      </c>
      <c r="BV56" s="316">
        <v>1.8865797480000005E-3</v>
      </c>
      <c r="BW56" s="316">
        <v>2.3175571747999996E-3</v>
      </c>
      <c r="BX56" s="316">
        <v>1.4417089192000002E-2</v>
      </c>
      <c r="BY56" s="316">
        <v>1.23066322691565E-3</v>
      </c>
      <c r="BZ56" s="316">
        <v>5.7159871144794499E-3</v>
      </c>
      <c r="CA56" s="316">
        <v>6.9354449964268297E-3</v>
      </c>
      <c r="CB56" s="316">
        <v>2.24064697772556E-3</v>
      </c>
      <c r="CC56" s="316">
        <v>2.1985608790385598E-3</v>
      </c>
      <c r="CD56" s="316">
        <v>3.9303658600096256E-2</v>
      </c>
      <c r="CE56" s="317">
        <v>1.2014856025680698E-3</v>
      </c>
      <c r="CF56" s="316">
        <v>5.6588653692111798E-3</v>
      </c>
      <c r="CG56" s="316">
        <v>6.9074871335574597E-3</v>
      </c>
      <c r="CH56" s="316">
        <v>1.950932286752E-3</v>
      </c>
      <c r="CI56" s="316">
        <v>2.1653054187703203E-3</v>
      </c>
      <c r="CJ56" s="316">
        <v>0</v>
      </c>
      <c r="CK56" s="316">
        <v>1.2943627243179399E-3</v>
      </c>
      <c r="CL56" s="316">
        <v>5.8401199238069601E-3</v>
      </c>
      <c r="CM56" s="316">
        <v>7.0896024345415498E-3</v>
      </c>
      <c r="CN56" s="316">
        <v>1.96171232139809E-3</v>
      </c>
      <c r="CO56" s="316">
        <v>2.0441078155413999E-3</v>
      </c>
      <c r="CP56" s="318">
        <v>3.2621321591739902E-2</v>
      </c>
      <c r="CQ56" s="316">
        <v>1.2781947984230801E-3</v>
      </c>
      <c r="CR56" s="316">
        <v>5.6005272070276764E-3</v>
      </c>
      <c r="CS56" s="316">
        <v>6.6076179208503011E-3</v>
      </c>
      <c r="CT56" s="316">
        <v>1.7522878738796999E-3</v>
      </c>
      <c r="CU56" s="316">
        <v>1.6914461217155501E-3</v>
      </c>
      <c r="CV56" s="316">
        <v>1.2553622810290398E-2</v>
      </c>
      <c r="CW56" s="316">
        <v>1.1178959288213998E-3</v>
      </c>
      <c r="CX56" s="316">
        <v>4.7252983152272499E-3</v>
      </c>
      <c r="CY56" s="316">
        <v>5.5270629664785501E-3</v>
      </c>
      <c r="CZ56" s="316">
        <v>1.4606138210970399E-3</v>
      </c>
      <c r="DA56" s="316">
        <v>1.3924535712258699E-3</v>
      </c>
      <c r="DB56" s="1498">
        <v>1.9032303762270705E-2</v>
      </c>
      <c r="DC56" s="316">
        <v>1.051282E-3</v>
      </c>
      <c r="DD56" s="316">
        <v>4.5762290000000002E-3</v>
      </c>
      <c r="DE56" s="316">
        <v>5.4383399999999998E-3</v>
      </c>
      <c r="DF56" s="316">
        <v>1.558565E-3</v>
      </c>
      <c r="DG56" s="316">
        <v>1.1715499999999999E-3</v>
      </c>
      <c r="DH56" s="316">
        <v>1.0703101E-2</v>
      </c>
      <c r="DI56" s="316">
        <v>1.03395719001007E-3</v>
      </c>
      <c r="DJ56" s="316">
        <v>4.6463790244332002E-3</v>
      </c>
      <c r="DK56" s="316">
        <v>5.2532020768827599E-3</v>
      </c>
      <c r="DL56" s="316">
        <v>1.5390075985963799E-3</v>
      </c>
      <c r="DM56" s="316">
        <v>1.0849472657838001E-3</v>
      </c>
      <c r="DN56" s="318">
        <v>1.0794227845524062E-2</v>
      </c>
      <c r="DO56" s="316">
        <v>1.0645728680142002E-3</v>
      </c>
      <c r="DP56" s="316">
        <v>4.6383688103753705E-3</v>
      </c>
      <c r="DQ56" s="316">
        <v>5.4018531208472401E-3</v>
      </c>
      <c r="DR56" s="316">
        <v>1.5167029307591E-3</v>
      </c>
      <c r="DS56" s="316">
        <v>8.6207197204829988E-4</v>
      </c>
      <c r="DT56" s="316">
        <v>9.9963928727512391E-3</v>
      </c>
      <c r="DU56" s="316">
        <v>1.0280622734658001E-3</v>
      </c>
      <c r="DV56" s="316">
        <v>4.3471344148693454E-3</v>
      </c>
      <c r="DW56" s="316">
        <v>4.9254916445951999E-3</v>
      </c>
      <c r="DX56" s="316">
        <v>1.4181510749571001E-3</v>
      </c>
      <c r="DY56" s="316">
        <v>6.6938075708100001E-4</v>
      </c>
      <c r="DZ56" s="318">
        <v>1.008235491572416E-2</v>
      </c>
      <c r="EA56" s="316">
        <v>1.1017478398675201E-3</v>
      </c>
      <c r="EB56" s="316">
        <v>4.6884709651272604E-3</v>
      </c>
      <c r="EC56" s="316">
        <v>5.2604626688000002E-3</v>
      </c>
      <c r="ED56" s="316">
        <v>1.49719782076768E-3</v>
      </c>
      <c r="EE56" s="316">
        <v>4.8641163635999992E-4</v>
      </c>
      <c r="EF56" s="316">
        <v>9.931337142758569E-3</v>
      </c>
      <c r="EG56" s="316">
        <v>1.3057678111109651E-3</v>
      </c>
      <c r="EH56" s="316">
        <v>5.7900718409109545E-3</v>
      </c>
      <c r="EI56" s="316">
        <v>6.0787025643157192E-3</v>
      </c>
      <c r="EJ56" s="316">
        <v>1.5203555262318503E-3</v>
      </c>
      <c r="EK56" s="316">
        <v>2.5369211221171E-4</v>
      </c>
      <c r="EL56" s="318">
        <v>9.4448831648270507E-3</v>
      </c>
      <c r="EM56" s="1206">
        <v>1.0911283004064797E-3</v>
      </c>
      <c r="EN56" s="1206">
        <v>4.2466715494525187E-3</v>
      </c>
      <c r="EO56" s="1206">
        <v>4.6684100561375187E-3</v>
      </c>
      <c r="EP56" s="1206">
        <v>1.3713143722857901E-3</v>
      </c>
      <c r="EQ56" s="1206">
        <v>0</v>
      </c>
      <c r="ER56" s="1206">
        <v>8.5422955764502401E-3</v>
      </c>
      <c r="ES56" s="1206">
        <v>1.0587555065756098E-3</v>
      </c>
      <c r="ET56" s="1206">
        <v>4.065770389507401E-3</v>
      </c>
      <c r="EU56" s="1206">
        <v>4.3002434788536091E-3</v>
      </c>
      <c r="EV56" s="1206">
        <v>0</v>
      </c>
      <c r="EW56" s="1206">
        <v>0</v>
      </c>
      <c r="EX56" s="1550">
        <v>0</v>
      </c>
      <c r="EY56" s="1206"/>
      <c r="EZ56" s="1206"/>
      <c r="FA56" s="1206"/>
      <c r="FB56" s="1206"/>
      <c r="FC56" s="1206"/>
      <c r="FD56" s="1206"/>
      <c r="FE56" s="1206"/>
      <c r="FF56" s="1206"/>
      <c r="FG56" s="1206"/>
      <c r="FH56" s="1206"/>
      <c r="FI56" s="1206"/>
      <c r="FJ56" s="1550"/>
      <c r="FK56" s="1206"/>
      <c r="FL56" s="1206"/>
      <c r="FM56" s="1206"/>
      <c r="FN56" s="1206"/>
      <c r="FO56" s="1206"/>
      <c r="FP56" s="1206"/>
      <c r="FQ56" s="316"/>
      <c r="FR56" s="316"/>
      <c r="FS56" s="316"/>
      <c r="FT56" s="316"/>
      <c r="FU56" s="316"/>
      <c r="FV56" s="316"/>
      <c r="FW56" s="316"/>
      <c r="FX56" s="316"/>
      <c r="FY56" s="316"/>
      <c r="FZ56" s="316"/>
      <c r="GA56" s="316"/>
      <c r="GB56" s="316"/>
      <c r="GC56" s="316"/>
      <c r="GD56" s="316"/>
      <c r="GE56" s="316"/>
      <c r="GF56" s="316"/>
      <c r="GG56" s="316"/>
      <c r="GH56" s="316"/>
      <c r="GI56" s="316"/>
      <c r="GJ56" s="316"/>
      <c r="GK56" s="316"/>
      <c r="GL56" s="316"/>
      <c r="GM56" s="316"/>
      <c r="GN56" s="316"/>
      <c r="GO56" s="316"/>
      <c r="GP56" s="316"/>
      <c r="GQ56" s="316"/>
      <c r="GR56" s="316"/>
      <c r="GS56" s="316"/>
      <c r="GT56" s="316"/>
      <c r="GU56" s="316"/>
      <c r="GV56" s="316"/>
      <c r="GW56" s="316"/>
      <c r="GX56" s="316"/>
      <c r="GY56" s="316"/>
      <c r="GZ56" s="316"/>
      <c r="HA56" s="316"/>
      <c r="HB56" s="316"/>
      <c r="HC56" s="316"/>
      <c r="HD56" s="316"/>
      <c r="HE56" s="316"/>
      <c r="HF56" s="316"/>
      <c r="HG56" s="316"/>
      <c r="HH56" s="316"/>
      <c r="HI56" s="316"/>
      <c r="HJ56" s="316"/>
      <c r="HK56" s="316"/>
      <c r="HL56" s="316"/>
      <c r="HM56" s="316"/>
      <c r="HV56" s="302">
        <f t="shared" si="11"/>
        <v>2.4499066999999999E-2</v>
      </c>
      <c r="HW56" s="302">
        <f t="shared" si="12"/>
        <v>2.4351721001230273E-2</v>
      </c>
      <c r="HX56" s="302">
        <f t="shared" si="13"/>
        <v>4.8850788001230272E-2</v>
      </c>
      <c r="HY56" s="302">
        <f t="shared" si="14"/>
        <v>2.3479962574795447E-2</v>
      </c>
      <c r="KH56" s="303"/>
    </row>
    <row r="57" spans="1:294" outlineLevel="1">
      <c r="B57" s="117" t="s">
        <v>361</v>
      </c>
      <c r="D57" s="319" t="str">
        <f t="shared" si="15"/>
        <v>BADEA</v>
      </c>
      <c r="E57" s="316"/>
      <c r="F57" s="316"/>
      <c r="G57" s="316"/>
      <c r="H57" s="316"/>
      <c r="I57" s="316"/>
      <c r="J57" s="316"/>
      <c r="K57" s="316"/>
      <c r="L57" s="316"/>
      <c r="M57" s="316"/>
      <c r="N57" s="316"/>
      <c r="O57" s="316"/>
      <c r="P57" s="316"/>
      <c r="Q57" s="316"/>
      <c r="R57" s="316"/>
      <c r="S57" s="316"/>
      <c r="T57" s="316"/>
      <c r="U57" s="316"/>
      <c r="V57" s="316"/>
      <c r="W57" s="316"/>
      <c r="X57" s="316"/>
      <c r="Y57" s="316"/>
      <c r="Z57" s="316"/>
      <c r="AA57" s="316"/>
      <c r="AB57" s="316"/>
      <c r="AC57" s="316"/>
      <c r="AD57" s="316"/>
      <c r="AE57" s="316"/>
      <c r="AF57" s="316"/>
      <c r="AG57" s="316"/>
      <c r="AH57" s="316"/>
      <c r="AI57" s="316"/>
      <c r="AJ57" s="316"/>
      <c r="AK57" s="316"/>
      <c r="AL57" s="316"/>
      <c r="AM57" s="316"/>
      <c r="AN57" s="316"/>
      <c r="AO57" s="316">
        <v>0</v>
      </c>
      <c r="AP57" s="316">
        <v>0</v>
      </c>
      <c r="AQ57" s="316">
        <v>0</v>
      </c>
      <c r="AR57" s="316">
        <v>0</v>
      </c>
      <c r="AS57" s="316">
        <v>0.25869708133999997</v>
      </c>
      <c r="AT57" s="316">
        <v>0</v>
      </c>
      <c r="AU57" s="316">
        <v>0</v>
      </c>
      <c r="AV57" s="316">
        <v>0</v>
      </c>
      <c r="AW57" s="316">
        <v>0</v>
      </c>
      <c r="AX57" s="316">
        <v>0</v>
      </c>
      <c r="AY57" s="316">
        <v>0</v>
      </c>
      <c r="AZ57" s="316">
        <v>0.26522665249049998</v>
      </c>
      <c r="BA57" s="316">
        <v>0</v>
      </c>
      <c r="BB57" s="316">
        <v>0</v>
      </c>
      <c r="BC57" s="316">
        <v>0</v>
      </c>
      <c r="BD57" s="316">
        <v>0</v>
      </c>
      <c r="BE57" s="316">
        <v>0</v>
      </c>
      <c r="BF57" s="316">
        <v>0</v>
      </c>
      <c r="BG57" s="316">
        <v>0</v>
      </c>
      <c r="BH57" s="316">
        <v>0</v>
      </c>
      <c r="BI57" s="316">
        <v>0</v>
      </c>
      <c r="BJ57" s="316">
        <v>0</v>
      </c>
      <c r="BK57" s="316">
        <v>0</v>
      </c>
      <c r="BL57" s="316">
        <v>0</v>
      </c>
      <c r="BM57" s="316">
        <v>0</v>
      </c>
      <c r="BN57" s="316">
        <v>0</v>
      </c>
      <c r="BO57" s="316">
        <v>0</v>
      </c>
      <c r="BP57" s="316">
        <v>0</v>
      </c>
      <c r="BQ57" s="316">
        <v>0</v>
      </c>
      <c r="BR57" s="316">
        <v>0</v>
      </c>
      <c r="BS57" s="316">
        <v>0</v>
      </c>
      <c r="BT57" s="316">
        <v>0</v>
      </c>
      <c r="BU57" s="316">
        <v>1.7890654999999998E-2</v>
      </c>
      <c r="BV57" s="316">
        <v>0</v>
      </c>
      <c r="BW57" s="316">
        <v>0</v>
      </c>
      <c r="BX57" s="316">
        <v>0</v>
      </c>
      <c r="BY57" s="316">
        <v>0</v>
      </c>
      <c r="BZ57" s="316">
        <v>0</v>
      </c>
      <c r="CA57" s="316">
        <v>0</v>
      </c>
      <c r="CB57" s="316">
        <v>0</v>
      </c>
      <c r="CC57" s="316">
        <v>0</v>
      </c>
      <c r="CD57" s="316">
        <v>0</v>
      </c>
      <c r="CE57" s="317">
        <v>0</v>
      </c>
      <c r="CF57" s="316">
        <v>0</v>
      </c>
      <c r="CG57" s="316">
        <v>0</v>
      </c>
      <c r="CH57" s="316">
        <v>0</v>
      </c>
      <c r="CI57" s="316">
        <v>0</v>
      </c>
      <c r="CJ57" s="316">
        <v>0.1105535543378517</v>
      </c>
      <c r="CK57" s="316">
        <v>0</v>
      </c>
      <c r="CL57" s="316">
        <v>0</v>
      </c>
      <c r="CM57" s="316">
        <v>0</v>
      </c>
      <c r="CN57" s="316">
        <v>0</v>
      </c>
      <c r="CO57" s="316">
        <v>0</v>
      </c>
      <c r="CP57" s="318">
        <v>0</v>
      </c>
      <c r="CQ57" s="316">
        <v>0</v>
      </c>
      <c r="CR57" s="316">
        <v>0</v>
      </c>
      <c r="CS57" s="316">
        <v>0</v>
      </c>
      <c r="CT57" s="316">
        <v>0</v>
      </c>
      <c r="CU57" s="316">
        <v>0</v>
      </c>
      <c r="CV57" s="316">
        <v>0</v>
      </c>
      <c r="CW57" s="316">
        <v>0</v>
      </c>
      <c r="CX57" s="316">
        <v>0</v>
      </c>
      <c r="CY57" s="316">
        <v>0</v>
      </c>
      <c r="CZ57" s="316">
        <v>0</v>
      </c>
      <c r="DA57" s="316">
        <v>0</v>
      </c>
      <c r="DB57" s="1498">
        <v>0</v>
      </c>
      <c r="DC57" s="316">
        <v>0</v>
      </c>
      <c r="DD57" s="316">
        <v>0</v>
      </c>
      <c r="DE57" s="316">
        <v>0</v>
      </c>
      <c r="DF57" s="316">
        <v>0</v>
      </c>
      <c r="DG57" s="316">
        <v>0</v>
      </c>
      <c r="DH57" s="316">
        <v>0</v>
      </c>
      <c r="DI57" s="316">
        <v>0</v>
      </c>
      <c r="DJ57" s="316">
        <v>0</v>
      </c>
      <c r="DK57" s="316">
        <v>0</v>
      </c>
      <c r="DL57" s="316">
        <v>0</v>
      </c>
      <c r="DM57" s="316">
        <v>0</v>
      </c>
      <c r="DN57" s="318">
        <v>0</v>
      </c>
      <c r="DO57" s="316">
        <v>0</v>
      </c>
      <c r="DP57" s="316">
        <v>0</v>
      </c>
      <c r="DQ57" s="316">
        <v>0</v>
      </c>
      <c r="DR57" s="316">
        <v>0</v>
      </c>
      <c r="DS57" s="316">
        <v>0</v>
      </c>
      <c r="DT57" s="316">
        <v>0</v>
      </c>
      <c r="DU57" s="316">
        <v>0</v>
      </c>
      <c r="DV57" s="316">
        <v>0</v>
      </c>
      <c r="DW57" s="316">
        <v>0</v>
      </c>
      <c r="DX57" s="316">
        <v>0</v>
      </c>
      <c r="DY57" s="316">
        <v>0</v>
      </c>
      <c r="DZ57" s="318">
        <v>0</v>
      </c>
      <c r="EA57" s="316">
        <v>0</v>
      </c>
      <c r="EB57" s="316">
        <v>0</v>
      </c>
      <c r="EC57" s="316">
        <v>0</v>
      </c>
      <c r="ED57" s="316">
        <v>0</v>
      </c>
      <c r="EE57" s="316">
        <v>0</v>
      </c>
      <c r="EF57" s="316">
        <v>0</v>
      </c>
      <c r="EG57" s="316">
        <v>0</v>
      </c>
      <c r="EH57" s="316">
        <v>0</v>
      </c>
      <c r="EI57" s="316">
        <v>0</v>
      </c>
      <c r="EJ57" s="316">
        <v>0</v>
      </c>
      <c r="EK57" s="316">
        <v>0</v>
      </c>
      <c r="EL57" s="318">
        <v>0</v>
      </c>
      <c r="EM57" s="1206">
        <v>0</v>
      </c>
      <c r="EN57" s="1206">
        <v>0</v>
      </c>
      <c r="EO57" s="1206">
        <v>0</v>
      </c>
      <c r="EP57" s="1206">
        <v>0</v>
      </c>
      <c r="EQ57" s="1206">
        <v>0</v>
      </c>
      <c r="ER57" s="1206">
        <v>0</v>
      </c>
      <c r="ES57" s="1206">
        <v>0</v>
      </c>
      <c r="ET57" s="1206">
        <v>0</v>
      </c>
      <c r="EU57" s="1206">
        <v>0</v>
      </c>
      <c r="EV57" s="1206">
        <v>0</v>
      </c>
      <c r="EW57" s="1206">
        <v>0</v>
      </c>
      <c r="EX57" s="1550">
        <v>0</v>
      </c>
      <c r="EY57" s="1206"/>
      <c r="EZ57" s="1206"/>
      <c r="FA57" s="1206"/>
      <c r="FB57" s="1206"/>
      <c r="FC57" s="1206"/>
      <c r="FD57" s="1206"/>
      <c r="FE57" s="1206"/>
      <c r="FF57" s="1206"/>
      <c r="FG57" s="1206"/>
      <c r="FH57" s="1206"/>
      <c r="FI57" s="1206"/>
      <c r="FJ57" s="1550"/>
      <c r="FK57" s="1206"/>
      <c r="FL57" s="1206"/>
      <c r="FM57" s="1206"/>
      <c r="FN57" s="1206"/>
      <c r="FO57" s="1206"/>
      <c r="FP57" s="1206"/>
      <c r="FQ57" s="316"/>
      <c r="FR57" s="316"/>
      <c r="FS57" s="316"/>
      <c r="FT57" s="316"/>
      <c r="FU57" s="316"/>
      <c r="FV57" s="316"/>
      <c r="FW57" s="316"/>
      <c r="FX57" s="316"/>
      <c r="FY57" s="316"/>
      <c r="FZ57" s="316"/>
      <c r="GA57" s="316"/>
      <c r="GB57" s="316"/>
      <c r="GC57" s="316"/>
      <c r="GD57" s="316"/>
      <c r="GE57" s="316"/>
      <c r="GF57" s="316"/>
      <c r="GG57" s="316"/>
      <c r="GH57" s="316"/>
      <c r="GI57" s="316"/>
      <c r="GJ57" s="316"/>
      <c r="GK57" s="316"/>
      <c r="GL57" s="316"/>
      <c r="GM57" s="316"/>
      <c r="GN57" s="316"/>
      <c r="GO57" s="316"/>
      <c r="GP57" s="316"/>
      <c r="GQ57" s="316"/>
      <c r="GR57" s="316"/>
      <c r="GS57" s="316"/>
      <c r="GT57" s="316"/>
      <c r="GU57" s="316"/>
      <c r="GV57" s="316"/>
      <c r="GW57" s="316"/>
      <c r="GX57" s="316"/>
      <c r="GY57" s="316"/>
      <c r="GZ57" s="316"/>
      <c r="HA57" s="316"/>
      <c r="HB57" s="316"/>
      <c r="HC57" s="316"/>
      <c r="HD57" s="316"/>
      <c r="HE57" s="316"/>
      <c r="HF57" s="316"/>
      <c r="HG57" s="316"/>
      <c r="HH57" s="316"/>
      <c r="HI57" s="316"/>
      <c r="HJ57" s="316"/>
      <c r="HK57" s="316"/>
      <c r="HL57" s="316"/>
      <c r="HM57" s="316"/>
      <c r="HV57" s="302">
        <f t="shared" si="11"/>
        <v>0</v>
      </c>
      <c r="HW57" s="302">
        <f t="shared" si="12"/>
        <v>0</v>
      </c>
      <c r="HX57" s="302">
        <f t="shared" si="13"/>
        <v>0</v>
      </c>
      <c r="HY57" s="302">
        <f t="shared" si="14"/>
        <v>0</v>
      </c>
      <c r="KH57" s="303"/>
    </row>
    <row r="58" spans="1:294" outlineLevel="1">
      <c r="B58" s="117" t="s">
        <v>361</v>
      </c>
      <c r="D58" s="319" t="str">
        <f t="shared" si="15"/>
        <v>OPEC</v>
      </c>
      <c r="E58" s="316"/>
      <c r="F58" s="316"/>
      <c r="G58" s="316"/>
      <c r="H58" s="316"/>
      <c r="I58" s="316"/>
      <c r="J58" s="316"/>
      <c r="K58" s="316"/>
      <c r="L58" s="316"/>
      <c r="M58" s="316"/>
      <c r="N58" s="316"/>
      <c r="O58" s="316"/>
      <c r="P58" s="316"/>
      <c r="Q58" s="316"/>
      <c r="R58" s="316"/>
      <c r="S58" s="316"/>
      <c r="T58" s="316"/>
      <c r="U58" s="316"/>
      <c r="V58" s="316"/>
      <c r="W58" s="316"/>
      <c r="X58" s="316"/>
      <c r="Y58" s="316"/>
      <c r="Z58" s="316"/>
      <c r="AA58" s="316"/>
      <c r="AB58" s="316"/>
      <c r="AC58" s="316"/>
      <c r="AD58" s="316"/>
      <c r="AE58" s="316"/>
      <c r="AF58" s="316"/>
      <c r="AG58" s="316"/>
      <c r="AH58" s="316"/>
      <c r="AI58" s="316"/>
      <c r="AJ58" s="316"/>
      <c r="AK58" s="316"/>
      <c r="AL58" s="316"/>
      <c r="AM58" s="316"/>
      <c r="AN58" s="316"/>
      <c r="AO58" s="316">
        <v>2.3097332390399999E-2</v>
      </c>
      <c r="AP58" s="316">
        <v>0</v>
      </c>
      <c r="AQ58" s="316">
        <v>4.33285829816E-2</v>
      </c>
      <c r="AR58" s="316">
        <v>2.6098473019999999E-2</v>
      </c>
      <c r="AS58" s="316">
        <v>0</v>
      </c>
      <c r="AT58" s="316">
        <v>9.8476375746500006E-2</v>
      </c>
      <c r="AU58" s="316">
        <v>2.2046548661999999E-2</v>
      </c>
      <c r="AV58" s="316">
        <v>0</v>
      </c>
      <c r="AW58" s="316">
        <v>4.1462394076800003E-2</v>
      </c>
      <c r="AX58" s="316">
        <v>2.5716551454074997E-2</v>
      </c>
      <c r="AY58" s="316">
        <v>7.5298718963999998E-3</v>
      </c>
      <c r="AZ58" s="316">
        <v>0.102719271051</v>
      </c>
      <c r="BA58" s="316">
        <v>2.04899467806E-2</v>
      </c>
      <c r="BB58" s="316">
        <v>3.9267520000000004E-3</v>
      </c>
      <c r="BC58" s="316">
        <v>4.0483374373999993E-2</v>
      </c>
      <c r="BD58" s="316">
        <v>2.4889465420400003E-2</v>
      </c>
      <c r="BE58" s="316">
        <v>2.4959989789999998E-2</v>
      </c>
      <c r="BF58" s="316">
        <v>0.1076924104896</v>
      </c>
      <c r="BG58" s="316">
        <v>1.9434285994200003E-2</v>
      </c>
      <c r="BH58" s="316">
        <v>3.4837660000000001E-3</v>
      </c>
      <c r="BI58" s="316">
        <v>4.2342299999999999E-2</v>
      </c>
      <c r="BJ58" s="316">
        <v>2.3758728E-2</v>
      </c>
      <c r="BK58" s="316">
        <v>3.9457612995499998E-2</v>
      </c>
      <c r="BL58" s="316">
        <v>0.1131185270255</v>
      </c>
      <c r="BM58" s="316">
        <v>1.8276899999999999E-2</v>
      </c>
      <c r="BN58" s="316">
        <v>2.9895294573000003E-3</v>
      </c>
      <c r="BO58" s="316">
        <v>4.1407960398000002E-2</v>
      </c>
      <c r="BP58" s="316">
        <v>2.5253380648499999E-2</v>
      </c>
      <c r="BQ58" s="316">
        <v>3.42419682002E-2</v>
      </c>
      <c r="BR58" s="316">
        <v>0.11225408982150001</v>
      </c>
      <c r="BS58" s="316">
        <v>1.7397866631599999E-2</v>
      </c>
      <c r="BT58" s="316">
        <v>2.6217374585999998E-3</v>
      </c>
      <c r="BU58" s="316">
        <v>4.0579881408E-2</v>
      </c>
      <c r="BV58" s="316">
        <v>2.5779767068799999E-2</v>
      </c>
      <c r="BW58" s="316">
        <v>5.2806005230600001E-2</v>
      </c>
      <c r="BX58" s="316">
        <v>0.11228731400350001</v>
      </c>
      <c r="BY58" s="316">
        <v>1.6594621521331041E-2</v>
      </c>
      <c r="BZ58" s="316">
        <v>2.3672543027773003E-3</v>
      </c>
      <c r="CA58" s="316">
        <v>4.0347625981324117E-2</v>
      </c>
      <c r="CB58" s="316">
        <v>3.8268103054527602E-2</v>
      </c>
      <c r="CC58" s="316">
        <v>5.1605239293351597E-2</v>
      </c>
      <c r="CD58" s="316">
        <v>0.11012706679046408</v>
      </c>
      <c r="CE58" s="317">
        <v>1.5649510120765289E-2</v>
      </c>
      <c r="CF58" s="316">
        <v>1.7820479229601303E-3</v>
      </c>
      <c r="CG58" s="316">
        <v>3.9918555837563596E-2</v>
      </c>
      <c r="CH58" s="316">
        <v>5.6469941182866128E-2</v>
      </c>
      <c r="CI58" s="316">
        <v>5.1423807714420962E-2</v>
      </c>
      <c r="CJ58" s="316">
        <v>0</v>
      </c>
      <c r="CK58" s="316">
        <v>1.4967232644326822E-2</v>
      </c>
      <c r="CL58" s="316">
        <v>4.5525184183626607E-3</v>
      </c>
      <c r="CM58" s="316">
        <v>3.981057114708219E-2</v>
      </c>
      <c r="CN58" s="316">
        <v>8.8191245797537302E-2</v>
      </c>
      <c r="CO58" s="316">
        <v>5.044192635084075E-2</v>
      </c>
      <c r="CP58" s="318">
        <v>0.12272982318432542</v>
      </c>
      <c r="CQ58" s="316">
        <v>1.3821954605414438E-2</v>
      </c>
      <c r="CR58" s="316">
        <v>6.6940510488988801E-3</v>
      </c>
      <c r="CS58" s="316">
        <v>3.8750762250740672E-2</v>
      </c>
      <c r="CT58" s="316">
        <v>9.8377537969097997E-2</v>
      </c>
      <c r="CU58" s="316">
        <v>4.8826554312069129E-2</v>
      </c>
      <c r="CV58" s="316">
        <v>0.12256866544817042</v>
      </c>
      <c r="CW58" s="316">
        <v>1.4081621044217051E-2</v>
      </c>
      <c r="CX58" s="316">
        <v>1.8435434880354644E-2</v>
      </c>
      <c r="CY58" s="316">
        <v>3.8290491921342498E-2</v>
      </c>
      <c r="CZ58" s="316">
        <v>9.92969846195704E-2</v>
      </c>
      <c r="DA58" s="316">
        <v>4.8017905955833315E-2</v>
      </c>
      <c r="DB58" s="1498">
        <v>0.14856486518460241</v>
      </c>
      <c r="DC58" s="316">
        <v>1.1648609024000001E-2</v>
      </c>
      <c r="DD58" s="316">
        <v>2.2872379000000002E-2</v>
      </c>
      <c r="DE58" s="316">
        <v>3.7769975999999997E-2</v>
      </c>
      <c r="DF58" s="316">
        <v>9.9118921999999998E-2</v>
      </c>
      <c r="DG58" s="316">
        <v>4.7285871E-2</v>
      </c>
      <c r="DH58" s="316">
        <v>0.14842494000000001</v>
      </c>
      <c r="DI58" s="316">
        <v>1.0588110801013141E-2</v>
      </c>
      <c r="DJ58" s="316">
        <v>4.1408564496725274E-2</v>
      </c>
      <c r="DK58" s="316">
        <v>0</v>
      </c>
      <c r="DL58" s="316">
        <v>9.9565957563668012E-2</v>
      </c>
      <c r="DM58" s="316">
        <v>4.6991830760739838E-2</v>
      </c>
      <c r="DN58" s="318">
        <v>0.18055133166483331</v>
      </c>
      <c r="DO58" s="316">
        <v>9.5141203199999996E-3</v>
      </c>
      <c r="DP58" s="316">
        <v>7.9805405977403251E-2</v>
      </c>
      <c r="DQ58" s="316">
        <v>3.8126443770337477E-2</v>
      </c>
      <c r="DR58" s="316">
        <v>0.10836224455815567</v>
      </c>
      <c r="DS58" s="316">
        <v>4.6666333939247885E-2</v>
      </c>
      <c r="DT58" s="316">
        <v>0.17866520985648959</v>
      </c>
      <c r="DU58" s="316">
        <v>8.3112195591680191E-3</v>
      </c>
      <c r="DV58" s="316">
        <v>9.021251891838164E-2</v>
      </c>
      <c r="DW58" s="316">
        <v>4.0933015808729593E-2</v>
      </c>
      <c r="DX58" s="316">
        <v>9.7487677656226249E-2</v>
      </c>
      <c r="DY58" s="316">
        <v>4.4571785306375601E-2</v>
      </c>
      <c r="DZ58" s="318">
        <v>0.17324186056404481</v>
      </c>
      <c r="EA58" s="316">
        <v>6.7206562251971996E-3</v>
      </c>
      <c r="EB58" s="316">
        <v>0.10708202122643505</v>
      </c>
      <c r="EC58" s="316">
        <v>4.8247434048769439E-2</v>
      </c>
      <c r="ED58" s="316">
        <v>9.3593240320080637E-2</v>
      </c>
      <c r="EE58" s="316">
        <v>4.2522862646055239E-2</v>
      </c>
      <c r="EF58" s="316">
        <v>0.1710943772001102</v>
      </c>
      <c r="EG58" s="316">
        <v>5.1519720995805611E-3</v>
      </c>
      <c r="EH58" s="316">
        <v>0.1259090529254</v>
      </c>
      <c r="EI58" s="316">
        <v>5.4149557008132322E-2</v>
      </c>
      <c r="EJ58" s="316">
        <v>8.9744312276268029E-2</v>
      </c>
      <c r="EK58" s="316">
        <v>4.0350192023451963E-2</v>
      </c>
      <c r="EL58" s="318">
        <v>0.16694725831067503</v>
      </c>
      <c r="EM58" s="1206">
        <v>3.4845058432461601E-3</v>
      </c>
      <c r="EN58" s="1206">
        <v>0.12778857482351832</v>
      </c>
      <c r="EO58" s="1206">
        <v>6.88373510488169E-2</v>
      </c>
      <c r="EP58" s="1206">
        <v>8.6356129797247022E-2</v>
      </c>
      <c r="EQ58" s="1206">
        <v>3.8287686021910898E-2</v>
      </c>
      <c r="ER58" s="1206">
        <v>0.16267646120583618</v>
      </c>
      <c r="ES58" s="1206">
        <v>1.777145802E-3</v>
      </c>
      <c r="ET58" s="1206">
        <v>0.15655384829763541</v>
      </c>
      <c r="EU58" s="1206">
        <v>8.8347597005720119E-2</v>
      </c>
      <c r="EV58" s="1206">
        <v>8.2948087804267143E-2</v>
      </c>
      <c r="EW58" s="1206">
        <v>3.6072192314768596E-2</v>
      </c>
      <c r="EX58" s="1550">
        <v>0.15784321842401797</v>
      </c>
      <c r="EY58" s="1206"/>
      <c r="EZ58" s="1206"/>
      <c r="FA58" s="1206"/>
      <c r="FB58" s="1206"/>
      <c r="FC58" s="1206"/>
      <c r="FD58" s="1206"/>
      <c r="FE58" s="1206"/>
      <c r="FF58" s="1206"/>
      <c r="FG58" s="1206"/>
      <c r="FH58" s="1206"/>
      <c r="FI58" s="1206"/>
      <c r="FJ58" s="1550"/>
      <c r="FK58" s="1206"/>
      <c r="FL58" s="1206"/>
      <c r="FM58" s="1206"/>
      <c r="FN58" s="1206"/>
      <c r="FO58" s="1206"/>
      <c r="FP58" s="1206"/>
      <c r="FQ58" s="316"/>
      <c r="FR58" s="316"/>
      <c r="FS58" s="316"/>
      <c r="FT58" s="316"/>
      <c r="FU58" s="316"/>
      <c r="FV58" s="316"/>
      <c r="FW58" s="316"/>
      <c r="FX58" s="316"/>
      <c r="FY58" s="316"/>
      <c r="FZ58" s="316"/>
      <c r="GA58" s="316"/>
      <c r="GB58" s="316"/>
      <c r="GC58" s="316"/>
      <c r="GD58" s="316"/>
      <c r="GE58" s="316"/>
      <c r="GF58" s="316"/>
      <c r="GG58" s="316"/>
      <c r="GH58" s="316"/>
      <c r="GI58" s="316"/>
      <c r="GJ58" s="316"/>
      <c r="GK58" s="316"/>
      <c r="GL58" s="316"/>
      <c r="GM58" s="316"/>
      <c r="GN58" s="316"/>
      <c r="GO58" s="316"/>
      <c r="GP58" s="316"/>
      <c r="GQ58" s="316"/>
      <c r="GR58" s="316"/>
      <c r="GS58" s="316"/>
      <c r="GT58" s="316"/>
      <c r="GU58" s="316"/>
      <c r="GV58" s="316"/>
      <c r="GW58" s="316"/>
      <c r="GX58" s="316"/>
      <c r="GY58" s="316"/>
      <c r="GZ58" s="316"/>
      <c r="HA58" s="316"/>
      <c r="HB58" s="316"/>
      <c r="HC58" s="316"/>
      <c r="HD58" s="316"/>
      <c r="HE58" s="316"/>
      <c r="HF58" s="316"/>
      <c r="HG58" s="316"/>
      <c r="HH58" s="316"/>
      <c r="HI58" s="316"/>
      <c r="HJ58" s="316"/>
      <c r="HK58" s="316"/>
      <c r="HL58" s="316"/>
      <c r="HM58" s="316"/>
      <c r="HV58" s="302">
        <f t="shared" si="11"/>
        <v>0.36712069702399996</v>
      </c>
      <c r="HW58" s="302">
        <f t="shared" si="12"/>
        <v>0.37910579528697957</v>
      </c>
      <c r="HX58" s="302">
        <f t="shared" si="13"/>
        <v>0.74622649231097959</v>
      </c>
      <c r="HY58" s="302">
        <f t="shared" si="14"/>
        <v>0.46113975842163391</v>
      </c>
      <c r="KH58" s="303"/>
    </row>
    <row r="59" spans="1:294" outlineLevel="1">
      <c r="B59" s="117" t="s">
        <v>361</v>
      </c>
      <c r="D59" s="319" t="str">
        <f t="shared" si="15"/>
        <v>FSD</v>
      </c>
      <c r="E59" s="316"/>
      <c r="F59" s="316"/>
      <c r="G59" s="316"/>
      <c r="H59" s="316"/>
      <c r="I59" s="316"/>
      <c r="J59" s="316"/>
      <c r="K59" s="316"/>
      <c r="L59" s="316"/>
      <c r="M59" s="316"/>
      <c r="N59" s="316"/>
      <c r="O59" s="316"/>
      <c r="P59" s="316"/>
      <c r="Q59" s="316"/>
      <c r="R59" s="316"/>
      <c r="S59" s="316"/>
      <c r="T59" s="316"/>
      <c r="U59" s="316"/>
      <c r="V59" s="316"/>
      <c r="W59" s="316"/>
      <c r="X59" s="316"/>
      <c r="Y59" s="316"/>
      <c r="Z59" s="316"/>
      <c r="AA59" s="316"/>
      <c r="AB59" s="316"/>
      <c r="AC59" s="316"/>
      <c r="AD59" s="316"/>
      <c r="AE59" s="316"/>
      <c r="AF59" s="316"/>
      <c r="AG59" s="316"/>
      <c r="AH59" s="316"/>
      <c r="AI59" s="316"/>
      <c r="AJ59" s="316"/>
      <c r="AK59" s="316"/>
      <c r="AL59" s="316"/>
      <c r="AM59" s="316"/>
      <c r="AN59" s="316"/>
      <c r="AO59" s="316">
        <v>0.14543353343999998</v>
      </c>
      <c r="AP59" s="316">
        <v>0</v>
      </c>
      <c r="AQ59" s="316">
        <v>0</v>
      </c>
      <c r="AR59" s="316">
        <v>0</v>
      </c>
      <c r="AS59" s="316">
        <v>4.7098309060266665E-2</v>
      </c>
      <c r="AT59" s="316">
        <v>0</v>
      </c>
      <c r="AU59" s="316">
        <v>0.15089282091582001</v>
      </c>
      <c r="AV59" s="316">
        <v>0</v>
      </c>
      <c r="AW59" s="316">
        <v>0</v>
      </c>
      <c r="AX59" s="316">
        <v>0</v>
      </c>
      <c r="AY59" s="316">
        <v>0</v>
      </c>
      <c r="AZ59" s="316">
        <v>4.9263098173199994E-2</v>
      </c>
      <c r="BA59" s="316">
        <v>0.1515018361611</v>
      </c>
      <c r="BB59" s="316">
        <v>0</v>
      </c>
      <c r="BC59" s="316">
        <v>0</v>
      </c>
      <c r="BD59" s="316">
        <v>0</v>
      </c>
      <c r="BE59" s="316">
        <v>0</v>
      </c>
      <c r="BF59" s="316">
        <v>5.0548298861542551E-2</v>
      </c>
      <c r="BG59" s="316">
        <v>0.15374137685984002</v>
      </c>
      <c r="BH59" s="316">
        <v>0</v>
      </c>
      <c r="BI59" s="316">
        <v>0</v>
      </c>
      <c r="BJ59" s="316">
        <v>0</v>
      </c>
      <c r="BK59" s="316">
        <v>4.9474853835615354E-2</v>
      </c>
      <c r="BL59" s="316">
        <v>0</v>
      </c>
      <c r="BM59" s="316">
        <v>0.15437163601600001</v>
      </c>
      <c r="BN59" s="316">
        <v>0</v>
      </c>
      <c r="BO59" s="316">
        <v>0</v>
      </c>
      <c r="BP59" s="316">
        <v>0</v>
      </c>
      <c r="BQ59" s="316">
        <v>4.893401664705882E-2</v>
      </c>
      <c r="BR59" s="316">
        <v>0</v>
      </c>
      <c r="BS59" s="316">
        <v>0.15778390600840003</v>
      </c>
      <c r="BT59" s="316">
        <v>3.3899210000000002E-3</v>
      </c>
      <c r="BU59" s="316">
        <v>0</v>
      </c>
      <c r="BV59" s="316">
        <v>0</v>
      </c>
      <c r="BW59" s="316">
        <v>4.9228825625999999E-2</v>
      </c>
      <c r="BX59" s="316">
        <v>0</v>
      </c>
      <c r="BY59" s="316">
        <v>0.15980634238932154</v>
      </c>
      <c r="BZ59" s="316">
        <v>0</v>
      </c>
      <c r="CA59" s="316">
        <v>0</v>
      </c>
      <c r="CB59" s="316">
        <v>0</v>
      </c>
      <c r="CC59" s="316">
        <v>4.884110203979334E-2</v>
      </c>
      <c r="CD59" s="316">
        <v>0</v>
      </c>
      <c r="CE59" s="317">
        <v>0.16270522196837509</v>
      </c>
      <c r="CF59" s="316">
        <v>0</v>
      </c>
      <c r="CG59" s="316">
        <v>0</v>
      </c>
      <c r="CH59" s="316">
        <v>0</v>
      </c>
      <c r="CI59" s="316">
        <v>0</v>
      </c>
      <c r="CJ59" s="316">
        <v>2.0354561843140802E-3</v>
      </c>
      <c r="CK59" s="316">
        <v>0.16942517263030454</v>
      </c>
      <c r="CL59" s="316">
        <v>0</v>
      </c>
      <c r="CM59" s="316">
        <v>0</v>
      </c>
      <c r="CN59" s="316">
        <v>0</v>
      </c>
      <c r="CO59" s="316">
        <v>4.9650906266393305E-2</v>
      </c>
      <c r="CP59" s="318">
        <v>0</v>
      </c>
      <c r="CQ59" s="316">
        <v>0.17425739666953863</v>
      </c>
      <c r="CR59" s="316">
        <v>0</v>
      </c>
      <c r="CS59" s="316">
        <v>0</v>
      </c>
      <c r="CT59" s="316">
        <v>0</v>
      </c>
      <c r="CU59" s="316">
        <v>4.8610706085860399E-2</v>
      </c>
      <c r="CV59" s="316">
        <v>0</v>
      </c>
      <c r="CW59" s="316">
        <v>0.17817682848508706</v>
      </c>
      <c r="CX59" s="316">
        <v>0</v>
      </c>
      <c r="CY59" s="316">
        <v>0</v>
      </c>
      <c r="CZ59" s="316">
        <v>0</v>
      </c>
      <c r="DA59" s="316">
        <v>5.2539687565270096E-2</v>
      </c>
      <c r="DB59" s="1498">
        <v>0</v>
      </c>
      <c r="DC59" s="316">
        <v>0.18417370799999999</v>
      </c>
      <c r="DD59" s="316">
        <v>0</v>
      </c>
      <c r="DE59" s="316">
        <v>0</v>
      </c>
      <c r="DF59" s="316">
        <v>0</v>
      </c>
      <c r="DG59" s="316">
        <v>0</v>
      </c>
      <c r="DH59" s="316">
        <v>5.1888320000000002E-2</v>
      </c>
      <c r="DI59" s="316">
        <v>0.19217552840703742</v>
      </c>
      <c r="DJ59" s="316">
        <v>0</v>
      </c>
      <c r="DK59" s="316">
        <v>0</v>
      </c>
      <c r="DL59" s="316">
        <v>0</v>
      </c>
      <c r="DM59" s="316">
        <v>7.1365443635314552E-2</v>
      </c>
      <c r="DN59" s="318">
        <v>0</v>
      </c>
      <c r="DO59" s="316">
        <v>0.20066890549114638</v>
      </c>
      <c r="DP59" s="316">
        <v>0</v>
      </c>
      <c r="DQ59" s="316">
        <v>0</v>
      </c>
      <c r="DR59" s="316">
        <v>1.8737463688521597E-3</v>
      </c>
      <c r="DS59" s="316">
        <v>7.3342504605453343E-2</v>
      </c>
      <c r="DT59" s="316">
        <v>0</v>
      </c>
      <c r="DU59" s="316">
        <v>0.20922671134895893</v>
      </c>
      <c r="DV59" s="316">
        <v>0</v>
      </c>
      <c r="DW59" s="316">
        <v>2.1182273606478201E-3</v>
      </c>
      <c r="DX59" s="316">
        <v>0</v>
      </c>
      <c r="DY59" s="316">
        <v>7.8904280401858803E-2</v>
      </c>
      <c r="DZ59" s="318">
        <v>0</v>
      </c>
      <c r="EA59" s="316">
        <v>0.21184992443982908</v>
      </c>
      <c r="EB59" s="316">
        <v>0</v>
      </c>
      <c r="EC59" s="316">
        <v>7.2184396755940001E-3</v>
      </c>
      <c r="ED59" s="316">
        <v>5.5733447283212792E-3</v>
      </c>
      <c r="EE59" s="316">
        <v>8.2872862875187775E-2</v>
      </c>
      <c r="EF59" s="316">
        <v>0</v>
      </c>
      <c r="EG59" s="316">
        <v>0.21120490957483234</v>
      </c>
      <c r="EH59" s="316">
        <v>0</v>
      </c>
      <c r="EI59" s="316">
        <v>0</v>
      </c>
      <c r="EJ59" s="316">
        <v>3.1188399285879204E-2</v>
      </c>
      <c r="EK59" s="316">
        <v>8.341845756693142E-2</v>
      </c>
      <c r="EL59" s="318">
        <v>8.341845756693142E-2</v>
      </c>
      <c r="EM59" s="1206">
        <v>0.2104040214829124</v>
      </c>
      <c r="EN59" s="1206">
        <v>0</v>
      </c>
      <c r="EO59" s="1206">
        <v>2.0912249972128902E-2</v>
      </c>
      <c r="EP59" s="1206">
        <v>2.2599758681279999E-2</v>
      </c>
      <c r="EQ59" s="1206">
        <v>8.3753348728921567E-2</v>
      </c>
      <c r="ER59" s="1206">
        <v>0</v>
      </c>
      <c r="ES59" s="1206">
        <v>0.2103380560649741</v>
      </c>
      <c r="ET59" s="1206">
        <v>0</v>
      </c>
      <c r="EU59" s="1206">
        <v>2.2926246846643596E-2</v>
      </c>
      <c r="EV59" s="1206">
        <v>3.2615609844426838E-2</v>
      </c>
      <c r="EW59" s="1206">
        <v>0.3109678413226224</v>
      </c>
      <c r="EX59" s="1550">
        <v>0</v>
      </c>
      <c r="EY59" s="1206"/>
      <c r="EZ59" s="1206"/>
      <c r="FA59" s="1206"/>
      <c r="FB59" s="1206"/>
      <c r="FC59" s="1206"/>
      <c r="FD59" s="1206"/>
      <c r="FE59" s="1206"/>
      <c r="FF59" s="1206"/>
      <c r="FG59" s="1206"/>
      <c r="FH59" s="1206"/>
      <c r="FI59" s="1206"/>
      <c r="FJ59" s="1550"/>
      <c r="FK59" s="1206"/>
      <c r="FL59" s="1206"/>
      <c r="FM59" s="1206"/>
      <c r="FN59" s="1206"/>
      <c r="FO59" s="1206"/>
      <c r="FP59" s="1206"/>
      <c r="FQ59" s="316"/>
      <c r="FR59" s="316"/>
      <c r="FS59" s="316"/>
      <c r="FT59" s="316"/>
      <c r="FU59" s="316"/>
      <c r="FV59" s="316"/>
      <c r="FW59" s="316"/>
      <c r="FX59" s="316"/>
      <c r="FY59" s="316"/>
      <c r="FZ59" s="316"/>
      <c r="GA59" s="316"/>
      <c r="GB59" s="316"/>
      <c r="GC59" s="316"/>
      <c r="GD59" s="316"/>
      <c r="GE59" s="316"/>
      <c r="GF59" s="316"/>
      <c r="GG59" s="316"/>
      <c r="GH59" s="316"/>
      <c r="GI59" s="316"/>
      <c r="GJ59" s="316"/>
      <c r="GK59" s="316"/>
      <c r="GL59" s="316"/>
      <c r="GM59" s="316"/>
      <c r="GN59" s="316"/>
      <c r="GO59" s="316"/>
      <c r="GP59" s="316"/>
      <c r="GQ59" s="316"/>
      <c r="GR59" s="316"/>
      <c r="GS59" s="316"/>
      <c r="GT59" s="316"/>
      <c r="GU59" s="316"/>
      <c r="GV59" s="316"/>
      <c r="GW59" s="316"/>
      <c r="GX59" s="316"/>
      <c r="GY59" s="316"/>
      <c r="GZ59" s="316"/>
      <c r="HA59" s="316"/>
      <c r="HB59" s="316"/>
      <c r="HC59" s="316"/>
      <c r="HD59" s="316"/>
      <c r="HE59" s="316"/>
      <c r="HF59" s="316"/>
      <c r="HG59" s="316"/>
      <c r="HH59" s="316"/>
      <c r="HI59" s="316"/>
      <c r="HJ59" s="316"/>
      <c r="HK59" s="316"/>
      <c r="HL59" s="316"/>
      <c r="HM59" s="316"/>
      <c r="HV59" s="302">
        <f t="shared" si="11"/>
        <v>0.23606202799999998</v>
      </c>
      <c r="HW59" s="302">
        <f t="shared" si="12"/>
        <v>0.26354097204235194</v>
      </c>
      <c r="HX59" s="302">
        <f t="shared" si="13"/>
        <v>0.49960300004235192</v>
      </c>
      <c r="HY59" s="302">
        <f t="shared" si="14"/>
        <v>0.27588515646545186</v>
      </c>
      <c r="KH59" s="303"/>
    </row>
    <row r="60" spans="1:294" outlineLevel="1">
      <c r="B60" s="117" t="s">
        <v>361</v>
      </c>
      <c r="D60" s="319" t="str">
        <f t="shared" si="15"/>
        <v>FKWD</v>
      </c>
      <c r="E60" s="316"/>
      <c r="F60" s="316"/>
      <c r="G60" s="316"/>
      <c r="H60" s="316"/>
      <c r="I60" s="316"/>
      <c r="J60" s="316"/>
      <c r="K60" s="316"/>
      <c r="L60" s="316"/>
      <c r="M60" s="316"/>
      <c r="N60" s="316"/>
      <c r="O60" s="316"/>
      <c r="P60" s="316"/>
      <c r="Q60" s="316"/>
      <c r="R60" s="316"/>
      <c r="S60" s="316"/>
      <c r="T60" s="316"/>
      <c r="U60" s="316"/>
      <c r="V60" s="316"/>
      <c r="W60" s="316"/>
      <c r="X60" s="316"/>
      <c r="Y60" s="316"/>
      <c r="Z60" s="316"/>
      <c r="AA60" s="316"/>
      <c r="AB60" s="316"/>
      <c r="AC60" s="316"/>
      <c r="AD60" s="316"/>
      <c r="AE60" s="316"/>
      <c r="AF60" s="316"/>
      <c r="AG60" s="316"/>
      <c r="AH60" s="316"/>
      <c r="AI60" s="316"/>
      <c r="AJ60" s="316"/>
      <c r="AK60" s="316"/>
      <c r="AL60" s="316"/>
      <c r="AM60" s="316"/>
      <c r="AN60" s="316"/>
      <c r="AO60" s="316">
        <v>0</v>
      </c>
      <c r="AP60" s="316">
        <v>0.14083737171492</v>
      </c>
      <c r="AQ60" s="316">
        <v>0</v>
      </c>
      <c r="AR60" s="316">
        <v>0</v>
      </c>
      <c r="AS60" s="316">
        <v>0</v>
      </c>
      <c r="AT60" s="316">
        <v>8.7474249999999996E-3</v>
      </c>
      <c r="AU60" s="316">
        <v>0</v>
      </c>
      <c r="AV60" s="316">
        <v>0</v>
      </c>
      <c r="AW60" s="316">
        <v>0.14404350499999999</v>
      </c>
      <c r="AX60" s="316">
        <v>0</v>
      </c>
      <c r="AY60" s="316">
        <v>1.6638631000000001E-2</v>
      </c>
      <c r="AZ60" s="316">
        <v>0</v>
      </c>
      <c r="BA60" s="316">
        <v>0</v>
      </c>
      <c r="BB60" s="316">
        <v>0</v>
      </c>
      <c r="BC60" s="316">
        <v>0.153160239</v>
      </c>
      <c r="BD60" s="316">
        <v>0</v>
      </c>
      <c r="BE60" s="316">
        <v>2.5537548E-2</v>
      </c>
      <c r="BF60" s="316">
        <v>0</v>
      </c>
      <c r="BG60" s="316">
        <v>0</v>
      </c>
      <c r="BH60" s="316">
        <v>0</v>
      </c>
      <c r="BI60" s="316">
        <v>0.15647524900000001</v>
      </c>
      <c r="BJ60" s="316">
        <v>0</v>
      </c>
      <c r="BK60" s="316">
        <v>4.7718736425500001E-2</v>
      </c>
      <c r="BL60" s="316">
        <v>0</v>
      </c>
      <c r="BM60" s="316">
        <v>0</v>
      </c>
      <c r="BN60" s="316">
        <v>0</v>
      </c>
      <c r="BO60" s="316">
        <v>0.15626406087210001</v>
      </c>
      <c r="BP60" s="316">
        <v>0</v>
      </c>
      <c r="BQ60" s="316">
        <v>6.4144570999999997E-2</v>
      </c>
      <c r="BR60" s="316">
        <v>0</v>
      </c>
      <c r="BS60" s="316">
        <v>0</v>
      </c>
      <c r="BT60" s="316">
        <v>0</v>
      </c>
      <c r="BU60" s="316">
        <v>0.153171793</v>
      </c>
      <c r="BV60" s="316">
        <v>0</v>
      </c>
      <c r="BW60" s="316">
        <v>6.6868828000000005E-2</v>
      </c>
      <c r="BX60" s="316">
        <v>0</v>
      </c>
      <c r="BY60" s="316">
        <v>0</v>
      </c>
      <c r="BZ60" s="316">
        <v>0.15777481700000001</v>
      </c>
      <c r="CA60" s="316">
        <v>1.736011E-3</v>
      </c>
      <c r="CB60" s="316">
        <v>0</v>
      </c>
      <c r="CC60" s="316">
        <v>6.6094199540131196E-2</v>
      </c>
      <c r="CD60" s="316">
        <v>0</v>
      </c>
      <c r="CE60" s="317">
        <v>0</v>
      </c>
      <c r="CF60" s="316">
        <v>0.16204046666979993</v>
      </c>
      <c r="CG60" s="316">
        <v>7.7114321218801195E-3</v>
      </c>
      <c r="CH60" s="316">
        <v>0</v>
      </c>
      <c r="CI60" s="316">
        <v>7.0202142462975112E-2</v>
      </c>
      <c r="CJ60" s="316">
        <v>0</v>
      </c>
      <c r="CK60" s="316">
        <v>0</v>
      </c>
      <c r="CL60" s="316">
        <v>0.16899073271695789</v>
      </c>
      <c r="CM60" s="316">
        <v>1.406184208762239E-2</v>
      </c>
      <c r="CN60" s="316">
        <v>0</v>
      </c>
      <c r="CO60" s="316">
        <v>7.1160723953687458E-2</v>
      </c>
      <c r="CP60" s="318">
        <v>0</v>
      </c>
      <c r="CQ60" s="316">
        <v>0</v>
      </c>
      <c r="CR60" s="316">
        <v>0</v>
      </c>
      <c r="CS60" s="316">
        <v>0.19437067121762588</v>
      </c>
      <c r="CT60" s="316">
        <v>0</v>
      </c>
      <c r="CU60" s="316">
        <v>6.7341231904849919E-2</v>
      </c>
      <c r="CV60" s="316">
        <v>0</v>
      </c>
      <c r="CW60" s="316">
        <v>0</v>
      </c>
      <c r="CX60" s="316">
        <v>0</v>
      </c>
      <c r="CY60" s="316">
        <v>0.20425586733727982</v>
      </c>
      <c r="CZ60" s="316">
        <v>0</v>
      </c>
      <c r="DA60" s="316">
        <v>6.5536753593734204E-2</v>
      </c>
      <c r="DB60" s="1498">
        <v>0</v>
      </c>
      <c r="DC60" s="316">
        <v>0</v>
      </c>
      <c r="DD60" s="316">
        <v>0.17072013</v>
      </c>
      <c r="DE60" s="316">
        <v>4.9137747000000002E-2</v>
      </c>
      <c r="DF60" s="316">
        <v>0</v>
      </c>
      <c r="DG60" s="316">
        <v>6.4838599999999996E-2</v>
      </c>
      <c r="DH60" s="316">
        <v>0</v>
      </c>
      <c r="DI60" s="316">
        <v>0</v>
      </c>
      <c r="DJ60" s="316">
        <v>0</v>
      </c>
      <c r="DK60" s="316">
        <v>0.25715351548278581</v>
      </c>
      <c r="DL60" s="316">
        <v>0</v>
      </c>
      <c r="DM60" s="316">
        <v>6.6878378603726404E-2</v>
      </c>
      <c r="DN60" s="318">
        <v>0</v>
      </c>
      <c r="DO60" s="316">
        <v>0</v>
      </c>
      <c r="DP60" s="316">
        <v>0</v>
      </c>
      <c r="DQ60" s="316">
        <v>0.27363580506434665</v>
      </c>
      <c r="DR60" s="316">
        <v>4.2877898261760297E-3</v>
      </c>
      <c r="DS60" s="316">
        <v>6.7944241037105155E-2</v>
      </c>
      <c r="DT60" s="316">
        <v>5.5699378782516013E-4</v>
      </c>
      <c r="DU60" s="316">
        <v>0</v>
      </c>
      <c r="DV60" s="316">
        <v>0.1923262069830024</v>
      </c>
      <c r="DW60" s="316">
        <v>7.9618246271228488E-2</v>
      </c>
      <c r="DX60" s="316">
        <v>0</v>
      </c>
      <c r="DY60" s="316">
        <v>8.5374007831791804E-2</v>
      </c>
      <c r="DZ60" s="318">
        <v>0</v>
      </c>
      <c r="EA60" s="316">
        <v>0</v>
      </c>
      <c r="EB60" s="316">
        <v>0.19663833997522506</v>
      </c>
      <c r="EC60" s="316">
        <v>0.2769379050784761</v>
      </c>
      <c r="ED60" s="316">
        <v>3.0097728539491501E-2</v>
      </c>
      <c r="EE60" s="316">
        <v>6.630046916579875E-2</v>
      </c>
      <c r="EF60" s="316">
        <v>0</v>
      </c>
      <c r="EG60" s="316">
        <v>0</v>
      </c>
      <c r="EH60" s="316">
        <v>0.2027281664998358</v>
      </c>
      <c r="EI60" s="316">
        <v>8.1476163063448168E-2</v>
      </c>
      <c r="EJ60" s="316">
        <v>4.5672784977695197E-2</v>
      </c>
      <c r="EK60" s="316">
        <v>6.6507352669881628E-2</v>
      </c>
      <c r="EL60" s="318">
        <v>0</v>
      </c>
      <c r="EM60" s="1206">
        <v>0</v>
      </c>
      <c r="EN60" s="1206">
        <v>0.20408003100135749</v>
      </c>
      <c r="EO60" s="1206">
        <v>8.026638329214561E-2</v>
      </c>
      <c r="EP60" s="1206">
        <v>6.3313834645374392E-2</v>
      </c>
      <c r="EQ60" s="1206">
        <v>6.5335585643001834E-2</v>
      </c>
      <c r="ER60" s="1206">
        <v>0</v>
      </c>
      <c r="ES60" s="1206">
        <v>0</v>
      </c>
      <c r="ET60" s="1206">
        <v>1.42530390453591E-2</v>
      </c>
      <c r="EU60" s="1206">
        <v>0.20881309535962894</v>
      </c>
      <c r="EV60" s="1206">
        <v>0</v>
      </c>
      <c r="EW60" s="1206">
        <v>0.13936441430149882</v>
      </c>
      <c r="EX60" s="1550">
        <v>0</v>
      </c>
      <c r="EY60" s="1206"/>
      <c r="EZ60" s="1206"/>
      <c r="FA60" s="1206"/>
      <c r="FB60" s="1206"/>
      <c r="FC60" s="1206"/>
      <c r="FD60" s="1206"/>
      <c r="FE60" s="1206"/>
      <c r="FF60" s="1206"/>
      <c r="FG60" s="1206"/>
      <c r="FH60" s="1206"/>
      <c r="FI60" s="1206"/>
      <c r="FJ60" s="1550"/>
      <c r="FK60" s="1206"/>
      <c r="FL60" s="1206"/>
      <c r="FM60" s="1206"/>
      <c r="FN60" s="1206"/>
      <c r="FO60" s="1206"/>
      <c r="FP60" s="1206"/>
      <c r="FQ60" s="316"/>
      <c r="FR60" s="316"/>
      <c r="FS60" s="316"/>
      <c r="FT60" s="316"/>
      <c r="FU60" s="316"/>
      <c r="FV60" s="316"/>
      <c r="FW60" s="316"/>
      <c r="FX60" s="316"/>
      <c r="FY60" s="316"/>
      <c r="FZ60" s="316"/>
      <c r="GA60" s="316"/>
      <c r="GB60" s="316"/>
      <c r="GC60" s="316"/>
      <c r="GD60" s="316"/>
      <c r="GE60" s="316"/>
      <c r="GF60" s="316"/>
      <c r="GG60" s="316"/>
      <c r="GH60" s="316"/>
      <c r="GI60" s="316"/>
      <c r="GJ60" s="316"/>
      <c r="GK60" s="316"/>
      <c r="GL60" s="316"/>
      <c r="GM60" s="316"/>
      <c r="GN60" s="316"/>
      <c r="GO60" s="316"/>
      <c r="GP60" s="316"/>
      <c r="GQ60" s="316"/>
      <c r="GR60" s="316"/>
      <c r="GS60" s="316"/>
      <c r="GT60" s="316"/>
      <c r="GU60" s="316"/>
      <c r="GV60" s="316"/>
      <c r="GW60" s="316"/>
      <c r="GX60" s="316"/>
      <c r="GY60" s="316"/>
      <c r="GZ60" s="316"/>
      <c r="HA60" s="316"/>
      <c r="HB60" s="316"/>
      <c r="HC60" s="316"/>
      <c r="HD60" s="316"/>
      <c r="HE60" s="316"/>
      <c r="HF60" s="316"/>
      <c r="HG60" s="316"/>
      <c r="HH60" s="316"/>
      <c r="HI60" s="316"/>
      <c r="HJ60" s="316"/>
      <c r="HK60" s="316"/>
      <c r="HL60" s="316"/>
      <c r="HM60" s="316"/>
      <c r="HV60" s="302">
        <f t="shared" si="11"/>
        <v>0.284696477</v>
      </c>
      <c r="HW60" s="302">
        <f t="shared" si="12"/>
        <v>0.32403189408651223</v>
      </c>
      <c r="HX60" s="302">
        <f t="shared" si="13"/>
        <v>0.60872837108651223</v>
      </c>
      <c r="HY60" s="302">
        <f t="shared" si="14"/>
        <v>0.34642482971545296</v>
      </c>
      <c r="KH60" s="303"/>
    </row>
    <row r="61" spans="1:294" outlineLevel="1">
      <c r="B61" s="117" t="s">
        <v>361</v>
      </c>
      <c r="D61" s="319" t="str">
        <f t="shared" si="15"/>
        <v>NDF</v>
      </c>
      <c r="E61" s="316"/>
      <c r="F61" s="316"/>
      <c r="G61" s="316"/>
      <c r="H61" s="316"/>
      <c r="I61" s="316"/>
      <c r="J61" s="316"/>
      <c r="K61" s="316"/>
      <c r="L61" s="316"/>
      <c r="M61" s="316"/>
      <c r="N61" s="316"/>
      <c r="O61" s="316"/>
      <c r="P61" s="316"/>
      <c r="Q61" s="316"/>
      <c r="R61" s="316"/>
      <c r="S61" s="316"/>
      <c r="T61" s="316"/>
      <c r="U61" s="316"/>
      <c r="V61" s="316"/>
      <c r="W61" s="316"/>
      <c r="X61" s="316"/>
      <c r="Y61" s="316"/>
      <c r="Z61" s="316"/>
      <c r="AA61" s="316"/>
      <c r="AB61" s="316"/>
      <c r="AC61" s="316"/>
      <c r="AD61" s="316"/>
      <c r="AE61" s="316"/>
      <c r="AF61" s="316"/>
      <c r="AG61" s="316"/>
      <c r="AH61" s="316"/>
      <c r="AI61" s="316"/>
      <c r="AJ61" s="316"/>
      <c r="AK61" s="316"/>
      <c r="AL61" s="316"/>
      <c r="AM61" s="316"/>
      <c r="AN61" s="316"/>
      <c r="AO61" s="316">
        <v>0</v>
      </c>
      <c r="AP61" s="316">
        <v>0</v>
      </c>
      <c r="AQ61" s="316">
        <v>0</v>
      </c>
      <c r="AR61" s="316">
        <v>0</v>
      </c>
      <c r="AS61" s="316">
        <v>3.27161641266E-2</v>
      </c>
      <c r="AT61" s="316">
        <v>0</v>
      </c>
      <c r="AU61" s="316">
        <v>0</v>
      </c>
      <c r="AV61" s="316">
        <v>0</v>
      </c>
      <c r="AW61" s="316">
        <v>0</v>
      </c>
      <c r="AX61" s="316">
        <v>0</v>
      </c>
      <c r="AY61" s="316">
        <v>3.8363060754399998E-2</v>
      </c>
      <c r="AZ61" s="316">
        <v>0</v>
      </c>
      <c r="BA61" s="316">
        <v>0</v>
      </c>
      <c r="BB61" s="316">
        <v>0</v>
      </c>
      <c r="BC61" s="316">
        <v>0</v>
      </c>
      <c r="BD61" s="316">
        <v>0</v>
      </c>
      <c r="BE61" s="316">
        <v>4.1352137731000008E-2</v>
      </c>
      <c r="BF61" s="316">
        <v>0</v>
      </c>
      <c r="BG61" s="316">
        <v>0</v>
      </c>
      <c r="BH61" s="316">
        <v>0</v>
      </c>
      <c r="BI61" s="316">
        <v>0</v>
      </c>
      <c r="BJ61" s="316">
        <v>0</v>
      </c>
      <c r="BK61" s="316">
        <v>3.8835155066400007E-2</v>
      </c>
      <c r="BL61" s="316">
        <v>0</v>
      </c>
      <c r="BM61" s="316">
        <v>0</v>
      </c>
      <c r="BN61" s="316">
        <v>0</v>
      </c>
      <c r="BO61" s="316">
        <v>0</v>
      </c>
      <c r="BP61" s="316">
        <v>0</v>
      </c>
      <c r="BQ61" s="316">
        <v>3.70112854662E-2</v>
      </c>
      <c r="BR61" s="316">
        <v>0</v>
      </c>
      <c r="BS61" s="316">
        <v>0</v>
      </c>
      <c r="BT61" s="316">
        <v>0</v>
      </c>
      <c r="BU61" s="316">
        <v>0</v>
      </c>
      <c r="BV61" s="316">
        <v>0</v>
      </c>
      <c r="BW61" s="316">
        <v>3.7744327196799994E-2</v>
      </c>
      <c r="BX61" s="316">
        <v>0</v>
      </c>
      <c r="BY61" s="316">
        <v>0</v>
      </c>
      <c r="BZ61" s="316">
        <v>0</v>
      </c>
      <c r="CA61" s="316">
        <v>0</v>
      </c>
      <c r="CB61" s="316">
        <v>0</v>
      </c>
      <c r="CC61" s="316">
        <v>3.9074109910906714E-2</v>
      </c>
      <c r="CD61" s="316">
        <v>0</v>
      </c>
      <c r="CE61" s="317">
        <v>0</v>
      </c>
      <c r="CF61" s="316">
        <v>0</v>
      </c>
      <c r="CG61" s="316">
        <v>0</v>
      </c>
      <c r="CH61" s="316">
        <v>0</v>
      </c>
      <c r="CI61" s="316">
        <v>4.2245389947422642E-2</v>
      </c>
      <c r="CJ61" s="316">
        <v>0</v>
      </c>
      <c r="CK61" s="316">
        <v>0</v>
      </c>
      <c r="CL61" s="316">
        <v>0</v>
      </c>
      <c r="CM61" s="316">
        <v>0</v>
      </c>
      <c r="CN61" s="316">
        <v>0</v>
      </c>
      <c r="CO61" s="316">
        <v>4.4172526817567469E-2</v>
      </c>
      <c r="CP61" s="318">
        <v>0</v>
      </c>
      <c r="CQ61" s="316">
        <v>0</v>
      </c>
      <c r="CR61" s="316">
        <v>0</v>
      </c>
      <c r="CS61" s="316">
        <v>0</v>
      </c>
      <c r="CT61" s="316">
        <v>0</v>
      </c>
      <c r="CU61" s="316">
        <v>4.1021381957097099E-2</v>
      </c>
      <c r="CV61" s="316">
        <v>0</v>
      </c>
      <c r="CW61" s="316">
        <v>0</v>
      </c>
      <c r="CX61" s="316">
        <v>0</v>
      </c>
      <c r="CY61" s="316">
        <v>0</v>
      </c>
      <c r="CZ61" s="316">
        <v>0</v>
      </c>
      <c r="DA61" s="316">
        <v>3.8499937940579175E-2</v>
      </c>
      <c r="DB61" s="1498">
        <v>0</v>
      </c>
      <c r="DC61" s="316">
        <v>0</v>
      </c>
      <c r="DD61" s="316">
        <v>0</v>
      </c>
      <c r="DE61" s="316">
        <v>0</v>
      </c>
      <c r="DF61" s="316">
        <v>0</v>
      </c>
      <c r="DG61" s="316">
        <v>3.7596913000000003E-2</v>
      </c>
      <c r="DH61" s="316">
        <v>0</v>
      </c>
      <c r="DI61" s="316">
        <v>0</v>
      </c>
      <c r="DJ61" s="316">
        <v>0</v>
      </c>
      <c r="DK61" s="316">
        <v>0</v>
      </c>
      <c r="DL61" s="316">
        <v>0</v>
      </c>
      <c r="DM61" s="316">
        <v>5.1124338019324811E-2</v>
      </c>
      <c r="DN61" s="318">
        <v>0</v>
      </c>
      <c r="DO61" s="316">
        <v>0</v>
      </c>
      <c r="DP61" s="316">
        <v>0</v>
      </c>
      <c r="DQ61" s="316">
        <v>0</v>
      </c>
      <c r="DR61" s="316">
        <v>0</v>
      </c>
      <c r="DS61" s="316">
        <v>4.0519795745312129E-2</v>
      </c>
      <c r="DT61" s="316">
        <v>0</v>
      </c>
      <c r="DU61" s="316">
        <v>0</v>
      </c>
      <c r="DV61" s="316">
        <v>0</v>
      </c>
      <c r="DW61" s="316">
        <v>0</v>
      </c>
      <c r="DX61" s="316">
        <v>0</v>
      </c>
      <c r="DY61" s="316">
        <v>4.1449170971152395E-2</v>
      </c>
      <c r="DZ61" s="318">
        <v>0</v>
      </c>
      <c r="EA61" s="316">
        <v>0</v>
      </c>
      <c r="EB61" s="316">
        <v>0</v>
      </c>
      <c r="EC61" s="316">
        <v>0</v>
      </c>
      <c r="ED61" s="316">
        <v>0</v>
      </c>
      <c r="EE61" s="316">
        <v>4.4978013166800002E-2</v>
      </c>
      <c r="EF61" s="316">
        <v>0</v>
      </c>
      <c r="EG61" s="316">
        <v>0</v>
      </c>
      <c r="EH61" s="316">
        <v>0</v>
      </c>
      <c r="EI61" s="316">
        <v>0</v>
      </c>
      <c r="EJ61" s="316">
        <v>0</v>
      </c>
      <c r="EK61" s="316">
        <v>4.6721587760657296E-2</v>
      </c>
      <c r="EL61" s="318">
        <v>0</v>
      </c>
      <c r="EM61" s="1206">
        <v>0</v>
      </c>
      <c r="EN61" s="1206">
        <v>0</v>
      </c>
      <c r="EO61" s="1206">
        <v>0</v>
      </c>
      <c r="EP61" s="1206">
        <v>0</v>
      </c>
      <c r="EQ61" s="1206">
        <v>4.3858250601758152E-2</v>
      </c>
      <c r="ER61" s="1206">
        <v>0</v>
      </c>
      <c r="ES61" s="1206">
        <v>0</v>
      </c>
      <c r="ET61" s="1206">
        <v>0</v>
      </c>
      <c r="EU61" s="1206">
        <v>0</v>
      </c>
      <c r="EV61" s="1206">
        <v>0</v>
      </c>
      <c r="EW61" s="1206">
        <v>4.3970697945456473E-2</v>
      </c>
      <c r="EX61" s="1550">
        <v>0</v>
      </c>
      <c r="EY61" s="1206"/>
      <c r="EZ61" s="1206"/>
      <c r="FA61" s="1206"/>
      <c r="FB61" s="1206"/>
      <c r="FC61" s="1206"/>
      <c r="FD61" s="1206"/>
      <c r="FE61" s="1206"/>
      <c r="FF61" s="1206"/>
      <c r="FG61" s="1206"/>
      <c r="FH61" s="1206"/>
      <c r="FI61" s="1206"/>
      <c r="FJ61" s="1550"/>
      <c r="FK61" s="1206"/>
      <c r="FL61" s="1206"/>
      <c r="FM61" s="1206"/>
      <c r="FN61" s="1206"/>
      <c r="FO61" s="1206"/>
      <c r="FP61" s="1206"/>
      <c r="FQ61" s="316"/>
      <c r="FR61" s="316"/>
      <c r="FS61" s="316"/>
      <c r="FT61" s="316"/>
      <c r="FU61" s="316"/>
      <c r="FV61" s="316"/>
      <c r="FW61" s="316"/>
      <c r="FX61" s="316"/>
      <c r="FY61" s="316"/>
      <c r="FZ61" s="316"/>
      <c r="GA61" s="316"/>
      <c r="GB61" s="316"/>
      <c r="GC61" s="316"/>
      <c r="GD61" s="316"/>
      <c r="GE61" s="316"/>
      <c r="GF61" s="316"/>
      <c r="GG61" s="316"/>
      <c r="GH61" s="316"/>
      <c r="GI61" s="316"/>
      <c r="GJ61" s="316"/>
      <c r="GK61" s="316"/>
      <c r="GL61" s="316"/>
      <c r="GM61" s="316"/>
      <c r="GN61" s="316"/>
      <c r="GO61" s="316"/>
      <c r="GP61" s="316"/>
      <c r="GQ61" s="316"/>
      <c r="GR61" s="316"/>
      <c r="GS61" s="316"/>
      <c r="GT61" s="316"/>
      <c r="GU61" s="316"/>
      <c r="GV61" s="316"/>
      <c r="GW61" s="316"/>
      <c r="GX61" s="316"/>
      <c r="GY61" s="316"/>
      <c r="GZ61" s="316"/>
      <c r="HA61" s="316"/>
      <c r="HB61" s="316"/>
      <c r="HC61" s="316"/>
      <c r="HD61" s="316"/>
      <c r="HE61" s="316"/>
      <c r="HF61" s="316"/>
      <c r="HG61" s="316"/>
      <c r="HH61" s="316"/>
      <c r="HI61" s="316"/>
      <c r="HJ61" s="316"/>
      <c r="HK61" s="316"/>
      <c r="HL61" s="316"/>
      <c r="HM61" s="316"/>
      <c r="HV61" s="302">
        <f t="shared" si="11"/>
        <v>3.7596913000000003E-2</v>
      </c>
      <c r="HW61" s="302">
        <f t="shared" si="12"/>
        <v>5.1124338019324811E-2</v>
      </c>
      <c r="HX61" s="302">
        <f t="shared" si="13"/>
        <v>8.872125101932482E-2</v>
      </c>
      <c r="HY61" s="302">
        <f t="shared" si="14"/>
        <v>4.0519795745312129E-2</v>
      </c>
      <c r="KH61" s="303"/>
    </row>
    <row r="62" spans="1:294" outlineLevel="1">
      <c r="B62" s="117" t="s">
        <v>361</v>
      </c>
      <c r="D62" s="319" t="str">
        <f t="shared" si="15"/>
        <v>EXIM-INDIA</v>
      </c>
      <c r="E62" s="316"/>
      <c r="F62" s="316"/>
      <c r="G62" s="316"/>
      <c r="H62" s="316"/>
      <c r="I62" s="316"/>
      <c r="J62" s="316"/>
      <c r="K62" s="316"/>
      <c r="L62" s="316"/>
      <c r="M62" s="316"/>
      <c r="N62" s="316"/>
      <c r="O62" s="316"/>
      <c r="P62" s="316"/>
      <c r="Q62" s="316"/>
      <c r="R62" s="316"/>
      <c r="S62" s="316"/>
      <c r="T62" s="316"/>
      <c r="U62" s="316"/>
      <c r="V62" s="316"/>
      <c r="W62" s="316"/>
      <c r="X62" s="316"/>
      <c r="Y62" s="316"/>
      <c r="Z62" s="316"/>
      <c r="AA62" s="316"/>
      <c r="AB62" s="316"/>
      <c r="AC62" s="316"/>
      <c r="AD62" s="316"/>
      <c r="AE62" s="316"/>
      <c r="AF62" s="316"/>
      <c r="AG62" s="316"/>
      <c r="AH62" s="316"/>
      <c r="AI62" s="316"/>
      <c r="AJ62" s="316"/>
      <c r="AK62" s="316"/>
      <c r="AL62" s="316"/>
      <c r="AM62" s="316"/>
      <c r="AN62" s="316"/>
      <c r="AO62" s="316">
        <v>8.3300392000000001E-2</v>
      </c>
      <c r="AP62" s="316">
        <v>0</v>
      </c>
      <c r="AQ62" s="316">
        <v>0</v>
      </c>
      <c r="AR62" s="316">
        <v>0</v>
      </c>
      <c r="AS62" s="316">
        <v>0</v>
      </c>
      <c r="AT62" s="316">
        <v>0</v>
      </c>
      <c r="AU62" s="316">
        <v>8.5449967000000002E-2</v>
      </c>
      <c r="AV62" s="316">
        <v>0</v>
      </c>
      <c r="AW62" s="316">
        <v>0</v>
      </c>
      <c r="AX62" s="316">
        <v>0</v>
      </c>
      <c r="AY62" s="316">
        <v>0</v>
      </c>
      <c r="AZ62" s="316">
        <v>0</v>
      </c>
      <c r="BA62" s="316">
        <v>9.6165672999999993E-2</v>
      </c>
      <c r="BB62" s="316">
        <v>0</v>
      </c>
      <c r="BC62" s="316">
        <v>0</v>
      </c>
      <c r="BD62" s="316">
        <v>0</v>
      </c>
      <c r="BE62" s="316">
        <v>0</v>
      </c>
      <c r="BF62" s="316">
        <v>0</v>
      </c>
      <c r="BG62" s="316">
        <v>0</v>
      </c>
      <c r="BH62" s="316">
        <v>0</v>
      </c>
      <c r="BI62" s="316">
        <v>0.122988097</v>
      </c>
      <c r="BJ62" s="316">
        <v>0</v>
      </c>
      <c r="BK62" s="316">
        <v>0</v>
      </c>
      <c r="BL62" s="316">
        <v>0</v>
      </c>
      <c r="BM62" s="316">
        <v>0.1025712573478</v>
      </c>
      <c r="BN62" s="316">
        <v>4.2522326649300002E-2</v>
      </c>
      <c r="BO62" s="316">
        <v>0</v>
      </c>
      <c r="BP62" s="316">
        <v>0</v>
      </c>
      <c r="BQ62" s="316">
        <v>1.5122673E-2</v>
      </c>
      <c r="BR62" s="316">
        <v>0</v>
      </c>
      <c r="BS62" s="316">
        <v>0.10529158700000001</v>
      </c>
      <c r="BT62" s="316">
        <v>8.6231022000000004E-2</v>
      </c>
      <c r="BU62" s="316">
        <v>7.0099557000000007E-2</v>
      </c>
      <c r="BV62" s="316">
        <v>0</v>
      </c>
      <c r="BW62" s="316">
        <v>0</v>
      </c>
      <c r="BX62" s="316">
        <v>0</v>
      </c>
      <c r="BY62" s="316">
        <v>0.25453989700000001</v>
      </c>
      <c r="BZ62" s="316">
        <v>5.8426839000000001E-2</v>
      </c>
      <c r="CA62" s="316">
        <v>0</v>
      </c>
      <c r="CB62" s="316">
        <v>0</v>
      </c>
      <c r="CC62" s="316">
        <v>0</v>
      </c>
      <c r="CD62" s="316">
        <v>0</v>
      </c>
      <c r="CE62" s="317">
        <v>0.3629642713892598</v>
      </c>
      <c r="CF62" s="316">
        <v>5.5924560715429005E-4</v>
      </c>
      <c r="CG62" s="316">
        <v>0</v>
      </c>
      <c r="CH62" s="316">
        <v>0</v>
      </c>
      <c r="CI62" s="316">
        <v>0</v>
      </c>
      <c r="CJ62" s="316">
        <v>0</v>
      </c>
      <c r="CK62" s="316">
        <v>0.40227822398719798</v>
      </c>
      <c r="CL62" s="316">
        <v>0</v>
      </c>
      <c r="CM62" s="316">
        <v>2.5680988553636541E-2</v>
      </c>
      <c r="CN62" s="316">
        <v>0</v>
      </c>
      <c r="CO62" s="316">
        <v>0</v>
      </c>
      <c r="CP62" s="318">
        <v>0</v>
      </c>
      <c r="CQ62" s="316">
        <v>0.43715569339855254</v>
      </c>
      <c r="CR62" s="316">
        <v>7.6073247305757609E-3</v>
      </c>
      <c r="CS62" s="316">
        <v>0</v>
      </c>
      <c r="CT62" s="316">
        <v>0</v>
      </c>
      <c r="CU62" s="316">
        <v>0</v>
      </c>
      <c r="CV62" s="316">
        <v>0</v>
      </c>
      <c r="CW62" s="316">
        <v>0</v>
      </c>
      <c r="CX62" s="316">
        <v>0.47042363092444917</v>
      </c>
      <c r="CY62" s="316">
        <v>0</v>
      </c>
      <c r="CZ62" s="316">
        <v>1.05451606155E-3</v>
      </c>
      <c r="DA62" s="316">
        <v>0</v>
      </c>
      <c r="DB62" s="1498">
        <v>0</v>
      </c>
      <c r="DC62" s="316">
        <v>0</v>
      </c>
      <c r="DD62" s="316">
        <v>0.51083765699999995</v>
      </c>
      <c r="DE62" s="316">
        <v>0</v>
      </c>
      <c r="DF62" s="316">
        <v>0</v>
      </c>
      <c r="DG62" s="316">
        <v>0</v>
      </c>
      <c r="DH62" s="316">
        <v>0</v>
      </c>
      <c r="DI62" s="316">
        <v>0.52116094729347329</v>
      </c>
      <c r="DJ62" s="316">
        <v>0</v>
      </c>
      <c r="DK62" s="316">
        <v>0</v>
      </c>
      <c r="DL62" s="316">
        <v>0</v>
      </c>
      <c r="DM62" s="316">
        <v>0</v>
      </c>
      <c r="DN62" s="318">
        <v>0</v>
      </c>
      <c r="DO62" s="316">
        <v>0</v>
      </c>
      <c r="DP62" s="316">
        <v>0.53836427569936873</v>
      </c>
      <c r="DQ62" s="316">
        <v>1.6221492570225361E-2</v>
      </c>
      <c r="DR62" s="316">
        <v>0</v>
      </c>
      <c r="DS62" s="316">
        <v>0</v>
      </c>
      <c r="DT62" s="316">
        <v>0</v>
      </c>
      <c r="DU62" s="316">
        <v>0.55189454414165329</v>
      </c>
      <c r="DV62" s="316">
        <v>3.3468001907333698E-2</v>
      </c>
      <c r="DW62" s="316">
        <v>0</v>
      </c>
      <c r="DX62" s="316">
        <v>0</v>
      </c>
      <c r="DY62" s="316">
        <v>0</v>
      </c>
      <c r="DZ62" s="318">
        <v>0</v>
      </c>
      <c r="EA62" s="316">
        <v>0.5542186484585071</v>
      </c>
      <c r="EB62" s="316">
        <v>0.5542186484585071</v>
      </c>
      <c r="EC62" s="316">
        <v>0</v>
      </c>
      <c r="ED62" s="316">
        <v>0</v>
      </c>
      <c r="EE62" s="316">
        <v>0</v>
      </c>
      <c r="EF62" s="316">
        <v>0</v>
      </c>
      <c r="EG62" s="316">
        <v>0.55821065554442162</v>
      </c>
      <c r="EH62" s="316">
        <v>1.2342663764159999E-2</v>
      </c>
      <c r="EI62" s="316">
        <v>0</v>
      </c>
      <c r="EJ62" s="316">
        <v>6.6558938794721596E-3</v>
      </c>
      <c r="EK62" s="316">
        <v>0</v>
      </c>
      <c r="EL62" s="318">
        <v>0</v>
      </c>
      <c r="EM62" s="1206">
        <v>0.59773153968015702</v>
      </c>
      <c r="EN62" s="1206">
        <v>0</v>
      </c>
      <c r="EO62" s="1206">
        <v>0</v>
      </c>
      <c r="EP62" s="1206">
        <v>0</v>
      </c>
      <c r="EQ62" s="1206">
        <v>0</v>
      </c>
      <c r="ER62" s="1206">
        <v>0</v>
      </c>
      <c r="ES62" s="1206">
        <v>0.64577352712611535</v>
      </c>
      <c r="ET62" s="1206">
        <v>0</v>
      </c>
      <c r="EU62" s="1206">
        <v>0</v>
      </c>
      <c r="EV62" s="1206">
        <v>0</v>
      </c>
      <c r="EW62" s="1206">
        <v>0</v>
      </c>
      <c r="EX62" s="1550">
        <v>0</v>
      </c>
      <c r="EY62" s="1206"/>
      <c r="EZ62" s="1206"/>
      <c r="FA62" s="1206"/>
      <c r="FB62" s="1206"/>
      <c r="FC62" s="1206"/>
      <c r="FD62" s="1206"/>
      <c r="FE62" s="1206"/>
      <c r="FF62" s="1206"/>
      <c r="FG62" s="1206"/>
      <c r="FH62" s="1206"/>
      <c r="FI62" s="1206"/>
      <c r="FJ62" s="1550"/>
      <c r="FK62" s="1206"/>
      <c r="FL62" s="1206"/>
      <c r="FM62" s="1206"/>
      <c r="FN62" s="1206"/>
      <c r="FO62" s="1206"/>
      <c r="FP62" s="1206"/>
      <c r="FQ62" s="316"/>
      <c r="FR62" s="316"/>
      <c r="FS62" s="316"/>
      <c r="FT62" s="316"/>
      <c r="FU62" s="316"/>
      <c r="FV62" s="316"/>
      <c r="FW62" s="316"/>
      <c r="FX62" s="316"/>
      <c r="FY62" s="316"/>
      <c r="FZ62" s="316"/>
      <c r="GA62" s="316"/>
      <c r="GB62" s="316"/>
      <c r="GC62" s="316"/>
      <c r="GD62" s="316"/>
      <c r="GE62" s="316"/>
      <c r="GF62" s="316"/>
      <c r="GG62" s="316"/>
      <c r="GH62" s="316"/>
      <c r="GI62" s="316"/>
      <c r="GJ62" s="316"/>
      <c r="GK62" s="316"/>
      <c r="GL62" s="316"/>
      <c r="GM62" s="316"/>
      <c r="GN62" s="316"/>
      <c r="GO62" s="316"/>
      <c r="GP62" s="316"/>
      <c r="GQ62" s="316"/>
      <c r="GR62" s="316"/>
      <c r="GS62" s="316"/>
      <c r="GT62" s="316"/>
      <c r="GU62" s="316"/>
      <c r="GV62" s="316"/>
      <c r="GW62" s="316"/>
      <c r="GX62" s="316"/>
      <c r="GY62" s="316"/>
      <c r="GZ62" s="316"/>
      <c r="HA62" s="316"/>
      <c r="HB62" s="316"/>
      <c r="HC62" s="316"/>
      <c r="HD62" s="316"/>
      <c r="HE62" s="316"/>
      <c r="HF62" s="316"/>
      <c r="HG62" s="316"/>
      <c r="HH62" s="316"/>
      <c r="HI62" s="316"/>
      <c r="HJ62" s="316"/>
      <c r="HK62" s="316"/>
      <c r="HL62" s="316"/>
      <c r="HM62" s="316"/>
      <c r="HV62" s="302">
        <f t="shared" si="11"/>
        <v>0.51083765699999995</v>
      </c>
      <c r="HW62" s="302">
        <f t="shared" si="12"/>
        <v>0.52116094729347329</v>
      </c>
      <c r="HX62" s="302">
        <f t="shared" si="13"/>
        <v>1.0319986042934732</v>
      </c>
      <c r="HY62" s="302">
        <f t="shared" si="14"/>
        <v>0.55458576826959405</v>
      </c>
      <c r="KH62" s="303"/>
    </row>
    <row r="63" spans="1:294" outlineLevel="1">
      <c r="B63" s="117" t="s">
        <v>361</v>
      </c>
      <c r="D63" s="319" t="str">
        <f t="shared" si="15"/>
        <v>EXIM-CHINA</v>
      </c>
      <c r="E63" s="316"/>
      <c r="F63" s="316"/>
      <c r="G63" s="316"/>
      <c r="H63" s="316"/>
      <c r="I63" s="316"/>
      <c r="J63" s="316"/>
      <c r="K63" s="316"/>
      <c r="L63" s="316"/>
      <c r="M63" s="316"/>
      <c r="N63" s="316"/>
      <c r="O63" s="316"/>
      <c r="P63" s="316"/>
      <c r="Q63" s="316"/>
      <c r="R63" s="316"/>
      <c r="S63" s="316"/>
      <c r="T63" s="316"/>
      <c r="U63" s="316"/>
      <c r="V63" s="316"/>
      <c r="W63" s="316"/>
      <c r="X63" s="316"/>
      <c r="Y63" s="316"/>
      <c r="Z63" s="316"/>
      <c r="AA63" s="316"/>
      <c r="AB63" s="316"/>
      <c r="AC63" s="316"/>
      <c r="AD63" s="316"/>
      <c r="AE63" s="316"/>
      <c r="AF63" s="316"/>
      <c r="AG63" s="316"/>
      <c r="AH63" s="316"/>
      <c r="AI63" s="316"/>
      <c r="AJ63" s="316"/>
      <c r="AK63" s="316"/>
      <c r="AL63" s="316"/>
      <c r="AM63" s="316"/>
      <c r="AN63" s="316"/>
      <c r="AO63" s="316">
        <v>0</v>
      </c>
      <c r="AP63" s="316">
        <v>0</v>
      </c>
      <c r="AQ63" s="316">
        <v>4.0845843E-2</v>
      </c>
      <c r="AR63" s="316">
        <v>8.8867000000000001E-5</v>
      </c>
      <c r="AS63" s="316">
        <v>0</v>
      </c>
      <c r="AT63" s="316">
        <v>0</v>
      </c>
      <c r="AU63" s="316">
        <v>0</v>
      </c>
      <c r="AV63" s="316">
        <v>0</v>
      </c>
      <c r="AW63" s="316">
        <v>0</v>
      </c>
      <c r="AX63" s="316">
        <v>7.9422567999999999E-2</v>
      </c>
      <c r="AY63" s="316">
        <v>0</v>
      </c>
      <c r="AZ63" s="316">
        <v>0</v>
      </c>
      <c r="BA63" s="316">
        <v>0</v>
      </c>
      <c r="BB63" s="316">
        <v>0</v>
      </c>
      <c r="BC63" s="316">
        <v>0.12577049400000001</v>
      </c>
      <c r="BD63" s="316">
        <v>0</v>
      </c>
      <c r="BE63" s="316">
        <v>0</v>
      </c>
      <c r="BF63" s="316">
        <v>0</v>
      </c>
      <c r="BG63" s="316">
        <v>0</v>
      </c>
      <c r="BH63" s="316">
        <v>0</v>
      </c>
      <c r="BI63" s="316">
        <v>0.16998497200000001</v>
      </c>
      <c r="BJ63" s="316">
        <v>0</v>
      </c>
      <c r="BK63" s="316">
        <v>0</v>
      </c>
      <c r="BL63" s="316">
        <v>0</v>
      </c>
      <c r="BM63" s="316">
        <v>0</v>
      </c>
      <c r="BN63" s="316">
        <v>0</v>
      </c>
      <c r="BO63" s="316">
        <v>0.18310707576810004</v>
      </c>
      <c r="BP63" s="316">
        <v>0</v>
      </c>
      <c r="BQ63" s="316">
        <v>0</v>
      </c>
      <c r="BR63" s="316">
        <v>0</v>
      </c>
      <c r="BS63" s="316">
        <v>0</v>
      </c>
      <c r="BT63" s="316">
        <v>0</v>
      </c>
      <c r="BU63" s="316">
        <v>0.19884972983600002</v>
      </c>
      <c r="BV63" s="316">
        <v>0</v>
      </c>
      <c r="BW63" s="316">
        <v>0</v>
      </c>
      <c r="BX63" s="316">
        <v>0</v>
      </c>
      <c r="BY63" s="316">
        <v>0</v>
      </c>
      <c r="BZ63" s="316">
        <v>0</v>
      </c>
      <c r="CA63" s="316">
        <v>0.96789369599999997</v>
      </c>
      <c r="CB63" s="316">
        <v>1.0632450999999999E-2</v>
      </c>
      <c r="CC63" s="316">
        <v>6.151850205777E-4</v>
      </c>
      <c r="CD63" s="316">
        <v>0</v>
      </c>
      <c r="CE63" s="317">
        <v>0</v>
      </c>
      <c r="CF63" s="316">
        <v>0</v>
      </c>
      <c r="CG63" s="316">
        <v>0.39395940898347964</v>
      </c>
      <c r="CH63" s="316">
        <v>0</v>
      </c>
      <c r="CI63" s="316">
        <v>0</v>
      </c>
      <c r="CJ63" s="316">
        <v>0</v>
      </c>
      <c r="CK63" s="316">
        <v>0</v>
      </c>
      <c r="CL63" s="316">
        <v>0</v>
      </c>
      <c r="CM63" s="316">
        <v>0.44269040817801036</v>
      </c>
      <c r="CN63" s="316">
        <v>0</v>
      </c>
      <c r="CO63" s="316">
        <v>0</v>
      </c>
      <c r="CP63" s="318">
        <v>0</v>
      </c>
      <c r="CQ63" s="316">
        <v>0</v>
      </c>
      <c r="CR63" s="316">
        <v>0</v>
      </c>
      <c r="CS63" s="316">
        <v>0.48010518260114143</v>
      </c>
      <c r="CT63" s="316">
        <v>0</v>
      </c>
      <c r="CU63" s="316">
        <v>0</v>
      </c>
      <c r="CV63" s="316">
        <v>0</v>
      </c>
      <c r="CW63" s="316">
        <v>0</v>
      </c>
      <c r="CX63" s="316">
        <v>0</v>
      </c>
      <c r="CY63" s="316">
        <v>0</v>
      </c>
      <c r="CZ63" s="316">
        <v>0.57526705674101908</v>
      </c>
      <c r="DA63" s="316">
        <v>0</v>
      </c>
      <c r="DB63" s="1498">
        <v>0</v>
      </c>
      <c r="DC63" s="316">
        <v>0</v>
      </c>
      <c r="DD63" s="316">
        <v>0</v>
      </c>
      <c r="DE63" s="316">
        <v>0.64900143099999996</v>
      </c>
      <c r="DF63" s="316">
        <v>8.9394500000000005E-4</v>
      </c>
      <c r="DG63" s="316">
        <v>0</v>
      </c>
      <c r="DH63" s="316">
        <v>0</v>
      </c>
      <c r="DI63" s="316">
        <v>0</v>
      </c>
      <c r="DJ63" s="316">
        <v>0</v>
      </c>
      <c r="DK63" s="316">
        <v>0</v>
      </c>
      <c r="DL63" s="316">
        <v>6.3226372898296801E-3</v>
      </c>
      <c r="DM63" s="316">
        <v>0</v>
      </c>
      <c r="DN63" s="318">
        <v>0</v>
      </c>
      <c r="DO63" s="316">
        <v>0</v>
      </c>
      <c r="DP63" s="316">
        <v>0</v>
      </c>
      <c r="DQ63" s="316">
        <v>0.82147459839931447</v>
      </c>
      <c r="DR63" s="316">
        <v>0</v>
      </c>
      <c r="DS63" s="316">
        <v>0.59107267500620897</v>
      </c>
      <c r="DT63" s="316">
        <v>0</v>
      </c>
      <c r="DU63" s="316">
        <v>0</v>
      </c>
      <c r="DV63" s="316">
        <v>0</v>
      </c>
      <c r="DW63" s="316">
        <v>0.90677545698777851</v>
      </c>
      <c r="DX63" s="316">
        <v>3.3655539858173998E-3</v>
      </c>
      <c r="DY63" s="316">
        <v>0</v>
      </c>
      <c r="DZ63" s="318">
        <v>0</v>
      </c>
      <c r="EA63" s="316">
        <v>0</v>
      </c>
      <c r="EB63" s="316">
        <v>0</v>
      </c>
      <c r="EC63" s="316">
        <v>1.1063676012877564</v>
      </c>
      <c r="ED63" s="316">
        <v>8.1369303408123999E-4</v>
      </c>
      <c r="EE63" s="316">
        <v>0</v>
      </c>
      <c r="EF63" s="316">
        <v>0</v>
      </c>
      <c r="EG63" s="316">
        <v>0</v>
      </c>
      <c r="EH63" s="316">
        <v>0</v>
      </c>
      <c r="EI63" s="316">
        <v>0</v>
      </c>
      <c r="EJ63" s="316">
        <v>1.2419973939446898</v>
      </c>
      <c r="EK63" s="316">
        <v>6.3791109257556999E-3</v>
      </c>
      <c r="EL63" s="318">
        <v>0</v>
      </c>
      <c r="EM63" s="1206">
        <v>0</v>
      </c>
      <c r="EN63" s="1206">
        <v>0</v>
      </c>
      <c r="EO63" s="1206">
        <v>0</v>
      </c>
      <c r="EP63" s="1206">
        <v>1.2106186694040351</v>
      </c>
      <c r="EQ63" s="1206">
        <v>0</v>
      </c>
      <c r="ER63" s="1206">
        <v>0</v>
      </c>
      <c r="ES63" s="1206">
        <v>0</v>
      </c>
      <c r="ET63" s="1206">
        <v>0</v>
      </c>
      <c r="EU63" s="1206">
        <v>1.3979849494284062</v>
      </c>
      <c r="EV63" s="1206">
        <v>0</v>
      </c>
      <c r="EW63" s="1206">
        <v>0</v>
      </c>
      <c r="EX63" s="1550">
        <v>0.2918033428738771</v>
      </c>
      <c r="EY63" s="1206"/>
      <c r="EZ63" s="1206"/>
      <c r="FA63" s="1206"/>
      <c r="FB63" s="1206"/>
      <c r="FC63" s="1206"/>
      <c r="FD63" s="1206"/>
      <c r="FE63" s="1206"/>
      <c r="FF63" s="1206"/>
      <c r="FG63" s="1206"/>
      <c r="FH63" s="1206"/>
      <c r="FI63" s="1206"/>
      <c r="FJ63" s="1550"/>
      <c r="FK63" s="1206"/>
      <c r="FL63" s="1206"/>
      <c r="FM63" s="1206"/>
      <c r="FN63" s="1206"/>
      <c r="FO63" s="1206"/>
      <c r="FP63" s="1206"/>
      <c r="FQ63" s="316"/>
      <c r="FR63" s="316"/>
      <c r="FS63" s="316"/>
      <c r="FT63" s="316"/>
      <c r="FU63" s="316"/>
      <c r="FV63" s="316"/>
      <c r="FW63" s="316"/>
      <c r="FX63" s="316"/>
      <c r="FY63" s="316"/>
      <c r="FZ63" s="316"/>
      <c r="GA63" s="316"/>
      <c r="GB63" s="316"/>
      <c r="GC63" s="316"/>
      <c r="GD63" s="316"/>
      <c r="GE63" s="316"/>
      <c r="GF63" s="316"/>
      <c r="GG63" s="316"/>
      <c r="GH63" s="316"/>
      <c r="GI63" s="316"/>
      <c r="GJ63" s="316"/>
      <c r="GK63" s="316"/>
      <c r="GL63" s="316"/>
      <c r="GM63" s="316"/>
      <c r="GN63" s="316"/>
      <c r="GO63" s="316"/>
      <c r="GP63" s="316"/>
      <c r="GQ63" s="316"/>
      <c r="GR63" s="316"/>
      <c r="GS63" s="316"/>
      <c r="GT63" s="316"/>
      <c r="GU63" s="316"/>
      <c r="GV63" s="316"/>
      <c r="GW63" s="316"/>
      <c r="GX63" s="316"/>
      <c r="GY63" s="316"/>
      <c r="GZ63" s="316"/>
      <c r="HA63" s="316"/>
      <c r="HB63" s="316"/>
      <c r="HC63" s="316"/>
      <c r="HD63" s="316"/>
      <c r="HE63" s="316"/>
      <c r="HF63" s="316"/>
      <c r="HG63" s="316"/>
      <c r="HH63" s="316"/>
      <c r="HI63" s="316"/>
      <c r="HJ63" s="316"/>
      <c r="HK63" s="316"/>
      <c r="HL63" s="316"/>
      <c r="HM63" s="316"/>
      <c r="HV63" s="302">
        <f t="shared" si="11"/>
        <v>0.64989537599999991</v>
      </c>
      <c r="HW63" s="302">
        <f t="shared" si="12"/>
        <v>6.3226372898296801E-3</v>
      </c>
      <c r="HX63" s="302">
        <f t="shared" si="13"/>
        <v>0.65621801328982965</v>
      </c>
      <c r="HY63" s="302">
        <f t="shared" si="14"/>
        <v>1.4125472734055236</v>
      </c>
      <c r="KH63" s="303"/>
    </row>
    <row r="64" spans="1:294" outlineLevel="1">
      <c r="B64" s="117" t="s">
        <v>361</v>
      </c>
      <c r="D64" s="319" t="str">
        <f t="shared" si="15"/>
        <v>EXIM-KOREA</v>
      </c>
      <c r="E64" s="316"/>
      <c r="F64" s="316"/>
      <c r="G64" s="316"/>
      <c r="H64" s="316"/>
      <c r="I64" s="316"/>
      <c r="J64" s="316"/>
      <c r="K64" s="316"/>
      <c r="L64" s="316"/>
      <c r="M64" s="316"/>
      <c r="N64" s="316"/>
      <c r="O64" s="316"/>
      <c r="P64" s="316"/>
      <c r="Q64" s="316"/>
      <c r="R64" s="316"/>
      <c r="S64" s="316"/>
      <c r="T64" s="316"/>
      <c r="U64" s="316"/>
      <c r="V64" s="316"/>
      <c r="W64" s="316"/>
      <c r="X64" s="316"/>
      <c r="Y64" s="316"/>
      <c r="Z64" s="316"/>
      <c r="AA64" s="316"/>
      <c r="AB64" s="316"/>
      <c r="AC64" s="316"/>
      <c r="AD64" s="316"/>
      <c r="AE64" s="316"/>
      <c r="AF64" s="316"/>
      <c r="AG64" s="316"/>
      <c r="AH64" s="316"/>
      <c r="AI64" s="316"/>
      <c r="AJ64" s="316"/>
      <c r="AK64" s="316"/>
      <c r="AL64" s="316"/>
      <c r="AM64" s="316"/>
      <c r="AN64" s="316"/>
      <c r="AO64" s="316">
        <v>0</v>
      </c>
      <c r="AP64" s="316">
        <v>0</v>
      </c>
      <c r="AQ64" s="316">
        <v>0</v>
      </c>
      <c r="AR64" s="316">
        <v>0</v>
      </c>
      <c r="AS64" s="316">
        <v>0</v>
      </c>
      <c r="AT64" s="316">
        <v>0</v>
      </c>
      <c r="AU64" s="316">
        <v>0</v>
      </c>
      <c r="AV64" s="316">
        <v>0</v>
      </c>
      <c r="AW64" s="316">
        <v>0</v>
      </c>
      <c r="AX64" s="316">
        <v>0</v>
      </c>
      <c r="AY64" s="316">
        <v>0</v>
      </c>
      <c r="AZ64" s="316">
        <v>0</v>
      </c>
      <c r="BA64" s="316">
        <v>0</v>
      </c>
      <c r="BB64" s="316">
        <v>0</v>
      </c>
      <c r="BC64" s="316">
        <v>0</v>
      </c>
      <c r="BD64" s="316">
        <v>0</v>
      </c>
      <c r="BE64" s="316">
        <v>0</v>
      </c>
      <c r="BF64" s="316">
        <v>0</v>
      </c>
      <c r="BG64" s="316">
        <v>0</v>
      </c>
      <c r="BH64" s="316">
        <v>0</v>
      </c>
      <c r="BI64" s="316">
        <v>0</v>
      </c>
      <c r="BJ64" s="316">
        <v>0</v>
      </c>
      <c r="BK64" s="316">
        <v>0</v>
      </c>
      <c r="BL64" s="316">
        <v>0</v>
      </c>
      <c r="BM64" s="316">
        <v>0</v>
      </c>
      <c r="BN64" s="316">
        <v>0</v>
      </c>
      <c r="BO64" s="316">
        <v>0</v>
      </c>
      <c r="BP64" s="316">
        <v>0</v>
      </c>
      <c r="BQ64" s="316">
        <v>0</v>
      </c>
      <c r="BR64" s="316">
        <v>0</v>
      </c>
      <c r="BS64" s="316">
        <v>0</v>
      </c>
      <c r="BT64" s="316">
        <v>0</v>
      </c>
      <c r="BU64" s="316">
        <v>0</v>
      </c>
      <c r="BV64" s="316">
        <v>0</v>
      </c>
      <c r="BW64" s="316">
        <v>0</v>
      </c>
      <c r="BX64" s="316">
        <v>0</v>
      </c>
      <c r="BY64" s="316"/>
      <c r="BZ64" s="316"/>
      <c r="CA64" s="316"/>
      <c r="CB64" s="316"/>
      <c r="CC64" s="316"/>
      <c r="CD64" s="316"/>
      <c r="CE64" s="317"/>
      <c r="CF64" s="316"/>
      <c r="CG64" s="316"/>
      <c r="CH64" s="316"/>
      <c r="CI64" s="316"/>
      <c r="CJ64" s="316"/>
      <c r="CK64" s="316">
        <v>0</v>
      </c>
      <c r="CL64" s="316">
        <v>0</v>
      </c>
      <c r="CM64" s="316">
        <v>0</v>
      </c>
      <c r="CN64" s="316">
        <v>0</v>
      </c>
      <c r="CO64" s="316">
        <v>0</v>
      </c>
      <c r="CP64" s="318">
        <v>0</v>
      </c>
      <c r="CQ64" s="316">
        <v>0</v>
      </c>
      <c r="CR64" s="316">
        <v>0</v>
      </c>
      <c r="CS64" s="316">
        <v>0</v>
      </c>
      <c r="CT64" s="316">
        <v>0</v>
      </c>
      <c r="CU64" s="316">
        <v>0</v>
      </c>
      <c r="CV64" s="316">
        <v>0</v>
      </c>
      <c r="CW64" s="316">
        <v>0</v>
      </c>
      <c r="CX64" s="316">
        <v>0</v>
      </c>
      <c r="CY64" s="316">
        <v>0</v>
      </c>
      <c r="CZ64" s="316">
        <v>0</v>
      </c>
      <c r="DA64" s="316">
        <v>0</v>
      </c>
      <c r="DB64" s="1498">
        <v>0</v>
      </c>
      <c r="DC64" s="316">
        <v>0</v>
      </c>
      <c r="DD64" s="316">
        <v>0</v>
      </c>
      <c r="DE64" s="316">
        <v>9.7995870000000002E-3</v>
      </c>
      <c r="DF64" s="316">
        <v>0</v>
      </c>
      <c r="DG64" s="316">
        <v>0</v>
      </c>
      <c r="DH64" s="316">
        <v>0</v>
      </c>
      <c r="DI64" s="316">
        <v>0</v>
      </c>
      <c r="DJ64" s="316">
        <v>0</v>
      </c>
      <c r="DK64" s="316">
        <v>0</v>
      </c>
      <c r="DL64" s="316">
        <v>0</v>
      </c>
      <c r="DM64" s="316">
        <v>0</v>
      </c>
      <c r="DN64" s="318">
        <v>0</v>
      </c>
      <c r="DO64" s="316">
        <v>0</v>
      </c>
      <c r="DP64" s="316">
        <v>0</v>
      </c>
      <c r="DQ64" s="316">
        <v>0</v>
      </c>
      <c r="DR64" s="316">
        <v>0</v>
      </c>
      <c r="DS64" s="316">
        <v>0</v>
      </c>
      <c r="DT64" s="316">
        <v>0</v>
      </c>
      <c r="DU64" s="316">
        <v>0</v>
      </c>
      <c r="DV64" s="316">
        <v>0</v>
      </c>
      <c r="DW64" s="316">
        <v>0</v>
      </c>
      <c r="DX64" s="316">
        <v>0</v>
      </c>
      <c r="DY64" s="316">
        <v>0</v>
      </c>
      <c r="DZ64" s="318">
        <v>0</v>
      </c>
      <c r="EA64" s="316">
        <v>0</v>
      </c>
      <c r="EB64" s="316">
        <v>0</v>
      </c>
      <c r="EC64" s="316">
        <v>0</v>
      </c>
      <c r="ED64" s="316">
        <v>0</v>
      </c>
      <c r="EE64" s="316">
        <v>0</v>
      </c>
      <c r="EF64" s="316">
        <v>0</v>
      </c>
      <c r="EG64" s="316">
        <v>0</v>
      </c>
      <c r="EH64" s="316">
        <v>0</v>
      </c>
      <c r="EI64" s="316">
        <v>0</v>
      </c>
      <c r="EJ64" s="316">
        <v>0</v>
      </c>
      <c r="EK64" s="316">
        <v>0</v>
      </c>
      <c r="EL64" s="318">
        <v>0</v>
      </c>
      <c r="EM64" s="1206">
        <v>0</v>
      </c>
      <c r="EN64" s="1206">
        <v>0</v>
      </c>
      <c r="EO64" s="1206">
        <v>0</v>
      </c>
      <c r="EP64" s="1206">
        <v>0</v>
      </c>
      <c r="EQ64" s="1206">
        <v>0</v>
      </c>
      <c r="ER64" s="1206">
        <v>0</v>
      </c>
      <c r="ES64" s="1206">
        <v>0</v>
      </c>
      <c r="ET64" s="1206">
        <v>0</v>
      </c>
      <c r="EU64" s="1206">
        <v>0</v>
      </c>
      <c r="EV64" s="1206">
        <v>0</v>
      </c>
      <c r="EW64" s="1206">
        <v>2.6557480429744996E-4</v>
      </c>
      <c r="EX64" s="1550">
        <v>0</v>
      </c>
      <c r="EY64" s="1206"/>
      <c r="EZ64" s="1206"/>
      <c r="FA64" s="1206"/>
      <c r="FB64" s="1206"/>
      <c r="FC64" s="1206"/>
      <c r="FD64" s="1206"/>
      <c r="FE64" s="1206"/>
      <c r="FF64" s="1206"/>
      <c r="FG64" s="1206"/>
      <c r="FH64" s="1206"/>
      <c r="FI64" s="1206"/>
      <c r="FJ64" s="1550"/>
      <c r="FK64" s="1206"/>
      <c r="FL64" s="1206"/>
      <c r="FM64" s="1206"/>
      <c r="FN64" s="1206"/>
      <c r="FO64" s="1206"/>
      <c r="FP64" s="1206"/>
      <c r="FQ64" s="316"/>
      <c r="FR64" s="316"/>
      <c r="FS64" s="316"/>
      <c r="FT64" s="316"/>
      <c r="FU64" s="316"/>
      <c r="FV64" s="316"/>
      <c r="FW64" s="316"/>
      <c r="FX64" s="316"/>
      <c r="FY64" s="316"/>
      <c r="FZ64" s="316"/>
      <c r="GA64" s="316"/>
      <c r="GB64" s="316"/>
      <c r="GC64" s="316"/>
      <c r="GD64" s="316"/>
      <c r="GE64" s="316"/>
      <c r="GF64" s="316"/>
      <c r="GG64" s="316"/>
      <c r="GH64" s="316"/>
      <c r="GI64" s="316"/>
      <c r="GJ64" s="316"/>
      <c r="GK64" s="316"/>
      <c r="GL64" s="316"/>
      <c r="GM64" s="316"/>
      <c r="GN64" s="316"/>
      <c r="GO64" s="316"/>
      <c r="GP64" s="316"/>
      <c r="GQ64" s="316"/>
      <c r="GR64" s="316"/>
      <c r="GS64" s="316"/>
      <c r="GT64" s="316"/>
      <c r="GU64" s="316"/>
      <c r="GV64" s="316"/>
      <c r="GW64" s="316"/>
      <c r="GX64" s="316"/>
      <c r="GY64" s="316"/>
      <c r="GZ64" s="316"/>
      <c r="HA64" s="316"/>
      <c r="HB64" s="316"/>
      <c r="HC64" s="316"/>
      <c r="HD64" s="316"/>
      <c r="HE64" s="316"/>
      <c r="HF64" s="316"/>
      <c r="HG64" s="316"/>
      <c r="HH64" s="316"/>
      <c r="HI64" s="316"/>
      <c r="HJ64" s="316"/>
      <c r="HK64" s="316"/>
      <c r="HL64" s="316"/>
      <c r="HM64" s="316"/>
      <c r="HV64" s="302">
        <f t="shared" si="11"/>
        <v>9.7995870000000002E-3</v>
      </c>
      <c r="HW64" s="302">
        <f t="shared" si="12"/>
        <v>0</v>
      </c>
      <c r="HX64" s="302">
        <f t="shared" si="13"/>
        <v>9.7995870000000002E-3</v>
      </c>
      <c r="HY64" s="302">
        <f t="shared" si="14"/>
        <v>0</v>
      </c>
      <c r="KH64" s="303"/>
    </row>
    <row r="65" spans="1:294" outlineLevel="1">
      <c r="B65" s="117" t="s">
        <v>361</v>
      </c>
      <c r="D65" s="319" t="str">
        <f t="shared" si="15"/>
        <v>BANQUE DE FRANCE</v>
      </c>
      <c r="E65" s="316"/>
      <c r="F65" s="316"/>
      <c r="G65" s="316"/>
      <c r="H65" s="316"/>
      <c r="I65" s="316"/>
      <c r="J65" s="316"/>
      <c r="K65" s="316"/>
      <c r="L65" s="316"/>
      <c r="M65" s="316"/>
      <c r="N65" s="316"/>
      <c r="O65" s="316"/>
      <c r="P65" s="316"/>
      <c r="Q65" s="316"/>
      <c r="R65" s="316"/>
      <c r="S65" s="316"/>
      <c r="T65" s="316"/>
      <c r="U65" s="316"/>
      <c r="V65" s="316"/>
      <c r="W65" s="316"/>
      <c r="X65" s="316"/>
      <c r="Y65" s="316"/>
      <c r="Z65" s="316"/>
      <c r="AA65" s="316"/>
      <c r="AB65" s="316"/>
      <c r="AC65" s="316"/>
      <c r="AD65" s="316"/>
      <c r="AE65" s="316"/>
      <c r="AF65" s="316"/>
      <c r="AG65" s="316"/>
      <c r="AH65" s="316"/>
      <c r="AI65" s="316"/>
      <c r="AJ65" s="316"/>
      <c r="AK65" s="316"/>
      <c r="AL65" s="316"/>
      <c r="AM65" s="316"/>
      <c r="AN65" s="316"/>
      <c r="AO65" s="316">
        <v>0</v>
      </c>
      <c r="AP65" s="316">
        <v>0</v>
      </c>
      <c r="AQ65" s="316">
        <v>0</v>
      </c>
      <c r="AR65" s="316">
        <v>0</v>
      </c>
      <c r="AS65" s="316">
        <v>0</v>
      </c>
      <c r="AT65" s="316">
        <v>0</v>
      </c>
      <c r="AU65" s="316">
        <v>0</v>
      </c>
      <c r="AV65" s="316">
        <v>0</v>
      </c>
      <c r="AW65" s="316">
        <v>0</v>
      </c>
      <c r="AX65" s="316">
        <v>0</v>
      </c>
      <c r="AY65" s="316">
        <v>0</v>
      </c>
      <c r="AZ65" s="316">
        <v>0</v>
      </c>
      <c r="BA65" s="316">
        <v>0</v>
      </c>
      <c r="BB65" s="316">
        <v>0</v>
      </c>
      <c r="BC65" s="316">
        <v>0</v>
      </c>
      <c r="BD65" s="316">
        <v>0</v>
      </c>
      <c r="BE65" s="316">
        <v>0</v>
      </c>
      <c r="BF65" s="316">
        <v>0</v>
      </c>
      <c r="BG65" s="316">
        <v>0</v>
      </c>
      <c r="BH65" s="316">
        <v>0</v>
      </c>
      <c r="BI65" s="316">
        <v>0</v>
      </c>
      <c r="BJ65" s="316">
        <v>0</v>
      </c>
      <c r="BK65" s="316">
        <v>0</v>
      </c>
      <c r="BL65" s="316">
        <v>0</v>
      </c>
      <c r="BM65" s="316">
        <v>0</v>
      </c>
      <c r="BN65" s="316">
        <v>0</v>
      </c>
      <c r="BO65" s="316">
        <v>0</v>
      </c>
      <c r="BP65" s="316">
        <v>0</v>
      </c>
      <c r="BQ65" s="316">
        <v>0</v>
      </c>
      <c r="BR65" s="316">
        <v>0</v>
      </c>
      <c r="BS65" s="316">
        <v>0</v>
      </c>
      <c r="BT65" s="316">
        <v>0</v>
      </c>
      <c r="BU65" s="316">
        <v>0</v>
      </c>
      <c r="BV65" s="316">
        <v>0</v>
      </c>
      <c r="BW65" s="316">
        <v>0</v>
      </c>
      <c r="BX65" s="316">
        <v>0</v>
      </c>
      <c r="BY65" s="316">
        <v>0</v>
      </c>
      <c r="BZ65" s="316">
        <v>0</v>
      </c>
      <c r="CA65" s="316">
        <v>0</v>
      </c>
      <c r="CB65" s="316">
        <v>0</v>
      </c>
      <c r="CC65" s="316">
        <v>0</v>
      </c>
      <c r="CD65" s="316">
        <v>0</v>
      </c>
      <c r="CE65" s="317">
        <v>0</v>
      </c>
      <c r="CF65" s="316">
        <v>0</v>
      </c>
      <c r="CG65" s="316">
        <v>0</v>
      </c>
      <c r="CH65" s="316">
        <v>0</v>
      </c>
      <c r="CI65" s="316">
        <v>0</v>
      </c>
      <c r="CJ65" s="316">
        <v>0</v>
      </c>
      <c r="CK65" s="316">
        <v>0</v>
      </c>
      <c r="CL65" s="316">
        <v>0</v>
      </c>
      <c r="CM65" s="316">
        <v>0</v>
      </c>
      <c r="CN65" s="316">
        <v>0</v>
      </c>
      <c r="CO65" s="316">
        <v>0</v>
      </c>
      <c r="CP65" s="318">
        <v>0</v>
      </c>
      <c r="CQ65" s="316">
        <v>0</v>
      </c>
      <c r="CR65" s="316">
        <v>0</v>
      </c>
      <c r="CS65" s="316">
        <v>0</v>
      </c>
      <c r="CT65" s="316">
        <v>0</v>
      </c>
      <c r="CU65" s="316">
        <v>0</v>
      </c>
      <c r="CV65" s="316">
        <v>0</v>
      </c>
      <c r="CW65" s="316">
        <v>0</v>
      </c>
      <c r="CX65" s="316">
        <v>0</v>
      </c>
      <c r="CY65" s="316">
        <v>0</v>
      </c>
      <c r="CZ65" s="316">
        <v>0</v>
      </c>
      <c r="DA65" s="316">
        <v>0</v>
      </c>
      <c r="DB65" s="1498">
        <v>0</v>
      </c>
      <c r="DC65" s="316">
        <v>0</v>
      </c>
      <c r="DD65" s="316">
        <v>0</v>
      </c>
      <c r="DE65" s="316">
        <v>0</v>
      </c>
      <c r="DF65" s="316">
        <v>0</v>
      </c>
      <c r="DG65" s="316">
        <v>0</v>
      </c>
      <c r="DH65" s="316">
        <v>0</v>
      </c>
      <c r="DI65" s="316">
        <v>0</v>
      </c>
      <c r="DJ65" s="316">
        <v>0</v>
      </c>
      <c r="DK65" s="316">
        <v>0</v>
      </c>
      <c r="DL65" s="316">
        <v>0</v>
      </c>
      <c r="DM65" s="316">
        <v>0</v>
      </c>
      <c r="DN65" s="318">
        <v>0</v>
      </c>
      <c r="DO65" s="316">
        <v>0</v>
      </c>
      <c r="DP65" s="316">
        <v>0</v>
      </c>
      <c r="DQ65" s="316">
        <v>0</v>
      </c>
      <c r="DR65" s="316">
        <v>0</v>
      </c>
      <c r="DS65" s="316">
        <v>0</v>
      </c>
      <c r="DT65" s="316">
        <v>0</v>
      </c>
      <c r="DU65" s="316">
        <v>0</v>
      </c>
      <c r="DV65" s="316">
        <v>0</v>
      </c>
      <c r="DW65" s="316">
        <v>0</v>
      </c>
      <c r="DX65" s="316">
        <v>0</v>
      </c>
      <c r="DY65" s="316">
        <v>0</v>
      </c>
      <c r="DZ65" s="318">
        <v>0</v>
      </c>
      <c r="EA65" s="316">
        <v>0</v>
      </c>
      <c r="EB65" s="316">
        <v>0</v>
      </c>
      <c r="EC65" s="316">
        <v>0</v>
      </c>
      <c r="ED65" s="316">
        <v>0</v>
      </c>
      <c r="EE65" s="316">
        <v>0</v>
      </c>
      <c r="EF65" s="316">
        <v>0</v>
      </c>
      <c r="EG65" s="316">
        <v>0</v>
      </c>
      <c r="EH65" s="316">
        <v>0</v>
      </c>
      <c r="EI65" s="316">
        <v>0</v>
      </c>
      <c r="EJ65" s="316">
        <v>0</v>
      </c>
      <c r="EK65" s="316">
        <v>0</v>
      </c>
      <c r="EL65" s="318">
        <v>0</v>
      </c>
      <c r="EM65" s="1206">
        <v>0</v>
      </c>
      <c r="EN65" s="1206">
        <v>0</v>
      </c>
      <c r="EO65" s="1206">
        <v>0</v>
      </c>
      <c r="EP65" s="1206">
        <v>0</v>
      </c>
      <c r="EQ65" s="1206">
        <v>0</v>
      </c>
      <c r="ER65" s="1206">
        <v>0</v>
      </c>
      <c r="ES65" s="1206">
        <v>0</v>
      </c>
      <c r="ET65" s="1206">
        <v>0</v>
      </c>
      <c r="EU65" s="1206">
        <v>0</v>
      </c>
      <c r="EV65" s="1206">
        <v>0</v>
      </c>
      <c r="EW65" s="1206">
        <v>0</v>
      </c>
      <c r="EX65" s="1550">
        <v>0</v>
      </c>
      <c r="EY65" s="1206"/>
      <c r="EZ65" s="1206"/>
      <c r="FA65" s="1206"/>
      <c r="FB65" s="1206"/>
      <c r="FC65" s="1206"/>
      <c r="FD65" s="1206"/>
      <c r="FE65" s="1206"/>
      <c r="FF65" s="1206"/>
      <c r="FG65" s="1206"/>
      <c r="FH65" s="1206"/>
      <c r="FI65" s="1206"/>
      <c r="FJ65" s="1550"/>
      <c r="FK65" s="1206"/>
      <c r="FL65" s="1206"/>
      <c r="FM65" s="1206"/>
      <c r="FN65" s="1206"/>
      <c r="FO65" s="1206"/>
      <c r="FP65" s="1206"/>
      <c r="FQ65" s="316"/>
      <c r="FR65" s="316"/>
      <c r="FS65" s="316"/>
      <c r="FT65" s="316"/>
      <c r="FU65" s="316"/>
      <c r="FV65" s="316"/>
      <c r="FW65" s="316"/>
      <c r="FX65" s="316"/>
      <c r="FY65" s="316"/>
      <c r="FZ65" s="316"/>
      <c r="GA65" s="316"/>
      <c r="GB65" s="316"/>
      <c r="GC65" s="316"/>
      <c r="GD65" s="316"/>
      <c r="GE65" s="316"/>
      <c r="GF65" s="316"/>
      <c r="GG65" s="316"/>
      <c r="GH65" s="316"/>
      <c r="GI65" s="316"/>
      <c r="GJ65" s="316"/>
      <c r="GK65" s="316"/>
      <c r="GL65" s="316"/>
      <c r="GM65" s="316"/>
      <c r="GN65" s="316"/>
      <c r="GO65" s="316"/>
      <c r="GP65" s="316"/>
      <c r="GQ65" s="316"/>
      <c r="GR65" s="316"/>
      <c r="GS65" s="316"/>
      <c r="GT65" s="316"/>
      <c r="GU65" s="316"/>
      <c r="GV65" s="316"/>
      <c r="GW65" s="316"/>
      <c r="GX65" s="316"/>
      <c r="GY65" s="316"/>
      <c r="GZ65" s="316"/>
      <c r="HA65" s="316"/>
      <c r="HB65" s="316"/>
      <c r="HC65" s="316"/>
      <c r="HD65" s="316"/>
      <c r="HE65" s="316"/>
      <c r="HF65" s="316"/>
      <c r="HG65" s="316"/>
      <c r="HH65" s="316"/>
      <c r="HI65" s="316"/>
      <c r="HJ65" s="316"/>
      <c r="HK65" s="316"/>
      <c r="HL65" s="316"/>
      <c r="HM65" s="316"/>
      <c r="HV65" s="302">
        <f t="shared" si="11"/>
        <v>0</v>
      </c>
      <c r="HW65" s="302">
        <f t="shared" si="12"/>
        <v>0</v>
      </c>
      <c r="HX65" s="302">
        <f t="shared" si="13"/>
        <v>0</v>
      </c>
      <c r="HY65" s="302">
        <f t="shared" si="14"/>
        <v>0</v>
      </c>
      <c r="KH65" s="303"/>
    </row>
    <row r="66" spans="1:294" outlineLevel="1">
      <c r="B66" s="117" t="s">
        <v>361</v>
      </c>
      <c r="D66" s="319" t="str">
        <f t="shared" si="15"/>
        <v>ABU DHABI</v>
      </c>
      <c r="E66" s="316"/>
      <c r="F66" s="316"/>
      <c r="G66" s="316"/>
      <c r="H66" s="316"/>
      <c r="I66" s="316"/>
      <c r="J66" s="316"/>
      <c r="K66" s="316"/>
      <c r="L66" s="316"/>
      <c r="M66" s="316"/>
      <c r="N66" s="316"/>
      <c r="O66" s="316"/>
      <c r="P66" s="316"/>
      <c r="Q66" s="316"/>
      <c r="R66" s="316"/>
      <c r="S66" s="316"/>
      <c r="T66" s="316"/>
      <c r="U66" s="316"/>
      <c r="V66" s="316"/>
      <c r="W66" s="316"/>
      <c r="X66" s="316"/>
      <c r="Y66" s="316"/>
      <c r="Z66" s="316"/>
      <c r="AA66" s="316"/>
      <c r="AB66" s="316"/>
      <c r="AC66" s="316"/>
      <c r="AD66" s="316"/>
      <c r="AE66" s="316"/>
      <c r="AF66" s="316"/>
      <c r="AG66" s="316"/>
      <c r="AH66" s="316"/>
      <c r="AI66" s="316"/>
      <c r="AJ66" s="316"/>
      <c r="AK66" s="316"/>
      <c r="AL66" s="316"/>
      <c r="AM66" s="316"/>
      <c r="AN66" s="316"/>
      <c r="AO66" s="316">
        <v>0</v>
      </c>
      <c r="AP66" s="316">
        <v>0</v>
      </c>
      <c r="AQ66" s="316">
        <v>0</v>
      </c>
      <c r="AR66" s="316">
        <v>0</v>
      </c>
      <c r="AS66" s="316">
        <v>0</v>
      </c>
      <c r="AT66" s="316">
        <v>0</v>
      </c>
      <c r="AU66" s="316">
        <v>0</v>
      </c>
      <c r="AV66" s="316">
        <v>0</v>
      </c>
      <c r="AW66" s="316">
        <v>0</v>
      </c>
      <c r="AX66" s="316">
        <v>0</v>
      </c>
      <c r="AY66" s="316">
        <v>0</v>
      </c>
      <c r="AZ66" s="316">
        <v>0</v>
      </c>
      <c r="BA66" s="316">
        <v>0</v>
      </c>
      <c r="BB66" s="316">
        <v>0</v>
      </c>
      <c r="BC66" s="316">
        <v>0</v>
      </c>
      <c r="BD66" s="316">
        <v>0</v>
      </c>
      <c r="BE66" s="316">
        <v>0</v>
      </c>
      <c r="BF66" s="316">
        <v>0</v>
      </c>
      <c r="BG66" s="316">
        <v>0</v>
      </c>
      <c r="BH66" s="316">
        <v>0</v>
      </c>
      <c r="BI66" s="316">
        <v>0</v>
      </c>
      <c r="BJ66" s="316">
        <v>0</v>
      </c>
      <c r="BK66" s="316">
        <v>0</v>
      </c>
      <c r="BL66" s="316">
        <v>0</v>
      </c>
      <c r="BM66" s="316">
        <v>0</v>
      </c>
      <c r="BN66" s="316">
        <v>8.112442628700001E-3</v>
      </c>
      <c r="BO66" s="316">
        <v>0</v>
      </c>
      <c r="BP66" s="316">
        <v>0</v>
      </c>
      <c r="BQ66" s="316">
        <v>0</v>
      </c>
      <c r="BR66" s="316">
        <v>0</v>
      </c>
      <c r="BS66" s="316">
        <v>0</v>
      </c>
      <c r="BT66" s="316">
        <v>0</v>
      </c>
      <c r="BU66" s="316">
        <v>8.3379960000000003E-3</v>
      </c>
      <c r="BV66" s="316">
        <v>0</v>
      </c>
      <c r="BW66" s="316">
        <v>0</v>
      </c>
      <c r="BX66" s="316">
        <v>0</v>
      </c>
      <c r="BY66" s="316">
        <v>0</v>
      </c>
      <c r="BZ66" s="316">
        <v>0</v>
      </c>
      <c r="CA66" s="316">
        <v>0</v>
      </c>
      <c r="CB66" s="316">
        <v>8.5545459999999997E-3</v>
      </c>
      <c r="CC66" s="316">
        <v>0</v>
      </c>
      <c r="CD66" s="316">
        <v>0</v>
      </c>
      <c r="CE66" s="317">
        <v>0</v>
      </c>
      <c r="CF66" s="316">
        <v>0</v>
      </c>
      <c r="CG66" s="316">
        <v>8.7225636632128813E-3</v>
      </c>
      <c r="CH66" s="316">
        <v>0</v>
      </c>
      <c r="CI66" s="316">
        <v>0</v>
      </c>
      <c r="CJ66" s="316">
        <v>0</v>
      </c>
      <c r="CK66" s="316">
        <v>0</v>
      </c>
      <c r="CL66" s="316">
        <v>0</v>
      </c>
      <c r="CM66" s="316">
        <v>0</v>
      </c>
      <c r="CN66" s="316">
        <v>8.9700200628400704E-3</v>
      </c>
      <c r="CO66" s="316">
        <v>0</v>
      </c>
      <c r="CP66" s="318">
        <v>0</v>
      </c>
      <c r="CQ66" s="316">
        <v>0</v>
      </c>
      <c r="CR66" s="316">
        <v>0</v>
      </c>
      <c r="CS66" s="316">
        <v>0</v>
      </c>
      <c r="CT66" s="316">
        <v>9.4333696948971594E-3</v>
      </c>
      <c r="CU66" s="316">
        <v>0</v>
      </c>
      <c r="CV66" s="316">
        <v>0</v>
      </c>
      <c r="CW66" s="316">
        <v>0</v>
      </c>
      <c r="CX66" s="316">
        <v>0</v>
      </c>
      <c r="CY66" s="316">
        <v>0</v>
      </c>
      <c r="CZ66" s="316">
        <v>9.500493986890601E-3</v>
      </c>
      <c r="DA66" s="316">
        <v>0</v>
      </c>
      <c r="DB66" s="1498">
        <v>0</v>
      </c>
      <c r="DC66" s="316">
        <v>0</v>
      </c>
      <c r="DD66" s="316">
        <v>0</v>
      </c>
      <c r="DE66" s="316">
        <v>0</v>
      </c>
      <c r="DF66" s="316">
        <v>0</v>
      </c>
      <c r="DG66" s="316">
        <v>0</v>
      </c>
      <c r="DH66" s="316">
        <v>0</v>
      </c>
      <c r="DI66" s="316">
        <v>0</v>
      </c>
      <c r="DJ66" s="316">
        <v>0</v>
      </c>
      <c r="DK66" s="316">
        <v>1.0304919404017E-2</v>
      </c>
      <c r="DL66" s="316">
        <v>0</v>
      </c>
      <c r="DM66" s="316">
        <v>0</v>
      </c>
      <c r="DN66" s="318">
        <v>0</v>
      </c>
      <c r="DO66" s="316">
        <v>0</v>
      </c>
      <c r="DP66" s="316">
        <v>0</v>
      </c>
      <c r="DQ66" s="316">
        <v>1.0868849019250245E-2</v>
      </c>
      <c r="DR66" s="316">
        <v>0</v>
      </c>
      <c r="DS66" s="316">
        <v>0</v>
      </c>
      <c r="DT66" s="316">
        <v>0</v>
      </c>
      <c r="DU66" s="316">
        <v>0</v>
      </c>
      <c r="DV66" s="316">
        <v>0</v>
      </c>
      <c r="DW66" s="316">
        <v>1.0120186886617238E-2</v>
      </c>
      <c r="DX66" s="316">
        <v>0</v>
      </c>
      <c r="DY66" s="316">
        <v>0</v>
      </c>
      <c r="DZ66" s="318">
        <v>0</v>
      </c>
      <c r="EA66" s="316">
        <v>0</v>
      </c>
      <c r="EB66" s="316">
        <v>0</v>
      </c>
      <c r="EC66" s="316">
        <v>1.0811735037240738E-2</v>
      </c>
      <c r="ED66" s="316">
        <v>0</v>
      </c>
      <c r="EE66" s="316">
        <v>0</v>
      </c>
      <c r="EF66" s="316">
        <v>0</v>
      </c>
      <c r="EG66" s="316">
        <v>0</v>
      </c>
      <c r="EH66" s="316">
        <v>0</v>
      </c>
      <c r="EI66" s="316">
        <v>0</v>
      </c>
      <c r="EJ66" s="316">
        <v>0</v>
      </c>
      <c r="EK66" s="316">
        <v>1.0811104583434043E-2</v>
      </c>
      <c r="EL66" s="318">
        <v>0</v>
      </c>
      <c r="EM66" s="1206">
        <v>0</v>
      </c>
      <c r="EN66" s="1206">
        <v>0</v>
      </c>
      <c r="EO66" s="1206">
        <v>1.0793067723123301E-2</v>
      </c>
      <c r="EP66" s="1206">
        <v>0</v>
      </c>
      <c r="EQ66" s="1206">
        <v>0</v>
      </c>
      <c r="ER66" s="1206">
        <v>0</v>
      </c>
      <c r="ES66" s="1206">
        <v>0</v>
      </c>
      <c r="ET66" s="1206">
        <v>0</v>
      </c>
      <c r="EU66" s="1206">
        <v>1.0757472066521239E-2</v>
      </c>
      <c r="EV66" s="1206">
        <v>0</v>
      </c>
      <c r="EW66" s="1206">
        <v>0</v>
      </c>
      <c r="EX66" s="1550">
        <v>0</v>
      </c>
      <c r="EY66" s="1206"/>
      <c r="EZ66" s="1206"/>
      <c r="FA66" s="1206"/>
      <c r="FB66" s="1206"/>
      <c r="FC66" s="1206"/>
      <c r="FD66" s="1206"/>
      <c r="FE66" s="1206"/>
      <c r="FF66" s="1206"/>
      <c r="FG66" s="1206"/>
      <c r="FH66" s="1206"/>
      <c r="FI66" s="1206"/>
      <c r="FJ66" s="1550"/>
      <c r="FK66" s="1206"/>
      <c r="FL66" s="1206"/>
      <c r="FM66" s="1206"/>
      <c r="FN66" s="1206"/>
      <c r="FO66" s="1206"/>
      <c r="FP66" s="1206"/>
      <c r="FQ66" s="316"/>
      <c r="FR66" s="316"/>
      <c r="FS66" s="316"/>
      <c r="FT66" s="316"/>
      <c r="FU66" s="316"/>
      <c r="FV66" s="316"/>
      <c r="FW66" s="316"/>
      <c r="FX66" s="316"/>
      <c r="FY66" s="316"/>
      <c r="FZ66" s="316"/>
      <c r="GA66" s="316"/>
      <c r="GB66" s="316"/>
      <c r="GC66" s="316"/>
      <c r="GD66" s="316"/>
      <c r="GE66" s="316"/>
      <c r="GF66" s="316"/>
      <c r="GG66" s="316"/>
      <c r="GH66" s="316"/>
      <c r="GI66" s="316"/>
      <c r="GJ66" s="316"/>
      <c r="GK66" s="316"/>
      <c r="GL66" s="316"/>
      <c r="GM66" s="316"/>
      <c r="GN66" s="316"/>
      <c r="GO66" s="316"/>
      <c r="GP66" s="316"/>
      <c r="GQ66" s="316"/>
      <c r="GR66" s="316"/>
      <c r="GS66" s="316"/>
      <c r="GT66" s="316"/>
      <c r="GU66" s="316"/>
      <c r="GV66" s="316"/>
      <c r="GW66" s="316"/>
      <c r="GX66" s="316"/>
      <c r="GY66" s="316"/>
      <c r="GZ66" s="316"/>
      <c r="HA66" s="316"/>
      <c r="HB66" s="316"/>
      <c r="HC66" s="316"/>
      <c r="HD66" s="316"/>
      <c r="HE66" s="316"/>
      <c r="HF66" s="316"/>
      <c r="HG66" s="316"/>
      <c r="HH66" s="316"/>
      <c r="HI66" s="316"/>
      <c r="HJ66" s="316"/>
      <c r="HK66" s="316"/>
      <c r="HL66" s="316"/>
      <c r="HM66" s="316"/>
      <c r="HV66" s="302">
        <f t="shared" si="11"/>
        <v>0</v>
      </c>
      <c r="HW66" s="302">
        <f t="shared" si="12"/>
        <v>1.0304919404017E-2</v>
      </c>
      <c r="HX66" s="302">
        <f t="shared" si="13"/>
        <v>1.0304919404017E-2</v>
      </c>
      <c r="HY66" s="302">
        <f t="shared" si="14"/>
        <v>1.0868849019250245E-2</v>
      </c>
      <c r="KH66" s="303"/>
    </row>
    <row r="67" spans="1:294" outlineLevel="1">
      <c r="B67" s="117" t="s">
        <v>361</v>
      </c>
      <c r="D67" s="319" t="str">
        <f t="shared" si="15"/>
        <v>EURO-BONDS</v>
      </c>
      <c r="E67" s="316"/>
      <c r="F67" s="316"/>
      <c r="G67" s="316"/>
      <c r="H67" s="316"/>
      <c r="I67" s="316"/>
      <c r="J67" s="316"/>
      <c r="K67" s="316"/>
      <c r="L67" s="316"/>
      <c r="M67" s="316"/>
      <c r="N67" s="316"/>
      <c r="O67" s="316"/>
      <c r="P67" s="316"/>
      <c r="Q67" s="316"/>
      <c r="R67" s="316"/>
      <c r="S67" s="316"/>
      <c r="T67" s="316"/>
      <c r="U67" s="316"/>
      <c r="V67" s="316"/>
      <c r="W67" s="316"/>
      <c r="X67" s="316"/>
      <c r="Y67" s="316"/>
      <c r="Z67" s="316"/>
      <c r="AA67" s="316"/>
      <c r="AB67" s="316"/>
      <c r="AC67" s="316"/>
      <c r="AD67" s="316"/>
      <c r="AE67" s="316"/>
      <c r="AF67" s="316"/>
      <c r="AG67" s="316"/>
      <c r="AH67" s="316"/>
      <c r="AI67" s="316"/>
      <c r="AJ67" s="316"/>
      <c r="AK67" s="316"/>
      <c r="AL67" s="316"/>
      <c r="AM67" s="316"/>
      <c r="AN67" s="316"/>
      <c r="AO67" s="316">
        <v>0</v>
      </c>
      <c r="AP67" s="316">
        <v>0</v>
      </c>
      <c r="AQ67" s="316">
        <v>0</v>
      </c>
      <c r="AR67" s="316">
        <v>0</v>
      </c>
      <c r="AS67" s="316">
        <v>0</v>
      </c>
      <c r="AT67" s="316">
        <v>0</v>
      </c>
      <c r="AU67" s="316">
        <v>0</v>
      </c>
      <c r="AV67" s="316">
        <v>0</v>
      </c>
      <c r="AW67" s="316">
        <v>0</v>
      </c>
      <c r="AX67" s="316">
        <v>0</v>
      </c>
      <c r="AY67" s="316">
        <v>0</v>
      </c>
      <c r="AZ67" s="316">
        <v>0</v>
      </c>
      <c r="BA67" s="316">
        <v>0</v>
      </c>
      <c r="BB67" s="316">
        <v>0</v>
      </c>
      <c r="BC67" s="316">
        <v>0</v>
      </c>
      <c r="BD67" s="316">
        <v>0</v>
      </c>
      <c r="BE67" s="316">
        <v>0</v>
      </c>
      <c r="BF67" s="316">
        <v>0</v>
      </c>
      <c r="BG67" s="316">
        <v>0</v>
      </c>
      <c r="BH67" s="316">
        <v>0</v>
      </c>
      <c r="BI67" s="316">
        <v>0</v>
      </c>
      <c r="BJ67" s="316">
        <v>0</v>
      </c>
      <c r="BK67" s="316">
        <v>0</v>
      </c>
      <c r="BL67" s="316">
        <v>0</v>
      </c>
      <c r="BM67" s="316">
        <v>0</v>
      </c>
      <c r="BN67" s="316">
        <v>0</v>
      </c>
      <c r="BO67" s="316">
        <v>0</v>
      </c>
      <c r="BP67" s="316">
        <v>0</v>
      </c>
      <c r="BQ67" s="316">
        <v>0</v>
      </c>
      <c r="BR67" s="316">
        <v>0</v>
      </c>
      <c r="BS67" s="316">
        <v>0</v>
      </c>
      <c r="BT67" s="316">
        <v>0</v>
      </c>
      <c r="BU67" s="316">
        <v>0</v>
      </c>
      <c r="BV67" s="316">
        <v>0</v>
      </c>
      <c r="BW67" s="316">
        <v>0</v>
      </c>
      <c r="BX67" s="316">
        <v>0</v>
      </c>
      <c r="BY67" s="316">
        <v>0</v>
      </c>
      <c r="BZ67" s="316">
        <v>0</v>
      </c>
      <c r="CA67" s="316">
        <v>0</v>
      </c>
      <c r="CB67" s="316">
        <v>0</v>
      </c>
      <c r="CC67" s="316">
        <v>0.38649003840000001</v>
      </c>
      <c r="CD67" s="316">
        <v>0</v>
      </c>
      <c r="CE67" s="317">
        <v>0</v>
      </c>
      <c r="CF67" s="316">
        <v>0</v>
      </c>
      <c r="CG67" s="316">
        <v>0</v>
      </c>
      <c r="CH67" s="316">
        <v>8.8485228197500003</v>
      </c>
      <c r="CI67" s="316">
        <v>0</v>
      </c>
      <c r="CJ67" s="316">
        <v>0</v>
      </c>
      <c r="CK67" s="316">
        <v>0</v>
      </c>
      <c r="CL67" s="316">
        <v>0</v>
      </c>
      <c r="CM67" s="316">
        <v>0</v>
      </c>
      <c r="CN67" s="316">
        <v>9.0879809404999996</v>
      </c>
      <c r="CO67" s="316">
        <v>0</v>
      </c>
      <c r="CP67" s="318">
        <v>0</v>
      </c>
      <c r="CQ67" s="316">
        <v>0</v>
      </c>
      <c r="CR67" s="316">
        <v>0</v>
      </c>
      <c r="CS67" s="316">
        <v>0</v>
      </c>
      <c r="CT67" s="316">
        <v>9.2271248084999993</v>
      </c>
      <c r="CU67" s="316">
        <v>0</v>
      </c>
      <c r="CV67" s="316">
        <v>0</v>
      </c>
      <c r="CW67" s="316">
        <v>0</v>
      </c>
      <c r="CX67" s="316">
        <v>0</v>
      </c>
      <c r="CY67" s="316">
        <v>0</v>
      </c>
      <c r="CZ67" s="316">
        <v>9.5079388690000002</v>
      </c>
      <c r="DA67" s="316">
        <v>0</v>
      </c>
      <c r="DB67" s="1498">
        <v>0</v>
      </c>
      <c r="DC67" s="316">
        <v>0</v>
      </c>
      <c r="DD67" s="316">
        <v>0</v>
      </c>
      <c r="DE67" s="316">
        <v>0</v>
      </c>
      <c r="DF67" s="316">
        <v>9.8369785430000007</v>
      </c>
      <c r="DG67" s="316">
        <v>0</v>
      </c>
      <c r="DH67" s="316">
        <v>0</v>
      </c>
      <c r="DI67" s="316">
        <v>0</v>
      </c>
      <c r="DJ67" s="316">
        <v>0</v>
      </c>
      <c r="DK67" s="316">
        <v>0</v>
      </c>
      <c r="DL67" s="316">
        <v>10.3495371315</v>
      </c>
      <c r="DM67" s="316">
        <v>0</v>
      </c>
      <c r="DN67" s="318">
        <v>0</v>
      </c>
      <c r="DO67" s="316">
        <v>0</v>
      </c>
      <c r="DP67" s="316">
        <v>0</v>
      </c>
      <c r="DQ67" s="316">
        <v>0</v>
      </c>
      <c r="DR67" s="316">
        <v>10.886030837250001</v>
      </c>
      <c r="DS67" s="316">
        <v>0</v>
      </c>
      <c r="DT67" s="316">
        <v>0</v>
      </c>
      <c r="DU67" s="316">
        <v>0</v>
      </c>
      <c r="DV67" s="316">
        <v>0</v>
      </c>
      <c r="DW67" s="316">
        <v>0</v>
      </c>
      <c r="DX67" s="316">
        <v>11.069082250499999</v>
      </c>
      <c r="DY67" s="316">
        <v>0</v>
      </c>
      <c r="DZ67" s="318">
        <v>0</v>
      </c>
      <c r="EA67" s="316">
        <v>0</v>
      </c>
      <c r="EB67" s="316">
        <v>0</v>
      </c>
      <c r="EC67" s="316">
        <v>0</v>
      </c>
      <c r="ED67" s="316">
        <v>11.2433982435</v>
      </c>
      <c r="EE67" s="316">
        <v>0</v>
      </c>
      <c r="EF67" s="316">
        <v>0</v>
      </c>
      <c r="EG67" s="316">
        <v>0</v>
      </c>
      <c r="EH67" s="316">
        <v>0</v>
      </c>
      <c r="EI67" s="316">
        <v>0</v>
      </c>
      <c r="EJ67" s="316">
        <v>11.43816967925</v>
      </c>
      <c r="EK67" s="316">
        <v>0</v>
      </c>
      <c r="EL67" s="318">
        <v>0</v>
      </c>
      <c r="EM67" s="1206">
        <v>0</v>
      </c>
      <c r="EN67" s="1206">
        <v>0</v>
      </c>
      <c r="EO67" s="1206">
        <v>0</v>
      </c>
      <c r="EP67" s="1206">
        <v>11.684674574000001</v>
      </c>
      <c r="EQ67" s="1206">
        <v>0</v>
      </c>
      <c r="ER67" s="1206">
        <v>0</v>
      </c>
      <c r="ES67" s="1206">
        <v>0</v>
      </c>
      <c r="ET67" s="1206">
        <v>0</v>
      </c>
      <c r="EU67" s="1206">
        <v>0</v>
      </c>
      <c r="EV67" s="1206">
        <v>11.93172017475</v>
      </c>
      <c r="EW67" s="1206">
        <v>0</v>
      </c>
      <c r="EX67" s="1550">
        <v>0</v>
      </c>
      <c r="EY67" s="1206"/>
      <c r="EZ67" s="1206"/>
      <c r="FA67" s="1206"/>
      <c r="FB67" s="1206"/>
      <c r="FC67" s="1206"/>
      <c r="FD67" s="1206"/>
      <c r="FE67" s="1206"/>
      <c r="FF67" s="1206"/>
      <c r="FG67" s="1206"/>
      <c r="FH67" s="1206"/>
      <c r="FI67" s="1206"/>
      <c r="FJ67" s="1550"/>
      <c r="FK67" s="1206"/>
      <c r="FL67" s="1206"/>
      <c r="FM67" s="1206"/>
      <c r="FN67" s="1206"/>
      <c r="FO67" s="1206"/>
      <c r="FP67" s="1206"/>
      <c r="FQ67" s="316"/>
      <c r="FR67" s="316"/>
      <c r="FS67" s="316"/>
      <c r="FT67" s="316"/>
      <c r="FU67" s="316"/>
      <c r="FV67" s="316"/>
      <c r="FW67" s="316"/>
      <c r="FX67" s="316"/>
      <c r="FY67" s="316"/>
      <c r="FZ67" s="316"/>
      <c r="GA67" s="316"/>
      <c r="GB67" s="316"/>
      <c r="GC67" s="316"/>
      <c r="GD67" s="316"/>
      <c r="GE67" s="316"/>
      <c r="GF67" s="316"/>
      <c r="GG67" s="316"/>
      <c r="GH67" s="316"/>
      <c r="GI67" s="316"/>
      <c r="GJ67" s="316"/>
      <c r="GK67" s="316"/>
      <c r="GL67" s="316"/>
      <c r="GM67" s="316"/>
      <c r="GN67" s="316"/>
      <c r="GO67" s="316"/>
      <c r="GP67" s="316"/>
      <c r="GQ67" s="316"/>
      <c r="GR67" s="316"/>
      <c r="GS67" s="316"/>
      <c r="GT67" s="316"/>
      <c r="GU67" s="316"/>
      <c r="GV67" s="316"/>
      <c r="GW67" s="316"/>
      <c r="GX67" s="316"/>
      <c r="GY67" s="316"/>
      <c r="GZ67" s="316"/>
      <c r="HA67" s="316"/>
      <c r="HB67" s="316"/>
      <c r="HC67" s="316"/>
      <c r="HD67" s="316"/>
      <c r="HE67" s="316"/>
      <c r="HF67" s="316"/>
      <c r="HG67" s="316"/>
      <c r="HH67" s="316"/>
      <c r="HI67" s="316"/>
      <c r="HJ67" s="316"/>
      <c r="HK67" s="316"/>
      <c r="HL67" s="316"/>
      <c r="HM67" s="316"/>
      <c r="HV67" s="302">
        <f t="shared" si="11"/>
        <v>9.8369785430000007</v>
      </c>
      <c r="HW67" s="302">
        <f t="shared" si="12"/>
        <v>10.3495371315</v>
      </c>
      <c r="HX67" s="302">
        <f t="shared" si="13"/>
        <v>20.186515674500001</v>
      </c>
      <c r="HY67" s="302">
        <f t="shared" si="14"/>
        <v>10.886030837250001</v>
      </c>
      <c r="KH67" s="303"/>
    </row>
    <row r="68" spans="1:294" outlineLevel="1">
      <c r="A68" s="117" t="s">
        <v>360</v>
      </c>
      <c r="B68" s="117" t="s">
        <v>361</v>
      </c>
      <c r="D68" s="322" t="s">
        <v>982</v>
      </c>
      <c r="E68" s="316"/>
      <c r="F68" s="316"/>
      <c r="G68" s="316"/>
      <c r="H68" s="316"/>
      <c r="I68" s="316"/>
      <c r="J68" s="316"/>
      <c r="K68" s="316"/>
      <c r="L68" s="316"/>
      <c r="M68" s="316"/>
      <c r="N68" s="316"/>
      <c r="O68" s="316"/>
      <c r="P68" s="316"/>
      <c r="Q68" s="316"/>
      <c r="R68" s="316"/>
      <c r="S68" s="316"/>
      <c r="T68" s="316"/>
      <c r="U68" s="316"/>
      <c r="V68" s="316"/>
      <c r="W68" s="316"/>
      <c r="X68" s="316"/>
      <c r="Y68" s="316"/>
      <c r="Z68" s="316"/>
      <c r="AA68" s="316"/>
      <c r="AB68" s="316"/>
      <c r="AC68" s="316"/>
      <c r="AD68" s="316"/>
      <c r="AE68" s="316"/>
      <c r="AF68" s="316"/>
      <c r="AG68" s="316"/>
      <c r="AH68" s="316"/>
      <c r="AI68" s="316"/>
      <c r="AJ68" s="316"/>
      <c r="AK68" s="316"/>
      <c r="AL68" s="316"/>
      <c r="AM68" s="316"/>
      <c r="AN68" s="316"/>
      <c r="AO68" s="316">
        <v>0.34454856747910001</v>
      </c>
      <c r="AP68" s="316">
        <v>5.1672790119899996E-2</v>
      </c>
      <c r="AQ68" s="316">
        <v>0.17333693949860002</v>
      </c>
      <c r="AR68" s="316">
        <v>4.9883874655699996E-2</v>
      </c>
      <c r="AS68" s="316">
        <v>0.19558843128515999</v>
      </c>
      <c r="AT68" s="316">
        <v>0.55611020344189988</v>
      </c>
      <c r="AU68" s="316">
        <v>0.51199770828600011</v>
      </c>
      <c r="AV68" s="316">
        <v>5.0179774034099997E-2</v>
      </c>
      <c r="AW68" s="316">
        <v>0.1709821835981</v>
      </c>
      <c r="AX68" s="316">
        <v>5.6368460270699999E-2</v>
      </c>
      <c r="AY68" s="316">
        <v>0.21129060837058999</v>
      </c>
      <c r="AZ68" s="316">
        <v>0.28892938036279997</v>
      </c>
      <c r="BA68" s="316">
        <v>0.53132350242689996</v>
      </c>
      <c r="BB68" s="316">
        <v>5.3890061039199993E-2</v>
      </c>
      <c r="BC68" s="316">
        <v>0.18517104209730001</v>
      </c>
      <c r="BD68" s="316">
        <v>6.8434278758399997E-2</v>
      </c>
      <c r="BE68" s="316">
        <v>0.21837852323089998</v>
      </c>
      <c r="BF68" s="316">
        <v>0.31008003899570002</v>
      </c>
      <c r="BG68" s="316">
        <v>0.55358225721940002</v>
      </c>
      <c r="BH68" s="316">
        <v>5.66319508533E-2</v>
      </c>
      <c r="BI68" s="316">
        <v>0.18861053908190001</v>
      </c>
      <c r="BJ68" s="316">
        <v>6.1729154909499998E-2</v>
      </c>
      <c r="BK68" s="316">
        <v>0.21212963811549998</v>
      </c>
      <c r="BL68" s="316">
        <v>0.29145023480499999</v>
      </c>
      <c r="BM68" s="316">
        <v>0.53834018380949999</v>
      </c>
      <c r="BN68" s="316">
        <v>5.3183100997800006E-2</v>
      </c>
      <c r="BO68" s="316">
        <v>0.31616247023280003</v>
      </c>
      <c r="BP68" s="316">
        <v>6.2301005349600001E-2</v>
      </c>
      <c r="BQ68" s="316">
        <v>0.21004042558790001</v>
      </c>
      <c r="BR68" s="316">
        <v>0.29110400593059998</v>
      </c>
      <c r="BS68" s="316">
        <v>0.53461562938820006</v>
      </c>
      <c r="BT68" s="316">
        <v>5.0452946215300006E-2</v>
      </c>
      <c r="BU68" s="316">
        <v>0.31690115906979999</v>
      </c>
      <c r="BV68" s="316">
        <v>6.3853563878400008E-2</v>
      </c>
      <c r="BW68" s="316">
        <v>0.21505313479810001</v>
      </c>
      <c r="BX68" s="316">
        <v>0.30929053797080003</v>
      </c>
      <c r="BY68" s="316">
        <v>0.55494742218001369</v>
      </c>
      <c r="BZ68" s="316">
        <v>5.6121491385470512E-2</v>
      </c>
      <c r="CA68" s="316">
        <v>0.32016468073416426</v>
      </c>
      <c r="CB68" s="316">
        <v>0.25929433510175287</v>
      </c>
      <c r="CC68" s="316">
        <v>0.21340160719269333</v>
      </c>
      <c r="CD68" s="636">
        <v>0.31486686898567862</v>
      </c>
      <c r="CE68" s="317">
        <v>0.4243093351990731</v>
      </c>
      <c r="CF68" s="316">
        <v>5.7524507378030415E-2</v>
      </c>
      <c r="CG68" s="316">
        <v>0.33209324792345918</v>
      </c>
      <c r="CH68" s="316">
        <v>0.27353477476423205</v>
      </c>
      <c r="CI68" s="316">
        <v>0.22631755714756574</v>
      </c>
      <c r="CJ68" s="316">
        <v>0.32892628320898754</v>
      </c>
      <c r="CK68" s="316">
        <v>0.4505358125808413</v>
      </c>
      <c r="CL68" s="316">
        <v>6.1572929790496084E-2</v>
      </c>
      <c r="CM68" s="316">
        <v>0.3515643368251512</v>
      </c>
      <c r="CN68" s="316">
        <v>0.28223484554143358</v>
      </c>
      <c r="CO68" s="316">
        <v>0.2361154694379779</v>
      </c>
      <c r="CP68" s="318">
        <v>0.48916696835697349</v>
      </c>
      <c r="CQ68" s="316">
        <v>0.46562440132575261</v>
      </c>
      <c r="CR68" s="316">
        <v>6.1004475483840262E-2</v>
      </c>
      <c r="CS68" s="316">
        <v>0.34603473793133477</v>
      </c>
      <c r="CT68" s="316">
        <v>0.27615995953163225</v>
      </c>
      <c r="CU68" s="316">
        <v>0.22555543807461945</v>
      </c>
      <c r="CV68" s="316">
        <v>0.5034504982411927</v>
      </c>
      <c r="CW68" s="316">
        <v>0.36886337475031195</v>
      </c>
      <c r="CX68" s="316">
        <v>5.3526167373176385E-2</v>
      </c>
      <c r="CY68" s="316">
        <v>0.26251997515706194</v>
      </c>
      <c r="CZ68" s="316">
        <v>0.262606922870877</v>
      </c>
      <c r="DA68" s="316">
        <v>0.22074704897784325</v>
      </c>
      <c r="DB68" s="1498">
        <v>0.48851233824953116</v>
      </c>
      <c r="DC68" s="636">
        <v>0.442201067</v>
      </c>
      <c r="DD68" s="636">
        <v>5.3707193E-2</v>
      </c>
      <c r="DE68" s="636">
        <v>0.33606321900000002</v>
      </c>
      <c r="DF68" s="636">
        <v>0.27488678799999999</v>
      </c>
      <c r="DG68" s="636">
        <v>0.2218889</v>
      </c>
      <c r="DH68" s="636">
        <v>0.49873335000000002</v>
      </c>
      <c r="DI68" s="636">
        <v>0.45384504142463566</v>
      </c>
      <c r="DJ68" s="636">
        <v>5.6877185162579232E-2</v>
      </c>
      <c r="DK68" s="636">
        <v>0.34657287472925635</v>
      </c>
      <c r="DL68" s="636">
        <v>0.28939252210120953</v>
      </c>
      <c r="DM68" s="636">
        <v>0.23876751243749914</v>
      </c>
      <c r="DN68" s="653">
        <v>0.52910199255065293</v>
      </c>
      <c r="DO68" s="636">
        <v>0.4747872742321062</v>
      </c>
      <c r="DP68" s="636">
        <v>5.9377881088519657E-2</v>
      </c>
      <c r="DQ68" s="636">
        <v>0.36889618367652649</v>
      </c>
      <c r="DR68" s="636">
        <v>0.3018041686636207</v>
      </c>
      <c r="DS68" s="636">
        <v>0.24040406291294691</v>
      </c>
      <c r="DT68" s="636">
        <v>0.52561699333981082</v>
      </c>
      <c r="DU68" s="636">
        <v>5.179773115333379E-2</v>
      </c>
      <c r="DV68" s="636">
        <v>5.8007764595570457E-2</v>
      </c>
      <c r="DW68" s="636">
        <v>8.4942784145587202E-2</v>
      </c>
      <c r="DX68" s="636">
        <v>2.07037697164686E-2</v>
      </c>
      <c r="DY68" s="636">
        <v>4.4983689553372501E-2</v>
      </c>
      <c r="DZ68" s="653">
        <v>0.19766063222458516</v>
      </c>
      <c r="EA68" s="636">
        <v>1.0057027E-2</v>
      </c>
      <c r="EB68" s="636">
        <v>6.5659626999999998E-2</v>
      </c>
      <c r="EC68" s="636">
        <v>9.6264800999999997E-2</v>
      </c>
      <c r="ED68" s="636">
        <v>2.2951954624467783E-2</v>
      </c>
      <c r="EE68" s="636">
        <v>4.8874336594010193E-2</v>
      </c>
      <c r="EF68" s="636">
        <v>0.20968043639447664</v>
      </c>
      <c r="EG68" s="636">
        <v>1.0672567326581978E-2</v>
      </c>
      <c r="EH68" s="636">
        <v>7.0631278071610154E-2</v>
      </c>
      <c r="EI68" s="636">
        <v>0.10086442279462024</v>
      </c>
      <c r="EJ68" s="636">
        <v>2.4676094027823697E-2</v>
      </c>
      <c r="EK68" s="636">
        <v>5.0993692085567657E-2</v>
      </c>
      <c r="EL68" s="653">
        <v>0.21490561138793615</v>
      </c>
      <c r="EM68" s="1209">
        <v>1.0594670256373279E-2</v>
      </c>
      <c r="EN68" s="1209">
        <v>6.5730210332226424E-2</v>
      </c>
      <c r="EO68" s="1209">
        <v>9.8563909765256322E-2</v>
      </c>
      <c r="EP68" s="1209">
        <v>2.364907381854027E-2</v>
      </c>
      <c r="EQ68" s="1209">
        <v>0</v>
      </c>
      <c r="ER68" s="1209">
        <v>0.21201068328231987</v>
      </c>
      <c r="ES68" s="1209">
        <v>1.0648808655175259E-2</v>
      </c>
      <c r="ET68" s="1209">
        <v>6.6596087007049165E-2</v>
      </c>
      <c r="EU68" s="1209">
        <v>9.7848614553610838E-2</v>
      </c>
      <c r="EV68" s="1209">
        <v>2.3566648099409237E-2</v>
      </c>
      <c r="EW68" s="1209">
        <v>0</v>
      </c>
      <c r="EX68" s="1539">
        <v>0.21532801592438158</v>
      </c>
      <c r="EY68" s="1209"/>
      <c r="EZ68" s="1209"/>
      <c r="FA68" s="1209"/>
      <c r="FB68" s="1209"/>
      <c r="FC68" s="1209"/>
      <c r="FD68" s="1209"/>
      <c r="FE68" s="1209"/>
      <c r="FF68" s="1209"/>
      <c r="FG68" s="1209"/>
      <c r="FH68" s="1209"/>
      <c r="FI68" s="1209"/>
      <c r="FJ68" s="1539"/>
      <c r="FK68" s="1209"/>
      <c r="FL68" s="1209"/>
      <c r="FM68" s="1209"/>
      <c r="FN68" s="1209"/>
      <c r="FO68" s="1209"/>
      <c r="FP68" s="1209"/>
      <c r="FQ68" s="636"/>
      <c r="FR68" s="636"/>
      <c r="FS68" s="636"/>
      <c r="FT68" s="636"/>
      <c r="FU68" s="636"/>
      <c r="FV68" s="636"/>
      <c r="FW68" s="636"/>
      <c r="FX68" s="636"/>
      <c r="FY68" s="636"/>
      <c r="FZ68" s="636"/>
      <c r="GA68" s="636"/>
      <c r="GB68" s="636"/>
      <c r="GC68" s="636"/>
      <c r="GD68" s="636"/>
      <c r="GE68" s="636"/>
      <c r="GF68" s="636"/>
      <c r="GG68" s="636"/>
      <c r="GH68" s="636"/>
      <c r="GI68" s="636"/>
      <c r="GJ68" s="636"/>
      <c r="GK68" s="636"/>
      <c r="GL68" s="636"/>
      <c r="GM68" s="636"/>
      <c r="GN68" s="636"/>
      <c r="GO68" s="636"/>
      <c r="GP68" s="636"/>
      <c r="GQ68" s="636"/>
      <c r="GR68" s="636"/>
      <c r="GS68" s="636"/>
      <c r="GT68" s="636"/>
      <c r="GU68" s="636"/>
      <c r="GV68" s="636"/>
      <c r="GW68" s="636"/>
      <c r="GX68" s="636"/>
      <c r="GY68" s="636"/>
      <c r="GZ68" s="636"/>
      <c r="HA68" s="636"/>
      <c r="HB68" s="636"/>
      <c r="HC68" s="636"/>
      <c r="HD68" s="636"/>
      <c r="HE68" s="636"/>
      <c r="HF68" s="636"/>
      <c r="HG68" s="636"/>
      <c r="HH68" s="636"/>
      <c r="HI68" s="636"/>
      <c r="HJ68" s="636"/>
      <c r="HK68" s="636"/>
      <c r="HL68" s="636"/>
      <c r="HM68" s="636"/>
      <c r="HV68" s="302">
        <f t="shared" si="11"/>
        <v>1.8274805169999999</v>
      </c>
      <c r="HW68" s="302">
        <f t="shared" si="12"/>
        <v>1.9145571284058329</v>
      </c>
      <c r="HX68" s="302">
        <f t="shared" si="13"/>
        <v>3.7420376454058326</v>
      </c>
      <c r="HY68" s="302">
        <f t="shared" si="14"/>
        <v>1.9708865639135311</v>
      </c>
      <c r="KH68" s="303"/>
    </row>
    <row r="69" spans="1:294" outlineLevel="1">
      <c r="B69" s="117" t="s">
        <v>361</v>
      </c>
      <c r="D69" s="319" t="s">
        <v>378</v>
      </c>
      <c r="E69" s="316"/>
      <c r="F69" s="316"/>
      <c r="G69" s="316"/>
      <c r="H69" s="316"/>
      <c r="I69" s="316"/>
      <c r="J69" s="316"/>
      <c r="K69" s="316"/>
      <c r="L69" s="316"/>
      <c r="M69" s="316"/>
      <c r="N69" s="316"/>
      <c r="O69" s="316"/>
      <c r="P69" s="316"/>
      <c r="Q69" s="316"/>
      <c r="R69" s="316"/>
      <c r="S69" s="316"/>
      <c r="T69" s="316"/>
      <c r="U69" s="316"/>
      <c r="V69" s="316"/>
      <c r="W69" s="316"/>
      <c r="X69" s="316"/>
      <c r="Y69" s="316"/>
      <c r="Z69" s="316"/>
      <c r="AA69" s="316"/>
      <c r="AB69" s="316"/>
      <c r="AC69" s="316"/>
      <c r="AD69" s="316"/>
      <c r="AE69" s="316"/>
      <c r="AF69" s="316"/>
      <c r="AG69" s="316"/>
      <c r="AH69" s="316"/>
      <c r="AI69" s="316"/>
      <c r="AJ69" s="316"/>
      <c r="AK69" s="316"/>
      <c r="AL69" s="316"/>
      <c r="AM69" s="316"/>
      <c r="AN69" s="316"/>
      <c r="AO69" s="316">
        <v>0</v>
      </c>
      <c r="AP69" s="316">
        <v>0</v>
      </c>
      <c r="AQ69" s="316">
        <v>0</v>
      </c>
      <c r="AR69" s="316">
        <v>0</v>
      </c>
      <c r="AS69" s="316">
        <v>0</v>
      </c>
      <c r="AT69" s="316">
        <v>0</v>
      </c>
      <c r="AU69" s="316">
        <v>0</v>
      </c>
      <c r="AV69" s="316">
        <v>0</v>
      </c>
      <c r="AW69" s="316">
        <v>0</v>
      </c>
      <c r="AX69" s="316">
        <v>0</v>
      </c>
      <c r="AY69" s="316">
        <v>0</v>
      </c>
      <c r="AZ69" s="316">
        <v>0</v>
      </c>
      <c r="BA69" s="316">
        <v>0</v>
      </c>
      <c r="BB69" s="316">
        <v>0</v>
      </c>
      <c r="BC69" s="316">
        <v>0</v>
      </c>
      <c r="BD69" s="316">
        <v>0</v>
      </c>
      <c r="BE69" s="316">
        <v>0</v>
      </c>
      <c r="BF69" s="316">
        <v>0</v>
      </c>
      <c r="BG69" s="316">
        <v>0</v>
      </c>
      <c r="BH69" s="316">
        <v>0</v>
      </c>
      <c r="BI69" s="316">
        <v>0</v>
      </c>
      <c r="BJ69" s="316">
        <v>0</v>
      </c>
      <c r="BK69" s="316">
        <v>0</v>
      </c>
      <c r="BL69" s="316">
        <v>0</v>
      </c>
      <c r="BM69" s="316">
        <v>0</v>
      </c>
      <c r="BN69" s="316">
        <v>0</v>
      </c>
      <c r="BO69" s="316">
        <v>0</v>
      </c>
      <c r="BP69" s="316">
        <v>0</v>
      </c>
      <c r="BQ69" s="316">
        <v>0</v>
      </c>
      <c r="BR69" s="316">
        <v>0</v>
      </c>
      <c r="BS69" s="316">
        <v>0</v>
      </c>
      <c r="BT69" s="316">
        <v>0</v>
      </c>
      <c r="BU69" s="316">
        <v>0</v>
      </c>
      <c r="BV69" s="316">
        <v>0</v>
      </c>
      <c r="BW69" s="316">
        <v>0</v>
      </c>
      <c r="BX69" s="316">
        <v>0</v>
      </c>
      <c r="BY69" s="316">
        <v>0</v>
      </c>
      <c r="BZ69" s="316">
        <v>0</v>
      </c>
      <c r="CA69" s="316">
        <v>0</v>
      </c>
      <c r="CB69" s="316">
        <v>0</v>
      </c>
      <c r="CC69" s="316">
        <v>0</v>
      </c>
      <c r="CD69" s="316">
        <v>0</v>
      </c>
      <c r="CE69" s="317">
        <v>0</v>
      </c>
      <c r="CF69" s="316">
        <v>0</v>
      </c>
      <c r="CG69" s="316">
        <v>0</v>
      </c>
      <c r="CH69" s="316">
        <v>0</v>
      </c>
      <c r="CI69" s="316">
        <v>0</v>
      </c>
      <c r="CJ69" s="316">
        <v>0</v>
      </c>
      <c r="CK69" s="316">
        <v>0</v>
      </c>
      <c r="CL69" s="316">
        <v>0</v>
      </c>
      <c r="CM69" s="316">
        <v>0</v>
      </c>
      <c r="CN69" s="316">
        <v>0</v>
      </c>
      <c r="CO69" s="316">
        <v>0</v>
      </c>
      <c r="CP69" s="318">
        <v>0</v>
      </c>
      <c r="CQ69" s="316">
        <v>0</v>
      </c>
      <c r="CR69" s="316">
        <v>0</v>
      </c>
      <c r="CS69" s="316">
        <v>0</v>
      </c>
      <c r="CT69" s="316">
        <v>0</v>
      </c>
      <c r="CU69" s="316">
        <v>0</v>
      </c>
      <c r="CV69" s="316">
        <v>0</v>
      </c>
      <c r="CW69" s="316">
        <v>0</v>
      </c>
      <c r="CX69" s="316">
        <v>0</v>
      </c>
      <c r="CY69" s="316">
        <v>0</v>
      </c>
      <c r="CZ69" s="316">
        <v>0</v>
      </c>
      <c r="DA69" s="316">
        <v>0</v>
      </c>
      <c r="DB69" s="1498">
        <v>0</v>
      </c>
      <c r="DC69" s="316">
        <v>0</v>
      </c>
      <c r="DD69" s="316">
        <v>0</v>
      </c>
      <c r="DE69" s="316">
        <v>0</v>
      </c>
      <c r="DF69" s="316">
        <v>0</v>
      </c>
      <c r="DG69" s="316">
        <v>0</v>
      </c>
      <c r="DH69" s="316">
        <v>0</v>
      </c>
      <c r="DI69" s="316">
        <v>0</v>
      </c>
      <c r="DJ69" s="316">
        <v>0</v>
      </c>
      <c r="DK69" s="316">
        <v>0</v>
      </c>
      <c r="DL69" s="316">
        <v>0</v>
      </c>
      <c r="DM69" s="316">
        <v>0</v>
      </c>
      <c r="DN69" s="318">
        <v>0</v>
      </c>
      <c r="DO69" s="316">
        <v>0</v>
      </c>
      <c r="DP69" s="316">
        <v>0</v>
      </c>
      <c r="DQ69" s="316">
        <v>0</v>
      </c>
      <c r="DR69" s="316">
        <v>0</v>
      </c>
      <c r="DS69" s="316">
        <v>0</v>
      </c>
      <c r="DT69" s="316">
        <v>0</v>
      </c>
      <c r="DU69" s="316">
        <v>0</v>
      </c>
      <c r="DV69" s="316">
        <v>0</v>
      </c>
      <c r="DW69" s="316">
        <v>0</v>
      </c>
      <c r="DX69" s="316">
        <v>0</v>
      </c>
      <c r="DY69" s="316">
        <v>0</v>
      </c>
      <c r="DZ69" s="318">
        <v>0</v>
      </c>
      <c r="EA69" s="316">
        <v>0</v>
      </c>
      <c r="EB69" s="316">
        <v>0</v>
      </c>
      <c r="EC69" s="316">
        <v>0</v>
      </c>
      <c r="ED69" s="316">
        <v>0</v>
      </c>
      <c r="EE69" s="316">
        <v>0</v>
      </c>
      <c r="EF69" s="316">
        <v>0</v>
      </c>
      <c r="EG69" s="316">
        <v>0</v>
      </c>
      <c r="EH69" s="316">
        <v>0</v>
      </c>
      <c r="EI69" s="316">
        <v>0</v>
      </c>
      <c r="EJ69" s="316">
        <v>0</v>
      </c>
      <c r="EK69" s="316">
        <v>0</v>
      </c>
      <c r="EL69" s="318">
        <v>0</v>
      </c>
      <c r="EM69" s="1206">
        <v>0</v>
      </c>
      <c r="EN69" s="1206">
        <v>0</v>
      </c>
      <c r="EO69" s="1206">
        <v>0</v>
      </c>
      <c r="EP69" s="1206">
        <v>0</v>
      </c>
      <c r="EQ69" s="1206">
        <v>0</v>
      </c>
      <c r="ER69" s="1206">
        <v>0</v>
      </c>
      <c r="ES69" s="1206">
        <v>0</v>
      </c>
      <c r="ET69" s="1206">
        <v>0</v>
      </c>
      <c r="EU69" s="1206">
        <v>0</v>
      </c>
      <c r="EV69" s="1206">
        <v>0</v>
      </c>
      <c r="EW69" s="1206">
        <v>0</v>
      </c>
      <c r="EX69" s="1550">
        <v>0</v>
      </c>
      <c r="EY69" s="1206"/>
      <c r="EZ69" s="1206"/>
      <c r="FA69" s="1206"/>
      <c r="FB69" s="1206"/>
      <c r="FC69" s="1206"/>
      <c r="FD69" s="1206"/>
      <c r="FE69" s="1206"/>
      <c r="FF69" s="1206"/>
      <c r="FG69" s="1206"/>
      <c r="FH69" s="1206"/>
      <c r="FI69" s="1206"/>
      <c r="FJ69" s="1550"/>
      <c r="FK69" s="1206"/>
      <c r="FL69" s="1206"/>
      <c r="FM69" s="1206"/>
      <c r="FN69" s="1206"/>
      <c r="FO69" s="1206"/>
      <c r="FP69" s="1206"/>
      <c r="FQ69" s="316"/>
      <c r="FR69" s="316"/>
      <c r="FS69" s="316"/>
      <c r="FT69" s="316"/>
      <c r="FU69" s="316"/>
      <c r="FV69" s="316"/>
      <c r="FW69" s="316"/>
      <c r="FX69" s="316"/>
      <c r="FY69" s="316"/>
      <c r="FZ69" s="316"/>
      <c r="GA69" s="316"/>
      <c r="GB69" s="316"/>
      <c r="GC69" s="316"/>
      <c r="GD69" s="316"/>
      <c r="GE69" s="316"/>
      <c r="GF69" s="316"/>
      <c r="GG69" s="316"/>
      <c r="GH69" s="316"/>
      <c r="GI69" s="316"/>
      <c r="GJ69" s="316"/>
      <c r="GK69" s="316"/>
      <c r="GL69" s="316"/>
      <c r="GM69" s="316"/>
      <c r="GN69" s="316"/>
      <c r="GO69" s="316"/>
      <c r="GP69" s="316"/>
      <c r="GQ69" s="316"/>
      <c r="GR69" s="316"/>
      <c r="GS69" s="316"/>
      <c r="GT69" s="316"/>
      <c r="GU69" s="316"/>
      <c r="GV69" s="316"/>
      <c r="GW69" s="316"/>
      <c r="GX69" s="316"/>
      <c r="GY69" s="316"/>
      <c r="GZ69" s="316"/>
      <c r="HA69" s="316"/>
      <c r="HB69" s="316"/>
      <c r="HC69" s="316"/>
      <c r="HD69" s="316"/>
      <c r="HE69" s="316"/>
      <c r="HF69" s="316"/>
      <c r="HG69" s="316"/>
      <c r="HH69" s="316"/>
      <c r="HI69" s="316"/>
      <c r="HJ69" s="316"/>
      <c r="HK69" s="316"/>
      <c r="HL69" s="316"/>
      <c r="HM69" s="316"/>
      <c r="HV69" s="302">
        <f t="shared" si="11"/>
        <v>0</v>
      </c>
      <c r="HW69" s="302">
        <f t="shared" si="12"/>
        <v>0</v>
      </c>
      <c r="HX69" s="302">
        <f t="shared" si="13"/>
        <v>0</v>
      </c>
      <c r="HY69" s="302">
        <f t="shared" si="14"/>
        <v>0</v>
      </c>
      <c r="KH69" s="303"/>
    </row>
    <row r="70" spans="1:294" outlineLevel="1">
      <c r="B70" s="117" t="s">
        <v>361</v>
      </c>
      <c r="D70" s="319" t="s">
        <v>379</v>
      </c>
      <c r="E70" s="316"/>
      <c r="F70" s="316"/>
      <c r="G70" s="316"/>
      <c r="H70" s="316"/>
      <c r="I70" s="316"/>
      <c r="J70" s="316"/>
      <c r="K70" s="316"/>
      <c r="L70" s="316"/>
      <c r="M70" s="316"/>
      <c r="N70" s="316"/>
      <c r="O70" s="316"/>
      <c r="P70" s="316"/>
      <c r="Q70" s="316"/>
      <c r="R70" s="316"/>
      <c r="S70" s="316"/>
      <c r="T70" s="316"/>
      <c r="U70" s="316"/>
      <c r="V70" s="316"/>
      <c r="W70" s="316"/>
      <c r="X70" s="316"/>
      <c r="Y70" s="316"/>
      <c r="Z70" s="316"/>
      <c r="AA70" s="316"/>
      <c r="AB70" s="316"/>
      <c r="AC70" s="316"/>
      <c r="AD70" s="316"/>
      <c r="AE70" s="316"/>
      <c r="AF70" s="316"/>
      <c r="AG70" s="316"/>
      <c r="AH70" s="316"/>
      <c r="AI70" s="316"/>
      <c r="AJ70" s="316"/>
      <c r="AK70" s="316"/>
      <c r="AL70" s="316"/>
      <c r="AM70" s="316"/>
      <c r="AN70" s="316"/>
      <c r="AO70" s="316">
        <v>0.11780952478850001</v>
      </c>
      <c r="AP70" s="316">
        <v>0</v>
      </c>
      <c r="AQ70" s="316">
        <v>0</v>
      </c>
      <c r="AR70" s="316">
        <v>0</v>
      </c>
      <c r="AS70" s="316">
        <v>0</v>
      </c>
      <c r="AT70" s="316">
        <v>0</v>
      </c>
      <c r="AU70" s="316">
        <v>0.11917316932569999</v>
      </c>
      <c r="AV70" s="316">
        <v>0</v>
      </c>
      <c r="AW70" s="316">
        <v>0</v>
      </c>
      <c r="AX70" s="316">
        <v>0</v>
      </c>
      <c r="AY70" s="316">
        <v>0</v>
      </c>
      <c r="AZ70" s="316">
        <v>0</v>
      </c>
      <c r="BA70" s="316">
        <v>0.11866941538</v>
      </c>
      <c r="BB70" s="316">
        <v>0</v>
      </c>
      <c r="BC70" s="316">
        <v>0</v>
      </c>
      <c r="BD70" s="316">
        <v>0</v>
      </c>
      <c r="BE70" s="316">
        <v>0</v>
      </c>
      <c r="BF70" s="316">
        <v>0</v>
      </c>
      <c r="BG70" s="316">
        <v>0.11772658608</v>
      </c>
      <c r="BH70" s="316">
        <v>0</v>
      </c>
      <c r="BI70" s="316">
        <v>0</v>
      </c>
      <c r="BJ70" s="316">
        <v>0</v>
      </c>
      <c r="BK70" s="316">
        <v>0</v>
      </c>
      <c r="BL70" s="316">
        <v>0</v>
      </c>
      <c r="BM70" s="316">
        <v>0.11614355017650001</v>
      </c>
      <c r="BN70" s="316">
        <v>0</v>
      </c>
      <c r="BO70" s="316">
        <v>0</v>
      </c>
      <c r="BP70" s="316">
        <v>0</v>
      </c>
      <c r="BQ70" s="316">
        <v>0</v>
      </c>
      <c r="BR70" s="316">
        <v>0</v>
      </c>
      <c r="BS70" s="316">
        <v>0.11550340797820001</v>
      </c>
      <c r="BT70" s="316">
        <v>0</v>
      </c>
      <c r="BU70" s="316">
        <v>0</v>
      </c>
      <c r="BV70" s="316">
        <v>0</v>
      </c>
      <c r="BW70" s="316">
        <v>0</v>
      </c>
      <c r="BX70" s="316">
        <v>0</v>
      </c>
      <c r="BY70" s="316">
        <v>0.11744386026987767</v>
      </c>
      <c r="BZ70" s="316">
        <v>0</v>
      </c>
      <c r="CA70" s="316">
        <v>0</v>
      </c>
      <c r="CB70" s="316">
        <v>0</v>
      </c>
      <c r="CC70" s="316">
        <v>0</v>
      </c>
      <c r="CD70" s="316">
        <v>0</v>
      </c>
      <c r="CE70" s="317">
        <v>0</v>
      </c>
      <c r="CF70" s="316">
        <v>0</v>
      </c>
      <c r="CG70" s="316">
        <v>0</v>
      </c>
      <c r="CH70" s="316">
        <v>0</v>
      </c>
      <c r="CI70" s="316">
        <v>0</v>
      </c>
      <c r="CJ70" s="316">
        <v>0</v>
      </c>
      <c r="CK70" s="316">
        <v>0</v>
      </c>
      <c r="CL70" s="316">
        <v>0</v>
      </c>
      <c r="CM70" s="316">
        <v>0</v>
      </c>
      <c r="CN70" s="316">
        <v>0</v>
      </c>
      <c r="CO70" s="316">
        <v>0</v>
      </c>
      <c r="CP70" s="318">
        <v>0</v>
      </c>
      <c r="CQ70" s="316">
        <v>0</v>
      </c>
      <c r="CR70" s="316">
        <v>0</v>
      </c>
      <c r="CS70" s="316">
        <v>0</v>
      </c>
      <c r="CT70" s="316">
        <v>0</v>
      </c>
      <c r="CU70" s="316">
        <v>0</v>
      </c>
      <c r="CV70" s="316">
        <v>0</v>
      </c>
      <c r="CW70" s="316">
        <v>0</v>
      </c>
      <c r="CX70" s="316">
        <v>0</v>
      </c>
      <c r="CY70" s="316">
        <v>0</v>
      </c>
      <c r="CZ70" s="316">
        <v>0</v>
      </c>
      <c r="DA70" s="316">
        <v>0</v>
      </c>
      <c r="DB70" s="1498">
        <v>0</v>
      </c>
      <c r="DC70" s="316">
        <v>0</v>
      </c>
      <c r="DD70" s="316">
        <v>0</v>
      </c>
      <c r="DE70" s="316">
        <v>0</v>
      </c>
      <c r="DF70" s="316">
        <v>0</v>
      </c>
      <c r="DG70" s="316">
        <v>0</v>
      </c>
      <c r="DH70" s="316">
        <v>0</v>
      </c>
      <c r="DI70" s="316">
        <v>0</v>
      </c>
      <c r="DJ70" s="316">
        <v>0</v>
      </c>
      <c r="DK70" s="316">
        <v>0</v>
      </c>
      <c r="DL70" s="316">
        <v>0</v>
      </c>
      <c r="DM70" s="316">
        <v>0</v>
      </c>
      <c r="DN70" s="318">
        <v>0</v>
      </c>
      <c r="DO70" s="316">
        <v>0</v>
      </c>
      <c r="DP70" s="316">
        <v>0</v>
      </c>
      <c r="DQ70" s="316">
        <v>0</v>
      </c>
      <c r="DR70" s="316">
        <v>0</v>
      </c>
      <c r="DS70" s="316">
        <v>0</v>
      </c>
      <c r="DT70" s="316">
        <v>0</v>
      </c>
      <c r="DU70" s="316">
        <v>0</v>
      </c>
      <c r="DV70" s="316">
        <v>0</v>
      </c>
      <c r="DW70" s="316">
        <v>0</v>
      </c>
      <c r="DX70" s="316">
        <v>0</v>
      </c>
      <c r="DY70" s="316">
        <v>0</v>
      </c>
      <c r="DZ70" s="318">
        <v>0</v>
      </c>
      <c r="EA70" s="316">
        <v>0</v>
      </c>
      <c r="EB70" s="316">
        <v>0</v>
      </c>
      <c r="EC70" s="316">
        <v>0</v>
      </c>
      <c r="ED70" s="316">
        <v>0</v>
      </c>
      <c r="EE70" s="316">
        <v>0</v>
      </c>
      <c r="EF70" s="316">
        <v>0</v>
      </c>
      <c r="EG70" s="316">
        <v>0</v>
      </c>
      <c r="EH70" s="316">
        <v>0</v>
      </c>
      <c r="EI70" s="316">
        <v>0</v>
      </c>
      <c r="EJ70" s="316">
        <v>0</v>
      </c>
      <c r="EK70" s="316">
        <v>0</v>
      </c>
      <c r="EL70" s="318">
        <v>0</v>
      </c>
      <c r="EM70" s="1206">
        <v>0</v>
      </c>
      <c r="EN70" s="1206">
        <v>0</v>
      </c>
      <c r="EO70" s="1206">
        <v>0</v>
      </c>
      <c r="EP70" s="1206">
        <v>0</v>
      </c>
      <c r="EQ70" s="1206">
        <v>0</v>
      </c>
      <c r="ER70" s="1206">
        <v>0</v>
      </c>
      <c r="ES70" s="1206">
        <v>0</v>
      </c>
      <c r="ET70" s="1206">
        <v>0</v>
      </c>
      <c r="EU70" s="1206">
        <v>0</v>
      </c>
      <c r="EV70" s="1206">
        <v>0</v>
      </c>
      <c r="EW70" s="1206">
        <v>0</v>
      </c>
      <c r="EX70" s="1550">
        <v>0</v>
      </c>
      <c r="EY70" s="1206"/>
      <c r="EZ70" s="1206"/>
      <c r="FA70" s="1206"/>
      <c r="FB70" s="1206"/>
      <c r="FC70" s="1206"/>
      <c r="FD70" s="1206"/>
      <c r="FE70" s="1206"/>
      <c r="FF70" s="1206"/>
      <c r="FG70" s="1206"/>
      <c r="FH70" s="1206"/>
      <c r="FI70" s="1206"/>
      <c r="FJ70" s="1550"/>
      <c r="FK70" s="1206"/>
      <c r="FL70" s="1206"/>
      <c r="FM70" s="1206"/>
      <c r="FN70" s="1206"/>
      <c r="FO70" s="1206"/>
      <c r="FP70" s="1206"/>
      <c r="FQ70" s="316"/>
      <c r="FR70" s="316"/>
      <c r="FS70" s="316"/>
      <c r="FT70" s="316"/>
      <c r="FU70" s="316"/>
      <c r="FV70" s="316"/>
      <c r="FW70" s="316"/>
      <c r="FX70" s="316"/>
      <c r="FY70" s="316"/>
      <c r="FZ70" s="316"/>
      <c r="GA70" s="316"/>
      <c r="GB70" s="316"/>
      <c r="GC70" s="316"/>
      <c r="GD70" s="316"/>
      <c r="GE70" s="316"/>
      <c r="GF70" s="316"/>
      <c r="GG70" s="316"/>
      <c r="GH70" s="316"/>
      <c r="GI70" s="316"/>
      <c r="GJ70" s="316"/>
      <c r="GK70" s="316"/>
      <c r="GL70" s="316"/>
      <c r="GM70" s="316"/>
      <c r="GN70" s="316"/>
      <c r="GO70" s="316"/>
      <c r="GP70" s="316"/>
      <c r="GQ70" s="316"/>
      <c r="GR70" s="316"/>
      <c r="GS70" s="316"/>
      <c r="GT70" s="316"/>
      <c r="GU70" s="316"/>
      <c r="GV70" s="316"/>
      <c r="GW70" s="316"/>
      <c r="GX70" s="316"/>
      <c r="GY70" s="316"/>
      <c r="GZ70" s="316"/>
      <c r="HA70" s="316"/>
      <c r="HB70" s="316"/>
      <c r="HC70" s="316"/>
      <c r="HD70" s="316"/>
      <c r="HE70" s="316"/>
      <c r="HF70" s="316"/>
      <c r="HG70" s="316"/>
      <c r="HH70" s="316"/>
      <c r="HI70" s="316"/>
      <c r="HJ70" s="316"/>
      <c r="HK70" s="316"/>
      <c r="HL70" s="316"/>
      <c r="HM70" s="316"/>
      <c r="HV70" s="302">
        <f t="shared" si="11"/>
        <v>0</v>
      </c>
      <c r="HW70" s="302">
        <f t="shared" si="12"/>
        <v>0</v>
      </c>
      <c r="HX70" s="302">
        <f t="shared" si="13"/>
        <v>0</v>
      </c>
      <c r="HY70" s="302">
        <f t="shared" si="14"/>
        <v>0</v>
      </c>
      <c r="KH70" s="303"/>
    </row>
    <row r="71" spans="1:294" outlineLevel="1">
      <c r="B71" s="117" t="s">
        <v>361</v>
      </c>
      <c r="D71" s="319" t="s">
        <v>380</v>
      </c>
      <c r="E71" s="316"/>
      <c r="F71" s="316"/>
      <c r="G71" s="316"/>
      <c r="H71" s="316"/>
      <c r="I71" s="316"/>
      <c r="J71" s="316"/>
      <c r="K71" s="316"/>
      <c r="L71" s="316"/>
      <c r="M71" s="316"/>
      <c r="N71" s="316"/>
      <c r="O71" s="316"/>
      <c r="P71" s="316"/>
      <c r="Q71" s="316"/>
      <c r="R71" s="316"/>
      <c r="S71" s="316"/>
      <c r="T71" s="316"/>
      <c r="U71" s="316"/>
      <c r="V71" s="316"/>
      <c r="W71" s="316"/>
      <c r="X71" s="316"/>
      <c r="Y71" s="316"/>
      <c r="Z71" s="316"/>
      <c r="AA71" s="316"/>
      <c r="AB71" s="316"/>
      <c r="AC71" s="316"/>
      <c r="AD71" s="316"/>
      <c r="AE71" s="316"/>
      <c r="AF71" s="316"/>
      <c r="AG71" s="316"/>
      <c r="AH71" s="316"/>
      <c r="AI71" s="316"/>
      <c r="AJ71" s="316"/>
      <c r="AK71" s="316"/>
      <c r="AL71" s="316"/>
      <c r="AM71" s="316"/>
      <c r="AN71" s="316"/>
      <c r="AO71" s="316">
        <v>0.21810222652700001</v>
      </c>
      <c r="AP71" s="316">
        <v>0</v>
      </c>
      <c r="AQ71" s="316">
        <v>9.7868434115100003E-2</v>
      </c>
      <c r="AR71" s="316">
        <v>3.1660501500899996E-2</v>
      </c>
      <c r="AS71" s="316">
        <v>0.15932789213609999</v>
      </c>
      <c r="AT71" s="316">
        <v>0.10911484331650001</v>
      </c>
      <c r="AU71" s="316">
        <v>0.38523556795950009</v>
      </c>
      <c r="AV71" s="316">
        <v>0</v>
      </c>
      <c r="AW71" s="316">
        <v>9.9076187026099993E-2</v>
      </c>
      <c r="AX71" s="316">
        <v>3.7041392407200002E-2</v>
      </c>
      <c r="AY71" s="316">
        <v>0.17109218886710001</v>
      </c>
      <c r="AZ71" s="316">
        <v>0.11946609973979998</v>
      </c>
      <c r="BA71" s="316">
        <v>0.40442956910350003</v>
      </c>
      <c r="BB71" s="316">
        <v>0</v>
      </c>
      <c r="BC71" s="316">
        <v>0.1046853751293</v>
      </c>
      <c r="BD71" s="316">
        <v>3.9481142036399998E-2</v>
      </c>
      <c r="BE71" s="316">
        <v>0.1762636075755</v>
      </c>
      <c r="BF71" s="316">
        <v>0.12679592858819999</v>
      </c>
      <c r="BG71" s="316">
        <v>0.42665317888479998</v>
      </c>
      <c r="BH71" s="316">
        <v>0</v>
      </c>
      <c r="BI71" s="316">
        <v>0.10438474453939998</v>
      </c>
      <c r="BJ71" s="316">
        <v>4.2369268044999991E-2</v>
      </c>
      <c r="BK71" s="316">
        <v>0.17131614196349998</v>
      </c>
      <c r="BL71" s="316">
        <v>0.1251205088274</v>
      </c>
      <c r="BM71" s="316">
        <v>0.41395038709350002</v>
      </c>
      <c r="BN71" s="316">
        <v>0</v>
      </c>
      <c r="BO71" s="316">
        <v>0.23711572299480002</v>
      </c>
      <c r="BP71" s="316">
        <v>4.3651870600800002E-2</v>
      </c>
      <c r="BQ71" s="316">
        <v>0.17111960396180001</v>
      </c>
      <c r="BR71" s="316">
        <v>0.12904829535760001</v>
      </c>
      <c r="BS71" s="316">
        <v>0.411063191552</v>
      </c>
      <c r="BT71" s="316">
        <v>0</v>
      </c>
      <c r="BU71" s="316">
        <v>0.24199373092599999</v>
      </c>
      <c r="BV71" s="316">
        <v>4.4878629338400006E-2</v>
      </c>
      <c r="BW71" s="316">
        <v>0.17520931732100001</v>
      </c>
      <c r="BX71" s="316">
        <v>0.13452664846680001</v>
      </c>
      <c r="BY71" s="316">
        <v>0.4286298118942784</v>
      </c>
      <c r="BZ71" s="316">
        <v>0</v>
      </c>
      <c r="CA71" s="316">
        <v>0.23959744607324188</v>
      </c>
      <c r="CB71" s="316">
        <v>0.239775954160556</v>
      </c>
      <c r="CC71" s="316">
        <v>0.17225462561518537</v>
      </c>
      <c r="CD71" s="316">
        <v>0.13317890050883566</v>
      </c>
      <c r="CE71" s="317">
        <v>0.41546805221883265</v>
      </c>
      <c r="CF71" s="316">
        <v>0</v>
      </c>
      <c r="CG71" s="316">
        <v>0.24836157520919364</v>
      </c>
      <c r="CH71" s="316">
        <v>0.25250786867125607</v>
      </c>
      <c r="CI71" s="316">
        <v>0.18183521550047654</v>
      </c>
      <c r="CJ71" s="316">
        <v>0.13767124816121135</v>
      </c>
      <c r="CK71" s="316">
        <v>0.44075768613754801</v>
      </c>
      <c r="CL71" s="316">
        <v>0</v>
      </c>
      <c r="CM71" s="316">
        <v>0.26171145820619712</v>
      </c>
      <c r="CN71" s="316">
        <v>0.26024356396850429</v>
      </c>
      <c r="CO71" s="316">
        <v>0.1895558903529099</v>
      </c>
      <c r="CP71" s="318">
        <v>0.29302041539621659</v>
      </c>
      <c r="CQ71" s="316">
        <v>0.45575732260096347</v>
      </c>
      <c r="CR71" s="316">
        <v>0</v>
      </c>
      <c r="CS71" s="316">
        <v>0.25875959035530555</v>
      </c>
      <c r="CT71" s="316">
        <v>0.25580397581496028</v>
      </c>
      <c r="CU71" s="316">
        <v>0.18230424366320006</v>
      </c>
      <c r="CV71" s="316">
        <v>0.32017931139638678</v>
      </c>
      <c r="CW71" s="316">
        <v>0.3599919425550292</v>
      </c>
      <c r="CX71" s="316">
        <v>0</v>
      </c>
      <c r="CY71" s="316">
        <v>0.18586836074350557</v>
      </c>
      <c r="CZ71" s="316">
        <v>0.24490160352427714</v>
      </c>
      <c r="DA71" s="316">
        <v>0.18013967725184479</v>
      </c>
      <c r="DB71" s="1498">
        <v>0.31732387881613289</v>
      </c>
      <c r="DC71" s="316">
        <v>0.433617629</v>
      </c>
      <c r="DD71" s="316">
        <v>0</v>
      </c>
      <c r="DE71" s="316">
        <v>0.256668279</v>
      </c>
      <c r="DF71" s="316">
        <v>0.25513385500000002</v>
      </c>
      <c r="DG71" s="316">
        <v>0.182110576</v>
      </c>
      <c r="DH71" s="316">
        <v>0.32501522100000002</v>
      </c>
      <c r="DI71" s="316">
        <v>0.4451985569909977</v>
      </c>
      <c r="DJ71" s="316">
        <v>0</v>
      </c>
      <c r="DK71" s="316">
        <v>0.26604225046592711</v>
      </c>
      <c r="DL71" s="316">
        <v>0.26906482087089689</v>
      </c>
      <c r="DM71" s="316">
        <v>0.19464839295558298</v>
      </c>
      <c r="DN71" s="318">
        <v>0.34294975349249995</v>
      </c>
      <c r="DO71" s="316">
        <v>0.46561304303040002</v>
      </c>
      <c r="DP71" s="316">
        <v>0</v>
      </c>
      <c r="DQ71" s="316">
        <v>0.28121969533439994</v>
      </c>
      <c r="DR71" s="316">
        <v>0.28077002284900004</v>
      </c>
      <c r="DS71" s="316">
        <v>0.19666425112919997</v>
      </c>
      <c r="DT71" s="316">
        <v>0.34268907964999995</v>
      </c>
      <c r="DU71" s="316">
        <v>4.2707876210999994E-2</v>
      </c>
      <c r="DV71" s="316">
        <v>0</v>
      </c>
      <c r="DW71" s="316">
        <v>0</v>
      </c>
      <c r="DX71" s="316">
        <v>0</v>
      </c>
      <c r="DY71" s="316">
        <v>0</v>
      </c>
      <c r="DZ71" s="318">
        <v>0</v>
      </c>
      <c r="EA71" s="316">
        <v>0</v>
      </c>
      <c r="EB71" s="316">
        <v>0</v>
      </c>
      <c r="EC71" s="316">
        <v>0</v>
      </c>
      <c r="ED71" s="316">
        <v>0</v>
      </c>
      <c r="EE71" s="316">
        <v>0</v>
      </c>
      <c r="EF71" s="316">
        <v>0</v>
      </c>
      <c r="EG71" s="316">
        <v>0</v>
      </c>
      <c r="EH71" s="316">
        <v>0</v>
      </c>
      <c r="EI71" s="316">
        <v>0</v>
      </c>
      <c r="EJ71" s="316">
        <v>0</v>
      </c>
      <c r="EK71" s="316">
        <v>0</v>
      </c>
      <c r="EL71" s="318">
        <v>0</v>
      </c>
      <c r="EM71" s="1206">
        <v>0</v>
      </c>
      <c r="EN71" s="1206">
        <v>0</v>
      </c>
      <c r="EO71" s="1206">
        <v>0</v>
      </c>
      <c r="EP71" s="1206">
        <v>0</v>
      </c>
      <c r="EQ71" s="1206">
        <v>0</v>
      </c>
      <c r="ER71" s="1206">
        <v>0</v>
      </c>
      <c r="ES71" s="1206">
        <v>0</v>
      </c>
      <c r="ET71" s="1206">
        <v>0</v>
      </c>
      <c r="EU71" s="1206">
        <v>0</v>
      </c>
      <c r="EV71" s="1206">
        <v>0</v>
      </c>
      <c r="EW71" s="1206">
        <v>0</v>
      </c>
      <c r="EX71" s="1550">
        <v>0</v>
      </c>
      <c r="EY71" s="1206"/>
      <c r="EZ71" s="1206"/>
      <c r="FA71" s="1206"/>
      <c r="FB71" s="1206"/>
      <c r="FC71" s="1206"/>
      <c r="FD71" s="1206"/>
      <c r="FE71" s="1206"/>
      <c r="FF71" s="1206"/>
      <c r="FG71" s="1206"/>
      <c r="FH71" s="1206"/>
      <c r="FI71" s="1206"/>
      <c r="FJ71" s="1550"/>
      <c r="FK71" s="1206"/>
      <c r="FL71" s="1206"/>
      <c r="FM71" s="1206"/>
      <c r="FN71" s="1206"/>
      <c r="FO71" s="1206"/>
      <c r="FP71" s="1206"/>
      <c r="FQ71" s="316"/>
      <c r="FR71" s="316"/>
      <c r="FS71" s="316"/>
      <c r="FT71" s="316"/>
      <c r="FU71" s="316"/>
      <c r="FV71" s="316"/>
      <c r="FW71" s="316"/>
      <c r="FX71" s="316"/>
      <c r="FY71" s="316"/>
      <c r="FZ71" s="316"/>
      <c r="GA71" s="316"/>
      <c r="GB71" s="316"/>
      <c r="GC71" s="316"/>
      <c r="GD71" s="316"/>
      <c r="GE71" s="316"/>
      <c r="GF71" s="316"/>
      <c r="GG71" s="316"/>
      <c r="GH71" s="316"/>
      <c r="GI71" s="316"/>
      <c r="GJ71" s="316"/>
      <c r="GK71" s="316"/>
      <c r="GL71" s="316"/>
      <c r="GM71" s="316"/>
      <c r="GN71" s="316"/>
      <c r="GO71" s="316"/>
      <c r="GP71" s="316"/>
      <c r="GQ71" s="316"/>
      <c r="GR71" s="316"/>
      <c r="GS71" s="316"/>
      <c r="GT71" s="316"/>
      <c r="GU71" s="316"/>
      <c r="GV71" s="316"/>
      <c r="GW71" s="316"/>
      <c r="GX71" s="316"/>
      <c r="GY71" s="316"/>
      <c r="GZ71" s="316"/>
      <c r="HA71" s="316"/>
      <c r="HB71" s="316"/>
      <c r="HC71" s="316"/>
      <c r="HD71" s="316"/>
      <c r="HE71" s="316"/>
      <c r="HF71" s="316"/>
      <c r="HG71" s="316"/>
      <c r="HH71" s="316"/>
      <c r="HI71" s="316"/>
      <c r="HJ71" s="316"/>
      <c r="HK71" s="316"/>
      <c r="HL71" s="316"/>
      <c r="HM71" s="316"/>
      <c r="HV71" s="302">
        <f t="shared" si="11"/>
        <v>1.4525455599999999</v>
      </c>
      <c r="HW71" s="302">
        <f t="shared" si="12"/>
        <v>1.5179037747759045</v>
      </c>
      <c r="HX71" s="302">
        <f t="shared" si="13"/>
        <v>2.9704493347759042</v>
      </c>
      <c r="HY71" s="302">
        <f t="shared" si="14"/>
        <v>1.5669560919929999</v>
      </c>
      <c r="KH71" s="303"/>
    </row>
    <row r="72" spans="1:294" outlineLevel="1">
      <c r="B72" s="117" t="s">
        <v>361</v>
      </c>
      <c r="D72" s="319" t="s">
        <v>381</v>
      </c>
      <c r="E72" s="316"/>
      <c r="F72" s="316"/>
      <c r="G72" s="316"/>
      <c r="H72" s="316"/>
      <c r="I72" s="316"/>
      <c r="J72" s="316"/>
      <c r="K72" s="316"/>
      <c r="L72" s="316"/>
      <c r="M72" s="316"/>
      <c r="N72" s="316"/>
      <c r="O72" s="316"/>
      <c r="P72" s="316"/>
      <c r="Q72" s="316"/>
      <c r="R72" s="316"/>
      <c r="S72" s="316"/>
      <c r="T72" s="316"/>
      <c r="U72" s="316"/>
      <c r="V72" s="316"/>
      <c r="W72" s="316"/>
      <c r="X72" s="316"/>
      <c r="Y72" s="316"/>
      <c r="Z72" s="316"/>
      <c r="AA72" s="316"/>
      <c r="AB72" s="316"/>
      <c r="AC72" s="316"/>
      <c r="AD72" s="316"/>
      <c r="AE72" s="316"/>
      <c r="AF72" s="316"/>
      <c r="AG72" s="316"/>
      <c r="AH72" s="316"/>
      <c r="AI72" s="316"/>
      <c r="AJ72" s="316"/>
      <c r="AK72" s="316"/>
      <c r="AL72" s="316"/>
      <c r="AM72" s="316"/>
      <c r="AN72" s="316"/>
      <c r="AO72" s="316">
        <v>8.6368161636000002E-3</v>
      </c>
      <c r="AP72" s="316">
        <v>5.1672790119899996E-2</v>
      </c>
      <c r="AQ72" s="316">
        <v>7.5468505383500001E-2</v>
      </c>
      <c r="AR72" s="316">
        <v>1.82233731548E-2</v>
      </c>
      <c r="AS72" s="316">
        <v>3.6260539149059995E-2</v>
      </c>
      <c r="AT72" s="316">
        <v>0.44699536012539992</v>
      </c>
      <c r="AU72" s="316">
        <v>7.5889710007999997E-3</v>
      </c>
      <c r="AV72" s="316">
        <v>5.0179774034099997E-2</v>
      </c>
      <c r="AW72" s="316">
        <v>7.1905996572000003E-2</v>
      </c>
      <c r="AX72" s="316">
        <v>1.9327067863499994E-2</v>
      </c>
      <c r="AY72" s="316">
        <v>4.0198419503489992E-2</v>
      </c>
      <c r="AZ72" s="316">
        <v>0.16946328062300001</v>
      </c>
      <c r="BA72" s="316">
        <v>8.2245179433999976E-3</v>
      </c>
      <c r="BB72" s="316">
        <v>5.3890061039199993E-2</v>
      </c>
      <c r="BC72" s="316">
        <v>8.0485666967999997E-2</v>
      </c>
      <c r="BD72" s="316">
        <v>2.8953136721999999E-2</v>
      </c>
      <c r="BE72" s="316">
        <v>4.2114915655399994E-2</v>
      </c>
      <c r="BF72" s="316">
        <v>0.18328411040750001</v>
      </c>
      <c r="BG72" s="316">
        <v>9.202492254599997E-3</v>
      </c>
      <c r="BH72" s="316">
        <v>5.66319508533E-2</v>
      </c>
      <c r="BI72" s="316">
        <v>8.422579454250001E-2</v>
      </c>
      <c r="BJ72" s="316">
        <v>1.9359886864500003E-2</v>
      </c>
      <c r="BK72" s="316">
        <v>4.0813496152000001E-2</v>
      </c>
      <c r="BL72" s="316">
        <v>0.16632972597759998</v>
      </c>
      <c r="BM72" s="316">
        <v>8.2462465395000007E-3</v>
      </c>
      <c r="BN72" s="316">
        <v>5.3183100997800006E-2</v>
      </c>
      <c r="BO72" s="316">
        <v>7.9046747238000009E-2</v>
      </c>
      <c r="BP72" s="316">
        <v>1.8649134748799999E-2</v>
      </c>
      <c r="BQ72" s="316">
        <v>3.89208216261E-2</v>
      </c>
      <c r="BR72" s="316">
        <v>0.16205571057299997</v>
      </c>
      <c r="BS72" s="316">
        <v>8.0490298579999984E-3</v>
      </c>
      <c r="BT72" s="316">
        <v>5.0452946215300006E-2</v>
      </c>
      <c r="BU72" s="316">
        <v>7.4907428143800012E-2</v>
      </c>
      <c r="BV72" s="316">
        <v>1.8974934540000002E-2</v>
      </c>
      <c r="BW72" s="316">
        <v>3.9843817477100002E-2</v>
      </c>
      <c r="BX72" s="316">
        <v>0.17476388950400001</v>
      </c>
      <c r="BY72" s="316">
        <v>8.87375001585765E-3</v>
      </c>
      <c r="BZ72" s="316">
        <v>5.6121491385470512E-2</v>
      </c>
      <c r="CA72" s="316">
        <v>8.0567234660922388E-2</v>
      </c>
      <c r="CB72" s="316">
        <v>1.9518380941196883E-2</v>
      </c>
      <c r="CC72" s="316">
        <v>4.1146981577507964E-2</v>
      </c>
      <c r="CD72" s="316">
        <v>0.18168796847684299</v>
      </c>
      <c r="CE72" s="317">
        <v>8.8412829802404676E-3</v>
      </c>
      <c r="CF72" s="316">
        <v>5.7524507378030415E-2</v>
      </c>
      <c r="CG72" s="316">
        <v>8.3731672714265529E-2</v>
      </c>
      <c r="CH72" s="316">
        <v>2.1026906092976E-2</v>
      </c>
      <c r="CI72" s="316">
        <v>4.4482341647089189E-2</v>
      </c>
      <c r="CJ72" s="316">
        <v>0.19125503504777619</v>
      </c>
      <c r="CK72" s="316">
        <v>9.7781264432932995E-3</v>
      </c>
      <c r="CL72" s="316">
        <v>6.1572929790496084E-2</v>
      </c>
      <c r="CM72" s="316">
        <v>8.9852878618954093E-2</v>
      </c>
      <c r="CN72" s="316">
        <v>2.1991281572929271E-2</v>
      </c>
      <c r="CO72" s="316">
        <v>4.6559579085067998E-2</v>
      </c>
      <c r="CP72" s="318">
        <v>0.19614655296075689</v>
      </c>
      <c r="CQ72" s="316">
        <v>9.8670787247891571E-3</v>
      </c>
      <c r="CR72" s="316">
        <v>6.1004475483840262E-2</v>
      </c>
      <c r="CS72" s="316">
        <v>8.7275147576029194E-2</v>
      </c>
      <c r="CT72" s="316">
        <v>2.035598371667198E-2</v>
      </c>
      <c r="CU72" s="316">
        <v>4.3251194411419391E-2</v>
      </c>
      <c r="CV72" s="316">
        <v>0.18327118684480595</v>
      </c>
      <c r="CW72" s="316">
        <v>8.8714321952827486E-3</v>
      </c>
      <c r="CX72" s="316">
        <v>5.3526167373176385E-2</v>
      </c>
      <c r="CY72" s="316">
        <v>7.6651614413556349E-2</v>
      </c>
      <c r="CZ72" s="316">
        <v>1.770531934659984E-2</v>
      </c>
      <c r="DA72" s="316">
        <v>4.0607371725998473E-2</v>
      </c>
      <c r="DB72" s="1498">
        <v>0.17118845943339828</v>
      </c>
      <c r="DC72" s="316">
        <v>8.5834380000000005E-3</v>
      </c>
      <c r="DD72" s="316">
        <v>5.3707193E-2</v>
      </c>
      <c r="DE72" s="316">
        <v>7.9394939999999997E-2</v>
      </c>
      <c r="DF72" s="316">
        <v>1.9752933E-2</v>
      </c>
      <c r="DG72" s="316">
        <v>3.9778323999999997E-2</v>
      </c>
      <c r="DH72" s="316">
        <v>0.173718129</v>
      </c>
      <c r="DI72" s="316">
        <v>8.6464844336379479E-3</v>
      </c>
      <c r="DJ72" s="316">
        <v>5.6877185162579232E-2</v>
      </c>
      <c r="DK72" s="316">
        <v>8.0530624263329242E-2</v>
      </c>
      <c r="DL72" s="316">
        <v>2.032770123031263E-2</v>
      </c>
      <c r="DM72" s="316">
        <v>4.4119119481916151E-2</v>
      </c>
      <c r="DN72" s="318">
        <v>0.18615223905815295</v>
      </c>
      <c r="DO72" s="316">
        <v>9.1742312017061983E-3</v>
      </c>
      <c r="DP72" s="316">
        <v>5.9377881088519657E-2</v>
      </c>
      <c r="DQ72" s="316">
        <v>8.7676488342126532E-2</v>
      </c>
      <c r="DR72" s="316">
        <v>2.1034145814620677E-2</v>
      </c>
      <c r="DS72" s="316">
        <v>4.3739811783746939E-2</v>
      </c>
      <c r="DT72" s="316">
        <v>0.18292791368981087</v>
      </c>
      <c r="DU72" s="316">
        <v>9.0898549423337992E-3</v>
      </c>
      <c r="DV72" s="316">
        <v>5.8007764595570457E-2</v>
      </c>
      <c r="DW72" s="316">
        <v>8.4942784145587202E-2</v>
      </c>
      <c r="DX72" s="316">
        <v>2.07037697164686E-2</v>
      </c>
      <c r="DY72" s="316">
        <v>4.4983689553372501E-2</v>
      </c>
      <c r="DZ72" s="318">
        <v>0.19766063222458516</v>
      </c>
      <c r="EA72" s="316">
        <v>1.0057027E-2</v>
      </c>
      <c r="EB72" s="316">
        <v>6.5659626999999998E-2</v>
      </c>
      <c r="EC72" s="316">
        <v>9.6264800999999997E-2</v>
      </c>
      <c r="ED72" s="316">
        <v>2.2951954624467783E-2</v>
      </c>
      <c r="EE72" s="316">
        <v>4.8874336594010193E-2</v>
      </c>
      <c r="EF72" s="316">
        <v>0.20968043639447664</v>
      </c>
      <c r="EG72" s="316">
        <v>1.0672567326581978E-2</v>
      </c>
      <c r="EH72" s="316">
        <v>7.0631278071610154E-2</v>
      </c>
      <c r="EI72" s="316">
        <v>0.10086442279462024</v>
      </c>
      <c r="EJ72" s="316">
        <v>2.4676094027823697E-2</v>
      </c>
      <c r="EK72" s="316">
        <v>5.0993692085567657E-2</v>
      </c>
      <c r="EL72" s="318">
        <v>0.21490561138793615</v>
      </c>
      <c r="EM72" s="1206">
        <v>1.0594670256373279E-2</v>
      </c>
      <c r="EN72" s="1206">
        <v>6.5730210332226424E-2</v>
      </c>
      <c r="EO72" s="1206">
        <v>9.8563909765256322E-2</v>
      </c>
      <c r="EP72" s="1206">
        <v>2.364907381854027E-2</v>
      </c>
      <c r="EQ72" s="1206">
        <v>0</v>
      </c>
      <c r="ER72" s="1206">
        <v>0.21201068328231987</v>
      </c>
      <c r="ES72" s="1206">
        <v>1.0648808655175259E-2</v>
      </c>
      <c r="ET72" s="1206">
        <v>6.6596087007049165E-2</v>
      </c>
      <c r="EU72" s="1206">
        <v>9.7848614553610838E-2</v>
      </c>
      <c r="EV72" s="1206">
        <v>2.3566648099409237E-2</v>
      </c>
      <c r="EW72" s="1206">
        <v>0</v>
      </c>
      <c r="EX72" s="1550">
        <v>0.21532801592438158</v>
      </c>
      <c r="EY72" s="1206"/>
      <c r="EZ72" s="1206"/>
      <c r="FA72" s="1206"/>
      <c r="FB72" s="1206"/>
      <c r="FC72" s="1206"/>
      <c r="FD72" s="1206"/>
      <c r="FE72" s="1206"/>
      <c r="FF72" s="1206"/>
      <c r="FG72" s="1206"/>
      <c r="FH72" s="1206"/>
      <c r="FI72" s="1206"/>
      <c r="FJ72" s="1550"/>
      <c r="FK72" s="1206"/>
      <c r="FL72" s="1206"/>
      <c r="FM72" s="1206"/>
      <c r="FN72" s="1206"/>
      <c r="FO72" s="1206"/>
      <c r="FP72" s="1206"/>
      <c r="FQ72" s="316"/>
      <c r="FR72" s="316"/>
      <c r="FS72" s="316"/>
      <c r="FT72" s="316"/>
      <c r="FU72" s="316"/>
      <c r="FV72" s="316"/>
      <c r="FW72" s="316"/>
      <c r="FX72" s="316"/>
      <c r="FY72" s="316"/>
      <c r="FZ72" s="316"/>
      <c r="GA72" s="316"/>
      <c r="GB72" s="316"/>
      <c r="GC72" s="316"/>
      <c r="GD72" s="316"/>
      <c r="GE72" s="316"/>
      <c r="GF72" s="316"/>
      <c r="GG72" s="316"/>
      <c r="GH72" s="316"/>
      <c r="GI72" s="316"/>
      <c r="GJ72" s="316"/>
      <c r="GK72" s="316"/>
      <c r="GL72" s="316"/>
      <c r="GM72" s="316"/>
      <c r="GN72" s="316"/>
      <c r="GO72" s="316"/>
      <c r="GP72" s="316"/>
      <c r="GQ72" s="316"/>
      <c r="GR72" s="316"/>
      <c r="GS72" s="316"/>
      <c r="GT72" s="316"/>
      <c r="GU72" s="316"/>
      <c r="GV72" s="316"/>
      <c r="GW72" s="316"/>
      <c r="GX72" s="316"/>
      <c r="GY72" s="316"/>
      <c r="GZ72" s="316"/>
      <c r="HA72" s="316"/>
      <c r="HB72" s="316"/>
      <c r="HC72" s="316"/>
      <c r="HD72" s="316"/>
      <c r="HE72" s="316"/>
      <c r="HF72" s="316"/>
      <c r="HG72" s="316"/>
      <c r="HH72" s="316"/>
      <c r="HI72" s="316"/>
      <c r="HJ72" s="316"/>
      <c r="HK72" s="316"/>
      <c r="HL72" s="316"/>
      <c r="HM72" s="316"/>
      <c r="HV72" s="302">
        <f t="shared" si="11"/>
        <v>0.37493495700000001</v>
      </c>
      <c r="HW72" s="302">
        <f t="shared" si="12"/>
        <v>0.39665335362992815</v>
      </c>
      <c r="HX72" s="302">
        <f t="shared" si="13"/>
        <v>0.77158831062992816</v>
      </c>
      <c r="HY72" s="302">
        <f t="shared" si="14"/>
        <v>0.40393047192053089</v>
      </c>
      <c r="KH72" s="303"/>
    </row>
    <row r="73" spans="1:294" outlineLevel="1">
      <c r="CE73" s="840"/>
      <c r="CP73" s="303"/>
      <c r="DC73" s="859" t="s">
        <v>984</v>
      </c>
      <c r="EA73" s="302"/>
      <c r="EB73" s="302"/>
      <c r="EC73" s="302"/>
      <c r="ED73" s="302"/>
      <c r="EE73" s="302"/>
      <c r="EF73" s="302"/>
      <c r="EG73" s="302"/>
      <c r="EH73" s="302"/>
      <c r="EI73" s="302"/>
      <c r="EJ73" s="302"/>
      <c r="EK73" s="302"/>
      <c r="EL73" s="303"/>
      <c r="EM73" s="1208"/>
      <c r="EN73" s="1208"/>
      <c r="EO73" s="1208"/>
      <c r="EP73" s="1208"/>
      <c r="EQ73" s="1208"/>
      <c r="ER73" s="1208"/>
      <c r="ES73" s="1208"/>
      <c r="ET73" s="1208"/>
      <c r="EU73" s="1208"/>
      <c r="EV73" s="1208"/>
      <c r="EW73" s="1208"/>
      <c r="EX73" s="1560"/>
      <c r="EY73" s="1208"/>
      <c r="EZ73" s="1208"/>
      <c r="FA73" s="1208"/>
      <c r="FB73" s="1208"/>
      <c r="FC73" s="1208"/>
      <c r="FD73" s="1208"/>
      <c r="FE73" s="1208"/>
      <c r="FF73" s="1208"/>
      <c r="FG73" s="1208"/>
      <c r="FH73" s="1208"/>
      <c r="FI73" s="1208"/>
      <c r="FJ73" s="1560"/>
      <c r="FK73" s="1208"/>
      <c r="FL73" s="1208"/>
      <c r="FM73" s="1208"/>
      <c r="FN73" s="1208"/>
      <c r="FO73" s="1208"/>
      <c r="FP73" s="1208"/>
      <c r="FQ73" s="302"/>
      <c r="FR73" s="302"/>
      <c r="FS73" s="302"/>
      <c r="FT73" s="302"/>
      <c r="FU73" s="302"/>
      <c r="FV73" s="302"/>
      <c r="FW73" s="302"/>
      <c r="FX73" s="302"/>
      <c r="FY73" s="302"/>
      <c r="FZ73" s="302"/>
      <c r="GA73" s="302"/>
      <c r="GB73" s="302"/>
      <c r="GC73" s="302"/>
      <c r="GD73" s="302"/>
      <c r="GE73" s="302"/>
      <c r="GF73" s="302"/>
      <c r="GG73" s="302"/>
      <c r="GH73" s="302"/>
      <c r="GI73" s="302"/>
      <c r="GJ73" s="302"/>
      <c r="GK73" s="302"/>
      <c r="GL73" s="302"/>
      <c r="GM73" s="302"/>
      <c r="GN73" s="302"/>
      <c r="GO73" s="302"/>
      <c r="GP73" s="302"/>
      <c r="GQ73" s="302"/>
      <c r="GR73" s="302"/>
      <c r="GS73" s="302"/>
      <c r="GT73" s="302"/>
      <c r="GU73" s="302"/>
      <c r="GV73" s="302"/>
      <c r="GW73" s="302"/>
      <c r="GX73" s="302"/>
      <c r="GY73" s="302"/>
      <c r="GZ73" s="302"/>
      <c r="HA73" s="302"/>
      <c r="HB73" s="302"/>
      <c r="HC73" s="302"/>
      <c r="HD73" s="302"/>
      <c r="HE73" s="302"/>
      <c r="HF73" s="302"/>
      <c r="HG73" s="302"/>
      <c r="HH73" s="302"/>
      <c r="HI73" s="302"/>
      <c r="HJ73" s="302"/>
      <c r="HK73" s="302"/>
      <c r="HL73" s="302"/>
      <c r="HM73" s="302"/>
      <c r="KH73" s="303"/>
    </row>
    <row r="74" spans="1:294" outlineLevel="1">
      <c r="CE74" s="840"/>
      <c r="CP74" s="303"/>
      <c r="DC74" s="859"/>
      <c r="EA74" s="302"/>
      <c r="EB74" s="302"/>
      <c r="EC74" s="302"/>
      <c r="ED74" s="302"/>
      <c r="EE74" s="302"/>
      <c r="EF74" s="302"/>
      <c r="EG74" s="302"/>
      <c r="EH74" s="302"/>
      <c r="EI74" s="302"/>
      <c r="EJ74" s="302"/>
      <c r="EK74" s="302"/>
      <c r="EL74" s="303"/>
      <c r="EM74" s="1208"/>
      <c r="EN74" s="1208"/>
      <c r="EO74" s="1208"/>
      <c r="EP74" s="1208"/>
      <c r="EQ74" s="1208"/>
      <c r="ER74" s="1208"/>
      <c r="ES74" s="1208"/>
      <c r="ET74" s="1208"/>
      <c r="EU74" s="1208"/>
      <c r="EV74" s="1208"/>
      <c r="EW74" s="1208"/>
      <c r="EX74" s="1560"/>
      <c r="EY74" s="1208"/>
      <c r="EZ74" s="1208"/>
      <c r="FA74" s="1208"/>
      <c r="FB74" s="1208"/>
      <c r="FC74" s="1208"/>
      <c r="FD74" s="1208"/>
      <c r="FE74" s="1208"/>
      <c r="FF74" s="1208"/>
      <c r="FG74" s="1208"/>
      <c r="FH74" s="1208"/>
      <c r="FI74" s="1208"/>
      <c r="FJ74" s="1560"/>
      <c r="FK74" s="1208"/>
      <c r="FL74" s="1208"/>
      <c r="FM74" s="1208"/>
      <c r="FN74" s="1208"/>
      <c r="FO74" s="1208"/>
      <c r="FP74" s="1208"/>
      <c r="FQ74" s="302"/>
      <c r="FR74" s="302"/>
      <c r="FS74" s="302"/>
      <c r="FT74" s="302"/>
      <c r="FU74" s="302"/>
      <c r="FV74" s="302"/>
      <c r="FW74" s="302"/>
      <c r="FX74" s="302"/>
      <c r="FY74" s="302"/>
      <c r="FZ74" s="302"/>
      <c r="GA74" s="302"/>
      <c r="GB74" s="302"/>
      <c r="GC74" s="302"/>
      <c r="GD74" s="302"/>
      <c r="GE74" s="302"/>
      <c r="GF74" s="302"/>
      <c r="GG74" s="302"/>
      <c r="GH74" s="302"/>
      <c r="GI74" s="302"/>
      <c r="GJ74" s="302"/>
      <c r="GK74" s="302"/>
      <c r="GL74" s="302"/>
      <c r="GM74" s="302"/>
      <c r="GN74" s="302"/>
      <c r="GO74" s="302"/>
      <c r="GP74" s="302"/>
      <c r="GQ74" s="302"/>
      <c r="GR74" s="302"/>
      <c r="GS74" s="302"/>
      <c r="GT74" s="302"/>
      <c r="GU74" s="302"/>
      <c r="GV74" s="302"/>
      <c r="GW74" s="302"/>
      <c r="GX74" s="302"/>
      <c r="GY74" s="302"/>
      <c r="GZ74" s="302"/>
      <c r="HA74" s="302"/>
      <c r="HB74" s="302"/>
      <c r="HC74" s="302"/>
      <c r="HD74" s="302"/>
      <c r="HE74" s="302"/>
      <c r="HF74" s="302"/>
      <c r="HG74" s="302"/>
      <c r="HH74" s="302"/>
      <c r="HI74" s="302"/>
      <c r="HJ74" s="302"/>
      <c r="HK74" s="302"/>
      <c r="HL74" s="302"/>
      <c r="HM74" s="302"/>
      <c r="KH74" s="303"/>
    </row>
    <row r="75" spans="1:294" outlineLevel="1">
      <c r="A75" s="314" t="s">
        <v>1102</v>
      </c>
      <c r="CE75" s="840"/>
      <c r="CP75" s="303"/>
      <c r="DC75" s="859" t="s">
        <v>1014</v>
      </c>
      <c r="EA75" s="302"/>
      <c r="EB75" s="302"/>
      <c r="EC75" s="302"/>
      <c r="ED75" s="302"/>
      <c r="EE75" s="302"/>
      <c r="EF75" s="302"/>
      <c r="EG75" s="302"/>
      <c r="EH75" s="302"/>
      <c r="EI75" s="302"/>
      <c r="EJ75" s="302"/>
      <c r="EK75" s="302"/>
      <c r="EL75" s="303"/>
      <c r="EM75" s="1208"/>
      <c r="EN75" s="1208"/>
      <c r="EO75" s="1208"/>
      <c r="EP75" s="1208"/>
      <c r="EQ75" s="1208"/>
      <c r="ER75" s="1208"/>
      <c r="ES75" s="1208"/>
      <c r="ET75" s="1208"/>
      <c r="EU75" s="1208"/>
      <c r="EV75" s="1208"/>
      <c r="EW75" s="1208"/>
      <c r="EX75" s="1560"/>
      <c r="EY75" s="1208"/>
      <c r="EZ75" s="1208"/>
      <c r="FA75" s="1208"/>
      <c r="FB75" s="1208"/>
      <c r="FC75" s="1208"/>
      <c r="FD75" s="1208"/>
      <c r="FE75" s="1208"/>
      <c r="FF75" s="1208"/>
      <c r="FG75" s="1208"/>
      <c r="FH75" s="1208"/>
      <c r="FI75" s="1208"/>
      <c r="FJ75" s="1560"/>
      <c r="FK75" s="1208"/>
      <c r="FL75" s="1208"/>
      <c r="FM75" s="1208"/>
      <c r="FN75" s="1208"/>
      <c r="FO75" s="1208"/>
      <c r="FP75" s="1208"/>
      <c r="FQ75" s="302"/>
      <c r="FR75" s="302"/>
      <c r="FS75" s="302"/>
      <c r="FT75" s="302"/>
      <c r="FU75" s="302"/>
      <c r="FV75" s="302"/>
      <c r="FW75" s="302"/>
      <c r="FX75" s="302"/>
      <c r="FY75" s="302"/>
      <c r="FZ75" s="302"/>
      <c r="GA75" s="302"/>
      <c r="GB75" s="302"/>
      <c r="GC75" s="302"/>
      <c r="GD75" s="302"/>
      <c r="GE75" s="302"/>
      <c r="GF75" s="302"/>
      <c r="GG75" s="302"/>
      <c r="GH75" s="302"/>
      <c r="GI75" s="302"/>
      <c r="GJ75" s="302"/>
      <c r="GK75" s="302"/>
      <c r="GL75" s="302"/>
      <c r="GM75" s="302"/>
      <c r="GN75" s="302"/>
      <c r="GO75" s="302"/>
      <c r="GP75" s="302"/>
      <c r="GQ75" s="302"/>
      <c r="GR75" s="302"/>
      <c r="GS75" s="302"/>
      <c r="GT75" s="302"/>
      <c r="GU75" s="302"/>
      <c r="GV75" s="302"/>
      <c r="GW75" s="302"/>
      <c r="GX75" s="302"/>
      <c r="GY75" s="302"/>
      <c r="GZ75" s="302"/>
      <c r="HA75" s="302"/>
      <c r="HB75" s="302"/>
      <c r="HC75" s="302"/>
      <c r="HD75" s="302"/>
      <c r="HE75" s="302"/>
      <c r="HF75" s="302"/>
      <c r="HG75" s="302"/>
      <c r="HH75" s="302"/>
      <c r="HI75" s="302"/>
      <c r="HJ75" s="302"/>
      <c r="HK75" s="302"/>
      <c r="HL75" s="302"/>
      <c r="HM75" s="302"/>
      <c r="KH75" s="303"/>
    </row>
    <row r="76" spans="1:294" outlineLevel="1">
      <c r="A76" s="302"/>
      <c r="B76" s="314"/>
      <c r="D76" s="316"/>
      <c r="E76" s="316"/>
      <c r="F76" s="316"/>
      <c r="G76" s="316"/>
      <c r="H76" s="316"/>
      <c r="I76" s="316"/>
      <c r="J76" s="316"/>
      <c r="K76" s="316"/>
      <c r="L76" s="316"/>
      <c r="M76" s="316"/>
      <c r="N76" s="316"/>
      <c r="O76" s="316"/>
      <c r="P76" s="316"/>
      <c r="Q76" s="316"/>
      <c r="R76" s="316"/>
      <c r="S76" s="316"/>
      <c r="T76" s="316"/>
      <c r="U76" s="316"/>
      <c r="V76" s="316"/>
      <c r="W76" s="316"/>
      <c r="X76" s="316"/>
      <c r="Y76" s="316"/>
      <c r="Z76" s="316"/>
      <c r="AA76" s="316"/>
      <c r="AB76" s="316"/>
      <c r="AC76" s="316"/>
      <c r="AD76" s="316"/>
      <c r="AE76" s="316"/>
      <c r="AF76" s="316"/>
      <c r="AG76" s="316"/>
      <c r="AH76" s="316"/>
      <c r="AI76" s="316"/>
      <c r="AJ76" s="316"/>
      <c r="AK76" s="316"/>
      <c r="AL76" s="316"/>
      <c r="AM76" s="316"/>
      <c r="AN76" s="316"/>
      <c r="AO76" s="316"/>
      <c r="AP76" s="316"/>
      <c r="AQ76" s="316"/>
      <c r="AR76" s="316"/>
      <c r="AS76" s="316"/>
      <c r="AT76" s="316"/>
      <c r="AU76" s="316"/>
      <c r="AV76" s="316"/>
      <c r="AW76" s="316"/>
      <c r="AX76" s="316"/>
      <c r="AY76" s="316"/>
      <c r="AZ76" s="316"/>
      <c r="BA76" s="316"/>
      <c r="BB76" s="316"/>
      <c r="BC76" s="316"/>
      <c r="BD76" s="316"/>
      <c r="BE76" s="316"/>
      <c r="BF76" s="316"/>
      <c r="BG76" s="316"/>
      <c r="BH76" s="316"/>
      <c r="BI76" s="316"/>
      <c r="BJ76" s="316"/>
      <c r="BK76" s="316"/>
      <c r="BL76" s="316"/>
      <c r="BM76" s="316"/>
      <c r="BN76" s="316"/>
      <c r="BO76" s="316"/>
      <c r="BP76" s="316"/>
      <c r="BQ76" s="316"/>
      <c r="BR76" s="316"/>
      <c r="BS76" s="316"/>
      <c r="BT76" s="316"/>
      <c r="BU76" s="316"/>
      <c r="BV76" s="316"/>
      <c r="BW76" s="316"/>
      <c r="BX76" s="316"/>
      <c r="BY76" s="316"/>
      <c r="BZ76" s="316"/>
      <c r="CA76" s="316"/>
      <c r="CB76" s="316"/>
      <c r="CC76" s="316"/>
      <c r="CD76" s="316"/>
      <c r="CE76" s="317"/>
      <c r="CF76" s="316"/>
      <c r="CG76" s="316"/>
      <c r="CH76" s="316"/>
      <c r="CI76" s="316"/>
      <c r="CJ76" s="316"/>
      <c r="CK76" s="316"/>
      <c r="CL76" s="316"/>
      <c r="CM76" s="316"/>
      <c r="CN76" s="316"/>
      <c r="CO76" s="316"/>
      <c r="CP76" s="318"/>
      <c r="CQ76" s="316"/>
      <c r="CR76" s="316"/>
      <c r="CS76" s="316"/>
      <c r="CT76" s="316"/>
      <c r="CU76" s="316"/>
      <c r="CV76" s="316"/>
      <c r="CW76" s="316"/>
      <c r="CX76" s="316"/>
      <c r="CY76" s="316"/>
      <c r="CZ76" s="316"/>
      <c r="DA76" s="316"/>
      <c r="DB76" s="1498"/>
      <c r="DC76" s="868">
        <v>42186</v>
      </c>
      <c r="DD76" s="868">
        <v>42217</v>
      </c>
      <c r="DE76" s="868">
        <v>42248</v>
      </c>
      <c r="DF76" s="868">
        <v>42278</v>
      </c>
      <c r="DG76" s="868">
        <v>42309</v>
      </c>
      <c r="DH76" s="868">
        <v>42339</v>
      </c>
      <c r="DI76" s="868">
        <v>42370</v>
      </c>
      <c r="DJ76" s="868">
        <v>42401</v>
      </c>
      <c r="DK76" s="868">
        <v>42430</v>
      </c>
      <c r="DL76" s="868">
        <v>42461</v>
      </c>
      <c r="DM76" s="868">
        <v>42491</v>
      </c>
      <c r="DN76" s="1490">
        <v>42522</v>
      </c>
      <c r="DO76" s="868">
        <v>42552</v>
      </c>
      <c r="DP76" s="868">
        <v>42583</v>
      </c>
      <c r="DQ76" s="868">
        <v>42614</v>
      </c>
      <c r="DR76" s="868">
        <v>42644</v>
      </c>
      <c r="DS76" s="868">
        <v>42675</v>
      </c>
      <c r="DT76" s="868">
        <v>42705</v>
      </c>
      <c r="DU76" s="868">
        <v>42736</v>
      </c>
      <c r="DV76" s="868">
        <v>42767</v>
      </c>
      <c r="DW76" s="868">
        <v>42795</v>
      </c>
      <c r="DX76" s="868">
        <v>42826</v>
      </c>
      <c r="DY76" s="868">
        <v>42856</v>
      </c>
      <c r="DZ76" s="1490">
        <v>42887</v>
      </c>
      <c r="EA76" s="868">
        <v>42917</v>
      </c>
      <c r="EB76" s="868">
        <v>42948</v>
      </c>
      <c r="EC76" s="868">
        <v>42979</v>
      </c>
      <c r="ED76" s="868">
        <v>43009</v>
      </c>
      <c r="EE76" s="868">
        <v>43040</v>
      </c>
      <c r="EF76" s="868">
        <v>43070</v>
      </c>
      <c r="EG76" s="868">
        <v>43101</v>
      </c>
      <c r="EH76" s="868">
        <v>43132</v>
      </c>
      <c r="EI76" s="868">
        <v>43160</v>
      </c>
      <c r="EJ76" s="868">
        <v>43191</v>
      </c>
      <c r="EK76" s="868">
        <v>43221</v>
      </c>
      <c r="EL76" s="1490">
        <v>43252</v>
      </c>
      <c r="EM76" s="1205">
        <v>43282</v>
      </c>
      <c r="EN76" s="1205">
        <v>43313</v>
      </c>
      <c r="EO76" s="1205">
        <v>43344</v>
      </c>
      <c r="EP76" s="1205">
        <v>43374</v>
      </c>
      <c r="EQ76" s="1205">
        <v>43405</v>
      </c>
      <c r="ER76" s="1205">
        <v>43435</v>
      </c>
      <c r="ES76" s="1205">
        <v>43466</v>
      </c>
      <c r="ET76" s="1205">
        <v>43497</v>
      </c>
      <c r="EU76" s="1205">
        <v>43525</v>
      </c>
      <c r="EV76" s="1205">
        <v>43556</v>
      </c>
      <c r="EW76" s="1205">
        <v>43586</v>
      </c>
      <c r="EX76" s="1558">
        <v>43617</v>
      </c>
      <c r="EY76" s="1205">
        <v>43647</v>
      </c>
      <c r="EZ76" s="1205">
        <v>43678</v>
      </c>
      <c r="FA76" s="1205">
        <v>43709</v>
      </c>
      <c r="FB76" s="1205">
        <v>43739</v>
      </c>
      <c r="FC76" s="1205">
        <v>43770</v>
      </c>
      <c r="FD76" s="1205">
        <v>43800</v>
      </c>
      <c r="FE76" s="1205">
        <v>43831</v>
      </c>
      <c r="FF76" s="1205">
        <v>43862</v>
      </c>
      <c r="FG76" s="1205">
        <v>43891</v>
      </c>
      <c r="FH76" s="1205">
        <v>43922</v>
      </c>
      <c r="FI76" s="1205">
        <v>43952</v>
      </c>
      <c r="FJ76" s="1558">
        <v>43983</v>
      </c>
      <c r="FK76" s="1205">
        <v>44013</v>
      </c>
      <c r="FL76" s="1205">
        <v>44044</v>
      </c>
      <c r="FM76" s="1205">
        <v>44075</v>
      </c>
      <c r="FN76" s="1205">
        <v>44105</v>
      </c>
      <c r="FO76" s="1205">
        <v>44136</v>
      </c>
      <c r="FP76" s="1205">
        <v>44166</v>
      </c>
      <c r="FQ76" s="868"/>
      <c r="FR76" s="868"/>
      <c r="FS76" s="868"/>
      <c r="FT76" s="868"/>
      <c r="FU76" s="868"/>
      <c r="FV76" s="868"/>
      <c r="FW76" s="868"/>
      <c r="FX76" s="868"/>
      <c r="FY76" s="868"/>
      <c r="FZ76" s="868"/>
      <c r="GA76" s="868"/>
      <c r="GB76" s="868"/>
      <c r="GC76" s="868"/>
      <c r="GD76" s="868"/>
      <c r="GE76" s="868"/>
      <c r="GF76" s="868"/>
      <c r="GG76" s="868"/>
      <c r="GH76" s="868"/>
      <c r="GI76" s="868"/>
      <c r="GJ76" s="868"/>
      <c r="GK76" s="868"/>
      <c r="GL76" s="868"/>
      <c r="GM76" s="868"/>
      <c r="GN76" s="868"/>
      <c r="GO76" s="868"/>
      <c r="GP76" s="868"/>
      <c r="GQ76" s="868"/>
      <c r="GR76" s="868"/>
      <c r="GS76" s="868"/>
      <c r="GT76" s="868"/>
      <c r="GU76" s="868"/>
      <c r="GV76" s="868"/>
      <c r="GW76" s="868"/>
      <c r="GX76" s="868"/>
      <c r="GY76" s="868"/>
      <c r="GZ76" s="868"/>
      <c r="HA76" s="868"/>
      <c r="HB76" s="868"/>
      <c r="HC76" s="868"/>
      <c r="HD76" s="868"/>
      <c r="HE76" s="868"/>
      <c r="HF76" s="868"/>
      <c r="HG76" s="868"/>
      <c r="HH76" s="868"/>
      <c r="HI76" s="868"/>
      <c r="HJ76" s="868"/>
      <c r="HK76" s="868"/>
      <c r="HL76" s="868"/>
      <c r="HM76" s="868"/>
      <c r="KH76" s="303"/>
    </row>
    <row r="77" spans="1:294" outlineLevel="1">
      <c r="A77" s="117" t="s">
        <v>360</v>
      </c>
      <c r="D77" s="862" t="s">
        <v>676</v>
      </c>
      <c r="E77" s="316"/>
      <c r="F77" s="316"/>
      <c r="G77" s="316"/>
      <c r="H77" s="316"/>
      <c r="I77" s="316"/>
      <c r="J77" s="316"/>
      <c r="K77" s="316"/>
      <c r="L77" s="316"/>
      <c r="M77" s="316"/>
      <c r="N77" s="316"/>
      <c r="O77" s="316"/>
      <c r="P77" s="316"/>
      <c r="Q77" s="316"/>
      <c r="R77" s="316"/>
      <c r="S77" s="316"/>
      <c r="T77" s="316"/>
      <c r="U77" s="316"/>
      <c r="V77" s="316"/>
      <c r="W77" s="316"/>
      <c r="X77" s="316"/>
      <c r="Y77" s="316"/>
      <c r="Z77" s="316"/>
      <c r="AA77" s="316"/>
      <c r="AB77" s="316"/>
      <c r="AC77" s="316"/>
      <c r="AD77" s="316"/>
      <c r="AE77" s="316"/>
      <c r="AF77" s="316"/>
      <c r="AG77" s="316"/>
      <c r="AH77" s="316"/>
      <c r="AI77" s="316"/>
      <c r="AJ77" s="316"/>
      <c r="AK77" s="316"/>
      <c r="AL77" s="316"/>
      <c r="AM77" s="316"/>
      <c r="AN77" s="316"/>
      <c r="AO77" s="316"/>
      <c r="AP77" s="316"/>
      <c r="AQ77" s="316"/>
      <c r="AR77" s="316"/>
      <c r="AS77" s="316"/>
      <c r="AT77" s="316"/>
      <c r="AU77" s="316"/>
      <c r="AV77" s="316"/>
      <c r="AW77" s="316"/>
      <c r="AX77" s="316"/>
      <c r="AY77" s="316"/>
      <c r="AZ77" s="316"/>
      <c r="BA77" s="316"/>
      <c r="BB77" s="316"/>
      <c r="BC77" s="316"/>
      <c r="BD77" s="316"/>
      <c r="BE77" s="316"/>
      <c r="BF77" s="316"/>
      <c r="BG77" s="316"/>
      <c r="BH77" s="316"/>
      <c r="BI77" s="316"/>
      <c r="BJ77" s="316"/>
      <c r="BK77" s="316"/>
      <c r="BL77" s="316"/>
      <c r="BM77" s="316"/>
      <c r="BN77" s="316"/>
      <c r="BO77" s="316"/>
      <c r="BP77" s="316"/>
      <c r="BQ77" s="316"/>
      <c r="BR77" s="316"/>
      <c r="BS77" s="316"/>
      <c r="BT77" s="316"/>
      <c r="BU77" s="316"/>
      <c r="BV77" s="316"/>
      <c r="BW77" s="316"/>
      <c r="BX77" s="316"/>
      <c r="BY77" s="316"/>
      <c r="BZ77" s="316"/>
      <c r="CA77" s="316"/>
      <c r="CB77" s="316"/>
      <c r="CC77" s="316"/>
      <c r="CD77" s="316"/>
      <c r="CE77" s="317"/>
      <c r="CF77" s="316"/>
      <c r="CG77" s="316"/>
      <c r="CH77" s="316"/>
      <c r="CI77" s="316"/>
      <c r="CJ77" s="491">
        <v>109.42538726960038</v>
      </c>
      <c r="CK77" s="491">
        <v>108.21524714960037</v>
      </c>
      <c r="CL77" s="491">
        <v>109.88125118900001</v>
      </c>
      <c r="CM77" s="491">
        <v>108.05782639500001</v>
      </c>
      <c r="CN77" s="491">
        <v>107.102107762</v>
      </c>
      <c r="CO77" s="491">
        <v>101.36832824400001</v>
      </c>
      <c r="CP77" s="1483">
        <v>96.261070262000018</v>
      </c>
      <c r="CQ77" s="491">
        <v>95.29340514579745</v>
      </c>
      <c r="CR77" s="491">
        <v>95.29340514579745</v>
      </c>
      <c r="CS77" s="491">
        <v>95.186147163797443</v>
      </c>
      <c r="CT77" s="491">
        <v>94.206386233642363</v>
      </c>
      <c r="CU77" s="491">
        <v>94.206386233642363</v>
      </c>
      <c r="CV77" s="491">
        <v>94.099128251642369</v>
      </c>
      <c r="CW77" s="491">
        <v>93.107120309860335</v>
      </c>
      <c r="CX77" s="491">
        <v>93.107120309860335</v>
      </c>
      <c r="CY77" s="491">
        <v>92.999820309860326</v>
      </c>
      <c r="CZ77" s="491">
        <v>91.995412268806035</v>
      </c>
      <c r="DA77" s="491">
        <v>91.995412268806035</v>
      </c>
      <c r="DB77" s="1502">
        <v>91.888154294806043</v>
      </c>
      <c r="DC77" s="862">
        <v>90.871191153238556</v>
      </c>
      <c r="DD77" s="862">
        <v>90.871191153238556</v>
      </c>
      <c r="DE77" s="862">
        <v>90.763933171238563</v>
      </c>
      <c r="DF77" s="862">
        <v>89.734257990401488</v>
      </c>
      <c r="DG77" s="862">
        <v>82.734257990401488</v>
      </c>
      <c r="DH77" s="862">
        <v>82.446837761401497</v>
      </c>
      <c r="DI77" s="862">
        <v>79.82006843107294</v>
      </c>
      <c r="DJ77" s="862">
        <v>79.82006843107294</v>
      </c>
      <c r="DK77" s="862">
        <v>79.82006843107294</v>
      </c>
      <c r="DL77" s="862">
        <v>78.764490483967947</v>
      </c>
      <c r="DM77" s="862">
        <v>78.764490483967947</v>
      </c>
      <c r="DN77" s="867">
        <v>78.791618267976304</v>
      </c>
      <c r="DO77" s="862">
        <v>77.72284559653248</v>
      </c>
      <c r="DP77" s="862">
        <v>76.867393563532474</v>
      </c>
      <c r="DQ77" s="862">
        <v>76.003767210532473</v>
      </c>
      <c r="DR77" s="862">
        <v>74.049756098695624</v>
      </c>
      <c r="DS77" s="862">
        <v>74.049756098695624</v>
      </c>
      <c r="DT77" s="862">
        <v>73.768060605695624</v>
      </c>
      <c r="DU77" s="862">
        <v>71.804998342940124</v>
      </c>
      <c r="DV77" s="862">
        <v>70.910602202662417</v>
      </c>
      <c r="DW77" s="862">
        <v>70.007924667113656</v>
      </c>
      <c r="DX77" s="862">
        <v>67.984230988854335</v>
      </c>
      <c r="DY77" s="862">
        <v>67.984230988854335</v>
      </c>
      <c r="DZ77" s="867">
        <v>67.06991133136718</v>
      </c>
      <c r="EA77" s="862">
        <v>64.049623433009373</v>
      </c>
      <c r="EB77" s="862">
        <v>62.152557189547181</v>
      </c>
      <c r="EC77" s="862">
        <v>60.252557189547176</v>
      </c>
      <c r="ED77" s="862">
        <v>55.167198714547176</v>
      </c>
      <c r="EE77" s="862">
        <v>55.167198714547176</v>
      </c>
      <c r="EF77" s="862">
        <v>53.058998708547172</v>
      </c>
      <c r="EG77" s="862">
        <v>50.00752100854718</v>
      </c>
      <c r="EH77" s="862">
        <v>48.107521008547174</v>
      </c>
      <c r="EI77" s="862">
        <v>46.207521008547175</v>
      </c>
      <c r="EJ77" s="862">
        <v>44.141649837547178</v>
      </c>
      <c r="EK77" s="862">
        <v>44.141649837547178</v>
      </c>
      <c r="EL77" s="867">
        <v>42.241649837547179</v>
      </c>
      <c r="EM77" s="1210"/>
      <c r="EN77" s="1210"/>
      <c r="EO77" s="1210"/>
      <c r="EP77" s="1210"/>
      <c r="EQ77" s="1210"/>
      <c r="ER77" s="1210"/>
      <c r="ES77" s="1210"/>
      <c r="ET77" s="1210"/>
      <c r="EU77" s="1210"/>
      <c r="EV77" s="1210"/>
      <c r="EW77" s="1210"/>
      <c r="EX77" s="1561"/>
      <c r="EY77" s="1210"/>
      <c r="EZ77" s="1210"/>
      <c r="FA77" s="1210"/>
      <c r="FB77" s="1210"/>
      <c r="FC77" s="1210"/>
      <c r="FD77" s="1210"/>
      <c r="FE77" s="1210"/>
      <c r="FF77" s="1210"/>
      <c r="FG77" s="1210"/>
      <c r="FH77" s="1210"/>
      <c r="FI77" s="1210"/>
      <c r="FJ77" s="1561"/>
      <c r="FK77" s="1210"/>
      <c r="FL77" s="1210"/>
      <c r="FM77" s="1210"/>
      <c r="FN77" s="1210"/>
      <c r="FO77" s="1210"/>
      <c r="FP77" s="1210"/>
      <c r="FQ77" s="862"/>
      <c r="FR77" s="862"/>
      <c r="FS77" s="862"/>
      <c r="FT77" s="862"/>
      <c r="FU77" s="862"/>
      <c r="FV77" s="862"/>
      <c r="FW77" s="862"/>
      <c r="FX77" s="862"/>
      <c r="FY77" s="862"/>
      <c r="FZ77" s="862"/>
      <c r="GA77" s="862"/>
      <c r="GB77" s="862"/>
      <c r="GC77" s="862"/>
      <c r="GD77" s="862"/>
      <c r="GE77" s="862"/>
      <c r="GF77" s="862"/>
      <c r="GG77" s="862"/>
      <c r="GH77" s="862"/>
      <c r="GI77" s="862"/>
      <c r="GJ77" s="862"/>
      <c r="GK77" s="862"/>
      <c r="GL77" s="862"/>
      <c r="GM77" s="862"/>
      <c r="GN77" s="862"/>
      <c r="GO77" s="862"/>
      <c r="GP77" s="862"/>
      <c r="GQ77" s="862"/>
      <c r="GR77" s="862"/>
      <c r="GS77" s="862"/>
      <c r="GT77" s="862"/>
      <c r="GU77" s="862"/>
      <c r="GV77" s="862"/>
      <c r="GW77" s="862"/>
      <c r="GX77" s="862"/>
      <c r="GY77" s="862"/>
      <c r="GZ77" s="862"/>
      <c r="HA77" s="862"/>
      <c r="HB77" s="862"/>
      <c r="HC77" s="862"/>
      <c r="HD77" s="862"/>
      <c r="HE77" s="862"/>
      <c r="HF77" s="862"/>
      <c r="HG77" s="862"/>
      <c r="HH77" s="862"/>
      <c r="HI77" s="862"/>
      <c r="HJ77" s="862"/>
      <c r="HK77" s="862"/>
      <c r="HL77" s="862"/>
      <c r="HM77" s="862"/>
      <c r="HV77" s="637"/>
      <c r="HW77" s="637"/>
      <c r="HX77" s="637"/>
      <c r="HY77" s="302">
        <f t="shared" ref="HY77:HY90" si="16">SUM(DO77:DT77)</f>
        <v>452.4615791736843</v>
      </c>
      <c r="KH77" s="303"/>
    </row>
    <row r="78" spans="1:294" outlineLevel="1">
      <c r="A78" s="314"/>
      <c r="B78" s="117" t="s">
        <v>361</v>
      </c>
      <c r="D78" s="316" t="s">
        <v>394</v>
      </c>
      <c r="E78" s="316"/>
      <c r="F78" s="316"/>
      <c r="G78" s="316"/>
      <c r="H78" s="316"/>
      <c r="I78" s="316"/>
      <c r="J78" s="316"/>
      <c r="K78" s="316"/>
      <c r="L78" s="316"/>
      <c r="M78" s="316"/>
      <c r="N78" s="316"/>
      <c r="O78" s="316"/>
      <c r="P78" s="316"/>
      <c r="Q78" s="316"/>
      <c r="R78" s="316"/>
      <c r="S78" s="316"/>
      <c r="T78" s="316"/>
      <c r="U78" s="316"/>
      <c r="V78" s="316"/>
      <c r="W78" s="316"/>
      <c r="X78" s="316"/>
      <c r="Y78" s="316"/>
      <c r="Z78" s="316"/>
      <c r="AA78" s="316"/>
      <c r="AB78" s="316"/>
      <c r="AC78" s="316"/>
      <c r="AD78" s="316"/>
      <c r="AE78" s="316"/>
      <c r="AF78" s="316"/>
      <c r="AG78" s="316"/>
      <c r="AH78" s="316"/>
      <c r="AI78" s="316"/>
      <c r="AJ78" s="316"/>
      <c r="AK78" s="316"/>
      <c r="AL78" s="316"/>
      <c r="AM78" s="316"/>
      <c r="AN78" s="316"/>
      <c r="AO78" s="316"/>
      <c r="AP78" s="316"/>
      <c r="AQ78" s="316"/>
      <c r="AR78" s="316"/>
      <c r="AS78" s="316"/>
      <c r="AT78" s="316"/>
      <c r="AU78" s="316"/>
      <c r="AV78" s="316"/>
      <c r="AW78" s="316"/>
      <c r="AX78" s="316"/>
      <c r="AY78" s="316"/>
      <c r="AZ78" s="316"/>
      <c r="BA78" s="316"/>
      <c r="BB78" s="316"/>
      <c r="BC78" s="316"/>
      <c r="BD78" s="316"/>
      <c r="BE78" s="316"/>
      <c r="BF78" s="316"/>
      <c r="BG78" s="316"/>
      <c r="BH78" s="316"/>
      <c r="BI78" s="316"/>
      <c r="BJ78" s="316"/>
      <c r="BK78" s="316"/>
      <c r="BL78" s="316"/>
      <c r="BM78" s="316"/>
      <c r="BN78" s="316"/>
      <c r="BO78" s="316"/>
      <c r="BP78" s="316"/>
      <c r="BQ78" s="316"/>
      <c r="BR78" s="316"/>
      <c r="BS78" s="316"/>
      <c r="BT78" s="316"/>
      <c r="BU78" s="316"/>
      <c r="BV78" s="316"/>
      <c r="BW78" s="316"/>
      <c r="BX78" s="316"/>
      <c r="BY78" s="316"/>
      <c r="BZ78" s="316"/>
      <c r="CA78" s="316"/>
      <c r="CB78" s="316"/>
      <c r="CC78" s="316"/>
      <c r="CD78" s="316"/>
      <c r="CE78" s="317"/>
      <c r="CF78" s="316"/>
      <c r="CG78" s="316"/>
      <c r="CH78" s="316"/>
      <c r="CI78" s="316"/>
      <c r="CJ78" s="491">
        <v>106.58661124100001</v>
      </c>
      <c r="CK78" s="491">
        <v>105.37647112100001</v>
      </c>
      <c r="CL78" s="491">
        <v>105.37647112100001</v>
      </c>
      <c r="CM78" s="491">
        <v>103.66030430900001</v>
      </c>
      <c r="CN78" s="491">
        <v>102.70458567600001</v>
      </c>
      <c r="CO78" s="491">
        <v>96.970806158000016</v>
      </c>
      <c r="CP78" s="1483">
        <v>91.970806158000016</v>
      </c>
      <c r="CQ78" s="491">
        <v>91.003141041797448</v>
      </c>
      <c r="CR78" s="491">
        <v>91.003141041797448</v>
      </c>
      <c r="CS78" s="491">
        <v>91.003141041797448</v>
      </c>
      <c r="CT78" s="491">
        <v>90.023380111642368</v>
      </c>
      <c r="CU78" s="491">
        <v>90.023380111642368</v>
      </c>
      <c r="CV78" s="491">
        <v>90.023380111642368</v>
      </c>
      <c r="CW78" s="491">
        <v>89.031372169860333</v>
      </c>
      <c r="CX78" s="491">
        <v>89.031372169860333</v>
      </c>
      <c r="CY78" s="491">
        <v>89.031372169860333</v>
      </c>
      <c r="CZ78" s="491">
        <v>88.026964128806043</v>
      </c>
      <c r="DA78" s="491">
        <v>88.026964128806043</v>
      </c>
      <c r="DB78" s="1502">
        <v>88.026964128806043</v>
      </c>
      <c r="DC78" s="636">
        <v>87.010000987238556</v>
      </c>
      <c r="DD78" s="636">
        <v>87.010000987238556</v>
      </c>
      <c r="DE78" s="636">
        <v>87.010000987238556</v>
      </c>
      <c r="DF78" s="636">
        <v>85.980325806401495</v>
      </c>
      <c r="DG78" s="636">
        <v>78.980325806401495</v>
      </c>
      <c r="DH78" s="636">
        <v>78.980325806401495</v>
      </c>
      <c r="DI78" s="636">
        <v>77.937779686401484</v>
      </c>
      <c r="DJ78" s="636">
        <v>77.937779686401484</v>
      </c>
      <c r="DK78" s="636">
        <v>77.937779686401484</v>
      </c>
      <c r="DL78" s="636">
        <v>76.882201739296491</v>
      </c>
      <c r="DM78" s="636">
        <v>76.882201739296491</v>
      </c>
      <c r="DN78" s="653">
        <v>76.882201739296491</v>
      </c>
      <c r="DO78" s="636">
        <v>75.813429067852667</v>
      </c>
      <c r="DP78" s="636">
        <v>74.957977034852661</v>
      </c>
      <c r="DQ78" s="636">
        <v>74.09435068185266</v>
      </c>
      <c r="DR78" s="636">
        <v>72.140339570015811</v>
      </c>
      <c r="DS78" s="636">
        <v>72.140339570015811</v>
      </c>
      <c r="DT78" s="636">
        <v>72.052318502015808</v>
      </c>
      <c r="DU78" s="636">
        <v>70.068038554055988</v>
      </c>
      <c r="DV78" s="636">
        <v>69.170926322055976</v>
      </c>
      <c r="DW78" s="636">
        <v>68.265241685055969</v>
      </c>
      <c r="DX78" s="636">
        <v>66.241548006796648</v>
      </c>
      <c r="DY78" s="636">
        <v>66.241548006796648</v>
      </c>
      <c r="DZ78" s="653">
        <v>65.318472032796649</v>
      </c>
      <c r="EA78" s="636">
        <v>62.29525037752159</v>
      </c>
      <c r="EB78" s="636">
        <v>60.395250377521592</v>
      </c>
      <c r="EC78" s="636">
        <v>58.495250377521586</v>
      </c>
      <c r="ED78" s="636">
        <v>53.618736999521587</v>
      </c>
      <c r="EE78" s="636">
        <v>53.618736999521587</v>
      </c>
      <c r="EF78" s="636">
        <v>51.718736999521582</v>
      </c>
      <c r="EG78" s="636">
        <v>48.667259299521589</v>
      </c>
      <c r="EH78" s="636">
        <v>46.767259299521584</v>
      </c>
      <c r="EI78" s="636">
        <v>44.867259299521585</v>
      </c>
      <c r="EJ78" s="636">
        <v>41.801388128521587</v>
      </c>
      <c r="EK78" s="636">
        <v>41.801388128521587</v>
      </c>
      <c r="EL78" s="653">
        <v>39.901388128521589</v>
      </c>
      <c r="EM78" s="1209"/>
      <c r="EN78" s="1209"/>
      <c r="EO78" s="1209"/>
      <c r="EP78" s="1209"/>
      <c r="EQ78" s="1209"/>
      <c r="ER78" s="1209"/>
      <c r="ES78" s="1209"/>
      <c r="ET78" s="1209"/>
      <c r="EU78" s="1209"/>
      <c r="EV78" s="1209"/>
      <c r="EW78" s="1209"/>
      <c r="EX78" s="1539"/>
      <c r="EY78" s="1209"/>
      <c r="EZ78" s="1209"/>
      <c r="FA78" s="1209"/>
      <c r="FB78" s="1209"/>
      <c r="FC78" s="1209"/>
      <c r="FD78" s="1209"/>
      <c r="FE78" s="1209"/>
      <c r="FF78" s="1209"/>
      <c r="FG78" s="1209"/>
      <c r="FH78" s="1209"/>
      <c r="FI78" s="1209"/>
      <c r="FJ78" s="1539"/>
      <c r="FK78" s="1209"/>
      <c r="FL78" s="1209"/>
      <c r="FM78" s="1209"/>
      <c r="FN78" s="1209"/>
      <c r="FO78" s="1209"/>
      <c r="FP78" s="1209"/>
      <c r="FQ78" s="636"/>
      <c r="FR78" s="636"/>
      <c r="FS78" s="636"/>
      <c r="FT78" s="636"/>
      <c r="FU78" s="636"/>
      <c r="FV78" s="636"/>
      <c r="FW78" s="636"/>
      <c r="FX78" s="636"/>
      <c r="FY78" s="636"/>
      <c r="FZ78" s="636"/>
      <c r="GA78" s="636"/>
      <c r="GB78" s="636"/>
      <c r="GC78" s="636"/>
      <c r="GD78" s="636"/>
      <c r="GE78" s="636"/>
      <c r="GF78" s="636"/>
      <c r="GG78" s="636"/>
      <c r="GH78" s="636"/>
      <c r="GI78" s="636"/>
      <c r="GJ78" s="636"/>
      <c r="GK78" s="636"/>
      <c r="GL78" s="636"/>
      <c r="GM78" s="636"/>
      <c r="GN78" s="636"/>
      <c r="GO78" s="636"/>
      <c r="GP78" s="636"/>
      <c r="GQ78" s="636"/>
      <c r="GR78" s="636"/>
      <c r="GS78" s="636"/>
      <c r="GT78" s="636"/>
      <c r="GU78" s="636"/>
      <c r="GV78" s="636"/>
      <c r="GW78" s="636"/>
      <c r="GX78" s="636"/>
      <c r="GY78" s="636"/>
      <c r="GZ78" s="636"/>
      <c r="HA78" s="636"/>
      <c r="HB78" s="636"/>
      <c r="HC78" s="636"/>
      <c r="HD78" s="636"/>
      <c r="HE78" s="636"/>
      <c r="HF78" s="636"/>
      <c r="HG78" s="636"/>
      <c r="HH78" s="636"/>
      <c r="HI78" s="636"/>
      <c r="HJ78" s="636"/>
      <c r="HK78" s="636"/>
      <c r="HL78" s="636"/>
      <c r="HM78" s="636"/>
      <c r="HY78" s="302">
        <f t="shared" si="16"/>
        <v>441.19875442660538</v>
      </c>
      <c r="KH78" s="303"/>
    </row>
    <row r="79" spans="1:294" outlineLevel="1">
      <c r="A79" s="314"/>
      <c r="B79" s="117" t="s">
        <v>361</v>
      </c>
      <c r="D79" s="316" t="s">
        <v>1011</v>
      </c>
      <c r="E79" s="316"/>
      <c r="F79" s="316"/>
      <c r="G79" s="316"/>
      <c r="H79" s="316"/>
      <c r="I79" s="316"/>
      <c r="J79" s="316"/>
      <c r="K79" s="316"/>
      <c r="L79" s="316"/>
      <c r="M79" s="316"/>
      <c r="N79" s="316"/>
      <c r="O79" s="316"/>
      <c r="P79" s="316"/>
      <c r="Q79" s="316"/>
      <c r="R79" s="316"/>
      <c r="S79" s="316"/>
      <c r="T79" s="316"/>
      <c r="U79" s="316"/>
      <c r="V79" s="316"/>
      <c r="W79" s="316"/>
      <c r="X79" s="316"/>
      <c r="Y79" s="316"/>
      <c r="Z79" s="316"/>
      <c r="AA79" s="316"/>
      <c r="AB79" s="316"/>
      <c r="AC79" s="316"/>
      <c r="AD79" s="316"/>
      <c r="AE79" s="316"/>
      <c r="AF79" s="316"/>
      <c r="AG79" s="316"/>
      <c r="AH79" s="316"/>
      <c r="AI79" s="316"/>
      <c r="AJ79" s="316"/>
      <c r="AK79" s="316"/>
      <c r="AL79" s="316"/>
      <c r="AM79" s="316"/>
      <c r="AN79" s="316"/>
      <c r="AO79" s="316"/>
      <c r="AP79" s="316"/>
      <c r="AQ79" s="316"/>
      <c r="AR79" s="316"/>
      <c r="AS79" s="316"/>
      <c r="AT79" s="316"/>
      <c r="AU79" s="316"/>
      <c r="AV79" s="316"/>
      <c r="AW79" s="316"/>
      <c r="AX79" s="316"/>
      <c r="AY79" s="316"/>
      <c r="AZ79" s="316"/>
      <c r="BA79" s="316"/>
      <c r="BB79" s="316"/>
      <c r="BC79" s="316"/>
      <c r="BD79" s="316"/>
      <c r="BE79" s="316"/>
      <c r="BF79" s="316"/>
      <c r="BG79" s="316"/>
      <c r="BH79" s="316"/>
      <c r="BI79" s="316"/>
      <c r="BJ79" s="316"/>
      <c r="BK79" s="316"/>
      <c r="BL79" s="316"/>
      <c r="BM79" s="316"/>
      <c r="BN79" s="316"/>
      <c r="BO79" s="316"/>
      <c r="BP79" s="316"/>
      <c r="BQ79" s="316"/>
      <c r="BR79" s="316"/>
      <c r="BS79" s="316"/>
      <c r="BT79" s="316"/>
      <c r="BU79" s="316"/>
      <c r="BV79" s="316"/>
      <c r="BW79" s="316"/>
      <c r="BX79" s="316"/>
      <c r="BY79" s="316"/>
      <c r="BZ79" s="316"/>
      <c r="CA79" s="316"/>
      <c r="CB79" s="316"/>
      <c r="CC79" s="316"/>
      <c r="CD79" s="316"/>
      <c r="CE79" s="317"/>
      <c r="CF79" s="316"/>
      <c r="CG79" s="316"/>
      <c r="CH79" s="316"/>
      <c r="CI79" s="316"/>
      <c r="CJ79" s="492">
        <v>38.572805901000002</v>
      </c>
      <c r="CK79" s="492">
        <v>38.306585419000001</v>
      </c>
      <c r="CL79" s="492">
        <v>38.306585419000001</v>
      </c>
      <c r="CM79" s="492">
        <v>38.306585419000001</v>
      </c>
      <c r="CN79" s="492">
        <v>38.306585419000001</v>
      </c>
      <c r="CO79" s="492">
        <v>38.572805901000002</v>
      </c>
      <c r="CP79" s="1484">
        <v>38.572805901000002</v>
      </c>
      <c r="CQ79" s="492">
        <v>38.572805901000002</v>
      </c>
      <c r="CR79" s="492">
        <v>38.572805901000002</v>
      </c>
      <c r="CS79" s="492">
        <v>38.572805901000002</v>
      </c>
      <c r="CT79" s="492">
        <v>38.572805901000002</v>
      </c>
      <c r="CU79" s="492">
        <v>38.572805901000002</v>
      </c>
      <c r="CV79" s="492">
        <v>38.572805901000002</v>
      </c>
      <c r="CW79" s="492">
        <v>38.572805901000002</v>
      </c>
      <c r="CX79" s="492">
        <v>38.572805901000002</v>
      </c>
      <c r="CY79" s="492">
        <v>38.572805901000002</v>
      </c>
      <c r="CZ79" s="492">
        <v>38.572805901000002</v>
      </c>
      <c r="DA79" s="492">
        <v>38.572805901000002</v>
      </c>
      <c r="DB79" s="1503">
        <v>38.572805901000002</v>
      </c>
      <c r="DC79" s="316">
        <v>38.572805901000002</v>
      </c>
      <c r="DD79" s="316">
        <v>38.572805901000002</v>
      </c>
      <c r="DE79" s="316">
        <v>38.572805901000002</v>
      </c>
      <c r="DF79" s="316">
        <v>38.572805901000002</v>
      </c>
      <c r="DG79" s="316">
        <v>38.572805901000002</v>
      </c>
      <c r="DH79" s="316">
        <v>38.572805901000002</v>
      </c>
      <c r="DI79" s="316">
        <v>38.572805901000002</v>
      </c>
      <c r="DJ79" s="316">
        <v>38.572805901000002</v>
      </c>
      <c r="DK79" s="316">
        <v>38.572805901000002</v>
      </c>
      <c r="DL79" s="316">
        <v>38.572805901000002</v>
      </c>
      <c r="DM79" s="316">
        <v>38.572805901000002</v>
      </c>
      <c r="DN79" s="318">
        <v>38.572805901000002</v>
      </c>
      <c r="DO79" s="316">
        <v>38.572805901000002</v>
      </c>
      <c r="DP79" s="316">
        <v>38.572805901000002</v>
      </c>
      <c r="DQ79" s="316">
        <v>38.572805901000002</v>
      </c>
      <c r="DR79" s="316">
        <v>38.572805901000002</v>
      </c>
      <c r="DS79" s="316">
        <v>38.572805901000002</v>
      </c>
      <c r="DT79" s="316">
        <v>38.572805901000002</v>
      </c>
      <c r="DU79" s="316">
        <v>38.572805901000002</v>
      </c>
      <c r="DV79" s="316">
        <v>38.572805901000002</v>
      </c>
      <c r="DW79" s="316">
        <v>38.572805901000002</v>
      </c>
      <c r="DX79" s="316">
        <v>38.572805901000002</v>
      </c>
      <c r="DY79" s="316">
        <v>38.572805901000002</v>
      </c>
      <c r="DZ79" s="318">
        <v>38.572805901000002</v>
      </c>
      <c r="EA79" s="316">
        <v>38.572805901000002</v>
      </c>
      <c r="EB79" s="316">
        <v>38.572805901000002</v>
      </c>
      <c r="EC79" s="316">
        <v>38.572805901000002</v>
      </c>
      <c r="ED79" s="316">
        <v>37.525743449000004</v>
      </c>
      <c r="EE79" s="316">
        <v>37.525743449000004</v>
      </c>
      <c r="EF79" s="316">
        <v>37.525743449000004</v>
      </c>
      <c r="EG79" s="316">
        <v>37.525743449000004</v>
      </c>
      <c r="EH79" s="316">
        <v>37.525743449000004</v>
      </c>
      <c r="EI79" s="316">
        <v>37.525743449000004</v>
      </c>
      <c r="EJ79" s="316">
        <v>37.525743449000004</v>
      </c>
      <c r="EK79" s="316">
        <v>37.525743449000004</v>
      </c>
      <c r="EL79" s="318">
        <v>37.525743449000004</v>
      </c>
      <c r="EM79" s="1206"/>
      <c r="EN79" s="1206"/>
      <c r="EO79" s="1206"/>
      <c r="EP79" s="1206"/>
      <c r="EQ79" s="1206"/>
      <c r="ER79" s="1206"/>
      <c r="ES79" s="1206"/>
      <c r="ET79" s="1206"/>
      <c r="EU79" s="1206"/>
      <c r="EV79" s="1206"/>
      <c r="EW79" s="1206"/>
      <c r="EX79" s="1550"/>
      <c r="EY79" s="1206"/>
      <c r="EZ79" s="1206"/>
      <c r="FA79" s="1206"/>
      <c r="FB79" s="1206"/>
      <c r="FC79" s="1206"/>
      <c r="FD79" s="1206"/>
      <c r="FE79" s="1206"/>
      <c r="FF79" s="1206"/>
      <c r="FG79" s="1206"/>
      <c r="FH79" s="1206"/>
      <c r="FI79" s="1206"/>
      <c r="FJ79" s="1550"/>
      <c r="FK79" s="1206"/>
      <c r="FL79" s="1206"/>
      <c r="FM79" s="1206"/>
      <c r="FN79" s="1206"/>
      <c r="FO79" s="1206"/>
      <c r="FP79" s="1206"/>
      <c r="FQ79" s="316"/>
      <c r="FR79" s="316"/>
      <c r="FS79" s="316"/>
      <c r="FT79" s="316"/>
      <c r="FU79" s="316"/>
      <c r="FV79" s="316"/>
      <c r="FW79" s="316"/>
      <c r="FX79" s="316"/>
      <c r="FY79" s="316"/>
      <c r="FZ79" s="316"/>
      <c r="GA79" s="316"/>
      <c r="GB79" s="316"/>
      <c r="GC79" s="316"/>
      <c r="GD79" s="316"/>
      <c r="GE79" s="316"/>
      <c r="GF79" s="316"/>
      <c r="GG79" s="316"/>
      <c r="GH79" s="316"/>
      <c r="GI79" s="316"/>
      <c r="GJ79" s="316"/>
      <c r="GK79" s="316"/>
      <c r="GL79" s="316"/>
      <c r="GM79" s="316"/>
      <c r="GN79" s="316"/>
      <c r="GO79" s="316"/>
      <c r="GP79" s="316"/>
      <c r="GQ79" s="316"/>
      <c r="GR79" s="316"/>
      <c r="GS79" s="316"/>
      <c r="GT79" s="316"/>
      <c r="GU79" s="316"/>
      <c r="GV79" s="316"/>
      <c r="GW79" s="316"/>
      <c r="GX79" s="316"/>
      <c r="GY79" s="316"/>
      <c r="GZ79" s="316"/>
      <c r="HA79" s="316"/>
      <c r="HB79" s="316"/>
      <c r="HC79" s="316"/>
      <c r="HD79" s="316"/>
      <c r="HE79" s="316"/>
      <c r="HF79" s="316"/>
      <c r="HG79" s="316"/>
      <c r="HH79" s="316"/>
      <c r="HI79" s="316"/>
      <c r="HJ79" s="316"/>
      <c r="HK79" s="316"/>
      <c r="HL79" s="316"/>
      <c r="HM79" s="316"/>
      <c r="HY79" s="302">
        <f t="shared" si="16"/>
        <v>231.43683540600003</v>
      </c>
      <c r="KH79" s="303"/>
    </row>
    <row r="80" spans="1:294" outlineLevel="1">
      <c r="A80" s="314"/>
      <c r="B80" s="117" t="s">
        <v>361</v>
      </c>
      <c r="D80" s="321" t="s">
        <v>1012</v>
      </c>
      <c r="E80" s="316"/>
      <c r="F80" s="316"/>
      <c r="G80" s="316"/>
      <c r="H80" s="316"/>
      <c r="I80" s="316"/>
      <c r="J80" s="316"/>
      <c r="K80" s="316"/>
      <c r="L80" s="316"/>
      <c r="M80" s="316"/>
      <c r="N80" s="316"/>
      <c r="O80" s="316"/>
      <c r="P80" s="316"/>
      <c r="Q80" s="316"/>
      <c r="R80" s="316"/>
      <c r="S80" s="316"/>
      <c r="T80" s="316"/>
      <c r="U80" s="316"/>
      <c r="V80" s="316"/>
      <c r="W80" s="316"/>
      <c r="X80" s="316"/>
      <c r="Y80" s="316"/>
      <c r="Z80" s="316"/>
      <c r="AA80" s="316"/>
      <c r="AB80" s="316"/>
      <c r="AC80" s="316"/>
      <c r="AD80" s="316"/>
      <c r="AE80" s="316"/>
      <c r="AF80" s="316"/>
      <c r="AG80" s="316"/>
      <c r="AH80" s="316"/>
      <c r="AI80" s="316"/>
      <c r="AJ80" s="316"/>
      <c r="AK80" s="316"/>
      <c r="AL80" s="316"/>
      <c r="AM80" s="316"/>
      <c r="AN80" s="316"/>
      <c r="AO80" s="316"/>
      <c r="AP80" s="316"/>
      <c r="AQ80" s="316"/>
      <c r="AR80" s="316"/>
      <c r="AS80" s="316"/>
      <c r="AT80" s="316"/>
      <c r="AU80" s="316"/>
      <c r="AV80" s="316"/>
      <c r="AW80" s="316"/>
      <c r="AX80" s="316"/>
      <c r="AY80" s="316"/>
      <c r="AZ80" s="316"/>
      <c r="BA80" s="316"/>
      <c r="BB80" s="316"/>
      <c r="BC80" s="316"/>
      <c r="BD80" s="316"/>
      <c r="BE80" s="316"/>
      <c r="BF80" s="316"/>
      <c r="BG80" s="316"/>
      <c r="BH80" s="316"/>
      <c r="BI80" s="316"/>
      <c r="BJ80" s="316"/>
      <c r="BK80" s="316"/>
      <c r="BL80" s="316"/>
      <c r="BM80" s="316"/>
      <c r="BN80" s="316"/>
      <c r="BO80" s="316"/>
      <c r="BP80" s="316"/>
      <c r="BQ80" s="316"/>
      <c r="BR80" s="316"/>
      <c r="BS80" s="316"/>
      <c r="BT80" s="316"/>
      <c r="BU80" s="316"/>
      <c r="BV80" s="316"/>
      <c r="BW80" s="316"/>
      <c r="BX80" s="316"/>
      <c r="BY80" s="316"/>
      <c r="BZ80" s="316"/>
      <c r="CA80" s="316"/>
      <c r="CB80" s="316"/>
      <c r="CC80" s="316"/>
      <c r="CD80" s="316"/>
      <c r="CE80" s="317"/>
      <c r="CF80" s="316"/>
      <c r="CG80" s="316"/>
      <c r="CH80" s="316"/>
      <c r="CI80" s="316"/>
      <c r="CJ80" s="493">
        <v>68.013805340000005</v>
      </c>
      <c r="CK80" s="493">
        <v>67.069885702000008</v>
      </c>
      <c r="CL80" s="493">
        <v>67.069885702000008</v>
      </c>
      <c r="CM80" s="493">
        <v>65.35371889000001</v>
      </c>
      <c r="CN80" s="493">
        <v>64.398000257000007</v>
      </c>
      <c r="CO80" s="493">
        <v>58.398000257000007</v>
      </c>
      <c r="CP80" s="1485">
        <v>53.398000257000007</v>
      </c>
      <c r="CQ80" s="493">
        <v>52.430335140797453</v>
      </c>
      <c r="CR80" s="493">
        <v>52.430335140797453</v>
      </c>
      <c r="CS80" s="493">
        <v>52.430335140797453</v>
      </c>
      <c r="CT80" s="493">
        <v>51.450574210642365</v>
      </c>
      <c r="CU80" s="493">
        <v>51.450574210642365</v>
      </c>
      <c r="CV80" s="493">
        <v>51.450574210642365</v>
      </c>
      <c r="CW80" s="493">
        <v>50.458566268860338</v>
      </c>
      <c r="CX80" s="493">
        <v>50.458566268860338</v>
      </c>
      <c r="CY80" s="493">
        <v>50.458566268860338</v>
      </c>
      <c r="CZ80" s="493">
        <v>49.45415822780604</v>
      </c>
      <c r="DA80" s="493">
        <v>49.45415822780604</v>
      </c>
      <c r="DB80" s="1504">
        <v>49.45415822780604</v>
      </c>
      <c r="DC80" s="863">
        <v>48.43719508623856</v>
      </c>
      <c r="DD80" s="863">
        <v>48.43719508623856</v>
      </c>
      <c r="DE80" s="863">
        <v>48.43719508623856</v>
      </c>
      <c r="DF80" s="863">
        <v>47.407519905401493</v>
      </c>
      <c r="DG80" s="863">
        <v>40.407519905401493</v>
      </c>
      <c r="DH80" s="863">
        <v>40.407519905401493</v>
      </c>
      <c r="DI80" s="863">
        <v>39.364973785401489</v>
      </c>
      <c r="DJ80" s="863">
        <v>39.364973785401489</v>
      </c>
      <c r="DK80" s="863">
        <v>39.364973785401489</v>
      </c>
      <c r="DL80" s="863">
        <v>38.309395838296489</v>
      </c>
      <c r="DM80" s="863">
        <v>38.309395838296489</v>
      </c>
      <c r="DN80" s="864">
        <v>38.309395838296489</v>
      </c>
      <c r="DO80" s="863">
        <v>37.240623166852671</v>
      </c>
      <c r="DP80" s="863">
        <v>36.385171133852666</v>
      </c>
      <c r="DQ80" s="863">
        <v>35.521544780852665</v>
      </c>
      <c r="DR80" s="863">
        <v>33.567533669015802</v>
      </c>
      <c r="DS80" s="863">
        <v>33.567533669015802</v>
      </c>
      <c r="DT80" s="863">
        <v>33.479512601015806</v>
      </c>
      <c r="DU80" s="863">
        <v>31.495232653055979</v>
      </c>
      <c r="DV80" s="863">
        <v>30.598120421055974</v>
      </c>
      <c r="DW80" s="863">
        <v>29.692435784055974</v>
      </c>
      <c r="DX80" s="863">
        <v>27.66874210579665</v>
      </c>
      <c r="DY80" s="863">
        <v>27.66874210579665</v>
      </c>
      <c r="DZ80" s="864">
        <v>26.74566613179665</v>
      </c>
      <c r="EA80" s="863">
        <v>23.722444476521588</v>
      </c>
      <c r="EB80" s="863">
        <v>21.822444476521586</v>
      </c>
      <c r="EC80" s="863">
        <v>19.922444476521584</v>
      </c>
      <c r="ED80" s="863">
        <v>16.092993550521584</v>
      </c>
      <c r="EE80" s="863">
        <v>16.092993550521584</v>
      </c>
      <c r="EF80" s="863">
        <v>14.192993550521582</v>
      </c>
      <c r="EG80" s="863">
        <v>11.141515850521582</v>
      </c>
      <c r="EH80" s="863">
        <v>9.2415158505215818</v>
      </c>
      <c r="EI80" s="863">
        <v>7.3415158505215814</v>
      </c>
      <c r="EJ80" s="863">
        <v>4.2756446795215819</v>
      </c>
      <c r="EK80" s="863">
        <v>4.2756446795215819</v>
      </c>
      <c r="EL80" s="864">
        <v>2.3756446795215824</v>
      </c>
      <c r="EM80" s="1211"/>
      <c r="EN80" s="1211"/>
      <c r="EO80" s="1211"/>
      <c r="EP80" s="1211"/>
      <c r="EQ80" s="1211"/>
      <c r="ER80" s="1211"/>
      <c r="ES80" s="1211"/>
      <c r="ET80" s="1211"/>
      <c r="EU80" s="1211"/>
      <c r="EV80" s="1211"/>
      <c r="EW80" s="1211"/>
      <c r="EX80" s="1562"/>
      <c r="EY80" s="1211"/>
      <c r="EZ80" s="1211"/>
      <c r="FA80" s="1211"/>
      <c r="FB80" s="1211"/>
      <c r="FC80" s="1211"/>
      <c r="FD80" s="1211"/>
      <c r="FE80" s="1211"/>
      <c r="FF80" s="1211"/>
      <c r="FG80" s="1211"/>
      <c r="FH80" s="1211"/>
      <c r="FI80" s="1211"/>
      <c r="FJ80" s="1562"/>
      <c r="FK80" s="1211"/>
      <c r="FL80" s="1211"/>
      <c r="FM80" s="1211"/>
      <c r="FN80" s="1211"/>
      <c r="FO80" s="1211"/>
      <c r="FP80" s="1211"/>
      <c r="FQ80" s="863"/>
      <c r="FR80" s="863"/>
      <c r="FS80" s="863"/>
      <c r="FT80" s="863"/>
      <c r="FU80" s="863"/>
      <c r="FV80" s="863"/>
      <c r="FW80" s="863"/>
      <c r="FX80" s="863"/>
      <c r="FY80" s="863"/>
      <c r="FZ80" s="863"/>
      <c r="GA80" s="863"/>
      <c r="GB80" s="863"/>
      <c r="GC80" s="863"/>
      <c r="GD80" s="863"/>
      <c r="GE80" s="863"/>
      <c r="GF80" s="863"/>
      <c r="GG80" s="863"/>
      <c r="GH80" s="863"/>
      <c r="GI80" s="863"/>
      <c r="GJ80" s="863"/>
      <c r="GK80" s="863"/>
      <c r="GL80" s="863"/>
      <c r="GM80" s="863"/>
      <c r="GN80" s="863"/>
      <c r="GO80" s="863"/>
      <c r="GP80" s="863"/>
      <c r="GQ80" s="863"/>
      <c r="GR80" s="863"/>
      <c r="GS80" s="863"/>
      <c r="GT80" s="863"/>
      <c r="GU80" s="863"/>
      <c r="GV80" s="863"/>
      <c r="GW80" s="863"/>
      <c r="GX80" s="863"/>
      <c r="GY80" s="863"/>
      <c r="GZ80" s="863"/>
      <c r="HA80" s="863"/>
      <c r="HB80" s="863"/>
      <c r="HC80" s="863"/>
      <c r="HD80" s="863"/>
      <c r="HE80" s="863"/>
      <c r="HF80" s="863"/>
      <c r="HG80" s="863"/>
      <c r="HH80" s="863"/>
      <c r="HI80" s="863"/>
      <c r="HJ80" s="863"/>
      <c r="HK80" s="863"/>
      <c r="HL80" s="863"/>
      <c r="HM80" s="863"/>
      <c r="HY80" s="302">
        <f t="shared" si="16"/>
        <v>209.76191902060543</v>
      </c>
      <c r="KH80" s="303"/>
    </row>
    <row r="81" spans="1:294" outlineLevel="1">
      <c r="A81" s="314"/>
      <c r="B81" s="117" t="s">
        <v>361</v>
      </c>
      <c r="D81" s="324" t="s">
        <v>397</v>
      </c>
      <c r="E81" s="316"/>
      <c r="F81" s="316"/>
      <c r="G81" s="316"/>
      <c r="H81" s="316"/>
      <c r="I81" s="316"/>
      <c r="J81" s="316"/>
      <c r="K81" s="316"/>
      <c r="L81" s="316"/>
      <c r="M81" s="316"/>
      <c r="N81" s="316"/>
      <c r="O81" s="316"/>
      <c r="P81" s="316"/>
      <c r="Q81" s="316"/>
      <c r="R81" s="316"/>
      <c r="S81" s="316"/>
      <c r="T81" s="316"/>
      <c r="U81" s="316"/>
      <c r="V81" s="316"/>
      <c r="W81" s="316"/>
      <c r="X81" s="316"/>
      <c r="Y81" s="316"/>
      <c r="Z81" s="316"/>
      <c r="AA81" s="316"/>
      <c r="AB81" s="316"/>
      <c r="AC81" s="316"/>
      <c r="AD81" s="316"/>
      <c r="AE81" s="316"/>
      <c r="AF81" s="316"/>
      <c r="AG81" s="316"/>
      <c r="AH81" s="316"/>
      <c r="AI81" s="316"/>
      <c r="AJ81" s="316"/>
      <c r="AK81" s="316"/>
      <c r="AL81" s="316"/>
      <c r="AM81" s="316"/>
      <c r="AN81" s="316"/>
      <c r="AO81" s="316"/>
      <c r="AP81" s="316"/>
      <c r="AQ81" s="316"/>
      <c r="AR81" s="316"/>
      <c r="AS81" s="316"/>
      <c r="AT81" s="316"/>
      <c r="AU81" s="316"/>
      <c r="AV81" s="316"/>
      <c r="AW81" s="316"/>
      <c r="AX81" s="316"/>
      <c r="AY81" s="316"/>
      <c r="AZ81" s="316"/>
      <c r="BA81" s="316"/>
      <c r="BB81" s="316"/>
      <c r="BC81" s="316"/>
      <c r="BD81" s="316"/>
      <c r="BE81" s="316"/>
      <c r="BF81" s="316"/>
      <c r="BG81" s="316"/>
      <c r="BH81" s="316"/>
      <c r="BI81" s="316"/>
      <c r="BJ81" s="316"/>
      <c r="BK81" s="316"/>
      <c r="BL81" s="316"/>
      <c r="BM81" s="316"/>
      <c r="BN81" s="316"/>
      <c r="BO81" s="316"/>
      <c r="BP81" s="316"/>
      <c r="BQ81" s="316"/>
      <c r="BR81" s="316"/>
      <c r="BS81" s="316"/>
      <c r="BT81" s="316"/>
      <c r="BU81" s="316"/>
      <c r="BV81" s="316"/>
      <c r="BW81" s="316"/>
      <c r="BX81" s="316"/>
      <c r="BY81" s="316"/>
      <c r="BZ81" s="316"/>
      <c r="CA81" s="316"/>
      <c r="CB81" s="316"/>
      <c r="CC81" s="316"/>
      <c r="CD81" s="316"/>
      <c r="CE81" s="317"/>
      <c r="CF81" s="316"/>
      <c r="CG81" s="316"/>
      <c r="CH81" s="316"/>
      <c r="CI81" s="316"/>
      <c r="CJ81" s="493">
        <v>41.716166811999997</v>
      </c>
      <c r="CK81" s="493">
        <v>41.716166811999997</v>
      </c>
      <c r="CL81" s="493">
        <v>41.716166811999997</v>
      </c>
      <c r="CM81" s="493">
        <v>40</v>
      </c>
      <c r="CN81" s="493">
        <v>40</v>
      </c>
      <c r="CO81" s="493">
        <v>34</v>
      </c>
      <c r="CP81" s="1485">
        <v>34</v>
      </c>
      <c r="CQ81" s="493">
        <v>34</v>
      </c>
      <c r="CR81" s="493">
        <v>34</v>
      </c>
      <c r="CS81" s="493">
        <v>34</v>
      </c>
      <c r="CT81" s="493">
        <v>34</v>
      </c>
      <c r="CU81" s="493">
        <v>34</v>
      </c>
      <c r="CV81" s="493">
        <v>34</v>
      </c>
      <c r="CW81" s="493">
        <v>34</v>
      </c>
      <c r="CX81" s="493">
        <v>34</v>
      </c>
      <c r="CY81" s="493">
        <v>34</v>
      </c>
      <c r="CZ81" s="493">
        <v>34</v>
      </c>
      <c r="DA81" s="493">
        <v>34</v>
      </c>
      <c r="DB81" s="1504">
        <v>34</v>
      </c>
      <c r="DC81" s="860">
        <v>34</v>
      </c>
      <c r="DD81" s="860">
        <v>34</v>
      </c>
      <c r="DE81" s="860">
        <v>34</v>
      </c>
      <c r="DF81" s="860">
        <v>34</v>
      </c>
      <c r="DG81" s="860">
        <v>27</v>
      </c>
      <c r="DH81" s="860">
        <v>27</v>
      </c>
      <c r="DI81" s="860">
        <v>27</v>
      </c>
      <c r="DJ81" s="860">
        <v>27</v>
      </c>
      <c r="DK81" s="860">
        <v>27</v>
      </c>
      <c r="DL81" s="860">
        <v>25.944422052894996</v>
      </c>
      <c r="DM81" s="860">
        <v>25.944422052894996</v>
      </c>
      <c r="DN81" s="861">
        <v>25.944422052894996</v>
      </c>
      <c r="DO81" s="860">
        <v>25.944422052894996</v>
      </c>
      <c r="DP81" s="860">
        <v>25.088970019894997</v>
      </c>
      <c r="DQ81" s="860">
        <v>24.225343666894997</v>
      </c>
      <c r="DR81" s="860">
        <v>23.353464884894997</v>
      </c>
      <c r="DS81" s="860">
        <v>23.353464884894997</v>
      </c>
      <c r="DT81" s="860">
        <v>23.265443816894997</v>
      </c>
      <c r="DU81" s="860">
        <v>22.376822852894996</v>
      </c>
      <c r="DV81" s="860">
        <v>21.479710620894995</v>
      </c>
      <c r="DW81" s="860">
        <v>20.574025983894995</v>
      </c>
      <c r="DX81" s="860">
        <v>19.659687026894993</v>
      </c>
      <c r="DY81" s="860">
        <v>19.659687026894993</v>
      </c>
      <c r="DZ81" s="861">
        <v>18.736611052894993</v>
      </c>
      <c r="EA81" s="860">
        <v>16.836611052894995</v>
      </c>
      <c r="EB81" s="860">
        <v>14.936611052894994</v>
      </c>
      <c r="EC81" s="860">
        <v>13.036611052894994</v>
      </c>
      <c r="ED81" s="860">
        <v>11.4</v>
      </c>
      <c r="EE81" s="860">
        <v>11.4</v>
      </c>
      <c r="EF81" s="860">
        <v>9.5</v>
      </c>
      <c r="EG81" s="860">
        <v>7.6</v>
      </c>
      <c r="EH81" s="860">
        <v>5.6999999999999993</v>
      </c>
      <c r="EI81" s="860">
        <v>3.7999999999999994</v>
      </c>
      <c r="EJ81" s="860">
        <v>1.8999999999999995</v>
      </c>
      <c r="EK81" s="860">
        <v>1.8999999999999995</v>
      </c>
      <c r="EL81" s="861">
        <v>0</v>
      </c>
      <c r="EM81" s="1212"/>
      <c r="EN81" s="1212"/>
      <c r="EO81" s="1212"/>
      <c r="EP81" s="1212"/>
      <c r="EQ81" s="1212"/>
      <c r="ER81" s="1212"/>
      <c r="ES81" s="1212"/>
      <c r="ET81" s="1212"/>
      <c r="EU81" s="1212"/>
      <c r="EV81" s="1212"/>
      <c r="EW81" s="1212"/>
      <c r="EX81" s="1563"/>
      <c r="EY81" s="1212"/>
      <c r="EZ81" s="1212"/>
      <c r="FA81" s="1212"/>
      <c r="FB81" s="1212"/>
      <c r="FC81" s="1212"/>
      <c r="FD81" s="1212"/>
      <c r="FE81" s="1212"/>
      <c r="FF81" s="1212"/>
      <c r="FG81" s="1212"/>
      <c r="FH81" s="1212"/>
      <c r="FI81" s="1212"/>
      <c r="FJ81" s="1563"/>
      <c r="FK81" s="1212"/>
      <c r="FL81" s="1212"/>
      <c r="FM81" s="1212"/>
      <c r="FN81" s="1212"/>
      <c r="FO81" s="1212"/>
      <c r="FP81" s="1212"/>
      <c r="FQ81" s="860"/>
      <c r="FR81" s="860"/>
      <c r="FS81" s="860"/>
      <c r="FT81" s="860"/>
      <c r="FU81" s="860"/>
      <c r="FV81" s="860"/>
      <c r="FW81" s="860"/>
      <c r="FX81" s="860"/>
      <c r="FY81" s="860"/>
      <c r="FZ81" s="860"/>
      <c r="GA81" s="860"/>
      <c r="GB81" s="860"/>
      <c r="GC81" s="860"/>
      <c r="GD81" s="860"/>
      <c r="GE81" s="860"/>
      <c r="GF81" s="860"/>
      <c r="GG81" s="860"/>
      <c r="GH81" s="860"/>
      <c r="GI81" s="860"/>
      <c r="GJ81" s="860"/>
      <c r="GK81" s="860"/>
      <c r="GL81" s="860"/>
      <c r="GM81" s="860"/>
      <c r="GN81" s="860"/>
      <c r="GO81" s="860"/>
      <c r="GP81" s="860"/>
      <c r="GQ81" s="860"/>
      <c r="GR81" s="860"/>
      <c r="GS81" s="860"/>
      <c r="GT81" s="860"/>
      <c r="GU81" s="860"/>
      <c r="GV81" s="860"/>
      <c r="GW81" s="860"/>
      <c r="GX81" s="860"/>
      <c r="GY81" s="860"/>
      <c r="GZ81" s="860"/>
      <c r="HA81" s="860"/>
      <c r="HB81" s="860"/>
      <c r="HC81" s="860"/>
      <c r="HD81" s="860"/>
      <c r="HE81" s="860"/>
      <c r="HF81" s="860"/>
      <c r="HG81" s="860"/>
      <c r="HH81" s="860"/>
      <c r="HI81" s="860"/>
      <c r="HJ81" s="860"/>
      <c r="HK81" s="860"/>
      <c r="HL81" s="860"/>
      <c r="HM81" s="860"/>
      <c r="HY81" s="302">
        <f t="shared" si="16"/>
        <v>145.23110932636999</v>
      </c>
      <c r="KH81" s="303"/>
    </row>
    <row r="82" spans="1:294" outlineLevel="1">
      <c r="A82" s="314"/>
      <c r="B82" s="117" t="s">
        <v>361</v>
      </c>
      <c r="D82" s="324" t="s">
        <v>398</v>
      </c>
      <c r="E82" s="316"/>
      <c r="F82" s="316"/>
      <c r="G82" s="316"/>
      <c r="H82" s="316"/>
      <c r="I82" s="316"/>
      <c r="J82" s="316"/>
      <c r="K82" s="316"/>
      <c r="L82" s="316"/>
      <c r="M82" s="316"/>
      <c r="N82" s="316"/>
      <c r="O82" s="316"/>
      <c r="P82" s="316"/>
      <c r="Q82" s="316"/>
      <c r="R82" s="316"/>
      <c r="S82" s="316"/>
      <c r="T82" s="316"/>
      <c r="U82" s="316"/>
      <c r="V82" s="316"/>
      <c r="W82" s="316"/>
      <c r="X82" s="316"/>
      <c r="Y82" s="316"/>
      <c r="Z82" s="316"/>
      <c r="AA82" s="316"/>
      <c r="AB82" s="316"/>
      <c r="AC82" s="316"/>
      <c r="AD82" s="316"/>
      <c r="AE82" s="316"/>
      <c r="AF82" s="316"/>
      <c r="AG82" s="316"/>
      <c r="AH82" s="316"/>
      <c r="AI82" s="316"/>
      <c r="AJ82" s="316"/>
      <c r="AK82" s="316"/>
      <c r="AL82" s="316"/>
      <c r="AM82" s="316"/>
      <c r="AN82" s="316"/>
      <c r="AO82" s="316"/>
      <c r="AP82" s="316"/>
      <c r="AQ82" s="316"/>
      <c r="AR82" s="316"/>
      <c r="AS82" s="316"/>
      <c r="AT82" s="316"/>
      <c r="AU82" s="316"/>
      <c r="AV82" s="316"/>
      <c r="AW82" s="316"/>
      <c r="AX82" s="316"/>
      <c r="AY82" s="316"/>
      <c r="AZ82" s="316"/>
      <c r="BA82" s="316"/>
      <c r="BB82" s="316"/>
      <c r="BC82" s="316"/>
      <c r="BD82" s="316"/>
      <c r="BE82" s="316"/>
      <c r="BF82" s="316"/>
      <c r="BG82" s="316"/>
      <c r="BH82" s="316"/>
      <c r="BI82" s="316"/>
      <c r="BJ82" s="316"/>
      <c r="BK82" s="316"/>
      <c r="BL82" s="316"/>
      <c r="BM82" s="316"/>
      <c r="BN82" s="316"/>
      <c r="BO82" s="316"/>
      <c r="BP82" s="316"/>
      <c r="BQ82" s="316"/>
      <c r="BR82" s="316"/>
      <c r="BS82" s="316"/>
      <c r="BT82" s="316"/>
      <c r="BU82" s="316"/>
      <c r="BV82" s="316"/>
      <c r="BW82" s="316"/>
      <c r="BX82" s="316"/>
      <c r="BY82" s="316"/>
      <c r="BZ82" s="316"/>
      <c r="CA82" s="316"/>
      <c r="CB82" s="316"/>
      <c r="CC82" s="316"/>
      <c r="CD82" s="316"/>
      <c r="CE82" s="317"/>
      <c r="CF82" s="316"/>
      <c r="CG82" s="316"/>
      <c r="CH82" s="316"/>
      <c r="CI82" s="316"/>
      <c r="CJ82" s="493">
        <v>26.297638528000007</v>
      </c>
      <c r="CK82" s="493">
        <v>25.353718890000007</v>
      </c>
      <c r="CL82" s="493">
        <v>25.353718890000007</v>
      </c>
      <c r="CM82" s="493">
        <v>25.353718890000007</v>
      </c>
      <c r="CN82" s="493">
        <v>24.398000257000007</v>
      </c>
      <c r="CO82" s="493">
        <v>24.398000257000007</v>
      </c>
      <c r="CP82" s="1485">
        <v>19.398000257000007</v>
      </c>
      <c r="CQ82" s="493">
        <v>18.430335140797453</v>
      </c>
      <c r="CR82" s="493">
        <v>18.430335140797453</v>
      </c>
      <c r="CS82" s="493">
        <v>18.430335140797453</v>
      </c>
      <c r="CT82" s="493">
        <v>17.450574210642365</v>
      </c>
      <c r="CU82" s="493">
        <v>17.450574210642365</v>
      </c>
      <c r="CV82" s="493">
        <v>17.450574210642365</v>
      </c>
      <c r="CW82" s="493">
        <v>16.458566268860341</v>
      </c>
      <c r="CX82" s="493">
        <v>16.458566268860341</v>
      </c>
      <c r="CY82" s="493">
        <v>16.458566268860341</v>
      </c>
      <c r="CZ82" s="493">
        <v>15.45415822780604</v>
      </c>
      <c r="DA82" s="493">
        <v>15.45415822780604</v>
      </c>
      <c r="DB82" s="1504">
        <v>15.45415822780604</v>
      </c>
      <c r="DC82" s="860">
        <v>14.437195086238562</v>
      </c>
      <c r="DD82" s="860">
        <v>14.437195086238562</v>
      </c>
      <c r="DE82" s="860">
        <v>14.437195086238562</v>
      </c>
      <c r="DF82" s="860">
        <v>13.407519905401491</v>
      </c>
      <c r="DG82" s="860">
        <v>13.407519905401491</v>
      </c>
      <c r="DH82" s="860">
        <v>13.407519905401491</v>
      </c>
      <c r="DI82" s="860">
        <v>12.364973785401492</v>
      </c>
      <c r="DJ82" s="860">
        <v>12.364973785401492</v>
      </c>
      <c r="DK82" s="860">
        <v>12.364973785401492</v>
      </c>
      <c r="DL82" s="860">
        <v>12.364973785401492</v>
      </c>
      <c r="DM82" s="860">
        <v>12.364973785401492</v>
      </c>
      <c r="DN82" s="861">
        <v>12.364973785401492</v>
      </c>
      <c r="DO82" s="860">
        <v>11.296201113957672</v>
      </c>
      <c r="DP82" s="860">
        <v>11.296201113957672</v>
      </c>
      <c r="DQ82" s="860">
        <v>11.296201113957672</v>
      </c>
      <c r="DR82" s="860">
        <v>10.214068784120807</v>
      </c>
      <c r="DS82" s="860">
        <v>10.214068784120807</v>
      </c>
      <c r="DT82" s="860">
        <v>10.214068784120807</v>
      </c>
      <c r="DU82" s="860">
        <v>9.1184098001609808</v>
      </c>
      <c r="DV82" s="860">
        <v>9.1184098001609808</v>
      </c>
      <c r="DW82" s="860">
        <v>9.1184098001609808</v>
      </c>
      <c r="DX82" s="860">
        <v>8.0090550789016568</v>
      </c>
      <c r="DY82" s="860">
        <v>8.0090550789016568</v>
      </c>
      <c r="DZ82" s="861">
        <v>8.0090550789016568</v>
      </c>
      <c r="EA82" s="860">
        <v>6.8858334236265915</v>
      </c>
      <c r="EB82" s="860">
        <v>6.8858334236265915</v>
      </c>
      <c r="EC82" s="860">
        <v>6.8858334236265915</v>
      </c>
      <c r="ED82" s="860">
        <v>4.6929935505215825</v>
      </c>
      <c r="EE82" s="860">
        <v>4.6929935505215825</v>
      </c>
      <c r="EF82" s="860">
        <v>4.6929935505215825</v>
      </c>
      <c r="EG82" s="860">
        <v>3.5415158505215825</v>
      </c>
      <c r="EH82" s="860">
        <v>3.5415158505215825</v>
      </c>
      <c r="EI82" s="860">
        <v>3.5415158505215825</v>
      </c>
      <c r="EJ82" s="860">
        <v>2.3756446795215824</v>
      </c>
      <c r="EK82" s="860">
        <v>2.3756446795215824</v>
      </c>
      <c r="EL82" s="861">
        <v>2.3756446795215824</v>
      </c>
      <c r="EM82" s="1212"/>
      <c r="EN82" s="1212"/>
      <c r="EO82" s="1212"/>
      <c r="EP82" s="1212"/>
      <c r="EQ82" s="1212"/>
      <c r="ER82" s="1212"/>
      <c r="ES82" s="1212"/>
      <c r="ET82" s="1212"/>
      <c r="EU82" s="1212"/>
      <c r="EV82" s="1212"/>
      <c r="EW82" s="1212"/>
      <c r="EX82" s="1563"/>
      <c r="EY82" s="1212"/>
      <c r="EZ82" s="1212"/>
      <c r="FA82" s="1212"/>
      <c r="FB82" s="1212"/>
      <c r="FC82" s="1212"/>
      <c r="FD82" s="1212"/>
      <c r="FE82" s="1212"/>
      <c r="FF82" s="1212"/>
      <c r="FG82" s="1212"/>
      <c r="FH82" s="1212"/>
      <c r="FI82" s="1212"/>
      <c r="FJ82" s="1563"/>
      <c r="FK82" s="1212"/>
      <c r="FL82" s="1212"/>
      <c r="FM82" s="1212"/>
      <c r="FN82" s="1212"/>
      <c r="FO82" s="1212"/>
      <c r="FP82" s="1212"/>
      <c r="FQ82" s="860"/>
      <c r="FR82" s="860"/>
      <c r="FS82" s="860"/>
      <c r="FT82" s="860"/>
      <c r="FU82" s="860"/>
      <c r="FV82" s="860"/>
      <c r="FW82" s="860"/>
      <c r="FX82" s="860"/>
      <c r="FY82" s="860"/>
      <c r="FZ82" s="860"/>
      <c r="GA82" s="860"/>
      <c r="GB82" s="860"/>
      <c r="GC82" s="860"/>
      <c r="GD82" s="860"/>
      <c r="GE82" s="860"/>
      <c r="GF82" s="860"/>
      <c r="GG82" s="860"/>
      <c r="GH82" s="860"/>
      <c r="GI82" s="860"/>
      <c r="GJ82" s="860"/>
      <c r="GK82" s="860"/>
      <c r="GL82" s="860"/>
      <c r="GM82" s="860"/>
      <c r="GN82" s="860"/>
      <c r="GO82" s="860"/>
      <c r="GP82" s="860"/>
      <c r="GQ82" s="860"/>
      <c r="GR82" s="860"/>
      <c r="GS82" s="860"/>
      <c r="GT82" s="860"/>
      <c r="GU82" s="860"/>
      <c r="GV82" s="860"/>
      <c r="GW82" s="860"/>
      <c r="GX82" s="860"/>
      <c r="GY82" s="860"/>
      <c r="GZ82" s="860"/>
      <c r="HA82" s="860"/>
      <c r="HB82" s="860"/>
      <c r="HC82" s="860"/>
      <c r="HD82" s="860"/>
      <c r="HE82" s="860"/>
      <c r="HF82" s="860"/>
      <c r="HG82" s="860"/>
      <c r="HH82" s="860"/>
      <c r="HI82" s="860"/>
      <c r="HJ82" s="860"/>
      <c r="HK82" s="860"/>
      <c r="HL82" s="860"/>
      <c r="HM82" s="860"/>
      <c r="HY82" s="302">
        <f t="shared" si="16"/>
        <v>64.53080969423543</v>
      </c>
      <c r="KH82" s="303"/>
    </row>
    <row r="83" spans="1:294" outlineLevel="1">
      <c r="A83" s="314"/>
      <c r="B83" s="117" t="s">
        <v>361</v>
      </c>
      <c r="D83" s="321" t="s">
        <v>399</v>
      </c>
      <c r="E83" s="316"/>
      <c r="F83" s="316"/>
      <c r="G83" s="316"/>
      <c r="H83" s="316"/>
      <c r="I83" s="316"/>
      <c r="J83" s="316"/>
      <c r="K83" s="316"/>
      <c r="L83" s="316"/>
      <c r="M83" s="316"/>
      <c r="N83" s="316"/>
      <c r="O83" s="316"/>
      <c r="P83" s="316"/>
      <c r="Q83" s="316"/>
      <c r="R83" s="316"/>
      <c r="S83" s="316"/>
      <c r="T83" s="316"/>
      <c r="U83" s="316"/>
      <c r="V83" s="316"/>
      <c r="W83" s="316"/>
      <c r="X83" s="316"/>
      <c r="Y83" s="316"/>
      <c r="Z83" s="316"/>
      <c r="AA83" s="316"/>
      <c r="AB83" s="316"/>
      <c r="AC83" s="316"/>
      <c r="AD83" s="316"/>
      <c r="AE83" s="316"/>
      <c r="AF83" s="316"/>
      <c r="AG83" s="316"/>
      <c r="AH83" s="316"/>
      <c r="AI83" s="316"/>
      <c r="AJ83" s="316"/>
      <c r="AK83" s="316"/>
      <c r="AL83" s="316"/>
      <c r="AM83" s="316"/>
      <c r="AN83" s="316"/>
      <c r="AO83" s="316"/>
      <c r="AP83" s="316"/>
      <c r="AQ83" s="316"/>
      <c r="AR83" s="316"/>
      <c r="AS83" s="316"/>
      <c r="AT83" s="316"/>
      <c r="AU83" s="316"/>
      <c r="AV83" s="316"/>
      <c r="AW83" s="316"/>
      <c r="AX83" s="316"/>
      <c r="AY83" s="316"/>
      <c r="AZ83" s="316"/>
      <c r="BA83" s="316"/>
      <c r="BB83" s="316"/>
      <c r="BC83" s="316"/>
      <c r="BD83" s="316"/>
      <c r="BE83" s="316"/>
      <c r="BF83" s="316"/>
      <c r="BG83" s="316"/>
      <c r="BH83" s="316"/>
      <c r="BI83" s="316"/>
      <c r="BJ83" s="316"/>
      <c r="BK83" s="316"/>
      <c r="BL83" s="316"/>
      <c r="BM83" s="316"/>
      <c r="BN83" s="316"/>
      <c r="BO83" s="316"/>
      <c r="BP83" s="316"/>
      <c r="BQ83" s="316"/>
      <c r="BR83" s="316"/>
      <c r="BS83" s="316"/>
      <c r="BT83" s="316"/>
      <c r="BU83" s="316"/>
      <c r="BV83" s="316"/>
      <c r="BW83" s="316"/>
      <c r="BX83" s="316"/>
      <c r="BY83" s="316"/>
      <c r="BZ83" s="316"/>
      <c r="CA83" s="316"/>
      <c r="CB83" s="316"/>
      <c r="CC83" s="316"/>
      <c r="CD83" s="316"/>
      <c r="CE83" s="317"/>
      <c r="CF83" s="316"/>
      <c r="CG83" s="316"/>
      <c r="CH83" s="316"/>
      <c r="CI83" s="316"/>
      <c r="CJ83" s="494">
        <v>2.8387760286003667</v>
      </c>
      <c r="CK83" s="494">
        <v>2.8387760286003667</v>
      </c>
      <c r="CL83" s="494">
        <v>4.5047800679999996</v>
      </c>
      <c r="CM83" s="494">
        <v>4.3975220860000004</v>
      </c>
      <c r="CN83" s="494">
        <v>4.3975220860000004</v>
      </c>
      <c r="CO83" s="494">
        <v>4.3975220860000004</v>
      </c>
      <c r="CP83" s="1486">
        <v>4.2902641040000002</v>
      </c>
      <c r="CQ83" s="494">
        <v>4.2902641040000002</v>
      </c>
      <c r="CR83" s="494">
        <v>4.2902641040000002</v>
      </c>
      <c r="CS83" s="494">
        <v>4.1830061220000001</v>
      </c>
      <c r="CT83" s="494">
        <v>4.1830061220000001</v>
      </c>
      <c r="CU83" s="494">
        <v>4.1830061220000001</v>
      </c>
      <c r="CV83" s="494">
        <v>4.07574814</v>
      </c>
      <c r="CW83" s="494">
        <v>4.07574814</v>
      </c>
      <c r="CX83" s="494">
        <v>4.07574814</v>
      </c>
      <c r="CY83" s="494">
        <v>3.9684481399999996</v>
      </c>
      <c r="CZ83" s="494">
        <v>3.9684481399999996</v>
      </c>
      <c r="DA83" s="494">
        <v>3.9684481399999996</v>
      </c>
      <c r="DB83" s="1505">
        <v>3.8611901660000001</v>
      </c>
      <c r="DC83" s="865">
        <v>3.8611901660000001</v>
      </c>
      <c r="DD83" s="865">
        <v>3.8611901660000001</v>
      </c>
      <c r="DE83" s="865">
        <v>3.7539321839999999</v>
      </c>
      <c r="DF83" s="865">
        <v>3.7539321839999999</v>
      </c>
      <c r="DG83" s="865">
        <v>3.7539321839999999</v>
      </c>
      <c r="DH83" s="865">
        <v>3.4665119549999996</v>
      </c>
      <c r="DI83" s="865">
        <v>1.88228874467146</v>
      </c>
      <c r="DJ83" s="865">
        <v>1.88228874467146</v>
      </c>
      <c r="DK83" s="865">
        <v>1.88228874467146</v>
      </c>
      <c r="DL83" s="865">
        <v>1.88228874467146</v>
      </c>
      <c r="DM83" s="865">
        <v>1.88228874467146</v>
      </c>
      <c r="DN83" s="866">
        <v>1.9094165286798161</v>
      </c>
      <c r="DO83" s="865">
        <v>1.9094165286798161</v>
      </c>
      <c r="DP83" s="865">
        <v>1.9094165286798161</v>
      </c>
      <c r="DQ83" s="865">
        <v>1.9094165286798161</v>
      </c>
      <c r="DR83" s="865">
        <v>1.9094165286798161</v>
      </c>
      <c r="DS83" s="865">
        <v>1.9094165286798161</v>
      </c>
      <c r="DT83" s="865">
        <v>1.7157421036798162</v>
      </c>
      <c r="DU83" s="865">
        <v>1.7369597888841386</v>
      </c>
      <c r="DV83" s="865">
        <v>1.7396758806064399</v>
      </c>
      <c r="DW83" s="865">
        <v>1.7426829820576932</v>
      </c>
      <c r="DX83" s="865">
        <v>1.7426829820576932</v>
      </c>
      <c r="DY83" s="865">
        <v>1.7426829820576932</v>
      </c>
      <c r="DZ83" s="866">
        <v>1.7514392985705276</v>
      </c>
      <c r="EA83" s="865">
        <v>1.7543730554877821</v>
      </c>
      <c r="EB83" s="865">
        <v>1.7573068120255904</v>
      </c>
      <c r="EC83" s="865">
        <v>1.7573068120255904</v>
      </c>
      <c r="ED83" s="865">
        <v>1.5484617150255904</v>
      </c>
      <c r="EE83" s="865">
        <v>1.5484617150255904</v>
      </c>
      <c r="EF83" s="865">
        <v>1.3402617090255902</v>
      </c>
      <c r="EG83" s="865">
        <v>1.3402617090255902</v>
      </c>
      <c r="EH83" s="865">
        <v>1.3402617090255902</v>
      </c>
      <c r="EI83" s="865">
        <v>1.3402617090255902</v>
      </c>
      <c r="EJ83" s="865">
        <v>2.3402617090255902</v>
      </c>
      <c r="EK83" s="865">
        <v>2.3402617090255902</v>
      </c>
      <c r="EL83" s="866">
        <v>2.3402617090255902</v>
      </c>
      <c r="EM83" s="1213"/>
      <c r="EN83" s="1213"/>
      <c r="EO83" s="1213"/>
      <c r="EP83" s="1213"/>
      <c r="EQ83" s="1213"/>
      <c r="ER83" s="1213"/>
      <c r="ES83" s="1213"/>
      <c r="ET83" s="1213"/>
      <c r="EU83" s="1213"/>
      <c r="EV83" s="1213"/>
      <c r="EW83" s="1213"/>
      <c r="EX83" s="1564"/>
      <c r="EY83" s="1213"/>
      <c r="EZ83" s="1213"/>
      <c r="FA83" s="1213"/>
      <c r="FB83" s="1213"/>
      <c r="FC83" s="1213"/>
      <c r="FD83" s="1213"/>
      <c r="FE83" s="1213"/>
      <c r="FF83" s="1213"/>
      <c r="FG83" s="1213"/>
      <c r="FH83" s="1213"/>
      <c r="FI83" s="1213"/>
      <c r="FJ83" s="1564"/>
      <c r="FK83" s="1213"/>
      <c r="FL83" s="1213"/>
      <c r="FM83" s="1213"/>
      <c r="FN83" s="1213"/>
      <c r="FO83" s="1213"/>
      <c r="FP83" s="1213"/>
      <c r="FQ83" s="865"/>
      <c r="FR83" s="865"/>
      <c r="FS83" s="865"/>
      <c r="FT83" s="865"/>
      <c r="FU83" s="865"/>
      <c r="FV83" s="865"/>
      <c r="FW83" s="865"/>
      <c r="FX83" s="865"/>
      <c r="FY83" s="865"/>
      <c r="FZ83" s="865"/>
      <c r="GA83" s="865"/>
      <c r="GB83" s="865"/>
      <c r="GC83" s="865"/>
      <c r="GD83" s="865"/>
      <c r="GE83" s="865"/>
      <c r="GF83" s="865"/>
      <c r="GG83" s="865"/>
      <c r="GH83" s="865"/>
      <c r="GI83" s="865"/>
      <c r="GJ83" s="865"/>
      <c r="GK83" s="865"/>
      <c r="GL83" s="865"/>
      <c r="GM83" s="865"/>
      <c r="GN83" s="865"/>
      <c r="GO83" s="865"/>
      <c r="GP83" s="865"/>
      <c r="GQ83" s="865"/>
      <c r="GR83" s="865"/>
      <c r="GS83" s="865"/>
      <c r="GT83" s="865"/>
      <c r="GU83" s="865"/>
      <c r="GV83" s="865"/>
      <c r="GW83" s="865"/>
      <c r="GX83" s="865"/>
      <c r="GY83" s="865"/>
      <c r="GZ83" s="865"/>
      <c r="HA83" s="865"/>
      <c r="HB83" s="865"/>
      <c r="HC83" s="865"/>
      <c r="HD83" s="865"/>
      <c r="HE83" s="865"/>
      <c r="HF83" s="865"/>
      <c r="HG83" s="865"/>
      <c r="HH83" s="865"/>
      <c r="HI83" s="865"/>
      <c r="HJ83" s="865"/>
      <c r="HK83" s="865"/>
      <c r="HL83" s="865"/>
      <c r="HM83" s="865"/>
      <c r="HY83" s="302">
        <f t="shared" si="16"/>
        <v>11.262824747078897</v>
      </c>
      <c r="KH83" s="303"/>
    </row>
    <row r="84" spans="1:294" outlineLevel="1">
      <c r="A84" s="314"/>
      <c r="B84" s="117" t="s">
        <v>361</v>
      </c>
      <c r="D84" s="323" t="s">
        <v>400</v>
      </c>
      <c r="E84" s="316"/>
      <c r="F84" s="316"/>
      <c r="G84" s="316"/>
      <c r="H84" s="316"/>
      <c r="I84" s="316"/>
      <c r="J84" s="316"/>
      <c r="K84" s="316"/>
      <c r="L84" s="316"/>
      <c r="M84" s="316"/>
      <c r="N84" s="316"/>
      <c r="O84" s="316"/>
      <c r="P84" s="316"/>
      <c r="Q84" s="316"/>
      <c r="R84" s="316"/>
      <c r="S84" s="316"/>
      <c r="T84" s="316"/>
      <c r="U84" s="316"/>
      <c r="V84" s="316"/>
      <c r="W84" s="316"/>
      <c r="X84" s="316"/>
      <c r="Y84" s="316"/>
      <c r="Z84" s="316"/>
      <c r="AA84" s="316"/>
      <c r="AB84" s="316"/>
      <c r="AC84" s="316"/>
      <c r="AD84" s="316"/>
      <c r="AE84" s="316"/>
      <c r="AF84" s="316"/>
      <c r="AG84" s="316"/>
      <c r="AH84" s="316"/>
      <c r="AI84" s="316"/>
      <c r="AJ84" s="316"/>
      <c r="AK84" s="316"/>
      <c r="AL84" s="316"/>
      <c r="AM84" s="316"/>
      <c r="AN84" s="316"/>
      <c r="AO84" s="316"/>
      <c r="AP84" s="316"/>
      <c r="AQ84" s="316"/>
      <c r="AR84" s="316"/>
      <c r="AS84" s="316"/>
      <c r="AT84" s="316"/>
      <c r="AU84" s="316"/>
      <c r="AV84" s="316"/>
      <c r="AW84" s="316"/>
      <c r="AX84" s="316"/>
      <c r="AY84" s="316"/>
      <c r="AZ84" s="316"/>
      <c r="BA84" s="316"/>
      <c r="BB84" s="316"/>
      <c r="BC84" s="316"/>
      <c r="BD84" s="316"/>
      <c r="BE84" s="316"/>
      <c r="BF84" s="316"/>
      <c r="BG84" s="316"/>
      <c r="BH84" s="316"/>
      <c r="BI84" s="316"/>
      <c r="BJ84" s="316"/>
      <c r="BK84" s="316"/>
      <c r="BL84" s="316"/>
      <c r="BM84" s="316"/>
      <c r="BN84" s="316"/>
      <c r="BO84" s="316"/>
      <c r="BP84" s="316"/>
      <c r="BQ84" s="316"/>
      <c r="BR84" s="316"/>
      <c r="BS84" s="316"/>
      <c r="BT84" s="316"/>
      <c r="BU84" s="316"/>
      <c r="BV84" s="316"/>
      <c r="BW84" s="316"/>
      <c r="BX84" s="316"/>
      <c r="BY84" s="316"/>
      <c r="BZ84" s="316"/>
      <c r="CA84" s="316"/>
      <c r="CB84" s="316"/>
      <c r="CC84" s="316"/>
      <c r="CD84" s="316"/>
      <c r="CE84" s="317"/>
      <c r="CF84" s="316"/>
      <c r="CG84" s="316"/>
      <c r="CH84" s="316"/>
      <c r="CI84" s="316"/>
      <c r="CJ84" s="492">
        <v>0.89935816700000004</v>
      </c>
      <c r="CK84" s="492">
        <v>0.89935816700000004</v>
      </c>
      <c r="CL84" s="492">
        <v>0.89935816700000004</v>
      </c>
      <c r="CM84" s="492">
        <v>0.79210018500000001</v>
      </c>
      <c r="CN84" s="492">
        <v>0.79210018500000001</v>
      </c>
      <c r="CO84" s="492">
        <v>0.79210018500000001</v>
      </c>
      <c r="CP84" s="1484">
        <v>0.68484220299999998</v>
      </c>
      <c r="CQ84" s="492">
        <v>0.68484220299999998</v>
      </c>
      <c r="CR84" s="492">
        <v>0.68484220299999998</v>
      </c>
      <c r="CS84" s="492">
        <v>0.57758422099999995</v>
      </c>
      <c r="CT84" s="492">
        <v>0.57758422099999995</v>
      </c>
      <c r="CU84" s="492">
        <v>0.57758422099999995</v>
      </c>
      <c r="CV84" s="492">
        <v>0.47032623899999992</v>
      </c>
      <c r="CW84" s="492">
        <v>0.47032623899999992</v>
      </c>
      <c r="CX84" s="492">
        <v>0.47032623899999992</v>
      </c>
      <c r="CY84" s="492">
        <v>0.36302623899999992</v>
      </c>
      <c r="CZ84" s="492">
        <v>0.36302623899999992</v>
      </c>
      <c r="DA84" s="492">
        <v>0.36302623899999992</v>
      </c>
      <c r="DB84" s="1503">
        <v>0.25576826499999994</v>
      </c>
      <c r="DC84" s="860">
        <v>0.25576826499999994</v>
      </c>
      <c r="DD84" s="860">
        <v>0.25576826499999994</v>
      </c>
      <c r="DE84" s="860">
        <v>0.14851028299999994</v>
      </c>
      <c r="DF84" s="860">
        <v>0.14851028299999994</v>
      </c>
      <c r="DG84" s="860">
        <v>0.14851028299999994</v>
      </c>
      <c r="DH84" s="860">
        <v>4.1252308999999932E-2</v>
      </c>
      <c r="DI84" s="860">
        <v>4.1252308999999932E-2</v>
      </c>
      <c r="DJ84" s="860">
        <v>4.1252308999999932E-2</v>
      </c>
      <c r="DK84" s="860">
        <v>4.1252308999999932E-2</v>
      </c>
      <c r="DL84" s="860">
        <v>4.1252308999999932E-2</v>
      </c>
      <c r="DM84" s="860">
        <v>4.1252308999999932E-2</v>
      </c>
      <c r="DN84" s="861">
        <v>4.1252308999999932E-2</v>
      </c>
      <c r="DO84" s="860">
        <v>4.1252308999999932E-2</v>
      </c>
      <c r="DP84" s="860">
        <v>4.1252308999999932E-2</v>
      </c>
      <c r="DQ84" s="860">
        <v>4.1252308999999932E-2</v>
      </c>
      <c r="DR84" s="860">
        <v>4.1252308999999932E-2</v>
      </c>
      <c r="DS84" s="860">
        <v>4.1252308999999932E-2</v>
      </c>
      <c r="DT84" s="860">
        <v>4.1252308999999932E-2</v>
      </c>
      <c r="DU84" s="860">
        <v>4.1252308999999932E-2</v>
      </c>
      <c r="DV84" s="860">
        <v>4.1252308999999932E-2</v>
      </c>
      <c r="DW84" s="860">
        <v>4.1252308999999932E-2</v>
      </c>
      <c r="DX84" s="860">
        <v>4.1252308999999932E-2</v>
      </c>
      <c r="DY84" s="860">
        <v>4.1252308999999932E-2</v>
      </c>
      <c r="DZ84" s="861">
        <v>4.1252308999999932E-2</v>
      </c>
      <c r="EA84" s="860">
        <v>4.1252308999999932E-2</v>
      </c>
      <c r="EB84" s="860">
        <v>4.1252308999999932E-2</v>
      </c>
      <c r="EC84" s="860">
        <v>4.1252308999999932E-2</v>
      </c>
      <c r="ED84" s="860">
        <v>7.9999998570112751E-9</v>
      </c>
      <c r="EE84" s="860">
        <v>7.9999998570112751E-9</v>
      </c>
      <c r="EF84" s="860">
        <v>7.9999998570112751E-9</v>
      </c>
      <c r="EG84" s="860">
        <v>7.9999998570112751E-9</v>
      </c>
      <c r="EH84" s="860">
        <v>7.9999998570112751E-9</v>
      </c>
      <c r="EI84" s="860">
        <v>7.9999998570112751E-9</v>
      </c>
      <c r="EJ84" s="860">
        <v>7.9999998570112751E-9</v>
      </c>
      <c r="EK84" s="860">
        <v>7.9999998570112751E-9</v>
      </c>
      <c r="EL84" s="861">
        <v>7.9999998570112751E-9</v>
      </c>
      <c r="EM84" s="1212"/>
      <c r="EN84" s="1212"/>
      <c r="EO84" s="1212"/>
      <c r="EP84" s="1212"/>
      <c r="EQ84" s="1212"/>
      <c r="ER84" s="1212"/>
      <c r="ES84" s="1212"/>
      <c r="ET84" s="1212"/>
      <c r="EU84" s="1212"/>
      <c r="EV84" s="1212"/>
      <c r="EW84" s="1212"/>
      <c r="EX84" s="1563"/>
      <c r="EY84" s="1212"/>
      <c r="EZ84" s="1212"/>
      <c r="FA84" s="1212"/>
      <c r="FB84" s="1212"/>
      <c r="FC84" s="1212"/>
      <c r="FD84" s="1212"/>
      <c r="FE84" s="1212"/>
      <c r="FF84" s="1212"/>
      <c r="FG84" s="1212"/>
      <c r="FH84" s="1212"/>
      <c r="FI84" s="1212"/>
      <c r="FJ84" s="1563"/>
      <c r="FK84" s="1212"/>
      <c r="FL84" s="1212"/>
      <c r="FM84" s="1212"/>
      <c r="FN84" s="1212"/>
      <c r="FO84" s="1212"/>
      <c r="FP84" s="1212"/>
      <c r="FQ84" s="860"/>
      <c r="FR84" s="860"/>
      <c r="FS84" s="860"/>
      <c r="FT84" s="860"/>
      <c r="FU84" s="860"/>
      <c r="FV84" s="860"/>
      <c r="FW84" s="860"/>
      <c r="FX84" s="860"/>
      <c r="FY84" s="860"/>
      <c r="FZ84" s="860"/>
      <c r="GA84" s="860"/>
      <c r="GB84" s="860"/>
      <c r="GC84" s="860"/>
      <c r="GD84" s="860"/>
      <c r="GE84" s="860"/>
      <c r="GF84" s="860"/>
      <c r="GG84" s="860"/>
      <c r="GH84" s="860"/>
      <c r="GI84" s="860"/>
      <c r="GJ84" s="860"/>
      <c r="GK84" s="860"/>
      <c r="GL84" s="860"/>
      <c r="GM84" s="860"/>
      <c r="GN84" s="860"/>
      <c r="GO84" s="860"/>
      <c r="GP84" s="860"/>
      <c r="GQ84" s="860"/>
      <c r="GR84" s="860"/>
      <c r="GS84" s="860"/>
      <c r="GT84" s="860"/>
      <c r="GU84" s="860"/>
      <c r="GV84" s="860"/>
      <c r="GW84" s="860"/>
      <c r="GX84" s="860"/>
      <c r="GY84" s="860"/>
      <c r="GZ84" s="860"/>
      <c r="HA84" s="860"/>
      <c r="HB84" s="860"/>
      <c r="HC84" s="860"/>
      <c r="HD84" s="860"/>
      <c r="HE84" s="860"/>
      <c r="HF84" s="860"/>
      <c r="HG84" s="860"/>
      <c r="HH84" s="860"/>
      <c r="HI84" s="860"/>
      <c r="HJ84" s="860"/>
      <c r="HK84" s="860"/>
      <c r="HL84" s="860"/>
      <c r="HM84" s="860"/>
      <c r="HY84" s="302">
        <f t="shared" si="16"/>
        <v>0.24751385399999959</v>
      </c>
      <c r="KH84" s="303"/>
    </row>
    <row r="85" spans="1:294" outlineLevel="1">
      <c r="A85" s="314"/>
      <c r="B85" s="117" t="s">
        <v>361</v>
      </c>
      <c r="D85" s="323" t="s">
        <v>401</v>
      </c>
      <c r="E85" s="316"/>
      <c r="F85" s="316"/>
      <c r="G85" s="316"/>
      <c r="H85" s="316"/>
      <c r="I85" s="316"/>
      <c r="J85" s="316"/>
      <c r="K85" s="316"/>
      <c r="L85" s="316"/>
      <c r="M85" s="316"/>
      <c r="N85" s="316"/>
      <c r="O85" s="316"/>
      <c r="P85" s="316"/>
      <c r="Q85" s="316"/>
      <c r="R85" s="316"/>
      <c r="S85" s="316"/>
      <c r="T85" s="316"/>
      <c r="U85" s="316"/>
      <c r="V85" s="316"/>
      <c r="W85" s="316"/>
      <c r="X85" s="316"/>
      <c r="Y85" s="316"/>
      <c r="Z85" s="316"/>
      <c r="AA85" s="316"/>
      <c r="AB85" s="316"/>
      <c r="AC85" s="316"/>
      <c r="AD85" s="316"/>
      <c r="AE85" s="316"/>
      <c r="AF85" s="316"/>
      <c r="AG85" s="316"/>
      <c r="AH85" s="316"/>
      <c r="AI85" s="316"/>
      <c r="AJ85" s="316"/>
      <c r="AK85" s="316"/>
      <c r="AL85" s="316"/>
      <c r="AM85" s="316"/>
      <c r="AN85" s="316"/>
      <c r="AO85" s="316"/>
      <c r="AP85" s="316"/>
      <c r="AQ85" s="316"/>
      <c r="AR85" s="316"/>
      <c r="AS85" s="316"/>
      <c r="AT85" s="316"/>
      <c r="AU85" s="316"/>
      <c r="AV85" s="316"/>
      <c r="AW85" s="316"/>
      <c r="AX85" s="316"/>
      <c r="AY85" s="316"/>
      <c r="AZ85" s="316"/>
      <c r="BA85" s="316"/>
      <c r="BB85" s="316"/>
      <c r="BC85" s="316"/>
      <c r="BD85" s="316"/>
      <c r="BE85" s="316"/>
      <c r="BF85" s="316"/>
      <c r="BG85" s="316"/>
      <c r="BH85" s="316"/>
      <c r="BI85" s="316"/>
      <c r="BJ85" s="316"/>
      <c r="BK85" s="316"/>
      <c r="BL85" s="316"/>
      <c r="BM85" s="316"/>
      <c r="BN85" s="316"/>
      <c r="BO85" s="316"/>
      <c r="BP85" s="316"/>
      <c r="BQ85" s="316"/>
      <c r="BR85" s="316"/>
      <c r="BS85" s="316"/>
      <c r="BT85" s="316"/>
      <c r="BU85" s="316"/>
      <c r="BV85" s="316"/>
      <c r="BW85" s="316"/>
      <c r="BX85" s="316"/>
      <c r="BY85" s="316"/>
      <c r="BZ85" s="316"/>
      <c r="CA85" s="316"/>
      <c r="CB85" s="316"/>
      <c r="CC85" s="316"/>
      <c r="CD85" s="316"/>
      <c r="CE85" s="317"/>
      <c r="CF85" s="316"/>
      <c r="CG85" s="316"/>
      <c r="CH85" s="316"/>
      <c r="CI85" s="316"/>
      <c r="CJ85" s="492">
        <v>0.74962948200000001</v>
      </c>
      <c r="CK85" s="492">
        <v>0.74962948200000001</v>
      </c>
      <c r="CL85" s="492">
        <v>0.74962948200000001</v>
      </c>
      <c r="CM85" s="492">
        <v>0.74962948200000001</v>
      </c>
      <c r="CN85" s="492">
        <v>0.74962948200000001</v>
      </c>
      <c r="CO85" s="492">
        <v>0.74962948200000001</v>
      </c>
      <c r="CP85" s="1484">
        <v>0.74962948200000001</v>
      </c>
      <c r="CQ85" s="492">
        <v>0.74962948200000001</v>
      </c>
      <c r="CR85" s="492">
        <v>0.74962948200000001</v>
      </c>
      <c r="CS85" s="492">
        <v>0.74962948200000001</v>
      </c>
      <c r="CT85" s="492">
        <v>0.74962948200000001</v>
      </c>
      <c r="CU85" s="492">
        <v>0.74962948200000001</v>
      </c>
      <c r="CV85" s="492">
        <v>0.74962948200000001</v>
      </c>
      <c r="CW85" s="492">
        <v>0.74962948200000001</v>
      </c>
      <c r="CX85" s="492">
        <v>0.74962948200000001</v>
      </c>
      <c r="CY85" s="492">
        <v>0.74962948200000001</v>
      </c>
      <c r="CZ85" s="492">
        <v>0.74962948200000001</v>
      </c>
      <c r="DA85" s="492">
        <v>0.74962948200000001</v>
      </c>
      <c r="DB85" s="1503">
        <v>0.74962948200000001</v>
      </c>
      <c r="DC85" s="860">
        <v>0.74962948200000001</v>
      </c>
      <c r="DD85" s="860">
        <v>0.74962948200000001</v>
      </c>
      <c r="DE85" s="860">
        <v>0.74962948200000001</v>
      </c>
      <c r="DF85" s="860">
        <v>0.74962948200000001</v>
      </c>
      <c r="DG85" s="860">
        <v>0.74962948200000001</v>
      </c>
      <c r="DH85" s="860">
        <v>0.56946722700000008</v>
      </c>
      <c r="DI85" s="860">
        <v>0.56946722700000008</v>
      </c>
      <c r="DJ85" s="860">
        <v>0.56946722700000008</v>
      </c>
      <c r="DK85" s="860">
        <v>0.56946722700000008</v>
      </c>
      <c r="DL85" s="860">
        <v>0.56946722700000008</v>
      </c>
      <c r="DM85" s="860">
        <v>0.56946722700000008</v>
      </c>
      <c r="DN85" s="861">
        <v>0.56946722700000008</v>
      </c>
      <c r="DO85" s="860">
        <v>0.56946722700000008</v>
      </c>
      <c r="DP85" s="860">
        <v>0.56946722700000008</v>
      </c>
      <c r="DQ85" s="860">
        <v>0.56946722700000008</v>
      </c>
      <c r="DR85" s="860">
        <v>0.56946722700000008</v>
      </c>
      <c r="DS85" s="860">
        <v>0.56946722700000008</v>
      </c>
      <c r="DT85" s="860">
        <v>0.37579280200000009</v>
      </c>
      <c r="DU85" s="860">
        <v>0.37579280200000009</v>
      </c>
      <c r="DV85" s="860">
        <v>0.37579280200000009</v>
      </c>
      <c r="DW85" s="860">
        <v>0.37579280200000009</v>
      </c>
      <c r="DX85" s="860">
        <v>0.37579280200000009</v>
      </c>
      <c r="DY85" s="860">
        <v>0.37579280200000009</v>
      </c>
      <c r="DZ85" s="861">
        <v>0.37579280200000009</v>
      </c>
      <c r="EA85" s="860">
        <v>0.37579280200000009</v>
      </c>
      <c r="EB85" s="860">
        <v>0.37579280200000009</v>
      </c>
      <c r="EC85" s="860">
        <v>0.37579280200000009</v>
      </c>
      <c r="ED85" s="860">
        <v>0.20820000600000002</v>
      </c>
      <c r="EE85" s="860">
        <v>0.20820000600000002</v>
      </c>
      <c r="EF85" s="860">
        <v>0</v>
      </c>
      <c r="EG85" s="860">
        <v>0</v>
      </c>
      <c r="EH85" s="860">
        <v>0</v>
      </c>
      <c r="EI85" s="860">
        <v>0</v>
      </c>
      <c r="EJ85" s="860">
        <v>0</v>
      </c>
      <c r="EK85" s="860">
        <v>0</v>
      </c>
      <c r="EL85" s="861">
        <v>0</v>
      </c>
      <c r="EM85" s="1212"/>
      <c r="EN85" s="1212"/>
      <c r="EO85" s="1212"/>
      <c r="EP85" s="1212"/>
      <c r="EQ85" s="1212"/>
      <c r="ER85" s="1212"/>
      <c r="ES85" s="1212"/>
      <c r="ET85" s="1212"/>
      <c r="EU85" s="1212"/>
      <c r="EV85" s="1212"/>
      <c r="EW85" s="1212"/>
      <c r="EX85" s="1563"/>
      <c r="EY85" s="1212"/>
      <c r="EZ85" s="1212"/>
      <c r="FA85" s="1212"/>
      <c r="FB85" s="1212"/>
      <c r="FC85" s="1212"/>
      <c r="FD85" s="1212"/>
      <c r="FE85" s="1212"/>
      <c r="FF85" s="1212"/>
      <c r="FG85" s="1212"/>
      <c r="FH85" s="1212"/>
      <c r="FI85" s="1212"/>
      <c r="FJ85" s="1563"/>
      <c r="FK85" s="1212"/>
      <c r="FL85" s="1212"/>
      <c r="FM85" s="1212"/>
      <c r="FN85" s="1212"/>
      <c r="FO85" s="1212"/>
      <c r="FP85" s="1212"/>
      <c r="FQ85" s="860"/>
      <c r="FR85" s="860"/>
      <c r="FS85" s="860"/>
      <c r="FT85" s="860"/>
      <c r="FU85" s="860"/>
      <c r="FV85" s="860"/>
      <c r="FW85" s="860"/>
      <c r="FX85" s="860"/>
      <c r="FY85" s="860"/>
      <c r="FZ85" s="860"/>
      <c r="GA85" s="860"/>
      <c r="GB85" s="860"/>
      <c r="GC85" s="860"/>
      <c r="GD85" s="860"/>
      <c r="GE85" s="860"/>
      <c r="GF85" s="860"/>
      <c r="GG85" s="860"/>
      <c r="GH85" s="860"/>
      <c r="GI85" s="860"/>
      <c r="GJ85" s="860"/>
      <c r="GK85" s="860"/>
      <c r="GL85" s="860"/>
      <c r="GM85" s="860"/>
      <c r="GN85" s="860"/>
      <c r="GO85" s="860"/>
      <c r="GP85" s="860"/>
      <c r="GQ85" s="860"/>
      <c r="GR85" s="860"/>
      <c r="GS85" s="860"/>
      <c r="GT85" s="860"/>
      <c r="GU85" s="860"/>
      <c r="GV85" s="860"/>
      <c r="GW85" s="860"/>
      <c r="GX85" s="860"/>
      <c r="GY85" s="860"/>
      <c r="GZ85" s="860"/>
      <c r="HA85" s="860"/>
      <c r="HB85" s="860"/>
      <c r="HC85" s="860"/>
      <c r="HD85" s="860"/>
      <c r="HE85" s="860"/>
      <c r="HF85" s="860"/>
      <c r="HG85" s="860"/>
      <c r="HH85" s="860"/>
      <c r="HI85" s="860"/>
      <c r="HJ85" s="860"/>
      <c r="HK85" s="860"/>
      <c r="HL85" s="860"/>
      <c r="HM85" s="860"/>
      <c r="HY85" s="302">
        <f t="shared" si="16"/>
        <v>3.2231289370000002</v>
      </c>
      <c r="KH85" s="303"/>
    </row>
    <row r="86" spans="1:294" outlineLevel="1">
      <c r="A86" s="314"/>
      <c r="B86" s="117" t="s">
        <v>361</v>
      </c>
      <c r="D86" s="323" t="s">
        <v>402</v>
      </c>
      <c r="E86" s="316"/>
      <c r="F86" s="316"/>
      <c r="G86" s="316"/>
      <c r="H86" s="316"/>
      <c r="I86" s="316"/>
      <c r="J86" s="316"/>
      <c r="K86" s="316"/>
      <c r="L86" s="316"/>
      <c r="M86" s="316"/>
      <c r="N86" s="316"/>
      <c r="O86" s="316"/>
      <c r="P86" s="316"/>
      <c r="Q86" s="316"/>
      <c r="R86" s="316"/>
      <c r="S86" s="316"/>
      <c r="T86" s="316"/>
      <c r="U86" s="316"/>
      <c r="V86" s="316"/>
      <c r="W86" s="316"/>
      <c r="X86" s="316"/>
      <c r="Y86" s="316"/>
      <c r="Z86" s="316"/>
      <c r="AA86" s="316"/>
      <c r="AB86" s="316"/>
      <c r="AC86" s="316"/>
      <c r="AD86" s="316"/>
      <c r="AE86" s="316"/>
      <c r="AF86" s="316"/>
      <c r="AG86" s="316"/>
      <c r="AH86" s="316"/>
      <c r="AI86" s="316"/>
      <c r="AJ86" s="316"/>
      <c r="AK86" s="316"/>
      <c r="AL86" s="316"/>
      <c r="AM86" s="316"/>
      <c r="AN86" s="316"/>
      <c r="AO86" s="316"/>
      <c r="AP86" s="316"/>
      <c r="AQ86" s="316"/>
      <c r="AR86" s="316"/>
      <c r="AS86" s="316"/>
      <c r="AT86" s="316"/>
      <c r="AU86" s="316"/>
      <c r="AV86" s="316"/>
      <c r="AW86" s="316"/>
      <c r="AX86" s="316"/>
      <c r="AY86" s="316"/>
      <c r="AZ86" s="316"/>
      <c r="BA86" s="316"/>
      <c r="BB86" s="316"/>
      <c r="BC86" s="316"/>
      <c r="BD86" s="316"/>
      <c r="BE86" s="316"/>
      <c r="BF86" s="316"/>
      <c r="BG86" s="316"/>
      <c r="BH86" s="316"/>
      <c r="BI86" s="316"/>
      <c r="BJ86" s="316"/>
      <c r="BK86" s="316"/>
      <c r="BL86" s="316"/>
      <c r="BM86" s="316"/>
      <c r="BN86" s="316"/>
      <c r="BO86" s="316"/>
      <c r="BP86" s="316"/>
      <c r="BQ86" s="316"/>
      <c r="BR86" s="316"/>
      <c r="BS86" s="316"/>
      <c r="BT86" s="316"/>
      <c r="BU86" s="316"/>
      <c r="BV86" s="316"/>
      <c r="BW86" s="316"/>
      <c r="BX86" s="316"/>
      <c r="BY86" s="316"/>
      <c r="BZ86" s="316"/>
      <c r="CA86" s="316"/>
      <c r="CB86" s="316"/>
      <c r="CC86" s="316"/>
      <c r="CD86" s="316"/>
      <c r="CE86" s="317"/>
      <c r="CF86" s="316"/>
      <c r="CG86" s="316"/>
      <c r="CH86" s="316"/>
      <c r="CI86" s="316"/>
      <c r="CJ86" s="492">
        <v>0</v>
      </c>
      <c r="CK86" s="492">
        <v>0</v>
      </c>
      <c r="CL86" s="492">
        <v>0</v>
      </c>
      <c r="CM86" s="492">
        <v>0</v>
      </c>
      <c r="CN86" s="492">
        <v>0</v>
      </c>
      <c r="CO86" s="492">
        <v>0</v>
      </c>
      <c r="CP86" s="1484">
        <v>0</v>
      </c>
      <c r="CQ86" s="492">
        <v>0</v>
      </c>
      <c r="CR86" s="492">
        <v>0</v>
      </c>
      <c r="CS86" s="492">
        <v>0</v>
      </c>
      <c r="CT86" s="492">
        <v>0</v>
      </c>
      <c r="CU86" s="492">
        <v>0</v>
      </c>
      <c r="CV86" s="492">
        <v>0</v>
      </c>
      <c r="CW86" s="492">
        <v>0</v>
      </c>
      <c r="CX86" s="492">
        <v>0</v>
      </c>
      <c r="CY86" s="492">
        <v>0</v>
      </c>
      <c r="CZ86" s="492">
        <v>0</v>
      </c>
      <c r="DA86" s="492">
        <v>0</v>
      </c>
      <c r="DB86" s="1503">
        <v>0</v>
      </c>
      <c r="DC86" s="860">
        <v>0</v>
      </c>
      <c r="DD86" s="860">
        <v>0</v>
      </c>
      <c r="DE86" s="860">
        <v>0</v>
      </c>
      <c r="DF86" s="860">
        <v>0</v>
      </c>
      <c r="DG86" s="860">
        <v>0</v>
      </c>
      <c r="DH86" s="860">
        <v>0</v>
      </c>
      <c r="DI86" s="860">
        <v>0</v>
      </c>
      <c r="DJ86" s="860">
        <v>0</v>
      </c>
      <c r="DK86" s="860">
        <v>0</v>
      </c>
      <c r="DL86" s="860">
        <v>0</v>
      </c>
      <c r="DM86" s="860">
        <v>0</v>
      </c>
      <c r="DN86" s="861">
        <v>0</v>
      </c>
      <c r="DO86" s="860">
        <v>0</v>
      </c>
      <c r="DP86" s="860">
        <v>0</v>
      </c>
      <c r="DQ86" s="860">
        <v>0</v>
      </c>
      <c r="DR86" s="860">
        <v>0</v>
      </c>
      <c r="DS86" s="860">
        <v>0</v>
      </c>
      <c r="DT86" s="860">
        <v>0</v>
      </c>
      <c r="DU86" s="860">
        <v>0</v>
      </c>
      <c r="DV86" s="860">
        <v>0</v>
      </c>
      <c r="DW86" s="860">
        <v>0</v>
      </c>
      <c r="DX86" s="860">
        <v>0</v>
      </c>
      <c r="DY86" s="860">
        <v>0</v>
      </c>
      <c r="DZ86" s="861">
        <v>0</v>
      </c>
      <c r="EA86" s="860">
        <v>0</v>
      </c>
      <c r="EB86" s="860">
        <v>0</v>
      </c>
      <c r="EC86" s="860">
        <v>0</v>
      </c>
      <c r="ED86" s="860">
        <v>0</v>
      </c>
      <c r="EE86" s="860">
        <v>0</v>
      </c>
      <c r="EF86" s="860">
        <v>0</v>
      </c>
      <c r="EG86" s="860">
        <v>0</v>
      </c>
      <c r="EH86" s="860">
        <v>0</v>
      </c>
      <c r="EI86" s="860">
        <v>0</v>
      </c>
      <c r="EJ86" s="860">
        <v>0</v>
      </c>
      <c r="EK86" s="860">
        <v>0</v>
      </c>
      <c r="EL86" s="861">
        <v>0</v>
      </c>
      <c r="EM86" s="1212"/>
      <c r="EN86" s="1212"/>
      <c r="EO86" s="1212"/>
      <c r="EP86" s="1212"/>
      <c r="EQ86" s="1212"/>
      <c r="ER86" s="1212"/>
      <c r="ES86" s="1212"/>
      <c r="ET86" s="1212"/>
      <c r="EU86" s="1212"/>
      <c r="EV86" s="1212"/>
      <c r="EW86" s="1212"/>
      <c r="EX86" s="1563"/>
      <c r="EY86" s="1212"/>
      <c r="EZ86" s="1212"/>
      <c r="FA86" s="1212"/>
      <c r="FB86" s="1212"/>
      <c r="FC86" s="1212"/>
      <c r="FD86" s="1212"/>
      <c r="FE86" s="1212"/>
      <c r="FF86" s="1212"/>
      <c r="FG86" s="1212"/>
      <c r="FH86" s="1212"/>
      <c r="FI86" s="1212"/>
      <c r="FJ86" s="1563"/>
      <c r="FK86" s="1212"/>
      <c r="FL86" s="1212"/>
      <c r="FM86" s="1212"/>
      <c r="FN86" s="1212"/>
      <c r="FO86" s="1212"/>
      <c r="FP86" s="1212"/>
      <c r="FQ86" s="860"/>
      <c r="FR86" s="860"/>
      <c r="FS86" s="860"/>
      <c r="FT86" s="860"/>
      <c r="FU86" s="860"/>
      <c r="FV86" s="860"/>
      <c r="FW86" s="860"/>
      <c r="FX86" s="860"/>
      <c r="FY86" s="860"/>
      <c r="FZ86" s="860"/>
      <c r="GA86" s="860"/>
      <c r="GB86" s="860"/>
      <c r="GC86" s="860"/>
      <c r="GD86" s="860"/>
      <c r="GE86" s="860"/>
      <c r="GF86" s="860"/>
      <c r="GG86" s="860"/>
      <c r="GH86" s="860"/>
      <c r="GI86" s="860"/>
      <c r="GJ86" s="860"/>
      <c r="GK86" s="860"/>
      <c r="GL86" s="860"/>
      <c r="GM86" s="860"/>
      <c r="GN86" s="860"/>
      <c r="GO86" s="860"/>
      <c r="GP86" s="860"/>
      <c r="GQ86" s="860"/>
      <c r="GR86" s="860"/>
      <c r="GS86" s="860"/>
      <c r="GT86" s="860"/>
      <c r="GU86" s="860"/>
      <c r="GV86" s="860"/>
      <c r="GW86" s="860"/>
      <c r="GX86" s="860"/>
      <c r="GY86" s="860"/>
      <c r="GZ86" s="860"/>
      <c r="HA86" s="860"/>
      <c r="HB86" s="860"/>
      <c r="HC86" s="860"/>
      <c r="HD86" s="860"/>
      <c r="HE86" s="860"/>
      <c r="HF86" s="860"/>
      <c r="HG86" s="860"/>
      <c r="HH86" s="860"/>
      <c r="HI86" s="860"/>
      <c r="HJ86" s="860"/>
      <c r="HK86" s="860"/>
      <c r="HL86" s="860"/>
      <c r="HM86" s="860"/>
      <c r="HY86" s="302">
        <f t="shared" si="16"/>
        <v>0</v>
      </c>
      <c r="KH86" s="303"/>
    </row>
    <row r="87" spans="1:294" outlineLevel="1">
      <c r="A87" s="314"/>
      <c r="B87" s="117" t="s">
        <v>361</v>
      </c>
      <c r="D87" s="323" t="s">
        <v>403</v>
      </c>
      <c r="E87" s="316"/>
      <c r="F87" s="316"/>
      <c r="G87" s="316"/>
      <c r="H87" s="316"/>
      <c r="I87" s="316"/>
      <c r="J87" s="316"/>
      <c r="K87" s="316"/>
      <c r="L87" s="316"/>
      <c r="M87" s="316"/>
      <c r="N87" s="316"/>
      <c r="O87" s="316"/>
      <c r="P87" s="316"/>
      <c r="Q87" s="316"/>
      <c r="R87" s="316"/>
      <c r="S87" s="316"/>
      <c r="T87" s="316"/>
      <c r="U87" s="316"/>
      <c r="V87" s="316"/>
      <c r="W87" s="316"/>
      <c r="X87" s="316"/>
      <c r="Y87" s="316"/>
      <c r="Z87" s="316"/>
      <c r="AA87" s="316"/>
      <c r="AB87" s="316"/>
      <c r="AC87" s="316"/>
      <c r="AD87" s="316"/>
      <c r="AE87" s="316"/>
      <c r="AF87" s="316"/>
      <c r="AG87" s="316"/>
      <c r="AH87" s="316"/>
      <c r="AI87" s="316"/>
      <c r="AJ87" s="316"/>
      <c r="AK87" s="316"/>
      <c r="AL87" s="316"/>
      <c r="AM87" s="316"/>
      <c r="AN87" s="316"/>
      <c r="AO87" s="316"/>
      <c r="AP87" s="316"/>
      <c r="AQ87" s="316"/>
      <c r="AR87" s="316"/>
      <c r="AS87" s="316"/>
      <c r="AT87" s="316"/>
      <c r="AU87" s="316"/>
      <c r="AV87" s="316"/>
      <c r="AW87" s="316"/>
      <c r="AX87" s="316"/>
      <c r="AY87" s="316"/>
      <c r="AZ87" s="316"/>
      <c r="BA87" s="316"/>
      <c r="BB87" s="316"/>
      <c r="BC87" s="316"/>
      <c r="BD87" s="316"/>
      <c r="BE87" s="316"/>
      <c r="BF87" s="316"/>
      <c r="BG87" s="316"/>
      <c r="BH87" s="316"/>
      <c r="BI87" s="316"/>
      <c r="BJ87" s="316"/>
      <c r="BK87" s="316"/>
      <c r="BL87" s="316"/>
      <c r="BM87" s="316"/>
      <c r="BN87" s="316"/>
      <c r="BO87" s="316"/>
      <c r="BP87" s="316"/>
      <c r="BQ87" s="316"/>
      <c r="BR87" s="316"/>
      <c r="BS87" s="316"/>
      <c r="BT87" s="316"/>
      <c r="BU87" s="316"/>
      <c r="BV87" s="316"/>
      <c r="BW87" s="316"/>
      <c r="BX87" s="316"/>
      <c r="BY87" s="316"/>
      <c r="BZ87" s="316"/>
      <c r="CA87" s="316"/>
      <c r="CB87" s="316"/>
      <c r="CC87" s="316"/>
      <c r="CD87" s="316"/>
      <c r="CE87" s="317"/>
      <c r="CF87" s="316"/>
      <c r="CG87" s="316"/>
      <c r="CH87" s="316"/>
      <c r="CI87" s="316"/>
      <c r="CJ87" s="492">
        <v>1.7016389999999999E-2</v>
      </c>
      <c r="CK87" s="492">
        <v>1.7016389999999999E-2</v>
      </c>
      <c r="CL87" s="492">
        <v>1.7016389999999999E-2</v>
      </c>
      <c r="CM87" s="492">
        <v>1.7016389999999999E-2</v>
      </c>
      <c r="CN87" s="492">
        <v>1.7016389999999999E-2</v>
      </c>
      <c r="CO87" s="492">
        <v>1.7016389999999999E-2</v>
      </c>
      <c r="CP87" s="1484">
        <v>1.7016389999999999E-2</v>
      </c>
      <c r="CQ87" s="492">
        <v>1.7016389999999999E-2</v>
      </c>
      <c r="CR87" s="492">
        <v>1.7016389999999999E-2</v>
      </c>
      <c r="CS87" s="492">
        <v>1.7016389999999999E-2</v>
      </c>
      <c r="CT87" s="492">
        <v>1.7016389999999999E-2</v>
      </c>
      <c r="CU87" s="492">
        <v>1.7016389999999999E-2</v>
      </c>
      <c r="CV87" s="492">
        <v>1.7016389999999999E-2</v>
      </c>
      <c r="CW87" s="492">
        <v>1.7016389999999999E-2</v>
      </c>
      <c r="CX87" s="492">
        <v>1.7016389999999999E-2</v>
      </c>
      <c r="CY87" s="492">
        <v>1.7016389999999999E-2</v>
      </c>
      <c r="CZ87" s="492">
        <v>1.7016389999999999E-2</v>
      </c>
      <c r="DA87" s="492">
        <v>1.7016389999999999E-2</v>
      </c>
      <c r="DB87" s="1503">
        <v>1.7016389999999999E-2</v>
      </c>
      <c r="DC87" s="860">
        <v>1.7016389999999999E-2</v>
      </c>
      <c r="DD87" s="860">
        <v>1.7016389999999999E-2</v>
      </c>
      <c r="DE87" s="860">
        <v>1.7016389999999999E-2</v>
      </c>
      <c r="DF87" s="860">
        <v>1.7016389999999999E-2</v>
      </c>
      <c r="DG87" s="860">
        <v>1.7016389999999999E-2</v>
      </c>
      <c r="DH87" s="860">
        <v>1.7016389999999999E-2</v>
      </c>
      <c r="DI87" s="860">
        <v>1.7016389999999999E-2</v>
      </c>
      <c r="DJ87" s="860">
        <v>1.7016389999999999E-2</v>
      </c>
      <c r="DK87" s="860">
        <v>1.7016389999999999E-2</v>
      </c>
      <c r="DL87" s="860">
        <v>1.7016389999999999E-2</v>
      </c>
      <c r="DM87" s="860">
        <v>1.7016389999999999E-2</v>
      </c>
      <c r="DN87" s="861">
        <v>1.7016389999999999E-2</v>
      </c>
      <c r="DO87" s="860">
        <v>1.7016389999999999E-2</v>
      </c>
      <c r="DP87" s="860">
        <v>1.7016389999999999E-2</v>
      </c>
      <c r="DQ87" s="860">
        <v>1.7016389999999999E-2</v>
      </c>
      <c r="DR87" s="860">
        <v>1.7016389999999999E-2</v>
      </c>
      <c r="DS87" s="860">
        <v>1.7016389999999999E-2</v>
      </c>
      <c r="DT87" s="860">
        <v>1.7016389999999999E-2</v>
      </c>
      <c r="DU87" s="860">
        <v>1.7016389999999999E-2</v>
      </c>
      <c r="DV87" s="860">
        <v>1.7016389999999999E-2</v>
      </c>
      <c r="DW87" s="860">
        <v>1.7016389999999999E-2</v>
      </c>
      <c r="DX87" s="860">
        <v>1.7016389999999999E-2</v>
      </c>
      <c r="DY87" s="860">
        <v>1.7016389999999999E-2</v>
      </c>
      <c r="DZ87" s="861">
        <v>1.7016389999999999E-2</v>
      </c>
      <c r="EA87" s="860">
        <v>1.7016389999999999E-2</v>
      </c>
      <c r="EB87" s="860">
        <v>1.7016389999999999E-2</v>
      </c>
      <c r="EC87" s="860">
        <v>1.7016389999999999E-2</v>
      </c>
      <c r="ED87" s="860">
        <v>1.7016389999999999E-2</v>
      </c>
      <c r="EE87" s="860">
        <v>1.7016389999999999E-2</v>
      </c>
      <c r="EF87" s="860">
        <v>1.7016389999999999E-2</v>
      </c>
      <c r="EG87" s="860">
        <v>1.7016389999999999E-2</v>
      </c>
      <c r="EH87" s="860">
        <v>1.7016389999999999E-2</v>
      </c>
      <c r="EI87" s="860">
        <v>1.7016389999999999E-2</v>
      </c>
      <c r="EJ87" s="860">
        <v>1.7016389999999999E-2</v>
      </c>
      <c r="EK87" s="860">
        <v>1.7016389999999999E-2</v>
      </c>
      <c r="EL87" s="861">
        <v>1.7016389999999999E-2</v>
      </c>
      <c r="EM87" s="1212"/>
      <c r="EN87" s="1212"/>
      <c r="EO87" s="1212"/>
      <c r="EP87" s="1212"/>
      <c r="EQ87" s="1212"/>
      <c r="ER87" s="1212"/>
      <c r="ES87" s="1212"/>
      <c r="ET87" s="1212"/>
      <c r="EU87" s="1212"/>
      <c r="EV87" s="1212"/>
      <c r="EW87" s="1212"/>
      <c r="EX87" s="1563"/>
      <c r="EY87" s="1212"/>
      <c r="EZ87" s="1212"/>
      <c r="FA87" s="1212"/>
      <c r="FB87" s="1212"/>
      <c r="FC87" s="1212"/>
      <c r="FD87" s="1212"/>
      <c r="FE87" s="1212"/>
      <c r="FF87" s="1212"/>
      <c r="FG87" s="1212"/>
      <c r="FH87" s="1212"/>
      <c r="FI87" s="1212"/>
      <c r="FJ87" s="1563"/>
      <c r="FK87" s="1212"/>
      <c r="FL87" s="1212"/>
      <c r="FM87" s="1212"/>
      <c r="FN87" s="1212"/>
      <c r="FO87" s="1212"/>
      <c r="FP87" s="1212"/>
      <c r="FQ87" s="860"/>
      <c r="FR87" s="860"/>
      <c r="FS87" s="860"/>
      <c r="FT87" s="860"/>
      <c r="FU87" s="860"/>
      <c r="FV87" s="860"/>
      <c r="FW87" s="860"/>
      <c r="FX87" s="860"/>
      <c r="FY87" s="860"/>
      <c r="FZ87" s="860"/>
      <c r="GA87" s="860"/>
      <c r="GB87" s="860"/>
      <c r="GC87" s="860"/>
      <c r="GD87" s="860"/>
      <c r="GE87" s="860"/>
      <c r="GF87" s="860"/>
      <c r="GG87" s="860"/>
      <c r="GH87" s="860"/>
      <c r="GI87" s="860"/>
      <c r="GJ87" s="860"/>
      <c r="GK87" s="860"/>
      <c r="GL87" s="860"/>
      <c r="GM87" s="860"/>
      <c r="GN87" s="860"/>
      <c r="GO87" s="860"/>
      <c r="GP87" s="860"/>
      <c r="GQ87" s="860"/>
      <c r="GR87" s="860"/>
      <c r="GS87" s="860"/>
      <c r="GT87" s="860"/>
      <c r="GU87" s="860"/>
      <c r="GV87" s="860"/>
      <c r="GW87" s="860"/>
      <c r="GX87" s="860"/>
      <c r="GY87" s="860"/>
      <c r="GZ87" s="860"/>
      <c r="HA87" s="860"/>
      <c r="HB87" s="860"/>
      <c r="HC87" s="860"/>
      <c r="HD87" s="860"/>
      <c r="HE87" s="860"/>
      <c r="HF87" s="860"/>
      <c r="HG87" s="860"/>
      <c r="HH87" s="860"/>
      <c r="HI87" s="860"/>
      <c r="HJ87" s="860"/>
      <c r="HK87" s="860"/>
      <c r="HL87" s="860"/>
      <c r="HM87" s="860"/>
      <c r="HY87" s="302">
        <f t="shared" si="16"/>
        <v>0.10209833999999998</v>
      </c>
      <c r="KH87" s="303"/>
    </row>
    <row r="88" spans="1:294" outlineLevel="1">
      <c r="A88" s="314"/>
      <c r="B88" s="117" t="s">
        <v>361</v>
      </c>
      <c r="D88" s="323" t="s">
        <v>404</v>
      </c>
      <c r="E88" s="316"/>
      <c r="F88" s="316"/>
      <c r="G88" s="316"/>
      <c r="H88" s="316"/>
      <c r="I88" s="316"/>
      <c r="J88" s="316"/>
      <c r="K88" s="316"/>
      <c r="L88" s="316"/>
      <c r="M88" s="316"/>
      <c r="N88" s="316"/>
      <c r="O88" s="316"/>
      <c r="P88" s="316"/>
      <c r="Q88" s="316"/>
      <c r="R88" s="316"/>
      <c r="S88" s="316"/>
      <c r="T88" s="316"/>
      <c r="U88" s="316"/>
      <c r="V88" s="316"/>
      <c r="W88" s="316"/>
      <c r="X88" s="316"/>
      <c r="Y88" s="316"/>
      <c r="Z88" s="316"/>
      <c r="AA88" s="316"/>
      <c r="AB88" s="316"/>
      <c r="AC88" s="316"/>
      <c r="AD88" s="316"/>
      <c r="AE88" s="316"/>
      <c r="AF88" s="316"/>
      <c r="AG88" s="316"/>
      <c r="AH88" s="316"/>
      <c r="AI88" s="316"/>
      <c r="AJ88" s="316"/>
      <c r="AK88" s="316"/>
      <c r="AL88" s="316"/>
      <c r="AM88" s="316"/>
      <c r="AN88" s="316"/>
      <c r="AO88" s="316"/>
      <c r="AP88" s="316"/>
      <c r="AQ88" s="316"/>
      <c r="AR88" s="316"/>
      <c r="AS88" s="316"/>
      <c r="AT88" s="316"/>
      <c r="AU88" s="316"/>
      <c r="AV88" s="316"/>
      <c r="AW88" s="316"/>
      <c r="AX88" s="316"/>
      <c r="AY88" s="316"/>
      <c r="AZ88" s="316"/>
      <c r="BA88" s="316"/>
      <c r="BB88" s="316"/>
      <c r="BC88" s="316"/>
      <c r="BD88" s="316"/>
      <c r="BE88" s="316"/>
      <c r="BF88" s="316"/>
      <c r="BG88" s="316"/>
      <c r="BH88" s="316"/>
      <c r="BI88" s="316"/>
      <c r="BJ88" s="316"/>
      <c r="BK88" s="316"/>
      <c r="BL88" s="316"/>
      <c r="BM88" s="316"/>
      <c r="BN88" s="316"/>
      <c r="BO88" s="316"/>
      <c r="BP88" s="316"/>
      <c r="BQ88" s="316"/>
      <c r="BR88" s="316"/>
      <c r="BS88" s="316"/>
      <c r="BT88" s="316"/>
      <c r="BU88" s="316"/>
      <c r="BV88" s="316"/>
      <c r="BW88" s="316"/>
      <c r="BX88" s="316"/>
      <c r="BY88" s="316"/>
      <c r="BZ88" s="316"/>
      <c r="CA88" s="316"/>
      <c r="CB88" s="316"/>
      <c r="CC88" s="316"/>
      <c r="CD88" s="316"/>
      <c r="CE88" s="317"/>
      <c r="CF88" s="316"/>
      <c r="CG88" s="316"/>
      <c r="CH88" s="316"/>
      <c r="CI88" s="316"/>
      <c r="CJ88" s="492">
        <v>1.172771989600367</v>
      </c>
      <c r="CK88" s="492">
        <v>1.172771989600367</v>
      </c>
      <c r="CL88" s="492">
        <v>2.8387760289999999</v>
      </c>
      <c r="CM88" s="492">
        <v>2.8387760289999999</v>
      </c>
      <c r="CN88" s="492">
        <v>2.8387760289999999</v>
      </c>
      <c r="CO88" s="492">
        <v>2.8387760289999999</v>
      </c>
      <c r="CP88" s="1484">
        <v>2.8387760289999999</v>
      </c>
      <c r="CQ88" s="492">
        <v>2.8387760289999999</v>
      </c>
      <c r="CR88" s="492">
        <v>2.8387760289999999</v>
      </c>
      <c r="CS88" s="492">
        <v>2.8387760289999999</v>
      </c>
      <c r="CT88" s="492">
        <v>2.8387760289999999</v>
      </c>
      <c r="CU88" s="492">
        <v>2.8387760289999999</v>
      </c>
      <c r="CV88" s="492">
        <v>2.8387760289999999</v>
      </c>
      <c r="CW88" s="492">
        <v>2.8387760289999999</v>
      </c>
      <c r="CX88" s="492">
        <v>2.8387760289999999</v>
      </c>
      <c r="CY88" s="492">
        <v>2.8387760289999999</v>
      </c>
      <c r="CZ88" s="492">
        <v>2.8387760289999999</v>
      </c>
      <c r="DA88" s="492">
        <v>2.8387760289999999</v>
      </c>
      <c r="DB88" s="1503">
        <v>2.8387760289999999</v>
      </c>
      <c r="DC88" s="860">
        <v>2.8387760289999999</v>
      </c>
      <c r="DD88" s="860">
        <v>2.8387760289999999</v>
      </c>
      <c r="DE88" s="860">
        <v>2.8387760289999999</v>
      </c>
      <c r="DF88" s="860">
        <v>2.8387760289999999</v>
      </c>
      <c r="DG88" s="860">
        <v>2.8387760289999999</v>
      </c>
      <c r="DH88" s="860">
        <v>2.8387760289999999</v>
      </c>
      <c r="DI88" s="860">
        <v>1.2545528186714601</v>
      </c>
      <c r="DJ88" s="860">
        <v>1.2545528186714601</v>
      </c>
      <c r="DK88" s="860">
        <v>1.2545528186714601</v>
      </c>
      <c r="DL88" s="860">
        <v>1.2545528186714601</v>
      </c>
      <c r="DM88" s="860">
        <v>1.2545528186714601</v>
      </c>
      <c r="DN88" s="861">
        <v>1.2816806026798162</v>
      </c>
      <c r="DO88" s="860">
        <v>1.2816806026798162</v>
      </c>
      <c r="DP88" s="860">
        <v>1.2816806026798162</v>
      </c>
      <c r="DQ88" s="860">
        <v>1.2816806026798162</v>
      </c>
      <c r="DR88" s="860">
        <v>1.2816806026798162</v>
      </c>
      <c r="DS88" s="860">
        <v>1.2816806026798162</v>
      </c>
      <c r="DT88" s="860">
        <v>1.2816806026798162</v>
      </c>
      <c r="DU88" s="860">
        <v>1.3028982878841386</v>
      </c>
      <c r="DV88" s="860">
        <v>1.3056143796064399</v>
      </c>
      <c r="DW88" s="860">
        <v>1.3086214810576933</v>
      </c>
      <c r="DX88" s="860">
        <v>1.3086214810576933</v>
      </c>
      <c r="DY88" s="860">
        <v>1.3086214810576933</v>
      </c>
      <c r="DZ88" s="861">
        <v>1.3173777975705276</v>
      </c>
      <c r="EA88" s="860">
        <v>1.3203115544877821</v>
      </c>
      <c r="EB88" s="860">
        <v>1.3232453110255904</v>
      </c>
      <c r="EC88" s="860">
        <v>1.3232453110255904</v>
      </c>
      <c r="ED88" s="860">
        <v>1.3232453110255904</v>
      </c>
      <c r="EE88" s="860">
        <v>1.3232453110255904</v>
      </c>
      <c r="EF88" s="860">
        <v>1.3232453110255904</v>
      </c>
      <c r="EG88" s="860">
        <v>1.3232453110255904</v>
      </c>
      <c r="EH88" s="860">
        <v>1.3232453110255904</v>
      </c>
      <c r="EI88" s="860">
        <v>1.3232453110255904</v>
      </c>
      <c r="EJ88" s="860">
        <v>2.3232453110255902</v>
      </c>
      <c r="EK88" s="860">
        <v>2.3232453110255902</v>
      </c>
      <c r="EL88" s="861">
        <v>2.3232453110255902</v>
      </c>
      <c r="EM88" s="1212"/>
      <c r="EN88" s="1212"/>
      <c r="EO88" s="1212"/>
      <c r="EP88" s="1212"/>
      <c r="EQ88" s="1212"/>
      <c r="ER88" s="1212"/>
      <c r="ES88" s="1212"/>
      <c r="ET88" s="1212"/>
      <c r="EU88" s="1212"/>
      <c r="EV88" s="1212"/>
      <c r="EW88" s="1212"/>
      <c r="EX88" s="1563"/>
      <c r="EY88" s="1212"/>
      <c r="EZ88" s="1212"/>
      <c r="FA88" s="1212"/>
      <c r="FB88" s="1212"/>
      <c r="FC88" s="1212"/>
      <c r="FD88" s="1212"/>
      <c r="FE88" s="1212"/>
      <c r="FF88" s="1212"/>
      <c r="FG88" s="1212"/>
      <c r="FH88" s="1212"/>
      <c r="FI88" s="1212"/>
      <c r="FJ88" s="1563"/>
      <c r="FK88" s="1212"/>
      <c r="FL88" s="1212"/>
      <c r="FM88" s="1212"/>
      <c r="FN88" s="1212"/>
      <c r="FO88" s="1212"/>
      <c r="FP88" s="1212"/>
      <c r="FQ88" s="860"/>
      <c r="FR88" s="860"/>
      <c r="FS88" s="860"/>
      <c r="FT88" s="860"/>
      <c r="FU88" s="860"/>
      <c r="FV88" s="860"/>
      <c r="FW88" s="860"/>
      <c r="FX88" s="860"/>
      <c r="FY88" s="860"/>
      <c r="FZ88" s="860"/>
      <c r="GA88" s="860"/>
      <c r="GB88" s="860"/>
      <c r="GC88" s="860"/>
      <c r="GD88" s="860"/>
      <c r="GE88" s="860"/>
      <c r="GF88" s="860"/>
      <c r="GG88" s="860"/>
      <c r="GH88" s="860"/>
      <c r="GI88" s="860"/>
      <c r="GJ88" s="860"/>
      <c r="GK88" s="860"/>
      <c r="GL88" s="860"/>
      <c r="GM88" s="860"/>
      <c r="GN88" s="860"/>
      <c r="GO88" s="860"/>
      <c r="GP88" s="860"/>
      <c r="GQ88" s="860"/>
      <c r="GR88" s="860"/>
      <c r="GS88" s="860"/>
      <c r="GT88" s="860"/>
      <c r="GU88" s="860"/>
      <c r="GV88" s="860"/>
      <c r="GW88" s="860"/>
      <c r="GX88" s="860"/>
      <c r="GY88" s="860"/>
      <c r="GZ88" s="860"/>
      <c r="HA88" s="860"/>
      <c r="HB88" s="860"/>
      <c r="HC88" s="860"/>
      <c r="HD88" s="860"/>
      <c r="HE88" s="860"/>
      <c r="HF88" s="860"/>
      <c r="HG88" s="860"/>
      <c r="HH88" s="860"/>
      <c r="HI88" s="860"/>
      <c r="HJ88" s="860"/>
      <c r="HK88" s="860"/>
      <c r="HL88" s="860"/>
      <c r="HM88" s="860"/>
      <c r="HY88" s="302">
        <f t="shared" si="16"/>
        <v>7.6900836160788968</v>
      </c>
      <c r="KH88" s="303"/>
    </row>
    <row r="89" spans="1:294" outlineLevel="1">
      <c r="A89" s="117" t="s">
        <v>360</v>
      </c>
      <c r="B89" s="117" t="s">
        <v>361</v>
      </c>
      <c r="D89" s="322" t="s">
        <v>393</v>
      </c>
      <c r="E89" s="316"/>
      <c r="F89" s="316"/>
      <c r="G89" s="316"/>
      <c r="H89" s="316"/>
      <c r="I89" s="316"/>
      <c r="J89" s="316"/>
      <c r="K89" s="316"/>
      <c r="L89" s="316"/>
      <c r="M89" s="316"/>
      <c r="N89" s="316"/>
      <c r="O89" s="316"/>
      <c r="P89" s="316"/>
      <c r="Q89" s="316"/>
      <c r="R89" s="316"/>
      <c r="S89" s="316"/>
      <c r="T89" s="316"/>
      <c r="U89" s="316"/>
      <c r="V89" s="316"/>
      <c r="W89" s="316"/>
      <c r="X89" s="316"/>
      <c r="Y89" s="316"/>
      <c r="Z89" s="316"/>
      <c r="AA89" s="316"/>
      <c r="AB89" s="316"/>
      <c r="AC89" s="316"/>
      <c r="AD89" s="316"/>
      <c r="AE89" s="316"/>
      <c r="AF89" s="316"/>
      <c r="AG89" s="316"/>
      <c r="AH89" s="316"/>
      <c r="AI89" s="316"/>
      <c r="AJ89" s="316"/>
      <c r="AK89" s="316"/>
      <c r="AL89" s="316"/>
      <c r="AM89" s="316"/>
      <c r="AN89" s="316"/>
      <c r="AO89" s="316"/>
      <c r="AP89" s="316"/>
      <c r="AQ89" s="316"/>
      <c r="AR89" s="316"/>
      <c r="AS89" s="316"/>
      <c r="AT89" s="316"/>
      <c r="AU89" s="316"/>
      <c r="AV89" s="316"/>
      <c r="AW89" s="316"/>
      <c r="AX89" s="316"/>
      <c r="AY89" s="316"/>
      <c r="AZ89" s="316"/>
      <c r="BA89" s="316"/>
      <c r="BB89" s="316"/>
      <c r="BC89" s="316"/>
      <c r="BD89" s="316"/>
      <c r="BE89" s="316"/>
      <c r="BF89" s="316"/>
      <c r="BG89" s="316"/>
      <c r="BH89" s="316"/>
      <c r="BI89" s="316"/>
      <c r="BJ89" s="316"/>
      <c r="BK89" s="316"/>
      <c r="BL89" s="316"/>
      <c r="BM89" s="316"/>
      <c r="BN89" s="316"/>
      <c r="BO89" s="316"/>
      <c r="BP89" s="316"/>
      <c r="BQ89" s="316"/>
      <c r="BR89" s="316"/>
      <c r="BS89" s="316"/>
      <c r="BT89" s="316"/>
      <c r="BU89" s="316"/>
      <c r="BV89" s="316"/>
      <c r="BW89" s="316"/>
      <c r="BX89" s="316"/>
      <c r="BY89" s="316"/>
      <c r="BZ89" s="316"/>
      <c r="CA89" s="316"/>
      <c r="CB89" s="316"/>
      <c r="CC89" s="316"/>
      <c r="CD89" s="316"/>
      <c r="CE89" s="317">
        <v>0.36952295899999998</v>
      </c>
      <c r="CF89" s="316">
        <v>1.6176518170000023</v>
      </c>
      <c r="CG89" s="316">
        <v>0.107257982</v>
      </c>
      <c r="CH89" s="316">
        <v>0.26947505700000002</v>
      </c>
      <c r="CI89" s="316">
        <v>1.6661813710000004</v>
      </c>
      <c r="CJ89" s="316">
        <v>0.26315825700000001</v>
      </c>
      <c r="CK89" s="316">
        <v>0.94391963800000056</v>
      </c>
      <c r="CL89" s="316">
        <v>0</v>
      </c>
      <c r="CM89" s="316">
        <v>1.8234247939999972</v>
      </c>
      <c r="CN89" s="316">
        <v>0.95571863300000004</v>
      </c>
      <c r="CO89" s="316">
        <v>6</v>
      </c>
      <c r="CP89" s="318">
        <v>5.1072579820000001</v>
      </c>
      <c r="CQ89" s="316">
        <v>0.96766511620255435</v>
      </c>
      <c r="CR89" s="316">
        <v>0</v>
      </c>
      <c r="CS89" s="316">
        <v>0.107257982</v>
      </c>
      <c r="CT89" s="316">
        <v>0.97976093015508603</v>
      </c>
      <c r="CU89" s="316">
        <v>0</v>
      </c>
      <c r="CV89" s="316">
        <v>0.107257982</v>
      </c>
      <c r="CW89" s="316">
        <v>0.992007941782025</v>
      </c>
      <c r="CX89" s="316">
        <v>0</v>
      </c>
      <c r="CY89" s="316">
        <v>0.10730000000000001</v>
      </c>
      <c r="CZ89" s="316">
        <v>1.0044080410543001</v>
      </c>
      <c r="DA89" s="316">
        <v>0</v>
      </c>
      <c r="DB89" s="1498">
        <v>0.10725797400000001</v>
      </c>
      <c r="DC89" s="862">
        <v>1.0169631415674789</v>
      </c>
      <c r="DD89" s="862">
        <v>0</v>
      </c>
      <c r="DE89" s="862">
        <v>0.107257982</v>
      </c>
      <c r="DF89" s="862">
        <v>1.0296751808370701</v>
      </c>
      <c r="DG89" s="862">
        <v>7</v>
      </c>
      <c r="DH89" s="862">
        <v>0.28742022899999997</v>
      </c>
      <c r="DI89" s="862">
        <v>1.0425461199999999</v>
      </c>
      <c r="DJ89" s="862">
        <v>0</v>
      </c>
      <c r="DK89" s="862">
        <v>0</v>
      </c>
      <c r="DL89" s="862">
        <v>1.0555779471050051</v>
      </c>
      <c r="DM89" s="862">
        <v>0</v>
      </c>
      <c r="DN89" s="867">
        <v>0</v>
      </c>
      <c r="DO89" s="862">
        <v>1.0687726714438199</v>
      </c>
      <c r="DP89" s="862">
        <v>0.85545203299999995</v>
      </c>
      <c r="DQ89" s="862">
        <v>0.86362635300000001</v>
      </c>
      <c r="DR89" s="862">
        <v>1.9540111118368653</v>
      </c>
      <c r="DS89" s="862">
        <v>0</v>
      </c>
      <c r="DT89" s="862">
        <v>0.28169549300000002</v>
      </c>
      <c r="DU89" s="862">
        <v>1.9842799479598261</v>
      </c>
      <c r="DV89" s="862">
        <v>0.89711223200000001</v>
      </c>
      <c r="DW89" s="862">
        <v>0.90568463700000001</v>
      </c>
      <c r="DX89" s="862">
        <v>2.023693678259324</v>
      </c>
      <c r="DY89" s="862">
        <v>0</v>
      </c>
      <c r="DZ89" s="867">
        <v>0.92307597399999997</v>
      </c>
      <c r="EA89" s="862">
        <v>3.0232216552750653</v>
      </c>
      <c r="EB89" s="862">
        <v>1.9</v>
      </c>
      <c r="EC89" s="862">
        <v>1.9</v>
      </c>
      <c r="ED89" s="862">
        <v>3.0372619260000002</v>
      </c>
      <c r="EE89" s="862">
        <v>0</v>
      </c>
      <c r="EF89" s="862">
        <v>2.1082000059999997</v>
      </c>
      <c r="EG89" s="862">
        <v>4.2029554000000005</v>
      </c>
      <c r="EH89" s="862">
        <v>1.9</v>
      </c>
      <c r="EI89" s="862">
        <v>1.9</v>
      </c>
      <c r="EJ89" s="862">
        <v>4.2317423420000004</v>
      </c>
      <c r="EK89" s="862">
        <v>0</v>
      </c>
      <c r="EL89" s="867">
        <v>1.9</v>
      </c>
      <c r="EM89" s="1210"/>
      <c r="EN89" s="1210"/>
      <c r="EO89" s="1210"/>
      <c r="EP89" s="1210"/>
      <c r="EQ89" s="1210"/>
      <c r="ER89" s="1210"/>
      <c r="ES89" s="1210"/>
      <c r="ET89" s="1210"/>
      <c r="EU89" s="1210"/>
      <c r="EV89" s="1210"/>
      <c r="EW89" s="1210"/>
      <c r="EX89" s="1561"/>
      <c r="EY89" s="1210"/>
      <c r="EZ89" s="1210"/>
      <c r="FA89" s="1210"/>
      <c r="FB89" s="1210"/>
      <c r="FC89" s="1210"/>
      <c r="FD89" s="1210"/>
      <c r="FE89" s="1210"/>
      <c r="FF89" s="1210"/>
      <c r="FG89" s="1210"/>
      <c r="FH89" s="1210"/>
      <c r="FI89" s="1210"/>
      <c r="FJ89" s="1561"/>
      <c r="FK89" s="1210"/>
      <c r="FL89" s="1210"/>
      <c r="FM89" s="1210"/>
      <c r="FN89" s="1210"/>
      <c r="FO89" s="1210"/>
      <c r="FP89" s="1210"/>
      <c r="FQ89" s="862"/>
      <c r="FR89" s="862"/>
      <c r="FS89" s="862"/>
      <c r="FT89" s="862"/>
      <c r="FU89" s="862"/>
      <c r="FV89" s="862"/>
      <c r="FW89" s="862"/>
      <c r="FX89" s="862"/>
      <c r="FY89" s="862"/>
      <c r="FZ89" s="862"/>
      <c r="GA89" s="862"/>
      <c r="GB89" s="862"/>
      <c r="GC89" s="862"/>
      <c r="GD89" s="862"/>
      <c r="GE89" s="862"/>
      <c r="GF89" s="862"/>
      <c r="GG89" s="862"/>
      <c r="GH89" s="862"/>
      <c r="GI89" s="862"/>
      <c r="GJ89" s="862"/>
      <c r="GK89" s="862"/>
      <c r="GL89" s="862"/>
      <c r="GM89" s="862"/>
      <c r="GN89" s="862"/>
      <c r="GO89" s="862"/>
      <c r="GP89" s="862"/>
      <c r="GQ89" s="862"/>
      <c r="GR89" s="862"/>
      <c r="GS89" s="862"/>
      <c r="GT89" s="862"/>
      <c r="GU89" s="862"/>
      <c r="GV89" s="862"/>
      <c r="GW89" s="862"/>
      <c r="GX89" s="862"/>
      <c r="GY89" s="862"/>
      <c r="GZ89" s="862"/>
      <c r="HA89" s="862"/>
      <c r="HB89" s="862"/>
      <c r="HC89" s="862"/>
      <c r="HD89" s="862"/>
      <c r="HE89" s="862"/>
      <c r="HF89" s="862"/>
      <c r="HG89" s="862"/>
      <c r="HH89" s="862"/>
      <c r="HI89" s="862"/>
      <c r="HJ89" s="862"/>
      <c r="HK89" s="862"/>
      <c r="HL89" s="862"/>
      <c r="HM89" s="862"/>
      <c r="HV89" s="302">
        <f t="shared" ref="HV89:HV113" si="17">+SUM(DC89:DH89)</f>
        <v>9.4413165334045495</v>
      </c>
      <c r="HW89" s="302">
        <f t="shared" ref="HW89:HW113" si="18">+SUM(DI89:DN89)</f>
        <v>2.098124067105005</v>
      </c>
      <c r="HX89" s="302">
        <f t="shared" ref="HX89:HX113" si="19">+HV89+HW89</f>
        <v>11.539440600509554</v>
      </c>
      <c r="HY89" s="302">
        <f t="shared" si="16"/>
        <v>5.0235576622806848</v>
      </c>
      <c r="KH89" s="303"/>
    </row>
    <row r="90" spans="1:294" outlineLevel="1">
      <c r="B90" s="117" t="s">
        <v>361</v>
      </c>
      <c r="D90" s="319" t="s">
        <v>394</v>
      </c>
      <c r="E90" s="316"/>
      <c r="F90" s="316"/>
      <c r="G90" s="316"/>
      <c r="H90" s="316"/>
      <c r="I90" s="316"/>
      <c r="J90" s="316"/>
      <c r="K90" s="316"/>
      <c r="L90" s="316"/>
      <c r="M90" s="316"/>
      <c r="N90" s="316"/>
      <c r="O90" s="316"/>
      <c r="P90" s="316"/>
      <c r="Q90" s="316"/>
      <c r="R90" s="316"/>
      <c r="S90" s="316"/>
      <c r="T90" s="316"/>
      <c r="U90" s="316"/>
      <c r="V90" s="316"/>
      <c r="W90" s="316"/>
      <c r="X90" s="316"/>
      <c r="Y90" s="316"/>
      <c r="Z90" s="316"/>
      <c r="AA90" s="316"/>
      <c r="AB90" s="316"/>
      <c r="AC90" s="316"/>
      <c r="AD90" s="316"/>
      <c r="AE90" s="316"/>
      <c r="AF90" s="316"/>
      <c r="AG90" s="316"/>
      <c r="AH90" s="316"/>
      <c r="AI90" s="316"/>
      <c r="AJ90" s="316"/>
      <c r="AK90" s="316"/>
      <c r="AL90" s="316"/>
      <c r="AM90" s="316"/>
      <c r="AN90" s="316"/>
      <c r="AO90" s="316"/>
      <c r="AP90" s="316"/>
      <c r="AQ90" s="316"/>
      <c r="AR90" s="316"/>
      <c r="AS90" s="316"/>
      <c r="AT90" s="316"/>
      <c r="AU90" s="316"/>
      <c r="AV90" s="316"/>
      <c r="AW90" s="316"/>
      <c r="AX90" s="316"/>
      <c r="AY90" s="316"/>
      <c r="AZ90" s="316"/>
      <c r="BA90" s="316"/>
      <c r="BB90" s="316"/>
      <c r="BC90" s="316"/>
      <c r="BD90" s="316"/>
      <c r="BE90" s="316"/>
      <c r="BF90" s="316"/>
      <c r="BG90" s="316"/>
      <c r="BH90" s="316"/>
      <c r="BI90" s="316"/>
      <c r="BJ90" s="316"/>
      <c r="BK90" s="316"/>
      <c r="BL90" s="316"/>
      <c r="BM90" s="316"/>
      <c r="BN90" s="316"/>
      <c r="BO90" s="316"/>
      <c r="BP90" s="316"/>
      <c r="BQ90" s="316"/>
      <c r="BR90" s="316"/>
      <c r="BS90" s="316"/>
      <c r="BT90" s="316"/>
      <c r="BU90" s="316"/>
      <c r="BV90" s="316"/>
      <c r="BW90" s="316"/>
      <c r="BX90" s="316"/>
      <c r="BY90" s="316"/>
      <c r="BZ90" s="316"/>
      <c r="CA90" s="316"/>
      <c r="CB90" s="316"/>
      <c r="CC90" s="316"/>
      <c r="CD90" s="316"/>
      <c r="CE90" s="317">
        <v>0</v>
      </c>
      <c r="CF90" s="316">
        <v>1.6176518170000023</v>
      </c>
      <c r="CG90" s="316">
        <v>0</v>
      </c>
      <c r="CH90" s="316">
        <v>0</v>
      </c>
      <c r="CI90" s="316">
        <v>1.6661813710000004</v>
      </c>
      <c r="CJ90" s="316">
        <v>0</v>
      </c>
      <c r="CK90" s="316">
        <v>0.94391963800000056</v>
      </c>
      <c r="CL90" s="316">
        <v>0</v>
      </c>
      <c r="CM90" s="316">
        <v>1.7161668119999973</v>
      </c>
      <c r="CN90" s="316">
        <v>0.95571863300000004</v>
      </c>
      <c r="CO90" s="316">
        <v>6</v>
      </c>
      <c r="CP90" s="318">
        <v>5</v>
      </c>
      <c r="CQ90" s="316">
        <v>0.96766511620255435</v>
      </c>
      <c r="CR90" s="316">
        <v>0</v>
      </c>
      <c r="CS90" s="316">
        <v>0</v>
      </c>
      <c r="CT90" s="316">
        <v>0.97976093015508603</v>
      </c>
      <c r="CU90" s="316">
        <v>0</v>
      </c>
      <c r="CV90" s="316">
        <v>0</v>
      </c>
      <c r="CW90" s="316">
        <v>0.992007941782025</v>
      </c>
      <c r="CX90" s="316">
        <v>0</v>
      </c>
      <c r="CY90" s="316">
        <v>0</v>
      </c>
      <c r="CZ90" s="316">
        <v>1.0044080410543001</v>
      </c>
      <c r="DA90" s="316">
        <v>0</v>
      </c>
      <c r="DB90" s="1498">
        <v>0</v>
      </c>
      <c r="DC90" s="316">
        <v>1.0169631415674789</v>
      </c>
      <c r="DD90" s="316">
        <v>0</v>
      </c>
      <c r="DE90" s="316">
        <v>0</v>
      </c>
      <c r="DF90" s="316">
        <v>1.0296751808370701</v>
      </c>
      <c r="DG90" s="316">
        <v>7</v>
      </c>
      <c r="DH90" s="316">
        <v>0</v>
      </c>
      <c r="DI90" s="316">
        <v>1.0425461199999999</v>
      </c>
      <c r="DJ90" s="316">
        <v>0</v>
      </c>
      <c r="DK90" s="316">
        <v>0</v>
      </c>
      <c r="DL90" s="316">
        <v>0</v>
      </c>
      <c r="DM90" s="316">
        <v>0</v>
      </c>
      <c r="DN90" s="318">
        <v>0</v>
      </c>
      <c r="DO90" s="316">
        <v>1.0687726714438199</v>
      </c>
      <c r="DP90" s="316">
        <v>0.85545203299999995</v>
      </c>
      <c r="DQ90" s="316">
        <v>0.86362635300000001</v>
      </c>
      <c r="DR90" s="316">
        <v>1.9540111118368653</v>
      </c>
      <c r="DS90" s="316">
        <v>0</v>
      </c>
      <c r="DT90" s="316">
        <v>8.8021067999999994E-2</v>
      </c>
      <c r="DU90" s="316">
        <v>1.9842799479598261</v>
      </c>
      <c r="DV90" s="316">
        <v>0.89711223200000001</v>
      </c>
      <c r="DW90" s="316">
        <v>0.90568463700000001</v>
      </c>
      <c r="DX90" s="316">
        <v>2.023693678259324</v>
      </c>
      <c r="DY90" s="316">
        <v>0</v>
      </c>
      <c r="DZ90" s="318">
        <v>0.92307597399999997</v>
      </c>
      <c r="EA90" s="316">
        <v>3.0232216552750653</v>
      </c>
      <c r="EB90" s="316">
        <v>1.9</v>
      </c>
      <c r="EC90" s="316">
        <v>1.9</v>
      </c>
      <c r="ED90" s="316">
        <v>3.0372619260000002</v>
      </c>
      <c r="EE90" s="316">
        <v>0</v>
      </c>
      <c r="EF90" s="316">
        <v>1.9</v>
      </c>
      <c r="EG90" s="316">
        <v>3.0514777</v>
      </c>
      <c r="EH90" s="316">
        <v>1.9</v>
      </c>
      <c r="EI90" s="316">
        <v>1.9</v>
      </c>
      <c r="EJ90" s="316">
        <v>3.065871171</v>
      </c>
      <c r="EK90" s="316">
        <v>0</v>
      </c>
      <c r="EL90" s="318">
        <v>1.9</v>
      </c>
      <c r="EM90" s="1206"/>
      <c r="EN90" s="1206"/>
      <c r="EO90" s="1206"/>
      <c r="EP90" s="1206"/>
      <c r="EQ90" s="1206"/>
      <c r="ER90" s="1206"/>
      <c r="ES90" s="1206"/>
      <c r="ET90" s="1206"/>
      <c r="EU90" s="1206"/>
      <c r="EV90" s="1206"/>
      <c r="EW90" s="1206"/>
      <c r="EX90" s="1550"/>
      <c r="EY90" s="1206"/>
      <c r="EZ90" s="1206"/>
      <c r="FA90" s="1206"/>
      <c r="FB90" s="1206"/>
      <c r="FC90" s="1206"/>
      <c r="FD90" s="1206"/>
      <c r="FE90" s="1206"/>
      <c r="FF90" s="1206"/>
      <c r="FG90" s="1206"/>
      <c r="FH90" s="1206"/>
      <c r="FI90" s="1206"/>
      <c r="FJ90" s="1550"/>
      <c r="FK90" s="1206"/>
      <c r="FL90" s="1206"/>
      <c r="FM90" s="1206"/>
      <c r="FN90" s="1206"/>
      <c r="FO90" s="1206"/>
      <c r="FP90" s="1206"/>
      <c r="FQ90" s="316"/>
      <c r="FR90" s="316"/>
      <c r="FS90" s="316"/>
      <c r="FT90" s="316"/>
      <c r="FU90" s="316"/>
      <c r="FV90" s="316"/>
      <c r="FW90" s="316"/>
      <c r="FX90" s="316"/>
      <c r="FY90" s="316"/>
      <c r="FZ90" s="316"/>
      <c r="GA90" s="316"/>
      <c r="GB90" s="316"/>
      <c r="GC90" s="316"/>
      <c r="GD90" s="316"/>
      <c r="GE90" s="316"/>
      <c r="GF90" s="316"/>
      <c r="GG90" s="316"/>
      <c r="GH90" s="316"/>
      <c r="GI90" s="316"/>
      <c r="GJ90" s="316"/>
      <c r="GK90" s="316"/>
      <c r="GL90" s="316"/>
      <c r="GM90" s="316"/>
      <c r="GN90" s="316"/>
      <c r="GO90" s="316"/>
      <c r="GP90" s="316"/>
      <c r="GQ90" s="316"/>
      <c r="GR90" s="316"/>
      <c r="GS90" s="316"/>
      <c r="GT90" s="316"/>
      <c r="GU90" s="316"/>
      <c r="GV90" s="316"/>
      <c r="GW90" s="316"/>
      <c r="GX90" s="316"/>
      <c r="GY90" s="316"/>
      <c r="GZ90" s="316"/>
      <c r="HA90" s="316"/>
      <c r="HB90" s="316"/>
      <c r="HC90" s="316"/>
      <c r="HD90" s="316"/>
      <c r="HE90" s="316"/>
      <c r="HF90" s="316"/>
      <c r="HG90" s="316"/>
      <c r="HH90" s="316"/>
      <c r="HI90" s="316"/>
      <c r="HJ90" s="316"/>
      <c r="HK90" s="316"/>
      <c r="HL90" s="316"/>
      <c r="HM90" s="316"/>
      <c r="HV90" s="302">
        <f t="shared" si="17"/>
        <v>9.046638322404549</v>
      </c>
      <c r="HW90" s="302">
        <f t="shared" si="18"/>
        <v>1.0425461199999999</v>
      </c>
      <c r="HX90" s="302">
        <f t="shared" si="19"/>
        <v>10.089184442404548</v>
      </c>
      <c r="HY90" s="302">
        <f t="shared" si="16"/>
        <v>4.8298832372806846</v>
      </c>
      <c r="KH90" s="303"/>
    </row>
    <row r="91" spans="1:294" outlineLevel="1">
      <c r="B91" s="117" t="s">
        <v>361</v>
      </c>
      <c r="D91" s="323" t="s">
        <v>395</v>
      </c>
      <c r="E91" s="316"/>
      <c r="F91" s="316"/>
      <c r="G91" s="316"/>
      <c r="H91" s="316"/>
      <c r="I91" s="316"/>
      <c r="J91" s="316"/>
      <c r="K91" s="316"/>
      <c r="L91" s="316"/>
      <c r="M91" s="316"/>
      <c r="N91" s="316"/>
      <c r="O91" s="316"/>
      <c r="P91" s="316"/>
      <c r="Q91" s="316"/>
      <c r="R91" s="316"/>
      <c r="S91" s="316"/>
      <c r="T91" s="316"/>
      <c r="U91" s="316"/>
      <c r="V91" s="316"/>
      <c r="W91" s="316"/>
      <c r="X91" s="316"/>
      <c r="Y91" s="316"/>
      <c r="Z91" s="316"/>
      <c r="AA91" s="316"/>
      <c r="AB91" s="316"/>
      <c r="AC91" s="316"/>
      <c r="AD91" s="316"/>
      <c r="AE91" s="316"/>
      <c r="AF91" s="316"/>
      <c r="AG91" s="316"/>
      <c r="AH91" s="316"/>
      <c r="AI91" s="316"/>
      <c r="AJ91" s="316"/>
      <c r="AK91" s="316"/>
      <c r="AL91" s="316"/>
      <c r="AM91" s="316"/>
      <c r="AN91" s="316"/>
      <c r="AO91" s="316"/>
      <c r="AP91" s="316"/>
      <c r="AQ91" s="316"/>
      <c r="AR91" s="316"/>
      <c r="AS91" s="316"/>
      <c r="AT91" s="316"/>
      <c r="AU91" s="316"/>
      <c r="AV91" s="316"/>
      <c r="AW91" s="316"/>
      <c r="AX91" s="316"/>
      <c r="AY91" s="316"/>
      <c r="AZ91" s="316"/>
      <c r="BA91" s="316"/>
      <c r="BB91" s="316"/>
      <c r="BC91" s="316"/>
      <c r="BD91" s="316"/>
      <c r="BE91" s="316"/>
      <c r="BF91" s="316"/>
      <c r="BG91" s="316"/>
      <c r="BH91" s="316"/>
      <c r="BI91" s="316"/>
      <c r="BJ91" s="316"/>
      <c r="BK91" s="316"/>
      <c r="BL91" s="316"/>
      <c r="BM91" s="316"/>
      <c r="BN91" s="316"/>
      <c r="BO91" s="316"/>
      <c r="BP91" s="316"/>
      <c r="BQ91" s="316"/>
      <c r="BR91" s="316"/>
      <c r="BS91" s="316"/>
      <c r="BT91" s="316"/>
      <c r="BU91" s="316"/>
      <c r="BV91" s="316"/>
      <c r="BW91" s="316"/>
      <c r="BX91" s="316"/>
      <c r="BY91" s="316"/>
      <c r="BZ91" s="316"/>
      <c r="CA91" s="316"/>
      <c r="CB91" s="316"/>
      <c r="CC91" s="316"/>
      <c r="CD91" s="316"/>
      <c r="CE91" s="317">
        <v>0</v>
      </c>
      <c r="CF91" s="316">
        <v>0</v>
      </c>
      <c r="CG91" s="316">
        <v>0</v>
      </c>
      <c r="CH91" s="316">
        <v>0</v>
      </c>
      <c r="CI91" s="316">
        <v>0</v>
      </c>
      <c r="CJ91" s="316">
        <v>0</v>
      </c>
      <c r="CK91" s="316">
        <v>0</v>
      </c>
      <c r="CL91" s="316">
        <v>0</v>
      </c>
      <c r="CM91" s="316">
        <v>0</v>
      </c>
      <c r="CN91" s="316">
        <v>0</v>
      </c>
      <c r="CO91" s="316">
        <v>0</v>
      </c>
      <c r="CP91" s="318">
        <v>0</v>
      </c>
      <c r="CQ91" s="316">
        <v>0</v>
      </c>
      <c r="CR91" s="316">
        <v>0</v>
      </c>
      <c r="CS91" s="316">
        <v>0</v>
      </c>
      <c r="CT91" s="316">
        <v>0</v>
      </c>
      <c r="CU91" s="316">
        <v>0</v>
      </c>
      <c r="CV91" s="316">
        <v>0</v>
      </c>
      <c r="CW91" s="316">
        <v>0</v>
      </c>
      <c r="CX91" s="316">
        <v>0</v>
      </c>
      <c r="CY91" s="316">
        <v>0</v>
      </c>
      <c r="CZ91" s="316">
        <v>0</v>
      </c>
      <c r="DA91" s="316">
        <v>0</v>
      </c>
      <c r="DB91" s="1498">
        <v>0</v>
      </c>
      <c r="DC91" s="316"/>
      <c r="DD91" s="316"/>
      <c r="DE91" s="316"/>
      <c r="DF91" s="316"/>
      <c r="DG91" s="316"/>
      <c r="DH91" s="316"/>
      <c r="DI91" s="316"/>
      <c r="DJ91" s="316"/>
      <c r="DK91" s="316"/>
      <c r="DL91" s="316"/>
      <c r="DM91" s="316"/>
      <c r="DN91" s="318"/>
      <c r="DO91" s="316"/>
      <c r="DP91" s="316"/>
      <c r="DQ91" s="316"/>
      <c r="DR91" s="316"/>
      <c r="DS91" s="316"/>
      <c r="DT91" s="316"/>
      <c r="DU91" s="316"/>
      <c r="DV91" s="316"/>
      <c r="DW91" s="316"/>
      <c r="DX91" s="316"/>
      <c r="DY91" s="316"/>
      <c r="DZ91" s="318"/>
      <c r="EA91" s="316"/>
      <c r="EB91" s="316"/>
      <c r="EC91" s="316"/>
      <c r="ED91" s="316"/>
      <c r="EE91" s="316"/>
      <c r="EF91" s="316"/>
      <c r="EG91" s="316"/>
      <c r="EH91" s="316"/>
      <c r="EI91" s="316"/>
      <c r="EJ91" s="316"/>
      <c r="EK91" s="316"/>
      <c r="EL91" s="318"/>
      <c r="EM91" s="1206"/>
      <c r="EN91" s="1206"/>
      <c r="EO91" s="1206"/>
      <c r="EP91" s="1206"/>
      <c r="EQ91" s="1206"/>
      <c r="ER91" s="1206"/>
      <c r="ES91" s="1206"/>
      <c r="ET91" s="1206"/>
      <c r="EU91" s="1206"/>
      <c r="EV91" s="1206"/>
      <c r="EW91" s="1206"/>
      <c r="EX91" s="1550"/>
      <c r="EY91" s="1206"/>
      <c r="EZ91" s="1206"/>
      <c r="FA91" s="1206"/>
      <c r="FB91" s="1206"/>
      <c r="FC91" s="1206"/>
      <c r="FD91" s="1206"/>
      <c r="FE91" s="1206"/>
      <c r="FF91" s="1206"/>
      <c r="FG91" s="1206"/>
      <c r="FH91" s="1206"/>
      <c r="FI91" s="1206"/>
      <c r="FJ91" s="1550"/>
      <c r="FK91" s="1206"/>
      <c r="FL91" s="1206"/>
      <c r="FM91" s="1206"/>
      <c r="FN91" s="1206"/>
      <c r="FO91" s="1206"/>
      <c r="FP91" s="1206"/>
      <c r="FQ91" s="316"/>
      <c r="FR91" s="316"/>
      <c r="FS91" s="316"/>
      <c r="FT91" s="316"/>
      <c r="FU91" s="316"/>
      <c r="FV91" s="316"/>
      <c r="FW91" s="316"/>
      <c r="FX91" s="316"/>
      <c r="FY91" s="316"/>
      <c r="FZ91" s="316"/>
      <c r="GA91" s="316"/>
      <c r="GB91" s="316"/>
      <c r="GC91" s="316"/>
      <c r="GD91" s="316"/>
      <c r="GE91" s="316"/>
      <c r="GF91" s="316"/>
      <c r="GG91" s="316"/>
      <c r="GH91" s="316"/>
      <c r="GI91" s="316"/>
      <c r="GJ91" s="316"/>
      <c r="GK91" s="316"/>
      <c r="GL91" s="316"/>
      <c r="GM91" s="316"/>
      <c r="GN91" s="316"/>
      <c r="GO91" s="316"/>
      <c r="GP91" s="316"/>
      <c r="GQ91" s="316"/>
      <c r="GR91" s="316"/>
      <c r="GS91" s="316"/>
      <c r="GT91" s="316"/>
      <c r="GU91" s="316"/>
      <c r="GV91" s="316"/>
      <c r="GW91" s="316"/>
      <c r="GX91" s="316"/>
      <c r="GY91" s="316"/>
      <c r="GZ91" s="316"/>
      <c r="HA91" s="316"/>
      <c r="HB91" s="316"/>
      <c r="HC91" s="316"/>
      <c r="HD91" s="316"/>
      <c r="HE91" s="316"/>
      <c r="HF91" s="316"/>
      <c r="HG91" s="316"/>
      <c r="HH91" s="316"/>
      <c r="HI91" s="316"/>
      <c r="HJ91" s="316"/>
      <c r="HK91" s="316"/>
      <c r="HL91" s="316"/>
      <c r="HM91" s="316"/>
      <c r="HV91" s="302">
        <f t="shared" si="17"/>
        <v>0</v>
      </c>
      <c r="HW91" s="302">
        <f t="shared" si="18"/>
        <v>0</v>
      </c>
      <c r="HX91" s="302">
        <f t="shared" si="19"/>
        <v>0</v>
      </c>
      <c r="KH91" s="303"/>
    </row>
    <row r="92" spans="1:294" outlineLevel="1">
      <c r="B92" s="117" t="s">
        <v>361</v>
      </c>
      <c r="D92" s="323" t="s">
        <v>396</v>
      </c>
      <c r="E92" s="316"/>
      <c r="F92" s="316"/>
      <c r="G92" s="316"/>
      <c r="H92" s="316"/>
      <c r="I92" s="316"/>
      <c r="J92" s="316"/>
      <c r="K92" s="316"/>
      <c r="L92" s="316"/>
      <c r="M92" s="316"/>
      <c r="N92" s="316"/>
      <c r="O92" s="316"/>
      <c r="P92" s="316"/>
      <c r="Q92" s="316"/>
      <c r="R92" s="316"/>
      <c r="S92" s="316"/>
      <c r="T92" s="316"/>
      <c r="U92" s="316"/>
      <c r="V92" s="316"/>
      <c r="W92" s="316"/>
      <c r="X92" s="316"/>
      <c r="Y92" s="316"/>
      <c r="Z92" s="316"/>
      <c r="AA92" s="316"/>
      <c r="AB92" s="316"/>
      <c r="AC92" s="316"/>
      <c r="AD92" s="316"/>
      <c r="AE92" s="316"/>
      <c r="AF92" s="316"/>
      <c r="AG92" s="316"/>
      <c r="AH92" s="316"/>
      <c r="AI92" s="316"/>
      <c r="AJ92" s="316"/>
      <c r="AK92" s="316"/>
      <c r="AL92" s="316"/>
      <c r="AM92" s="316"/>
      <c r="AN92" s="316"/>
      <c r="AO92" s="316"/>
      <c r="AP92" s="316"/>
      <c r="AQ92" s="316"/>
      <c r="AR92" s="316"/>
      <c r="AS92" s="316"/>
      <c r="AT92" s="316"/>
      <c r="AU92" s="316"/>
      <c r="AV92" s="316"/>
      <c r="AW92" s="316"/>
      <c r="AX92" s="316"/>
      <c r="AY92" s="316"/>
      <c r="AZ92" s="316"/>
      <c r="BA92" s="316"/>
      <c r="BB92" s="316"/>
      <c r="BC92" s="316"/>
      <c r="BD92" s="316"/>
      <c r="BE92" s="316"/>
      <c r="BF92" s="316"/>
      <c r="BG92" s="316"/>
      <c r="BH92" s="316"/>
      <c r="BI92" s="316"/>
      <c r="BJ92" s="316"/>
      <c r="BK92" s="316"/>
      <c r="BL92" s="316"/>
      <c r="BM92" s="316"/>
      <c r="BN92" s="316"/>
      <c r="BO92" s="316"/>
      <c r="BP92" s="316"/>
      <c r="BQ92" s="316"/>
      <c r="BR92" s="316"/>
      <c r="BS92" s="316"/>
      <c r="BT92" s="316"/>
      <c r="BU92" s="316"/>
      <c r="BV92" s="316"/>
      <c r="BW92" s="316"/>
      <c r="BX92" s="316"/>
      <c r="BY92" s="316"/>
      <c r="BZ92" s="316"/>
      <c r="CA92" s="316"/>
      <c r="CB92" s="316"/>
      <c r="CC92" s="316"/>
      <c r="CD92" s="316"/>
      <c r="CE92" s="317">
        <v>0</v>
      </c>
      <c r="CF92" s="316">
        <v>1.6176518170000023</v>
      </c>
      <c r="CG92" s="316">
        <v>0</v>
      </c>
      <c r="CH92" s="316">
        <v>0</v>
      </c>
      <c r="CI92" s="316">
        <v>1.6661813710000004</v>
      </c>
      <c r="CJ92" s="316">
        <v>0</v>
      </c>
      <c r="CK92" s="316">
        <v>0.94391963800000056</v>
      </c>
      <c r="CL92" s="316">
        <v>0</v>
      </c>
      <c r="CM92" s="316">
        <v>1.7161668119999973</v>
      </c>
      <c r="CN92" s="316">
        <v>0.95571863300000004</v>
      </c>
      <c r="CO92" s="316">
        <v>6</v>
      </c>
      <c r="CP92" s="318">
        <v>5</v>
      </c>
      <c r="CQ92" s="316">
        <v>0.96766511620255435</v>
      </c>
      <c r="CR92" s="316">
        <v>0</v>
      </c>
      <c r="CS92" s="316">
        <v>0</v>
      </c>
      <c r="CT92" s="316">
        <v>0.97976093015508603</v>
      </c>
      <c r="CU92" s="316">
        <v>0</v>
      </c>
      <c r="CV92" s="316">
        <v>0</v>
      </c>
      <c r="CW92" s="316">
        <v>0.992007941782025</v>
      </c>
      <c r="CX92" s="316">
        <v>0</v>
      </c>
      <c r="CY92" s="316">
        <v>0</v>
      </c>
      <c r="CZ92" s="316">
        <v>1.0044080410543001</v>
      </c>
      <c r="DA92" s="316">
        <v>0</v>
      </c>
      <c r="DB92" s="1498">
        <v>0</v>
      </c>
      <c r="DC92" s="316">
        <v>1.0169631415674789</v>
      </c>
      <c r="DD92" s="316">
        <v>0</v>
      </c>
      <c r="DE92" s="316">
        <v>0</v>
      </c>
      <c r="DF92" s="316">
        <v>1.0296751808370701</v>
      </c>
      <c r="DG92" s="316">
        <v>7</v>
      </c>
      <c r="DH92" s="316">
        <v>0</v>
      </c>
      <c r="DI92" s="316">
        <v>1.0425461199999999</v>
      </c>
      <c r="DJ92" s="316">
        <v>0</v>
      </c>
      <c r="DK92" s="316">
        <v>0</v>
      </c>
      <c r="DL92" s="316">
        <v>0</v>
      </c>
      <c r="DM92" s="316">
        <v>0</v>
      </c>
      <c r="DN92" s="318">
        <v>0</v>
      </c>
      <c r="DO92" s="316">
        <v>1.0687726714438199</v>
      </c>
      <c r="DP92" s="316">
        <v>0.85545203299999995</v>
      </c>
      <c r="DQ92" s="316">
        <v>0.86362635300000001</v>
      </c>
      <c r="DR92" s="316">
        <v>1.9540111118368653</v>
      </c>
      <c r="DS92" s="316">
        <v>0</v>
      </c>
      <c r="DT92" s="316">
        <v>8.8021067999999994E-2</v>
      </c>
      <c r="DU92" s="316">
        <v>1.9842799479598261</v>
      </c>
      <c r="DV92" s="316">
        <v>0.89711223200000001</v>
      </c>
      <c r="DW92" s="316">
        <v>0.90568463700000001</v>
      </c>
      <c r="DX92" s="316">
        <v>2.023693678259324</v>
      </c>
      <c r="DY92" s="316">
        <v>0</v>
      </c>
      <c r="DZ92" s="318">
        <v>0.92307597399999997</v>
      </c>
      <c r="EA92" s="316">
        <v>3.0232216552750653</v>
      </c>
      <c r="EB92" s="316">
        <v>1.9</v>
      </c>
      <c r="EC92" s="316">
        <v>1.9</v>
      </c>
      <c r="ED92" s="316">
        <v>3.0372619260000002</v>
      </c>
      <c r="EE92" s="316">
        <v>0</v>
      </c>
      <c r="EF92" s="316">
        <v>1.9</v>
      </c>
      <c r="EG92" s="316">
        <v>0</v>
      </c>
      <c r="EH92" s="316">
        <v>0</v>
      </c>
      <c r="EI92" s="316">
        <v>0</v>
      </c>
      <c r="EJ92" s="316">
        <v>0</v>
      </c>
      <c r="EK92" s="316">
        <v>0</v>
      </c>
      <c r="EL92" s="318">
        <v>0</v>
      </c>
      <c r="EM92" s="1206"/>
      <c r="EN92" s="1206"/>
      <c r="EO92" s="1206"/>
      <c r="EP92" s="1206"/>
      <c r="EQ92" s="1206"/>
      <c r="ER92" s="1206"/>
      <c r="ES92" s="1206"/>
      <c r="ET92" s="1206"/>
      <c r="EU92" s="1206"/>
      <c r="EV92" s="1206"/>
      <c r="EW92" s="1206"/>
      <c r="EX92" s="1550"/>
      <c r="EY92" s="1206"/>
      <c r="EZ92" s="1206"/>
      <c r="FA92" s="1206"/>
      <c r="FB92" s="1206"/>
      <c r="FC92" s="1206"/>
      <c r="FD92" s="1206"/>
      <c r="FE92" s="1206"/>
      <c r="FF92" s="1206"/>
      <c r="FG92" s="1206"/>
      <c r="FH92" s="1206"/>
      <c r="FI92" s="1206"/>
      <c r="FJ92" s="1550"/>
      <c r="FK92" s="1206"/>
      <c r="FL92" s="1206"/>
      <c r="FM92" s="1206"/>
      <c r="FN92" s="1206"/>
      <c r="FO92" s="1206"/>
      <c r="FP92" s="1206"/>
      <c r="FQ92" s="316"/>
      <c r="FR92" s="316"/>
      <c r="FS92" s="316"/>
      <c r="FT92" s="316"/>
      <c r="FU92" s="316"/>
      <c r="FV92" s="316"/>
      <c r="FW92" s="316"/>
      <c r="FX92" s="316"/>
      <c r="FY92" s="316"/>
      <c r="FZ92" s="316"/>
      <c r="GA92" s="316"/>
      <c r="GB92" s="316"/>
      <c r="GC92" s="316"/>
      <c r="GD92" s="316"/>
      <c r="GE92" s="316"/>
      <c r="GF92" s="316"/>
      <c r="GG92" s="316"/>
      <c r="GH92" s="316"/>
      <c r="GI92" s="316"/>
      <c r="GJ92" s="316"/>
      <c r="GK92" s="316"/>
      <c r="GL92" s="316"/>
      <c r="GM92" s="316"/>
      <c r="GN92" s="316"/>
      <c r="GO92" s="316"/>
      <c r="GP92" s="316"/>
      <c r="GQ92" s="316"/>
      <c r="GR92" s="316"/>
      <c r="GS92" s="316"/>
      <c r="GT92" s="316"/>
      <c r="GU92" s="316"/>
      <c r="GV92" s="316"/>
      <c r="GW92" s="316"/>
      <c r="GX92" s="316"/>
      <c r="GY92" s="316"/>
      <c r="GZ92" s="316"/>
      <c r="HA92" s="316"/>
      <c r="HB92" s="316"/>
      <c r="HC92" s="316"/>
      <c r="HD92" s="316"/>
      <c r="HE92" s="316"/>
      <c r="HF92" s="316"/>
      <c r="HG92" s="316"/>
      <c r="HH92" s="316"/>
      <c r="HI92" s="316"/>
      <c r="HJ92" s="316"/>
      <c r="HK92" s="316"/>
      <c r="HL92" s="316"/>
      <c r="HM92" s="316"/>
      <c r="HV92" s="302">
        <f t="shared" si="17"/>
        <v>9.046638322404549</v>
      </c>
      <c r="HW92" s="302">
        <f t="shared" si="18"/>
        <v>1.0425461199999999</v>
      </c>
      <c r="HX92" s="302">
        <f t="shared" si="19"/>
        <v>10.089184442404548</v>
      </c>
      <c r="HY92" s="302">
        <f t="shared" ref="HY92:HY113" si="20">SUM(DO92:DT92)</f>
        <v>4.8298832372806846</v>
      </c>
      <c r="KH92" s="303"/>
    </row>
    <row r="93" spans="1:294" outlineLevel="1">
      <c r="B93" s="117" t="s">
        <v>361</v>
      </c>
      <c r="D93" s="324" t="s">
        <v>397</v>
      </c>
      <c r="E93" s="316"/>
      <c r="F93" s="316"/>
      <c r="G93" s="316"/>
      <c r="H93" s="316"/>
      <c r="I93" s="316"/>
      <c r="J93" s="316"/>
      <c r="K93" s="316"/>
      <c r="L93" s="316"/>
      <c r="M93" s="316"/>
      <c r="N93" s="316"/>
      <c r="O93" s="316"/>
      <c r="P93" s="316"/>
      <c r="Q93" s="316"/>
      <c r="R93" s="316"/>
      <c r="S93" s="316"/>
      <c r="T93" s="316"/>
      <c r="U93" s="316"/>
      <c r="V93" s="316"/>
      <c r="W93" s="316"/>
      <c r="X93" s="316"/>
      <c r="Y93" s="316"/>
      <c r="Z93" s="316"/>
      <c r="AA93" s="316"/>
      <c r="AB93" s="316"/>
      <c r="AC93" s="316"/>
      <c r="AD93" s="316"/>
      <c r="AE93" s="316"/>
      <c r="AF93" s="316"/>
      <c r="AG93" s="316"/>
      <c r="AH93" s="316"/>
      <c r="AI93" s="316"/>
      <c r="AJ93" s="316"/>
      <c r="AK93" s="316"/>
      <c r="AL93" s="316"/>
      <c r="AM93" s="316"/>
      <c r="AN93" s="316"/>
      <c r="AO93" s="316"/>
      <c r="AP93" s="316"/>
      <c r="AQ93" s="316"/>
      <c r="AR93" s="316"/>
      <c r="AS93" s="316"/>
      <c r="AT93" s="316"/>
      <c r="AU93" s="316"/>
      <c r="AV93" s="316"/>
      <c r="AW93" s="316"/>
      <c r="AX93" s="316"/>
      <c r="AY93" s="316"/>
      <c r="AZ93" s="316"/>
      <c r="BA93" s="316"/>
      <c r="BB93" s="316"/>
      <c r="BC93" s="316"/>
      <c r="BD93" s="316"/>
      <c r="BE93" s="316"/>
      <c r="BF93" s="316"/>
      <c r="BG93" s="316"/>
      <c r="BH93" s="316"/>
      <c r="BI93" s="316"/>
      <c r="BJ93" s="316"/>
      <c r="BK93" s="316"/>
      <c r="BL93" s="316"/>
      <c r="BM93" s="316"/>
      <c r="BN93" s="316"/>
      <c r="BO93" s="316"/>
      <c r="BP93" s="316"/>
      <c r="BQ93" s="316"/>
      <c r="BR93" s="316"/>
      <c r="BS93" s="316"/>
      <c r="BT93" s="316"/>
      <c r="BU93" s="316"/>
      <c r="BV93" s="316"/>
      <c r="BW93" s="316"/>
      <c r="BX93" s="316"/>
      <c r="BY93" s="316"/>
      <c r="BZ93" s="316"/>
      <c r="CA93" s="316"/>
      <c r="CB93" s="316"/>
      <c r="CC93" s="316"/>
      <c r="CD93" s="316"/>
      <c r="CE93" s="317">
        <v>0</v>
      </c>
      <c r="CF93" s="316">
        <v>1.6176518170000023</v>
      </c>
      <c r="CG93" s="316">
        <v>0</v>
      </c>
      <c r="CH93" s="316">
        <v>0</v>
      </c>
      <c r="CI93" s="316">
        <v>1.6661813710000004</v>
      </c>
      <c r="CJ93" s="316">
        <v>0</v>
      </c>
      <c r="CK93" s="316">
        <v>0</v>
      </c>
      <c r="CL93" s="316">
        <v>0</v>
      </c>
      <c r="CM93" s="316">
        <v>1.7161668119999973</v>
      </c>
      <c r="CN93" s="316">
        <v>0</v>
      </c>
      <c r="CO93" s="316">
        <v>6</v>
      </c>
      <c r="CP93" s="318">
        <v>0</v>
      </c>
      <c r="CQ93" s="316">
        <v>0</v>
      </c>
      <c r="CR93" s="316">
        <v>0</v>
      </c>
      <c r="CS93" s="316">
        <v>0</v>
      </c>
      <c r="CT93" s="316">
        <v>0</v>
      </c>
      <c r="CU93" s="316">
        <v>0</v>
      </c>
      <c r="CV93" s="316">
        <v>0</v>
      </c>
      <c r="CW93" s="316">
        <v>0</v>
      </c>
      <c r="CX93" s="316">
        <v>0</v>
      </c>
      <c r="CY93" s="316">
        <v>0</v>
      </c>
      <c r="CZ93" s="316">
        <v>0</v>
      </c>
      <c r="DA93" s="316">
        <v>0</v>
      </c>
      <c r="DB93" s="1498">
        <v>0</v>
      </c>
      <c r="DC93" s="316">
        <v>0</v>
      </c>
      <c r="DD93" s="316">
        <v>0</v>
      </c>
      <c r="DE93" s="316">
        <v>0</v>
      </c>
      <c r="DF93" s="316">
        <v>0</v>
      </c>
      <c r="DG93" s="316">
        <v>7</v>
      </c>
      <c r="DH93" s="316">
        <v>0</v>
      </c>
      <c r="DI93" s="316">
        <v>0</v>
      </c>
      <c r="DJ93" s="316">
        <v>0</v>
      </c>
      <c r="DK93" s="316">
        <v>0</v>
      </c>
      <c r="DL93" s="316">
        <v>1.0555779471050051</v>
      </c>
      <c r="DM93" s="316">
        <v>0</v>
      </c>
      <c r="DN93" s="318">
        <v>0</v>
      </c>
      <c r="DO93" s="316">
        <v>0</v>
      </c>
      <c r="DP93" s="316">
        <v>0.85545203299999995</v>
      </c>
      <c r="DQ93" s="316">
        <v>0.86362635300000001</v>
      </c>
      <c r="DR93" s="316">
        <v>0.87187878200000002</v>
      </c>
      <c r="DS93" s="316">
        <v>0</v>
      </c>
      <c r="DT93" s="316">
        <v>8.8021067999999994E-2</v>
      </c>
      <c r="DU93" s="316">
        <v>0.88862096400000001</v>
      </c>
      <c r="DV93" s="316">
        <v>0.89711223200000001</v>
      </c>
      <c r="DW93" s="316">
        <v>0.90568463700000001</v>
      </c>
      <c r="DX93" s="316">
        <v>0.91433895700000001</v>
      </c>
      <c r="DY93" s="316">
        <v>0</v>
      </c>
      <c r="DZ93" s="318">
        <v>0.92307597399999997</v>
      </c>
      <c r="EA93" s="316">
        <v>1.9</v>
      </c>
      <c r="EB93" s="316">
        <v>1.9</v>
      </c>
      <c r="EC93" s="316">
        <v>1.9</v>
      </c>
      <c r="ED93" s="316">
        <v>1.9</v>
      </c>
      <c r="EE93" s="316">
        <v>0</v>
      </c>
      <c r="EF93" s="316">
        <v>1.9</v>
      </c>
      <c r="EG93" s="316">
        <v>3.0514777</v>
      </c>
      <c r="EH93" s="316">
        <v>1.9</v>
      </c>
      <c r="EI93" s="316">
        <v>1.9</v>
      </c>
      <c r="EJ93" s="316">
        <v>3.065871171</v>
      </c>
      <c r="EK93" s="316">
        <v>0</v>
      </c>
      <c r="EL93" s="318">
        <v>1.9</v>
      </c>
      <c r="EM93" s="1206"/>
      <c r="EN93" s="1206"/>
      <c r="EO93" s="1206"/>
      <c r="EP93" s="1206"/>
      <c r="EQ93" s="1206"/>
      <c r="ER93" s="1206"/>
      <c r="ES93" s="1206"/>
      <c r="ET93" s="1206"/>
      <c r="EU93" s="1206"/>
      <c r="EV93" s="1206"/>
      <c r="EW93" s="1206"/>
      <c r="EX93" s="1550"/>
      <c r="EY93" s="1206"/>
      <c r="EZ93" s="1206"/>
      <c r="FA93" s="1206"/>
      <c r="FB93" s="1206"/>
      <c r="FC93" s="1206"/>
      <c r="FD93" s="1206"/>
      <c r="FE93" s="1206"/>
      <c r="FF93" s="1206"/>
      <c r="FG93" s="1206"/>
      <c r="FH93" s="1206"/>
      <c r="FI93" s="1206"/>
      <c r="FJ93" s="1550"/>
      <c r="FK93" s="1206"/>
      <c r="FL93" s="1206"/>
      <c r="FM93" s="1206"/>
      <c r="FN93" s="1206"/>
      <c r="FO93" s="1206"/>
      <c r="FP93" s="1206"/>
      <c r="FQ93" s="316"/>
      <c r="FR93" s="316"/>
      <c r="FS93" s="316"/>
      <c r="FT93" s="316"/>
      <c r="FU93" s="316"/>
      <c r="FV93" s="316"/>
      <c r="FW93" s="316"/>
      <c r="FX93" s="316"/>
      <c r="FY93" s="316"/>
      <c r="FZ93" s="316"/>
      <c r="GA93" s="316"/>
      <c r="GB93" s="316"/>
      <c r="GC93" s="316"/>
      <c r="GD93" s="316"/>
      <c r="GE93" s="316"/>
      <c r="GF93" s="316"/>
      <c r="GG93" s="316"/>
      <c r="GH93" s="316"/>
      <c r="GI93" s="316"/>
      <c r="GJ93" s="316"/>
      <c r="GK93" s="316"/>
      <c r="GL93" s="316"/>
      <c r="GM93" s="316"/>
      <c r="GN93" s="316"/>
      <c r="GO93" s="316"/>
      <c r="GP93" s="316"/>
      <c r="GQ93" s="316"/>
      <c r="GR93" s="316"/>
      <c r="GS93" s="316"/>
      <c r="GT93" s="316"/>
      <c r="GU93" s="316"/>
      <c r="GV93" s="316"/>
      <c r="GW93" s="316"/>
      <c r="GX93" s="316"/>
      <c r="GY93" s="316"/>
      <c r="GZ93" s="316"/>
      <c r="HA93" s="316"/>
      <c r="HB93" s="316"/>
      <c r="HC93" s="316"/>
      <c r="HD93" s="316"/>
      <c r="HE93" s="316"/>
      <c r="HF93" s="316"/>
      <c r="HG93" s="316"/>
      <c r="HH93" s="316"/>
      <c r="HI93" s="316"/>
      <c r="HJ93" s="316"/>
      <c r="HK93" s="316"/>
      <c r="HL93" s="316"/>
      <c r="HM93" s="316"/>
      <c r="HV93" s="302">
        <f t="shared" si="17"/>
        <v>7</v>
      </c>
      <c r="HW93" s="302">
        <f t="shared" si="18"/>
        <v>1.0555779471050051</v>
      </c>
      <c r="HX93" s="302">
        <f t="shared" si="19"/>
        <v>8.0555779471050055</v>
      </c>
      <c r="HY93" s="302">
        <f t="shared" si="20"/>
        <v>2.6789782360000003</v>
      </c>
      <c r="KH93" s="303"/>
    </row>
    <row r="94" spans="1:294" outlineLevel="1">
      <c r="B94" s="117" t="s">
        <v>361</v>
      </c>
      <c r="D94" s="324" t="s">
        <v>398</v>
      </c>
      <c r="E94" s="316"/>
      <c r="F94" s="316"/>
      <c r="G94" s="316"/>
      <c r="H94" s="316"/>
      <c r="I94" s="316"/>
      <c r="J94" s="316"/>
      <c r="K94" s="316"/>
      <c r="L94" s="316"/>
      <c r="M94" s="316"/>
      <c r="N94" s="316"/>
      <c r="O94" s="316"/>
      <c r="P94" s="316"/>
      <c r="Q94" s="316"/>
      <c r="R94" s="316"/>
      <c r="S94" s="316"/>
      <c r="T94" s="316"/>
      <c r="U94" s="316"/>
      <c r="V94" s="316"/>
      <c r="W94" s="316"/>
      <c r="X94" s="316"/>
      <c r="Y94" s="316"/>
      <c r="Z94" s="316"/>
      <c r="AA94" s="316"/>
      <c r="AB94" s="316"/>
      <c r="AC94" s="316"/>
      <c r="AD94" s="316"/>
      <c r="AE94" s="316"/>
      <c r="AF94" s="316"/>
      <c r="AG94" s="316"/>
      <c r="AH94" s="316"/>
      <c r="AI94" s="316"/>
      <c r="AJ94" s="316"/>
      <c r="AK94" s="316"/>
      <c r="AL94" s="316"/>
      <c r="AM94" s="316"/>
      <c r="AN94" s="316"/>
      <c r="AO94" s="316"/>
      <c r="AP94" s="316"/>
      <c r="AQ94" s="316"/>
      <c r="AR94" s="316"/>
      <c r="AS94" s="316"/>
      <c r="AT94" s="316"/>
      <c r="AU94" s="316"/>
      <c r="AV94" s="316"/>
      <c r="AW94" s="316"/>
      <c r="AX94" s="316"/>
      <c r="AY94" s="316"/>
      <c r="AZ94" s="316"/>
      <c r="BA94" s="316"/>
      <c r="BB94" s="316"/>
      <c r="BC94" s="316"/>
      <c r="BD94" s="316"/>
      <c r="BE94" s="316"/>
      <c r="BF94" s="316"/>
      <c r="BG94" s="316"/>
      <c r="BH94" s="316"/>
      <c r="BI94" s="316"/>
      <c r="BJ94" s="316"/>
      <c r="BK94" s="316"/>
      <c r="BL94" s="316"/>
      <c r="BM94" s="316"/>
      <c r="BN94" s="316"/>
      <c r="BO94" s="316"/>
      <c r="BP94" s="316"/>
      <c r="BQ94" s="316"/>
      <c r="BR94" s="316"/>
      <c r="BS94" s="316"/>
      <c r="BT94" s="316"/>
      <c r="BU94" s="316"/>
      <c r="BV94" s="316"/>
      <c r="BW94" s="316"/>
      <c r="BX94" s="316"/>
      <c r="BY94" s="316"/>
      <c r="BZ94" s="316"/>
      <c r="CA94" s="316"/>
      <c r="CB94" s="316"/>
      <c r="CC94" s="316"/>
      <c r="CD94" s="316"/>
      <c r="CE94" s="317">
        <v>0</v>
      </c>
      <c r="CF94" s="316">
        <v>0</v>
      </c>
      <c r="CG94" s="316">
        <v>0</v>
      </c>
      <c r="CH94" s="316">
        <v>0</v>
      </c>
      <c r="CI94" s="316">
        <v>0</v>
      </c>
      <c r="CJ94" s="316">
        <v>0</v>
      </c>
      <c r="CK94" s="316">
        <v>0.94391963800000056</v>
      </c>
      <c r="CL94" s="316">
        <v>0</v>
      </c>
      <c r="CM94" s="316">
        <v>0</v>
      </c>
      <c r="CN94" s="316">
        <v>0.95571863300000004</v>
      </c>
      <c r="CO94" s="316">
        <v>0</v>
      </c>
      <c r="CP94" s="318">
        <v>5</v>
      </c>
      <c r="CQ94" s="316">
        <v>0.96766511620255435</v>
      </c>
      <c r="CR94" s="316">
        <v>0</v>
      </c>
      <c r="CS94" s="316">
        <v>0</v>
      </c>
      <c r="CT94" s="316">
        <v>0.97976093015508603</v>
      </c>
      <c r="CU94" s="316">
        <v>0</v>
      </c>
      <c r="CV94" s="316">
        <v>0</v>
      </c>
      <c r="CW94" s="316">
        <v>0.992007941782025</v>
      </c>
      <c r="CX94" s="316">
        <v>0</v>
      </c>
      <c r="CY94" s="316">
        <v>0</v>
      </c>
      <c r="CZ94" s="316">
        <v>1.0044080410543001</v>
      </c>
      <c r="DA94" s="316">
        <v>0</v>
      </c>
      <c r="DB94" s="1498">
        <v>0</v>
      </c>
      <c r="DC94" s="316">
        <v>1.0169631415674789</v>
      </c>
      <c r="DD94" s="316">
        <v>0</v>
      </c>
      <c r="DE94" s="316">
        <v>0</v>
      </c>
      <c r="DF94" s="316">
        <v>1.0296751808370701</v>
      </c>
      <c r="DG94" s="316">
        <v>0</v>
      </c>
      <c r="DH94" s="316">
        <v>0</v>
      </c>
      <c r="DI94" s="316">
        <v>1.0425461199999999</v>
      </c>
      <c r="DJ94" s="316">
        <v>0</v>
      </c>
      <c r="DK94" s="316">
        <v>0</v>
      </c>
      <c r="DL94" s="316">
        <v>0</v>
      </c>
      <c r="DM94" s="316">
        <v>0</v>
      </c>
      <c r="DN94" s="318">
        <v>0</v>
      </c>
      <c r="DO94" s="316">
        <v>1.0687726714438199</v>
      </c>
      <c r="DP94" s="316">
        <v>0</v>
      </c>
      <c r="DQ94" s="316">
        <v>0</v>
      </c>
      <c r="DR94" s="316">
        <v>1.0821323298368652</v>
      </c>
      <c r="DS94" s="316">
        <v>0</v>
      </c>
      <c r="DT94" s="316">
        <v>0</v>
      </c>
      <c r="DU94" s="316">
        <v>1.0956589839598261</v>
      </c>
      <c r="DV94" s="316">
        <v>0</v>
      </c>
      <c r="DW94" s="316">
        <v>0</v>
      </c>
      <c r="DX94" s="316">
        <v>1.1093547212593238</v>
      </c>
      <c r="DY94" s="316">
        <v>0</v>
      </c>
      <c r="DZ94" s="318">
        <v>0</v>
      </c>
      <c r="EA94" s="316">
        <v>1.1232216552750653</v>
      </c>
      <c r="EB94" s="316">
        <v>0</v>
      </c>
      <c r="EC94" s="316">
        <v>0</v>
      </c>
      <c r="ED94" s="316">
        <v>1.1372619260000001</v>
      </c>
      <c r="EE94" s="316">
        <v>0</v>
      </c>
      <c r="EF94" s="316">
        <v>0</v>
      </c>
      <c r="EG94" s="316">
        <v>1.9</v>
      </c>
      <c r="EH94" s="316">
        <v>1.9</v>
      </c>
      <c r="EI94" s="316">
        <v>1.9</v>
      </c>
      <c r="EJ94" s="316">
        <v>1.9</v>
      </c>
      <c r="EK94" s="316">
        <v>0</v>
      </c>
      <c r="EL94" s="318">
        <v>1.9</v>
      </c>
      <c r="EM94" s="1206"/>
      <c r="EN94" s="1206"/>
      <c r="EO94" s="1206"/>
      <c r="EP94" s="1206"/>
      <c r="EQ94" s="1206"/>
      <c r="ER94" s="1206"/>
      <c r="ES94" s="1206"/>
      <c r="ET94" s="1206"/>
      <c r="EU94" s="1206"/>
      <c r="EV94" s="1206"/>
      <c r="EW94" s="1206"/>
      <c r="EX94" s="1550"/>
      <c r="EY94" s="1206"/>
      <c r="EZ94" s="1206"/>
      <c r="FA94" s="1206"/>
      <c r="FB94" s="1206"/>
      <c r="FC94" s="1206"/>
      <c r="FD94" s="1206"/>
      <c r="FE94" s="1206"/>
      <c r="FF94" s="1206"/>
      <c r="FG94" s="1206"/>
      <c r="FH94" s="1206"/>
      <c r="FI94" s="1206"/>
      <c r="FJ94" s="1550"/>
      <c r="FK94" s="1206"/>
      <c r="FL94" s="1206"/>
      <c r="FM94" s="1206"/>
      <c r="FN94" s="1206"/>
      <c r="FO94" s="1206"/>
      <c r="FP94" s="1206"/>
      <c r="FQ94" s="316"/>
      <c r="FR94" s="316"/>
      <c r="FS94" s="316"/>
      <c r="FT94" s="316"/>
      <c r="FU94" s="316"/>
      <c r="FV94" s="316"/>
      <c r="FW94" s="316"/>
      <c r="FX94" s="316"/>
      <c r="FY94" s="316"/>
      <c r="FZ94" s="316"/>
      <c r="GA94" s="316"/>
      <c r="GB94" s="316"/>
      <c r="GC94" s="316"/>
      <c r="GD94" s="316"/>
      <c r="GE94" s="316"/>
      <c r="GF94" s="316"/>
      <c r="GG94" s="316"/>
      <c r="GH94" s="316"/>
      <c r="GI94" s="316"/>
      <c r="GJ94" s="316"/>
      <c r="GK94" s="316"/>
      <c r="GL94" s="316"/>
      <c r="GM94" s="316"/>
      <c r="GN94" s="316"/>
      <c r="GO94" s="316"/>
      <c r="GP94" s="316"/>
      <c r="GQ94" s="316"/>
      <c r="GR94" s="316"/>
      <c r="GS94" s="316"/>
      <c r="GT94" s="316"/>
      <c r="GU94" s="316"/>
      <c r="GV94" s="316"/>
      <c r="GW94" s="316"/>
      <c r="GX94" s="316"/>
      <c r="GY94" s="316"/>
      <c r="GZ94" s="316"/>
      <c r="HA94" s="316"/>
      <c r="HB94" s="316"/>
      <c r="HC94" s="316"/>
      <c r="HD94" s="316"/>
      <c r="HE94" s="316"/>
      <c r="HF94" s="316"/>
      <c r="HG94" s="316"/>
      <c r="HH94" s="316"/>
      <c r="HI94" s="316"/>
      <c r="HJ94" s="316"/>
      <c r="HK94" s="316"/>
      <c r="HL94" s="316"/>
      <c r="HM94" s="316"/>
      <c r="HV94" s="302">
        <f t="shared" si="17"/>
        <v>2.046638322404549</v>
      </c>
      <c r="HW94" s="302">
        <f t="shared" si="18"/>
        <v>1.0425461199999999</v>
      </c>
      <c r="HX94" s="302">
        <f t="shared" si="19"/>
        <v>3.0891844424045489</v>
      </c>
      <c r="HY94" s="302">
        <f t="shared" si="20"/>
        <v>2.1509050012806852</v>
      </c>
      <c r="KH94" s="303"/>
    </row>
    <row r="95" spans="1:294" outlineLevel="1">
      <c r="B95" s="117" t="s">
        <v>361</v>
      </c>
      <c r="D95" s="319" t="s">
        <v>399</v>
      </c>
      <c r="E95" s="316"/>
      <c r="F95" s="316"/>
      <c r="G95" s="316"/>
      <c r="H95" s="316"/>
      <c r="I95" s="316"/>
      <c r="J95" s="316"/>
      <c r="K95" s="316"/>
      <c r="L95" s="316"/>
      <c r="M95" s="316"/>
      <c r="N95" s="316"/>
      <c r="O95" s="316"/>
      <c r="P95" s="316"/>
      <c r="Q95" s="316"/>
      <c r="R95" s="316"/>
      <c r="S95" s="316"/>
      <c r="T95" s="316"/>
      <c r="U95" s="316"/>
      <c r="V95" s="316"/>
      <c r="W95" s="316"/>
      <c r="X95" s="316"/>
      <c r="Y95" s="316"/>
      <c r="Z95" s="316"/>
      <c r="AA95" s="316"/>
      <c r="AB95" s="316"/>
      <c r="AC95" s="316"/>
      <c r="AD95" s="316"/>
      <c r="AE95" s="316"/>
      <c r="AF95" s="316"/>
      <c r="AG95" s="316"/>
      <c r="AH95" s="316"/>
      <c r="AI95" s="316"/>
      <c r="AJ95" s="316"/>
      <c r="AK95" s="316"/>
      <c r="AL95" s="316"/>
      <c r="AM95" s="316"/>
      <c r="AN95" s="316"/>
      <c r="AO95" s="316"/>
      <c r="AP95" s="316"/>
      <c r="AQ95" s="316"/>
      <c r="AR95" s="316"/>
      <c r="AS95" s="316"/>
      <c r="AT95" s="316"/>
      <c r="AU95" s="316"/>
      <c r="AV95" s="316"/>
      <c r="AW95" s="316"/>
      <c r="AX95" s="316"/>
      <c r="AY95" s="316"/>
      <c r="AZ95" s="316"/>
      <c r="BA95" s="316"/>
      <c r="BB95" s="316"/>
      <c r="BC95" s="316"/>
      <c r="BD95" s="316"/>
      <c r="BE95" s="316"/>
      <c r="BF95" s="316"/>
      <c r="BG95" s="316"/>
      <c r="BH95" s="316"/>
      <c r="BI95" s="316"/>
      <c r="BJ95" s="316"/>
      <c r="BK95" s="316"/>
      <c r="BL95" s="316"/>
      <c r="BM95" s="316"/>
      <c r="BN95" s="316"/>
      <c r="BO95" s="316"/>
      <c r="BP95" s="316"/>
      <c r="BQ95" s="316"/>
      <c r="BR95" s="316"/>
      <c r="BS95" s="316"/>
      <c r="BT95" s="316"/>
      <c r="BU95" s="316"/>
      <c r="BV95" s="316"/>
      <c r="BW95" s="316"/>
      <c r="BX95" s="316"/>
      <c r="BY95" s="316"/>
      <c r="BZ95" s="316"/>
      <c r="CA95" s="316"/>
      <c r="CB95" s="316"/>
      <c r="CC95" s="316"/>
      <c r="CD95" s="316"/>
      <c r="CE95" s="317">
        <v>0.36952295899999998</v>
      </c>
      <c r="CF95" s="316">
        <v>0</v>
      </c>
      <c r="CG95" s="316">
        <v>0.107257982</v>
      </c>
      <c r="CH95" s="316">
        <v>0.26947505700000002</v>
      </c>
      <c r="CI95" s="316">
        <v>0</v>
      </c>
      <c r="CJ95" s="316">
        <v>0.26315825700000001</v>
      </c>
      <c r="CK95" s="316">
        <v>0</v>
      </c>
      <c r="CL95" s="316">
        <v>0</v>
      </c>
      <c r="CM95" s="316">
        <v>0.107257982</v>
      </c>
      <c r="CN95" s="316">
        <v>0</v>
      </c>
      <c r="CO95" s="316">
        <v>0</v>
      </c>
      <c r="CP95" s="318">
        <v>0.107257982</v>
      </c>
      <c r="CQ95" s="316">
        <v>0</v>
      </c>
      <c r="CR95" s="316">
        <v>0</v>
      </c>
      <c r="CS95" s="316">
        <v>0.107257982</v>
      </c>
      <c r="CT95" s="316">
        <v>0</v>
      </c>
      <c r="CU95" s="316">
        <v>0</v>
      </c>
      <c r="CV95" s="316">
        <v>0.107257982</v>
      </c>
      <c r="CW95" s="316">
        <v>0</v>
      </c>
      <c r="CX95" s="316">
        <v>0</v>
      </c>
      <c r="CY95" s="316">
        <v>0.10730000000000001</v>
      </c>
      <c r="CZ95" s="316">
        <v>0</v>
      </c>
      <c r="DA95" s="316">
        <v>0</v>
      </c>
      <c r="DB95" s="1498">
        <v>0.10725797400000001</v>
      </c>
      <c r="DC95" s="636">
        <v>0</v>
      </c>
      <c r="DD95" s="636">
        <v>0</v>
      </c>
      <c r="DE95" s="636">
        <v>0.107257982</v>
      </c>
      <c r="DF95" s="636">
        <v>0</v>
      </c>
      <c r="DG95" s="636">
        <v>0</v>
      </c>
      <c r="DH95" s="636">
        <v>0.28742022899999997</v>
      </c>
      <c r="DI95" s="636">
        <v>0</v>
      </c>
      <c r="DJ95" s="636">
        <v>0</v>
      </c>
      <c r="DK95" s="636">
        <v>0</v>
      </c>
      <c r="DL95" s="636">
        <v>1.0555779471050051</v>
      </c>
      <c r="DM95" s="636">
        <v>0</v>
      </c>
      <c r="DN95" s="653">
        <v>0</v>
      </c>
      <c r="DO95" s="636">
        <v>0</v>
      </c>
      <c r="DP95" s="636">
        <v>0</v>
      </c>
      <c r="DQ95" s="636">
        <v>0</v>
      </c>
      <c r="DR95" s="636">
        <v>0</v>
      </c>
      <c r="DS95" s="636">
        <v>0</v>
      </c>
      <c r="DT95" s="636">
        <v>0.19367442500000001</v>
      </c>
      <c r="DU95" s="636">
        <v>0</v>
      </c>
      <c r="DV95" s="636">
        <v>0</v>
      </c>
      <c r="DW95" s="636">
        <v>0</v>
      </c>
      <c r="DX95" s="636">
        <v>0</v>
      </c>
      <c r="DY95" s="636">
        <v>0</v>
      </c>
      <c r="DZ95" s="653">
        <v>0</v>
      </c>
      <c r="EA95" s="636">
        <v>0</v>
      </c>
      <c r="EB95" s="636">
        <v>0</v>
      </c>
      <c r="EC95" s="636">
        <v>0</v>
      </c>
      <c r="ED95" s="636">
        <v>0</v>
      </c>
      <c r="EE95" s="636">
        <v>0</v>
      </c>
      <c r="EF95" s="636">
        <v>0.20820000599999999</v>
      </c>
      <c r="EG95" s="636">
        <v>1.1514777</v>
      </c>
      <c r="EH95" s="636">
        <v>0</v>
      </c>
      <c r="EI95" s="636">
        <v>0</v>
      </c>
      <c r="EJ95" s="636">
        <v>1.165871171</v>
      </c>
      <c r="EK95" s="636">
        <v>0</v>
      </c>
      <c r="EL95" s="653">
        <v>0</v>
      </c>
      <c r="EM95" s="1209"/>
      <c r="EN95" s="1209"/>
      <c r="EO95" s="1209"/>
      <c r="EP95" s="1209"/>
      <c r="EQ95" s="1209"/>
      <c r="ER95" s="1209"/>
      <c r="ES95" s="1209"/>
      <c r="ET95" s="1209"/>
      <c r="EU95" s="1209"/>
      <c r="EV95" s="1209"/>
      <c r="EW95" s="1209"/>
      <c r="EX95" s="1539"/>
      <c r="EY95" s="1209"/>
      <c r="EZ95" s="1209"/>
      <c r="FA95" s="1209"/>
      <c r="FB95" s="1209"/>
      <c r="FC95" s="1209"/>
      <c r="FD95" s="1209"/>
      <c r="FE95" s="1209"/>
      <c r="FF95" s="1209"/>
      <c r="FG95" s="1209"/>
      <c r="FH95" s="1209"/>
      <c r="FI95" s="1209"/>
      <c r="FJ95" s="1539"/>
      <c r="FK95" s="1209"/>
      <c r="FL95" s="1209"/>
      <c r="FM95" s="1209"/>
      <c r="FN95" s="1209"/>
      <c r="FO95" s="1209"/>
      <c r="FP95" s="1209"/>
      <c r="FQ95" s="636"/>
      <c r="FR95" s="636"/>
      <c r="FS95" s="636"/>
      <c r="FT95" s="636"/>
      <c r="FU95" s="636"/>
      <c r="FV95" s="636"/>
      <c r="FW95" s="636"/>
      <c r="FX95" s="636"/>
      <c r="FY95" s="636"/>
      <c r="FZ95" s="636"/>
      <c r="GA95" s="636"/>
      <c r="GB95" s="636"/>
      <c r="GC95" s="636"/>
      <c r="GD95" s="636"/>
      <c r="GE95" s="636"/>
      <c r="GF95" s="636"/>
      <c r="GG95" s="636"/>
      <c r="GH95" s="636"/>
      <c r="GI95" s="636"/>
      <c r="GJ95" s="636"/>
      <c r="GK95" s="636"/>
      <c r="GL95" s="636"/>
      <c r="GM95" s="636"/>
      <c r="GN95" s="636"/>
      <c r="GO95" s="636"/>
      <c r="GP95" s="636"/>
      <c r="GQ95" s="636"/>
      <c r="GR95" s="636"/>
      <c r="GS95" s="636"/>
      <c r="GT95" s="636"/>
      <c r="GU95" s="636"/>
      <c r="GV95" s="636"/>
      <c r="GW95" s="636"/>
      <c r="GX95" s="636"/>
      <c r="GY95" s="636"/>
      <c r="GZ95" s="636"/>
      <c r="HA95" s="636"/>
      <c r="HB95" s="636"/>
      <c r="HC95" s="636"/>
      <c r="HD95" s="636"/>
      <c r="HE95" s="636"/>
      <c r="HF95" s="636"/>
      <c r="HG95" s="636"/>
      <c r="HH95" s="636"/>
      <c r="HI95" s="636"/>
      <c r="HJ95" s="636"/>
      <c r="HK95" s="636"/>
      <c r="HL95" s="636"/>
      <c r="HM95" s="636"/>
      <c r="HV95" s="302">
        <f t="shared" si="17"/>
        <v>0.394678211</v>
      </c>
      <c r="HW95" s="302">
        <f t="shared" si="18"/>
        <v>1.0555779471050051</v>
      </c>
      <c r="HX95" s="302">
        <f t="shared" si="19"/>
        <v>1.4502561581050051</v>
      </c>
      <c r="HY95" s="302">
        <f t="shared" si="20"/>
        <v>0.19367442500000001</v>
      </c>
      <c r="KH95" s="303"/>
    </row>
    <row r="96" spans="1:294" outlineLevel="1">
      <c r="B96" s="117" t="s">
        <v>361</v>
      </c>
      <c r="D96" s="323" t="s">
        <v>400</v>
      </c>
      <c r="E96" s="316"/>
      <c r="F96" s="316"/>
      <c r="G96" s="316"/>
      <c r="H96" s="316"/>
      <c r="I96" s="316"/>
      <c r="J96" s="316"/>
      <c r="K96" s="316"/>
      <c r="L96" s="316"/>
      <c r="M96" s="316"/>
      <c r="N96" s="316"/>
      <c r="O96" s="316"/>
      <c r="P96" s="316"/>
      <c r="Q96" s="316"/>
      <c r="R96" s="316"/>
      <c r="S96" s="316"/>
      <c r="T96" s="316"/>
      <c r="U96" s="316"/>
      <c r="V96" s="316"/>
      <c r="W96" s="316"/>
      <c r="X96" s="316"/>
      <c r="Y96" s="316"/>
      <c r="Z96" s="316"/>
      <c r="AA96" s="316"/>
      <c r="AB96" s="316"/>
      <c r="AC96" s="316"/>
      <c r="AD96" s="316"/>
      <c r="AE96" s="316"/>
      <c r="AF96" s="316"/>
      <c r="AG96" s="316"/>
      <c r="AH96" s="316"/>
      <c r="AI96" s="316"/>
      <c r="AJ96" s="316"/>
      <c r="AK96" s="316"/>
      <c r="AL96" s="316"/>
      <c r="AM96" s="316"/>
      <c r="AN96" s="316"/>
      <c r="AO96" s="316"/>
      <c r="AP96" s="316"/>
      <c r="AQ96" s="316"/>
      <c r="AR96" s="316"/>
      <c r="AS96" s="316"/>
      <c r="AT96" s="316"/>
      <c r="AU96" s="316"/>
      <c r="AV96" s="316"/>
      <c r="AW96" s="316"/>
      <c r="AX96" s="316"/>
      <c r="AY96" s="316"/>
      <c r="AZ96" s="316"/>
      <c r="BA96" s="316"/>
      <c r="BB96" s="316"/>
      <c r="BC96" s="316"/>
      <c r="BD96" s="316"/>
      <c r="BE96" s="316"/>
      <c r="BF96" s="316"/>
      <c r="BG96" s="316"/>
      <c r="BH96" s="316"/>
      <c r="BI96" s="316"/>
      <c r="BJ96" s="316"/>
      <c r="BK96" s="316"/>
      <c r="BL96" s="316"/>
      <c r="BM96" s="316"/>
      <c r="BN96" s="316"/>
      <c r="BO96" s="316"/>
      <c r="BP96" s="316"/>
      <c r="BQ96" s="316"/>
      <c r="BR96" s="316"/>
      <c r="BS96" s="316"/>
      <c r="BT96" s="316"/>
      <c r="BU96" s="316"/>
      <c r="BV96" s="316"/>
      <c r="BW96" s="316"/>
      <c r="BX96" s="316"/>
      <c r="BY96" s="316"/>
      <c r="BZ96" s="316"/>
      <c r="CA96" s="316"/>
      <c r="CB96" s="316"/>
      <c r="CC96" s="316"/>
      <c r="CD96" s="316"/>
      <c r="CE96" s="317">
        <v>0.107257982</v>
      </c>
      <c r="CF96" s="316">
        <v>0</v>
      </c>
      <c r="CG96" s="316">
        <v>0.107257982</v>
      </c>
      <c r="CH96" s="316">
        <v>0</v>
      </c>
      <c r="CI96" s="316">
        <v>0</v>
      </c>
      <c r="CJ96" s="316">
        <v>0.107257982</v>
      </c>
      <c r="CK96" s="316">
        <v>0</v>
      </c>
      <c r="CL96" s="316">
        <v>0</v>
      </c>
      <c r="CM96" s="316">
        <v>0.107257982</v>
      </c>
      <c r="CN96" s="316">
        <v>0</v>
      </c>
      <c r="CO96" s="316">
        <v>0</v>
      </c>
      <c r="CP96" s="318">
        <v>0.107257982</v>
      </c>
      <c r="CQ96" s="316">
        <v>0</v>
      </c>
      <c r="CR96" s="316">
        <v>0</v>
      </c>
      <c r="CS96" s="316">
        <v>0.107257982</v>
      </c>
      <c r="CT96" s="316">
        <v>0</v>
      </c>
      <c r="CU96" s="316">
        <v>0</v>
      </c>
      <c r="CV96" s="316">
        <v>0.107257982</v>
      </c>
      <c r="CW96" s="316">
        <v>0</v>
      </c>
      <c r="CX96" s="316">
        <v>0</v>
      </c>
      <c r="CY96" s="316">
        <v>0.10730000000000001</v>
      </c>
      <c r="CZ96" s="316">
        <v>0</v>
      </c>
      <c r="DA96" s="316">
        <v>0</v>
      </c>
      <c r="DB96" s="1498">
        <v>0.10725797400000001</v>
      </c>
      <c r="DC96" s="316">
        <v>0</v>
      </c>
      <c r="DD96" s="316">
        <v>0</v>
      </c>
      <c r="DE96" s="316">
        <v>0.107257982</v>
      </c>
      <c r="DF96" s="316">
        <v>0</v>
      </c>
      <c r="DG96" s="316">
        <v>0</v>
      </c>
      <c r="DH96" s="316">
        <v>0.10725797400000001</v>
      </c>
      <c r="DI96" s="316">
        <v>0</v>
      </c>
      <c r="DJ96" s="316">
        <v>0</v>
      </c>
      <c r="DK96" s="316">
        <v>0</v>
      </c>
      <c r="DL96" s="316">
        <v>0</v>
      </c>
      <c r="DM96" s="316">
        <v>0</v>
      </c>
      <c r="DN96" s="318">
        <v>0</v>
      </c>
      <c r="DO96" s="316">
        <v>0</v>
      </c>
      <c r="DP96" s="316">
        <v>0</v>
      </c>
      <c r="DQ96" s="316">
        <v>0</v>
      </c>
      <c r="DR96" s="316">
        <v>0</v>
      </c>
      <c r="DS96" s="316">
        <v>0</v>
      </c>
      <c r="DT96" s="316">
        <v>0</v>
      </c>
      <c r="DU96" s="316">
        <v>0</v>
      </c>
      <c r="DV96" s="316">
        <v>0</v>
      </c>
      <c r="DW96" s="316">
        <v>0</v>
      </c>
      <c r="DX96" s="316">
        <v>0</v>
      </c>
      <c r="DY96" s="316">
        <v>0</v>
      </c>
      <c r="DZ96" s="318">
        <v>0</v>
      </c>
      <c r="EA96" s="316">
        <v>0</v>
      </c>
      <c r="EB96" s="316">
        <v>0</v>
      </c>
      <c r="EC96" s="316">
        <v>0</v>
      </c>
      <c r="ED96" s="316">
        <v>0</v>
      </c>
      <c r="EE96" s="316">
        <v>0</v>
      </c>
      <c r="EF96" s="316">
        <v>0</v>
      </c>
      <c r="EG96" s="316">
        <v>0</v>
      </c>
      <c r="EH96" s="316">
        <v>0</v>
      </c>
      <c r="EI96" s="316">
        <v>0</v>
      </c>
      <c r="EJ96" s="316">
        <v>0</v>
      </c>
      <c r="EK96" s="316">
        <v>0</v>
      </c>
      <c r="EL96" s="318">
        <v>0</v>
      </c>
      <c r="EM96" s="1206"/>
      <c r="EN96" s="1206"/>
      <c r="EO96" s="1206"/>
      <c r="EP96" s="1206"/>
      <c r="EQ96" s="1206"/>
      <c r="ER96" s="1206"/>
      <c r="ES96" s="1206"/>
      <c r="ET96" s="1206"/>
      <c r="EU96" s="1206"/>
      <c r="EV96" s="1206"/>
      <c r="EW96" s="1206"/>
      <c r="EX96" s="1550"/>
      <c r="EY96" s="1206"/>
      <c r="EZ96" s="1206"/>
      <c r="FA96" s="1206"/>
      <c r="FB96" s="1206"/>
      <c r="FC96" s="1206"/>
      <c r="FD96" s="1206"/>
      <c r="FE96" s="1206"/>
      <c r="FF96" s="1206"/>
      <c r="FG96" s="1206"/>
      <c r="FH96" s="1206"/>
      <c r="FI96" s="1206"/>
      <c r="FJ96" s="1550"/>
      <c r="FK96" s="1206"/>
      <c r="FL96" s="1206"/>
      <c r="FM96" s="1206"/>
      <c r="FN96" s="1206"/>
      <c r="FO96" s="1206"/>
      <c r="FP96" s="1206"/>
      <c r="FQ96" s="316"/>
      <c r="FR96" s="316"/>
      <c r="FS96" s="316"/>
      <c r="FT96" s="316"/>
      <c r="FU96" s="316"/>
      <c r="FV96" s="316"/>
      <c r="FW96" s="316"/>
      <c r="FX96" s="316"/>
      <c r="FY96" s="316"/>
      <c r="FZ96" s="316"/>
      <c r="GA96" s="316"/>
      <c r="GB96" s="316"/>
      <c r="GC96" s="316"/>
      <c r="GD96" s="316"/>
      <c r="GE96" s="316"/>
      <c r="GF96" s="316"/>
      <c r="GG96" s="316"/>
      <c r="GH96" s="316"/>
      <c r="GI96" s="316"/>
      <c r="GJ96" s="316"/>
      <c r="GK96" s="316"/>
      <c r="GL96" s="316"/>
      <c r="GM96" s="316"/>
      <c r="GN96" s="316"/>
      <c r="GO96" s="316"/>
      <c r="GP96" s="316"/>
      <c r="GQ96" s="316"/>
      <c r="GR96" s="316"/>
      <c r="GS96" s="316"/>
      <c r="GT96" s="316"/>
      <c r="GU96" s="316"/>
      <c r="GV96" s="316"/>
      <c r="GW96" s="316"/>
      <c r="GX96" s="316"/>
      <c r="GY96" s="316"/>
      <c r="GZ96" s="316"/>
      <c r="HA96" s="316"/>
      <c r="HB96" s="316"/>
      <c r="HC96" s="316"/>
      <c r="HD96" s="316"/>
      <c r="HE96" s="316"/>
      <c r="HF96" s="316"/>
      <c r="HG96" s="316"/>
      <c r="HH96" s="316"/>
      <c r="HI96" s="316"/>
      <c r="HJ96" s="316"/>
      <c r="HK96" s="316"/>
      <c r="HL96" s="316"/>
      <c r="HM96" s="316"/>
      <c r="HV96" s="302">
        <f t="shared" si="17"/>
        <v>0.21451595600000001</v>
      </c>
      <c r="HW96" s="302">
        <f t="shared" si="18"/>
        <v>0</v>
      </c>
      <c r="HX96" s="302">
        <f t="shared" si="19"/>
        <v>0.21451595600000001</v>
      </c>
      <c r="HY96" s="302">
        <f t="shared" si="20"/>
        <v>0</v>
      </c>
      <c r="KH96" s="303"/>
    </row>
    <row r="97" spans="1:294" outlineLevel="1">
      <c r="B97" s="117" t="s">
        <v>361</v>
      </c>
      <c r="D97" s="323" t="s">
        <v>401</v>
      </c>
      <c r="E97" s="316"/>
      <c r="F97" s="316"/>
      <c r="G97" s="316"/>
      <c r="H97" s="316"/>
      <c r="I97" s="316"/>
      <c r="J97" s="316"/>
      <c r="K97" s="316"/>
      <c r="L97" s="316"/>
      <c r="M97" s="316"/>
      <c r="N97" s="316"/>
      <c r="O97" s="316"/>
      <c r="P97" s="316"/>
      <c r="Q97" s="316"/>
      <c r="R97" s="316"/>
      <c r="S97" s="316"/>
      <c r="T97" s="316"/>
      <c r="U97" s="316"/>
      <c r="V97" s="316"/>
      <c r="W97" s="316"/>
      <c r="X97" s="316"/>
      <c r="Y97" s="316"/>
      <c r="Z97" s="316"/>
      <c r="AA97" s="316"/>
      <c r="AB97" s="316"/>
      <c r="AC97" s="316"/>
      <c r="AD97" s="316"/>
      <c r="AE97" s="316"/>
      <c r="AF97" s="316"/>
      <c r="AG97" s="316"/>
      <c r="AH97" s="316"/>
      <c r="AI97" s="316"/>
      <c r="AJ97" s="316"/>
      <c r="AK97" s="316"/>
      <c r="AL97" s="316"/>
      <c r="AM97" s="316"/>
      <c r="AN97" s="316"/>
      <c r="AO97" s="316"/>
      <c r="AP97" s="316"/>
      <c r="AQ97" s="316"/>
      <c r="AR97" s="316"/>
      <c r="AS97" s="316"/>
      <c r="AT97" s="316"/>
      <c r="AU97" s="316"/>
      <c r="AV97" s="316"/>
      <c r="AW97" s="316"/>
      <c r="AX97" s="316"/>
      <c r="AY97" s="316"/>
      <c r="AZ97" s="316"/>
      <c r="BA97" s="316"/>
      <c r="BB97" s="316"/>
      <c r="BC97" s="316"/>
      <c r="BD97" s="316"/>
      <c r="BE97" s="316"/>
      <c r="BF97" s="316"/>
      <c r="BG97" s="316"/>
      <c r="BH97" s="316"/>
      <c r="BI97" s="316"/>
      <c r="BJ97" s="316"/>
      <c r="BK97" s="316"/>
      <c r="BL97" s="316"/>
      <c r="BM97" s="316"/>
      <c r="BN97" s="316"/>
      <c r="BO97" s="316"/>
      <c r="BP97" s="316"/>
      <c r="BQ97" s="316"/>
      <c r="BR97" s="316"/>
      <c r="BS97" s="316"/>
      <c r="BT97" s="316"/>
      <c r="BU97" s="316"/>
      <c r="BV97" s="316"/>
      <c r="BW97" s="316"/>
      <c r="BX97" s="316"/>
      <c r="BY97" s="316"/>
      <c r="BZ97" s="316"/>
      <c r="CA97" s="316"/>
      <c r="CB97" s="316"/>
      <c r="CC97" s="316"/>
      <c r="CD97" s="316"/>
      <c r="CE97" s="317">
        <v>0</v>
      </c>
      <c r="CF97" s="316">
        <v>0</v>
      </c>
      <c r="CG97" s="316">
        <v>0</v>
      </c>
      <c r="CH97" s="316">
        <v>0</v>
      </c>
      <c r="CI97" s="316">
        <v>0</v>
      </c>
      <c r="CJ97" s="316">
        <v>0.155900275</v>
      </c>
      <c r="CK97" s="316">
        <v>0</v>
      </c>
      <c r="CL97" s="316">
        <v>0</v>
      </c>
      <c r="CM97" s="316">
        <v>0</v>
      </c>
      <c r="CN97" s="316">
        <v>0</v>
      </c>
      <c r="CO97" s="316">
        <v>0</v>
      </c>
      <c r="CP97" s="318">
        <v>0</v>
      </c>
      <c r="CQ97" s="316">
        <v>0</v>
      </c>
      <c r="CR97" s="316">
        <v>0</v>
      </c>
      <c r="CS97" s="316">
        <v>0</v>
      </c>
      <c r="CT97" s="316">
        <v>0</v>
      </c>
      <c r="CU97" s="316">
        <v>0</v>
      </c>
      <c r="CV97" s="316">
        <v>0</v>
      </c>
      <c r="CW97" s="316">
        <v>0</v>
      </c>
      <c r="CX97" s="316">
        <v>0</v>
      </c>
      <c r="CY97" s="316">
        <v>0</v>
      </c>
      <c r="CZ97" s="316">
        <v>0</v>
      </c>
      <c r="DA97" s="316">
        <v>0</v>
      </c>
      <c r="DB97" s="1498">
        <v>0</v>
      </c>
      <c r="DC97" s="316">
        <v>0</v>
      </c>
      <c r="DD97" s="316">
        <v>0</v>
      </c>
      <c r="DE97" s="316">
        <v>0</v>
      </c>
      <c r="DF97" s="316">
        <v>0</v>
      </c>
      <c r="DG97" s="316">
        <v>0</v>
      </c>
      <c r="DH97" s="316">
        <v>0.18016225499999999</v>
      </c>
      <c r="DI97" s="316">
        <v>0</v>
      </c>
      <c r="DJ97" s="316">
        <v>0</v>
      </c>
      <c r="DK97" s="316">
        <v>0</v>
      </c>
      <c r="DL97" s="316">
        <v>0</v>
      </c>
      <c r="DM97" s="316">
        <v>0</v>
      </c>
      <c r="DN97" s="318">
        <v>0</v>
      </c>
      <c r="DO97" s="316">
        <v>0</v>
      </c>
      <c r="DP97" s="316">
        <v>0</v>
      </c>
      <c r="DQ97" s="316">
        <v>0</v>
      </c>
      <c r="DR97" s="316">
        <v>0</v>
      </c>
      <c r="DS97" s="316">
        <v>0</v>
      </c>
      <c r="DT97" s="316">
        <v>0.19367442500000001</v>
      </c>
      <c r="DU97" s="316">
        <v>0</v>
      </c>
      <c r="DV97" s="316">
        <v>0</v>
      </c>
      <c r="DW97" s="316">
        <v>0</v>
      </c>
      <c r="DX97" s="316">
        <v>0</v>
      </c>
      <c r="DY97" s="316">
        <v>0</v>
      </c>
      <c r="DZ97" s="318">
        <v>0</v>
      </c>
      <c r="EA97" s="316">
        <v>0</v>
      </c>
      <c r="EB97" s="316">
        <v>0</v>
      </c>
      <c r="EC97" s="316">
        <v>0</v>
      </c>
      <c r="ED97" s="316">
        <v>0</v>
      </c>
      <c r="EE97" s="316">
        <v>0</v>
      </c>
      <c r="EF97" s="316">
        <v>0.20820000599999999</v>
      </c>
      <c r="EG97" s="316">
        <v>0</v>
      </c>
      <c r="EH97" s="316">
        <v>0</v>
      </c>
      <c r="EI97" s="316">
        <v>0</v>
      </c>
      <c r="EJ97" s="316">
        <v>0</v>
      </c>
      <c r="EK97" s="316">
        <v>0</v>
      </c>
      <c r="EL97" s="318">
        <v>0</v>
      </c>
      <c r="EM97" s="1206"/>
      <c r="EN97" s="1206"/>
      <c r="EO97" s="1206"/>
      <c r="EP97" s="1206"/>
      <c r="EQ97" s="1206"/>
      <c r="ER97" s="1206"/>
      <c r="ES97" s="1206"/>
      <c r="ET97" s="1206"/>
      <c r="EU97" s="1206"/>
      <c r="EV97" s="1206"/>
      <c r="EW97" s="1206"/>
      <c r="EX97" s="1550"/>
      <c r="EY97" s="1206"/>
      <c r="EZ97" s="1206"/>
      <c r="FA97" s="1206"/>
      <c r="FB97" s="1206"/>
      <c r="FC97" s="1206"/>
      <c r="FD97" s="1206"/>
      <c r="FE97" s="1206"/>
      <c r="FF97" s="1206"/>
      <c r="FG97" s="1206"/>
      <c r="FH97" s="1206"/>
      <c r="FI97" s="1206"/>
      <c r="FJ97" s="1550"/>
      <c r="FK97" s="1206"/>
      <c r="FL97" s="1206"/>
      <c r="FM97" s="1206"/>
      <c r="FN97" s="1206"/>
      <c r="FO97" s="1206"/>
      <c r="FP97" s="1206"/>
      <c r="FQ97" s="316"/>
      <c r="FR97" s="316"/>
      <c r="FS97" s="316"/>
      <c r="FT97" s="316"/>
      <c r="FU97" s="316"/>
      <c r="FV97" s="316"/>
      <c r="FW97" s="316"/>
      <c r="FX97" s="316"/>
      <c r="FY97" s="316"/>
      <c r="FZ97" s="316"/>
      <c r="GA97" s="316"/>
      <c r="GB97" s="316"/>
      <c r="GC97" s="316"/>
      <c r="GD97" s="316"/>
      <c r="GE97" s="316"/>
      <c r="GF97" s="316"/>
      <c r="GG97" s="316"/>
      <c r="GH97" s="316"/>
      <c r="GI97" s="316"/>
      <c r="GJ97" s="316"/>
      <c r="GK97" s="316"/>
      <c r="GL97" s="316"/>
      <c r="GM97" s="316"/>
      <c r="GN97" s="316"/>
      <c r="GO97" s="316"/>
      <c r="GP97" s="316"/>
      <c r="GQ97" s="316"/>
      <c r="GR97" s="316"/>
      <c r="GS97" s="316"/>
      <c r="GT97" s="316"/>
      <c r="GU97" s="316"/>
      <c r="GV97" s="316"/>
      <c r="GW97" s="316"/>
      <c r="GX97" s="316"/>
      <c r="GY97" s="316"/>
      <c r="GZ97" s="316"/>
      <c r="HA97" s="316"/>
      <c r="HB97" s="316"/>
      <c r="HC97" s="316"/>
      <c r="HD97" s="316"/>
      <c r="HE97" s="316"/>
      <c r="HF97" s="316"/>
      <c r="HG97" s="316"/>
      <c r="HH97" s="316"/>
      <c r="HI97" s="316"/>
      <c r="HJ97" s="316"/>
      <c r="HK97" s="316"/>
      <c r="HL97" s="316"/>
      <c r="HM97" s="316"/>
      <c r="HV97" s="302">
        <f t="shared" si="17"/>
        <v>0.18016225499999999</v>
      </c>
      <c r="HW97" s="302">
        <f t="shared" si="18"/>
        <v>0</v>
      </c>
      <c r="HX97" s="302">
        <f t="shared" si="19"/>
        <v>0.18016225499999999</v>
      </c>
      <c r="HY97" s="302">
        <f t="shared" si="20"/>
        <v>0.19367442500000001</v>
      </c>
      <c r="KH97" s="303"/>
    </row>
    <row r="98" spans="1:294" outlineLevel="1">
      <c r="B98" s="117" t="s">
        <v>361</v>
      </c>
      <c r="D98" s="323" t="s">
        <v>402</v>
      </c>
      <c r="E98" s="316"/>
      <c r="F98" s="316"/>
      <c r="G98" s="316"/>
      <c r="H98" s="316"/>
      <c r="I98" s="316"/>
      <c r="J98" s="316"/>
      <c r="K98" s="316"/>
      <c r="L98" s="316"/>
      <c r="M98" s="316"/>
      <c r="N98" s="316"/>
      <c r="O98" s="316"/>
      <c r="P98" s="316"/>
      <c r="Q98" s="316"/>
      <c r="R98" s="316"/>
      <c r="S98" s="316"/>
      <c r="T98" s="316"/>
      <c r="U98" s="316"/>
      <c r="V98" s="316"/>
      <c r="W98" s="316"/>
      <c r="X98" s="316"/>
      <c r="Y98" s="316"/>
      <c r="Z98" s="316"/>
      <c r="AA98" s="316"/>
      <c r="AB98" s="316"/>
      <c r="AC98" s="316"/>
      <c r="AD98" s="316"/>
      <c r="AE98" s="316"/>
      <c r="AF98" s="316"/>
      <c r="AG98" s="316"/>
      <c r="AH98" s="316"/>
      <c r="AI98" s="316"/>
      <c r="AJ98" s="316"/>
      <c r="AK98" s="316"/>
      <c r="AL98" s="316"/>
      <c r="AM98" s="316"/>
      <c r="AN98" s="316"/>
      <c r="AO98" s="316"/>
      <c r="AP98" s="316"/>
      <c r="AQ98" s="316"/>
      <c r="AR98" s="316"/>
      <c r="AS98" s="316"/>
      <c r="AT98" s="316"/>
      <c r="AU98" s="316"/>
      <c r="AV98" s="316"/>
      <c r="AW98" s="316"/>
      <c r="AX98" s="316"/>
      <c r="AY98" s="316"/>
      <c r="AZ98" s="316"/>
      <c r="BA98" s="316"/>
      <c r="BB98" s="316"/>
      <c r="BC98" s="316"/>
      <c r="BD98" s="316"/>
      <c r="BE98" s="316"/>
      <c r="BF98" s="316"/>
      <c r="BG98" s="316"/>
      <c r="BH98" s="316"/>
      <c r="BI98" s="316"/>
      <c r="BJ98" s="316"/>
      <c r="BK98" s="316"/>
      <c r="BL98" s="316"/>
      <c r="BM98" s="316"/>
      <c r="BN98" s="316"/>
      <c r="BO98" s="316"/>
      <c r="BP98" s="316"/>
      <c r="BQ98" s="316"/>
      <c r="BR98" s="316"/>
      <c r="BS98" s="316"/>
      <c r="BT98" s="316"/>
      <c r="BU98" s="316"/>
      <c r="BV98" s="316"/>
      <c r="BW98" s="316"/>
      <c r="BX98" s="316"/>
      <c r="BY98" s="316"/>
      <c r="BZ98" s="316"/>
      <c r="CA98" s="316"/>
      <c r="CB98" s="316"/>
      <c r="CC98" s="316"/>
      <c r="CD98" s="316"/>
      <c r="CE98" s="317">
        <v>0.26226497700000001</v>
      </c>
      <c r="CF98" s="316">
        <v>0</v>
      </c>
      <c r="CG98" s="316">
        <v>0</v>
      </c>
      <c r="CH98" s="316">
        <v>0.26947505700000002</v>
      </c>
      <c r="CI98" s="316">
        <v>0</v>
      </c>
      <c r="CJ98" s="316">
        <v>0</v>
      </c>
      <c r="CK98" s="316">
        <v>0</v>
      </c>
      <c r="CL98" s="316">
        <v>0</v>
      </c>
      <c r="CM98" s="316">
        <v>0</v>
      </c>
      <c r="CN98" s="316">
        <v>0</v>
      </c>
      <c r="CO98" s="316">
        <v>0</v>
      </c>
      <c r="CP98" s="318">
        <v>0</v>
      </c>
      <c r="CQ98" s="316">
        <v>0</v>
      </c>
      <c r="CR98" s="316">
        <v>0</v>
      </c>
      <c r="CS98" s="316">
        <v>0</v>
      </c>
      <c r="CT98" s="316">
        <v>0</v>
      </c>
      <c r="CU98" s="316">
        <v>0</v>
      </c>
      <c r="CV98" s="316">
        <v>0</v>
      </c>
      <c r="CW98" s="316">
        <v>0</v>
      </c>
      <c r="CX98" s="316">
        <v>0</v>
      </c>
      <c r="CY98" s="316">
        <v>0</v>
      </c>
      <c r="CZ98" s="316">
        <v>0</v>
      </c>
      <c r="DA98" s="316">
        <v>0</v>
      </c>
      <c r="DB98" s="1498">
        <v>0</v>
      </c>
      <c r="DC98" s="316">
        <v>0</v>
      </c>
      <c r="DD98" s="316">
        <v>0</v>
      </c>
      <c r="DE98" s="316">
        <v>0</v>
      </c>
      <c r="DF98" s="316">
        <v>0</v>
      </c>
      <c r="DG98" s="316">
        <v>0</v>
      </c>
      <c r="DH98" s="316">
        <v>0</v>
      </c>
      <c r="DI98" s="316">
        <v>0</v>
      </c>
      <c r="DJ98" s="316">
        <v>0</v>
      </c>
      <c r="DK98" s="316">
        <v>0</v>
      </c>
      <c r="DL98" s="316">
        <v>0</v>
      </c>
      <c r="DM98" s="316">
        <v>0</v>
      </c>
      <c r="DN98" s="318">
        <v>0</v>
      </c>
      <c r="DO98" s="316">
        <v>0</v>
      </c>
      <c r="DP98" s="316">
        <v>0</v>
      </c>
      <c r="DQ98" s="316">
        <v>0</v>
      </c>
      <c r="DR98" s="316">
        <v>0</v>
      </c>
      <c r="DS98" s="316">
        <v>0</v>
      </c>
      <c r="DT98" s="316">
        <v>0</v>
      </c>
      <c r="DU98" s="316">
        <v>0</v>
      </c>
      <c r="DV98" s="316">
        <v>0</v>
      </c>
      <c r="DW98" s="316">
        <v>0</v>
      </c>
      <c r="DX98" s="316">
        <v>0</v>
      </c>
      <c r="DY98" s="316">
        <v>0</v>
      </c>
      <c r="DZ98" s="318">
        <v>0</v>
      </c>
      <c r="EA98" s="316">
        <v>0</v>
      </c>
      <c r="EB98" s="316">
        <v>0</v>
      </c>
      <c r="EC98" s="316">
        <v>0</v>
      </c>
      <c r="ED98" s="316">
        <v>0</v>
      </c>
      <c r="EE98" s="316">
        <v>0</v>
      </c>
      <c r="EF98" s="316">
        <v>0</v>
      </c>
      <c r="EG98" s="316">
        <v>0</v>
      </c>
      <c r="EH98" s="316">
        <v>0</v>
      </c>
      <c r="EI98" s="316">
        <v>0</v>
      </c>
      <c r="EJ98" s="316">
        <v>0</v>
      </c>
      <c r="EK98" s="316">
        <v>0</v>
      </c>
      <c r="EL98" s="318">
        <v>0</v>
      </c>
      <c r="EM98" s="1206"/>
      <c r="EN98" s="1206"/>
      <c r="EO98" s="1206"/>
      <c r="EP98" s="1206"/>
      <c r="EQ98" s="1206"/>
      <c r="ER98" s="1206"/>
      <c r="ES98" s="1206"/>
      <c r="ET98" s="1206"/>
      <c r="EU98" s="1206"/>
      <c r="EV98" s="1206"/>
      <c r="EW98" s="1206"/>
      <c r="EX98" s="1550"/>
      <c r="EY98" s="1206"/>
      <c r="EZ98" s="1206"/>
      <c r="FA98" s="1206"/>
      <c r="FB98" s="1206"/>
      <c r="FC98" s="1206"/>
      <c r="FD98" s="1206"/>
      <c r="FE98" s="1206"/>
      <c r="FF98" s="1206"/>
      <c r="FG98" s="1206"/>
      <c r="FH98" s="1206"/>
      <c r="FI98" s="1206"/>
      <c r="FJ98" s="1550"/>
      <c r="FK98" s="1206"/>
      <c r="FL98" s="1206"/>
      <c r="FM98" s="1206"/>
      <c r="FN98" s="1206"/>
      <c r="FO98" s="1206"/>
      <c r="FP98" s="1206"/>
      <c r="FQ98" s="316"/>
      <c r="FR98" s="316"/>
      <c r="FS98" s="316"/>
      <c r="FT98" s="316"/>
      <c r="FU98" s="316"/>
      <c r="FV98" s="316"/>
      <c r="FW98" s="316"/>
      <c r="FX98" s="316"/>
      <c r="FY98" s="316"/>
      <c r="FZ98" s="316"/>
      <c r="GA98" s="316"/>
      <c r="GB98" s="316"/>
      <c r="GC98" s="316"/>
      <c r="GD98" s="316"/>
      <c r="GE98" s="316"/>
      <c r="GF98" s="316"/>
      <c r="GG98" s="316"/>
      <c r="GH98" s="316"/>
      <c r="GI98" s="316"/>
      <c r="GJ98" s="316"/>
      <c r="GK98" s="316"/>
      <c r="GL98" s="316"/>
      <c r="GM98" s="316"/>
      <c r="GN98" s="316"/>
      <c r="GO98" s="316"/>
      <c r="GP98" s="316"/>
      <c r="GQ98" s="316"/>
      <c r="GR98" s="316"/>
      <c r="GS98" s="316"/>
      <c r="GT98" s="316"/>
      <c r="GU98" s="316"/>
      <c r="GV98" s="316"/>
      <c r="GW98" s="316"/>
      <c r="GX98" s="316"/>
      <c r="GY98" s="316"/>
      <c r="GZ98" s="316"/>
      <c r="HA98" s="316"/>
      <c r="HB98" s="316"/>
      <c r="HC98" s="316"/>
      <c r="HD98" s="316"/>
      <c r="HE98" s="316"/>
      <c r="HF98" s="316"/>
      <c r="HG98" s="316"/>
      <c r="HH98" s="316"/>
      <c r="HI98" s="316"/>
      <c r="HJ98" s="316"/>
      <c r="HK98" s="316"/>
      <c r="HL98" s="316"/>
      <c r="HM98" s="316"/>
      <c r="HV98" s="302">
        <f t="shared" si="17"/>
        <v>0</v>
      </c>
      <c r="HW98" s="302">
        <f t="shared" si="18"/>
        <v>0</v>
      </c>
      <c r="HX98" s="302">
        <f t="shared" si="19"/>
        <v>0</v>
      </c>
      <c r="HY98" s="302">
        <f t="shared" si="20"/>
        <v>0</v>
      </c>
      <c r="KH98" s="303"/>
    </row>
    <row r="99" spans="1:294" outlineLevel="1">
      <c r="B99" s="117" t="s">
        <v>361</v>
      </c>
      <c r="D99" s="323" t="s">
        <v>403</v>
      </c>
      <c r="E99" s="316"/>
      <c r="F99" s="316"/>
      <c r="G99" s="316"/>
      <c r="H99" s="316"/>
      <c r="I99" s="316"/>
      <c r="J99" s="316"/>
      <c r="K99" s="316"/>
      <c r="L99" s="316"/>
      <c r="M99" s="316"/>
      <c r="N99" s="316"/>
      <c r="O99" s="316"/>
      <c r="P99" s="316"/>
      <c r="Q99" s="316"/>
      <c r="R99" s="316"/>
      <c r="S99" s="316"/>
      <c r="T99" s="316"/>
      <c r="U99" s="316"/>
      <c r="V99" s="316"/>
      <c r="W99" s="316"/>
      <c r="X99" s="316"/>
      <c r="Y99" s="316"/>
      <c r="Z99" s="316"/>
      <c r="AA99" s="316"/>
      <c r="AB99" s="316"/>
      <c r="AC99" s="316"/>
      <c r="AD99" s="316"/>
      <c r="AE99" s="316"/>
      <c r="AF99" s="316"/>
      <c r="AG99" s="316"/>
      <c r="AH99" s="316"/>
      <c r="AI99" s="316"/>
      <c r="AJ99" s="316"/>
      <c r="AK99" s="316"/>
      <c r="AL99" s="316"/>
      <c r="AM99" s="316"/>
      <c r="AN99" s="316"/>
      <c r="AO99" s="316"/>
      <c r="AP99" s="316"/>
      <c r="AQ99" s="316"/>
      <c r="AR99" s="316"/>
      <c r="AS99" s="316"/>
      <c r="AT99" s="316"/>
      <c r="AU99" s="316"/>
      <c r="AV99" s="316"/>
      <c r="AW99" s="316"/>
      <c r="AX99" s="316"/>
      <c r="AY99" s="316"/>
      <c r="AZ99" s="316"/>
      <c r="BA99" s="316"/>
      <c r="BB99" s="316"/>
      <c r="BC99" s="316"/>
      <c r="BD99" s="316"/>
      <c r="BE99" s="316"/>
      <c r="BF99" s="316"/>
      <c r="BG99" s="316"/>
      <c r="BH99" s="316"/>
      <c r="BI99" s="316"/>
      <c r="BJ99" s="316"/>
      <c r="BK99" s="316"/>
      <c r="BL99" s="316"/>
      <c r="BM99" s="316"/>
      <c r="BN99" s="316"/>
      <c r="BO99" s="316"/>
      <c r="BP99" s="316"/>
      <c r="BQ99" s="316"/>
      <c r="BR99" s="316"/>
      <c r="BS99" s="316"/>
      <c r="BT99" s="316"/>
      <c r="BU99" s="316"/>
      <c r="BV99" s="316"/>
      <c r="BW99" s="316"/>
      <c r="BX99" s="316"/>
      <c r="BY99" s="316"/>
      <c r="BZ99" s="316"/>
      <c r="CA99" s="316"/>
      <c r="CB99" s="316"/>
      <c r="CC99" s="316"/>
      <c r="CD99" s="316"/>
      <c r="CE99" s="317">
        <v>0</v>
      </c>
      <c r="CF99" s="316">
        <v>0</v>
      </c>
      <c r="CG99" s="316">
        <v>0</v>
      </c>
      <c r="CH99" s="316">
        <v>0</v>
      </c>
      <c r="CI99" s="316">
        <v>0</v>
      </c>
      <c r="CJ99" s="316">
        <v>0</v>
      </c>
      <c r="CK99" s="316">
        <v>0</v>
      </c>
      <c r="CL99" s="316">
        <v>0</v>
      </c>
      <c r="CM99" s="316">
        <v>0</v>
      </c>
      <c r="CN99" s="316">
        <v>0</v>
      </c>
      <c r="CO99" s="316">
        <v>0</v>
      </c>
      <c r="CP99" s="318">
        <v>0</v>
      </c>
      <c r="CQ99" s="316">
        <v>0</v>
      </c>
      <c r="CR99" s="316">
        <v>0</v>
      </c>
      <c r="CS99" s="316">
        <v>0</v>
      </c>
      <c r="CT99" s="316">
        <v>0</v>
      </c>
      <c r="CU99" s="316">
        <v>0</v>
      </c>
      <c r="CV99" s="316">
        <v>0</v>
      </c>
      <c r="CW99" s="316">
        <v>0</v>
      </c>
      <c r="CX99" s="316">
        <v>0</v>
      </c>
      <c r="CY99" s="316">
        <v>0</v>
      </c>
      <c r="CZ99" s="316">
        <v>0</v>
      </c>
      <c r="DA99" s="316">
        <v>0</v>
      </c>
      <c r="DB99" s="1498">
        <v>0</v>
      </c>
      <c r="DC99" s="316">
        <v>0</v>
      </c>
      <c r="DD99" s="316">
        <v>0</v>
      </c>
      <c r="DE99" s="316">
        <v>0</v>
      </c>
      <c r="DF99" s="316">
        <v>0</v>
      </c>
      <c r="DG99" s="316">
        <v>0</v>
      </c>
      <c r="DH99" s="316">
        <v>0</v>
      </c>
      <c r="DI99" s="316">
        <v>0</v>
      </c>
      <c r="DJ99" s="316">
        <v>0</v>
      </c>
      <c r="DK99" s="316">
        <v>0</v>
      </c>
      <c r="DL99" s="316">
        <v>0</v>
      </c>
      <c r="DM99" s="316">
        <v>0</v>
      </c>
      <c r="DN99" s="318">
        <v>0</v>
      </c>
      <c r="DO99" s="316">
        <v>0</v>
      </c>
      <c r="DP99" s="316">
        <v>0</v>
      </c>
      <c r="DQ99" s="316">
        <v>0</v>
      </c>
      <c r="DR99" s="316">
        <v>0</v>
      </c>
      <c r="DS99" s="316">
        <v>0</v>
      </c>
      <c r="DT99" s="316">
        <v>0</v>
      </c>
      <c r="DU99" s="316">
        <v>0</v>
      </c>
      <c r="DV99" s="316">
        <v>0</v>
      </c>
      <c r="DW99" s="316">
        <v>0</v>
      </c>
      <c r="DX99" s="316">
        <v>0</v>
      </c>
      <c r="DY99" s="316">
        <v>0</v>
      </c>
      <c r="DZ99" s="318">
        <v>0</v>
      </c>
      <c r="EA99" s="316">
        <v>0</v>
      </c>
      <c r="EB99" s="316">
        <v>0</v>
      </c>
      <c r="EC99" s="316">
        <v>0</v>
      </c>
      <c r="ED99" s="316">
        <v>0</v>
      </c>
      <c r="EE99" s="316">
        <v>0</v>
      </c>
      <c r="EF99" s="316">
        <v>0</v>
      </c>
      <c r="EG99" s="316">
        <v>0</v>
      </c>
      <c r="EH99" s="316">
        <v>0</v>
      </c>
      <c r="EI99" s="316">
        <v>0</v>
      </c>
      <c r="EJ99" s="316">
        <v>0</v>
      </c>
      <c r="EK99" s="316">
        <v>0</v>
      </c>
      <c r="EL99" s="318">
        <v>0</v>
      </c>
      <c r="EM99" s="1206"/>
      <c r="EN99" s="1206"/>
      <c r="EO99" s="1206"/>
      <c r="EP99" s="1206"/>
      <c r="EQ99" s="1206"/>
      <c r="ER99" s="1206"/>
      <c r="ES99" s="1206"/>
      <c r="ET99" s="1206"/>
      <c r="EU99" s="1206"/>
      <c r="EV99" s="1206"/>
      <c r="EW99" s="1206"/>
      <c r="EX99" s="1550"/>
      <c r="EY99" s="1206"/>
      <c r="EZ99" s="1206"/>
      <c r="FA99" s="1206"/>
      <c r="FB99" s="1206"/>
      <c r="FC99" s="1206"/>
      <c r="FD99" s="1206"/>
      <c r="FE99" s="1206"/>
      <c r="FF99" s="1206"/>
      <c r="FG99" s="1206"/>
      <c r="FH99" s="1206"/>
      <c r="FI99" s="1206"/>
      <c r="FJ99" s="1550"/>
      <c r="FK99" s="1206"/>
      <c r="FL99" s="1206"/>
      <c r="FM99" s="1206"/>
      <c r="FN99" s="1206"/>
      <c r="FO99" s="1206"/>
      <c r="FP99" s="1206"/>
      <c r="FQ99" s="316"/>
      <c r="FR99" s="316"/>
      <c r="FS99" s="316"/>
      <c r="FT99" s="316"/>
      <c r="FU99" s="316"/>
      <c r="FV99" s="316"/>
      <c r="FW99" s="316"/>
      <c r="FX99" s="316"/>
      <c r="FY99" s="316"/>
      <c r="FZ99" s="316"/>
      <c r="GA99" s="316"/>
      <c r="GB99" s="316"/>
      <c r="GC99" s="316"/>
      <c r="GD99" s="316"/>
      <c r="GE99" s="316"/>
      <c r="GF99" s="316"/>
      <c r="GG99" s="316"/>
      <c r="GH99" s="316"/>
      <c r="GI99" s="316"/>
      <c r="GJ99" s="316"/>
      <c r="GK99" s="316"/>
      <c r="GL99" s="316"/>
      <c r="GM99" s="316"/>
      <c r="GN99" s="316"/>
      <c r="GO99" s="316"/>
      <c r="GP99" s="316"/>
      <c r="GQ99" s="316"/>
      <c r="GR99" s="316"/>
      <c r="GS99" s="316"/>
      <c r="GT99" s="316"/>
      <c r="GU99" s="316"/>
      <c r="GV99" s="316"/>
      <c r="GW99" s="316"/>
      <c r="GX99" s="316"/>
      <c r="GY99" s="316"/>
      <c r="GZ99" s="316"/>
      <c r="HA99" s="316"/>
      <c r="HB99" s="316"/>
      <c r="HC99" s="316"/>
      <c r="HD99" s="316"/>
      <c r="HE99" s="316"/>
      <c r="HF99" s="316"/>
      <c r="HG99" s="316"/>
      <c r="HH99" s="316"/>
      <c r="HI99" s="316"/>
      <c r="HJ99" s="316"/>
      <c r="HK99" s="316"/>
      <c r="HL99" s="316"/>
      <c r="HM99" s="316"/>
      <c r="HV99" s="302">
        <f t="shared" si="17"/>
        <v>0</v>
      </c>
      <c r="HW99" s="302">
        <f t="shared" si="18"/>
        <v>0</v>
      </c>
      <c r="HX99" s="302">
        <f t="shared" si="19"/>
        <v>0</v>
      </c>
      <c r="HY99" s="302">
        <f t="shared" si="20"/>
        <v>0</v>
      </c>
      <c r="KH99" s="303"/>
    </row>
    <row r="100" spans="1:294" outlineLevel="1">
      <c r="B100" s="117" t="s">
        <v>361</v>
      </c>
      <c r="D100" s="323" t="s">
        <v>404</v>
      </c>
      <c r="E100" s="316"/>
      <c r="F100" s="316"/>
      <c r="G100" s="316"/>
      <c r="H100" s="316"/>
      <c r="I100" s="316"/>
      <c r="J100" s="316"/>
      <c r="K100" s="316"/>
      <c r="L100" s="316"/>
      <c r="M100" s="316"/>
      <c r="N100" s="316"/>
      <c r="O100" s="316"/>
      <c r="P100" s="316"/>
      <c r="Q100" s="316"/>
      <c r="R100" s="316"/>
      <c r="S100" s="316"/>
      <c r="T100" s="316"/>
      <c r="U100" s="316"/>
      <c r="V100" s="316"/>
      <c r="W100" s="316"/>
      <c r="X100" s="316"/>
      <c r="Y100" s="316"/>
      <c r="Z100" s="316"/>
      <c r="AA100" s="316"/>
      <c r="AB100" s="316"/>
      <c r="AC100" s="316"/>
      <c r="AD100" s="316"/>
      <c r="AE100" s="316"/>
      <c r="AF100" s="316"/>
      <c r="AG100" s="316"/>
      <c r="AH100" s="316"/>
      <c r="AI100" s="316"/>
      <c r="AJ100" s="316"/>
      <c r="AK100" s="316"/>
      <c r="AL100" s="316"/>
      <c r="AM100" s="316"/>
      <c r="AN100" s="316"/>
      <c r="AO100" s="316"/>
      <c r="AP100" s="316"/>
      <c r="AQ100" s="316"/>
      <c r="AR100" s="316"/>
      <c r="AS100" s="316"/>
      <c r="AT100" s="316"/>
      <c r="AU100" s="316"/>
      <c r="AV100" s="316"/>
      <c r="AW100" s="316"/>
      <c r="AX100" s="316"/>
      <c r="AY100" s="316"/>
      <c r="AZ100" s="316"/>
      <c r="BA100" s="316"/>
      <c r="BB100" s="316"/>
      <c r="BC100" s="316"/>
      <c r="BD100" s="316"/>
      <c r="BE100" s="316"/>
      <c r="BF100" s="316"/>
      <c r="BG100" s="316"/>
      <c r="BH100" s="316"/>
      <c r="BI100" s="316"/>
      <c r="BJ100" s="316"/>
      <c r="BK100" s="316"/>
      <c r="BL100" s="316"/>
      <c r="BM100" s="316"/>
      <c r="BN100" s="316"/>
      <c r="BO100" s="316"/>
      <c r="BP100" s="316"/>
      <c r="BQ100" s="316"/>
      <c r="BR100" s="316"/>
      <c r="BS100" s="316"/>
      <c r="BT100" s="316"/>
      <c r="BU100" s="316"/>
      <c r="BV100" s="316"/>
      <c r="BW100" s="316"/>
      <c r="BX100" s="316"/>
      <c r="BY100" s="316"/>
      <c r="BZ100" s="316"/>
      <c r="CA100" s="316"/>
      <c r="CB100" s="316"/>
      <c r="CC100" s="316"/>
      <c r="CD100" s="316"/>
      <c r="CE100" s="317">
        <v>0</v>
      </c>
      <c r="CF100" s="316">
        <v>0</v>
      </c>
      <c r="CG100" s="316">
        <v>0</v>
      </c>
      <c r="CH100" s="316">
        <v>0</v>
      </c>
      <c r="CI100" s="316">
        <v>0</v>
      </c>
      <c r="CJ100" s="316">
        <v>0</v>
      </c>
      <c r="CK100" s="316">
        <v>0</v>
      </c>
      <c r="CL100" s="316">
        <v>0</v>
      </c>
      <c r="CM100" s="316">
        <v>0</v>
      </c>
      <c r="CN100" s="316">
        <v>0</v>
      </c>
      <c r="CO100" s="316">
        <v>0</v>
      </c>
      <c r="CP100" s="318">
        <v>0</v>
      </c>
      <c r="CQ100" s="316">
        <v>0</v>
      </c>
      <c r="CR100" s="316">
        <v>0</v>
      </c>
      <c r="CS100" s="316">
        <v>0</v>
      </c>
      <c r="CT100" s="316">
        <v>0</v>
      </c>
      <c r="CU100" s="316">
        <v>0</v>
      </c>
      <c r="CV100" s="316">
        <v>0</v>
      </c>
      <c r="CW100" s="316">
        <v>0</v>
      </c>
      <c r="CX100" s="316">
        <v>0</v>
      </c>
      <c r="CY100" s="316">
        <v>0</v>
      </c>
      <c r="CZ100" s="316">
        <v>0</v>
      </c>
      <c r="DA100" s="316">
        <v>0</v>
      </c>
      <c r="DB100" s="1498">
        <v>0</v>
      </c>
      <c r="DC100" s="316">
        <v>0</v>
      </c>
      <c r="DD100" s="316">
        <v>0</v>
      </c>
      <c r="DE100" s="316">
        <v>0</v>
      </c>
      <c r="DF100" s="316">
        <v>0</v>
      </c>
      <c r="DG100" s="316">
        <v>0</v>
      </c>
      <c r="DH100" s="316">
        <v>0</v>
      </c>
      <c r="DI100" s="316">
        <v>0</v>
      </c>
      <c r="DJ100" s="316">
        <v>0</v>
      </c>
      <c r="DK100" s="316">
        <v>0</v>
      </c>
      <c r="DL100" s="316">
        <v>0</v>
      </c>
      <c r="DM100" s="316">
        <v>0</v>
      </c>
      <c r="DN100" s="318">
        <v>0</v>
      </c>
      <c r="DO100" s="316">
        <v>0</v>
      </c>
      <c r="DP100" s="316">
        <v>0</v>
      </c>
      <c r="DQ100" s="316">
        <v>0</v>
      </c>
      <c r="DR100" s="316">
        <v>0</v>
      </c>
      <c r="DS100" s="316">
        <v>0</v>
      </c>
      <c r="DT100" s="316">
        <v>0</v>
      </c>
      <c r="DU100" s="316">
        <v>0</v>
      </c>
      <c r="DV100" s="316">
        <v>0</v>
      </c>
      <c r="DW100" s="316">
        <v>0</v>
      </c>
      <c r="DX100" s="316">
        <v>0</v>
      </c>
      <c r="DY100" s="316">
        <v>0</v>
      </c>
      <c r="DZ100" s="318">
        <v>0</v>
      </c>
      <c r="EA100" s="316">
        <v>0</v>
      </c>
      <c r="EB100" s="316">
        <v>0</v>
      </c>
      <c r="EC100" s="316">
        <v>0</v>
      </c>
      <c r="ED100" s="316">
        <v>0</v>
      </c>
      <c r="EE100" s="316">
        <v>0</v>
      </c>
      <c r="EF100" s="316">
        <v>0</v>
      </c>
      <c r="EG100" s="316">
        <v>0</v>
      </c>
      <c r="EH100" s="316">
        <v>0</v>
      </c>
      <c r="EI100" s="316">
        <v>0</v>
      </c>
      <c r="EJ100" s="316">
        <v>0</v>
      </c>
      <c r="EK100" s="316">
        <v>0</v>
      </c>
      <c r="EL100" s="318">
        <v>0</v>
      </c>
      <c r="EM100" s="1206"/>
      <c r="EN100" s="1206"/>
      <c r="EO100" s="1206"/>
      <c r="EP100" s="1206"/>
      <c r="EQ100" s="1206"/>
      <c r="ER100" s="1206"/>
      <c r="ES100" s="1206"/>
      <c r="ET100" s="1206"/>
      <c r="EU100" s="1206"/>
      <c r="EV100" s="1206"/>
      <c r="EW100" s="1206"/>
      <c r="EX100" s="1550"/>
      <c r="EY100" s="1206"/>
      <c r="EZ100" s="1206"/>
      <c r="FA100" s="1206"/>
      <c r="FB100" s="1206"/>
      <c r="FC100" s="1206"/>
      <c r="FD100" s="1206"/>
      <c r="FE100" s="1206"/>
      <c r="FF100" s="1206"/>
      <c r="FG100" s="1206"/>
      <c r="FH100" s="1206"/>
      <c r="FI100" s="1206"/>
      <c r="FJ100" s="1550"/>
      <c r="FK100" s="1206"/>
      <c r="FL100" s="1206"/>
      <c r="FM100" s="1206"/>
      <c r="FN100" s="1206"/>
      <c r="FO100" s="1206"/>
      <c r="FP100" s="1206"/>
      <c r="FQ100" s="316"/>
      <c r="FR100" s="316"/>
      <c r="FS100" s="316"/>
      <c r="FT100" s="316"/>
      <c r="FU100" s="316"/>
      <c r="FV100" s="316"/>
      <c r="FW100" s="316"/>
      <c r="FX100" s="316"/>
      <c r="FY100" s="316"/>
      <c r="FZ100" s="316"/>
      <c r="GA100" s="316"/>
      <c r="GB100" s="316"/>
      <c r="GC100" s="316"/>
      <c r="GD100" s="316"/>
      <c r="GE100" s="316"/>
      <c r="GF100" s="316"/>
      <c r="GG100" s="316"/>
      <c r="GH100" s="316"/>
      <c r="GI100" s="316"/>
      <c r="GJ100" s="316"/>
      <c r="GK100" s="316"/>
      <c r="GL100" s="316"/>
      <c r="GM100" s="316"/>
      <c r="GN100" s="316"/>
      <c r="GO100" s="316"/>
      <c r="GP100" s="316"/>
      <c r="GQ100" s="316"/>
      <c r="GR100" s="316"/>
      <c r="GS100" s="316"/>
      <c r="GT100" s="316"/>
      <c r="GU100" s="316"/>
      <c r="GV100" s="316"/>
      <c r="GW100" s="316"/>
      <c r="GX100" s="316"/>
      <c r="GY100" s="316"/>
      <c r="GZ100" s="316"/>
      <c r="HA100" s="316"/>
      <c r="HB100" s="316"/>
      <c r="HC100" s="316"/>
      <c r="HD100" s="316"/>
      <c r="HE100" s="316"/>
      <c r="HF100" s="316"/>
      <c r="HG100" s="316"/>
      <c r="HH100" s="316"/>
      <c r="HI100" s="316"/>
      <c r="HJ100" s="316"/>
      <c r="HK100" s="316"/>
      <c r="HL100" s="316"/>
      <c r="HM100" s="316"/>
      <c r="HV100" s="302">
        <f t="shared" si="17"/>
        <v>0</v>
      </c>
      <c r="HW100" s="302">
        <f t="shared" si="18"/>
        <v>0</v>
      </c>
      <c r="HX100" s="302">
        <f t="shared" si="19"/>
        <v>0</v>
      </c>
      <c r="HY100" s="302">
        <f t="shared" si="20"/>
        <v>0</v>
      </c>
      <c r="KH100" s="303"/>
    </row>
    <row r="101" spans="1:294" outlineLevel="1">
      <c r="A101" s="117" t="s">
        <v>360</v>
      </c>
      <c r="B101" s="117" t="s">
        <v>361</v>
      </c>
      <c r="D101" s="322" t="s">
        <v>405</v>
      </c>
      <c r="E101" s="316"/>
      <c r="F101" s="316"/>
      <c r="G101" s="316"/>
      <c r="H101" s="316"/>
      <c r="I101" s="316"/>
      <c r="J101" s="316"/>
      <c r="K101" s="316"/>
      <c r="L101" s="316"/>
      <c r="M101" s="316"/>
      <c r="N101" s="316"/>
      <c r="O101" s="316"/>
      <c r="P101" s="316"/>
      <c r="Q101" s="316"/>
      <c r="R101" s="316"/>
      <c r="S101" s="316"/>
      <c r="T101" s="316"/>
      <c r="U101" s="316"/>
      <c r="V101" s="316"/>
      <c r="W101" s="316"/>
      <c r="X101" s="316"/>
      <c r="Y101" s="316"/>
      <c r="Z101" s="316"/>
      <c r="AA101" s="316"/>
      <c r="AB101" s="316"/>
      <c r="AC101" s="316"/>
      <c r="AD101" s="316"/>
      <c r="AE101" s="316"/>
      <c r="AF101" s="316"/>
      <c r="AG101" s="316"/>
      <c r="AH101" s="316"/>
      <c r="AI101" s="316"/>
      <c r="AJ101" s="316"/>
      <c r="AK101" s="316"/>
      <c r="AL101" s="316"/>
      <c r="AM101" s="316"/>
      <c r="AN101" s="316"/>
      <c r="AO101" s="316"/>
      <c r="AP101" s="316"/>
      <c r="AQ101" s="316"/>
      <c r="AR101" s="316"/>
      <c r="AS101" s="316"/>
      <c r="AT101" s="316"/>
      <c r="AU101" s="316"/>
      <c r="AV101" s="316"/>
      <c r="AW101" s="316"/>
      <c r="AX101" s="316"/>
      <c r="AY101" s="316"/>
      <c r="AZ101" s="316"/>
      <c r="BA101" s="316"/>
      <c r="BB101" s="316"/>
      <c r="BC101" s="316"/>
      <c r="BD101" s="316"/>
      <c r="BE101" s="316"/>
      <c r="BF101" s="316"/>
      <c r="BG101" s="316"/>
      <c r="BH101" s="316"/>
      <c r="BI101" s="316"/>
      <c r="BJ101" s="316"/>
      <c r="BK101" s="316"/>
      <c r="BL101" s="316"/>
      <c r="BM101" s="316"/>
      <c r="BN101" s="316"/>
      <c r="BO101" s="316"/>
      <c r="BP101" s="316"/>
      <c r="BQ101" s="316"/>
      <c r="BR101" s="316"/>
      <c r="BS101" s="316"/>
      <c r="BT101" s="316"/>
      <c r="BU101" s="316"/>
      <c r="BV101" s="316"/>
      <c r="BW101" s="316"/>
      <c r="BX101" s="316"/>
      <c r="BY101" s="316"/>
      <c r="BZ101" s="316"/>
      <c r="CA101" s="316"/>
      <c r="CB101" s="316"/>
      <c r="CC101" s="316"/>
      <c r="CD101" s="316"/>
      <c r="CE101" s="317">
        <v>5.6079649000000002E-2</v>
      </c>
      <c r="CF101" s="316">
        <v>0.99375000000000002</v>
      </c>
      <c r="CG101" s="316">
        <v>3.7540293000000002E-2</v>
      </c>
      <c r="CH101" s="316">
        <v>0.200439273</v>
      </c>
      <c r="CI101" s="316">
        <v>0.94522044599999999</v>
      </c>
      <c r="CJ101" s="316">
        <v>0.29456502600000001</v>
      </c>
      <c r="CK101" s="316">
        <v>0.26622048199999998</v>
      </c>
      <c r="CL101" s="316">
        <v>0</v>
      </c>
      <c r="CM101" s="316">
        <v>1.0243812699999999</v>
      </c>
      <c r="CN101" s="316">
        <v>0.25442148599999997</v>
      </c>
      <c r="CO101" s="316">
        <v>0</v>
      </c>
      <c r="CP101" s="318">
        <v>0.96914218899999993</v>
      </c>
      <c r="CQ101" s="316">
        <v>0.2424750032156216</v>
      </c>
      <c r="CR101" s="316">
        <v>0.75</v>
      </c>
      <c r="CS101" s="316">
        <v>0.21628197200000002</v>
      </c>
      <c r="CT101" s="316">
        <v>0.23037918900000001</v>
      </c>
      <c r="CU101" s="316">
        <v>0.75</v>
      </c>
      <c r="CV101" s="316">
        <v>0.13637664399999999</v>
      </c>
      <c r="CW101" s="316">
        <v>0.21813217763615109</v>
      </c>
      <c r="CX101" s="316">
        <v>0</v>
      </c>
      <c r="CY101" s="316">
        <v>0.84693273599999996</v>
      </c>
      <c r="CZ101" s="316">
        <v>0.20573207836387578</v>
      </c>
      <c r="DA101" s="316">
        <v>0</v>
      </c>
      <c r="DB101" s="1498">
        <v>0.84676914699999983</v>
      </c>
      <c r="DC101" s="862">
        <v>0.19317697785069704</v>
      </c>
      <c r="DD101" s="862">
        <v>0.63749999999999996</v>
      </c>
      <c r="DE101" s="862">
        <v>0.36529047640000001</v>
      </c>
      <c r="DF101" s="862">
        <v>0.18046493858110402</v>
      </c>
      <c r="DG101" s="862">
        <v>0.63749999999999996</v>
      </c>
      <c r="DH101" s="862">
        <v>0.28915737699999999</v>
      </c>
      <c r="DI101" s="874">
        <v>0.16759399899999999</v>
      </c>
      <c r="DJ101" s="874">
        <v>0</v>
      </c>
      <c r="DK101" s="874">
        <v>0.405059481</v>
      </c>
      <c r="DL101" s="874">
        <v>0</v>
      </c>
      <c r="DM101" s="874">
        <v>0</v>
      </c>
      <c r="DN101" s="875">
        <v>0</v>
      </c>
      <c r="DO101" s="874">
        <v>0.14136744797435799</v>
      </c>
      <c r="DP101" s="874">
        <v>0.76957410199999998</v>
      </c>
      <c r="DQ101" s="874">
        <v>0.52194975700000001</v>
      </c>
      <c r="DR101" s="874">
        <v>0.18802548558131102</v>
      </c>
      <c r="DS101" s="874">
        <v>0</v>
      </c>
      <c r="DT101" s="874">
        <v>0.81279762570000014</v>
      </c>
      <c r="DU101" s="874">
        <v>0.15775664945834986</v>
      </c>
      <c r="DV101" s="874">
        <v>3.4784245999999998E-2</v>
      </c>
      <c r="DW101" s="874">
        <v>0.402794706</v>
      </c>
      <c r="DX101" s="874">
        <v>0.11834291915885203</v>
      </c>
      <c r="DY101" s="874">
        <v>0</v>
      </c>
      <c r="DZ101" s="875">
        <v>0.67986057300000002</v>
      </c>
      <c r="EA101" s="874">
        <v>8.6918464143110483E-2</v>
      </c>
      <c r="EB101" s="874">
        <v>0.35625000000000001</v>
      </c>
      <c r="EC101" s="874">
        <v>0.56796617100000002</v>
      </c>
      <c r="ED101" s="874">
        <v>0.14575638599999999</v>
      </c>
      <c r="EE101" s="874">
        <v>0.71250000000000002</v>
      </c>
      <c r="EF101" s="874">
        <v>0.20324371824999998</v>
      </c>
      <c r="EG101" s="874">
        <v>5.8662419E-2</v>
      </c>
      <c r="EH101" s="874">
        <v>0</v>
      </c>
      <c r="EI101" s="874">
        <v>0.717188202</v>
      </c>
      <c r="EJ101" s="874">
        <v>4.4268948000000002E-2</v>
      </c>
      <c r="EK101" s="874">
        <v>0</v>
      </c>
      <c r="EL101" s="875">
        <v>0.84855444499999999</v>
      </c>
      <c r="EM101" s="1214"/>
      <c r="EN101" s="1214"/>
      <c r="EO101" s="1214"/>
      <c r="EP101" s="1214"/>
      <c r="EQ101" s="1214"/>
      <c r="ER101" s="1214"/>
      <c r="ES101" s="1214"/>
      <c r="ET101" s="1214"/>
      <c r="EU101" s="1214"/>
      <c r="EV101" s="1214"/>
      <c r="EW101" s="1214"/>
      <c r="EX101" s="1565"/>
      <c r="EY101" s="1214"/>
      <c r="EZ101" s="1214"/>
      <c r="FA101" s="1214"/>
      <c r="FB101" s="1214"/>
      <c r="FC101" s="1214"/>
      <c r="FD101" s="1214"/>
      <c r="FE101" s="1214"/>
      <c r="FF101" s="1214"/>
      <c r="FG101" s="1214"/>
      <c r="FH101" s="1214"/>
      <c r="FI101" s="1214"/>
      <c r="FJ101" s="1565"/>
      <c r="FK101" s="1214"/>
      <c r="FL101" s="1214"/>
      <c r="FM101" s="1214"/>
      <c r="FN101" s="1214"/>
      <c r="FO101" s="1214"/>
      <c r="FP101" s="1214"/>
      <c r="FQ101" s="874"/>
      <c r="FR101" s="874"/>
      <c r="FS101" s="874"/>
      <c r="FT101" s="874"/>
      <c r="FU101" s="874"/>
      <c r="FV101" s="874"/>
      <c r="FW101" s="874"/>
      <c r="FX101" s="874"/>
      <c r="FY101" s="874"/>
      <c r="FZ101" s="874"/>
      <c r="GA101" s="874"/>
      <c r="GB101" s="874"/>
      <c r="GC101" s="874"/>
      <c r="GD101" s="874"/>
      <c r="GE101" s="874"/>
      <c r="GF101" s="874"/>
      <c r="GG101" s="874"/>
      <c r="GH101" s="874"/>
      <c r="GI101" s="874"/>
      <c r="GJ101" s="874"/>
      <c r="GK101" s="874"/>
      <c r="GL101" s="874"/>
      <c r="GM101" s="874"/>
      <c r="GN101" s="874"/>
      <c r="GO101" s="874"/>
      <c r="GP101" s="874"/>
      <c r="GQ101" s="874"/>
      <c r="GR101" s="874"/>
      <c r="GS101" s="874"/>
      <c r="GT101" s="874"/>
      <c r="GU101" s="874"/>
      <c r="GV101" s="874"/>
      <c r="GW101" s="874"/>
      <c r="GX101" s="874"/>
      <c r="GY101" s="874"/>
      <c r="GZ101" s="874"/>
      <c r="HA101" s="874"/>
      <c r="HB101" s="874"/>
      <c r="HC101" s="874"/>
      <c r="HD101" s="874"/>
      <c r="HE101" s="874"/>
      <c r="HF101" s="874"/>
      <c r="HG101" s="874"/>
      <c r="HH101" s="874"/>
      <c r="HI101" s="874"/>
      <c r="HJ101" s="874"/>
      <c r="HK101" s="874"/>
      <c r="HL101" s="874"/>
      <c r="HM101" s="874"/>
      <c r="HV101" s="302">
        <f t="shared" si="17"/>
        <v>2.3030897698318014</v>
      </c>
      <c r="HW101" s="302">
        <f t="shared" si="18"/>
        <v>0.57265348000000005</v>
      </c>
      <c r="HX101" s="302">
        <f t="shared" si="19"/>
        <v>2.8757432498318014</v>
      </c>
      <c r="HY101" s="302">
        <f t="shared" si="20"/>
        <v>2.4337144182556694</v>
      </c>
      <c r="KH101" s="303"/>
    </row>
    <row r="102" spans="1:294" outlineLevel="1">
      <c r="B102" s="117" t="s">
        <v>361</v>
      </c>
      <c r="D102" s="319" t="s">
        <v>394</v>
      </c>
      <c r="E102" s="316"/>
      <c r="F102" s="316"/>
      <c r="G102" s="316"/>
      <c r="H102" s="316"/>
      <c r="I102" s="316"/>
      <c r="J102" s="316"/>
      <c r="K102" s="316"/>
      <c r="L102" s="316"/>
      <c r="M102" s="316"/>
      <c r="N102" s="316"/>
      <c r="O102" s="316"/>
      <c r="P102" s="316"/>
      <c r="Q102" s="316"/>
      <c r="R102" s="316"/>
      <c r="S102" s="316"/>
      <c r="T102" s="316"/>
      <c r="U102" s="316"/>
      <c r="V102" s="316"/>
      <c r="W102" s="316"/>
      <c r="X102" s="316"/>
      <c r="Y102" s="316"/>
      <c r="Z102" s="316"/>
      <c r="AA102" s="316"/>
      <c r="AB102" s="316"/>
      <c r="AC102" s="316"/>
      <c r="AD102" s="316"/>
      <c r="AE102" s="316"/>
      <c r="AF102" s="316"/>
      <c r="AG102" s="316"/>
      <c r="AH102" s="316"/>
      <c r="AI102" s="316"/>
      <c r="AJ102" s="316"/>
      <c r="AK102" s="316"/>
      <c r="AL102" s="316"/>
      <c r="AM102" s="316"/>
      <c r="AN102" s="316"/>
      <c r="AO102" s="316"/>
      <c r="AP102" s="316"/>
      <c r="AQ102" s="316"/>
      <c r="AR102" s="316"/>
      <c r="AS102" s="316"/>
      <c r="AT102" s="316"/>
      <c r="AU102" s="316"/>
      <c r="AV102" s="316"/>
      <c r="AW102" s="316"/>
      <c r="AX102" s="316"/>
      <c r="AY102" s="316"/>
      <c r="AZ102" s="316"/>
      <c r="BA102" s="316"/>
      <c r="BB102" s="316"/>
      <c r="BC102" s="316"/>
      <c r="BD102" s="316"/>
      <c r="BE102" s="316"/>
      <c r="BF102" s="316"/>
      <c r="BG102" s="316"/>
      <c r="BH102" s="316"/>
      <c r="BI102" s="316"/>
      <c r="BJ102" s="316"/>
      <c r="BK102" s="316"/>
      <c r="BL102" s="316"/>
      <c r="BM102" s="316"/>
      <c r="BN102" s="316"/>
      <c r="BO102" s="316"/>
      <c r="BP102" s="316"/>
      <c r="BQ102" s="316"/>
      <c r="BR102" s="316"/>
      <c r="BS102" s="316"/>
      <c r="BT102" s="316"/>
      <c r="BU102" s="316"/>
      <c r="BV102" s="316"/>
      <c r="BW102" s="316"/>
      <c r="BX102" s="316"/>
      <c r="BY102" s="316"/>
      <c r="BZ102" s="316"/>
      <c r="CA102" s="316"/>
      <c r="CB102" s="316"/>
      <c r="CC102" s="316"/>
      <c r="CD102" s="316"/>
      <c r="CE102" s="317">
        <v>0</v>
      </c>
      <c r="CF102" s="316">
        <v>0.99375000000000002</v>
      </c>
      <c r="CG102" s="316">
        <v>0</v>
      </c>
      <c r="CH102" s="316">
        <v>0.19286402999999999</v>
      </c>
      <c r="CI102" s="316">
        <v>0.94522044599999999</v>
      </c>
      <c r="CJ102" s="316">
        <v>0.19286402999999999</v>
      </c>
      <c r="CK102" s="316">
        <v>0.26622048199999998</v>
      </c>
      <c r="CL102" s="316">
        <v>0</v>
      </c>
      <c r="CM102" s="316">
        <v>0.99434903499999994</v>
      </c>
      <c r="CN102" s="316">
        <v>0.25442148599999997</v>
      </c>
      <c r="CO102" s="316">
        <v>0</v>
      </c>
      <c r="CP102" s="318">
        <v>0.94286398399999993</v>
      </c>
      <c r="CQ102" s="316">
        <v>0.2424750032156216</v>
      </c>
      <c r="CR102" s="316">
        <v>0.75</v>
      </c>
      <c r="CS102" s="316">
        <v>0.193</v>
      </c>
      <c r="CT102" s="316">
        <v>0.23037918900000001</v>
      </c>
      <c r="CU102" s="316">
        <v>0.75</v>
      </c>
      <c r="CV102" s="316">
        <v>0</v>
      </c>
      <c r="CW102" s="316">
        <v>0.21813217763615109</v>
      </c>
      <c r="CX102" s="316">
        <v>0</v>
      </c>
      <c r="CY102" s="316">
        <v>0.83036407999999995</v>
      </c>
      <c r="CZ102" s="316">
        <v>0.20573207836387578</v>
      </c>
      <c r="DA102" s="316">
        <v>0</v>
      </c>
      <c r="DB102" s="1498">
        <v>0.8303640699999999</v>
      </c>
      <c r="DC102" s="316">
        <v>0.19317697785069704</v>
      </c>
      <c r="DD102" s="316">
        <v>0.63749999999999996</v>
      </c>
      <c r="DE102" s="316">
        <v>0.19286417</v>
      </c>
      <c r="DF102" s="316">
        <v>0.18046493858110402</v>
      </c>
      <c r="DG102" s="316">
        <v>0.63749999999999996</v>
      </c>
      <c r="DH102" s="316">
        <v>0.19286398499999999</v>
      </c>
      <c r="DI102" s="316">
        <v>0.16759399899999999</v>
      </c>
      <c r="DJ102" s="316">
        <v>0</v>
      </c>
      <c r="DK102" s="316">
        <v>0.38071105999999999</v>
      </c>
      <c r="DL102" s="316">
        <v>0.15456217231317093</v>
      </c>
      <c r="DM102" s="316">
        <v>0</v>
      </c>
      <c r="DN102" s="318">
        <v>0.69660553000000003</v>
      </c>
      <c r="DO102" s="316">
        <v>0.14136744797435799</v>
      </c>
      <c r="DP102" s="316">
        <v>0.76957410199999998</v>
      </c>
      <c r="DQ102" s="316">
        <v>0.25862565500000001</v>
      </c>
      <c r="DR102" s="316">
        <v>0.18802548558131102</v>
      </c>
      <c r="DS102" s="316">
        <v>0</v>
      </c>
      <c r="DT102" s="316">
        <v>0.74556512700000011</v>
      </c>
      <c r="DU102" s="316">
        <v>0.15775664945834986</v>
      </c>
      <c r="DV102" s="316">
        <v>3.4784245999999998E-2</v>
      </c>
      <c r="DW102" s="316">
        <v>0.21384055800000001</v>
      </c>
      <c r="DX102" s="316">
        <v>0.11834291915885203</v>
      </c>
      <c r="DY102" s="316">
        <v>0</v>
      </c>
      <c r="DZ102" s="318">
        <v>0.19644922100000001</v>
      </c>
      <c r="EA102" s="316">
        <v>8.6918464143110483E-2</v>
      </c>
      <c r="EB102" s="316">
        <v>0.35625000000000001</v>
      </c>
      <c r="EC102" s="316">
        <v>0.187628717</v>
      </c>
      <c r="ED102" s="316">
        <v>0.14575638599999999</v>
      </c>
      <c r="EE102" s="316">
        <v>0.71250000000000002</v>
      </c>
      <c r="EF102" s="316">
        <v>0.18762871724999999</v>
      </c>
      <c r="EG102" s="316">
        <v>5.8662419E-2</v>
      </c>
      <c r="EH102" s="316">
        <v>0</v>
      </c>
      <c r="EI102" s="316">
        <v>0.37411270600000002</v>
      </c>
      <c r="EJ102" s="316">
        <v>4.4268948000000002E-2</v>
      </c>
      <c r="EK102" s="316">
        <v>0</v>
      </c>
      <c r="EL102" s="318">
        <v>0.37411270600000002</v>
      </c>
      <c r="EM102" s="1216">
        <v>2.9695558E-2</v>
      </c>
      <c r="EN102" s="1216">
        <v>0.1875</v>
      </c>
      <c r="EO102" s="1216">
        <v>0.18661270599999999</v>
      </c>
      <c r="EP102" s="1216">
        <v>1.4940001E-2</v>
      </c>
      <c r="EQ102" s="1216">
        <v>0.1875</v>
      </c>
      <c r="ER102" s="1216">
        <v>0</v>
      </c>
      <c r="ES102" s="1206"/>
      <c r="ET102" s="1206"/>
      <c r="EU102" s="1206"/>
      <c r="EV102" s="1206"/>
      <c r="EW102" s="1206"/>
      <c r="EX102" s="1550"/>
      <c r="EY102" s="1206"/>
      <c r="EZ102" s="1206"/>
      <c r="FA102" s="1206"/>
      <c r="FB102" s="1206"/>
      <c r="FC102" s="1206"/>
      <c r="FD102" s="1206"/>
      <c r="FE102" s="1206"/>
      <c r="FF102" s="1206"/>
      <c r="FG102" s="1206"/>
      <c r="FH102" s="1206"/>
      <c r="FI102" s="1206"/>
      <c r="FJ102" s="1550"/>
      <c r="FK102" s="1206"/>
      <c r="FL102" s="1206"/>
      <c r="FM102" s="1206"/>
      <c r="FN102" s="1206"/>
      <c r="FO102" s="1206"/>
      <c r="FP102" s="1206"/>
      <c r="FQ102" s="316"/>
      <c r="FR102" s="316"/>
      <c r="FS102" s="316"/>
      <c r="FT102" s="316"/>
      <c r="FU102" s="316"/>
      <c r="FV102" s="316"/>
      <c r="FW102" s="316"/>
      <c r="FX102" s="316"/>
      <c r="FY102" s="316"/>
      <c r="FZ102" s="316"/>
      <c r="GA102" s="316"/>
      <c r="GB102" s="316"/>
      <c r="GC102" s="316"/>
      <c r="GD102" s="316"/>
      <c r="GE102" s="316"/>
      <c r="GF102" s="316"/>
      <c r="GG102" s="316"/>
      <c r="GH102" s="316"/>
      <c r="GI102" s="316"/>
      <c r="GJ102" s="316"/>
      <c r="GK102" s="316"/>
      <c r="GL102" s="316"/>
      <c r="GM102" s="316"/>
      <c r="GN102" s="316"/>
      <c r="GO102" s="316"/>
      <c r="GP102" s="316"/>
      <c r="GQ102" s="316"/>
      <c r="GR102" s="316"/>
      <c r="GS102" s="316"/>
      <c r="GT102" s="316"/>
      <c r="GU102" s="316"/>
      <c r="GV102" s="316"/>
      <c r="GW102" s="316"/>
      <c r="GX102" s="316"/>
      <c r="GY102" s="316"/>
      <c r="GZ102" s="316"/>
      <c r="HA102" s="316"/>
      <c r="HB102" s="316"/>
      <c r="HC102" s="316"/>
      <c r="HD102" s="316"/>
      <c r="HE102" s="316"/>
      <c r="HF102" s="316"/>
      <c r="HG102" s="316"/>
      <c r="HH102" s="316"/>
      <c r="HI102" s="316"/>
      <c r="HJ102" s="316"/>
      <c r="HK102" s="316"/>
      <c r="HL102" s="316"/>
      <c r="HM102" s="316"/>
      <c r="HV102" s="302">
        <f t="shared" si="17"/>
        <v>2.0343700714318009</v>
      </c>
      <c r="HW102" s="302">
        <f t="shared" si="18"/>
        <v>1.399472761313171</v>
      </c>
      <c r="HX102" s="302">
        <f t="shared" si="19"/>
        <v>3.4338428327449719</v>
      </c>
      <c r="HY102" s="302">
        <f t="shared" si="20"/>
        <v>2.1031578175556689</v>
      </c>
      <c r="KH102" s="303"/>
    </row>
    <row r="103" spans="1:294" outlineLevel="1">
      <c r="B103" s="117" t="s">
        <v>361</v>
      </c>
      <c r="D103" s="323" t="s">
        <v>395</v>
      </c>
      <c r="E103" s="316"/>
      <c r="F103" s="316"/>
      <c r="G103" s="316"/>
      <c r="H103" s="316"/>
      <c r="I103" s="316"/>
      <c r="J103" s="316"/>
      <c r="K103" s="316"/>
      <c r="L103" s="316"/>
      <c r="M103" s="316"/>
      <c r="N103" s="316"/>
      <c r="O103" s="316"/>
      <c r="P103" s="316"/>
      <c r="Q103" s="316"/>
      <c r="R103" s="316"/>
      <c r="S103" s="316"/>
      <c r="T103" s="316"/>
      <c r="U103" s="316"/>
      <c r="V103" s="316"/>
      <c r="W103" s="316"/>
      <c r="X103" s="316"/>
      <c r="Y103" s="316"/>
      <c r="Z103" s="316"/>
      <c r="AA103" s="316"/>
      <c r="AB103" s="316"/>
      <c r="AC103" s="316"/>
      <c r="AD103" s="316"/>
      <c r="AE103" s="316"/>
      <c r="AF103" s="316"/>
      <c r="AG103" s="316"/>
      <c r="AH103" s="316"/>
      <c r="AI103" s="316"/>
      <c r="AJ103" s="316"/>
      <c r="AK103" s="316"/>
      <c r="AL103" s="316"/>
      <c r="AM103" s="316"/>
      <c r="AN103" s="316"/>
      <c r="AO103" s="316"/>
      <c r="AP103" s="316"/>
      <c r="AQ103" s="316"/>
      <c r="AR103" s="316"/>
      <c r="AS103" s="316"/>
      <c r="AT103" s="316"/>
      <c r="AU103" s="316"/>
      <c r="AV103" s="316"/>
      <c r="AW103" s="316"/>
      <c r="AX103" s="316"/>
      <c r="AY103" s="316"/>
      <c r="AZ103" s="316"/>
      <c r="BA103" s="316"/>
      <c r="BB103" s="316"/>
      <c r="BC103" s="316"/>
      <c r="BD103" s="316"/>
      <c r="BE103" s="316"/>
      <c r="BF103" s="316"/>
      <c r="BG103" s="316"/>
      <c r="BH103" s="316"/>
      <c r="BI103" s="316"/>
      <c r="BJ103" s="316"/>
      <c r="BK103" s="316"/>
      <c r="BL103" s="316"/>
      <c r="BM103" s="316"/>
      <c r="BN103" s="316"/>
      <c r="BO103" s="316"/>
      <c r="BP103" s="316"/>
      <c r="BQ103" s="316"/>
      <c r="BR103" s="316"/>
      <c r="BS103" s="316"/>
      <c r="BT103" s="316"/>
      <c r="BU103" s="316"/>
      <c r="BV103" s="316"/>
      <c r="BW103" s="316"/>
      <c r="BX103" s="316"/>
      <c r="BY103" s="316"/>
      <c r="BZ103" s="316"/>
      <c r="CA103" s="316"/>
      <c r="CB103" s="316"/>
      <c r="CC103" s="316"/>
      <c r="CD103" s="316"/>
      <c r="CE103" s="317">
        <v>0</v>
      </c>
      <c r="CF103" s="316">
        <v>0</v>
      </c>
      <c r="CG103" s="316">
        <v>0</v>
      </c>
      <c r="CH103" s="316">
        <v>0.19286402999999999</v>
      </c>
      <c r="CI103" s="316">
        <v>0</v>
      </c>
      <c r="CJ103" s="316">
        <v>0.19286402999999999</v>
      </c>
      <c r="CK103" s="316">
        <v>0</v>
      </c>
      <c r="CL103" s="316">
        <v>0</v>
      </c>
      <c r="CM103" s="316">
        <v>0.19286402999999999</v>
      </c>
      <c r="CN103" s="316">
        <v>0</v>
      </c>
      <c r="CO103" s="316">
        <v>0</v>
      </c>
      <c r="CP103" s="318">
        <v>0.19286398399999999</v>
      </c>
      <c r="CQ103" s="316">
        <v>0</v>
      </c>
      <c r="CR103" s="316">
        <v>0</v>
      </c>
      <c r="CS103" s="316">
        <v>0.193</v>
      </c>
      <c r="CT103" s="316">
        <v>0</v>
      </c>
      <c r="CU103" s="316">
        <v>0</v>
      </c>
      <c r="CV103" s="316">
        <v>0</v>
      </c>
      <c r="CW103" s="316">
        <v>0</v>
      </c>
      <c r="CX103" s="316">
        <v>0</v>
      </c>
      <c r="CY103" s="316">
        <v>0.19286407999999999</v>
      </c>
      <c r="CZ103" s="316">
        <v>0</v>
      </c>
      <c r="DA103" s="316">
        <v>0</v>
      </c>
      <c r="DB103" s="1498">
        <v>0.19286407</v>
      </c>
      <c r="DC103" s="316">
        <v>0</v>
      </c>
      <c r="DD103" s="316">
        <v>0</v>
      </c>
      <c r="DE103" s="316">
        <v>0.19286417</v>
      </c>
      <c r="DF103" s="316">
        <v>0</v>
      </c>
      <c r="DG103" s="316">
        <v>0</v>
      </c>
      <c r="DH103" s="316">
        <v>0.19286398499999999</v>
      </c>
      <c r="DI103" s="316">
        <v>0</v>
      </c>
      <c r="DJ103" s="316">
        <v>0</v>
      </c>
      <c r="DK103" s="316">
        <v>0.19035553</v>
      </c>
      <c r="DL103" s="316">
        <v>0</v>
      </c>
      <c r="DM103" s="316">
        <v>0</v>
      </c>
      <c r="DN103" s="318">
        <v>0.19035553</v>
      </c>
      <c r="DO103" s="316">
        <v>0</v>
      </c>
      <c r="DP103" s="316">
        <v>0</v>
      </c>
      <c r="DQ103" s="316">
        <v>0.19035553</v>
      </c>
      <c r="DR103" s="316">
        <v>0</v>
      </c>
      <c r="DS103" s="316">
        <v>0</v>
      </c>
      <c r="DT103" s="316">
        <v>0.187628717</v>
      </c>
      <c r="DU103" s="316">
        <v>0</v>
      </c>
      <c r="DV103" s="316">
        <v>0</v>
      </c>
      <c r="DW103" s="316">
        <v>0.187628717</v>
      </c>
      <c r="DX103" s="316">
        <v>0</v>
      </c>
      <c r="DY103" s="316">
        <v>0</v>
      </c>
      <c r="DZ103" s="318">
        <v>0.187628717</v>
      </c>
      <c r="EA103" s="316">
        <v>0</v>
      </c>
      <c r="EB103" s="316">
        <v>0</v>
      </c>
      <c r="EC103" s="316">
        <v>0.187628717</v>
      </c>
      <c r="ED103" s="316">
        <v>0</v>
      </c>
      <c r="EE103" s="316">
        <v>0</v>
      </c>
      <c r="EF103" s="316">
        <v>0.18762871724999999</v>
      </c>
      <c r="EG103" s="316">
        <v>0</v>
      </c>
      <c r="EH103" s="316">
        <v>0</v>
      </c>
      <c r="EI103" s="316">
        <v>0.18661270599999999</v>
      </c>
      <c r="EJ103" s="316">
        <v>0</v>
      </c>
      <c r="EK103" s="316">
        <v>0</v>
      </c>
      <c r="EL103" s="318">
        <v>0.18661270599999999</v>
      </c>
      <c r="EM103" s="1206"/>
      <c r="EN103" s="1206"/>
      <c r="EO103" s="1206"/>
      <c r="EP103" s="1206"/>
      <c r="EQ103" s="1206"/>
      <c r="ER103" s="1206"/>
      <c r="ES103" s="1206"/>
      <c r="ET103" s="1206"/>
      <c r="EU103" s="1206"/>
      <c r="EV103" s="1206"/>
      <c r="EW103" s="1206"/>
      <c r="EX103" s="1550"/>
      <c r="EY103" s="1206"/>
      <c r="EZ103" s="1206"/>
      <c r="FA103" s="1206"/>
      <c r="FB103" s="1206"/>
      <c r="FC103" s="1206"/>
      <c r="FD103" s="1206"/>
      <c r="FE103" s="1206"/>
      <c r="FF103" s="1206"/>
      <c r="FG103" s="1206"/>
      <c r="FH103" s="1206"/>
      <c r="FI103" s="1206"/>
      <c r="FJ103" s="1550"/>
      <c r="FK103" s="1206"/>
      <c r="FL103" s="1206"/>
      <c r="FM103" s="1206"/>
      <c r="FN103" s="1206"/>
      <c r="FO103" s="1206"/>
      <c r="FP103" s="1206"/>
      <c r="FQ103" s="316"/>
      <c r="FR103" s="316"/>
      <c r="FS103" s="316"/>
      <c r="FT103" s="316"/>
      <c r="FU103" s="316"/>
      <c r="FV103" s="316"/>
      <c r="FW103" s="316"/>
      <c r="FX103" s="316"/>
      <c r="FY103" s="316"/>
      <c r="FZ103" s="316"/>
      <c r="GA103" s="316"/>
      <c r="GB103" s="316"/>
      <c r="GC103" s="316"/>
      <c r="GD103" s="316"/>
      <c r="GE103" s="316"/>
      <c r="GF103" s="316"/>
      <c r="GG103" s="316"/>
      <c r="GH103" s="316"/>
      <c r="GI103" s="316"/>
      <c r="GJ103" s="316"/>
      <c r="GK103" s="316"/>
      <c r="GL103" s="316"/>
      <c r="GM103" s="316"/>
      <c r="GN103" s="316"/>
      <c r="GO103" s="316"/>
      <c r="GP103" s="316"/>
      <c r="GQ103" s="316"/>
      <c r="GR103" s="316"/>
      <c r="GS103" s="316"/>
      <c r="GT103" s="316"/>
      <c r="GU103" s="316"/>
      <c r="GV103" s="316"/>
      <c r="GW103" s="316"/>
      <c r="GX103" s="316"/>
      <c r="GY103" s="316"/>
      <c r="GZ103" s="316"/>
      <c r="HA103" s="316"/>
      <c r="HB103" s="316"/>
      <c r="HC103" s="316"/>
      <c r="HD103" s="316"/>
      <c r="HE103" s="316"/>
      <c r="HF103" s="316"/>
      <c r="HG103" s="316"/>
      <c r="HH103" s="316"/>
      <c r="HI103" s="316"/>
      <c r="HJ103" s="316"/>
      <c r="HK103" s="316"/>
      <c r="HL103" s="316"/>
      <c r="HM103" s="316"/>
      <c r="HV103" s="302">
        <f t="shared" si="17"/>
        <v>0.38572815500000002</v>
      </c>
      <c r="HW103" s="302">
        <f t="shared" si="18"/>
        <v>0.38071105999999999</v>
      </c>
      <c r="HX103" s="302">
        <f t="shared" si="19"/>
        <v>0.76643921500000001</v>
      </c>
      <c r="HY103" s="302">
        <f t="shared" si="20"/>
        <v>0.377984247</v>
      </c>
      <c r="KH103" s="303"/>
    </row>
    <row r="104" spans="1:294" outlineLevel="1">
      <c r="B104" s="117" t="s">
        <v>361</v>
      </c>
      <c r="D104" s="323" t="s">
        <v>396</v>
      </c>
      <c r="E104" s="316"/>
      <c r="F104" s="316"/>
      <c r="G104" s="316"/>
      <c r="H104" s="316"/>
      <c r="I104" s="316"/>
      <c r="J104" s="316"/>
      <c r="K104" s="316"/>
      <c r="L104" s="316"/>
      <c r="M104" s="316"/>
      <c r="N104" s="316"/>
      <c r="O104" s="316"/>
      <c r="P104" s="316"/>
      <c r="Q104" s="316"/>
      <c r="R104" s="316"/>
      <c r="S104" s="316"/>
      <c r="T104" s="316"/>
      <c r="U104" s="316"/>
      <c r="V104" s="316"/>
      <c r="W104" s="316"/>
      <c r="X104" s="316"/>
      <c r="Y104" s="316"/>
      <c r="Z104" s="316"/>
      <c r="AA104" s="316"/>
      <c r="AB104" s="316"/>
      <c r="AC104" s="316"/>
      <c r="AD104" s="316"/>
      <c r="AE104" s="316"/>
      <c r="AF104" s="316"/>
      <c r="AG104" s="316"/>
      <c r="AH104" s="316"/>
      <c r="AI104" s="316"/>
      <c r="AJ104" s="316"/>
      <c r="AK104" s="316"/>
      <c r="AL104" s="316"/>
      <c r="AM104" s="316"/>
      <c r="AN104" s="316"/>
      <c r="AO104" s="316"/>
      <c r="AP104" s="316"/>
      <c r="AQ104" s="316"/>
      <c r="AR104" s="316"/>
      <c r="AS104" s="316"/>
      <c r="AT104" s="316"/>
      <c r="AU104" s="316"/>
      <c r="AV104" s="316"/>
      <c r="AW104" s="316"/>
      <c r="AX104" s="316"/>
      <c r="AY104" s="316"/>
      <c r="AZ104" s="316"/>
      <c r="BA104" s="316"/>
      <c r="BB104" s="316"/>
      <c r="BC104" s="316"/>
      <c r="BD104" s="316"/>
      <c r="BE104" s="316"/>
      <c r="BF104" s="316"/>
      <c r="BG104" s="316"/>
      <c r="BH104" s="316"/>
      <c r="BI104" s="316"/>
      <c r="BJ104" s="316"/>
      <c r="BK104" s="316"/>
      <c r="BL104" s="316"/>
      <c r="BM104" s="316"/>
      <c r="BN104" s="316"/>
      <c r="BO104" s="316"/>
      <c r="BP104" s="316"/>
      <c r="BQ104" s="316"/>
      <c r="BR104" s="316"/>
      <c r="BS104" s="316"/>
      <c r="BT104" s="316"/>
      <c r="BU104" s="316"/>
      <c r="BV104" s="316"/>
      <c r="BW104" s="316"/>
      <c r="BX104" s="316"/>
      <c r="BY104" s="316"/>
      <c r="BZ104" s="316"/>
      <c r="CA104" s="316"/>
      <c r="CB104" s="316"/>
      <c r="CC104" s="316"/>
      <c r="CD104" s="316"/>
      <c r="CE104" s="317">
        <v>0</v>
      </c>
      <c r="CF104" s="316">
        <v>0.99375000000000002</v>
      </c>
      <c r="CG104" s="316">
        <v>0</v>
      </c>
      <c r="CH104" s="316">
        <v>0</v>
      </c>
      <c r="CI104" s="316">
        <v>0.94522044599999999</v>
      </c>
      <c r="CJ104" s="316">
        <v>0</v>
      </c>
      <c r="CK104" s="316">
        <v>0.26622048199999998</v>
      </c>
      <c r="CL104" s="316">
        <v>0</v>
      </c>
      <c r="CM104" s="316">
        <v>0.80148500499999997</v>
      </c>
      <c r="CN104" s="316">
        <v>0.25442148599999997</v>
      </c>
      <c r="CO104" s="316">
        <v>0</v>
      </c>
      <c r="CP104" s="318">
        <v>0.75</v>
      </c>
      <c r="CQ104" s="316">
        <v>0.2424750032156216</v>
      </c>
      <c r="CR104" s="316">
        <v>0.75</v>
      </c>
      <c r="CS104" s="316">
        <v>0</v>
      </c>
      <c r="CT104" s="316">
        <v>0.23037918900000001</v>
      </c>
      <c r="CU104" s="316">
        <v>0.75</v>
      </c>
      <c r="CV104" s="316">
        <v>0</v>
      </c>
      <c r="CW104" s="316">
        <v>0.21813217763615109</v>
      </c>
      <c r="CX104" s="316">
        <v>0</v>
      </c>
      <c r="CY104" s="316">
        <v>0.63749999999999996</v>
      </c>
      <c r="CZ104" s="316">
        <v>0.20573207836387578</v>
      </c>
      <c r="DA104" s="316">
        <v>0</v>
      </c>
      <c r="DB104" s="1498">
        <v>0.63749999999999996</v>
      </c>
      <c r="DC104" s="316">
        <v>0.19317697785069704</v>
      </c>
      <c r="DD104" s="316">
        <v>0.63749999999999996</v>
      </c>
      <c r="DE104" s="316">
        <v>0</v>
      </c>
      <c r="DF104" s="316">
        <v>0.18046493858110402</v>
      </c>
      <c r="DG104" s="316">
        <v>0.63749999999999996</v>
      </c>
      <c r="DH104" s="316">
        <v>0</v>
      </c>
      <c r="DI104" s="316">
        <v>0.16759399899999999</v>
      </c>
      <c r="DJ104" s="316">
        <v>0</v>
      </c>
      <c r="DK104" s="316">
        <v>0.19035553</v>
      </c>
      <c r="DL104" s="316">
        <v>0.15456217231317093</v>
      </c>
      <c r="DM104" s="316">
        <v>0</v>
      </c>
      <c r="DN104" s="318">
        <v>0.50624999999999998</v>
      </c>
      <c r="DO104" s="316">
        <v>0.14136744797435799</v>
      </c>
      <c r="DP104" s="316">
        <v>0.76957410199999998</v>
      </c>
      <c r="DQ104" s="316">
        <v>6.8270125000000001E-2</v>
      </c>
      <c r="DR104" s="316">
        <v>0.18802548558131102</v>
      </c>
      <c r="DS104" s="316">
        <v>0</v>
      </c>
      <c r="DT104" s="316">
        <v>0.55793641000000005</v>
      </c>
      <c r="DU104" s="316">
        <v>0.15775664945834986</v>
      </c>
      <c r="DV104" s="316">
        <v>3.4784245999999998E-2</v>
      </c>
      <c r="DW104" s="316">
        <v>2.6211841E-2</v>
      </c>
      <c r="DX104" s="316">
        <v>0.11834291915885203</v>
      </c>
      <c r="DY104" s="316">
        <v>0</v>
      </c>
      <c r="DZ104" s="318">
        <v>8.8205039999999998E-3</v>
      </c>
      <c r="EA104" s="316">
        <v>8.6918464143110483E-2</v>
      </c>
      <c r="EB104" s="316">
        <v>0.35625000000000001</v>
      </c>
      <c r="EC104" s="316">
        <v>0</v>
      </c>
      <c r="ED104" s="316">
        <v>7.2878192999999994E-2</v>
      </c>
      <c r="EE104" s="316">
        <v>0.35625000000000001</v>
      </c>
      <c r="EF104" s="316">
        <v>0</v>
      </c>
      <c r="EG104" s="316">
        <v>5.8662419E-2</v>
      </c>
      <c r="EH104" s="316">
        <v>0</v>
      </c>
      <c r="EI104" s="316">
        <v>0.1875</v>
      </c>
      <c r="EJ104" s="316">
        <v>4.4268948000000002E-2</v>
      </c>
      <c r="EK104" s="316">
        <v>0</v>
      </c>
      <c r="EL104" s="318">
        <v>0.1875</v>
      </c>
      <c r="EM104" s="1206"/>
      <c r="EN104" s="1206"/>
      <c r="EO104" s="1206"/>
      <c r="EP104" s="1206"/>
      <c r="EQ104" s="1206"/>
      <c r="ER104" s="1206"/>
      <c r="ES104" s="1206"/>
      <c r="ET104" s="1206"/>
      <c r="EU104" s="1206"/>
      <c r="EV104" s="1206"/>
      <c r="EW104" s="1206"/>
      <c r="EX104" s="1550"/>
      <c r="EY104" s="1206"/>
      <c r="EZ104" s="1206"/>
      <c r="FA104" s="1206"/>
      <c r="FB104" s="1206"/>
      <c r="FC104" s="1206"/>
      <c r="FD104" s="1206"/>
      <c r="FE104" s="1206"/>
      <c r="FF104" s="1206"/>
      <c r="FG104" s="1206"/>
      <c r="FH104" s="1206"/>
      <c r="FI104" s="1206"/>
      <c r="FJ104" s="1550"/>
      <c r="FK104" s="1206"/>
      <c r="FL104" s="1206"/>
      <c r="FM104" s="1206"/>
      <c r="FN104" s="1206"/>
      <c r="FO104" s="1206"/>
      <c r="FP104" s="1206"/>
      <c r="FQ104" s="316"/>
      <c r="FR104" s="316"/>
      <c r="FS104" s="316"/>
      <c r="FT104" s="316"/>
      <c r="FU104" s="316"/>
      <c r="FV104" s="316"/>
      <c r="FW104" s="316"/>
      <c r="FX104" s="316"/>
      <c r="FY104" s="316"/>
      <c r="FZ104" s="316"/>
      <c r="GA104" s="316"/>
      <c r="GB104" s="316"/>
      <c r="GC104" s="316"/>
      <c r="GD104" s="316"/>
      <c r="GE104" s="316"/>
      <c r="GF104" s="316"/>
      <c r="GG104" s="316"/>
      <c r="GH104" s="316"/>
      <c r="GI104" s="316"/>
      <c r="GJ104" s="316"/>
      <c r="GK104" s="316"/>
      <c r="GL104" s="316"/>
      <c r="GM104" s="316"/>
      <c r="GN104" s="316"/>
      <c r="GO104" s="316"/>
      <c r="GP104" s="316"/>
      <c r="GQ104" s="316"/>
      <c r="GR104" s="316"/>
      <c r="GS104" s="316"/>
      <c r="GT104" s="316"/>
      <c r="GU104" s="316"/>
      <c r="GV104" s="316"/>
      <c r="GW104" s="316"/>
      <c r="GX104" s="316"/>
      <c r="GY104" s="316"/>
      <c r="GZ104" s="316"/>
      <c r="HA104" s="316"/>
      <c r="HB104" s="316"/>
      <c r="HC104" s="316"/>
      <c r="HD104" s="316"/>
      <c r="HE104" s="316"/>
      <c r="HF104" s="316"/>
      <c r="HG104" s="316"/>
      <c r="HH104" s="316"/>
      <c r="HI104" s="316"/>
      <c r="HJ104" s="316"/>
      <c r="HK104" s="316"/>
      <c r="HL104" s="316"/>
      <c r="HM104" s="316"/>
      <c r="HV104" s="302">
        <f t="shared" si="17"/>
        <v>1.6486419164318009</v>
      </c>
      <c r="HW104" s="302">
        <f t="shared" si="18"/>
        <v>1.0187617013131709</v>
      </c>
      <c r="HX104" s="302">
        <f t="shared" si="19"/>
        <v>2.6674036177449718</v>
      </c>
      <c r="HY104" s="302">
        <f t="shared" si="20"/>
        <v>1.7251735705556688</v>
      </c>
      <c r="KH104" s="303"/>
    </row>
    <row r="105" spans="1:294" outlineLevel="1">
      <c r="B105" s="117" t="s">
        <v>361</v>
      </c>
      <c r="D105" s="324" t="s">
        <v>397</v>
      </c>
      <c r="E105" s="316"/>
      <c r="F105" s="316"/>
      <c r="G105" s="316"/>
      <c r="H105" s="316"/>
      <c r="I105" s="316"/>
      <c r="J105" s="316"/>
      <c r="K105" s="316"/>
      <c r="L105" s="316"/>
      <c r="M105" s="316"/>
      <c r="N105" s="316"/>
      <c r="O105" s="316"/>
      <c r="P105" s="316"/>
      <c r="Q105" s="316"/>
      <c r="R105" s="316"/>
      <c r="S105" s="316"/>
      <c r="T105" s="316"/>
      <c r="U105" s="316"/>
      <c r="V105" s="316"/>
      <c r="W105" s="316"/>
      <c r="X105" s="316"/>
      <c r="Y105" s="316"/>
      <c r="Z105" s="316"/>
      <c r="AA105" s="316"/>
      <c r="AB105" s="316"/>
      <c r="AC105" s="316"/>
      <c r="AD105" s="316"/>
      <c r="AE105" s="316"/>
      <c r="AF105" s="316"/>
      <c r="AG105" s="316"/>
      <c r="AH105" s="316"/>
      <c r="AI105" s="316"/>
      <c r="AJ105" s="316"/>
      <c r="AK105" s="316"/>
      <c r="AL105" s="316"/>
      <c r="AM105" s="316"/>
      <c r="AN105" s="316"/>
      <c r="AO105" s="316"/>
      <c r="AP105" s="316"/>
      <c r="AQ105" s="316"/>
      <c r="AR105" s="316"/>
      <c r="AS105" s="316"/>
      <c r="AT105" s="316"/>
      <c r="AU105" s="316"/>
      <c r="AV105" s="316"/>
      <c r="AW105" s="316"/>
      <c r="AX105" s="316"/>
      <c r="AY105" s="316"/>
      <c r="AZ105" s="316"/>
      <c r="BA105" s="316"/>
      <c r="BB105" s="316"/>
      <c r="BC105" s="316"/>
      <c r="BD105" s="316"/>
      <c r="BE105" s="316"/>
      <c r="BF105" s="316"/>
      <c r="BG105" s="316"/>
      <c r="BH105" s="316"/>
      <c r="BI105" s="316"/>
      <c r="BJ105" s="316"/>
      <c r="BK105" s="316"/>
      <c r="BL105" s="316"/>
      <c r="BM105" s="316"/>
      <c r="BN105" s="316"/>
      <c r="BO105" s="316"/>
      <c r="BP105" s="316"/>
      <c r="BQ105" s="316"/>
      <c r="BR105" s="316"/>
      <c r="BS105" s="316"/>
      <c r="BT105" s="316"/>
      <c r="BU105" s="316"/>
      <c r="BV105" s="316"/>
      <c r="BW105" s="316"/>
      <c r="BX105" s="316"/>
      <c r="BY105" s="316"/>
      <c r="BZ105" s="316"/>
      <c r="CA105" s="316"/>
      <c r="CB105" s="316"/>
      <c r="CC105" s="316"/>
      <c r="CD105" s="316"/>
      <c r="CE105" s="317">
        <v>0</v>
      </c>
      <c r="CF105" s="316">
        <v>0</v>
      </c>
      <c r="CG105" s="316">
        <v>0</v>
      </c>
      <c r="CH105" s="316">
        <v>0</v>
      </c>
      <c r="CI105" s="316">
        <v>0</v>
      </c>
      <c r="CJ105" s="316">
        <v>0</v>
      </c>
      <c r="CK105" s="316">
        <v>0</v>
      </c>
      <c r="CL105" s="316">
        <v>0</v>
      </c>
      <c r="CM105" s="316">
        <v>0</v>
      </c>
      <c r="CN105" s="316">
        <v>0</v>
      </c>
      <c r="CO105" s="316">
        <v>0</v>
      </c>
      <c r="CP105" s="318">
        <v>0</v>
      </c>
      <c r="CQ105" s="316">
        <v>0</v>
      </c>
      <c r="CR105" s="316">
        <v>0.75</v>
      </c>
      <c r="CS105" s="316">
        <v>0</v>
      </c>
      <c r="CT105" s="316">
        <v>0</v>
      </c>
      <c r="CU105" s="316">
        <v>0.75</v>
      </c>
      <c r="CV105" s="316">
        <v>0</v>
      </c>
      <c r="CW105" s="316">
        <v>0</v>
      </c>
      <c r="CX105" s="316">
        <v>0</v>
      </c>
      <c r="CY105" s="316">
        <v>0.63749999999999996</v>
      </c>
      <c r="CZ105" s="316">
        <v>0</v>
      </c>
      <c r="DA105" s="316">
        <v>0</v>
      </c>
      <c r="DB105" s="1498">
        <v>0.63749999999999996</v>
      </c>
      <c r="DC105" s="316">
        <v>0</v>
      </c>
      <c r="DD105" s="316">
        <v>0.63749999999999996</v>
      </c>
      <c r="DE105" s="316">
        <v>0</v>
      </c>
      <c r="DF105" s="316">
        <v>0</v>
      </c>
      <c r="DG105" s="316">
        <v>0.63749999999999996</v>
      </c>
      <c r="DH105" s="316">
        <v>0</v>
      </c>
      <c r="DI105" s="316">
        <v>0</v>
      </c>
      <c r="DJ105" s="316">
        <v>0</v>
      </c>
      <c r="DK105" s="316">
        <v>0.19035553</v>
      </c>
      <c r="DL105" s="316">
        <v>0</v>
      </c>
      <c r="DM105" s="316">
        <v>0</v>
      </c>
      <c r="DN105" s="318">
        <v>0.50624999999999998</v>
      </c>
      <c r="DO105" s="316">
        <v>0</v>
      </c>
      <c r="DP105" s="316">
        <v>0.76957410199999998</v>
      </c>
      <c r="DQ105" s="316">
        <v>6.8270125000000001E-2</v>
      </c>
      <c r="DR105" s="316">
        <v>6.0017696000000002E-2</v>
      </c>
      <c r="DS105" s="316">
        <v>0</v>
      </c>
      <c r="DT105" s="316">
        <v>0.55793641000000005</v>
      </c>
      <c r="DU105" s="316">
        <v>4.3275514000000001E-2</v>
      </c>
      <c r="DV105" s="316">
        <v>3.4784245999999998E-2</v>
      </c>
      <c r="DW105" s="316">
        <v>2.6211841E-2</v>
      </c>
      <c r="DX105" s="316">
        <v>1.7557521E-2</v>
      </c>
      <c r="DY105" s="316">
        <v>0</v>
      </c>
      <c r="DZ105" s="318">
        <v>8.8205039999999998E-3</v>
      </c>
      <c r="EA105" s="316">
        <v>0</v>
      </c>
      <c r="EB105" s="316">
        <v>0.35625000000000001</v>
      </c>
      <c r="EC105" s="316">
        <v>0</v>
      </c>
      <c r="ED105" s="316">
        <v>0</v>
      </c>
      <c r="EE105" s="316">
        <v>0.35625000000000001</v>
      </c>
      <c r="EF105" s="316">
        <v>0</v>
      </c>
      <c r="EG105" s="316">
        <v>0</v>
      </c>
      <c r="EH105" s="316">
        <v>0</v>
      </c>
      <c r="EI105" s="316">
        <v>0.1875</v>
      </c>
      <c r="EJ105" s="316">
        <v>0</v>
      </c>
      <c r="EK105" s="316">
        <v>0</v>
      </c>
      <c r="EL105" s="318">
        <v>0.1875</v>
      </c>
      <c r="EM105" s="1206"/>
      <c r="EN105" s="1206"/>
      <c r="EO105" s="1206"/>
      <c r="EP105" s="1206"/>
      <c r="EQ105" s="1206"/>
      <c r="ER105" s="1206"/>
      <c r="ES105" s="1206"/>
      <c r="ET105" s="1206"/>
      <c r="EU105" s="1206"/>
      <c r="EV105" s="1206"/>
      <c r="EW105" s="1206"/>
      <c r="EX105" s="1550"/>
      <c r="EY105" s="1206"/>
      <c r="EZ105" s="1206"/>
      <c r="FA105" s="1206"/>
      <c r="FB105" s="1206"/>
      <c r="FC105" s="1206"/>
      <c r="FD105" s="1206"/>
      <c r="FE105" s="1206"/>
      <c r="FF105" s="1206"/>
      <c r="FG105" s="1206"/>
      <c r="FH105" s="1206"/>
      <c r="FI105" s="1206"/>
      <c r="FJ105" s="1550"/>
      <c r="FK105" s="1206"/>
      <c r="FL105" s="1206"/>
      <c r="FM105" s="1206"/>
      <c r="FN105" s="1206"/>
      <c r="FO105" s="1206"/>
      <c r="FP105" s="1206"/>
      <c r="FQ105" s="316"/>
      <c r="FR105" s="316"/>
      <c r="FS105" s="316"/>
      <c r="FT105" s="316"/>
      <c r="FU105" s="316"/>
      <c r="FV105" s="316"/>
      <c r="FW105" s="316"/>
      <c r="FX105" s="316"/>
      <c r="FY105" s="316"/>
      <c r="FZ105" s="316"/>
      <c r="GA105" s="316"/>
      <c r="GB105" s="316"/>
      <c r="GC105" s="316"/>
      <c r="GD105" s="316"/>
      <c r="GE105" s="316"/>
      <c r="GF105" s="316"/>
      <c r="GG105" s="316"/>
      <c r="GH105" s="316"/>
      <c r="GI105" s="316"/>
      <c r="GJ105" s="316"/>
      <c r="GK105" s="316"/>
      <c r="GL105" s="316"/>
      <c r="GM105" s="316"/>
      <c r="GN105" s="316"/>
      <c r="GO105" s="316"/>
      <c r="GP105" s="316"/>
      <c r="GQ105" s="316"/>
      <c r="GR105" s="316"/>
      <c r="GS105" s="316"/>
      <c r="GT105" s="316"/>
      <c r="GU105" s="316"/>
      <c r="GV105" s="316"/>
      <c r="GW105" s="316"/>
      <c r="GX105" s="316"/>
      <c r="GY105" s="316"/>
      <c r="GZ105" s="316"/>
      <c r="HA105" s="316"/>
      <c r="HB105" s="316"/>
      <c r="HC105" s="316"/>
      <c r="HD105" s="316"/>
      <c r="HE105" s="316"/>
      <c r="HF105" s="316"/>
      <c r="HG105" s="316"/>
      <c r="HH105" s="316"/>
      <c r="HI105" s="316"/>
      <c r="HJ105" s="316"/>
      <c r="HK105" s="316"/>
      <c r="HL105" s="316"/>
      <c r="HM105" s="316"/>
      <c r="HV105" s="302">
        <f t="shared" si="17"/>
        <v>1.2749999999999999</v>
      </c>
      <c r="HW105" s="302">
        <f t="shared" si="18"/>
        <v>0.69660553000000003</v>
      </c>
      <c r="HX105" s="302">
        <f t="shared" si="19"/>
        <v>1.9716055299999999</v>
      </c>
      <c r="HY105" s="302">
        <f t="shared" si="20"/>
        <v>1.4557983329999999</v>
      </c>
      <c r="KH105" s="303"/>
    </row>
    <row r="106" spans="1:294" outlineLevel="1">
      <c r="B106" s="117" t="s">
        <v>361</v>
      </c>
      <c r="D106" s="324" t="s">
        <v>398</v>
      </c>
      <c r="E106" s="316"/>
      <c r="F106" s="316"/>
      <c r="G106" s="316"/>
      <c r="H106" s="316"/>
      <c r="I106" s="316"/>
      <c r="J106" s="316"/>
      <c r="K106" s="316"/>
      <c r="L106" s="316"/>
      <c r="M106" s="316"/>
      <c r="N106" s="316"/>
      <c r="O106" s="316"/>
      <c r="P106" s="316"/>
      <c r="Q106" s="316"/>
      <c r="R106" s="316"/>
      <c r="S106" s="316"/>
      <c r="T106" s="316"/>
      <c r="U106" s="316"/>
      <c r="V106" s="316"/>
      <c r="W106" s="316"/>
      <c r="X106" s="316"/>
      <c r="Y106" s="316"/>
      <c r="Z106" s="316"/>
      <c r="AA106" s="316"/>
      <c r="AB106" s="316"/>
      <c r="AC106" s="316"/>
      <c r="AD106" s="316"/>
      <c r="AE106" s="316"/>
      <c r="AF106" s="316"/>
      <c r="AG106" s="316"/>
      <c r="AH106" s="316"/>
      <c r="AI106" s="316"/>
      <c r="AJ106" s="316"/>
      <c r="AK106" s="316"/>
      <c r="AL106" s="316"/>
      <c r="AM106" s="316"/>
      <c r="AN106" s="316"/>
      <c r="AO106" s="316"/>
      <c r="AP106" s="316"/>
      <c r="AQ106" s="316"/>
      <c r="AR106" s="316"/>
      <c r="AS106" s="316"/>
      <c r="AT106" s="316"/>
      <c r="AU106" s="316"/>
      <c r="AV106" s="316"/>
      <c r="AW106" s="316"/>
      <c r="AX106" s="316"/>
      <c r="AY106" s="316"/>
      <c r="AZ106" s="316"/>
      <c r="BA106" s="316"/>
      <c r="BB106" s="316"/>
      <c r="BC106" s="316"/>
      <c r="BD106" s="316"/>
      <c r="BE106" s="316"/>
      <c r="BF106" s="316"/>
      <c r="BG106" s="316"/>
      <c r="BH106" s="316"/>
      <c r="BI106" s="316"/>
      <c r="BJ106" s="316"/>
      <c r="BK106" s="316"/>
      <c r="BL106" s="316"/>
      <c r="BM106" s="316"/>
      <c r="BN106" s="316"/>
      <c r="BO106" s="316"/>
      <c r="BP106" s="316"/>
      <c r="BQ106" s="316"/>
      <c r="BR106" s="316"/>
      <c r="BS106" s="316"/>
      <c r="BT106" s="316"/>
      <c r="BU106" s="316"/>
      <c r="BV106" s="316"/>
      <c r="BW106" s="316"/>
      <c r="BX106" s="316"/>
      <c r="BY106" s="316"/>
      <c r="BZ106" s="316"/>
      <c r="CA106" s="316"/>
      <c r="CB106" s="316"/>
      <c r="CC106" s="316"/>
      <c r="CD106" s="316"/>
      <c r="CE106" s="317">
        <v>0</v>
      </c>
      <c r="CF106" s="316">
        <v>0</v>
      </c>
      <c r="CG106" s="316">
        <v>0</v>
      </c>
      <c r="CH106" s="316">
        <v>0</v>
      </c>
      <c r="CI106" s="316">
        <v>0</v>
      </c>
      <c r="CJ106" s="316">
        <v>0</v>
      </c>
      <c r="CK106" s="316">
        <v>0</v>
      </c>
      <c r="CL106" s="316">
        <v>0</v>
      </c>
      <c r="CM106" s="316">
        <v>0</v>
      </c>
      <c r="CN106" s="316">
        <v>0</v>
      </c>
      <c r="CO106" s="316">
        <v>0</v>
      </c>
      <c r="CP106" s="318">
        <v>0</v>
      </c>
      <c r="CQ106" s="316">
        <v>0.2424750032156216</v>
      </c>
      <c r="CR106" s="316">
        <v>0</v>
      </c>
      <c r="CS106" s="316">
        <v>0</v>
      </c>
      <c r="CT106" s="316">
        <v>0.23037918900000001</v>
      </c>
      <c r="CU106" s="316">
        <v>0</v>
      </c>
      <c r="CV106" s="316">
        <v>0</v>
      </c>
      <c r="CW106" s="316">
        <v>0.21813217763615109</v>
      </c>
      <c r="CX106" s="316">
        <v>0</v>
      </c>
      <c r="CY106" s="316">
        <v>0</v>
      </c>
      <c r="CZ106" s="316">
        <v>0.20573207836387578</v>
      </c>
      <c r="DA106" s="316">
        <v>0</v>
      </c>
      <c r="DB106" s="1498">
        <v>0</v>
      </c>
      <c r="DC106" s="316">
        <v>0.19317697785069704</v>
      </c>
      <c r="DD106" s="316">
        <v>0</v>
      </c>
      <c r="DE106" s="316">
        <v>0</v>
      </c>
      <c r="DF106" s="316">
        <v>0.18046493858110402</v>
      </c>
      <c r="DG106" s="316">
        <v>0</v>
      </c>
      <c r="DH106" s="316">
        <v>0</v>
      </c>
      <c r="DI106" s="316">
        <v>0.16759399899999999</v>
      </c>
      <c r="DJ106" s="316">
        <v>0</v>
      </c>
      <c r="DK106" s="316">
        <v>0</v>
      </c>
      <c r="DL106" s="316">
        <v>0.15456217231317093</v>
      </c>
      <c r="DM106" s="316">
        <v>0</v>
      </c>
      <c r="DN106" s="318">
        <v>0</v>
      </c>
      <c r="DO106" s="316">
        <v>0.14136744797435799</v>
      </c>
      <c r="DP106" s="316">
        <v>0</v>
      </c>
      <c r="DQ106" s="316">
        <v>0</v>
      </c>
      <c r="DR106" s="316">
        <v>0.12800778958131101</v>
      </c>
      <c r="DS106" s="316">
        <v>0</v>
      </c>
      <c r="DT106" s="316">
        <v>0</v>
      </c>
      <c r="DU106" s="316">
        <v>0.11448113545834986</v>
      </c>
      <c r="DV106" s="316">
        <v>0</v>
      </c>
      <c r="DW106" s="316">
        <v>0</v>
      </c>
      <c r="DX106" s="316">
        <v>0.10078539815885204</v>
      </c>
      <c r="DY106" s="316">
        <v>0</v>
      </c>
      <c r="DZ106" s="318">
        <v>0</v>
      </c>
      <c r="EA106" s="316">
        <v>8.6918464143110483E-2</v>
      </c>
      <c r="EB106" s="316">
        <v>0</v>
      </c>
      <c r="EC106" s="316">
        <v>0</v>
      </c>
      <c r="ED106" s="316">
        <v>7.2878192999999994E-2</v>
      </c>
      <c r="EE106" s="316">
        <v>0</v>
      </c>
      <c r="EF106" s="316">
        <v>0</v>
      </c>
      <c r="EG106" s="316">
        <v>5.8662419E-2</v>
      </c>
      <c r="EH106" s="316">
        <v>0</v>
      </c>
      <c r="EI106" s="316">
        <v>0</v>
      </c>
      <c r="EJ106" s="316">
        <v>4.4268948000000002E-2</v>
      </c>
      <c r="EK106" s="316">
        <v>0</v>
      </c>
      <c r="EL106" s="318">
        <v>0</v>
      </c>
      <c r="EM106" s="1206"/>
      <c r="EN106" s="1206"/>
      <c r="EO106" s="1206"/>
      <c r="EP106" s="1206"/>
      <c r="EQ106" s="1206"/>
      <c r="ER106" s="1206"/>
      <c r="ES106" s="1206"/>
      <c r="ET106" s="1206"/>
      <c r="EU106" s="1206"/>
      <c r="EV106" s="1206"/>
      <c r="EW106" s="1206"/>
      <c r="EX106" s="1550"/>
      <c r="EY106" s="1206"/>
      <c r="EZ106" s="1206"/>
      <c r="FA106" s="1206"/>
      <c r="FB106" s="1206"/>
      <c r="FC106" s="1206"/>
      <c r="FD106" s="1206"/>
      <c r="FE106" s="1206"/>
      <c r="FF106" s="1206"/>
      <c r="FG106" s="1206"/>
      <c r="FH106" s="1206"/>
      <c r="FI106" s="1206"/>
      <c r="FJ106" s="1550"/>
      <c r="FK106" s="1206"/>
      <c r="FL106" s="1206"/>
      <c r="FM106" s="1206"/>
      <c r="FN106" s="1206"/>
      <c r="FO106" s="1206"/>
      <c r="FP106" s="1206"/>
      <c r="FQ106" s="316"/>
      <c r="FR106" s="316"/>
      <c r="FS106" s="316"/>
      <c r="FT106" s="316"/>
      <c r="FU106" s="316"/>
      <c r="FV106" s="316"/>
      <c r="FW106" s="316"/>
      <c r="FX106" s="316"/>
      <c r="FY106" s="316"/>
      <c r="FZ106" s="316"/>
      <c r="GA106" s="316"/>
      <c r="GB106" s="316"/>
      <c r="GC106" s="316"/>
      <c r="GD106" s="316"/>
      <c r="GE106" s="316"/>
      <c r="GF106" s="316"/>
      <c r="GG106" s="316"/>
      <c r="GH106" s="316"/>
      <c r="GI106" s="316"/>
      <c r="GJ106" s="316"/>
      <c r="GK106" s="316"/>
      <c r="GL106" s="316"/>
      <c r="GM106" s="316"/>
      <c r="GN106" s="316"/>
      <c r="GO106" s="316"/>
      <c r="GP106" s="316"/>
      <c r="GQ106" s="316"/>
      <c r="GR106" s="316"/>
      <c r="GS106" s="316"/>
      <c r="GT106" s="316"/>
      <c r="GU106" s="316"/>
      <c r="GV106" s="316"/>
      <c r="GW106" s="316"/>
      <c r="GX106" s="316"/>
      <c r="GY106" s="316"/>
      <c r="GZ106" s="316"/>
      <c r="HA106" s="316"/>
      <c r="HB106" s="316"/>
      <c r="HC106" s="316"/>
      <c r="HD106" s="316"/>
      <c r="HE106" s="316"/>
      <c r="HF106" s="316"/>
      <c r="HG106" s="316"/>
      <c r="HH106" s="316"/>
      <c r="HI106" s="316"/>
      <c r="HJ106" s="316"/>
      <c r="HK106" s="316"/>
      <c r="HL106" s="316"/>
      <c r="HM106" s="316"/>
      <c r="HV106" s="302">
        <f t="shared" si="17"/>
        <v>0.37364191643180106</v>
      </c>
      <c r="HW106" s="302">
        <f t="shared" si="18"/>
        <v>0.32215617131317092</v>
      </c>
      <c r="HX106" s="302">
        <f t="shared" si="19"/>
        <v>0.69579808774497198</v>
      </c>
      <c r="HY106" s="302">
        <f t="shared" si="20"/>
        <v>0.269375237555669</v>
      </c>
      <c r="KH106" s="303"/>
    </row>
    <row r="107" spans="1:294" outlineLevel="1">
      <c r="B107" s="117" t="s">
        <v>361</v>
      </c>
      <c r="D107" s="319" t="s">
        <v>399</v>
      </c>
      <c r="E107" s="316"/>
      <c r="F107" s="316"/>
      <c r="G107" s="316"/>
      <c r="H107" s="316"/>
      <c r="I107" s="316"/>
      <c r="J107" s="316"/>
      <c r="K107" s="316"/>
      <c r="L107" s="316"/>
      <c r="M107" s="316"/>
      <c r="N107" s="316"/>
      <c r="O107" s="316"/>
      <c r="P107" s="316"/>
      <c r="Q107" s="316"/>
      <c r="R107" s="316"/>
      <c r="S107" s="316"/>
      <c r="T107" s="316"/>
      <c r="U107" s="316"/>
      <c r="V107" s="316"/>
      <c r="W107" s="316"/>
      <c r="X107" s="316"/>
      <c r="Y107" s="316"/>
      <c r="Z107" s="316"/>
      <c r="AA107" s="316"/>
      <c r="AB107" s="316"/>
      <c r="AC107" s="316"/>
      <c r="AD107" s="316"/>
      <c r="AE107" s="316"/>
      <c r="AF107" s="316"/>
      <c r="AG107" s="316"/>
      <c r="AH107" s="316"/>
      <c r="AI107" s="316"/>
      <c r="AJ107" s="316"/>
      <c r="AK107" s="316"/>
      <c r="AL107" s="316"/>
      <c r="AM107" s="316"/>
      <c r="AN107" s="316"/>
      <c r="AO107" s="316"/>
      <c r="AP107" s="316"/>
      <c r="AQ107" s="316"/>
      <c r="AR107" s="316"/>
      <c r="AS107" s="316"/>
      <c r="AT107" s="316"/>
      <c r="AU107" s="316"/>
      <c r="AV107" s="316"/>
      <c r="AW107" s="316"/>
      <c r="AX107" s="316"/>
      <c r="AY107" s="316"/>
      <c r="AZ107" s="316"/>
      <c r="BA107" s="316"/>
      <c r="BB107" s="316"/>
      <c r="BC107" s="316"/>
      <c r="BD107" s="316"/>
      <c r="BE107" s="316"/>
      <c r="BF107" s="316"/>
      <c r="BG107" s="316"/>
      <c r="BH107" s="316"/>
      <c r="BI107" s="316"/>
      <c r="BJ107" s="316"/>
      <c r="BK107" s="316"/>
      <c r="BL107" s="316"/>
      <c r="BM107" s="316"/>
      <c r="BN107" s="316"/>
      <c r="BO107" s="316"/>
      <c r="BP107" s="316"/>
      <c r="BQ107" s="316"/>
      <c r="BR107" s="316"/>
      <c r="BS107" s="316"/>
      <c r="BT107" s="316"/>
      <c r="BU107" s="316"/>
      <c r="BV107" s="316"/>
      <c r="BW107" s="316"/>
      <c r="BX107" s="316"/>
      <c r="BY107" s="316"/>
      <c r="BZ107" s="316"/>
      <c r="CA107" s="316"/>
      <c r="CB107" s="316"/>
      <c r="CC107" s="316"/>
      <c r="CD107" s="316"/>
      <c r="CE107" s="317">
        <v>5.6079649000000002E-2</v>
      </c>
      <c r="CF107" s="316">
        <v>0</v>
      </c>
      <c r="CG107" s="316">
        <v>3.7540293000000002E-2</v>
      </c>
      <c r="CH107" s="316">
        <v>7.5752429999999997E-3</v>
      </c>
      <c r="CI107" s="316">
        <v>0</v>
      </c>
      <c r="CJ107" s="316">
        <v>0.10170099600000002</v>
      </c>
      <c r="CK107" s="316">
        <v>0</v>
      </c>
      <c r="CL107" s="316">
        <v>0</v>
      </c>
      <c r="CM107" s="316">
        <v>3.0032235000000001E-2</v>
      </c>
      <c r="CN107" s="316">
        <v>0</v>
      </c>
      <c r="CO107" s="316">
        <v>0</v>
      </c>
      <c r="CP107" s="318">
        <v>2.6278204999999999E-2</v>
      </c>
      <c r="CQ107" s="316">
        <v>0</v>
      </c>
      <c r="CR107" s="316">
        <v>0</v>
      </c>
      <c r="CS107" s="316">
        <v>2.2524175E-2</v>
      </c>
      <c r="CT107" s="316">
        <v>0</v>
      </c>
      <c r="CU107" s="316">
        <v>0</v>
      </c>
      <c r="CV107" s="316">
        <v>1.8770146000000001E-2</v>
      </c>
      <c r="CW107" s="316">
        <v>0</v>
      </c>
      <c r="CX107" s="316">
        <v>0</v>
      </c>
      <c r="CY107" s="316">
        <v>1.5016117000000001E-2</v>
      </c>
      <c r="CZ107" s="316">
        <v>0</v>
      </c>
      <c r="DA107" s="316">
        <v>0</v>
      </c>
      <c r="DB107" s="1498">
        <v>1.1262088E-2</v>
      </c>
      <c r="DC107" s="636">
        <v>0</v>
      </c>
      <c r="DD107" s="636">
        <v>0</v>
      </c>
      <c r="DE107" s="636">
        <v>7.5080584000000007E-3</v>
      </c>
      <c r="DF107" s="636">
        <v>0</v>
      </c>
      <c r="DG107" s="636">
        <v>0</v>
      </c>
      <c r="DH107" s="636">
        <v>4.7406781000000002E-2</v>
      </c>
      <c r="DI107" s="636">
        <v>0</v>
      </c>
      <c r="DJ107" s="636">
        <v>0</v>
      </c>
      <c r="DK107" s="636">
        <v>0</v>
      </c>
      <c r="DL107" s="636">
        <v>0</v>
      </c>
      <c r="DM107" s="636">
        <v>0</v>
      </c>
      <c r="DN107" s="653">
        <v>0</v>
      </c>
      <c r="DO107" s="636">
        <v>0</v>
      </c>
      <c r="DP107" s="636">
        <v>0</v>
      </c>
      <c r="DQ107" s="636">
        <v>0</v>
      </c>
      <c r="DR107" s="636">
        <v>0</v>
      </c>
      <c r="DS107" s="636">
        <v>0</v>
      </c>
      <c r="DT107" s="636">
        <v>3.0140581999999999E-2</v>
      </c>
      <c r="DU107" s="636">
        <v>0</v>
      </c>
      <c r="DV107" s="636">
        <v>0</v>
      </c>
      <c r="DW107" s="636">
        <v>0</v>
      </c>
      <c r="DX107" s="636">
        <v>0</v>
      </c>
      <c r="DY107" s="636">
        <v>0</v>
      </c>
      <c r="DZ107" s="653">
        <v>0</v>
      </c>
      <c r="EA107" s="636">
        <v>0</v>
      </c>
      <c r="EB107" s="636">
        <v>0</v>
      </c>
      <c r="EC107" s="636">
        <v>0</v>
      </c>
      <c r="ED107" s="636">
        <v>0</v>
      </c>
      <c r="EE107" s="636">
        <v>0</v>
      </c>
      <c r="EF107" s="636">
        <v>1.5615001E-2</v>
      </c>
      <c r="EG107" s="636">
        <v>0</v>
      </c>
      <c r="EH107" s="636">
        <v>0</v>
      </c>
      <c r="EI107" s="636">
        <v>0</v>
      </c>
      <c r="EJ107" s="636">
        <v>0</v>
      </c>
      <c r="EK107" s="636">
        <v>0</v>
      </c>
      <c r="EL107" s="653">
        <v>0</v>
      </c>
      <c r="EM107" s="1209"/>
      <c r="EN107" s="1209"/>
      <c r="EO107" s="1209"/>
      <c r="EP107" s="1209"/>
      <c r="EQ107" s="1209"/>
      <c r="ER107" s="1209"/>
      <c r="ES107" s="1209"/>
      <c r="ET107" s="1209"/>
      <c r="EU107" s="1209"/>
      <c r="EV107" s="1209"/>
      <c r="EW107" s="1209"/>
      <c r="EX107" s="1539"/>
      <c r="EY107" s="1209"/>
      <c r="EZ107" s="1209"/>
      <c r="FA107" s="1209"/>
      <c r="FB107" s="1209"/>
      <c r="FC107" s="1209"/>
      <c r="FD107" s="1209"/>
      <c r="FE107" s="1209"/>
      <c r="FF107" s="1209"/>
      <c r="FG107" s="1209"/>
      <c r="FH107" s="1209"/>
      <c r="FI107" s="1209"/>
      <c r="FJ107" s="1539"/>
      <c r="FK107" s="1209"/>
      <c r="FL107" s="1209"/>
      <c r="FM107" s="1209"/>
      <c r="FN107" s="1209"/>
      <c r="FO107" s="1209"/>
      <c r="FP107" s="1209"/>
      <c r="FQ107" s="636"/>
      <c r="FR107" s="636"/>
      <c r="FS107" s="636"/>
      <c r="FT107" s="636"/>
      <c r="FU107" s="636"/>
      <c r="FV107" s="636"/>
      <c r="FW107" s="636"/>
      <c r="FX107" s="636"/>
      <c r="FY107" s="636"/>
      <c r="FZ107" s="636"/>
      <c r="GA107" s="636"/>
      <c r="GB107" s="636"/>
      <c r="GC107" s="636"/>
      <c r="GD107" s="636"/>
      <c r="GE107" s="636"/>
      <c r="GF107" s="636"/>
      <c r="GG107" s="636"/>
      <c r="GH107" s="636"/>
      <c r="GI107" s="636"/>
      <c r="GJ107" s="636"/>
      <c r="GK107" s="636"/>
      <c r="GL107" s="636"/>
      <c r="GM107" s="636"/>
      <c r="GN107" s="636"/>
      <c r="GO107" s="636"/>
      <c r="GP107" s="636"/>
      <c r="GQ107" s="636"/>
      <c r="GR107" s="636"/>
      <c r="GS107" s="636"/>
      <c r="GT107" s="636"/>
      <c r="GU107" s="636"/>
      <c r="GV107" s="636"/>
      <c r="GW107" s="636"/>
      <c r="GX107" s="636"/>
      <c r="GY107" s="636"/>
      <c r="GZ107" s="636"/>
      <c r="HA107" s="636"/>
      <c r="HB107" s="636"/>
      <c r="HC107" s="636"/>
      <c r="HD107" s="636"/>
      <c r="HE107" s="636"/>
      <c r="HF107" s="636"/>
      <c r="HG107" s="636"/>
      <c r="HH107" s="636"/>
      <c r="HI107" s="636"/>
      <c r="HJ107" s="636"/>
      <c r="HK107" s="636"/>
      <c r="HL107" s="636"/>
      <c r="HM107" s="636"/>
      <c r="HV107" s="302">
        <f t="shared" si="17"/>
        <v>5.4914839400000005E-2</v>
      </c>
      <c r="HW107" s="302">
        <f t="shared" si="18"/>
        <v>0</v>
      </c>
      <c r="HX107" s="302">
        <f t="shared" si="19"/>
        <v>5.4914839400000005E-2</v>
      </c>
      <c r="HY107" s="302">
        <f t="shared" si="20"/>
        <v>3.0140581999999999E-2</v>
      </c>
      <c r="KH107" s="303"/>
    </row>
    <row r="108" spans="1:294" outlineLevel="1">
      <c r="B108" s="117" t="s">
        <v>361</v>
      </c>
      <c r="D108" s="323" t="s">
        <v>400</v>
      </c>
      <c r="E108" s="316"/>
      <c r="F108" s="316"/>
      <c r="G108" s="316"/>
      <c r="H108" s="316"/>
      <c r="I108" s="316"/>
      <c r="J108" s="316"/>
      <c r="K108" s="316"/>
      <c r="L108" s="316"/>
      <c r="M108" s="316"/>
      <c r="N108" s="316"/>
      <c r="O108" s="316"/>
      <c r="P108" s="316"/>
      <c r="Q108" s="316"/>
      <c r="R108" s="316"/>
      <c r="S108" s="316"/>
      <c r="T108" s="316"/>
      <c r="U108" s="316"/>
      <c r="V108" s="316"/>
      <c r="W108" s="316"/>
      <c r="X108" s="316"/>
      <c r="Y108" s="316"/>
      <c r="Z108" s="316"/>
      <c r="AA108" s="316"/>
      <c r="AB108" s="316"/>
      <c r="AC108" s="316"/>
      <c r="AD108" s="316"/>
      <c r="AE108" s="316"/>
      <c r="AF108" s="316"/>
      <c r="AG108" s="316"/>
      <c r="AH108" s="316"/>
      <c r="AI108" s="316"/>
      <c r="AJ108" s="316"/>
      <c r="AK108" s="316"/>
      <c r="AL108" s="316"/>
      <c r="AM108" s="316"/>
      <c r="AN108" s="316"/>
      <c r="AO108" s="316"/>
      <c r="AP108" s="316"/>
      <c r="AQ108" s="316"/>
      <c r="AR108" s="316"/>
      <c r="AS108" s="316"/>
      <c r="AT108" s="316"/>
      <c r="AU108" s="316"/>
      <c r="AV108" s="316"/>
      <c r="AW108" s="316"/>
      <c r="AX108" s="316"/>
      <c r="AY108" s="316"/>
      <c r="AZ108" s="316"/>
      <c r="BA108" s="316"/>
      <c r="BB108" s="316"/>
      <c r="BC108" s="316"/>
      <c r="BD108" s="316"/>
      <c r="BE108" s="316"/>
      <c r="BF108" s="316"/>
      <c r="BG108" s="316"/>
      <c r="BH108" s="316"/>
      <c r="BI108" s="316"/>
      <c r="BJ108" s="316"/>
      <c r="BK108" s="316"/>
      <c r="BL108" s="316"/>
      <c r="BM108" s="316"/>
      <c r="BN108" s="316"/>
      <c r="BO108" s="316"/>
      <c r="BP108" s="316"/>
      <c r="BQ108" s="316"/>
      <c r="BR108" s="316"/>
      <c r="BS108" s="316"/>
      <c r="BT108" s="316"/>
      <c r="BU108" s="316"/>
      <c r="BV108" s="316"/>
      <c r="BW108" s="316"/>
      <c r="BX108" s="316"/>
      <c r="BY108" s="316"/>
      <c r="BZ108" s="316"/>
      <c r="CA108" s="316"/>
      <c r="CB108" s="316"/>
      <c r="CC108" s="316"/>
      <c r="CD108" s="316"/>
      <c r="CE108" s="317">
        <v>4.1294322000000001E-2</v>
      </c>
      <c r="CF108" s="316">
        <v>0</v>
      </c>
      <c r="CG108" s="316">
        <v>3.7540293000000002E-2</v>
      </c>
      <c r="CH108" s="316">
        <v>0</v>
      </c>
      <c r="CI108" s="316">
        <v>0</v>
      </c>
      <c r="CJ108" s="316">
        <v>3.3786264000000003E-2</v>
      </c>
      <c r="CK108" s="316">
        <v>0</v>
      </c>
      <c r="CL108" s="316">
        <v>0</v>
      </c>
      <c r="CM108" s="316">
        <v>3.0032235000000001E-2</v>
      </c>
      <c r="CN108" s="316">
        <v>0</v>
      </c>
      <c r="CO108" s="316">
        <v>0</v>
      </c>
      <c r="CP108" s="318">
        <v>2.6278204999999999E-2</v>
      </c>
      <c r="CQ108" s="316">
        <v>0</v>
      </c>
      <c r="CR108" s="316">
        <v>0</v>
      </c>
      <c r="CS108" s="316">
        <v>2.2524175E-2</v>
      </c>
      <c r="CT108" s="316">
        <v>0</v>
      </c>
      <c r="CU108" s="316">
        <v>0</v>
      </c>
      <c r="CV108" s="316">
        <v>1.8770146000000001E-2</v>
      </c>
      <c r="CW108" s="316">
        <v>0</v>
      </c>
      <c r="CX108" s="316">
        <v>0</v>
      </c>
      <c r="CY108" s="316">
        <v>1.5016117000000001E-2</v>
      </c>
      <c r="CZ108" s="316">
        <v>0</v>
      </c>
      <c r="DA108" s="316">
        <v>0</v>
      </c>
      <c r="DB108" s="1498">
        <v>1.1262088E-2</v>
      </c>
      <c r="DC108" s="316">
        <v>0</v>
      </c>
      <c r="DD108" s="316">
        <v>0</v>
      </c>
      <c r="DE108" s="316">
        <v>7.5080584000000007E-3</v>
      </c>
      <c r="DF108" s="316">
        <v>0</v>
      </c>
      <c r="DG108" s="316">
        <v>0</v>
      </c>
      <c r="DH108" s="316">
        <v>3.7540289999999999E-3</v>
      </c>
      <c r="DI108" s="316">
        <v>0</v>
      </c>
      <c r="DJ108" s="316">
        <v>0</v>
      </c>
      <c r="DK108" s="316">
        <v>0</v>
      </c>
      <c r="DL108" s="316">
        <v>0</v>
      </c>
      <c r="DM108" s="316">
        <v>0</v>
      </c>
      <c r="DN108" s="318">
        <v>0</v>
      </c>
      <c r="DO108" s="316">
        <v>0</v>
      </c>
      <c r="DP108" s="316">
        <v>0</v>
      </c>
      <c r="DQ108" s="316">
        <v>0</v>
      </c>
      <c r="DR108" s="316">
        <v>0</v>
      </c>
      <c r="DS108" s="316">
        <v>0</v>
      </c>
      <c r="DT108" s="316">
        <v>0</v>
      </c>
      <c r="DU108" s="316">
        <v>0</v>
      </c>
      <c r="DV108" s="316">
        <v>0</v>
      </c>
      <c r="DW108" s="316">
        <v>0</v>
      </c>
      <c r="DX108" s="316">
        <v>0</v>
      </c>
      <c r="DY108" s="316">
        <v>0</v>
      </c>
      <c r="DZ108" s="318">
        <v>0</v>
      </c>
      <c r="EA108" s="316">
        <v>0</v>
      </c>
      <c r="EB108" s="316">
        <v>0</v>
      </c>
      <c r="EC108" s="316">
        <v>0</v>
      </c>
      <c r="ED108" s="316">
        <v>0</v>
      </c>
      <c r="EE108" s="316">
        <v>0</v>
      </c>
      <c r="EF108" s="316">
        <v>1.5615001E-2</v>
      </c>
      <c r="EG108" s="316">
        <v>0</v>
      </c>
      <c r="EH108" s="316">
        <v>0</v>
      </c>
      <c r="EI108" s="316">
        <v>0</v>
      </c>
      <c r="EJ108" s="316">
        <v>0</v>
      </c>
      <c r="EK108" s="316">
        <v>0</v>
      </c>
      <c r="EL108" s="318">
        <v>0</v>
      </c>
      <c r="EM108" s="1206"/>
      <c r="EN108" s="1206"/>
      <c r="EO108" s="1206"/>
      <c r="EP108" s="1206"/>
      <c r="EQ108" s="1206"/>
      <c r="ER108" s="1206"/>
      <c r="ES108" s="1206"/>
      <c r="ET108" s="1206"/>
      <c r="EU108" s="1206"/>
      <c r="EV108" s="1206"/>
      <c r="EW108" s="1206"/>
      <c r="EX108" s="1550"/>
      <c r="EY108" s="1206"/>
      <c r="EZ108" s="1206"/>
      <c r="FA108" s="1206"/>
      <c r="FB108" s="1206"/>
      <c r="FC108" s="1206"/>
      <c r="FD108" s="1206"/>
      <c r="FE108" s="1206"/>
      <c r="FF108" s="1206"/>
      <c r="FG108" s="1206"/>
      <c r="FH108" s="1206"/>
      <c r="FI108" s="1206"/>
      <c r="FJ108" s="1550"/>
      <c r="FK108" s="1206"/>
      <c r="FL108" s="1206"/>
      <c r="FM108" s="1206"/>
      <c r="FN108" s="1206"/>
      <c r="FO108" s="1206"/>
      <c r="FP108" s="1206"/>
      <c r="FQ108" s="316"/>
      <c r="FR108" s="316"/>
      <c r="FS108" s="316"/>
      <c r="FT108" s="316"/>
      <c r="FU108" s="316"/>
      <c r="FV108" s="316"/>
      <c r="FW108" s="316"/>
      <c r="FX108" s="316"/>
      <c r="FY108" s="316"/>
      <c r="FZ108" s="316"/>
      <c r="GA108" s="316"/>
      <c r="GB108" s="316"/>
      <c r="GC108" s="316"/>
      <c r="GD108" s="316"/>
      <c r="GE108" s="316"/>
      <c r="GF108" s="316"/>
      <c r="GG108" s="316"/>
      <c r="GH108" s="316"/>
      <c r="GI108" s="316"/>
      <c r="GJ108" s="316"/>
      <c r="GK108" s="316"/>
      <c r="GL108" s="316"/>
      <c r="GM108" s="316"/>
      <c r="GN108" s="316"/>
      <c r="GO108" s="316"/>
      <c r="GP108" s="316"/>
      <c r="GQ108" s="316"/>
      <c r="GR108" s="316"/>
      <c r="GS108" s="316"/>
      <c r="GT108" s="316"/>
      <c r="GU108" s="316"/>
      <c r="GV108" s="316"/>
      <c r="GW108" s="316"/>
      <c r="GX108" s="316"/>
      <c r="GY108" s="316"/>
      <c r="GZ108" s="316"/>
      <c r="HA108" s="316"/>
      <c r="HB108" s="316"/>
      <c r="HC108" s="316"/>
      <c r="HD108" s="316"/>
      <c r="HE108" s="316"/>
      <c r="HF108" s="316"/>
      <c r="HG108" s="316"/>
      <c r="HH108" s="316"/>
      <c r="HI108" s="316"/>
      <c r="HJ108" s="316"/>
      <c r="HK108" s="316"/>
      <c r="HL108" s="316"/>
      <c r="HM108" s="316"/>
      <c r="HV108" s="302">
        <f t="shared" si="17"/>
        <v>1.1262087400000001E-2</v>
      </c>
      <c r="HW108" s="302">
        <f t="shared" si="18"/>
        <v>0</v>
      </c>
      <c r="HX108" s="302">
        <f t="shared" si="19"/>
        <v>1.1262087400000001E-2</v>
      </c>
      <c r="HY108" s="302">
        <f t="shared" si="20"/>
        <v>0</v>
      </c>
      <c r="KH108" s="303"/>
    </row>
    <row r="109" spans="1:294" outlineLevel="1">
      <c r="B109" s="117" t="s">
        <v>361</v>
      </c>
      <c r="D109" s="323" t="s">
        <v>401</v>
      </c>
      <c r="E109" s="316"/>
      <c r="F109" s="316"/>
      <c r="G109" s="316"/>
      <c r="H109" s="316"/>
      <c r="I109" s="316"/>
      <c r="J109" s="316"/>
      <c r="K109" s="316"/>
      <c r="L109" s="316"/>
      <c r="M109" s="316"/>
      <c r="N109" s="316"/>
      <c r="O109" s="316"/>
      <c r="P109" s="316"/>
      <c r="Q109" s="316"/>
      <c r="R109" s="316"/>
      <c r="S109" s="316"/>
      <c r="T109" s="316"/>
      <c r="U109" s="316"/>
      <c r="V109" s="316"/>
      <c r="W109" s="316"/>
      <c r="X109" s="316"/>
      <c r="Y109" s="316"/>
      <c r="Z109" s="316"/>
      <c r="AA109" s="316"/>
      <c r="AB109" s="316"/>
      <c r="AC109" s="316"/>
      <c r="AD109" s="316"/>
      <c r="AE109" s="316"/>
      <c r="AF109" s="316"/>
      <c r="AG109" s="316"/>
      <c r="AH109" s="316"/>
      <c r="AI109" s="316"/>
      <c r="AJ109" s="316"/>
      <c r="AK109" s="316"/>
      <c r="AL109" s="316"/>
      <c r="AM109" s="316"/>
      <c r="AN109" s="316"/>
      <c r="AO109" s="316"/>
      <c r="AP109" s="316"/>
      <c r="AQ109" s="316"/>
      <c r="AR109" s="316"/>
      <c r="AS109" s="316"/>
      <c r="AT109" s="316"/>
      <c r="AU109" s="316"/>
      <c r="AV109" s="316"/>
      <c r="AW109" s="316"/>
      <c r="AX109" s="316"/>
      <c r="AY109" s="316"/>
      <c r="AZ109" s="316"/>
      <c r="BA109" s="316"/>
      <c r="BB109" s="316"/>
      <c r="BC109" s="316"/>
      <c r="BD109" s="316"/>
      <c r="BE109" s="316"/>
      <c r="BF109" s="316"/>
      <c r="BG109" s="316"/>
      <c r="BH109" s="316"/>
      <c r="BI109" s="316"/>
      <c r="BJ109" s="316"/>
      <c r="BK109" s="316"/>
      <c r="BL109" s="316"/>
      <c r="BM109" s="316"/>
      <c r="BN109" s="316"/>
      <c r="BO109" s="316"/>
      <c r="BP109" s="316"/>
      <c r="BQ109" s="316"/>
      <c r="BR109" s="316"/>
      <c r="BS109" s="316"/>
      <c r="BT109" s="316"/>
      <c r="BU109" s="316"/>
      <c r="BV109" s="316"/>
      <c r="BW109" s="316"/>
      <c r="BX109" s="316"/>
      <c r="BY109" s="316"/>
      <c r="BZ109" s="316"/>
      <c r="CA109" s="316"/>
      <c r="CB109" s="316"/>
      <c r="CC109" s="316"/>
      <c r="CD109" s="316"/>
      <c r="CE109" s="317">
        <v>0</v>
      </c>
      <c r="CF109" s="316">
        <v>0</v>
      </c>
      <c r="CG109" s="316">
        <v>0</v>
      </c>
      <c r="CH109" s="316">
        <v>0</v>
      </c>
      <c r="CI109" s="316">
        <v>0</v>
      </c>
      <c r="CJ109" s="316">
        <v>6.7914732000000005E-2</v>
      </c>
      <c r="CK109" s="316">
        <v>0</v>
      </c>
      <c r="CL109" s="316">
        <v>0</v>
      </c>
      <c r="CM109" s="316">
        <v>0</v>
      </c>
      <c r="CN109" s="316">
        <v>0</v>
      </c>
      <c r="CO109" s="316">
        <v>0</v>
      </c>
      <c r="CP109" s="318">
        <v>0</v>
      </c>
      <c r="CQ109" s="316">
        <v>0</v>
      </c>
      <c r="CR109" s="316">
        <v>0</v>
      </c>
      <c r="CS109" s="316">
        <v>0</v>
      </c>
      <c r="CT109" s="316">
        <v>0</v>
      </c>
      <c r="CU109" s="316">
        <v>0</v>
      </c>
      <c r="CV109" s="316">
        <v>0</v>
      </c>
      <c r="CW109" s="316">
        <v>0</v>
      </c>
      <c r="CX109" s="316">
        <v>0</v>
      </c>
      <c r="CY109" s="316">
        <v>0</v>
      </c>
      <c r="CZ109" s="316">
        <v>0</v>
      </c>
      <c r="DA109" s="316">
        <v>0</v>
      </c>
      <c r="DB109" s="1498">
        <v>0</v>
      </c>
      <c r="DC109" s="316">
        <v>0</v>
      </c>
      <c r="DD109" s="316">
        <v>0</v>
      </c>
      <c r="DE109" s="316">
        <v>0</v>
      </c>
      <c r="DF109" s="316">
        <v>0</v>
      </c>
      <c r="DG109" s="316">
        <v>0</v>
      </c>
      <c r="DH109" s="316">
        <v>4.3652752000000003E-2</v>
      </c>
      <c r="DI109" s="316">
        <v>0</v>
      </c>
      <c r="DJ109" s="316">
        <v>0</v>
      </c>
      <c r="DK109" s="316">
        <v>0</v>
      </c>
      <c r="DL109" s="316">
        <v>0</v>
      </c>
      <c r="DM109" s="316">
        <v>0</v>
      </c>
      <c r="DN109" s="318">
        <v>0</v>
      </c>
      <c r="DO109" s="316">
        <v>0</v>
      </c>
      <c r="DP109" s="316">
        <v>0</v>
      </c>
      <c r="DQ109" s="316">
        <v>0</v>
      </c>
      <c r="DR109" s="316">
        <v>0</v>
      </c>
      <c r="DS109" s="316">
        <v>0</v>
      </c>
      <c r="DT109" s="316">
        <v>3.0140581999999999E-2</v>
      </c>
      <c r="DU109" s="316">
        <v>0</v>
      </c>
      <c r="DV109" s="316">
        <v>0</v>
      </c>
      <c r="DW109" s="316">
        <v>0</v>
      </c>
      <c r="DX109" s="316">
        <v>0</v>
      </c>
      <c r="DY109" s="316">
        <v>0</v>
      </c>
      <c r="DZ109" s="318">
        <v>0</v>
      </c>
      <c r="EA109" s="316">
        <v>0</v>
      </c>
      <c r="EB109" s="316">
        <v>0</v>
      </c>
      <c r="EC109" s="316">
        <v>0</v>
      </c>
      <c r="ED109" s="316">
        <v>0</v>
      </c>
      <c r="EE109" s="316">
        <v>0</v>
      </c>
      <c r="EF109" s="316">
        <v>0</v>
      </c>
      <c r="EG109" s="316">
        <v>0</v>
      </c>
      <c r="EH109" s="316">
        <v>0</v>
      </c>
      <c r="EI109" s="316">
        <v>0</v>
      </c>
      <c r="EJ109" s="316">
        <v>0</v>
      </c>
      <c r="EK109" s="316">
        <v>0</v>
      </c>
      <c r="EL109" s="318">
        <v>0</v>
      </c>
      <c r="EM109" s="1206"/>
      <c r="EN109" s="1206"/>
      <c r="EO109" s="1206"/>
      <c r="EP109" s="1206"/>
      <c r="EQ109" s="1206"/>
      <c r="ER109" s="1206"/>
      <c r="ES109" s="1206"/>
      <c r="ET109" s="1206"/>
      <c r="EU109" s="1206"/>
      <c r="EV109" s="1206"/>
      <c r="EW109" s="1206"/>
      <c r="EX109" s="1550"/>
      <c r="EY109" s="1206"/>
      <c r="EZ109" s="1206"/>
      <c r="FA109" s="1206"/>
      <c r="FB109" s="1206"/>
      <c r="FC109" s="1206"/>
      <c r="FD109" s="1206"/>
      <c r="FE109" s="1206"/>
      <c r="FF109" s="1206"/>
      <c r="FG109" s="1206"/>
      <c r="FH109" s="1206"/>
      <c r="FI109" s="1206"/>
      <c r="FJ109" s="1550"/>
      <c r="FK109" s="1206"/>
      <c r="FL109" s="1206"/>
      <c r="FM109" s="1206"/>
      <c r="FN109" s="1206"/>
      <c r="FO109" s="1206"/>
      <c r="FP109" s="1206"/>
      <c r="FQ109" s="316"/>
      <c r="FR109" s="316"/>
      <c r="FS109" s="316"/>
      <c r="FT109" s="316"/>
      <c r="FU109" s="316"/>
      <c r="FV109" s="316"/>
      <c r="FW109" s="316"/>
      <c r="FX109" s="316"/>
      <c r="FY109" s="316"/>
      <c r="FZ109" s="316"/>
      <c r="GA109" s="316"/>
      <c r="GB109" s="316"/>
      <c r="GC109" s="316"/>
      <c r="GD109" s="316"/>
      <c r="GE109" s="316"/>
      <c r="GF109" s="316"/>
      <c r="GG109" s="316"/>
      <c r="GH109" s="316"/>
      <c r="GI109" s="316"/>
      <c r="GJ109" s="316"/>
      <c r="GK109" s="316"/>
      <c r="GL109" s="316"/>
      <c r="GM109" s="316"/>
      <c r="GN109" s="316"/>
      <c r="GO109" s="316"/>
      <c r="GP109" s="316"/>
      <c r="GQ109" s="316"/>
      <c r="GR109" s="316"/>
      <c r="GS109" s="316"/>
      <c r="GT109" s="316"/>
      <c r="GU109" s="316"/>
      <c r="GV109" s="316"/>
      <c r="GW109" s="316"/>
      <c r="GX109" s="316"/>
      <c r="GY109" s="316"/>
      <c r="GZ109" s="316"/>
      <c r="HA109" s="316"/>
      <c r="HB109" s="316"/>
      <c r="HC109" s="316"/>
      <c r="HD109" s="316"/>
      <c r="HE109" s="316"/>
      <c r="HF109" s="316"/>
      <c r="HG109" s="316"/>
      <c r="HH109" s="316"/>
      <c r="HI109" s="316"/>
      <c r="HJ109" s="316"/>
      <c r="HK109" s="316"/>
      <c r="HL109" s="316"/>
      <c r="HM109" s="316"/>
      <c r="HV109" s="302">
        <f t="shared" si="17"/>
        <v>4.3652752000000003E-2</v>
      </c>
      <c r="HW109" s="302">
        <f t="shared" si="18"/>
        <v>0</v>
      </c>
      <c r="HX109" s="302">
        <f t="shared" si="19"/>
        <v>4.3652752000000003E-2</v>
      </c>
      <c r="HY109" s="302">
        <f t="shared" si="20"/>
        <v>3.0140581999999999E-2</v>
      </c>
      <c r="KH109" s="303"/>
    </row>
    <row r="110" spans="1:294" outlineLevel="1">
      <c r="B110" s="117" t="s">
        <v>361</v>
      </c>
      <c r="D110" s="323" t="s">
        <v>402</v>
      </c>
      <c r="E110" s="316"/>
      <c r="F110" s="316"/>
      <c r="G110" s="316"/>
      <c r="H110" s="316"/>
      <c r="I110" s="316"/>
      <c r="J110" s="316"/>
      <c r="K110" s="316"/>
      <c r="L110" s="316"/>
      <c r="M110" s="316"/>
      <c r="N110" s="316"/>
      <c r="O110" s="316"/>
      <c r="P110" s="316"/>
      <c r="Q110" s="316"/>
      <c r="R110" s="316"/>
      <c r="S110" s="316"/>
      <c r="T110" s="316"/>
      <c r="U110" s="316"/>
      <c r="V110" s="316"/>
      <c r="W110" s="316"/>
      <c r="X110" s="316"/>
      <c r="Y110" s="316"/>
      <c r="Z110" s="316"/>
      <c r="AA110" s="316"/>
      <c r="AB110" s="316"/>
      <c r="AC110" s="316"/>
      <c r="AD110" s="316"/>
      <c r="AE110" s="316"/>
      <c r="AF110" s="316"/>
      <c r="AG110" s="316"/>
      <c r="AH110" s="316"/>
      <c r="AI110" s="316"/>
      <c r="AJ110" s="316"/>
      <c r="AK110" s="316"/>
      <c r="AL110" s="316"/>
      <c r="AM110" s="316"/>
      <c r="AN110" s="316"/>
      <c r="AO110" s="316"/>
      <c r="AP110" s="316"/>
      <c r="AQ110" s="316"/>
      <c r="AR110" s="316"/>
      <c r="AS110" s="316"/>
      <c r="AT110" s="316"/>
      <c r="AU110" s="316"/>
      <c r="AV110" s="316"/>
      <c r="AW110" s="316"/>
      <c r="AX110" s="316"/>
      <c r="AY110" s="316"/>
      <c r="AZ110" s="316"/>
      <c r="BA110" s="316"/>
      <c r="BB110" s="316"/>
      <c r="BC110" s="316"/>
      <c r="BD110" s="316"/>
      <c r="BE110" s="316"/>
      <c r="BF110" s="316"/>
      <c r="BG110" s="316"/>
      <c r="BH110" s="316"/>
      <c r="BI110" s="316"/>
      <c r="BJ110" s="316"/>
      <c r="BK110" s="316"/>
      <c r="BL110" s="316"/>
      <c r="BM110" s="316"/>
      <c r="BN110" s="316"/>
      <c r="BO110" s="316"/>
      <c r="BP110" s="316"/>
      <c r="BQ110" s="316"/>
      <c r="BR110" s="316"/>
      <c r="BS110" s="316"/>
      <c r="BT110" s="316"/>
      <c r="BU110" s="316"/>
      <c r="BV110" s="316"/>
      <c r="BW110" s="316"/>
      <c r="BX110" s="316"/>
      <c r="BY110" s="316"/>
      <c r="BZ110" s="316"/>
      <c r="CA110" s="316"/>
      <c r="CB110" s="316"/>
      <c r="CC110" s="316"/>
      <c r="CD110" s="316"/>
      <c r="CE110" s="317">
        <v>1.4785326999999999E-2</v>
      </c>
      <c r="CF110" s="316">
        <v>0</v>
      </c>
      <c r="CG110" s="316">
        <v>0</v>
      </c>
      <c r="CH110" s="316">
        <v>7.5752429999999997E-3</v>
      </c>
      <c r="CI110" s="316">
        <v>0</v>
      </c>
      <c r="CJ110" s="316">
        <v>0</v>
      </c>
      <c r="CK110" s="316">
        <v>0</v>
      </c>
      <c r="CL110" s="316">
        <v>0</v>
      </c>
      <c r="CM110" s="316">
        <v>0</v>
      </c>
      <c r="CN110" s="316">
        <v>0</v>
      </c>
      <c r="CO110" s="316">
        <v>0</v>
      </c>
      <c r="CP110" s="318">
        <v>0</v>
      </c>
      <c r="CQ110" s="316">
        <v>0</v>
      </c>
      <c r="CR110" s="316">
        <v>0</v>
      </c>
      <c r="CS110" s="316">
        <v>0</v>
      </c>
      <c r="CT110" s="316">
        <v>0</v>
      </c>
      <c r="CU110" s="316">
        <v>0</v>
      </c>
      <c r="CV110" s="316">
        <v>0</v>
      </c>
      <c r="CW110" s="316">
        <v>0</v>
      </c>
      <c r="CX110" s="316">
        <v>0</v>
      </c>
      <c r="CY110" s="316">
        <v>0</v>
      </c>
      <c r="CZ110" s="316">
        <v>0</v>
      </c>
      <c r="DA110" s="316">
        <v>0</v>
      </c>
      <c r="DB110" s="1498">
        <v>0</v>
      </c>
      <c r="DC110" s="316">
        <v>0</v>
      </c>
      <c r="DD110" s="316">
        <v>0</v>
      </c>
      <c r="DE110" s="316">
        <v>0</v>
      </c>
      <c r="DF110" s="316">
        <v>0</v>
      </c>
      <c r="DG110" s="316">
        <v>0</v>
      </c>
      <c r="DH110" s="316">
        <v>0</v>
      </c>
      <c r="DI110" s="316">
        <v>0</v>
      </c>
      <c r="DJ110" s="316">
        <v>0</v>
      </c>
      <c r="DK110" s="316">
        <v>0</v>
      </c>
      <c r="DL110" s="316">
        <v>0</v>
      </c>
      <c r="DM110" s="316">
        <v>0</v>
      </c>
      <c r="DN110" s="318">
        <v>0</v>
      </c>
      <c r="DO110" s="316">
        <v>0</v>
      </c>
      <c r="DP110" s="316">
        <v>0</v>
      </c>
      <c r="DQ110" s="316">
        <v>0</v>
      </c>
      <c r="DR110" s="316">
        <v>0</v>
      </c>
      <c r="DS110" s="316">
        <v>0</v>
      </c>
      <c r="DT110" s="316">
        <v>0</v>
      </c>
      <c r="DU110" s="316">
        <v>0</v>
      </c>
      <c r="DV110" s="316">
        <v>0</v>
      </c>
      <c r="DW110" s="316">
        <v>0</v>
      </c>
      <c r="DX110" s="316">
        <v>0</v>
      </c>
      <c r="DY110" s="316">
        <v>0</v>
      </c>
      <c r="DZ110" s="318">
        <v>0</v>
      </c>
      <c r="EA110" s="316">
        <v>0</v>
      </c>
      <c r="EB110" s="316">
        <v>0</v>
      </c>
      <c r="EC110" s="316">
        <v>0</v>
      </c>
      <c r="ED110" s="316">
        <v>0</v>
      </c>
      <c r="EE110" s="316">
        <v>0</v>
      </c>
      <c r="EF110" s="316">
        <v>0</v>
      </c>
      <c r="EG110" s="316">
        <v>0</v>
      </c>
      <c r="EH110" s="316">
        <v>0</v>
      </c>
      <c r="EI110" s="316">
        <v>0</v>
      </c>
      <c r="EJ110" s="316">
        <v>0</v>
      </c>
      <c r="EK110" s="316">
        <v>0</v>
      </c>
      <c r="EL110" s="318">
        <v>0</v>
      </c>
      <c r="EM110" s="1206"/>
      <c r="EN110" s="1206"/>
      <c r="EO110" s="1206"/>
      <c r="EP110" s="1206"/>
      <c r="EQ110" s="1206"/>
      <c r="ER110" s="1206"/>
      <c r="ES110" s="1206"/>
      <c r="ET110" s="1206"/>
      <c r="EU110" s="1206"/>
      <c r="EV110" s="1206"/>
      <c r="EW110" s="1206"/>
      <c r="EX110" s="1550"/>
      <c r="EY110" s="1206"/>
      <c r="EZ110" s="1206"/>
      <c r="FA110" s="1206"/>
      <c r="FB110" s="1206"/>
      <c r="FC110" s="1206"/>
      <c r="FD110" s="1206"/>
      <c r="FE110" s="1206"/>
      <c r="FF110" s="1206"/>
      <c r="FG110" s="1206"/>
      <c r="FH110" s="1206"/>
      <c r="FI110" s="1206"/>
      <c r="FJ110" s="1550"/>
      <c r="FK110" s="1206"/>
      <c r="FL110" s="1206"/>
      <c r="FM110" s="1206"/>
      <c r="FN110" s="1206"/>
      <c r="FO110" s="1206"/>
      <c r="FP110" s="1206"/>
      <c r="FQ110" s="316"/>
      <c r="FR110" s="316"/>
      <c r="FS110" s="316"/>
      <c r="FT110" s="316"/>
      <c r="FU110" s="316"/>
      <c r="FV110" s="316"/>
      <c r="FW110" s="316"/>
      <c r="FX110" s="316"/>
      <c r="FY110" s="316"/>
      <c r="FZ110" s="316"/>
      <c r="GA110" s="316"/>
      <c r="GB110" s="316"/>
      <c r="GC110" s="316"/>
      <c r="GD110" s="316"/>
      <c r="GE110" s="316"/>
      <c r="GF110" s="316"/>
      <c r="GG110" s="316"/>
      <c r="GH110" s="316"/>
      <c r="GI110" s="316"/>
      <c r="GJ110" s="316"/>
      <c r="GK110" s="316"/>
      <c r="GL110" s="316"/>
      <c r="GM110" s="316"/>
      <c r="GN110" s="316"/>
      <c r="GO110" s="316"/>
      <c r="GP110" s="316"/>
      <c r="GQ110" s="316"/>
      <c r="GR110" s="316"/>
      <c r="GS110" s="316"/>
      <c r="GT110" s="316"/>
      <c r="GU110" s="316"/>
      <c r="GV110" s="316"/>
      <c r="GW110" s="316"/>
      <c r="GX110" s="316"/>
      <c r="GY110" s="316"/>
      <c r="GZ110" s="316"/>
      <c r="HA110" s="316"/>
      <c r="HB110" s="316"/>
      <c r="HC110" s="316"/>
      <c r="HD110" s="316"/>
      <c r="HE110" s="316"/>
      <c r="HF110" s="316"/>
      <c r="HG110" s="316"/>
      <c r="HH110" s="316"/>
      <c r="HI110" s="316"/>
      <c r="HJ110" s="316"/>
      <c r="HK110" s="316"/>
      <c r="HL110" s="316"/>
      <c r="HM110" s="316"/>
      <c r="HV110" s="302">
        <f t="shared" si="17"/>
        <v>0</v>
      </c>
      <c r="HW110" s="302">
        <f t="shared" si="18"/>
        <v>0</v>
      </c>
      <c r="HX110" s="302">
        <f t="shared" si="19"/>
        <v>0</v>
      </c>
      <c r="HY110" s="302">
        <f t="shared" si="20"/>
        <v>0</v>
      </c>
      <c r="KH110" s="303"/>
    </row>
    <row r="111" spans="1:294" outlineLevel="1">
      <c r="B111" s="117" t="s">
        <v>361</v>
      </c>
      <c r="D111" s="323" t="s">
        <v>403</v>
      </c>
      <c r="E111" s="316"/>
      <c r="F111" s="316"/>
      <c r="G111" s="316"/>
      <c r="H111" s="316"/>
      <c r="I111" s="316"/>
      <c r="J111" s="316"/>
      <c r="K111" s="316"/>
      <c r="L111" s="316"/>
      <c r="M111" s="316"/>
      <c r="N111" s="316"/>
      <c r="O111" s="316"/>
      <c r="P111" s="316"/>
      <c r="Q111" s="316"/>
      <c r="R111" s="316"/>
      <c r="S111" s="316"/>
      <c r="T111" s="316"/>
      <c r="U111" s="316"/>
      <c r="V111" s="316"/>
      <c r="W111" s="316"/>
      <c r="X111" s="316"/>
      <c r="Y111" s="316"/>
      <c r="Z111" s="316"/>
      <c r="AA111" s="316"/>
      <c r="AB111" s="316"/>
      <c r="AC111" s="316"/>
      <c r="AD111" s="316"/>
      <c r="AE111" s="316"/>
      <c r="AF111" s="316"/>
      <c r="AG111" s="316"/>
      <c r="AH111" s="316"/>
      <c r="AI111" s="316"/>
      <c r="AJ111" s="316"/>
      <c r="AK111" s="316"/>
      <c r="AL111" s="316"/>
      <c r="AM111" s="316"/>
      <c r="AN111" s="316"/>
      <c r="AO111" s="316"/>
      <c r="AP111" s="316"/>
      <c r="AQ111" s="316"/>
      <c r="AR111" s="316"/>
      <c r="AS111" s="316"/>
      <c r="AT111" s="316"/>
      <c r="AU111" s="316"/>
      <c r="AV111" s="316"/>
      <c r="AW111" s="316"/>
      <c r="AX111" s="316"/>
      <c r="AY111" s="316"/>
      <c r="AZ111" s="316"/>
      <c r="BA111" s="316"/>
      <c r="BB111" s="316"/>
      <c r="BC111" s="316"/>
      <c r="BD111" s="316"/>
      <c r="BE111" s="316"/>
      <c r="BF111" s="316"/>
      <c r="BG111" s="316"/>
      <c r="BH111" s="316"/>
      <c r="BI111" s="316"/>
      <c r="BJ111" s="316"/>
      <c r="BK111" s="316"/>
      <c r="BL111" s="316"/>
      <c r="BM111" s="316"/>
      <c r="BN111" s="316"/>
      <c r="BO111" s="316"/>
      <c r="BP111" s="316"/>
      <c r="BQ111" s="316"/>
      <c r="BR111" s="316"/>
      <c r="BS111" s="316"/>
      <c r="BT111" s="316"/>
      <c r="BU111" s="316"/>
      <c r="BV111" s="316"/>
      <c r="BW111" s="316"/>
      <c r="BX111" s="316"/>
      <c r="BY111" s="316"/>
      <c r="BZ111" s="316"/>
      <c r="CA111" s="316"/>
      <c r="CB111" s="316"/>
      <c r="CC111" s="316"/>
      <c r="CD111" s="316"/>
      <c r="CE111" s="317">
        <v>0</v>
      </c>
      <c r="CF111" s="316">
        <v>0</v>
      </c>
      <c r="CG111" s="316">
        <v>0</v>
      </c>
      <c r="CH111" s="316">
        <v>0</v>
      </c>
      <c r="CI111" s="316">
        <v>0</v>
      </c>
      <c r="CJ111" s="316">
        <v>0</v>
      </c>
      <c r="CK111" s="316">
        <v>0</v>
      </c>
      <c r="CL111" s="316">
        <v>0</v>
      </c>
      <c r="CM111" s="316">
        <v>0</v>
      </c>
      <c r="CN111" s="316">
        <v>0</v>
      </c>
      <c r="CO111" s="316">
        <v>0</v>
      </c>
      <c r="CP111" s="318">
        <v>0</v>
      </c>
      <c r="CQ111" s="316">
        <v>0</v>
      </c>
      <c r="CR111" s="316">
        <v>0</v>
      </c>
      <c r="CS111" s="316">
        <v>0</v>
      </c>
      <c r="CT111" s="316">
        <v>0</v>
      </c>
      <c r="CU111" s="316">
        <v>0</v>
      </c>
      <c r="CV111" s="316">
        <v>0</v>
      </c>
      <c r="CW111" s="316">
        <v>0</v>
      </c>
      <c r="CX111" s="316">
        <v>0</v>
      </c>
      <c r="CY111" s="316">
        <v>0</v>
      </c>
      <c r="CZ111" s="316">
        <v>0</v>
      </c>
      <c r="DA111" s="316">
        <v>0</v>
      </c>
      <c r="DB111" s="1498">
        <v>0</v>
      </c>
      <c r="DC111" s="316">
        <v>0</v>
      </c>
      <c r="DD111" s="316">
        <v>0</v>
      </c>
      <c r="DE111" s="316">
        <v>0</v>
      </c>
      <c r="DF111" s="316">
        <v>0</v>
      </c>
      <c r="DG111" s="316">
        <v>0</v>
      </c>
      <c r="DH111" s="316">
        <v>0</v>
      </c>
      <c r="DI111" s="316">
        <v>0</v>
      </c>
      <c r="DJ111" s="316">
        <v>0</v>
      </c>
      <c r="DK111" s="316">
        <v>0</v>
      </c>
      <c r="DL111" s="316">
        <v>0</v>
      </c>
      <c r="DM111" s="316">
        <v>0</v>
      </c>
      <c r="DN111" s="318">
        <v>0</v>
      </c>
      <c r="DO111" s="316">
        <v>0</v>
      </c>
      <c r="DP111" s="316">
        <v>0</v>
      </c>
      <c r="DQ111" s="316">
        <v>0</v>
      </c>
      <c r="DR111" s="316">
        <v>0</v>
      </c>
      <c r="DS111" s="316">
        <v>0</v>
      </c>
      <c r="DT111" s="316">
        <v>0</v>
      </c>
      <c r="DU111" s="316">
        <v>0</v>
      </c>
      <c r="DV111" s="316">
        <v>0</v>
      </c>
      <c r="DW111" s="316">
        <v>0</v>
      </c>
      <c r="DX111" s="316">
        <v>0</v>
      </c>
      <c r="DY111" s="316">
        <v>0</v>
      </c>
      <c r="DZ111" s="318">
        <v>0</v>
      </c>
      <c r="EA111" s="316">
        <v>0</v>
      </c>
      <c r="EB111" s="316">
        <v>0</v>
      </c>
      <c r="EC111" s="316">
        <v>0</v>
      </c>
      <c r="ED111" s="316">
        <v>0</v>
      </c>
      <c r="EE111" s="316">
        <v>0</v>
      </c>
      <c r="EF111" s="316">
        <v>0</v>
      </c>
      <c r="EG111" s="316">
        <v>0</v>
      </c>
      <c r="EH111" s="316">
        <v>0</v>
      </c>
      <c r="EI111" s="316">
        <v>0</v>
      </c>
      <c r="EJ111" s="316">
        <v>0</v>
      </c>
      <c r="EK111" s="316">
        <v>0</v>
      </c>
      <c r="EL111" s="318">
        <v>0</v>
      </c>
      <c r="EM111" s="1206"/>
      <c r="EN111" s="1206"/>
      <c r="EO111" s="1206"/>
      <c r="EP111" s="1206"/>
      <c r="EQ111" s="1206"/>
      <c r="ER111" s="1206"/>
      <c r="ES111" s="1206"/>
      <c r="ET111" s="1206"/>
      <c r="EU111" s="1206"/>
      <c r="EV111" s="1206"/>
      <c r="EW111" s="1206"/>
      <c r="EX111" s="1550"/>
      <c r="EY111" s="1206"/>
      <c r="EZ111" s="1206"/>
      <c r="FA111" s="1206"/>
      <c r="FB111" s="1206"/>
      <c r="FC111" s="1206"/>
      <c r="FD111" s="1206"/>
      <c r="FE111" s="1206"/>
      <c r="FF111" s="1206"/>
      <c r="FG111" s="1206"/>
      <c r="FH111" s="1206"/>
      <c r="FI111" s="1206"/>
      <c r="FJ111" s="1550"/>
      <c r="FK111" s="1206"/>
      <c r="FL111" s="1206"/>
      <c r="FM111" s="1206"/>
      <c r="FN111" s="1206"/>
      <c r="FO111" s="1206"/>
      <c r="FP111" s="1206"/>
      <c r="FQ111" s="316"/>
      <c r="FR111" s="316"/>
      <c r="FS111" s="316"/>
      <c r="FT111" s="316"/>
      <c r="FU111" s="316"/>
      <c r="FV111" s="316"/>
      <c r="FW111" s="316"/>
      <c r="FX111" s="316"/>
      <c r="FY111" s="316"/>
      <c r="FZ111" s="316"/>
      <c r="GA111" s="316"/>
      <c r="GB111" s="316"/>
      <c r="GC111" s="316"/>
      <c r="GD111" s="316"/>
      <c r="GE111" s="316"/>
      <c r="GF111" s="316"/>
      <c r="GG111" s="316"/>
      <c r="GH111" s="316"/>
      <c r="GI111" s="316"/>
      <c r="GJ111" s="316"/>
      <c r="GK111" s="316"/>
      <c r="GL111" s="316"/>
      <c r="GM111" s="316"/>
      <c r="GN111" s="316"/>
      <c r="GO111" s="316"/>
      <c r="GP111" s="316"/>
      <c r="GQ111" s="316"/>
      <c r="GR111" s="316"/>
      <c r="GS111" s="316"/>
      <c r="GT111" s="316"/>
      <c r="GU111" s="316"/>
      <c r="GV111" s="316"/>
      <c r="GW111" s="316"/>
      <c r="GX111" s="316"/>
      <c r="GY111" s="316"/>
      <c r="GZ111" s="316"/>
      <c r="HA111" s="316"/>
      <c r="HB111" s="316"/>
      <c r="HC111" s="316"/>
      <c r="HD111" s="316"/>
      <c r="HE111" s="316"/>
      <c r="HF111" s="316"/>
      <c r="HG111" s="316"/>
      <c r="HH111" s="316"/>
      <c r="HI111" s="316"/>
      <c r="HJ111" s="316"/>
      <c r="HK111" s="316"/>
      <c r="HL111" s="316"/>
      <c r="HM111" s="316"/>
      <c r="HV111" s="302">
        <f t="shared" si="17"/>
        <v>0</v>
      </c>
      <c r="HW111" s="302">
        <f t="shared" si="18"/>
        <v>0</v>
      </c>
      <c r="HX111" s="302">
        <f t="shared" si="19"/>
        <v>0</v>
      </c>
      <c r="HY111" s="302">
        <f t="shared" si="20"/>
        <v>0</v>
      </c>
      <c r="KH111" s="303"/>
    </row>
    <row r="112" spans="1:294" outlineLevel="1">
      <c r="B112" s="117" t="s">
        <v>361</v>
      </c>
      <c r="D112" s="323" t="s">
        <v>404</v>
      </c>
      <c r="E112" s="316"/>
      <c r="F112" s="316"/>
      <c r="G112" s="316"/>
      <c r="H112" s="316"/>
      <c r="I112" s="316"/>
      <c r="J112" s="316"/>
      <c r="K112" s="316"/>
      <c r="L112" s="316"/>
      <c r="M112" s="316"/>
      <c r="N112" s="316"/>
      <c r="O112" s="316"/>
      <c r="P112" s="316"/>
      <c r="Q112" s="316"/>
      <c r="R112" s="316"/>
      <c r="S112" s="316"/>
      <c r="T112" s="316"/>
      <c r="U112" s="316"/>
      <c r="V112" s="316"/>
      <c r="W112" s="316"/>
      <c r="X112" s="316"/>
      <c r="Y112" s="316"/>
      <c r="Z112" s="316"/>
      <c r="AA112" s="316"/>
      <c r="AB112" s="316"/>
      <c r="AC112" s="316"/>
      <c r="AD112" s="316"/>
      <c r="AE112" s="316"/>
      <c r="AF112" s="316"/>
      <c r="AG112" s="316"/>
      <c r="AH112" s="316"/>
      <c r="AI112" s="316"/>
      <c r="AJ112" s="316"/>
      <c r="AK112" s="316"/>
      <c r="AL112" s="316"/>
      <c r="AM112" s="316"/>
      <c r="AN112" s="316"/>
      <c r="AO112" s="316"/>
      <c r="AP112" s="316"/>
      <c r="AQ112" s="316"/>
      <c r="AR112" s="316"/>
      <c r="AS112" s="316"/>
      <c r="AT112" s="316"/>
      <c r="AU112" s="316"/>
      <c r="AV112" s="316"/>
      <c r="AW112" s="316"/>
      <c r="AX112" s="316"/>
      <c r="AY112" s="316"/>
      <c r="AZ112" s="316"/>
      <c r="BA112" s="316"/>
      <c r="BB112" s="316"/>
      <c r="BC112" s="316"/>
      <c r="BD112" s="316"/>
      <c r="BE112" s="316"/>
      <c r="BF112" s="316"/>
      <c r="BG112" s="316"/>
      <c r="BH112" s="316"/>
      <c r="BI112" s="316"/>
      <c r="BJ112" s="316"/>
      <c r="BK112" s="316"/>
      <c r="BL112" s="316"/>
      <c r="BM112" s="316"/>
      <c r="BN112" s="316"/>
      <c r="BO112" s="316"/>
      <c r="BP112" s="316"/>
      <c r="BQ112" s="316"/>
      <c r="BR112" s="316"/>
      <c r="BS112" s="316"/>
      <c r="BT112" s="316"/>
      <c r="BU112" s="316"/>
      <c r="BV112" s="316"/>
      <c r="BW112" s="316"/>
      <c r="BX112" s="316"/>
      <c r="BY112" s="316"/>
      <c r="BZ112" s="316"/>
      <c r="CA112" s="316"/>
      <c r="CB112" s="316"/>
      <c r="CC112" s="316"/>
      <c r="CD112" s="316"/>
      <c r="CE112" s="317">
        <v>0</v>
      </c>
      <c r="CF112" s="316">
        <v>0</v>
      </c>
      <c r="CG112" s="316">
        <v>0</v>
      </c>
      <c r="CH112" s="316">
        <v>0</v>
      </c>
      <c r="CI112" s="316">
        <v>0</v>
      </c>
      <c r="CJ112" s="316">
        <v>0</v>
      </c>
      <c r="CK112" s="316">
        <v>0</v>
      </c>
      <c r="CL112" s="316">
        <v>0</v>
      </c>
      <c r="CM112" s="316">
        <v>0</v>
      </c>
      <c r="CN112" s="316">
        <v>0</v>
      </c>
      <c r="CO112" s="316">
        <v>0</v>
      </c>
      <c r="CP112" s="318">
        <v>0</v>
      </c>
      <c r="CQ112" s="316">
        <v>0</v>
      </c>
      <c r="CR112" s="316">
        <v>0</v>
      </c>
      <c r="CS112" s="316">
        <v>0</v>
      </c>
      <c r="CT112" s="316">
        <v>0</v>
      </c>
      <c r="CU112" s="316">
        <v>0</v>
      </c>
      <c r="CV112" s="316">
        <v>0</v>
      </c>
      <c r="CW112" s="316">
        <v>0</v>
      </c>
      <c r="CX112" s="316">
        <v>0</v>
      </c>
      <c r="CY112" s="316">
        <v>0</v>
      </c>
      <c r="CZ112" s="316">
        <v>0</v>
      </c>
      <c r="DA112" s="316">
        <v>0</v>
      </c>
      <c r="DB112" s="1498">
        <v>0</v>
      </c>
      <c r="DC112" s="316">
        <v>0</v>
      </c>
      <c r="DD112" s="316">
        <v>0</v>
      </c>
      <c r="DE112" s="316">
        <v>0</v>
      </c>
      <c r="DF112" s="316">
        <v>0</v>
      </c>
      <c r="DG112" s="316">
        <v>0</v>
      </c>
      <c r="DH112" s="316">
        <v>0</v>
      </c>
      <c r="DI112" s="316">
        <v>0</v>
      </c>
      <c r="DJ112" s="316">
        <v>0</v>
      </c>
      <c r="DK112" s="316">
        <v>0</v>
      </c>
      <c r="DL112" s="316">
        <v>0</v>
      </c>
      <c r="DM112" s="316">
        <v>0</v>
      </c>
      <c r="DN112" s="318">
        <v>0</v>
      </c>
      <c r="DO112" s="316">
        <v>0</v>
      </c>
      <c r="DP112" s="316">
        <v>0</v>
      </c>
      <c r="DQ112" s="316">
        <v>0</v>
      </c>
      <c r="DR112" s="316">
        <v>0</v>
      </c>
      <c r="DS112" s="316">
        <v>0</v>
      </c>
      <c r="DT112" s="316">
        <v>0</v>
      </c>
      <c r="DU112" s="316">
        <v>0</v>
      </c>
      <c r="DV112" s="316">
        <v>0</v>
      </c>
      <c r="DW112" s="316">
        <v>0</v>
      </c>
      <c r="DX112" s="316">
        <v>0</v>
      </c>
      <c r="DY112" s="316">
        <v>0</v>
      </c>
      <c r="DZ112" s="318">
        <v>0</v>
      </c>
      <c r="EA112" s="316">
        <v>0</v>
      </c>
      <c r="EB112" s="316">
        <v>0</v>
      </c>
      <c r="EC112" s="316">
        <v>0</v>
      </c>
      <c r="ED112" s="316">
        <v>0</v>
      </c>
      <c r="EE112" s="316">
        <v>0</v>
      </c>
      <c r="EF112" s="316">
        <v>0</v>
      </c>
      <c r="EG112" s="316">
        <v>0</v>
      </c>
      <c r="EH112" s="316">
        <v>0</v>
      </c>
      <c r="EI112" s="316">
        <v>0</v>
      </c>
      <c r="EJ112" s="316">
        <v>0</v>
      </c>
      <c r="EK112" s="316">
        <v>0</v>
      </c>
      <c r="EL112" s="318">
        <v>0</v>
      </c>
      <c r="EM112" s="1206"/>
      <c r="EN112" s="1206"/>
      <c r="EO112" s="1206"/>
      <c r="EP112" s="1206"/>
      <c r="EQ112" s="1206"/>
      <c r="ER112" s="1206"/>
      <c r="ES112" s="1206"/>
      <c r="ET112" s="1206"/>
      <c r="EU112" s="1206"/>
      <c r="EV112" s="1206"/>
      <c r="EW112" s="1206"/>
      <c r="EX112" s="1550"/>
      <c r="EY112" s="1206"/>
      <c r="EZ112" s="1206"/>
      <c r="FA112" s="1206"/>
      <c r="FB112" s="1206"/>
      <c r="FC112" s="1206"/>
      <c r="FD112" s="1206"/>
      <c r="FE112" s="1206"/>
      <c r="FF112" s="1206"/>
      <c r="FG112" s="1206"/>
      <c r="FH112" s="1206"/>
      <c r="FI112" s="1206"/>
      <c r="FJ112" s="1550"/>
      <c r="FK112" s="1206"/>
      <c r="FL112" s="1206"/>
      <c r="FM112" s="1206"/>
      <c r="FN112" s="1206"/>
      <c r="FO112" s="1206"/>
      <c r="FP112" s="1206"/>
      <c r="FQ112" s="316"/>
      <c r="FR112" s="316"/>
      <c r="FS112" s="316"/>
      <c r="FT112" s="316"/>
      <c r="FU112" s="316"/>
      <c r="FV112" s="316"/>
      <c r="FW112" s="316"/>
      <c r="FX112" s="316"/>
      <c r="FY112" s="316"/>
      <c r="FZ112" s="316"/>
      <c r="GA112" s="316"/>
      <c r="GB112" s="316"/>
      <c r="GC112" s="316"/>
      <c r="GD112" s="316"/>
      <c r="GE112" s="316"/>
      <c r="GF112" s="316"/>
      <c r="GG112" s="316"/>
      <c r="GH112" s="316"/>
      <c r="GI112" s="316"/>
      <c r="GJ112" s="316"/>
      <c r="GK112" s="316"/>
      <c r="GL112" s="316"/>
      <c r="GM112" s="316"/>
      <c r="GN112" s="316"/>
      <c r="GO112" s="316"/>
      <c r="GP112" s="316"/>
      <c r="GQ112" s="316"/>
      <c r="GR112" s="316"/>
      <c r="GS112" s="316"/>
      <c r="GT112" s="316"/>
      <c r="GU112" s="316"/>
      <c r="GV112" s="316"/>
      <c r="GW112" s="316"/>
      <c r="GX112" s="316"/>
      <c r="GY112" s="316"/>
      <c r="GZ112" s="316"/>
      <c r="HA112" s="316"/>
      <c r="HB112" s="316"/>
      <c r="HC112" s="316"/>
      <c r="HD112" s="316"/>
      <c r="HE112" s="316"/>
      <c r="HF112" s="316"/>
      <c r="HG112" s="316"/>
      <c r="HH112" s="316"/>
      <c r="HI112" s="316"/>
      <c r="HJ112" s="316"/>
      <c r="HK112" s="316"/>
      <c r="HL112" s="316"/>
      <c r="HM112" s="316"/>
      <c r="HV112" s="302">
        <f t="shared" si="17"/>
        <v>0</v>
      </c>
      <c r="HW112" s="302">
        <f t="shared" si="18"/>
        <v>0</v>
      </c>
      <c r="HX112" s="302">
        <f t="shared" si="19"/>
        <v>0</v>
      </c>
      <c r="HY112" s="302">
        <f t="shared" si="20"/>
        <v>0</v>
      </c>
      <c r="KH112" s="303"/>
    </row>
    <row r="113" spans="1:294" outlineLevel="1">
      <c r="B113" s="117" t="s">
        <v>361</v>
      </c>
      <c r="D113" s="319" t="s">
        <v>406</v>
      </c>
      <c r="E113" s="316"/>
      <c r="F113" s="316"/>
      <c r="G113" s="316"/>
      <c r="H113" s="316"/>
      <c r="I113" s="316"/>
      <c r="J113" s="316"/>
      <c r="K113" s="316"/>
      <c r="L113" s="316"/>
      <c r="M113" s="316"/>
      <c r="N113" s="316"/>
      <c r="O113" s="316"/>
      <c r="P113" s="316"/>
      <c r="Q113" s="316"/>
      <c r="R113" s="316"/>
      <c r="S113" s="316"/>
      <c r="T113" s="316"/>
      <c r="U113" s="316"/>
      <c r="V113" s="316"/>
      <c r="W113" s="316"/>
      <c r="X113" s="316"/>
      <c r="Y113" s="316"/>
      <c r="Z113" s="316"/>
      <c r="AA113" s="316"/>
      <c r="AB113" s="316"/>
      <c r="AC113" s="316"/>
      <c r="AD113" s="316"/>
      <c r="AE113" s="316"/>
      <c r="AF113" s="316"/>
      <c r="AG113" s="316"/>
      <c r="AH113" s="316"/>
      <c r="AI113" s="316"/>
      <c r="AJ113" s="316"/>
      <c r="AK113" s="316"/>
      <c r="AL113" s="316"/>
      <c r="AM113" s="316"/>
      <c r="AN113" s="316"/>
      <c r="AO113" s="316"/>
      <c r="AP113" s="316"/>
      <c r="AQ113" s="316"/>
      <c r="AR113" s="316"/>
      <c r="AS113" s="316"/>
      <c r="AT113" s="316"/>
      <c r="AU113" s="316"/>
      <c r="AV113" s="316"/>
      <c r="AW113" s="316"/>
      <c r="AX113" s="316"/>
      <c r="AY113" s="316"/>
      <c r="AZ113" s="316"/>
      <c r="BA113" s="316"/>
      <c r="BB113" s="316"/>
      <c r="BC113" s="316"/>
      <c r="BD113" s="316"/>
      <c r="BE113" s="316"/>
      <c r="BF113" s="316"/>
      <c r="BG113" s="316"/>
      <c r="BH113" s="316"/>
      <c r="BI113" s="316"/>
      <c r="BJ113" s="316"/>
      <c r="BK113" s="316"/>
      <c r="BL113" s="316"/>
      <c r="BM113" s="316"/>
      <c r="BN113" s="316"/>
      <c r="BO113" s="316"/>
      <c r="BP113" s="316"/>
      <c r="BQ113" s="316"/>
      <c r="BR113" s="316"/>
      <c r="BS113" s="316"/>
      <c r="BT113" s="316"/>
      <c r="BU113" s="316"/>
      <c r="BV113" s="316"/>
      <c r="BW113" s="316"/>
      <c r="BX113" s="316"/>
      <c r="BY113" s="316"/>
      <c r="BZ113" s="316"/>
      <c r="CA113" s="316"/>
      <c r="CB113" s="316"/>
      <c r="CC113" s="316"/>
      <c r="CD113" s="316"/>
      <c r="CE113" s="317">
        <v>0</v>
      </c>
      <c r="CF113" s="316">
        <v>0</v>
      </c>
      <c r="CG113" s="316">
        <v>0</v>
      </c>
      <c r="CH113" s="316">
        <v>0</v>
      </c>
      <c r="CI113" s="316">
        <v>0</v>
      </c>
      <c r="CJ113" s="316">
        <v>0</v>
      </c>
      <c r="CK113" s="316">
        <v>0</v>
      </c>
      <c r="CL113" s="316">
        <v>0</v>
      </c>
      <c r="CM113" s="316">
        <v>0</v>
      </c>
      <c r="CN113" s="316">
        <v>0</v>
      </c>
      <c r="CO113" s="316">
        <v>0</v>
      </c>
      <c r="CP113" s="318">
        <v>0</v>
      </c>
      <c r="CQ113" s="316">
        <v>0</v>
      </c>
      <c r="CR113" s="316">
        <v>0</v>
      </c>
      <c r="CS113" s="316">
        <v>7.5779700000000005E-4</v>
      </c>
      <c r="CT113" s="316">
        <v>0</v>
      </c>
      <c r="CU113" s="316">
        <v>0</v>
      </c>
      <c r="CV113" s="316">
        <v>0.117606498</v>
      </c>
      <c r="CW113" s="316">
        <v>0</v>
      </c>
      <c r="CX113" s="316">
        <v>0</v>
      </c>
      <c r="CY113" s="316">
        <v>1.5525389999999999E-3</v>
      </c>
      <c r="CZ113" s="316">
        <v>0</v>
      </c>
      <c r="DA113" s="316">
        <v>0</v>
      </c>
      <c r="DB113" s="1498">
        <v>5.1429889999999997E-3</v>
      </c>
      <c r="DC113" s="316">
        <v>0</v>
      </c>
      <c r="DD113" s="316">
        <v>0</v>
      </c>
      <c r="DE113" s="316">
        <v>0.16491824799999999</v>
      </c>
      <c r="DF113" s="316">
        <v>0</v>
      </c>
      <c r="DG113" s="316">
        <v>0</v>
      </c>
      <c r="DH113" s="316">
        <v>4.8886611000000003E-2</v>
      </c>
      <c r="DI113" s="316">
        <v>0</v>
      </c>
      <c r="DJ113" s="316">
        <v>0</v>
      </c>
      <c r="DK113" s="316">
        <v>2.4348420999999999E-2</v>
      </c>
      <c r="DL113" s="316">
        <v>0</v>
      </c>
      <c r="DM113" s="316">
        <v>0</v>
      </c>
      <c r="DN113" s="318">
        <v>1.0397946999999999E-2</v>
      </c>
      <c r="DO113" s="316">
        <v>0</v>
      </c>
      <c r="DP113" s="316">
        <v>0</v>
      </c>
      <c r="DQ113" s="316">
        <v>0.263324102</v>
      </c>
      <c r="DR113" s="316">
        <v>0</v>
      </c>
      <c r="DS113" s="316">
        <v>0</v>
      </c>
      <c r="DT113" s="316">
        <v>3.7091916699999998E-2</v>
      </c>
      <c r="DU113" s="316">
        <v>0</v>
      </c>
      <c r="DV113" s="316">
        <v>0</v>
      </c>
      <c r="DW113" s="316">
        <v>0.18895414799999999</v>
      </c>
      <c r="DX113" s="316">
        <v>0</v>
      </c>
      <c r="DY113" s="316">
        <v>0</v>
      </c>
      <c r="DZ113" s="318">
        <v>0.48341135200000002</v>
      </c>
      <c r="EA113" s="316">
        <v>0</v>
      </c>
      <c r="EB113" s="316">
        <v>0</v>
      </c>
      <c r="EC113" s="316">
        <v>0.38033745400000002</v>
      </c>
      <c r="ED113" s="316">
        <v>0</v>
      </c>
      <c r="EE113" s="316">
        <v>0</v>
      </c>
      <c r="EF113" s="316">
        <v>0</v>
      </c>
      <c r="EG113" s="316">
        <v>0</v>
      </c>
      <c r="EH113" s="316">
        <v>0</v>
      </c>
      <c r="EI113" s="316">
        <v>0.34307549599999998</v>
      </c>
      <c r="EJ113" s="316">
        <v>0</v>
      </c>
      <c r="EK113" s="316">
        <v>0</v>
      </c>
      <c r="EL113" s="318">
        <v>0.47444173899999997</v>
      </c>
      <c r="EM113" s="1206"/>
      <c r="EN113" s="1206"/>
      <c r="EO113" s="1206"/>
      <c r="EP113" s="1206"/>
      <c r="EQ113" s="1206"/>
      <c r="ER113" s="1206"/>
      <c r="ES113" s="1206"/>
      <c r="ET113" s="1206"/>
      <c r="EU113" s="1206"/>
      <c r="EV113" s="1206"/>
      <c r="EW113" s="1206"/>
      <c r="EX113" s="1550"/>
      <c r="EY113" s="1206"/>
      <c r="EZ113" s="1206"/>
      <c r="FA113" s="1206"/>
      <c r="FB113" s="1206"/>
      <c r="FC113" s="1206"/>
      <c r="FD113" s="1206"/>
      <c r="FE113" s="1206"/>
      <c r="FF113" s="1206"/>
      <c r="FG113" s="1206"/>
      <c r="FH113" s="1206"/>
      <c r="FI113" s="1206"/>
      <c r="FJ113" s="1550"/>
      <c r="FK113" s="1206"/>
      <c r="FL113" s="1206"/>
      <c r="FM113" s="1206"/>
      <c r="FN113" s="1206"/>
      <c r="FO113" s="1206"/>
      <c r="FP113" s="1206"/>
      <c r="FQ113" s="316"/>
      <c r="FR113" s="316"/>
      <c r="FS113" s="316"/>
      <c r="FT113" s="316"/>
      <c r="FU113" s="316"/>
      <c r="FV113" s="316"/>
      <c r="FW113" s="316"/>
      <c r="FX113" s="316"/>
      <c r="FY113" s="316"/>
      <c r="FZ113" s="316"/>
      <c r="GA113" s="316"/>
      <c r="GB113" s="316"/>
      <c r="GC113" s="316"/>
      <c r="GD113" s="316"/>
      <c r="GE113" s="316"/>
      <c r="GF113" s="316"/>
      <c r="GG113" s="316"/>
      <c r="GH113" s="316"/>
      <c r="GI113" s="316"/>
      <c r="GJ113" s="316"/>
      <c r="GK113" s="316"/>
      <c r="GL113" s="316"/>
      <c r="GM113" s="316"/>
      <c r="GN113" s="316"/>
      <c r="GO113" s="316"/>
      <c r="GP113" s="316"/>
      <c r="GQ113" s="316"/>
      <c r="GR113" s="316"/>
      <c r="GS113" s="316"/>
      <c r="GT113" s="316"/>
      <c r="GU113" s="316"/>
      <c r="GV113" s="316"/>
      <c r="GW113" s="316"/>
      <c r="GX113" s="316"/>
      <c r="GY113" s="316"/>
      <c r="GZ113" s="316"/>
      <c r="HA113" s="316"/>
      <c r="HB113" s="316"/>
      <c r="HC113" s="316"/>
      <c r="HD113" s="316"/>
      <c r="HE113" s="316"/>
      <c r="HF113" s="316"/>
      <c r="HG113" s="316"/>
      <c r="HH113" s="316"/>
      <c r="HI113" s="316"/>
      <c r="HJ113" s="316"/>
      <c r="HK113" s="316"/>
      <c r="HL113" s="316"/>
      <c r="HM113" s="316"/>
      <c r="HV113" s="302">
        <f t="shared" si="17"/>
        <v>0.21380485899999999</v>
      </c>
      <c r="HW113" s="302">
        <f t="shared" si="18"/>
        <v>3.4746368E-2</v>
      </c>
      <c r="HX113" s="302">
        <f t="shared" si="19"/>
        <v>0.24855122699999999</v>
      </c>
      <c r="HY113" s="302">
        <f t="shared" si="20"/>
        <v>0.30041601870000001</v>
      </c>
      <c r="KH113" s="303"/>
    </row>
    <row r="114" spans="1:294" outlineLevel="1">
      <c r="A114" s="314" t="s">
        <v>988</v>
      </c>
      <c r="D114" s="322" t="s">
        <v>155</v>
      </c>
      <c r="E114" s="315"/>
      <c r="F114" s="315"/>
      <c r="G114" s="315"/>
      <c r="H114" s="315"/>
      <c r="I114" s="315"/>
      <c r="J114" s="315"/>
      <c r="K114" s="315"/>
      <c r="L114" s="315"/>
      <c r="M114" s="315"/>
      <c r="N114" s="315"/>
      <c r="O114" s="315"/>
      <c r="P114" s="315"/>
      <c r="Q114" s="315"/>
      <c r="R114" s="315"/>
      <c r="S114" s="315"/>
      <c r="T114" s="315"/>
      <c r="U114" s="315"/>
      <c r="V114" s="315"/>
      <c r="W114" s="315"/>
      <c r="X114" s="315"/>
      <c r="Y114" s="315"/>
      <c r="Z114" s="315"/>
      <c r="AA114" s="315"/>
      <c r="AB114" s="315"/>
      <c r="AC114" s="315"/>
      <c r="AD114" s="315"/>
      <c r="AE114" s="315"/>
      <c r="AF114" s="315"/>
      <c r="AG114" s="315"/>
      <c r="AH114" s="315"/>
      <c r="AI114" s="315"/>
      <c r="AJ114" s="315"/>
      <c r="AK114" s="315"/>
      <c r="AL114" s="315"/>
      <c r="AM114" s="315"/>
      <c r="AN114" s="315"/>
      <c r="AO114" s="315"/>
      <c r="AP114" s="315"/>
      <c r="AQ114" s="315"/>
      <c r="AR114" s="315"/>
      <c r="AS114" s="315"/>
      <c r="AT114" s="315"/>
      <c r="AU114" s="315"/>
      <c r="AV114" s="315"/>
      <c r="AW114" s="315"/>
      <c r="AX114" s="315"/>
      <c r="AY114" s="315"/>
      <c r="AZ114" s="315"/>
      <c r="BA114" s="315"/>
      <c r="BB114" s="315"/>
      <c r="BC114" s="315"/>
      <c r="BD114" s="315"/>
      <c r="BE114" s="315"/>
      <c r="BF114" s="315"/>
      <c r="BG114" s="315"/>
      <c r="BH114" s="315"/>
      <c r="BI114" s="315"/>
      <c r="BJ114" s="315"/>
      <c r="BK114" s="315"/>
      <c r="BL114" s="315"/>
      <c r="BM114" s="315"/>
      <c r="BN114" s="315"/>
      <c r="BO114" s="315"/>
      <c r="BP114" s="315"/>
      <c r="BQ114" s="315"/>
      <c r="BR114" s="315"/>
      <c r="BS114" s="315"/>
      <c r="BT114" s="315"/>
      <c r="BU114" s="315"/>
      <c r="BV114" s="315"/>
      <c r="BW114" s="315"/>
      <c r="BX114" s="315"/>
      <c r="BY114" s="315"/>
      <c r="BZ114" s="315"/>
      <c r="CA114" s="315"/>
      <c r="CB114" s="315"/>
      <c r="CC114" s="315"/>
      <c r="CD114" s="315"/>
      <c r="CE114" s="315"/>
      <c r="CF114" s="315"/>
      <c r="CG114" s="315"/>
      <c r="CH114" s="315"/>
      <c r="CI114" s="315"/>
      <c r="CJ114" s="315"/>
      <c r="CK114" s="315"/>
      <c r="CL114" s="315"/>
      <c r="CM114" s="315"/>
      <c r="CN114" s="315"/>
      <c r="CO114" s="315"/>
      <c r="CP114" s="1487"/>
      <c r="CQ114" s="315"/>
      <c r="CR114" s="315"/>
      <c r="CS114" s="315"/>
      <c r="CT114" s="315"/>
      <c r="CU114" s="315"/>
      <c r="CV114" s="315"/>
      <c r="CW114" s="315"/>
      <c r="CX114" s="315"/>
      <c r="CY114" s="315"/>
      <c r="CZ114" s="315"/>
      <c r="DA114" s="315"/>
      <c r="DB114" s="1506"/>
      <c r="DC114" s="315"/>
      <c r="DD114" s="315"/>
      <c r="DE114" s="315"/>
      <c r="DF114" s="315"/>
      <c r="DG114" s="315"/>
      <c r="DH114" s="315"/>
      <c r="DI114" s="315"/>
      <c r="DJ114" s="315"/>
      <c r="DK114" s="315"/>
      <c r="DL114" s="315"/>
      <c r="DM114" s="315"/>
      <c r="DN114" s="1487"/>
      <c r="DO114" s="315"/>
      <c r="DP114" s="315"/>
      <c r="DQ114" s="315"/>
      <c r="DR114" s="315"/>
      <c r="DS114" s="315"/>
      <c r="DT114" s="315"/>
      <c r="DU114" s="315"/>
      <c r="DV114" s="315"/>
      <c r="DW114" s="315"/>
      <c r="DX114" s="315"/>
      <c r="DY114" s="315"/>
      <c r="DZ114" s="1487"/>
      <c r="EA114" s="315"/>
      <c r="EB114" s="315"/>
      <c r="EC114" s="315"/>
      <c r="ED114" s="315"/>
      <c r="EE114" s="315"/>
      <c r="EF114" s="315"/>
      <c r="EG114" s="315"/>
      <c r="EH114" s="315"/>
      <c r="EI114" s="315"/>
      <c r="EJ114" s="315"/>
      <c r="EK114" s="315"/>
      <c r="EL114" s="1487"/>
      <c r="EM114" s="1215"/>
      <c r="EN114" s="1215"/>
      <c r="EO114" s="1215"/>
      <c r="EP114" s="1215"/>
      <c r="EQ114" s="1215"/>
      <c r="ER114" s="1215"/>
      <c r="ES114" s="1215"/>
      <c r="ET114" s="1215"/>
      <c r="EU114" s="1215"/>
      <c r="EV114" s="1215"/>
      <c r="EW114" s="1215"/>
      <c r="EX114" s="1566"/>
      <c r="EY114" s="1215"/>
      <c r="EZ114" s="1215"/>
      <c r="FA114" s="1215"/>
      <c r="FB114" s="1215"/>
      <c r="FC114" s="1215"/>
      <c r="FD114" s="1215"/>
      <c r="FE114" s="1215"/>
      <c r="FF114" s="1215"/>
      <c r="FG114" s="1215"/>
      <c r="FH114" s="1215"/>
      <c r="FI114" s="1215"/>
      <c r="FJ114" s="1566"/>
      <c r="FK114" s="1215"/>
      <c r="FL114" s="1215"/>
      <c r="FM114" s="1215"/>
      <c r="FN114" s="1215"/>
      <c r="FO114" s="1215"/>
      <c r="FP114" s="1215"/>
      <c r="FQ114" s="315"/>
      <c r="FR114" s="315"/>
      <c r="FS114" s="315"/>
      <c r="FT114" s="315"/>
      <c r="FU114" s="315"/>
      <c r="FV114" s="315"/>
      <c r="FW114" s="315"/>
      <c r="FX114" s="315"/>
      <c r="FY114" s="315"/>
      <c r="FZ114" s="315"/>
      <c r="GA114" s="315"/>
      <c r="GB114" s="315"/>
      <c r="GC114" s="315"/>
      <c r="GD114" s="315"/>
      <c r="GE114" s="315"/>
      <c r="GF114" s="315"/>
      <c r="GG114" s="315"/>
      <c r="GH114" s="315"/>
      <c r="GI114" s="315"/>
      <c r="GJ114" s="315"/>
      <c r="GK114" s="315"/>
      <c r="GL114" s="315"/>
      <c r="GM114" s="315"/>
      <c r="GN114" s="315"/>
      <c r="GO114" s="315"/>
      <c r="GP114" s="315"/>
      <c r="GQ114" s="315"/>
      <c r="GR114" s="315"/>
      <c r="GS114" s="315"/>
      <c r="GT114" s="315"/>
      <c r="GU114" s="315"/>
      <c r="GV114" s="315"/>
      <c r="GW114" s="315"/>
      <c r="GX114" s="315"/>
      <c r="GY114" s="315"/>
      <c r="GZ114" s="315"/>
      <c r="HA114" s="315"/>
      <c r="HB114" s="315"/>
      <c r="HC114" s="315"/>
      <c r="HD114" s="315"/>
      <c r="HE114" s="315"/>
      <c r="HF114" s="315"/>
      <c r="HG114" s="315"/>
      <c r="HH114" s="315"/>
      <c r="HI114" s="315"/>
      <c r="HJ114" s="315"/>
      <c r="HK114" s="315"/>
      <c r="HL114" s="315"/>
      <c r="HM114" s="315"/>
      <c r="KH114" s="303"/>
    </row>
    <row r="115" spans="1:294" outlineLevel="1">
      <c r="A115" s="117" t="s">
        <v>360</v>
      </c>
      <c r="B115" s="117" t="s">
        <v>361</v>
      </c>
      <c r="D115" s="319" t="s">
        <v>407</v>
      </c>
      <c r="E115" s="316"/>
      <c r="F115" s="316"/>
      <c r="G115" s="316"/>
      <c r="H115" s="316"/>
      <c r="I115" s="316"/>
      <c r="J115" s="316"/>
      <c r="K115" s="316"/>
      <c r="L115" s="316"/>
      <c r="M115" s="316"/>
      <c r="N115" s="316"/>
      <c r="O115" s="316"/>
      <c r="P115" s="316"/>
      <c r="Q115" s="316"/>
      <c r="R115" s="316"/>
      <c r="S115" s="316"/>
      <c r="T115" s="316"/>
      <c r="U115" s="316"/>
      <c r="V115" s="316"/>
      <c r="W115" s="316"/>
      <c r="X115" s="316"/>
      <c r="Y115" s="316"/>
      <c r="Z115" s="316"/>
      <c r="AA115" s="316"/>
      <c r="AB115" s="316"/>
      <c r="AC115" s="316"/>
      <c r="AD115" s="316"/>
      <c r="AE115" s="316"/>
      <c r="AF115" s="316"/>
      <c r="AG115" s="316"/>
      <c r="AH115" s="316"/>
      <c r="AI115" s="316"/>
      <c r="AJ115" s="316"/>
      <c r="AK115" s="316"/>
      <c r="AL115" s="316"/>
      <c r="AM115" s="316"/>
      <c r="AN115" s="316"/>
      <c r="AO115" s="316"/>
      <c r="AP115" s="316"/>
      <c r="AQ115" s="316"/>
      <c r="AR115" s="316"/>
      <c r="AS115" s="316"/>
      <c r="AT115" s="316"/>
      <c r="AU115" s="316"/>
      <c r="AV115" s="316"/>
      <c r="AW115" s="316"/>
      <c r="AX115" s="316"/>
      <c r="AY115" s="316"/>
      <c r="AZ115" s="316"/>
      <c r="BA115" s="316"/>
      <c r="BB115" s="316"/>
      <c r="BC115" s="316"/>
      <c r="BD115" s="316"/>
      <c r="BE115" s="316"/>
      <c r="BF115" s="316"/>
      <c r="BG115" s="316"/>
      <c r="BH115" s="316"/>
      <c r="BI115" s="316"/>
      <c r="BJ115" s="316"/>
      <c r="BK115" s="316"/>
      <c r="BL115" s="316"/>
      <c r="BM115" s="316"/>
      <c r="BN115" s="316"/>
      <c r="BO115" s="316"/>
      <c r="BP115" s="316"/>
      <c r="BQ115" s="316"/>
      <c r="BR115" s="316"/>
      <c r="BS115" s="316"/>
      <c r="BT115" s="316"/>
      <c r="BU115" s="316"/>
      <c r="BV115" s="316"/>
      <c r="BW115" s="316"/>
      <c r="BX115" s="316"/>
      <c r="BY115" s="316"/>
      <c r="BZ115" s="316"/>
      <c r="CA115" s="316"/>
      <c r="CB115" s="316"/>
      <c r="CC115" s="316"/>
      <c r="CD115" s="316"/>
      <c r="CE115" s="317">
        <v>0.8567917237779975</v>
      </c>
      <c r="CF115" s="316">
        <v>1.5190019562175723</v>
      </c>
      <c r="CG115" s="316">
        <v>1.7827293571794505</v>
      </c>
      <c r="CH115" s="316">
        <v>0.66247898047599996</v>
      </c>
      <c r="CI115" s="316">
        <v>0.93476107363299932</v>
      </c>
      <c r="CJ115" s="316">
        <v>1.145066085240154</v>
      </c>
      <c r="CK115" s="316">
        <v>0.84615437002400196</v>
      </c>
      <c r="CL115" s="316">
        <v>0.86265607875716732</v>
      </c>
      <c r="CM115" s="316">
        <v>0.75725545859226795</v>
      </c>
      <c r="CN115" s="316">
        <v>0.76104997761199977</v>
      </c>
      <c r="CO115" s="316">
        <v>1.0063465443248494</v>
      </c>
      <c r="CP115" s="318">
        <v>0.93755087103055434</v>
      </c>
      <c r="CQ115" s="316">
        <v>0.65261801799999997</v>
      </c>
      <c r="CR115" s="316">
        <v>0.91038274600000002</v>
      </c>
      <c r="CS115" s="316">
        <v>0.69159052099999996</v>
      </c>
      <c r="CT115" s="316">
        <v>0.62745235899999996</v>
      </c>
      <c r="CU115" s="316">
        <v>0.61350729800000003</v>
      </c>
      <c r="CV115" s="316">
        <v>0.561265668</v>
      </c>
      <c r="CW115" s="316">
        <v>0.76481893000000001</v>
      </c>
      <c r="CX115" s="316">
        <v>0.66076999000000003</v>
      </c>
      <c r="CY115" s="316">
        <v>0.52192000000000005</v>
      </c>
      <c r="CZ115" s="316">
        <v>0.57971236299999995</v>
      </c>
      <c r="DA115" s="316">
        <v>0.63500577999999996</v>
      </c>
      <c r="DB115" s="1498">
        <v>0.81495256500000002</v>
      </c>
      <c r="DC115" s="636">
        <v>0.82056269400000004</v>
      </c>
      <c r="DD115" s="636">
        <v>0.70397444600000003</v>
      </c>
      <c r="DE115" s="636">
        <v>0.86835240299999994</v>
      </c>
      <c r="DF115" s="636">
        <v>1.0062079829999999</v>
      </c>
      <c r="DG115" s="636">
        <v>0.645964435</v>
      </c>
      <c r="DH115" s="636">
        <v>0.76375125799999999</v>
      </c>
      <c r="DI115" s="636">
        <v>0.98971626800000001</v>
      </c>
      <c r="DJ115" s="636">
        <v>0.699821637</v>
      </c>
      <c r="DK115" s="636">
        <v>0.65590623300000095</v>
      </c>
      <c r="DL115" s="636">
        <v>1.0676046000000008</v>
      </c>
      <c r="DM115" s="636">
        <v>0.74050832065217387</v>
      </c>
      <c r="DN115" s="653">
        <v>0.65388221808000047</v>
      </c>
      <c r="DO115" s="636">
        <v>1.0938100360622067</v>
      </c>
      <c r="DP115" s="636">
        <v>1.1335291669873961</v>
      </c>
      <c r="DQ115" s="636">
        <v>1.507544562699999</v>
      </c>
      <c r="DR115" s="636">
        <v>1.0812104925347645</v>
      </c>
      <c r="DS115" s="636">
        <v>1.0469687291111103</v>
      </c>
      <c r="DT115" s="636">
        <v>2.4559703202695027</v>
      </c>
      <c r="DU115" s="636">
        <v>1.5389733838571427</v>
      </c>
      <c r="DV115" s="636">
        <v>1.6260321274528915</v>
      </c>
      <c r="DW115" s="636">
        <v>1.6413578503420001</v>
      </c>
      <c r="DX115" s="636">
        <v>1.592668266</v>
      </c>
      <c r="DY115" s="636">
        <v>1.1541274299347808</v>
      </c>
      <c r="DZ115" s="653">
        <v>2.3329861719470024</v>
      </c>
      <c r="EA115" s="636">
        <v>2.0467826980000008</v>
      </c>
      <c r="EB115" s="636">
        <v>1.5587384066649999</v>
      </c>
      <c r="EC115" s="636">
        <v>2.2421106769999999</v>
      </c>
      <c r="ED115" s="636">
        <v>1.929335523</v>
      </c>
      <c r="EE115" s="636">
        <v>1.3424163659999999</v>
      </c>
      <c r="EF115" s="636">
        <v>1.9744015291603452</v>
      </c>
      <c r="EG115" s="636">
        <v>2.2338352585182282</v>
      </c>
      <c r="EH115" s="636">
        <v>2.261494747296958</v>
      </c>
      <c r="EI115" s="636">
        <v>2.2404231072530734</v>
      </c>
      <c r="EJ115" s="636">
        <v>1.9238644651410042</v>
      </c>
      <c r="EK115" s="636">
        <v>1.6690373550308344</v>
      </c>
      <c r="EL115" s="653">
        <v>1.9595935215465332</v>
      </c>
      <c r="EM115" s="1226">
        <v>2.1990631711664572</v>
      </c>
      <c r="EN115" s="1226">
        <v>2.056682468207518</v>
      </c>
      <c r="EO115" s="1226">
        <v>1.7641710395801309</v>
      </c>
      <c r="EP115" s="1226">
        <v>2.0716279921982124</v>
      </c>
      <c r="EQ115" s="1226">
        <v>2.0130343650000002</v>
      </c>
      <c r="ER115" s="1226">
        <v>1.9079741481208798</v>
      </c>
      <c r="ES115" s="1209"/>
      <c r="ET115" s="1209"/>
      <c r="EU115" s="1209"/>
      <c r="EV115" s="1209"/>
      <c r="EW115" s="1209"/>
      <c r="EX115" s="1539"/>
      <c r="EY115" s="1209"/>
      <c r="EZ115" s="1209"/>
      <c r="FA115" s="1209"/>
      <c r="FB115" s="1209"/>
      <c r="FC115" s="1209"/>
      <c r="FD115" s="1209"/>
      <c r="FE115" s="1209"/>
      <c r="FF115" s="1209"/>
      <c r="FG115" s="1209"/>
      <c r="FH115" s="1209"/>
      <c r="FI115" s="1209"/>
      <c r="FJ115" s="1539"/>
      <c r="FK115" s="1209"/>
      <c r="FL115" s="1209"/>
      <c r="FM115" s="1209"/>
      <c r="FN115" s="1209"/>
      <c r="FO115" s="1209"/>
      <c r="FP115" s="1209"/>
      <c r="FQ115" s="636"/>
      <c r="FR115" s="636"/>
      <c r="FS115" s="636"/>
      <c r="FT115" s="636"/>
      <c r="FU115" s="636"/>
      <c r="FV115" s="636"/>
      <c r="FW115" s="636"/>
      <c r="FX115" s="636"/>
      <c r="FY115" s="636"/>
      <c r="FZ115" s="636"/>
      <c r="GA115" s="636"/>
      <c r="GB115" s="636"/>
      <c r="GC115" s="636"/>
      <c r="GD115" s="636"/>
      <c r="GE115" s="636"/>
      <c r="GF115" s="636"/>
      <c r="GG115" s="636"/>
      <c r="GH115" s="636"/>
      <c r="GI115" s="636"/>
      <c r="GJ115" s="636"/>
      <c r="GK115" s="636"/>
      <c r="GL115" s="636"/>
      <c r="GM115" s="636"/>
      <c r="GN115" s="636"/>
      <c r="GO115" s="636"/>
      <c r="GP115" s="636"/>
      <c r="GQ115" s="636"/>
      <c r="GR115" s="636"/>
      <c r="GS115" s="636"/>
      <c r="GT115" s="636"/>
      <c r="GU115" s="636"/>
      <c r="GV115" s="636"/>
      <c r="GW115" s="636"/>
      <c r="GX115" s="636"/>
      <c r="GY115" s="636"/>
      <c r="GZ115" s="636"/>
      <c r="HA115" s="636"/>
      <c r="HB115" s="636"/>
      <c r="HC115" s="636"/>
      <c r="HD115" s="636"/>
      <c r="HE115" s="636"/>
      <c r="HF115" s="636"/>
      <c r="HG115" s="636"/>
      <c r="HH115" s="636"/>
      <c r="HI115" s="636"/>
      <c r="HJ115" s="636"/>
      <c r="HK115" s="636"/>
      <c r="HL115" s="636"/>
      <c r="HM115" s="636"/>
      <c r="HV115" s="302">
        <f>+SUM(DC115:DH115)</f>
        <v>4.8088132190000001</v>
      </c>
      <c r="HW115" s="302">
        <f>+SUM(DI115:DN115)</f>
        <v>4.8074392767321763</v>
      </c>
      <c r="HX115" s="302">
        <f>+HV115+HW115</f>
        <v>9.6162524957321764</v>
      </c>
      <c r="HY115" s="302">
        <f>SUM(DO115:DT115)</f>
        <v>8.3190333076649789</v>
      </c>
      <c r="KH115" s="303"/>
    </row>
    <row r="116" spans="1:294" outlineLevel="1">
      <c r="B116" s="117" t="s">
        <v>361</v>
      </c>
      <c r="D116" s="323" t="s">
        <v>408</v>
      </c>
      <c r="E116" s="316"/>
      <c r="F116" s="316"/>
      <c r="G116" s="316"/>
      <c r="H116" s="316"/>
      <c r="I116" s="316"/>
      <c r="J116" s="316"/>
      <c r="K116" s="316"/>
      <c r="L116" s="316"/>
      <c r="M116" s="316"/>
      <c r="N116" s="316"/>
      <c r="O116" s="316"/>
      <c r="P116" s="316"/>
      <c r="Q116" s="316"/>
      <c r="R116" s="316"/>
      <c r="S116" s="316"/>
      <c r="T116" s="316"/>
      <c r="U116" s="316"/>
      <c r="V116" s="316"/>
      <c r="W116" s="316"/>
      <c r="X116" s="316"/>
      <c r="Y116" s="316"/>
      <c r="Z116" s="316"/>
      <c r="AA116" s="316"/>
      <c r="AB116" s="316"/>
      <c r="AC116" s="316"/>
      <c r="AD116" s="316"/>
      <c r="AE116" s="316"/>
      <c r="AF116" s="316"/>
      <c r="AG116" s="316"/>
      <c r="AH116" s="316"/>
      <c r="AI116" s="316"/>
      <c r="AJ116" s="316"/>
      <c r="AK116" s="316"/>
      <c r="AL116" s="316"/>
      <c r="AM116" s="316"/>
      <c r="AN116" s="316"/>
      <c r="AO116" s="316"/>
      <c r="AP116" s="316"/>
      <c r="AQ116" s="316"/>
      <c r="AR116" s="316"/>
      <c r="AS116" s="316"/>
      <c r="AT116" s="316"/>
      <c r="AU116" s="316"/>
      <c r="AV116" s="316"/>
      <c r="AW116" s="316"/>
      <c r="AX116" s="316"/>
      <c r="AY116" s="316"/>
      <c r="AZ116" s="316"/>
      <c r="BA116" s="316"/>
      <c r="BB116" s="316"/>
      <c r="BC116" s="316"/>
      <c r="BD116" s="316"/>
      <c r="BE116" s="316"/>
      <c r="BF116" s="316"/>
      <c r="BG116" s="316"/>
      <c r="BH116" s="316"/>
      <c r="BI116" s="316"/>
      <c r="BJ116" s="316"/>
      <c r="BK116" s="316"/>
      <c r="BL116" s="316"/>
      <c r="BM116" s="316"/>
      <c r="BN116" s="316"/>
      <c r="BO116" s="316"/>
      <c r="BP116" s="316"/>
      <c r="BQ116" s="316"/>
      <c r="BR116" s="316"/>
      <c r="BS116" s="316"/>
      <c r="BT116" s="316"/>
      <c r="BU116" s="316"/>
      <c r="BV116" s="316"/>
      <c r="BW116" s="316"/>
      <c r="BX116" s="316"/>
      <c r="BY116" s="316"/>
      <c r="BZ116" s="316"/>
      <c r="CA116" s="316"/>
      <c r="CB116" s="316"/>
      <c r="CC116" s="316"/>
      <c r="CD116" s="316"/>
      <c r="CE116" s="317"/>
      <c r="CF116" s="316"/>
      <c r="CG116" s="316"/>
      <c r="CH116" s="316"/>
      <c r="CI116" s="316"/>
      <c r="CJ116" s="316"/>
      <c r="CK116" s="316"/>
      <c r="CL116" s="316"/>
      <c r="CM116" s="316"/>
      <c r="CN116" s="316"/>
      <c r="CO116" s="316"/>
      <c r="CP116" s="318"/>
      <c r="CQ116" s="316"/>
      <c r="CR116" s="316"/>
      <c r="CS116" s="316"/>
      <c r="CT116" s="316"/>
      <c r="CU116" s="316"/>
      <c r="CV116" s="316"/>
      <c r="CW116" s="316"/>
      <c r="CX116" s="316"/>
      <c r="CY116" s="316"/>
      <c r="CZ116" s="316"/>
      <c r="DA116" s="316"/>
      <c r="DB116" s="1498"/>
      <c r="DC116" s="316"/>
      <c r="DD116" s="316"/>
      <c r="DE116" s="316"/>
      <c r="DF116" s="316"/>
      <c r="DG116" s="316"/>
      <c r="DH116" s="316"/>
      <c r="DI116" s="316"/>
      <c r="DJ116" s="316"/>
      <c r="DK116" s="316"/>
      <c r="DL116" s="316"/>
      <c r="DM116" s="316"/>
      <c r="DN116" s="318"/>
      <c r="DO116" s="316"/>
      <c r="DP116" s="316"/>
      <c r="DQ116" s="316"/>
      <c r="DR116" s="316"/>
      <c r="DS116" s="316"/>
      <c r="DT116" s="316"/>
      <c r="DU116" s="316"/>
      <c r="DV116" s="316"/>
      <c r="DW116" s="316"/>
      <c r="DX116" s="316"/>
      <c r="DY116" s="316"/>
      <c r="DZ116" s="318"/>
      <c r="EA116" s="316"/>
      <c r="EB116" s="316"/>
      <c r="EC116" s="316"/>
      <c r="ED116" s="316"/>
      <c r="EE116" s="316"/>
      <c r="EF116" s="316"/>
      <c r="EG116" s="316"/>
      <c r="EH116" s="316"/>
      <c r="EI116" s="316"/>
      <c r="EJ116" s="316"/>
      <c r="EK116" s="316"/>
      <c r="EL116" s="318"/>
      <c r="EM116" s="1206"/>
      <c r="EN116" s="1206"/>
      <c r="EO116" s="1206"/>
      <c r="EP116" s="1206"/>
      <c r="EQ116" s="1206"/>
      <c r="ER116" s="1206"/>
      <c r="ES116" s="1206"/>
      <c r="ET116" s="1206"/>
      <c r="EU116" s="1206"/>
      <c r="EV116" s="1206"/>
      <c r="EW116" s="1206"/>
      <c r="EX116" s="1550"/>
      <c r="EY116" s="1206"/>
      <c r="EZ116" s="1206"/>
      <c r="FA116" s="1206"/>
      <c r="FB116" s="1206"/>
      <c r="FC116" s="1206"/>
      <c r="FD116" s="1206"/>
      <c r="FE116" s="1206"/>
      <c r="FF116" s="1206"/>
      <c r="FG116" s="1206"/>
      <c r="FH116" s="1206"/>
      <c r="FI116" s="1206"/>
      <c r="FJ116" s="1550"/>
      <c r="FK116" s="1206"/>
      <c r="FL116" s="1206"/>
      <c r="FM116" s="1206"/>
      <c r="FN116" s="1206"/>
      <c r="FO116" s="1206"/>
      <c r="FP116" s="1206"/>
      <c r="FQ116" s="316"/>
      <c r="FR116" s="316"/>
      <c r="FS116" s="316"/>
      <c r="FT116" s="316"/>
      <c r="FU116" s="316"/>
      <c r="FV116" s="316"/>
      <c r="FW116" s="316"/>
      <c r="FX116" s="316"/>
      <c r="FY116" s="316"/>
      <c r="FZ116" s="316"/>
      <c r="GA116" s="316"/>
      <c r="GB116" s="316"/>
      <c r="GC116" s="316"/>
      <c r="GD116" s="316"/>
      <c r="GE116" s="316"/>
      <c r="GF116" s="316"/>
      <c r="GG116" s="316"/>
      <c r="GH116" s="316"/>
      <c r="GI116" s="316"/>
      <c r="GJ116" s="316"/>
      <c r="GK116" s="316"/>
      <c r="GL116" s="316"/>
      <c r="GM116" s="316"/>
      <c r="GN116" s="316"/>
      <c r="GO116" s="316"/>
      <c r="GP116" s="316"/>
      <c r="GQ116" s="316"/>
      <c r="GR116" s="316"/>
      <c r="GS116" s="316"/>
      <c r="GT116" s="316"/>
      <c r="GU116" s="316"/>
      <c r="GV116" s="316"/>
      <c r="GW116" s="316"/>
      <c r="GX116" s="316"/>
      <c r="GY116" s="316"/>
      <c r="GZ116" s="316"/>
      <c r="HA116" s="316"/>
      <c r="HB116" s="316"/>
      <c r="HC116" s="316"/>
      <c r="HD116" s="316"/>
      <c r="HE116" s="316"/>
      <c r="HF116" s="316"/>
      <c r="HG116" s="316"/>
      <c r="HH116" s="316"/>
      <c r="HI116" s="316"/>
      <c r="HJ116" s="316"/>
      <c r="HK116" s="316"/>
      <c r="HL116" s="316"/>
      <c r="HM116" s="316"/>
      <c r="KH116" s="303"/>
    </row>
    <row r="117" spans="1:294" outlineLevel="1">
      <c r="B117" s="117" t="s">
        <v>361</v>
      </c>
      <c r="D117" s="323" t="s">
        <v>409</v>
      </c>
      <c r="E117" s="316"/>
      <c r="F117" s="316"/>
      <c r="G117" s="316"/>
      <c r="H117" s="316"/>
      <c r="I117" s="316"/>
      <c r="J117" s="316"/>
      <c r="K117" s="316"/>
      <c r="L117" s="316"/>
      <c r="M117" s="316"/>
      <c r="N117" s="316"/>
      <c r="O117" s="316"/>
      <c r="P117" s="316"/>
      <c r="Q117" s="316"/>
      <c r="R117" s="316"/>
      <c r="S117" s="316"/>
      <c r="T117" s="316"/>
      <c r="U117" s="316"/>
      <c r="V117" s="316"/>
      <c r="W117" s="316"/>
      <c r="X117" s="316"/>
      <c r="Y117" s="316"/>
      <c r="Z117" s="316"/>
      <c r="AA117" s="316"/>
      <c r="AB117" s="316"/>
      <c r="AC117" s="316"/>
      <c r="AD117" s="316"/>
      <c r="AE117" s="316"/>
      <c r="AF117" s="316"/>
      <c r="AG117" s="316"/>
      <c r="AH117" s="316"/>
      <c r="AI117" s="316"/>
      <c r="AJ117" s="316"/>
      <c r="AK117" s="316"/>
      <c r="AL117" s="316"/>
      <c r="AM117" s="316"/>
      <c r="AN117" s="316"/>
      <c r="AO117" s="316"/>
      <c r="AP117" s="316"/>
      <c r="AQ117" s="316"/>
      <c r="AR117" s="316"/>
      <c r="AS117" s="316"/>
      <c r="AT117" s="316"/>
      <c r="AU117" s="316"/>
      <c r="AV117" s="316"/>
      <c r="AW117" s="316"/>
      <c r="AX117" s="316"/>
      <c r="AY117" s="316"/>
      <c r="AZ117" s="316"/>
      <c r="BA117" s="316"/>
      <c r="BB117" s="316"/>
      <c r="BC117" s="316"/>
      <c r="BD117" s="316"/>
      <c r="BE117" s="316"/>
      <c r="BF117" s="316"/>
      <c r="BG117" s="316"/>
      <c r="BH117" s="316"/>
      <c r="BI117" s="316"/>
      <c r="BJ117" s="316"/>
      <c r="BK117" s="316"/>
      <c r="BL117" s="316"/>
      <c r="BM117" s="316"/>
      <c r="BN117" s="316"/>
      <c r="BO117" s="316"/>
      <c r="BP117" s="316"/>
      <c r="BQ117" s="316"/>
      <c r="BR117" s="316"/>
      <c r="BS117" s="316"/>
      <c r="BT117" s="316"/>
      <c r="BU117" s="316"/>
      <c r="BV117" s="316"/>
      <c r="BW117" s="316"/>
      <c r="BX117" s="316"/>
      <c r="BY117" s="316"/>
      <c r="BZ117" s="316"/>
      <c r="CA117" s="316"/>
      <c r="CB117" s="316"/>
      <c r="CC117" s="316"/>
      <c r="CD117" s="316"/>
      <c r="CE117" s="317"/>
      <c r="CF117" s="316"/>
      <c r="CG117" s="316"/>
      <c r="CH117" s="316"/>
      <c r="CI117" s="316"/>
      <c r="CJ117" s="316"/>
      <c r="CK117" s="316"/>
      <c r="CL117" s="316"/>
      <c r="CM117" s="316"/>
      <c r="CN117" s="316"/>
      <c r="CO117" s="316"/>
      <c r="CP117" s="318"/>
      <c r="CQ117" s="316"/>
      <c r="CR117" s="316"/>
      <c r="CS117" s="316"/>
      <c r="CT117" s="316"/>
      <c r="CU117" s="316"/>
      <c r="CV117" s="316"/>
      <c r="CW117" s="316"/>
      <c r="CX117" s="316"/>
      <c r="CY117" s="316"/>
      <c r="CZ117" s="316"/>
      <c r="DA117" s="316"/>
      <c r="DB117" s="1498"/>
      <c r="DC117" s="316"/>
      <c r="DD117" s="316"/>
      <c r="DE117" s="316"/>
      <c r="DF117" s="316"/>
      <c r="DG117" s="316"/>
      <c r="DH117" s="316"/>
      <c r="DI117" s="316"/>
      <c r="DJ117" s="316"/>
      <c r="DK117" s="316"/>
      <c r="DL117" s="316"/>
      <c r="DM117" s="316"/>
      <c r="DN117" s="318"/>
      <c r="DO117" s="316"/>
      <c r="DP117" s="316"/>
      <c r="DQ117" s="316"/>
      <c r="DR117" s="316"/>
      <c r="DS117" s="316"/>
      <c r="DT117" s="316"/>
      <c r="DU117" s="316"/>
      <c r="DV117" s="316"/>
      <c r="DW117" s="316"/>
      <c r="DX117" s="316"/>
      <c r="DY117" s="316"/>
      <c r="DZ117" s="318"/>
      <c r="EA117" s="316"/>
      <c r="EB117" s="316"/>
      <c r="EC117" s="316"/>
      <c r="ED117" s="316"/>
      <c r="EE117" s="316"/>
      <c r="EF117" s="316"/>
      <c r="EG117" s="316"/>
      <c r="EH117" s="316"/>
      <c r="EI117" s="316"/>
      <c r="EJ117" s="316"/>
      <c r="EK117" s="316"/>
      <c r="EL117" s="318"/>
      <c r="EM117" s="1206"/>
      <c r="EN117" s="1206"/>
      <c r="EO117" s="1206"/>
      <c r="EP117" s="1206"/>
      <c r="EQ117" s="1206"/>
      <c r="ER117" s="1206"/>
      <c r="ES117" s="1206"/>
      <c r="ET117" s="1206"/>
      <c r="EU117" s="1206"/>
      <c r="EV117" s="1206"/>
      <c r="EW117" s="1206"/>
      <c r="EX117" s="1550"/>
      <c r="EY117" s="1206"/>
      <c r="EZ117" s="1206"/>
      <c r="FA117" s="1206"/>
      <c r="FB117" s="1206"/>
      <c r="FC117" s="1206"/>
      <c r="FD117" s="1206"/>
      <c r="FE117" s="1206"/>
      <c r="FF117" s="1206"/>
      <c r="FG117" s="1206"/>
      <c r="FH117" s="1206"/>
      <c r="FI117" s="1206"/>
      <c r="FJ117" s="1550"/>
      <c r="FK117" s="1206"/>
      <c r="FL117" s="1206"/>
      <c r="FM117" s="1206"/>
      <c r="FN117" s="1206"/>
      <c r="FO117" s="1206"/>
      <c r="FP117" s="1206"/>
      <c r="FQ117" s="316"/>
      <c r="FR117" s="316"/>
      <c r="FS117" s="316"/>
      <c r="FT117" s="316"/>
      <c r="FU117" s="316"/>
      <c r="FV117" s="316"/>
      <c r="FW117" s="316"/>
      <c r="FX117" s="316"/>
      <c r="FY117" s="316"/>
      <c r="FZ117" s="316"/>
      <c r="GA117" s="316"/>
      <c r="GB117" s="316"/>
      <c r="GC117" s="316"/>
      <c r="GD117" s="316"/>
      <c r="GE117" s="316"/>
      <c r="GF117" s="316"/>
      <c r="GG117" s="316"/>
      <c r="GH117" s="316"/>
      <c r="GI117" s="316"/>
      <c r="GJ117" s="316"/>
      <c r="GK117" s="316"/>
      <c r="GL117" s="316"/>
      <c r="GM117" s="316"/>
      <c r="GN117" s="316"/>
      <c r="GO117" s="316"/>
      <c r="GP117" s="316"/>
      <c r="GQ117" s="316"/>
      <c r="GR117" s="316"/>
      <c r="GS117" s="316"/>
      <c r="GT117" s="316"/>
      <c r="GU117" s="316"/>
      <c r="GV117" s="316"/>
      <c r="GW117" s="316"/>
      <c r="GX117" s="316"/>
      <c r="GY117" s="316"/>
      <c r="GZ117" s="316"/>
      <c r="HA117" s="316"/>
      <c r="HB117" s="316"/>
      <c r="HC117" s="316"/>
      <c r="HD117" s="316"/>
      <c r="HE117" s="316"/>
      <c r="HF117" s="316"/>
      <c r="HG117" s="316"/>
      <c r="HH117" s="316"/>
      <c r="HI117" s="316"/>
      <c r="HJ117" s="316"/>
      <c r="HK117" s="316"/>
      <c r="HL117" s="316"/>
      <c r="HM117" s="316"/>
      <c r="KH117" s="303"/>
    </row>
    <row r="118" spans="1:294" outlineLevel="1">
      <c r="B118" s="117" t="s">
        <v>361</v>
      </c>
      <c r="D118" s="319" t="s">
        <v>410</v>
      </c>
      <c r="E118" s="316"/>
      <c r="F118" s="316"/>
      <c r="G118" s="316"/>
      <c r="H118" s="316"/>
      <c r="I118" s="316"/>
      <c r="J118" s="316"/>
      <c r="K118" s="316"/>
      <c r="L118" s="316"/>
      <c r="M118" s="316"/>
      <c r="N118" s="316"/>
      <c r="O118" s="316"/>
      <c r="P118" s="316"/>
      <c r="Q118" s="316"/>
      <c r="R118" s="316"/>
      <c r="S118" s="316"/>
      <c r="T118" s="316"/>
      <c r="U118" s="316"/>
      <c r="V118" s="316"/>
      <c r="W118" s="316"/>
      <c r="X118" s="316"/>
      <c r="Y118" s="316"/>
      <c r="Z118" s="316"/>
      <c r="AA118" s="316"/>
      <c r="AB118" s="316"/>
      <c r="AC118" s="316"/>
      <c r="AD118" s="316"/>
      <c r="AE118" s="316"/>
      <c r="AF118" s="316"/>
      <c r="AG118" s="316"/>
      <c r="AH118" s="316"/>
      <c r="AI118" s="316"/>
      <c r="AJ118" s="316"/>
      <c r="AK118" s="316"/>
      <c r="AL118" s="316"/>
      <c r="AM118" s="316"/>
      <c r="AN118" s="316"/>
      <c r="AO118" s="316"/>
      <c r="AP118" s="316"/>
      <c r="AQ118" s="316"/>
      <c r="AR118" s="316"/>
      <c r="AS118" s="316"/>
      <c r="AT118" s="316"/>
      <c r="AU118" s="316"/>
      <c r="AV118" s="316"/>
      <c r="AW118" s="316"/>
      <c r="AX118" s="316"/>
      <c r="AY118" s="316"/>
      <c r="AZ118" s="316"/>
      <c r="BA118" s="316"/>
      <c r="BB118" s="316"/>
      <c r="BC118" s="316"/>
      <c r="BD118" s="316"/>
      <c r="BE118" s="316"/>
      <c r="BF118" s="316"/>
      <c r="BG118" s="316"/>
      <c r="BH118" s="316"/>
      <c r="BI118" s="316"/>
      <c r="BJ118" s="316"/>
      <c r="BK118" s="316"/>
      <c r="BL118" s="316"/>
      <c r="BM118" s="316"/>
      <c r="BN118" s="316"/>
      <c r="BO118" s="316"/>
      <c r="BP118" s="316"/>
      <c r="BQ118" s="316"/>
      <c r="BR118" s="316"/>
      <c r="BS118" s="316"/>
      <c r="BT118" s="316"/>
      <c r="BU118" s="316"/>
      <c r="BV118" s="316"/>
      <c r="BW118" s="316"/>
      <c r="BX118" s="316"/>
      <c r="BY118" s="316"/>
      <c r="BZ118" s="316"/>
      <c r="CA118" s="316"/>
      <c r="CB118" s="316"/>
      <c r="CC118" s="316"/>
      <c r="CD118" s="316"/>
      <c r="CE118" s="317">
        <v>0</v>
      </c>
      <c r="CF118" s="316">
        <v>0.13125000000000001</v>
      </c>
      <c r="CG118" s="316">
        <v>0</v>
      </c>
      <c r="CH118" s="316">
        <v>0.140625</v>
      </c>
      <c r="CI118" s="316">
        <v>0.1925</v>
      </c>
      <c r="CJ118" s="316">
        <v>0</v>
      </c>
      <c r="CK118" s="316">
        <v>0</v>
      </c>
      <c r="CL118" s="316">
        <v>0.13125000000000001</v>
      </c>
      <c r="CM118" s="316">
        <v>0</v>
      </c>
      <c r="CN118" s="316">
        <v>0.140625</v>
      </c>
      <c r="CO118" s="316">
        <v>0.1925</v>
      </c>
      <c r="CP118" s="318">
        <v>0</v>
      </c>
      <c r="CQ118" s="316">
        <v>0</v>
      </c>
      <c r="CR118" s="316">
        <v>0.71718749999999998</v>
      </c>
      <c r="CS118" s="316">
        <v>0</v>
      </c>
      <c r="CT118" s="316">
        <v>0.140625</v>
      </c>
      <c r="CU118" s="316">
        <v>1.0804464199999999</v>
      </c>
      <c r="CV118" s="316">
        <v>0</v>
      </c>
      <c r="CW118" s="316">
        <v>0</v>
      </c>
      <c r="CX118" s="316">
        <v>1.6077999999999999</v>
      </c>
      <c r="CY118" s="316">
        <v>0</v>
      </c>
      <c r="CZ118" s="316">
        <v>0.140625</v>
      </c>
      <c r="DA118" s="316">
        <v>2.0843750000000001</v>
      </c>
      <c r="DB118" s="1498">
        <v>0</v>
      </c>
      <c r="DC118" s="636">
        <v>0</v>
      </c>
      <c r="DD118" s="636">
        <v>2.4740625000000001</v>
      </c>
      <c r="DE118" s="636">
        <v>0</v>
      </c>
      <c r="DF118" s="636">
        <v>0.140625</v>
      </c>
      <c r="DG118" s="636">
        <v>2.7306249999999999</v>
      </c>
      <c r="DH118" s="636">
        <v>0</v>
      </c>
      <c r="DI118" s="636">
        <v>0</v>
      </c>
      <c r="DJ118" s="636">
        <v>3.37</v>
      </c>
      <c r="DK118" s="636">
        <v>0</v>
      </c>
      <c r="DL118" s="636">
        <v>-0.140625</v>
      </c>
      <c r="DM118" s="636">
        <v>3.4231250000000002</v>
      </c>
      <c r="DN118" s="653">
        <v>0</v>
      </c>
      <c r="DO118" s="636">
        <v>0</v>
      </c>
      <c r="DP118" s="636">
        <v>4.2703125000000002</v>
      </c>
      <c r="DQ118" s="636">
        <v>0</v>
      </c>
      <c r="DR118" s="636">
        <v>0</v>
      </c>
      <c r="DS118" s="636">
        <v>4.0981249999999996</v>
      </c>
      <c r="DT118" s="636">
        <v>0</v>
      </c>
      <c r="DU118" s="636">
        <v>0</v>
      </c>
      <c r="DV118" s="636">
        <v>5.1890625000000004</v>
      </c>
      <c r="DW118" s="636">
        <v>0</v>
      </c>
      <c r="DX118" s="636">
        <v>0</v>
      </c>
      <c r="DY118" s="636">
        <v>4.9981249999999999</v>
      </c>
      <c r="DZ118" s="653">
        <v>0</v>
      </c>
      <c r="EA118" s="636">
        <v>0</v>
      </c>
      <c r="EB118" s="636">
        <v>5.0906250000000002</v>
      </c>
      <c r="EC118" s="636">
        <v>0</v>
      </c>
      <c r="ED118" s="636">
        <v>0</v>
      </c>
      <c r="EE118" s="636">
        <v>5.631875</v>
      </c>
      <c r="EF118" s="636">
        <v>0</v>
      </c>
      <c r="EG118" s="636">
        <v>0</v>
      </c>
      <c r="EH118" s="636">
        <v>5.7006250000000005</v>
      </c>
      <c r="EI118" s="636">
        <v>0</v>
      </c>
      <c r="EJ118" s="636">
        <v>0</v>
      </c>
      <c r="EK118" s="636">
        <v>6.2518750000000001</v>
      </c>
      <c r="EL118" s="653">
        <v>0</v>
      </c>
      <c r="EM118" s="1226">
        <v>0</v>
      </c>
      <c r="EN118" s="1226">
        <v>5.7193750000000003</v>
      </c>
      <c r="EO118" s="1226">
        <v>0</v>
      </c>
      <c r="EP118" s="1226">
        <v>0</v>
      </c>
      <c r="EQ118" s="1226">
        <v>0</v>
      </c>
      <c r="ER118" s="1226">
        <v>8.4343749999999993</v>
      </c>
      <c r="ES118" s="1209"/>
      <c r="ET118" s="1209"/>
      <c r="EU118" s="1209"/>
      <c r="EV118" s="1209"/>
      <c r="EW118" s="1209"/>
      <c r="EX118" s="1539"/>
      <c r="EY118" s="1209"/>
      <c r="EZ118" s="1209"/>
      <c r="FA118" s="1209"/>
      <c r="FB118" s="1209"/>
      <c r="FC118" s="1209"/>
      <c r="FD118" s="1209"/>
      <c r="FE118" s="1209"/>
      <c r="FF118" s="1209"/>
      <c r="FG118" s="1209"/>
      <c r="FH118" s="1209"/>
      <c r="FI118" s="1209"/>
      <c r="FJ118" s="1539"/>
      <c r="FK118" s="1209"/>
      <c r="FL118" s="1209"/>
      <c r="FM118" s="1209"/>
      <c r="FN118" s="1209"/>
      <c r="FO118" s="1209"/>
      <c r="FP118" s="1209"/>
      <c r="FQ118" s="636"/>
      <c r="FR118" s="636"/>
      <c r="FS118" s="636"/>
      <c r="FT118" s="636"/>
      <c r="FU118" s="636"/>
      <c r="FV118" s="636"/>
      <c r="FW118" s="636"/>
      <c r="FX118" s="636"/>
      <c r="FY118" s="636"/>
      <c r="FZ118" s="636"/>
      <c r="GA118" s="636"/>
      <c r="GB118" s="636"/>
      <c r="GC118" s="636"/>
      <c r="GD118" s="636"/>
      <c r="GE118" s="636"/>
      <c r="GF118" s="636"/>
      <c r="GG118" s="636"/>
      <c r="GH118" s="636"/>
      <c r="GI118" s="636"/>
      <c r="GJ118" s="636"/>
      <c r="GK118" s="636"/>
      <c r="GL118" s="636"/>
      <c r="GM118" s="636"/>
      <c r="GN118" s="636"/>
      <c r="GO118" s="636"/>
      <c r="GP118" s="636"/>
      <c r="GQ118" s="636"/>
      <c r="GR118" s="636"/>
      <c r="GS118" s="636"/>
      <c r="GT118" s="636"/>
      <c r="GU118" s="636"/>
      <c r="GV118" s="636"/>
      <c r="GW118" s="636"/>
      <c r="GX118" s="636"/>
      <c r="GY118" s="636"/>
      <c r="GZ118" s="636"/>
      <c r="HA118" s="636"/>
      <c r="HB118" s="636"/>
      <c r="HC118" s="636"/>
      <c r="HD118" s="636"/>
      <c r="HE118" s="636"/>
      <c r="HF118" s="636"/>
      <c r="HG118" s="636"/>
      <c r="HH118" s="636"/>
      <c r="HI118" s="636"/>
      <c r="HJ118" s="636"/>
      <c r="HK118" s="636"/>
      <c r="HL118" s="636"/>
      <c r="HM118" s="636"/>
      <c r="HV118" s="302">
        <f>+SUM(DC118:DH118)</f>
        <v>5.3453125000000004</v>
      </c>
      <c r="HW118" s="302">
        <f>+SUM(DI118:DN118)</f>
        <v>6.6524999999999999</v>
      </c>
      <c r="HX118" s="302">
        <f>+HV118+HW118</f>
        <v>11.9978125</v>
      </c>
      <c r="HY118" s="302">
        <f>SUM(DO118:DT118)</f>
        <v>8.3684374999999989</v>
      </c>
      <c r="KH118" s="303"/>
    </row>
    <row r="119" spans="1:294" outlineLevel="1">
      <c r="B119" s="117" t="s">
        <v>361</v>
      </c>
      <c r="D119" s="323" t="s">
        <v>408</v>
      </c>
      <c r="E119" s="316"/>
      <c r="F119" s="316"/>
      <c r="G119" s="316"/>
      <c r="H119" s="316"/>
      <c r="I119" s="316"/>
      <c r="J119" s="316"/>
      <c r="K119" s="316"/>
      <c r="L119" s="316"/>
      <c r="M119" s="316"/>
      <c r="N119" s="316"/>
      <c r="O119" s="316"/>
      <c r="P119" s="316"/>
      <c r="Q119" s="316"/>
      <c r="R119" s="316"/>
      <c r="S119" s="316"/>
      <c r="T119" s="316"/>
      <c r="U119" s="316"/>
      <c r="V119" s="316"/>
      <c r="W119" s="316"/>
      <c r="X119" s="316"/>
      <c r="Y119" s="316"/>
      <c r="Z119" s="316"/>
      <c r="AA119" s="316"/>
      <c r="AB119" s="316"/>
      <c r="AC119" s="316"/>
      <c r="AD119" s="316"/>
      <c r="AE119" s="316"/>
      <c r="AF119" s="316"/>
      <c r="AG119" s="316"/>
      <c r="AH119" s="316"/>
      <c r="AI119" s="316"/>
      <c r="AJ119" s="316"/>
      <c r="AK119" s="316"/>
      <c r="AL119" s="316"/>
      <c r="AM119" s="316"/>
      <c r="AN119" s="316"/>
      <c r="AO119" s="316"/>
      <c r="AP119" s="316"/>
      <c r="AQ119" s="316"/>
      <c r="AR119" s="316"/>
      <c r="AS119" s="316"/>
      <c r="AT119" s="316"/>
      <c r="AU119" s="316"/>
      <c r="AV119" s="316"/>
      <c r="AW119" s="316"/>
      <c r="AX119" s="316"/>
      <c r="AY119" s="316"/>
      <c r="AZ119" s="316"/>
      <c r="BA119" s="316"/>
      <c r="BB119" s="316"/>
      <c r="BC119" s="316"/>
      <c r="BD119" s="316"/>
      <c r="BE119" s="316"/>
      <c r="BF119" s="316"/>
      <c r="BG119" s="316"/>
      <c r="BH119" s="316"/>
      <c r="BI119" s="316"/>
      <c r="BJ119" s="316"/>
      <c r="BK119" s="316"/>
      <c r="BL119" s="316"/>
      <c r="BM119" s="316"/>
      <c r="BN119" s="316"/>
      <c r="BO119" s="316"/>
      <c r="BP119" s="316"/>
      <c r="BQ119" s="316"/>
      <c r="BR119" s="316"/>
      <c r="BS119" s="316"/>
      <c r="BT119" s="316"/>
      <c r="BU119" s="316"/>
      <c r="BV119" s="316"/>
      <c r="BW119" s="316"/>
      <c r="BX119" s="316"/>
      <c r="BY119" s="316"/>
      <c r="BZ119" s="316"/>
      <c r="CA119" s="316"/>
      <c r="CB119" s="316"/>
      <c r="CC119" s="316"/>
      <c r="CD119" s="316"/>
      <c r="CE119" s="317"/>
      <c r="CF119" s="316"/>
      <c r="CG119" s="316"/>
      <c r="CH119" s="316"/>
      <c r="CI119" s="316"/>
      <c r="CJ119" s="316"/>
      <c r="CK119" s="316"/>
      <c r="CL119" s="316"/>
      <c r="CM119" s="316"/>
      <c r="CN119" s="316"/>
      <c r="CO119" s="316"/>
      <c r="CP119" s="318"/>
      <c r="CQ119" s="316"/>
      <c r="CR119" s="316"/>
      <c r="CS119" s="316"/>
      <c r="CT119" s="316"/>
      <c r="CU119" s="316"/>
      <c r="CV119" s="316"/>
      <c r="CW119" s="316"/>
      <c r="CX119" s="316"/>
      <c r="CY119" s="316"/>
      <c r="CZ119" s="316"/>
      <c r="DA119" s="316"/>
      <c r="DB119" s="1498"/>
      <c r="DC119" s="316"/>
      <c r="DD119" s="316"/>
      <c r="DE119" s="316"/>
      <c r="DF119" s="316"/>
      <c r="DG119" s="316"/>
      <c r="DH119" s="316"/>
      <c r="DI119" s="316"/>
      <c r="DJ119" s="316"/>
      <c r="DK119" s="316"/>
      <c r="DL119" s="316"/>
      <c r="DM119" s="316"/>
      <c r="DN119" s="318"/>
      <c r="DO119" s="316"/>
      <c r="DP119" s="316"/>
      <c r="DQ119" s="316"/>
      <c r="DR119" s="316"/>
      <c r="DS119" s="316"/>
      <c r="DT119" s="316"/>
      <c r="DU119" s="316"/>
      <c r="DV119" s="316"/>
      <c r="DW119" s="316"/>
      <c r="DX119" s="316"/>
      <c r="DY119" s="316"/>
      <c r="DZ119" s="318"/>
      <c r="EA119" s="316"/>
      <c r="EB119" s="316"/>
      <c r="EC119" s="316"/>
      <c r="ED119" s="316"/>
      <c r="EE119" s="316"/>
      <c r="EF119" s="316"/>
      <c r="EG119" s="316"/>
      <c r="EH119" s="316"/>
      <c r="EI119" s="316"/>
      <c r="EJ119" s="316"/>
      <c r="EK119" s="316"/>
      <c r="EL119" s="318"/>
      <c r="EM119" s="1206"/>
      <c r="EN119" s="1206"/>
      <c r="EO119" s="1206"/>
      <c r="EP119" s="1206"/>
      <c r="EQ119" s="1206"/>
      <c r="ER119" s="1206"/>
      <c r="ES119" s="1206"/>
      <c r="ET119" s="1206"/>
      <c r="EU119" s="1206"/>
      <c r="EV119" s="1206"/>
      <c r="EW119" s="1206"/>
      <c r="EX119" s="1550"/>
      <c r="EY119" s="1206"/>
      <c r="EZ119" s="1206"/>
      <c r="FA119" s="1206"/>
      <c r="FB119" s="1206"/>
      <c r="FC119" s="1206"/>
      <c r="FD119" s="1206"/>
      <c r="FE119" s="1206"/>
      <c r="FF119" s="1206"/>
      <c r="FG119" s="1206"/>
      <c r="FH119" s="1206"/>
      <c r="FI119" s="1206"/>
      <c r="FJ119" s="1550"/>
      <c r="FK119" s="1206"/>
      <c r="FL119" s="1206"/>
      <c r="FM119" s="1206"/>
      <c r="FN119" s="1206"/>
      <c r="FO119" s="1206"/>
      <c r="FP119" s="1206"/>
      <c r="FQ119" s="316"/>
      <c r="FR119" s="316"/>
      <c r="FS119" s="316"/>
      <c r="FT119" s="316"/>
      <c r="FU119" s="316"/>
      <c r="FV119" s="316"/>
      <c r="FW119" s="316"/>
      <c r="FX119" s="316"/>
      <c r="FY119" s="316"/>
      <c r="FZ119" s="316"/>
      <c r="GA119" s="316"/>
      <c r="GB119" s="316"/>
      <c r="GC119" s="316"/>
      <c r="GD119" s="316"/>
      <c r="GE119" s="316"/>
      <c r="GF119" s="316"/>
      <c r="GG119" s="316"/>
      <c r="GH119" s="316"/>
      <c r="GI119" s="316"/>
      <c r="GJ119" s="316"/>
      <c r="GK119" s="316"/>
      <c r="GL119" s="316"/>
      <c r="GM119" s="316"/>
      <c r="GN119" s="316"/>
      <c r="GO119" s="316"/>
      <c r="GP119" s="316"/>
      <c r="GQ119" s="316"/>
      <c r="GR119" s="316"/>
      <c r="GS119" s="316"/>
      <c r="GT119" s="316"/>
      <c r="GU119" s="316"/>
      <c r="GV119" s="316"/>
      <c r="GW119" s="316"/>
      <c r="GX119" s="316"/>
      <c r="GY119" s="316"/>
      <c r="GZ119" s="316"/>
      <c r="HA119" s="316"/>
      <c r="HB119" s="316"/>
      <c r="HC119" s="316"/>
      <c r="HD119" s="316"/>
      <c r="HE119" s="316"/>
      <c r="HF119" s="316"/>
      <c r="HG119" s="316"/>
      <c r="HH119" s="316"/>
      <c r="HI119" s="316"/>
      <c r="HJ119" s="316"/>
      <c r="HK119" s="316"/>
      <c r="HL119" s="316"/>
      <c r="HM119" s="316"/>
      <c r="KH119" s="303"/>
    </row>
    <row r="120" spans="1:294" outlineLevel="1">
      <c r="B120" s="117" t="s">
        <v>361</v>
      </c>
      <c r="D120" s="323" t="s">
        <v>409</v>
      </c>
      <c r="E120" s="316"/>
      <c r="F120" s="316"/>
      <c r="G120" s="316"/>
      <c r="H120" s="316"/>
      <c r="I120" s="316"/>
      <c r="J120" s="316"/>
      <c r="K120" s="316"/>
      <c r="L120" s="316"/>
      <c r="M120" s="316"/>
      <c r="N120" s="316"/>
      <c r="O120" s="316"/>
      <c r="P120" s="316"/>
      <c r="Q120" s="316"/>
      <c r="R120" s="316"/>
      <c r="S120" s="316"/>
      <c r="T120" s="316"/>
      <c r="U120" s="316"/>
      <c r="V120" s="316"/>
      <c r="W120" s="316"/>
      <c r="X120" s="316"/>
      <c r="Y120" s="316"/>
      <c r="Z120" s="316"/>
      <c r="AA120" s="316"/>
      <c r="AB120" s="316"/>
      <c r="AC120" s="316"/>
      <c r="AD120" s="316"/>
      <c r="AE120" s="316"/>
      <c r="AF120" s="316"/>
      <c r="AG120" s="316"/>
      <c r="AH120" s="316"/>
      <c r="AI120" s="316"/>
      <c r="AJ120" s="316"/>
      <c r="AK120" s="316"/>
      <c r="AL120" s="316"/>
      <c r="AM120" s="316"/>
      <c r="AN120" s="316"/>
      <c r="AO120" s="316"/>
      <c r="AP120" s="316"/>
      <c r="AQ120" s="316"/>
      <c r="AR120" s="316"/>
      <c r="AS120" s="316"/>
      <c r="AT120" s="316"/>
      <c r="AU120" s="316"/>
      <c r="AV120" s="316"/>
      <c r="AW120" s="316"/>
      <c r="AX120" s="316"/>
      <c r="AY120" s="316"/>
      <c r="AZ120" s="316"/>
      <c r="BA120" s="316"/>
      <c r="BB120" s="316"/>
      <c r="BC120" s="316"/>
      <c r="BD120" s="316"/>
      <c r="BE120" s="316"/>
      <c r="BF120" s="316"/>
      <c r="BG120" s="316"/>
      <c r="BH120" s="316"/>
      <c r="BI120" s="316"/>
      <c r="BJ120" s="316"/>
      <c r="BK120" s="316"/>
      <c r="BL120" s="316"/>
      <c r="BM120" s="316"/>
      <c r="BN120" s="316"/>
      <c r="BO120" s="316"/>
      <c r="BP120" s="316"/>
      <c r="BQ120" s="316"/>
      <c r="BR120" s="316"/>
      <c r="BS120" s="316"/>
      <c r="BT120" s="316"/>
      <c r="BU120" s="316"/>
      <c r="BV120" s="316"/>
      <c r="BW120" s="316"/>
      <c r="BX120" s="316"/>
      <c r="BY120" s="316"/>
      <c r="BZ120" s="316"/>
      <c r="CA120" s="316"/>
      <c r="CB120" s="316"/>
      <c r="CC120" s="316"/>
      <c r="CD120" s="316"/>
      <c r="CE120" s="317"/>
      <c r="CF120" s="316"/>
      <c r="CG120" s="316"/>
      <c r="CH120" s="316"/>
      <c r="CI120" s="316"/>
      <c r="CJ120" s="316"/>
      <c r="CK120" s="316"/>
      <c r="CL120" s="316"/>
      <c r="CM120" s="316"/>
      <c r="CN120" s="316"/>
      <c r="CO120" s="316"/>
      <c r="CP120" s="318"/>
      <c r="CQ120" s="316"/>
      <c r="CR120" s="316"/>
      <c r="CS120" s="316"/>
      <c r="CT120" s="316"/>
      <c r="CU120" s="316"/>
      <c r="CV120" s="316"/>
      <c r="CW120" s="316"/>
      <c r="CX120" s="316"/>
      <c r="CY120" s="316"/>
      <c r="CZ120" s="316"/>
      <c r="DA120" s="316"/>
      <c r="DB120" s="1498"/>
      <c r="DC120" s="316"/>
      <c r="DD120" s="316"/>
      <c r="DE120" s="316"/>
      <c r="DF120" s="316"/>
      <c r="DG120" s="316"/>
      <c r="DH120" s="316"/>
      <c r="DI120" s="316"/>
      <c r="DJ120" s="316"/>
      <c r="DK120" s="316"/>
      <c r="DL120" s="316"/>
      <c r="DM120" s="316"/>
      <c r="DN120" s="318"/>
      <c r="DO120" s="316"/>
      <c r="DP120" s="316"/>
      <c r="DQ120" s="316"/>
      <c r="DR120" s="316"/>
      <c r="DS120" s="316"/>
      <c r="DT120" s="316"/>
      <c r="DU120" s="316"/>
      <c r="DV120" s="316"/>
      <c r="DW120" s="316"/>
      <c r="DX120" s="316"/>
      <c r="DY120" s="316"/>
      <c r="DZ120" s="318"/>
      <c r="EA120" s="316"/>
      <c r="EB120" s="316"/>
      <c r="EC120" s="316"/>
      <c r="ED120" s="316"/>
      <c r="EE120" s="316"/>
      <c r="EF120" s="316"/>
      <c r="EG120" s="316"/>
      <c r="EH120" s="316"/>
      <c r="EI120" s="316"/>
      <c r="EJ120" s="316"/>
      <c r="EK120" s="316"/>
      <c r="EL120" s="318"/>
      <c r="EM120" s="1206"/>
      <c r="EN120" s="1206"/>
      <c r="EO120" s="1206"/>
      <c r="EP120" s="1206"/>
      <c r="EQ120" s="1206"/>
      <c r="ER120" s="1206"/>
      <c r="ES120" s="1206"/>
      <c r="ET120" s="1206"/>
      <c r="EU120" s="1206"/>
      <c r="EV120" s="1206"/>
      <c r="EW120" s="1206"/>
      <c r="EX120" s="1550"/>
      <c r="EY120" s="1206"/>
      <c r="EZ120" s="1206"/>
      <c r="FA120" s="1206"/>
      <c r="FB120" s="1206"/>
      <c r="FC120" s="1206"/>
      <c r="FD120" s="1206"/>
      <c r="FE120" s="1206"/>
      <c r="FF120" s="1206"/>
      <c r="FG120" s="1206"/>
      <c r="FH120" s="1206"/>
      <c r="FI120" s="1206"/>
      <c r="FJ120" s="1550"/>
      <c r="FK120" s="1206"/>
      <c r="FL120" s="1206"/>
      <c r="FM120" s="1206"/>
      <c r="FN120" s="1206"/>
      <c r="FO120" s="1206"/>
      <c r="FP120" s="1206"/>
      <c r="FQ120" s="316"/>
      <c r="FR120" s="316"/>
      <c r="FS120" s="316"/>
      <c r="FT120" s="316"/>
      <c r="FU120" s="316"/>
      <c r="FV120" s="316"/>
      <c r="FW120" s="316"/>
      <c r="FX120" s="316"/>
      <c r="FY120" s="316"/>
      <c r="FZ120" s="316"/>
      <c r="GA120" s="316"/>
      <c r="GB120" s="316"/>
      <c r="GC120" s="316"/>
      <c r="GD120" s="316"/>
      <c r="GE120" s="316"/>
      <c r="GF120" s="316"/>
      <c r="GG120" s="316"/>
      <c r="GH120" s="316"/>
      <c r="GI120" s="316"/>
      <c r="GJ120" s="316"/>
      <c r="GK120" s="316"/>
      <c r="GL120" s="316"/>
      <c r="GM120" s="316"/>
      <c r="GN120" s="316"/>
      <c r="GO120" s="316"/>
      <c r="GP120" s="316"/>
      <c r="GQ120" s="316"/>
      <c r="GR120" s="316"/>
      <c r="GS120" s="316"/>
      <c r="GT120" s="316"/>
      <c r="GU120" s="316"/>
      <c r="GV120" s="316"/>
      <c r="GW120" s="316"/>
      <c r="GX120" s="316"/>
      <c r="GY120" s="316"/>
      <c r="GZ120" s="316"/>
      <c r="HA120" s="316"/>
      <c r="HB120" s="316"/>
      <c r="HC120" s="316"/>
      <c r="HD120" s="316"/>
      <c r="HE120" s="316"/>
      <c r="HF120" s="316"/>
      <c r="HG120" s="316"/>
      <c r="HH120" s="316"/>
      <c r="HI120" s="316"/>
      <c r="HJ120" s="316"/>
      <c r="HK120" s="316"/>
      <c r="HL120" s="316"/>
      <c r="HM120" s="316"/>
      <c r="KH120" s="303"/>
    </row>
    <row r="121" spans="1:294" outlineLevel="1">
      <c r="B121" s="117" t="s">
        <v>361</v>
      </c>
      <c r="D121" s="322" t="s">
        <v>411</v>
      </c>
      <c r="E121" s="316"/>
      <c r="F121" s="316"/>
      <c r="G121" s="316"/>
      <c r="H121" s="316"/>
      <c r="I121" s="316"/>
      <c r="J121" s="316"/>
      <c r="K121" s="316"/>
      <c r="L121" s="316"/>
      <c r="M121" s="316"/>
      <c r="N121" s="316"/>
      <c r="O121" s="316"/>
      <c r="P121" s="316"/>
      <c r="Q121" s="316"/>
      <c r="R121" s="316"/>
      <c r="S121" s="316"/>
      <c r="T121" s="316"/>
      <c r="U121" s="316"/>
      <c r="V121" s="316"/>
      <c r="W121" s="316"/>
      <c r="X121" s="316"/>
      <c r="Y121" s="316"/>
      <c r="Z121" s="316"/>
      <c r="AA121" s="316"/>
      <c r="AB121" s="316"/>
      <c r="AC121" s="316"/>
      <c r="AD121" s="316"/>
      <c r="AE121" s="316"/>
      <c r="AF121" s="316"/>
      <c r="AG121" s="316"/>
      <c r="AH121" s="316"/>
      <c r="AI121" s="316"/>
      <c r="AJ121" s="316"/>
      <c r="AK121" s="316"/>
      <c r="AL121" s="316"/>
      <c r="AM121" s="316"/>
      <c r="AN121" s="316"/>
      <c r="AO121" s="316"/>
      <c r="AP121" s="316"/>
      <c r="AQ121" s="316"/>
      <c r="AR121" s="316"/>
      <c r="AS121" s="316"/>
      <c r="AT121" s="316"/>
      <c r="AU121" s="316"/>
      <c r="AV121" s="316"/>
      <c r="AW121" s="316"/>
      <c r="AX121" s="316"/>
      <c r="AY121" s="316"/>
      <c r="AZ121" s="316"/>
      <c r="BA121" s="316"/>
      <c r="BB121" s="316"/>
      <c r="BC121" s="316"/>
      <c r="BD121" s="316"/>
      <c r="BE121" s="316"/>
      <c r="BF121" s="316"/>
      <c r="BG121" s="316"/>
      <c r="BH121" s="316"/>
      <c r="BI121" s="316"/>
      <c r="BJ121" s="316"/>
      <c r="BK121" s="316"/>
      <c r="BL121" s="316"/>
      <c r="BM121" s="316"/>
      <c r="BN121" s="316"/>
      <c r="BO121" s="316"/>
      <c r="BP121" s="316"/>
      <c r="BQ121" s="316"/>
      <c r="BR121" s="316"/>
      <c r="BS121" s="316"/>
      <c r="BT121" s="316"/>
      <c r="BU121" s="316"/>
      <c r="BV121" s="316"/>
      <c r="BW121" s="316"/>
      <c r="BX121" s="316"/>
      <c r="BY121" s="316"/>
      <c r="BZ121" s="316"/>
      <c r="CA121" s="316"/>
      <c r="CB121" s="316"/>
      <c r="CC121" s="316"/>
      <c r="CD121" s="316"/>
      <c r="CE121" s="317"/>
      <c r="CF121" s="316"/>
      <c r="CG121" s="316"/>
      <c r="CH121" s="316"/>
      <c r="CI121" s="316"/>
      <c r="CJ121" s="316"/>
      <c r="CK121" s="316"/>
      <c r="CL121" s="316"/>
      <c r="CM121" s="316"/>
      <c r="CN121" s="316"/>
      <c r="CO121" s="316"/>
      <c r="CP121" s="318"/>
      <c r="CQ121" s="316"/>
      <c r="CR121" s="316"/>
      <c r="CS121" s="316"/>
      <c r="CT121" s="316"/>
      <c r="CU121" s="316"/>
      <c r="CV121" s="316"/>
      <c r="CW121" s="316"/>
      <c r="CX121" s="316"/>
      <c r="CY121" s="316"/>
      <c r="CZ121" s="316"/>
      <c r="DA121" s="316"/>
      <c r="DB121" s="1498"/>
      <c r="DC121" s="316"/>
      <c r="DD121" s="316"/>
      <c r="DE121" s="316"/>
      <c r="DF121" s="316"/>
      <c r="DG121" s="316"/>
      <c r="DH121" s="316"/>
      <c r="DI121" s="316"/>
      <c r="DJ121" s="316"/>
      <c r="DK121" s="316"/>
      <c r="DL121" s="316"/>
      <c r="DM121" s="316"/>
      <c r="DN121" s="318"/>
      <c r="DO121" s="316"/>
      <c r="DP121" s="316"/>
      <c r="DQ121" s="316"/>
      <c r="DR121" s="316"/>
      <c r="DS121" s="316"/>
      <c r="DT121" s="316"/>
      <c r="DU121" s="316"/>
      <c r="DV121" s="316"/>
      <c r="DW121" s="316"/>
      <c r="DX121" s="316"/>
      <c r="DY121" s="316"/>
      <c r="DZ121" s="318"/>
      <c r="EA121" s="316"/>
      <c r="EB121" s="316"/>
      <c r="EC121" s="316"/>
      <c r="ED121" s="316"/>
      <c r="EE121" s="316"/>
      <c r="EF121" s="316"/>
      <c r="EG121" s="316"/>
      <c r="EH121" s="316"/>
      <c r="EI121" s="316"/>
      <c r="EJ121" s="316"/>
      <c r="EK121" s="316"/>
      <c r="EL121" s="318"/>
      <c r="EM121" s="1206"/>
      <c r="EN121" s="1206"/>
      <c r="EO121" s="1206"/>
      <c r="EP121" s="1206"/>
      <c r="EQ121" s="1206"/>
      <c r="ER121" s="1206"/>
      <c r="ES121" s="1206"/>
      <c r="ET121" s="1206"/>
      <c r="EU121" s="1206"/>
      <c r="EV121" s="1206"/>
      <c r="EW121" s="1206"/>
      <c r="EX121" s="1550"/>
      <c r="EY121" s="1206"/>
      <c r="EZ121" s="1206"/>
      <c r="FA121" s="1206"/>
      <c r="FB121" s="1206"/>
      <c r="FC121" s="1206"/>
      <c r="FD121" s="1206"/>
      <c r="FE121" s="1206"/>
      <c r="FF121" s="1206"/>
      <c r="FG121" s="1206"/>
      <c r="FH121" s="1206"/>
      <c r="FI121" s="1206"/>
      <c r="FJ121" s="1550"/>
      <c r="FK121" s="1206"/>
      <c r="FL121" s="1206"/>
      <c r="FM121" s="1206"/>
      <c r="FN121" s="1206"/>
      <c r="FO121" s="1206"/>
      <c r="FP121" s="1206"/>
      <c r="FQ121" s="316"/>
      <c r="FR121" s="316"/>
      <c r="FS121" s="316"/>
      <c r="FT121" s="316"/>
      <c r="FU121" s="316"/>
      <c r="FV121" s="316"/>
      <c r="FW121" s="316"/>
      <c r="FX121" s="316"/>
      <c r="FY121" s="316"/>
      <c r="FZ121" s="316"/>
      <c r="GA121" s="316"/>
      <c r="GB121" s="316"/>
      <c r="GC121" s="316"/>
      <c r="GD121" s="316"/>
      <c r="GE121" s="316"/>
      <c r="GF121" s="316"/>
      <c r="GG121" s="316"/>
      <c r="GH121" s="316"/>
      <c r="GI121" s="316"/>
      <c r="GJ121" s="316"/>
      <c r="GK121" s="316"/>
      <c r="GL121" s="316"/>
      <c r="GM121" s="316"/>
      <c r="GN121" s="316"/>
      <c r="GO121" s="316"/>
      <c r="GP121" s="316"/>
      <c r="GQ121" s="316"/>
      <c r="GR121" s="316"/>
      <c r="GS121" s="316"/>
      <c r="GT121" s="316"/>
      <c r="GU121" s="316"/>
      <c r="GV121" s="316"/>
      <c r="GW121" s="316"/>
      <c r="GX121" s="316"/>
      <c r="GY121" s="316"/>
      <c r="GZ121" s="316"/>
      <c r="HA121" s="316"/>
      <c r="HB121" s="316"/>
      <c r="HC121" s="316"/>
      <c r="HD121" s="316"/>
      <c r="HE121" s="316"/>
      <c r="HF121" s="316"/>
      <c r="HG121" s="316"/>
      <c r="HH121" s="316"/>
      <c r="HI121" s="316"/>
      <c r="HJ121" s="316"/>
      <c r="HK121" s="316"/>
      <c r="HL121" s="316"/>
      <c r="HM121" s="316"/>
      <c r="KH121" s="303"/>
    </row>
    <row r="122" spans="1:294" outlineLevel="1">
      <c r="B122" s="117" t="s">
        <v>361</v>
      </c>
      <c r="D122" s="319" t="s">
        <v>407</v>
      </c>
      <c r="E122" s="316"/>
      <c r="F122" s="316"/>
      <c r="G122" s="316"/>
      <c r="H122" s="316"/>
      <c r="I122" s="316"/>
      <c r="J122" s="316"/>
      <c r="K122" s="316"/>
      <c r="L122" s="316"/>
      <c r="M122" s="316"/>
      <c r="N122" s="316"/>
      <c r="O122" s="316"/>
      <c r="P122" s="316"/>
      <c r="Q122" s="316"/>
      <c r="R122" s="316"/>
      <c r="S122" s="316"/>
      <c r="T122" s="316"/>
      <c r="U122" s="316"/>
      <c r="V122" s="316"/>
      <c r="W122" s="316"/>
      <c r="X122" s="316"/>
      <c r="Y122" s="316"/>
      <c r="Z122" s="316"/>
      <c r="AA122" s="316"/>
      <c r="AB122" s="316"/>
      <c r="AC122" s="316"/>
      <c r="AD122" s="316"/>
      <c r="AE122" s="316"/>
      <c r="AF122" s="316"/>
      <c r="AG122" s="316"/>
      <c r="AH122" s="316"/>
      <c r="AI122" s="316"/>
      <c r="AJ122" s="316"/>
      <c r="AK122" s="316"/>
      <c r="AL122" s="316"/>
      <c r="AM122" s="316"/>
      <c r="AN122" s="316"/>
      <c r="AO122" s="316"/>
      <c r="AP122" s="316"/>
      <c r="AQ122" s="316"/>
      <c r="AR122" s="316"/>
      <c r="AS122" s="316"/>
      <c r="AT122" s="316"/>
      <c r="AU122" s="316"/>
      <c r="AV122" s="316"/>
      <c r="AW122" s="316"/>
      <c r="AX122" s="316"/>
      <c r="AY122" s="316"/>
      <c r="AZ122" s="316"/>
      <c r="BA122" s="316"/>
      <c r="BB122" s="316"/>
      <c r="BC122" s="316"/>
      <c r="BD122" s="316"/>
      <c r="BE122" s="316"/>
      <c r="BF122" s="316"/>
      <c r="BG122" s="316"/>
      <c r="BH122" s="316"/>
      <c r="BI122" s="316"/>
      <c r="BJ122" s="316"/>
      <c r="BK122" s="316"/>
      <c r="BL122" s="316"/>
      <c r="BM122" s="316"/>
      <c r="BN122" s="316"/>
      <c r="BO122" s="316"/>
      <c r="BP122" s="316"/>
      <c r="BQ122" s="316"/>
      <c r="BR122" s="316"/>
      <c r="BS122" s="316">
        <v>71.930000000000007</v>
      </c>
      <c r="BT122" s="316">
        <v>77.032900000000012</v>
      </c>
      <c r="BU122" s="316">
        <v>81.699299999999994</v>
      </c>
      <c r="BV122" s="316">
        <v>76.647199999999998</v>
      </c>
      <c r="BW122" s="316">
        <v>81.770090792999994</v>
      </c>
      <c r="BX122" s="316">
        <v>91.863094524000005</v>
      </c>
      <c r="BY122" s="316">
        <v>104.059472746</v>
      </c>
      <c r="BZ122" s="316">
        <v>105.611020371</v>
      </c>
      <c r="CA122" s="316">
        <v>119.070881222</v>
      </c>
      <c r="CB122" s="316">
        <v>122.91240000000002</v>
      </c>
      <c r="CC122" s="316">
        <v>124.80240000000001</v>
      </c>
      <c r="CD122" s="316">
        <v>146.12860000000003</v>
      </c>
      <c r="CE122" s="317">
        <v>143.49610000000001</v>
      </c>
      <c r="CF122" s="316">
        <v>146.39500000000001</v>
      </c>
      <c r="CG122" s="316">
        <v>146.19999999999999</v>
      </c>
      <c r="CH122" s="316">
        <v>145.994</v>
      </c>
      <c r="CI122" s="316">
        <v>156.50399999999999</v>
      </c>
      <c r="CJ122" s="316">
        <v>156.50399999999999</v>
      </c>
      <c r="CK122" s="316">
        <v>156.50400000000002</v>
      </c>
      <c r="CL122" s="316">
        <v>156.50399999999999</v>
      </c>
      <c r="CM122" s="316">
        <v>156.45400000000001</v>
      </c>
      <c r="CN122" s="316">
        <v>156.45400000000001</v>
      </c>
      <c r="CO122" s="316">
        <v>156.51499999999999</v>
      </c>
      <c r="CP122" s="318">
        <v>156.495</v>
      </c>
      <c r="CQ122" s="316">
        <v>156.4845</v>
      </c>
      <c r="CR122" s="316">
        <v>158.46550000000002</v>
      </c>
      <c r="CS122" s="316">
        <v>163.48649999999998</v>
      </c>
      <c r="CT122" s="316">
        <v>163.7225</v>
      </c>
      <c r="CU122" s="316">
        <v>163.9145</v>
      </c>
      <c r="CV122" s="316">
        <v>163.92140000000001</v>
      </c>
      <c r="CW122" s="316">
        <v>163.9349</v>
      </c>
      <c r="CX122" s="316">
        <v>163.95000000000002</v>
      </c>
      <c r="CY122" s="316">
        <v>164</v>
      </c>
      <c r="CZ122" s="316">
        <v>168</v>
      </c>
      <c r="DA122" s="316">
        <v>196.75</v>
      </c>
      <c r="DB122" s="1498">
        <v>212.5</v>
      </c>
      <c r="DC122" s="316">
        <v>217.39999999999998</v>
      </c>
      <c r="DD122" s="316">
        <v>217.39999999999998</v>
      </c>
      <c r="DE122" s="316">
        <v>207.15100000000001</v>
      </c>
      <c r="DF122" s="316">
        <v>214.053</v>
      </c>
      <c r="DG122" s="316">
        <v>217.387</v>
      </c>
      <c r="DH122" s="316">
        <v>222.5412</v>
      </c>
      <c r="DI122" s="316">
        <v>225.10170000000002</v>
      </c>
      <c r="DJ122" s="316">
        <v>225.60940000000002</v>
      </c>
      <c r="DK122" s="316">
        <v>237.10840000000002</v>
      </c>
      <c r="DL122" s="316">
        <v>218.50840000000002</v>
      </c>
      <c r="DM122" s="316">
        <v>232.26870000000002</v>
      </c>
      <c r="DN122" s="318">
        <v>252.6687</v>
      </c>
      <c r="DO122" s="316">
        <v>252.82740875099645</v>
      </c>
      <c r="DP122" s="316">
        <v>249.94540875099645</v>
      </c>
      <c r="DQ122" s="316">
        <v>240.50610875099648</v>
      </c>
      <c r="DR122" s="316">
        <v>238.93840875099647</v>
      </c>
      <c r="DS122" s="316">
        <v>236.70004236599647</v>
      </c>
      <c r="DT122" s="316">
        <v>238.88394236599646</v>
      </c>
      <c r="DU122" s="316">
        <v>238.846</v>
      </c>
      <c r="DV122" s="316">
        <v>246.75280000000001</v>
      </c>
      <c r="DW122" s="316">
        <v>258.73500000000001</v>
      </c>
      <c r="DX122" s="316">
        <v>258.78269999999998</v>
      </c>
      <c r="DY122" s="316">
        <v>263.74869999999999</v>
      </c>
      <c r="DZ122" s="318">
        <v>267.94944392157794</v>
      </c>
      <c r="EA122" s="316">
        <v>283.82994236599694</v>
      </c>
      <c r="EB122" s="316">
        <v>283.83224236599693</v>
      </c>
      <c r="EC122" s="316">
        <v>292.50470000000007</v>
      </c>
      <c r="ED122" s="316">
        <v>302.70250000000016</v>
      </c>
      <c r="EE122" s="316">
        <v>314.44065461200017</v>
      </c>
      <c r="EF122" s="316">
        <v>314.54055461200011</v>
      </c>
      <c r="EG122" s="316">
        <v>303.69139999999999</v>
      </c>
      <c r="EH122" s="316">
        <v>303.69540000000001</v>
      </c>
      <c r="EI122" s="316">
        <v>303.76569999999998</v>
      </c>
      <c r="EJ122" s="316">
        <v>303.73869999999999</v>
      </c>
      <c r="EK122" s="316">
        <v>322.03319999999997</v>
      </c>
      <c r="EL122" s="318">
        <v>323.0677</v>
      </c>
      <c r="EM122" s="1206">
        <v>323.05160000000001</v>
      </c>
      <c r="EN122" s="1206">
        <v>323.04089999999997</v>
      </c>
      <c r="EO122" s="1206">
        <v>323.04089999999997</v>
      </c>
      <c r="EP122" s="1206">
        <v>323.04089999999997</v>
      </c>
      <c r="EQ122" s="1206">
        <v>323.04089999999997</v>
      </c>
      <c r="ER122" s="1206">
        <v>323.04089999999997</v>
      </c>
      <c r="ES122" s="1206">
        <v>323.04089999999997</v>
      </c>
      <c r="ET122" s="1206">
        <v>323.04089999999997</v>
      </c>
      <c r="EU122" s="1206">
        <v>323.04089999999997</v>
      </c>
      <c r="EV122" s="1206">
        <v>376.27280000000002</v>
      </c>
      <c r="EW122" s="1206">
        <v>388.28379999999999</v>
      </c>
      <c r="EX122" s="1550">
        <v>424.27859999999998</v>
      </c>
      <c r="EY122" s="1206"/>
      <c r="EZ122" s="1206"/>
      <c r="FA122" s="1206"/>
      <c r="FB122" s="1206"/>
      <c r="FC122" s="1206"/>
      <c r="FD122" s="1206"/>
      <c r="FE122" s="1206"/>
      <c r="FF122" s="1206"/>
      <c r="FG122" s="1206"/>
      <c r="FH122" s="1206"/>
      <c r="FI122" s="1206"/>
      <c r="FJ122" s="1550"/>
      <c r="FK122" s="1206"/>
      <c r="FL122" s="1206"/>
      <c r="FM122" s="1206"/>
      <c r="FN122" s="1206"/>
      <c r="FO122" s="1206"/>
      <c r="FP122" s="1206"/>
      <c r="FQ122" s="316"/>
      <c r="FR122" s="316"/>
      <c r="FS122" s="316"/>
      <c r="FT122" s="316"/>
      <c r="FU122" s="316"/>
      <c r="FV122" s="316"/>
      <c r="FW122" s="316"/>
      <c r="FX122" s="316"/>
      <c r="FY122" s="316"/>
      <c r="FZ122" s="316"/>
      <c r="GA122" s="316"/>
      <c r="GB122" s="316"/>
      <c r="GC122" s="316"/>
      <c r="GD122" s="316"/>
      <c r="GE122" s="316"/>
      <c r="GF122" s="316"/>
      <c r="GG122" s="316"/>
      <c r="GH122" s="316"/>
      <c r="GI122" s="316"/>
      <c r="GJ122" s="316"/>
      <c r="GK122" s="316"/>
      <c r="GL122" s="316"/>
      <c r="GM122" s="316"/>
      <c r="GN122" s="316"/>
      <c r="GO122" s="316"/>
      <c r="GP122" s="316"/>
      <c r="GQ122" s="316"/>
      <c r="GR122" s="316"/>
      <c r="GS122" s="316"/>
      <c r="GT122" s="316"/>
      <c r="GU122" s="316"/>
      <c r="GV122" s="316"/>
      <c r="GW122" s="316"/>
      <c r="GX122" s="316"/>
      <c r="GY122" s="316"/>
      <c r="GZ122" s="316"/>
      <c r="HA122" s="316"/>
      <c r="HB122" s="316"/>
      <c r="HC122" s="316"/>
      <c r="HD122" s="316"/>
      <c r="HE122" s="316"/>
      <c r="HF122" s="316"/>
      <c r="HG122" s="316"/>
      <c r="HH122" s="316"/>
      <c r="HI122" s="316"/>
      <c r="HJ122" s="316"/>
      <c r="HK122" s="316"/>
      <c r="HL122" s="316"/>
      <c r="HM122" s="316"/>
      <c r="HV122" s="302">
        <f t="shared" ref="HV122:HV127" si="21">+SUM(DC122:DH122)</f>
        <v>1295.9322000000002</v>
      </c>
      <c r="HW122" s="302">
        <f t="shared" ref="HW122:HW127" si="22">+SUM(DI122:DN122)</f>
        <v>1391.2653</v>
      </c>
      <c r="HX122" s="302">
        <f t="shared" ref="HX122:HX127" si="23">+HV122+HW122</f>
        <v>2687.1975000000002</v>
      </c>
      <c r="HY122" s="302">
        <f t="shared" ref="HY122:HY127" si="24">SUM(DO122:DT122)</f>
        <v>1457.8013197359787</v>
      </c>
      <c r="KH122" s="303"/>
    </row>
    <row r="123" spans="1:294" outlineLevel="1">
      <c r="B123" s="117" t="s">
        <v>361</v>
      </c>
      <c r="D123" s="323" t="s">
        <v>408</v>
      </c>
      <c r="E123" s="316"/>
      <c r="F123" s="316"/>
      <c r="G123" s="316"/>
      <c r="H123" s="316"/>
      <c r="I123" s="316"/>
      <c r="J123" s="316"/>
      <c r="K123" s="316"/>
      <c r="L123" s="316"/>
      <c r="M123" s="316"/>
      <c r="N123" s="316"/>
      <c r="O123" s="316"/>
      <c r="P123" s="316"/>
      <c r="Q123" s="316"/>
      <c r="R123" s="316"/>
      <c r="S123" s="316"/>
      <c r="T123" s="316"/>
      <c r="U123" s="316"/>
      <c r="V123" s="316"/>
      <c r="W123" s="316"/>
      <c r="X123" s="316"/>
      <c r="Y123" s="316"/>
      <c r="Z123" s="316"/>
      <c r="AA123" s="316"/>
      <c r="AB123" s="316"/>
      <c r="AC123" s="316"/>
      <c r="AD123" s="316"/>
      <c r="AE123" s="316"/>
      <c r="AF123" s="316"/>
      <c r="AG123" s="316"/>
      <c r="AH123" s="316"/>
      <c r="AI123" s="316"/>
      <c r="AJ123" s="316"/>
      <c r="AK123" s="316"/>
      <c r="AL123" s="316"/>
      <c r="AM123" s="316"/>
      <c r="AN123" s="316"/>
      <c r="AO123" s="316"/>
      <c r="AP123" s="316"/>
      <c r="AQ123" s="316"/>
      <c r="AR123" s="316"/>
      <c r="AS123" s="316"/>
      <c r="AT123" s="316"/>
      <c r="AU123" s="316"/>
      <c r="AV123" s="316"/>
      <c r="AW123" s="316"/>
      <c r="AX123" s="316"/>
      <c r="AY123" s="316"/>
      <c r="AZ123" s="316"/>
      <c r="BA123" s="316"/>
      <c r="BB123" s="316"/>
      <c r="BC123" s="316"/>
      <c r="BD123" s="316"/>
      <c r="BE123" s="316"/>
      <c r="BF123" s="316"/>
      <c r="BG123" s="316"/>
      <c r="BH123" s="316"/>
      <c r="BI123" s="316"/>
      <c r="BJ123" s="316"/>
      <c r="BK123" s="316"/>
      <c r="BL123" s="316"/>
      <c r="BM123" s="316"/>
      <c r="BN123" s="316"/>
      <c r="BO123" s="316"/>
      <c r="BP123" s="316"/>
      <c r="BQ123" s="316"/>
      <c r="BR123" s="316"/>
      <c r="BS123" s="316">
        <v>71.705600000000004</v>
      </c>
      <c r="BT123" s="316">
        <v>64.372600000000006</v>
      </c>
      <c r="BU123" s="316">
        <v>62.764699999999998</v>
      </c>
      <c r="BV123" s="316">
        <v>56.813700000000004</v>
      </c>
      <c r="BW123" s="316"/>
      <c r="BX123" s="316"/>
      <c r="BY123" s="316"/>
      <c r="BZ123" s="316"/>
      <c r="CA123" s="316"/>
      <c r="CB123" s="316">
        <v>83.130700000000019</v>
      </c>
      <c r="CC123" s="316">
        <v>74.181200000000018</v>
      </c>
      <c r="CD123" s="316">
        <v>103.0291</v>
      </c>
      <c r="CE123" s="317">
        <v>108.0241</v>
      </c>
      <c r="CF123" s="316">
        <v>122.099</v>
      </c>
      <c r="CG123" s="316">
        <v>115.73219999999999</v>
      </c>
      <c r="CH123" s="316">
        <v>127.729</v>
      </c>
      <c r="CI123" s="316">
        <v>141.9743</v>
      </c>
      <c r="CJ123" s="316">
        <v>145.6336</v>
      </c>
      <c r="CK123" s="316">
        <v>144.55020000000002</v>
      </c>
      <c r="CL123" s="316">
        <v>143.93779999999998</v>
      </c>
      <c r="CM123" s="316">
        <v>147.45140000000001</v>
      </c>
      <c r="CN123" s="316">
        <v>147.45140000000001</v>
      </c>
      <c r="CO123" s="316">
        <v>147.27799999999999</v>
      </c>
      <c r="CP123" s="318">
        <v>145.9434</v>
      </c>
      <c r="CQ123" s="316">
        <v>145.2535</v>
      </c>
      <c r="CR123" s="316">
        <v>148.07560000000001</v>
      </c>
      <c r="CS123" s="316">
        <v>154.37549999999999</v>
      </c>
      <c r="CT123" s="316">
        <v>150.33240000000001</v>
      </c>
      <c r="CU123" s="316">
        <v>151.09739999999999</v>
      </c>
      <c r="CV123" s="316">
        <v>152.07040000000001</v>
      </c>
      <c r="CW123" s="316">
        <v>154.0429</v>
      </c>
      <c r="CX123" s="316">
        <v>154.13900000000001</v>
      </c>
      <c r="CY123" s="316">
        <v>154.166</v>
      </c>
      <c r="CZ123" s="316">
        <v>158.166</v>
      </c>
      <c r="DA123" s="316">
        <v>187.01150000000001</v>
      </c>
      <c r="DB123" s="1498">
        <v>203.46350000000001</v>
      </c>
      <c r="DC123" s="316">
        <v>211.87899999999999</v>
      </c>
      <c r="DD123" s="316">
        <v>213.92599999999999</v>
      </c>
      <c r="DE123" s="316">
        <v>204.45750000000001</v>
      </c>
      <c r="DF123" s="316">
        <v>211.5085</v>
      </c>
      <c r="DG123" s="316">
        <v>209.95079999999999</v>
      </c>
      <c r="DH123" s="316">
        <v>210.6105</v>
      </c>
      <c r="DI123" s="316">
        <v>206.94300000000001</v>
      </c>
      <c r="DJ123" s="316">
        <v>207.93720000000002</v>
      </c>
      <c r="DK123" s="316">
        <v>219.15620000000001</v>
      </c>
      <c r="DL123" s="316">
        <v>188.27770000000001</v>
      </c>
      <c r="DM123" s="316">
        <v>200.47470000000001</v>
      </c>
      <c r="DN123" s="318">
        <v>214.0017</v>
      </c>
      <c r="DO123" s="316">
        <v>210.49869844441855</v>
      </c>
      <c r="DP123" s="316">
        <v>197.03189844441854</v>
      </c>
      <c r="DQ123" s="316">
        <v>180.33169844441855</v>
      </c>
      <c r="DR123" s="316">
        <v>170.82229844441855</v>
      </c>
      <c r="DS123" s="316">
        <v>170.59499844441854</v>
      </c>
      <c r="DT123" s="316">
        <v>177.74169844441855</v>
      </c>
      <c r="DU123" s="316">
        <v>170.1995</v>
      </c>
      <c r="DV123" s="316">
        <v>172.10120000000001</v>
      </c>
      <c r="DW123" s="316">
        <v>187.2927</v>
      </c>
      <c r="DX123" s="316">
        <v>185.26570000000001</v>
      </c>
      <c r="DY123" s="316">
        <v>192.29580000000001</v>
      </c>
      <c r="DZ123" s="318">
        <v>207.91630000000001</v>
      </c>
      <c r="EA123" s="316">
        <v>236.62459844441901</v>
      </c>
      <c r="EB123" s="316">
        <v>240.69739844441901</v>
      </c>
      <c r="EC123" s="316">
        <v>253.9777</v>
      </c>
      <c r="ED123" s="316">
        <v>267.68120000000005</v>
      </c>
      <c r="EE123" s="316">
        <v>283.99295461200006</v>
      </c>
      <c r="EF123" s="316">
        <v>280.25325461200003</v>
      </c>
      <c r="EG123" s="316">
        <v>249.76879999999997</v>
      </c>
      <c r="EH123" s="316">
        <v>255.13290000000001</v>
      </c>
      <c r="EI123" s="316">
        <v>254.6738</v>
      </c>
      <c r="EJ123" s="316">
        <v>233.02860000000001</v>
      </c>
      <c r="EK123" s="316">
        <v>259.1318</v>
      </c>
      <c r="EL123" s="318">
        <v>249.52600000000001</v>
      </c>
      <c r="EM123" s="1206">
        <v>247.8306</v>
      </c>
      <c r="EN123" s="1206">
        <v>259.45679999999999</v>
      </c>
      <c r="EO123" s="1206">
        <v>256.83210000000003</v>
      </c>
      <c r="EP123" s="1206">
        <v>239.4751</v>
      </c>
      <c r="EQ123" s="1206">
        <v>242.1165</v>
      </c>
      <c r="ER123" s="1206">
        <v>232.11940000000001</v>
      </c>
      <c r="ES123" s="1206">
        <v>226.3536</v>
      </c>
      <c r="ET123" s="1206">
        <v>235.21889999999999</v>
      </c>
      <c r="EU123" s="1206">
        <v>246.95580000000001</v>
      </c>
      <c r="EV123" s="1206">
        <v>275.25650000000002</v>
      </c>
      <c r="EW123" s="1206">
        <v>272.30399999999997</v>
      </c>
      <c r="EX123" s="1550">
        <v>296.9461</v>
      </c>
      <c r="EY123" s="1206"/>
      <c r="EZ123" s="1206"/>
      <c r="FA123" s="1206"/>
      <c r="FB123" s="1206"/>
      <c r="FC123" s="1206"/>
      <c r="FD123" s="1206"/>
      <c r="FE123" s="1206"/>
      <c r="FF123" s="1206"/>
      <c r="FG123" s="1206"/>
      <c r="FH123" s="1206"/>
      <c r="FI123" s="1206"/>
      <c r="FJ123" s="1550"/>
      <c r="FK123" s="1206"/>
      <c r="FL123" s="1206"/>
      <c r="FM123" s="1206"/>
      <c r="FN123" s="1206"/>
      <c r="FO123" s="1206"/>
      <c r="FP123" s="1206"/>
      <c r="FQ123" s="316"/>
      <c r="FR123" s="316"/>
      <c r="FS123" s="316"/>
      <c r="FT123" s="316"/>
      <c r="FU123" s="316"/>
      <c r="FV123" s="316"/>
      <c r="FW123" s="316"/>
      <c r="FX123" s="316"/>
      <c r="FY123" s="316"/>
      <c r="FZ123" s="316"/>
      <c r="GA123" s="316"/>
      <c r="GB123" s="316"/>
      <c r="GC123" s="316"/>
      <c r="GD123" s="316"/>
      <c r="GE123" s="316"/>
      <c r="GF123" s="316"/>
      <c r="GG123" s="316"/>
      <c r="GH123" s="316"/>
      <c r="GI123" s="316"/>
      <c r="GJ123" s="316"/>
      <c r="GK123" s="316"/>
      <c r="GL123" s="316"/>
      <c r="GM123" s="316"/>
      <c r="GN123" s="316"/>
      <c r="GO123" s="316"/>
      <c r="GP123" s="316"/>
      <c r="GQ123" s="316"/>
      <c r="GR123" s="316"/>
      <c r="GS123" s="316"/>
      <c r="GT123" s="316"/>
      <c r="GU123" s="316"/>
      <c r="GV123" s="316"/>
      <c r="GW123" s="316"/>
      <c r="GX123" s="316"/>
      <c r="GY123" s="316"/>
      <c r="GZ123" s="316"/>
      <c r="HA123" s="316"/>
      <c r="HB123" s="316"/>
      <c r="HC123" s="316"/>
      <c r="HD123" s="316"/>
      <c r="HE123" s="316"/>
      <c r="HF123" s="316"/>
      <c r="HG123" s="316"/>
      <c r="HH123" s="316"/>
      <c r="HI123" s="316"/>
      <c r="HJ123" s="316"/>
      <c r="HK123" s="316"/>
      <c r="HL123" s="316"/>
      <c r="HM123" s="316"/>
      <c r="HV123" s="302">
        <f t="shared" si="21"/>
        <v>1262.3323</v>
      </c>
      <c r="HW123" s="302">
        <f t="shared" si="22"/>
        <v>1236.7905000000001</v>
      </c>
      <c r="HX123" s="302">
        <f t="shared" si="23"/>
        <v>2499.1228000000001</v>
      </c>
      <c r="HY123" s="302">
        <f t="shared" si="24"/>
        <v>1107.021290666511</v>
      </c>
      <c r="KH123" s="303"/>
    </row>
    <row r="124" spans="1:294" outlineLevel="1">
      <c r="B124" s="117" t="s">
        <v>361</v>
      </c>
      <c r="D124" s="323" t="s">
        <v>409</v>
      </c>
      <c r="E124" s="316"/>
      <c r="F124" s="316"/>
      <c r="G124" s="316"/>
      <c r="H124" s="316"/>
      <c r="I124" s="316"/>
      <c r="J124" s="316"/>
      <c r="K124" s="316"/>
      <c r="L124" s="316"/>
      <c r="M124" s="316"/>
      <c r="N124" s="316"/>
      <c r="O124" s="316"/>
      <c r="P124" s="316"/>
      <c r="Q124" s="316"/>
      <c r="R124" s="316"/>
      <c r="S124" s="316"/>
      <c r="T124" s="316"/>
      <c r="U124" s="316"/>
      <c r="V124" s="316"/>
      <c r="W124" s="316"/>
      <c r="X124" s="316"/>
      <c r="Y124" s="316"/>
      <c r="Z124" s="316"/>
      <c r="AA124" s="316"/>
      <c r="AB124" s="316"/>
      <c r="AC124" s="316"/>
      <c r="AD124" s="316"/>
      <c r="AE124" s="316"/>
      <c r="AF124" s="316"/>
      <c r="AG124" s="316"/>
      <c r="AH124" s="316"/>
      <c r="AI124" s="316"/>
      <c r="AJ124" s="316"/>
      <c r="AK124" s="316"/>
      <c r="AL124" s="316"/>
      <c r="AM124" s="316"/>
      <c r="AN124" s="316"/>
      <c r="AO124" s="316"/>
      <c r="AP124" s="316"/>
      <c r="AQ124" s="316"/>
      <c r="AR124" s="316"/>
      <c r="AS124" s="316"/>
      <c r="AT124" s="316"/>
      <c r="AU124" s="316"/>
      <c r="AV124" s="316"/>
      <c r="AW124" s="316"/>
      <c r="AX124" s="316"/>
      <c r="AY124" s="316"/>
      <c r="AZ124" s="316"/>
      <c r="BA124" s="316"/>
      <c r="BB124" s="316"/>
      <c r="BC124" s="316"/>
      <c r="BD124" s="316"/>
      <c r="BE124" s="316"/>
      <c r="BF124" s="316"/>
      <c r="BG124" s="316"/>
      <c r="BH124" s="316"/>
      <c r="BI124" s="316"/>
      <c r="BJ124" s="316"/>
      <c r="BK124" s="316"/>
      <c r="BL124" s="316"/>
      <c r="BM124" s="316"/>
      <c r="BN124" s="316"/>
      <c r="BO124" s="316"/>
      <c r="BP124" s="316"/>
      <c r="BQ124" s="316"/>
      <c r="BR124" s="316"/>
      <c r="BS124" s="316">
        <v>0.22440000000000002</v>
      </c>
      <c r="BT124" s="316">
        <v>12.660300000000001</v>
      </c>
      <c r="BU124" s="316">
        <v>18.9346</v>
      </c>
      <c r="BV124" s="316">
        <v>19.833499999999997</v>
      </c>
      <c r="BW124" s="316"/>
      <c r="BX124" s="316"/>
      <c r="BY124" s="316"/>
      <c r="BZ124" s="316"/>
      <c r="CA124" s="316"/>
      <c r="CB124" s="316">
        <v>39.781699999999994</v>
      </c>
      <c r="CC124" s="316">
        <v>50.621199999999988</v>
      </c>
      <c r="CD124" s="316">
        <v>43.099500000000027</v>
      </c>
      <c r="CE124" s="317">
        <v>35.472000000000001</v>
      </c>
      <c r="CF124" s="316">
        <v>24.295999999999999</v>
      </c>
      <c r="CG124" s="316">
        <v>30.4678</v>
      </c>
      <c r="CH124" s="316">
        <v>18.265000000000001</v>
      </c>
      <c r="CI124" s="316">
        <v>14.529699999999998</v>
      </c>
      <c r="CJ124" s="316">
        <v>10.8704</v>
      </c>
      <c r="CK124" s="316">
        <v>11.953799999999999</v>
      </c>
      <c r="CL124" s="316">
        <v>12.5662</v>
      </c>
      <c r="CM124" s="316">
        <v>9.002600000000001</v>
      </c>
      <c r="CN124" s="316">
        <v>9.002600000000001</v>
      </c>
      <c r="CO124" s="316">
        <v>9.2370000000000001</v>
      </c>
      <c r="CP124" s="318">
        <v>10.551600000000001</v>
      </c>
      <c r="CQ124" s="316">
        <v>11.231</v>
      </c>
      <c r="CR124" s="316">
        <v>10.389900000000001</v>
      </c>
      <c r="CS124" s="316">
        <v>9.1110000000000007</v>
      </c>
      <c r="CT124" s="316">
        <v>13.3901</v>
      </c>
      <c r="CU124" s="316">
        <v>12.8171</v>
      </c>
      <c r="CV124" s="316">
        <v>11.851000000000001</v>
      </c>
      <c r="CW124" s="316">
        <v>9.8919999999999995</v>
      </c>
      <c r="CX124" s="316">
        <v>9.8109999999999999</v>
      </c>
      <c r="CY124" s="316">
        <v>9.8339999999999996</v>
      </c>
      <c r="CZ124" s="316">
        <v>9.8339999999999996</v>
      </c>
      <c r="DA124" s="316">
        <v>9.7385000000000002</v>
      </c>
      <c r="DB124" s="1498">
        <v>9.0365000000000002</v>
      </c>
      <c r="DC124" s="316">
        <v>5.5209999999999999</v>
      </c>
      <c r="DD124" s="316">
        <v>3.4740000000000002</v>
      </c>
      <c r="DE124" s="316">
        <v>2.6934999999999998</v>
      </c>
      <c r="DF124" s="316">
        <v>2.5445000000000002</v>
      </c>
      <c r="DG124" s="316">
        <v>7.4361999999999995</v>
      </c>
      <c r="DH124" s="316">
        <v>11.9307</v>
      </c>
      <c r="DI124" s="316">
        <v>18.1587</v>
      </c>
      <c r="DJ124" s="316">
        <v>17.6722</v>
      </c>
      <c r="DK124" s="316">
        <v>17.952200000000001</v>
      </c>
      <c r="DL124" s="316">
        <v>30.230700000000002</v>
      </c>
      <c r="DM124" s="316">
        <v>31.794</v>
      </c>
      <c r="DN124" s="318">
        <v>38.667000000000002</v>
      </c>
      <c r="DO124" s="316">
        <v>42.328710306577911</v>
      </c>
      <c r="DP124" s="316">
        <v>52.913510306577912</v>
      </c>
      <c r="DQ124" s="316">
        <v>60.174410306577919</v>
      </c>
      <c r="DR124" s="316">
        <v>68.116110306577923</v>
      </c>
      <c r="DS124" s="316">
        <v>66.105043921577916</v>
      </c>
      <c r="DT124" s="316">
        <v>61.142243921577922</v>
      </c>
      <c r="DU124" s="316">
        <v>68.646500000000003</v>
      </c>
      <c r="DV124" s="316">
        <v>74.651600000000002</v>
      </c>
      <c r="DW124" s="316">
        <v>71.442300000000003</v>
      </c>
      <c r="DX124" s="316">
        <v>73.516999999999996</v>
      </c>
      <c r="DY124" s="316">
        <v>71.4529</v>
      </c>
      <c r="DZ124" s="318">
        <v>60.033143921577924</v>
      </c>
      <c r="EA124" s="316">
        <v>47.205343921577928</v>
      </c>
      <c r="EB124" s="316">
        <v>43.134843921577925</v>
      </c>
      <c r="EC124" s="316">
        <v>38.5270000000001</v>
      </c>
      <c r="ED124" s="316">
        <v>35.021300000000096</v>
      </c>
      <c r="EE124" s="316">
        <v>30.447700000000097</v>
      </c>
      <c r="EF124" s="316">
        <v>34.287300000000094</v>
      </c>
      <c r="EG124" s="316">
        <v>53.922599999999996</v>
      </c>
      <c r="EH124" s="316">
        <v>48.5625</v>
      </c>
      <c r="EI124" s="316">
        <v>49.091899999999995</v>
      </c>
      <c r="EJ124" s="316">
        <v>70.710100000000011</v>
      </c>
      <c r="EK124" s="316">
        <v>62.901399999999995</v>
      </c>
      <c r="EL124" s="318">
        <v>73.541700000000006</v>
      </c>
      <c r="EM124" s="1206">
        <v>75.221000000000004</v>
      </c>
      <c r="EN124" s="1206">
        <v>63.584099999999999</v>
      </c>
      <c r="EO124" s="1206">
        <v>66.208799999999982</v>
      </c>
      <c r="EP124" s="1206">
        <v>83.585999999999999</v>
      </c>
      <c r="EQ124" s="1206">
        <v>91.070400000000006</v>
      </c>
      <c r="ER124" s="1206">
        <v>111.1058</v>
      </c>
      <c r="ES124" s="1206">
        <v>103.32210000000001</v>
      </c>
      <c r="ET124" s="1206">
        <v>113.02249999999999</v>
      </c>
      <c r="EU124" s="1206">
        <v>104.31699999999999</v>
      </c>
      <c r="EV124" s="1206">
        <v>101.0163</v>
      </c>
      <c r="EW124" s="1206">
        <v>115.9798</v>
      </c>
      <c r="EX124" s="1550">
        <v>127.3325</v>
      </c>
      <c r="EY124" s="1206"/>
      <c r="EZ124" s="1206"/>
      <c r="FA124" s="1206"/>
      <c r="FB124" s="1206"/>
      <c r="FC124" s="1206"/>
      <c r="FD124" s="1206"/>
      <c r="FE124" s="1206"/>
      <c r="FF124" s="1206"/>
      <c r="FG124" s="1206"/>
      <c r="FH124" s="1206"/>
      <c r="FI124" s="1206"/>
      <c r="FJ124" s="1550"/>
      <c r="FK124" s="1206"/>
      <c r="FL124" s="1206"/>
      <c r="FM124" s="1206"/>
      <c r="FN124" s="1206"/>
      <c r="FO124" s="1206"/>
      <c r="FP124" s="1206"/>
      <c r="FQ124" s="316"/>
      <c r="FR124" s="316"/>
      <c r="FS124" s="316"/>
      <c r="FT124" s="316"/>
      <c r="FU124" s="316"/>
      <c r="FV124" s="316"/>
      <c r="FW124" s="316"/>
      <c r="FX124" s="316"/>
      <c r="FY124" s="316"/>
      <c r="FZ124" s="316"/>
      <c r="GA124" s="316"/>
      <c r="GB124" s="316"/>
      <c r="GC124" s="316"/>
      <c r="GD124" s="316"/>
      <c r="GE124" s="316"/>
      <c r="GF124" s="316"/>
      <c r="GG124" s="316"/>
      <c r="GH124" s="316"/>
      <c r="GI124" s="316"/>
      <c r="GJ124" s="316"/>
      <c r="GK124" s="316"/>
      <c r="GL124" s="316"/>
      <c r="GM124" s="316"/>
      <c r="GN124" s="316"/>
      <c r="GO124" s="316"/>
      <c r="GP124" s="316"/>
      <c r="GQ124" s="316"/>
      <c r="GR124" s="316"/>
      <c r="GS124" s="316"/>
      <c r="GT124" s="316"/>
      <c r="GU124" s="316"/>
      <c r="GV124" s="316"/>
      <c r="GW124" s="316"/>
      <c r="GX124" s="316"/>
      <c r="GY124" s="316"/>
      <c r="GZ124" s="316"/>
      <c r="HA124" s="316"/>
      <c r="HB124" s="316"/>
      <c r="HC124" s="316"/>
      <c r="HD124" s="316"/>
      <c r="HE124" s="316"/>
      <c r="HF124" s="316"/>
      <c r="HG124" s="316"/>
      <c r="HH124" s="316"/>
      <c r="HI124" s="316"/>
      <c r="HJ124" s="316"/>
      <c r="HK124" s="316"/>
      <c r="HL124" s="316"/>
      <c r="HM124" s="316"/>
      <c r="HV124" s="302">
        <f t="shared" si="21"/>
        <v>33.599899999999998</v>
      </c>
      <c r="HW124" s="302">
        <f t="shared" si="22"/>
        <v>154.47480000000002</v>
      </c>
      <c r="HX124" s="302">
        <f t="shared" si="23"/>
        <v>188.07470000000001</v>
      </c>
      <c r="HY124" s="302">
        <f t="shared" si="24"/>
        <v>350.7800290694675</v>
      </c>
      <c r="KH124" s="303"/>
    </row>
    <row r="125" spans="1:294" outlineLevel="1">
      <c r="B125" s="117" t="s">
        <v>361</v>
      </c>
      <c r="D125" s="319" t="s">
        <v>410</v>
      </c>
      <c r="E125" s="316"/>
      <c r="F125" s="316"/>
      <c r="G125" s="316"/>
      <c r="H125" s="316"/>
      <c r="I125" s="316"/>
      <c r="J125" s="316"/>
      <c r="K125" s="316"/>
      <c r="L125" s="316"/>
      <c r="M125" s="316"/>
      <c r="N125" s="316"/>
      <c r="O125" s="316"/>
      <c r="P125" s="316"/>
      <c r="Q125" s="316"/>
      <c r="R125" s="316"/>
      <c r="S125" s="316"/>
      <c r="T125" s="316"/>
      <c r="U125" s="316"/>
      <c r="V125" s="316"/>
      <c r="W125" s="316"/>
      <c r="X125" s="316"/>
      <c r="Y125" s="316"/>
      <c r="Z125" s="316"/>
      <c r="AA125" s="316"/>
      <c r="AB125" s="316"/>
      <c r="AC125" s="316"/>
      <c r="AD125" s="316"/>
      <c r="AE125" s="316"/>
      <c r="AF125" s="316"/>
      <c r="AG125" s="316"/>
      <c r="AH125" s="316"/>
      <c r="AI125" s="316"/>
      <c r="AJ125" s="316"/>
      <c r="AK125" s="316"/>
      <c r="AL125" s="316"/>
      <c r="AM125" s="316"/>
      <c r="AN125" s="316"/>
      <c r="AO125" s="316"/>
      <c r="AP125" s="316"/>
      <c r="AQ125" s="316"/>
      <c r="AR125" s="316"/>
      <c r="AS125" s="316"/>
      <c r="AT125" s="316"/>
      <c r="AU125" s="316"/>
      <c r="AV125" s="316"/>
      <c r="AW125" s="316"/>
      <c r="AX125" s="316"/>
      <c r="AY125" s="316"/>
      <c r="AZ125" s="316"/>
      <c r="BA125" s="316"/>
      <c r="BB125" s="316"/>
      <c r="BC125" s="316"/>
      <c r="BD125" s="316"/>
      <c r="BE125" s="316"/>
      <c r="BF125" s="316"/>
      <c r="BG125" s="316"/>
      <c r="BH125" s="316"/>
      <c r="BI125" s="316"/>
      <c r="BJ125" s="316"/>
      <c r="BK125" s="316"/>
      <c r="BL125" s="316"/>
      <c r="BM125" s="316"/>
      <c r="BN125" s="316"/>
      <c r="BO125" s="316"/>
      <c r="BP125" s="316"/>
      <c r="BQ125" s="316"/>
      <c r="BR125" s="316"/>
      <c r="BS125" s="316">
        <v>12.500000000000002</v>
      </c>
      <c r="BT125" s="316">
        <v>10</v>
      </c>
      <c r="BU125" s="316">
        <v>10</v>
      </c>
      <c r="BV125" s="316">
        <v>10</v>
      </c>
      <c r="BW125" s="316">
        <v>10</v>
      </c>
      <c r="BX125" s="316">
        <v>10</v>
      </c>
      <c r="BY125" s="316">
        <v>10</v>
      </c>
      <c r="BZ125" s="316">
        <v>10</v>
      </c>
      <c r="CA125" s="316">
        <v>8.5</v>
      </c>
      <c r="CB125" s="316">
        <v>8.5</v>
      </c>
      <c r="CC125" s="316">
        <v>8.5</v>
      </c>
      <c r="CD125" s="316">
        <v>8.5</v>
      </c>
      <c r="CE125" s="317">
        <v>8.5</v>
      </c>
      <c r="CF125" s="316">
        <v>8.5</v>
      </c>
      <c r="CG125" s="316">
        <v>8.5</v>
      </c>
      <c r="CH125" s="316">
        <v>8.5</v>
      </c>
      <c r="CI125" s="316">
        <v>8.5</v>
      </c>
      <c r="CJ125" s="316">
        <v>8.5</v>
      </c>
      <c r="CK125" s="316">
        <v>8.5</v>
      </c>
      <c r="CL125" s="316">
        <v>18.5</v>
      </c>
      <c r="CM125" s="316">
        <v>18.5</v>
      </c>
      <c r="CN125" s="316">
        <v>18.5</v>
      </c>
      <c r="CO125" s="316">
        <v>33.5</v>
      </c>
      <c r="CP125" s="318">
        <v>33.5</v>
      </c>
      <c r="CQ125" s="316">
        <v>33.5</v>
      </c>
      <c r="CR125" s="316">
        <v>48.5</v>
      </c>
      <c r="CS125" s="316">
        <v>48.5</v>
      </c>
      <c r="CT125" s="316">
        <v>48.5</v>
      </c>
      <c r="CU125" s="316">
        <v>63.5</v>
      </c>
      <c r="CV125" s="316">
        <v>63.5</v>
      </c>
      <c r="CW125" s="316">
        <v>63.5</v>
      </c>
      <c r="CX125" s="316">
        <v>78.5</v>
      </c>
      <c r="CY125" s="316">
        <v>78.5</v>
      </c>
      <c r="CZ125" s="316">
        <v>78.5</v>
      </c>
      <c r="DA125" s="316">
        <v>88.5</v>
      </c>
      <c r="DB125" s="1498">
        <v>88.5</v>
      </c>
      <c r="DC125" s="316">
        <v>88.5</v>
      </c>
      <c r="DD125" s="316">
        <v>103.5</v>
      </c>
      <c r="DE125" s="316">
        <v>103.5</v>
      </c>
      <c r="DF125" s="316">
        <v>103.5</v>
      </c>
      <c r="DG125" s="316">
        <v>115</v>
      </c>
      <c r="DH125" s="316">
        <v>115</v>
      </c>
      <c r="DI125" s="316">
        <v>115</v>
      </c>
      <c r="DJ125" s="316">
        <v>129.99999999999997</v>
      </c>
      <c r="DK125" s="316">
        <v>129.99999999999997</v>
      </c>
      <c r="DL125" s="316">
        <v>129.99999999999997</v>
      </c>
      <c r="DM125" s="316">
        <v>139.99999999999997</v>
      </c>
      <c r="DN125" s="318">
        <v>139.99999999999997</v>
      </c>
      <c r="DO125" s="316">
        <v>139.99999999999997</v>
      </c>
      <c r="DP125" s="316">
        <v>155</v>
      </c>
      <c r="DQ125" s="316">
        <v>152.5</v>
      </c>
      <c r="DR125" s="316">
        <v>152.5</v>
      </c>
      <c r="DS125" s="316">
        <v>167.5</v>
      </c>
      <c r="DT125" s="316">
        <v>167.5</v>
      </c>
      <c r="DU125" s="316">
        <v>167.5</v>
      </c>
      <c r="DV125" s="316">
        <v>165</v>
      </c>
      <c r="DW125" s="316">
        <v>165</v>
      </c>
      <c r="DX125" s="316">
        <v>165</v>
      </c>
      <c r="DY125" s="316">
        <v>175</v>
      </c>
      <c r="DZ125" s="318">
        <v>175</v>
      </c>
      <c r="EA125" s="316">
        <v>175</v>
      </c>
      <c r="EB125" s="316">
        <v>185</v>
      </c>
      <c r="EC125" s="316">
        <v>185</v>
      </c>
      <c r="ED125" s="316">
        <v>185</v>
      </c>
      <c r="EE125" s="316">
        <v>195</v>
      </c>
      <c r="EF125" s="316">
        <v>195</v>
      </c>
      <c r="EG125" s="316">
        <v>195</v>
      </c>
      <c r="EH125" s="316">
        <v>195</v>
      </c>
      <c r="EI125" s="316">
        <v>195</v>
      </c>
      <c r="EJ125" s="316">
        <v>195</v>
      </c>
      <c r="EK125" s="316">
        <v>205</v>
      </c>
      <c r="EL125" s="318">
        <v>215</v>
      </c>
      <c r="EM125" s="1206">
        <v>215</v>
      </c>
      <c r="EN125" s="1206">
        <v>215</v>
      </c>
      <c r="EO125" s="1206">
        <v>244.99999999999994</v>
      </c>
      <c r="EP125" s="1206">
        <v>244.99999999999994</v>
      </c>
      <c r="EQ125" s="1206">
        <v>245</v>
      </c>
      <c r="ER125" s="1206">
        <v>245</v>
      </c>
      <c r="ES125" s="1206">
        <v>254.99999999999997</v>
      </c>
      <c r="ET125" s="1206">
        <v>270</v>
      </c>
      <c r="EU125" s="1206">
        <v>280</v>
      </c>
      <c r="EV125" s="1206">
        <v>280</v>
      </c>
      <c r="EW125" s="1206">
        <v>285</v>
      </c>
      <c r="EX125" s="1550">
        <v>319.28369999999995</v>
      </c>
      <c r="EY125" s="1206"/>
      <c r="EZ125" s="1206"/>
      <c r="FA125" s="1206"/>
      <c r="FB125" s="1206"/>
      <c r="FC125" s="1206"/>
      <c r="FD125" s="1206"/>
      <c r="FE125" s="1206"/>
      <c r="FF125" s="1206"/>
      <c r="FG125" s="1206"/>
      <c r="FH125" s="1206"/>
      <c r="FI125" s="1206"/>
      <c r="FJ125" s="1550"/>
      <c r="FK125" s="1206"/>
      <c r="FL125" s="1206"/>
      <c r="FM125" s="1206"/>
      <c r="FN125" s="1206"/>
      <c r="FO125" s="1206"/>
      <c r="FP125" s="1206"/>
      <c r="FQ125" s="316"/>
      <c r="FR125" s="316"/>
      <c r="FS125" s="316"/>
      <c r="FT125" s="316"/>
      <c r="FU125" s="316"/>
      <c r="FV125" s="316"/>
      <c r="FW125" s="316"/>
      <c r="FX125" s="316"/>
      <c r="FY125" s="316"/>
      <c r="FZ125" s="316"/>
      <c r="GA125" s="316"/>
      <c r="GB125" s="316"/>
      <c r="GC125" s="316"/>
      <c r="GD125" s="316"/>
      <c r="GE125" s="316"/>
      <c r="GF125" s="316"/>
      <c r="GG125" s="316"/>
      <c r="GH125" s="316"/>
      <c r="GI125" s="316"/>
      <c r="GJ125" s="316"/>
      <c r="GK125" s="316"/>
      <c r="GL125" s="316"/>
      <c r="GM125" s="316"/>
      <c r="GN125" s="316"/>
      <c r="GO125" s="316"/>
      <c r="GP125" s="316"/>
      <c r="GQ125" s="316"/>
      <c r="GR125" s="316"/>
      <c r="GS125" s="316"/>
      <c r="GT125" s="316"/>
      <c r="GU125" s="316"/>
      <c r="GV125" s="316"/>
      <c r="GW125" s="316"/>
      <c r="GX125" s="316"/>
      <c r="GY125" s="316"/>
      <c r="GZ125" s="316"/>
      <c r="HA125" s="316"/>
      <c r="HB125" s="316"/>
      <c r="HC125" s="316"/>
      <c r="HD125" s="316"/>
      <c r="HE125" s="316"/>
      <c r="HF125" s="316"/>
      <c r="HG125" s="316"/>
      <c r="HH125" s="316"/>
      <c r="HI125" s="316"/>
      <c r="HJ125" s="316"/>
      <c r="HK125" s="316"/>
      <c r="HL125" s="316"/>
      <c r="HM125" s="316"/>
      <c r="HV125" s="302">
        <f t="shared" si="21"/>
        <v>629</v>
      </c>
      <c r="HW125" s="302">
        <f t="shared" si="22"/>
        <v>784.99999999999989</v>
      </c>
      <c r="HX125" s="302">
        <f t="shared" si="23"/>
        <v>1414</v>
      </c>
      <c r="HY125" s="302">
        <f t="shared" si="24"/>
        <v>935</v>
      </c>
      <c r="KH125" s="303"/>
    </row>
    <row r="126" spans="1:294" outlineLevel="1">
      <c r="B126" s="117" t="s">
        <v>361</v>
      </c>
      <c r="D126" s="323" t="s">
        <v>408</v>
      </c>
      <c r="E126" s="316"/>
      <c r="F126" s="316"/>
      <c r="G126" s="316"/>
      <c r="H126" s="316"/>
      <c r="I126" s="316"/>
      <c r="J126" s="316"/>
      <c r="K126" s="316"/>
      <c r="L126" s="316"/>
      <c r="M126" s="316"/>
      <c r="N126" s="316"/>
      <c r="O126" s="316"/>
      <c r="P126" s="316"/>
      <c r="Q126" s="316"/>
      <c r="R126" s="316"/>
      <c r="S126" s="316"/>
      <c r="T126" s="316"/>
      <c r="U126" s="316"/>
      <c r="V126" s="316"/>
      <c r="W126" s="316"/>
      <c r="X126" s="316"/>
      <c r="Y126" s="316"/>
      <c r="Z126" s="316"/>
      <c r="AA126" s="316"/>
      <c r="AB126" s="316"/>
      <c r="AC126" s="316"/>
      <c r="AD126" s="316"/>
      <c r="AE126" s="316"/>
      <c r="AF126" s="316"/>
      <c r="AG126" s="316"/>
      <c r="AH126" s="316"/>
      <c r="AI126" s="316"/>
      <c r="AJ126" s="316"/>
      <c r="AK126" s="316"/>
      <c r="AL126" s="316"/>
      <c r="AM126" s="316"/>
      <c r="AN126" s="316"/>
      <c r="AO126" s="316"/>
      <c r="AP126" s="316"/>
      <c r="AQ126" s="316"/>
      <c r="AR126" s="316"/>
      <c r="AS126" s="316"/>
      <c r="AT126" s="316"/>
      <c r="AU126" s="316"/>
      <c r="AV126" s="316"/>
      <c r="AW126" s="316"/>
      <c r="AX126" s="316"/>
      <c r="AY126" s="316"/>
      <c r="AZ126" s="316"/>
      <c r="BA126" s="316"/>
      <c r="BB126" s="316"/>
      <c r="BC126" s="316"/>
      <c r="BD126" s="316"/>
      <c r="BE126" s="316"/>
      <c r="BF126" s="316"/>
      <c r="BG126" s="316"/>
      <c r="BH126" s="316"/>
      <c r="BI126" s="316"/>
      <c r="BJ126" s="316"/>
      <c r="BK126" s="316"/>
      <c r="BL126" s="316"/>
      <c r="BM126" s="316"/>
      <c r="BN126" s="316"/>
      <c r="BO126" s="316"/>
      <c r="BP126" s="316"/>
      <c r="BQ126" s="316"/>
      <c r="BR126" s="316"/>
      <c r="BS126" s="316">
        <v>11.053400000000002</v>
      </c>
      <c r="BT126" s="316">
        <v>8.923</v>
      </c>
      <c r="BU126" s="316">
        <v>8.923</v>
      </c>
      <c r="BV126" s="316">
        <v>8.923</v>
      </c>
      <c r="BW126" s="316"/>
      <c r="BX126" s="316"/>
      <c r="BY126" s="316"/>
      <c r="BZ126" s="316"/>
      <c r="CA126" s="316"/>
      <c r="CB126" s="316">
        <v>7.423</v>
      </c>
      <c r="CC126" s="316">
        <v>7.423</v>
      </c>
      <c r="CD126" s="316">
        <v>6.923</v>
      </c>
      <c r="CE126" s="317">
        <v>6.923</v>
      </c>
      <c r="CF126" s="316">
        <v>6.923</v>
      </c>
      <c r="CG126" s="316">
        <v>6.923</v>
      </c>
      <c r="CH126" s="316">
        <v>6.923</v>
      </c>
      <c r="CI126" s="316">
        <v>6.923</v>
      </c>
      <c r="CJ126" s="316">
        <v>6.923</v>
      </c>
      <c r="CK126" s="316">
        <v>6.923</v>
      </c>
      <c r="CL126" s="316">
        <v>11.029</v>
      </c>
      <c r="CM126" s="316">
        <v>11.029</v>
      </c>
      <c r="CN126" s="316">
        <v>11.029</v>
      </c>
      <c r="CO126" s="316">
        <v>11.029</v>
      </c>
      <c r="CP126" s="318">
        <v>11.029</v>
      </c>
      <c r="CQ126" s="316">
        <v>11.029</v>
      </c>
      <c r="CR126" s="316">
        <v>16.958400000000001</v>
      </c>
      <c r="CS126" s="316">
        <v>16.958400000000001</v>
      </c>
      <c r="CT126" s="316">
        <v>16.958400000000001</v>
      </c>
      <c r="CU126" s="316">
        <v>24.301300000000001</v>
      </c>
      <c r="CV126" s="316">
        <v>24.301300000000001</v>
      </c>
      <c r="CW126" s="316">
        <v>24.301300000000001</v>
      </c>
      <c r="CX126" s="316">
        <v>31.514099999999999</v>
      </c>
      <c r="CY126" s="316">
        <v>31.514099999999999</v>
      </c>
      <c r="CZ126" s="316">
        <v>31.514099999999999</v>
      </c>
      <c r="DA126" s="316">
        <v>33.606200000000001</v>
      </c>
      <c r="DB126" s="1498">
        <v>33.606200000000001</v>
      </c>
      <c r="DC126" s="316">
        <v>33.606199999999994</v>
      </c>
      <c r="DD126" s="316">
        <v>41.156300000000002</v>
      </c>
      <c r="DE126" s="316">
        <v>41.156300000000002</v>
      </c>
      <c r="DF126" s="316">
        <v>41.156300000000002</v>
      </c>
      <c r="DG126" s="316">
        <v>46.197699999999998</v>
      </c>
      <c r="DH126" s="316">
        <v>46.197699999999998</v>
      </c>
      <c r="DI126" s="316">
        <v>46.197699999999998</v>
      </c>
      <c r="DJ126" s="316">
        <v>51.979899999999994</v>
      </c>
      <c r="DK126" s="316">
        <v>51.979899999999994</v>
      </c>
      <c r="DL126" s="316">
        <v>51.979899999999994</v>
      </c>
      <c r="DM126" s="316">
        <v>55.479899999999994</v>
      </c>
      <c r="DN126" s="318">
        <v>55.479899999999994</v>
      </c>
      <c r="DO126" s="316">
        <v>55.479899999999994</v>
      </c>
      <c r="DP126" s="316">
        <v>59.193999999999996</v>
      </c>
      <c r="DQ126" s="316">
        <v>57.270900000000005</v>
      </c>
      <c r="DR126" s="316">
        <v>57.270900000000005</v>
      </c>
      <c r="DS126" s="316">
        <v>60.910900000000005</v>
      </c>
      <c r="DT126" s="316">
        <v>60.910900000000005</v>
      </c>
      <c r="DU126" s="316">
        <v>60.910899999999998</v>
      </c>
      <c r="DV126" s="316">
        <v>57.898800000000001</v>
      </c>
      <c r="DW126" s="316">
        <v>57.898800000000001</v>
      </c>
      <c r="DX126" s="316">
        <v>57.898800000000001</v>
      </c>
      <c r="DY126" s="316">
        <v>58.898800000000001</v>
      </c>
      <c r="DZ126" s="318">
        <v>58.898800000000001</v>
      </c>
      <c r="EA126" s="316">
        <v>58.898800000000001</v>
      </c>
      <c r="EB126" s="316">
        <v>63.196100000000001</v>
      </c>
      <c r="EC126" s="316">
        <v>63.256099999999996</v>
      </c>
      <c r="ED126" s="316">
        <v>63.256100000000004</v>
      </c>
      <c r="EE126" s="316">
        <v>65.806100000000001</v>
      </c>
      <c r="EF126" s="316">
        <v>65.806100000000001</v>
      </c>
      <c r="EG126" s="316">
        <v>65.806100000000001</v>
      </c>
      <c r="EH126" s="316">
        <v>73.903300000000002</v>
      </c>
      <c r="EI126" s="316">
        <v>73.903300000000002</v>
      </c>
      <c r="EJ126" s="316">
        <v>73.903300000000002</v>
      </c>
      <c r="EK126" s="316">
        <v>76.4435</v>
      </c>
      <c r="EL126" s="318">
        <v>80.555000000000007</v>
      </c>
      <c r="EM126" s="1206">
        <v>72.245000000000005</v>
      </c>
      <c r="EN126" s="1206">
        <v>75.936099999999996</v>
      </c>
      <c r="EO126" s="1206">
        <v>80.615899999999996</v>
      </c>
      <c r="EP126" s="1206">
        <v>80.615899999999996</v>
      </c>
      <c r="EQ126" s="1206">
        <v>76.124499999999998</v>
      </c>
      <c r="ER126" s="1206">
        <v>76.124499999999998</v>
      </c>
      <c r="ES126" s="1206">
        <v>81.995499999999993</v>
      </c>
      <c r="ET126" s="1206">
        <v>87.009099999999989</v>
      </c>
      <c r="EU126" s="1206">
        <v>90.009099999999989</v>
      </c>
      <c r="EV126" s="1206">
        <v>90.009099999999989</v>
      </c>
      <c r="EW126" s="1206">
        <v>97.201999999999984</v>
      </c>
      <c r="EX126" s="1550">
        <v>114.90199999999999</v>
      </c>
      <c r="EY126" s="1206"/>
      <c r="EZ126" s="1206"/>
      <c r="FA126" s="1206"/>
      <c r="FB126" s="1206"/>
      <c r="FC126" s="1206"/>
      <c r="FD126" s="1206"/>
      <c r="FE126" s="1206"/>
      <c r="FF126" s="1206"/>
      <c r="FG126" s="1206"/>
      <c r="FH126" s="1206"/>
      <c r="FI126" s="1206"/>
      <c r="FJ126" s="1550"/>
      <c r="FK126" s="1206"/>
      <c r="FL126" s="1206"/>
      <c r="FM126" s="1206"/>
      <c r="FN126" s="1206"/>
      <c r="FO126" s="1206"/>
      <c r="FP126" s="1206"/>
      <c r="FQ126" s="316"/>
      <c r="FR126" s="316"/>
      <c r="FS126" s="316"/>
      <c r="FT126" s="316"/>
      <c r="FU126" s="316"/>
      <c r="FV126" s="316"/>
      <c r="FW126" s="316"/>
      <c r="FX126" s="316"/>
      <c r="FY126" s="316"/>
      <c r="FZ126" s="316"/>
      <c r="GA126" s="316"/>
      <c r="GB126" s="316"/>
      <c r="GC126" s="316"/>
      <c r="GD126" s="316"/>
      <c r="GE126" s="316"/>
      <c r="GF126" s="316"/>
      <c r="GG126" s="316"/>
      <c r="GH126" s="316"/>
      <c r="GI126" s="316"/>
      <c r="GJ126" s="316"/>
      <c r="GK126" s="316"/>
      <c r="GL126" s="316"/>
      <c r="GM126" s="316"/>
      <c r="GN126" s="316"/>
      <c r="GO126" s="316"/>
      <c r="GP126" s="316"/>
      <c r="GQ126" s="316"/>
      <c r="GR126" s="316"/>
      <c r="GS126" s="316"/>
      <c r="GT126" s="316"/>
      <c r="GU126" s="316"/>
      <c r="GV126" s="316"/>
      <c r="GW126" s="316"/>
      <c r="GX126" s="316"/>
      <c r="GY126" s="316"/>
      <c r="GZ126" s="316"/>
      <c r="HA126" s="316"/>
      <c r="HB126" s="316"/>
      <c r="HC126" s="316"/>
      <c r="HD126" s="316"/>
      <c r="HE126" s="316"/>
      <c r="HF126" s="316"/>
      <c r="HG126" s="316"/>
      <c r="HH126" s="316"/>
      <c r="HI126" s="316"/>
      <c r="HJ126" s="316"/>
      <c r="HK126" s="316"/>
      <c r="HL126" s="316"/>
      <c r="HM126" s="316"/>
      <c r="HV126" s="302">
        <f t="shared" si="21"/>
        <v>249.47049999999999</v>
      </c>
      <c r="HW126" s="302">
        <f t="shared" si="22"/>
        <v>313.09719999999993</v>
      </c>
      <c r="HX126" s="302">
        <f t="shared" si="23"/>
        <v>562.56769999999995</v>
      </c>
      <c r="HY126" s="302">
        <f t="shared" si="24"/>
        <v>351.03750000000002</v>
      </c>
      <c r="KH126" s="303"/>
    </row>
    <row r="127" spans="1:294" outlineLevel="1">
      <c r="B127" s="117" t="s">
        <v>361</v>
      </c>
      <c r="D127" s="323" t="s">
        <v>409</v>
      </c>
      <c r="E127" s="316"/>
      <c r="F127" s="316"/>
      <c r="G127" s="316"/>
      <c r="H127" s="316"/>
      <c r="I127" s="316"/>
      <c r="J127" s="316"/>
      <c r="K127" s="316"/>
      <c r="L127" s="316"/>
      <c r="M127" s="316"/>
      <c r="N127" s="316"/>
      <c r="O127" s="316"/>
      <c r="P127" s="316"/>
      <c r="Q127" s="316"/>
      <c r="R127" s="316"/>
      <c r="S127" s="316"/>
      <c r="T127" s="316"/>
      <c r="U127" s="316"/>
      <c r="V127" s="316"/>
      <c r="W127" s="316"/>
      <c r="X127" s="316"/>
      <c r="Y127" s="316"/>
      <c r="Z127" s="316"/>
      <c r="AA127" s="316"/>
      <c r="AB127" s="316"/>
      <c r="AC127" s="316"/>
      <c r="AD127" s="316"/>
      <c r="AE127" s="316"/>
      <c r="AF127" s="316"/>
      <c r="AG127" s="316"/>
      <c r="AH127" s="316"/>
      <c r="AI127" s="316"/>
      <c r="AJ127" s="316"/>
      <c r="AK127" s="316"/>
      <c r="AL127" s="316"/>
      <c r="AM127" s="316"/>
      <c r="AN127" s="316"/>
      <c r="AO127" s="316"/>
      <c r="AP127" s="316"/>
      <c r="AQ127" s="316"/>
      <c r="AR127" s="316"/>
      <c r="AS127" s="316"/>
      <c r="AT127" s="316"/>
      <c r="AU127" s="316"/>
      <c r="AV127" s="316"/>
      <c r="AW127" s="316"/>
      <c r="AX127" s="316"/>
      <c r="AY127" s="316"/>
      <c r="AZ127" s="316"/>
      <c r="BA127" s="316"/>
      <c r="BB127" s="316"/>
      <c r="BC127" s="316"/>
      <c r="BD127" s="316"/>
      <c r="BE127" s="316"/>
      <c r="BF127" s="316"/>
      <c r="BG127" s="316"/>
      <c r="BH127" s="316"/>
      <c r="BI127" s="316"/>
      <c r="BJ127" s="316"/>
      <c r="BK127" s="316"/>
      <c r="BL127" s="316"/>
      <c r="BM127" s="316"/>
      <c r="BN127" s="316"/>
      <c r="BO127" s="316"/>
      <c r="BP127" s="316"/>
      <c r="BQ127" s="316"/>
      <c r="BR127" s="316"/>
      <c r="BS127" s="316">
        <v>1.4465999999999999</v>
      </c>
      <c r="BT127" s="316">
        <v>1.077</v>
      </c>
      <c r="BU127" s="316">
        <v>1.077</v>
      </c>
      <c r="BV127" s="316">
        <v>1.077</v>
      </c>
      <c r="BW127" s="316"/>
      <c r="BX127" s="316"/>
      <c r="BY127" s="316"/>
      <c r="BZ127" s="316"/>
      <c r="CA127" s="316"/>
      <c r="CB127" s="316">
        <v>1.077</v>
      </c>
      <c r="CC127" s="316">
        <v>1.077</v>
      </c>
      <c r="CD127" s="316">
        <v>1.577</v>
      </c>
      <c r="CE127" s="317">
        <v>1.577</v>
      </c>
      <c r="CF127" s="316">
        <v>1.577</v>
      </c>
      <c r="CG127" s="316">
        <v>1.577</v>
      </c>
      <c r="CH127" s="316">
        <v>1.577</v>
      </c>
      <c r="CI127" s="316">
        <v>1.577</v>
      </c>
      <c r="CJ127" s="316">
        <v>1.577</v>
      </c>
      <c r="CK127" s="316">
        <v>1.577</v>
      </c>
      <c r="CL127" s="316">
        <v>7.4710000000000001</v>
      </c>
      <c r="CM127" s="316">
        <v>7.4710000000000001</v>
      </c>
      <c r="CN127" s="316">
        <v>7.4710000000000001</v>
      </c>
      <c r="CO127" s="316">
        <v>22.471</v>
      </c>
      <c r="CP127" s="318">
        <v>22.471</v>
      </c>
      <c r="CQ127" s="316">
        <v>22.471</v>
      </c>
      <c r="CR127" s="316">
        <v>31.541599999999999</v>
      </c>
      <c r="CS127" s="316">
        <v>31.541599999999999</v>
      </c>
      <c r="CT127" s="316">
        <v>31.541599999999999</v>
      </c>
      <c r="CU127" s="316">
        <v>39.198700000000002</v>
      </c>
      <c r="CV127" s="316">
        <v>39.198700000000002</v>
      </c>
      <c r="CW127" s="316">
        <v>39.198700000000002</v>
      </c>
      <c r="CX127" s="316">
        <v>46.985900000000001</v>
      </c>
      <c r="CY127" s="316">
        <v>46.985900000000001</v>
      </c>
      <c r="CZ127" s="316">
        <v>46.985900000000001</v>
      </c>
      <c r="DA127" s="316">
        <v>54.893799999999999</v>
      </c>
      <c r="DB127" s="1498">
        <v>54.893799999999999</v>
      </c>
      <c r="DC127" s="316">
        <v>54.893799999999999</v>
      </c>
      <c r="DD127" s="316">
        <v>62.343699999999998</v>
      </c>
      <c r="DE127" s="316">
        <v>62.343699999999998</v>
      </c>
      <c r="DF127" s="316">
        <v>62.343699999999998</v>
      </c>
      <c r="DG127" s="316">
        <v>68.802300000000002</v>
      </c>
      <c r="DH127" s="316">
        <v>68.802300000000002</v>
      </c>
      <c r="DI127" s="316">
        <v>68.802300000000002</v>
      </c>
      <c r="DJ127" s="316">
        <v>78.020099999999985</v>
      </c>
      <c r="DK127" s="316">
        <v>78.020099999999985</v>
      </c>
      <c r="DL127" s="316">
        <v>78.020099999999985</v>
      </c>
      <c r="DM127" s="316">
        <v>84.520099999999985</v>
      </c>
      <c r="DN127" s="318">
        <v>84.520099999999985</v>
      </c>
      <c r="DO127" s="316">
        <v>84.520099999999985</v>
      </c>
      <c r="DP127" s="316">
        <v>95.805999999999997</v>
      </c>
      <c r="DQ127" s="316">
        <v>95.229099999999988</v>
      </c>
      <c r="DR127" s="316">
        <v>95.229099999999988</v>
      </c>
      <c r="DS127" s="316">
        <v>106.58909999999999</v>
      </c>
      <c r="DT127" s="316">
        <v>106.58909999999999</v>
      </c>
      <c r="DU127" s="316">
        <v>106.5891</v>
      </c>
      <c r="DV127" s="316">
        <v>107.10120000000001</v>
      </c>
      <c r="DW127" s="316">
        <v>107.10120000000001</v>
      </c>
      <c r="DX127" s="316">
        <v>107.10120000000001</v>
      </c>
      <c r="DY127" s="316">
        <v>116.10120000000001</v>
      </c>
      <c r="DZ127" s="318">
        <v>116.10120000000001</v>
      </c>
      <c r="EA127" s="316">
        <v>116.10119999999999</v>
      </c>
      <c r="EB127" s="316">
        <v>121.8039</v>
      </c>
      <c r="EC127" s="316">
        <v>121.7439</v>
      </c>
      <c r="ED127" s="316">
        <v>121.7439</v>
      </c>
      <c r="EE127" s="316">
        <v>129.19390000000001</v>
      </c>
      <c r="EF127" s="316">
        <v>129.19390000000001</v>
      </c>
      <c r="EG127" s="316">
        <v>129.19389999999999</v>
      </c>
      <c r="EH127" s="316">
        <v>121.0967</v>
      </c>
      <c r="EI127" s="316">
        <v>121.0967</v>
      </c>
      <c r="EJ127" s="316">
        <v>121.0967</v>
      </c>
      <c r="EK127" s="316">
        <v>128.5565</v>
      </c>
      <c r="EL127" s="318">
        <v>142.755</v>
      </c>
      <c r="EM127" s="1206">
        <v>142.755</v>
      </c>
      <c r="EN127" s="1206">
        <v>154.06389999999999</v>
      </c>
      <c r="EO127" s="1206">
        <v>164.38409999999996</v>
      </c>
      <c r="EP127" s="1206">
        <v>164.38409999999996</v>
      </c>
      <c r="EQ127" s="1206">
        <v>168.87549999999999</v>
      </c>
      <c r="ER127" s="1206">
        <v>168.87549999999999</v>
      </c>
      <c r="ES127" s="1206">
        <v>173.00449999999998</v>
      </c>
      <c r="ET127" s="1206">
        <v>182.99089999999998</v>
      </c>
      <c r="EU127" s="1206">
        <v>189.99089999999998</v>
      </c>
      <c r="EV127" s="1206">
        <v>189.99089999999998</v>
      </c>
      <c r="EW127" s="1206">
        <v>187.798</v>
      </c>
      <c r="EX127" s="1550">
        <v>204.3817</v>
      </c>
      <c r="EY127" s="1206"/>
      <c r="EZ127" s="1206"/>
      <c r="FA127" s="1206"/>
      <c r="FB127" s="1206"/>
      <c r="FC127" s="1206"/>
      <c r="FD127" s="1206"/>
      <c r="FE127" s="1206"/>
      <c r="FF127" s="1206"/>
      <c r="FG127" s="1206"/>
      <c r="FH127" s="1206"/>
      <c r="FI127" s="1206"/>
      <c r="FJ127" s="1550"/>
      <c r="FK127" s="1206"/>
      <c r="FL127" s="1206"/>
      <c r="FM127" s="1206"/>
      <c r="FN127" s="1206"/>
      <c r="FO127" s="1206"/>
      <c r="FP127" s="1206"/>
      <c r="FQ127" s="316"/>
      <c r="FR127" s="316"/>
      <c r="FS127" s="316"/>
      <c r="FT127" s="316"/>
      <c r="FU127" s="316"/>
      <c r="FV127" s="316"/>
      <c r="FW127" s="316"/>
      <c r="FX127" s="316"/>
      <c r="FY127" s="316"/>
      <c r="FZ127" s="316"/>
      <c r="GA127" s="316"/>
      <c r="GB127" s="316"/>
      <c r="GC127" s="316"/>
      <c r="GD127" s="316"/>
      <c r="GE127" s="316"/>
      <c r="GF127" s="316"/>
      <c r="GG127" s="316"/>
      <c r="GH127" s="316"/>
      <c r="GI127" s="316"/>
      <c r="GJ127" s="316"/>
      <c r="GK127" s="316"/>
      <c r="GL127" s="316"/>
      <c r="GM127" s="316"/>
      <c r="GN127" s="316"/>
      <c r="GO127" s="316"/>
      <c r="GP127" s="316"/>
      <c r="GQ127" s="316"/>
      <c r="GR127" s="316"/>
      <c r="GS127" s="316"/>
      <c r="GT127" s="316"/>
      <c r="GU127" s="316"/>
      <c r="GV127" s="316"/>
      <c r="GW127" s="316"/>
      <c r="GX127" s="316"/>
      <c r="GY127" s="316"/>
      <c r="GZ127" s="316"/>
      <c r="HA127" s="316"/>
      <c r="HB127" s="316"/>
      <c r="HC127" s="316"/>
      <c r="HD127" s="316"/>
      <c r="HE127" s="316"/>
      <c r="HF127" s="316"/>
      <c r="HG127" s="316"/>
      <c r="HH127" s="316"/>
      <c r="HI127" s="316"/>
      <c r="HJ127" s="316"/>
      <c r="HK127" s="316"/>
      <c r="HL127" s="316"/>
      <c r="HM127" s="316"/>
      <c r="HV127" s="302">
        <f t="shared" si="21"/>
        <v>379.52949999999998</v>
      </c>
      <c r="HW127" s="302">
        <f t="shared" si="22"/>
        <v>471.90279999999984</v>
      </c>
      <c r="HX127" s="302">
        <f t="shared" si="23"/>
        <v>851.43229999999983</v>
      </c>
      <c r="HY127" s="302">
        <f t="shared" si="24"/>
        <v>583.96249999999998</v>
      </c>
      <c r="KH127" s="303"/>
    </row>
    <row r="128" spans="1:294" outlineLevel="1">
      <c r="CE128" s="840"/>
      <c r="CP128" s="303"/>
      <c r="DC128" s="859" t="s">
        <v>1013</v>
      </c>
      <c r="EA128" s="302"/>
      <c r="EB128" s="302"/>
      <c r="EC128" s="302"/>
      <c r="ED128" s="302"/>
      <c r="EE128" s="302"/>
      <c r="EF128" s="302"/>
      <c r="EG128" s="302"/>
      <c r="EH128" s="302"/>
      <c r="EI128" s="302"/>
      <c r="EJ128" s="302"/>
      <c r="EK128" s="302"/>
      <c r="EL128" s="303"/>
      <c r="EM128" s="1208"/>
      <c r="EN128" s="1208"/>
      <c r="EO128" s="1208"/>
      <c r="EP128" s="1208"/>
      <c r="EQ128" s="1208"/>
      <c r="ER128" s="1208"/>
      <c r="ES128" s="1208"/>
      <c r="ET128" s="1208"/>
      <c r="EU128" s="1208"/>
      <c r="EV128" s="1208"/>
      <c r="EW128" s="1208"/>
      <c r="EX128" s="1560"/>
      <c r="EY128" s="1208"/>
      <c r="EZ128" s="1208"/>
      <c r="FA128" s="1208"/>
      <c r="FB128" s="1208"/>
      <c r="FC128" s="1208"/>
      <c r="FD128" s="1208"/>
      <c r="FE128" s="1208"/>
      <c r="FF128" s="1208"/>
      <c r="FG128" s="1208"/>
      <c r="FH128" s="1208"/>
      <c r="FI128" s="1208"/>
      <c r="FJ128" s="1560"/>
      <c r="FK128" s="1208"/>
      <c r="FL128" s="1208"/>
      <c r="FM128" s="1208"/>
      <c r="FN128" s="1208"/>
      <c r="FO128" s="1208"/>
      <c r="FP128" s="1208"/>
      <c r="FQ128" s="302"/>
      <c r="FR128" s="302"/>
      <c r="FS128" s="302"/>
      <c r="FT128" s="302"/>
      <c r="FU128" s="302"/>
      <c r="FV128" s="302"/>
      <c r="FW128" s="302"/>
      <c r="FX128" s="302"/>
      <c r="FY128" s="302"/>
      <c r="FZ128" s="302"/>
      <c r="GA128" s="302"/>
      <c r="GB128" s="302"/>
      <c r="GC128" s="302"/>
      <c r="GD128" s="302"/>
      <c r="GE128" s="302"/>
      <c r="GF128" s="302"/>
      <c r="GG128" s="302"/>
      <c r="GH128" s="302"/>
      <c r="GI128" s="302"/>
      <c r="GJ128" s="302"/>
      <c r="GK128" s="302"/>
      <c r="GL128" s="302"/>
      <c r="GM128" s="302"/>
      <c r="GN128" s="302"/>
      <c r="GO128" s="302"/>
      <c r="GP128" s="302"/>
      <c r="GQ128" s="302"/>
      <c r="GR128" s="302"/>
      <c r="GS128" s="302"/>
      <c r="GT128" s="302"/>
      <c r="GU128" s="302"/>
      <c r="GV128" s="302"/>
      <c r="GW128" s="302"/>
      <c r="GX128" s="302"/>
      <c r="GY128" s="302"/>
      <c r="GZ128" s="302"/>
      <c r="HA128" s="302"/>
      <c r="HB128" s="302"/>
      <c r="HC128" s="302"/>
      <c r="HD128" s="302"/>
      <c r="HE128" s="302"/>
      <c r="HF128" s="302"/>
      <c r="HG128" s="302"/>
      <c r="HH128" s="302"/>
      <c r="HI128" s="302"/>
      <c r="HJ128" s="302"/>
      <c r="HK128" s="302"/>
      <c r="HL128" s="302"/>
      <c r="HM128" s="302"/>
      <c r="KH128" s="303"/>
    </row>
    <row r="129" spans="1:294" ht="11.25" customHeight="1" outlineLevel="1">
      <c r="CE129" s="840"/>
      <c r="CP129" s="303"/>
      <c r="DC129" s="859"/>
      <c r="EA129" s="302"/>
      <c r="EB129" s="302"/>
      <c r="EC129" s="302"/>
      <c r="ED129" s="302"/>
      <c r="EE129" s="302"/>
      <c r="EF129" s="302"/>
      <c r="EG129" s="302"/>
      <c r="EH129" s="302"/>
      <c r="EI129" s="302"/>
      <c r="EJ129" s="302"/>
      <c r="EK129" s="302"/>
      <c r="EL129" s="303"/>
      <c r="EM129" s="1227"/>
      <c r="EN129" s="1208"/>
      <c r="EO129" s="1208"/>
      <c r="EP129" s="1208"/>
      <c r="EQ129" s="1208"/>
      <c r="ER129" s="1208"/>
      <c r="ES129" s="1208"/>
      <c r="ET129" s="1208"/>
      <c r="EU129" s="1208"/>
      <c r="EV129" s="1208"/>
      <c r="EW129" s="1208"/>
      <c r="EX129" s="1560"/>
      <c r="EY129" s="1208"/>
      <c r="EZ129" s="1208"/>
      <c r="FA129" s="1208"/>
      <c r="FB129" s="1208"/>
      <c r="FC129" s="1208"/>
      <c r="FD129" s="1208"/>
      <c r="FE129" s="1208"/>
      <c r="FF129" s="1208"/>
      <c r="FG129" s="1208"/>
      <c r="FH129" s="1208"/>
      <c r="FI129" s="1208"/>
      <c r="FJ129" s="1560"/>
      <c r="FK129" s="1208"/>
      <c r="FL129" s="1208"/>
      <c r="FM129" s="1208"/>
      <c r="FN129" s="1208"/>
      <c r="FO129" s="1208"/>
      <c r="FP129" s="1208"/>
      <c r="FQ129" s="302"/>
      <c r="FR129" s="302"/>
      <c r="FS129" s="302"/>
      <c r="FT129" s="302"/>
      <c r="FU129" s="302"/>
      <c r="FV129" s="302"/>
      <c r="FW129" s="302"/>
      <c r="FX129" s="302"/>
      <c r="FY129" s="302"/>
      <c r="FZ129" s="302"/>
      <c r="GA129" s="302"/>
      <c r="GB129" s="302"/>
      <c r="GC129" s="302"/>
      <c r="GD129" s="302"/>
      <c r="GE129" s="302"/>
      <c r="GF129" s="302"/>
      <c r="GG129" s="302"/>
      <c r="GH129" s="302"/>
      <c r="GI129" s="302"/>
      <c r="GJ129" s="302"/>
      <c r="GK129" s="302"/>
      <c r="GL129" s="302"/>
      <c r="GM129" s="302"/>
      <c r="GN129" s="302"/>
      <c r="GO129" s="302"/>
      <c r="GP129" s="302"/>
      <c r="GQ129" s="302"/>
      <c r="GR129" s="302"/>
      <c r="GS129" s="302"/>
      <c r="GT129" s="302"/>
      <c r="GU129" s="302"/>
      <c r="GV129" s="302"/>
      <c r="GW129" s="302"/>
      <c r="GX129" s="302"/>
      <c r="GY129" s="302"/>
      <c r="GZ129" s="302"/>
      <c r="HA129" s="302"/>
      <c r="HB129" s="302"/>
      <c r="HC129" s="302"/>
      <c r="HD129" s="302"/>
      <c r="HE129" s="302"/>
      <c r="HF129" s="302"/>
      <c r="HG129" s="302"/>
      <c r="HH129" s="302"/>
      <c r="HI129" s="302"/>
      <c r="HJ129" s="302"/>
      <c r="HK129" s="302"/>
      <c r="HL129" s="302"/>
      <c r="HM129" s="302"/>
      <c r="KH129" s="303"/>
    </row>
    <row r="130" spans="1:294" outlineLevel="1">
      <c r="A130" s="314" t="s">
        <v>987</v>
      </c>
      <c r="CE130" s="840"/>
      <c r="CP130" s="303"/>
      <c r="DC130" s="859" t="s">
        <v>1037</v>
      </c>
      <c r="EA130" s="302"/>
      <c r="EB130" s="302"/>
      <c r="EC130" s="302"/>
      <c r="ED130" s="302"/>
      <c r="EE130" s="302"/>
      <c r="EF130" s="302"/>
      <c r="EG130" s="302"/>
      <c r="EH130" s="302"/>
      <c r="EI130" s="302"/>
      <c r="EJ130" s="302"/>
      <c r="EK130" s="302"/>
      <c r="EL130" s="303"/>
      <c r="EM130" s="1208"/>
      <c r="EN130" s="1208"/>
      <c r="EO130" s="1208"/>
      <c r="EP130" s="1208"/>
      <c r="EQ130" s="1208"/>
      <c r="ER130" s="1208"/>
      <c r="ES130" s="1208"/>
      <c r="ET130" s="1208"/>
      <c r="EU130" s="1208"/>
      <c r="EV130" s="1208"/>
      <c r="EW130" s="1208"/>
      <c r="EX130" s="1560"/>
      <c r="EY130" s="1208"/>
      <c r="EZ130" s="1208"/>
      <c r="FA130" s="1208"/>
      <c r="FB130" s="1208"/>
      <c r="FC130" s="1208"/>
      <c r="FD130" s="1208"/>
      <c r="FE130" s="1208"/>
      <c r="FF130" s="1208"/>
      <c r="FG130" s="1208"/>
      <c r="FH130" s="1208"/>
      <c r="FI130" s="1208"/>
      <c r="FJ130" s="1560"/>
      <c r="FK130" s="1208"/>
      <c r="FL130" s="1208"/>
      <c r="FM130" s="1208"/>
      <c r="FN130" s="1208"/>
      <c r="FO130" s="1208"/>
      <c r="FP130" s="1208"/>
      <c r="FQ130" s="302"/>
      <c r="FR130" s="302"/>
      <c r="FS130" s="302"/>
      <c r="FT130" s="302"/>
      <c r="FU130" s="302"/>
      <c r="FV130" s="302"/>
      <c r="FW130" s="302"/>
      <c r="FX130" s="302"/>
      <c r="FY130" s="302"/>
      <c r="FZ130" s="302"/>
      <c r="GA130" s="302"/>
      <c r="GB130" s="302"/>
      <c r="GC130" s="302"/>
      <c r="GD130" s="302"/>
      <c r="GE130" s="302"/>
      <c r="GF130" s="302"/>
      <c r="GG130" s="302"/>
      <c r="GH130" s="302"/>
      <c r="GI130" s="302"/>
      <c r="GJ130" s="302"/>
      <c r="GK130" s="302"/>
      <c r="GL130" s="302"/>
      <c r="GM130" s="302"/>
      <c r="GN130" s="302"/>
      <c r="GO130" s="302"/>
      <c r="GP130" s="302"/>
      <c r="GQ130" s="302"/>
      <c r="GR130" s="302"/>
      <c r="GS130" s="302"/>
      <c r="GT130" s="302"/>
      <c r="GU130" s="302"/>
      <c r="GV130" s="302"/>
      <c r="GW130" s="302"/>
      <c r="GX130" s="302"/>
      <c r="GY130" s="302"/>
      <c r="GZ130" s="302"/>
      <c r="HA130" s="302"/>
      <c r="HB130" s="302"/>
      <c r="HC130" s="302"/>
      <c r="HD130" s="302"/>
      <c r="HE130" s="302"/>
      <c r="HF130" s="302"/>
      <c r="HG130" s="302"/>
      <c r="HH130" s="302"/>
      <c r="HI130" s="302"/>
      <c r="HJ130" s="302"/>
      <c r="HK130" s="302"/>
      <c r="HL130" s="302"/>
      <c r="HM130" s="302"/>
      <c r="KH130" s="303"/>
    </row>
    <row r="131" spans="1:294" outlineLevel="1">
      <c r="A131" s="117" t="s">
        <v>1001</v>
      </c>
      <c r="D131" s="316"/>
      <c r="E131" s="316"/>
      <c r="F131" s="316"/>
      <c r="G131" s="316"/>
      <c r="H131" s="316"/>
      <c r="I131" s="316"/>
      <c r="J131" s="316"/>
      <c r="K131" s="316"/>
      <c r="L131" s="316"/>
      <c r="M131" s="316"/>
      <c r="N131" s="316"/>
      <c r="O131" s="316"/>
      <c r="P131" s="316"/>
      <c r="Q131" s="316"/>
      <c r="R131" s="316"/>
      <c r="S131" s="316"/>
      <c r="T131" s="316"/>
      <c r="U131" s="316"/>
      <c r="V131" s="316"/>
      <c r="W131" s="316"/>
      <c r="X131" s="316"/>
      <c r="Y131" s="316"/>
      <c r="Z131" s="316"/>
      <c r="AA131" s="316"/>
      <c r="AB131" s="316"/>
      <c r="AC131" s="316"/>
      <c r="AD131" s="316"/>
      <c r="AE131" s="316"/>
      <c r="AF131" s="316"/>
      <c r="AG131" s="316"/>
      <c r="AH131" s="316"/>
      <c r="AI131" s="316"/>
      <c r="AJ131" s="316"/>
      <c r="AK131" s="316"/>
      <c r="AL131" s="316"/>
      <c r="AM131" s="316"/>
      <c r="AN131" s="316"/>
      <c r="AO131" s="316"/>
      <c r="AP131" s="316"/>
      <c r="AQ131" s="316"/>
      <c r="AR131" s="316"/>
      <c r="AS131" s="316"/>
      <c r="AT131" s="316"/>
      <c r="AU131" s="316"/>
      <c r="AV131" s="316"/>
      <c r="AW131" s="316"/>
      <c r="AX131" s="316"/>
      <c r="AY131" s="316"/>
      <c r="AZ131" s="316"/>
      <c r="BA131" s="316"/>
      <c r="BB131" s="316"/>
      <c r="BC131" s="316"/>
      <c r="BD131" s="316"/>
      <c r="BE131" s="316"/>
      <c r="BF131" s="316"/>
      <c r="BG131" s="316"/>
      <c r="BH131" s="316"/>
      <c r="BI131" s="316"/>
      <c r="BJ131" s="316"/>
      <c r="BK131" s="316"/>
      <c r="BL131" s="316"/>
      <c r="BM131" s="316"/>
      <c r="BN131" s="316"/>
      <c r="BO131" s="316"/>
      <c r="BP131" s="316"/>
      <c r="BQ131" s="316"/>
      <c r="BR131" s="316"/>
      <c r="BS131" s="316"/>
      <c r="BT131" s="316"/>
      <c r="BU131" s="316"/>
      <c r="BV131" s="316"/>
      <c r="BW131" s="316"/>
      <c r="BX131" s="316"/>
      <c r="BY131" s="316"/>
      <c r="BZ131" s="316"/>
      <c r="CA131" s="316"/>
      <c r="CB131" s="316"/>
      <c r="CC131" s="316"/>
      <c r="CD131" s="316"/>
      <c r="CE131" s="316"/>
      <c r="CF131" s="316"/>
      <c r="CG131" s="316"/>
      <c r="CH131" s="316"/>
      <c r="CI131" s="316"/>
      <c r="CJ131" s="316"/>
      <c r="CK131" s="316"/>
      <c r="CL131" s="316"/>
      <c r="CM131" s="316"/>
      <c r="CN131" s="316"/>
      <c r="CO131" s="316"/>
      <c r="CP131" s="318"/>
      <c r="CQ131" s="316"/>
      <c r="CR131" s="316"/>
      <c r="CS131" s="316"/>
      <c r="CT131" s="316"/>
      <c r="CU131" s="316"/>
      <c r="CV131" s="316"/>
      <c r="CW131" s="316"/>
      <c r="CX131" s="316"/>
      <c r="CY131" s="316"/>
      <c r="CZ131" s="316"/>
      <c r="DA131" s="316"/>
      <c r="DB131" s="1498"/>
      <c r="DC131" s="883">
        <v>42186</v>
      </c>
      <c r="DD131" s="883">
        <v>42217</v>
      </c>
      <c r="DE131" s="883">
        <v>42248</v>
      </c>
      <c r="DF131" s="883">
        <v>42278</v>
      </c>
      <c r="DG131" s="883">
        <v>42309</v>
      </c>
      <c r="DH131" s="883">
        <v>42339</v>
      </c>
      <c r="DI131" s="883">
        <v>42370</v>
      </c>
      <c r="DJ131" s="883">
        <v>42401</v>
      </c>
      <c r="DK131" s="883">
        <v>42430</v>
      </c>
      <c r="DL131" s="883">
        <v>42461</v>
      </c>
      <c r="DM131" s="883">
        <v>42491</v>
      </c>
      <c r="DN131" s="928">
        <v>42522</v>
      </c>
      <c r="DO131" s="883">
        <v>42552</v>
      </c>
      <c r="DP131" s="883">
        <v>42583</v>
      </c>
      <c r="DQ131" s="883">
        <v>42614</v>
      </c>
      <c r="DR131" s="883">
        <v>42644</v>
      </c>
      <c r="DS131" s="883">
        <v>42675</v>
      </c>
      <c r="DT131" s="883">
        <v>42705</v>
      </c>
      <c r="DU131" s="883">
        <v>42736</v>
      </c>
      <c r="DV131" s="883">
        <v>42767</v>
      </c>
      <c r="DW131" s="883">
        <v>42795</v>
      </c>
      <c r="DX131" s="883">
        <v>42826</v>
      </c>
      <c r="DY131" s="883">
        <v>42856</v>
      </c>
      <c r="DZ131" s="928">
        <v>42887</v>
      </c>
      <c r="EA131" s="883">
        <v>42917</v>
      </c>
      <c r="EB131" s="883">
        <v>42948</v>
      </c>
      <c r="EC131" s="883">
        <v>42979</v>
      </c>
      <c r="ED131" s="883">
        <v>43009</v>
      </c>
      <c r="EE131" s="883">
        <v>43040</v>
      </c>
      <c r="EF131" s="883">
        <v>43070</v>
      </c>
      <c r="EG131" s="883">
        <v>43101</v>
      </c>
      <c r="EH131" s="883">
        <v>43132</v>
      </c>
      <c r="EI131" s="883">
        <v>43160</v>
      </c>
      <c r="EJ131" s="883">
        <v>43191</v>
      </c>
      <c r="EK131" s="883">
        <v>43221</v>
      </c>
      <c r="EL131" s="928">
        <v>43252</v>
      </c>
      <c r="EM131" s="1205">
        <v>43282</v>
      </c>
      <c r="EN131" s="1205">
        <v>43313</v>
      </c>
      <c r="EO131" s="1205">
        <v>43344</v>
      </c>
      <c r="EP131" s="1205">
        <v>43374</v>
      </c>
      <c r="EQ131" s="1205">
        <v>43405</v>
      </c>
      <c r="ER131" s="1205">
        <v>43435</v>
      </c>
      <c r="ES131" s="1205">
        <v>43466</v>
      </c>
      <c r="ET131" s="1205">
        <v>43497</v>
      </c>
      <c r="EU131" s="1205">
        <v>43525</v>
      </c>
      <c r="EV131" s="1205">
        <v>43556</v>
      </c>
      <c r="EW131" s="1205">
        <v>43586</v>
      </c>
      <c r="EX131" s="1558">
        <v>43617</v>
      </c>
      <c r="EY131" s="1205">
        <v>43647</v>
      </c>
      <c r="EZ131" s="1205">
        <v>43678</v>
      </c>
      <c r="FA131" s="1205">
        <v>43709</v>
      </c>
      <c r="FB131" s="1205">
        <v>43739</v>
      </c>
      <c r="FC131" s="1205">
        <v>43770</v>
      </c>
      <c r="FD131" s="1205">
        <v>43800</v>
      </c>
      <c r="FE131" s="1205">
        <v>43831</v>
      </c>
      <c r="FF131" s="1205">
        <v>43862</v>
      </c>
      <c r="FG131" s="1205">
        <v>43891</v>
      </c>
      <c r="FH131" s="1205">
        <v>43922</v>
      </c>
      <c r="FI131" s="1205">
        <v>43952</v>
      </c>
      <c r="FJ131" s="1558">
        <v>43983</v>
      </c>
      <c r="FK131" s="1205">
        <v>44013</v>
      </c>
      <c r="FL131" s="1205">
        <v>44044</v>
      </c>
      <c r="FM131" s="1205">
        <v>44075</v>
      </c>
      <c r="FN131" s="1205">
        <v>44105</v>
      </c>
      <c r="FO131" s="1205">
        <v>44136</v>
      </c>
      <c r="FP131" s="1205">
        <v>44166</v>
      </c>
      <c r="FQ131" s="883"/>
      <c r="FR131" s="883"/>
      <c r="FS131" s="883"/>
      <c r="FT131" s="883"/>
      <c r="FU131" s="883"/>
      <c r="FV131" s="883"/>
      <c r="FW131" s="883"/>
      <c r="FX131" s="883"/>
      <c r="FY131" s="883"/>
      <c r="FZ131" s="883"/>
      <c r="GA131" s="883"/>
      <c r="GB131" s="883"/>
      <c r="GC131" s="883"/>
      <c r="GD131" s="883"/>
      <c r="GE131" s="883"/>
      <c r="GF131" s="883"/>
      <c r="GG131" s="883"/>
      <c r="GH131" s="883"/>
      <c r="GI131" s="883"/>
      <c r="GJ131" s="883"/>
      <c r="GK131" s="883"/>
      <c r="GL131" s="883"/>
      <c r="GM131" s="883"/>
      <c r="GN131" s="883"/>
      <c r="GO131" s="883"/>
      <c r="GP131" s="883"/>
      <c r="GQ131" s="883"/>
      <c r="GR131" s="883"/>
      <c r="GS131" s="883"/>
      <c r="GT131" s="883"/>
      <c r="GU131" s="883"/>
      <c r="GV131" s="883"/>
      <c r="GW131" s="883"/>
      <c r="GX131" s="883"/>
      <c r="GY131" s="883"/>
      <c r="GZ131" s="883"/>
      <c r="HA131" s="883"/>
      <c r="HB131" s="883"/>
      <c r="HC131" s="883"/>
      <c r="HD131" s="883"/>
      <c r="HE131" s="883"/>
      <c r="HF131" s="883"/>
      <c r="HG131" s="883"/>
      <c r="HH131" s="883"/>
      <c r="HI131" s="883"/>
      <c r="HJ131" s="883"/>
      <c r="HK131" s="883"/>
      <c r="HL131" s="883"/>
      <c r="HM131" s="883"/>
      <c r="KH131" s="303"/>
    </row>
    <row r="132" spans="1:294" outlineLevel="1">
      <c r="B132" s="117" t="s">
        <v>361</v>
      </c>
      <c r="D132" s="892" t="s">
        <v>1063</v>
      </c>
      <c r="E132" s="316"/>
      <c r="F132" s="316"/>
      <c r="G132" s="316"/>
      <c r="H132" s="316"/>
      <c r="I132" s="316"/>
      <c r="J132" s="316"/>
      <c r="K132" s="316"/>
      <c r="L132" s="316"/>
      <c r="M132" s="316"/>
      <c r="N132" s="316"/>
      <c r="O132" s="316"/>
      <c r="P132" s="316"/>
      <c r="Q132" s="316"/>
      <c r="R132" s="316"/>
      <c r="S132" s="316"/>
      <c r="T132" s="316"/>
      <c r="U132" s="316"/>
      <c r="V132" s="316"/>
      <c r="W132" s="316"/>
      <c r="X132" s="316"/>
      <c r="Y132" s="316"/>
      <c r="Z132" s="316"/>
      <c r="AA132" s="316"/>
      <c r="AB132" s="316"/>
      <c r="AC132" s="316"/>
      <c r="AD132" s="316"/>
      <c r="AE132" s="316"/>
      <c r="AF132" s="316"/>
      <c r="AG132" s="316"/>
      <c r="AH132" s="316"/>
      <c r="AI132" s="316"/>
      <c r="AJ132" s="316"/>
      <c r="AK132" s="316"/>
      <c r="AL132" s="316"/>
      <c r="AM132" s="316"/>
      <c r="AN132" s="316"/>
      <c r="AO132" s="316"/>
      <c r="AP132" s="316"/>
      <c r="AQ132" s="316"/>
      <c r="AR132" s="316"/>
      <c r="AS132" s="316"/>
      <c r="AT132" s="316"/>
      <c r="AU132" s="316"/>
      <c r="AV132" s="316"/>
      <c r="AW132" s="316"/>
      <c r="AX132" s="316"/>
      <c r="AY132" s="316"/>
      <c r="AZ132" s="316"/>
      <c r="BA132" s="316"/>
      <c r="BB132" s="316"/>
      <c r="BC132" s="316"/>
      <c r="BD132" s="316"/>
      <c r="BE132" s="316"/>
      <c r="BF132" s="316"/>
      <c r="BG132" s="316"/>
      <c r="BH132" s="316"/>
      <c r="BI132" s="316"/>
      <c r="BJ132" s="316"/>
      <c r="BK132" s="316"/>
      <c r="BL132" s="316"/>
      <c r="BM132" s="316"/>
      <c r="BN132" s="316"/>
      <c r="BO132" s="316"/>
      <c r="BP132" s="316"/>
      <c r="BQ132" s="316"/>
      <c r="BR132" s="316"/>
      <c r="BS132" s="316"/>
      <c r="BT132" s="316"/>
      <c r="BU132" s="316"/>
      <c r="BV132" s="316"/>
      <c r="BW132" s="316"/>
      <c r="BX132" s="316"/>
      <c r="BY132" s="316">
        <v>1.7749999999999999</v>
      </c>
      <c r="BZ132" s="316">
        <v>2.165</v>
      </c>
      <c r="CA132" s="316">
        <v>1.3889999999999998</v>
      </c>
      <c r="CB132" s="316">
        <v>1.7400000000000002</v>
      </c>
      <c r="CC132" s="316">
        <v>3.875</v>
      </c>
      <c r="CD132" s="636">
        <v>1.917</v>
      </c>
      <c r="CE132" s="635">
        <v>10.472000000000001</v>
      </c>
      <c r="CF132" s="636">
        <v>2.8590000000000004</v>
      </c>
      <c r="CG132" s="636">
        <v>1.0840000000000001</v>
      </c>
      <c r="CH132" s="636">
        <v>1.286</v>
      </c>
      <c r="CI132" s="636">
        <v>1.881</v>
      </c>
      <c r="CJ132" s="636">
        <v>1.4</v>
      </c>
      <c r="CK132" s="636">
        <v>0.94499999999999995</v>
      </c>
      <c r="CL132" s="636">
        <v>1.7269999999999999</v>
      </c>
      <c r="CM132" s="636">
        <v>1.5229999999999999</v>
      </c>
      <c r="CN132" s="636">
        <v>1.4390000000000001</v>
      </c>
      <c r="CO132" s="636">
        <v>2.016</v>
      </c>
      <c r="CP132" s="653">
        <v>2.3129999999999997</v>
      </c>
      <c r="CQ132" s="636">
        <v>0.79100000000000015</v>
      </c>
      <c r="CR132" s="636">
        <v>3.1680000000000001</v>
      </c>
      <c r="CS132" s="636">
        <v>3.8839999999999999</v>
      </c>
      <c r="CT132" s="636">
        <v>1.0720000000000001</v>
      </c>
      <c r="CU132" s="636">
        <v>1.145</v>
      </c>
      <c r="CV132" s="636">
        <v>1.1459999999999999</v>
      </c>
      <c r="CW132" s="636">
        <v>1.3010000000000002</v>
      </c>
      <c r="CX132" s="636">
        <v>1.2909999999999999</v>
      </c>
      <c r="CY132" s="636">
        <v>1.127</v>
      </c>
      <c r="CZ132" s="636">
        <v>1.2749999999999999</v>
      </c>
      <c r="DA132" s="636">
        <v>1.6280000000000001</v>
      </c>
      <c r="DB132" s="1501">
        <v>6.516</v>
      </c>
      <c r="DC132" s="636">
        <v>0.93799999999999994</v>
      </c>
      <c r="DD132" s="636">
        <v>0.98799999999999999</v>
      </c>
      <c r="DE132" s="636">
        <v>2</v>
      </c>
      <c r="DF132" s="636">
        <v>1.1840000000000002</v>
      </c>
      <c r="DG132" s="636">
        <v>1.226</v>
      </c>
      <c r="DH132" s="636">
        <v>1.151</v>
      </c>
      <c r="DI132" s="636">
        <v>0.92733333333333301</v>
      </c>
      <c r="DJ132" s="636">
        <v>2.7673333333333332</v>
      </c>
      <c r="DK132" s="636">
        <v>0.59333333333333305</v>
      </c>
      <c r="DL132" s="636">
        <v>0.93233333333333301</v>
      </c>
      <c r="DM132" s="636">
        <v>0.51333333333333298</v>
      </c>
      <c r="DN132" s="653">
        <v>4.7523333333333335</v>
      </c>
      <c r="DO132" s="636">
        <v>1.4860815520000001</v>
      </c>
      <c r="DP132" s="636">
        <v>1.3032587010000001</v>
      </c>
      <c r="DQ132" s="636">
        <v>1.5029023870000002</v>
      </c>
      <c r="DR132" s="636">
        <v>1.23835596</v>
      </c>
      <c r="DS132" s="636">
        <v>1.3050289470000001</v>
      </c>
      <c r="DT132" s="636">
        <v>1.540560894</v>
      </c>
      <c r="DU132" s="636">
        <v>1.8339000000000001</v>
      </c>
      <c r="DV132" s="636">
        <v>1.9316993130000002</v>
      </c>
      <c r="DW132" s="636">
        <v>1.6109846000000001</v>
      </c>
      <c r="DX132" s="636">
        <v>1.73517739232</v>
      </c>
      <c r="DY132" s="636">
        <v>1.7491621250000002</v>
      </c>
      <c r="DZ132" s="653">
        <v>5.2529499499999996</v>
      </c>
      <c r="EA132" s="636">
        <v>1.55479996015</v>
      </c>
      <c r="EB132" s="636">
        <v>1.4133283116400002</v>
      </c>
      <c r="EC132" s="636">
        <v>1.7199213688800001</v>
      </c>
      <c r="ED132" s="636">
        <v>1.8576222599999999</v>
      </c>
      <c r="EE132" s="636">
        <v>2.2950006219999999</v>
      </c>
      <c r="EF132" s="636">
        <v>1.5531993339999999</v>
      </c>
      <c r="EG132" s="636">
        <v>1.5705239884692239</v>
      </c>
      <c r="EH132" s="636">
        <v>1.3346904903339969</v>
      </c>
      <c r="EI132" s="636">
        <v>1.4630913663813738</v>
      </c>
      <c r="EJ132" s="636">
        <v>2.1263184440811842</v>
      </c>
      <c r="EK132" s="636">
        <v>1.7899194838205601</v>
      </c>
      <c r="EL132" s="653">
        <v>4.9373663601209739</v>
      </c>
      <c r="EM132" s="1209">
        <v>2.3158661470000008</v>
      </c>
      <c r="EN132" s="1209">
        <v>1.66682098</v>
      </c>
      <c r="EO132" s="1209">
        <v>1.7825671490000001</v>
      </c>
      <c r="EP132" s="1209">
        <v>3.948518075</v>
      </c>
      <c r="EQ132" s="1209">
        <v>5.1321451089999996</v>
      </c>
      <c r="ER132" s="1209">
        <v>1.4664984159999999</v>
      </c>
      <c r="ES132" s="1209">
        <v>2.4177871260000003</v>
      </c>
      <c r="ET132" s="1209">
        <v>2.0524311001000002</v>
      </c>
      <c r="EU132" s="1209">
        <v>2.1628895949999998</v>
      </c>
      <c r="EV132" s="1209">
        <v>2.1110113689999999</v>
      </c>
      <c r="EW132" s="1209">
        <v>2.5972149390000001</v>
      </c>
      <c r="EX132" s="1539">
        <v>3.1316391920000002</v>
      </c>
      <c r="EY132" s="1209"/>
      <c r="EZ132" s="1209"/>
      <c r="FA132" s="1209"/>
      <c r="FB132" s="1209"/>
      <c r="FC132" s="1209"/>
      <c r="FD132" s="1209"/>
      <c r="FE132" s="1209"/>
      <c r="FF132" s="1209"/>
      <c r="FG132" s="1209"/>
      <c r="FH132" s="1209"/>
      <c r="FI132" s="1209"/>
      <c r="FJ132" s="1539"/>
      <c r="FK132" s="1209"/>
      <c r="FL132" s="1209"/>
      <c r="FM132" s="1209"/>
      <c r="FN132" s="1209"/>
      <c r="FO132" s="1209"/>
      <c r="FP132" s="1209"/>
      <c r="FQ132" s="636"/>
      <c r="FR132" s="636"/>
      <c r="FS132" s="636"/>
      <c r="FT132" s="636"/>
      <c r="FU132" s="636"/>
      <c r="FV132" s="636"/>
      <c r="FW132" s="636"/>
      <c r="FX132" s="636"/>
      <c r="FY132" s="636"/>
      <c r="FZ132" s="636"/>
      <c r="GA132" s="636"/>
      <c r="GB132" s="636"/>
      <c r="GC132" s="636"/>
      <c r="GD132" s="636"/>
      <c r="GE132" s="636"/>
      <c r="GF132" s="636"/>
      <c r="GG132" s="636"/>
      <c r="GH132" s="636"/>
      <c r="GI132" s="636"/>
      <c r="GJ132" s="636"/>
      <c r="GK132" s="636"/>
      <c r="GL132" s="636"/>
      <c r="GM132" s="636"/>
      <c r="GN132" s="636"/>
      <c r="GO132" s="636"/>
      <c r="GP132" s="636"/>
      <c r="GQ132" s="636"/>
      <c r="GR132" s="636"/>
      <c r="GS132" s="636"/>
      <c r="GT132" s="636"/>
      <c r="GU132" s="636"/>
      <c r="GV132" s="636"/>
      <c r="GW132" s="636"/>
      <c r="GX132" s="636"/>
      <c r="GY132" s="636"/>
      <c r="GZ132" s="636"/>
      <c r="HA132" s="636"/>
      <c r="HB132" s="636"/>
      <c r="HC132" s="636"/>
      <c r="HD132" s="636"/>
      <c r="HE132" s="636"/>
      <c r="HF132" s="636"/>
      <c r="HG132" s="636"/>
      <c r="HH132" s="636"/>
      <c r="HI132" s="636"/>
      <c r="HJ132" s="636"/>
      <c r="HK132" s="636"/>
      <c r="HL132" s="636"/>
      <c r="HM132" s="636"/>
      <c r="HV132" s="302">
        <f>+SUM(DC132:DH132)</f>
        <v>7.4870000000000001</v>
      </c>
      <c r="HW132" s="302">
        <f>+SUM(DI132:DN132)</f>
        <v>10.485999999999999</v>
      </c>
      <c r="HX132" s="346">
        <f>+HV132+HW132</f>
        <v>17.972999999999999</v>
      </c>
      <c r="HY132" s="302">
        <f>SUM(DO132:DT132)</f>
        <v>8.376188441</v>
      </c>
      <c r="KH132" s="303"/>
    </row>
    <row r="133" spans="1:294" outlineLevel="1">
      <c r="B133" s="117" t="s">
        <v>361</v>
      </c>
      <c r="D133" s="325" t="s">
        <v>1044</v>
      </c>
      <c r="E133" s="316"/>
      <c r="F133" s="316"/>
      <c r="G133" s="316"/>
      <c r="H133" s="316"/>
      <c r="I133" s="316"/>
      <c r="J133" s="316"/>
      <c r="K133" s="316"/>
      <c r="L133" s="316"/>
      <c r="M133" s="316"/>
      <c r="N133" s="316"/>
      <c r="O133" s="316"/>
      <c r="P133" s="316"/>
      <c r="Q133" s="316"/>
      <c r="R133" s="316"/>
      <c r="S133" s="316"/>
      <c r="T133" s="316"/>
      <c r="U133" s="316"/>
      <c r="V133" s="316"/>
      <c r="W133" s="316"/>
      <c r="X133" s="316"/>
      <c r="Y133" s="316"/>
      <c r="Z133" s="316"/>
      <c r="AA133" s="316"/>
      <c r="AB133" s="316"/>
      <c r="AC133" s="316"/>
      <c r="AD133" s="316"/>
      <c r="AE133" s="316"/>
      <c r="AF133" s="316"/>
      <c r="AG133" s="316"/>
      <c r="AH133" s="316"/>
      <c r="AI133" s="316"/>
      <c r="AJ133" s="316"/>
      <c r="AK133" s="316"/>
      <c r="AL133" s="316"/>
      <c r="AM133" s="316"/>
      <c r="AN133" s="316"/>
      <c r="AO133" s="316"/>
      <c r="AP133" s="316"/>
      <c r="AQ133" s="316"/>
      <c r="AR133" s="316"/>
      <c r="AS133" s="316"/>
      <c r="AT133" s="316"/>
      <c r="AU133" s="316"/>
      <c r="AV133" s="316"/>
      <c r="AW133" s="316"/>
      <c r="AX133" s="316"/>
      <c r="AY133" s="316"/>
      <c r="AZ133" s="316"/>
      <c r="BA133" s="316"/>
      <c r="BB133" s="316"/>
      <c r="BC133" s="316"/>
      <c r="BD133" s="316"/>
      <c r="BE133" s="316"/>
      <c r="BF133" s="316"/>
      <c r="BG133" s="316"/>
      <c r="BH133" s="316"/>
      <c r="BI133" s="316"/>
      <c r="BJ133" s="316"/>
      <c r="BK133" s="316"/>
      <c r="BL133" s="316"/>
      <c r="BM133" s="316"/>
      <c r="BN133" s="316"/>
      <c r="BO133" s="316"/>
      <c r="BP133" s="316"/>
      <c r="BQ133" s="316"/>
      <c r="BR133" s="316"/>
      <c r="BS133" s="316"/>
      <c r="BT133" s="316"/>
      <c r="BU133" s="316"/>
      <c r="BV133" s="316"/>
      <c r="BW133" s="316"/>
      <c r="BX133" s="316"/>
      <c r="BY133" s="316">
        <v>1.7749999999999999</v>
      </c>
      <c r="BZ133" s="316">
        <v>2.165</v>
      </c>
      <c r="CA133" s="316">
        <v>1.3889999999999998</v>
      </c>
      <c r="CB133" s="316">
        <v>1.7400000000000002</v>
      </c>
      <c r="CC133" s="316">
        <v>3.875</v>
      </c>
      <c r="CD133" s="316">
        <v>1.917</v>
      </c>
      <c r="CE133" s="317">
        <v>10.472000000000001</v>
      </c>
      <c r="CF133" s="316">
        <v>2.8590000000000004</v>
      </c>
      <c r="CG133" s="316">
        <v>1.0840000000000001</v>
      </c>
      <c r="CH133" s="316">
        <v>1.286</v>
      </c>
      <c r="CI133" s="316">
        <v>1.881</v>
      </c>
      <c r="CJ133" s="316">
        <v>1.4</v>
      </c>
      <c r="CK133" s="316">
        <v>0.94499999999999995</v>
      </c>
      <c r="CL133" s="316">
        <v>1.7269999999999999</v>
      </c>
      <c r="CM133" s="316">
        <v>1.5229999999999999</v>
      </c>
      <c r="CN133" s="316">
        <v>1.4390000000000001</v>
      </c>
      <c r="CO133" s="316">
        <v>2.016</v>
      </c>
      <c r="CP133" s="318">
        <v>2.3129999999999997</v>
      </c>
      <c r="CQ133" s="316">
        <v>0.79100000000000015</v>
      </c>
      <c r="CR133" s="316">
        <v>3.1680000000000001</v>
      </c>
      <c r="CS133" s="316">
        <v>3.8839999999999999</v>
      </c>
      <c r="CT133" s="316">
        <v>1.0720000000000001</v>
      </c>
      <c r="CU133" s="316">
        <v>1.145</v>
      </c>
      <c r="CV133" s="316">
        <v>1.1459999999999999</v>
      </c>
      <c r="CW133" s="316">
        <v>1.3010000000000002</v>
      </c>
      <c r="CX133" s="316">
        <v>1.2909999999999999</v>
      </c>
      <c r="CY133" s="316">
        <v>1.127</v>
      </c>
      <c r="CZ133" s="316">
        <v>1.2749999999999999</v>
      </c>
      <c r="DA133" s="316">
        <v>1.6280000000000001</v>
      </c>
      <c r="DB133" s="1498">
        <v>6.516</v>
      </c>
      <c r="DC133" s="316">
        <v>0.84399999999999997</v>
      </c>
      <c r="DD133" s="316">
        <v>0.68300000000000005</v>
      </c>
      <c r="DE133" s="316">
        <v>1.2350000000000001</v>
      </c>
      <c r="DF133" s="316">
        <v>0.65400000000000003</v>
      </c>
      <c r="DG133" s="316">
        <v>0.67200000000000004</v>
      </c>
      <c r="DH133" s="316">
        <v>0.51900000000000002</v>
      </c>
      <c r="DI133" s="316">
        <v>0.52733333333333299</v>
      </c>
      <c r="DJ133" s="316">
        <v>0.45833333333333298</v>
      </c>
      <c r="DK133" s="316">
        <v>0.39333333333333298</v>
      </c>
      <c r="DL133" s="316">
        <v>0.46033333333333298</v>
      </c>
      <c r="DM133" s="316">
        <v>0.44733333333333303</v>
      </c>
      <c r="DN133" s="318">
        <v>0.55133333333333301</v>
      </c>
      <c r="DO133" s="316">
        <v>1.2610815520000001</v>
      </c>
      <c r="DP133" s="316">
        <v>1.273258701</v>
      </c>
      <c r="DQ133" s="316">
        <v>1.4369023870000002</v>
      </c>
      <c r="DR133" s="316">
        <v>1.1573559600000001</v>
      </c>
      <c r="DS133" s="316">
        <v>0.98302894699999999</v>
      </c>
      <c r="DT133" s="316">
        <v>1.380560894</v>
      </c>
      <c r="DU133" s="316">
        <v>1.3889</v>
      </c>
      <c r="DV133" s="316">
        <v>1.2786993130000002</v>
      </c>
      <c r="DW133" s="316">
        <v>1.5199846000000001</v>
      </c>
      <c r="DX133" s="316">
        <v>0.81137739231999995</v>
      </c>
      <c r="DY133" s="316">
        <v>1.3393621250000001</v>
      </c>
      <c r="DZ133" s="318">
        <v>1.3779499500000001</v>
      </c>
      <c r="EA133" s="316">
        <v>1.4307999601499999</v>
      </c>
      <c r="EB133" s="316">
        <v>1.3013283116400001</v>
      </c>
      <c r="EC133" s="316">
        <v>1.59592136888</v>
      </c>
      <c r="ED133" s="316">
        <v>1.2846222599999999</v>
      </c>
      <c r="EE133" s="316">
        <v>1.3630006219999999</v>
      </c>
      <c r="EF133" s="316">
        <v>1.4941993339999999</v>
      </c>
      <c r="EG133" s="316">
        <v>1.281523988469224</v>
      </c>
      <c r="EH133" s="316">
        <v>1.299690490333997</v>
      </c>
      <c r="EI133" s="316">
        <v>1.3980913663813739</v>
      </c>
      <c r="EJ133" s="316">
        <v>1.6513184440811841</v>
      </c>
      <c r="EK133" s="316">
        <v>1.6609034838205601</v>
      </c>
      <c r="EL133" s="318">
        <v>2.222347445120973</v>
      </c>
      <c r="EM133" s="1206">
        <v>1.1538661470000009</v>
      </c>
      <c r="EN133" s="1206">
        <v>1.42682098</v>
      </c>
      <c r="EO133" s="1206">
        <v>1.386567149</v>
      </c>
      <c r="EP133" s="1206">
        <v>2.4215180750000003</v>
      </c>
      <c r="EQ133" s="1206">
        <v>2.1481451090000001</v>
      </c>
      <c r="ER133" s="1206">
        <v>1.2744984159999999</v>
      </c>
      <c r="ES133" s="1206">
        <v>1.7497871260000002</v>
      </c>
      <c r="ET133" s="1206">
        <v>1.8224311001</v>
      </c>
      <c r="EU133" s="1206">
        <v>1.9678895949999999</v>
      </c>
      <c r="EV133" s="1206">
        <v>1.878011369</v>
      </c>
      <c r="EW133" s="1206">
        <v>2.0192149390000003</v>
      </c>
      <c r="EX133" s="1550">
        <v>2.0186391920000002</v>
      </c>
      <c r="EY133" s="1206"/>
      <c r="EZ133" s="1206"/>
      <c r="FA133" s="1206"/>
      <c r="FB133" s="1206"/>
      <c r="FC133" s="1206"/>
      <c r="FD133" s="1206"/>
      <c r="FE133" s="1206"/>
      <c r="FF133" s="1206"/>
      <c r="FG133" s="1206"/>
      <c r="FH133" s="1206"/>
      <c r="FI133" s="1206"/>
      <c r="FJ133" s="1550"/>
      <c r="FK133" s="1206"/>
      <c r="FL133" s="1206"/>
      <c r="FM133" s="1206"/>
      <c r="FN133" s="1206"/>
      <c r="FO133" s="1206"/>
      <c r="FP133" s="1206"/>
      <c r="FQ133" s="316"/>
      <c r="FR133" s="316"/>
      <c r="FS133" s="316"/>
      <c r="FT133" s="316"/>
      <c r="FU133" s="316"/>
      <c r="FV133" s="316"/>
      <c r="FW133" s="316"/>
      <c r="FX133" s="316"/>
      <c r="FY133" s="316"/>
      <c r="FZ133" s="316"/>
      <c r="GA133" s="316"/>
      <c r="GB133" s="316"/>
      <c r="GC133" s="316"/>
      <c r="GD133" s="316"/>
      <c r="GE133" s="316"/>
      <c r="GF133" s="316"/>
      <c r="GG133" s="316"/>
      <c r="GH133" s="316"/>
      <c r="GI133" s="316"/>
      <c r="GJ133" s="316"/>
      <c r="GK133" s="316"/>
      <c r="GL133" s="316"/>
      <c r="GM133" s="316"/>
      <c r="GN133" s="316"/>
      <c r="GO133" s="316"/>
      <c r="GP133" s="316"/>
      <c r="GQ133" s="316"/>
      <c r="GR133" s="316"/>
      <c r="GS133" s="316"/>
      <c r="GT133" s="316"/>
      <c r="GU133" s="316"/>
      <c r="GV133" s="316"/>
      <c r="GW133" s="316"/>
      <c r="GX133" s="316"/>
      <c r="GY133" s="316"/>
      <c r="GZ133" s="316"/>
      <c r="HA133" s="316"/>
      <c r="HB133" s="316"/>
      <c r="HC133" s="316"/>
      <c r="HD133" s="316"/>
      <c r="HE133" s="316"/>
      <c r="HF133" s="316"/>
      <c r="HG133" s="316"/>
      <c r="HH133" s="316"/>
      <c r="HI133" s="316"/>
      <c r="HJ133" s="316"/>
      <c r="HK133" s="316"/>
      <c r="HL133" s="316"/>
      <c r="HM133" s="316"/>
      <c r="HV133" s="302">
        <f>+SUM(DC133:DH133)</f>
        <v>4.6070000000000002</v>
      </c>
      <c r="HW133" s="302">
        <f>+SUM(DI133:DN133)</f>
        <v>2.8379999999999983</v>
      </c>
      <c r="HX133" s="346">
        <f>+HV133+HW133</f>
        <v>7.4449999999999985</v>
      </c>
      <c r="HY133" s="302">
        <f>SUM(DO133:DT133)</f>
        <v>7.4921884410000006</v>
      </c>
      <c r="KH133" s="303"/>
    </row>
    <row r="134" spans="1:294" outlineLevel="1">
      <c r="B134" s="117" t="s">
        <v>361</v>
      </c>
      <c r="D134" s="325" t="s">
        <v>1039</v>
      </c>
      <c r="E134" s="316"/>
      <c r="F134" s="316"/>
      <c r="G134" s="316"/>
      <c r="H134" s="316"/>
      <c r="I134" s="316"/>
      <c r="J134" s="316"/>
      <c r="K134" s="316"/>
      <c r="L134" s="316"/>
      <c r="M134" s="316"/>
      <c r="N134" s="316"/>
      <c r="O134" s="316"/>
      <c r="P134" s="316"/>
      <c r="Q134" s="316"/>
      <c r="R134" s="316"/>
      <c r="S134" s="316"/>
      <c r="T134" s="316"/>
      <c r="U134" s="316"/>
      <c r="V134" s="316"/>
      <c r="W134" s="316"/>
      <c r="X134" s="316"/>
      <c r="Y134" s="316"/>
      <c r="Z134" s="316"/>
      <c r="AA134" s="316"/>
      <c r="AB134" s="316"/>
      <c r="AC134" s="316"/>
      <c r="AD134" s="316"/>
      <c r="AE134" s="316"/>
      <c r="AF134" s="316"/>
      <c r="AG134" s="316"/>
      <c r="AH134" s="316"/>
      <c r="AI134" s="316"/>
      <c r="AJ134" s="316"/>
      <c r="AK134" s="316"/>
      <c r="AL134" s="316"/>
      <c r="AM134" s="316"/>
      <c r="AN134" s="316"/>
      <c r="AO134" s="316"/>
      <c r="AP134" s="316"/>
      <c r="AQ134" s="316"/>
      <c r="AR134" s="316"/>
      <c r="AS134" s="316"/>
      <c r="AT134" s="316"/>
      <c r="AU134" s="316"/>
      <c r="AV134" s="316"/>
      <c r="AW134" s="316"/>
      <c r="AX134" s="316"/>
      <c r="AY134" s="316"/>
      <c r="AZ134" s="316"/>
      <c r="BA134" s="316"/>
      <c r="BB134" s="316"/>
      <c r="BC134" s="316"/>
      <c r="BD134" s="316"/>
      <c r="BE134" s="316"/>
      <c r="BF134" s="316"/>
      <c r="BG134" s="316"/>
      <c r="BH134" s="316"/>
      <c r="BI134" s="316"/>
      <c r="BJ134" s="316"/>
      <c r="BK134" s="316"/>
      <c r="BL134" s="316"/>
      <c r="BM134" s="316"/>
      <c r="BN134" s="316"/>
      <c r="BO134" s="316"/>
      <c r="BP134" s="316"/>
      <c r="BQ134" s="316"/>
      <c r="BR134" s="316"/>
      <c r="BS134" s="316"/>
      <c r="BT134" s="316"/>
      <c r="BU134" s="316"/>
      <c r="BV134" s="316"/>
      <c r="BW134" s="316"/>
      <c r="BX134" s="316"/>
      <c r="BY134" s="316"/>
      <c r="BZ134" s="316"/>
      <c r="CA134" s="316"/>
      <c r="CB134" s="316"/>
      <c r="CC134" s="316"/>
      <c r="CD134" s="316"/>
      <c r="CE134" s="317"/>
      <c r="CF134" s="316"/>
      <c r="CG134" s="316"/>
      <c r="CH134" s="316"/>
      <c r="CI134" s="316"/>
      <c r="CJ134" s="316"/>
      <c r="CK134" s="316"/>
      <c r="CL134" s="316"/>
      <c r="CM134" s="316"/>
      <c r="CN134" s="316"/>
      <c r="CO134" s="316"/>
      <c r="CP134" s="318"/>
      <c r="CQ134" s="316"/>
      <c r="CR134" s="316"/>
      <c r="CS134" s="316"/>
      <c r="CT134" s="316"/>
      <c r="CU134" s="316"/>
      <c r="CV134" s="316"/>
      <c r="CW134" s="316"/>
      <c r="CX134" s="316"/>
      <c r="CY134" s="316"/>
      <c r="CZ134" s="316"/>
      <c r="DA134" s="316"/>
      <c r="DB134" s="1498"/>
      <c r="DC134" s="316">
        <v>9.4E-2</v>
      </c>
      <c r="DD134" s="316">
        <v>0.30499999999999999</v>
      </c>
      <c r="DE134" s="316">
        <v>0.76500000000000001</v>
      </c>
      <c r="DF134" s="316">
        <v>0.53</v>
      </c>
      <c r="DG134" s="316">
        <v>0.55400000000000005</v>
      </c>
      <c r="DH134" s="316">
        <v>0.63200000000000001</v>
      </c>
      <c r="DI134" s="316">
        <v>0.4</v>
      </c>
      <c r="DJ134" s="316">
        <v>2.3090000000000002</v>
      </c>
      <c r="DK134" s="316">
        <v>0.2</v>
      </c>
      <c r="DL134" s="316">
        <v>0.47200000000000003</v>
      </c>
      <c r="DM134" s="316">
        <v>6.6000000000000003E-2</v>
      </c>
      <c r="DN134" s="318">
        <v>4.2010000000000005</v>
      </c>
      <c r="DO134" s="316">
        <v>0.22500000000000001</v>
      </c>
      <c r="DP134" s="316">
        <v>0.03</v>
      </c>
      <c r="DQ134" s="316">
        <v>6.6000000000000003E-2</v>
      </c>
      <c r="DR134" s="316">
        <v>8.1000000000000003E-2</v>
      </c>
      <c r="DS134" s="316">
        <v>0.32200000000000001</v>
      </c>
      <c r="DT134" s="316">
        <v>0.16</v>
      </c>
      <c r="DU134" s="316">
        <v>0.44500000000000001</v>
      </c>
      <c r="DV134" s="316">
        <v>0.65300000000000002</v>
      </c>
      <c r="DW134" s="316">
        <v>9.0999999999999998E-2</v>
      </c>
      <c r="DX134" s="316">
        <v>0.92380000000000007</v>
      </c>
      <c r="DY134" s="316">
        <v>0.40980000000000005</v>
      </c>
      <c r="DZ134" s="318">
        <v>3.875</v>
      </c>
      <c r="EA134" s="316">
        <v>0.124</v>
      </c>
      <c r="EB134" s="316">
        <v>0.112</v>
      </c>
      <c r="EC134" s="316">
        <v>0.124</v>
      </c>
      <c r="ED134" s="316">
        <v>0.57299999999999995</v>
      </c>
      <c r="EE134" s="316">
        <v>0.93200000000000005</v>
      </c>
      <c r="EF134" s="316">
        <v>5.8999999999999997E-2</v>
      </c>
      <c r="EG134" s="316">
        <v>0.28899999999999998</v>
      </c>
      <c r="EH134" s="316">
        <v>3.5000000000000003E-2</v>
      </c>
      <c r="EI134" s="316">
        <v>6.5000000000000002E-2</v>
      </c>
      <c r="EJ134" s="316">
        <v>0.47499999999999998</v>
      </c>
      <c r="EK134" s="316">
        <v>0.12901599999999999</v>
      </c>
      <c r="EL134" s="318">
        <v>2.7150189150000004</v>
      </c>
      <c r="EM134" s="1206">
        <v>1.1619999999999999</v>
      </c>
      <c r="EN134" s="1206">
        <v>0.24</v>
      </c>
      <c r="EO134" s="1206">
        <v>0.39600000000000002</v>
      </c>
      <c r="EP134" s="1206">
        <v>1.5269999999999999</v>
      </c>
      <c r="EQ134" s="1206">
        <v>2.984</v>
      </c>
      <c r="ER134" s="1206">
        <v>0.192</v>
      </c>
      <c r="ES134" s="1206">
        <v>0.66800000000000004</v>
      </c>
      <c r="ET134" s="1206">
        <v>0.23</v>
      </c>
      <c r="EU134" s="1206">
        <v>0.19500000000000001</v>
      </c>
      <c r="EV134" s="1206">
        <v>0.23300000000000001</v>
      </c>
      <c r="EW134" s="1206">
        <v>0.57799999999999996</v>
      </c>
      <c r="EX134" s="1550">
        <v>1.113</v>
      </c>
      <c r="EY134" s="1206"/>
      <c r="EZ134" s="1206"/>
      <c r="FA134" s="1206"/>
      <c r="FB134" s="1206"/>
      <c r="FC134" s="1206"/>
      <c r="FD134" s="1206"/>
      <c r="FE134" s="1206"/>
      <c r="FF134" s="1206"/>
      <c r="FG134" s="1206"/>
      <c r="FH134" s="1206"/>
      <c r="FI134" s="1206"/>
      <c r="FJ134" s="1550"/>
      <c r="FK134" s="1206"/>
      <c r="FL134" s="1206"/>
      <c r="FM134" s="1206"/>
      <c r="FN134" s="1206"/>
      <c r="FO134" s="1206"/>
      <c r="FP134" s="1206"/>
      <c r="FQ134" s="316"/>
      <c r="FR134" s="316"/>
      <c r="FS134" s="316"/>
      <c r="FT134" s="316"/>
      <c r="FU134" s="316"/>
      <c r="FV134" s="316"/>
      <c r="FW134" s="316"/>
      <c r="FX134" s="316"/>
      <c r="FY134" s="316"/>
      <c r="FZ134" s="316"/>
      <c r="GA134" s="316"/>
      <c r="GB134" s="316"/>
      <c r="GC134" s="316"/>
      <c r="GD134" s="316"/>
      <c r="GE134" s="316"/>
      <c r="GF134" s="316"/>
      <c r="GG134" s="316"/>
      <c r="GH134" s="316"/>
      <c r="GI134" s="316"/>
      <c r="GJ134" s="316"/>
      <c r="GK134" s="316"/>
      <c r="GL134" s="316"/>
      <c r="GM134" s="316"/>
      <c r="GN134" s="316"/>
      <c r="GO134" s="316"/>
      <c r="GP134" s="316"/>
      <c r="GQ134" s="316"/>
      <c r="GR134" s="316"/>
      <c r="GS134" s="316"/>
      <c r="GT134" s="316"/>
      <c r="GU134" s="316"/>
      <c r="GV134" s="316"/>
      <c r="GW134" s="316"/>
      <c r="GX134" s="316"/>
      <c r="GY134" s="316"/>
      <c r="GZ134" s="316"/>
      <c r="HA134" s="316"/>
      <c r="HB134" s="316"/>
      <c r="HC134" s="316"/>
      <c r="HD134" s="316"/>
      <c r="HE134" s="316"/>
      <c r="HF134" s="316"/>
      <c r="HG134" s="316"/>
      <c r="HH134" s="316"/>
      <c r="HI134" s="316"/>
      <c r="HJ134" s="316"/>
      <c r="HK134" s="316"/>
      <c r="HL134" s="316"/>
      <c r="HM134" s="316"/>
      <c r="HV134" s="302">
        <f>+SUM(DC134:DH134)</f>
        <v>2.8800000000000003</v>
      </c>
      <c r="HW134" s="302">
        <f>+SUM(DI134:DN134)</f>
        <v>7.6480000000000006</v>
      </c>
      <c r="HX134" s="346">
        <f>+HV134+HW134</f>
        <v>10.528</v>
      </c>
      <c r="HY134" s="302">
        <f>SUM(DO134:DT134)</f>
        <v>0.88400000000000001</v>
      </c>
      <c r="KH134" s="303"/>
    </row>
    <row r="135" spans="1:294" outlineLevel="1">
      <c r="D135" s="675" t="s">
        <v>1234</v>
      </c>
      <c r="CP135" s="303"/>
      <c r="DC135" s="859" t="s">
        <v>1038</v>
      </c>
      <c r="EA135" s="302"/>
      <c r="EB135" s="302"/>
      <c r="EC135" s="302"/>
      <c r="ED135" s="302"/>
      <c r="EE135" s="302"/>
      <c r="EF135" s="302"/>
      <c r="EG135" s="302"/>
      <c r="EH135" s="302"/>
      <c r="EI135" s="302"/>
      <c r="EJ135" s="302"/>
      <c r="EK135" s="302"/>
      <c r="EL135" s="303"/>
      <c r="EM135" s="1208"/>
      <c r="EN135" s="1208"/>
      <c r="EO135" s="1208">
        <v>2.1669842020000001</v>
      </c>
      <c r="EP135" s="1208"/>
      <c r="EQ135" s="1208"/>
      <c r="ER135" s="1208">
        <v>2.2170388330000002</v>
      </c>
      <c r="ES135" s="1208">
        <v>0</v>
      </c>
      <c r="ET135" s="1208">
        <v>0</v>
      </c>
      <c r="EU135" s="1208">
        <v>1.9034152189999993</v>
      </c>
      <c r="EV135" s="1208">
        <v>0</v>
      </c>
      <c r="EW135" s="1208">
        <v>0</v>
      </c>
      <c r="EX135" s="1560">
        <v>2.1224270360000013</v>
      </c>
      <c r="EY135" s="1208"/>
      <c r="EZ135" s="1208"/>
      <c r="FA135" s="1208"/>
      <c r="FB135" s="1208"/>
      <c r="FC135" s="1208"/>
      <c r="FD135" s="1208"/>
      <c r="FE135" s="1208"/>
      <c r="FF135" s="1208"/>
      <c r="FG135" s="1208"/>
      <c r="FH135" s="1208"/>
      <c r="FI135" s="1208"/>
      <c r="FJ135" s="1560"/>
      <c r="FK135" s="1208"/>
      <c r="FL135" s="1208"/>
      <c r="FM135" s="1208"/>
      <c r="FN135" s="1208"/>
      <c r="FO135" s="1208"/>
      <c r="FP135" s="1208"/>
      <c r="FQ135" s="302"/>
      <c r="FR135" s="302"/>
      <c r="FS135" s="302"/>
      <c r="FT135" s="302"/>
      <c r="FU135" s="302"/>
      <c r="FV135" s="302"/>
      <c r="FW135" s="302"/>
      <c r="FX135" s="302"/>
      <c r="FY135" s="302"/>
      <c r="FZ135" s="302"/>
      <c r="GA135" s="302"/>
      <c r="GB135" s="302"/>
      <c r="GC135" s="302"/>
      <c r="GD135" s="302"/>
      <c r="GE135" s="302"/>
      <c r="GF135" s="302"/>
      <c r="GG135" s="302"/>
      <c r="GH135" s="302"/>
      <c r="GI135" s="302"/>
      <c r="GJ135" s="302"/>
      <c r="GK135" s="302"/>
      <c r="GL135" s="302"/>
      <c r="GM135" s="302"/>
      <c r="GN135" s="302"/>
      <c r="GO135" s="302"/>
      <c r="GP135" s="302"/>
      <c r="GQ135" s="302"/>
      <c r="GR135" s="302"/>
      <c r="GS135" s="302"/>
      <c r="GT135" s="302"/>
      <c r="GU135" s="302"/>
      <c r="GV135" s="302"/>
      <c r="GW135" s="302"/>
      <c r="GX135" s="302"/>
      <c r="GY135" s="302"/>
      <c r="GZ135" s="302"/>
      <c r="HA135" s="302"/>
      <c r="HB135" s="302"/>
      <c r="HC135" s="302"/>
      <c r="HD135" s="302"/>
      <c r="HE135" s="302"/>
      <c r="HF135" s="302"/>
      <c r="HG135" s="302"/>
      <c r="HH135" s="302"/>
      <c r="HI135" s="302"/>
      <c r="HJ135" s="302"/>
      <c r="HK135" s="302"/>
      <c r="HL135" s="302"/>
      <c r="HM135" s="302"/>
      <c r="HX135" s="937"/>
      <c r="KH135" s="303"/>
    </row>
    <row r="136" spans="1:294" outlineLevel="1">
      <c r="D136" s="675" t="s">
        <v>1235</v>
      </c>
      <c r="CP136" s="303"/>
      <c r="EA136" s="302"/>
      <c r="EB136" s="302"/>
      <c r="EC136" s="302"/>
      <c r="ED136" s="302"/>
      <c r="EE136" s="302"/>
      <c r="EF136" s="302"/>
      <c r="EG136" s="302"/>
      <c r="EH136" s="302"/>
      <c r="EI136" s="302"/>
      <c r="EJ136" s="302"/>
      <c r="EK136" s="302"/>
      <c r="EL136" s="303"/>
      <c r="EM136" s="1208"/>
      <c r="EN136" s="1208"/>
      <c r="EO136" s="1208">
        <v>5.0329786810000003</v>
      </c>
      <c r="EP136" s="1208"/>
      <c r="EQ136" s="1208"/>
      <c r="ER136" s="1208">
        <v>4.2359017769999996</v>
      </c>
      <c r="ES136" s="1208">
        <v>0</v>
      </c>
      <c r="ET136" s="1208">
        <v>0</v>
      </c>
      <c r="EU136" s="1208">
        <v>4.5140113359999994</v>
      </c>
      <c r="EV136" s="1208">
        <v>0</v>
      </c>
      <c r="EW136" s="1208">
        <v>0</v>
      </c>
      <c r="EX136" s="1560">
        <v>6.1646746080000003</v>
      </c>
      <c r="EY136" s="1208"/>
      <c r="EZ136" s="1208"/>
      <c r="FA136" s="1208"/>
      <c r="FB136" s="1208"/>
      <c r="FC136" s="1208"/>
      <c r="FD136" s="1208"/>
      <c r="FE136" s="1208"/>
      <c r="FF136" s="1208"/>
      <c r="FG136" s="1208"/>
      <c r="FH136" s="1208"/>
      <c r="FI136" s="1208"/>
      <c r="FJ136" s="1560"/>
      <c r="FK136" s="1208"/>
      <c r="FL136" s="1208"/>
      <c r="FM136" s="1208"/>
      <c r="FN136" s="1208"/>
      <c r="FO136" s="1208"/>
      <c r="FP136" s="1208"/>
      <c r="FQ136" s="302"/>
      <c r="FR136" s="302"/>
      <c r="FS136" s="302"/>
      <c r="FT136" s="302"/>
      <c r="FU136" s="302"/>
      <c r="FV136" s="302"/>
      <c r="FW136" s="302"/>
      <c r="FX136" s="302"/>
      <c r="FY136" s="302"/>
      <c r="FZ136" s="302"/>
      <c r="GA136" s="302"/>
      <c r="GB136" s="302"/>
      <c r="GC136" s="302"/>
      <c r="GD136" s="302"/>
      <c r="GE136" s="302"/>
      <c r="GF136" s="302"/>
      <c r="GG136" s="302"/>
      <c r="GH136" s="302"/>
      <c r="GI136" s="302"/>
      <c r="GJ136" s="302"/>
      <c r="GK136" s="302"/>
      <c r="GL136" s="302"/>
      <c r="GM136" s="302"/>
      <c r="GN136" s="302"/>
      <c r="GO136" s="302"/>
      <c r="GP136" s="302"/>
      <c r="GQ136" s="302"/>
      <c r="GR136" s="302"/>
      <c r="GS136" s="302"/>
      <c r="GT136" s="302"/>
      <c r="GU136" s="302"/>
      <c r="GV136" s="302"/>
      <c r="GW136" s="302"/>
      <c r="GX136" s="302"/>
      <c r="GY136" s="302"/>
      <c r="GZ136" s="302"/>
      <c r="HA136" s="302"/>
      <c r="HB136" s="302"/>
      <c r="HC136" s="302"/>
      <c r="HD136" s="302"/>
      <c r="HE136" s="302"/>
      <c r="HF136" s="302"/>
      <c r="HG136" s="302"/>
      <c r="HH136" s="302"/>
      <c r="HI136" s="302"/>
      <c r="HJ136" s="302"/>
      <c r="HK136" s="302"/>
      <c r="HL136" s="302"/>
      <c r="HM136" s="302"/>
      <c r="HX136" s="937"/>
      <c r="KH136" s="303"/>
    </row>
    <row r="137" spans="1:294" outlineLevel="1">
      <c r="B137" s="117" t="s">
        <v>361</v>
      </c>
      <c r="D137" s="884" t="s">
        <v>1045</v>
      </c>
      <c r="E137" s="316"/>
      <c r="F137" s="316"/>
      <c r="G137" s="316"/>
      <c r="H137" s="316"/>
      <c r="I137" s="316"/>
      <c r="J137" s="316"/>
      <c r="K137" s="316"/>
      <c r="L137" s="316"/>
      <c r="M137" s="316"/>
      <c r="N137" s="316"/>
      <c r="O137" s="316"/>
      <c r="P137" s="316"/>
      <c r="Q137" s="316"/>
      <c r="R137" s="316"/>
      <c r="S137" s="316"/>
      <c r="T137" s="316"/>
      <c r="U137" s="316"/>
      <c r="V137" s="316"/>
      <c r="W137" s="316"/>
      <c r="X137" s="316"/>
      <c r="Y137" s="316"/>
      <c r="Z137" s="316"/>
      <c r="AA137" s="316"/>
      <c r="AB137" s="316"/>
      <c r="AC137" s="316"/>
      <c r="AD137" s="316"/>
      <c r="AE137" s="316"/>
      <c r="AF137" s="316"/>
      <c r="AG137" s="316"/>
      <c r="AH137" s="316"/>
      <c r="AI137" s="316"/>
      <c r="AJ137" s="316"/>
      <c r="AK137" s="316"/>
      <c r="AL137" s="316"/>
      <c r="AM137" s="316"/>
      <c r="AN137" s="316"/>
      <c r="AO137" s="316"/>
      <c r="AP137" s="316"/>
      <c r="AQ137" s="316"/>
      <c r="AR137" s="316"/>
      <c r="AS137" s="316"/>
      <c r="AT137" s="316"/>
      <c r="AU137" s="316"/>
      <c r="AV137" s="316"/>
      <c r="AW137" s="316"/>
      <c r="AX137" s="316"/>
      <c r="AY137" s="316"/>
      <c r="AZ137" s="316"/>
      <c r="BA137" s="316"/>
      <c r="BB137" s="316"/>
      <c r="BC137" s="316"/>
      <c r="BD137" s="316"/>
      <c r="BE137" s="316"/>
      <c r="BF137" s="316"/>
      <c r="BG137" s="316"/>
      <c r="BH137" s="316"/>
      <c r="BI137" s="316"/>
      <c r="BJ137" s="316"/>
      <c r="BK137" s="316"/>
      <c r="BL137" s="316"/>
      <c r="BM137" s="316"/>
      <c r="BN137" s="316"/>
      <c r="BO137" s="316"/>
      <c r="BP137" s="316"/>
      <c r="BQ137" s="316"/>
      <c r="BR137" s="316"/>
      <c r="BS137" s="316"/>
      <c r="BT137" s="316"/>
      <c r="BU137" s="316"/>
      <c r="BV137" s="316"/>
      <c r="BW137" s="316"/>
      <c r="BX137" s="316"/>
      <c r="BY137" s="316"/>
      <c r="BZ137" s="316"/>
      <c r="CA137" s="316"/>
      <c r="CB137" s="316"/>
      <c r="CC137" s="316"/>
      <c r="CD137" s="316"/>
      <c r="CE137" s="317"/>
      <c r="CF137" s="316"/>
      <c r="CG137" s="316"/>
      <c r="CH137" s="316"/>
      <c r="CI137" s="316"/>
      <c r="CJ137" s="316">
        <v>-42.1</v>
      </c>
      <c r="CK137" s="316">
        <v>-55.835000000000001</v>
      </c>
      <c r="CL137" s="316">
        <v>-50.628</v>
      </c>
      <c r="CM137" s="316">
        <v>-31.905000000000001</v>
      </c>
      <c r="CN137" s="316">
        <v>-68.67</v>
      </c>
      <c r="CO137" s="316">
        <v>-41.345999999999997</v>
      </c>
      <c r="CP137" s="318">
        <v>-62.701000000000001</v>
      </c>
      <c r="CQ137" s="316">
        <v>-62.475999999999999</v>
      </c>
      <c r="CR137" s="316">
        <v>-52.615000000000002</v>
      </c>
      <c r="CS137" s="316">
        <v>-78.575000000000003</v>
      </c>
      <c r="CT137" s="316">
        <v>-78.662999999999997</v>
      </c>
      <c r="CU137" s="316">
        <v>-63.889000000000003</v>
      </c>
      <c r="CV137" s="316">
        <v>-48.43</v>
      </c>
      <c r="CW137" s="316">
        <v>-78.796000000000006</v>
      </c>
      <c r="CX137" s="316">
        <v>-48.283999999999999</v>
      </c>
      <c r="CY137" s="316">
        <v>-72.105999999999995</v>
      </c>
      <c r="CZ137" s="316">
        <v>-69.093000000000004</v>
      </c>
      <c r="DA137" s="316">
        <v>-56.77</v>
      </c>
      <c r="DB137" s="1498">
        <v>-73.935000000000002</v>
      </c>
      <c r="DC137" s="316">
        <v>-69.454999999999998</v>
      </c>
      <c r="DD137" s="316">
        <v>-80.787000000000006</v>
      </c>
      <c r="DE137" s="316">
        <v>-88.798000000000002</v>
      </c>
      <c r="DF137" s="316">
        <v>-82.034999999999997</v>
      </c>
      <c r="DG137" s="316">
        <v>-70.287000000000006</v>
      </c>
      <c r="DH137" s="316">
        <v>-65.227999999999994</v>
      </c>
      <c r="DI137" s="316">
        <v>-87.281000000000006</v>
      </c>
      <c r="DJ137" s="316">
        <v>-65.652000000000001</v>
      </c>
      <c r="DK137" s="316">
        <v>-82.034999999999997</v>
      </c>
      <c r="DL137" s="316">
        <v>-78.855000000000004</v>
      </c>
      <c r="DM137" s="316">
        <v>-85.396000000000001</v>
      </c>
      <c r="DN137" s="318">
        <v>-74.513999999999996</v>
      </c>
      <c r="DO137" s="316">
        <v>-93.899000000000001</v>
      </c>
      <c r="DP137" s="316">
        <v>-99.227000000000004</v>
      </c>
      <c r="DQ137" s="316">
        <v>-76.097999999999999</v>
      </c>
      <c r="DR137" s="316">
        <v>-86.415000000000006</v>
      </c>
      <c r="DS137" s="316">
        <v>-98.549000000000007</v>
      </c>
      <c r="DT137" s="316">
        <v>-70.534000000000006</v>
      </c>
      <c r="DU137" s="316"/>
      <c r="DV137" s="316"/>
      <c r="DW137" s="316"/>
      <c r="DX137" s="316"/>
      <c r="DY137" s="316"/>
      <c r="DZ137" s="318"/>
      <c r="EA137" s="1201">
        <v>0</v>
      </c>
      <c r="EB137" s="1201">
        <v>6.0361455000000001E-2</v>
      </c>
      <c r="EC137" s="1201">
        <v>0.38033745400000002</v>
      </c>
      <c r="ED137" s="1201">
        <v>0</v>
      </c>
      <c r="EE137" s="1201">
        <v>0</v>
      </c>
      <c r="EF137" s="1201">
        <v>0.31945733199999998</v>
      </c>
      <c r="EG137" s="1201">
        <v>0</v>
      </c>
      <c r="EH137" s="1201">
        <v>0</v>
      </c>
      <c r="EI137" s="1201">
        <v>0.34307549599999998</v>
      </c>
      <c r="EJ137" s="1201">
        <v>0</v>
      </c>
      <c r="EK137" s="1201">
        <v>0</v>
      </c>
      <c r="EL137" s="1549">
        <v>0.47444173899999997</v>
      </c>
      <c r="EM137" s="1216">
        <v>0</v>
      </c>
      <c r="EN137" s="1216">
        <v>0</v>
      </c>
      <c r="EO137" s="1216">
        <v>0.68899293399999995</v>
      </c>
      <c r="EP137" s="1216">
        <v>0</v>
      </c>
      <c r="EQ137" s="1216">
        <v>0</v>
      </c>
      <c r="ER137" s="1216">
        <v>0</v>
      </c>
      <c r="ES137" s="1206"/>
      <c r="ET137" s="1206"/>
      <c r="EU137" s="1206"/>
      <c r="EV137" s="1206"/>
      <c r="EW137" s="1206"/>
      <c r="EX137" s="1550"/>
      <c r="EY137" s="1206"/>
      <c r="EZ137" s="1206"/>
      <c r="FA137" s="1206"/>
      <c r="FB137" s="1206"/>
      <c r="FC137" s="1206"/>
      <c r="FD137" s="1206"/>
      <c r="FE137" s="1206"/>
      <c r="FF137" s="1206"/>
      <c r="FG137" s="1206"/>
      <c r="FH137" s="1206"/>
      <c r="FI137" s="1206"/>
      <c r="FJ137" s="1550"/>
      <c r="FK137" s="1206"/>
      <c r="FL137" s="1206"/>
      <c r="FM137" s="1206"/>
      <c r="FN137" s="1206"/>
      <c r="FO137" s="1206"/>
      <c r="FP137" s="1206"/>
      <c r="FQ137" s="316"/>
      <c r="FR137" s="316"/>
      <c r="FS137" s="316"/>
      <c r="FT137" s="316"/>
      <c r="FU137" s="316"/>
      <c r="FV137" s="316"/>
      <c r="FW137" s="316"/>
      <c r="FX137" s="316"/>
      <c r="FY137" s="316"/>
      <c r="FZ137" s="316"/>
      <c r="GA137" s="316"/>
      <c r="GB137" s="316"/>
      <c r="GC137" s="316"/>
      <c r="GD137" s="316"/>
      <c r="GE137" s="316"/>
      <c r="GF137" s="316"/>
      <c r="GG137" s="316"/>
      <c r="GH137" s="316"/>
      <c r="GI137" s="316"/>
      <c r="GJ137" s="316"/>
      <c r="GK137" s="316"/>
      <c r="GL137" s="316"/>
      <c r="GM137" s="316"/>
      <c r="GN137" s="316"/>
      <c r="GO137" s="316"/>
      <c r="GP137" s="316"/>
      <c r="GQ137" s="316"/>
      <c r="GR137" s="316"/>
      <c r="GS137" s="316"/>
      <c r="GT137" s="316"/>
      <c r="GU137" s="316"/>
      <c r="GV137" s="316"/>
      <c r="GW137" s="316"/>
      <c r="GX137" s="316"/>
      <c r="GY137" s="316"/>
      <c r="GZ137" s="316"/>
      <c r="HA137" s="316"/>
      <c r="HB137" s="316"/>
      <c r="HC137" s="316"/>
      <c r="HD137" s="316"/>
      <c r="HE137" s="316"/>
      <c r="HF137" s="316"/>
      <c r="HG137" s="316"/>
      <c r="HH137" s="316"/>
      <c r="HI137" s="316"/>
      <c r="HJ137" s="316"/>
      <c r="HK137" s="316"/>
      <c r="HL137" s="316"/>
      <c r="HM137" s="316"/>
      <c r="HX137" s="937"/>
      <c r="KH137" s="303"/>
    </row>
    <row r="138" spans="1:294" outlineLevel="1">
      <c r="CE138" s="840"/>
      <c r="CP138" s="303"/>
      <c r="DC138" s="859"/>
      <c r="EA138" s="302"/>
      <c r="EB138" s="302"/>
      <c r="EC138" s="302"/>
      <c r="ED138" s="302"/>
      <c r="EE138" s="302"/>
      <c r="EF138" s="302"/>
      <c r="EG138" s="302"/>
      <c r="EH138" s="302"/>
      <c r="EI138" s="302"/>
      <c r="EJ138" s="302"/>
      <c r="EK138" s="302"/>
      <c r="EL138" s="303"/>
      <c r="EM138" s="1208"/>
      <c r="EN138" s="1208"/>
      <c r="EO138" s="1208"/>
      <c r="EP138" s="1208"/>
      <c r="EQ138" s="1208"/>
      <c r="ER138" s="1208"/>
      <c r="ES138" s="1208"/>
      <c r="ET138" s="1208"/>
      <c r="EU138" s="1208"/>
      <c r="EV138" s="1208"/>
      <c r="EW138" s="1208"/>
      <c r="EX138" s="1560"/>
      <c r="EY138" s="1208"/>
      <c r="EZ138" s="1208"/>
      <c r="FA138" s="1208"/>
      <c r="FB138" s="1208"/>
      <c r="FC138" s="1208"/>
      <c r="FD138" s="1208"/>
      <c r="FE138" s="1208"/>
      <c r="FF138" s="1208"/>
      <c r="FG138" s="1208"/>
      <c r="FH138" s="1208"/>
      <c r="FI138" s="1208"/>
      <c r="FJ138" s="1560"/>
      <c r="FK138" s="1208"/>
      <c r="FL138" s="1208"/>
      <c r="FM138" s="1208"/>
      <c r="FN138" s="1208"/>
      <c r="FO138" s="1208"/>
      <c r="FP138" s="1208"/>
      <c r="FQ138" s="302"/>
      <c r="FR138" s="302"/>
      <c r="FS138" s="302"/>
      <c r="FT138" s="302"/>
      <c r="FU138" s="302"/>
      <c r="FV138" s="302"/>
      <c r="FW138" s="302"/>
      <c r="FX138" s="302"/>
      <c r="FY138" s="302"/>
      <c r="FZ138" s="302"/>
      <c r="GA138" s="302"/>
      <c r="GB138" s="302"/>
      <c r="GC138" s="302"/>
      <c r="GD138" s="302"/>
      <c r="GE138" s="302"/>
      <c r="GF138" s="302"/>
      <c r="GG138" s="302"/>
      <c r="GH138" s="302"/>
      <c r="GI138" s="302"/>
      <c r="GJ138" s="302"/>
      <c r="GK138" s="302"/>
      <c r="GL138" s="302"/>
      <c r="GM138" s="302"/>
      <c r="GN138" s="302"/>
      <c r="GO138" s="302"/>
      <c r="GP138" s="302"/>
      <c r="GQ138" s="302"/>
      <c r="GR138" s="302"/>
      <c r="GS138" s="302"/>
      <c r="GT138" s="302"/>
      <c r="GU138" s="302"/>
      <c r="GV138" s="302"/>
      <c r="GW138" s="302"/>
      <c r="GX138" s="302"/>
      <c r="GY138" s="302"/>
      <c r="GZ138" s="302"/>
      <c r="HA138" s="302"/>
      <c r="HB138" s="302"/>
      <c r="HC138" s="302"/>
      <c r="HD138" s="302"/>
      <c r="HE138" s="302"/>
      <c r="HF138" s="302"/>
      <c r="HG138" s="302"/>
      <c r="HH138" s="302"/>
      <c r="HI138" s="302"/>
      <c r="HJ138" s="302"/>
      <c r="HK138" s="302"/>
      <c r="HL138" s="302"/>
      <c r="HM138" s="302"/>
      <c r="HX138" s="937"/>
      <c r="KH138" s="303"/>
    </row>
    <row r="139" spans="1:294" outlineLevel="1">
      <c r="CE139" s="840"/>
      <c r="CP139" s="303"/>
      <c r="DC139" s="859"/>
      <c r="EA139" s="302"/>
      <c r="EB139" s="302"/>
      <c r="EC139" s="302"/>
      <c r="ED139" s="302"/>
      <c r="EE139" s="302"/>
      <c r="EF139" s="302"/>
      <c r="EG139" s="302"/>
      <c r="EH139" s="302"/>
      <c r="EI139" s="302"/>
      <c r="EJ139" s="302"/>
      <c r="EK139" s="302"/>
      <c r="EL139" s="303"/>
      <c r="EM139" s="1208"/>
      <c r="EN139" s="1208"/>
      <c r="EO139" s="1208"/>
      <c r="EP139" s="1208"/>
      <c r="EQ139" s="1208"/>
      <c r="ER139" s="1208"/>
      <c r="ES139" s="1208"/>
      <c r="ET139" s="1208"/>
      <c r="EU139" s="1208"/>
      <c r="EV139" s="1208"/>
      <c r="EW139" s="1208"/>
      <c r="EX139" s="1560"/>
      <c r="EY139" s="1208"/>
      <c r="EZ139" s="1208"/>
      <c r="FA139" s="1208"/>
      <c r="FB139" s="1208"/>
      <c r="FC139" s="1208"/>
      <c r="FD139" s="1208"/>
      <c r="FE139" s="1208"/>
      <c r="FF139" s="1208"/>
      <c r="FG139" s="1208"/>
      <c r="FH139" s="1208"/>
      <c r="FI139" s="1208"/>
      <c r="FJ139" s="1560"/>
      <c r="FK139" s="1208"/>
      <c r="FL139" s="1208"/>
      <c r="FM139" s="1208"/>
      <c r="FN139" s="1208"/>
      <c r="FO139" s="1208"/>
      <c r="FP139" s="1208"/>
      <c r="FQ139" s="302"/>
      <c r="FR139" s="302"/>
      <c r="FS139" s="302"/>
      <c r="FT139" s="302"/>
      <c r="FU139" s="302"/>
      <c r="FV139" s="302"/>
      <c r="FW139" s="302"/>
      <c r="FX139" s="302"/>
      <c r="FY139" s="302"/>
      <c r="FZ139" s="302"/>
      <c r="GA139" s="302"/>
      <c r="GB139" s="302"/>
      <c r="GC139" s="302"/>
      <c r="GD139" s="302"/>
      <c r="GE139" s="302"/>
      <c r="GF139" s="302"/>
      <c r="GG139" s="302"/>
      <c r="GH139" s="302"/>
      <c r="GI139" s="302"/>
      <c r="GJ139" s="302"/>
      <c r="GK139" s="302"/>
      <c r="GL139" s="302"/>
      <c r="GM139" s="302"/>
      <c r="GN139" s="302"/>
      <c r="GO139" s="302"/>
      <c r="GP139" s="302"/>
      <c r="GQ139" s="302"/>
      <c r="GR139" s="302"/>
      <c r="GS139" s="302"/>
      <c r="GT139" s="302"/>
      <c r="GU139" s="302"/>
      <c r="GV139" s="302"/>
      <c r="GW139" s="302"/>
      <c r="GX139" s="302"/>
      <c r="GY139" s="302"/>
      <c r="GZ139" s="302"/>
      <c r="HA139" s="302"/>
      <c r="HB139" s="302"/>
      <c r="HC139" s="302"/>
      <c r="HD139" s="302"/>
      <c r="HE139" s="302"/>
      <c r="HF139" s="302"/>
      <c r="HG139" s="302"/>
      <c r="HH139" s="302"/>
      <c r="HI139" s="302"/>
      <c r="HJ139" s="302"/>
      <c r="HK139" s="302"/>
      <c r="HL139" s="302"/>
      <c r="HM139" s="302"/>
      <c r="HX139" s="937"/>
      <c r="KH139" s="303"/>
    </row>
    <row r="140" spans="1:294" outlineLevel="1">
      <c r="A140" s="314" t="s">
        <v>1090</v>
      </c>
      <c r="CE140" s="840"/>
      <c r="CP140" s="303"/>
      <c r="DC140" s="859" t="s">
        <v>1046</v>
      </c>
      <c r="EA140" s="302"/>
      <c r="EB140" s="302"/>
      <c r="EC140" s="302"/>
      <c r="ED140" s="302"/>
      <c r="EE140" s="302"/>
      <c r="EF140" s="302"/>
      <c r="EG140" s="302"/>
      <c r="EH140" s="302"/>
      <c r="EI140" s="302"/>
      <c r="EJ140" s="302"/>
      <c r="EK140" s="302"/>
      <c r="EL140" s="303"/>
      <c r="EM140" s="1208"/>
      <c r="EN140" s="1208"/>
      <c r="EO140" s="1208"/>
      <c r="EP140" s="1208"/>
      <c r="EQ140" s="1208"/>
      <c r="ER140" s="1208"/>
      <c r="ES140" s="1208"/>
      <c r="ET140" s="1208"/>
      <c r="EU140" s="1208"/>
      <c r="EV140" s="1208"/>
      <c r="EW140" s="1208"/>
      <c r="EX140" s="1560"/>
      <c r="EY140" s="1208"/>
      <c r="EZ140" s="1208"/>
      <c r="FA140" s="1208"/>
      <c r="FB140" s="1208"/>
      <c r="FC140" s="1208"/>
      <c r="FD140" s="1208"/>
      <c r="FE140" s="1208"/>
      <c r="FF140" s="1208"/>
      <c r="FG140" s="1208"/>
      <c r="FH140" s="1208"/>
      <c r="FI140" s="1208"/>
      <c r="FJ140" s="1560"/>
      <c r="FK140" s="1208"/>
      <c r="FL140" s="1208"/>
      <c r="FM140" s="1208"/>
      <c r="FN140" s="1208"/>
      <c r="FO140" s="1208"/>
      <c r="FP140" s="1208"/>
      <c r="FQ140" s="302"/>
      <c r="FR140" s="302"/>
      <c r="FS140" s="302"/>
      <c r="FT140" s="302"/>
      <c r="FU140" s="302"/>
      <c r="FV140" s="302"/>
      <c r="FW140" s="302"/>
      <c r="FX140" s="302"/>
      <c r="FY140" s="302"/>
      <c r="FZ140" s="302"/>
      <c r="GA140" s="302"/>
      <c r="GB140" s="302"/>
      <c r="GC140" s="302"/>
      <c r="GD140" s="302"/>
      <c r="GE140" s="302"/>
      <c r="GF140" s="302"/>
      <c r="GG140" s="302"/>
      <c r="GH140" s="302"/>
      <c r="GI140" s="302"/>
      <c r="GJ140" s="302"/>
      <c r="GK140" s="302"/>
      <c r="GL140" s="302"/>
      <c r="GM140" s="302"/>
      <c r="GN140" s="302"/>
      <c r="GO140" s="302"/>
      <c r="GP140" s="302"/>
      <c r="GQ140" s="302"/>
      <c r="GR140" s="302"/>
      <c r="GS140" s="302"/>
      <c r="GT140" s="302"/>
      <c r="GU140" s="302"/>
      <c r="GV140" s="302"/>
      <c r="GW140" s="302"/>
      <c r="GX140" s="302"/>
      <c r="GY140" s="302"/>
      <c r="GZ140" s="302"/>
      <c r="HA140" s="302"/>
      <c r="HB140" s="302"/>
      <c r="HC140" s="302"/>
      <c r="HD140" s="302"/>
      <c r="HE140" s="302"/>
      <c r="HF140" s="302"/>
      <c r="HG140" s="302"/>
      <c r="HH140" s="302"/>
      <c r="HI140" s="302"/>
      <c r="HJ140" s="302"/>
      <c r="HK140" s="302"/>
      <c r="HL140" s="302"/>
      <c r="HM140" s="302"/>
      <c r="HX140" s="937"/>
      <c r="KH140" s="303"/>
    </row>
    <row r="141" spans="1:294" outlineLevel="1">
      <c r="A141" s="117" t="s">
        <v>395</v>
      </c>
      <c r="D141" s="316"/>
      <c r="E141" s="316"/>
      <c r="F141" s="316"/>
      <c r="G141" s="316"/>
      <c r="H141" s="316"/>
      <c r="I141" s="316"/>
      <c r="J141" s="316"/>
      <c r="K141" s="316"/>
      <c r="L141" s="316"/>
      <c r="M141" s="316"/>
      <c r="N141" s="316"/>
      <c r="O141" s="316"/>
      <c r="P141" s="316"/>
      <c r="Q141" s="316"/>
      <c r="R141" s="316"/>
      <c r="S141" s="316"/>
      <c r="T141" s="316"/>
      <c r="U141" s="316"/>
      <c r="V141" s="316"/>
      <c r="W141" s="316"/>
      <c r="X141" s="316"/>
      <c r="Y141" s="316"/>
      <c r="Z141" s="316"/>
      <c r="AA141" s="316"/>
      <c r="AB141" s="316"/>
      <c r="AC141" s="316"/>
      <c r="AD141" s="316"/>
      <c r="AE141" s="316"/>
      <c r="AF141" s="316"/>
      <c r="AG141" s="316"/>
      <c r="AH141" s="316"/>
      <c r="AI141" s="316"/>
      <c r="AJ141" s="316"/>
      <c r="AK141" s="316"/>
      <c r="AL141" s="316"/>
      <c r="AM141" s="316"/>
      <c r="AN141" s="316"/>
      <c r="AO141" s="316"/>
      <c r="AP141" s="316"/>
      <c r="AQ141" s="316"/>
      <c r="AR141" s="316"/>
      <c r="AS141" s="316"/>
      <c r="AT141" s="316"/>
      <c r="AU141" s="316"/>
      <c r="AV141" s="316"/>
      <c r="AW141" s="316"/>
      <c r="AX141" s="316"/>
      <c r="AY141" s="316"/>
      <c r="AZ141" s="316"/>
      <c r="BA141" s="316"/>
      <c r="BB141" s="316"/>
      <c r="BC141" s="316"/>
      <c r="BD141" s="316"/>
      <c r="BE141" s="316"/>
      <c r="BF141" s="316"/>
      <c r="BG141" s="316"/>
      <c r="BH141" s="316"/>
      <c r="BI141" s="316"/>
      <c r="BJ141" s="316"/>
      <c r="BK141" s="316"/>
      <c r="BL141" s="316"/>
      <c r="BM141" s="316"/>
      <c r="BN141" s="316"/>
      <c r="BO141" s="316"/>
      <c r="BP141" s="316"/>
      <c r="BQ141" s="316"/>
      <c r="BR141" s="316"/>
      <c r="BS141" s="316"/>
      <c r="BT141" s="316"/>
      <c r="BU141" s="316"/>
      <c r="BV141" s="316"/>
      <c r="BW141" s="316"/>
      <c r="BX141" s="316"/>
      <c r="BY141" s="316"/>
      <c r="BZ141" s="316"/>
      <c r="CA141" s="316"/>
      <c r="CB141" s="316"/>
      <c r="CC141" s="316"/>
      <c r="CD141" s="316"/>
      <c r="CE141" s="840"/>
      <c r="CP141" s="303"/>
      <c r="DC141" s="883">
        <v>42186</v>
      </c>
      <c r="DD141" s="883">
        <v>42217</v>
      </c>
      <c r="DE141" s="883">
        <v>42248</v>
      </c>
      <c r="DF141" s="883">
        <v>42278</v>
      </c>
      <c r="DG141" s="883">
        <v>42309</v>
      </c>
      <c r="DH141" s="883">
        <v>42339</v>
      </c>
      <c r="DI141" s="883">
        <v>42370</v>
      </c>
      <c r="DJ141" s="883">
        <v>42401</v>
      </c>
      <c r="DK141" s="883">
        <v>42430</v>
      </c>
      <c r="DL141" s="883">
        <v>42461</v>
      </c>
      <c r="DM141" s="883">
        <v>42491</v>
      </c>
      <c r="DN141" s="928">
        <v>42522</v>
      </c>
      <c r="DO141" s="883">
        <v>42552</v>
      </c>
      <c r="DP141" s="883">
        <v>42583</v>
      </c>
      <c r="DQ141" s="883">
        <v>42614</v>
      </c>
      <c r="DR141" s="883">
        <v>42644</v>
      </c>
      <c r="DS141" s="883">
        <v>42675</v>
      </c>
      <c r="DT141" s="883">
        <v>42705</v>
      </c>
      <c r="DU141" s="883">
        <v>42736</v>
      </c>
      <c r="DV141" s="883">
        <v>42767</v>
      </c>
      <c r="DW141" s="883">
        <v>42795</v>
      </c>
      <c r="DX141" s="883">
        <v>42826</v>
      </c>
      <c r="DY141" s="883">
        <v>42856</v>
      </c>
      <c r="DZ141" s="928">
        <v>42887</v>
      </c>
      <c r="EA141" s="883">
        <v>42918</v>
      </c>
      <c r="EB141" s="883">
        <v>42950</v>
      </c>
      <c r="EC141" s="883">
        <v>42982</v>
      </c>
      <c r="ED141" s="883">
        <v>43013</v>
      </c>
      <c r="EE141" s="883">
        <v>43045</v>
      </c>
      <c r="EF141" s="883">
        <v>43076</v>
      </c>
      <c r="EG141" s="883">
        <v>43101</v>
      </c>
      <c r="EH141" s="883">
        <v>43132</v>
      </c>
      <c r="EI141" s="883">
        <v>43160</v>
      </c>
      <c r="EJ141" s="883">
        <v>43191</v>
      </c>
      <c r="EK141" s="883">
        <v>43221</v>
      </c>
      <c r="EL141" s="928">
        <v>43252</v>
      </c>
      <c r="EM141" s="1205">
        <v>43282</v>
      </c>
      <c r="EN141" s="1205">
        <v>43313</v>
      </c>
      <c r="EO141" s="1205">
        <v>43344</v>
      </c>
      <c r="EP141" s="1205">
        <v>43374</v>
      </c>
      <c r="EQ141" s="1205">
        <v>43405</v>
      </c>
      <c r="ER141" s="1205">
        <v>43435</v>
      </c>
      <c r="ES141" s="1205">
        <v>43466</v>
      </c>
      <c r="ET141" s="1205">
        <v>43497</v>
      </c>
      <c r="EU141" s="1205">
        <v>43525</v>
      </c>
      <c r="EV141" s="1205">
        <v>43556</v>
      </c>
      <c r="EW141" s="1205">
        <v>43586</v>
      </c>
      <c r="EX141" s="1558">
        <v>43617</v>
      </c>
      <c r="EY141" s="1205">
        <v>43647</v>
      </c>
      <c r="EZ141" s="1205">
        <v>43678</v>
      </c>
      <c r="FA141" s="1205">
        <v>43709</v>
      </c>
      <c r="FB141" s="1205">
        <v>43739</v>
      </c>
      <c r="FC141" s="1205">
        <v>43770</v>
      </c>
      <c r="FD141" s="1205">
        <v>43800</v>
      </c>
      <c r="FE141" s="1205">
        <v>43831</v>
      </c>
      <c r="FF141" s="1205">
        <v>43862</v>
      </c>
      <c r="FG141" s="1205">
        <v>43891</v>
      </c>
      <c r="FH141" s="1205">
        <v>43922</v>
      </c>
      <c r="FI141" s="1205">
        <v>43952</v>
      </c>
      <c r="FJ141" s="1558">
        <v>43983</v>
      </c>
      <c r="FK141" s="1205">
        <v>44013</v>
      </c>
      <c r="FL141" s="1205">
        <v>44044</v>
      </c>
      <c r="FM141" s="1205">
        <v>44075</v>
      </c>
      <c r="FN141" s="1205">
        <v>44105</v>
      </c>
      <c r="FO141" s="1205">
        <v>44136</v>
      </c>
      <c r="FP141" s="1205">
        <v>44166</v>
      </c>
      <c r="FQ141" s="883"/>
      <c r="FR141" s="883"/>
      <c r="FS141" s="883"/>
      <c r="FT141" s="883"/>
      <c r="FU141" s="883"/>
      <c r="FV141" s="883"/>
      <c r="FW141" s="883"/>
      <c r="FX141" s="883"/>
      <c r="FY141" s="883"/>
      <c r="FZ141" s="883"/>
      <c r="GA141" s="883"/>
      <c r="GB141" s="883"/>
      <c r="GC141" s="883"/>
      <c r="GD141" s="883"/>
      <c r="GE141" s="883"/>
      <c r="GF141" s="883"/>
      <c r="GG141" s="883"/>
      <c r="GH141" s="883"/>
      <c r="GI141" s="883"/>
      <c r="GJ141" s="883"/>
      <c r="GK141" s="883"/>
      <c r="GL141" s="883"/>
      <c r="GM141" s="883"/>
      <c r="GN141" s="883"/>
      <c r="GO141" s="883"/>
      <c r="GP141" s="883"/>
      <c r="GQ141" s="883"/>
      <c r="GR141" s="883"/>
      <c r="GS141" s="883"/>
      <c r="GT141" s="883"/>
      <c r="GU141" s="883"/>
      <c r="GV141" s="883"/>
      <c r="GW141" s="883"/>
      <c r="GX141" s="883"/>
      <c r="GY141" s="883"/>
      <c r="GZ141" s="883"/>
      <c r="HA141" s="883"/>
      <c r="HB141" s="883"/>
      <c r="HC141" s="883"/>
      <c r="HD141" s="883"/>
      <c r="HE141" s="883"/>
      <c r="HF141" s="883"/>
      <c r="HG141" s="883"/>
      <c r="HH141" s="883"/>
      <c r="HI141" s="883"/>
      <c r="HJ141" s="883"/>
      <c r="HK141" s="883"/>
      <c r="HL141" s="883"/>
      <c r="HM141" s="883"/>
      <c r="HX141" s="937"/>
      <c r="KH141" s="303"/>
    </row>
    <row r="142" spans="1:294" outlineLevel="1">
      <c r="A142" s="302"/>
      <c r="B142" s="117" t="s">
        <v>361</v>
      </c>
      <c r="D142" s="326" t="s">
        <v>414</v>
      </c>
      <c r="E142" s="326"/>
      <c r="F142" s="326"/>
      <c r="G142" s="316"/>
      <c r="H142" s="316"/>
      <c r="I142" s="316"/>
      <c r="J142" s="316"/>
      <c r="K142" s="316"/>
      <c r="L142" s="316"/>
      <c r="M142" s="316"/>
      <c r="N142" s="316"/>
      <c r="O142" s="316"/>
      <c r="P142" s="316"/>
      <c r="Q142" s="316"/>
      <c r="R142" s="316"/>
      <c r="S142" s="316"/>
      <c r="T142" s="316"/>
      <c r="U142" s="316"/>
      <c r="V142" s="316"/>
      <c r="W142" s="316"/>
      <c r="X142" s="316"/>
      <c r="Y142" s="316"/>
      <c r="Z142" s="316"/>
      <c r="AA142" s="316"/>
      <c r="AB142" s="316"/>
      <c r="AC142" s="316"/>
      <c r="AD142" s="316"/>
      <c r="AE142" s="316"/>
      <c r="AF142" s="316"/>
      <c r="AG142" s="316"/>
      <c r="AH142" s="316"/>
      <c r="AI142" s="316"/>
      <c r="AJ142" s="316"/>
      <c r="AK142" s="316"/>
      <c r="AL142" s="316"/>
      <c r="AM142" s="316"/>
      <c r="AN142" s="316"/>
      <c r="AO142" s="316">
        <v>0</v>
      </c>
      <c r="AP142" s="316">
        <v>0</v>
      </c>
      <c r="AQ142" s="316">
        <v>0</v>
      </c>
      <c r="AR142" s="316">
        <v>10.258084550587698</v>
      </c>
      <c r="AS142" s="316">
        <v>0.15913016074</v>
      </c>
      <c r="AT142" s="316">
        <v>11.989387799760001</v>
      </c>
      <c r="AU142" s="316">
        <v>0</v>
      </c>
      <c r="AV142" s="316">
        <v>0</v>
      </c>
      <c r="AW142" s="316">
        <v>1.2212008407899999</v>
      </c>
      <c r="AX142" s="316">
        <v>11.04573261212</v>
      </c>
      <c r="AY142" s="316">
        <v>0.61673986191999997</v>
      </c>
      <c r="AZ142" s="316">
        <v>9.7311465000000013</v>
      </c>
      <c r="BA142" s="316">
        <v>0</v>
      </c>
      <c r="BB142" s="316">
        <v>5.3864999999999996E-2</v>
      </c>
      <c r="BC142" s="316">
        <v>0</v>
      </c>
      <c r="BD142" s="316">
        <v>13.671562335999999</v>
      </c>
      <c r="BE142" s="316">
        <v>0</v>
      </c>
      <c r="BF142" s="316">
        <v>11.032064242422001</v>
      </c>
      <c r="BG142" s="316">
        <v>0</v>
      </c>
      <c r="BH142" s="316">
        <v>0</v>
      </c>
      <c r="BI142" s="316">
        <v>0</v>
      </c>
      <c r="BJ142" s="316">
        <v>13.298472160334999</v>
      </c>
      <c r="BK142" s="316">
        <v>0</v>
      </c>
      <c r="BL142" s="316">
        <v>11.752958702736001</v>
      </c>
      <c r="BM142" s="316">
        <v>0</v>
      </c>
      <c r="BN142" s="316">
        <v>5.2094767287999992E-2</v>
      </c>
      <c r="BO142" s="316">
        <v>11.973410064669</v>
      </c>
      <c r="BP142" s="316">
        <v>0</v>
      </c>
      <c r="BQ142" s="316">
        <v>0</v>
      </c>
      <c r="BR142" s="316">
        <v>11.988226891799998</v>
      </c>
      <c r="BS142" s="316">
        <v>2.6731806631600001</v>
      </c>
      <c r="BT142" s="316">
        <v>0</v>
      </c>
      <c r="BU142" s="316">
        <v>0.10960072199999998</v>
      </c>
      <c r="BV142" s="316">
        <v>16.116490406484999</v>
      </c>
      <c r="BW142" s="316">
        <v>0</v>
      </c>
      <c r="BX142" s="316">
        <v>13.101687593249999</v>
      </c>
      <c r="BY142" s="316">
        <v>0.50452893644999997</v>
      </c>
      <c r="BZ142" s="316">
        <v>9.1953279604999993E-2</v>
      </c>
      <c r="CA142" s="316">
        <v>15.85818579016</v>
      </c>
      <c r="CB142" s="316">
        <v>1.5509446483740001</v>
      </c>
      <c r="CC142" s="316">
        <v>0</v>
      </c>
      <c r="CD142" s="316">
        <v>12.456229765562</v>
      </c>
      <c r="CE142" s="317">
        <v>0</v>
      </c>
      <c r="CF142" s="316">
        <v>1.7720709642719998</v>
      </c>
      <c r="CG142" s="316">
        <v>0</v>
      </c>
      <c r="CH142" s="316">
        <v>24.277350664404999</v>
      </c>
      <c r="CI142" s="316">
        <v>0</v>
      </c>
      <c r="CJ142" s="316">
        <v>13.187791715238999</v>
      </c>
      <c r="CK142" s="316">
        <v>0</v>
      </c>
      <c r="CL142" s="316">
        <v>3.1359618529199995</v>
      </c>
      <c r="CM142" s="316">
        <v>18.798441418391999</v>
      </c>
      <c r="CN142" s="316">
        <v>0.34932004166400005</v>
      </c>
      <c r="CO142" s="316">
        <v>0.85506566784197013</v>
      </c>
      <c r="CP142" s="318">
        <v>19.123361426614217</v>
      </c>
      <c r="CQ142" s="316">
        <v>0</v>
      </c>
      <c r="CR142" s="316">
        <v>0.5883615519562494</v>
      </c>
      <c r="CS142" s="316">
        <v>0</v>
      </c>
      <c r="CT142" s="316">
        <v>11.61679818395687</v>
      </c>
      <c r="CU142" s="316">
        <v>0.33011712435478979</v>
      </c>
      <c r="CV142" s="316">
        <v>17.265874740465748</v>
      </c>
      <c r="CW142" s="316">
        <v>2.7175781280111959</v>
      </c>
      <c r="CX142" s="316">
        <v>0</v>
      </c>
      <c r="CY142" s="316">
        <v>38.517094814337852</v>
      </c>
      <c r="CZ142" s="316">
        <v>0.38879143259844884</v>
      </c>
      <c r="DA142" s="316">
        <v>1.7278211264992944</v>
      </c>
      <c r="DB142" s="1498">
        <v>15.710503742288347</v>
      </c>
      <c r="DC142" s="316">
        <v>0.40936406353085403</v>
      </c>
      <c r="DD142" s="636">
        <v>0</v>
      </c>
      <c r="DE142" s="636">
        <v>9.8312581181893215</v>
      </c>
      <c r="DF142" s="636">
        <v>23.229991356577557</v>
      </c>
      <c r="DG142" s="636">
        <v>0</v>
      </c>
      <c r="DH142" s="636">
        <v>23.628131229306309</v>
      </c>
      <c r="DI142" s="316">
        <v>1.1791709588875621</v>
      </c>
      <c r="DJ142" s="316">
        <v>0.4497606167</v>
      </c>
      <c r="DK142" s="316">
        <v>34.610282378924587</v>
      </c>
      <c r="DL142" s="316">
        <v>2.9093187925081443</v>
      </c>
      <c r="DM142" s="316">
        <v>3.1594757378971106</v>
      </c>
      <c r="DN142" s="318">
        <v>23.469734304034194</v>
      </c>
      <c r="DO142" s="316">
        <v>0</v>
      </c>
      <c r="DP142" s="316">
        <v>0.98663778608928798</v>
      </c>
      <c r="DQ142" s="316">
        <v>30.6916736158635</v>
      </c>
      <c r="DR142" s="316">
        <v>5.1912726848505697</v>
      </c>
      <c r="DS142" s="316">
        <v>0.94421367807399592</v>
      </c>
      <c r="DT142" s="316">
        <v>29.1840918763452</v>
      </c>
      <c r="DU142" s="316">
        <v>0.60009464499999998</v>
      </c>
      <c r="DV142" s="316">
        <v>0</v>
      </c>
      <c r="DW142" s="316">
        <v>30.829238118999999</v>
      </c>
      <c r="DX142" s="316">
        <v>0.91944851502037372</v>
      </c>
      <c r="DY142" s="316">
        <v>-3.3338816902200002E-2</v>
      </c>
      <c r="DZ142" s="318">
        <v>29.185968453719461</v>
      </c>
      <c r="EA142" s="316"/>
      <c r="EB142" s="316">
        <v>0.17040291900000001</v>
      </c>
      <c r="EC142" s="316">
        <v>19.936310155000001</v>
      </c>
      <c r="ED142" s="316">
        <v>20.019976621000001</v>
      </c>
      <c r="EE142" s="316">
        <v>1.6791619000000001E-2</v>
      </c>
      <c r="EF142" s="316">
        <v>37.238308513</v>
      </c>
      <c r="EG142" s="316">
        <v>2.9896607500000001</v>
      </c>
      <c r="EH142" s="316">
        <v>0.76391849999999994</v>
      </c>
      <c r="EI142" s="316">
        <v>14.176089981000001</v>
      </c>
      <c r="EJ142" s="316">
        <v>28.108518197999999</v>
      </c>
      <c r="EK142" s="316">
        <v>8.8087290280000001</v>
      </c>
      <c r="EL142" s="318">
        <v>17.824047086</v>
      </c>
      <c r="EM142" s="1206">
        <v>1.040743655</v>
      </c>
      <c r="EN142" s="1206">
        <v>35.179826772381382</v>
      </c>
      <c r="EO142" s="1206">
        <v>33.762265653361624</v>
      </c>
      <c r="EP142" s="1206">
        <v>9.9046028402120143</v>
      </c>
      <c r="EQ142" s="1206">
        <v>1.0126375309049999E-2</v>
      </c>
      <c r="ER142" s="1206">
        <v>18.935746700447371</v>
      </c>
      <c r="ES142" s="1206">
        <v>2.693545458</v>
      </c>
      <c r="ET142" s="1206">
        <v>2.9231045000000001E-2</v>
      </c>
      <c r="EU142" s="1206">
        <v>30.297280623999995</v>
      </c>
      <c r="EV142" s="1206">
        <v>9.2162746708368886</v>
      </c>
      <c r="EW142" s="1206">
        <v>0</v>
      </c>
      <c r="EX142" s="1550">
        <v>9.9581608889999984</v>
      </c>
      <c r="EY142" s="1206"/>
      <c r="EZ142" s="1206"/>
      <c r="FA142" s="1206"/>
      <c r="FB142" s="1206"/>
      <c r="FC142" s="1206"/>
      <c r="FD142" s="1206"/>
      <c r="FE142" s="1206"/>
      <c r="FF142" s="1206"/>
      <c r="FG142" s="1206"/>
      <c r="FH142" s="1206"/>
      <c r="FI142" s="1206"/>
      <c r="FJ142" s="1550"/>
      <c r="FK142" s="1206"/>
      <c r="FL142" s="1206"/>
      <c r="FM142" s="1206"/>
      <c r="FN142" s="1206"/>
      <c r="FO142" s="1206"/>
      <c r="FP142" s="1206"/>
      <c r="FQ142" s="316"/>
      <c r="FR142" s="316"/>
      <c r="FS142" s="316"/>
      <c r="FT142" s="316"/>
      <c r="FU142" s="316"/>
      <c r="FV142" s="316"/>
      <c r="FW142" s="316"/>
      <c r="FX142" s="316"/>
      <c r="FY142" s="316"/>
      <c r="FZ142" s="316"/>
      <c r="GA142" s="316"/>
      <c r="GB142" s="316"/>
      <c r="GC142" s="316"/>
      <c r="GD142" s="316"/>
      <c r="GE142" s="316"/>
      <c r="GF142" s="316"/>
      <c r="GG142" s="316"/>
      <c r="GH142" s="316"/>
      <c r="GI142" s="316"/>
      <c r="GJ142" s="316"/>
      <c r="GK142" s="316"/>
      <c r="GL142" s="316"/>
      <c r="GM142" s="316"/>
      <c r="GN142" s="316"/>
      <c r="GO142" s="316"/>
      <c r="GP142" s="316"/>
      <c r="GQ142" s="316"/>
      <c r="GR142" s="316"/>
      <c r="GS142" s="316"/>
      <c r="GT142" s="316"/>
      <c r="GU142" s="316"/>
      <c r="GV142" s="316"/>
      <c r="GW142" s="316"/>
      <c r="GX142" s="316"/>
      <c r="GY142" s="316"/>
      <c r="GZ142" s="316"/>
      <c r="HA142" s="316"/>
      <c r="HB142" s="316"/>
      <c r="HC142" s="316"/>
      <c r="HD142" s="316"/>
      <c r="HE142" s="316"/>
      <c r="HF142" s="316"/>
      <c r="HG142" s="316"/>
      <c r="HH142" s="316"/>
      <c r="HI142" s="316"/>
      <c r="HJ142" s="316"/>
      <c r="HK142" s="316"/>
      <c r="HL142" s="316"/>
      <c r="HM142" s="316"/>
      <c r="HV142" s="302">
        <f t="shared" ref="HV142:HV150" si="25">+SUM(DC142:DH142)</f>
        <v>57.098744767604046</v>
      </c>
      <c r="HW142" s="302">
        <f t="shared" ref="HW142:HW150" si="26">+SUM(DI142:DN142)</f>
        <v>65.777742788951599</v>
      </c>
      <c r="HX142" s="346">
        <f t="shared" ref="HX142:HX155" si="27">HV142+HW142</f>
        <v>122.87648755655565</v>
      </c>
      <c r="HY142" s="302">
        <f t="shared" ref="HY142:HY150" si="28">SUM(DO142:DT142)</f>
        <v>66.997889641222542</v>
      </c>
      <c r="KH142" s="303"/>
    </row>
    <row r="143" spans="1:294" outlineLevel="1">
      <c r="B143" s="117" t="s">
        <v>361</v>
      </c>
      <c r="D143" s="327" t="s">
        <v>412</v>
      </c>
      <c r="E143" s="328"/>
      <c r="F143" s="328"/>
      <c r="G143" s="316"/>
      <c r="H143" s="316"/>
      <c r="I143" s="316"/>
      <c r="J143" s="316"/>
      <c r="K143" s="316"/>
      <c r="L143" s="316"/>
      <c r="M143" s="316"/>
      <c r="N143" s="316"/>
      <c r="O143" s="316"/>
      <c r="P143" s="316"/>
      <c r="Q143" s="316"/>
      <c r="R143" s="316"/>
      <c r="S143" s="316"/>
      <c r="T143" s="316"/>
      <c r="U143" s="316"/>
      <c r="V143" s="316"/>
      <c r="W143" s="316"/>
      <c r="X143" s="316"/>
      <c r="Y143" s="316"/>
      <c r="Z143" s="316"/>
      <c r="AA143" s="316"/>
      <c r="AB143" s="316"/>
      <c r="AC143" s="316"/>
      <c r="AD143" s="316"/>
      <c r="AE143" s="316"/>
      <c r="AF143" s="316"/>
      <c r="AG143" s="316"/>
      <c r="AH143" s="316"/>
      <c r="AI143" s="316"/>
      <c r="AJ143" s="316"/>
      <c r="AK143" s="316"/>
      <c r="AL143" s="316"/>
      <c r="AM143" s="316"/>
      <c r="AN143" s="316"/>
      <c r="AO143" s="316">
        <v>0</v>
      </c>
      <c r="AP143" s="316">
        <v>0</v>
      </c>
      <c r="AQ143" s="316">
        <v>0</v>
      </c>
      <c r="AR143" s="316">
        <v>10.258084550587698</v>
      </c>
      <c r="AS143" s="316">
        <v>0.15913016074</v>
      </c>
      <c r="AT143" s="316">
        <v>11.989387799760001</v>
      </c>
      <c r="AU143" s="316">
        <v>0</v>
      </c>
      <c r="AV143" s="316">
        <v>0</v>
      </c>
      <c r="AW143" s="316">
        <v>1.2212008407899999</v>
      </c>
      <c r="AX143" s="316">
        <v>11.04573261212</v>
      </c>
      <c r="AY143" s="316">
        <v>0.61673986191999997</v>
      </c>
      <c r="AZ143" s="316">
        <v>9.7311465000000013</v>
      </c>
      <c r="BA143" s="316">
        <v>0</v>
      </c>
      <c r="BB143" s="316">
        <v>5.3864999999999996E-2</v>
      </c>
      <c r="BC143" s="316">
        <v>0</v>
      </c>
      <c r="BD143" s="316">
        <v>13.671562335999999</v>
      </c>
      <c r="BE143" s="316">
        <v>0</v>
      </c>
      <c r="BF143" s="316">
        <v>11.032064242422001</v>
      </c>
      <c r="BG143" s="316">
        <v>0</v>
      </c>
      <c r="BH143" s="316">
        <v>0</v>
      </c>
      <c r="BI143" s="316">
        <v>0</v>
      </c>
      <c r="BJ143" s="316">
        <v>13.298472160334999</v>
      </c>
      <c r="BK143" s="316">
        <v>0</v>
      </c>
      <c r="BL143" s="316">
        <v>11.752958702736001</v>
      </c>
      <c r="BM143" s="316">
        <v>0</v>
      </c>
      <c r="BN143" s="316">
        <v>5.2094767287999992E-2</v>
      </c>
      <c r="BO143" s="316">
        <v>11.973410064669</v>
      </c>
      <c r="BP143" s="316">
        <v>0</v>
      </c>
      <c r="BQ143" s="316">
        <v>0</v>
      </c>
      <c r="BR143" s="316">
        <v>11.988226891799998</v>
      </c>
      <c r="BS143" s="316">
        <v>2.6731806631600001</v>
      </c>
      <c r="BT143" s="316">
        <v>0</v>
      </c>
      <c r="BU143" s="316">
        <v>0.10960072199999998</v>
      </c>
      <c r="BV143" s="316">
        <v>16.116490406484999</v>
      </c>
      <c r="BW143" s="316">
        <v>0</v>
      </c>
      <c r="BX143" s="316">
        <v>13.101687593249999</v>
      </c>
      <c r="BY143" s="316">
        <v>0.50452893644999997</v>
      </c>
      <c r="BZ143" s="316">
        <v>9.1953279604999993E-2</v>
      </c>
      <c r="CA143" s="316">
        <v>15.85818579016</v>
      </c>
      <c r="CB143" s="316">
        <v>1.5509446483740001</v>
      </c>
      <c r="CC143" s="316">
        <v>0</v>
      </c>
      <c r="CD143" s="316">
        <v>12.456229765562</v>
      </c>
      <c r="CE143" s="317">
        <v>0</v>
      </c>
      <c r="CF143" s="316">
        <v>1.7720709642719998</v>
      </c>
      <c r="CG143" s="316">
        <v>0</v>
      </c>
      <c r="CH143" s="316">
        <v>24.277350664404999</v>
      </c>
      <c r="CI143" s="316">
        <v>0</v>
      </c>
      <c r="CJ143" s="316">
        <v>13.187791715238999</v>
      </c>
      <c r="CK143" s="316">
        <v>0</v>
      </c>
      <c r="CL143" s="316">
        <v>3.1359618529199995</v>
      </c>
      <c r="CM143" s="316">
        <v>18.798441418391999</v>
      </c>
      <c r="CN143" s="316">
        <v>0.34932004166400005</v>
      </c>
      <c r="CO143" s="316">
        <v>0.85506566784197013</v>
      </c>
      <c r="CP143" s="318">
        <v>19.123361426614217</v>
      </c>
      <c r="CQ143" s="316">
        <v>0</v>
      </c>
      <c r="CR143" s="316">
        <v>0.5883615519562494</v>
      </c>
      <c r="CS143" s="316">
        <v>0</v>
      </c>
      <c r="CT143" s="316">
        <v>11.61679818395687</v>
      </c>
      <c r="CU143" s="316">
        <v>0.33011712435478979</v>
      </c>
      <c r="CV143" s="316">
        <v>17.265874740465748</v>
      </c>
      <c r="CW143" s="316">
        <v>2.7175781280111959</v>
      </c>
      <c r="CX143" s="316">
        <v>0</v>
      </c>
      <c r="CY143" s="316">
        <v>38.517094814337852</v>
      </c>
      <c r="CZ143" s="316">
        <v>0.38879143259844884</v>
      </c>
      <c r="DA143" s="316">
        <v>1.7278211264992944</v>
      </c>
      <c r="DB143" s="1498">
        <v>15.710503742288347</v>
      </c>
      <c r="DC143" s="316">
        <v>0.40936406353085403</v>
      </c>
      <c r="DD143" s="316">
        <v>0</v>
      </c>
      <c r="DE143" s="316">
        <v>9.8312581181893215</v>
      </c>
      <c r="DF143" s="316">
        <v>23.229991356577557</v>
      </c>
      <c r="DG143" s="316">
        <v>0</v>
      </c>
      <c r="DH143" s="316">
        <v>23.628131229306309</v>
      </c>
      <c r="DI143" s="316">
        <v>1.1791709588875621</v>
      </c>
      <c r="DJ143" s="316">
        <v>0.4497606167</v>
      </c>
      <c r="DK143" s="316">
        <v>34.610282378924587</v>
      </c>
      <c r="DL143" s="316">
        <v>2.9093187925081443</v>
      </c>
      <c r="DM143" s="316">
        <v>3.1594757378971106</v>
      </c>
      <c r="DN143" s="318">
        <v>23.469734304034194</v>
      </c>
      <c r="DO143" s="316">
        <v>0</v>
      </c>
      <c r="DP143" s="316">
        <v>0.98663778608928798</v>
      </c>
      <c r="DQ143" s="316">
        <v>30.6916736158635</v>
      </c>
      <c r="DR143" s="316">
        <v>5.1912726848505697</v>
      </c>
      <c r="DS143" s="316">
        <v>0.94421367807399592</v>
      </c>
      <c r="DT143" s="316">
        <v>29.1840918763452</v>
      </c>
      <c r="DU143" s="316">
        <v>0.60009464499999998</v>
      </c>
      <c r="DV143" s="316">
        <v>0</v>
      </c>
      <c r="DW143" s="316">
        <v>30.829238118999999</v>
      </c>
      <c r="DX143" s="316">
        <v>0.91944851502037372</v>
      </c>
      <c r="DY143" s="316">
        <v>-3.3338816902200002E-2</v>
      </c>
      <c r="DZ143" s="318">
        <v>29.185968453719461</v>
      </c>
      <c r="EA143" s="316"/>
      <c r="EB143" s="316">
        <v>0.17040291900000001</v>
      </c>
      <c r="EC143" s="316">
        <v>19.936310155000001</v>
      </c>
      <c r="ED143" s="316">
        <v>20.019976621000001</v>
      </c>
      <c r="EE143" s="316">
        <v>1.6791619000000001E-2</v>
      </c>
      <c r="EF143" s="316">
        <v>37.238308513</v>
      </c>
      <c r="EG143" s="316">
        <v>2.9896607500000001</v>
      </c>
      <c r="EH143" s="316">
        <v>0.76391849999999994</v>
      </c>
      <c r="EI143" s="316">
        <v>14.176089981000001</v>
      </c>
      <c r="EJ143" s="316">
        <v>28.108518197999999</v>
      </c>
      <c r="EK143" s="316">
        <v>8.8087290280000001</v>
      </c>
      <c r="EL143" s="318">
        <v>17.824047086</v>
      </c>
      <c r="EM143" s="1206">
        <v>1.040743655</v>
      </c>
      <c r="EN143" s="1206">
        <v>35.179826772381382</v>
      </c>
      <c r="EO143" s="1206">
        <v>33.762265653361624</v>
      </c>
      <c r="EP143" s="1206">
        <v>9.9046028402120143</v>
      </c>
      <c r="EQ143" s="1206">
        <v>1.0126375309049999E-2</v>
      </c>
      <c r="ER143" s="1206">
        <v>18.935746700447371</v>
      </c>
      <c r="ES143" s="1206">
        <v>2.693545458</v>
      </c>
      <c r="ET143" s="1206">
        <v>2.9231045000000001E-2</v>
      </c>
      <c r="EU143" s="1206">
        <v>30.297280623999995</v>
      </c>
      <c r="EV143" s="1206">
        <v>9.2162746708368886</v>
      </c>
      <c r="EW143" s="1206">
        <v>0</v>
      </c>
      <c r="EX143" s="1550">
        <v>9.9581608889999984</v>
      </c>
      <c r="EY143" s="1206"/>
      <c r="EZ143" s="1206"/>
      <c r="FA143" s="1206"/>
      <c r="FB143" s="1206"/>
      <c r="FC143" s="1206"/>
      <c r="FD143" s="1206"/>
      <c r="FE143" s="1206"/>
      <c r="FF143" s="1206"/>
      <c r="FG143" s="1206"/>
      <c r="FH143" s="1206"/>
      <c r="FI143" s="1206"/>
      <c r="FJ143" s="1550"/>
      <c r="FK143" s="1206"/>
      <c r="FL143" s="1206"/>
      <c r="FM143" s="1206"/>
      <c r="FN143" s="1206"/>
      <c r="FO143" s="1206"/>
      <c r="FP143" s="1206"/>
      <c r="FQ143" s="316"/>
      <c r="FR143" s="316"/>
      <c r="FS143" s="316"/>
      <c r="FT143" s="316"/>
      <c r="FU143" s="316"/>
      <c r="FV143" s="316"/>
      <c r="FW143" s="316"/>
      <c r="FX143" s="316"/>
      <c r="FY143" s="316"/>
      <c r="FZ143" s="316"/>
      <c r="GA143" s="316"/>
      <c r="GB143" s="316"/>
      <c r="GC143" s="316"/>
      <c r="GD143" s="316"/>
      <c r="GE143" s="316"/>
      <c r="GF143" s="316"/>
      <c r="GG143" s="316"/>
      <c r="GH143" s="316"/>
      <c r="GI143" s="316"/>
      <c r="GJ143" s="316"/>
      <c r="GK143" s="316"/>
      <c r="GL143" s="316"/>
      <c r="GM143" s="316"/>
      <c r="GN143" s="316"/>
      <c r="GO143" s="316"/>
      <c r="GP143" s="316"/>
      <c r="GQ143" s="316"/>
      <c r="GR143" s="316"/>
      <c r="GS143" s="316"/>
      <c r="GT143" s="316"/>
      <c r="GU143" s="316"/>
      <c r="GV143" s="316"/>
      <c r="GW143" s="316"/>
      <c r="GX143" s="316"/>
      <c r="GY143" s="316"/>
      <c r="GZ143" s="316"/>
      <c r="HA143" s="316"/>
      <c r="HB143" s="316"/>
      <c r="HC143" s="316"/>
      <c r="HD143" s="316"/>
      <c r="HE143" s="316"/>
      <c r="HF143" s="316"/>
      <c r="HG143" s="316"/>
      <c r="HH143" s="316"/>
      <c r="HI143" s="316"/>
      <c r="HJ143" s="316"/>
      <c r="HK143" s="316"/>
      <c r="HL143" s="316"/>
      <c r="HM143" s="316"/>
      <c r="HV143" s="302">
        <f t="shared" si="25"/>
        <v>57.098744767604046</v>
      </c>
      <c r="HW143" s="302">
        <f t="shared" si="26"/>
        <v>65.777742788951599</v>
      </c>
      <c r="HX143" s="346">
        <f t="shared" si="27"/>
        <v>122.87648755655565</v>
      </c>
      <c r="HY143" s="302">
        <f t="shared" si="28"/>
        <v>66.997889641222542</v>
      </c>
      <c r="KH143" s="303"/>
    </row>
    <row r="144" spans="1:294" outlineLevel="1">
      <c r="A144" s="117" t="s">
        <v>415</v>
      </c>
      <c r="B144" s="117" t="s">
        <v>361</v>
      </c>
      <c r="D144" s="329" t="s">
        <v>416</v>
      </c>
      <c r="E144" s="328"/>
      <c r="F144" s="328"/>
      <c r="G144" s="316"/>
      <c r="H144" s="316"/>
      <c r="I144" s="316"/>
      <c r="J144" s="316"/>
      <c r="K144" s="316"/>
      <c r="L144" s="316"/>
      <c r="M144" s="316"/>
      <c r="N144" s="316"/>
      <c r="O144" s="316"/>
      <c r="P144" s="316"/>
      <c r="Q144" s="316"/>
      <c r="R144" s="316"/>
      <c r="S144" s="316"/>
      <c r="T144" s="316"/>
      <c r="U144" s="316"/>
      <c r="V144" s="316"/>
      <c r="W144" s="316"/>
      <c r="X144" s="316"/>
      <c r="Y144" s="316"/>
      <c r="Z144" s="316"/>
      <c r="AA144" s="316"/>
      <c r="AB144" s="316"/>
      <c r="AC144" s="316"/>
      <c r="AD144" s="316"/>
      <c r="AE144" s="316"/>
      <c r="AF144" s="316"/>
      <c r="AG144" s="316"/>
      <c r="AH144" s="316"/>
      <c r="AI144" s="316"/>
      <c r="AJ144" s="316"/>
      <c r="AK144" s="316"/>
      <c r="AL144" s="316"/>
      <c r="AM144" s="316"/>
      <c r="AN144" s="316"/>
      <c r="AO144" s="316"/>
      <c r="AP144" s="316"/>
      <c r="AQ144" s="316"/>
      <c r="AR144" s="316"/>
      <c r="AS144" s="316"/>
      <c r="AT144" s="316"/>
      <c r="AU144" s="316"/>
      <c r="AV144" s="316"/>
      <c r="AW144" s="316"/>
      <c r="AX144" s="316"/>
      <c r="AY144" s="316"/>
      <c r="AZ144" s="316"/>
      <c r="BA144" s="316"/>
      <c r="BB144" s="316"/>
      <c r="BC144" s="316"/>
      <c r="BD144" s="316"/>
      <c r="BE144" s="316"/>
      <c r="BF144" s="316"/>
      <c r="BG144" s="316"/>
      <c r="BH144" s="316"/>
      <c r="BI144" s="316"/>
      <c r="BJ144" s="316"/>
      <c r="BK144" s="316"/>
      <c r="BL144" s="316"/>
      <c r="BM144" s="316"/>
      <c r="BN144" s="316"/>
      <c r="BO144" s="316"/>
      <c r="BP144" s="316"/>
      <c r="BQ144" s="316"/>
      <c r="BR144" s="316"/>
      <c r="BS144" s="316"/>
      <c r="BT144" s="316"/>
      <c r="BU144" s="316"/>
      <c r="BV144" s="316"/>
      <c r="BW144" s="316"/>
      <c r="BX144" s="316"/>
      <c r="BY144" s="316"/>
      <c r="BZ144" s="316"/>
      <c r="CA144" s="316"/>
      <c r="CB144" s="316"/>
      <c r="CC144" s="316"/>
      <c r="CD144" s="316"/>
      <c r="CE144" s="317"/>
      <c r="CF144" s="316"/>
      <c r="CG144" s="316"/>
      <c r="CH144" s="316"/>
      <c r="CI144" s="316"/>
      <c r="CJ144" s="316"/>
      <c r="CK144" s="316"/>
      <c r="CL144" s="316"/>
      <c r="CM144" s="316"/>
      <c r="CN144" s="316"/>
      <c r="CO144" s="316"/>
      <c r="CP144" s="318"/>
      <c r="CQ144" s="316">
        <v>6.628232465</v>
      </c>
      <c r="CR144" s="316">
        <v>0.35177475499999999</v>
      </c>
      <c r="CS144" s="316">
        <v>0.48812085700000002</v>
      </c>
      <c r="CT144" s="316">
        <v>0</v>
      </c>
      <c r="CU144" s="316">
        <v>6.156019723</v>
      </c>
      <c r="CV144" s="316">
        <v>4.9142462480000004</v>
      </c>
      <c r="CW144" s="316">
        <v>0.177109971</v>
      </c>
      <c r="CX144" s="316">
        <v>0</v>
      </c>
      <c r="CY144" s="316">
        <v>0</v>
      </c>
      <c r="CZ144" s="316">
        <v>17.694384566</v>
      </c>
      <c r="DA144" s="316">
        <v>0.63421618499999999</v>
      </c>
      <c r="DB144" s="1498">
        <v>0.176363358</v>
      </c>
      <c r="DC144" s="316"/>
      <c r="DD144" s="316"/>
      <c r="DE144" s="316"/>
      <c r="DF144" s="316"/>
      <c r="DG144" s="316"/>
      <c r="DH144" s="316"/>
      <c r="DI144" s="316"/>
      <c r="DJ144" s="316"/>
      <c r="DK144" s="316"/>
      <c r="DL144" s="316"/>
      <c r="DM144" s="316"/>
      <c r="DN144" s="318"/>
      <c r="DO144" s="316"/>
      <c r="DP144" s="316"/>
      <c r="DQ144" s="316"/>
      <c r="DR144" s="316"/>
      <c r="DS144" s="316"/>
      <c r="DT144" s="316"/>
      <c r="DU144" s="316"/>
      <c r="DV144" s="316"/>
      <c r="DW144" s="316"/>
      <c r="DX144" s="316"/>
      <c r="DY144" s="316"/>
      <c r="DZ144" s="318"/>
      <c r="EA144" s="316"/>
      <c r="EB144" s="316"/>
      <c r="EC144" s="316"/>
      <c r="ED144" s="316"/>
      <c r="EE144" s="316"/>
      <c r="EF144" s="316"/>
      <c r="EG144" s="316"/>
      <c r="EH144" s="316"/>
      <c r="EI144" s="316"/>
      <c r="EJ144" s="316"/>
      <c r="EK144" s="316"/>
      <c r="EL144" s="318"/>
      <c r="EM144" s="1206"/>
      <c r="EN144" s="1206"/>
      <c r="EO144" s="1206"/>
      <c r="EP144" s="1206"/>
      <c r="EQ144" s="1206"/>
      <c r="ER144" s="1206"/>
      <c r="ES144" s="1206"/>
      <c r="ET144" s="1206"/>
      <c r="EU144" s="1206"/>
      <c r="EV144" s="1206"/>
      <c r="EW144" s="1206"/>
      <c r="EX144" s="1550"/>
      <c r="EY144" s="1206"/>
      <c r="EZ144" s="1206"/>
      <c r="FA144" s="1206"/>
      <c r="FB144" s="1206"/>
      <c r="FC144" s="1206"/>
      <c r="FD144" s="1206"/>
      <c r="FE144" s="1206"/>
      <c r="FF144" s="1206"/>
      <c r="FG144" s="1206"/>
      <c r="FH144" s="1206"/>
      <c r="FI144" s="1206"/>
      <c r="FJ144" s="1550"/>
      <c r="FK144" s="1206"/>
      <c r="FL144" s="1206"/>
      <c r="FM144" s="1206"/>
      <c r="FN144" s="1206"/>
      <c r="FO144" s="1206"/>
      <c r="FP144" s="1206"/>
      <c r="FQ144" s="316"/>
      <c r="FR144" s="316"/>
      <c r="FS144" s="316"/>
      <c r="FT144" s="316"/>
      <c r="FU144" s="316"/>
      <c r="FV144" s="316"/>
      <c r="FW144" s="316"/>
      <c r="FX144" s="316"/>
      <c r="FY144" s="316"/>
      <c r="FZ144" s="316"/>
      <c r="GA144" s="316"/>
      <c r="GB144" s="316"/>
      <c r="GC144" s="316"/>
      <c r="GD144" s="316"/>
      <c r="GE144" s="316"/>
      <c r="GF144" s="316"/>
      <c r="GG144" s="316"/>
      <c r="GH144" s="316"/>
      <c r="GI144" s="316"/>
      <c r="GJ144" s="316"/>
      <c r="GK144" s="316"/>
      <c r="GL144" s="316"/>
      <c r="GM144" s="316"/>
      <c r="GN144" s="316"/>
      <c r="GO144" s="316"/>
      <c r="GP144" s="316"/>
      <c r="GQ144" s="316"/>
      <c r="GR144" s="316"/>
      <c r="GS144" s="316"/>
      <c r="GT144" s="316"/>
      <c r="GU144" s="316"/>
      <c r="GV144" s="316"/>
      <c r="GW144" s="316"/>
      <c r="GX144" s="316"/>
      <c r="GY144" s="316"/>
      <c r="GZ144" s="316"/>
      <c r="HA144" s="316"/>
      <c r="HB144" s="316"/>
      <c r="HC144" s="316"/>
      <c r="HD144" s="316"/>
      <c r="HE144" s="316"/>
      <c r="HF144" s="316"/>
      <c r="HG144" s="316"/>
      <c r="HH144" s="316"/>
      <c r="HI144" s="316"/>
      <c r="HJ144" s="316"/>
      <c r="HK144" s="316"/>
      <c r="HL144" s="316"/>
      <c r="HM144" s="316"/>
      <c r="HU144" s="346"/>
      <c r="HV144" s="302">
        <f t="shared" si="25"/>
        <v>0</v>
      </c>
      <c r="HW144" s="302">
        <f t="shared" si="26"/>
        <v>0</v>
      </c>
      <c r="HX144" s="346">
        <f t="shared" si="27"/>
        <v>0</v>
      </c>
      <c r="HY144" s="302">
        <f t="shared" si="28"/>
        <v>0</v>
      </c>
      <c r="KH144" s="303"/>
    </row>
    <row r="145" spans="1:295" outlineLevel="1">
      <c r="B145" s="117" t="s">
        <v>361</v>
      </c>
      <c r="D145" s="326" t="s">
        <v>417</v>
      </c>
      <c r="E145" s="326"/>
      <c r="F145" s="326"/>
      <c r="G145" s="316"/>
      <c r="H145" s="316"/>
      <c r="I145" s="316"/>
      <c r="J145" s="316"/>
      <c r="K145" s="316"/>
      <c r="L145" s="316"/>
      <c r="M145" s="316"/>
      <c r="N145" s="316"/>
      <c r="O145" s="316"/>
      <c r="P145" s="316"/>
      <c r="Q145" s="316"/>
      <c r="R145" s="316"/>
      <c r="S145" s="316"/>
      <c r="T145" s="316"/>
      <c r="U145" s="316"/>
      <c r="V145" s="316"/>
      <c r="W145" s="316"/>
      <c r="X145" s="316"/>
      <c r="Y145" s="316"/>
      <c r="Z145" s="316"/>
      <c r="AA145" s="316"/>
      <c r="AB145" s="316"/>
      <c r="AC145" s="316"/>
      <c r="AD145" s="316"/>
      <c r="AE145" s="316"/>
      <c r="AF145" s="316"/>
      <c r="AG145" s="316"/>
      <c r="AH145" s="316"/>
      <c r="AI145" s="316"/>
      <c r="AJ145" s="316"/>
      <c r="AK145" s="316"/>
      <c r="AL145" s="316"/>
      <c r="AM145" s="316"/>
      <c r="AN145" s="316"/>
      <c r="AO145" s="316">
        <v>21.675744537330001</v>
      </c>
      <c r="AP145" s="316">
        <v>0</v>
      </c>
      <c r="AQ145" s="316">
        <v>8.0356596319799998</v>
      </c>
      <c r="AR145" s="316">
        <v>2.4150306957900005</v>
      </c>
      <c r="AS145" s="316">
        <v>8.9496196241000003</v>
      </c>
      <c r="AT145" s="316">
        <v>85.167619765600008</v>
      </c>
      <c r="AU145" s="316">
        <v>6.14153916236</v>
      </c>
      <c r="AV145" s="316">
        <v>4.7562448724999999</v>
      </c>
      <c r="AW145" s="316">
        <v>57.62062131399</v>
      </c>
      <c r="AX145" s="316">
        <v>15.40371169945</v>
      </c>
      <c r="AY145" s="316">
        <v>6.369025112520001</v>
      </c>
      <c r="AZ145" s="316">
        <v>14.451079500000006</v>
      </c>
      <c r="BA145" s="316">
        <v>0</v>
      </c>
      <c r="BB145" s="316">
        <v>5.1101167219199999</v>
      </c>
      <c r="BC145" s="316">
        <v>0.82872739799999995</v>
      </c>
      <c r="BD145" s="316">
        <v>75.635872703500013</v>
      </c>
      <c r="BE145" s="316">
        <v>0.81968265459</v>
      </c>
      <c r="BF145" s="316">
        <v>2.0343625264379992</v>
      </c>
      <c r="BG145" s="316">
        <v>40.461332991999996</v>
      </c>
      <c r="BH145" s="316">
        <v>37.387765060865995</v>
      </c>
      <c r="BI145" s="316">
        <v>29.587642191762004</v>
      </c>
      <c r="BJ145" s="316">
        <v>16.079143867995001</v>
      </c>
      <c r="BK145" s="316">
        <v>4.4951420560369995</v>
      </c>
      <c r="BL145" s="316">
        <v>116.93752886304</v>
      </c>
      <c r="BM145" s="316">
        <v>1.7536108629</v>
      </c>
      <c r="BN145" s="316">
        <v>4.0100855749599997</v>
      </c>
      <c r="BO145" s="316">
        <v>0</v>
      </c>
      <c r="BP145" s="316">
        <v>0.18182937499999999</v>
      </c>
      <c r="BQ145" s="316">
        <v>0</v>
      </c>
      <c r="BR145" s="316">
        <v>24.205500877216</v>
      </c>
      <c r="BS145" s="316">
        <v>28.600580636487997</v>
      </c>
      <c r="BT145" s="316">
        <v>0</v>
      </c>
      <c r="BU145" s="316">
        <v>24.53686163775</v>
      </c>
      <c r="BV145" s="316">
        <v>40.644011394025</v>
      </c>
      <c r="BW145" s="316">
        <v>0</v>
      </c>
      <c r="BX145" s="316">
        <v>3.0755816996010013</v>
      </c>
      <c r="BY145" s="316">
        <v>0</v>
      </c>
      <c r="BZ145" s="316">
        <v>0</v>
      </c>
      <c r="CA145" s="316">
        <v>12.997303972659999</v>
      </c>
      <c r="CB145" s="316">
        <v>31.179930483504002</v>
      </c>
      <c r="CC145" s="316">
        <v>17.791806279455997</v>
      </c>
      <c r="CD145" s="316">
        <v>41.848099133955998</v>
      </c>
      <c r="CE145" s="317">
        <v>10.649725516935002</v>
      </c>
      <c r="CF145" s="316">
        <v>32.642625870288001</v>
      </c>
      <c r="CG145" s="316">
        <v>42.376945760600009</v>
      </c>
      <c r="CH145" s="316">
        <v>8.2179470510999995</v>
      </c>
      <c r="CI145" s="316">
        <v>2.710436597478</v>
      </c>
      <c r="CJ145" s="316">
        <v>39.538582284914</v>
      </c>
      <c r="CK145" s="316">
        <v>0</v>
      </c>
      <c r="CL145" s="316">
        <v>0</v>
      </c>
      <c r="CM145" s="316">
        <v>0</v>
      </c>
      <c r="CN145" s="316">
        <v>5.1507715871040007</v>
      </c>
      <c r="CO145" s="316">
        <v>52.210473759879527</v>
      </c>
      <c r="CP145" s="318">
        <v>27.406966837784001</v>
      </c>
      <c r="CQ145" s="316">
        <v>17.109302178455081</v>
      </c>
      <c r="CR145" s="316">
        <v>0</v>
      </c>
      <c r="CS145" s="316">
        <v>0</v>
      </c>
      <c r="CT145" s="316">
        <v>4.3698115905297037</v>
      </c>
      <c r="CU145" s="316">
        <v>8.4669231590166802</v>
      </c>
      <c r="CV145" s="316">
        <v>87.927244498153996</v>
      </c>
      <c r="CW145" s="316">
        <v>7.9579001557282512</v>
      </c>
      <c r="CX145" s="316">
        <v>0</v>
      </c>
      <c r="CY145" s="316">
        <v>0</v>
      </c>
      <c r="CZ145" s="316">
        <v>49.674753339000183</v>
      </c>
      <c r="DA145" s="316">
        <v>11.195517531208713</v>
      </c>
      <c r="DB145" s="1498">
        <v>0.19448085311253629</v>
      </c>
      <c r="DC145" s="636">
        <v>18.058149458863202</v>
      </c>
      <c r="DD145" s="636">
        <v>6.1010519303999997</v>
      </c>
      <c r="DE145" s="636">
        <v>66.396597737456929</v>
      </c>
      <c r="DF145" s="636">
        <v>7.7030802330102031</v>
      </c>
      <c r="DG145" s="636">
        <v>32.927030435843498</v>
      </c>
      <c r="DH145" s="636">
        <v>92.680212569004482</v>
      </c>
      <c r="DI145" s="316">
        <v>0</v>
      </c>
      <c r="DJ145" s="316">
        <v>2.9903096907429503</v>
      </c>
      <c r="DK145" s="316">
        <v>0</v>
      </c>
      <c r="DL145" s="316">
        <v>54.079187098663013</v>
      </c>
      <c r="DM145" s="316">
        <v>0</v>
      </c>
      <c r="DN145" s="318">
        <v>42.935842568934987</v>
      </c>
      <c r="DO145" s="316">
        <v>20.811385680913162</v>
      </c>
      <c r="DP145" s="316">
        <v>6.09974658191424</v>
      </c>
      <c r="DQ145" s="316">
        <v>19.271476517449592</v>
      </c>
      <c r="DR145" s="316">
        <v>63.64921940768172</v>
      </c>
      <c r="DS145" s="316">
        <v>16.00603234520154</v>
      </c>
      <c r="DT145" s="316">
        <v>122.50627047992697</v>
      </c>
      <c r="DU145" s="316">
        <v>43.611173918295151</v>
      </c>
      <c r="DV145" s="316">
        <v>9.695366913298864</v>
      </c>
      <c r="DW145" s="316">
        <v>22.860911277364309</v>
      </c>
      <c r="DX145" s="316">
        <v>47.80095476932042</v>
      </c>
      <c r="DY145" s="316">
        <v>7.0783921853931311</v>
      </c>
      <c r="DZ145" s="318">
        <v>84.388110913913891</v>
      </c>
      <c r="EA145" s="316"/>
      <c r="EB145" s="316"/>
      <c r="EC145" s="316"/>
      <c r="ED145" s="316"/>
      <c r="EE145" s="316"/>
      <c r="EF145" s="316"/>
      <c r="EG145" s="316"/>
      <c r="EH145" s="316"/>
      <c r="EI145" s="316"/>
      <c r="EJ145" s="316"/>
      <c r="EK145" s="316"/>
      <c r="EL145" s="318"/>
      <c r="EM145" s="1206"/>
      <c r="EN145" s="1206"/>
      <c r="EO145" s="1206"/>
      <c r="EP145" s="1206"/>
      <c r="EQ145" s="1206"/>
      <c r="ER145" s="1206"/>
      <c r="ES145" s="1206"/>
      <c r="ET145" s="1206"/>
      <c r="EU145" s="1206"/>
      <c r="EV145" s="1206"/>
      <c r="EW145" s="1206"/>
      <c r="EX145" s="1550"/>
      <c r="EY145" s="1206"/>
      <c r="EZ145" s="1206"/>
      <c r="FA145" s="1206"/>
      <c r="FB145" s="1206"/>
      <c r="FC145" s="1206"/>
      <c r="FD145" s="1206"/>
      <c r="FE145" s="1206"/>
      <c r="FF145" s="1206"/>
      <c r="FG145" s="1206"/>
      <c r="FH145" s="1206"/>
      <c r="FI145" s="1206"/>
      <c r="FJ145" s="1550"/>
      <c r="FK145" s="1206"/>
      <c r="FL145" s="1206"/>
      <c r="FM145" s="1206"/>
      <c r="FN145" s="1206"/>
      <c r="FO145" s="1206"/>
      <c r="FP145" s="1206"/>
      <c r="FQ145" s="316"/>
      <c r="FR145" s="316"/>
      <c r="FS145" s="316"/>
      <c r="FT145" s="316"/>
      <c r="FU145" s="316"/>
      <c r="FV145" s="316"/>
      <c r="FW145" s="316"/>
      <c r="FX145" s="316"/>
      <c r="FY145" s="316"/>
      <c r="FZ145" s="316"/>
      <c r="GA145" s="316"/>
      <c r="GB145" s="316"/>
      <c r="GC145" s="316"/>
      <c r="GD145" s="316"/>
      <c r="GE145" s="316"/>
      <c r="GF145" s="316"/>
      <c r="GG145" s="316"/>
      <c r="GH145" s="316"/>
      <c r="GI145" s="316"/>
      <c r="GJ145" s="316"/>
      <c r="GK145" s="316"/>
      <c r="GL145" s="316"/>
      <c r="GM145" s="316"/>
      <c r="GN145" s="316"/>
      <c r="GO145" s="316"/>
      <c r="GP145" s="316"/>
      <c r="GQ145" s="316"/>
      <c r="GR145" s="316"/>
      <c r="GS145" s="316"/>
      <c r="GT145" s="316"/>
      <c r="GU145" s="316"/>
      <c r="GV145" s="316"/>
      <c r="GW145" s="316"/>
      <c r="GX145" s="316"/>
      <c r="GY145" s="316"/>
      <c r="GZ145" s="316"/>
      <c r="HA145" s="316"/>
      <c r="HB145" s="316"/>
      <c r="HC145" s="316"/>
      <c r="HD145" s="316"/>
      <c r="HE145" s="316"/>
      <c r="HF145" s="316"/>
      <c r="HG145" s="316"/>
      <c r="HH145" s="316"/>
      <c r="HI145" s="316"/>
      <c r="HJ145" s="316"/>
      <c r="HK145" s="316"/>
      <c r="HL145" s="316"/>
      <c r="HM145" s="316"/>
      <c r="HV145" s="302">
        <f t="shared" si="25"/>
        <v>223.8661223645783</v>
      </c>
      <c r="HW145" s="302">
        <f t="shared" si="26"/>
        <v>100.00533935834095</v>
      </c>
      <c r="HX145" s="346">
        <f t="shared" si="27"/>
        <v>323.87146172291926</v>
      </c>
      <c r="HY145" s="302">
        <f t="shared" si="28"/>
        <v>248.34413101308721</v>
      </c>
      <c r="KH145" s="303"/>
    </row>
    <row r="146" spans="1:295" outlineLevel="1">
      <c r="B146" s="117" t="s">
        <v>361</v>
      </c>
      <c r="D146" s="327" t="s">
        <v>1051</v>
      </c>
      <c r="E146" s="328"/>
      <c r="F146" s="328"/>
      <c r="G146" s="316"/>
      <c r="H146" s="316"/>
      <c r="I146" s="316"/>
      <c r="J146" s="316"/>
      <c r="K146" s="316"/>
      <c r="L146" s="316"/>
      <c r="M146" s="316"/>
      <c r="N146" s="316"/>
      <c r="O146" s="316"/>
      <c r="P146" s="316"/>
      <c r="Q146" s="316"/>
      <c r="R146" s="316"/>
      <c r="S146" s="316"/>
      <c r="T146" s="316"/>
      <c r="U146" s="316"/>
      <c r="V146" s="316"/>
      <c r="W146" s="316"/>
      <c r="X146" s="316"/>
      <c r="Y146" s="316"/>
      <c r="Z146" s="316"/>
      <c r="AA146" s="316"/>
      <c r="AB146" s="316"/>
      <c r="AC146" s="316"/>
      <c r="AD146" s="316"/>
      <c r="AE146" s="316"/>
      <c r="AF146" s="316"/>
      <c r="AG146" s="316"/>
      <c r="AH146" s="316"/>
      <c r="AI146" s="316"/>
      <c r="AJ146" s="316"/>
      <c r="AK146" s="316"/>
      <c r="AL146" s="316"/>
      <c r="AM146" s="316"/>
      <c r="AN146" s="316"/>
      <c r="AO146" s="316">
        <v>21.675744537330001</v>
      </c>
      <c r="AP146" s="316">
        <v>0</v>
      </c>
      <c r="AQ146" s="316">
        <v>8.0356596319799998</v>
      </c>
      <c r="AR146" s="316">
        <v>2.4150306957900005</v>
      </c>
      <c r="AS146" s="316">
        <v>8.9496196241000003</v>
      </c>
      <c r="AT146" s="316">
        <v>85.167619765600008</v>
      </c>
      <c r="AU146" s="316">
        <v>6.14153916236</v>
      </c>
      <c r="AV146" s="316">
        <v>4.7562448724999999</v>
      </c>
      <c r="AW146" s="316">
        <v>57.62062131399</v>
      </c>
      <c r="AX146" s="316">
        <v>15.40371169945</v>
      </c>
      <c r="AY146" s="316">
        <v>6.369025112520001</v>
      </c>
      <c r="AZ146" s="316">
        <v>14.451079500000006</v>
      </c>
      <c r="BA146" s="316">
        <v>0</v>
      </c>
      <c r="BB146" s="316">
        <v>5.1101167219199999</v>
      </c>
      <c r="BC146" s="316">
        <v>0.82872739799999995</v>
      </c>
      <c r="BD146" s="316">
        <v>54.262021727500006</v>
      </c>
      <c r="BE146" s="316">
        <v>0.81968265459</v>
      </c>
      <c r="BF146" s="316">
        <v>2.0343625264379992</v>
      </c>
      <c r="BG146" s="316">
        <v>40.461332991999996</v>
      </c>
      <c r="BH146" s="316">
        <v>37.387765060865995</v>
      </c>
      <c r="BI146" s="316">
        <v>29.587642191762004</v>
      </c>
      <c r="BJ146" s="316">
        <v>16.079143867995001</v>
      </c>
      <c r="BK146" s="316">
        <v>4.4951420560369995</v>
      </c>
      <c r="BL146" s="316">
        <v>67.205851342128</v>
      </c>
      <c r="BM146" s="316">
        <v>1.7536108629</v>
      </c>
      <c r="BN146" s="316">
        <v>4.0100855749599997</v>
      </c>
      <c r="BO146" s="316">
        <v>0</v>
      </c>
      <c r="BP146" s="316">
        <v>0.18182937499999999</v>
      </c>
      <c r="BQ146" s="316">
        <v>0</v>
      </c>
      <c r="BR146" s="316">
        <v>24.205500877216</v>
      </c>
      <c r="BS146" s="316">
        <v>28.600580636487997</v>
      </c>
      <c r="BT146" s="316">
        <v>0</v>
      </c>
      <c r="BU146" s="316">
        <v>16.179806585249999</v>
      </c>
      <c r="BV146" s="316">
        <v>40.644011394025</v>
      </c>
      <c r="BW146" s="316">
        <v>0</v>
      </c>
      <c r="BX146" s="316">
        <v>3.0755816996010013</v>
      </c>
      <c r="BY146" s="316">
        <v>0</v>
      </c>
      <c r="BZ146" s="316">
        <v>0</v>
      </c>
      <c r="CA146" s="316">
        <v>12.997303972659999</v>
      </c>
      <c r="CB146" s="316">
        <v>31.179930483504002</v>
      </c>
      <c r="CC146" s="316">
        <v>17.791806279455997</v>
      </c>
      <c r="CD146" s="316">
        <v>32.721542591764994</v>
      </c>
      <c r="CE146" s="317">
        <v>10.649725516935002</v>
      </c>
      <c r="CF146" s="316">
        <v>32.642625870288001</v>
      </c>
      <c r="CG146" s="316">
        <v>42.376945760600009</v>
      </c>
      <c r="CH146" s="316">
        <v>8.2179470510999995</v>
      </c>
      <c r="CI146" s="316">
        <v>2.710436597478</v>
      </c>
      <c r="CJ146" s="316">
        <v>39.538582284914</v>
      </c>
      <c r="CK146" s="316">
        <v>0</v>
      </c>
      <c r="CL146" s="316">
        <v>0</v>
      </c>
      <c r="CM146" s="316">
        <v>0</v>
      </c>
      <c r="CN146" s="316">
        <v>5.1507715871040007</v>
      </c>
      <c r="CO146" s="316">
        <v>20.485970340179527</v>
      </c>
      <c r="CP146" s="318">
        <v>9.5380680146239989</v>
      </c>
      <c r="CQ146" s="316">
        <v>17.109302178455081</v>
      </c>
      <c r="CR146" s="316">
        <v>0</v>
      </c>
      <c r="CS146" s="316">
        <v>0</v>
      </c>
      <c r="CT146" s="316">
        <v>4.3698115905297037</v>
      </c>
      <c r="CU146" s="316">
        <v>8.4669231590166802</v>
      </c>
      <c r="CV146" s="316">
        <v>31.202578966328101</v>
      </c>
      <c r="CW146" s="316">
        <v>7.9579001557282512</v>
      </c>
      <c r="CX146" s="316">
        <v>0</v>
      </c>
      <c r="CY146" s="316">
        <v>0</v>
      </c>
      <c r="CZ146" s="316">
        <v>2.6002524733901735</v>
      </c>
      <c r="DA146" s="316">
        <v>11.195517531208713</v>
      </c>
      <c r="DB146" s="1498">
        <v>0.19448085311253629</v>
      </c>
      <c r="DC146" s="316">
        <v>18.058149458863202</v>
      </c>
      <c r="DD146" s="316">
        <v>6.1010519303999997</v>
      </c>
      <c r="DE146" s="316">
        <v>7.3053897700000006</v>
      </c>
      <c r="DF146" s="316">
        <v>0</v>
      </c>
      <c r="DG146" s="316">
        <v>6.2897252848764973</v>
      </c>
      <c r="DH146" s="316">
        <v>22.355511740180759</v>
      </c>
      <c r="DI146" s="316">
        <v>0</v>
      </c>
      <c r="DJ146" s="316">
        <v>2.9903096907429503</v>
      </c>
      <c r="DK146" s="316">
        <v>0</v>
      </c>
      <c r="DL146" s="316">
        <v>24.646625680272663</v>
      </c>
      <c r="DM146" s="316">
        <v>0</v>
      </c>
      <c r="DN146" s="318">
        <v>42.935842568934987</v>
      </c>
      <c r="DO146" s="316">
        <v>16.1258140260571</v>
      </c>
      <c r="DP146" s="316">
        <v>6.09974658191424</v>
      </c>
      <c r="DQ146" s="316">
        <v>0</v>
      </c>
      <c r="DR146" s="316">
        <v>0</v>
      </c>
      <c r="DS146" s="316">
        <v>6.8471657568920401</v>
      </c>
      <c r="DT146" s="316">
        <v>35.410917653534895</v>
      </c>
      <c r="DU146" s="316"/>
      <c r="DV146" s="316"/>
      <c r="DW146" s="316">
        <v>10.456417621</v>
      </c>
      <c r="DX146" s="316">
        <v>0</v>
      </c>
      <c r="DY146" s="316">
        <v>0</v>
      </c>
      <c r="DZ146" s="318">
        <v>52.75959672845898</v>
      </c>
      <c r="EA146" s="316">
        <v>5.88550168</v>
      </c>
      <c r="EB146" s="316">
        <v>8.2880855699999998</v>
      </c>
      <c r="EC146" s="316">
        <v>6.293351597</v>
      </c>
      <c r="ED146" s="316"/>
      <c r="EE146" s="316">
        <v>4.976799937</v>
      </c>
      <c r="EF146" s="316">
        <v>47.219624155000005</v>
      </c>
      <c r="EG146" s="316">
        <v>39.419655019000004</v>
      </c>
      <c r="EH146" s="316"/>
      <c r="EI146" s="316"/>
      <c r="EJ146" s="316">
        <v>6.1993686500000003</v>
      </c>
      <c r="EK146" s="316"/>
      <c r="EL146" s="318"/>
      <c r="EM146" s="1206">
        <v>2.1676797739999998</v>
      </c>
      <c r="EN146" s="1206">
        <v>4.3639925460000004</v>
      </c>
      <c r="EO146" s="1206"/>
      <c r="EP146" s="1206">
        <v>0</v>
      </c>
      <c r="EQ146" s="1206">
        <v>2.350520414</v>
      </c>
      <c r="ER146" s="1206">
        <v>66.386650635999999</v>
      </c>
      <c r="ES146" s="1206">
        <v>0</v>
      </c>
      <c r="ET146" s="1206">
        <v>0</v>
      </c>
      <c r="EU146" s="1206">
        <v>0</v>
      </c>
      <c r="EV146" s="1206">
        <v>0</v>
      </c>
      <c r="EW146" s="1206">
        <v>0</v>
      </c>
      <c r="EX146" s="1550">
        <v>0</v>
      </c>
      <c r="EY146" s="1206"/>
      <c r="EZ146" s="1206"/>
      <c r="FA146" s="1206"/>
      <c r="FB146" s="1206"/>
      <c r="FC146" s="1206"/>
      <c r="FD146" s="1206"/>
      <c r="FE146" s="1206"/>
      <c r="FF146" s="1206"/>
      <c r="FG146" s="1206"/>
      <c r="FH146" s="1206"/>
      <c r="FI146" s="1206"/>
      <c r="FJ146" s="1550"/>
      <c r="FK146" s="1206"/>
      <c r="FL146" s="1206"/>
      <c r="FM146" s="1206"/>
      <c r="FN146" s="1206"/>
      <c r="FO146" s="1206"/>
      <c r="FP146" s="1206"/>
      <c r="FQ146" s="316"/>
      <c r="FR146" s="316"/>
      <c r="FS146" s="316"/>
      <c r="FT146" s="316"/>
      <c r="FU146" s="316"/>
      <c r="FV146" s="316"/>
      <c r="FW146" s="316"/>
      <c r="FX146" s="316"/>
      <c r="FY146" s="316"/>
      <c r="FZ146" s="316"/>
      <c r="GA146" s="316"/>
      <c r="GB146" s="316"/>
      <c r="GC146" s="316"/>
      <c r="GD146" s="316"/>
      <c r="GE146" s="316"/>
      <c r="GF146" s="316"/>
      <c r="GG146" s="316"/>
      <c r="GH146" s="316"/>
      <c r="GI146" s="316"/>
      <c r="GJ146" s="316"/>
      <c r="GK146" s="316"/>
      <c r="GL146" s="316"/>
      <c r="GM146" s="316"/>
      <c r="GN146" s="316"/>
      <c r="GO146" s="316"/>
      <c r="GP146" s="316"/>
      <c r="GQ146" s="316"/>
      <c r="GR146" s="316"/>
      <c r="GS146" s="316"/>
      <c r="GT146" s="316"/>
      <c r="GU146" s="316"/>
      <c r="GV146" s="316"/>
      <c r="GW146" s="316"/>
      <c r="GX146" s="316"/>
      <c r="GY146" s="316"/>
      <c r="GZ146" s="316"/>
      <c r="HA146" s="316"/>
      <c r="HB146" s="316"/>
      <c r="HC146" s="316"/>
      <c r="HD146" s="316"/>
      <c r="HE146" s="316"/>
      <c r="HF146" s="316"/>
      <c r="HG146" s="316"/>
      <c r="HH146" s="316"/>
      <c r="HI146" s="316"/>
      <c r="HJ146" s="316"/>
      <c r="HK146" s="316"/>
      <c r="HL146" s="316"/>
      <c r="HM146" s="316"/>
      <c r="HV146" s="302">
        <f t="shared" si="25"/>
        <v>60.109828184320463</v>
      </c>
      <c r="HW146" s="302">
        <f t="shared" si="26"/>
        <v>70.572777939950598</v>
      </c>
      <c r="HX146" s="346">
        <f t="shared" si="27"/>
        <v>130.68260612427105</v>
      </c>
      <c r="HY146" s="302">
        <f t="shared" si="28"/>
        <v>64.48364401839828</v>
      </c>
      <c r="KH146" s="303"/>
    </row>
    <row r="147" spans="1:295" outlineLevel="1">
      <c r="D147" s="327" t="s">
        <v>1052</v>
      </c>
      <c r="E147" s="328"/>
      <c r="F147" s="328"/>
      <c r="G147" s="316"/>
      <c r="H147" s="316"/>
      <c r="I147" s="316"/>
      <c r="J147" s="316"/>
      <c r="K147" s="316"/>
      <c r="L147" s="316"/>
      <c r="M147" s="316"/>
      <c r="N147" s="316"/>
      <c r="O147" s="316"/>
      <c r="P147" s="316"/>
      <c r="Q147" s="316"/>
      <c r="R147" s="316"/>
      <c r="S147" s="316"/>
      <c r="T147" s="316"/>
      <c r="U147" s="316"/>
      <c r="V147" s="316"/>
      <c r="W147" s="316"/>
      <c r="X147" s="316"/>
      <c r="Y147" s="316"/>
      <c r="Z147" s="316"/>
      <c r="AA147" s="316"/>
      <c r="AB147" s="316"/>
      <c r="AC147" s="316"/>
      <c r="AD147" s="316"/>
      <c r="AE147" s="316"/>
      <c r="AF147" s="316"/>
      <c r="AG147" s="316"/>
      <c r="AH147" s="316"/>
      <c r="AI147" s="316"/>
      <c r="AJ147" s="316"/>
      <c r="AK147" s="316"/>
      <c r="AL147" s="316"/>
      <c r="AM147" s="316"/>
      <c r="AN147" s="316"/>
      <c r="AO147" s="316">
        <v>0</v>
      </c>
      <c r="AP147" s="316">
        <v>0</v>
      </c>
      <c r="AQ147" s="316">
        <v>0</v>
      </c>
      <c r="AR147" s="316">
        <v>0</v>
      </c>
      <c r="AS147" s="316">
        <v>0</v>
      </c>
      <c r="AT147" s="316">
        <v>0</v>
      </c>
      <c r="AU147" s="316">
        <v>0</v>
      </c>
      <c r="AV147" s="316">
        <v>0</v>
      </c>
      <c r="AW147" s="316">
        <v>0</v>
      </c>
      <c r="AX147" s="316">
        <v>0</v>
      </c>
      <c r="AY147" s="316">
        <v>0</v>
      </c>
      <c r="AZ147" s="316">
        <v>0</v>
      </c>
      <c r="BA147" s="316">
        <v>0</v>
      </c>
      <c r="BB147" s="316">
        <v>0</v>
      </c>
      <c r="BC147" s="316">
        <v>0</v>
      </c>
      <c r="BD147" s="316">
        <v>0</v>
      </c>
      <c r="BE147" s="316">
        <v>0</v>
      </c>
      <c r="BF147" s="316">
        <v>0</v>
      </c>
      <c r="BG147" s="316">
        <v>0</v>
      </c>
      <c r="BH147" s="316">
        <v>0</v>
      </c>
      <c r="BI147" s="316">
        <v>0</v>
      </c>
      <c r="BJ147" s="316">
        <v>0</v>
      </c>
      <c r="BK147" s="316">
        <v>0</v>
      </c>
      <c r="BL147" s="316">
        <v>0</v>
      </c>
      <c r="BM147" s="316">
        <v>0</v>
      </c>
      <c r="BN147" s="316">
        <v>0</v>
      </c>
      <c r="BO147" s="316">
        <v>0</v>
      </c>
      <c r="BP147" s="316">
        <v>0</v>
      </c>
      <c r="BQ147" s="316">
        <v>0</v>
      </c>
      <c r="BR147" s="316">
        <v>0</v>
      </c>
      <c r="BS147" s="316">
        <v>0</v>
      </c>
      <c r="BT147" s="316">
        <v>0</v>
      </c>
      <c r="BU147" s="316">
        <v>0</v>
      </c>
      <c r="BV147" s="316">
        <v>0</v>
      </c>
      <c r="BW147" s="316">
        <v>0</v>
      </c>
      <c r="BX147" s="316">
        <v>0</v>
      </c>
      <c r="BY147" s="316">
        <v>0</v>
      </c>
      <c r="BZ147" s="316">
        <v>0</v>
      </c>
      <c r="CA147" s="316">
        <v>0</v>
      </c>
      <c r="CB147" s="316">
        <v>0</v>
      </c>
      <c r="CC147" s="316">
        <v>23.836507721136002</v>
      </c>
      <c r="CD147" s="316">
        <v>0</v>
      </c>
      <c r="CE147" s="317">
        <v>0</v>
      </c>
      <c r="CF147" s="316">
        <v>0</v>
      </c>
      <c r="CG147" s="316">
        <v>7.4813782618000015</v>
      </c>
      <c r="CH147" s="316">
        <v>13.034907963499998</v>
      </c>
      <c r="CI147" s="316">
        <v>24.666572901249001</v>
      </c>
      <c r="CJ147" s="316">
        <v>6.0461076493370003</v>
      </c>
      <c r="CK147" s="316">
        <v>0</v>
      </c>
      <c r="CL147" s="316">
        <v>0</v>
      </c>
      <c r="CM147" s="316">
        <v>0</v>
      </c>
      <c r="CN147" s="316">
        <v>36.571225840512</v>
      </c>
      <c r="CO147" s="316">
        <v>0</v>
      </c>
      <c r="CP147" s="318">
        <v>4.8736766301709382</v>
      </c>
      <c r="CQ147" s="316">
        <v>0</v>
      </c>
      <c r="CR147" s="316">
        <v>0</v>
      </c>
      <c r="CS147" s="316">
        <v>18.0647514021035</v>
      </c>
      <c r="CT147" s="316">
        <v>0</v>
      </c>
      <c r="CU147" s="316">
        <v>2.9519462207146576</v>
      </c>
      <c r="CV147" s="316">
        <v>31.398191805696605</v>
      </c>
      <c r="CW147" s="316">
        <v>0</v>
      </c>
      <c r="CX147" s="316">
        <v>0</v>
      </c>
      <c r="CY147" s="316">
        <v>17.357493185533968</v>
      </c>
      <c r="CZ147" s="316">
        <v>2.5747102811330551</v>
      </c>
      <c r="DA147" s="316">
        <v>15.881665653140701</v>
      </c>
      <c r="DB147" s="1498">
        <v>0</v>
      </c>
      <c r="DC147" s="316">
        <v>0</v>
      </c>
      <c r="DD147" s="316">
        <v>0</v>
      </c>
      <c r="DE147" s="316">
        <v>14.21628849242</v>
      </c>
      <c r="DF147" s="316">
        <v>0</v>
      </c>
      <c r="DG147" s="316">
        <v>26.637305150966998</v>
      </c>
      <c r="DH147" s="316">
        <v>9.6211446272880308E-2</v>
      </c>
      <c r="DI147" s="316">
        <v>0</v>
      </c>
      <c r="DJ147" s="316">
        <v>0</v>
      </c>
      <c r="DK147" s="316">
        <v>0</v>
      </c>
      <c r="DL147" s="316">
        <v>29.43256141839035</v>
      </c>
      <c r="DM147" s="316">
        <v>0</v>
      </c>
      <c r="DN147" s="318">
        <v>0</v>
      </c>
      <c r="DO147" s="316">
        <v>4.6855716548560604</v>
      </c>
      <c r="DP147" s="316">
        <v>0</v>
      </c>
      <c r="DQ147" s="316">
        <v>0</v>
      </c>
      <c r="DR147" s="316">
        <v>0</v>
      </c>
      <c r="DS147" s="316">
        <v>9.1588665883095004</v>
      </c>
      <c r="DT147" s="316">
        <v>12.1669553399959</v>
      </c>
      <c r="DU147" s="316">
        <v>15.873335991999999</v>
      </c>
      <c r="DV147" s="316">
        <v>0</v>
      </c>
      <c r="DW147" s="316">
        <v>0</v>
      </c>
      <c r="DX147" s="316">
        <v>12.168713068197375</v>
      </c>
      <c r="DY147" s="316">
        <v>0</v>
      </c>
      <c r="DZ147" s="318">
        <v>0</v>
      </c>
      <c r="EA147" s="316">
        <v>16.435436211999999</v>
      </c>
      <c r="EB147" s="316"/>
      <c r="EC147" s="316"/>
      <c r="ED147" s="316">
        <v>14.085088711999999</v>
      </c>
      <c r="EE147" s="316">
        <v>4.495227206</v>
      </c>
      <c r="EF147" s="316">
        <v>1.499967818</v>
      </c>
      <c r="EG147" s="316"/>
      <c r="EH147" s="316">
        <v>3.4351810120000001</v>
      </c>
      <c r="EI147" s="316">
        <v>15.789495488</v>
      </c>
      <c r="EJ147" s="316">
        <v>13.831257405999999</v>
      </c>
      <c r="EK147" s="316"/>
      <c r="EL147" s="318"/>
      <c r="EM147" s="1206">
        <v>6.0684036749999999</v>
      </c>
      <c r="EN147" s="1206">
        <v>12.302054782000001</v>
      </c>
      <c r="EO147" s="1206">
        <v>0.104222182</v>
      </c>
      <c r="EP147" s="1206">
        <v>0</v>
      </c>
      <c r="EQ147" s="1206">
        <v>0</v>
      </c>
      <c r="ER147" s="1206">
        <v>11.431334335000001</v>
      </c>
      <c r="ES147" s="1206">
        <v>14.021816380000001</v>
      </c>
      <c r="ET147" s="1206">
        <v>25.648448246000001</v>
      </c>
      <c r="EU147" s="1206">
        <v>0</v>
      </c>
      <c r="EV147" s="1206">
        <v>13.419106073131385</v>
      </c>
      <c r="EW147" s="1206">
        <v>0</v>
      </c>
      <c r="EX147" s="1550">
        <v>0</v>
      </c>
      <c r="EY147" s="1206"/>
      <c r="EZ147" s="1206"/>
      <c r="FA147" s="1206"/>
      <c r="FB147" s="1206"/>
      <c r="FC147" s="1206"/>
      <c r="FD147" s="1206"/>
      <c r="FE147" s="1206"/>
      <c r="FF147" s="1206"/>
      <c r="FG147" s="1206"/>
      <c r="FH147" s="1206"/>
      <c r="FI147" s="1206"/>
      <c r="FJ147" s="1550"/>
      <c r="FK147" s="1206"/>
      <c r="FL147" s="1206"/>
      <c r="FM147" s="1206"/>
      <c r="FN147" s="1206"/>
      <c r="FO147" s="1206"/>
      <c r="FP147" s="1206"/>
      <c r="FQ147" s="316"/>
      <c r="FR147" s="316"/>
      <c r="FS147" s="316"/>
      <c r="FT147" s="316"/>
      <c r="FU147" s="316"/>
      <c r="FV147" s="316"/>
      <c r="FW147" s="316"/>
      <c r="FX147" s="316"/>
      <c r="FY147" s="316"/>
      <c r="FZ147" s="316"/>
      <c r="GA147" s="316"/>
      <c r="GB147" s="316"/>
      <c r="GC147" s="316"/>
      <c r="GD147" s="316"/>
      <c r="GE147" s="316"/>
      <c r="GF147" s="316"/>
      <c r="GG147" s="316"/>
      <c r="GH147" s="316"/>
      <c r="GI147" s="316"/>
      <c r="GJ147" s="316"/>
      <c r="GK147" s="316"/>
      <c r="GL147" s="316"/>
      <c r="GM147" s="316"/>
      <c r="GN147" s="316"/>
      <c r="GO147" s="316"/>
      <c r="GP147" s="316"/>
      <c r="GQ147" s="316"/>
      <c r="GR147" s="316"/>
      <c r="GS147" s="316"/>
      <c r="GT147" s="316"/>
      <c r="GU147" s="316"/>
      <c r="GV147" s="316"/>
      <c r="GW147" s="316"/>
      <c r="GX147" s="316"/>
      <c r="GY147" s="316"/>
      <c r="GZ147" s="316"/>
      <c r="HA147" s="316"/>
      <c r="HB147" s="316"/>
      <c r="HC147" s="316"/>
      <c r="HD147" s="316"/>
      <c r="HE147" s="316"/>
      <c r="HF147" s="316"/>
      <c r="HG147" s="316"/>
      <c r="HH147" s="316"/>
      <c r="HI147" s="316"/>
      <c r="HJ147" s="316"/>
      <c r="HK147" s="316"/>
      <c r="HL147" s="316"/>
      <c r="HM147" s="316"/>
      <c r="HV147" s="302">
        <f t="shared" si="25"/>
        <v>40.949805089659883</v>
      </c>
      <c r="HW147" s="302">
        <f t="shared" si="26"/>
        <v>29.43256141839035</v>
      </c>
      <c r="HX147" s="346">
        <f t="shared" si="27"/>
        <v>70.382366508050239</v>
      </c>
      <c r="HY147" s="302">
        <f t="shared" si="28"/>
        <v>26.01139358316146</v>
      </c>
      <c r="KH147" s="303"/>
    </row>
    <row r="148" spans="1:295" outlineLevel="1">
      <c r="B148" s="117" t="s">
        <v>361</v>
      </c>
      <c r="D148" s="327" t="s">
        <v>1048</v>
      </c>
      <c r="E148" s="328"/>
      <c r="F148" s="328"/>
      <c r="G148" s="316"/>
      <c r="H148" s="316"/>
      <c r="I148" s="316"/>
      <c r="J148" s="316"/>
      <c r="K148" s="316"/>
      <c r="L148" s="316"/>
      <c r="M148" s="316"/>
      <c r="N148" s="316"/>
      <c r="O148" s="316"/>
      <c r="P148" s="316"/>
      <c r="Q148" s="316"/>
      <c r="R148" s="316"/>
      <c r="S148" s="316"/>
      <c r="T148" s="316"/>
      <c r="U148" s="316"/>
      <c r="V148" s="316"/>
      <c r="W148" s="316"/>
      <c r="X148" s="316"/>
      <c r="Y148" s="316"/>
      <c r="Z148" s="316"/>
      <c r="AA148" s="316"/>
      <c r="AB148" s="316"/>
      <c r="AC148" s="316"/>
      <c r="AD148" s="316"/>
      <c r="AE148" s="316"/>
      <c r="AF148" s="316"/>
      <c r="AG148" s="316"/>
      <c r="AH148" s="316"/>
      <c r="AI148" s="316"/>
      <c r="AJ148" s="316"/>
      <c r="AK148" s="316"/>
      <c r="AL148" s="316"/>
      <c r="AM148" s="316"/>
      <c r="AN148" s="316"/>
      <c r="AO148" s="316">
        <v>0</v>
      </c>
      <c r="AP148" s="316">
        <v>0</v>
      </c>
      <c r="AQ148" s="316">
        <v>0</v>
      </c>
      <c r="AR148" s="316">
        <v>0</v>
      </c>
      <c r="AS148" s="316">
        <v>0</v>
      </c>
      <c r="AT148" s="316">
        <v>0</v>
      </c>
      <c r="AU148" s="316">
        <v>0</v>
      </c>
      <c r="AV148" s="316">
        <v>0</v>
      </c>
      <c r="AW148" s="316">
        <v>0</v>
      </c>
      <c r="AX148" s="316">
        <v>0</v>
      </c>
      <c r="AY148" s="316">
        <v>0</v>
      </c>
      <c r="AZ148" s="316">
        <v>0</v>
      </c>
      <c r="BA148" s="316">
        <v>0</v>
      </c>
      <c r="BB148" s="316">
        <v>0</v>
      </c>
      <c r="BC148" s="316">
        <v>0</v>
      </c>
      <c r="BD148" s="316">
        <v>21.373850976</v>
      </c>
      <c r="BE148" s="316">
        <v>0</v>
      </c>
      <c r="BF148" s="316">
        <v>0</v>
      </c>
      <c r="BG148" s="316">
        <v>0</v>
      </c>
      <c r="BH148" s="316">
        <v>0</v>
      </c>
      <c r="BI148" s="316">
        <v>0</v>
      </c>
      <c r="BJ148" s="316">
        <v>0</v>
      </c>
      <c r="BK148" s="316">
        <v>0</v>
      </c>
      <c r="BL148" s="316">
        <v>49.731677520912001</v>
      </c>
      <c r="BM148" s="316">
        <v>0</v>
      </c>
      <c r="BN148" s="316">
        <v>0</v>
      </c>
      <c r="BO148" s="316">
        <v>0</v>
      </c>
      <c r="BP148" s="316">
        <v>0</v>
      </c>
      <c r="BQ148" s="316">
        <v>0</v>
      </c>
      <c r="BR148" s="316">
        <v>0</v>
      </c>
      <c r="BS148" s="316">
        <v>0</v>
      </c>
      <c r="BT148" s="316">
        <v>0</v>
      </c>
      <c r="BU148" s="316">
        <v>8.3570550524999998</v>
      </c>
      <c r="BV148" s="316">
        <v>0</v>
      </c>
      <c r="BW148" s="316">
        <v>0</v>
      </c>
      <c r="BX148" s="316">
        <v>0</v>
      </c>
      <c r="BY148" s="316">
        <v>0</v>
      </c>
      <c r="BZ148" s="316">
        <v>0</v>
      </c>
      <c r="CA148" s="316">
        <v>0</v>
      </c>
      <c r="CB148" s="316">
        <v>0</v>
      </c>
      <c r="CC148" s="316">
        <v>0</v>
      </c>
      <c r="CD148" s="316">
        <v>9.1265565421910004</v>
      </c>
      <c r="CE148" s="317">
        <v>0</v>
      </c>
      <c r="CF148" s="316">
        <v>0</v>
      </c>
      <c r="CG148" s="316">
        <v>0</v>
      </c>
      <c r="CH148" s="316">
        <v>0</v>
      </c>
      <c r="CI148" s="316">
        <v>0</v>
      </c>
      <c r="CJ148" s="316">
        <v>0</v>
      </c>
      <c r="CK148" s="316">
        <v>0</v>
      </c>
      <c r="CL148" s="316">
        <v>0</v>
      </c>
      <c r="CM148" s="316">
        <v>0</v>
      </c>
      <c r="CN148" s="316">
        <v>0</v>
      </c>
      <c r="CO148" s="316">
        <v>31.7245034197</v>
      </c>
      <c r="CP148" s="318">
        <v>17.868898823160002</v>
      </c>
      <c r="CQ148" s="316">
        <v>0</v>
      </c>
      <c r="CR148" s="316">
        <v>0</v>
      </c>
      <c r="CS148" s="316">
        <v>0</v>
      </c>
      <c r="CT148" s="316">
        <v>0</v>
      </c>
      <c r="CU148" s="316">
        <v>0</v>
      </c>
      <c r="CV148" s="316">
        <v>56.724665531825892</v>
      </c>
      <c r="CW148" s="316">
        <v>0</v>
      </c>
      <c r="CX148" s="316">
        <v>0</v>
      </c>
      <c r="CY148" s="316">
        <v>0</v>
      </c>
      <c r="CZ148" s="316">
        <v>47.074500865610013</v>
      </c>
      <c r="DA148" s="316">
        <v>0</v>
      </c>
      <c r="DB148" s="1498">
        <v>0</v>
      </c>
      <c r="DC148" s="316">
        <v>0</v>
      </c>
      <c r="DD148" s="316">
        <v>0</v>
      </c>
      <c r="DE148" s="316">
        <v>44.874919475036933</v>
      </c>
      <c r="DF148" s="316">
        <v>7.7030802330102031</v>
      </c>
      <c r="DG148" s="316">
        <v>0</v>
      </c>
      <c r="DH148" s="316">
        <v>70.228489382550833</v>
      </c>
      <c r="DI148" s="316">
        <v>0</v>
      </c>
      <c r="DJ148" s="316">
        <v>0</v>
      </c>
      <c r="DK148" s="316">
        <v>0</v>
      </c>
      <c r="DL148" s="316">
        <v>0</v>
      </c>
      <c r="DM148" s="316">
        <v>0</v>
      </c>
      <c r="DN148" s="318">
        <v>0</v>
      </c>
      <c r="DO148" s="316">
        <v>0</v>
      </c>
      <c r="DP148" s="316">
        <v>0</v>
      </c>
      <c r="DQ148" s="316">
        <v>19.271476517449592</v>
      </c>
      <c r="DR148" s="316">
        <v>63.64921940768172</v>
      </c>
      <c r="DS148" s="316">
        <v>0</v>
      </c>
      <c r="DT148" s="316">
        <v>74.928397486396165</v>
      </c>
      <c r="DU148" s="316">
        <v>27.73783792629515</v>
      </c>
      <c r="DV148" s="316">
        <v>9.695366913298864</v>
      </c>
      <c r="DW148" s="316">
        <v>12.404493656364309</v>
      </c>
      <c r="DX148" s="316">
        <v>35.632241701123043</v>
      </c>
      <c r="DY148" s="316">
        <v>7.0783921853931311</v>
      </c>
      <c r="DZ148" s="318">
        <v>31.628514185454904</v>
      </c>
      <c r="EA148" s="316"/>
      <c r="EB148" s="316"/>
      <c r="EC148" s="316">
        <v>16.137292371000001</v>
      </c>
      <c r="ED148" s="316">
        <v>25.542790115999999</v>
      </c>
      <c r="EE148" s="316">
        <v>6.2556475310000001</v>
      </c>
      <c r="EF148" s="316">
        <v>104.77629606000001</v>
      </c>
      <c r="EG148" s="316">
        <v>36.409625616</v>
      </c>
      <c r="EH148" s="316"/>
      <c r="EI148" s="316"/>
      <c r="EJ148" s="316">
        <v>20.856450759000001</v>
      </c>
      <c r="EK148" s="316"/>
      <c r="EL148" s="318">
        <v>20.856450759000001</v>
      </c>
      <c r="EM148" s="1206"/>
      <c r="EN148" s="1206"/>
      <c r="EO148" s="1206"/>
      <c r="EP148" s="1206">
        <v>0</v>
      </c>
      <c r="EQ148" s="1206">
        <v>0</v>
      </c>
      <c r="ER148" s="1206">
        <v>194.16733567</v>
      </c>
      <c r="ES148" s="1206"/>
      <c r="ET148" s="1206"/>
      <c r="EU148" s="1206"/>
      <c r="EV148" s="1206">
        <v>5.3858014281059958</v>
      </c>
      <c r="EW148" s="1206">
        <v>0</v>
      </c>
      <c r="EX148" s="1550">
        <v>57.610500927999993</v>
      </c>
      <c r="EY148" s="1206"/>
      <c r="EZ148" s="1206"/>
      <c r="FA148" s="1206"/>
      <c r="FB148" s="1206"/>
      <c r="FC148" s="1206"/>
      <c r="FD148" s="1206"/>
      <c r="FE148" s="1206"/>
      <c r="FF148" s="1206"/>
      <c r="FG148" s="1206"/>
      <c r="FH148" s="1206"/>
      <c r="FI148" s="1206"/>
      <c r="FJ148" s="1550"/>
      <c r="FK148" s="1206"/>
      <c r="FL148" s="1206"/>
      <c r="FM148" s="1206"/>
      <c r="FN148" s="1206"/>
      <c r="FO148" s="1206"/>
      <c r="FP148" s="1206"/>
      <c r="FQ148" s="316"/>
      <c r="FR148" s="316"/>
      <c r="FS148" s="316"/>
      <c r="FT148" s="316"/>
      <c r="FU148" s="316"/>
      <c r="FV148" s="316"/>
      <c r="FW148" s="316"/>
      <c r="FX148" s="316"/>
      <c r="FY148" s="316"/>
      <c r="FZ148" s="316"/>
      <c r="GA148" s="316"/>
      <c r="GB148" s="316"/>
      <c r="GC148" s="316"/>
      <c r="GD148" s="316"/>
      <c r="GE148" s="316"/>
      <c r="GF148" s="316"/>
      <c r="GG148" s="316"/>
      <c r="GH148" s="316"/>
      <c r="GI148" s="316"/>
      <c r="GJ148" s="316"/>
      <c r="GK148" s="316"/>
      <c r="GL148" s="316"/>
      <c r="GM148" s="316"/>
      <c r="GN148" s="316"/>
      <c r="GO148" s="316"/>
      <c r="GP148" s="316"/>
      <c r="GQ148" s="316"/>
      <c r="GR148" s="316"/>
      <c r="GS148" s="316"/>
      <c r="GT148" s="316"/>
      <c r="GU148" s="316"/>
      <c r="GV148" s="316"/>
      <c r="GW148" s="316"/>
      <c r="GX148" s="316"/>
      <c r="GY148" s="316"/>
      <c r="GZ148" s="316"/>
      <c r="HA148" s="316"/>
      <c r="HB148" s="316"/>
      <c r="HC148" s="316"/>
      <c r="HD148" s="316"/>
      <c r="HE148" s="316"/>
      <c r="HF148" s="316"/>
      <c r="HG148" s="316"/>
      <c r="HH148" s="316"/>
      <c r="HI148" s="316"/>
      <c r="HJ148" s="316"/>
      <c r="HK148" s="316"/>
      <c r="HL148" s="316"/>
      <c r="HM148" s="316"/>
      <c r="HR148" s="681"/>
      <c r="HV148" s="302">
        <f t="shared" si="25"/>
        <v>122.80648909059798</v>
      </c>
      <c r="HW148" s="302">
        <f t="shared" si="26"/>
        <v>0</v>
      </c>
      <c r="HX148" s="346">
        <f t="shared" si="27"/>
        <v>122.80648909059798</v>
      </c>
      <c r="HY148" s="302">
        <f t="shared" si="28"/>
        <v>157.84909341152746</v>
      </c>
      <c r="KH148" s="303"/>
    </row>
    <row r="149" spans="1:295" outlineLevel="1">
      <c r="B149" s="117" t="s">
        <v>361</v>
      </c>
      <c r="D149" s="326" t="s">
        <v>418</v>
      </c>
      <c r="E149" s="326"/>
      <c r="F149" s="326"/>
      <c r="G149" s="316"/>
      <c r="H149" s="316"/>
      <c r="I149" s="316"/>
      <c r="J149" s="316"/>
      <c r="K149" s="316"/>
      <c r="L149" s="316"/>
      <c r="M149" s="316"/>
      <c r="N149" s="316"/>
      <c r="O149" s="316"/>
      <c r="P149" s="316"/>
      <c r="Q149" s="316"/>
      <c r="R149" s="316"/>
      <c r="S149" s="316"/>
      <c r="T149" s="316"/>
      <c r="U149" s="316"/>
      <c r="V149" s="316"/>
      <c r="W149" s="316"/>
      <c r="X149" s="316"/>
      <c r="Y149" s="316"/>
      <c r="Z149" s="316"/>
      <c r="AA149" s="316"/>
      <c r="AB149" s="316"/>
      <c r="AC149" s="316"/>
      <c r="AD149" s="316"/>
      <c r="AE149" s="316"/>
      <c r="AF149" s="316"/>
      <c r="AG149" s="316"/>
      <c r="AH149" s="316"/>
      <c r="AI149" s="316"/>
      <c r="AJ149" s="316"/>
      <c r="AK149" s="316"/>
      <c r="AL149" s="316"/>
      <c r="AM149" s="316"/>
      <c r="AN149" s="316"/>
      <c r="AO149" s="316">
        <v>3.3519192583500002</v>
      </c>
      <c r="AP149" s="316">
        <v>2.7989848359300002</v>
      </c>
      <c r="AQ149" s="316">
        <v>6.1486274985600007</v>
      </c>
      <c r="AR149" s="316">
        <v>17.8101309069</v>
      </c>
      <c r="AS149" s="316">
        <v>10.773014394547699</v>
      </c>
      <c r="AT149" s="316">
        <v>7.7928077795200004</v>
      </c>
      <c r="AU149" s="316">
        <v>7.2485471801199992</v>
      </c>
      <c r="AV149" s="316">
        <v>3.0533917700000002</v>
      </c>
      <c r="AW149" s="316">
        <v>26.589141011790005</v>
      </c>
      <c r="AX149" s="316">
        <v>8.0004690707700004</v>
      </c>
      <c r="AY149" s="316">
        <v>10.0220227562</v>
      </c>
      <c r="AZ149" s="316">
        <v>67.487908499999989</v>
      </c>
      <c r="BA149" s="316">
        <v>8.0376445374300012</v>
      </c>
      <c r="BB149" s="316">
        <v>4.7820149999999995</v>
      </c>
      <c r="BC149" s="316">
        <v>5.2630195044000008</v>
      </c>
      <c r="BD149" s="316">
        <v>5.2411667229999974</v>
      </c>
      <c r="BE149" s="316">
        <v>6.4461758544179997</v>
      </c>
      <c r="BF149" s="316">
        <v>10.968208030458001</v>
      </c>
      <c r="BG149" s="316">
        <v>8.5422431230399987</v>
      </c>
      <c r="BH149" s="316">
        <v>10.7436885643809</v>
      </c>
      <c r="BI149" s="316">
        <v>16.206184921963001</v>
      </c>
      <c r="BJ149" s="316">
        <v>65.894095070632986</v>
      </c>
      <c r="BK149" s="316">
        <v>16.578811899929999</v>
      </c>
      <c r="BL149" s="316">
        <v>23.573581195679999</v>
      </c>
      <c r="BM149" s="316">
        <v>4.2419242080149999</v>
      </c>
      <c r="BN149" s="316">
        <v>9.7423272359640016</v>
      </c>
      <c r="BO149" s="316">
        <v>6.0501190180300011</v>
      </c>
      <c r="BP149" s="316">
        <v>5.8884743749999995</v>
      </c>
      <c r="BQ149" s="316">
        <v>5.4807073080899995</v>
      </c>
      <c r="BR149" s="316">
        <v>49.604006402463995</v>
      </c>
      <c r="BS149" s="316">
        <v>12.858244235732</v>
      </c>
      <c r="BT149" s="316">
        <v>15.417515913019999</v>
      </c>
      <c r="BU149" s="316">
        <v>9.5583038748749978</v>
      </c>
      <c r="BV149" s="316">
        <v>8.5327023380250004</v>
      </c>
      <c r="BW149" s="316">
        <v>46.654375626824006</v>
      </c>
      <c r="BX149" s="316">
        <v>30.755185589379</v>
      </c>
      <c r="BY149" s="316">
        <v>6.7776318279999996</v>
      </c>
      <c r="BZ149" s="316">
        <v>4.463221943862</v>
      </c>
      <c r="CA149" s="316">
        <v>9.3595338038300007</v>
      </c>
      <c r="CB149" s="316">
        <v>7.2396588056980011</v>
      </c>
      <c r="CC149" s="316">
        <v>34.197754179599997</v>
      </c>
      <c r="CD149" s="316">
        <v>11.784639624966999</v>
      </c>
      <c r="CE149" s="317">
        <v>15.174676422679498</v>
      </c>
      <c r="CF149" s="316">
        <v>4.3947619843679995</v>
      </c>
      <c r="CG149" s="316">
        <v>17.934270560800002</v>
      </c>
      <c r="CH149" s="316">
        <v>33.559925477599997</v>
      </c>
      <c r="CI149" s="316">
        <v>35.037692572563003</v>
      </c>
      <c r="CJ149" s="316">
        <v>26.659696213734001</v>
      </c>
      <c r="CK149" s="316">
        <v>12.186379857525001</v>
      </c>
      <c r="CL149" s="316">
        <v>9.4480901979000009</v>
      </c>
      <c r="CM149" s="316">
        <v>10.053356579986</v>
      </c>
      <c r="CN149" s="316">
        <v>43.279665784608</v>
      </c>
      <c r="CO149" s="316">
        <v>10.284054921660001</v>
      </c>
      <c r="CP149" s="318">
        <v>10.015949626653008</v>
      </c>
      <c r="CQ149" s="316">
        <v>9.7474928779354979</v>
      </c>
      <c r="CR149" s="316">
        <v>14.201895783532107</v>
      </c>
      <c r="CS149" s="316">
        <v>27.428798095756143</v>
      </c>
      <c r="CT149" s="316">
        <v>11.300130426894238</v>
      </c>
      <c r="CU149" s="316">
        <v>18.903677192094154</v>
      </c>
      <c r="CV149" s="316">
        <v>48.782803955637775</v>
      </c>
      <c r="CW149" s="316">
        <v>10.945008478347896</v>
      </c>
      <c r="CX149" s="316">
        <v>13.179848705848848</v>
      </c>
      <c r="CY149" s="316">
        <v>28.642679644335303</v>
      </c>
      <c r="CZ149" s="316">
        <v>9.9970686037344656</v>
      </c>
      <c r="DA149" s="316">
        <v>32.192740145325971</v>
      </c>
      <c r="DB149" s="1498">
        <v>11.542124809784175</v>
      </c>
      <c r="DC149" s="636">
        <v>9.6409751788246432</v>
      </c>
      <c r="DD149" s="636">
        <v>8.8463312347865148</v>
      </c>
      <c r="DE149" s="636">
        <v>8.0370692717562822</v>
      </c>
      <c r="DF149" s="636">
        <v>5.3778723726152009</v>
      </c>
      <c r="DG149" s="636">
        <v>29.024707444006065</v>
      </c>
      <c r="DH149" s="636">
        <v>15.515364599121224</v>
      </c>
      <c r="DI149" s="316">
        <v>9.9351060445068526</v>
      </c>
      <c r="DJ149" s="316">
        <v>11.548937869500001</v>
      </c>
      <c r="DK149" s="316">
        <v>18.865294682575136</v>
      </c>
      <c r="DL149" s="316">
        <v>20.723255879962583</v>
      </c>
      <c r="DM149" s="316">
        <v>21.01902356777655</v>
      </c>
      <c r="DN149" s="318">
        <v>9.6268760499343742</v>
      </c>
      <c r="DO149" s="316">
        <v>8.9587272794972783</v>
      </c>
      <c r="DP149" s="316">
        <v>13.054593140806677</v>
      </c>
      <c r="DQ149" s="316">
        <v>24.325113275045567</v>
      </c>
      <c r="DR149" s="316">
        <v>7.47442651104463</v>
      </c>
      <c r="DS149" s="316">
        <v>20.919964046423097</v>
      </c>
      <c r="DT149" s="316">
        <v>25.059712810695014</v>
      </c>
      <c r="DU149" s="316">
        <v>6.2003575807172959</v>
      </c>
      <c r="DV149" s="316">
        <v>8.8809443681622398</v>
      </c>
      <c r="DW149" s="316">
        <v>5.6373405382571189</v>
      </c>
      <c r="DX149" s="316">
        <v>3.4199393229796233</v>
      </c>
      <c r="DY149" s="316">
        <v>6.6894542731139701</v>
      </c>
      <c r="DZ149" s="318">
        <v>11.026108582544682</v>
      </c>
      <c r="EA149" s="316"/>
      <c r="EB149" s="316"/>
      <c r="EC149" s="316"/>
      <c r="ED149" s="316"/>
      <c r="EE149" s="316"/>
      <c r="EF149" s="316"/>
      <c r="EG149" s="316"/>
      <c r="EH149" s="316"/>
      <c r="EI149" s="316"/>
      <c r="EJ149" s="316"/>
      <c r="EK149" s="316"/>
      <c r="EL149" s="318"/>
      <c r="EM149" s="1206"/>
      <c r="EN149" s="1206"/>
      <c r="EO149" s="1206"/>
      <c r="EP149" s="1206"/>
      <c r="EQ149" s="1206"/>
      <c r="ER149" s="1206"/>
      <c r="ES149" s="1206"/>
      <c r="ET149" s="1206"/>
      <c r="EU149" s="1206"/>
      <c r="EV149" s="1206"/>
      <c r="EW149" s="1206"/>
      <c r="EX149" s="1550"/>
      <c r="EY149" s="1206"/>
      <c r="EZ149" s="1206"/>
      <c r="FA149" s="1206"/>
      <c r="FB149" s="1206"/>
      <c r="FC149" s="1206"/>
      <c r="FD149" s="1206"/>
      <c r="FE149" s="1206"/>
      <c r="FF149" s="1206"/>
      <c r="FG149" s="1206"/>
      <c r="FH149" s="1206"/>
      <c r="FI149" s="1206"/>
      <c r="FJ149" s="1550"/>
      <c r="FK149" s="1206"/>
      <c r="FL149" s="1206"/>
      <c r="FM149" s="1206"/>
      <c r="FN149" s="1206"/>
      <c r="FO149" s="1206"/>
      <c r="FP149" s="1206"/>
      <c r="FQ149" s="316"/>
      <c r="FR149" s="316"/>
      <c r="FS149" s="316"/>
      <c r="FT149" s="316"/>
      <c r="FU149" s="316"/>
      <c r="FV149" s="316"/>
      <c r="FW149" s="316"/>
      <c r="FX149" s="316"/>
      <c r="FY149" s="316"/>
      <c r="FZ149" s="316"/>
      <c r="GA149" s="316"/>
      <c r="GB149" s="316"/>
      <c r="GC149" s="316"/>
      <c r="GD149" s="316"/>
      <c r="GE149" s="316"/>
      <c r="GF149" s="316"/>
      <c r="GG149" s="316"/>
      <c r="GH149" s="316"/>
      <c r="GI149" s="316"/>
      <c r="GJ149" s="316"/>
      <c r="GK149" s="316"/>
      <c r="GL149" s="316"/>
      <c r="GM149" s="316"/>
      <c r="GN149" s="316"/>
      <c r="GO149" s="316"/>
      <c r="GP149" s="316"/>
      <c r="GQ149" s="316"/>
      <c r="GR149" s="316"/>
      <c r="GS149" s="316"/>
      <c r="GT149" s="316"/>
      <c r="GU149" s="316"/>
      <c r="GV149" s="316"/>
      <c r="GW149" s="316"/>
      <c r="GX149" s="316"/>
      <c r="GY149" s="316"/>
      <c r="GZ149" s="316"/>
      <c r="HA149" s="316"/>
      <c r="HB149" s="316"/>
      <c r="HC149" s="316"/>
      <c r="HD149" s="316"/>
      <c r="HE149" s="316"/>
      <c r="HF149" s="316"/>
      <c r="HG149" s="316"/>
      <c r="HH149" s="316"/>
      <c r="HI149" s="316"/>
      <c r="HJ149" s="316"/>
      <c r="HK149" s="316"/>
      <c r="HL149" s="316"/>
      <c r="HM149" s="316"/>
      <c r="HV149" s="302">
        <f t="shared" si="25"/>
        <v>76.442320101109928</v>
      </c>
      <c r="HW149" s="302">
        <f t="shared" si="26"/>
        <v>91.718494094255476</v>
      </c>
      <c r="HX149" s="346">
        <f t="shared" si="27"/>
        <v>168.16081419536539</v>
      </c>
      <c r="HY149" s="302">
        <f t="shared" si="28"/>
        <v>99.792537063512256</v>
      </c>
      <c r="KH149" s="303"/>
    </row>
    <row r="150" spans="1:295" s="681" customFormat="1" outlineLevel="1">
      <c r="A150" s="675"/>
      <c r="B150" s="675" t="s">
        <v>361</v>
      </c>
      <c r="C150" s="675"/>
      <c r="D150" s="327" t="s">
        <v>419</v>
      </c>
      <c r="E150" s="676"/>
      <c r="F150" s="676"/>
      <c r="G150" s="677"/>
      <c r="H150" s="677"/>
      <c r="I150" s="677"/>
      <c r="J150" s="677"/>
      <c r="K150" s="677"/>
      <c r="L150" s="677"/>
      <c r="M150" s="677"/>
      <c r="N150" s="677"/>
      <c r="O150" s="677"/>
      <c r="P150" s="677"/>
      <c r="Q150" s="677"/>
      <c r="R150" s="677"/>
      <c r="S150" s="677"/>
      <c r="T150" s="677"/>
      <c r="U150" s="677"/>
      <c r="V150" s="677"/>
      <c r="W150" s="677"/>
      <c r="X150" s="677"/>
      <c r="Y150" s="677"/>
      <c r="Z150" s="677"/>
      <c r="AA150" s="677"/>
      <c r="AB150" s="677"/>
      <c r="AC150" s="677"/>
      <c r="AD150" s="677"/>
      <c r="AE150" s="677"/>
      <c r="AF150" s="677"/>
      <c r="AG150" s="677"/>
      <c r="AH150" s="677"/>
      <c r="AI150" s="677"/>
      <c r="AJ150" s="677"/>
      <c r="AK150" s="677"/>
      <c r="AL150" s="677"/>
      <c r="AM150" s="677"/>
      <c r="AN150" s="677"/>
      <c r="AO150" s="677">
        <v>2.7846713838600001</v>
      </c>
      <c r="AP150" s="677">
        <v>2.2838342526300002</v>
      </c>
      <c r="AQ150" s="677">
        <v>4.9728172026600008</v>
      </c>
      <c r="AR150" s="677">
        <v>15.452738175209999</v>
      </c>
      <c r="AS150" s="677">
        <v>10.070286312447699</v>
      </c>
      <c r="AT150" s="677">
        <v>6.9923380982400003</v>
      </c>
      <c r="AU150" s="677">
        <v>6.3476310805599994</v>
      </c>
      <c r="AV150" s="677">
        <v>1.54431160675</v>
      </c>
      <c r="AW150" s="677">
        <v>23.568586275150004</v>
      </c>
      <c r="AX150" s="677">
        <v>5.1562520544800003</v>
      </c>
      <c r="AY150" s="677">
        <v>8.6995901676600003</v>
      </c>
      <c r="AZ150" s="677">
        <v>65.746169999999992</v>
      </c>
      <c r="BA150" s="677">
        <v>6.9407847683400004</v>
      </c>
      <c r="BB150" s="677">
        <v>3.716685</v>
      </c>
      <c r="BC150" s="677">
        <v>4.6120481280000005</v>
      </c>
      <c r="BD150" s="677">
        <v>4.7778259219999999</v>
      </c>
      <c r="BE150" s="677">
        <v>5.6324762848979999</v>
      </c>
      <c r="BF150" s="677">
        <v>10.509166204830001</v>
      </c>
      <c r="BG150" s="677">
        <v>8.4859735855999983</v>
      </c>
      <c r="BH150" s="677">
        <v>10.509797578320001</v>
      </c>
      <c r="BI150" s="677">
        <v>15.459804038510999</v>
      </c>
      <c r="BJ150" s="677">
        <v>65.894095070632986</v>
      </c>
      <c r="BK150" s="677">
        <v>14.553918843449999</v>
      </c>
      <c r="BL150" s="677">
        <v>23.440670179199998</v>
      </c>
      <c r="BM150" s="677">
        <v>4.2419242080149999</v>
      </c>
      <c r="BN150" s="677">
        <v>8.1679749082720008</v>
      </c>
      <c r="BO150" s="677">
        <v>5.8680692983300009</v>
      </c>
      <c r="BP150" s="677">
        <v>5.7516462499999994</v>
      </c>
      <c r="BQ150" s="677">
        <v>4.9902159925799996</v>
      </c>
      <c r="BR150" s="677">
        <v>49.511530169479997</v>
      </c>
      <c r="BS150" s="677">
        <v>12.665726178798</v>
      </c>
      <c r="BT150" s="677">
        <v>15.417515913019999</v>
      </c>
      <c r="BU150" s="677">
        <v>7.0113325511249993</v>
      </c>
      <c r="BV150" s="677">
        <v>8.3784175327949999</v>
      </c>
      <c r="BW150" s="677">
        <v>44.767696505560004</v>
      </c>
      <c r="BX150" s="677">
        <v>30.299310001797</v>
      </c>
      <c r="BY150" s="677">
        <v>6.7434907721499995</v>
      </c>
      <c r="BZ150" s="677">
        <v>4.3116575726509998</v>
      </c>
      <c r="CA150" s="677">
        <v>9.2667140826400001</v>
      </c>
      <c r="CB150" s="677">
        <v>7.2396588056980011</v>
      </c>
      <c r="CC150" s="677">
        <v>10.361246458463999</v>
      </c>
      <c r="CD150" s="677">
        <v>11.656105626766999</v>
      </c>
      <c r="CE150" s="678">
        <v>14.332455932354998</v>
      </c>
      <c r="CF150" s="677">
        <v>4.1731718857919997</v>
      </c>
      <c r="CG150" s="677">
        <v>10.452892299</v>
      </c>
      <c r="CH150" s="677">
        <v>18.341505012599999</v>
      </c>
      <c r="CI150" s="677">
        <v>10.162470715334999</v>
      </c>
      <c r="CJ150" s="677">
        <v>20.528488744884001</v>
      </c>
      <c r="CK150" s="677">
        <v>12.088619133910001</v>
      </c>
      <c r="CL150" s="677">
        <v>8.3062784463240007</v>
      </c>
      <c r="CM150" s="677">
        <v>8.2468569989959999</v>
      </c>
      <c r="CN150" s="677">
        <v>3.9016466132159997</v>
      </c>
      <c r="CO150" s="677">
        <v>3.3939425785200004</v>
      </c>
      <c r="CP150" s="679">
        <v>3.5676391974086088</v>
      </c>
      <c r="CQ150" s="677">
        <v>9.0103359039018205</v>
      </c>
      <c r="CR150" s="677">
        <v>10.99372393296809</v>
      </c>
      <c r="CS150" s="677">
        <v>7.3348686483245427</v>
      </c>
      <c r="CT150" s="677">
        <v>10.845820137479752</v>
      </c>
      <c r="CU150" s="677">
        <v>12.214621955837565</v>
      </c>
      <c r="CV150" s="677">
        <v>12.1735312529298</v>
      </c>
      <c r="CW150" s="677">
        <v>7.3565358109224634</v>
      </c>
      <c r="CX150" s="677">
        <v>8.123949798207633</v>
      </c>
      <c r="CY150" s="677">
        <v>7.20522156884783</v>
      </c>
      <c r="CZ150" s="677">
        <v>6.3100199485045483</v>
      </c>
      <c r="DA150" s="677">
        <v>12.450242649310002</v>
      </c>
      <c r="DB150" s="1507">
        <v>10.406771870967948</v>
      </c>
      <c r="DC150" s="677">
        <v>6.009156654447195</v>
      </c>
      <c r="DD150" s="677">
        <v>8.5314393991867874</v>
      </c>
      <c r="DE150" s="677">
        <v>7.1616632832817686</v>
      </c>
      <c r="DF150" s="677">
        <v>1.9462916079288435</v>
      </c>
      <c r="DG150" s="677">
        <v>20.298909906868658</v>
      </c>
      <c r="DH150" s="677">
        <v>11.779839525149862</v>
      </c>
      <c r="DI150" s="677">
        <v>7.0899110466691759</v>
      </c>
      <c r="DJ150" s="677">
        <v>8.553074778600001</v>
      </c>
      <c r="DK150" s="677">
        <v>11.207651250368675</v>
      </c>
      <c r="DL150" s="677">
        <v>10.193408432719581</v>
      </c>
      <c r="DM150" s="677">
        <v>18.105000343758096</v>
      </c>
      <c r="DN150" s="679">
        <v>5.570519847285059</v>
      </c>
      <c r="DO150" s="677">
        <v>4.389755019448045</v>
      </c>
      <c r="DP150" s="677">
        <v>11.056943681847763</v>
      </c>
      <c r="DQ150" s="677">
        <v>4.4672839193351628</v>
      </c>
      <c r="DR150" s="677">
        <v>4.4489420577552083</v>
      </c>
      <c r="DS150" s="677">
        <v>20.919964046423097</v>
      </c>
      <c r="DT150" s="677">
        <v>25.059712810695014</v>
      </c>
      <c r="DU150" s="677">
        <v>5.6641443535778544</v>
      </c>
      <c r="DV150" s="677">
        <v>0.8144225451366236</v>
      </c>
      <c r="DW150" s="677">
        <v>6.7671531181071893</v>
      </c>
      <c r="DX150" s="677">
        <v>20.043589309946046</v>
      </c>
      <c r="DY150" s="677">
        <v>0.38893791227916108</v>
      </c>
      <c r="DZ150" s="679">
        <v>20.602405602910224</v>
      </c>
      <c r="EA150" s="1201">
        <v>12.04303298669176</v>
      </c>
      <c r="EB150" s="1201">
        <v>11.58141738339774</v>
      </c>
      <c r="EC150" s="1201">
        <v>18.953049629910502</v>
      </c>
      <c r="ED150" s="1201">
        <v>9.2129121794719193</v>
      </c>
      <c r="EE150" s="1201">
        <v>18.666473033356318</v>
      </c>
      <c r="EF150" s="1201">
        <v>14.698114787171765</v>
      </c>
      <c r="EG150" s="1201">
        <v>7.7343715577035592</v>
      </c>
      <c r="EH150" s="1201">
        <v>12.544701009695537</v>
      </c>
      <c r="EI150" s="1201">
        <v>21.498427432600909</v>
      </c>
      <c r="EJ150" s="1201">
        <v>3.5217398195229666</v>
      </c>
      <c r="EK150" s="1201">
        <v>8.0850167052850175</v>
      </c>
      <c r="EL150" s="1549">
        <v>30.170743475192022</v>
      </c>
      <c r="EM150" s="1216">
        <v>15.676377072254855</v>
      </c>
      <c r="EN150" s="1216">
        <v>16.280776577680143</v>
      </c>
      <c r="EO150" s="1216">
        <v>31.957153649935002</v>
      </c>
      <c r="EP150" s="1216">
        <v>25.689925104930648</v>
      </c>
      <c r="EQ150" s="1216">
        <v>6.238642488411001</v>
      </c>
      <c r="ER150" s="1216">
        <v>31.957153649935002</v>
      </c>
      <c r="ES150" s="1216">
        <v>11.77235596909156</v>
      </c>
      <c r="ET150" s="1216">
        <v>14.546519893461165</v>
      </c>
      <c r="EU150" s="1216">
        <v>26.318875862817901</v>
      </c>
      <c r="EV150" s="1216">
        <v>17.045294526785639</v>
      </c>
      <c r="EW150" s="1216">
        <v>9.2735813359162655</v>
      </c>
      <c r="EX150" s="1567">
        <v>26.318875862950499</v>
      </c>
      <c r="EY150" s="1216"/>
      <c r="EZ150" s="1216"/>
      <c r="FA150" s="1216"/>
      <c r="FB150" s="1216"/>
      <c r="FC150" s="1216"/>
      <c r="FD150" s="1216"/>
      <c r="FE150" s="1216"/>
      <c r="FF150" s="1216"/>
      <c r="FG150" s="1216"/>
      <c r="FH150" s="1216"/>
      <c r="FI150" s="1216"/>
      <c r="FJ150" s="1567"/>
      <c r="FK150" s="1216"/>
      <c r="FL150" s="1216"/>
      <c r="FM150" s="1216"/>
      <c r="FN150" s="1216"/>
      <c r="FO150" s="1216"/>
      <c r="FP150" s="1216"/>
      <c r="FQ150" s="1201"/>
      <c r="FR150" s="1201"/>
      <c r="FS150" s="1201"/>
      <c r="FT150" s="1201"/>
      <c r="FU150" s="1201"/>
      <c r="FV150" s="1201"/>
      <c r="FW150" s="1201"/>
      <c r="FX150" s="1201"/>
      <c r="FY150" s="1201"/>
      <c r="FZ150" s="1201"/>
      <c r="GA150" s="1201"/>
      <c r="GB150" s="1201"/>
      <c r="GC150" s="1201"/>
      <c r="GD150" s="1201"/>
      <c r="GE150" s="1201"/>
      <c r="GF150" s="1201"/>
      <c r="GG150" s="1201"/>
      <c r="GH150" s="1201"/>
      <c r="GI150" s="1201"/>
      <c r="GJ150" s="1201"/>
      <c r="GK150" s="1201"/>
      <c r="GL150" s="1201"/>
      <c r="GM150" s="1201"/>
      <c r="GN150" s="1201"/>
      <c r="GO150" s="1201"/>
      <c r="GP150" s="1201"/>
      <c r="GQ150" s="1201"/>
      <c r="GR150" s="1201"/>
      <c r="GS150" s="1201"/>
      <c r="GT150" s="1201"/>
      <c r="GU150" s="1201"/>
      <c r="GV150" s="1201"/>
      <c r="GW150" s="1201"/>
      <c r="GX150" s="1201"/>
      <c r="GY150" s="1201"/>
      <c r="GZ150" s="1201"/>
      <c r="HA150" s="1201"/>
      <c r="HB150" s="1201"/>
      <c r="HC150" s="1201"/>
      <c r="HD150" s="1201"/>
      <c r="HE150" s="1201"/>
      <c r="HF150" s="1201"/>
      <c r="HG150" s="1201"/>
      <c r="HH150" s="1201"/>
      <c r="HI150" s="1201"/>
      <c r="HJ150" s="1201"/>
      <c r="HK150" s="1201"/>
      <c r="HL150" s="1201"/>
      <c r="HM150" s="1201"/>
      <c r="HN150" s="680"/>
      <c r="HV150" s="302">
        <f t="shared" si="25"/>
        <v>55.727300376863113</v>
      </c>
      <c r="HW150" s="302">
        <f t="shared" si="26"/>
        <v>60.71956569940059</v>
      </c>
      <c r="HX150" s="346">
        <f t="shared" si="27"/>
        <v>116.4468660762637</v>
      </c>
      <c r="HY150" s="302">
        <f t="shared" si="28"/>
        <v>70.342601535504286</v>
      </c>
      <c r="KH150" s="682"/>
      <c r="KI150" s="680"/>
    </row>
    <row r="151" spans="1:295" s="681" customFormat="1" outlineLevel="1">
      <c r="A151" s="675"/>
      <c r="B151" s="675"/>
      <c r="C151" s="675"/>
      <c r="D151" s="1107" t="s">
        <v>1171</v>
      </c>
      <c r="E151" s="676"/>
      <c r="F151" s="676"/>
      <c r="G151" s="677"/>
      <c r="H151" s="677"/>
      <c r="I151" s="677"/>
      <c r="J151" s="677"/>
      <c r="K151" s="677"/>
      <c r="L151" s="677"/>
      <c r="M151" s="677"/>
      <c r="N151" s="677"/>
      <c r="O151" s="677"/>
      <c r="P151" s="677"/>
      <c r="Q151" s="677"/>
      <c r="R151" s="677"/>
      <c r="S151" s="677"/>
      <c r="T151" s="677"/>
      <c r="U151" s="677"/>
      <c r="V151" s="677"/>
      <c r="W151" s="677"/>
      <c r="X151" s="677"/>
      <c r="Y151" s="677"/>
      <c r="Z151" s="677"/>
      <c r="AA151" s="677"/>
      <c r="AB151" s="677"/>
      <c r="AC151" s="677"/>
      <c r="AD151" s="677"/>
      <c r="AE151" s="677"/>
      <c r="AF151" s="677"/>
      <c r="AG151" s="677"/>
      <c r="AH151" s="677"/>
      <c r="AI151" s="677"/>
      <c r="AJ151" s="677"/>
      <c r="AK151" s="677"/>
      <c r="AL151" s="677"/>
      <c r="AM151" s="677"/>
      <c r="AN151" s="677"/>
      <c r="AO151" s="677"/>
      <c r="AP151" s="677"/>
      <c r="AQ151" s="677"/>
      <c r="AR151" s="677"/>
      <c r="AS151" s="677"/>
      <c r="AT151" s="677"/>
      <c r="AU151" s="677"/>
      <c r="AV151" s="677"/>
      <c r="AW151" s="677"/>
      <c r="AX151" s="677"/>
      <c r="AY151" s="677"/>
      <c r="AZ151" s="677"/>
      <c r="BA151" s="677"/>
      <c r="BB151" s="677"/>
      <c r="BC151" s="677"/>
      <c r="BD151" s="677"/>
      <c r="BE151" s="677"/>
      <c r="BF151" s="677"/>
      <c r="BG151" s="677"/>
      <c r="BH151" s="677"/>
      <c r="BI151" s="677"/>
      <c r="BJ151" s="677"/>
      <c r="BK151" s="677"/>
      <c r="BL151" s="677"/>
      <c r="BM151" s="677"/>
      <c r="BN151" s="677"/>
      <c r="BO151" s="677"/>
      <c r="BP151" s="677"/>
      <c r="BQ151" s="677"/>
      <c r="BR151" s="677"/>
      <c r="BS151" s="677"/>
      <c r="BT151" s="677"/>
      <c r="BU151" s="677"/>
      <c r="BV151" s="677"/>
      <c r="BW151" s="677"/>
      <c r="BX151" s="677"/>
      <c r="BY151" s="677"/>
      <c r="BZ151" s="677"/>
      <c r="CA151" s="677"/>
      <c r="CB151" s="677"/>
      <c r="CC151" s="677"/>
      <c r="CD151" s="677"/>
      <c r="CE151" s="678"/>
      <c r="CF151" s="677"/>
      <c r="CG151" s="677"/>
      <c r="CH151" s="677"/>
      <c r="CI151" s="677"/>
      <c r="CJ151" s="677"/>
      <c r="CK151" s="677"/>
      <c r="CL151" s="677"/>
      <c r="CM151" s="677"/>
      <c r="CN151" s="677"/>
      <c r="CO151" s="677"/>
      <c r="CP151" s="679"/>
      <c r="CQ151" s="677"/>
      <c r="CR151" s="677"/>
      <c r="CS151" s="677"/>
      <c r="CT151" s="677"/>
      <c r="CU151" s="677"/>
      <c r="CV151" s="677"/>
      <c r="CW151" s="677"/>
      <c r="CX151" s="677"/>
      <c r="CY151" s="677"/>
      <c r="CZ151" s="677"/>
      <c r="DA151" s="677"/>
      <c r="DB151" s="1507"/>
      <c r="DC151" s="677">
        <v>3.6318185243774472</v>
      </c>
      <c r="DD151" s="677">
        <v>0.31489183559972661</v>
      </c>
      <c r="DE151" s="677">
        <v>0.87540598847451434</v>
      </c>
      <c r="DF151" s="677">
        <v>3.4315807646863572</v>
      </c>
      <c r="DG151" s="677">
        <v>8.7257975371374066</v>
      </c>
      <c r="DH151" s="677">
        <v>3.7355250739713606</v>
      </c>
      <c r="DI151" s="677">
        <v>2.8451949978376767</v>
      </c>
      <c r="DJ151" s="677">
        <v>2.9958630909000004</v>
      </c>
      <c r="DK151" s="677">
        <v>7.657643432206461</v>
      </c>
      <c r="DL151" s="677">
        <v>10.529847447243002</v>
      </c>
      <c r="DM151" s="677">
        <v>2.9140232240184551</v>
      </c>
      <c r="DN151" s="679">
        <v>4.0563562026493152</v>
      </c>
      <c r="DO151" s="1108">
        <v>4.5689722600492333</v>
      </c>
      <c r="DP151" s="1108">
        <v>1.9976494589589138</v>
      </c>
      <c r="DQ151" s="1108">
        <v>19.857829355710404</v>
      </c>
      <c r="DR151" s="1108">
        <v>3.0254844532894221</v>
      </c>
      <c r="DS151" s="1108">
        <v>0</v>
      </c>
      <c r="DT151" s="1108">
        <v>0</v>
      </c>
      <c r="DU151" s="1108">
        <v>15.873335991999999</v>
      </c>
      <c r="DV151" s="1108">
        <v>0</v>
      </c>
      <c r="DW151" s="1108">
        <v>0</v>
      </c>
      <c r="DX151" s="1108">
        <v>12.168713068197375</v>
      </c>
      <c r="DY151" s="1108">
        <v>0</v>
      </c>
      <c r="DZ151" s="1557">
        <v>0</v>
      </c>
      <c r="EA151" s="1201">
        <v>12.04303298669176</v>
      </c>
      <c r="EB151" s="1201">
        <v>11.58141738339774</v>
      </c>
      <c r="EC151" s="1201">
        <v>18.953049629910502</v>
      </c>
      <c r="ED151" s="1201">
        <v>9.2129121794719193</v>
      </c>
      <c r="EE151" s="1201">
        <v>18.666473033356318</v>
      </c>
      <c r="EF151" s="1201">
        <v>14.698114787171765</v>
      </c>
      <c r="EG151" s="1201">
        <v>7.7343715577035592</v>
      </c>
      <c r="EH151" s="1201">
        <v>12.544701009695537</v>
      </c>
      <c r="EI151" s="1201">
        <v>21.498427432600909</v>
      </c>
      <c r="EJ151" s="1201">
        <v>3.5217398195229666</v>
      </c>
      <c r="EK151" s="1201">
        <v>8.0850167052850175</v>
      </c>
      <c r="EL151" s="1549">
        <v>30.170743475192022</v>
      </c>
      <c r="EM151" s="1216">
        <v>15.676377072254855</v>
      </c>
      <c r="EN151" s="1216">
        <v>16.280776577680143</v>
      </c>
      <c r="EO151" s="1216">
        <v>31.957153649935002</v>
      </c>
      <c r="EP151" s="1216">
        <v>25.689925104930648</v>
      </c>
      <c r="EQ151" s="1216">
        <v>6.238642488411001</v>
      </c>
      <c r="ER151" s="1216">
        <v>31.957153649935002</v>
      </c>
      <c r="ES151" s="1216">
        <v>11.77235596909156</v>
      </c>
      <c r="ET151" s="1216">
        <v>14.546519893461165</v>
      </c>
      <c r="EU151" s="1216">
        <v>26.318875862817901</v>
      </c>
      <c r="EV151" s="1216">
        <v>17.045294526785639</v>
      </c>
      <c r="EW151" s="1216">
        <v>9.2735813359162655</v>
      </c>
      <c r="EX151" s="1567">
        <v>26.318875862950499</v>
      </c>
      <c r="EY151" s="1216"/>
      <c r="EZ151" s="1216"/>
      <c r="FA151" s="1216"/>
      <c r="FB151" s="1216"/>
      <c r="FC151" s="1216"/>
      <c r="FD151" s="1216"/>
      <c r="FE151" s="1216"/>
      <c r="FF151" s="1216"/>
      <c r="FG151" s="1216"/>
      <c r="FH151" s="1216"/>
      <c r="FI151" s="1216"/>
      <c r="FJ151" s="1567"/>
      <c r="FK151" s="1216"/>
      <c r="FL151" s="1216"/>
      <c r="FM151" s="1216"/>
      <c r="FN151" s="1216"/>
      <c r="FO151" s="1216"/>
      <c r="FP151" s="1216"/>
      <c r="FQ151" s="1201"/>
      <c r="FR151" s="1201"/>
      <c r="FS151" s="1201"/>
      <c r="FT151" s="1201"/>
      <c r="FU151" s="1201"/>
      <c r="FV151" s="1201"/>
      <c r="FW151" s="1201"/>
      <c r="FX151" s="1201"/>
      <c r="FY151" s="1201"/>
      <c r="FZ151" s="1201"/>
      <c r="GA151" s="1201"/>
      <c r="GB151" s="1201"/>
      <c r="GC151" s="1201"/>
      <c r="GD151" s="1201"/>
      <c r="GE151" s="1201"/>
      <c r="GF151" s="1201"/>
      <c r="GG151" s="1201"/>
      <c r="GH151" s="1201"/>
      <c r="GI151" s="1201"/>
      <c r="GJ151" s="1201"/>
      <c r="GK151" s="1201"/>
      <c r="GL151" s="1201"/>
      <c r="GM151" s="1201"/>
      <c r="GN151" s="1201"/>
      <c r="GO151" s="1201"/>
      <c r="GP151" s="1201"/>
      <c r="GQ151" s="1201"/>
      <c r="GR151" s="1201"/>
      <c r="GS151" s="1201"/>
      <c r="GT151" s="1201"/>
      <c r="GU151" s="1201"/>
      <c r="GV151" s="1201"/>
      <c r="GW151" s="1201"/>
      <c r="GX151" s="1201"/>
      <c r="GY151" s="1201"/>
      <c r="GZ151" s="1201"/>
      <c r="HA151" s="1201"/>
      <c r="HB151" s="1201"/>
      <c r="HC151" s="1201"/>
      <c r="HD151" s="1201"/>
      <c r="HE151" s="1201"/>
      <c r="HF151" s="1201"/>
      <c r="HG151" s="1201"/>
      <c r="HH151" s="1201"/>
      <c r="HI151" s="1201"/>
      <c r="HJ151" s="1201"/>
      <c r="HK151" s="1201"/>
      <c r="HL151" s="1201"/>
      <c r="HM151" s="1201"/>
      <c r="HN151" s="680"/>
      <c r="HV151" s="302"/>
      <c r="HW151" s="302"/>
      <c r="HX151" s="346"/>
      <c r="HY151" s="302"/>
      <c r="KH151" s="682"/>
      <c r="KI151" s="680"/>
    </row>
    <row r="152" spans="1:295" s="681" customFormat="1" outlineLevel="1">
      <c r="A152" s="675"/>
      <c r="B152" s="675" t="s">
        <v>361</v>
      </c>
      <c r="C152" s="675"/>
      <c r="D152" s="327" t="s">
        <v>1050</v>
      </c>
      <c r="E152" s="676"/>
      <c r="F152" s="676"/>
      <c r="G152" s="677"/>
      <c r="H152" s="677"/>
      <c r="I152" s="677"/>
      <c r="J152" s="677"/>
      <c r="K152" s="677"/>
      <c r="L152" s="677"/>
      <c r="M152" s="677"/>
      <c r="N152" s="677"/>
      <c r="O152" s="677"/>
      <c r="P152" s="677"/>
      <c r="Q152" s="677"/>
      <c r="R152" s="677"/>
      <c r="S152" s="677"/>
      <c r="T152" s="677"/>
      <c r="U152" s="677"/>
      <c r="V152" s="677"/>
      <c r="W152" s="677"/>
      <c r="X152" s="677"/>
      <c r="Y152" s="677"/>
      <c r="Z152" s="677"/>
      <c r="AA152" s="677"/>
      <c r="AB152" s="677"/>
      <c r="AC152" s="677"/>
      <c r="AD152" s="677"/>
      <c r="AE152" s="677"/>
      <c r="AF152" s="677"/>
      <c r="AG152" s="677"/>
      <c r="AH152" s="677"/>
      <c r="AI152" s="677"/>
      <c r="AJ152" s="677"/>
      <c r="AK152" s="677"/>
      <c r="AL152" s="677"/>
      <c r="AM152" s="677"/>
      <c r="AN152" s="677"/>
      <c r="AO152" s="677">
        <v>0.56724787449000003</v>
      </c>
      <c r="AP152" s="677">
        <v>0.51515058329999996</v>
      </c>
      <c r="AQ152" s="677">
        <v>1.1758102959000001</v>
      </c>
      <c r="AR152" s="677">
        <v>2.3573927316900001</v>
      </c>
      <c r="AS152" s="677">
        <v>0.70272808210000004</v>
      </c>
      <c r="AT152" s="677">
        <v>0.80046968128000007</v>
      </c>
      <c r="AU152" s="677">
        <v>0.90091609956000018</v>
      </c>
      <c r="AV152" s="677">
        <v>1.5090801632499999</v>
      </c>
      <c r="AW152" s="677">
        <v>3.0205547366400003</v>
      </c>
      <c r="AX152" s="677">
        <v>2.8442170162899996</v>
      </c>
      <c r="AY152" s="677">
        <v>1.3224325885399999</v>
      </c>
      <c r="AZ152" s="677">
        <v>1.7417385000000001</v>
      </c>
      <c r="BA152" s="677">
        <v>1.0968597690900002</v>
      </c>
      <c r="BB152" s="677">
        <v>1.0653299999999999</v>
      </c>
      <c r="BC152" s="677">
        <v>0.65097137640000002</v>
      </c>
      <c r="BD152" s="677">
        <v>0.46334080099999764</v>
      </c>
      <c r="BE152" s="677">
        <v>0.81369956952</v>
      </c>
      <c r="BF152" s="677">
        <v>0.459041825628</v>
      </c>
      <c r="BG152" s="677">
        <v>5.6269537440000003E-2</v>
      </c>
      <c r="BH152" s="677">
        <v>0.2338909860609</v>
      </c>
      <c r="BI152" s="677">
        <v>0.74638088345200004</v>
      </c>
      <c r="BJ152" s="677">
        <v>0</v>
      </c>
      <c r="BK152" s="677">
        <v>2.0248930564799998</v>
      </c>
      <c r="BL152" s="677">
        <v>0.13291101648</v>
      </c>
      <c r="BM152" s="677">
        <v>0</v>
      </c>
      <c r="BN152" s="677">
        <v>1.574352327692</v>
      </c>
      <c r="BO152" s="677">
        <v>0.1820497197</v>
      </c>
      <c r="BP152" s="677">
        <v>0.13682812499999999</v>
      </c>
      <c r="BQ152" s="677">
        <v>0.49049131550999997</v>
      </c>
      <c r="BR152" s="677">
        <v>9.2476232983999998E-2</v>
      </c>
      <c r="BS152" s="677">
        <v>0.19251805693399998</v>
      </c>
      <c r="BT152" s="677">
        <v>0</v>
      </c>
      <c r="BU152" s="677">
        <v>2.5469713237499993</v>
      </c>
      <c r="BV152" s="677">
        <v>0.15428480522999999</v>
      </c>
      <c r="BW152" s="677">
        <v>1.8866791212639997</v>
      </c>
      <c r="BX152" s="677">
        <v>0.45587558758199992</v>
      </c>
      <c r="BY152" s="677">
        <v>3.4141055849999997E-2</v>
      </c>
      <c r="BZ152" s="677">
        <v>0.15156437121099997</v>
      </c>
      <c r="CA152" s="677">
        <v>9.2819721189999996E-2</v>
      </c>
      <c r="CB152" s="677">
        <v>0</v>
      </c>
      <c r="CC152" s="677">
        <v>0</v>
      </c>
      <c r="CD152" s="677">
        <v>0.12853399820000003</v>
      </c>
      <c r="CE152" s="678">
        <v>0.84222049032449997</v>
      </c>
      <c r="CF152" s="677">
        <v>0.22159009857600004</v>
      </c>
      <c r="CG152" s="677">
        <v>0</v>
      </c>
      <c r="CH152" s="677">
        <v>2.1835125015000001</v>
      </c>
      <c r="CI152" s="677">
        <v>0.20864895597899996</v>
      </c>
      <c r="CJ152" s="677">
        <v>8.5099819512999997E-2</v>
      </c>
      <c r="CK152" s="677">
        <v>9.7760723615000003E-2</v>
      </c>
      <c r="CL152" s="677">
        <v>1.141811751576</v>
      </c>
      <c r="CM152" s="677">
        <v>1.80649958099</v>
      </c>
      <c r="CN152" s="677">
        <v>2.8067933308800002</v>
      </c>
      <c r="CO152" s="677">
        <v>6.8901123431400002</v>
      </c>
      <c r="CP152" s="679">
        <v>1.5746337990734607</v>
      </c>
      <c r="CQ152" s="677">
        <v>0.73715697403367786</v>
      </c>
      <c r="CR152" s="677">
        <v>3.2081718505640171</v>
      </c>
      <c r="CS152" s="677">
        <v>2.0291780453281012</v>
      </c>
      <c r="CT152" s="677">
        <v>0.4543102894144862</v>
      </c>
      <c r="CU152" s="677">
        <v>3.737109015541932</v>
      </c>
      <c r="CV152" s="677">
        <v>5.2110808970113709</v>
      </c>
      <c r="CW152" s="677">
        <v>3.5884726674254326</v>
      </c>
      <c r="CX152" s="677">
        <v>5.0558989076412137</v>
      </c>
      <c r="CY152" s="677">
        <v>4.0799648899535033</v>
      </c>
      <c r="CZ152" s="677">
        <v>1.1123383740968631</v>
      </c>
      <c r="DA152" s="677">
        <v>3.8608318428752697</v>
      </c>
      <c r="DB152" s="1507">
        <v>1.135352938816228</v>
      </c>
      <c r="DC152" s="677">
        <v>0.54979463468000001</v>
      </c>
      <c r="DD152" s="677">
        <v>0.2043475438832586</v>
      </c>
      <c r="DE152" s="677">
        <v>0.27789958373721951</v>
      </c>
      <c r="DF152" s="677">
        <v>19.503900545500002</v>
      </c>
      <c r="DG152" s="677">
        <v>0</v>
      </c>
      <c r="DH152" s="677">
        <v>0</v>
      </c>
      <c r="DI152" s="677">
        <v>0</v>
      </c>
      <c r="DJ152" s="677">
        <v>0</v>
      </c>
      <c r="DK152" s="677">
        <v>1.9170981666905211</v>
      </c>
      <c r="DL152" s="677">
        <v>21.004184634718136</v>
      </c>
      <c r="DM152" s="677">
        <v>1.2790570421535357</v>
      </c>
      <c r="DN152" s="679">
        <v>0.88176684584411025</v>
      </c>
      <c r="DO152" s="677">
        <v>0.168144303696</v>
      </c>
      <c r="DP152" s="677">
        <v>7.9901506438051995E-2</v>
      </c>
      <c r="DQ152" s="677">
        <v>4.3081922415905449</v>
      </c>
      <c r="DR152" s="677">
        <v>21.492021732000001</v>
      </c>
      <c r="DS152" s="677">
        <v>0</v>
      </c>
      <c r="DT152" s="677">
        <v>0.68950476875527911</v>
      </c>
      <c r="DU152" s="677">
        <v>0.17421202353600002</v>
      </c>
      <c r="DV152" s="677">
        <v>8.1535511511849998E-2</v>
      </c>
      <c r="DW152" s="677">
        <v>4.3925110286265285</v>
      </c>
      <c r="DX152" s="677">
        <v>4.3984749146985589</v>
      </c>
      <c r="DY152" s="677">
        <v>4.4025163008333648</v>
      </c>
      <c r="DZ152" s="679">
        <v>4.4144730305659321</v>
      </c>
      <c r="EA152" s="677"/>
      <c r="EB152" s="677"/>
      <c r="EC152" s="677"/>
      <c r="ED152" s="677"/>
      <c r="EE152" s="677"/>
      <c r="EF152" s="677"/>
      <c r="EG152" s="677"/>
      <c r="EH152" s="677"/>
      <c r="EI152" s="677"/>
      <c r="EJ152" s="677"/>
      <c r="EK152" s="677"/>
      <c r="EL152" s="679"/>
      <c r="EM152" s="1217"/>
      <c r="EN152" s="1217"/>
      <c r="EO152" s="1217"/>
      <c r="EP152" s="1217"/>
      <c r="EQ152" s="1217"/>
      <c r="ER152" s="1217"/>
      <c r="ES152" s="1217"/>
      <c r="ET152" s="1217"/>
      <c r="EU152" s="1217"/>
      <c r="EV152" s="1217"/>
      <c r="EW152" s="1217"/>
      <c r="EX152" s="1568"/>
      <c r="EY152" s="1217"/>
      <c r="EZ152" s="1217"/>
      <c r="FA152" s="1217"/>
      <c r="FB152" s="1217"/>
      <c r="FC152" s="1217"/>
      <c r="FD152" s="1217"/>
      <c r="FE152" s="1217"/>
      <c r="FF152" s="1217"/>
      <c r="FG152" s="1217"/>
      <c r="FH152" s="1217"/>
      <c r="FI152" s="1217"/>
      <c r="FJ152" s="1568"/>
      <c r="FK152" s="1217"/>
      <c r="FL152" s="1217"/>
      <c r="FM152" s="1217"/>
      <c r="FN152" s="1217"/>
      <c r="FO152" s="1217"/>
      <c r="FP152" s="1217"/>
      <c r="FQ152" s="677"/>
      <c r="FR152" s="677"/>
      <c r="FS152" s="677"/>
      <c r="FT152" s="677"/>
      <c r="FU152" s="677"/>
      <c r="FV152" s="677"/>
      <c r="FW152" s="677"/>
      <c r="FX152" s="677"/>
      <c r="FY152" s="677"/>
      <c r="FZ152" s="677"/>
      <c r="GA152" s="677"/>
      <c r="GB152" s="677"/>
      <c r="GC152" s="677"/>
      <c r="GD152" s="677"/>
      <c r="GE152" s="677"/>
      <c r="GF152" s="677"/>
      <c r="GG152" s="677"/>
      <c r="GH152" s="677"/>
      <c r="GI152" s="677"/>
      <c r="GJ152" s="677"/>
      <c r="GK152" s="677"/>
      <c r="GL152" s="677"/>
      <c r="GM152" s="677"/>
      <c r="GN152" s="677"/>
      <c r="GO152" s="677"/>
      <c r="GP152" s="677"/>
      <c r="GQ152" s="677"/>
      <c r="GR152" s="677"/>
      <c r="GS152" s="677"/>
      <c r="GT152" s="677"/>
      <c r="GU152" s="677"/>
      <c r="GV152" s="677"/>
      <c r="GW152" s="677"/>
      <c r="GX152" s="677"/>
      <c r="GY152" s="677"/>
      <c r="GZ152" s="677"/>
      <c r="HA152" s="677"/>
      <c r="HB152" s="677"/>
      <c r="HC152" s="677"/>
      <c r="HD152" s="677"/>
      <c r="HE152" s="677"/>
      <c r="HF152" s="677"/>
      <c r="HG152" s="677"/>
      <c r="HH152" s="677"/>
      <c r="HI152" s="677"/>
      <c r="HJ152" s="677"/>
      <c r="HK152" s="677"/>
      <c r="HL152" s="677"/>
      <c r="HM152" s="677"/>
      <c r="HN152" s="680"/>
      <c r="HV152" s="302">
        <f>+SUM(DC152:DH152)</f>
        <v>20.535942307800479</v>
      </c>
      <c r="HW152" s="302">
        <f>+SUM(DI152:DN152)</f>
        <v>25.082106689406306</v>
      </c>
      <c r="HX152" s="346">
        <f t="shared" si="27"/>
        <v>45.618048997206785</v>
      </c>
      <c r="HY152" s="302">
        <f>SUM(DO152:DT152)</f>
        <v>26.737764552479874</v>
      </c>
      <c r="KH152" s="682"/>
      <c r="KI152" s="680"/>
    </row>
    <row r="153" spans="1:295" outlineLevel="1">
      <c r="B153" s="117" t="s">
        <v>361</v>
      </c>
      <c r="D153" s="326" t="s">
        <v>1053</v>
      </c>
      <c r="E153" s="326"/>
      <c r="F153" s="326"/>
      <c r="G153" s="316"/>
      <c r="H153" s="316"/>
      <c r="I153" s="316"/>
      <c r="J153" s="316"/>
      <c r="K153" s="316"/>
      <c r="L153" s="316"/>
      <c r="M153" s="316"/>
      <c r="N153" s="316"/>
      <c r="O153" s="316"/>
      <c r="P153" s="316"/>
      <c r="Q153" s="316"/>
      <c r="R153" s="316"/>
      <c r="S153" s="316"/>
      <c r="T153" s="316"/>
      <c r="U153" s="316"/>
      <c r="V153" s="316"/>
      <c r="W153" s="316"/>
      <c r="X153" s="316"/>
      <c r="Y153" s="316"/>
      <c r="Z153" s="316"/>
      <c r="AA153" s="316"/>
      <c r="AB153" s="316"/>
      <c r="AC153" s="316"/>
      <c r="AD153" s="316"/>
      <c r="AE153" s="316"/>
      <c r="AF153" s="316"/>
      <c r="AG153" s="316"/>
      <c r="AH153" s="316"/>
      <c r="AI153" s="316"/>
      <c r="AJ153" s="316"/>
      <c r="AK153" s="316"/>
      <c r="AL153" s="316"/>
      <c r="AM153" s="316"/>
      <c r="AN153" s="316"/>
      <c r="AO153" s="316">
        <v>0.14324441275000002</v>
      </c>
      <c r="AP153" s="316">
        <v>0.15454517499000003</v>
      </c>
      <c r="AQ153" s="316">
        <v>0.71992118183958576</v>
      </c>
      <c r="AR153" s="316">
        <v>0.42095908406481708</v>
      </c>
      <c r="AS153" s="316">
        <v>1.1383033396</v>
      </c>
      <c r="AT153" s="316">
        <v>0.47675032488000008</v>
      </c>
      <c r="AU153" s="316">
        <v>0.48873226316000001</v>
      </c>
      <c r="AV153" s="316">
        <v>3.3372808698157504E-3</v>
      </c>
      <c r="AW153" s="316">
        <v>0.25844677510825215</v>
      </c>
      <c r="AX153" s="316">
        <v>1.1633656335838818</v>
      </c>
      <c r="AY153" s="316">
        <v>0.69976253564000013</v>
      </c>
      <c r="AZ153" s="316">
        <v>1.1948445000000001</v>
      </c>
      <c r="BA153" s="316">
        <v>1.059099022941</v>
      </c>
      <c r="BB153" s="316">
        <v>5.6259000000000003E-2</v>
      </c>
      <c r="BC153" s="316">
        <v>1.319612295868869</v>
      </c>
      <c r="BD153" s="316">
        <v>0.41700672090000002</v>
      </c>
      <c r="BE153" s="316">
        <v>0.22137414758999999</v>
      </c>
      <c r="BF153" s="316">
        <v>2.4488254871099997</v>
      </c>
      <c r="BG153" s="316">
        <v>0.76404324000000001</v>
      </c>
      <c r="BH153" s="316">
        <v>5.9065224356216965E-2</v>
      </c>
      <c r="BI153" s="316">
        <v>1.9937489354589999</v>
      </c>
      <c r="BJ153" s="316">
        <v>0.79688513873199995</v>
      </c>
      <c r="BK153" s="316">
        <v>1.04860533282</v>
      </c>
      <c r="BL153" s="316">
        <v>1.059663285936</v>
      </c>
      <c r="BM153" s="316">
        <v>0.98685963043199987</v>
      </c>
      <c r="BN153" s="316">
        <v>1.6125147734959999</v>
      </c>
      <c r="BO153" s="316">
        <v>2.1354432120810003</v>
      </c>
      <c r="BP153" s="316">
        <v>1.5057175</v>
      </c>
      <c r="BQ153" s="316">
        <v>1.2277515537300001</v>
      </c>
      <c r="BR153" s="316">
        <v>2.459500342144</v>
      </c>
      <c r="BS153" s="316">
        <v>0.96626897365599995</v>
      </c>
      <c r="BT153" s="316">
        <v>0.16468291210399999</v>
      </c>
      <c r="BU153" s="316">
        <v>2.0064404902499997</v>
      </c>
      <c r="BV153" s="316">
        <v>0.62215661295999991</v>
      </c>
      <c r="BW153" s="316">
        <v>1.3344035573959998</v>
      </c>
      <c r="BX153" s="316">
        <v>0.90637159066787998</v>
      </c>
      <c r="BY153" s="316">
        <v>1.3732291353000001</v>
      </c>
      <c r="BZ153" s="316">
        <v>0.32849516438199999</v>
      </c>
      <c r="CA153" s="316">
        <v>1.651046684455</v>
      </c>
      <c r="CB153" s="316">
        <v>2.0685652355940003</v>
      </c>
      <c r="CC153" s="316">
        <v>6.4132807978799988</v>
      </c>
      <c r="CD153" s="316">
        <v>1.758345095376</v>
      </c>
      <c r="CE153" s="317">
        <v>1.100802071745</v>
      </c>
      <c r="CF153" s="316">
        <v>0.35090514144000001</v>
      </c>
      <c r="CG153" s="316">
        <v>1.1136603493400001</v>
      </c>
      <c r="CH153" s="316">
        <v>10.939397632514996</v>
      </c>
      <c r="CI153" s="316">
        <v>1.8005138341830003</v>
      </c>
      <c r="CJ153" s="316">
        <v>1.15253298868</v>
      </c>
      <c r="CK153" s="316">
        <v>0</v>
      </c>
      <c r="CL153" s="316">
        <v>0</v>
      </c>
      <c r="CM153" s="316">
        <v>0.21196751617836335</v>
      </c>
      <c r="CN153" s="316">
        <v>18.018576709550103</v>
      </c>
      <c r="CO153" s="316">
        <v>0</v>
      </c>
      <c r="CP153" s="318">
        <v>0.54217960920425523</v>
      </c>
      <c r="CQ153" s="316">
        <v>0</v>
      </c>
      <c r="CR153" s="316">
        <v>0</v>
      </c>
      <c r="CS153" s="316">
        <v>0</v>
      </c>
      <c r="CT153" s="316">
        <v>18.270446518</v>
      </c>
      <c r="CU153" s="316">
        <v>0</v>
      </c>
      <c r="CV153" s="316">
        <v>0</v>
      </c>
      <c r="CW153" s="316">
        <v>0</v>
      </c>
      <c r="CX153" s="316">
        <v>0</v>
      </c>
      <c r="CY153" s="316">
        <v>0</v>
      </c>
      <c r="CZ153" s="316">
        <v>21.427847966720691</v>
      </c>
      <c r="DA153" s="316">
        <v>0</v>
      </c>
      <c r="DB153" s="1498">
        <v>0</v>
      </c>
      <c r="DC153" s="636">
        <v>0.54979463468000001</v>
      </c>
      <c r="DD153" s="636">
        <v>0.2043475438832586</v>
      </c>
      <c r="DE153" s="636">
        <v>0.27789958373721951</v>
      </c>
      <c r="DF153" s="636">
        <v>9.7519502727500011</v>
      </c>
      <c r="DG153" s="636">
        <v>0</v>
      </c>
      <c r="DH153" s="636">
        <v>0</v>
      </c>
      <c r="DI153" s="316">
        <v>0</v>
      </c>
      <c r="DJ153" s="316">
        <v>0</v>
      </c>
      <c r="DK153" s="316">
        <v>1.9170981666905211</v>
      </c>
      <c r="DL153" s="316">
        <v>10.751696412718138</v>
      </c>
      <c r="DM153" s="316">
        <v>1.2790570421535357</v>
      </c>
      <c r="DN153" s="318">
        <v>0.88176684584411025</v>
      </c>
      <c r="DO153" s="316">
        <v>0.168144303696</v>
      </c>
      <c r="DP153" s="316">
        <v>7.9901506438051995E-2</v>
      </c>
      <c r="DQ153" s="316">
        <v>4.3081922415905449</v>
      </c>
      <c r="DR153" s="316">
        <v>10.746010866000001</v>
      </c>
      <c r="DS153" s="316">
        <v>0</v>
      </c>
      <c r="DT153" s="316">
        <v>0.68950476875527911</v>
      </c>
      <c r="DU153" s="316">
        <v>0.17421202353600002</v>
      </c>
      <c r="DV153" s="316">
        <v>8.1535511511849998E-2</v>
      </c>
      <c r="DW153" s="316">
        <v>4.3925110286265285</v>
      </c>
      <c r="DX153" s="316">
        <v>4.3984749146985589</v>
      </c>
      <c r="DY153" s="316">
        <v>4.4025163008333648</v>
      </c>
      <c r="DZ153" s="318">
        <v>4.4144730305659321</v>
      </c>
      <c r="EA153" s="316"/>
      <c r="EB153" s="316"/>
      <c r="EC153" s="316"/>
      <c r="ED153" s="316"/>
      <c r="EE153" s="316"/>
      <c r="EF153" s="316"/>
      <c r="EG153" s="316"/>
      <c r="EH153" s="316"/>
      <c r="EI153" s="316"/>
      <c r="EJ153" s="316"/>
      <c r="EK153" s="316"/>
      <c r="EL153" s="318"/>
      <c r="EM153" s="1206"/>
      <c r="EN153" s="1206"/>
      <c r="EO153" s="1206"/>
      <c r="EP153" s="1206"/>
      <c r="EQ153" s="1206"/>
      <c r="ER153" s="1206"/>
      <c r="ES153" s="1206"/>
      <c r="ET153" s="1206"/>
      <c r="EU153" s="1206"/>
      <c r="EV153" s="1206"/>
      <c r="EW153" s="1206"/>
      <c r="EX153" s="1550"/>
      <c r="EY153" s="1206"/>
      <c r="EZ153" s="1206"/>
      <c r="FA153" s="1206"/>
      <c r="FB153" s="1206"/>
      <c r="FC153" s="1206"/>
      <c r="FD153" s="1206"/>
      <c r="FE153" s="1206"/>
      <c r="FF153" s="1206"/>
      <c r="FG153" s="1206"/>
      <c r="FH153" s="1206"/>
      <c r="FI153" s="1206"/>
      <c r="FJ153" s="1550"/>
      <c r="FK153" s="1206"/>
      <c r="FL153" s="1206"/>
      <c r="FM153" s="1206"/>
      <c r="FN153" s="1206"/>
      <c r="FO153" s="1206"/>
      <c r="FP153" s="1206"/>
      <c r="FQ153" s="316"/>
      <c r="FR153" s="316"/>
      <c r="FS153" s="316"/>
      <c r="FT153" s="316"/>
      <c r="FU153" s="316"/>
      <c r="FV153" s="316"/>
      <c r="FW153" s="316"/>
      <c r="FX153" s="316"/>
      <c r="FY153" s="316"/>
      <c r="FZ153" s="316"/>
      <c r="GA153" s="316"/>
      <c r="GB153" s="316"/>
      <c r="GC153" s="316"/>
      <c r="GD153" s="316"/>
      <c r="GE153" s="316"/>
      <c r="GF153" s="316"/>
      <c r="GG153" s="316"/>
      <c r="GH153" s="316"/>
      <c r="GI153" s="316"/>
      <c r="GJ153" s="316"/>
      <c r="GK153" s="316"/>
      <c r="GL153" s="316"/>
      <c r="GM153" s="316"/>
      <c r="GN153" s="316"/>
      <c r="GO153" s="316"/>
      <c r="GP153" s="316"/>
      <c r="GQ153" s="316"/>
      <c r="GR153" s="316"/>
      <c r="GS153" s="316"/>
      <c r="GT153" s="316"/>
      <c r="GU153" s="316"/>
      <c r="GV153" s="316"/>
      <c r="GW153" s="316"/>
      <c r="GX153" s="316"/>
      <c r="GY153" s="316"/>
      <c r="GZ153" s="316"/>
      <c r="HA153" s="316"/>
      <c r="HB153" s="316"/>
      <c r="HC153" s="316"/>
      <c r="HD153" s="316"/>
      <c r="HE153" s="316"/>
      <c r="HF153" s="316"/>
      <c r="HG153" s="316"/>
      <c r="HH153" s="316"/>
      <c r="HI153" s="316"/>
      <c r="HJ153" s="316"/>
      <c r="HK153" s="316"/>
      <c r="HL153" s="316"/>
      <c r="HM153" s="316"/>
      <c r="HV153" s="302">
        <f>+SUM(DC153:DH153)</f>
        <v>10.783992035050479</v>
      </c>
      <c r="HW153" s="302">
        <f>+SUM(DI153:DN153)</f>
        <v>14.829618467406304</v>
      </c>
      <c r="HX153" s="346">
        <f t="shared" si="27"/>
        <v>25.613610502456783</v>
      </c>
      <c r="HY153" s="302">
        <f>SUM(DO153:DT153)</f>
        <v>15.991753686479877</v>
      </c>
      <c r="KH153" s="303"/>
    </row>
    <row r="154" spans="1:295" outlineLevel="1">
      <c r="B154" s="117" t="s">
        <v>361</v>
      </c>
      <c r="D154" s="327" t="s">
        <v>420</v>
      </c>
      <c r="E154" s="328"/>
      <c r="F154" s="328"/>
      <c r="G154" s="316"/>
      <c r="H154" s="316"/>
      <c r="I154" s="316"/>
      <c r="J154" s="316"/>
      <c r="K154" s="316"/>
      <c r="L154" s="316"/>
      <c r="M154" s="316"/>
      <c r="N154" s="316"/>
      <c r="O154" s="316"/>
      <c r="P154" s="316"/>
      <c r="Q154" s="316"/>
      <c r="R154" s="316"/>
      <c r="S154" s="316"/>
      <c r="T154" s="316"/>
      <c r="U154" s="316"/>
      <c r="V154" s="316"/>
      <c r="W154" s="316"/>
      <c r="X154" s="316"/>
      <c r="Y154" s="316"/>
      <c r="Z154" s="316"/>
      <c r="AA154" s="316"/>
      <c r="AB154" s="316"/>
      <c r="AC154" s="316"/>
      <c r="AD154" s="316"/>
      <c r="AE154" s="316"/>
      <c r="AF154" s="316"/>
      <c r="AG154" s="316"/>
      <c r="AH154" s="316"/>
      <c r="AI154" s="316"/>
      <c r="AJ154" s="316"/>
      <c r="AK154" s="316"/>
      <c r="AL154" s="316"/>
      <c r="AM154" s="316"/>
      <c r="AN154" s="316"/>
      <c r="AO154" s="316">
        <v>0.14324441275000002</v>
      </c>
      <c r="AP154" s="316">
        <v>0.15454517499000003</v>
      </c>
      <c r="AQ154" s="316">
        <v>0.71992118183958576</v>
      </c>
      <c r="AR154" s="316">
        <v>0.42095908406481708</v>
      </c>
      <c r="AS154" s="316">
        <v>1.1383033396</v>
      </c>
      <c r="AT154" s="316">
        <v>0.47675032488000008</v>
      </c>
      <c r="AU154" s="316">
        <v>0.48873226316000001</v>
      </c>
      <c r="AV154" s="316">
        <v>3.3372808698157504E-3</v>
      </c>
      <c r="AW154" s="316">
        <v>0.25844677510825215</v>
      </c>
      <c r="AX154" s="316">
        <v>1.1633656335838818</v>
      </c>
      <c r="AY154" s="316">
        <v>0.69976253564000013</v>
      </c>
      <c r="AZ154" s="316">
        <v>1.1948445000000001</v>
      </c>
      <c r="BA154" s="316">
        <v>1.059099022941</v>
      </c>
      <c r="BB154" s="316">
        <v>5.6259000000000003E-2</v>
      </c>
      <c r="BC154" s="316">
        <v>1.319612295868869</v>
      </c>
      <c r="BD154" s="316">
        <v>0.41700672090000002</v>
      </c>
      <c r="BE154" s="316">
        <v>0.22137414758999999</v>
      </c>
      <c r="BF154" s="316">
        <v>2.4488254871099997</v>
      </c>
      <c r="BG154" s="316">
        <v>0.76404324000000001</v>
      </c>
      <c r="BH154" s="316">
        <v>5.9065224356216965E-2</v>
      </c>
      <c r="BI154" s="316">
        <v>1.9937489354589999</v>
      </c>
      <c r="BJ154" s="316">
        <v>0.79688513873199995</v>
      </c>
      <c r="BK154" s="316">
        <v>1.04860533282</v>
      </c>
      <c r="BL154" s="316">
        <v>1.059663285936</v>
      </c>
      <c r="BM154" s="316">
        <v>0.98685963043199987</v>
      </c>
      <c r="BN154" s="316">
        <v>1.6125147734959999</v>
      </c>
      <c r="BO154" s="316">
        <v>2.1354432120810003</v>
      </c>
      <c r="BP154" s="316">
        <v>1.5057175</v>
      </c>
      <c r="BQ154" s="316">
        <v>1.2277515537300001</v>
      </c>
      <c r="BR154" s="316">
        <v>2.459500342144</v>
      </c>
      <c r="BS154" s="316">
        <v>0.96626897365599995</v>
      </c>
      <c r="BT154" s="316">
        <v>0.16468291210399999</v>
      </c>
      <c r="BU154" s="316">
        <v>2.0064404902499997</v>
      </c>
      <c r="BV154" s="316">
        <v>0.62215661295999991</v>
      </c>
      <c r="BW154" s="316">
        <v>1.3344035573959998</v>
      </c>
      <c r="BX154" s="316">
        <v>0.90637159066787998</v>
      </c>
      <c r="BY154" s="316">
        <v>1.3732291353000001</v>
      </c>
      <c r="BZ154" s="316">
        <v>0.32849516438199999</v>
      </c>
      <c r="CA154" s="316">
        <v>1.651046684455</v>
      </c>
      <c r="CB154" s="316">
        <v>2.0685652355940003</v>
      </c>
      <c r="CC154" s="316">
        <v>1.4454720838799999</v>
      </c>
      <c r="CD154" s="316">
        <v>1.758345095376</v>
      </c>
      <c r="CE154" s="317">
        <v>1.100802071745</v>
      </c>
      <c r="CF154" s="316">
        <v>0.35090514144000001</v>
      </c>
      <c r="CG154" s="316">
        <v>1.1136603493400001</v>
      </c>
      <c r="CH154" s="316">
        <v>2.1722641037649995</v>
      </c>
      <c r="CI154" s="316">
        <v>1.8005138341830003</v>
      </c>
      <c r="CJ154" s="316">
        <v>1.15253298868</v>
      </c>
      <c r="CK154" s="316">
        <v>0</v>
      </c>
      <c r="CL154" s="316">
        <v>0</v>
      </c>
      <c r="CM154" s="316">
        <v>0.21196751617836335</v>
      </c>
      <c r="CN154" s="316">
        <v>9.0137312775501037</v>
      </c>
      <c r="CO154" s="316">
        <v>0</v>
      </c>
      <c r="CP154" s="318">
        <v>0.54217960920425523</v>
      </c>
      <c r="CQ154" s="316">
        <v>0</v>
      </c>
      <c r="CR154" s="316">
        <v>0</v>
      </c>
      <c r="CS154" s="316">
        <v>0</v>
      </c>
      <c r="CT154" s="316">
        <v>9.135223259</v>
      </c>
      <c r="CU154" s="316">
        <v>0</v>
      </c>
      <c r="CV154" s="316">
        <v>0</v>
      </c>
      <c r="CW154" s="316">
        <v>0</v>
      </c>
      <c r="CX154" s="316">
        <v>0</v>
      </c>
      <c r="CY154" s="316">
        <v>0</v>
      </c>
      <c r="CZ154" s="316">
        <v>12.011655820970692</v>
      </c>
      <c r="DA154" s="316">
        <v>0</v>
      </c>
      <c r="DB154" s="1498">
        <v>0</v>
      </c>
      <c r="DC154" s="316">
        <v>0</v>
      </c>
      <c r="DD154" s="316">
        <v>0</v>
      </c>
      <c r="DE154" s="316">
        <v>0</v>
      </c>
      <c r="DF154" s="316">
        <v>9.7519502727500011</v>
      </c>
      <c r="DG154" s="316">
        <v>0</v>
      </c>
      <c r="DH154" s="316">
        <v>0</v>
      </c>
      <c r="DI154" s="316">
        <v>0</v>
      </c>
      <c r="DJ154" s="316">
        <v>0</v>
      </c>
      <c r="DK154" s="316">
        <v>0</v>
      </c>
      <c r="DL154" s="316">
        <v>10.252488222</v>
      </c>
      <c r="DM154" s="316">
        <v>0</v>
      </c>
      <c r="DN154" s="318">
        <v>0</v>
      </c>
      <c r="DO154" s="316">
        <v>0</v>
      </c>
      <c r="DP154" s="316">
        <v>0</v>
      </c>
      <c r="DQ154" s="316">
        <v>0</v>
      </c>
      <c r="DR154" s="316">
        <v>10.746010866000001</v>
      </c>
      <c r="DS154" s="316">
        <v>0</v>
      </c>
      <c r="DT154" s="316">
        <v>0</v>
      </c>
      <c r="DU154" s="316"/>
      <c r="DV154" s="316"/>
      <c r="DW154" s="316"/>
      <c r="DX154" s="316"/>
      <c r="DY154" s="316"/>
      <c r="DZ154" s="318"/>
      <c r="EA154" s="316"/>
      <c r="EB154" s="316"/>
      <c r="EC154" s="316"/>
      <c r="ED154" s="316"/>
      <c r="EE154" s="316"/>
      <c r="EF154" s="316"/>
      <c r="EG154" s="316"/>
      <c r="EH154" s="316"/>
      <c r="EI154" s="316"/>
      <c r="EJ154" s="316"/>
      <c r="EK154" s="316"/>
      <c r="EL154" s="318"/>
      <c r="EM154" s="1206"/>
      <c r="EN154" s="1206"/>
      <c r="EO154" s="1206"/>
      <c r="EP154" s="1206"/>
      <c r="EQ154" s="1206"/>
      <c r="ER154" s="1206"/>
      <c r="ES154" s="1206"/>
      <c r="ET154" s="1206"/>
      <c r="EU154" s="1206"/>
      <c r="EV154" s="1206"/>
      <c r="EW154" s="1206"/>
      <c r="EX154" s="1550"/>
      <c r="EY154" s="1206"/>
      <c r="EZ154" s="1206"/>
      <c r="FA154" s="1206"/>
      <c r="FB154" s="1206"/>
      <c r="FC154" s="1206"/>
      <c r="FD154" s="1206"/>
      <c r="FE154" s="1206"/>
      <c r="FF154" s="1206"/>
      <c r="FG154" s="1206"/>
      <c r="FH154" s="1206"/>
      <c r="FI154" s="1206"/>
      <c r="FJ154" s="1550"/>
      <c r="FK154" s="1206"/>
      <c r="FL154" s="1206"/>
      <c r="FM154" s="1206"/>
      <c r="FN154" s="1206"/>
      <c r="FO154" s="1206"/>
      <c r="FP154" s="1206"/>
      <c r="FQ154" s="316"/>
      <c r="FR154" s="316"/>
      <c r="FS154" s="316"/>
      <c r="FT154" s="316"/>
      <c r="FU154" s="316"/>
      <c r="FV154" s="316"/>
      <c r="FW154" s="316"/>
      <c r="FX154" s="316"/>
      <c r="FY154" s="316"/>
      <c r="FZ154" s="316"/>
      <c r="GA154" s="316"/>
      <c r="GB154" s="316"/>
      <c r="GC154" s="316"/>
      <c r="GD154" s="316"/>
      <c r="GE154" s="316"/>
      <c r="GF154" s="316"/>
      <c r="GG154" s="316"/>
      <c r="GH154" s="316"/>
      <c r="GI154" s="316"/>
      <c r="GJ154" s="316"/>
      <c r="GK154" s="316"/>
      <c r="GL154" s="316"/>
      <c r="GM154" s="316"/>
      <c r="GN154" s="316"/>
      <c r="GO154" s="316"/>
      <c r="GP154" s="316"/>
      <c r="GQ154" s="316"/>
      <c r="GR154" s="316"/>
      <c r="GS154" s="316"/>
      <c r="GT154" s="316"/>
      <c r="GU154" s="316"/>
      <c r="GV154" s="316"/>
      <c r="GW154" s="316"/>
      <c r="GX154" s="316"/>
      <c r="GY154" s="316"/>
      <c r="GZ154" s="316"/>
      <c r="HA154" s="316"/>
      <c r="HB154" s="316"/>
      <c r="HC154" s="316"/>
      <c r="HD154" s="316"/>
      <c r="HE154" s="316"/>
      <c r="HF154" s="316"/>
      <c r="HG154" s="316"/>
      <c r="HH154" s="316"/>
      <c r="HI154" s="316"/>
      <c r="HJ154" s="316"/>
      <c r="HK154" s="316"/>
      <c r="HL154" s="316"/>
      <c r="HM154" s="316"/>
      <c r="HV154" s="302">
        <f>+SUM(DC154:DH154)</f>
        <v>9.7519502727500011</v>
      </c>
      <c r="HW154" s="302">
        <f>+SUM(DI154:DN154)</f>
        <v>10.252488222</v>
      </c>
      <c r="HX154" s="346">
        <f t="shared" si="27"/>
        <v>20.004438494750001</v>
      </c>
      <c r="HY154" s="302">
        <f>SUM(DO154:DT154)</f>
        <v>10.746010866000001</v>
      </c>
      <c r="KH154" s="303"/>
    </row>
    <row r="155" spans="1:295" outlineLevel="1">
      <c r="B155" s="117" t="s">
        <v>361</v>
      </c>
      <c r="D155" s="327" t="s">
        <v>421</v>
      </c>
      <c r="E155" s="328"/>
      <c r="F155" s="328"/>
      <c r="G155" s="316"/>
      <c r="H155" s="316"/>
      <c r="I155" s="316"/>
      <c r="J155" s="316"/>
      <c r="K155" s="316"/>
      <c r="L155" s="316"/>
      <c r="M155" s="316"/>
      <c r="N155" s="316"/>
      <c r="O155" s="316"/>
      <c r="P155" s="316"/>
      <c r="Q155" s="316"/>
      <c r="R155" s="316"/>
      <c r="S155" s="316"/>
      <c r="T155" s="316"/>
      <c r="U155" s="316"/>
      <c r="V155" s="316"/>
      <c r="W155" s="316"/>
      <c r="X155" s="316"/>
      <c r="Y155" s="316"/>
      <c r="Z155" s="316"/>
      <c r="AA155" s="316"/>
      <c r="AB155" s="316"/>
      <c r="AC155" s="316"/>
      <c r="AD155" s="316"/>
      <c r="AE155" s="316"/>
      <c r="AF155" s="316"/>
      <c r="AG155" s="316"/>
      <c r="AH155" s="316"/>
      <c r="AI155" s="316"/>
      <c r="AJ155" s="316"/>
      <c r="AK155" s="316"/>
      <c r="AL155" s="316"/>
      <c r="AM155" s="316"/>
      <c r="AN155" s="316"/>
      <c r="AO155" s="316">
        <v>0</v>
      </c>
      <c r="AP155" s="316">
        <v>0</v>
      </c>
      <c r="AQ155" s="316">
        <v>0</v>
      </c>
      <c r="AR155" s="316">
        <v>0</v>
      </c>
      <c r="AS155" s="316">
        <v>0</v>
      </c>
      <c r="AT155" s="316">
        <v>0</v>
      </c>
      <c r="AU155" s="316">
        <v>0</v>
      </c>
      <c r="AV155" s="316">
        <v>0</v>
      </c>
      <c r="AW155" s="316">
        <v>0</v>
      </c>
      <c r="AX155" s="316">
        <v>0</v>
      </c>
      <c r="AY155" s="316">
        <v>0</v>
      </c>
      <c r="AZ155" s="316">
        <v>0</v>
      </c>
      <c r="BA155" s="316">
        <v>0</v>
      </c>
      <c r="BB155" s="316">
        <v>0</v>
      </c>
      <c r="BC155" s="316">
        <v>0</v>
      </c>
      <c r="BD155" s="316">
        <v>0</v>
      </c>
      <c r="BE155" s="316">
        <v>0</v>
      </c>
      <c r="BF155" s="316">
        <v>0</v>
      </c>
      <c r="BG155" s="316">
        <v>0</v>
      </c>
      <c r="BH155" s="316">
        <v>0</v>
      </c>
      <c r="BI155" s="316">
        <v>0</v>
      </c>
      <c r="BJ155" s="316">
        <v>0</v>
      </c>
      <c r="BK155" s="316">
        <v>0</v>
      </c>
      <c r="BL155" s="316">
        <v>0</v>
      </c>
      <c r="BM155" s="316">
        <v>0</v>
      </c>
      <c r="BN155" s="316">
        <v>0</v>
      </c>
      <c r="BO155" s="316">
        <v>0</v>
      </c>
      <c r="BP155" s="316">
        <v>0</v>
      </c>
      <c r="BQ155" s="316">
        <v>0</v>
      </c>
      <c r="BR155" s="316">
        <v>0</v>
      </c>
      <c r="BS155" s="316">
        <v>0</v>
      </c>
      <c r="BT155" s="316">
        <v>0</v>
      </c>
      <c r="BU155" s="316">
        <v>0</v>
      </c>
      <c r="BV155" s="316">
        <v>0</v>
      </c>
      <c r="BW155" s="316">
        <v>0</v>
      </c>
      <c r="BX155" s="316">
        <v>0</v>
      </c>
      <c r="BY155" s="316">
        <v>0</v>
      </c>
      <c r="BZ155" s="316">
        <v>0</v>
      </c>
      <c r="CA155" s="316">
        <v>0</v>
      </c>
      <c r="CB155" s="316">
        <v>0</v>
      </c>
      <c r="CC155" s="316">
        <v>4.9678087139999993</v>
      </c>
      <c r="CD155" s="316">
        <v>0</v>
      </c>
      <c r="CE155" s="317">
        <v>0</v>
      </c>
      <c r="CF155" s="316">
        <v>0</v>
      </c>
      <c r="CG155" s="316">
        <v>0</v>
      </c>
      <c r="CH155" s="316">
        <v>8.7671335287499979</v>
      </c>
      <c r="CI155" s="316">
        <v>0</v>
      </c>
      <c r="CJ155" s="316">
        <v>0</v>
      </c>
      <c r="CK155" s="316">
        <v>0</v>
      </c>
      <c r="CL155" s="316">
        <v>0</v>
      </c>
      <c r="CM155" s="316">
        <v>0</v>
      </c>
      <c r="CN155" s="316">
        <v>9.0048454319999998</v>
      </c>
      <c r="CO155" s="316">
        <v>0</v>
      </c>
      <c r="CP155" s="318">
        <v>0</v>
      </c>
      <c r="CQ155" s="316">
        <v>0</v>
      </c>
      <c r="CR155" s="316">
        <v>0</v>
      </c>
      <c r="CS155" s="316">
        <v>0</v>
      </c>
      <c r="CT155" s="316">
        <v>9.135223259</v>
      </c>
      <c r="CU155" s="316">
        <v>0</v>
      </c>
      <c r="CV155" s="316">
        <v>0</v>
      </c>
      <c r="CW155" s="316">
        <v>0</v>
      </c>
      <c r="CX155" s="316">
        <v>0</v>
      </c>
      <c r="CY155" s="316">
        <v>0</v>
      </c>
      <c r="CZ155" s="316">
        <v>9.4161921457500011</v>
      </c>
      <c r="DA155" s="316">
        <v>0</v>
      </c>
      <c r="DB155" s="1498">
        <v>0</v>
      </c>
      <c r="DC155" s="316"/>
      <c r="DD155" s="316">
        <v>6.1312470532455379</v>
      </c>
      <c r="DE155" s="316"/>
      <c r="DF155" s="316"/>
      <c r="DG155" s="316"/>
      <c r="DH155" s="316"/>
      <c r="DI155" s="316"/>
      <c r="DJ155" s="316"/>
      <c r="DK155" s="316"/>
      <c r="DL155" s="316">
        <v>4.4275207730000004</v>
      </c>
      <c r="DM155" s="316"/>
      <c r="DN155" s="318"/>
      <c r="DO155" s="316"/>
      <c r="DP155" s="316"/>
      <c r="DQ155" s="316"/>
      <c r="DR155" s="316"/>
      <c r="DS155" s="316"/>
      <c r="DT155" s="316"/>
      <c r="DU155" s="316"/>
      <c r="DV155" s="316"/>
      <c r="DW155" s="316"/>
      <c r="DX155" s="316"/>
      <c r="DY155" s="316"/>
      <c r="DZ155" s="318"/>
      <c r="EA155" s="316"/>
      <c r="EB155" s="316"/>
      <c r="EC155" s="316"/>
      <c r="ED155" s="316"/>
      <c r="EE155" s="316"/>
      <c r="EF155" s="316"/>
      <c r="EG155" s="316"/>
      <c r="EH155" s="316"/>
      <c r="EI155" s="316"/>
      <c r="EJ155" s="316"/>
      <c r="EK155" s="316"/>
      <c r="EL155" s="318"/>
      <c r="EM155" s="1206"/>
      <c r="EN155" s="1206"/>
      <c r="EO155" s="1206"/>
      <c r="EP155" s="1206"/>
      <c r="EQ155" s="1206"/>
      <c r="ER155" s="1206"/>
      <c r="ES155" s="1206"/>
      <c r="ET155" s="1206"/>
      <c r="EU155" s="1206"/>
      <c r="EV155" s="1206"/>
      <c r="EW155" s="1206"/>
      <c r="EX155" s="1550"/>
      <c r="EY155" s="1206"/>
      <c r="EZ155" s="1206"/>
      <c r="FA155" s="1206"/>
      <c r="FB155" s="1206"/>
      <c r="FC155" s="1206"/>
      <c r="FD155" s="1206"/>
      <c r="FE155" s="1206"/>
      <c r="FF155" s="1206"/>
      <c r="FG155" s="1206"/>
      <c r="FH155" s="1206"/>
      <c r="FI155" s="1206"/>
      <c r="FJ155" s="1550"/>
      <c r="FK155" s="1206"/>
      <c r="FL155" s="1206"/>
      <c r="FM155" s="1206"/>
      <c r="FN155" s="1206"/>
      <c r="FO155" s="1206"/>
      <c r="FP155" s="1206"/>
      <c r="FQ155" s="316"/>
      <c r="FR155" s="316"/>
      <c r="FS155" s="316"/>
      <c r="FT155" s="316"/>
      <c r="FU155" s="316"/>
      <c r="FV155" s="316"/>
      <c r="FW155" s="316"/>
      <c r="FX155" s="316"/>
      <c r="FY155" s="316"/>
      <c r="FZ155" s="316"/>
      <c r="GA155" s="316"/>
      <c r="GB155" s="316"/>
      <c r="GC155" s="316"/>
      <c r="GD155" s="316"/>
      <c r="GE155" s="316"/>
      <c r="GF155" s="316"/>
      <c r="GG155" s="316"/>
      <c r="GH155" s="316"/>
      <c r="GI155" s="316"/>
      <c r="GJ155" s="316"/>
      <c r="GK155" s="316"/>
      <c r="GL155" s="316"/>
      <c r="GM155" s="316"/>
      <c r="GN155" s="316"/>
      <c r="GO155" s="316"/>
      <c r="GP155" s="316"/>
      <c r="GQ155" s="316"/>
      <c r="GR155" s="316"/>
      <c r="GS155" s="316"/>
      <c r="GT155" s="316"/>
      <c r="GU155" s="316"/>
      <c r="GV155" s="316"/>
      <c r="GW155" s="316"/>
      <c r="GX155" s="316"/>
      <c r="GY155" s="316"/>
      <c r="GZ155" s="316"/>
      <c r="HA155" s="316"/>
      <c r="HB155" s="316"/>
      <c r="HC155" s="316"/>
      <c r="HD155" s="316"/>
      <c r="HE155" s="316"/>
      <c r="HF155" s="316"/>
      <c r="HG155" s="316"/>
      <c r="HH155" s="316"/>
      <c r="HI155" s="316"/>
      <c r="HJ155" s="316"/>
      <c r="HK155" s="316"/>
      <c r="HL155" s="316"/>
      <c r="HM155" s="316"/>
      <c r="HV155" s="302">
        <f>+SUM(DC155:DH155)</f>
        <v>6.1312470532455379</v>
      </c>
      <c r="HW155" s="302">
        <f>+SUM(DI155:DN155)</f>
        <v>4.4275207730000004</v>
      </c>
      <c r="HX155" s="346">
        <f t="shared" si="27"/>
        <v>10.558767826245539</v>
      </c>
      <c r="HY155" s="302">
        <f>SUM(DO155:DT155)</f>
        <v>0</v>
      </c>
      <c r="KH155" s="303"/>
    </row>
    <row r="156" spans="1:295" ht="15.5" outlineLevel="1" thickBot="1">
      <c r="D156" s="898" t="s">
        <v>1070</v>
      </c>
      <c r="E156" s="328"/>
      <c r="F156" s="328"/>
      <c r="G156" s="316"/>
      <c r="H156" s="316"/>
      <c r="I156" s="316"/>
      <c r="J156" s="316"/>
      <c r="K156" s="316"/>
      <c r="L156" s="316"/>
      <c r="M156" s="316"/>
      <c r="N156" s="316"/>
      <c r="O156" s="316"/>
      <c r="P156" s="316"/>
      <c r="Q156" s="316"/>
      <c r="R156" s="316"/>
      <c r="S156" s="316"/>
      <c r="T156" s="316"/>
      <c r="U156" s="316"/>
      <c r="V156" s="316"/>
      <c r="W156" s="316"/>
      <c r="X156" s="316"/>
      <c r="Y156" s="316"/>
      <c r="Z156" s="316"/>
      <c r="AA156" s="316"/>
      <c r="AB156" s="316"/>
      <c r="AC156" s="316"/>
      <c r="AD156" s="316"/>
      <c r="AE156" s="316"/>
      <c r="AF156" s="316"/>
      <c r="AG156" s="316"/>
      <c r="AH156" s="316"/>
      <c r="AI156" s="316"/>
      <c r="AJ156" s="316"/>
      <c r="AK156" s="316"/>
      <c r="AL156" s="316"/>
      <c r="AM156" s="316"/>
      <c r="AN156" s="316"/>
      <c r="AO156" s="316"/>
      <c r="AP156" s="316"/>
      <c r="AQ156" s="316"/>
      <c r="AR156" s="316"/>
      <c r="AS156" s="316"/>
      <c r="AT156" s="316"/>
      <c r="AU156" s="316"/>
      <c r="AV156" s="316"/>
      <c r="AW156" s="316"/>
      <c r="AX156" s="316"/>
      <c r="AY156" s="316"/>
      <c r="AZ156" s="316"/>
      <c r="BA156" s="316"/>
      <c r="BB156" s="316"/>
      <c r="BC156" s="316"/>
      <c r="BD156" s="316"/>
      <c r="BE156" s="316"/>
      <c r="BF156" s="316"/>
      <c r="BG156" s="316"/>
      <c r="BH156" s="316"/>
      <c r="BI156" s="316"/>
      <c r="BJ156" s="316"/>
      <c r="BK156" s="316"/>
      <c r="BL156" s="316"/>
      <c r="BM156" s="316"/>
      <c r="BN156" s="316"/>
      <c r="BO156" s="316"/>
      <c r="BP156" s="316"/>
      <c r="BQ156" s="316"/>
      <c r="BR156" s="316"/>
      <c r="BS156" s="316"/>
      <c r="BT156" s="316"/>
      <c r="BU156" s="316"/>
      <c r="BV156" s="316"/>
      <c r="BW156" s="316"/>
      <c r="BX156" s="316"/>
      <c r="BY156" s="316"/>
      <c r="BZ156" s="316"/>
      <c r="CA156" s="316"/>
      <c r="CB156" s="316"/>
      <c r="CC156" s="316"/>
      <c r="CD156" s="316"/>
      <c r="CE156" s="317"/>
      <c r="CF156" s="316"/>
      <c r="CG156" s="316"/>
      <c r="CH156" s="316"/>
      <c r="CI156" s="316"/>
      <c r="CJ156" s="316"/>
      <c r="CK156" s="316"/>
      <c r="CL156" s="316"/>
      <c r="CM156" s="316"/>
      <c r="CN156" s="316"/>
      <c r="CO156" s="316"/>
      <c r="CP156" s="318"/>
      <c r="CQ156" s="316"/>
      <c r="CR156" s="316"/>
      <c r="CS156" s="316"/>
      <c r="CT156" s="316"/>
      <c r="CU156" s="316"/>
      <c r="CV156" s="316"/>
      <c r="CW156" s="316"/>
      <c r="CX156" s="316"/>
      <c r="CY156" s="316"/>
      <c r="CZ156" s="316"/>
      <c r="DA156" s="316"/>
      <c r="DB156" s="1498"/>
      <c r="DC156" s="897"/>
      <c r="DD156" s="897">
        <v>6.1312470532455379</v>
      </c>
      <c r="DE156" s="897"/>
      <c r="DF156" s="897"/>
      <c r="DG156" s="897"/>
      <c r="DH156" s="897"/>
      <c r="DI156" s="897"/>
      <c r="DJ156" s="897"/>
      <c r="DK156" s="897"/>
      <c r="DL156" s="897">
        <v>4.4275207730000004</v>
      </c>
      <c r="DM156" s="897"/>
      <c r="DN156" s="929"/>
      <c r="DO156" s="897"/>
      <c r="DP156" s="897"/>
      <c r="DQ156" s="897"/>
      <c r="DR156" s="897"/>
      <c r="DS156" s="897"/>
      <c r="DT156" s="897"/>
      <c r="DU156" s="897"/>
      <c r="DV156" s="897"/>
      <c r="DW156" s="897"/>
      <c r="DX156" s="897"/>
      <c r="DY156" s="897"/>
      <c r="DZ156" s="929"/>
      <c r="EA156" s="897"/>
      <c r="EB156" s="897"/>
      <c r="EC156" s="897"/>
      <c r="ED156" s="897"/>
      <c r="EE156" s="897"/>
      <c r="EF156" s="897"/>
      <c r="EG156" s="897"/>
      <c r="EH156" s="897"/>
      <c r="EI156" s="897"/>
      <c r="EJ156" s="897"/>
      <c r="EK156" s="897"/>
      <c r="EL156" s="929"/>
      <c r="EM156" s="1218"/>
      <c r="EN156" s="1218"/>
      <c r="EO156" s="1218"/>
      <c r="EP156" s="1218"/>
      <c r="EQ156" s="1218"/>
      <c r="ER156" s="1218"/>
      <c r="ES156" s="1218"/>
      <c r="ET156" s="1218"/>
      <c r="EU156" s="1218"/>
      <c r="EV156" s="1218"/>
      <c r="EW156" s="1218"/>
      <c r="EX156" s="1569"/>
      <c r="EY156" s="1218"/>
      <c r="EZ156" s="1218"/>
      <c r="FA156" s="1218"/>
      <c r="FB156" s="1218"/>
      <c r="FC156" s="1218"/>
      <c r="FD156" s="1218"/>
      <c r="FE156" s="1218"/>
      <c r="FF156" s="1218"/>
      <c r="FG156" s="1218"/>
      <c r="FH156" s="1218"/>
      <c r="FI156" s="1218"/>
      <c r="FJ156" s="1569"/>
      <c r="FK156" s="1218"/>
      <c r="FL156" s="1218"/>
      <c r="FM156" s="1218"/>
      <c r="FN156" s="1218"/>
      <c r="FO156" s="1218"/>
      <c r="FP156" s="1218"/>
      <c r="FQ156" s="1204"/>
      <c r="FR156" s="1204"/>
      <c r="FS156" s="1204"/>
      <c r="FT156" s="1204"/>
      <c r="FU156" s="1204"/>
      <c r="FV156" s="1204"/>
      <c r="FW156" s="1204"/>
      <c r="FX156" s="1204"/>
      <c r="FY156" s="1204"/>
      <c r="FZ156" s="1204"/>
      <c r="GA156" s="1204"/>
      <c r="GB156" s="1204"/>
      <c r="GC156" s="1204"/>
      <c r="GD156" s="1204"/>
      <c r="GE156" s="1204"/>
      <c r="GF156" s="1204"/>
      <c r="GG156" s="1204"/>
      <c r="GH156" s="1204"/>
      <c r="GI156" s="1204"/>
      <c r="GJ156" s="1204"/>
      <c r="GK156" s="1204"/>
      <c r="GL156" s="1204"/>
      <c r="GM156" s="1204"/>
      <c r="GN156" s="1204"/>
      <c r="GO156" s="1204"/>
      <c r="GP156" s="1204"/>
      <c r="GQ156" s="1204"/>
      <c r="GR156" s="1204"/>
      <c r="GS156" s="1204"/>
      <c r="GT156" s="1204"/>
      <c r="GU156" s="1204"/>
      <c r="GV156" s="1204"/>
      <c r="GW156" s="1204"/>
      <c r="GX156" s="1204"/>
      <c r="GY156" s="1204"/>
      <c r="GZ156" s="1204"/>
      <c r="HA156" s="1204"/>
      <c r="HB156" s="1204"/>
      <c r="HC156" s="1204"/>
      <c r="HD156" s="1204"/>
      <c r="HE156" s="1204"/>
      <c r="HF156" s="1204"/>
      <c r="HG156" s="1204"/>
      <c r="HH156" s="1204"/>
      <c r="HI156" s="1204"/>
      <c r="HJ156" s="1204"/>
      <c r="HK156" s="1204"/>
      <c r="HL156" s="1204"/>
      <c r="HM156" s="1204"/>
      <c r="HX156" s="937"/>
      <c r="KH156" s="303"/>
    </row>
    <row r="157" spans="1:295" outlineLevel="1">
      <c r="CE157" s="840"/>
      <c r="CP157" s="303"/>
      <c r="DC157" s="889" t="s">
        <v>1047</v>
      </c>
      <c r="EA157" s="302"/>
      <c r="EB157" s="302"/>
      <c r="EC157" s="302"/>
      <c r="ED157" s="302"/>
      <c r="EE157" s="302"/>
      <c r="EF157" s="302"/>
      <c r="EG157" s="302"/>
      <c r="EH157" s="302"/>
      <c r="EI157" s="302"/>
      <c r="EJ157" s="302"/>
      <c r="EK157" s="302"/>
      <c r="EL157" s="303"/>
      <c r="EM157" s="1208"/>
      <c r="EN157" s="1208"/>
      <c r="EO157" s="1208"/>
      <c r="EP157" s="1208"/>
      <c r="EQ157" s="1208"/>
      <c r="ER157" s="1208"/>
      <c r="ES157" s="1208"/>
      <c r="ET157" s="1208"/>
      <c r="EU157" s="1208"/>
      <c r="EV157" s="1208"/>
      <c r="EW157" s="1208"/>
      <c r="EX157" s="1560"/>
      <c r="EY157" s="1208"/>
      <c r="EZ157" s="1208"/>
      <c r="FA157" s="1208"/>
      <c r="FB157" s="1208"/>
      <c r="FC157" s="1208"/>
      <c r="FD157" s="1208"/>
      <c r="FE157" s="1208"/>
      <c r="FF157" s="1208"/>
      <c r="FG157" s="1208"/>
      <c r="FH157" s="1208"/>
      <c r="FI157" s="1208"/>
      <c r="FJ157" s="1560"/>
      <c r="FK157" s="1208"/>
      <c r="FL157" s="1208"/>
      <c r="FM157" s="1208"/>
      <c r="FN157" s="1208"/>
      <c r="FO157" s="1208"/>
      <c r="FP157" s="1208"/>
      <c r="FQ157" s="302"/>
      <c r="FR157" s="302"/>
      <c r="FS157" s="302"/>
      <c r="FT157" s="302"/>
      <c r="FU157" s="302"/>
      <c r="FV157" s="302"/>
      <c r="FW157" s="302"/>
      <c r="FX157" s="302"/>
      <c r="FY157" s="302"/>
      <c r="FZ157" s="302"/>
      <c r="GA157" s="302"/>
      <c r="GB157" s="302"/>
      <c r="GC157" s="302"/>
      <c r="GD157" s="302"/>
      <c r="GE157" s="302"/>
      <c r="GF157" s="302"/>
      <c r="GG157" s="302"/>
      <c r="GH157" s="302"/>
      <c r="GI157" s="302"/>
      <c r="GJ157" s="302"/>
      <c r="GK157" s="302"/>
      <c r="GL157" s="302"/>
      <c r="GM157" s="302"/>
      <c r="GN157" s="302"/>
      <c r="GO157" s="302"/>
      <c r="GP157" s="302"/>
      <c r="GQ157" s="302"/>
      <c r="GR157" s="302"/>
      <c r="GS157" s="302"/>
      <c r="GT157" s="302"/>
      <c r="GU157" s="302"/>
      <c r="GV157" s="302"/>
      <c r="GW157" s="302"/>
      <c r="GX157" s="302"/>
      <c r="GY157" s="302"/>
      <c r="GZ157" s="302"/>
      <c r="HA157" s="302"/>
      <c r="HB157" s="302"/>
      <c r="HC157" s="302"/>
      <c r="HD157" s="302"/>
      <c r="HE157" s="302"/>
      <c r="HF157" s="302"/>
      <c r="HG157" s="302"/>
      <c r="HH157" s="302"/>
      <c r="HI157" s="302"/>
      <c r="HJ157" s="302"/>
      <c r="HK157" s="302"/>
      <c r="HL157" s="302"/>
      <c r="HM157" s="302"/>
      <c r="HX157" s="937"/>
      <c r="KH157" s="303"/>
    </row>
    <row r="158" spans="1:295" outlineLevel="1">
      <c r="CE158" s="840"/>
      <c r="CP158" s="303"/>
      <c r="DC158" s="859"/>
      <c r="EA158" s="302"/>
      <c r="EB158" s="302"/>
      <c r="EC158" s="302"/>
      <c r="ED158" s="302"/>
      <c r="EE158" s="302"/>
      <c r="EF158" s="302"/>
      <c r="EG158" s="302"/>
      <c r="EH158" s="302"/>
      <c r="EI158" s="302"/>
      <c r="EJ158" s="302"/>
      <c r="EK158" s="302"/>
      <c r="EL158" s="303"/>
      <c r="EM158" s="1208"/>
      <c r="EN158" s="1208"/>
      <c r="EO158" s="1208"/>
      <c r="EP158" s="1208"/>
      <c r="EQ158" s="1208"/>
      <c r="ER158" s="1208"/>
      <c r="ES158" s="1208"/>
      <c r="ET158" s="1208"/>
      <c r="EU158" s="1208"/>
      <c r="EV158" s="1208"/>
      <c r="EW158" s="1208"/>
      <c r="EX158" s="1560"/>
      <c r="EY158" s="1208"/>
      <c r="EZ158" s="1208"/>
      <c r="FA158" s="1208"/>
      <c r="FB158" s="1208"/>
      <c r="FC158" s="1208"/>
      <c r="FD158" s="1208"/>
      <c r="FE158" s="1208"/>
      <c r="FF158" s="1208"/>
      <c r="FG158" s="1208"/>
      <c r="FH158" s="1208"/>
      <c r="FI158" s="1208"/>
      <c r="FJ158" s="1560"/>
      <c r="FK158" s="1208"/>
      <c r="FL158" s="1208"/>
      <c r="FM158" s="1208"/>
      <c r="FN158" s="1208"/>
      <c r="FO158" s="1208"/>
      <c r="FP158" s="1208"/>
      <c r="FQ158" s="302"/>
      <c r="FR158" s="302"/>
      <c r="FS158" s="302"/>
      <c r="FT158" s="302"/>
      <c r="FU158" s="302"/>
      <c r="FV158" s="302"/>
      <c r="FW158" s="302"/>
      <c r="FX158" s="302"/>
      <c r="FY158" s="302"/>
      <c r="FZ158" s="302"/>
      <c r="GA158" s="302"/>
      <c r="GB158" s="302"/>
      <c r="GC158" s="302"/>
      <c r="GD158" s="302"/>
      <c r="GE158" s="302"/>
      <c r="GF158" s="302"/>
      <c r="GG158" s="302"/>
      <c r="GH158" s="302"/>
      <c r="GI158" s="302"/>
      <c r="GJ158" s="302"/>
      <c r="GK158" s="302"/>
      <c r="GL158" s="302"/>
      <c r="GM158" s="302"/>
      <c r="GN158" s="302"/>
      <c r="GO158" s="302"/>
      <c r="GP158" s="302"/>
      <c r="GQ158" s="302"/>
      <c r="GR158" s="302"/>
      <c r="GS158" s="302"/>
      <c r="GT158" s="302"/>
      <c r="GU158" s="302"/>
      <c r="GV158" s="302"/>
      <c r="GW158" s="302"/>
      <c r="GX158" s="302"/>
      <c r="GY158" s="302"/>
      <c r="GZ158" s="302"/>
      <c r="HA158" s="302"/>
      <c r="HB158" s="302"/>
      <c r="HC158" s="302"/>
      <c r="HD158" s="302"/>
      <c r="HE158" s="302"/>
      <c r="HF158" s="302"/>
      <c r="HG158" s="302"/>
      <c r="HH158" s="302"/>
      <c r="HI158" s="302"/>
      <c r="HJ158" s="302"/>
      <c r="HK158" s="302"/>
      <c r="HL158" s="302"/>
      <c r="HM158" s="302"/>
      <c r="HX158" s="937"/>
      <c r="KH158" s="303"/>
    </row>
    <row r="159" spans="1:295" outlineLevel="1">
      <c r="A159" s="314" t="s">
        <v>1091</v>
      </c>
      <c r="CE159" s="840"/>
      <c r="CP159" s="303"/>
      <c r="DC159" s="889" t="s">
        <v>1054</v>
      </c>
      <c r="EA159" s="302"/>
      <c r="EB159" s="302"/>
      <c r="EC159" s="302"/>
      <c r="ED159" s="302"/>
      <c r="EE159" s="302"/>
      <c r="EF159" s="302"/>
      <c r="EG159" s="302"/>
      <c r="EH159" s="302"/>
      <c r="EI159" s="302"/>
      <c r="EJ159" s="302"/>
      <c r="EK159" s="302"/>
      <c r="EL159" s="303"/>
      <c r="EM159" s="1208"/>
      <c r="EN159" s="1208"/>
      <c r="EO159" s="1208"/>
      <c r="EP159" s="1208"/>
      <c r="EQ159" s="1208"/>
      <c r="ER159" s="1208"/>
      <c r="ES159" s="1208"/>
      <c r="ET159" s="1208"/>
      <c r="EU159" s="1208"/>
      <c r="EV159" s="1208"/>
      <c r="EW159" s="1208"/>
      <c r="EX159" s="1560"/>
      <c r="EY159" s="1208"/>
      <c r="EZ159" s="1208"/>
      <c r="FA159" s="1208"/>
      <c r="FB159" s="1208"/>
      <c r="FC159" s="1208"/>
      <c r="FD159" s="1208"/>
      <c r="FE159" s="1208"/>
      <c r="FF159" s="1208"/>
      <c r="FG159" s="1208"/>
      <c r="FH159" s="1208"/>
      <c r="FI159" s="1208"/>
      <c r="FJ159" s="1560"/>
      <c r="FK159" s="1208"/>
      <c r="FL159" s="1208"/>
      <c r="FM159" s="1208"/>
      <c r="FN159" s="1208"/>
      <c r="FO159" s="1208"/>
      <c r="FP159" s="1208"/>
      <c r="FQ159" s="302"/>
      <c r="FR159" s="302"/>
      <c r="FS159" s="302"/>
      <c r="FT159" s="302"/>
      <c r="FU159" s="302"/>
      <c r="FV159" s="302"/>
      <c r="FW159" s="302"/>
      <c r="FX159" s="302"/>
      <c r="FY159" s="302"/>
      <c r="FZ159" s="302"/>
      <c r="GA159" s="302"/>
      <c r="GB159" s="302"/>
      <c r="GC159" s="302"/>
      <c r="GD159" s="302"/>
      <c r="GE159" s="302"/>
      <c r="GF159" s="302"/>
      <c r="GG159" s="302"/>
      <c r="GH159" s="302"/>
      <c r="GI159" s="302"/>
      <c r="GJ159" s="302"/>
      <c r="GK159" s="302"/>
      <c r="GL159" s="302"/>
      <c r="GM159" s="302"/>
      <c r="GN159" s="302"/>
      <c r="GO159" s="302"/>
      <c r="GP159" s="302"/>
      <c r="GQ159" s="302"/>
      <c r="GR159" s="302"/>
      <c r="GS159" s="302"/>
      <c r="GT159" s="302"/>
      <c r="GU159" s="302"/>
      <c r="GV159" s="302"/>
      <c r="GW159" s="302"/>
      <c r="GX159" s="302"/>
      <c r="GY159" s="302"/>
      <c r="GZ159" s="302"/>
      <c r="HA159" s="302"/>
      <c r="HB159" s="302"/>
      <c r="HC159" s="302"/>
      <c r="HD159" s="302"/>
      <c r="HE159" s="302"/>
      <c r="HF159" s="302"/>
      <c r="HG159" s="302"/>
      <c r="HH159" s="302"/>
      <c r="HI159" s="302"/>
      <c r="HJ159" s="302"/>
      <c r="HK159" s="302"/>
      <c r="HL159" s="302"/>
      <c r="HM159" s="302"/>
      <c r="HX159" s="937"/>
      <c r="KH159" s="303"/>
    </row>
    <row r="160" spans="1:295" outlineLevel="1">
      <c r="A160" s="117" t="s">
        <v>422</v>
      </c>
      <c r="B160" s="117" t="s">
        <v>361</v>
      </c>
      <c r="D160" s="330" t="s">
        <v>922</v>
      </c>
      <c r="E160" s="316">
        <v>4.2294645100000006</v>
      </c>
      <c r="F160" s="316">
        <v>4.8996133840000002</v>
      </c>
      <c r="G160" s="316">
        <v>9.7399959749999994</v>
      </c>
      <c r="H160" s="316">
        <v>6.2172760779999994</v>
      </c>
      <c r="I160" s="316">
        <v>6.1354526030000001</v>
      </c>
      <c r="J160" s="316">
        <v>12.230258085000001</v>
      </c>
      <c r="K160" s="316">
        <v>5.4072280980000009</v>
      </c>
      <c r="L160" s="316">
        <v>5.3874563320000002</v>
      </c>
      <c r="M160" s="316">
        <v>9.8820755489999996</v>
      </c>
      <c r="N160" s="316">
        <v>6.098156468</v>
      </c>
      <c r="O160" s="316">
        <v>5.7516253129999999</v>
      </c>
      <c r="P160" s="316">
        <v>9.8281953980000019</v>
      </c>
      <c r="Q160" s="316">
        <v>6.7700079609999992</v>
      </c>
      <c r="R160" s="316">
        <v>6.4309500129999995</v>
      </c>
      <c r="S160" s="316">
        <v>11.529762431999998</v>
      </c>
      <c r="T160" s="316">
        <v>9.7888689529999997</v>
      </c>
      <c r="U160" s="316">
        <v>7.5178429510000004</v>
      </c>
      <c r="V160" s="316">
        <v>18.883921619000002</v>
      </c>
      <c r="W160" s="316">
        <v>7.569646455</v>
      </c>
      <c r="X160" s="316">
        <v>7.1868074279999998</v>
      </c>
      <c r="Y160" s="316">
        <v>15.095127883000002</v>
      </c>
      <c r="Z160" s="316">
        <v>9.2166265799999998</v>
      </c>
      <c r="AA160" s="316">
        <v>6.8547035310000011</v>
      </c>
      <c r="AB160" s="316">
        <v>16.229074501000003</v>
      </c>
      <c r="AC160" s="316">
        <v>8.3042479629999999</v>
      </c>
      <c r="AD160" s="316">
        <v>8.0491854429999989</v>
      </c>
      <c r="AE160" s="316">
        <v>15.052722857000001</v>
      </c>
      <c r="AF160" s="316">
        <v>8.5169871340000007</v>
      </c>
      <c r="AG160" s="316">
        <v>9.5217840750000011</v>
      </c>
      <c r="AH160" s="316">
        <v>18.381911766999998</v>
      </c>
      <c r="AI160" s="316">
        <v>8.5048971469999994</v>
      </c>
      <c r="AJ160" s="316">
        <v>8.6459245459999998</v>
      </c>
      <c r="AK160" s="316">
        <v>15.222388947000001</v>
      </c>
      <c r="AL160" s="316">
        <v>8.2623648060000008</v>
      </c>
      <c r="AM160" s="316">
        <v>9.8420651850000009</v>
      </c>
      <c r="AN160" s="316">
        <v>18.109119675000006</v>
      </c>
      <c r="AO160" s="316">
        <v>9.7578769340000004</v>
      </c>
      <c r="AP160" s="316">
        <v>9.7868244540000013</v>
      </c>
      <c r="AQ160" s="316">
        <v>23.607182408</v>
      </c>
      <c r="AR160" s="316">
        <v>10.657288685999999</v>
      </c>
      <c r="AS160" s="316">
        <v>10.542774072000002</v>
      </c>
      <c r="AT160" s="316">
        <v>15.986539382</v>
      </c>
      <c r="AU160" s="316">
        <v>10.829729145</v>
      </c>
      <c r="AV160" s="316">
        <v>12.056808341</v>
      </c>
      <c r="AW160" s="316">
        <v>16.481190326</v>
      </c>
      <c r="AX160" s="316">
        <v>11.344940942999999</v>
      </c>
      <c r="AY160" s="316">
        <v>11.473544571</v>
      </c>
      <c r="AZ160" s="316">
        <v>19.751283788000002</v>
      </c>
      <c r="BA160" s="316">
        <v>12.880602072</v>
      </c>
      <c r="BB160" s="316">
        <v>10.114053416999999</v>
      </c>
      <c r="BC160" s="316">
        <v>25.941078118</v>
      </c>
      <c r="BD160" s="316">
        <v>13.154150875999999</v>
      </c>
      <c r="BE160" s="316">
        <v>15.050464946000002</v>
      </c>
      <c r="BF160" s="316">
        <v>20.853087231</v>
      </c>
      <c r="BG160" s="316">
        <v>11.609183778999999</v>
      </c>
      <c r="BH160" s="316">
        <v>13.507036456</v>
      </c>
      <c r="BI160" s="316">
        <v>20.074062687000001</v>
      </c>
      <c r="BJ160" s="316">
        <v>15.577315377</v>
      </c>
      <c r="BK160" s="316">
        <v>15.338265863</v>
      </c>
      <c r="BL160" s="316">
        <v>23.573173837999995</v>
      </c>
      <c r="BM160" s="316">
        <v>15.859664524999998</v>
      </c>
      <c r="BN160" s="316">
        <v>15.158597951999999</v>
      </c>
      <c r="BO160" s="316">
        <v>30.061221915999997</v>
      </c>
      <c r="BP160" s="316">
        <v>17.535218137000005</v>
      </c>
      <c r="BQ160" s="316">
        <v>24.180086335999999</v>
      </c>
      <c r="BR160" s="316">
        <v>25.981817431999996</v>
      </c>
      <c r="BS160" s="316">
        <v>14.882583724</v>
      </c>
      <c r="BT160" s="316">
        <v>17.435429829</v>
      </c>
      <c r="BU160" s="316">
        <v>23.643849802999998</v>
      </c>
      <c r="BV160" s="316">
        <v>20.085137107999998</v>
      </c>
      <c r="BW160" s="316">
        <v>19.032810089000002</v>
      </c>
      <c r="BX160" s="316">
        <v>25.844017297000001</v>
      </c>
      <c r="BY160" s="316">
        <v>18.816471498000002</v>
      </c>
      <c r="BZ160" s="316">
        <v>22.563897915999998</v>
      </c>
      <c r="CA160" s="316">
        <v>40.967232714000005</v>
      </c>
      <c r="CB160" s="316">
        <v>21.093378254000001</v>
      </c>
      <c r="CC160" s="316">
        <v>21.295209594000003</v>
      </c>
      <c r="CD160" s="316"/>
      <c r="CE160" s="317"/>
      <c r="CF160" s="316"/>
      <c r="CG160" s="316"/>
      <c r="CH160" s="316"/>
      <c r="CI160" s="316"/>
      <c r="CJ160" s="316"/>
      <c r="CK160" s="316"/>
      <c r="CL160" s="316"/>
      <c r="CM160" s="316"/>
      <c r="CN160" s="316"/>
      <c r="CO160" s="316"/>
      <c r="CP160" s="318"/>
      <c r="CQ160" s="316"/>
      <c r="CR160" s="316"/>
      <c r="CS160" s="316"/>
      <c r="CT160" s="316"/>
      <c r="CU160" s="316"/>
      <c r="CV160" s="316"/>
      <c r="CW160" s="316"/>
      <c r="CX160" s="316"/>
      <c r="CY160" s="316"/>
      <c r="CZ160" s="316"/>
      <c r="DA160" s="316"/>
      <c r="DB160" s="1498"/>
      <c r="DC160" s="883">
        <v>42186</v>
      </c>
      <c r="DD160" s="883">
        <v>42217</v>
      </c>
      <c r="DE160" s="883">
        <v>42248</v>
      </c>
      <c r="DF160" s="883">
        <v>42278</v>
      </c>
      <c r="DG160" s="883">
        <v>42309</v>
      </c>
      <c r="DH160" s="883">
        <v>42339</v>
      </c>
      <c r="DI160" s="883">
        <v>42370</v>
      </c>
      <c r="DJ160" s="883">
        <v>42401</v>
      </c>
      <c r="DK160" s="883">
        <v>42430</v>
      </c>
      <c r="DL160" s="883">
        <v>42461</v>
      </c>
      <c r="DM160" s="883">
        <v>42491</v>
      </c>
      <c r="DN160" s="928">
        <v>42522</v>
      </c>
      <c r="DO160" s="883">
        <v>42552</v>
      </c>
      <c r="DP160" s="883">
        <v>42583</v>
      </c>
      <c r="DQ160" s="883">
        <v>42614</v>
      </c>
      <c r="DR160" s="883">
        <v>42644</v>
      </c>
      <c r="DS160" s="883">
        <v>42675</v>
      </c>
      <c r="DT160" s="883">
        <v>42705</v>
      </c>
      <c r="DU160" s="883">
        <v>42736</v>
      </c>
      <c r="DV160" s="883">
        <v>42767</v>
      </c>
      <c r="DW160" s="883">
        <v>42795</v>
      </c>
      <c r="DX160" s="883">
        <v>42826</v>
      </c>
      <c r="DY160" s="883">
        <v>42856</v>
      </c>
      <c r="DZ160" s="928">
        <v>42887</v>
      </c>
      <c r="EA160" s="883">
        <v>42917</v>
      </c>
      <c r="EB160" s="883">
        <v>42948</v>
      </c>
      <c r="EC160" s="883">
        <v>42979</v>
      </c>
      <c r="ED160" s="883">
        <v>43009</v>
      </c>
      <c r="EE160" s="883">
        <v>43040</v>
      </c>
      <c r="EF160" s="883">
        <v>43070</v>
      </c>
      <c r="EG160" s="883">
        <v>43101</v>
      </c>
      <c r="EH160" s="883">
        <v>43132</v>
      </c>
      <c r="EI160" s="883">
        <v>43160</v>
      </c>
      <c r="EJ160" s="883">
        <v>43191</v>
      </c>
      <c r="EK160" s="883">
        <v>43221</v>
      </c>
      <c r="EL160" s="928">
        <v>43252</v>
      </c>
      <c r="EM160" s="1205">
        <v>43282</v>
      </c>
      <c r="EN160" s="1205">
        <v>43313</v>
      </c>
      <c r="EO160" s="1205">
        <v>43344</v>
      </c>
      <c r="EP160" s="1205">
        <v>43374</v>
      </c>
      <c r="EQ160" s="1205">
        <v>43405</v>
      </c>
      <c r="ER160" s="1205">
        <v>43435</v>
      </c>
      <c r="ES160" s="1205">
        <v>43466</v>
      </c>
      <c r="ET160" s="1205">
        <v>43497</v>
      </c>
      <c r="EU160" s="1205">
        <v>43525</v>
      </c>
      <c r="EV160" s="1205">
        <v>43556</v>
      </c>
      <c r="EW160" s="1205">
        <v>43586</v>
      </c>
      <c r="EX160" s="1558">
        <v>43617</v>
      </c>
      <c r="EY160" s="1205">
        <v>43647</v>
      </c>
      <c r="EZ160" s="1205">
        <v>43678</v>
      </c>
      <c r="FA160" s="1205">
        <v>43709</v>
      </c>
      <c r="FB160" s="1205">
        <v>43739</v>
      </c>
      <c r="FC160" s="1205">
        <v>43770</v>
      </c>
      <c r="FD160" s="1205">
        <v>43800</v>
      </c>
      <c r="FE160" s="1205">
        <v>43831</v>
      </c>
      <c r="FF160" s="1205">
        <v>43862</v>
      </c>
      <c r="FG160" s="1205">
        <v>43891</v>
      </c>
      <c r="FH160" s="1205">
        <v>43922</v>
      </c>
      <c r="FI160" s="1205">
        <v>43952</v>
      </c>
      <c r="FJ160" s="1558">
        <v>43983</v>
      </c>
      <c r="FK160" s="1205">
        <v>44013</v>
      </c>
      <c r="FL160" s="1205">
        <v>44044</v>
      </c>
      <c r="FM160" s="1205">
        <v>44075</v>
      </c>
      <c r="FN160" s="1205">
        <v>44105</v>
      </c>
      <c r="FO160" s="1205">
        <v>44136</v>
      </c>
      <c r="FP160" s="1205">
        <v>44166</v>
      </c>
      <c r="FQ160" s="883"/>
      <c r="FR160" s="883"/>
      <c r="FS160" s="883"/>
      <c r="FT160" s="883"/>
      <c r="FU160" s="883"/>
      <c r="FV160" s="883"/>
      <c r="FW160" s="883"/>
      <c r="FX160" s="883"/>
      <c r="FY160" s="883"/>
      <c r="FZ160" s="883"/>
      <c r="GA160" s="883"/>
      <c r="GB160" s="883"/>
      <c r="GC160" s="883"/>
      <c r="GD160" s="883"/>
      <c r="GE160" s="883"/>
      <c r="GF160" s="883"/>
      <c r="GG160" s="883"/>
      <c r="GH160" s="883"/>
      <c r="GI160" s="883"/>
      <c r="GJ160" s="883"/>
      <c r="GK160" s="883"/>
      <c r="GL160" s="883"/>
      <c r="GM160" s="883"/>
      <c r="GN160" s="883"/>
      <c r="GO160" s="883"/>
      <c r="GP160" s="883"/>
      <c r="GQ160" s="883"/>
      <c r="GR160" s="883"/>
      <c r="GS160" s="883"/>
      <c r="GT160" s="883"/>
      <c r="GU160" s="883"/>
      <c r="GV160" s="883"/>
      <c r="GW160" s="883"/>
      <c r="GX160" s="883"/>
      <c r="GY160" s="883"/>
      <c r="GZ160" s="883"/>
      <c r="HA160" s="883"/>
      <c r="HB160" s="883"/>
      <c r="HC160" s="883"/>
      <c r="HD160" s="883"/>
      <c r="HE160" s="883"/>
      <c r="HF160" s="883"/>
      <c r="HG160" s="883"/>
      <c r="HH160" s="883"/>
      <c r="HI160" s="883"/>
      <c r="HJ160" s="883"/>
      <c r="HK160" s="883"/>
      <c r="HL160" s="883"/>
      <c r="HM160" s="883"/>
      <c r="HX160" s="937"/>
      <c r="KH160" s="303"/>
    </row>
    <row r="161" spans="2:294" outlineLevel="1">
      <c r="B161" s="117" t="s">
        <v>361</v>
      </c>
      <c r="D161" s="331" t="s">
        <v>423</v>
      </c>
      <c r="E161" s="316">
        <v>4.1885739100000006</v>
      </c>
      <c r="F161" s="316">
        <v>4.7628002130000002</v>
      </c>
      <c r="G161" s="316">
        <v>9.1072848749999995</v>
      </c>
      <c r="H161" s="316">
        <v>6.1734750739999997</v>
      </c>
      <c r="I161" s="316">
        <v>6.1239712580000001</v>
      </c>
      <c r="J161" s="316">
        <v>12.134997212</v>
      </c>
      <c r="K161" s="316">
        <v>5.3946934920000009</v>
      </c>
      <c r="L161" s="316">
        <v>5.3770017880000003</v>
      </c>
      <c r="M161" s="316">
        <v>9.8729579839999992</v>
      </c>
      <c r="N161" s="316">
        <v>6.0868095469999997</v>
      </c>
      <c r="O161" s="316">
        <v>5.739648968</v>
      </c>
      <c r="P161" s="316">
        <v>9.8183312950000019</v>
      </c>
      <c r="Q161" s="316">
        <v>6.6978376849999997</v>
      </c>
      <c r="R161" s="316">
        <v>6.2681305199999997</v>
      </c>
      <c r="S161" s="316">
        <v>10.811106841999999</v>
      </c>
      <c r="T161" s="316">
        <v>9.761725822999999</v>
      </c>
      <c r="U161" s="316">
        <v>7.4935730190000003</v>
      </c>
      <c r="V161" s="316">
        <v>18.858052447000002</v>
      </c>
      <c r="W161" s="316">
        <v>7.552260081</v>
      </c>
      <c r="X161" s="316">
        <v>7.1727235059999996</v>
      </c>
      <c r="Y161" s="316">
        <v>15.081394706000001</v>
      </c>
      <c r="Z161" s="316">
        <v>9.2040806629999992</v>
      </c>
      <c r="AA161" s="316">
        <v>6.8474775600000006</v>
      </c>
      <c r="AB161" s="316">
        <v>16.217531188000002</v>
      </c>
      <c r="AC161" s="316">
        <v>8.2346705040000003</v>
      </c>
      <c r="AD161" s="316">
        <v>7.8944755859999995</v>
      </c>
      <c r="AE161" s="316">
        <v>14.293892228000001</v>
      </c>
      <c r="AF161" s="316">
        <v>8.4321336430000002</v>
      </c>
      <c r="AG161" s="316">
        <v>9.4982255340000012</v>
      </c>
      <c r="AH161" s="316">
        <v>18.362463947999998</v>
      </c>
      <c r="AI161" s="316">
        <v>8.4833056659999997</v>
      </c>
      <c r="AJ161" s="316">
        <v>8.6298012560000004</v>
      </c>
      <c r="AK161" s="316">
        <v>15.209515641000001</v>
      </c>
      <c r="AL161" s="316">
        <v>8.2513591020000003</v>
      </c>
      <c r="AM161" s="316">
        <v>9.8357845400000006</v>
      </c>
      <c r="AN161" s="316">
        <v>18.092613754000006</v>
      </c>
      <c r="AO161" s="316">
        <v>9.6672658830000007</v>
      </c>
      <c r="AP161" s="316">
        <v>9.5951612950000005</v>
      </c>
      <c r="AQ161" s="316">
        <v>22.212259614000001</v>
      </c>
      <c r="AR161" s="316">
        <v>10.554274784999999</v>
      </c>
      <c r="AS161" s="316">
        <v>10.472379917000001</v>
      </c>
      <c r="AT161" s="316">
        <v>15.907487035000001</v>
      </c>
      <c r="AU161" s="316">
        <v>10.712714971</v>
      </c>
      <c r="AV161" s="316">
        <v>11.907826649</v>
      </c>
      <c r="AW161" s="316">
        <v>16.369017470999999</v>
      </c>
      <c r="AX161" s="316">
        <v>11.224300194</v>
      </c>
      <c r="AY161" s="316">
        <v>11.327781179</v>
      </c>
      <c r="AZ161" s="316">
        <v>19.616716804000003</v>
      </c>
      <c r="BA161" s="316">
        <v>12.76218089</v>
      </c>
      <c r="BB161" s="316">
        <v>9.9744005779999991</v>
      </c>
      <c r="BC161" s="316">
        <v>25.745802505</v>
      </c>
      <c r="BD161" s="316">
        <v>13.003590142999998</v>
      </c>
      <c r="BE161" s="316">
        <v>14.886477643000001</v>
      </c>
      <c r="BF161" s="316">
        <v>20.680633872000001</v>
      </c>
      <c r="BG161" s="316">
        <v>11.427994053999999</v>
      </c>
      <c r="BH161" s="316">
        <v>13.314561487000001</v>
      </c>
      <c r="BI161" s="316">
        <v>19.844627442</v>
      </c>
      <c r="BJ161" s="316">
        <v>15.3982291</v>
      </c>
      <c r="BK161" s="316">
        <v>15.088037720000001</v>
      </c>
      <c r="BL161" s="316">
        <v>23.268326791999996</v>
      </c>
      <c r="BM161" s="316">
        <v>15.621224069999998</v>
      </c>
      <c r="BN161" s="316">
        <v>14.865847580999999</v>
      </c>
      <c r="BO161" s="316">
        <v>29.784358047999998</v>
      </c>
      <c r="BP161" s="316">
        <v>17.331143884000003</v>
      </c>
      <c r="BQ161" s="316">
        <v>23.855303759999998</v>
      </c>
      <c r="BR161" s="316">
        <v>25.729734941999997</v>
      </c>
      <c r="BS161" s="316">
        <v>14.581789840999999</v>
      </c>
      <c r="BT161" s="316">
        <v>17.114345720999999</v>
      </c>
      <c r="BU161" s="316">
        <v>23.345603987999997</v>
      </c>
      <c r="BV161" s="316">
        <v>19.813823985999999</v>
      </c>
      <c r="BW161" s="316">
        <v>18.787453961000001</v>
      </c>
      <c r="BX161" s="316">
        <v>25.636609159999999</v>
      </c>
      <c r="BY161" s="316">
        <v>18.612954495</v>
      </c>
      <c r="BZ161" s="316">
        <v>22.385176029</v>
      </c>
      <c r="CA161" s="316">
        <v>40.784992509000006</v>
      </c>
      <c r="CB161" s="316">
        <v>20.940251292999999</v>
      </c>
      <c r="CC161" s="316">
        <v>21.124388831000005</v>
      </c>
      <c r="CD161" s="316">
        <v>36.377935814000004</v>
      </c>
      <c r="CE161" s="317">
        <v>19.243223158000003</v>
      </c>
      <c r="CF161" s="316">
        <v>21.131821452999997</v>
      </c>
      <c r="CG161" s="316">
        <v>30.692373311000001</v>
      </c>
      <c r="CH161" s="316">
        <v>21.529209563000002</v>
      </c>
      <c r="CI161" s="316">
        <v>20.612307720999997</v>
      </c>
      <c r="CJ161" s="316">
        <v>36.108084553999994</v>
      </c>
      <c r="CK161" s="316">
        <v>22.963157741</v>
      </c>
      <c r="CL161" s="316">
        <v>22.570024158000003</v>
      </c>
      <c r="CM161" s="316">
        <v>30.981665009</v>
      </c>
      <c r="CN161" s="316">
        <v>22.71248851</v>
      </c>
      <c r="CO161" s="316">
        <v>22.337369929999998</v>
      </c>
      <c r="CP161" s="318">
        <v>40.750513335999997</v>
      </c>
      <c r="CQ161" s="316">
        <v>23.704446707999999</v>
      </c>
      <c r="CR161" s="316">
        <v>22.889832446</v>
      </c>
      <c r="CS161" s="316">
        <v>35.721352616000004</v>
      </c>
      <c r="CT161" s="316">
        <v>23.028986442000001</v>
      </c>
      <c r="CU161" s="316">
        <v>20.431042698000002</v>
      </c>
      <c r="CV161" s="316">
        <v>40.577117606999998</v>
      </c>
      <c r="CW161" s="316">
        <v>26.016992691999999</v>
      </c>
      <c r="CX161" s="316">
        <v>21.560036044</v>
      </c>
      <c r="CY161" s="316">
        <v>47.081547169000004</v>
      </c>
      <c r="CZ161" s="316">
        <v>31.579407516</v>
      </c>
      <c r="DA161" s="316">
        <v>26.762229838000003</v>
      </c>
      <c r="DB161" s="1498">
        <v>43.318694478999994</v>
      </c>
      <c r="DC161" s="636">
        <v>25.006419588440469</v>
      </c>
      <c r="DD161" s="636">
        <v>23.531704517147023</v>
      </c>
      <c r="DE161" s="636">
        <v>36.787989456738096</v>
      </c>
      <c r="DF161" s="636">
        <v>28.269232610635683</v>
      </c>
      <c r="DG161" s="636">
        <v>24.803704839291761</v>
      </c>
      <c r="DH161" s="636">
        <v>38.509946861357726</v>
      </c>
      <c r="DI161" s="636">
        <v>29.609599128691674</v>
      </c>
      <c r="DJ161" s="636">
        <v>26.043037594461598</v>
      </c>
      <c r="DK161" s="636">
        <v>53.035923982076305</v>
      </c>
      <c r="DL161" s="636">
        <v>28.367753481383083</v>
      </c>
      <c r="DM161" s="636">
        <v>29.13950953333271</v>
      </c>
      <c r="DN161" s="653">
        <v>49.412378710587262</v>
      </c>
      <c r="DO161" s="636">
        <v>23.743466905000002</v>
      </c>
      <c r="DP161" s="636">
        <v>32.193167520000003</v>
      </c>
      <c r="DQ161" s="636">
        <v>42.081775209</v>
      </c>
      <c r="DR161" s="636">
        <v>29.353884998000002</v>
      </c>
      <c r="DS161" s="636">
        <v>28.547962034779999</v>
      </c>
      <c r="DT161" s="636">
        <v>50.341572139627274</v>
      </c>
      <c r="DU161" s="636">
        <v>33.667779132999996</v>
      </c>
      <c r="DV161" s="636">
        <v>28.156573743000003</v>
      </c>
      <c r="DW161" s="636">
        <v>60.572035305510006</v>
      </c>
      <c r="DX161" s="636">
        <v>29.686754633999996</v>
      </c>
      <c r="DY161" s="636">
        <v>34.30162232</v>
      </c>
      <c r="DZ161" s="653">
        <v>58.296360038000003</v>
      </c>
      <c r="EA161" s="636">
        <v>28.4832805934</v>
      </c>
      <c r="EB161" s="636">
        <v>34.580234001000008</v>
      </c>
      <c r="EC161" s="636">
        <v>46.431744597999995</v>
      </c>
      <c r="ED161" s="636">
        <v>36.118246609319996</v>
      </c>
      <c r="EE161" s="636">
        <v>34.491719248000003</v>
      </c>
      <c r="EF161" s="636">
        <v>55.323172967000005</v>
      </c>
      <c r="EG161" s="636">
        <v>43.043883354000002</v>
      </c>
      <c r="EH161" s="636">
        <v>30.779251099</v>
      </c>
      <c r="EI161" s="636">
        <v>62.996321783200003</v>
      </c>
      <c r="EJ161" s="636">
        <v>48.140421232400001</v>
      </c>
      <c r="EK161" s="636">
        <v>34.620254085619997</v>
      </c>
      <c r="EL161" s="653">
        <v>64.855257393540001</v>
      </c>
      <c r="EM161" s="1209">
        <v>33.071370635520005</v>
      </c>
      <c r="EN161" s="1209">
        <v>38.928484392970006</v>
      </c>
      <c r="EO161" s="1209">
        <v>53.497094041799997</v>
      </c>
      <c r="EP161" s="1209">
        <v>43.786629409279996</v>
      </c>
      <c r="EQ161" s="1209">
        <v>37.540082679780006</v>
      </c>
      <c r="ER161" s="1209">
        <v>65.051535948490042</v>
      </c>
      <c r="ES161" s="1209">
        <v>45.658156415219878</v>
      </c>
      <c r="ET161" s="1209">
        <v>38.865142308739998</v>
      </c>
      <c r="EU161" s="1209">
        <v>57.044288252640001</v>
      </c>
      <c r="EV161" s="1209">
        <v>59.315399532999997</v>
      </c>
      <c r="EW161" s="1209">
        <v>45.94424322350001</v>
      </c>
      <c r="EX161" s="1539">
        <v>79.012181449000039</v>
      </c>
      <c r="EY161" s="1209"/>
      <c r="EZ161" s="1209"/>
      <c r="FA161" s="1209"/>
      <c r="FB161" s="1209"/>
      <c r="FC161" s="1209"/>
      <c r="FD161" s="1209"/>
      <c r="FE161" s="1209"/>
      <c r="FF161" s="1209"/>
      <c r="FG161" s="1209"/>
      <c r="FH161" s="1209"/>
      <c r="FI161" s="1209"/>
      <c r="FJ161" s="1539"/>
      <c r="FK161" s="1209"/>
      <c r="FL161" s="1209"/>
      <c r="FM161" s="1209"/>
      <c r="FN161" s="1209"/>
      <c r="FO161" s="1209"/>
      <c r="FP161" s="1209"/>
      <c r="FQ161" s="636"/>
      <c r="FR161" s="636"/>
      <c r="FS161" s="636"/>
      <c r="FT161" s="636"/>
      <c r="FU161" s="636"/>
      <c r="FV161" s="636"/>
      <c r="FW161" s="636"/>
      <c r="FX161" s="636"/>
      <c r="FY161" s="636"/>
      <c r="FZ161" s="636"/>
      <c r="GA161" s="636"/>
      <c r="GB161" s="636"/>
      <c r="GC161" s="636"/>
      <c r="GD161" s="636"/>
      <c r="GE161" s="636"/>
      <c r="GF161" s="636"/>
      <c r="GG161" s="636"/>
      <c r="GH161" s="636"/>
      <c r="GI161" s="636"/>
      <c r="GJ161" s="636"/>
      <c r="GK161" s="636"/>
      <c r="GL161" s="636"/>
      <c r="GM161" s="636"/>
      <c r="GN161" s="636"/>
      <c r="GO161" s="636"/>
      <c r="GP161" s="636"/>
      <c r="GQ161" s="636"/>
      <c r="GR161" s="636"/>
      <c r="GS161" s="636"/>
      <c r="GT161" s="636"/>
      <c r="GU161" s="636"/>
      <c r="GV161" s="636"/>
      <c r="GW161" s="636"/>
      <c r="GX161" s="636"/>
      <c r="GY161" s="636"/>
      <c r="GZ161" s="636"/>
      <c r="HA161" s="636"/>
      <c r="HB161" s="636"/>
      <c r="HC161" s="636"/>
      <c r="HD161" s="636"/>
      <c r="HE161" s="636"/>
      <c r="HF161" s="636"/>
      <c r="HG161" s="636"/>
      <c r="HH161" s="636"/>
      <c r="HI161" s="636"/>
      <c r="HJ161" s="636"/>
      <c r="HK161" s="636"/>
      <c r="HL161" s="636"/>
      <c r="HM161" s="636"/>
      <c r="HV161" s="637">
        <f t="shared" ref="HV161:HV173" si="29">+SUM(DC161:DH161)</f>
        <v>176.90899787361076</v>
      </c>
      <c r="HW161" s="637">
        <f t="shared" ref="HW161:HW173" si="30">+SUM(DI161:DN161)</f>
        <v>215.60820243053263</v>
      </c>
      <c r="HX161" s="346">
        <f>HV161+HW161</f>
        <v>392.51720030414339</v>
      </c>
      <c r="HY161" s="302">
        <f t="shared" ref="HY161:HY171" si="31">SUM(DO161:DT161)</f>
        <v>206.26182880640727</v>
      </c>
      <c r="KH161" s="303"/>
    </row>
    <row r="162" spans="2:294" outlineLevel="1">
      <c r="B162" s="117" t="s">
        <v>361</v>
      </c>
      <c r="D162" s="332" t="s">
        <v>424</v>
      </c>
      <c r="E162" s="316">
        <v>0.96798338499999992</v>
      </c>
      <c r="F162" s="316">
        <v>1.3010256010000001</v>
      </c>
      <c r="G162" s="316">
        <v>4.3449934090000006</v>
      </c>
      <c r="H162" s="316">
        <v>1.680346235</v>
      </c>
      <c r="I162" s="316">
        <v>1.9096175099999999</v>
      </c>
      <c r="J162" s="316">
        <v>7.3776212599999997</v>
      </c>
      <c r="K162" s="316">
        <v>1.161764716</v>
      </c>
      <c r="L162" s="316">
        <v>1.0405866239999999</v>
      </c>
      <c r="M162" s="316">
        <v>4.9386333599999999</v>
      </c>
      <c r="N162" s="316">
        <v>1.257958296</v>
      </c>
      <c r="O162" s="316">
        <v>1.0394633180000001</v>
      </c>
      <c r="P162" s="316">
        <v>5.020583265</v>
      </c>
      <c r="Q162" s="316">
        <v>1.3968477979999998</v>
      </c>
      <c r="R162" s="316">
        <v>1.250493783</v>
      </c>
      <c r="S162" s="316">
        <v>5.393836329</v>
      </c>
      <c r="T162" s="316">
        <v>4.5351354480000001</v>
      </c>
      <c r="U162" s="316">
        <v>1.5762245830000001</v>
      </c>
      <c r="V162" s="316">
        <v>13.165078251000001</v>
      </c>
      <c r="W162" s="316">
        <v>1.8585596359999998</v>
      </c>
      <c r="X162" s="316">
        <v>1.4746911919999999</v>
      </c>
      <c r="Y162" s="316">
        <v>8.6881567160000017</v>
      </c>
      <c r="Z162" s="316">
        <v>2.5497951850000002</v>
      </c>
      <c r="AA162" s="316">
        <v>1.404279914</v>
      </c>
      <c r="AB162" s="316">
        <v>7.938461331000001</v>
      </c>
      <c r="AC162" s="316">
        <v>1.6771892350000002</v>
      </c>
      <c r="AD162" s="316">
        <v>1.54331822</v>
      </c>
      <c r="AE162" s="316"/>
      <c r="AF162" s="316"/>
      <c r="AG162" s="316"/>
      <c r="AH162" s="316"/>
      <c r="AI162" s="316"/>
      <c r="AJ162" s="316"/>
      <c r="AK162" s="316"/>
      <c r="AL162" s="316"/>
      <c r="AM162" s="316"/>
      <c r="AN162" s="316"/>
      <c r="AO162" s="316">
        <v>1.532251056</v>
      </c>
      <c r="AP162" s="316">
        <v>1.2343037079999999</v>
      </c>
      <c r="AQ162" s="316">
        <v>12.357628812</v>
      </c>
      <c r="AR162" s="316">
        <v>1.4597143100000001</v>
      </c>
      <c r="AS162" s="316">
        <v>1.5847769709999999</v>
      </c>
      <c r="AT162" s="316">
        <v>6.3686186259999991</v>
      </c>
      <c r="AU162" s="316">
        <v>1.798800478</v>
      </c>
      <c r="AV162" s="316">
        <v>1.685738092</v>
      </c>
      <c r="AW162" s="316">
        <v>6.7986109399999988</v>
      </c>
      <c r="AX162" s="316">
        <v>1.8830661269999998</v>
      </c>
      <c r="AY162" s="316">
        <v>1.9576279029999999</v>
      </c>
      <c r="AZ162" s="316">
        <v>7.4932501929999997</v>
      </c>
      <c r="BA162" s="316">
        <v>1.8242918539999999</v>
      </c>
      <c r="BB162" s="316">
        <v>1.7055479770000002</v>
      </c>
      <c r="BC162" s="316">
        <v>14.214963267999998</v>
      </c>
      <c r="BD162" s="316">
        <v>1.7689021210000002</v>
      </c>
      <c r="BE162" s="316">
        <v>2.9488019620000001</v>
      </c>
      <c r="BF162" s="316">
        <v>8.4836606129999996</v>
      </c>
      <c r="BG162" s="316">
        <v>1.709241316</v>
      </c>
      <c r="BH162" s="316">
        <v>1.3945700780000001</v>
      </c>
      <c r="BI162" s="316">
        <v>7.3211273029999999</v>
      </c>
      <c r="BJ162" s="316">
        <v>2.1750603470000001</v>
      </c>
      <c r="BK162" s="316">
        <v>2.4617616579999999</v>
      </c>
      <c r="BL162" s="316">
        <v>8.125564820000001</v>
      </c>
      <c r="BM162" s="316">
        <v>2.820149088</v>
      </c>
      <c r="BN162" s="316">
        <v>1.8371250570000002</v>
      </c>
      <c r="BO162" s="316">
        <v>13.663094474999998</v>
      </c>
      <c r="BP162" s="316">
        <v>2.4972187780000001</v>
      </c>
      <c r="BQ162" s="316">
        <v>1.979468588</v>
      </c>
      <c r="BR162" s="316">
        <v>8.4323460669999992</v>
      </c>
      <c r="BS162" s="316">
        <v>2.2343106340000003</v>
      </c>
      <c r="BT162" s="316">
        <v>0.99463833099999999</v>
      </c>
      <c r="BU162" s="316">
        <v>8.7533185019999991</v>
      </c>
      <c r="BV162" s="316">
        <v>2.0125353090000004</v>
      </c>
      <c r="BW162" s="316">
        <v>1.6579499449999999</v>
      </c>
      <c r="BX162" s="316">
        <v>9.0199974889999996</v>
      </c>
      <c r="BY162" s="316">
        <v>2.2229709089999998</v>
      </c>
      <c r="BZ162" s="316">
        <v>2.090625272</v>
      </c>
      <c r="CA162" s="316">
        <v>20.693065920000002</v>
      </c>
      <c r="CB162" s="316">
        <v>2.29425027</v>
      </c>
      <c r="CC162" s="316">
        <v>3.9296144220000002</v>
      </c>
      <c r="CD162" s="316">
        <v>36.204875016000003</v>
      </c>
      <c r="CE162" s="317">
        <v>19.053780704000001</v>
      </c>
      <c r="CF162" s="316">
        <v>20.970247012999998</v>
      </c>
      <c r="CG162" s="316">
        <v>30.512595842</v>
      </c>
      <c r="CH162" s="316">
        <v>21.379187958000003</v>
      </c>
      <c r="CI162" s="316">
        <v>20.551944929999998</v>
      </c>
      <c r="CJ162" s="316">
        <v>36.067412059999995</v>
      </c>
      <c r="CK162" s="316">
        <v>22.915686981</v>
      </c>
      <c r="CL162" s="316">
        <v>22.530937426000001</v>
      </c>
      <c r="CM162" s="316">
        <v>30.937481905999999</v>
      </c>
      <c r="CN162" s="316">
        <v>22.657551507000001</v>
      </c>
      <c r="CO162" s="316">
        <v>22.288515890999999</v>
      </c>
      <c r="CP162" s="318">
        <v>40.700736186</v>
      </c>
      <c r="CQ162" s="316">
        <v>23.533936652999998</v>
      </c>
      <c r="CR162" s="316">
        <v>22.706783291000001</v>
      </c>
      <c r="CS162" s="316">
        <v>35.511136966000002</v>
      </c>
      <c r="CT162" s="316">
        <v>22.813781834</v>
      </c>
      <c r="CU162" s="316">
        <v>20.222487128000001</v>
      </c>
      <c r="CV162" s="316">
        <v>40.387279321000001</v>
      </c>
      <c r="CW162" s="316">
        <v>25.80106455</v>
      </c>
      <c r="CX162" s="316">
        <v>21.36545594</v>
      </c>
      <c r="CY162" s="316">
        <v>46.834469512000005</v>
      </c>
      <c r="CZ162" s="316">
        <v>31.342317589</v>
      </c>
      <c r="DA162" s="316">
        <v>26.531293316000003</v>
      </c>
      <c r="DB162" s="1498">
        <v>43.009385498999997</v>
      </c>
      <c r="DC162" s="636">
        <v>25.006419588440469</v>
      </c>
      <c r="DD162" s="636">
        <v>23.531704517147023</v>
      </c>
      <c r="DE162" s="636">
        <v>36.787989456738096</v>
      </c>
      <c r="DF162" s="636">
        <v>28.269232610635683</v>
      </c>
      <c r="DG162" s="636">
        <v>24.803704839291761</v>
      </c>
      <c r="DH162" s="636">
        <v>38.509946861357726</v>
      </c>
      <c r="DI162" s="636">
        <v>29.609599128691674</v>
      </c>
      <c r="DJ162" s="636">
        <v>26.043037594461598</v>
      </c>
      <c r="DK162" s="636">
        <v>53.035923982076305</v>
      </c>
      <c r="DL162" s="636">
        <v>28.367753481383083</v>
      </c>
      <c r="DM162" s="636">
        <v>29.13950953333271</v>
      </c>
      <c r="DN162" s="653">
        <v>49.412378710587262</v>
      </c>
      <c r="DO162" s="636">
        <v>23.510623373000001</v>
      </c>
      <c r="DP162" s="636">
        <v>31.91844219</v>
      </c>
      <c r="DQ162" s="636">
        <v>41.868098431</v>
      </c>
      <c r="DR162" s="636">
        <v>29.195907300000002</v>
      </c>
      <c r="DS162" s="636">
        <v>28.415249514199999</v>
      </c>
      <c r="DT162" s="636">
        <v>50.182877013627277</v>
      </c>
      <c r="DU162" s="636">
        <v>33.446248234999999</v>
      </c>
      <c r="DV162" s="636">
        <v>27.923800132000004</v>
      </c>
      <c r="DW162" s="636">
        <v>60.329448309510006</v>
      </c>
      <c r="DX162" s="636">
        <v>29.460041089999997</v>
      </c>
      <c r="DY162" s="636">
        <v>34.014525376999998</v>
      </c>
      <c r="DZ162" s="653">
        <v>58.04643884</v>
      </c>
      <c r="EA162" s="636">
        <v>28.247200193400001</v>
      </c>
      <c r="EB162" s="636">
        <v>34.391667811000005</v>
      </c>
      <c r="EC162" s="636">
        <v>46.246706997999993</v>
      </c>
      <c r="ED162" s="636">
        <v>35.964184256319996</v>
      </c>
      <c r="EE162" s="636">
        <v>34.277485888000001</v>
      </c>
      <c r="EF162" s="636">
        <v>55.070668467000004</v>
      </c>
      <c r="EG162" s="636">
        <v>42.871822258000002</v>
      </c>
      <c r="EH162" s="636">
        <v>30.608004698999999</v>
      </c>
      <c r="EI162" s="636">
        <v>62.792475983199999</v>
      </c>
      <c r="EJ162" s="636">
        <v>47.966912342400001</v>
      </c>
      <c r="EK162" s="636">
        <v>34.426871211619996</v>
      </c>
      <c r="EL162" s="653">
        <v>64.66503600854</v>
      </c>
      <c r="EM162" s="1209">
        <v>32.903887653520002</v>
      </c>
      <c r="EN162" s="1209">
        <v>38.718924392970003</v>
      </c>
      <c r="EO162" s="1209">
        <v>53.269384041799995</v>
      </c>
      <c r="EP162" s="1209">
        <v>43.582974409279998</v>
      </c>
      <c r="EQ162" s="1209">
        <v>37.346238129780005</v>
      </c>
      <c r="ER162" s="1209">
        <v>64.889195948490041</v>
      </c>
      <c r="ES162" s="1209">
        <v>45.431371295219876</v>
      </c>
      <c r="ET162" s="1209">
        <v>38.634797108739996</v>
      </c>
      <c r="EU162" s="1209">
        <v>56.830703252639999</v>
      </c>
      <c r="EV162" s="1209">
        <v>59.092180732999999</v>
      </c>
      <c r="EW162" s="1209">
        <v>45.748966423500008</v>
      </c>
      <c r="EX162" s="1539">
        <v>78.799486449000042</v>
      </c>
      <c r="EY162" s="1209"/>
      <c r="EZ162" s="1209"/>
      <c r="FA162" s="1209"/>
      <c r="FB162" s="1209"/>
      <c r="FC162" s="1209"/>
      <c r="FD162" s="1209"/>
      <c r="FE162" s="1209"/>
      <c r="FF162" s="1209"/>
      <c r="FG162" s="1209"/>
      <c r="FH162" s="1209"/>
      <c r="FI162" s="1209"/>
      <c r="FJ162" s="1539"/>
      <c r="FK162" s="1209"/>
      <c r="FL162" s="1209"/>
      <c r="FM162" s="1209"/>
      <c r="FN162" s="1209"/>
      <c r="FO162" s="1209"/>
      <c r="FP162" s="1209"/>
      <c r="FQ162" s="636"/>
      <c r="FR162" s="636"/>
      <c r="FS162" s="636"/>
      <c r="FT162" s="636"/>
      <c r="FU162" s="636"/>
      <c r="FV162" s="636"/>
      <c r="FW162" s="636"/>
      <c r="FX162" s="636"/>
      <c r="FY162" s="636"/>
      <c r="FZ162" s="636"/>
      <c r="GA162" s="636"/>
      <c r="GB162" s="636"/>
      <c r="GC162" s="636"/>
      <c r="GD162" s="636"/>
      <c r="GE162" s="636"/>
      <c r="GF162" s="636"/>
      <c r="GG162" s="636"/>
      <c r="GH162" s="636"/>
      <c r="GI162" s="636"/>
      <c r="GJ162" s="636"/>
      <c r="GK162" s="636"/>
      <c r="GL162" s="636"/>
      <c r="GM162" s="636"/>
      <c r="GN162" s="636"/>
      <c r="GO162" s="636"/>
      <c r="GP162" s="636"/>
      <c r="GQ162" s="636"/>
      <c r="GR162" s="636"/>
      <c r="GS162" s="636"/>
      <c r="GT162" s="636"/>
      <c r="GU162" s="636"/>
      <c r="GV162" s="636"/>
      <c r="GW162" s="636"/>
      <c r="GX162" s="636"/>
      <c r="GY162" s="636"/>
      <c r="GZ162" s="636"/>
      <c r="HA162" s="636"/>
      <c r="HB162" s="636"/>
      <c r="HC162" s="636"/>
      <c r="HD162" s="636"/>
      <c r="HE162" s="636"/>
      <c r="HF162" s="636"/>
      <c r="HG162" s="636"/>
      <c r="HH162" s="636"/>
      <c r="HI162" s="636"/>
      <c r="HJ162" s="636"/>
      <c r="HK162" s="636"/>
      <c r="HL162" s="636"/>
      <c r="HM162" s="636"/>
      <c r="HV162" s="302">
        <f t="shared" si="29"/>
        <v>176.90899787361076</v>
      </c>
      <c r="HW162" s="302">
        <f t="shared" si="30"/>
        <v>215.60820243053263</v>
      </c>
      <c r="HX162" s="346">
        <f>HV162+HW162</f>
        <v>392.51720030414339</v>
      </c>
      <c r="HY162" s="302">
        <f t="shared" si="31"/>
        <v>205.09119782182728</v>
      </c>
      <c r="KH162" s="303"/>
    </row>
    <row r="163" spans="2:294" outlineLevel="1">
      <c r="B163" s="117" t="s">
        <v>361</v>
      </c>
      <c r="D163" s="319" t="s">
        <v>425</v>
      </c>
      <c r="E163" s="316">
        <v>6.5270576999999996E-2</v>
      </c>
      <c r="F163" s="316">
        <v>0.29297394300000001</v>
      </c>
      <c r="G163" s="316">
        <v>3.3722714270000003</v>
      </c>
      <c r="H163" s="316">
        <v>1.0718723440000002</v>
      </c>
      <c r="I163" s="316">
        <v>0.80485327600000001</v>
      </c>
      <c r="J163" s="316">
        <v>5.4211234370000003</v>
      </c>
      <c r="K163" s="316">
        <v>0.46420525099999999</v>
      </c>
      <c r="L163" s="316">
        <v>0.227619926</v>
      </c>
      <c r="M163" s="316">
        <v>3.6662137370000001</v>
      </c>
      <c r="N163" s="316">
        <v>0.191701445</v>
      </c>
      <c r="O163" s="316">
        <v>0.19163728099999999</v>
      </c>
      <c r="P163" s="316">
        <v>3.6070052550000002</v>
      </c>
      <c r="Q163" s="316">
        <v>0.43599021800000004</v>
      </c>
      <c r="R163" s="316">
        <v>0.35666212999999997</v>
      </c>
      <c r="S163" s="316">
        <v>3.8142762719999999</v>
      </c>
      <c r="T163" s="316">
        <v>0.42331076499999998</v>
      </c>
      <c r="U163" s="316">
        <v>0.19182976400000001</v>
      </c>
      <c r="V163" s="316">
        <v>8.584996907999999</v>
      </c>
      <c r="W163" s="316">
        <v>0.80150219899999997</v>
      </c>
      <c r="X163" s="316">
        <v>0.404457715</v>
      </c>
      <c r="Y163" s="316">
        <v>6.9470086140000005</v>
      </c>
      <c r="Z163" s="316">
        <v>1.2303047870000001</v>
      </c>
      <c r="AA163" s="316">
        <v>0.56560666000000004</v>
      </c>
      <c r="AB163" s="316">
        <v>5.8339145660000007</v>
      </c>
      <c r="AC163" s="316">
        <v>0.51516758900000004</v>
      </c>
      <c r="AD163" s="316">
        <v>0.40428188500000001</v>
      </c>
      <c r="AE163" s="316"/>
      <c r="AF163" s="316"/>
      <c r="AG163" s="316"/>
      <c r="AH163" s="316"/>
      <c r="AI163" s="316"/>
      <c r="AJ163" s="316"/>
      <c r="AK163" s="316"/>
      <c r="AL163" s="316"/>
      <c r="AM163" s="316"/>
      <c r="AN163" s="316"/>
      <c r="AO163" s="316">
        <v>0.595061638</v>
      </c>
      <c r="AP163" s="316">
        <v>0.28338627399999999</v>
      </c>
      <c r="AQ163" s="316">
        <v>8.152491745999999</v>
      </c>
      <c r="AR163" s="316">
        <v>0.43695689299999996</v>
      </c>
      <c r="AS163" s="316">
        <v>0.60648319299999998</v>
      </c>
      <c r="AT163" s="316">
        <v>3.6521637679999999</v>
      </c>
      <c r="AU163" s="316">
        <v>0.4225642</v>
      </c>
      <c r="AV163" s="316">
        <v>0.61498188200000004</v>
      </c>
      <c r="AW163" s="316">
        <v>4.1117147219999994</v>
      </c>
      <c r="AX163" s="316">
        <v>0.50802784999999995</v>
      </c>
      <c r="AY163" s="316">
        <v>0.61080696999999995</v>
      </c>
      <c r="AZ163" s="316">
        <v>3.9356828990000001</v>
      </c>
      <c r="BA163" s="316">
        <v>0.47656304699999996</v>
      </c>
      <c r="BB163" s="316">
        <v>0.29897626100000002</v>
      </c>
      <c r="BC163" s="316">
        <v>9.0508435169999988</v>
      </c>
      <c r="BD163" s="316">
        <v>0.56781155000000005</v>
      </c>
      <c r="BE163" s="316">
        <v>0.62403637099999998</v>
      </c>
      <c r="BF163" s="316">
        <v>4.8861624859999999</v>
      </c>
      <c r="BG163" s="316">
        <v>0.68639724300000005</v>
      </c>
      <c r="BH163" s="316">
        <v>0.26772934400000004</v>
      </c>
      <c r="BI163" s="316">
        <v>4.3743612839999999</v>
      </c>
      <c r="BJ163" s="316">
        <v>1.1353553540000001</v>
      </c>
      <c r="BK163" s="316">
        <v>1.2262771370000001</v>
      </c>
      <c r="BL163" s="316">
        <v>5.0383807200000001</v>
      </c>
      <c r="BM163" s="316">
        <v>1.3267045120000001</v>
      </c>
      <c r="BN163" s="316">
        <v>0.52396374400000001</v>
      </c>
      <c r="BO163" s="316">
        <v>8.4262127619999987</v>
      </c>
      <c r="BP163" s="316">
        <v>1.280795315</v>
      </c>
      <c r="BQ163" s="316">
        <v>0.37884505699999999</v>
      </c>
      <c r="BR163" s="316">
        <v>4.8123871449999998</v>
      </c>
      <c r="BS163" s="316">
        <v>1.0868491610000002</v>
      </c>
      <c r="BT163" s="316">
        <v>0.30923318799999999</v>
      </c>
      <c r="BU163" s="316">
        <v>5.6432532240000004</v>
      </c>
      <c r="BV163" s="316">
        <v>0.50814374900000003</v>
      </c>
      <c r="BW163" s="316">
        <v>0.45195264500000004</v>
      </c>
      <c r="BX163" s="316">
        <v>5.5701603649999996</v>
      </c>
      <c r="BY163" s="316">
        <v>0.481236469</v>
      </c>
      <c r="BZ163" s="316">
        <v>0.476333638</v>
      </c>
      <c r="CA163" s="316">
        <v>14.484561100000001</v>
      </c>
      <c r="CB163" s="316">
        <v>0.54802126899999992</v>
      </c>
      <c r="CC163" s="316">
        <v>1.4645697259999999</v>
      </c>
      <c r="CD163" s="316">
        <v>14.911960777000001</v>
      </c>
      <c r="CE163" s="317">
        <v>2.5832510640000002</v>
      </c>
      <c r="CF163" s="316">
        <v>2.0731277869999998</v>
      </c>
      <c r="CG163" s="316">
        <v>11.535516204</v>
      </c>
      <c r="CH163" s="316">
        <v>3.1059363739999997</v>
      </c>
      <c r="CI163" s="316">
        <v>2.9111151980000001</v>
      </c>
      <c r="CJ163" s="316">
        <v>12.931237628999998</v>
      </c>
      <c r="CK163" s="316">
        <v>4.3684075909999995</v>
      </c>
      <c r="CL163" s="316">
        <v>3.1566247379999997</v>
      </c>
      <c r="CM163" s="316">
        <v>13.219320082999999</v>
      </c>
      <c r="CN163" s="316">
        <v>3.8797666739999999</v>
      </c>
      <c r="CO163" s="316">
        <v>3.1405214589999999</v>
      </c>
      <c r="CP163" s="318">
        <v>13.782203974</v>
      </c>
      <c r="CQ163" s="316">
        <v>3.4482064029999999</v>
      </c>
      <c r="CR163" s="316">
        <v>2.93944597</v>
      </c>
      <c r="CS163" s="316">
        <v>12.554874124000001</v>
      </c>
      <c r="CT163" s="316">
        <v>3.8367301779999998</v>
      </c>
      <c r="CU163" s="316">
        <v>2.8941404799999999</v>
      </c>
      <c r="CV163" s="316">
        <v>14.729934940000001</v>
      </c>
      <c r="CW163" s="316">
        <v>3.3898270840000002</v>
      </c>
      <c r="CX163" s="316">
        <v>3.1601126389999998</v>
      </c>
      <c r="CY163" s="316">
        <v>22.515439475000001</v>
      </c>
      <c r="CZ163" s="316">
        <v>4.6840131659999997</v>
      </c>
      <c r="DA163" s="316">
        <v>3.6726994399999997</v>
      </c>
      <c r="DB163" s="1498">
        <v>14.746407733000002</v>
      </c>
      <c r="DC163" s="316">
        <v>4.3089556568601344</v>
      </c>
      <c r="DD163" s="316">
        <v>3.2631917395718046</v>
      </c>
      <c r="DE163" s="316">
        <v>5.097317397481218</v>
      </c>
      <c r="DF163" s="316">
        <v>5.5588135256917397</v>
      </c>
      <c r="DG163" s="316">
        <v>3.4670790995873682</v>
      </c>
      <c r="DH163" s="316">
        <v>3.2808195838272529</v>
      </c>
      <c r="DI163" s="316">
        <v>7.3244851653752194</v>
      </c>
      <c r="DJ163" s="316">
        <v>5.1784101220272598</v>
      </c>
      <c r="DK163" s="316">
        <v>3.4000423859500315</v>
      </c>
      <c r="DL163" s="316">
        <v>4.8549237801180025</v>
      </c>
      <c r="DM163" s="316">
        <v>5.7133778602730674</v>
      </c>
      <c r="DN163" s="318">
        <v>10.036197041348393</v>
      </c>
      <c r="DO163" s="316">
        <v>3.4054170830000001</v>
      </c>
      <c r="DP163" s="316">
        <v>2.9971782579999999</v>
      </c>
      <c r="DQ163" s="316">
        <v>15.142623460999999</v>
      </c>
      <c r="DR163" s="316">
        <v>4.2519967279999999</v>
      </c>
      <c r="DS163" s="316">
        <v>3.432072062</v>
      </c>
      <c r="DT163" s="316">
        <v>21.760107217147272</v>
      </c>
      <c r="DU163" s="316">
        <v>4.9446679499999995</v>
      </c>
      <c r="DV163" s="316">
        <v>3.9299936230000001</v>
      </c>
      <c r="DW163" s="316">
        <v>28.104393663510002</v>
      </c>
      <c r="DX163" s="316">
        <v>4.3119135980000003</v>
      </c>
      <c r="DY163" s="316">
        <v>5.7511618339999995</v>
      </c>
      <c r="DZ163" s="318">
        <v>24.980478400000003</v>
      </c>
      <c r="EA163" s="316">
        <v>4.4920397514000001</v>
      </c>
      <c r="EB163" s="316">
        <v>3.8704952449999999</v>
      </c>
      <c r="EC163" s="316">
        <v>16.510219777</v>
      </c>
      <c r="ED163" s="316">
        <v>5.8680543653199999</v>
      </c>
      <c r="EE163" s="316">
        <v>5.1824931919999999</v>
      </c>
      <c r="EF163" s="316">
        <v>17.375914171000002</v>
      </c>
      <c r="EG163" s="316">
        <v>9.3687288009999996</v>
      </c>
      <c r="EH163" s="316">
        <v>4.9294899059999997</v>
      </c>
      <c r="EI163" s="316">
        <v>30.354048889000001</v>
      </c>
      <c r="EJ163" s="316">
        <v>19.43516572635</v>
      </c>
      <c r="EK163" s="316">
        <v>5.8232764766200003</v>
      </c>
      <c r="EL163" s="318">
        <v>29.17663419654</v>
      </c>
      <c r="EM163" s="1206">
        <v>6.31130013852</v>
      </c>
      <c r="EN163" s="1206">
        <v>6.0766081029700008</v>
      </c>
      <c r="EO163" s="1206">
        <v>22.536199809800003</v>
      </c>
      <c r="EP163" s="1206">
        <v>12.336672870280005</v>
      </c>
      <c r="EQ163" s="1206">
        <v>5.8385865147799993</v>
      </c>
      <c r="ER163" s="1206">
        <v>29.535769320690001</v>
      </c>
      <c r="ES163" s="1206">
        <v>8.276805337479999</v>
      </c>
      <c r="ET163" s="1206">
        <v>6.0811650537399995</v>
      </c>
      <c r="EU163" s="1206">
        <v>21.56168690774</v>
      </c>
      <c r="EV163" s="1206">
        <v>25.876882828500001</v>
      </c>
      <c r="EW163" s="1206">
        <v>8.4132074860940005</v>
      </c>
      <c r="EX163" s="1550">
        <v>40.519887278535549</v>
      </c>
      <c r="EY163" s="1206"/>
      <c r="EZ163" s="1206"/>
      <c r="FA163" s="1206"/>
      <c r="FB163" s="1206"/>
      <c r="FC163" s="1206"/>
      <c r="FD163" s="1206"/>
      <c r="FE163" s="1206"/>
      <c r="FF163" s="1206"/>
      <c r="FG163" s="1206"/>
      <c r="FH163" s="1206"/>
      <c r="FI163" s="1206"/>
      <c r="FJ163" s="1550"/>
      <c r="FK163" s="1206"/>
      <c r="FL163" s="1206"/>
      <c r="FM163" s="1206"/>
      <c r="FN163" s="1206"/>
      <c r="FO163" s="1206"/>
      <c r="FP163" s="1206"/>
      <c r="FQ163" s="316"/>
      <c r="FR163" s="316"/>
      <c r="FS163" s="316"/>
      <c r="FT163" s="316"/>
      <c r="FU163" s="316"/>
      <c r="FV163" s="316"/>
      <c r="FW163" s="316"/>
      <c r="FX163" s="316"/>
      <c r="FY163" s="316"/>
      <c r="FZ163" s="316"/>
      <c r="GA163" s="316"/>
      <c r="GB163" s="316"/>
      <c r="GC163" s="316"/>
      <c r="GD163" s="316"/>
      <c r="GE163" s="316"/>
      <c r="GF163" s="316"/>
      <c r="GG163" s="316"/>
      <c r="GH163" s="316"/>
      <c r="GI163" s="316"/>
      <c r="GJ163" s="316"/>
      <c r="GK163" s="316"/>
      <c r="GL163" s="316"/>
      <c r="GM163" s="316"/>
      <c r="GN163" s="316"/>
      <c r="GO163" s="316"/>
      <c r="GP163" s="316"/>
      <c r="GQ163" s="316"/>
      <c r="GR163" s="316"/>
      <c r="GS163" s="316"/>
      <c r="GT163" s="316"/>
      <c r="GU163" s="316"/>
      <c r="GV163" s="316"/>
      <c r="GW163" s="316"/>
      <c r="GX163" s="316"/>
      <c r="GY163" s="316"/>
      <c r="GZ163" s="316"/>
      <c r="HA163" s="316"/>
      <c r="HB163" s="316"/>
      <c r="HC163" s="316"/>
      <c r="HD163" s="316"/>
      <c r="HE163" s="316"/>
      <c r="HF163" s="316"/>
      <c r="HG163" s="316"/>
      <c r="HH163" s="316"/>
      <c r="HI163" s="316"/>
      <c r="HJ163" s="316"/>
      <c r="HK163" s="316"/>
      <c r="HL163" s="316"/>
      <c r="HM163" s="316"/>
      <c r="HV163" s="302">
        <f t="shared" si="29"/>
        <v>24.976177003019519</v>
      </c>
      <c r="HW163" s="302">
        <f t="shared" si="30"/>
        <v>36.507436355091976</v>
      </c>
      <c r="HX163" s="346">
        <f>HV163+HW163</f>
        <v>61.483613358111498</v>
      </c>
      <c r="HY163" s="302">
        <f t="shared" si="31"/>
        <v>50.989394809147271</v>
      </c>
      <c r="KH163" s="303"/>
    </row>
    <row r="164" spans="2:294" outlineLevel="1">
      <c r="B164" s="117" t="s">
        <v>361</v>
      </c>
      <c r="D164" s="323" t="s">
        <v>426</v>
      </c>
      <c r="E164" s="316">
        <v>6.4081356999999992E-2</v>
      </c>
      <c r="F164" s="316">
        <v>6.1635643000000004E-2</v>
      </c>
      <c r="G164" s="316">
        <v>0.13906091000000001</v>
      </c>
      <c r="H164" s="316">
        <v>5.7831515999999999E-2</v>
      </c>
      <c r="I164" s="316">
        <v>5.8752566999999999E-2</v>
      </c>
      <c r="J164" s="316">
        <v>8.6887865000000009E-2</v>
      </c>
      <c r="K164" s="316">
        <v>6.4571679000000007E-2</v>
      </c>
      <c r="L164" s="316">
        <v>0.11130820900000001</v>
      </c>
      <c r="M164" s="316">
        <v>9.2657944000000006E-2</v>
      </c>
      <c r="N164" s="316">
        <v>7.7150026999999996E-2</v>
      </c>
      <c r="O164" s="316">
        <v>0.13812226999999999</v>
      </c>
      <c r="P164" s="316">
        <v>6.0853509E-2</v>
      </c>
      <c r="Q164" s="316">
        <v>3.8374312000000001E-2</v>
      </c>
      <c r="R164" s="316">
        <v>7.4601693999999996E-2</v>
      </c>
      <c r="S164" s="316">
        <v>6.8969069000000008E-2</v>
      </c>
      <c r="T164" s="316">
        <v>0.100022232</v>
      </c>
      <c r="U164" s="316">
        <v>6.0291389000000001E-2</v>
      </c>
      <c r="V164" s="316">
        <v>0.11828717699999999</v>
      </c>
      <c r="W164" s="316">
        <v>6.0375334000000003E-2</v>
      </c>
      <c r="X164" s="316">
        <v>8.0015792000000002E-2</v>
      </c>
      <c r="Y164" s="316">
        <v>0.13648375500000001</v>
      </c>
      <c r="Z164" s="316">
        <v>0.109390565</v>
      </c>
      <c r="AA164" s="316">
        <v>0.29102123999999996</v>
      </c>
      <c r="AB164" s="316">
        <v>0.100878288</v>
      </c>
      <c r="AC164" s="316">
        <v>0.110725991</v>
      </c>
      <c r="AD164" s="316">
        <v>0.107776073</v>
      </c>
      <c r="AE164" s="316"/>
      <c r="AF164" s="316"/>
      <c r="AG164" s="316"/>
      <c r="AH164" s="316"/>
      <c r="AI164" s="316"/>
      <c r="AJ164" s="316"/>
      <c r="AK164" s="316"/>
      <c r="AL164" s="316"/>
      <c r="AM164" s="316"/>
      <c r="AN164" s="316"/>
      <c r="AO164" s="316">
        <v>6.3957481999999996E-2</v>
      </c>
      <c r="AP164" s="316">
        <v>0.11757970199999999</v>
      </c>
      <c r="AQ164" s="316">
        <v>0.17122739200000001</v>
      </c>
      <c r="AR164" s="316">
        <v>0.10631671699999999</v>
      </c>
      <c r="AS164" s="316">
        <v>0.12226443299999999</v>
      </c>
      <c r="AT164" s="316">
        <v>0.24511003299999998</v>
      </c>
      <c r="AU164" s="316">
        <v>0.13375341900000001</v>
      </c>
      <c r="AV164" s="316">
        <v>9.6911454000000008E-2</v>
      </c>
      <c r="AW164" s="316">
        <v>0.19858964299999998</v>
      </c>
      <c r="AX164" s="316">
        <v>0.160986669</v>
      </c>
      <c r="AY164" s="316">
        <v>0.21656212999999999</v>
      </c>
      <c r="AZ164" s="316">
        <v>0.28217406699999997</v>
      </c>
      <c r="BA164" s="316">
        <v>0.211942889</v>
      </c>
      <c r="BB164" s="316">
        <v>0.16548280500000001</v>
      </c>
      <c r="BC164" s="316">
        <v>0.29073071299999997</v>
      </c>
      <c r="BD164" s="316">
        <v>0.20498722</v>
      </c>
      <c r="BE164" s="316">
        <v>0.170833338</v>
      </c>
      <c r="BF164" s="316">
        <v>0.56819113100000007</v>
      </c>
      <c r="BG164" s="316">
        <v>5.9894934999999996E-2</v>
      </c>
      <c r="BH164" s="316">
        <v>8.6585493999999999E-2</v>
      </c>
      <c r="BI164" s="316">
        <v>0.239163704</v>
      </c>
      <c r="BJ164" s="316">
        <v>0.23586449200000001</v>
      </c>
      <c r="BK164" s="316">
        <v>0.31189441000000001</v>
      </c>
      <c r="BL164" s="316">
        <v>0.26067805299999997</v>
      </c>
      <c r="BM164" s="316">
        <v>0.143486541</v>
      </c>
      <c r="BN164" s="316">
        <v>0.28011999900000001</v>
      </c>
      <c r="BO164" s="316">
        <v>0.25490919099999998</v>
      </c>
      <c r="BP164" s="316">
        <v>0.63757360200000002</v>
      </c>
      <c r="BQ164" s="316">
        <v>0.26232081299999999</v>
      </c>
      <c r="BR164" s="316">
        <v>0.43260212300000001</v>
      </c>
      <c r="BS164" s="316">
        <v>0.20872832099999999</v>
      </c>
      <c r="BT164" s="316">
        <v>0.195860168</v>
      </c>
      <c r="BU164" s="316">
        <v>0.29679917899999997</v>
      </c>
      <c r="BV164" s="316">
        <v>0.24524421100000002</v>
      </c>
      <c r="BW164" s="316">
        <v>0.26348469200000002</v>
      </c>
      <c r="BX164" s="316">
        <v>0.33157810599999998</v>
      </c>
      <c r="BY164" s="316">
        <v>0.183189043</v>
      </c>
      <c r="BZ164" s="316">
        <v>0.271062833</v>
      </c>
      <c r="CA164" s="316">
        <v>0.59807299400000002</v>
      </c>
      <c r="CB164" s="316">
        <v>0.27848040300000004</v>
      </c>
      <c r="CC164" s="316">
        <v>0.64204487300000002</v>
      </c>
      <c r="CD164" s="316">
        <v>9.6653390390000009</v>
      </c>
      <c r="CE164" s="317">
        <v>1.2629272030000001</v>
      </c>
      <c r="CF164" s="316">
        <v>0.68396248599999998</v>
      </c>
      <c r="CG164" s="316">
        <v>7.7748194550000003</v>
      </c>
      <c r="CH164" s="316">
        <v>0.98913764800000004</v>
      </c>
      <c r="CI164" s="316">
        <v>1.115489682</v>
      </c>
      <c r="CJ164" s="316">
        <v>8.6934095959999986</v>
      </c>
      <c r="CK164" s="316">
        <v>1.1715801019999998</v>
      </c>
      <c r="CL164" s="316">
        <v>0.74051934200000002</v>
      </c>
      <c r="CM164" s="316">
        <v>6.7670744730000001</v>
      </c>
      <c r="CN164" s="316">
        <v>1.401861475</v>
      </c>
      <c r="CO164" s="316">
        <v>0.91499749099999994</v>
      </c>
      <c r="CP164" s="318">
        <v>7.7558479619999998</v>
      </c>
      <c r="CQ164" s="316">
        <v>1.217018801</v>
      </c>
      <c r="CR164" s="316">
        <v>1.020902534</v>
      </c>
      <c r="CS164" s="316">
        <v>8.2699675050000003</v>
      </c>
      <c r="CT164" s="316">
        <v>1.15115258</v>
      </c>
      <c r="CU164" s="316">
        <v>0.92436936999999997</v>
      </c>
      <c r="CV164" s="316">
        <v>9.2515927210000015</v>
      </c>
      <c r="CW164" s="316">
        <v>0.81701463100000005</v>
      </c>
      <c r="CX164" s="316">
        <v>0.70155605399999998</v>
      </c>
      <c r="CY164" s="316">
        <v>13.498874183</v>
      </c>
      <c r="CZ164" s="316">
        <v>2.013355985</v>
      </c>
      <c r="DA164" s="316">
        <v>1.037634446</v>
      </c>
      <c r="DB164" s="1498">
        <v>8.5246195240000002</v>
      </c>
      <c r="DC164" s="316">
        <v>4.3089556568601344</v>
      </c>
      <c r="DD164" s="316">
        <v>3.2631917395718046</v>
      </c>
      <c r="DE164" s="316">
        <v>5.097317397481218</v>
      </c>
      <c r="DF164" s="316">
        <v>5.5588135256917397</v>
      </c>
      <c r="DG164" s="316">
        <v>3.4670790995873682</v>
      </c>
      <c r="DH164" s="316">
        <v>3.2808195838272529</v>
      </c>
      <c r="DI164" s="316">
        <v>7.3244851653752194</v>
      </c>
      <c r="DJ164" s="316">
        <v>5.1784101220272598</v>
      </c>
      <c r="DK164" s="316">
        <v>3.4000423859500315</v>
      </c>
      <c r="DL164" s="316">
        <v>4.8549237801180025</v>
      </c>
      <c r="DM164" s="316">
        <v>5.7133778602730674</v>
      </c>
      <c r="DN164" s="318">
        <v>10.036197041348393</v>
      </c>
      <c r="DO164" s="316">
        <v>2.8556573640000003</v>
      </c>
      <c r="DP164" s="316">
        <v>2.7047607280000001</v>
      </c>
      <c r="DQ164" s="316">
        <v>14.705614347999999</v>
      </c>
      <c r="DR164" s="316">
        <v>3.4534918279999998</v>
      </c>
      <c r="DS164" s="316">
        <v>2.987220539</v>
      </c>
      <c r="DT164" s="316">
        <v>18.013538218827271</v>
      </c>
      <c r="DU164" s="316">
        <v>2.3069989660000001</v>
      </c>
      <c r="DV164" s="316">
        <v>1.150605611</v>
      </c>
      <c r="DW164" s="316">
        <v>15.89396827</v>
      </c>
      <c r="DX164" s="316">
        <v>1.3484428049999999</v>
      </c>
      <c r="DY164" s="316">
        <v>2.7802140139999998</v>
      </c>
      <c r="DZ164" s="318">
        <v>15.873471921</v>
      </c>
      <c r="EA164" s="316">
        <v>1.937700703</v>
      </c>
      <c r="EB164" s="316">
        <v>1.2997133030000001</v>
      </c>
      <c r="EC164" s="316">
        <v>10.14112759</v>
      </c>
      <c r="ED164" s="316">
        <v>1.8789774560000001</v>
      </c>
      <c r="EE164" s="316">
        <v>2.2551441739999998</v>
      </c>
      <c r="EF164" s="316">
        <v>10.319850731000001</v>
      </c>
      <c r="EG164" s="316">
        <v>4.925977853</v>
      </c>
      <c r="EH164" s="316">
        <v>1.784960315</v>
      </c>
      <c r="EI164" s="316">
        <v>19.067473740000001</v>
      </c>
      <c r="EJ164" s="316">
        <v>12.890099092</v>
      </c>
      <c r="EK164" s="316">
        <v>2.0839151779999998</v>
      </c>
      <c r="EL164" s="318">
        <v>19.227756051</v>
      </c>
      <c r="EM164" s="1206">
        <v>2.0464375860000001</v>
      </c>
      <c r="EN164" s="1206">
        <v>2.6982030799999999</v>
      </c>
      <c r="EO164" s="1206">
        <v>15.577384865000001</v>
      </c>
      <c r="EP164" s="1206">
        <v>7.1536234490000004</v>
      </c>
      <c r="EQ164" s="1206">
        <v>2.3412959099999999</v>
      </c>
      <c r="ER164" s="1206">
        <v>21.084800547</v>
      </c>
      <c r="ES164" s="1206">
        <v>4.3459553184007174</v>
      </c>
      <c r="ET164" s="1206">
        <v>2.5471969125904641</v>
      </c>
      <c r="EU164" s="1206">
        <v>12.872315061375328</v>
      </c>
      <c r="EV164" s="1206">
        <v>15.962155039790401</v>
      </c>
      <c r="EW164" s="1206">
        <v>4.8828533874419779</v>
      </c>
      <c r="EX164" s="1550">
        <v>32.934779441649866</v>
      </c>
      <c r="EY164" s="1206"/>
      <c r="EZ164" s="1206"/>
      <c r="FA164" s="1206"/>
      <c r="FB164" s="1206"/>
      <c r="FC164" s="1206"/>
      <c r="FD164" s="1206"/>
      <c r="FE164" s="1206"/>
      <c r="FF164" s="1206"/>
      <c r="FG164" s="1206"/>
      <c r="FH164" s="1206"/>
      <c r="FI164" s="1206"/>
      <c r="FJ164" s="1550"/>
      <c r="FK164" s="1206"/>
      <c r="FL164" s="1206"/>
      <c r="FM164" s="1206"/>
      <c r="FN164" s="1206"/>
      <c r="FO164" s="1206"/>
      <c r="FP164" s="1206"/>
      <c r="FQ164" s="316"/>
      <c r="FR164" s="316"/>
      <c r="FS164" s="316"/>
      <c r="FT164" s="316"/>
      <c r="FU164" s="316"/>
      <c r="FV164" s="316"/>
      <c r="FW164" s="316"/>
      <c r="FX164" s="316"/>
      <c r="FY164" s="316"/>
      <c r="FZ164" s="316"/>
      <c r="GA164" s="316"/>
      <c r="GB164" s="316"/>
      <c r="GC164" s="316"/>
      <c r="GD164" s="316"/>
      <c r="GE164" s="316"/>
      <c r="GF164" s="316"/>
      <c r="GG164" s="316"/>
      <c r="GH164" s="316"/>
      <c r="GI164" s="316"/>
      <c r="GJ164" s="316"/>
      <c r="GK164" s="316"/>
      <c r="GL164" s="316"/>
      <c r="GM164" s="316"/>
      <c r="GN164" s="316"/>
      <c r="GO164" s="316"/>
      <c r="GP164" s="316"/>
      <c r="GQ164" s="316"/>
      <c r="GR164" s="316"/>
      <c r="GS164" s="316"/>
      <c r="GT164" s="316"/>
      <c r="GU164" s="316"/>
      <c r="GV164" s="316"/>
      <c r="GW164" s="316"/>
      <c r="GX164" s="316"/>
      <c r="GY164" s="316"/>
      <c r="GZ164" s="316"/>
      <c r="HA164" s="316"/>
      <c r="HB164" s="316"/>
      <c r="HC164" s="316"/>
      <c r="HD164" s="316"/>
      <c r="HE164" s="316"/>
      <c r="HF164" s="316"/>
      <c r="HG164" s="316"/>
      <c r="HH164" s="316"/>
      <c r="HI164" s="316"/>
      <c r="HJ164" s="316"/>
      <c r="HK164" s="316"/>
      <c r="HL164" s="316"/>
      <c r="HM164" s="316"/>
      <c r="HV164" s="302">
        <f t="shared" si="29"/>
        <v>24.976177003019519</v>
      </c>
      <c r="HW164" s="302">
        <f t="shared" si="30"/>
        <v>36.507436355091976</v>
      </c>
      <c r="HX164" s="346">
        <f t="shared" ref="HX164:HX204" si="32">HV164+HW164</f>
        <v>61.483613358111498</v>
      </c>
      <c r="HY164" s="302">
        <f t="shared" si="31"/>
        <v>44.720283025827271</v>
      </c>
      <c r="KH164" s="303"/>
    </row>
    <row r="165" spans="2:294" outlineLevel="1">
      <c r="B165" s="117" t="s">
        <v>361</v>
      </c>
      <c r="D165" s="324" t="s">
        <v>427</v>
      </c>
      <c r="E165" s="316">
        <v>0.392276919</v>
      </c>
      <c r="F165" s="316">
        <v>0.41271816500000003</v>
      </c>
      <c r="G165" s="316">
        <v>0.80391067599999999</v>
      </c>
      <c r="H165" s="316">
        <v>0.41796793599999998</v>
      </c>
      <c r="I165" s="316">
        <v>0.50706862500000005</v>
      </c>
      <c r="J165" s="316">
        <v>1.2849296609999998</v>
      </c>
      <c r="K165" s="316">
        <v>0.55446140499999996</v>
      </c>
      <c r="L165" s="316">
        <v>0.4675782</v>
      </c>
      <c r="M165" s="316">
        <v>1.035655684</v>
      </c>
      <c r="N165" s="316">
        <v>0.54733838999999995</v>
      </c>
      <c r="O165" s="316">
        <v>0.57549116600000005</v>
      </c>
      <c r="P165" s="316">
        <v>1.0642403069999999</v>
      </c>
      <c r="Q165" s="316">
        <v>0.73315252799999997</v>
      </c>
      <c r="R165" s="316">
        <v>0.54329596300000005</v>
      </c>
      <c r="S165" s="316">
        <v>1.182026303</v>
      </c>
      <c r="T165" s="316">
        <v>0.64395585900000007</v>
      </c>
      <c r="U165" s="316">
        <v>0.95595858999999994</v>
      </c>
      <c r="V165" s="316">
        <v>2.0127214650000003</v>
      </c>
      <c r="W165" s="316">
        <v>0.89409887600000004</v>
      </c>
      <c r="X165" s="316">
        <v>0.95169554000000001</v>
      </c>
      <c r="Y165" s="316">
        <v>1.635962822</v>
      </c>
      <c r="Z165" s="316">
        <v>1.213456439</v>
      </c>
      <c r="AA165" s="316">
        <v>0.79232459799999999</v>
      </c>
      <c r="AB165" s="316">
        <v>2.004555238</v>
      </c>
      <c r="AC165" s="316">
        <v>1.0715852700000001</v>
      </c>
      <c r="AD165" s="316">
        <v>1.021620875</v>
      </c>
      <c r="AE165" s="316"/>
      <c r="AF165" s="316"/>
      <c r="AG165" s="316"/>
      <c r="AH165" s="316"/>
      <c r="AI165" s="316"/>
      <c r="AJ165" s="316"/>
      <c r="AK165" s="316"/>
      <c r="AL165" s="316"/>
      <c r="AM165" s="316"/>
      <c r="AN165" s="316"/>
      <c r="AO165" s="316">
        <v>0.865253104</v>
      </c>
      <c r="AP165" s="316">
        <v>0.88616814399999999</v>
      </c>
      <c r="AQ165" s="316">
        <v>4.0968413930000001</v>
      </c>
      <c r="AR165" s="316">
        <v>0.92886782200000007</v>
      </c>
      <c r="AS165" s="316">
        <v>0.921948251</v>
      </c>
      <c r="AT165" s="316">
        <v>2.550174556</v>
      </c>
      <c r="AU165" s="316">
        <v>1.289604078</v>
      </c>
      <c r="AV165" s="316">
        <v>0.99946057599999993</v>
      </c>
      <c r="AW165" s="316">
        <v>2.6098210900000001</v>
      </c>
      <c r="AX165" s="316">
        <v>1.1388492819999998</v>
      </c>
      <c r="AY165" s="316">
        <v>1.056281977</v>
      </c>
      <c r="AZ165" s="316">
        <v>3.418117429</v>
      </c>
      <c r="BA165" s="316">
        <v>1.223377674</v>
      </c>
      <c r="BB165" s="316">
        <v>1.2514743510000002</v>
      </c>
      <c r="BC165" s="316">
        <v>5.0565816029999997</v>
      </c>
      <c r="BD165" s="316">
        <v>1.0847132070000001</v>
      </c>
      <c r="BE165" s="316">
        <v>2.0657377260000001</v>
      </c>
      <c r="BF165" s="316">
        <v>3.4597905679999998</v>
      </c>
      <c r="BG165" s="316">
        <v>0.95537348999999994</v>
      </c>
      <c r="BH165" s="316">
        <v>1.004887004</v>
      </c>
      <c r="BI165" s="316">
        <v>2.9234682309999998</v>
      </c>
      <c r="BJ165" s="316">
        <v>1.0162898650000001</v>
      </c>
      <c r="BK165" s="316">
        <v>1.212690762</v>
      </c>
      <c r="BL165" s="316">
        <v>2.79941489</v>
      </c>
      <c r="BM165" s="316">
        <v>1.4881291619999999</v>
      </c>
      <c r="BN165" s="316">
        <v>1.3131613130000002</v>
      </c>
      <c r="BO165" s="316">
        <v>5.2368817129999998</v>
      </c>
      <c r="BP165" s="316">
        <v>1.2164234630000001</v>
      </c>
      <c r="BQ165" s="316">
        <v>1.6005040260000001</v>
      </c>
      <c r="BR165" s="316">
        <v>3.615915115</v>
      </c>
      <c r="BS165" s="316">
        <v>1.1474614730000001</v>
      </c>
      <c r="BT165" s="316">
        <v>0.68540514299999999</v>
      </c>
      <c r="BU165" s="316">
        <v>3.1100634779999998</v>
      </c>
      <c r="BV165" s="316">
        <v>1.5042361780000002</v>
      </c>
      <c r="BW165" s="316">
        <v>1.2059972999999999</v>
      </c>
      <c r="BX165" s="316">
        <v>3.4498371240000001</v>
      </c>
      <c r="BY165" s="316">
        <v>1.7417344399999999</v>
      </c>
      <c r="BZ165" s="316">
        <v>1.614291634</v>
      </c>
      <c r="CA165" s="316">
        <v>6.2085048199999999</v>
      </c>
      <c r="CB165" s="316">
        <v>1.7462290009999999</v>
      </c>
      <c r="CC165" s="316">
        <v>2.4650446960000001</v>
      </c>
      <c r="CD165" s="316">
        <v>1.8511075659999998</v>
      </c>
      <c r="CE165" s="317">
        <v>0.61963100699999996</v>
      </c>
      <c r="CF165" s="316">
        <v>0.42730857799999999</v>
      </c>
      <c r="CG165" s="316">
        <v>0.193644601</v>
      </c>
      <c r="CH165" s="316">
        <v>0.27422865800000001</v>
      </c>
      <c r="CI165" s="316">
        <v>0.54719998799999992</v>
      </c>
      <c r="CJ165" s="316">
        <v>0.83490910699999998</v>
      </c>
      <c r="CK165" s="316">
        <v>0.56359178799999998</v>
      </c>
      <c r="CL165" s="316">
        <v>0.39840721100000004</v>
      </c>
      <c r="CM165" s="316">
        <v>0.84026774100000001</v>
      </c>
      <c r="CN165" s="316">
        <v>0.55660013600000002</v>
      </c>
      <c r="CO165" s="316">
        <v>0.50145152400000004</v>
      </c>
      <c r="CP165" s="318">
        <v>1.3951900260000001</v>
      </c>
      <c r="CQ165" s="316">
        <v>0.35579840699999998</v>
      </c>
      <c r="CR165" s="316">
        <v>0.36633195999999996</v>
      </c>
      <c r="CS165" s="316">
        <v>0.59416303200000009</v>
      </c>
      <c r="CT165" s="316">
        <v>0.44356057099999996</v>
      </c>
      <c r="CU165" s="316">
        <v>0.54140267200000003</v>
      </c>
      <c r="CV165" s="316">
        <v>0.80325108899999997</v>
      </c>
      <c r="CW165" s="316">
        <v>0.60621140200000001</v>
      </c>
      <c r="CX165" s="316">
        <v>0.52843102399999997</v>
      </c>
      <c r="CY165" s="316">
        <v>0.76561636499999997</v>
      </c>
      <c r="CZ165" s="316">
        <v>1.4165836870000001</v>
      </c>
      <c r="DA165" s="316">
        <v>0.834563834</v>
      </c>
      <c r="DB165" s="1498">
        <v>1.9278370809999998</v>
      </c>
      <c r="DC165" s="316">
        <v>0.82448363941239977</v>
      </c>
      <c r="DD165" s="316">
        <v>0.8833607284323689</v>
      </c>
      <c r="DE165" s="316">
        <v>10.719139805015015</v>
      </c>
      <c r="DF165" s="316">
        <v>0.70587886823508672</v>
      </c>
      <c r="DG165" s="316">
        <v>0.54417613922482855</v>
      </c>
      <c r="DH165" s="316">
        <v>10.24348973336129</v>
      </c>
      <c r="DI165" s="316">
        <v>1.0922339369361633</v>
      </c>
      <c r="DJ165" s="316">
        <v>1.1714972834195527</v>
      </c>
      <c r="DK165" s="316">
        <v>23.104799253532111</v>
      </c>
      <c r="DL165" s="316">
        <v>0.89631468833038019</v>
      </c>
      <c r="DM165" s="316">
        <v>0.71843120938611682</v>
      </c>
      <c r="DN165" s="318">
        <v>12.269573679178158</v>
      </c>
      <c r="DO165" s="316">
        <v>0.88177806700000005</v>
      </c>
      <c r="DP165" s="316">
        <v>0.61940986399999998</v>
      </c>
      <c r="DQ165" s="316">
        <v>8.2733995549999992</v>
      </c>
      <c r="DR165" s="316">
        <v>1.260317377</v>
      </c>
      <c r="DS165" s="316">
        <v>0.83227489600000004</v>
      </c>
      <c r="DT165" s="316">
        <v>11.441664449319999</v>
      </c>
      <c r="DU165" s="316">
        <v>0.97532831200000003</v>
      </c>
      <c r="DV165" s="316">
        <v>0.62910624900000001</v>
      </c>
      <c r="DW165" s="316">
        <v>1.209986064</v>
      </c>
      <c r="DX165" s="316">
        <v>0.94746226499999997</v>
      </c>
      <c r="DY165" s="316">
        <v>2.1640277170000002</v>
      </c>
      <c r="DZ165" s="318">
        <v>4.365313725</v>
      </c>
      <c r="EA165" s="316">
        <v>0.74865426700000004</v>
      </c>
      <c r="EB165" s="316">
        <v>0.71631703400000002</v>
      </c>
      <c r="EC165" s="316">
        <v>1.06515413</v>
      </c>
      <c r="ED165" s="316">
        <v>0.77914639100000005</v>
      </c>
      <c r="EE165" s="316">
        <v>1.2349719079999999</v>
      </c>
      <c r="EF165" s="316">
        <v>1.9097524210000001</v>
      </c>
      <c r="EG165" s="316">
        <v>1.9373183089999999</v>
      </c>
      <c r="EH165" s="316">
        <v>1.4515816429999999</v>
      </c>
      <c r="EI165" s="316">
        <v>4.9514113240000004</v>
      </c>
      <c r="EJ165" s="316">
        <v>1.907389308</v>
      </c>
      <c r="EK165" s="316">
        <v>1.8254718990000001</v>
      </c>
      <c r="EL165" s="318">
        <v>7.7571210280000003</v>
      </c>
      <c r="EM165" s="1206">
        <v>0.941446742</v>
      </c>
      <c r="EN165" s="1206">
        <v>1.882076093</v>
      </c>
      <c r="EO165" s="1206">
        <v>3.7122540339999999</v>
      </c>
      <c r="EP165" s="1206">
        <v>6.0660505410000001</v>
      </c>
      <c r="EQ165" s="1206">
        <v>1.1419447549999999</v>
      </c>
      <c r="ER165" s="1206">
        <v>8.4057679350000001</v>
      </c>
      <c r="ES165" s="1206">
        <v>3.945837628</v>
      </c>
      <c r="ET165" s="1206">
        <v>2.1131874270000002</v>
      </c>
      <c r="EU165" s="1206">
        <v>3.1566427137800002</v>
      </c>
      <c r="EV165" s="1206">
        <v>5.8061171222499999</v>
      </c>
      <c r="EW165" s="1206">
        <v>4.2006477957078001</v>
      </c>
      <c r="EX165" s="1550">
        <v>18.6789463846589</v>
      </c>
      <c r="EY165" s="1206"/>
      <c r="EZ165" s="1206"/>
      <c r="FA165" s="1206"/>
      <c r="FB165" s="1206"/>
      <c r="FC165" s="1206"/>
      <c r="FD165" s="1206"/>
      <c r="FE165" s="1206"/>
      <c r="FF165" s="1206"/>
      <c r="FG165" s="1206"/>
      <c r="FH165" s="1206"/>
      <c r="FI165" s="1206"/>
      <c r="FJ165" s="1550"/>
      <c r="FK165" s="1206"/>
      <c r="FL165" s="1206"/>
      <c r="FM165" s="1206"/>
      <c r="FN165" s="1206"/>
      <c r="FO165" s="1206"/>
      <c r="FP165" s="1206"/>
      <c r="FQ165" s="316"/>
      <c r="FR165" s="316"/>
      <c r="FS165" s="316"/>
      <c r="FT165" s="316"/>
      <c r="FU165" s="316"/>
      <c r="FV165" s="316"/>
      <c r="FW165" s="316"/>
      <c r="FX165" s="316"/>
      <c r="FY165" s="316"/>
      <c r="FZ165" s="316"/>
      <c r="GA165" s="316"/>
      <c r="GB165" s="316"/>
      <c r="GC165" s="316"/>
      <c r="GD165" s="316"/>
      <c r="GE165" s="316"/>
      <c r="GF165" s="316"/>
      <c r="GG165" s="316"/>
      <c r="GH165" s="316"/>
      <c r="GI165" s="316"/>
      <c r="GJ165" s="316"/>
      <c r="GK165" s="316"/>
      <c r="GL165" s="316"/>
      <c r="GM165" s="316"/>
      <c r="GN165" s="316"/>
      <c r="GO165" s="316"/>
      <c r="GP165" s="316"/>
      <c r="GQ165" s="316"/>
      <c r="GR165" s="316"/>
      <c r="GS165" s="316"/>
      <c r="GT165" s="316"/>
      <c r="GU165" s="316"/>
      <c r="GV165" s="316"/>
      <c r="GW165" s="316"/>
      <c r="GX165" s="316"/>
      <c r="GY165" s="316"/>
      <c r="GZ165" s="316"/>
      <c r="HA165" s="316"/>
      <c r="HB165" s="316"/>
      <c r="HC165" s="316"/>
      <c r="HD165" s="316"/>
      <c r="HE165" s="316"/>
      <c r="HF165" s="316"/>
      <c r="HG165" s="316"/>
      <c r="HH165" s="316"/>
      <c r="HI165" s="316"/>
      <c r="HJ165" s="316"/>
      <c r="HK165" s="316"/>
      <c r="HL165" s="316"/>
      <c r="HM165" s="316"/>
      <c r="HV165" s="302">
        <f t="shared" si="29"/>
        <v>23.92052891368099</v>
      </c>
      <c r="HW165" s="302">
        <f t="shared" si="30"/>
        <v>39.252850050782484</v>
      </c>
      <c r="HX165" s="346">
        <f t="shared" si="32"/>
        <v>63.173378964463474</v>
      </c>
      <c r="HY165" s="302">
        <f t="shared" si="31"/>
        <v>23.308844208319996</v>
      </c>
      <c r="KH165" s="303"/>
    </row>
    <row r="166" spans="2:294" outlineLevel="1">
      <c r="B166" s="117" t="s">
        <v>361</v>
      </c>
      <c r="D166" s="837" t="s">
        <v>974</v>
      </c>
      <c r="E166" s="316">
        <v>8.2859976000000002E-2</v>
      </c>
      <c r="F166" s="316">
        <v>0.16503595200000001</v>
      </c>
      <c r="G166" s="316">
        <v>0.17309784099999997</v>
      </c>
      <c r="H166" s="316">
        <v>0.10336502</v>
      </c>
      <c r="I166" s="316">
        <v>0.16511506499999998</v>
      </c>
      <c r="J166" s="316">
        <v>0.131482351</v>
      </c>
      <c r="K166" s="316">
        <v>0.16324616</v>
      </c>
      <c r="L166" s="316">
        <v>0.118731292</v>
      </c>
      <c r="M166" s="316">
        <v>0.19509554199999998</v>
      </c>
      <c r="N166" s="316">
        <v>0.174894513</v>
      </c>
      <c r="O166" s="316">
        <v>0.222476967</v>
      </c>
      <c r="P166" s="316">
        <v>0.268511271</v>
      </c>
      <c r="Q166" s="316">
        <v>0.20507465899999999</v>
      </c>
      <c r="R166" s="316">
        <v>0.15452263600000002</v>
      </c>
      <c r="S166" s="316">
        <v>0.220413523</v>
      </c>
      <c r="T166" s="316">
        <v>0.21406782000000002</v>
      </c>
      <c r="U166" s="316">
        <v>0.298340991</v>
      </c>
      <c r="V166" s="316">
        <v>0.35117286999999997</v>
      </c>
      <c r="W166" s="316">
        <v>0.22110470900000001</v>
      </c>
      <c r="X166" s="316">
        <v>0.242172046</v>
      </c>
      <c r="Y166" s="316">
        <v>0.17682316000000001</v>
      </c>
      <c r="Z166" s="316">
        <v>0.51990341200000001</v>
      </c>
      <c r="AA166" s="316">
        <v>0.218234234</v>
      </c>
      <c r="AB166" s="316">
        <v>0.45526934999999996</v>
      </c>
      <c r="AC166" s="316">
        <v>0.26931620099999998</v>
      </c>
      <c r="AD166" s="316">
        <v>0.33779440799999999</v>
      </c>
      <c r="AE166" s="316"/>
      <c r="AF166" s="316"/>
      <c r="AG166" s="316"/>
      <c r="AH166" s="316"/>
      <c r="AI166" s="316"/>
      <c r="AJ166" s="316"/>
      <c r="AK166" s="316"/>
      <c r="AL166" s="316"/>
      <c r="AM166" s="316"/>
      <c r="AN166" s="316"/>
      <c r="AO166" s="316">
        <v>0.196153248</v>
      </c>
      <c r="AP166" s="316">
        <v>0.19036525399999998</v>
      </c>
      <c r="AQ166" s="316">
        <v>0.34630112499999999</v>
      </c>
      <c r="AR166" s="316">
        <v>0.227020694</v>
      </c>
      <c r="AS166" s="316">
        <v>0.257750388</v>
      </c>
      <c r="AT166" s="316">
        <v>0.45472782299999998</v>
      </c>
      <c r="AU166" s="316">
        <v>0.24982922700000001</v>
      </c>
      <c r="AV166" s="316">
        <v>0.23922501800000001</v>
      </c>
      <c r="AW166" s="316">
        <v>0.37884806900000001</v>
      </c>
      <c r="AX166" s="316">
        <v>0.34250576399999999</v>
      </c>
      <c r="AY166" s="316">
        <v>0.39769362999999996</v>
      </c>
      <c r="AZ166" s="316">
        <v>0.94291778299999995</v>
      </c>
      <c r="BA166" s="316">
        <v>0.34838310500000003</v>
      </c>
      <c r="BB166" s="316">
        <v>0.647634716</v>
      </c>
      <c r="BC166" s="316">
        <v>0.62676439700000008</v>
      </c>
      <c r="BD166" s="316">
        <v>0.40682602100000004</v>
      </c>
      <c r="BE166" s="316">
        <v>0.81953915700000002</v>
      </c>
      <c r="BF166" s="316">
        <v>0.778932768</v>
      </c>
      <c r="BG166" s="316">
        <v>0.244139104</v>
      </c>
      <c r="BH166" s="316">
        <v>0.27371716800000001</v>
      </c>
      <c r="BI166" s="316">
        <v>0.50362238800000003</v>
      </c>
      <c r="BJ166" s="316">
        <v>0.36476523500000002</v>
      </c>
      <c r="BK166" s="316">
        <v>0.48890773199999998</v>
      </c>
      <c r="BL166" s="316">
        <v>0.61282766100000008</v>
      </c>
      <c r="BM166" s="316">
        <v>0.439217833</v>
      </c>
      <c r="BN166" s="316">
        <v>0.33193173300000001</v>
      </c>
      <c r="BO166" s="316">
        <v>0.56106671699999999</v>
      </c>
      <c r="BP166" s="316">
        <v>0.408964039</v>
      </c>
      <c r="BQ166" s="316">
        <v>0.68557859900000007</v>
      </c>
      <c r="BR166" s="316">
        <v>1.2218266209999999</v>
      </c>
      <c r="BS166" s="316">
        <v>0.26509920899999995</v>
      </c>
      <c r="BT166" s="316">
        <v>0.311358409</v>
      </c>
      <c r="BU166" s="316">
        <v>0.33272854400000001</v>
      </c>
      <c r="BV166" s="316">
        <v>0.44320869099999999</v>
      </c>
      <c r="BW166" s="316">
        <v>0.428806407</v>
      </c>
      <c r="BX166" s="316">
        <v>0.482437797</v>
      </c>
      <c r="BY166" s="316">
        <v>0.55774439900000006</v>
      </c>
      <c r="BZ166" s="316">
        <v>0.61763383599999999</v>
      </c>
      <c r="CA166" s="316">
        <v>0.55639263300000008</v>
      </c>
      <c r="CB166" s="316">
        <v>0.741856764</v>
      </c>
      <c r="CC166" s="316">
        <v>1.3217968499999999</v>
      </c>
      <c r="CD166" s="316">
        <v>5.246621738</v>
      </c>
      <c r="CE166" s="317">
        <v>1.3203238610000001</v>
      </c>
      <c r="CF166" s="316">
        <v>1.389165301</v>
      </c>
      <c r="CG166" s="316">
        <v>3.7606967490000001</v>
      </c>
      <c r="CH166" s="316">
        <v>2.1167987259999999</v>
      </c>
      <c r="CI166" s="316">
        <v>1.7956255160000001</v>
      </c>
      <c r="CJ166" s="316">
        <v>4.2371013450000001</v>
      </c>
      <c r="CK166" s="316">
        <v>3.1968274889999999</v>
      </c>
      <c r="CL166" s="316">
        <v>2.4161053959999998</v>
      </c>
      <c r="CM166" s="316">
        <v>6.4522456100000003</v>
      </c>
      <c r="CN166" s="316">
        <v>2.4779051989999998</v>
      </c>
      <c r="CO166" s="316">
        <v>2.2255239680000001</v>
      </c>
      <c r="CP166" s="318">
        <v>6.0263560119999999</v>
      </c>
      <c r="CQ166" s="316">
        <v>2.2311876019999999</v>
      </c>
      <c r="CR166" s="316">
        <v>1.918543436</v>
      </c>
      <c r="CS166" s="316">
        <v>4.284906619</v>
      </c>
      <c r="CT166" s="316">
        <v>2.6855775980000001</v>
      </c>
      <c r="CU166" s="316">
        <v>1.9697711099999999</v>
      </c>
      <c r="CV166" s="316">
        <v>5.478342219</v>
      </c>
      <c r="CW166" s="316">
        <v>2.5727374530000002</v>
      </c>
      <c r="CX166" s="316">
        <v>2.4585565849999997</v>
      </c>
      <c r="CY166" s="316">
        <v>9.0165652919999992</v>
      </c>
      <c r="CZ166" s="316">
        <v>2.6706571810000002</v>
      </c>
      <c r="DA166" s="316">
        <v>2.6350649939999999</v>
      </c>
      <c r="DB166" s="1498">
        <v>6.2217882090000005</v>
      </c>
      <c r="DC166" s="316">
        <v>0</v>
      </c>
      <c r="DD166" s="316">
        <v>0</v>
      </c>
      <c r="DE166" s="316">
        <v>0</v>
      </c>
      <c r="DF166" s="316">
        <v>0</v>
      </c>
      <c r="DG166" s="316">
        <v>0</v>
      </c>
      <c r="DH166" s="316">
        <v>0</v>
      </c>
      <c r="DI166" s="316">
        <v>0</v>
      </c>
      <c r="DJ166" s="316">
        <v>0</v>
      </c>
      <c r="DK166" s="316">
        <v>0</v>
      </c>
      <c r="DL166" s="316">
        <v>0</v>
      </c>
      <c r="DM166" s="316">
        <v>0</v>
      </c>
      <c r="DN166" s="318">
        <v>0</v>
      </c>
      <c r="DO166" s="316">
        <v>0.54975971899999998</v>
      </c>
      <c r="DP166" s="316">
        <v>0.29241752999999998</v>
      </c>
      <c r="DQ166" s="316">
        <v>0.437009113</v>
      </c>
      <c r="DR166" s="316">
        <v>0.79850489999999996</v>
      </c>
      <c r="DS166" s="316">
        <v>0.44485152300000003</v>
      </c>
      <c r="DT166" s="316">
        <v>3.7465689983200003</v>
      </c>
      <c r="DU166" s="316">
        <v>2.6376689839999998</v>
      </c>
      <c r="DV166" s="316">
        <v>2.7793880120000001</v>
      </c>
      <c r="DW166" s="316">
        <v>12.21042539351</v>
      </c>
      <c r="DX166" s="316">
        <v>2.9634707929999999</v>
      </c>
      <c r="DY166" s="316">
        <v>2.9709478200000001</v>
      </c>
      <c r="DZ166" s="318">
        <v>9.1070064790000007</v>
      </c>
      <c r="EA166" s="316">
        <v>2.5543390484000001</v>
      </c>
      <c r="EB166" s="316">
        <v>2.570781942</v>
      </c>
      <c r="EC166" s="316">
        <v>6.3690921869999997</v>
      </c>
      <c r="ED166" s="316">
        <v>3.9890769093199996</v>
      </c>
      <c r="EE166" s="316">
        <v>2.9273490180000001</v>
      </c>
      <c r="EF166" s="316">
        <v>7.05606344</v>
      </c>
      <c r="EG166" s="316">
        <v>4.4427509479999996</v>
      </c>
      <c r="EH166" s="316">
        <v>3.144529591</v>
      </c>
      <c r="EI166" s="316">
        <v>11.286575149000001</v>
      </c>
      <c r="EJ166" s="316">
        <v>6.5450666343500004</v>
      </c>
      <c r="EK166" s="316">
        <v>3.73936129862</v>
      </c>
      <c r="EL166" s="318">
        <v>9.9488781455400002</v>
      </c>
      <c r="EM166" s="1206">
        <v>4.2648625525200003</v>
      </c>
      <c r="EN166" s="1206">
        <v>3.3784050229700004</v>
      </c>
      <c r="EO166" s="1206">
        <v>6.9588149448000003</v>
      </c>
      <c r="EP166" s="1206">
        <v>5.1830494212800033</v>
      </c>
      <c r="EQ166" s="1206">
        <v>3.4972906047799999</v>
      </c>
      <c r="ER166" s="1206">
        <v>8.4509687736900005</v>
      </c>
      <c r="ES166" s="1206">
        <v>3.9308500190792817</v>
      </c>
      <c r="ET166" s="1206">
        <v>3.5339681411495358</v>
      </c>
      <c r="EU166" s="1206">
        <v>8.6893718463646721</v>
      </c>
      <c r="EV166" s="1206">
        <v>9.9147277887095981</v>
      </c>
      <c r="EW166" s="1206">
        <v>3.5303540986520221</v>
      </c>
      <c r="EX166" s="1550">
        <v>7.5851078368856815</v>
      </c>
      <c r="EY166" s="1206"/>
      <c r="EZ166" s="1206"/>
      <c r="FA166" s="1206"/>
      <c r="FB166" s="1206"/>
      <c r="FC166" s="1206"/>
      <c r="FD166" s="1206"/>
      <c r="FE166" s="1206"/>
      <c r="FF166" s="1206"/>
      <c r="FG166" s="1206"/>
      <c r="FH166" s="1206"/>
      <c r="FI166" s="1206"/>
      <c r="FJ166" s="1550"/>
      <c r="FK166" s="1206"/>
      <c r="FL166" s="1206"/>
      <c r="FM166" s="1206"/>
      <c r="FN166" s="1206"/>
      <c r="FO166" s="1206"/>
      <c r="FP166" s="1206"/>
      <c r="FQ166" s="316"/>
      <c r="FR166" s="316"/>
      <c r="FS166" s="316"/>
      <c r="FT166" s="316"/>
      <c r="FU166" s="316"/>
      <c r="FV166" s="316"/>
      <c r="FW166" s="316"/>
      <c r="FX166" s="316"/>
      <c r="FY166" s="316"/>
      <c r="FZ166" s="316"/>
      <c r="GA166" s="316"/>
      <c r="GB166" s="316"/>
      <c r="GC166" s="316"/>
      <c r="GD166" s="316"/>
      <c r="GE166" s="316"/>
      <c r="GF166" s="316"/>
      <c r="GG166" s="316"/>
      <c r="GH166" s="316"/>
      <c r="GI166" s="316"/>
      <c r="GJ166" s="316"/>
      <c r="GK166" s="316"/>
      <c r="GL166" s="316"/>
      <c r="GM166" s="316"/>
      <c r="GN166" s="316"/>
      <c r="GO166" s="316"/>
      <c r="GP166" s="316"/>
      <c r="GQ166" s="316"/>
      <c r="GR166" s="316"/>
      <c r="GS166" s="316"/>
      <c r="GT166" s="316"/>
      <c r="GU166" s="316"/>
      <c r="GV166" s="316"/>
      <c r="GW166" s="316"/>
      <c r="GX166" s="316"/>
      <c r="GY166" s="316"/>
      <c r="GZ166" s="316"/>
      <c r="HA166" s="316"/>
      <c r="HB166" s="316"/>
      <c r="HC166" s="316"/>
      <c r="HD166" s="316"/>
      <c r="HE166" s="316"/>
      <c r="HF166" s="316"/>
      <c r="HG166" s="316"/>
      <c r="HH166" s="316"/>
      <c r="HI166" s="316"/>
      <c r="HJ166" s="316"/>
      <c r="HK166" s="316"/>
      <c r="HL166" s="316"/>
      <c r="HM166" s="316"/>
      <c r="HV166" s="302">
        <f t="shared" si="29"/>
        <v>0</v>
      </c>
      <c r="HW166" s="302">
        <f t="shared" si="30"/>
        <v>0</v>
      </c>
      <c r="HX166" s="346">
        <f t="shared" si="32"/>
        <v>0</v>
      </c>
      <c r="HY166" s="302">
        <f t="shared" si="31"/>
        <v>6.2691117833200005</v>
      </c>
      <c r="KH166" s="303"/>
    </row>
    <row r="167" spans="2:294" outlineLevel="1">
      <c r="B167" s="117" t="s">
        <v>361</v>
      </c>
      <c r="D167" s="324" t="s">
        <v>427</v>
      </c>
      <c r="E167" s="316">
        <v>0.238358191</v>
      </c>
      <c r="F167" s="316">
        <v>0.18387952999999999</v>
      </c>
      <c r="G167" s="316">
        <v>0.210464496</v>
      </c>
      <c r="H167" s="316">
        <v>0.23871889899999998</v>
      </c>
      <c r="I167" s="316">
        <v>0.27201345500000002</v>
      </c>
      <c r="J167" s="316">
        <v>0.32379832199999997</v>
      </c>
      <c r="K167" s="316">
        <v>0.29878358500000002</v>
      </c>
      <c r="L167" s="316">
        <v>0.31048377399999999</v>
      </c>
      <c r="M167" s="316">
        <v>0.275749205</v>
      </c>
      <c r="N167" s="316">
        <v>0.30920519600000002</v>
      </c>
      <c r="O167" s="316">
        <v>0.28850305900000001</v>
      </c>
      <c r="P167" s="316">
        <v>0.27270776299999999</v>
      </c>
      <c r="Q167" s="316">
        <v>0.40628608700000002</v>
      </c>
      <c r="R167" s="316">
        <v>0.311076513</v>
      </c>
      <c r="S167" s="316">
        <v>0.389669443</v>
      </c>
      <c r="T167" s="316">
        <v>0.37221179399999998</v>
      </c>
      <c r="U167" s="316">
        <v>0.45491973099999999</v>
      </c>
      <c r="V167" s="316">
        <v>0.41716711900000003</v>
      </c>
      <c r="W167" s="316">
        <v>0.48550777299999998</v>
      </c>
      <c r="X167" s="316">
        <v>0.59869240700000004</v>
      </c>
      <c r="Y167" s="316">
        <v>0.45298830099999998</v>
      </c>
      <c r="Z167" s="316">
        <v>0.46206413600000001</v>
      </c>
      <c r="AA167" s="316">
        <v>0.42233839200000001</v>
      </c>
      <c r="AB167" s="316">
        <v>0.50501086099999992</v>
      </c>
      <c r="AC167" s="316">
        <v>0.64308637699999993</v>
      </c>
      <c r="AD167" s="316">
        <v>0.49666346299999997</v>
      </c>
      <c r="AE167" s="316"/>
      <c r="AF167" s="316"/>
      <c r="AG167" s="316"/>
      <c r="AH167" s="316"/>
      <c r="AI167" s="316"/>
      <c r="AJ167" s="316"/>
      <c r="AK167" s="316"/>
      <c r="AL167" s="316"/>
      <c r="AM167" s="316"/>
      <c r="AN167" s="316"/>
      <c r="AO167" s="316">
        <v>0.42483074499999995</v>
      </c>
      <c r="AP167" s="316">
        <v>0.362651167</v>
      </c>
      <c r="AQ167" s="316">
        <v>0.39952210700000002</v>
      </c>
      <c r="AR167" s="316">
        <v>0.33570648199999997</v>
      </c>
      <c r="AS167" s="316">
        <v>0.42623475100000002</v>
      </c>
      <c r="AT167" s="316">
        <v>0.35481470300000001</v>
      </c>
      <c r="AU167" s="316">
        <v>0.38137179600000004</v>
      </c>
      <c r="AV167" s="316">
        <v>0.38885200099999995</v>
      </c>
      <c r="AW167" s="316">
        <v>0.41483142900000003</v>
      </c>
      <c r="AX167" s="316">
        <v>0.42466286400000003</v>
      </c>
      <c r="AY167" s="316">
        <v>0.42027895599999998</v>
      </c>
      <c r="AZ167" s="316">
        <v>0.445008344</v>
      </c>
      <c r="BA167" s="316">
        <v>0.57589281300000006</v>
      </c>
      <c r="BB167" s="316">
        <v>0.422776812</v>
      </c>
      <c r="BC167" s="316">
        <v>0.504913732</v>
      </c>
      <c r="BD167" s="316">
        <v>0.37376742600000001</v>
      </c>
      <c r="BE167" s="316">
        <v>0.383709354</v>
      </c>
      <c r="BF167" s="316">
        <v>0.45608096999999997</v>
      </c>
      <c r="BG167" s="316">
        <v>0.46703096199999999</v>
      </c>
      <c r="BH167" s="316">
        <v>0.497217513</v>
      </c>
      <c r="BI167" s="316">
        <v>0.545811822</v>
      </c>
      <c r="BJ167" s="316">
        <v>0.46694985100000003</v>
      </c>
      <c r="BK167" s="316">
        <v>0.48244527599999998</v>
      </c>
      <c r="BL167" s="316">
        <v>0.56815096700000001</v>
      </c>
      <c r="BM167" s="316">
        <v>0.73800288599999997</v>
      </c>
      <c r="BN167" s="316">
        <v>0.61570113800000004</v>
      </c>
      <c r="BO167" s="316">
        <v>0.65341421399999999</v>
      </c>
      <c r="BP167" s="316">
        <v>0.49567523899999999</v>
      </c>
      <c r="BQ167" s="316">
        <v>0.57674931800000007</v>
      </c>
      <c r="BR167" s="316">
        <v>0.50529670800000004</v>
      </c>
      <c r="BS167" s="316">
        <v>9.5521677999999999E-2</v>
      </c>
      <c r="BT167" s="316">
        <v>0.105622539</v>
      </c>
      <c r="BU167" s="316">
        <v>0.56036054599999996</v>
      </c>
      <c r="BV167" s="316">
        <v>0.64251579300000006</v>
      </c>
      <c r="BW167" s="316">
        <v>0.55771965899999998</v>
      </c>
      <c r="BX167" s="316">
        <v>0.53600350299999999</v>
      </c>
      <c r="BY167" s="316">
        <v>0.80682630300000002</v>
      </c>
      <c r="BZ167" s="316">
        <v>0.56963029600000004</v>
      </c>
      <c r="CA167" s="316">
        <v>0.52862445599999996</v>
      </c>
      <c r="CB167" s="316">
        <v>0.48679959500000003</v>
      </c>
      <c r="CC167" s="316">
        <v>0.56113712699999996</v>
      </c>
      <c r="CD167" s="316">
        <v>1.885120474</v>
      </c>
      <c r="CE167" s="317">
        <v>0.43775842799999998</v>
      </c>
      <c r="CF167" s="316">
        <v>0.63325853199999993</v>
      </c>
      <c r="CG167" s="316">
        <v>0.55241924600000003</v>
      </c>
      <c r="CH167" s="316">
        <v>0.595389689</v>
      </c>
      <c r="CI167" s="316">
        <v>0.87546887500000004</v>
      </c>
      <c r="CJ167" s="316">
        <v>0.96302336100000008</v>
      </c>
      <c r="CK167" s="316">
        <v>0.92613883200000002</v>
      </c>
      <c r="CL167" s="316">
        <v>0.82517180199999995</v>
      </c>
      <c r="CM167" s="316">
        <v>0.93490722700000006</v>
      </c>
      <c r="CN167" s="316">
        <v>0.91085353299999994</v>
      </c>
      <c r="CO167" s="316">
        <v>0.93224206100000007</v>
      </c>
      <c r="CP167" s="318">
        <v>1.6087429010000001</v>
      </c>
      <c r="CQ167" s="316">
        <v>0.80325418900000001</v>
      </c>
      <c r="CR167" s="316">
        <v>0.64387652000000006</v>
      </c>
      <c r="CS167" s="316">
        <v>0.77465740400000005</v>
      </c>
      <c r="CT167" s="316">
        <v>1.4158631419999999</v>
      </c>
      <c r="CU167" s="316">
        <v>0.718553212</v>
      </c>
      <c r="CV167" s="316">
        <v>1.045601652</v>
      </c>
      <c r="CW167" s="316">
        <v>0.63456845799999995</v>
      </c>
      <c r="CX167" s="316">
        <v>0.83867577900000001</v>
      </c>
      <c r="CY167" s="316">
        <v>0.80749045200000003</v>
      </c>
      <c r="CZ167" s="316">
        <v>1.032675365</v>
      </c>
      <c r="DA167" s="316">
        <v>0.93099811999999993</v>
      </c>
      <c r="DB167" s="1498">
        <v>1.504073797</v>
      </c>
      <c r="DC167" s="316">
        <v>1.0974710992800216</v>
      </c>
      <c r="DD167" s="316">
        <v>0.74212128454311965</v>
      </c>
      <c r="DE167" s="316">
        <v>2.2266938412405284</v>
      </c>
      <c r="DF167" s="316">
        <v>2.0961486540846499</v>
      </c>
      <c r="DG167" s="316">
        <v>1.4777879853964331</v>
      </c>
      <c r="DH167" s="316">
        <v>1.6341915034027055</v>
      </c>
      <c r="DI167" s="316">
        <v>0.74921633407102295</v>
      </c>
      <c r="DJ167" s="316">
        <v>0.93989180587193821</v>
      </c>
      <c r="DK167" s="316">
        <v>1.9052163866592489</v>
      </c>
      <c r="DL167" s="316">
        <v>1.13536108929511</v>
      </c>
      <c r="DM167" s="316">
        <v>1.2882108565745227</v>
      </c>
      <c r="DN167" s="318">
        <v>2.8429498702577267</v>
      </c>
      <c r="DO167" s="316">
        <v>1.9738792970000001</v>
      </c>
      <c r="DP167" s="316">
        <v>2.085350864</v>
      </c>
      <c r="DQ167" s="316">
        <v>6.432214793</v>
      </c>
      <c r="DR167" s="316">
        <v>2.193174451</v>
      </c>
      <c r="DS167" s="316">
        <v>2.154945643</v>
      </c>
      <c r="DT167" s="316">
        <v>6.5718737695072731</v>
      </c>
      <c r="DU167" s="316">
        <v>0.449085293</v>
      </c>
      <c r="DV167" s="316">
        <v>0.493420466</v>
      </c>
      <c r="DW167" s="316">
        <v>0.75390674599999996</v>
      </c>
      <c r="DX167" s="316">
        <v>0.924633174</v>
      </c>
      <c r="DY167" s="316">
        <v>0.81351630600000002</v>
      </c>
      <c r="DZ167" s="318">
        <v>2.3891759110000002</v>
      </c>
      <c r="EA167" s="316">
        <v>0.32607398900000001</v>
      </c>
      <c r="EB167" s="316">
        <v>0.30052999899999999</v>
      </c>
      <c r="EC167" s="316">
        <v>0.42425116299999999</v>
      </c>
      <c r="ED167" s="316">
        <v>0.98424073199999995</v>
      </c>
      <c r="EE167" s="316">
        <v>0.73582027299999997</v>
      </c>
      <c r="EF167" s="316">
        <v>1.1198518319999999</v>
      </c>
      <c r="EG167" s="316">
        <v>0.88174038399999999</v>
      </c>
      <c r="EH167" s="316">
        <v>0.71340476500000005</v>
      </c>
      <c r="EI167" s="316">
        <v>1.4998148529999999</v>
      </c>
      <c r="EJ167" s="316">
        <v>1.2536009363499998</v>
      </c>
      <c r="EK167" s="316">
        <v>1.3194990874300001</v>
      </c>
      <c r="EL167" s="318">
        <v>2.3643062660399998</v>
      </c>
      <c r="EM167" s="1206">
        <v>0.36576358599999997</v>
      </c>
      <c r="EN167" s="1206">
        <v>1.041379144</v>
      </c>
      <c r="EO167" s="1206">
        <v>0.81745553599999998</v>
      </c>
      <c r="EP167" s="1206">
        <v>1.50210788968</v>
      </c>
      <c r="EQ167" s="1206">
        <v>0.91721744599999999</v>
      </c>
      <c r="ER167" s="1206">
        <v>0.80780859800000004</v>
      </c>
      <c r="ES167" s="1206">
        <v>0.88441181300000005</v>
      </c>
      <c r="ET167" s="1206">
        <v>1.0682089880000001</v>
      </c>
      <c r="EU167" s="1206">
        <v>0.85423960399999999</v>
      </c>
      <c r="EV167" s="1206">
        <v>1.4936174532499999</v>
      </c>
      <c r="EW167" s="1206">
        <v>0.8772453398861999</v>
      </c>
      <c r="EX167" s="1550">
        <v>1.4849746738766501</v>
      </c>
      <c r="EY167" s="1206"/>
      <c r="EZ167" s="1206"/>
      <c r="FA167" s="1206"/>
      <c r="FB167" s="1206"/>
      <c r="FC167" s="1206"/>
      <c r="FD167" s="1206"/>
      <c r="FE167" s="1206"/>
      <c r="FF167" s="1206"/>
      <c r="FG167" s="1206"/>
      <c r="FH167" s="1206"/>
      <c r="FI167" s="1206"/>
      <c r="FJ167" s="1550"/>
      <c r="FK167" s="1206"/>
      <c r="FL167" s="1206"/>
      <c r="FM167" s="1206"/>
      <c r="FN167" s="1206"/>
      <c r="FO167" s="1206"/>
      <c r="FP167" s="1206"/>
      <c r="FQ167" s="316"/>
      <c r="FR167" s="316"/>
      <c r="FS167" s="316"/>
      <c r="FT167" s="316"/>
      <c r="FU167" s="316"/>
      <c r="FV167" s="316"/>
      <c r="FW167" s="316"/>
      <c r="FX167" s="316"/>
      <c r="FY167" s="316"/>
      <c r="FZ167" s="316"/>
      <c r="GA167" s="316"/>
      <c r="GB167" s="316"/>
      <c r="GC167" s="316"/>
      <c r="GD167" s="316"/>
      <c r="GE167" s="316"/>
      <c r="GF167" s="316"/>
      <c r="GG167" s="316"/>
      <c r="GH167" s="316"/>
      <c r="GI167" s="316"/>
      <c r="GJ167" s="316"/>
      <c r="GK167" s="316"/>
      <c r="GL167" s="316"/>
      <c r="GM167" s="316"/>
      <c r="GN167" s="316"/>
      <c r="GO167" s="316"/>
      <c r="GP167" s="316"/>
      <c r="GQ167" s="316"/>
      <c r="GR167" s="316"/>
      <c r="GS167" s="316"/>
      <c r="GT167" s="316"/>
      <c r="GU167" s="316"/>
      <c r="GV167" s="316"/>
      <c r="GW167" s="316"/>
      <c r="GX167" s="316"/>
      <c r="GY167" s="316"/>
      <c r="GZ167" s="316"/>
      <c r="HA167" s="316"/>
      <c r="HB167" s="316"/>
      <c r="HC167" s="316"/>
      <c r="HD167" s="316"/>
      <c r="HE167" s="316"/>
      <c r="HF167" s="316"/>
      <c r="HG167" s="316"/>
      <c r="HH167" s="316"/>
      <c r="HI167" s="316"/>
      <c r="HJ167" s="316"/>
      <c r="HK167" s="316"/>
      <c r="HL167" s="316"/>
      <c r="HM167" s="316"/>
      <c r="HV167" s="302">
        <f t="shared" si="29"/>
        <v>9.2744143679474575</v>
      </c>
      <c r="HW167" s="302">
        <f t="shared" si="30"/>
        <v>8.8608463427295696</v>
      </c>
      <c r="HX167" s="346">
        <f t="shared" si="32"/>
        <v>18.135260710677027</v>
      </c>
      <c r="HY167" s="302">
        <f t="shared" si="31"/>
        <v>21.411438817507271</v>
      </c>
      <c r="KH167" s="303"/>
    </row>
    <row r="168" spans="2:294" outlineLevel="1">
      <c r="B168" s="117" t="s">
        <v>361</v>
      </c>
      <c r="D168" s="324" t="s">
        <v>428</v>
      </c>
      <c r="E168" s="316"/>
      <c r="F168" s="316"/>
      <c r="G168" s="316"/>
      <c r="H168" s="316"/>
      <c r="I168" s="316"/>
      <c r="J168" s="316"/>
      <c r="K168" s="316"/>
      <c r="L168" s="316"/>
      <c r="M168" s="316"/>
      <c r="N168" s="316"/>
      <c r="O168" s="316"/>
      <c r="P168" s="316"/>
      <c r="Q168" s="316"/>
      <c r="R168" s="316"/>
      <c r="S168" s="316"/>
      <c r="T168" s="316"/>
      <c r="U168" s="316"/>
      <c r="V168" s="316"/>
      <c r="W168" s="316"/>
      <c r="X168" s="316"/>
      <c r="Y168" s="316"/>
      <c r="Z168" s="316"/>
      <c r="AA168" s="316"/>
      <c r="AB168" s="316"/>
      <c r="AC168" s="316"/>
      <c r="AD168" s="316"/>
      <c r="AE168" s="316"/>
      <c r="AF168" s="316"/>
      <c r="AG168" s="316"/>
      <c r="AH168" s="316"/>
      <c r="AI168" s="316"/>
      <c r="AJ168" s="316"/>
      <c r="AK168" s="316"/>
      <c r="AL168" s="316"/>
      <c r="AM168" s="316"/>
      <c r="AN168" s="316"/>
      <c r="AO168" s="316">
        <v>0</v>
      </c>
      <c r="AP168" s="316">
        <v>0</v>
      </c>
      <c r="AQ168" s="316">
        <v>0</v>
      </c>
      <c r="AR168" s="316">
        <v>0</v>
      </c>
      <c r="AS168" s="316">
        <v>0</v>
      </c>
      <c r="AT168" s="316">
        <v>0</v>
      </c>
      <c r="AU168" s="316">
        <v>0</v>
      </c>
      <c r="AV168" s="316">
        <v>0</v>
      </c>
      <c r="AW168" s="316">
        <v>0</v>
      </c>
      <c r="AX168" s="316">
        <v>0</v>
      </c>
      <c r="AY168" s="316">
        <v>0</v>
      </c>
      <c r="AZ168" s="316">
        <v>0</v>
      </c>
      <c r="BA168" s="316">
        <v>0</v>
      </c>
      <c r="BB168" s="316">
        <v>0</v>
      </c>
      <c r="BC168" s="316">
        <v>0</v>
      </c>
      <c r="BD168" s="316">
        <v>0</v>
      </c>
      <c r="BE168" s="316">
        <v>0</v>
      </c>
      <c r="BF168" s="316">
        <v>0</v>
      </c>
      <c r="BG168" s="316">
        <v>0</v>
      </c>
      <c r="BH168" s="316">
        <v>0</v>
      </c>
      <c r="BI168" s="316">
        <v>0</v>
      </c>
      <c r="BJ168" s="316">
        <v>0</v>
      </c>
      <c r="BK168" s="316">
        <v>0</v>
      </c>
      <c r="BL168" s="316">
        <v>0</v>
      </c>
      <c r="BM168" s="316">
        <v>0</v>
      </c>
      <c r="BN168" s="316">
        <v>0</v>
      </c>
      <c r="BO168" s="316">
        <v>0</v>
      </c>
      <c r="BP168" s="316">
        <v>0</v>
      </c>
      <c r="BQ168" s="316">
        <v>0</v>
      </c>
      <c r="BR168" s="316">
        <v>0</v>
      </c>
      <c r="BS168" s="316">
        <v>0</v>
      </c>
      <c r="BT168" s="316">
        <v>0</v>
      </c>
      <c r="BU168" s="316">
        <v>0</v>
      </c>
      <c r="BV168" s="316">
        <v>0</v>
      </c>
      <c r="BW168" s="316">
        <v>0</v>
      </c>
      <c r="BX168" s="316">
        <v>0</v>
      </c>
      <c r="BY168" s="316">
        <v>0</v>
      </c>
      <c r="BZ168" s="316">
        <v>0</v>
      </c>
      <c r="CA168" s="316">
        <v>0</v>
      </c>
      <c r="CB168" s="316">
        <v>0</v>
      </c>
      <c r="CC168" s="316">
        <v>0</v>
      </c>
      <c r="CD168" s="316">
        <v>0.58233988599999997</v>
      </c>
      <c r="CE168" s="317">
        <v>0.629318661</v>
      </c>
      <c r="CF168" s="316">
        <v>0.51800916099999994</v>
      </c>
      <c r="CG168" s="316">
        <v>0.65416573500000008</v>
      </c>
      <c r="CH168" s="316">
        <v>0.73373279300000005</v>
      </c>
      <c r="CI168" s="316">
        <v>0.68884042699999992</v>
      </c>
      <c r="CJ168" s="316">
        <v>0.79292907999999995</v>
      </c>
      <c r="CK168" s="316">
        <v>1.7612558650000001</v>
      </c>
      <c r="CL168" s="316">
        <v>1.3336675900000001</v>
      </c>
      <c r="CM168" s="316">
        <v>1.1453635799999999</v>
      </c>
      <c r="CN168" s="316">
        <v>1.0733166859999999</v>
      </c>
      <c r="CO168" s="316">
        <v>0.90512822500000001</v>
      </c>
      <c r="CP168" s="318">
        <v>0.91321000000000008</v>
      </c>
      <c r="CQ168" s="316">
        <v>1.045705076</v>
      </c>
      <c r="CR168" s="316">
        <v>0.91168561699999995</v>
      </c>
      <c r="CS168" s="316">
        <v>0.83871854099999998</v>
      </c>
      <c r="CT168" s="316">
        <v>0.89537611900000003</v>
      </c>
      <c r="CU168" s="316">
        <v>0.819195275</v>
      </c>
      <c r="CV168" s="316">
        <v>0.99368840699999994</v>
      </c>
      <c r="CW168" s="316">
        <v>1.4450589490000001</v>
      </c>
      <c r="CX168" s="316">
        <v>1.188117052</v>
      </c>
      <c r="CY168" s="316">
        <v>1.0391329629999999</v>
      </c>
      <c r="CZ168" s="316">
        <v>1.1788147710000001</v>
      </c>
      <c r="DA168" s="316">
        <v>1.3849562040000001</v>
      </c>
      <c r="DB168" s="1498">
        <v>1.2800448759999998</v>
      </c>
      <c r="DC168" s="316">
        <v>1.1815283690096601</v>
      </c>
      <c r="DD168" s="316">
        <v>1.1360161009769265</v>
      </c>
      <c r="DE168" s="316">
        <v>1.3817463324811157</v>
      </c>
      <c r="DF168" s="316">
        <v>1.3352885586515719</v>
      </c>
      <c r="DG168" s="316">
        <v>1.1787494252211799</v>
      </c>
      <c r="DH168" s="316">
        <v>1.3609376436596159</v>
      </c>
      <c r="DI168" s="316">
        <v>1.589835722361155</v>
      </c>
      <c r="DJ168" s="316">
        <v>1.4502970102299795</v>
      </c>
      <c r="DK168" s="316">
        <v>1.4444443470333748</v>
      </c>
      <c r="DL168" s="316">
        <v>1.3604568425000505</v>
      </c>
      <c r="DM168" s="316">
        <v>1.609112713502624</v>
      </c>
      <c r="DN168" s="318">
        <v>1.5221480519397466</v>
      </c>
      <c r="DO168" s="316">
        <v>0.40206831700000001</v>
      </c>
      <c r="DP168" s="316">
        <v>0.36239810300000003</v>
      </c>
      <c r="DQ168" s="316">
        <v>0.438039175</v>
      </c>
      <c r="DR168" s="316">
        <v>0.413038452</v>
      </c>
      <c r="DS168" s="316">
        <v>0.31101383999999999</v>
      </c>
      <c r="DT168" s="316">
        <v>0.52413685988000003</v>
      </c>
      <c r="DU168" s="316">
        <v>1.5071562679999999</v>
      </c>
      <c r="DV168" s="316">
        <v>1.523155217</v>
      </c>
      <c r="DW168" s="316">
        <v>1.4732986830000001</v>
      </c>
      <c r="DX168" s="316">
        <v>1.308768213</v>
      </c>
      <c r="DY168" s="316">
        <v>1.4789923279999999</v>
      </c>
      <c r="DZ168" s="318">
        <v>1.5219058860000001</v>
      </c>
      <c r="EA168" s="316">
        <v>1.551301646</v>
      </c>
      <c r="EB168" s="316">
        <v>1.670932079</v>
      </c>
      <c r="EC168" s="316">
        <v>1.6919992159999999</v>
      </c>
      <c r="ED168" s="316">
        <v>1.7413080249999999</v>
      </c>
      <c r="EE168" s="316">
        <v>1.5599056609999999</v>
      </c>
      <c r="EF168" s="316">
        <v>1.7685579</v>
      </c>
      <c r="EG168" s="316">
        <v>2.4212169239999999</v>
      </c>
      <c r="EH168" s="316">
        <v>1.5724289149999999</v>
      </c>
      <c r="EI168" s="316">
        <v>1.8917757909999999</v>
      </c>
      <c r="EJ168" s="316">
        <v>1.376678697</v>
      </c>
      <c r="EK168" s="316">
        <v>1.6472211219999999</v>
      </c>
      <c r="EL168" s="318">
        <v>1.8226267380000001</v>
      </c>
      <c r="EM168" s="1206">
        <v>1.787913909</v>
      </c>
      <c r="EN168" s="1206">
        <v>1.631251279</v>
      </c>
      <c r="EO168" s="1206">
        <v>1.5691092040000001</v>
      </c>
      <c r="EP168" s="1206">
        <v>1.592724517</v>
      </c>
      <c r="EQ168" s="1206">
        <v>1.6711957230000001</v>
      </c>
      <c r="ER168" s="1206">
        <v>1.627535891</v>
      </c>
      <c r="ES168" s="1206">
        <v>2.374728755</v>
      </c>
      <c r="ET168" s="1206">
        <v>1.901340464</v>
      </c>
      <c r="EU168" s="1206">
        <v>1.634244034</v>
      </c>
      <c r="EV168" s="1206">
        <v>1.9430238609999999</v>
      </c>
      <c r="EW168" s="1206">
        <v>1.774636632</v>
      </c>
      <c r="EX168" s="1550">
        <v>1.579133259</v>
      </c>
      <c r="EY168" s="1206"/>
      <c r="EZ168" s="1206"/>
      <c r="FA168" s="1206"/>
      <c r="FB168" s="1206"/>
      <c r="FC168" s="1206"/>
      <c r="FD168" s="1206"/>
      <c r="FE168" s="1206"/>
      <c r="FF168" s="1206"/>
      <c r="FG168" s="1206"/>
      <c r="FH168" s="1206"/>
      <c r="FI168" s="1206"/>
      <c r="FJ168" s="1550"/>
      <c r="FK168" s="1206"/>
      <c r="FL168" s="1206"/>
      <c r="FM168" s="1206"/>
      <c r="FN168" s="1206"/>
      <c r="FO168" s="1206"/>
      <c r="FP168" s="1206"/>
      <c r="FQ168" s="316"/>
      <c r="FR168" s="316"/>
      <c r="FS168" s="316"/>
      <c r="FT168" s="316"/>
      <c r="FU168" s="316"/>
      <c r="FV168" s="316"/>
      <c r="FW168" s="316"/>
      <c r="FX168" s="316"/>
      <c r="FY168" s="316"/>
      <c r="FZ168" s="316"/>
      <c r="GA168" s="316"/>
      <c r="GB168" s="316"/>
      <c r="GC168" s="316"/>
      <c r="GD168" s="316"/>
      <c r="GE168" s="316"/>
      <c r="GF168" s="316"/>
      <c r="GG168" s="316"/>
      <c r="GH168" s="316"/>
      <c r="GI168" s="316"/>
      <c r="GJ168" s="316"/>
      <c r="GK168" s="316"/>
      <c r="GL168" s="316"/>
      <c r="GM168" s="316"/>
      <c r="GN168" s="316"/>
      <c r="GO168" s="316"/>
      <c r="GP168" s="316"/>
      <c r="GQ168" s="316"/>
      <c r="GR168" s="316"/>
      <c r="GS168" s="316"/>
      <c r="GT168" s="316"/>
      <c r="GU168" s="316"/>
      <c r="GV168" s="316"/>
      <c r="GW168" s="316"/>
      <c r="GX168" s="316"/>
      <c r="GY168" s="316"/>
      <c r="GZ168" s="316"/>
      <c r="HA168" s="316"/>
      <c r="HB168" s="316"/>
      <c r="HC168" s="316"/>
      <c r="HD168" s="316"/>
      <c r="HE168" s="316"/>
      <c r="HF168" s="316"/>
      <c r="HG168" s="316"/>
      <c r="HH168" s="316"/>
      <c r="HI168" s="316"/>
      <c r="HJ168" s="316"/>
      <c r="HK168" s="316"/>
      <c r="HL168" s="316"/>
      <c r="HM168" s="316"/>
      <c r="HV168" s="302">
        <f t="shared" si="29"/>
        <v>7.5742664300000699</v>
      </c>
      <c r="HW168" s="302">
        <f t="shared" si="30"/>
        <v>8.9762946875669307</v>
      </c>
      <c r="HX168" s="346">
        <f t="shared" si="32"/>
        <v>16.550561117567</v>
      </c>
      <c r="HY168" s="302">
        <f t="shared" si="31"/>
        <v>2.45069474688</v>
      </c>
      <c r="KH168" s="303"/>
    </row>
    <row r="169" spans="2:294" outlineLevel="1">
      <c r="B169" s="117" t="s">
        <v>361</v>
      </c>
      <c r="D169" s="333" t="s">
        <v>429</v>
      </c>
      <c r="E169" s="316">
        <v>0.51043588899999992</v>
      </c>
      <c r="F169" s="316">
        <v>0.59533349299999994</v>
      </c>
      <c r="G169" s="316">
        <v>0.16881130599999999</v>
      </c>
      <c r="H169" s="316">
        <v>0.190505955</v>
      </c>
      <c r="I169" s="316">
        <v>0.59769560899999996</v>
      </c>
      <c r="J169" s="316">
        <v>0.67156816200000002</v>
      </c>
      <c r="K169" s="316">
        <v>0.14309806</v>
      </c>
      <c r="L169" s="316">
        <v>0.34538849800000004</v>
      </c>
      <c r="M169" s="316">
        <v>0.23676393900000001</v>
      </c>
      <c r="N169" s="316">
        <v>0.51891846099999994</v>
      </c>
      <c r="O169" s="316">
        <v>0.27233487100000003</v>
      </c>
      <c r="P169" s="316">
        <v>0.349337703</v>
      </c>
      <c r="Q169" s="316">
        <v>0.22770505199999999</v>
      </c>
      <c r="R169" s="316">
        <v>0.35053569000000001</v>
      </c>
      <c r="S169" s="316">
        <v>0.39753375399999996</v>
      </c>
      <c r="T169" s="316">
        <v>3.467868824</v>
      </c>
      <c r="U169" s="316">
        <v>0.428436229</v>
      </c>
      <c r="V169" s="316">
        <v>2.5673598780000004</v>
      </c>
      <c r="W169" s="316">
        <v>0.162958561</v>
      </c>
      <c r="X169" s="316">
        <v>0.118537937</v>
      </c>
      <c r="Y169" s="316">
        <v>0.10518528000000001</v>
      </c>
      <c r="Z169" s="316">
        <v>0.106033959</v>
      </c>
      <c r="AA169" s="316">
        <v>4.6348655999999995E-2</v>
      </c>
      <c r="AB169" s="316">
        <v>9.9991527000000011E-2</v>
      </c>
      <c r="AC169" s="316">
        <v>9.0436375999999999E-2</v>
      </c>
      <c r="AD169" s="316">
        <v>0.11741546</v>
      </c>
      <c r="AE169" s="316"/>
      <c r="AF169" s="316"/>
      <c r="AG169" s="316"/>
      <c r="AH169" s="316"/>
      <c r="AI169" s="316"/>
      <c r="AJ169" s="316"/>
      <c r="AK169" s="316"/>
      <c r="AL169" s="316"/>
      <c r="AM169" s="316"/>
      <c r="AN169" s="316"/>
      <c r="AO169" s="316">
        <v>7.1936314000000001E-2</v>
      </c>
      <c r="AP169" s="316">
        <v>6.4749290000000001E-2</v>
      </c>
      <c r="AQ169" s="316">
        <v>0.108295673</v>
      </c>
      <c r="AR169" s="316">
        <v>9.3889595000000006E-2</v>
      </c>
      <c r="AS169" s="316">
        <v>5.6345526999999999E-2</v>
      </c>
      <c r="AT169" s="316">
        <v>0.16628030200000002</v>
      </c>
      <c r="AU169" s="316">
        <v>8.6632199999999993E-2</v>
      </c>
      <c r="AV169" s="316">
        <v>7.129563400000001E-2</v>
      </c>
      <c r="AW169" s="316">
        <v>7.7075128000000007E-2</v>
      </c>
      <c r="AX169" s="316">
        <v>0.23618899500000001</v>
      </c>
      <c r="AY169" s="316">
        <v>0.29053895599999996</v>
      </c>
      <c r="AZ169" s="316">
        <v>0.13944986499999998</v>
      </c>
      <c r="BA169" s="316">
        <v>0.124351133</v>
      </c>
      <c r="BB169" s="316">
        <v>0.15509736499999999</v>
      </c>
      <c r="BC169" s="316">
        <v>0.107538148</v>
      </c>
      <c r="BD169" s="316">
        <v>0.116377364</v>
      </c>
      <c r="BE169" s="316">
        <v>0.25902786500000002</v>
      </c>
      <c r="BF169" s="316">
        <v>0.13770755900000001</v>
      </c>
      <c r="BG169" s="316">
        <v>6.7470583000000001E-2</v>
      </c>
      <c r="BH169" s="316">
        <v>0.12195373</v>
      </c>
      <c r="BI169" s="316">
        <v>2.3297788E-2</v>
      </c>
      <c r="BJ169" s="316">
        <v>2.3415128E-2</v>
      </c>
      <c r="BK169" s="316">
        <v>2.2793759E-2</v>
      </c>
      <c r="BL169" s="316">
        <v>0.28776921</v>
      </c>
      <c r="BM169" s="316">
        <v>5.3154139999999992E-3</v>
      </c>
      <c r="BN169" s="316">
        <v>0</v>
      </c>
      <c r="BO169" s="316">
        <v>0</v>
      </c>
      <c r="BP169" s="316">
        <v>0</v>
      </c>
      <c r="BQ169" s="316">
        <v>1.19505E-4</v>
      </c>
      <c r="BR169" s="316">
        <v>4.043807E-3</v>
      </c>
      <c r="BS169" s="316">
        <v>0</v>
      </c>
      <c r="BT169" s="316">
        <v>0</v>
      </c>
      <c r="BU169" s="316">
        <v>1.7999999999999999E-6</v>
      </c>
      <c r="BV169" s="316">
        <v>1.55382E-4</v>
      </c>
      <c r="BW169" s="316">
        <v>0</v>
      </c>
      <c r="BX169" s="316">
        <v>0</v>
      </c>
      <c r="BY169" s="316">
        <v>0</v>
      </c>
      <c r="BZ169" s="316">
        <v>0</v>
      </c>
      <c r="CA169" s="316">
        <v>0</v>
      </c>
      <c r="CB169" s="316">
        <v>0</v>
      </c>
      <c r="CC169" s="316">
        <v>0</v>
      </c>
      <c r="CD169" s="316">
        <v>0</v>
      </c>
      <c r="CE169" s="317">
        <v>0</v>
      </c>
      <c r="CF169" s="316">
        <v>0</v>
      </c>
      <c r="CG169" s="316">
        <v>0</v>
      </c>
      <c r="CH169" s="316">
        <v>0</v>
      </c>
      <c r="CI169" s="316">
        <v>0</v>
      </c>
      <c r="CJ169" s="316">
        <v>0</v>
      </c>
      <c r="CK169" s="316">
        <v>0</v>
      </c>
      <c r="CL169" s="316">
        <v>0</v>
      </c>
      <c r="CM169" s="316">
        <v>0</v>
      </c>
      <c r="CN169" s="316">
        <v>0</v>
      </c>
      <c r="CO169" s="316">
        <v>0</v>
      </c>
      <c r="CP169" s="318">
        <v>0</v>
      </c>
      <c r="CQ169" s="316">
        <v>6.9235546999999995E-2</v>
      </c>
      <c r="CR169" s="316">
        <v>7.3780362999999988E-2</v>
      </c>
      <c r="CS169" s="316">
        <v>1.0280086000000001E-2</v>
      </c>
      <c r="CT169" s="316">
        <v>2.9247924999999998E-2</v>
      </c>
      <c r="CU169" s="316">
        <v>3.5117239999999999E-3</v>
      </c>
      <c r="CV169" s="316">
        <v>9.5607241999999995E-2</v>
      </c>
      <c r="CW169" s="316">
        <v>6.3483958000000007E-2</v>
      </c>
      <c r="CX169" s="316">
        <v>3.7016286000000002E-2</v>
      </c>
      <c r="CY169" s="316">
        <v>4.3501970000000001E-2</v>
      </c>
      <c r="CZ169" s="316">
        <v>0.120280361</v>
      </c>
      <c r="DA169" s="316">
        <v>0.47558393300000001</v>
      </c>
      <c r="DB169" s="1498">
        <v>0.114127432</v>
      </c>
      <c r="DC169" s="316">
        <v>0</v>
      </c>
      <c r="DD169" s="316">
        <v>0</v>
      </c>
      <c r="DE169" s="316">
        <v>0</v>
      </c>
      <c r="DF169" s="316">
        <v>0</v>
      </c>
      <c r="DG169" s="316">
        <v>0</v>
      </c>
      <c r="DH169" s="316">
        <v>0</v>
      </c>
      <c r="DI169" s="316">
        <v>0</v>
      </c>
      <c r="DJ169" s="316">
        <v>0</v>
      </c>
      <c r="DK169" s="316">
        <v>0</v>
      </c>
      <c r="DL169" s="316">
        <v>0</v>
      </c>
      <c r="DM169" s="316">
        <v>0</v>
      </c>
      <c r="DN169" s="318">
        <v>0</v>
      </c>
      <c r="DO169" s="316">
        <v>1.1567251160000001</v>
      </c>
      <c r="DP169" s="316">
        <v>1.324632807</v>
      </c>
      <c r="DQ169" s="316">
        <v>1.4323874729999999</v>
      </c>
      <c r="DR169" s="316">
        <v>1.2586472609999999</v>
      </c>
      <c r="DS169" s="316">
        <v>1.336750181</v>
      </c>
      <c r="DT169" s="316">
        <v>1.403390965</v>
      </c>
      <c r="DU169" s="316">
        <v>0</v>
      </c>
      <c r="DV169" s="316">
        <v>0</v>
      </c>
      <c r="DW169" s="316">
        <v>0</v>
      </c>
      <c r="DX169" s="316">
        <v>0</v>
      </c>
      <c r="DY169" s="316">
        <v>0</v>
      </c>
      <c r="DZ169" s="318">
        <v>0</v>
      </c>
      <c r="EA169" s="316">
        <v>0</v>
      </c>
      <c r="EB169" s="316">
        <v>0</v>
      </c>
      <c r="EC169" s="316">
        <v>0</v>
      </c>
      <c r="ED169" s="316">
        <v>0</v>
      </c>
      <c r="EE169" s="316">
        <v>0</v>
      </c>
      <c r="EF169" s="316">
        <v>0</v>
      </c>
      <c r="EG169" s="316">
        <v>0</v>
      </c>
      <c r="EH169" s="316">
        <v>0</v>
      </c>
      <c r="EI169" s="316">
        <v>0</v>
      </c>
      <c r="EJ169" s="316">
        <v>0</v>
      </c>
      <c r="EK169" s="316">
        <v>0</v>
      </c>
      <c r="EL169" s="318">
        <v>0</v>
      </c>
      <c r="EM169" s="1206"/>
      <c r="EN169" s="1206"/>
      <c r="EO169" s="1206"/>
      <c r="EP169" s="1206"/>
      <c r="EQ169" s="1206"/>
      <c r="ER169" s="1206"/>
      <c r="ES169" s="1206"/>
      <c r="ET169" s="1206"/>
      <c r="EU169" s="1206"/>
      <c r="EV169" s="1206"/>
      <c r="EW169" s="1206"/>
      <c r="EX169" s="1550"/>
      <c r="EY169" s="1206"/>
      <c r="EZ169" s="1206"/>
      <c r="FA169" s="1206"/>
      <c r="FB169" s="1206"/>
      <c r="FC169" s="1206"/>
      <c r="FD169" s="1206"/>
      <c r="FE169" s="1206"/>
      <c r="FF169" s="1206"/>
      <c r="FG169" s="1206"/>
      <c r="FH169" s="1206"/>
      <c r="FI169" s="1206"/>
      <c r="FJ169" s="1550"/>
      <c r="FK169" s="1206"/>
      <c r="FL169" s="1206"/>
      <c r="FM169" s="1206"/>
      <c r="FN169" s="1206"/>
      <c r="FO169" s="1206"/>
      <c r="FP169" s="1206"/>
      <c r="FQ169" s="316"/>
      <c r="FR169" s="316"/>
      <c r="FS169" s="316"/>
      <c r="FT169" s="316"/>
      <c r="FU169" s="316"/>
      <c r="FV169" s="316"/>
      <c r="FW169" s="316"/>
      <c r="FX169" s="316"/>
      <c r="FY169" s="316"/>
      <c r="FZ169" s="316"/>
      <c r="GA169" s="316"/>
      <c r="GB169" s="316"/>
      <c r="GC169" s="316"/>
      <c r="GD169" s="316"/>
      <c r="GE169" s="316"/>
      <c r="GF169" s="316"/>
      <c r="GG169" s="316"/>
      <c r="GH169" s="316"/>
      <c r="GI169" s="316"/>
      <c r="GJ169" s="316"/>
      <c r="GK169" s="316"/>
      <c r="GL169" s="316"/>
      <c r="GM169" s="316"/>
      <c r="GN169" s="316"/>
      <c r="GO169" s="316"/>
      <c r="GP169" s="316"/>
      <c r="GQ169" s="316"/>
      <c r="GR169" s="316"/>
      <c r="GS169" s="316"/>
      <c r="GT169" s="316"/>
      <c r="GU169" s="316"/>
      <c r="GV169" s="316"/>
      <c r="GW169" s="316"/>
      <c r="GX169" s="316"/>
      <c r="GY169" s="316"/>
      <c r="GZ169" s="316"/>
      <c r="HA169" s="316"/>
      <c r="HB169" s="316"/>
      <c r="HC169" s="316"/>
      <c r="HD169" s="316"/>
      <c r="HE169" s="316"/>
      <c r="HF169" s="316"/>
      <c r="HG169" s="316"/>
      <c r="HH169" s="316"/>
      <c r="HI169" s="316"/>
      <c r="HJ169" s="316"/>
      <c r="HK169" s="316"/>
      <c r="HL169" s="316"/>
      <c r="HM169" s="316"/>
      <c r="HV169" s="302">
        <f t="shared" si="29"/>
        <v>0</v>
      </c>
      <c r="HW169" s="302">
        <f t="shared" si="30"/>
        <v>0</v>
      </c>
      <c r="HX169" s="346">
        <f t="shared" si="32"/>
        <v>0</v>
      </c>
      <c r="HY169" s="302">
        <f t="shared" si="31"/>
        <v>7.9125338029999996</v>
      </c>
      <c r="KH169" s="303"/>
    </row>
    <row r="170" spans="2:294" outlineLevel="1">
      <c r="B170" s="117" t="s">
        <v>361</v>
      </c>
      <c r="D170" s="323" t="s">
        <v>430</v>
      </c>
      <c r="E170" s="316">
        <v>2.9332382570000002</v>
      </c>
      <c r="F170" s="316">
        <v>3.0792774760000001</v>
      </c>
      <c r="G170" s="316">
        <v>4.4445705129999995</v>
      </c>
      <c r="H170" s="316">
        <v>4.2269260419999997</v>
      </c>
      <c r="I170" s="316">
        <v>4.0744414430000004</v>
      </c>
      <c r="J170" s="316">
        <v>4.2507551110000001</v>
      </c>
      <c r="K170" s="316">
        <v>4.0267842710000004</v>
      </c>
      <c r="L170" s="316">
        <v>4.139742611</v>
      </c>
      <c r="M170" s="316">
        <v>4.3977013859999996</v>
      </c>
      <c r="N170" s="316">
        <v>4.6143862740000001</v>
      </c>
      <c r="O170" s="316">
        <v>4.4760579570000001</v>
      </c>
      <c r="P170" s="316">
        <v>4.5250458600000005</v>
      </c>
      <c r="Q170" s="316">
        <v>4.9678453669999998</v>
      </c>
      <c r="R170" s="316">
        <v>4.6283684709999999</v>
      </c>
      <c r="S170" s="316">
        <v>5.0511255279999991</v>
      </c>
      <c r="T170" s="316">
        <v>4.9823633650000003</v>
      </c>
      <c r="U170" s="316">
        <v>5.6478902030000002</v>
      </c>
      <c r="V170" s="316">
        <v>5.0021348449999996</v>
      </c>
      <c r="W170" s="316">
        <v>5.2938503370000003</v>
      </c>
      <c r="X170" s="316">
        <v>5.3367969190000002</v>
      </c>
      <c r="Y170" s="316">
        <v>5.5246360279999998</v>
      </c>
      <c r="Z170" s="316">
        <v>6.0650935820000003</v>
      </c>
      <c r="AA170" s="316">
        <v>5.2712450010000005</v>
      </c>
      <c r="AB170" s="316">
        <v>7.664936108</v>
      </c>
      <c r="AC170" s="316">
        <v>6.0401532370000002</v>
      </c>
      <c r="AD170" s="316">
        <v>5.8779158239999996</v>
      </c>
      <c r="AE170" s="316"/>
      <c r="AF170" s="316"/>
      <c r="AG170" s="316"/>
      <c r="AH170" s="316"/>
      <c r="AI170" s="316"/>
      <c r="AJ170" s="316"/>
      <c r="AK170" s="316"/>
      <c r="AL170" s="316"/>
      <c r="AM170" s="316"/>
      <c r="AN170" s="316"/>
      <c r="AO170" s="316">
        <v>7.3327856840000001</v>
      </c>
      <c r="AP170" s="316">
        <v>7.6442531790000006</v>
      </c>
      <c r="AQ170" s="316">
        <v>8.6185615159999998</v>
      </c>
      <c r="AR170" s="316">
        <v>8.2485864409999987</v>
      </c>
      <c r="AS170" s="316">
        <v>8.2009487530000005</v>
      </c>
      <c r="AT170" s="316">
        <v>8.9041467250000004</v>
      </c>
      <c r="AU170" s="316">
        <v>8.4687297340000001</v>
      </c>
      <c r="AV170" s="316">
        <v>8.5794979270000002</v>
      </c>
      <c r="AW170" s="316">
        <v>8.7436109359999996</v>
      </c>
      <c r="AX170" s="316">
        <v>8.4989378710000008</v>
      </c>
      <c r="AY170" s="316">
        <v>8.5814208399999998</v>
      </c>
      <c r="AZ170" s="316">
        <v>10.826935024000001</v>
      </c>
      <c r="BA170" s="316">
        <v>9.351875862</v>
      </c>
      <c r="BB170" s="316">
        <v>7.5012233509999993</v>
      </c>
      <c r="BC170" s="316">
        <v>10.689900809000001</v>
      </c>
      <c r="BD170" s="316">
        <v>10.010957206999999</v>
      </c>
      <c r="BE170" s="316">
        <v>10.91920009</v>
      </c>
      <c r="BF170" s="316">
        <v>10.81419548</v>
      </c>
      <c r="BG170" s="316">
        <v>8.8483190259999986</v>
      </c>
      <c r="BH170" s="316">
        <v>10.542578262999999</v>
      </c>
      <c r="BI170" s="316">
        <v>11.302019577999999</v>
      </c>
      <c r="BJ170" s="316">
        <v>10.641123443</v>
      </c>
      <c r="BK170" s="316">
        <v>11.818225319</v>
      </c>
      <c r="BL170" s="316">
        <v>12.594532768999999</v>
      </c>
      <c r="BM170" s="316">
        <v>11.089028361999999</v>
      </c>
      <c r="BN170" s="316">
        <v>11.593203157</v>
      </c>
      <c r="BO170" s="316">
        <v>13.463533010999999</v>
      </c>
      <c r="BP170" s="316">
        <v>13.396690559000001</v>
      </c>
      <c r="BQ170" s="316">
        <v>13.774590524999999</v>
      </c>
      <c r="BR170" s="316">
        <v>12.997364363999999</v>
      </c>
      <c r="BS170" s="316">
        <v>10.728923257</v>
      </c>
      <c r="BT170" s="316">
        <v>14.496312108</v>
      </c>
      <c r="BU170" s="316">
        <v>12.343439035999999</v>
      </c>
      <c r="BV170" s="316">
        <v>15.560621676999999</v>
      </c>
      <c r="BW170" s="316">
        <v>13.960924123</v>
      </c>
      <c r="BX170" s="316">
        <v>14.776709128</v>
      </c>
      <c r="BY170" s="316">
        <v>14.008395409999999</v>
      </c>
      <c r="BZ170" s="316">
        <v>17.563993609000001</v>
      </c>
      <c r="CA170" s="316">
        <v>16.131637726000001</v>
      </c>
      <c r="CB170" s="316">
        <v>15.558749470999999</v>
      </c>
      <c r="CC170" s="316">
        <v>14.162538957000001</v>
      </c>
      <c r="CD170" s="316">
        <v>0</v>
      </c>
      <c r="CE170" s="317">
        <v>0</v>
      </c>
      <c r="CF170" s="316">
        <v>0</v>
      </c>
      <c r="CG170" s="316">
        <v>0</v>
      </c>
      <c r="CH170" s="316">
        <v>0</v>
      </c>
      <c r="CI170" s="316">
        <v>0</v>
      </c>
      <c r="CJ170" s="316">
        <v>7.2668799999999997E-4</v>
      </c>
      <c r="CK170" s="316">
        <v>0</v>
      </c>
      <c r="CL170" s="316">
        <v>0</v>
      </c>
      <c r="CM170" s="316">
        <v>0</v>
      </c>
      <c r="CN170" s="316">
        <v>0</v>
      </c>
      <c r="CO170" s="316">
        <v>0</v>
      </c>
      <c r="CP170" s="318">
        <v>0</v>
      </c>
      <c r="CQ170" s="316">
        <v>0</v>
      </c>
      <c r="CR170" s="316">
        <v>0</v>
      </c>
      <c r="CS170" s="316">
        <v>0</v>
      </c>
      <c r="CT170" s="316">
        <v>0</v>
      </c>
      <c r="CU170" s="316">
        <v>0</v>
      </c>
      <c r="CV170" s="316">
        <v>0</v>
      </c>
      <c r="CW170" s="316">
        <v>7.4999999999999993E-5</v>
      </c>
      <c r="CX170" s="316">
        <v>0</v>
      </c>
      <c r="CY170" s="316">
        <v>0</v>
      </c>
      <c r="CZ170" s="316">
        <v>0</v>
      </c>
      <c r="DA170" s="316">
        <v>0</v>
      </c>
      <c r="DB170" s="1498">
        <v>0</v>
      </c>
      <c r="DC170" s="316">
        <v>0</v>
      </c>
      <c r="DD170" s="316">
        <v>0</v>
      </c>
      <c r="DE170" s="316">
        <v>0</v>
      </c>
      <c r="DF170" s="316">
        <v>0</v>
      </c>
      <c r="DG170" s="316">
        <v>0</v>
      </c>
      <c r="DH170" s="316">
        <v>0</v>
      </c>
      <c r="DI170" s="316">
        <v>0</v>
      </c>
      <c r="DJ170" s="316">
        <v>0</v>
      </c>
      <c r="DK170" s="316">
        <v>0</v>
      </c>
      <c r="DL170" s="316">
        <v>0</v>
      </c>
      <c r="DM170" s="316">
        <v>0</v>
      </c>
      <c r="DN170" s="318">
        <v>0</v>
      </c>
      <c r="DO170" s="316">
        <v>0</v>
      </c>
      <c r="DP170" s="316">
        <v>0</v>
      </c>
      <c r="DQ170" s="316">
        <v>0</v>
      </c>
      <c r="DR170" s="316">
        <v>0</v>
      </c>
      <c r="DS170" s="316">
        <v>0</v>
      </c>
      <c r="DT170" s="316">
        <v>0</v>
      </c>
      <c r="DU170" s="316">
        <v>0</v>
      </c>
      <c r="DV170" s="316">
        <v>0</v>
      </c>
      <c r="DW170" s="316">
        <v>0</v>
      </c>
      <c r="DX170" s="316">
        <v>0</v>
      </c>
      <c r="DY170" s="316">
        <v>0</v>
      </c>
      <c r="DZ170" s="318">
        <v>0</v>
      </c>
      <c r="EA170" s="316">
        <v>0</v>
      </c>
      <c r="EB170" s="316">
        <v>0</v>
      </c>
      <c r="EC170" s="316">
        <v>0</v>
      </c>
      <c r="ED170" s="316">
        <v>0</v>
      </c>
      <c r="EE170" s="316">
        <v>0</v>
      </c>
      <c r="EF170" s="316">
        <v>0</v>
      </c>
      <c r="EG170" s="316">
        <v>0</v>
      </c>
      <c r="EH170" s="316">
        <v>0</v>
      </c>
      <c r="EI170" s="316">
        <v>0</v>
      </c>
      <c r="EJ170" s="316">
        <v>0</v>
      </c>
      <c r="EK170" s="316">
        <v>0</v>
      </c>
      <c r="EL170" s="318">
        <v>0</v>
      </c>
      <c r="EM170" s="1206"/>
      <c r="EN170" s="1206"/>
      <c r="EO170" s="1206"/>
      <c r="EP170" s="1206"/>
      <c r="EQ170" s="1206"/>
      <c r="ER170" s="1206"/>
      <c r="ES170" s="1206"/>
      <c r="ET170" s="1206"/>
      <c r="EU170" s="1206"/>
      <c r="EV170" s="1206"/>
      <c r="EW170" s="1206"/>
      <c r="EX170" s="1550"/>
      <c r="EY170" s="1206"/>
      <c r="EZ170" s="1206"/>
      <c r="FA170" s="1206"/>
      <c r="FB170" s="1206"/>
      <c r="FC170" s="1206"/>
      <c r="FD170" s="1206"/>
      <c r="FE170" s="1206"/>
      <c r="FF170" s="1206"/>
      <c r="FG170" s="1206"/>
      <c r="FH170" s="1206"/>
      <c r="FI170" s="1206"/>
      <c r="FJ170" s="1550"/>
      <c r="FK170" s="1206"/>
      <c r="FL170" s="1206"/>
      <c r="FM170" s="1206"/>
      <c r="FN170" s="1206"/>
      <c r="FO170" s="1206"/>
      <c r="FP170" s="1206"/>
      <c r="FQ170" s="316"/>
      <c r="FR170" s="316"/>
      <c r="FS170" s="316"/>
      <c r="FT170" s="316"/>
      <c r="FU170" s="316"/>
      <c r="FV170" s="316"/>
      <c r="FW170" s="316"/>
      <c r="FX170" s="316"/>
      <c r="FY170" s="316"/>
      <c r="FZ170" s="316"/>
      <c r="GA170" s="316"/>
      <c r="GB170" s="316"/>
      <c r="GC170" s="316"/>
      <c r="GD170" s="316"/>
      <c r="GE170" s="316"/>
      <c r="GF170" s="316"/>
      <c r="GG170" s="316"/>
      <c r="GH170" s="316"/>
      <c r="GI170" s="316"/>
      <c r="GJ170" s="316"/>
      <c r="GK170" s="316"/>
      <c r="GL170" s="316"/>
      <c r="GM170" s="316"/>
      <c r="GN170" s="316"/>
      <c r="GO170" s="316"/>
      <c r="GP170" s="316"/>
      <c r="GQ170" s="316"/>
      <c r="GR170" s="316"/>
      <c r="GS170" s="316"/>
      <c r="GT170" s="316"/>
      <c r="GU170" s="316"/>
      <c r="GV170" s="316"/>
      <c r="GW170" s="316"/>
      <c r="GX170" s="316"/>
      <c r="GY170" s="316"/>
      <c r="GZ170" s="316"/>
      <c r="HA170" s="316"/>
      <c r="HB170" s="316"/>
      <c r="HC170" s="316"/>
      <c r="HD170" s="316"/>
      <c r="HE170" s="316"/>
      <c r="HF170" s="316"/>
      <c r="HG170" s="316"/>
      <c r="HH170" s="316"/>
      <c r="HI170" s="316"/>
      <c r="HJ170" s="316"/>
      <c r="HK170" s="316"/>
      <c r="HL170" s="316"/>
      <c r="HM170" s="316"/>
      <c r="HV170" s="302">
        <f t="shared" si="29"/>
        <v>0</v>
      </c>
      <c r="HW170" s="302">
        <f t="shared" si="30"/>
        <v>0</v>
      </c>
      <c r="HX170" s="346">
        <f t="shared" si="32"/>
        <v>0</v>
      </c>
      <c r="HY170" s="302">
        <f t="shared" si="31"/>
        <v>0</v>
      </c>
      <c r="KH170" s="303"/>
    </row>
    <row r="171" spans="2:294" outlineLevel="1">
      <c r="B171" s="117" t="s">
        <v>361</v>
      </c>
      <c r="D171" s="319" t="s">
        <v>431</v>
      </c>
      <c r="E171" s="316"/>
      <c r="F171" s="316"/>
      <c r="G171" s="316"/>
      <c r="H171" s="316"/>
      <c r="I171" s="316"/>
      <c r="J171" s="316"/>
      <c r="K171" s="316"/>
      <c r="L171" s="316"/>
      <c r="M171" s="316"/>
      <c r="N171" s="316"/>
      <c r="O171" s="316"/>
      <c r="P171" s="316"/>
      <c r="Q171" s="316"/>
      <c r="R171" s="316"/>
      <c r="S171" s="316"/>
      <c r="T171" s="316"/>
      <c r="U171" s="316"/>
      <c r="V171" s="316"/>
      <c r="W171" s="316"/>
      <c r="X171" s="316"/>
      <c r="Y171" s="316"/>
      <c r="Z171" s="316"/>
      <c r="AA171" s="316"/>
      <c r="AB171" s="316"/>
      <c r="AC171" s="316"/>
      <c r="AD171" s="316"/>
      <c r="AE171" s="316"/>
      <c r="AF171" s="316"/>
      <c r="AG171" s="316"/>
      <c r="AH171" s="316"/>
      <c r="AI171" s="316"/>
      <c r="AJ171" s="316"/>
      <c r="AK171" s="316"/>
      <c r="AL171" s="316"/>
      <c r="AM171" s="316"/>
      <c r="AN171" s="316"/>
      <c r="AO171" s="316">
        <v>0</v>
      </c>
      <c r="AP171" s="316">
        <v>0</v>
      </c>
      <c r="AQ171" s="316">
        <v>0</v>
      </c>
      <c r="AR171" s="316">
        <v>0</v>
      </c>
      <c r="AS171" s="316">
        <v>0</v>
      </c>
      <c r="AT171" s="316">
        <v>0</v>
      </c>
      <c r="AU171" s="316">
        <v>0</v>
      </c>
      <c r="AV171" s="316">
        <v>0</v>
      </c>
      <c r="AW171" s="316">
        <v>0</v>
      </c>
      <c r="AX171" s="316">
        <v>0</v>
      </c>
      <c r="AY171" s="316">
        <v>0</v>
      </c>
      <c r="AZ171" s="316">
        <v>0</v>
      </c>
      <c r="BA171" s="316">
        <v>0</v>
      </c>
      <c r="BB171" s="316">
        <v>0</v>
      </c>
      <c r="BC171" s="316">
        <v>0</v>
      </c>
      <c r="BD171" s="316">
        <v>0</v>
      </c>
      <c r="BE171" s="316">
        <v>0</v>
      </c>
      <c r="BF171" s="316">
        <v>0</v>
      </c>
      <c r="BG171" s="316">
        <v>0</v>
      </c>
      <c r="BH171" s="316">
        <v>0</v>
      </c>
      <c r="BI171" s="316">
        <v>0</v>
      </c>
      <c r="BJ171" s="316">
        <v>0</v>
      </c>
      <c r="BK171" s="316">
        <v>0</v>
      </c>
      <c r="BL171" s="316">
        <v>0</v>
      </c>
      <c r="BM171" s="316">
        <v>0</v>
      </c>
      <c r="BN171" s="316">
        <v>0</v>
      </c>
      <c r="BO171" s="316">
        <v>0</v>
      </c>
      <c r="BP171" s="316">
        <v>0</v>
      </c>
      <c r="BQ171" s="316">
        <v>0</v>
      </c>
      <c r="BR171" s="316">
        <v>0</v>
      </c>
      <c r="BS171" s="316">
        <v>0</v>
      </c>
      <c r="BT171" s="316">
        <v>0</v>
      </c>
      <c r="BU171" s="316">
        <v>0</v>
      </c>
      <c r="BV171" s="316">
        <v>0</v>
      </c>
      <c r="BW171" s="316">
        <v>0</v>
      </c>
      <c r="BX171" s="316">
        <v>0</v>
      </c>
      <c r="BY171" s="316">
        <v>0</v>
      </c>
      <c r="BZ171" s="316">
        <v>0</v>
      </c>
      <c r="CA171" s="316">
        <v>0</v>
      </c>
      <c r="CB171" s="316">
        <v>0</v>
      </c>
      <c r="CC171" s="316">
        <v>0</v>
      </c>
      <c r="CD171" s="316">
        <v>15.579306693000001</v>
      </c>
      <c r="CE171" s="317">
        <v>14.555175168</v>
      </c>
      <c r="CF171" s="316">
        <v>14.671998507</v>
      </c>
      <c r="CG171" s="316">
        <v>15.335991265000001</v>
      </c>
      <c r="CH171" s="316">
        <v>15.591356877000001</v>
      </c>
      <c r="CI171" s="316">
        <v>14.565805900999999</v>
      </c>
      <c r="CJ171" s="316">
        <v>17.216675290999998</v>
      </c>
      <c r="CK171" s="316">
        <v>14.138860096</v>
      </c>
      <c r="CL171" s="316">
        <v>16.381055978999999</v>
      </c>
      <c r="CM171" s="316">
        <v>15.165185164</v>
      </c>
      <c r="CN171" s="316">
        <v>15.047129992</v>
      </c>
      <c r="CO171" s="316">
        <v>13.113095703000001</v>
      </c>
      <c r="CP171" s="318">
        <v>22.140197153000003</v>
      </c>
      <c r="CQ171" s="316">
        <v>15.629435368000001</v>
      </c>
      <c r="CR171" s="316">
        <v>15.868885430000001</v>
      </c>
      <c r="CS171" s="316">
        <v>16.207735502999999</v>
      </c>
      <c r="CT171" s="316">
        <v>16.969943535999999</v>
      </c>
      <c r="CU171" s="316">
        <v>14.876078336000001</v>
      </c>
      <c r="CV171" s="316">
        <v>19.770979649000001</v>
      </c>
      <c r="CW171" s="316">
        <v>16.868315153000001</v>
      </c>
      <c r="CX171" s="316">
        <v>14.993965596000001</v>
      </c>
      <c r="CY171" s="316">
        <v>19.468106048000003</v>
      </c>
      <c r="CZ171" s="316">
        <v>19.924163240000002</v>
      </c>
      <c r="DA171" s="316">
        <v>17.808034680000002</v>
      </c>
      <c r="DB171" s="1498">
        <v>20.206864183999997</v>
      </c>
      <c r="DC171" s="316">
        <v>17.29334367023862</v>
      </c>
      <c r="DD171" s="316">
        <v>17.264340411390595</v>
      </c>
      <c r="DE171" s="316">
        <v>17.061283504474744</v>
      </c>
      <c r="DF171" s="316">
        <v>18.254110634129951</v>
      </c>
      <c r="DG171" s="316">
        <v>17.803614037684106</v>
      </c>
      <c r="DH171" s="316">
        <v>21.668105203712681</v>
      </c>
      <c r="DI171" s="316">
        <v>18.568740039133921</v>
      </c>
      <c r="DJ171" s="316">
        <v>17.038849658992238</v>
      </c>
      <c r="DK171" s="316">
        <v>22.870363436305876</v>
      </c>
      <c r="DL171" s="316">
        <v>19.754778112022674</v>
      </c>
      <c r="DM171" s="316">
        <v>19.589362186303028</v>
      </c>
      <c r="DN171" s="318">
        <v>22.493139196913198</v>
      </c>
      <c r="DO171" s="316">
        <v>15.755649382</v>
      </c>
      <c r="DP171" s="316">
        <v>22.528660937000001</v>
      </c>
      <c r="DQ171" s="316">
        <v>21.285576414000001</v>
      </c>
      <c r="DR171" s="316">
        <v>20.393004429000001</v>
      </c>
      <c r="DS171" s="316">
        <v>20.464570034200001</v>
      </c>
      <c r="DT171" s="316">
        <v>24.131362284200002</v>
      </c>
      <c r="DU171" s="316">
        <v>21.728714793000002</v>
      </c>
      <c r="DV171" s="316">
        <v>19.483567942000001</v>
      </c>
      <c r="DW171" s="316">
        <v>22.360659637000001</v>
      </c>
      <c r="DX171" s="316">
        <v>20.337785536999998</v>
      </c>
      <c r="DY171" s="316">
        <v>24.020765660999999</v>
      </c>
      <c r="DZ171" s="318">
        <v>24.970623551999999</v>
      </c>
      <c r="EA171" s="316">
        <v>17.873543384000001</v>
      </c>
      <c r="EB171" s="316">
        <v>24.121509745000001</v>
      </c>
      <c r="EC171" s="316">
        <v>22.487363412000001</v>
      </c>
      <c r="ED171" s="316">
        <v>21.598056675999999</v>
      </c>
      <c r="EE171" s="316">
        <v>23.223126269000002</v>
      </c>
      <c r="EF171" s="316">
        <v>25.104986608000001</v>
      </c>
      <c r="EG171" s="316">
        <v>24.029021744000001</v>
      </c>
      <c r="EH171" s="316">
        <v>21.859561521</v>
      </c>
      <c r="EI171" s="316">
        <v>27.049172049999999</v>
      </c>
      <c r="EJ171" s="316">
        <v>23.242582931000001</v>
      </c>
      <c r="EK171" s="316">
        <v>23.109559966999999</v>
      </c>
      <c r="EL171" s="318">
        <v>27.965766314</v>
      </c>
      <c r="EM171" s="1206">
        <v>21.197964669000001</v>
      </c>
      <c r="EN171" s="1206">
        <v>26.297894826</v>
      </c>
      <c r="EO171" s="1206">
        <v>25.640282977999998</v>
      </c>
      <c r="EP171" s="1206">
        <v>25.162036771</v>
      </c>
      <c r="EQ171" s="1206">
        <v>26.049817039000001</v>
      </c>
      <c r="ER171" s="1206">
        <v>29.227038579800048</v>
      </c>
      <c r="ES171" s="1206">
        <v>26.956796173000001</v>
      </c>
      <c r="ET171" s="1206">
        <v>26.604466951999999</v>
      </c>
      <c r="EU171" s="1206">
        <v>28.8569176779</v>
      </c>
      <c r="EV171" s="1206">
        <v>27.234412380999999</v>
      </c>
      <c r="EW171" s="1206">
        <v>28.292670561816003</v>
      </c>
      <c r="EX171" s="1550">
        <v>29.380920583622</v>
      </c>
      <c r="EY171" s="1206"/>
      <c r="EZ171" s="1206"/>
      <c r="FA171" s="1206"/>
      <c r="FB171" s="1206"/>
      <c r="FC171" s="1206"/>
      <c r="FD171" s="1206"/>
      <c r="FE171" s="1206"/>
      <c r="FF171" s="1206"/>
      <c r="FG171" s="1206"/>
      <c r="FH171" s="1206"/>
      <c r="FI171" s="1206"/>
      <c r="FJ171" s="1550"/>
      <c r="FK171" s="1206"/>
      <c r="FL171" s="1206"/>
      <c r="FM171" s="1206"/>
      <c r="FN171" s="1206"/>
      <c r="FO171" s="1206"/>
      <c r="FP171" s="1206"/>
      <c r="FQ171" s="316"/>
      <c r="FR171" s="316"/>
      <c r="FS171" s="316"/>
      <c r="FT171" s="316"/>
      <c r="FU171" s="316"/>
      <c r="FV171" s="316"/>
      <c r="FW171" s="316"/>
      <c r="FX171" s="316"/>
      <c r="FY171" s="316"/>
      <c r="FZ171" s="316"/>
      <c r="GA171" s="316"/>
      <c r="GB171" s="316"/>
      <c r="GC171" s="316"/>
      <c r="GD171" s="316"/>
      <c r="GE171" s="316"/>
      <c r="GF171" s="316"/>
      <c r="GG171" s="316"/>
      <c r="GH171" s="316"/>
      <c r="GI171" s="316"/>
      <c r="GJ171" s="316"/>
      <c r="GK171" s="316"/>
      <c r="GL171" s="316"/>
      <c r="GM171" s="316"/>
      <c r="GN171" s="316"/>
      <c r="GO171" s="316"/>
      <c r="GP171" s="316"/>
      <c r="GQ171" s="316"/>
      <c r="GR171" s="316"/>
      <c r="GS171" s="316"/>
      <c r="GT171" s="316"/>
      <c r="GU171" s="316"/>
      <c r="GV171" s="316"/>
      <c r="GW171" s="316"/>
      <c r="GX171" s="316"/>
      <c r="GY171" s="316"/>
      <c r="GZ171" s="316"/>
      <c r="HA171" s="316"/>
      <c r="HB171" s="316"/>
      <c r="HC171" s="316"/>
      <c r="HD171" s="316"/>
      <c r="HE171" s="316"/>
      <c r="HF171" s="316"/>
      <c r="HG171" s="316"/>
      <c r="HH171" s="316"/>
      <c r="HI171" s="316"/>
      <c r="HJ171" s="316"/>
      <c r="HK171" s="316"/>
      <c r="HL171" s="316"/>
      <c r="HM171" s="316"/>
      <c r="HV171" s="302">
        <f t="shared" si="29"/>
        <v>109.34479746163069</v>
      </c>
      <c r="HW171" s="302">
        <f t="shared" si="30"/>
        <v>120.31523262967096</v>
      </c>
      <c r="HX171" s="346">
        <f t="shared" si="32"/>
        <v>229.66003009130165</v>
      </c>
      <c r="HY171" s="302">
        <f t="shared" si="31"/>
        <v>124.55882348040001</v>
      </c>
      <c r="KH171" s="303"/>
    </row>
    <row r="172" spans="2:294" outlineLevel="1">
      <c r="B172" s="117" t="s">
        <v>361</v>
      </c>
      <c r="D172" s="323" t="s">
        <v>432</v>
      </c>
      <c r="E172" s="316">
        <v>0.28735226799999997</v>
      </c>
      <c r="F172" s="316">
        <v>0.38249713600000002</v>
      </c>
      <c r="G172" s="316">
        <v>0.31772095300000003</v>
      </c>
      <c r="H172" s="316">
        <v>0.26620279699999999</v>
      </c>
      <c r="I172" s="316">
        <v>0.13991230500000001</v>
      </c>
      <c r="J172" s="316">
        <v>0.50662084099999993</v>
      </c>
      <c r="K172" s="316">
        <v>0.20614450500000001</v>
      </c>
      <c r="L172" s="316">
        <v>0.196672553</v>
      </c>
      <c r="M172" s="316">
        <v>0.536623238</v>
      </c>
      <c r="N172" s="316">
        <v>0.214464977</v>
      </c>
      <c r="O172" s="316">
        <v>0.22412769299999999</v>
      </c>
      <c r="P172" s="316">
        <v>0.27270217000000002</v>
      </c>
      <c r="Q172" s="316">
        <v>0.33314452</v>
      </c>
      <c r="R172" s="316">
        <v>0.38926826599999997</v>
      </c>
      <c r="S172" s="316">
        <v>0.36614498500000003</v>
      </c>
      <c r="T172" s="316">
        <v>0.24422700999999999</v>
      </c>
      <c r="U172" s="316">
        <v>0.26945823299999999</v>
      </c>
      <c r="V172" s="316">
        <v>0.69083935099999993</v>
      </c>
      <c r="W172" s="316">
        <v>0.39985010799999998</v>
      </c>
      <c r="X172" s="316">
        <v>0.36123539499999996</v>
      </c>
      <c r="Y172" s="316">
        <v>0.86860196199999995</v>
      </c>
      <c r="Z172" s="316">
        <v>0.58919189599999999</v>
      </c>
      <c r="AA172" s="316">
        <v>0.17195264499999999</v>
      </c>
      <c r="AB172" s="316">
        <v>0.61413374899999995</v>
      </c>
      <c r="AC172" s="316">
        <v>0.51732803199999999</v>
      </c>
      <c r="AD172" s="316">
        <v>0.47324154199999996</v>
      </c>
      <c r="AE172" s="316"/>
      <c r="AF172" s="316"/>
      <c r="AG172" s="316"/>
      <c r="AH172" s="316"/>
      <c r="AI172" s="316"/>
      <c r="AJ172" s="316"/>
      <c r="AK172" s="316"/>
      <c r="AL172" s="316"/>
      <c r="AM172" s="316"/>
      <c r="AN172" s="316"/>
      <c r="AO172" s="316">
        <v>0.80222914300000003</v>
      </c>
      <c r="AP172" s="316">
        <v>0.71660440800000003</v>
      </c>
      <c r="AQ172" s="316">
        <v>1.236069286</v>
      </c>
      <c r="AR172" s="316">
        <v>0.84597403399999993</v>
      </c>
      <c r="AS172" s="316">
        <v>0.68665419299999997</v>
      </c>
      <c r="AT172" s="316">
        <v>0.63472168399999995</v>
      </c>
      <c r="AU172" s="316">
        <v>0.44518475899999999</v>
      </c>
      <c r="AV172" s="316">
        <v>1.6425906299999999</v>
      </c>
      <c r="AW172" s="316">
        <v>0.82679559499999999</v>
      </c>
      <c r="AX172" s="316">
        <v>0.84229619600000005</v>
      </c>
      <c r="AY172" s="316">
        <v>0.78873243599999998</v>
      </c>
      <c r="AZ172" s="316">
        <v>1.296531587</v>
      </c>
      <c r="BA172" s="316">
        <v>1.5860131739999999</v>
      </c>
      <c r="BB172" s="316">
        <v>0.76762924999999993</v>
      </c>
      <c r="BC172" s="316">
        <v>0.84093842800000007</v>
      </c>
      <c r="BD172" s="316">
        <v>1.2237308149999999</v>
      </c>
      <c r="BE172" s="316">
        <v>1.0184755910000001</v>
      </c>
      <c r="BF172" s="316">
        <v>1.382777779</v>
      </c>
      <c r="BG172" s="316">
        <v>0.87043371199999997</v>
      </c>
      <c r="BH172" s="316">
        <v>1.3774131460000001</v>
      </c>
      <c r="BI172" s="316">
        <v>1.2214805610000001</v>
      </c>
      <c r="BJ172" s="316">
        <v>2.5820453099999998</v>
      </c>
      <c r="BK172" s="316">
        <v>0.80805074300000002</v>
      </c>
      <c r="BL172" s="316">
        <v>2.548229203</v>
      </c>
      <c r="BM172" s="316">
        <v>1.7120466200000002</v>
      </c>
      <c r="BN172" s="316">
        <v>1.4355193670000002</v>
      </c>
      <c r="BO172" s="316">
        <v>2.6577305620000002</v>
      </c>
      <c r="BP172" s="316">
        <v>1.4372345470000001</v>
      </c>
      <c r="BQ172" s="316">
        <v>8.1012446469999997</v>
      </c>
      <c r="BR172" s="316">
        <v>4.3000245109999993</v>
      </c>
      <c r="BS172" s="316">
        <v>1.61855595</v>
      </c>
      <c r="BT172" s="316">
        <v>1.6233952819999999</v>
      </c>
      <c r="BU172" s="316">
        <v>2.2488464499999998</v>
      </c>
      <c r="BV172" s="316">
        <v>2.2406669999999997</v>
      </c>
      <c r="BW172" s="316">
        <v>3.168579893</v>
      </c>
      <c r="BX172" s="316">
        <v>1.839902543</v>
      </c>
      <c r="BY172" s="316">
        <v>2.3815881760000002</v>
      </c>
      <c r="BZ172" s="316">
        <v>2.7305571479999999</v>
      </c>
      <c r="CA172" s="316">
        <v>3.9602888630000002</v>
      </c>
      <c r="CB172" s="316">
        <v>3.0872515520000001</v>
      </c>
      <c r="CC172" s="316">
        <v>3.0322354520000001</v>
      </c>
      <c r="CD172" s="316">
        <v>0</v>
      </c>
      <c r="CE172" s="317">
        <v>0</v>
      </c>
      <c r="CF172" s="316">
        <v>0</v>
      </c>
      <c r="CG172" s="316">
        <v>0</v>
      </c>
      <c r="CH172" s="316">
        <v>0</v>
      </c>
      <c r="CI172" s="316">
        <v>0</v>
      </c>
      <c r="CJ172" s="316">
        <v>0</v>
      </c>
      <c r="CK172" s="316">
        <v>0</v>
      </c>
      <c r="CL172" s="316">
        <v>0</v>
      </c>
      <c r="CM172" s="316">
        <v>0</v>
      </c>
      <c r="CN172" s="316">
        <v>0</v>
      </c>
      <c r="CO172" s="316">
        <v>0</v>
      </c>
      <c r="CP172" s="318">
        <v>0</v>
      </c>
      <c r="CQ172" s="316">
        <v>14.894216538</v>
      </c>
      <c r="CR172" s="316">
        <v>15.841647687</v>
      </c>
      <c r="CS172" s="316">
        <v>16.040523593</v>
      </c>
      <c r="CT172" s="316">
        <v>16.919806274999999</v>
      </c>
      <c r="CU172" s="316">
        <v>14.798799403999999</v>
      </c>
      <c r="CV172" s="316">
        <v>19.526059556</v>
      </c>
      <c r="CW172" s="316">
        <v>16.797510536999997</v>
      </c>
      <c r="CX172" s="316">
        <v>14.851627704</v>
      </c>
      <c r="CY172" s="316">
        <v>19.246846856000001</v>
      </c>
      <c r="CZ172" s="316">
        <v>19.736430006999999</v>
      </c>
      <c r="DA172" s="316">
        <v>16.689607884000001</v>
      </c>
      <c r="DB172" s="1498">
        <v>19.918124106</v>
      </c>
      <c r="DC172" s="316">
        <v>17.29334367023862</v>
      </c>
      <c r="DD172" s="316">
        <v>17.264340411390595</v>
      </c>
      <c r="DE172" s="316">
        <v>17.061283504474744</v>
      </c>
      <c r="DF172" s="316">
        <v>18.254110634129951</v>
      </c>
      <c r="DG172" s="316">
        <v>17.803614037684106</v>
      </c>
      <c r="DH172" s="316">
        <v>21.668105203712681</v>
      </c>
      <c r="DI172" s="316">
        <v>18.568740039133921</v>
      </c>
      <c r="DJ172" s="316">
        <v>17.038849658992238</v>
      </c>
      <c r="DK172" s="316">
        <v>22.870363436305876</v>
      </c>
      <c r="DL172" s="316">
        <v>19.754778112022674</v>
      </c>
      <c r="DM172" s="316">
        <v>19.589362186303028</v>
      </c>
      <c r="DN172" s="318">
        <v>22.493139196913198</v>
      </c>
      <c r="DO172" s="316"/>
      <c r="DP172" s="316"/>
      <c r="DQ172" s="316"/>
      <c r="DR172" s="316"/>
      <c r="DS172" s="316"/>
      <c r="DT172" s="316"/>
      <c r="DU172" s="316"/>
      <c r="DV172" s="316"/>
      <c r="DW172" s="316"/>
      <c r="DX172" s="316"/>
      <c r="DY172" s="316"/>
      <c r="DZ172" s="318"/>
      <c r="EA172" s="316"/>
      <c r="EB172" s="316"/>
      <c r="EC172" s="316"/>
      <c r="ED172" s="316"/>
      <c r="EE172" s="316"/>
      <c r="EF172" s="316"/>
      <c r="EG172" s="316"/>
      <c r="EH172" s="316"/>
      <c r="EI172" s="316"/>
      <c r="EJ172" s="316"/>
      <c r="EK172" s="316"/>
      <c r="EL172" s="318"/>
      <c r="EM172" s="1206"/>
      <c r="EN172" s="1206"/>
      <c r="EO172" s="1206"/>
      <c r="EP172" s="1206"/>
      <c r="EQ172" s="1206"/>
      <c r="ER172" s="1206"/>
      <c r="ES172" s="1206"/>
      <c r="ET172" s="1206"/>
      <c r="EU172" s="1206"/>
      <c r="EV172" s="1206"/>
      <c r="EW172" s="1206"/>
      <c r="EX172" s="1550"/>
      <c r="EY172" s="1206"/>
      <c r="EZ172" s="1206"/>
      <c r="FA172" s="1206"/>
      <c r="FB172" s="1206"/>
      <c r="FC172" s="1206"/>
      <c r="FD172" s="1206"/>
      <c r="FE172" s="1206"/>
      <c r="FF172" s="1206"/>
      <c r="FG172" s="1206"/>
      <c r="FH172" s="1206"/>
      <c r="FI172" s="1206"/>
      <c r="FJ172" s="1550"/>
      <c r="FK172" s="1206"/>
      <c r="FL172" s="1206"/>
      <c r="FM172" s="1206"/>
      <c r="FN172" s="1206"/>
      <c r="FO172" s="1206"/>
      <c r="FP172" s="1206"/>
      <c r="FQ172" s="316"/>
      <c r="FR172" s="316"/>
      <c r="FS172" s="316"/>
      <c r="FT172" s="316"/>
      <c r="FU172" s="316"/>
      <c r="FV172" s="316"/>
      <c r="FW172" s="316"/>
      <c r="FX172" s="316"/>
      <c r="FY172" s="316"/>
      <c r="FZ172" s="316"/>
      <c r="GA172" s="316"/>
      <c r="GB172" s="316"/>
      <c r="GC172" s="316"/>
      <c r="GD172" s="316"/>
      <c r="GE172" s="316"/>
      <c r="GF172" s="316"/>
      <c r="GG172" s="316"/>
      <c r="GH172" s="316"/>
      <c r="GI172" s="316"/>
      <c r="GJ172" s="316"/>
      <c r="GK172" s="316"/>
      <c r="GL172" s="316"/>
      <c r="GM172" s="316"/>
      <c r="GN172" s="316"/>
      <c r="GO172" s="316"/>
      <c r="GP172" s="316"/>
      <c r="GQ172" s="316"/>
      <c r="GR172" s="316"/>
      <c r="GS172" s="316"/>
      <c r="GT172" s="316"/>
      <c r="GU172" s="316"/>
      <c r="GV172" s="316"/>
      <c r="GW172" s="316"/>
      <c r="GX172" s="316"/>
      <c r="GY172" s="316"/>
      <c r="GZ172" s="316"/>
      <c r="HA172" s="316"/>
      <c r="HB172" s="316"/>
      <c r="HC172" s="316"/>
      <c r="HD172" s="316"/>
      <c r="HE172" s="316"/>
      <c r="HF172" s="316"/>
      <c r="HG172" s="316"/>
      <c r="HH172" s="316"/>
      <c r="HI172" s="316"/>
      <c r="HJ172" s="316"/>
      <c r="HK172" s="316"/>
      <c r="HL172" s="316"/>
      <c r="HM172" s="316"/>
      <c r="HV172" s="302">
        <f t="shared" si="29"/>
        <v>109.34479746163069</v>
      </c>
      <c r="HW172" s="302">
        <f t="shared" si="30"/>
        <v>120.31523262967096</v>
      </c>
      <c r="HX172" s="346">
        <f t="shared" si="32"/>
        <v>229.66003009130165</v>
      </c>
      <c r="KH172" s="303"/>
    </row>
    <row r="173" spans="2:294" outlineLevel="1">
      <c r="B173" s="117" t="s">
        <v>361</v>
      </c>
      <c r="D173" s="319" t="s">
        <v>433</v>
      </c>
      <c r="E173" s="316"/>
      <c r="F173" s="316"/>
      <c r="G173" s="316"/>
      <c r="H173" s="316"/>
      <c r="I173" s="316"/>
      <c r="J173" s="316"/>
      <c r="K173" s="316"/>
      <c r="L173" s="316"/>
      <c r="M173" s="316"/>
      <c r="N173" s="316"/>
      <c r="O173" s="316"/>
      <c r="P173" s="316"/>
      <c r="Q173" s="316"/>
      <c r="R173" s="316"/>
      <c r="S173" s="316"/>
      <c r="T173" s="316"/>
      <c r="U173" s="316"/>
      <c r="V173" s="316"/>
      <c r="W173" s="316"/>
      <c r="X173" s="316"/>
      <c r="Y173" s="316"/>
      <c r="Z173" s="316"/>
      <c r="AA173" s="316"/>
      <c r="AB173" s="316"/>
      <c r="AC173" s="316"/>
      <c r="AD173" s="316"/>
      <c r="AE173" s="316"/>
      <c r="AF173" s="316"/>
      <c r="AG173" s="316"/>
      <c r="AH173" s="316"/>
      <c r="AI173" s="316"/>
      <c r="AJ173" s="316"/>
      <c r="AK173" s="316"/>
      <c r="AL173" s="316"/>
      <c r="AM173" s="316"/>
      <c r="AN173" s="316"/>
      <c r="AO173" s="316">
        <v>0</v>
      </c>
      <c r="AP173" s="316">
        <v>0</v>
      </c>
      <c r="AQ173" s="316">
        <v>0</v>
      </c>
      <c r="AR173" s="316">
        <v>0</v>
      </c>
      <c r="AS173" s="316">
        <v>0</v>
      </c>
      <c r="AT173" s="316">
        <v>0</v>
      </c>
      <c r="AU173" s="316">
        <v>0</v>
      </c>
      <c r="AV173" s="316">
        <v>0</v>
      </c>
      <c r="AW173" s="316">
        <v>0</v>
      </c>
      <c r="AX173" s="316">
        <v>0</v>
      </c>
      <c r="AY173" s="316">
        <v>0</v>
      </c>
      <c r="AZ173" s="316">
        <v>0</v>
      </c>
      <c r="BA173" s="316">
        <v>0</v>
      </c>
      <c r="BB173" s="316">
        <v>0</v>
      </c>
      <c r="BC173" s="316">
        <v>0</v>
      </c>
      <c r="BD173" s="316">
        <v>0</v>
      </c>
      <c r="BE173" s="316">
        <v>0</v>
      </c>
      <c r="BF173" s="316">
        <v>0</v>
      </c>
      <c r="BG173" s="316">
        <v>0</v>
      </c>
      <c r="BH173" s="316">
        <v>0</v>
      </c>
      <c r="BI173" s="316">
        <v>0</v>
      </c>
      <c r="BJ173" s="316">
        <v>0</v>
      </c>
      <c r="BK173" s="316">
        <v>0</v>
      </c>
      <c r="BL173" s="316">
        <v>0</v>
      </c>
      <c r="BM173" s="316">
        <v>0</v>
      </c>
      <c r="BN173" s="316">
        <v>0</v>
      </c>
      <c r="BO173" s="316">
        <v>0</v>
      </c>
      <c r="BP173" s="316">
        <v>0</v>
      </c>
      <c r="BQ173" s="316">
        <v>0</v>
      </c>
      <c r="BR173" s="316">
        <v>0</v>
      </c>
      <c r="BS173" s="316">
        <v>0</v>
      </c>
      <c r="BT173" s="316">
        <v>0</v>
      </c>
      <c r="BU173" s="316">
        <v>0</v>
      </c>
      <c r="BV173" s="316">
        <v>0</v>
      </c>
      <c r="BW173" s="316">
        <v>0</v>
      </c>
      <c r="BX173" s="316">
        <v>0</v>
      </c>
      <c r="BY173" s="316">
        <v>0</v>
      </c>
      <c r="BZ173" s="316">
        <v>0</v>
      </c>
      <c r="CA173" s="316">
        <v>0</v>
      </c>
      <c r="CB173" s="316">
        <v>0</v>
      </c>
      <c r="CC173" s="316">
        <v>0</v>
      </c>
      <c r="CD173" s="316">
        <v>5.7136075460000004</v>
      </c>
      <c r="CE173" s="317">
        <v>1.915354472</v>
      </c>
      <c r="CF173" s="316">
        <v>4.2251207189999995</v>
      </c>
      <c r="CG173" s="316">
        <v>3.6410883730000001</v>
      </c>
      <c r="CH173" s="316">
        <v>2.6818947070000001</v>
      </c>
      <c r="CI173" s="316">
        <v>3.0750238309999998</v>
      </c>
      <c r="CJ173" s="316">
        <v>5.9194991400000001</v>
      </c>
      <c r="CK173" s="316">
        <v>4.4084192940000007</v>
      </c>
      <c r="CL173" s="316">
        <v>2.9932567089999997</v>
      </c>
      <c r="CM173" s="316">
        <v>2.552976659</v>
      </c>
      <c r="CN173" s="316">
        <v>3.7306548410000002</v>
      </c>
      <c r="CO173" s="316">
        <v>6.0348987289999991</v>
      </c>
      <c r="CP173" s="318">
        <v>4.7783350589999998</v>
      </c>
      <c r="CQ173" s="316">
        <v>4.4562948819999999</v>
      </c>
      <c r="CR173" s="316">
        <v>3.8984518910000001</v>
      </c>
      <c r="CS173" s="316">
        <v>6.7485273389999998</v>
      </c>
      <c r="CT173" s="316">
        <v>2.0071081200000003</v>
      </c>
      <c r="CU173" s="316">
        <v>2.4522683120000002</v>
      </c>
      <c r="CV173" s="316">
        <v>5.8863647319999997</v>
      </c>
      <c r="CW173" s="316">
        <v>5.542922313</v>
      </c>
      <c r="CX173" s="316">
        <v>3.2113777049999999</v>
      </c>
      <c r="CY173" s="316">
        <v>4.850923989</v>
      </c>
      <c r="CZ173" s="316">
        <v>6.7341411829999993</v>
      </c>
      <c r="DA173" s="316">
        <v>5.050559196</v>
      </c>
      <c r="DB173" s="1498">
        <v>8.0561135820000001</v>
      </c>
      <c r="DC173" s="316">
        <v>3.404120261341713</v>
      </c>
      <c r="DD173" s="316">
        <v>3.0041723661846231</v>
      </c>
      <c r="DE173" s="316">
        <v>14.62938855478213</v>
      </c>
      <c r="DF173" s="316">
        <v>4.4563084508139932</v>
      </c>
      <c r="DG173" s="316">
        <v>3.5330117020202865</v>
      </c>
      <c r="DH173" s="316">
        <v>13.561022073817792</v>
      </c>
      <c r="DI173" s="316">
        <v>3.7163739241825353</v>
      </c>
      <c r="DJ173" s="316">
        <v>3.8257778134421003</v>
      </c>
      <c r="DK173" s="316">
        <v>26.765518159820399</v>
      </c>
      <c r="DL173" s="316">
        <v>3.758051589242406</v>
      </c>
      <c r="DM173" s="316">
        <v>3.8367694867566149</v>
      </c>
      <c r="DN173" s="318">
        <v>16.88304247232567</v>
      </c>
      <c r="DO173" s="316">
        <v>4.8993166270000001</v>
      </c>
      <c r="DP173" s="316">
        <v>6.6850205249999997</v>
      </c>
      <c r="DQ173" s="316">
        <v>5.8769076690000004</v>
      </c>
      <c r="DR173" s="316">
        <v>5.3494110429999999</v>
      </c>
      <c r="DS173" s="316">
        <v>4.9634589409999998</v>
      </c>
      <c r="DT173" s="316">
        <v>8.0379765106000001</v>
      </c>
      <c r="DU173" s="316">
        <v>6.7728654920000002</v>
      </c>
      <c r="DV173" s="316">
        <v>4.510238567</v>
      </c>
      <c r="DW173" s="316">
        <v>9.8643950090000008</v>
      </c>
      <c r="DX173" s="316">
        <v>4.8103419550000002</v>
      </c>
      <c r="DY173" s="316">
        <v>4.2425978820000001</v>
      </c>
      <c r="DZ173" s="318">
        <v>8.0953368880000003</v>
      </c>
      <c r="EA173" s="316">
        <v>5.8816170579999998</v>
      </c>
      <c r="EB173" s="316">
        <v>6.3996628209999997</v>
      </c>
      <c r="EC173" s="316">
        <v>7.2491238090000003</v>
      </c>
      <c r="ED173" s="316">
        <v>8.4980732149999998</v>
      </c>
      <c r="EE173" s="316">
        <v>5.8718664269999996</v>
      </c>
      <c r="EF173" s="316">
        <v>12.589767688</v>
      </c>
      <c r="EG173" s="316">
        <v>9.4740717130000007</v>
      </c>
      <c r="EH173" s="316">
        <v>3.8189532719999999</v>
      </c>
      <c r="EI173" s="316">
        <v>5.3892550441999996</v>
      </c>
      <c r="EJ173" s="316">
        <v>5.2891636850500001</v>
      </c>
      <c r="EK173" s="316">
        <v>5.4940347679999997</v>
      </c>
      <c r="EL173" s="318">
        <v>7.5226354979999996</v>
      </c>
      <c r="EM173" s="1206">
        <v>5.3946228459999999</v>
      </c>
      <c r="EN173" s="1206">
        <v>6.3444214639999998</v>
      </c>
      <c r="EO173" s="1206">
        <v>5.092901254</v>
      </c>
      <c r="EP173" s="1206">
        <v>6.0842647679999997</v>
      </c>
      <c r="EQ173" s="1206">
        <v>5.4578345759999998</v>
      </c>
      <c r="ER173" s="1206">
        <v>6.1263880479999999</v>
      </c>
      <c r="ES173" s="1206">
        <v>10.323512671</v>
      </c>
      <c r="ET173" s="1206">
        <v>5.9491651030000003</v>
      </c>
      <c r="EU173" s="1206">
        <v>6.4120986670000004</v>
      </c>
      <c r="EV173" s="1206">
        <v>5.9808855234999996</v>
      </c>
      <c r="EW173" s="1206">
        <v>9.0430883755900009</v>
      </c>
      <c r="EX173" s="1550">
        <v>8.8986785868424985</v>
      </c>
      <c r="EY173" s="1206"/>
      <c r="EZ173" s="1206"/>
      <c r="FA173" s="1206"/>
      <c r="FB173" s="1206"/>
      <c r="FC173" s="1206"/>
      <c r="FD173" s="1206"/>
      <c r="FE173" s="1206"/>
      <c r="FF173" s="1206"/>
      <c r="FG173" s="1206"/>
      <c r="FH173" s="1206"/>
      <c r="FI173" s="1206"/>
      <c r="FJ173" s="1550"/>
      <c r="FK173" s="1206"/>
      <c r="FL173" s="1206"/>
      <c r="FM173" s="1206"/>
      <c r="FN173" s="1206"/>
      <c r="FO173" s="1206"/>
      <c r="FP173" s="1206"/>
      <c r="FQ173" s="316"/>
      <c r="FR173" s="316"/>
      <c r="FS173" s="316"/>
      <c r="FT173" s="316"/>
      <c r="FU173" s="316"/>
      <c r="FV173" s="316"/>
      <c r="FW173" s="316"/>
      <c r="FX173" s="316"/>
      <c r="FY173" s="316"/>
      <c r="FZ173" s="316"/>
      <c r="GA173" s="316"/>
      <c r="GB173" s="316"/>
      <c r="GC173" s="316"/>
      <c r="GD173" s="316"/>
      <c r="GE173" s="316"/>
      <c r="GF173" s="316"/>
      <c r="GG173" s="316"/>
      <c r="GH173" s="316"/>
      <c r="GI173" s="316"/>
      <c r="GJ173" s="316"/>
      <c r="GK173" s="316"/>
      <c r="GL173" s="316"/>
      <c r="GM173" s="316"/>
      <c r="GN173" s="316"/>
      <c r="GO173" s="316"/>
      <c r="GP173" s="316"/>
      <c r="GQ173" s="316"/>
      <c r="GR173" s="316"/>
      <c r="GS173" s="316"/>
      <c r="GT173" s="316"/>
      <c r="GU173" s="316"/>
      <c r="GV173" s="316"/>
      <c r="GW173" s="316"/>
      <c r="GX173" s="316"/>
      <c r="GY173" s="316"/>
      <c r="GZ173" s="316"/>
      <c r="HA173" s="316"/>
      <c r="HB173" s="316"/>
      <c r="HC173" s="316"/>
      <c r="HD173" s="316"/>
      <c r="HE173" s="316"/>
      <c r="HF173" s="316"/>
      <c r="HG173" s="316"/>
      <c r="HH173" s="316"/>
      <c r="HI173" s="316"/>
      <c r="HJ173" s="316"/>
      <c r="HK173" s="316"/>
      <c r="HL173" s="316"/>
      <c r="HM173" s="316"/>
      <c r="HV173" s="302">
        <f t="shared" si="29"/>
        <v>42.588023408960538</v>
      </c>
      <c r="HW173" s="302">
        <f t="shared" si="30"/>
        <v>58.78553344576973</v>
      </c>
      <c r="HX173" s="346">
        <f t="shared" si="32"/>
        <v>101.37355685473027</v>
      </c>
      <c r="HY173" s="302">
        <f>SUM(DO173:DT173)</f>
        <v>35.8120913156</v>
      </c>
      <c r="KH173" s="303"/>
    </row>
    <row r="174" spans="2:294" outlineLevel="1">
      <c r="B174" s="117" t="s">
        <v>361</v>
      </c>
      <c r="D174" s="334" t="s">
        <v>434</v>
      </c>
      <c r="E174" s="316">
        <v>4.0890599999999999E-2</v>
      </c>
      <c r="F174" s="316">
        <v>0.13681317100000001</v>
      </c>
      <c r="G174" s="316">
        <v>0.63271109999999997</v>
      </c>
      <c r="H174" s="316">
        <v>4.3801003999999998E-2</v>
      </c>
      <c r="I174" s="316">
        <v>1.1481344999999999E-2</v>
      </c>
      <c r="J174" s="316">
        <v>9.526087300000001E-2</v>
      </c>
      <c r="K174" s="316">
        <v>1.2534606E-2</v>
      </c>
      <c r="L174" s="316">
        <v>1.0454544E-2</v>
      </c>
      <c r="M174" s="316">
        <v>9.1175650000000011E-3</v>
      </c>
      <c r="N174" s="316">
        <v>1.1346920999999999E-2</v>
      </c>
      <c r="O174" s="316">
        <v>1.1976345000000001E-2</v>
      </c>
      <c r="P174" s="316">
        <v>9.8641030000000008E-3</v>
      </c>
      <c r="Q174" s="316">
        <v>7.2170276000000005E-2</v>
      </c>
      <c r="R174" s="316">
        <v>0.16281949299999998</v>
      </c>
      <c r="S174" s="316">
        <v>0.71865559000000001</v>
      </c>
      <c r="T174" s="316">
        <v>2.7143129999999998E-2</v>
      </c>
      <c r="U174" s="316">
        <v>2.4269932000000001E-2</v>
      </c>
      <c r="V174" s="316">
        <v>2.5869171999999999E-2</v>
      </c>
      <c r="W174" s="316">
        <v>1.7386374E-2</v>
      </c>
      <c r="X174" s="316">
        <v>1.4083921999999999E-2</v>
      </c>
      <c r="Y174" s="316">
        <v>1.3733176999999999E-2</v>
      </c>
      <c r="Z174" s="316">
        <v>1.2545917E-2</v>
      </c>
      <c r="AA174" s="316">
        <v>7.2259710000000003E-3</v>
      </c>
      <c r="AB174" s="316">
        <v>1.1543312999999999E-2</v>
      </c>
      <c r="AC174" s="316">
        <v>6.9577459000000008E-2</v>
      </c>
      <c r="AD174" s="316">
        <v>0.15470985700000001</v>
      </c>
      <c r="AE174" s="316"/>
      <c r="AF174" s="316"/>
      <c r="AG174" s="316"/>
      <c r="AH174" s="316"/>
      <c r="AI174" s="316"/>
      <c r="AJ174" s="316"/>
      <c r="AK174" s="316"/>
      <c r="AL174" s="316"/>
      <c r="AM174" s="316"/>
      <c r="AN174" s="316"/>
      <c r="AO174" s="316">
        <v>9.0611050999999998E-2</v>
      </c>
      <c r="AP174" s="316">
        <v>0.191663159</v>
      </c>
      <c r="AQ174" s="316">
        <v>1.394922794</v>
      </c>
      <c r="AR174" s="316">
        <v>0.103013901</v>
      </c>
      <c r="AS174" s="316">
        <v>7.0394155E-2</v>
      </c>
      <c r="AT174" s="316">
        <v>7.9052346999999995E-2</v>
      </c>
      <c r="AU174" s="316">
        <v>0.117014174</v>
      </c>
      <c r="AV174" s="316">
        <v>0.148981692</v>
      </c>
      <c r="AW174" s="316">
        <v>0.112172855</v>
      </c>
      <c r="AX174" s="316">
        <v>0.12064074900000001</v>
      </c>
      <c r="AY174" s="316">
        <v>0.14576339200000002</v>
      </c>
      <c r="AZ174" s="316">
        <v>0.134566984</v>
      </c>
      <c r="BA174" s="316">
        <v>0.118421182</v>
      </c>
      <c r="BB174" s="316">
        <v>0.139652839</v>
      </c>
      <c r="BC174" s="316">
        <v>0.19527561299999999</v>
      </c>
      <c r="BD174" s="316">
        <v>0.150560733</v>
      </c>
      <c r="BE174" s="316">
        <v>0.163987303</v>
      </c>
      <c r="BF174" s="316">
        <v>0.172453359</v>
      </c>
      <c r="BG174" s="316">
        <v>0.18118972500000002</v>
      </c>
      <c r="BH174" s="316">
        <v>0.192474969</v>
      </c>
      <c r="BI174" s="316">
        <v>0.22943524500000001</v>
      </c>
      <c r="BJ174" s="316">
        <v>0.17908627699999999</v>
      </c>
      <c r="BK174" s="316">
        <v>0.25022814300000001</v>
      </c>
      <c r="BL174" s="316">
        <v>0.30484704599999995</v>
      </c>
      <c r="BM174" s="316">
        <v>0.238440455</v>
      </c>
      <c r="BN174" s="316">
        <v>0.29275037099999995</v>
      </c>
      <c r="BO174" s="316">
        <v>0.27686386800000001</v>
      </c>
      <c r="BP174" s="316">
        <v>0.20407425300000001</v>
      </c>
      <c r="BQ174" s="316">
        <v>0.32478257599999999</v>
      </c>
      <c r="BR174" s="316">
        <v>0.25208248999999999</v>
      </c>
      <c r="BS174" s="316">
        <v>0.30079388299999998</v>
      </c>
      <c r="BT174" s="316">
        <v>0.32108410800000003</v>
      </c>
      <c r="BU174" s="316">
        <v>0.29824581499999997</v>
      </c>
      <c r="BV174" s="316">
        <v>0.27131312200000002</v>
      </c>
      <c r="BW174" s="316">
        <v>0.24535612800000001</v>
      </c>
      <c r="BX174" s="316">
        <v>0.20740813700000002</v>
      </c>
      <c r="BY174" s="316">
        <v>0.203517003</v>
      </c>
      <c r="BZ174" s="316">
        <v>0.178721887</v>
      </c>
      <c r="CA174" s="316">
        <v>0.18224020500000002</v>
      </c>
      <c r="CB174" s="316">
        <v>0.15312696100000001</v>
      </c>
      <c r="CC174" s="316">
        <v>0.17082076299999999</v>
      </c>
      <c r="CD174" s="316">
        <v>0</v>
      </c>
      <c r="CE174" s="317">
        <v>0</v>
      </c>
      <c r="CF174" s="316">
        <v>0</v>
      </c>
      <c r="CG174" s="316">
        <v>0</v>
      </c>
      <c r="CH174" s="316">
        <v>0</v>
      </c>
      <c r="CI174" s="316">
        <v>0</v>
      </c>
      <c r="CJ174" s="316">
        <v>0</v>
      </c>
      <c r="CK174" s="316">
        <v>0</v>
      </c>
      <c r="CL174" s="316">
        <v>0</v>
      </c>
      <c r="CM174" s="316">
        <v>0</v>
      </c>
      <c r="CN174" s="316">
        <v>0</v>
      </c>
      <c r="CO174" s="316">
        <v>0</v>
      </c>
      <c r="CP174" s="318">
        <v>0</v>
      </c>
      <c r="CQ174" s="316">
        <v>6.0929865E-2</v>
      </c>
      <c r="CR174" s="316">
        <v>5.2817537999999997E-2</v>
      </c>
      <c r="CS174" s="316">
        <v>1.597929629</v>
      </c>
      <c r="CT174" s="316">
        <v>9.6089030000000002E-3</v>
      </c>
      <c r="CU174" s="316">
        <v>0</v>
      </c>
      <c r="CV174" s="316">
        <v>4.5731504999999999E-2</v>
      </c>
      <c r="CW174" s="316">
        <v>6.6731936000000006E-2</v>
      </c>
      <c r="CX174" s="316">
        <v>5.0132400000000004E-4</v>
      </c>
      <c r="CY174" s="316">
        <v>0.60398560699999992</v>
      </c>
      <c r="CZ174" s="316">
        <v>0.12831611000000001</v>
      </c>
      <c r="DA174" s="316">
        <v>0.73575242000000007</v>
      </c>
      <c r="DB174" s="1498">
        <v>2.4872830000000002E-2</v>
      </c>
      <c r="DC174" s="316"/>
      <c r="DD174" s="316"/>
      <c r="DE174" s="316"/>
      <c r="DF174" s="316"/>
      <c r="DG174" s="316"/>
      <c r="DH174" s="316"/>
      <c r="DI174" s="316"/>
      <c r="DJ174" s="316"/>
      <c r="DK174" s="316"/>
      <c r="DL174" s="316"/>
      <c r="DM174" s="316"/>
      <c r="DN174" s="318"/>
      <c r="DO174" s="316"/>
      <c r="DP174" s="316"/>
      <c r="DQ174" s="316"/>
      <c r="DR174" s="316"/>
      <c r="DS174" s="316"/>
      <c r="DT174" s="316"/>
      <c r="DU174" s="316"/>
      <c r="DV174" s="316"/>
      <c r="DW174" s="316"/>
      <c r="DX174" s="316"/>
      <c r="DY174" s="316"/>
      <c r="DZ174" s="318"/>
      <c r="EA174" s="316"/>
      <c r="EB174" s="316"/>
      <c r="EC174" s="316"/>
      <c r="ED174" s="316"/>
      <c r="EE174" s="316"/>
      <c r="EF174" s="316"/>
      <c r="EG174" s="316"/>
      <c r="EH174" s="316"/>
      <c r="EI174" s="316"/>
      <c r="EJ174" s="316"/>
      <c r="EK174" s="316"/>
      <c r="EL174" s="318"/>
      <c r="EM174" s="1206"/>
      <c r="EN174" s="1206"/>
      <c r="EO174" s="1206"/>
      <c r="EP174" s="1206"/>
      <c r="EQ174" s="1206"/>
      <c r="ER174" s="1206"/>
      <c r="ES174" s="1206"/>
      <c r="ET174" s="1206"/>
      <c r="EU174" s="1206"/>
      <c r="EV174" s="1206"/>
      <c r="EW174" s="1206"/>
      <c r="EX174" s="1550"/>
      <c r="EY174" s="1206"/>
      <c r="EZ174" s="1206"/>
      <c r="FA174" s="1206"/>
      <c r="FB174" s="1206"/>
      <c r="FC174" s="1206"/>
      <c r="FD174" s="1206"/>
      <c r="FE174" s="1206"/>
      <c r="FF174" s="1206"/>
      <c r="FG174" s="1206"/>
      <c r="FH174" s="1206"/>
      <c r="FI174" s="1206"/>
      <c r="FJ174" s="1550"/>
      <c r="FK174" s="1206"/>
      <c r="FL174" s="1206"/>
      <c r="FM174" s="1206"/>
      <c r="FN174" s="1206"/>
      <c r="FO174" s="1206"/>
      <c r="FP174" s="1206"/>
      <c r="FQ174" s="316"/>
      <c r="FR174" s="316"/>
      <c r="FS174" s="316"/>
      <c r="FT174" s="316"/>
      <c r="FU174" s="316"/>
      <c r="FV174" s="316"/>
      <c r="FW174" s="316"/>
      <c r="FX174" s="316"/>
      <c r="FY174" s="316"/>
      <c r="FZ174" s="316"/>
      <c r="GA174" s="316"/>
      <c r="GB174" s="316"/>
      <c r="GC174" s="316"/>
      <c r="GD174" s="316"/>
      <c r="GE174" s="316"/>
      <c r="GF174" s="316"/>
      <c r="GG174" s="316"/>
      <c r="GH174" s="316"/>
      <c r="GI174" s="316"/>
      <c r="GJ174" s="316"/>
      <c r="GK174" s="316"/>
      <c r="GL174" s="316"/>
      <c r="GM174" s="316"/>
      <c r="GN174" s="316"/>
      <c r="GO174" s="316"/>
      <c r="GP174" s="316"/>
      <c r="GQ174" s="316"/>
      <c r="GR174" s="316"/>
      <c r="GS174" s="316"/>
      <c r="GT174" s="316"/>
      <c r="GU174" s="316"/>
      <c r="GV174" s="316"/>
      <c r="GW174" s="316"/>
      <c r="GX174" s="316"/>
      <c r="GY174" s="316"/>
      <c r="GZ174" s="316"/>
      <c r="HA174" s="316"/>
      <c r="HB174" s="316"/>
      <c r="HC174" s="316"/>
      <c r="HD174" s="316"/>
      <c r="HE174" s="316"/>
      <c r="HF174" s="316"/>
      <c r="HG174" s="316"/>
      <c r="HH174" s="316"/>
      <c r="HI174" s="316"/>
      <c r="HJ174" s="316"/>
      <c r="HK174" s="316"/>
      <c r="HL174" s="316"/>
      <c r="HM174" s="316"/>
      <c r="HX174" s="346"/>
      <c r="KH174" s="303"/>
    </row>
    <row r="175" spans="2:294" outlineLevel="1">
      <c r="B175" s="117" t="s">
        <v>361</v>
      </c>
      <c r="D175" s="332" t="s">
        <v>435</v>
      </c>
      <c r="E175" s="316">
        <v>9.4115540534999997</v>
      </c>
      <c r="F175" s="316">
        <v>8.2609325399000006</v>
      </c>
      <c r="G175" s="316">
        <v>10.015398151499999</v>
      </c>
      <c r="H175" s="316">
        <v>9.7668835967000014</v>
      </c>
      <c r="I175" s="316">
        <v>9.5554339401000021</v>
      </c>
      <c r="J175" s="316">
        <v>10.387038216699999</v>
      </c>
      <c r="K175" s="316">
        <v>9.6048596589000006</v>
      </c>
      <c r="L175" s="316">
        <v>10.3903271996</v>
      </c>
      <c r="M175" s="316">
        <v>9.9151893914000002</v>
      </c>
      <c r="N175" s="316">
        <v>10.214158165499999</v>
      </c>
      <c r="O175" s="316">
        <v>11.895285414</v>
      </c>
      <c r="P175" s="316">
        <v>11.564776257100002</v>
      </c>
      <c r="Q175" s="316">
        <v>11.690313253000001</v>
      </c>
      <c r="R175" s="316">
        <v>11.614854159</v>
      </c>
      <c r="S175" s="316">
        <v>11.647526646000001</v>
      </c>
      <c r="T175" s="316">
        <v>10.822694902</v>
      </c>
      <c r="U175" s="316">
        <v>12.672754311</v>
      </c>
      <c r="V175" s="316">
        <v>12.94786319</v>
      </c>
      <c r="W175" s="316">
        <v>13.301831321000002</v>
      </c>
      <c r="X175" s="316">
        <v>13.801767127</v>
      </c>
      <c r="Y175" s="316">
        <v>15.943457641999998</v>
      </c>
      <c r="Z175" s="316">
        <v>15.842430758999999</v>
      </c>
      <c r="AA175" s="316">
        <v>14.826771632999998</v>
      </c>
      <c r="AB175" s="316">
        <v>16.585215720000001</v>
      </c>
      <c r="AC175" s="316">
        <v>15.965026633600003</v>
      </c>
      <c r="AD175" s="316">
        <v>16.185068681500002</v>
      </c>
      <c r="AE175" s="316"/>
      <c r="AF175" s="316"/>
      <c r="AG175" s="316"/>
      <c r="AH175" s="316"/>
      <c r="AI175" s="316"/>
      <c r="AJ175" s="316"/>
      <c r="AK175" s="316"/>
      <c r="AL175" s="316"/>
      <c r="AM175" s="316"/>
      <c r="AN175" s="316"/>
      <c r="AO175" s="316">
        <v>17.202942125099998</v>
      </c>
      <c r="AP175" s="316">
        <v>15.485776001400003</v>
      </c>
      <c r="AQ175" s="316">
        <v>18.537725345699997</v>
      </c>
      <c r="AR175" s="316">
        <v>16.670809489100002</v>
      </c>
      <c r="AS175" s="316">
        <v>15.619448288800001</v>
      </c>
      <c r="AT175" s="316">
        <v>18.259024952200004</v>
      </c>
      <c r="AU175" s="316">
        <v>17.882533485700002</v>
      </c>
      <c r="AV175" s="316">
        <v>19.777877026700001</v>
      </c>
      <c r="AW175" s="316">
        <v>19.975631800545081</v>
      </c>
      <c r="AX175" s="316">
        <v>18.944091534431077</v>
      </c>
      <c r="AY175" s="316">
        <v>21.192861295518</v>
      </c>
      <c r="AZ175" s="316">
        <v>22.195160451415997</v>
      </c>
      <c r="BA175" s="316">
        <v>23.339405721013598</v>
      </c>
      <c r="BB175" s="316">
        <v>19.099012166900003</v>
      </c>
      <c r="BC175" s="316">
        <v>21.595264730350003</v>
      </c>
      <c r="BD175" s="316">
        <v>21.2958609057216</v>
      </c>
      <c r="BE175" s="316">
        <v>22.531859282806373</v>
      </c>
      <c r="BF175" s="316">
        <v>23.015298450898005</v>
      </c>
      <c r="BG175" s="316">
        <v>21.078074906865822</v>
      </c>
      <c r="BH175" s="316">
        <v>25.023259836291555</v>
      </c>
      <c r="BI175" s="316">
        <v>23.932495381389487</v>
      </c>
      <c r="BJ175" s="316">
        <v>21.606015288195294</v>
      </c>
      <c r="BK175" s="316">
        <v>23.415619378649247</v>
      </c>
      <c r="BL175" s="316">
        <v>25.374121328848808</v>
      </c>
      <c r="BM175" s="316">
        <v>24.265292310570999</v>
      </c>
      <c r="BN175" s="316">
        <v>24.722699085430232</v>
      </c>
      <c r="BO175" s="316">
        <v>24.754847411893643</v>
      </c>
      <c r="BP175" s="316">
        <v>22.600191098811944</v>
      </c>
      <c r="BQ175" s="316">
        <v>24.725421445805853</v>
      </c>
      <c r="BR175" s="316">
        <v>27.289307286360408</v>
      </c>
      <c r="BS175" s="316">
        <v>25.068323481503988</v>
      </c>
      <c r="BT175" s="316">
        <v>26.603420080039307</v>
      </c>
      <c r="BU175" s="316">
        <v>28.00255271873149</v>
      </c>
      <c r="BV175" s="316">
        <v>26.531306822147378</v>
      </c>
      <c r="BW175" s="316">
        <v>24.98555869265882</v>
      </c>
      <c r="BX175" s="316">
        <v>26.125447644255175</v>
      </c>
      <c r="BY175" s="316">
        <v>27.888198336466331</v>
      </c>
      <c r="BZ175" s="316">
        <v>24.784347504198433</v>
      </c>
      <c r="CA175" s="316">
        <v>26.467188712430286</v>
      </c>
      <c r="CB175" s="316">
        <v>26.181016224506465</v>
      </c>
      <c r="CC175" s="316">
        <v>27.027884673222939</v>
      </c>
      <c r="CD175" s="316">
        <v>0.17306079800000002</v>
      </c>
      <c r="CE175" s="317">
        <v>0.18944245400000001</v>
      </c>
      <c r="CF175" s="316">
        <v>0.16157444000000001</v>
      </c>
      <c r="CG175" s="316">
        <v>0.179777469</v>
      </c>
      <c r="CH175" s="316">
        <v>0.150021605</v>
      </c>
      <c r="CI175" s="316">
        <v>6.0362790999999999E-2</v>
      </c>
      <c r="CJ175" s="316">
        <v>4.0672494000000003E-2</v>
      </c>
      <c r="CK175" s="316">
        <v>4.7470760000000001E-2</v>
      </c>
      <c r="CL175" s="316">
        <v>3.9086731999999999E-2</v>
      </c>
      <c r="CM175" s="316">
        <v>4.4183103000000001E-2</v>
      </c>
      <c r="CN175" s="316">
        <v>5.4937002999999998E-2</v>
      </c>
      <c r="CO175" s="316">
        <v>4.8854039000000002E-2</v>
      </c>
      <c r="CP175" s="318">
        <v>4.9777149999999999E-2</v>
      </c>
      <c r="CQ175" s="316">
        <v>0.17051005499999999</v>
      </c>
      <c r="CR175" s="316">
        <v>0.18304915500000002</v>
      </c>
      <c r="CS175" s="316">
        <v>0.21021565</v>
      </c>
      <c r="CT175" s="316">
        <v>0.21520460800000002</v>
      </c>
      <c r="CU175" s="316">
        <v>0.20855557</v>
      </c>
      <c r="CV175" s="316">
        <v>0.18983828600000002</v>
      </c>
      <c r="CW175" s="316">
        <v>0.21592814200000002</v>
      </c>
      <c r="CX175" s="316">
        <v>0.194580104</v>
      </c>
      <c r="CY175" s="316">
        <v>0.24707765699999998</v>
      </c>
      <c r="CZ175" s="316">
        <v>0.23708992699999998</v>
      </c>
      <c r="DA175" s="316">
        <v>0.23093652200000001</v>
      </c>
      <c r="DB175" s="1498">
        <v>0.30930898000000001</v>
      </c>
      <c r="DC175" s="636"/>
      <c r="DD175" s="636"/>
      <c r="DE175" s="636"/>
      <c r="DF175" s="636"/>
      <c r="DG175" s="636"/>
      <c r="DH175" s="636"/>
      <c r="DI175" s="316"/>
      <c r="DJ175" s="316"/>
      <c r="DK175" s="316"/>
      <c r="DL175" s="316"/>
      <c r="DM175" s="316"/>
      <c r="DN175" s="318"/>
      <c r="DO175" s="316">
        <v>0.23284353199999999</v>
      </c>
      <c r="DP175" s="316">
        <v>0.27472532999999999</v>
      </c>
      <c r="DQ175" s="316">
        <v>0.21367677800000001</v>
      </c>
      <c r="DR175" s="316">
        <v>0.157977698</v>
      </c>
      <c r="DS175" s="316">
        <v>0.13271252057999999</v>
      </c>
      <c r="DT175" s="316">
        <v>0.15869512599999999</v>
      </c>
      <c r="DU175" s="316">
        <v>0.221530898</v>
      </c>
      <c r="DV175" s="316">
        <v>0.23277361099999999</v>
      </c>
      <c r="DW175" s="316">
        <v>0.242586996</v>
      </c>
      <c r="DX175" s="316">
        <v>0.22671354399999999</v>
      </c>
      <c r="DY175" s="316">
        <v>0.28709694299999999</v>
      </c>
      <c r="DZ175" s="318">
        <v>0.24992119800000001</v>
      </c>
      <c r="EA175" s="316">
        <v>0.2360804</v>
      </c>
      <c r="EB175" s="316">
        <v>0.18856618999999999</v>
      </c>
      <c r="EC175" s="316">
        <v>0.1850376</v>
      </c>
      <c r="ED175" s="316">
        <v>0.15406235300000001</v>
      </c>
      <c r="EE175" s="316">
        <v>0.21423336000000001</v>
      </c>
      <c r="EF175" s="316">
        <v>0.25250450000000002</v>
      </c>
      <c r="EG175" s="316">
        <v>0.172061096</v>
      </c>
      <c r="EH175" s="316">
        <v>0.17124639999999999</v>
      </c>
      <c r="EI175" s="316">
        <v>0.20384579999999999</v>
      </c>
      <c r="EJ175" s="316">
        <v>0.17350889</v>
      </c>
      <c r="EK175" s="316">
        <v>0.19338287400000001</v>
      </c>
      <c r="EL175" s="318">
        <v>0.19022138499999999</v>
      </c>
      <c r="EM175" s="1206">
        <v>0.167482982</v>
      </c>
      <c r="EN175" s="1206">
        <v>0.20956</v>
      </c>
      <c r="EO175" s="1206">
        <v>0.22771</v>
      </c>
      <c r="EP175" s="1206">
        <v>0.203655</v>
      </c>
      <c r="EQ175" s="1206">
        <v>0.19384455</v>
      </c>
      <c r="ER175" s="1206">
        <v>0.16234000000000001</v>
      </c>
      <c r="ES175" s="1206">
        <v>0.22678512000000001</v>
      </c>
      <c r="ET175" s="1206">
        <v>0.2303452</v>
      </c>
      <c r="EU175" s="1206">
        <v>0.213585</v>
      </c>
      <c r="EV175" s="1206">
        <v>0.22321879999999999</v>
      </c>
      <c r="EW175" s="1206">
        <v>0.1952768</v>
      </c>
      <c r="EX175" s="1550">
        <v>0.212695</v>
      </c>
      <c r="EY175" s="1206"/>
      <c r="EZ175" s="1206"/>
      <c r="FA175" s="1206"/>
      <c r="FB175" s="1206"/>
      <c r="FC175" s="1206"/>
      <c r="FD175" s="1206"/>
      <c r="FE175" s="1206"/>
      <c r="FF175" s="1206"/>
      <c r="FG175" s="1206"/>
      <c r="FH175" s="1206"/>
      <c r="FI175" s="1206"/>
      <c r="FJ175" s="1550"/>
      <c r="FK175" s="1206"/>
      <c r="FL175" s="1206"/>
      <c r="FM175" s="1206"/>
      <c r="FN175" s="1206"/>
      <c r="FO175" s="1206"/>
      <c r="FP175" s="1206"/>
      <c r="FQ175" s="316"/>
      <c r="FR175" s="316"/>
      <c r="FS175" s="316"/>
      <c r="FT175" s="316"/>
      <c r="FU175" s="316"/>
      <c r="FV175" s="316"/>
      <c r="FW175" s="316"/>
      <c r="FX175" s="316"/>
      <c r="FY175" s="316"/>
      <c r="FZ175" s="316"/>
      <c r="GA175" s="316"/>
      <c r="GB175" s="316"/>
      <c r="GC175" s="316"/>
      <c r="GD175" s="316"/>
      <c r="GE175" s="316"/>
      <c r="GF175" s="316"/>
      <c r="GG175" s="316"/>
      <c r="GH175" s="316"/>
      <c r="GI175" s="316"/>
      <c r="GJ175" s="316"/>
      <c r="GK175" s="316"/>
      <c r="GL175" s="316"/>
      <c r="GM175" s="316"/>
      <c r="GN175" s="316"/>
      <c r="GO175" s="316"/>
      <c r="GP175" s="316"/>
      <c r="GQ175" s="316"/>
      <c r="GR175" s="316"/>
      <c r="GS175" s="316"/>
      <c r="GT175" s="316"/>
      <c r="GU175" s="316"/>
      <c r="GV175" s="316"/>
      <c r="GW175" s="316"/>
      <c r="GX175" s="316"/>
      <c r="GY175" s="316"/>
      <c r="GZ175" s="316"/>
      <c r="HA175" s="316"/>
      <c r="HB175" s="316"/>
      <c r="HC175" s="316"/>
      <c r="HD175" s="316"/>
      <c r="HE175" s="316"/>
      <c r="HF175" s="316"/>
      <c r="HG175" s="316"/>
      <c r="HH175" s="316"/>
      <c r="HI175" s="316"/>
      <c r="HJ175" s="316"/>
      <c r="HK175" s="316"/>
      <c r="HL175" s="316"/>
      <c r="HM175" s="316"/>
      <c r="HV175" s="302">
        <f t="shared" ref="HV175:HV186" si="33">+SUM(DC175:DH175)</f>
        <v>0</v>
      </c>
      <c r="HW175" s="302">
        <f t="shared" ref="HW175:HW186" si="34">+SUM(DI175:DN175)</f>
        <v>0</v>
      </c>
      <c r="HX175" s="346">
        <f t="shared" si="32"/>
        <v>0</v>
      </c>
      <c r="HY175" s="302">
        <f t="shared" ref="HY175:HY186" si="35">SUM(DO175:DT175)</f>
        <v>1.17063098458</v>
      </c>
      <c r="KH175" s="303"/>
    </row>
    <row r="176" spans="2:294" outlineLevel="1">
      <c r="B176" s="117" t="s">
        <v>361</v>
      </c>
      <c r="D176" s="331" t="s">
        <v>436</v>
      </c>
      <c r="E176" s="316">
        <v>2.7392228759999999</v>
      </c>
      <c r="F176" s="316">
        <v>2.4299532099999999</v>
      </c>
      <c r="G176" s="316">
        <v>2.4246029150000004</v>
      </c>
      <c r="H176" s="316">
        <v>2.582954543</v>
      </c>
      <c r="I176" s="316">
        <v>2.332955659</v>
      </c>
      <c r="J176" s="316">
        <v>2.7714586809999995</v>
      </c>
      <c r="K176" s="316">
        <v>2.3342314439999998</v>
      </c>
      <c r="L176" s="316">
        <v>2.4963311739999998</v>
      </c>
      <c r="M176" s="316">
        <v>2.3591973749999999</v>
      </c>
      <c r="N176" s="316">
        <v>2.2456253360000002</v>
      </c>
      <c r="O176" s="316">
        <v>2.3248152589999997</v>
      </c>
      <c r="P176" s="316">
        <v>2.4867880979999999</v>
      </c>
      <c r="Q176" s="316">
        <v>2.9759658039999999</v>
      </c>
      <c r="R176" s="316">
        <v>2.7960305339999998</v>
      </c>
      <c r="S176" s="316">
        <v>2.3256722570000004</v>
      </c>
      <c r="T176" s="316">
        <v>2.4216086090000002</v>
      </c>
      <c r="U176" s="316">
        <v>2.7005912919999999</v>
      </c>
      <c r="V176" s="316">
        <v>3.0238605689999996</v>
      </c>
      <c r="W176" s="316">
        <v>2.7594319840000003</v>
      </c>
      <c r="X176" s="316">
        <v>3.4014066070000002</v>
      </c>
      <c r="Y176" s="316">
        <v>3.896334274</v>
      </c>
      <c r="Z176" s="316">
        <v>3.9260985079999999</v>
      </c>
      <c r="AA176" s="316">
        <v>3.2967046679999998</v>
      </c>
      <c r="AB176" s="316">
        <v>3.9345470369999997</v>
      </c>
      <c r="AC176" s="316">
        <v>4.1509354800000002</v>
      </c>
      <c r="AD176" s="316">
        <v>3.89354814</v>
      </c>
      <c r="AE176" s="316"/>
      <c r="AF176" s="316"/>
      <c r="AG176" s="316"/>
      <c r="AH176" s="316"/>
      <c r="AI176" s="316"/>
      <c r="AJ176" s="316"/>
      <c r="AK176" s="316"/>
      <c r="AL176" s="316"/>
      <c r="AM176" s="316"/>
      <c r="AN176" s="316"/>
      <c r="AO176" s="316">
        <v>4.6551062729999995</v>
      </c>
      <c r="AP176" s="316">
        <v>4.693069534000001</v>
      </c>
      <c r="AQ176" s="316">
        <v>4.8965492869999991</v>
      </c>
      <c r="AR176" s="316">
        <v>4.4456236169999999</v>
      </c>
      <c r="AS176" s="316">
        <v>3.8280966780000005</v>
      </c>
      <c r="AT176" s="316">
        <v>5.2150959340000007</v>
      </c>
      <c r="AU176" s="316">
        <v>6.2730027020000012</v>
      </c>
      <c r="AV176" s="316">
        <v>7.6429165540000001</v>
      </c>
      <c r="AW176" s="316">
        <v>6.7226256149999992</v>
      </c>
      <c r="AX176" s="316">
        <v>6.8968542400000006</v>
      </c>
      <c r="AY176" s="316">
        <v>6.8987294840000013</v>
      </c>
      <c r="AZ176" s="316">
        <v>7.608156395</v>
      </c>
      <c r="BA176" s="316">
        <v>7.5444947400000011</v>
      </c>
      <c r="BB176" s="316">
        <v>6.7940711340000011</v>
      </c>
      <c r="BC176" s="316">
        <v>7.1437035900000003</v>
      </c>
      <c r="BD176" s="316">
        <v>6.6120206109999993</v>
      </c>
      <c r="BE176" s="316">
        <v>7.9397252390000004</v>
      </c>
      <c r="BF176" s="316">
        <v>7.739183305000001</v>
      </c>
      <c r="BG176" s="316">
        <v>7.4401361340000003</v>
      </c>
      <c r="BH176" s="316">
        <v>8.2737817309999997</v>
      </c>
      <c r="BI176" s="316">
        <v>7.8203539880000008</v>
      </c>
      <c r="BJ176" s="316">
        <v>7.4693923919999996</v>
      </c>
      <c r="BK176" s="316">
        <v>7.4173900849999992</v>
      </c>
      <c r="BL176" s="316">
        <v>8.0213624149999987</v>
      </c>
      <c r="BM176" s="316">
        <v>7.8467695549999998</v>
      </c>
      <c r="BN176" s="316">
        <v>7.4650972449999999</v>
      </c>
      <c r="BO176" s="316">
        <v>7.0914743160000002</v>
      </c>
      <c r="BP176" s="316">
        <v>7.0443161619999994</v>
      </c>
      <c r="BQ176" s="316">
        <v>7.5030041030000003</v>
      </c>
      <c r="BR176" s="316">
        <v>7.8668030060000014</v>
      </c>
      <c r="BS176" s="316">
        <v>7.2429024519999992</v>
      </c>
      <c r="BT176" s="316">
        <v>7.6828974839999997</v>
      </c>
      <c r="BU176" s="316">
        <v>7.8943546909999993</v>
      </c>
      <c r="BV176" s="316">
        <v>7.7865230969999999</v>
      </c>
      <c r="BW176" s="316">
        <v>7.8938692190000008</v>
      </c>
      <c r="BX176" s="316">
        <v>7.7261983870000002</v>
      </c>
      <c r="BY176" s="316">
        <v>8.440349694</v>
      </c>
      <c r="BZ176" s="316">
        <v>7.2436491869999999</v>
      </c>
      <c r="CA176" s="316">
        <v>7.3947901100000006</v>
      </c>
      <c r="CB176" s="316">
        <v>7.7956166430000007</v>
      </c>
      <c r="CC176" s="316">
        <v>8.0887992759999996</v>
      </c>
      <c r="CD176" s="316">
        <v>32.036213115318802</v>
      </c>
      <c r="CE176" s="317">
        <v>27.175925627697268</v>
      </c>
      <c r="CF176" s="316">
        <v>31.448783389300786</v>
      </c>
      <c r="CG176" s="316">
        <v>32.695062422293432</v>
      </c>
      <c r="CH176" s="316">
        <v>30.093787589345226</v>
      </c>
      <c r="CI176" s="316">
        <v>31.622931282824723</v>
      </c>
      <c r="CJ176" s="316">
        <v>30.767406408693802</v>
      </c>
      <c r="CK176" s="316">
        <v>34.382431935825046</v>
      </c>
      <c r="CL176" s="316">
        <v>31.154646210163069</v>
      </c>
      <c r="CM176" s="316">
        <v>31.832167890064213</v>
      </c>
      <c r="CN176" s="316">
        <v>30.847774212253356</v>
      </c>
      <c r="CO176" s="316">
        <v>37.059071629357625</v>
      </c>
      <c r="CP176" s="318">
        <v>44.856672864505647</v>
      </c>
      <c r="CQ176" s="316">
        <v>34.044234721423337</v>
      </c>
      <c r="CR176" s="316">
        <v>34.29596958275522</v>
      </c>
      <c r="CS176" s="316">
        <v>40.407163301722527</v>
      </c>
      <c r="CT176" s="316">
        <v>32.822443309882217</v>
      </c>
      <c r="CU176" s="316">
        <v>32.604727360794364</v>
      </c>
      <c r="CV176" s="316">
        <v>36.848967973615132</v>
      </c>
      <c r="CW176" s="316">
        <v>34.063865863482597</v>
      </c>
      <c r="CX176" s="316">
        <v>31.988126682468085</v>
      </c>
      <c r="CY176" s="316">
        <v>35.181410989911789</v>
      </c>
      <c r="CZ176" s="316">
        <v>35.864216277090101</v>
      </c>
      <c r="DA176" s="316">
        <v>35.710730559602688</v>
      </c>
      <c r="DB176" s="1498">
        <v>48.394044200851191</v>
      </c>
      <c r="DC176" s="636">
        <v>36.017546511268577</v>
      </c>
      <c r="DD176" s="636">
        <v>38.71828427882236</v>
      </c>
      <c r="DE176" s="636">
        <v>43.069802325784131</v>
      </c>
      <c r="DF176" s="636">
        <v>41.524162978379593</v>
      </c>
      <c r="DG176" s="636">
        <v>38.419026093744549</v>
      </c>
      <c r="DH176" s="636">
        <v>47.647654626847959</v>
      </c>
      <c r="DI176" s="636">
        <v>40.436518023905741</v>
      </c>
      <c r="DJ176" s="636">
        <v>39.103427348713439</v>
      </c>
      <c r="DK176" s="636">
        <v>44.097411509082349</v>
      </c>
      <c r="DL176" s="636">
        <v>41.603929950538571</v>
      </c>
      <c r="DM176" s="636">
        <v>41.569464513546087</v>
      </c>
      <c r="DN176" s="653">
        <v>58.062729940586692</v>
      </c>
      <c r="DO176" s="636">
        <v>39.527052364900001</v>
      </c>
      <c r="DP176" s="636">
        <v>42.818899499300009</v>
      </c>
      <c r="DQ176" s="636">
        <v>46.790589943999997</v>
      </c>
      <c r="DR176" s="636">
        <v>39.023771138699999</v>
      </c>
      <c r="DS176" s="636">
        <v>41.684953767900005</v>
      </c>
      <c r="DT176" s="636">
        <v>48.221292091819997</v>
      </c>
      <c r="DU176" s="636">
        <v>45.778980718100001</v>
      </c>
      <c r="DV176" s="636">
        <v>43.676228391100004</v>
      </c>
      <c r="DW176" s="636">
        <v>48.967417331000007</v>
      </c>
      <c r="DX176" s="636">
        <v>42.485499302900003</v>
      </c>
      <c r="DY176" s="636">
        <v>45.112971943700011</v>
      </c>
      <c r="DZ176" s="653">
        <v>60.468120292899989</v>
      </c>
      <c r="EA176" s="636">
        <v>44.797875797699994</v>
      </c>
      <c r="EB176" s="636">
        <v>45.5477164399</v>
      </c>
      <c r="EC176" s="636">
        <v>53.77540983518999</v>
      </c>
      <c r="ED176" s="636">
        <v>48.820116958200003</v>
      </c>
      <c r="EE176" s="636">
        <v>47.771835361160008</v>
      </c>
      <c r="EF176" s="636">
        <v>58.566249298130003</v>
      </c>
      <c r="EG176" s="636">
        <v>50.211513377449997</v>
      </c>
      <c r="EH176" s="636">
        <v>48.096043656969997</v>
      </c>
      <c r="EI176" s="636">
        <v>53.197381827259996</v>
      </c>
      <c r="EJ176" s="636">
        <v>50.165768678964042</v>
      </c>
      <c r="EK176" s="636">
        <v>50.777974140087323</v>
      </c>
      <c r="EL176" s="653">
        <v>64.329564190127527</v>
      </c>
      <c r="EM176" s="1209">
        <v>49.047515527320002</v>
      </c>
      <c r="EN176" s="1209">
        <v>55.9534801808</v>
      </c>
      <c r="EO176" s="1209">
        <v>56.180142703960001</v>
      </c>
      <c r="EP176" s="1209">
        <v>50.583445224296661</v>
      </c>
      <c r="EQ176" s="1209">
        <v>53.589851192056663</v>
      </c>
      <c r="ER176" s="1209">
        <v>63.491690591056667</v>
      </c>
      <c r="ES176" s="1209">
        <v>57.058484830496539</v>
      </c>
      <c r="ET176" s="1209">
        <v>57.352404683147306</v>
      </c>
      <c r="EU176" s="1209">
        <v>55.750775766247251</v>
      </c>
      <c r="EV176" s="1209">
        <v>58.656694224941994</v>
      </c>
      <c r="EW176" s="1209">
        <v>59.182104264638305</v>
      </c>
      <c r="EX176" s="1539">
        <v>73.132967703428662</v>
      </c>
      <c r="EY176" s="1209"/>
      <c r="EZ176" s="1209"/>
      <c r="FA176" s="1209"/>
      <c r="FB176" s="1209"/>
      <c r="FC176" s="1209"/>
      <c r="FD176" s="1209"/>
      <c r="FE176" s="1209"/>
      <c r="FF176" s="1209"/>
      <c r="FG176" s="1209"/>
      <c r="FH176" s="1209"/>
      <c r="FI176" s="1209"/>
      <c r="FJ176" s="1539"/>
      <c r="FK176" s="1209"/>
      <c r="FL176" s="1209"/>
      <c r="FM176" s="1209"/>
      <c r="FN176" s="1209"/>
      <c r="FO176" s="1209"/>
      <c r="FP176" s="1209"/>
      <c r="FQ176" s="636"/>
      <c r="FR176" s="636"/>
      <c r="FS176" s="636"/>
      <c r="FT176" s="636"/>
      <c r="FU176" s="636"/>
      <c r="FV176" s="636"/>
      <c r="FW176" s="636"/>
      <c r="FX176" s="636"/>
      <c r="FY176" s="636"/>
      <c r="FZ176" s="636"/>
      <c r="GA176" s="636"/>
      <c r="GB176" s="636"/>
      <c r="GC176" s="636"/>
      <c r="GD176" s="636"/>
      <c r="GE176" s="636"/>
      <c r="GF176" s="636"/>
      <c r="GG176" s="636"/>
      <c r="GH176" s="636"/>
      <c r="GI176" s="636"/>
      <c r="GJ176" s="636"/>
      <c r="GK176" s="636"/>
      <c r="GL176" s="636"/>
      <c r="GM176" s="636"/>
      <c r="GN176" s="636"/>
      <c r="GO176" s="636"/>
      <c r="GP176" s="636"/>
      <c r="GQ176" s="636"/>
      <c r="GR176" s="636"/>
      <c r="GS176" s="636"/>
      <c r="GT176" s="636"/>
      <c r="GU176" s="636"/>
      <c r="GV176" s="636"/>
      <c r="GW176" s="636"/>
      <c r="GX176" s="636"/>
      <c r="GY176" s="636"/>
      <c r="GZ176" s="636"/>
      <c r="HA176" s="636"/>
      <c r="HB176" s="636"/>
      <c r="HC176" s="636"/>
      <c r="HD176" s="636"/>
      <c r="HE176" s="636"/>
      <c r="HF176" s="636"/>
      <c r="HG176" s="636"/>
      <c r="HH176" s="636"/>
      <c r="HI176" s="636"/>
      <c r="HJ176" s="636"/>
      <c r="HK176" s="636"/>
      <c r="HL176" s="636"/>
      <c r="HM176" s="636"/>
      <c r="HV176" s="637">
        <f t="shared" si="33"/>
        <v>245.39647681484718</v>
      </c>
      <c r="HW176" s="637">
        <f t="shared" si="34"/>
        <v>264.87348128637285</v>
      </c>
      <c r="HX176" s="346">
        <f t="shared" si="32"/>
        <v>510.26995810122003</v>
      </c>
      <c r="HY176" s="302">
        <f t="shared" si="35"/>
        <v>258.06655880661998</v>
      </c>
      <c r="KH176" s="303"/>
    </row>
    <row r="177" spans="2:294" outlineLevel="1">
      <c r="B177" s="117" t="s">
        <v>361</v>
      </c>
      <c r="D177" s="332" t="s">
        <v>437</v>
      </c>
      <c r="E177" s="316">
        <v>1.3130443569999999</v>
      </c>
      <c r="F177" s="316">
        <v>0.92423106199999994</v>
      </c>
      <c r="G177" s="316">
        <v>0.90873881100000009</v>
      </c>
      <c r="H177" s="316">
        <v>1.1590586549999999</v>
      </c>
      <c r="I177" s="316">
        <v>0.99323208899999993</v>
      </c>
      <c r="J177" s="316">
        <v>1.2484947199999998</v>
      </c>
      <c r="K177" s="316">
        <v>1.2905954289999999</v>
      </c>
      <c r="L177" s="316">
        <v>1.245234462</v>
      </c>
      <c r="M177" s="316">
        <v>1.2637956830000001</v>
      </c>
      <c r="N177" s="316">
        <v>1.191631506</v>
      </c>
      <c r="O177" s="316">
        <v>1.1409664960000001</v>
      </c>
      <c r="P177" s="316">
        <v>1.216019937</v>
      </c>
      <c r="Q177" s="316">
        <v>1.489800099</v>
      </c>
      <c r="R177" s="316">
        <v>1.3727732319999999</v>
      </c>
      <c r="S177" s="316">
        <v>1.134167784</v>
      </c>
      <c r="T177" s="316">
        <v>1.1966613019999999</v>
      </c>
      <c r="U177" s="316">
        <v>1.4316176270000001</v>
      </c>
      <c r="V177" s="316">
        <v>1.6243323039999999</v>
      </c>
      <c r="W177" s="316">
        <v>1.270815091</v>
      </c>
      <c r="X177" s="316">
        <v>1.6905129320000001</v>
      </c>
      <c r="Y177" s="316">
        <v>1.8601119369999999</v>
      </c>
      <c r="Z177" s="316">
        <v>1.5909642610000001</v>
      </c>
      <c r="AA177" s="316">
        <v>1.496850872</v>
      </c>
      <c r="AB177" s="316">
        <v>1.7783203650000001</v>
      </c>
      <c r="AC177" s="316">
        <v>1.8054198610000001</v>
      </c>
      <c r="AD177" s="316">
        <v>1.6467638979999999</v>
      </c>
      <c r="AE177" s="316"/>
      <c r="AF177" s="316"/>
      <c r="AG177" s="316"/>
      <c r="AH177" s="316"/>
      <c r="AI177" s="316"/>
      <c r="AJ177" s="316"/>
      <c r="AK177" s="316"/>
      <c r="AL177" s="316"/>
      <c r="AM177" s="316"/>
      <c r="AN177" s="316"/>
      <c r="AO177" s="316">
        <v>1.907707891</v>
      </c>
      <c r="AP177" s="316">
        <v>1.2707998600000001</v>
      </c>
      <c r="AQ177" s="316">
        <v>1.5526109779999999</v>
      </c>
      <c r="AR177" s="316">
        <v>1.6579804469999999</v>
      </c>
      <c r="AS177" s="316">
        <v>1.600621418</v>
      </c>
      <c r="AT177" s="316">
        <v>1.916406493</v>
      </c>
      <c r="AU177" s="316">
        <v>2.095952456</v>
      </c>
      <c r="AV177" s="316">
        <v>2.4785404880000002</v>
      </c>
      <c r="AW177" s="316">
        <v>2.0327529540000002</v>
      </c>
      <c r="AX177" s="316">
        <v>2.0074109830000002</v>
      </c>
      <c r="AY177" s="316">
        <v>2.0345955140000003</v>
      </c>
      <c r="AZ177" s="316">
        <v>1.9928762850000001</v>
      </c>
      <c r="BA177" s="316">
        <v>2.5431330540000001</v>
      </c>
      <c r="BB177" s="316">
        <v>2.1490990780000003</v>
      </c>
      <c r="BC177" s="316">
        <v>2.045933051</v>
      </c>
      <c r="BD177" s="316">
        <v>2.0167785679999999</v>
      </c>
      <c r="BE177" s="316">
        <v>2.4193639549999997</v>
      </c>
      <c r="BF177" s="316">
        <v>2.330385937</v>
      </c>
      <c r="BG177" s="316">
        <v>2.7832810479999996</v>
      </c>
      <c r="BH177" s="316">
        <v>2.7039472489999996</v>
      </c>
      <c r="BI177" s="316">
        <v>2.7031732019999999</v>
      </c>
      <c r="BJ177" s="316">
        <v>2.2832273180000002</v>
      </c>
      <c r="BK177" s="316">
        <v>2.3743464680000002</v>
      </c>
      <c r="BL177" s="316">
        <v>2.406999034</v>
      </c>
      <c r="BM177" s="316">
        <v>2.7719790939999998</v>
      </c>
      <c r="BN177" s="316">
        <v>2.6742470629999997</v>
      </c>
      <c r="BO177" s="316">
        <v>2.473192026</v>
      </c>
      <c r="BP177" s="316">
        <v>2.591730401</v>
      </c>
      <c r="BQ177" s="316">
        <v>2.780727685</v>
      </c>
      <c r="BR177" s="316">
        <v>2.7551077240000001</v>
      </c>
      <c r="BS177" s="316">
        <v>2.9465457019999999</v>
      </c>
      <c r="BT177" s="316">
        <v>3.1402299990000002</v>
      </c>
      <c r="BU177" s="316">
        <v>3.0971630439999998</v>
      </c>
      <c r="BV177" s="316">
        <v>2.6223350999999999</v>
      </c>
      <c r="BW177" s="316">
        <v>2.736833538</v>
      </c>
      <c r="BX177" s="316">
        <v>2.7817155360000001</v>
      </c>
      <c r="BY177" s="316">
        <v>2.856546254</v>
      </c>
      <c r="BZ177" s="316">
        <v>2.4682412169999997</v>
      </c>
      <c r="CA177" s="316">
        <v>2.4990068339999998</v>
      </c>
      <c r="CB177" s="316">
        <v>2.8076787639999998</v>
      </c>
      <c r="CC177" s="316">
        <v>2.80334408</v>
      </c>
      <c r="CD177" s="316">
        <v>7.9293786280000003</v>
      </c>
      <c r="CE177" s="317">
        <v>8.9873006220000011</v>
      </c>
      <c r="CF177" s="316">
        <v>9.2074302579999987</v>
      </c>
      <c r="CG177" s="316">
        <v>8.4041571699999995</v>
      </c>
      <c r="CH177" s="316">
        <v>8.4392535030000015</v>
      </c>
      <c r="CI177" s="316">
        <v>8.5074214529999992</v>
      </c>
      <c r="CJ177" s="316">
        <v>7.9562990359999999</v>
      </c>
      <c r="CK177" s="316">
        <v>9.4827561320000004</v>
      </c>
      <c r="CL177" s="316">
        <v>8.0384632610000004</v>
      </c>
      <c r="CM177" s="316">
        <v>8.1240160590000006</v>
      </c>
      <c r="CN177" s="316">
        <v>8.5392223820000002</v>
      </c>
      <c r="CO177" s="316">
        <v>8.6665031740000007</v>
      </c>
      <c r="CP177" s="318">
        <v>9.0959029949999994</v>
      </c>
      <c r="CQ177" s="316">
        <v>9.5328386920000021</v>
      </c>
      <c r="CR177" s="316">
        <v>9.868046430999998</v>
      </c>
      <c r="CS177" s="316">
        <v>9.4195141930000013</v>
      </c>
      <c r="CT177" s="316">
        <v>8.7483436450000003</v>
      </c>
      <c r="CU177" s="316">
        <v>8.4174349240000002</v>
      </c>
      <c r="CV177" s="316">
        <v>10.041941856999999</v>
      </c>
      <c r="CW177" s="316">
        <v>9.5983966649999992</v>
      </c>
      <c r="CX177" s="316">
        <v>9.1557967230000017</v>
      </c>
      <c r="CY177" s="316">
        <v>9.0791796579999993</v>
      </c>
      <c r="CZ177" s="316">
        <v>9.705427405</v>
      </c>
      <c r="DA177" s="316">
        <v>9.6112986970000005</v>
      </c>
      <c r="DB177" s="1498">
        <v>11.139123253000001</v>
      </c>
      <c r="DC177" s="636">
        <v>12.427594190136286</v>
      </c>
      <c r="DD177" s="636">
        <v>13.385688803025037</v>
      </c>
      <c r="DE177" s="636">
        <v>13.761692837703146</v>
      </c>
      <c r="DF177" s="636">
        <v>12.711238718995197</v>
      </c>
      <c r="DG177" s="636">
        <v>11.703699667371952</v>
      </c>
      <c r="DH177" s="636">
        <v>12.775694485315539</v>
      </c>
      <c r="DI177" s="636">
        <v>11.861776722003478</v>
      </c>
      <c r="DJ177" s="636">
        <v>11.784797301358351</v>
      </c>
      <c r="DK177" s="636">
        <v>11.657519414191984</v>
      </c>
      <c r="DL177" s="636">
        <v>11.969645389434865</v>
      </c>
      <c r="DM177" s="636">
        <v>12.289552006235867</v>
      </c>
      <c r="DN177" s="653">
        <v>13.446143355448319</v>
      </c>
      <c r="DO177" s="636">
        <v>10.482245115</v>
      </c>
      <c r="DP177" s="636">
        <v>12.573567648999999</v>
      </c>
      <c r="DQ177" s="636">
        <v>12.094253322</v>
      </c>
      <c r="DR177" s="636">
        <v>8.6873882910000013</v>
      </c>
      <c r="DS177" s="636">
        <v>10.796799695000001</v>
      </c>
      <c r="DT177" s="636">
        <v>12.221690878999999</v>
      </c>
      <c r="DU177" s="636">
        <v>11.730238351999999</v>
      </c>
      <c r="DV177" s="636">
        <v>10.536606096000002</v>
      </c>
      <c r="DW177" s="636">
        <v>11.135734081000001</v>
      </c>
      <c r="DX177" s="636">
        <v>10.519533620999999</v>
      </c>
      <c r="DY177" s="636">
        <v>11.060372136000002</v>
      </c>
      <c r="DZ177" s="653">
        <v>12.139890405000001</v>
      </c>
      <c r="EA177" s="636">
        <v>11.802214227999999</v>
      </c>
      <c r="EB177" s="636">
        <v>11.937748206999999</v>
      </c>
      <c r="EC177" s="636">
        <v>12.231238559999998</v>
      </c>
      <c r="ED177" s="636">
        <v>11.771880627</v>
      </c>
      <c r="EE177" s="636">
        <v>11.015070221000002</v>
      </c>
      <c r="EF177" s="636">
        <v>12.264121917000001</v>
      </c>
      <c r="EG177" s="636">
        <v>12.410823855999999</v>
      </c>
      <c r="EH177" s="636">
        <v>11.671270050999999</v>
      </c>
      <c r="EI177" s="636">
        <v>11.912718728</v>
      </c>
      <c r="EJ177" s="636">
        <v>12.601694366424042</v>
      </c>
      <c r="EK177" s="636">
        <v>12.908016861997314</v>
      </c>
      <c r="EL177" s="653">
        <v>15.223602800017677</v>
      </c>
      <c r="EM177" s="1209">
        <v>12.827861064999999</v>
      </c>
      <c r="EN177" s="1209">
        <v>14.801873312999998</v>
      </c>
      <c r="EO177" s="1209">
        <v>13.817519668000001</v>
      </c>
      <c r="EP177" s="1209">
        <v>12.622078046999999</v>
      </c>
      <c r="EQ177" s="1209">
        <v>13.303127042999998</v>
      </c>
      <c r="ER177" s="1209">
        <v>14.587538768000002</v>
      </c>
      <c r="ES177" s="1209">
        <v>12.929600674143749</v>
      </c>
      <c r="ET177" s="1209">
        <v>13.996181584437378</v>
      </c>
      <c r="EU177" s="1209">
        <v>12.985835686567251</v>
      </c>
      <c r="EV177" s="1209">
        <v>12.892408830447591</v>
      </c>
      <c r="EW177" s="1209">
        <v>14.390455766358288</v>
      </c>
      <c r="EX177" s="1539">
        <v>15.794434582758669</v>
      </c>
      <c r="EY177" s="1209"/>
      <c r="EZ177" s="1209"/>
      <c r="FA177" s="1209"/>
      <c r="FB177" s="1209"/>
      <c r="FC177" s="1209"/>
      <c r="FD177" s="1209"/>
      <c r="FE177" s="1209"/>
      <c r="FF177" s="1209"/>
      <c r="FG177" s="1209"/>
      <c r="FH177" s="1209"/>
      <c r="FI177" s="1209"/>
      <c r="FJ177" s="1539"/>
      <c r="FK177" s="1209"/>
      <c r="FL177" s="1209"/>
      <c r="FM177" s="1209"/>
      <c r="FN177" s="1209"/>
      <c r="FO177" s="1209"/>
      <c r="FP177" s="1209"/>
      <c r="FQ177" s="636"/>
      <c r="FR177" s="636"/>
      <c r="FS177" s="636"/>
      <c r="FT177" s="636"/>
      <c r="FU177" s="636"/>
      <c r="FV177" s="636"/>
      <c r="FW177" s="636"/>
      <c r="FX177" s="636"/>
      <c r="FY177" s="636"/>
      <c r="FZ177" s="636"/>
      <c r="GA177" s="636"/>
      <c r="GB177" s="636"/>
      <c r="GC177" s="636"/>
      <c r="GD177" s="636"/>
      <c r="GE177" s="636"/>
      <c r="GF177" s="636"/>
      <c r="GG177" s="636"/>
      <c r="GH177" s="636"/>
      <c r="GI177" s="636"/>
      <c r="GJ177" s="636"/>
      <c r="GK177" s="636"/>
      <c r="GL177" s="636"/>
      <c r="GM177" s="636"/>
      <c r="GN177" s="636"/>
      <c r="GO177" s="636"/>
      <c r="GP177" s="636"/>
      <c r="GQ177" s="636"/>
      <c r="GR177" s="636"/>
      <c r="GS177" s="636"/>
      <c r="GT177" s="636"/>
      <c r="GU177" s="636"/>
      <c r="GV177" s="636"/>
      <c r="GW177" s="636"/>
      <c r="GX177" s="636"/>
      <c r="GY177" s="636"/>
      <c r="GZ177" s="636"/>
      <c r="HA177" s="636"/>
      <c r="HB177" s="636"/>
      <c r="HC177" s="636"/>
      <c r="HD177" s="636"/>
      <c r="HE177" s="636"/>
      <c r="HF177" s="636"/>
      <c r="HG177" s="636"/>
      <c r="HH177" s="636"/>
      <c r="HI177" s="636"/>
      <c r="HJ177" s="636"/>
      <c r="HK177" s="636"/>
      <c r="HL177" s="636"/>
      <c r="HM177" s="636"/>
      <c r="HV177" s="302">
        <f t="shared" si="33"/>
        <v>76.765608702547155</v>
      </c>
      <c r="HW177" s="302">
        <f t="shared" si="34"/>
        <v>73.00943418867287</v>
      </c>
      <c r="HX177" s="346">
        <f t="shared" si="32"/>
        <v>149.77504289122004</v>
      </c>
      <c r="HY177" s="302">
        <f t="shared" si="35"/>
        <v>66.855944950999998</v>
      </c>
      <c r="KH177" s="303"/>
    </row>
    <row r="178" spans="2:294" outlineLevel="1">
      <c r="B178" s="117" t="s">
        <v>361</v>
      </c>
      <c r="D178" s="319" t="s">
        <v>438</v>
      </c>
      <c r="E178" s="316">
        <v>3.3054380000000001E-2</v>
      </c>
      <c r="F178" s="316">
        <v>2.5865544000000001E-2</v>
      </c>
      <c r="G178" s="316">
        <v>2.2045938000000001E-2</v>
      </c>
      <c r="H178" s="316">
        <v>2.5888979999999999E-2</v>
      </c>
      <c r="I178" s="316">
        <v>2.0560766999999997E-2</v>
      </c>
      <c r="J178" s="316">
        <v>4.6776702999999996E-2</v>
      </c>
      <c r="K178" s="316">
        <v>2.7729529999999999E-2</v>
      </c>
      <c r="L178" s="316">
        <v>2.8566774E-2</v>
      </c>
      <c r="M178" s="316">
        <v>1.6731909000000003E-2</v>
      </c>
      <c r="N178" s="316">
        <v>2.6837029000000002E-2</v>
      </c>
      <c r="O178" s="316">
        <v>5.9718533999999997E-2</v>
      </c>
      <c r="P178" s="316">
        <v>7.9382538999999988E-2</v>
      </c>
      <c r="Q178" s="316">
        <v>2.1058523000000003E-2</v>
      </c>
      <c r="R178" s="316">
        <v>4.8167741E-2</v>
      </c>
      <c r="S178" s="316">
        <v>4.1040702999999998E-2</v>
      </c>
      <c r="T178" s="316">
        <v>8.2313457000000007E-2</v>
      </c>
      <c r="U178" s="316">
        <v>7.1088660999999997E-2</v>
      </c>
      <c r="V178" s="316">
        <v>4.4386896999999995E-2</v>
      </c>
      <c r="W178" s="316">
        <v>7.6512534000000007E-2</v>
      </c>
      <c r="X178" s="316">
        <v>8.877010199999999E-2</v>
      </c>
      <c r="Y178" s="316">
        <v>8.1217595000000004E-2</v>
      </c>
      <c r="Z178" s="316">
        <v>2.4040863000000003E-2</v>
      </c>
      <c r="AA178" s="316">
        <v>5.9924474999999998E-2</v>
      </c>
      <c r="AB178" s="316">
        <v>7.9602365000000008E-2</v>
      </c>
      <c r="AC178" s="316">
        <v>4.7244118000000002E-2</v>
      </c>
      <c r="AD178" s="316">
        <v>3.6463433000000003E-2</v>
      </c>
      <c r="AE178" s="316"/>
      <c r="AF178" s="316"/>
      <c r="AG178" s="316"/>
      <c r="AH178" s="316"/>
      <c r="AI178" s="316"/>
      <c r="AJ178" s="316"/>
      <c r="AK178" s="316"/>
      <c r="AL178" s="316"/>
      <c r="AM178" s="316"/>
      <c r="AN178" s="316"/>
      <c r="AO178" s="316">
        <v>3.6804358000000002E-2</v>
      </c>
      <c r="AP178" s="316">
        <v>4.3874135000000002E-2</v>
      </c>
      <c r="AQ178" s="316">
        <v>4.1751582000000002E-2</v>
      </c>
      <c r="AR178" s="316">
        <v>5.96065E-2</v>
      </c>
      <c r="AS178" s="316">
        <v>4.5378920000000003E-2</v>
      </c>
      <c r="AT178" s="316">
        <v>8.7258134000000001E-2</v>
      </c>
      <c r="AU178" s="316">
        <v>5.6259086999999999E-2</v>
      </c>
      <c r="AV178" s="316">
        <v>8.3262083000000001E-2</v>
      </c>
      <c r="AW178" s="316">
        <v>8.1878051999999993E-2</v>
      </c>
      <c r="AX178" s="316">
        <v>4.7219105999999997E-2</v>
      </c>
      <c r="AY178" s="316">
        <v>6.1312545000000003E-2</v>
      </c>
      <c r="AZ178" s="316">
        <v>0.12131051999999999</v>
      </c>
      <c r="BA178" s="316">
        <v>0.10939816000000001</v>
      </c>
      <c r="BB178" s="316">
        <v>7.4606739000000005E-2</v>
      </c>
      <c r="BC178" s="316">
        <v>0.111529422</v>
      </c>
      <c r="BD178" s="316">
        <v>0.10325355</v>
      </c>
      <c r="BE178" s="316">
        <v>0.10462242000000001</v>
      </c>
      <c r="BF178" s="316">
        <v>0.119682964</v>
      </c>
      <c r="BG178" s="316">
        <v>0.141132017</v>
      </c>
      <c r="BH178" s="316">
        <v>0.10824175999999999</v>
      </c>
      <c r="BI178" s="316">
        <v>0.14131987400000001</v>
      </c>
      <c r="BJ178" s="316">
        <v>9.5947793000000003E-2</v>
      </c>
      <c r="BK178" s="316">
        <v>0.18600203600000001</v>
      </c>
      <c r="BL178" s="316">
        <v>0.23867315300000003</v>
      </c>
      <c r="BM178" s="316">
        <v>0.180292224</v>
      </c>
      <c r="BN178" s="316">
        <v>0.22836181</v>
      </c>
      <c r="BO178" s="316">
        <v>0.148848698</v>
      </c>
      <c r="BP178" s="316">
        <v>0.14939345599999998</v>
      </c>
      <c r="BQ178" s="316">
        <v>0.25848610599999999</v>
      </c>
      <c r="BR178" s="316">
        <v>0.13733762300000002</v>
      </c>
      <c r="BS178" s="316">
        <v>1.7336749999999998E-2</v>
      </c>
      <c r="BT178" s="316">
        <v>3.3165360999999997E-2</v>
      </c>
      <c r="BU178" s="316">
        <v>0.167457046</v>
      </c>
      <c r="BV178" s="316">
        <v>0.27043557199999996</v>
      </c>
      <c r="BW178" s="316">
        <v>0.254368066</v>
      </c>
      <c r="BX178" s="316">
        <v>0.29381816999999999</v>
      </c>
      <c r="BY178" s="316">
        <v>0.30019831299999999</v>
      </c>
      <c r="BZ178" s="316">
        <v>0.30181976400000005</v>
      </c>
      <c r="CA178" s="316">
        <v>0.209001091</v>
      </c>
      <c r="CB178" s="316">
        <v>0.30882618300000003</v>
      </c>
      <c r="CC178" s="316">
        <v>0.36895996800000003</v>
      </c>
      <c r="CD178" s="316">
        <v>2.9137810900000001</v>
      </c>
      <c r="CE178" s="317">
        <v>3.2579501230000001</v>
      </c>
      <c r="CF178" s="316">
        <v>3.3096359470000003</v>
      </c>
      <c r="CG178" s="316">
        <v>3.2803720620000001</v>
      </c>
      <c r="CH178" s="316">
        <v>2.8663366130000001</v>
      </c>
      <c r="CI178" s="316">
        <v>2.8379851020000002</v>
      </c>
      <c r="CJ178" s="316">
        <v>2.417600218</v>
      </c>
      <c r="CK178" s="316">
        <v>3.3296319360000002</v>
      </c>
      <c r="CL178" s="316">
        <v>2.889582248</v>
      </c>
      <c r="CM178" s="316">
        <v>2.8252248610000001</v>
      </c>
      <c r="CN178" s="316">
        <v>2.8790314069999998</v>
      </c>
      <c r="CO178" s="316">
        <v>3.1490031150000002</v>
      </c>
      <c r="CP178" s="318">
        <v>3.3697515729999998</v>
      </c>
      <c r="CQ178" s="316">
        <v>3.5275405860000002</v>
      </c>
      <c r="CR178" s="316">
        <v>3.5625056270000002</v>
      </c>
      <c r="CS178" s="316">
        <v>3.2774231559999998</v>
      </c>
      <c r="CT178" s="316">
        <v>2.7522331530000002</v>
      </c>
      <c r="CU178" s="316">
        <v>3.0051233829999999</v>
      </c>
      <c r="CV178" s="316">
        <v>2.3051876349999998</v>
      </c>
      <c r="CW178" s="316">
        <v>3.522902099</v>
      </c>
      <c r="CX178" s="316">
        <v>3.514704161</v>
      </c>
      <c r="CY178" s="316">
        <v>3.0858560779999999</v>
      </c>
      <c r="CZ178" s="316">
        <v>3.2250137379999999</v>
      </c>
      <c r="DA178" s="316">
        <v>3.306511719</v>
      </c>
      <c r="DB178" s="1498">
        <v>3.655044261</v>
      </c>
      <c r="DC178" s="316">
        <v>5.3981355017688397</v>
      </c>
      <c r="DD178" s="316">
        <v>5.7583947746038664</v>
      </c>
      <c r="DE178" s="316">
        <v>5.4245877626180645</v>
      </c>
      <c r="DF178" s="316">
        <v>5.9587746507778769</v>
      </c>
      <c r="DG178" s="316">
        <v>5.3081702026174247</v>
      </c>
      <c r="DH178" s="316">
        <v>6.2000564609269464</v>
      </c>
      <c r="DI178" s="316">
        <v>4.6439534306434229</v>
      </c>
      <c r="DJ178" s="316">
        <v>5.4716404018966145</v>
      </c>
      <c r="DK178" s="316">
        <v>5.2801219962585169</v>
      </c>
      <c r="DL178" s="316">
        <v>5.8571088651249292</v>
      </c>
      <c r="DM178" s="316">
        <v>5.803248244118409</v>
      </c>
      <c r="DN178" s="318">
        <v>6.4229128127988844</v>
      </c>
      <c r="DO178" s="316">
        <v>3.96625827</v>
      </c>
      <c r="DP178" s="316">
        <v>4.3363821810000003</v>
      </c>
      <c r="DQ178" s="316">
        <v>4.1501709680000003</v>
      </c>
      <c r="DR178" s="316">
        <v>2.1587778960000001</v>
      </c>
      <c r="DS178" s="316">
        <v>3.2498503520000002</v>
      </c>
      <c r="DT178" s="316">
        <v>3.4883162259999998</v>
      </c>
      <c r="DU178" s="316">
        <v>5.0094617489999997</v>
      </c>
      <c r="DV178" s="316">
        <v>3.4546908260000002</v>
      </c>
      <c r="DW178" s="316">
        <v>3.6206684099999999</v>
      </c>
      <c r="DX178" s="316">
        <v>3.7864663319999998</v>
      </c>
      <c r="DY178" s="316">
        <v>3.5124432759999999</v>
      </c>
      <c r="DZ178" s="318">
        <v>4.0064564799999998</v>
      </c>
      <c r="EA178" s="316">
        <v>4.1095892449999996</v>
      </c>
      <c r="EB178" s="316">
        <v>4.500974706</v>
      </c>
      <c r="EC178" s="316">
        <v>4.3506633839999997</v>
      </c>
      <c r="ED178" s="316">
        <v>4.0851877989999998</v>
      </c>
      <c r="EE178" s="316">
        <v>3.6100689890000002</v>
      </c>
      <c r="EF178" s="316">
        <v>3.8154437030000001</v>
      </c>
      <c r="EG178" s="316">
        <v>4.9009505820000001</v>
      </c>
      <c r="EH178" s="316">
        <v>3.668836207</v>
      </c>
      <c r="EI178" s="316">
        <v>4.1260170729999999</v>
      </c>
      <c r="EJ178" s="316">
        <v>4.0557018121469959</v>
      </c>
      <c r="EK178" s="316">
        <v>4.3159766720515362</v>
      </c>
      <c r="EL178" s="318">
        <v>5.2219204496721305</v>
      </c>
      <c r="EM178" s="1206">
        <v>4.8794980280000004</v>
      </c>
      <c r="EN178" s="1206">
        <v>5.2187322759999999</v>
      </c>
      <c r="EO178" s="1206">
        <v>4.7358365679999999</v>
      </c>
      <c r="EP178" s="1206">
        <v>4.3801017939999998</v>
      </c>
      <c r="EQ178" s="1206">
        <v>4.4454953919999998</v>
      </c>
      <c r="ER178" s="1206">
        <v>4.8522762769999996</v>
      </c>
      <c r="ES178" s="1206">
        <v>5.1663274694409971</v>
      </c>
      <c r="ET178" s="1206">
        <v>4.8262897763680961</v>
      </c>
      <c r="EU178" s="1206">
        <v>4.5532425454909466</v>
      </c>
      <c r="EV178" s="1206">
        <v>4.4536369316162903</v>
      </c>
      <c r="EW178" s="1206">
        <v>4.787352689432832</v>
      </c>
      <c r="EX178" s="1550">
        <v>5.4179224003685311</v>
      </c>
      <c r="EY178" s="1206"/>
      <c r="EZ178" s="1206"/>
      <c r="FA178" s="1206"/>
      <c r="FB178" s="1206"/>
      <c r="FC178" s="1206"/>
      <c r="FD178" s="1206"/>
      <c r="FE178" s="1206"/>
      <c r="FF178" s="1206"/>
      <c r="FG178" s="1206"/>
      <c r="FH178" s="1206"/>
      <c r="FI178" s="1206"/>
      <c r="FJ178" s="1550"/>
      <c r="FK178" s="1206"/>
      <c r="FL178" s="1206"/>
      <c r="FM178" s="1206"/>
      <c r="FN178" s="1206"/>
      <c r="FO178" s="1206"/>
      <c r="FP178" s="1206"/>
      <c r="FQ178" s="316"/>
      <c r="FR178" s="316"/>
      <c r="FS178" s="316"/>
      <c r="FT178" s="316"/>
      <c r="FU178" s="316"/>
      <c r="FV178" s="316"/>
      <c r="FW178" s="316"/>
      <c r="FX178" s="316"/>
      <c r="FY178" s="316"/>
      <c r="FZ178" s="316"/>
      <c r="GA178" s="316"/>
      <c r="GB178" s="316"/>
      <c r="GC178" s="316"/>
      <c r="GD178" s="316"/>
      <c r="GE178" s="316"/>
      <c r="GF178" s="316"/>
      <c r="GG178" s="316"/>
      <c r="GH178" s="316"/>
      <c r="GI178" s="316"/>
      <c r="GJ178" s="316"/>
      <c r="GK178" s="316"/>
      <c r="GL178" s="316"/>
      <c r="GM178" s="316"/>
      <c r="GN178" s="316"/>
      <c r="GO178" s="316"/>
      <c r="GP178" s="316"/>
      <c r="GQ178" s="316"/>
      <c r="GR178" s="316"/>
      <c r="GS178" s="316"/>
      <c r="GT178" s="316"/>
      <c r="GU178" s="316"/>
      <c r="GV178" s="316"/>
      <c r="GW178" s="316"/>
      <c r="GX178" s="316"/>
      <c r="GY178" s="316"/>
      <c r="GZ178" s="316"/>
      <c r="HA178" s="316"/>
      <c r="HB178" s="316"/>
      <c r="HC178" s="316"/>
      <c r="HD178" s="316"/>
      <c r="HE178" s="316"/>
      <c r="HF178" s="316"/>
      <c r="HG178" s="316"/>
      <c r="HH178" s="316"/>
      <c r="HI178" s="316"/>
      <c r="HJ178" s="316"/>
      <c r="HK178" s="316"/>
      <c r="HL178" s="316"/>
      <c r="HM178" s="316"/>
      <c r="HV178" s="302">
        <f t="shared" si="33"/>
        <v>34.04811935331302</v>
      </c>
      <c r="HW178" s="302">
        <f t="shared" si="34"/>
        <v>33.478985750840778</v>
      </c>
      <c r="HX178" s="346">
        <f t="shared" si="32"/>
        <v>67.527105104153804</v>
      </c>
      <c r="HY178" s="302">
        <f t="shared" si="35"/>
        <v>21.349755892999998</v>
      </c>
      <c r="KH178" s="303"/>
    </row>
    <row r="179" spans="2:294" outlineLevel="1">
      <c r="B179" s="117" t="s">
        <v>361</v>
      </c>
      <c r="D179" s="319" t="s">
        <v>439</v>
      </c>
      <c r="E179" s="316">
        <v>0.60903493100000006</v>
      </c>
      <c r="F179" s="316">
        <v>0.72537564399999999</v>
      </c>
      <c r="G179" s="316">
        <v>0.62124138699999998</v>
      </c>
      <c r="H179" s="316">
        <v>0.44931185299999998</v>
      </c>
      <c r="I179" s="316">
        <v>0.392267229</v>
      </c>
      <c r="J179" s="316">
        <v>0.389325054</v>
      </c>
      <c r="K179" s="316">
        <v>0.323974712</v>
      </c>
      <c r="L179" s="316">
        <v>0.37532057899999999</v>
      </c>
      <c r="M179" s="316">
        <v>0.268528981</v>
      </c>
      <c r="N179" s="316">
        <v>0.31258432199999997</v>
      </c>
      <c r="O179" s="316">
        <v>0.256105213</v>
      </c>
      <c r="P179" s="316">
        <v>0.34236230699999998</v>
      </c>
      <c r="Q179" s="316">
        <v>0.43262165900000005</v>
      </c>
      <c r="R179" s="316">
        <v>0.54870397599999998</v>
      </c>
      <c r="S179" s="316">
        <v>0.310884257</v>
      </c>
      <c r="T179" s="316">
        <v>0.210605179</v>
      </c>
      <c r="U179" s="316">
        <v>0.31113238300000001</v>
      </c>
      <c r="V179" s="316">
        <v>0.36419568600000002</v>
      </c>
      <c r="W179" s="316">
        <v>0.39309109599999997</v>
      </c>
      <c r="X179" s="316">
        <v>0.4606111</v>
      </c>
      <c r="Y179" s="316">
        <v>0.80600821</v>
      </c>
      <c r="Z179" s="316">
        <v>1.0965492269999999</v>
      </c>
      <c r="AA179" s="316">
        <v>0.749846079</v>
      </c>
      <c r="AB179" s="316">
        <v>0.87408212500000004</v>
      </c>
      <c r="AC179" s="316">
        <v>0.97186443</v>
      </c>
      <c r="AD179" s="316">
        <v>1.1297374170000001</v>
      </c>
      <c r="AE179" s="316"/>
      <c r="AF179" s="316"/>
      <c r="AG179" s="316"/>
      <c r="AH179" s="316"/>
      <c r="AI179" s="316"/>
      <c r="AJ179" s="316"/>
      <c r="AK179" s="316"/>
      <c r="AL179" s="316"/>
      <c r="AM179" s="316"/>
      <c r="AN179" s="316"/>
      <c r="AO179" s="316">
        <v>1.5747390620000001</v>
      </c>
      <c r="AP179" s="316">
        <v>1.6434089970000001</v>
      </c>
      <c r="AQ179" s="316">
        <v>1.968310322</v>
      </c>
      <c r="AR179" s="316">
        <v>1.6688391119999999</v>
      </c>
      <c r="AS179" s="316">
        <v>1.141266796</v>
      </c>
      <c r="AT179" s="316">
        <v>2.004038837</v>
      </c>
      <c r="AU179" s="316">
        <v>2.862451664</v>
      </c>
      <c r="AV179" s="316">
        <v>3.6569050879999998</v>
      </c>
      <c r="AW179" s="316">
        <v>3.3676094819999998</v>
      </c>
      <c r="AX179" s="316">
        <v>3.5960743559999999</v>
      </c>
      <c r="AY179" s="316">
        <v>3.5099793330000004</v>
      </c>
      <c r="AZ179" s="316">
        <v>3.9475185390000003</v>
      </c>
      <c r="BA179" s="316">
        <v>3.4459936790000003</v>
      </c>
      <c r="BB179" s="316">
        <v>3.2476996159999998</v>
      </c>
      <c r="BC179" s="316">
        <v>3.4658301900000001</v>
      </c>
      <c r="BD179" s="316">
        <v>3.2483179600000001</v>
      </c>
      <c r="BE179" s="316">
        <v>3.896567922</v>
      </c>
      <c r="BF179" s="316">
        <v>3.7539281080000002</v>
      </c>
      <c r="BG179" s="316">
        <v>3.118441684</v>
      </c>
      <c r="BH179" s="316">
        <v>3.6841974949999998</v>
      </c>
      <c r="BI179" s="316">
        <v>3.1641035400000002</v>
      </c>
      <c r="BJ179" s="316">
        <v>3.1432611719999999</v>
      </c>
      <c r="BK179" s="316">
        <v>2.9272051939999999</v>
      </c>
      <c r="BL179" s="316">
        <v>3.250625517</v>
      </c>
      <c r="BM179" s="316">
        <v>2.946002462</v>
      </c>
      <c r="BN179" s="316">
        <v>2.649488732</v>
      </c>
      <c r="BO179" s="316">
        <v>2.7941431560000001</v>
      </c>
      <c r="BP179" s="316">
        <v>2.6397353619999997</v>
      </c>
      <c r="BQ179" s="316">
        <v>2.7368513920000002</v>
      </c>
      <c r="BR179" s="316">
        <v>2.8291518390000001</v>
      </c>
      <c r="BS179" s="316">
        <v>2.8031544990000001</v>
      </c>
      <c r="BT179" s="316">
        <v>2.907549221</v>
      </c>
      <c r="BU179" s="316">
        <v>2.6381350830000003</v>
      </c>
      <c r="BV179" s="316">
        <v>3.017010279</v>
      </c>
      <c r="BW179" s="316">
        <v>2.9517728769999998</v>
      </c>
      <c r="BX179" s="316">
        <v>2.5762213529999998</v>
      </c>
      <c r="BY179" s="316">
        <v>2.9920384370000002</v>
      </c>
      <c r="BZ179" s="316">
        <v>2.5288252490000001</v>
      </c>
      <c r="CA179" s="316">
        <v>2.7192376029999998</v>
      </c>
      <c r="CB179" s="316">
        <v>3.036907362</v>
      </c>
      <c r="CC179" s="316">
        <v>2.946482585</v>
      </c>
      <c r="CD179" s="316">
        <v>0.31105469399999996</v>
      </c>
      <c r="CE179" s="317">
        <v>0.34806175300000003</v>
      </c>
      <c r="CF179" s="316">
        <v>0.44387241199999999</v>
      </c>
      <c r="CG179" s="316">
        <v>0.26101580600000002</v>
      </c>
      <c r="CH179" s="316">
        <v>0.37528845199999999</v>
      </c>
      <c r="CI179" s="316">
        <v>0.365817314</v>
      </c>
      <c r="CJ179" s="316">
        <v>0.38738312000000003</v>
      </c>
      <c r="CK179" s="316">
        <v>0.35322881499999997</v>
      </c>
      <c r="CL179" s="316">
        <v>0.43587098899999999</v>
      </c>
      <c r="CM179" s="316">
        <v>0.44305889300000001</v>
      </c>
      <c r="CN179" s="316">
        <v>0.41086066100000002</v>
      </c>
      <c r="CO179" s="316">
        <v>0.30715015000000001</v>
      </c>
      <c r="CP179" s="318">
        <v>0.38853952600000002</v>
      </c>
      <c r="CQ179" s="316">
        <v>0.29685092100000005</v>
      </c>
      <c r="CR179" s="316">
        <v>0.27184642600000003</v>
      </c>
      <c r="CS179" s="316">
        <v>0.24037788399999999</v>
      </c>
      <c r="CT179" s="316">
        <v>0.29318146300000003</v>
      </c>
      <c r="CU179" s="316">
        <v>0.34709477799999999</v>
      </c>
      <c r="CV179" s="316">
        <v>0.46555161500000003</v>
      </c>
      <c r="CW179" s="316">
        <v>0.26317425700000002</v>
      </c>
      <c r="CX179" s="316">
        <v>0.19730246299999998</v>
      </c>
      <c r="CY179" s="316">
        <v>0.33738297299999997</v>
      </c>
      <c r="CZ179" s="316">
        <v>0.30465571699999999</v>
      </c>
      <c r="DA179" s="316">
        <v>0.40191585400000002</v>
      </c>
      <c r="DB179" s="1498">
        <v>0.30936530400000001</v>
      </c>
      <c r="DC179" s="316">
        <v>0</v>
      </c>
      <c r="DD179" s="316">
        <v>0</v>
      </c>
      <c r="DE179" s="316">
        <v>0</v>
      </c>
      <c r="DF179" s="316">
        <v>0</v>
      </c>
      <c r="DG179" s="316">
        <v>0</v>
      </c>
      <c r="DH179" s="316">
        <v>0</v>
      </c>
      <c r="DI179" s="316">
        <v>0</v>
      </c>
      <c r="DJ179" s="316">
        <v>0</v>
      </c>
      <c r="DK179" s="316">
        <v>0</v>
      </c>
      <c r="DL179" s="316">
        <v>0</v>
      </c>
      <c r="DM179" s="316">
        <v>0</v>
      </c>
      <c r="DN179" s="318">
        <v>0</v>
      </c>
      <c r="DO179" s="316">
        <v>0.299063831</v>
      </c>
      <c r="DP179" s="316">
        <v>0.43843907999999998</v>
      </c>
      <c r="DQ179" s="316">
        <v>0.51506460899999995</v>
      </c>
      <c r="DR179" s="316">
        <v>0.32477969899999998</v>
      </c>
      <c r="DS179" s="316">
        <v>0.49830866099999999</v>
      </c>
      <c r="DT179" s="316">
        <v>0.76989311400000005</v>
      </c>
      <c r="DU179" s="316">
        <v>0.33474799799999999</v>
      </c>
      <c r="DV179" s="316">
        <v>0.45484422699999999</v>
      </c>
      <c r="DW179" s="316">
        <v>0.46459240899999998</v>
      </c>
      <c r="DX179" s="316">
        <v>0.46087307100000002</v>
      </c>
      <c r="DY179" s="316">
        <v>0.61290188000000001</v>
      </c>
      <c r="DZ179" s="318">
        <v>0.31311273299999998</v>
      </c>
      <c r="EA179" s="316">
        <v>0.34885413399999998</v>
      </c>
      <c r="EB179" s="316">
        <v>0.60323130599999997</v>
      </c>
      <c r="EC179" s="316">
        <v>0.62883424499999996</v>
      </c>
      <c r="ED179" s="316">
        <v>0.454849055</v>
      </c>
      <c r="EE179" s="316">
        <v>0.54726019999999997</v>
      </c>
      <c r="EF179" s="316">
        <v>0.55459280099999997</v>
      </c>
      <c r="EG179" s="316">
        <v>0.64026646099999995</v>
      </c>
      <c r="EH179" s="316">
        <v>0.56212172599999999</v>
      </c>
      <c r="EI179" s="316">
        <v>0.63861363199999999</v>
      </c>
      <c r="EJ179" s="316">
        <v>0.9225111029667119</v>
      </c>
      <c r="EK179" s="316">
        <v>0.71104322327730607</v>
      </c>
      <c r="EL179" s="318">
        <v>0.66457191047591258</v>
      </c>
      <c r="EM179" s="1206">
        <v>0.55678617699999999</v>
      </c>
      <c r="EN179" s="1206">
        <v>0.56800486500000003</v>
      </c>
      <c r="EO179" s="1206">
        <v>0.71457812099999996</v>
      </c>
      <c r="EP179" s="1206">
        <v>0.62036306200000002</v>
      </c>
      <c r="EQ179" s="1206">
        <v>0.84107955700000003</v>
      </c>
      <c r="ER179" s="1206">
        <v>1.04215043</v>
      </c>
      <c r="ES179" s="1206">
        <v>0.77340703555360224</v>
      </c>
      <c r="ET179" s="1206">
        <v>0.7653408082089691</v>
      </c>
      <c r="EU179" s="1206">
        <v>0.70404151209066845</v>
      </c>
      <c r="EV179" s="1206">
        <v>0.56881605391119316</v>
      </c>
      <c r="EW179" s="1206">
        <v>0.70557693923058373</v>
      </c>
      <c r="EX179" s="1550">
        <v>0.84097780362909968</v>
      </c>
      <c r="EY179" s="1206"/>
      <c r="EZ179" s="1206"/>
      <c r="FA179" s="1206"/>
      <c r="FB179" s="1206"/>
      <c r="FC179" s="1206"/>
      <c r="FD179" s="1206"/>
      <c r="FE179" s="1206"/>
      <c r="FF179" s="1206"/>
      <c r="FG179" s="1206"/>
      <c r="FH179" s="1206"/>
      <c r="FI179" s="1206"/>
      <c r="FJ179" s="1550"/>
      <c r="FK179" s="1206"/>
      <c r="FL179" s="1206"/>
      <c r="FM179" s="1206"/>
      <c r="FN179" s="1206"/>
      <c r="FO179" s="1206"/>
      <c r="FP179" s="1206"/>
      <c r="FQ179" s="316"/>
      <c r="FR179" s="316"/>
      <c r="FS179" s="316"/>
      <c r="FT179" s="316"/>
      <c r="FU179" s="316"/>
      <c r="FV179" s="316"/>
      <c r="FW179" s="316"/>
      <c r="FX179" s="316"/>
      <c r="FY179" s="316"/>
      <c r="FZ179" s="316"/>
      <c r="GA179" s="316"/>
      <c r="GB179" s="316"/>
      <c r="GC179" s="316"/>
      <c r="GD179" s="316"/>
      <c r="GE179" s="316"/>
      <c r="GF179" s="316"/>
      <c r="GG179" s="316"/>
      <c r="GH179" s="316"/>
      <c r="GI179" s="316"/>
      <c r="GJ179" s="316"/>
      <c r="GK179" s="316"/>
      <c r="GL179" s="316"/>
      <c r="GM179" s="316"/>
      <c r="GN179" s="316"/>
      <c r="GO179" s="316"/>
      <c r="GP179" s="316"/>
      <c r="GQ179" s="316"/>
      <c r="GR179" s="316"/>
      <c r="GS179" s="316"/>
      <c r="GT179" s="316"/>
      <c r="GU179" s="316"/>
      <c r="GV179" s="316"/>
      <c r="GW179" s="316"/>
      <c r="GX179" s="316"/>
      <c r="GY179" s="316"/>
      <c r="GZ179" s="316"/>
      <c r="HA179" s="316"/>
      <c r="HB179" s="316"/>
      <c r="HC179" s="316"/>
      <c r="HD179" s="316"/>
      <c r="HE179" s="316"/>
      <c r="HF179" s="316"/>
      <c r="HG179" s="316"/>
      <c r="HH179" s="316"/>
      <c r="HI179" s="316"/>
      <c r="HJ179" s="316"/>
      <c r="HK179" s="316"/>
      <c r="HL179" s="316"/>
      <c r="HM179" s="316"/>
      <c r="HV179" s="302">
        <f t="shared" si="33"/>
        <v>0</v>
      </c>
      <c r="HW179" s="302">
        <f t="shared" si="34"/>
        <v>0</v>
      </c>
      <c r="HX179" s="346">
        <f t="shared" si="32"/>
        <v>0</v>
      </c>
      <c r="HY179" s="302">
        <f t="shared" si="35"/>
        <v>2.8455489939999996</v>
      </c>
      <c r="KH179" s="303"/>
    </row>
    <row r="180" spans="2:294" outlineLevel="1">
      <c r="B180" s="117" t="s">
        <v>361</v>
      </c>
      <c r="D180" s="319" t="s">
        <v>1107</v>
      </c>
      <c r="E180" s="316"/>
      <c r="F180" s="316"/>
      <c r="G180" s="316"/>
      <c r="H180" s="316"/>
      <c r="I180" s="316"/>
      <c r="J180" s="316"/>
      <c r="K180" s="316"/>
      <c r="L180" s="316"/>
      <c r="M180" s="316"/>
      <c r="N180" s="316"/>
      <c r="O180" s="316"/>
      <c r="P180" s="316"/>
      <c r="Q180" s="316"/>
      <c r="R180" s="316"/>
      <c r="S180" s="316"/>
      <c r="T180" s="316"/>
      <c r="U180" s="316"/>
      <c r="V180" s="316"/>
      <c r="W180" s="316"/>
      <c r="X180" s="316"/>
      <c r="Y180" s="316"/>
      <c r="Z180" s="316"/>
      <c r="AA180" s="316"/>
      <c r="AB180" s="316"/>
      <c r="AC180" s="316"/>
      <c r="AD180" s="316"/>
      <c r="AE180" s="316"/>
      <c r="AF180" s="316"/>
      <c r="AG180" s="316"/>
      <c r="AH180" s="316"/>
      <c r="AI180" s="316"/>
      <c r="AJ180" s="316"/>
      <c r="AK180" s="316"/>
      <c r="AL180" s="316"/>
      <c r="AM180" s="316"/>
      <c r="AN180" s="316"/>
      <c r="AO180" s="316">
        <v>0</v>
      </c>
      <c r="AP180" s="316">
        <v>0</v>
      </c>
      <c r="AQ180" s="316">
        <v>0</v>
      </c>
      <c r="AR180" s="316">
        <v>0</v>
      </c>
      <c r="AS180" s="316">
        <v>0</v>
      </c>
      <c r="AT180" s="316">
        <v>0</v>
      </c>
      <c r="AU180" s="316">
        <v>0</v>
      </c>
      <c r="AV180" s="316">
        <v>0</v>
      </c>
      <c r="AW180" s="316">
        <v>0</v>
      </c>
      <c r="AX180" s="316">
        <v>0</v>
      </c>
      <c r="AY180" s="316">
        <v>0</v>
      </c>
      <c r="AZ180" s="316">
        <v>0</v>
      </c>
      <c r="BA180" s="316">
        <v>0</v>
      </c>
      <c r="BB180" s="316">
        <v>0</v>
      </c>
      <c r="BC180" s="316">
        <v>0</v>
      </c>
      <c r="BD180" s="316">
        <v>0</v>
      </c>
      <c r="BE180" s="316">
        <v>0</v>
      </c>
      <c r="BF180" s="316">
        <v>0</v>
      </c>
      <c r="BG180" s="316">
        <v>0</v>
      </c>
      <c r="BH180" s="316">
        <v>0</v>
      </c>
      <c r="BI180" s="316">
        <v>0</v>
      </c>
      <c r="BJ180" s="316">
        <v>0</v>
      </c>
      <c r="BK180" s="316">
        <v>0</v>
      </c>
      <c r="BL180" s="316">
        <v>0</v>
      </c>
      <c r="BM180" s="316">
        <v>0</v>
      </c>
      <c r="BN180" s="316">
        <v>0</v>
      </c>
      <c r="BO180" s="316">
        <v>0</v>
      </c>
      <c r="BP180" s="316">
        <v>0</v>
      </c>
      <c r="BQ180" s="316">
        <v>0</v>
      </c>
      <c r="BR180" s="316">
        <v>0</v>
      </c>
      <c r="BS180" s="316">
        <v>0</v>
      </c>
      <c r="BT180" s="316">
        <v>0</v>
      </c>
      <c r="BU180" s="316">
        <v>0</v>
      </c>
      <c r="BV180" s="316">
        <v>0</v>
      </c>
      <c r="BW180" s="316">
        <v>0</v>
      </c>
      <c r="BX180" s="316">
        <v>0</v>
      </c>
      <c r="BY180" s="316">
        <v>0</v>
      </c>
      <c r="BZ180" s="316">
        <v>0</v>
      </c>
      <c r="CA180" s="316">
        <v>0</v>
      </c>
      <c r="CB180" s="316">
        <v>0</v>
      </c>
      <c r="CC180" s="316">
        <v>0</v>
      </c>
      <c r="CD180" s="316">
        <v>2.7902043110000001</v>
      </c>
      <c r="CE180" s="317">
        <v>3.1689793989999999</v>
      </c>
      <c r="CF180" s="316">
        <v>3.2646680999999997</v>
      </c>
      <c r="CG180" s="316">
        <v>2.8187917579999997</v>
      </c>
      <c r="CH180" s="316">
        <v>3.2793469100000001</v>
      </c>
      <c r="CI180" s="316">
        <v>3.1409703960000002</v>
      </c>
      <c r="CJ180" s="316">
        <v>3.2952408479999997</v>
      </c>
      <c r="CK180" s="316">
        <v>3.2457254710000001</v>
      </c>
      <c r="CL180" s="316">
        <v>2.712039984</v>
      </c>
      <c r="CM180" s="316">
        <v>2.8694379530000003</v>
      </c>
      <c r="CN180" s="316">
        <v>3.0035599589999999</v>
      </c>
      <c r="CO180" s="316">
        <v>3.1262652019999999</v>
      </c>
      <c r="CP180" s="318">
        <v>3.075251937</v>
      </c>
      <c r="CQ180" s="316">
        <v>3.2488606209999999</v>
      </c>
      <c r="CR180" s="316">
        <v>3.238915344</v>
      </c>
      <c r="CS180" s="316">
        <v>3.2422682709999999</v>
      </c>
      <c r="CT180" s="316">
        <v>3.3888526780000001</v>
      </c>
      <c r="CU180" s="316">
        <v>2.5925377210000002</v>
      </c>
      <c r="CV180" s="316">
        <v>3.5392753539999999</v>
      </c>
      <c r="CW180" s="316">
        <v>3.356586316</v>
      </c>
      <c r="CX180" s="316">
        <v>3.1462293780000001</v>
      </c>
      <c r="CY180" s="316">
        <v>3.354355424</v>
      </c>
      <c r="CZ180" s="316">
        <v>3.7739778299999998</v>
      </c>
      <c r="DA180" s="316">
        <v>3.6157893829999996</v>
      </c>
      <c r="DB180" s="1498">
        <v>4.5673495070000003</v>
      </c>
      <c r="DC180" s="316">
        <v>6.5516037548088999</v>
      </c>
      <c r="DD180" s="316">
        <v>6.1313639970228753</v>
      </c>
      <c r="DE180" s="316">
        <v>7.3639123965037205</v>
      </c>
      <c r="DF180" s="316">
        <v>5.7518601399761868</v>
      </c>
      <c r="DG180" s="316">
        <v>5.5502397513714117</v>
      </c>
      <c r="DH180" s="316">
        <v>5.4626040483169076</v>
      </c>
      <c r="DI180" s="316">
        <v>6.2514231740000001</v>
      </c>
      <c r="DJ180" s="316">
        <v>5.4853795969999997</v>
      </c>
      <c r="DK180" s="316">
        <v>5.3768416380000001</v>
      </c>
      <c r="DL180" s="316">
        <v>5.1278029370000002</v>
      </c>
      <c r="DM180" s="316">
        <v>5.5426165259999998</v>
      </c>
      <c r="DN180" s="318">
        <v>5.9421715629999996</v>
      </c>
      <c r="DO180" s="316">
        <v>2.956541123</v>
      </c>
      <c r="DP180" s="316">
        <v>4.2391642650000003</v>
      </c>
      <c r="DQ180" s="316">
        <v>4.6278842459999998</v>
      </c>
      <c r="DR180" s="316">
        <v>3.6132463650000002</v>
      </c>
      <c r="DS180" s="316">
        <v>4.2479571060000003</v>
      </c>
      <c r="DT180" s="316">
        <v>5.1771524299999996</v>
      </c>
      <c r="DU180" s="316">
        <v>3.5630113959999998</v>
      </c>
      <c r="DV180" s="316">
        <v>3.792640612</v>
      </c>
      <c r="DW180" s="316">
        <v>4.4536867249999998</v>
      </c>
      <c r="DX180" s="316">
        <v>3.6935304289999999</v>
      </c>
      <c r="DY180" s="316">
        <v>4.0704032720000001</v>
      </c>
      <c r="DZ180" s="318">
        <v>4.7259317359999997</v>
      </c>
      <c r="EA180" s="316">
        <v>3.9197508289999998</v>
      </c>
      <c r="EB180" s="316">
        <v>4.441601414</v>
      </c>
      <c r="EC180" s="316">
        <v>4.3779506379999997</v>
      </c>
      <c r="ED180" s="316">
        <v>4.284085996</v>
      </c>
      <c r="EE180" s="316">
        <v>4.0114392140000001</v>
      </c>
      <c r="EF180" s="316">
        <v>4.6793488439999997</v>
      </c>
      <c r="EG180" s="316">
        <v>3.851187774</v>
      </c>
      <c r="EH180" s="316">
        <v>4.1980587839999997</v>
      </c>
      <c r="EI180" s="316">
        <v>4.5506451840000004</v>
      </c>
      <c r="EJ180" s="316">
        <v>4.0935972188788101</v>
      </c>
      <c r="EK180" s="316">
        <v>5.1052073904136108</v>
      </c>
      <c r="EL180" s="318">
        <v>5.3142629711079108</v>
      </c>
      <c r="EM180" s="1206">
        <v>4.5634166029999994</v>
      </c>
      <c r="EN180" s="1206">
        <v>5.2825730379999998</v>
      </c>
      <c r="EO180" s="1206">
        <v>4.7967218230000004</v>
      </c>
      <c r="EP180" s="1206">
        <v>4.4942836369999997</v>
      </c>
      <c r="EQ180" s="1206">
        <v>4.593065245</v>
      </c>
      <c r="ER180" s="1206">
        <v>5.1687548889999997</v>
      </c>
      <c r="ES180" s="1206">
        <v>4.1042873664221347</v>
      </c>
      <c r="ET180" s="1206">
        <v>4.8625159404912184</v>
      </c>
      <c r="EU180" s="1206">
        <v>4.803794123639566</v>
      </c>
      <c r="EV180" s="1206">
        <v>4.6857228159572806</v>
      </c>
      <c r="EW180" s="1206">
        <v>5.5589025963523504</v>
      </c>
      <c r="EX180" s="1550">
        <v>4.6832505486718778</v>
      </c>
      <c r="EY180" s="1206"/>
      <c r="EZ180" s="1206"/>
      <c r="FA180" s="1206"/>
      <c r="FB180" s="1206"/>
      <c r="FC180" s="1206"/>
      <c r="FD180" s="1206"/>
      <c r="FE180" s="1206"/>
      <c r="FF180" s="1206"/>
      <c r="FG180" s="1206"/>
      <c r="FH180" s="1206"/>
      <c r="FI180" s="1206"/>
      <c r="FJ180" s="1550"/>
      <c r="FK180" s="1206"/>
      <c r="FL180" s="1206"/>
      <c r="FM180" s="1206"/>
      <c r="FN180" s="1206"/>
      <c r="FO180" s="1206"/>
      <c r="FP180" s="1206"/>
      <c r="FQ180" s="316"/>
      <c r="FR180" s="316"/>
      <c r="FS180" s="316"/>
      <c r="FT180" s="316"/>
      <c r="FU180" s="316"/>
      <c r="FV180" s="316"/>
      <c r="FW180" s="316"/>
      <c r="FX180" s="316"/>
      <c r="FY180" s="316"/>
      <c r="FZ180" s="316"/>
      <c r="GA180" s="316"/>
      <c r="GB180" s="316"/>
      <c r="GC180" s="316"/>
      <c r="GD180" s="316"/>
      <c r="GE180" s="316"/>
      <c r="GF180" s="316"/>
      <c r="GG180" s="316"/>
      <c r="GH180" s="316"/>
      <c r="GI180" s="316"/>
      <c r="GJ180" s="316"/>
      <c r="GK180" s="316"/>
      <c r="GL180" s="316"/>
      <c r="GM180" s="316"/>
      <c r="GN180" s="316"/>
      <c r="GO180" s="316"/>
      <c r="GP180" s="316"/>
      <c r="GQ180" s="316"/>
      <c r="GR180" s="316"/>
      <c r="GS180" s="316"/>
      <c r="GT180" s="316"/>
      <c r="GU180" s="316"/>
      <c r="GV180" s="316"/>
      <c r="GW180" s="316"/>
      <c r="GX180" s="316"/>
      <c r="GY180" s="316"/>
      <c r="GZ180" s="316"/>
      <c r="HA180" s="316"/>
      <c r="HB180" s="316"/>
      <c r="HC180" s="316"/>
      <c r="HD180" s="316"/>
      <c r="HE180" s="316"/>
      <c r="HF180" s="316"/>
      <c r="HG180" s="316"/>
      <c r="HH180" s="316"/>
      <c r="HI180" s="316"/>
      <c r="HJ180" s="316"/>
      <c r="HK180" s="316"/>
      <c r="HL180" s="316"/>
      <c r="HM180" s="316"/>
      <c r="HV180" s="302">
        <f t="shared" si="33"/>
        <v>36.811584088000004</v>
      </c>
      <c r="HW180" s="302">
        <f t="shared" si="34"/>
        <v>33.726235435</v>
      </c>
      <c r="HX180" s="346">
        <f t="shared" si="32"/>
        <v>70.537819522999996</v>
      </c>
      <c r="HY180" s="302">
        <f t="shared" si="35"/>
        <v>24.861945535</v>
      </c>
      <c r="KH180" s="303"/>
    </row>
    <row r="181" spans="2:294" outlineLevel="1">
      <c r="B181" s="117" t="s">
        <v>361</v>
      </c>
      <c r="D181" s="323" t="s">
        <v>440</v>
      </c>
      <c r="E181" s="316">
        <v>0.12257455</v>
      </c>
      <c r="F181" s="316">
        <v>9.5664029999999997E-2</v>
      </c>
      <c r="G181" s="316">
        <v>0.24450006799999999</v>
      </c>
      <c r="H181" s="316">
        <v>7.7807333000000006E-2</v>
      </c>
      <c r="I181" s="316">
        <v>9.6818618999999995E-2</v>
      </c>
      <c r="J181" s="316">
        <v>0.24703535299999999</v>
      </c>
      <c r="K181" s="316">
        <v>0.17997434600000001</v>
      </c>
      <c r="L181" s="316">
        <v>0.236399788</v>
      </c>
      <c r="M181" s="316">
        <v>0.21844863</v>
      </c>
      <c r="N181" s="316">
        <v>0.15407416000000002</v>
      </c>
      <c r="O181" s="316">
        <v>0.27121834899999997</v>
      </c>
      <c r="P181" s="316">
        <v>0.22340381300000001</v>
      </c>
      <c r="Q181" s="316">
        <v>0.33873832499999995</v>
      </c>
      <c r="R181" s="316">
        <v>0.21718442700000001</v>
      </c>
      <c r="S181" s="316">
        <v>0.30949034999999997</v>
      </c>
      <c r="T181" s="316">
        <v>0.27921589799999996</v>
      </c>
      <c r="U181" s="316">
        <v>0.197232666</v>
      </c>
      <c r="V181" s="316">
        <v>0.34309520300000002</v>
      </c>
      <c r="W181" s="316">
        <v>0.30296367800000001</v>
      </c>
      <c r="X181" s="316">
        <v>0.30147555500000001</v>
      </c>
      <c r="Y181" s="316">
        <v>0.31368041000000002</v>
      </c>
      <c r="Z181" s="316">
        <v>0.44817263800000001</v>
      </c>
      <c r="AA181" s="316">
        <v>0.159889948</v>
      </c>
      <c r="AB181" s="316">
        <v>0.22750847799999999</v>
      </c>
      <c r="AC181" s="316">
        <v>0.446178466</v>
      </c>
      <c r="AD181" s="316">
        <v>0.257762834</v>
      </c>
      <c r="AE181" s="316"/>
      <c r="AF181" s="316"/>
      <c r="AG181" s="316"/>
      <c r="AH181" s="316"/>
      <c r="AI181" s="316"/>
      <c r="AJ181" s="316"/>
      <c r="AK181" s="316"/>
      <c r="AL181" s="316"/>
      <c r="AM181" s="316"/>
      <c r="AN181" s="316"/>
      <c r="AO181" s="316">
        <v>0.15563988500000001</v>
      </c>
      <c r="AP181" s="316">
        <v>0.30713459799999998</v>
      </c>
      <c r="AQ181" s="316">
        <v>0.54122745499999991</v>
      </c>
      <c r="AR181" s="316">
        <v>0.19685392200000001</v>
      </c>
      <c r="AS181" s="316">
        <v>0.26285905600000004</v>
      </c>
      <c r="AT181" s="316">
        <v>0.30590315900000004</v>
      </c>
      <c r="AU181" s="316">
        <v>0.33271619899999999</v>
      </c>
      <c r="AV181" s="316">
        <v>0.27057281399999999</v>
      </c>
      <c r="AW181" s="316">
        <v>0.23636665800000001</v>
      </c>
      <c r="AX181" s="316">
        <v>0.345864856</v>
      </c>
      <c r="AY181" s="316">
        <v>0.33883756599999998</v>
      </c>
      <c r="AZ181" s="316">
        <v>0.53474712599999996</v>
      </c>
      <c r="BA181" s="316">
        <v>0.230413696</v>
      </c>
      <c r="BB181" s="316">
        <v>0.31115040800000004</v>
      </c>
      <c r="BC181" s="316">
        <v>0.50819375</v>
      </c>
      <c r="BD181" s="316">
        <v>0.13237381199999998</v>
      </c>
      <c r="BE181" s="316">
        <v>0.38163459</v>
      </c>
      <c r="BF181" s="316">
        <v>0.308284477</v>
      </c>
      <c r="BG181" s="316">
        <v>0.206005774</v>
      </c>
      <c r="BH181" s="316">
        <v>0.3226154</v>
      </c>
      <c r="BI181" s="316">
        <v>0.30836892399999999</v>
      </c>
      <c r="BJ181" s="316">
        <v>0.52572209299999995</v>
      </c>
      <c r="BK181" s="316">
        <v>0.37534705000000002</v>
      </c>
      <c r="BL181" s="316">
        <v>0.51314306499999995</v>
      </c>
      <c r="BM181" s="316">
        <v>0.239882496</v>
      </c>
      <c r="BN181" s="316">
        <v>0.31812765500000001</v>
      </c>
      <c r="BO181" s="316">
        <v>0.271019338</v>
      </c>
      <c r="BP181" s="316">
        <v>0.18334953800000001</v>
      </c>
      <c r="BQ181" s="316">
        <v>0.29642618100000001</v>
      </c>
      <c r="BR181" s="316">
        <v>0.42665895999999998</v>
      </c>
      <c r="BS181" s="316">
        <v>5.6446497999999998E-2</v>
      </c>
      <c r="BT181" s="316">
        <v>5.4721117E-2</v>
      </c>
      <c r="BU181" s="316">
        <v>0.22542836199999999</v>
      </c>
      <c r="BV181" s="316">
        <v>0.314704712</v>
      </c>
      <c r="BW181" s="316">
        <v>0.44608005500000003</v>
      </c>
      <c r="BX181" s="316">
        <v>0.41995875199999999</v>
      </c>
      <c r="BY181" s="316">
        <v>0.499125863</v>
      </c>
      <c r="BZ181" s="316">
        <v>0.37070930199999996</v>
      </c>
      <c r="CA181" s="316">
        <v>0.44204523600000001</v>
      </c>
      <c r="CB181" s="316">
        <v>0.29001354099999999</v>
      </c>
      <c r="CC181" s="316">
        <v>0.36823071299999999</v>
      </c>
      <c r="CD181" s="316">
        <v>0</v>
      </c>
      <c r="CE181" s="317">
        <v>0</v>
      </c>
      <c r="CF181" s="316">
        <v>0</v>
      </c>
      <c r="CG181" s="316">
        <v>0</v>
      </c>
      <c r="CH181" s="316">
        <v>0</v>
      </c>
      <c r="CI181" s="316">
        <v>0</v>
      </c>
      <c r="CJ181" s="316">
        <v>0</v>
      </c>
      <c r="CK181" s="316">
        <v>0</v>
      </c>
      <c r="CL181" s="316">
        <v>0</v>
      </c>
      <c r="CM181" s="316">
        <v>0</v>
      </c>
      <c r="CN181" s="316">
        <v>0</v>
      </c>
      <c r="CO181" s="316">
        <v>0</v>
      </c>
      <c r="CP181" s="318">
        <v>0</v>
      </c>
      <c r="CQ181" s="316">
        <v>0.31600979299999998</v>
      </c>
      <c r="CR181" s="316">
        <v>0.12124649999999999</v>
      </c>
      <c r="CS181" s="316">
        <v>0.23915218799999999</v>
      </c>
      <c r="CT181" s="316">
        <v>6.3750000000000001E-2</v>
      </c>
      <c r="CU181" s="316">
        <v>0</v>
      </c>
      <c r="CV181" s="316">
        <v>7.2294597999999988E-2</v>
      </c>
      <c r="CW181" s="316">
        <v>0.28024274999999998</v>
      </c>
      <c r="CX181" s="316">
        <v>1.1953797E-2</v>
      </c>
      <c r="CY181" s="316">
        <v>0</v>
      </c>
      <c r="CZ181" s="316">
        <v>0.36828455300000001</v>
      </c>
      <c r="DA181" s="316">
        <v>0.16295479800000001</v>
      </c>
      <c r="DB181" s="1498">
        <v>0</v>
      </c>
      <c r="DC181" s="316">
        <v>0.47785493355854752</v>
      </c>
      <c r="DD181" s="316">
        <v>1.4959300313982959</v>
      </c>
      <c r="DE181" s="316">
        <v>0.97319267858136105</v>
      </c>
      <c r="DF181" s="316">
        <v>1.0006039282411332</v>
      </c>
      <c r="DG181" s="316">
        <v>0.84528971338311532</v>
      </c>
      <c r="DH181" s="316">
        <v>1.1130339760716854</v>
      </c>
      <c r="DI181" s="316">
        <v>0.96640011736005382</v>
      </c>
      <c r="DJ181" s="316">
        <v>0.82777730246173653</v>
      </c>
      <c r="DK181" s="316">
        <v>1.0005557799334683</v>
      </c>
      <c r="DL181" s="316">
        <v>0.98473358730993465</v>
      </c>
      <c r="DM181" s="316">
        <v>0.94368723611745831</v>
      </c>
      <c r="DN181" s="318">
        <v>1.0810589796494359</v>
      </c>
      <c r="DO181" s="316">
        <v>0</v>
      </c>
      <c r="DP181" s="316">
        <v>0</v>
      </c>
      <c r="DQ181" s="316">
        <v>0</v>
      </c>
      <c r="DR181" s="316">
        <v>0</v>
      </c>
      <c r="DS181" s="316">
        <v>0</v>
      </c>
      <c r="DT181" s="316">
        <v>0</v>
      </c>
      <c r="DU181" s="316">
        <v>0</v>
      </c>
      <c r="DV181" s="316">
        <v>0</v>
      </c>
      <c r="DW181" s="316">
        <v>0</v>
      </c>
      <c r="DX181" s="316">
        <v>0</v>
      </c>
      <c r="DY181" s="316">
        <v>0</v>
      </c>
      <c r="DZ181" s="318">
        <v>0</v>
      </c>
      <c r="EA181" s="316"/>
      <c r="EB181" s="316"/>
      <c r="EC181" s="316"/>
      <c r="ED181" s="316"/>
      <c r="EE181" s="316"/>
      <c r="EF181" s="316"/>
      <c r="EG181" s="316"/>
      <c r="EH181" s="316"/>
      <c r="EI181" s="316"/>
      <c r="EJ181" s="316"/>
      <c r="EK181" s="316"/>
      <c r="EL181" s="318"/>
      <c r="EM181" s="1206"/>
      <c r="EN181" s="1206"/>
      <c r="EO181" s="1206"/>
      <c r="EP181" s="1206"/>
      <c r="EQ181" s="1206"/>
      <c r="ER181" s="1206"/>
      <c r="ES181" s="1206"/>
      <c r="ET181" s="1206"/>
      <c r="EU181" s="1206"/>
      <c r="EV181" s="1206"/>
      <c r="EW181" s="1206"/>
      <c r="EX181" s="1550"/>
      <c r="EY181" s="1206"/>
      <c r="EZ181" s="1206"/>
      <c r="FA181" s="1206"/>
      <c r="FB181" s="1206"/>
      <c r="FC181" s="1206"/>
      <c r="FD181" s="1206"/>
      <c r="FE181" s="1206"/>
      <c r="FF181" s="1206"/>
      <c r="FG181" s="1206"/>
      <c r="FH181" s="1206"/>
      <c r="FI181" s="1206"/>
      <c r="FJ181" s="1550"/>
      <c r="FK181" s="1206"/>
      <c r="FL181" s="1206"/>
      <c r="FM181" s="1206"/>
      <c r="FN181" s="1206"/>
      <c r="FO181" s="1206"/>
      <c r="FP181" s="1206"/>
      <c r="FQ181" s="316"/>
      <c r="FR181" s="316"/>
      <c r="FS181" s="316"/>
      <c r="FT181" s="316"/>
      <c r="FU181" s="316"/>
      <c r="FV181" s="316"/>
      <c r="FW181" s="316"/>
      <c r="FX181" s="316"/>
      <c r="FY181" s="316"/>
      <c r="FZ181" s="316"/>
      <c r="GA181" s="316"/>
      <c r="GB181" s="316"/>
      <c r="GC181" s="316"/>
      <c r="GD181" s="316"/>
      <c r="GE181" s="316"/>
      <c r="GF181" s="316"/>
      <c r="GG181" s="316"/>
      <c r="GH181" s="316"/>
      <c r="GI181" s="316"/>
      <c r="GJ181" s="316"/>
      <c r="GK181" s="316"/>
      <c r="GL181" s="316"/>
      <c r="GM181" s="316"/>
      <c r="GN181" s="316"/>
      <c r="GO181" s="316"/>
      <c r="GP181" s="316"/>
      <c r="GQ181" s="316"/>
      <c r="GR181" s="316"/>
      <c r="GS181" s="316"/>
      <c r="GT181" s="316"/>
      <c r="GU181" s="316"/>
      <c r="GV181" s="316"/>
      <c r="GW181" s="316"/>
      <c r="GX181" s="316"/>
      <c r="GY181" s="316"/>
      <c r="GZ181" s="316"/>
      <c r="HA181" s="316"/>
      <c r="HB181" s="316"/>
      <c r="HC181" s="316"/>
      <c r="HD181" s="316"/>
      <c r="HE181" s="316"/>
      <c r="HF181" s="316"/>
      <c r="HG181" s="316"/>
      <c r="HH181" s="316"/>
      <c r="HI181" s="316"/>
      <c r="HJ181" s="316"/>
      <c r="HK181" s="316"/>
      <c r="HL181" s="316"/>
      <c r="HM181" s="316"/>
      <c r="HV181" s="302">
        <f t="shared" si="33"/>
        <v>5.9059052612341381</v>
      </c>
      <c r="HW181" s="302">
        <f t="shared" si="34"/>
        <v>5.8042130028320873</v>
      </c>
      <c r="HX181" s="346">
        <f t="shared" si="32"/>
        <v>11.710118264066224</v>
      </c>
      <c r="HY181" s="302">
        <f t="shared" si="35"/>
        <v>0</v>
      </c>
      <c r="KH181" s="303"/>
    </row>
    <row r="182" spans="2:294" outlineLevel="1">
      <c r="B182" s="117" t="s">
        <v>361</v>
      </c>
      <c r="D182" s="319" t="s">
        <v>441</v>
      </c>
      <c r="E182" s="316">
        <v>0.376488718</v>
      </c>
      <c r="F182" s="316">
        <v>0.27503976599999996</v>
      </c>
      <c r="G182" s="316">
        <v>0.29167016499999998</v>
      </c>
      <c r="H182" s="316">
        <v>0.32567224</v>
      </c>
      <c r="I182" s="316">
        <v>0.27484575899999997</v>
      </c>
      <c r="J182" s="316">
        <v>0.331115728</v>
      </c>
      <c r="K182" s="316">
        <v>0.33978096000000002</v>
      </c>
      <c r="L182" s="316">
        <v>0.37187727100000001</v>
      </c>
      <c r="M182" s="316">
        <v>0.36097400499999999</v>
      </c>
      <c r="N182" s="316">
        <v>0.35204973699999997</v>
      </c>
      <c r="O182" s="316">
        <v>0.33266694800000002</v>
      </c>
      <c r="P182" s="316">
        <v>0.37760089900000005</v>
      </c>
      <c r="Q182" s="316">
        <v>0.47139505500000001</v>
      </c>
      <c r="R182" s="316">
        <v>0.34578407700000002</v>
      </c>
      <c r="S182" s="316">
        <v>0.32111728499999997</v>
      </c>
      <c r="T182" s="316">
        <v>0.36832643000000004</v>
      </c>
      <c r="U182" s="316">
        <v>0.39539540299999998</v>
      </c>
      <c r="V182" s="316">
        <v>0.412211785</v>
      </c>
      <c r="W182" s="316">
        <v>0.42786645800000001</v>
      </c>
      <c r="X182" s="316">
        <v>0.53550458499999998</v>
      </c>
      <c r="Y182" s="316">
        <v>0.50252995700000003</v>
      </c>
      <c r="Z182" s="316">
        <v>0.4172768</v>
      </c>
      <c r="AA182" s="316">
        <v>0.45548481199999996</v>
      </c>
      <c r="AB182" s="316">
        <v>0.54283377299999991</v>
      </c>
      <c r="AC182" s="316">
        <v>0.54527993000000008</v>
      </c>
      <c r="AD182" s="316">
        <v>0.44552670899999997</v>
      </c>
      <c r="AE182" s="316"/>
      <c r="AF182" s="316"/>
      <c r="AG182" s="316"/>
      <c r="AH182" s="316"/>
      <c r="AI182" s="316"/>
      <c r="AJ182" s="316"/>
      <c r="AK182" s="316"/>
      <c r="AL182" s="316"/>
      <c r="AM182" s="316"/>
      <c r="AN182" s="316"/>
      <c r="AO182" s="316">
        <v>0.55119870000000004</v>
      </c>
      <c r="AP182" s="316">
        <v>0.90592912699999995</v>
      </c>
      <c r="AQ182" s="316">
        <v>0.38974524900000002</v>
      </c>
      <c r="AR182" s="316">
        <v>0.41528999</v>
      </c>
      <c r="AS182" s="316">
        <v>0.40771658999999999</v>
      </c>
      <c r="AT182" s="316">
        <v>0.47274411099999997</v>
      </c>
      <c r="AU182" s="316">
        <v>0.49503433200000002</v>
      </c>
      <c r="AV182" s="316">
        <v>0.638184796</v>
      </c>
      <c r="AW182" s="316">
        <v>0.5658347199999999</v>
      </c>
      <c r="AX182" s="316">
        <v>0.50072386599999996</v>
      </c>
      <c r="AY182" s="316">
        <v>0.48141455100000002</v>
      </c>
      <c r="AZ182" s="316">
        <v>0.56830008399999998</v>
      </c>
      <c r="BA182" s="316">
        <v>0.66034978700000002</v>
      </c>
      <c r="BB182" s="316">
        <v>0.49478778299999998</v>
      </c>
      <c r="BC182" s="316">
        <v>0.49137524799999999</v>
      </c>
      <c r="BD182" s="316">
        <v>0.52532155299999994</v>
      </c>
      <c r="BE182" s="316">
        <v>0.521276984</v>
      </c>
      <c r="BF182" s="316">
        <v>0.61742338299999999</v>
      </c>
      <c r="BG182" s="316">
        <v>0.61646515899999998</v>
      </c>
      <c r="BH182" s="316">
        <v>0.68712254600000011</v>
      </c>
      <c r="BI182" s="316">
        <v>0.66977477399999996</v>
      </c>
      <c r="BJ182" s="316">
        <v>0.53554957800000003</v>
      </c>
      <c r="BK182" s="316">
        <v>0.56878804599999999</v>
      </c>
      <c r="BL182" s="316">
        <v>0.62482149600000003</v>
      </c>
      <c r="BM182" s="316">
        <v>0.92523598400000007</v>
      </c>
      <c r="BN182" s="316">
        <v>0.73850048400000001</v>
      </c>
      <c r="BO182" s="316">
        <v>0.64597101699999993</v>
      </c>
      <c r="BP182" s="316">
        <v>0.69080865100000011</v>
      </c>
      <c r="BQ182" s="316">
        <v>0.59215187999999996</v>
      </c>
      <c r="BR182" s="316">
        <v>0.78683266799999996</v>
      </c>
      <c r="BS182" s="316">
        <v>0.74801819199999997</v>
      </c>
      <c r="BT182" s="316">
        <v>0.86035693099999999</v>
      </c>
      <c r="BU182" s="316">
        <v>0.83968145199999999</v>
      </c>
      <c r="BV182" s="316">
        <v>0.71862171799999996</v>
      </c>
      <c r="BW182" s="316">
        <v>0.6411021950000001</v>
      </c>
      <c r="BX182" s="316">
        <v>0.69818696199999997</v>
      </c>
      <c r="BY182" s="316">
        <v>0.86955511699999999</v>
      </c>
      <c r="BZ182" s="316">
        <v>0.72042674799999995</v>
      </c>
      <c r="CA182" s="316">
        <v>0.733881212</v>
      </c>
      <c r="CB182" s="316">
        <v>0.527985343</v>
      </c>
      <c r="CC182" s="316">
        <v>0.85245839300000004</v>
      </c>
      <c r="CD182" s="316">
        <v>0.312449378</v>
      </c>
      <c r="CE182" s="317">
        <v>0.41229271499999998</v>
      </c>
      <c r="CF182" s="316">
        <v>0.38380109599999995</v>
      </c>
      <c r="CG182" s="316">
        <v>0.41043272400000003</v>
      </c>
      <c r="CH182" s="316">
        <v>0.42619850200000003</v>
      </c>
      <c r="CI182" s="316">
        <v>0.45543209400000001</v>
      </c>
      <c r="CJ182" s="316">
        <v>0.30718331799999998</v>
      </c>
      <c r="CK182" s="316">
        <v>0.51037131099999999</v>
      </c>
      <c r="CL182" s="316">
        <v>0.46679078500000004</v>
      </c>
      <c r="CM182" s="316">
        <v>0.27314984399999997</v>
      </c>
      <c r="CN182" s="316">
        <v>0.605518589</v>
      </c>
      <c r="CO182" s="316">
        <v>0.43885416400000005</v>
      </c>
      <c r="CP182" s="318">
        <v>0.54017785600000001</v>
      </c>
      <c r="CQ182" s="316">
        <v>0.41812329100000001</v>
      </c>
      <c r="CR182" s="316">
        <v>0.43984718700000003</v>
      </c>
      <c r="CS182" s="316">
        <v>0.61426964499999992</v>
      </c>
      <c r="CT182" s="316">
        <v>0.58147084500000001</v>
      </c>
      <c r="CU182" s="316">
        <v>0.61717984299999995</v>
      </c>
      <c r="CV182" s="316">
        <v>0.89931141999999997</v>
      </c>
      <c r="CW182" s="316">
        <v>8.3683255999999998E-2</v>
      </c>
      <c r="CX182" s="316">
        <v>7.2974965999999988E-2</v>
      </c>
      <c r="CY182" s="316">
        <v>0.367037367</v>
      </c>
      <c r="CZ182" s="316">
        <v>0.398010368</v>
      </c>
      <c r="DA182" s="316">
        <v>0.498061898</v>
      </c>
      <c r="DB182" s="1498">
        <v>0.34761037499999997</v>
      </c>
      <c r="DC182" s="316"/>
      <c r="DD182" s="316"/>
      <c r="DE182" s="316"/>
      <c r="DF182" s="316"/>
      <c r="DG182" s="316"/>
      <c r="DH182" s="316"/>
      <c r="DI182" s="316"/>
      <c r="DJ182" s="316"/>
      <c r="DK182" s="316"/>
      <c r="DL182" s="316"/>
      <c r="DM182" s="316"/>
      <c r="DN182" s="318"/>
      <c r="DO182" s="316">
        <v>0.47724450000000002</v>
      </c>
      <c r="DP182" s="316">
        <v>0.92302220999999995</v>
      </c>
      <c r="DQ182" s="316">
        <v>0.64845299999999995</v>
      </c>
      <c r="DR182" s="316">
        <v>0.69100260000000002</v>
      </c>
      <c r="DS182" s="316">
        <v>0.89528342400000005</v>
      </c>
      <c r="DT182" s="316">
        <v>0.69794489999999998</v>
      </c>
      <c r="DU182" s="316">
        <v>0.39388620000000002</v>
      </c>
      <c r="DV182" s="316">
        <v>0.80550270000000002</v>
      </c>
      <c r="DW182" s="316">
        <v>0.5532705</v>
      </c>
      <c r="DX182" s="316">
        <v>0.61176450000000004</v>
      </c>
      <c r="DY182" s="316">
        <v>0.73271566399999999</v>
      </c>
      <c r="DZ182" s="318">
        <v>0.71411069999999999</v>
      </c>
      <c r="EA182" s="316">
        <v>1.1710801660000001</v>
      </c>
      <c r="EB182" s="316">
        <v>6.4005800000000003E-3</v>
      </c>
      <c r="EC182" s="316">
        <v>0.64878060000000004</v>
      </c>
      <c r="ED182" s="316">
        <v>0.81617340000000005</v>
      </c>
      <c r="EE182" s="316">
        <v>0.8211138</v>
      </c>
      <c r="EF182" s="316">
        <v>1.0459327439999999</v>
      </c>
      <c r="EG182" s="316">
        <v>0.53638896000000003</v>
      </c>
      <c r="EH182" s="316">
        <v>0.96978531300000004</v>
      </c>
      <c r="EI182" s="316">
        <v>0.497167107</v>
      </c>
      <c r="EJ182" s="316">
        <v>1.1521358450543624</v>
      </c>
      <c r="EK182" s="316">
        <v>0.42633093473580214</v>
      </c>
      <c r="EL182" s="318">
        <v>1.5913206518053027</v>
      </c>
      <c r="EM182" s="1206">
        <v>0.412047</v>
      </c>
      <c r="EN182" s="1206">
        <v>0.96666660000000004</v>
      </c>
      <c r="EO182" s="1206">
        <v>0.98094000000000003</v>
      </c>
      <c r="EP182" s="1206">
        <v>0.83510406100000001</v>
      </c>
      <c r="EQ182" s="1206">
        <v>1.049008438</v>
      </c>
      <c r="ER182" s="1206">
        <v>1.177221444</v>
      </c>
      <c r="ES182" s="1206">
        <v>8.4081983171211599E-2</v>
      </c>
      <c r="ET182" s="1206">
        <v>0.92682630999888838</v>
      </c>
      <c r="EU182" s="1206">
        <v>0.72928712310012023</v>
      </c>
      <c r="EV182" s="1206">
        <v>0.68300894580381111</v>
      </c>
      <c r="EW182" s="1206">
        <v>0.70822090855734909</v>
      </c>
      <c r="EX182" s="1550">
        <v>2.2692877103876063</v>
      </c>
      <c r="EY182" s="1206"/>
      <c r="EZ182" s="1206"/>
      <c r="FA182" s="1206"/>
      <c r="FB182" s="1206"/>
      <c r="FC182" s="1206"/>
      <c r="FD182" s="1206"/>
      <c r="FE182" s="1206"/>
      <c r="FF182" s="1206"/>
      <c r="FG182" s="1206"/>
      <c r="FH182" s="1206"/>
      <c r="FI182" s="1206"/>
      <c r="FJ182" s="1550"/>
      <c r="FK182" s="1206"/>
      <c r="FL182" s="1206"/>
      <c r="FM182" s="1206"/>
      <c r="FN182" s="1206"/>
      <c r="FO182" s="1206"/>
      <c r="FP182" s="1206"/>
      <c r="FQ182" s="316"/>
      <c r="FR182" s="316"/>
      <c r="FS182" s="316"/>
      <c r="FT182" s="316"/>
      <c r="FU182" s="316"/>
      <c r="FV182" s="316"/>
      <c r="FW182" s="316"/>
      <c r="FX182" s="316"/>
      <c r="FY182" s="316"/>
      <c r="FZ182" s="316"/>
      <c r="GA182" s="316"/>
      <c r="GB182" s="316"/>
      <c r="GC182" s="316"/>
      <c r="GD182" s="316"/>
      <c r="GE182" s="316"/>
      <c r="GF182" s="316"/>
      <c r="GG182" s="316"/>
      <c r="GH182" s="316"/>
      <c r="GI182" s="316"/>
      <c r="GJ182" s="316"/>
      <c r="GK182" s="316"/>
      <c r="GL182" s="316"/>
      <c r="GM182" s="316"/>
      <c r="GN182" s="316"/>
      <c r="GO182" s="316"/>
      <c r="GP182" s="316"/>
      <c r="GQ182" s="316"/>
      <c r="GR182" s="316"/>
      <c r="GS182" s="316"/>
      <c r="GT182" s="316"/>
      <c r="GU182" s="316"/>
      <c r="GV182" s="316"/>
      <c r="GW182" s="316"/>
      <c r="GX182" s="316"/>
      <c r="GY182" s="316"/>
      <c r="GZ182" s="316"/>
      <c r="HA182" s="316"/>
      <c r="HB182" s="316"/>
      <c r="HC182" s="316"/>
      <c r="HD182" s="316"/>
      <c r="HE182" s="316"/>
      <c r="HF182" s="316"/>
      <c r="HG182" s="316"/>
      <c r="HH182" s="316"/>
      <c r="HI182" s="316"/>
      <c r="HJ182" s="316"/>
      <c r="HK182" s="316"/>
      <c r="HL182" s="316"/>
      <c r="HM182" s="316"/>
      <c r="HV182" s="302">
        <f t="shared" si="33"/>
        <v>0</v>
      </c>
      <c r="HW182" s="302">
        <f t="shared" si="34"/>
        <v>0</v>
      </c>
      <c r="HX182" s="346">
        <f t="shared" si="32"/>
        <v>0</v>
      </c>
      <c r="HY182" s="302">
        <f t="shared" si="35"/>
        <v>4.3329506339999995</v>
      </c>
      <c r="KH182" s="303"/>
    </row>
    <row r="183" spans="2:294" outlineLevel="1">
      <c r="B183" s="117" t="s">
        <v>361</v>
      </c>
      <c r="D183" s="319" t="s">
        <v>442</v>
      </c>
      <c r="E183" s="316">
        <v>4.9956508999999996E-2</v>
      </c>
      <c r="F183" s="316">
        <v>6.7060385E-2</v>
      </c>
      <c r="G183" s="316">
        <v>5.6711468000000001E-2</v>
      </c>
      <c r="H183" s="316">
        <v>6.9070803E-2</v>
      </c>
      <c r="I183" s="316">
        <v>0.12558512399999999</v>
      </c>
      <c r="J183" s="316">
        <v>0.103991084</v>
      </c>
      <c r="K183" s="316">
        <v>5.0996718000000003E-2</v>
      </c>
      <c r="L183" s="316">
        <v>0.13784180299999998</v>
      </c>
      <c r="M183" s="316">
        <v>0.11101515299999999</v>
      </c>
      <c r="N183" s="316">
        <v>8.8089554E-2</v>
      </c>
      <c r="O183" s="316">
        <v>0.13835948200000001</v>
      </c>
      <c r="P183" s="316">
        <v>0.12957476399999998</v>
      </c>
      <c r="Q183" s="316">
        <v>9.3778858999999992E-2</v>
      </c>
      <c r="R183" s="316">
        <v>0.135011831</v>
      </c>
      <c r="S183" s="316">
        <v>9.2001330999999992E-2</v>
      </c>
      <c r="T183" s="316">
        <v>0.14832118500000002</v>
      </c>
      <c r="U183" s="316">
        <v>0.14591031400000001</v>
      </c>
      <c r="V183" s="316">
        <v>0.150170793</v>
      </c>
      <c r="W183" s="316">
        <v>0.13310903200000002</v>
      </c>
      <c r="X183" s="316">
        <v>0.15896345299999998</v>
      </c>
      <c r="Y183" s="316">
        <v>0.15857500499999999</v>
      </c>
      <c r="Z183" s="316">
        <v>0.15422256400000001</v>
      </c>
      <c r="AA183" s="316">
        <v>0.16777488399999999</v>
      </c>
      <c r="AB183" s="316">
        <v>0.22314510700000001</v>
      </c>
      <c r="AC183" s="316">
        <v>0.129086794</v>
      </c>
      <c r="AD183" s="316">
        <v>0.18507388599999999</v>
      </c>
      <c r="AE183" s="316"/>
      <c r="AF183" s="316"/>
      <c r="AG183" s="316"/>
      <c r="AH183" s="316"/>
      <c r="AI183" s="316"/>
      <c r="AJ183" s="316"/>
      <c r="AK183" s="316"/>
      <c r="AL183" s="316"/>
      <c r="AM183" s="316"/>
      <c r="AN183" s="316"/>
      <c r="AO183" s="316">
        <v>0.119869134</v>
      </c>
      <c r="AP183" s="316">
        <v>0.174603014</v>
      </c>
      <c r="AQ183" s="316">
        <v>9.8193560999999999E-2</v>
      </c>
      <c r="AR183" s="316">
        <v>0.121490896</v>
      </c>
      <c r="AS183" s="316">
        <v>0.12089839100000001</v>
      </c>
      <c r="AT183" s="316">
        <v>8.3282554000000009E-2</v>
      </c>
      <c r="AU183" s="316">
        <v>0.127385729</v>
      </c>
      <c r="AV183" s="316">
        <v>0.10482100300000001</v>
      </c>
      <c r="AW183" s="316">
        <v>0.10456910600000001</v>
      </c>
      <c r="AX183" s="316">
        <v>8.5321542E-2</v>
      </c>
      <c r="AY183" s="316">
        <v>0.12584625800000002</v>
      </c>
      <c r="AZ183" s="316">
        <v>0.16305061699999998</v>
      </c>
      <c r="BA183" s="316">
        <v>9.9921705999999999E-2</v>
      </c>
      <c r="BB183" s="316">
        <v>0.111365485</v>
      </c>
      <c r="BC183" s="316">
        <v>0.14087023300000001</v>
      </c>
      <c r="BD183" s="316">
        <v>0.161633053</v>
      </c>
      <c r="BE183" s="316">
        <v>0.18410981500000001</v>
      </c>
      <c r="BF183" s="316">
        <v>0.13649772699999999</v>
      </c>
      <c r="BG183" s="316">
        <v>0.10063868499999999</v>
      </c>
      <c r="BH183" s="316">
        <v>0.14508388</v>
      </c>
      <c r="BI183" s="316">
        <v>0.160115807</v>
      </c>
      <c r="BJ183" s="316">
        <v>0.19700281</v>
      </c>
      <c r="BK183" s="316">
        <v>0.253975536</v>
      </c>
      <c r="BL183" s="316">
        <v>0.28247142600000003</v>
      </c>
      <c r="BM183" s="316">
        <v>0.18950018099999999</v>
      </c>
      <c r="BN183" s="316">
        <v>0.25088981199999999</v>
      </c>
      <c r="BO183" s="316">
        <v>0.20995781199999999</v>
      </c>
      <c r="BP183" s="316">
        <v>0.19356710599999999</v>
      </c>
      <c r="BQ183" s="316">
        <v>0.27278050000000004</v>
      </c>
      <c r="BR183" s="316">
        <v>0.24667486799999999</v>
      </c>
      <c r="BS183" s="316">
        <v>4.5156039999999995E-3</v>
      </c>
      <c r="BT183" s="316">
        <v>4.5375350000000005E-3</v>
      </c>
      <c r="BU183" s="316">
        <v>0.23454192299999999</v>
      </c>
      <c r="BV183" s="316">
        <v>0.23690113900000001</v>
      </c>
      <c r="BW183" s="316">
        <v>0.22149212700000001</v>
      </c>
      <c r="BX183" s="316">
        <v>0.257456395</v>
      </c>
      <c r="BY183" s="316">
        <v>0.215854083</v>
      </c>
      <c r="BZ183" s="316">
        <v>0.15774595799999999</v>
      </c>
      <c r="CA183" s="316">
        <v>0.20548556900000001</v>
      </c>
      <c r="CB183" s="316">
        <v>0.17480965100000001</v>
      </c>
      <c r="CC183" s="316">
        <v>0.15763822699999999</v>
      </c>
      <c r="CD183" s="316">
        <v>0.78401451899999997</v>
      </c>
      <c r="CE183" s="317">
        <v>0.93396723100000001</v>
      </c>
      <c r="CF183" s="316">
        <v>0.93967412100000003</v>
      </c>
      <c r="CG183" s="316">
        <v>0.85714150299999992</v>
      </c>
      <c r="CH183" s="316">
        <v>0.69490649199999999</v>
      </c>
      <c r="CI183" s="316">
        <v>0.75275150599999996</v>
      </c>
      <c r="CJ183" s="316">
        <v>0.68074851699999994</v>
      </c>
      <c r="CK183" s="316">
        <v>0.98071824500000004</v>
      </c>
      <c r="CL183" s="316">
        <v>0.79255130799999995</v>
      </c>
      <c r="CM183" s="316">
        <v>0.78212579400000004</v>
      </c>
      <c r="CN183" s="316">
        <v>0.71673761000000002</v>
      </c>
      <c r="CO183" s="316">
        <v>0.74810198299999997</v>
      </c>
      <c r="CP183" s="318">
        <v>0.81123543800000009</v>
      </c>
      <c r="CQ183" s="316">
        <v>0.961991767</v>
      </c>
      <c r="CR183" s="316">
        <v>1.068401766</v>
      </c>
      <c r="CS183" s="316">
        <v>1.0868742490000001</v>
      </c>
      <c r="CT183" s="316">
        <v>0.76969936399999994</v>
      </c>
      <c r="CU183" s="316">
        <v>0.7536676670000001</v>
      </c>
      <c r="CV183" s="316">
        <v>1.6773509019999999</v>
      </c>
      <c r="CW183" s="316">
        <v>1.2860032779999999</v>
      </c>
      <c r="CX183" s="316">
        <v>1.0642378819999998</v>
      </c>
      <c r="CY183" s="316">
        <v>0.83346142599999995</v>
      </c>
      <c r="CZ183" s="316">
        <v>0.76650462699999999</v>
      </c>
      <c r="DA183" s="316">
        <v>0.87136943299999992</v>
      </c>
      <c r="DB183" s="1498">
        <v>1.1083429389999999</v>
      </c>
      <c r="DC183" s="316"/>
      <c r="DD183" s="316"/>
      <c r="DE183" s="316"/>
      <c r="DF183" s="316"/>
      <c r="DG183" s="316"/>
      <c r="DH183" s="316"/>
      <c r="DI183" s="316"/>
      <c r="DJ183" s="316"/>
      <c r="DK183" s="316"/>
      <c r="DL183" s="316"/>
      <c r="DM183" s="316"/>
      <c r="DN183" s="318"/>
      <c r="DO183" s="316">
        <v>0.99000233900000001</v>
      </c>
      <c r="DP183" s="316">
        <v>1.3284933489999999</v>
      </c>
      <c r="DQ183" s="316">
        <v>0.999893955</v>
      </c>
      <c r="DR183" s="316">
        <v>0.69139440600000002</v>
      </c>
      <c r="DS183" s="316">
        <v>0.70791196300000003</v>
      </c>
      <c r="DT183" s="316">
        <v>0.82517048699999995</v>
      </c>
      <c r="DU183" s="316">
        <v>1.1760600189999999</v>
      </c>
      <c r="DV183" s="316">
        <v>0.85222626099999998</v>
      </c>
      <c r="DW183" s="316">
        <v>0.87645412899999997</v>
      </c>
      <c r="DX183" s="316">
        <v>0.78163411699999996</v>
      </c>
      <c r="DY183" s="316">
        <v>0.76359979099999997</v>
      </c>
      <c r="DZ183" s="318">
        <v>1.077888309</v>
      </c>
      <c r="EA183" s="316">
        <v>1.1227622779999999</v>
      </c>
      <c r="EB183" s="316">
        <v>1.1914473109999999</v>
      </c>
      <c r="EC183" s="316">
        <v>1.047222962</v>
      </c>
      <c r="ED183" s="316">
        <v>0.94551090100000001</v>
      </c>
      <c r="EE183" s="316">
        <v>0.81677725700000003</v>
      </c>
      <c r="EF183" s="316">
        <v>0.99288268400000002</v>
      </c>
      <c r="EG183" s="316">
        <v>1.205786389</v>
      </c>
      <c r="EH183" s="316">
        <v>1.0553279179999999</v>
      </c>
      <c r="EI183" s="316">
        <v>0.99066701999999995</v>
      </c>
      <c r="EJ183" s="316">
        <v>0.84222309420618724</v>
      </c>
      <c r="EK183" s="316">
        <v>1.0981400907088472</v>
      </c>
      <c r="EL183" s="318">
        <v>1.0364137312509447</v>
      </c>
      <c r="EM183" s="1206">
        <v>1.2464489270000001</v>
      </c>
      <c r="EN183" s="1206">
        <v>1.381053584</v>
      </c>
      <c r="EO183" s="1206">
        <v>1.2178467100000001</v>
      </c>
      <c r="EP183" s="1206">
        <v>1.014421204</v>
      </c>
      <c r="EQ183" s="1206">
        <v>1.0113755129999999</v>
      </c>
      <c r="ER183" s="1206">
        <v>1.0701539309999999</v>
      </c>
      <c r="ES183" s="1206">
        <v>1.359910869769849</v>
      </c>
      <c r="ET183" s="1206">
        <v>1.1110377290924134</v>
      </c>
      <c r="EU183" s="1206">
        <v>0.99618403685246226</v>
      </c>
      <c r="EV183" s="1206">
        <v>1.1166644595965778</v>
      </c>
      <c r="EW183" s="1206">
        <v>1.1009756380256976</v>
      </c>
      <c r="EX183" s="1550">
        <v>1.1557209942505795</v>
      </c>
      <c r="EY183" s="1206"/>
      <c r="EZ183" s="1206"/>
      <c r="FA183" s="1206"/>
      <c r="FB183" s="1206"/>
      <c r="FC183" s="1206"/>
      <c r="FD183" s="1206"/>
      <c r="FE183" s="1206"/>
      <c r="FF183" s="1206"/>
      <c r="FG183" s="1206"/>
      <c r="FH183" s="1206"/>
      <c r="FI183" s="1206"/>
      <c r="FJ183" s="1550"/>
      <c r="FK183" s="1206"/>
      <c r="FL183" s="1206"/>
      <c r="FM183" s="1206"/>
      <c r="FN183" s="1206"/>
      <c r="FO183" s="1206"/>
      <c r="FP183" s="1206"/>
      <c r="FQ183" s="316"/>
      <c r="FR183" s="316"/>
      <c r="FS183" s="316"/>
      <c r="FT183" s="316"/>
      <c r="FU183" s="316"/>
      <c r="FV183" s="316"/>
      <c r="FW183" s="316"/>
      <c r="FX183" s="316"/>
      <c r="FY183" s="316"/>
      <c r="FZ183" s="316"/>
      <c r="GA183" s="316"/>
      <c r="GB183" s="316"/>
      <c r="GC183" s="316"/>
      <c r="GD183" s="316"/>
      <c r="GE183" s="316"/>
      <c r="GF183" s="316"/>
      <c r="GG183" s="316"/>
      <c r="GH183" s="316"/>
      <c r="GI183" s="316"/>
      <c r="GJ183" s="316"/>
      <c r="GK183" s="316"/>
      <c r="GL183" s="316"/>
      <c r="GM183" s="316"/>
      <c r="GN183" s="316"/>
      <c r="GO183" s="316"/>
      <c r="GP183" s="316"/>
      <c r="GQ183" s="316"/>
      <c r="GR183" s="316"/>
      <c r="GS183" s="316"/>
      <c r="GT183" s="316"/>
      <c r="GU183" s="316"/>
      <c r="GV183" s="316"/>
      <c r="GW183" s="316"/>
      <c r="GX183" s="316"/>
      <c r="GY183" s="316"/>
      <c r="GZ183" s="316"/>
      <c r="HA183" s="316"/>
      <c r="HB183" s="316"/>
      <c r="HC183" s="316"/>
      <c r="HD183" s="316"/>
      <c r="HE183" s="316"/>
      <c r="HF183" s="316"/>
      <c r="HG183" s="316"/>
      <c r="HH183" s="316"/>
      <c r="HI183" s="316"/>
      <c r="HJ183" s="316"/>
      <c r="HK183" s="316"/>
      <c r="HL183" s="316"/>
      <c r="HM183" s="316"/>
      <c r="HV183" s="302">
        <f t="shared" si="33"/>
        <v>0</v>
      </c>
      <c r="HW183" s="302">
        <f t="shared" si="34"/>
        <v>0</v>
      </c>
      <c r="HX183" s="346">
        <f t="shared" si="32"/>
        <v>0</v>
      </c>
      <c r="HY183" s="302">
        <f t="shared" si="35"/>
        <v>5.5428664990000005</v>
      </c>
      <c r="KH183" s="303"/>
    </row>
    <row r="184" spans="2:294" outlineLevel="1">
      <c r="B184" s="117" t="s">
        <v>361</v>
      </c>
      <c r="D184" s="319" t="s">
        <v>443</v>
      </c>
      <c r="E184" s="316">
        <v>2.3167765999999999E-2</v>
      </c>
      <c r="F184" s="316">
        <v>1.2154258000000001E-2</v>
      </c>
      <c r="G184" s="316">
        <v>7.0436400000000003E-3</v>
      </c>
      <c r="H184" s="316">
        <v>8.9009450000000004E-3</v>
      </c>
      <c r="I184" s="316">
        <v>6.9497730000000002E-3</v>
      </c>
      <c r="J184" s="316">
        <v>6.9166550000000007E-3</v>
      </c>
      <c r="K184" s="316">
        <v>2.0641539999999999E-3</v>
      </c>
      <c r="L184" s="316">
        <v>2.3850519999999999E-3</v>
      </c>
      <c r="M184" s="316">
        <v>6.904515E-3</v>
      </c>
      <c r="N184" s="316">
        <v>7.6854570000000006E-3</v>
      </c>
      <c r="O184" s="316">
        <v>1.348298E-2</v>
      </c>
      <c r="P184" s="316">
        <v>2.766789E-3</v>
      </c>
      <c r="Q184" s="316">
        <v>9.1174300000000002E-4</v>
      </c>
      <c r="R184" s="316">
        <v>8.2365239999999985E-3</v>
      </c>
      <c r="S184" s="316">
        <v>4.8311429999999995E-3</v>
      </c>
      <c r="T184" s="316">
        <v>1.5691943E-2</v>
      </c>
      <c r="U184" s="316">
        <v>6.3415820000000001E-3</v>
      </c>
      <c r="V184" s="316">
        <v>5.2445510000000001E-3</v>
      </c>
      <c r="W184" s="316">
        <v>5.072923E-3</v>
      </c>
      <c r="X184" s="316">
        <v>6.8399619999999998E-3</v>
      </c>
      <c r="Y184" s="316">
        <v>2.1431060000000001E-3</v>
      </c>
      <c r="Z184" s="316">
        <v>4.6110889999999996E-3</v>
      </c>
      <c r="AA184" s="316">
        <v>3.1936759999999999E-3</v>
      </c>
      <c r="AB184" s="316">
        <v>6.1603909999999994E-3</v>
      </c>
      <c r="AC184" s="316">
        <v>6.1277900000000001E-3</v>
      </c>
      <c r="AD184" s="316">
        <v>1.6660640000000001E-2</v>
      </c>
      <c r="AE184" s="316"/>
      <c r="AF184" s="316"/>
      <c r="AG184" s="316"/>
      <c r="AH184" s="316"/>
      <c r="AI184" s="316"/>
      <c r="AJ184" s="316"/>
      <c r="AK184" s="316"/>
      <c r="AL184" s="316"/>
      <c r="AM184" s="316"/>
      <c r="AN184" s="316"/>
      <c r="AO184" s="316">
        <v>1.0682210000000001E-3</v>
      </c>
      <c r="AP184" s="316">
        <v>6.8018820000000004E-3</v>
      </c>
      <c r="AQ184" s="316">
        <v>4.0203420000000005E-3</v>
      </c>
      <c r="AR184" s="316">
        <v>7.7553750000000001E-3</v>
      </c>
      <c r="AS184" s="316">
        <v>1.4806520000000001E-3</v>
      </c>
      <c r="AT184" s="316">
        <v>5.7369199999999995E-3</v>
      </c>
      <c r="AU184" s="316">
        <v>8.4508759999999995E-3</v>
      </c>
      <c r="AV184" s="316">
        <v>8.5343980000000003E-3</v>
      </c>
      <c r="AW184" s="316">
        <v>3.9853480000000005E-3</v>
      </c>
      <c r="AX184" s="316">
        <v>2.0057439999999998E-3</v>
      </c>
      <c r="AY184" s="316">
        <v>7.3494400000000007E-4</v>
      </c>
      <c r="AZ184" s="316">
        <v>4.6898860000000007E-3</v>
      </c>
      <c r="BA184" s="316">
        <v>1.57478E-3</v>
      </c>
      <c r="BB184" s="316">
        <v>4.2520449999999994E-3</v>
      </c>
      <c r="BC184" s="316">
        <v>3.8662010000000001E-3</v>
      </c>
      <c r="BD184" s="316">
        <v>2.0678894E-2</v>
      </c>
      <c r="BE184" s="316">
        <v>1.29287E-3</v>
      </c>
      <c r="BF184" s="316">
        <v>8.3024179999999989E-3</v>
      </c>
      <c r="BG184" s="316">
        <v>5.6921239999999998E-3</v>
      </c>
      <c r="BH184" s="316">
        <v>6.2979142000000002E-2</v>
      </c>
      <c r="BI184" s="316">
        <v>1.0371403000000001E-2</v>
      </c>
      <c r="BJ184" s="316">
        <v>1.9612905E-2</v>
      </c>
      <c r="BK184" s="316">
        <v>1.2230469999999999E-3</v>
      </c>
      <c r="BL184" s="316">
        <v>8.7083769999999998E-3</v>
      </c>
      <c r="BM184" s="316">
        <v>1.6076740000000001E-3</v>
      </c>
      <c r="BN184" s="316">
        <v>4.5713519999999999E-3</v>
      </c>
      <c r="BO184" s="316">
        <v>3.5393009999999999E-3</v>
      </c>
      <c r="BP184" s="316">
        <v>3.360919E-3</v>
      </c>
      <c r="BQ184" s="316">
        <v>1.0180512999999999E-2</v>
      </c>
      <c r="BR184" s="316">
        <v>1.8566370000000002E-3</v>
      </c>
      <c r="BS184" s="316">
        <v>4.2679000000000003E-5</v>
      </c>
      <c r="BT184" s="316">
        <v>2.8857200000000001E-4</v>
      </c>
      <c r="BU184" s="316">
        <v>3.8453089999999999E-3</v>
      </c>
      <c r="BV184" s="316">
        <v>1.7898719999999999E-3</v>
      </c>
      <c r="BW184" s="316">
        <v>3.0463059999999999E-3</v>
      </c>
      <c r="BX184" s="316">
        <v>6.4002310000000001E-3</v>
      </c>
      <c r="BY184" s="316">
        <v>8.1682899999999999E-3</v>
      </c>
      <c r="BZ184" s="316">
        <v>4.3904240000000004E-3</v>
      </c>
      <c r="CA184" s="316">
        <v>5.2778180000000001E-3</v>
      </c>
      <c r="CB184" s="316">
        <v>8.9587959999999998E-3</v>
      </c>
      <c r="CC184" s="316">
        <v>6.8299700000000003E-3</v>
      </c>
      <c r="CD184" s="316">
        <v>0.14937962699999999</v>
      </c>
      <c r="CE184" s="317">
        <v>0.19812795899999999</v>
      </c>
      <c r="CF184" s="316">
        <v>0.158155298</v>
      </c>
      <c r="CG184" s="316">
        <v>0.23266863699999998</v>
      </c>
      <c r="CH184" s="316">
        <v>0.18977692600000001</v>
      </c>
      <c r="CI184" s="316">
        <v>0.21745831000000002</v>
      </c>
      <c r="CJ184" s="316">
        <v>0.18412740899999999</v>
      </c>
      <c r="CK184" s="316">
        <v>0.18942957499999999</v>
      </c>
      <c r="CL184" s="316">
        <v>0.17583505700000002</v>
      </c>
      <c r="CM184" s="316">
        <v>0.179009697</v>
      </c>
      <c r="CN184" s="316">
        <v>0.24029215099999998</v>
      </c>
      <c r="CO184" s="316">
        <v>0.220608052</v>
      </c>
      <c r="CP184" s="318">
        <v>0.20590546399999998</v>
      </c>
      <c r="CQ184" s="316">
        <v>0.204398159</v>
      </c>
      <c r="CR184" s="316">
        <v>0.281448796</v>
      </c>
      <c r="CS184" s="316">
        <v>0.202698129</v>
      </c>
      <c r="CT184" s="316">
        <v>0.17778417699999999</v>
      </c>
      <c r="CU184" s="316">
        <v>0.27096326499999995</v>
      </c>
      <c r="CV184" s="316">
        <v>0.218226316</v>
      </c>
      <c r="CW184" s="316">
        <v>0.10946442399999999</v>
      </c>
      <c r="CX184" s="316">
        <v>0.20324956399999999</v>
      </c>
      <c r="CY184" s="316">
        <v>0.27428567099999995</v>
      </c>
      <c r="CZ184" s="316">
        <v>0.18219284899999999</v>
      </c>
      <c r="DA184" s="316">
        <v>0.23311611500000001</v>
      </c>
      <c r="DB184" s="1498">
        <v>0.324538875</v>
      </c>
      <c r="DC184" s="316"/>
      <c r="DD184" s="316"/>
      <c r="DE184" s="316"/>
      <c r="DF184" s="316"/>
      <c r="DG184" s="316"/>
      <c r="DH184" s="316"/>
      <c r="DI184" s="316"/>
      <c r="DJ184" s="316"/>
      <c r="DK184" s="316"/>
      <c r="DL184" s="316"/>
      <c r="DM184" s="316"/>
      <c r="DN184" s="318"/>
      <c r="DO184" s="316">
        <v>0.92183066599999997</v>
      </c>
      <c r="DP184" s="316">
        <v>0.36270529400000001</v>
      </c>
      <c r="DQ184" s="316">
        <v>0.32314487200000003</v>
      </c>
      <c r="DR184" s="316">
        <v>0.30968011699999998</v>
      </c>
      <c r="DS184" s="316">
        <v>0.33443416199999998</v>
      </c>
      <c r="DT184" s="316">
        <v>0.38773172099999997</v>
      </c>
      <c r="DU184" s="316">
        <v>0.29752673099999999</v>
      </c>
      <c r="DV184" s="316">
        <v>0.27459022</v>
      </c>
      <c r="DW184" s="316">
        <v>0.37660483900000002</v>
      </c>
      <c r="DX184" s="316">
        <v>0.29574283000000001</v>
      </c>
      <c r="DY184" s="316">
        <v>0.47804608999999998</v>
      </c>
      <c r="DZ184" s="318">
        <v>0.358099483</v>
      </c>
      <c r="EA184" s="316">
        <v>0.23544821399999999</v>
      </c>
      <c r="EB184" s="316">
        <v>0.22080417499999999</v>
      </c>
      <c r="EC184" s="316">
        <v>0.25710307900000001</v>
      </c>
      <c r="ED184" s="316">
        <v>0.31253333799999999</v>
      </c>
      <c r="EE184" s="316">
        <v>0.36078099499999999</v>
      </c>
      <c r="EF184" s="316">
        <v>0.309289078</v>
      </c>
      <c r="EG184" s="316">
        <v>0.35239178300000001</v>
      </c>
      <c r="EH184" s="316">
        <v>0.27790888000000002</v>
      </c>
      <c r="EI184" s="316">
        <v>0.28760143999999999</v>
      </c>
      <c r="EJ184" s="316">
        <v>0.54667575817097569</v>
      </c>
      <c r="EK184" s="316">
        <v>0.40260718181021238</v>
      </c>
      <c r="EL184" s="318">
        <v>0.44101939270547497</v>
      </c>
      <c r="EM184" s="1206">
        <v>0.19580907</v>
      </c>
      <c r="EN184" s="1206">
        <v>0.371352607</v>
      </c>
      <c r="EO184" s="1206">
        <v>0.32718924500000002</v>
      </c>
      <c r="EP184" s="1206">
        <v>0.28438403600000001</v>
      </c>
      <c r="EQ184" s="1206">
        <v>0.38811788699999999</v>
      </c>
      <c r="ER184" s="1206">
        <v>0.31168495899999998</v>
      </c>
      <c r="ES184" s="1206">
        <v>0.42636824286065139</v>
      </c>
      <c r="ET184" s="1206">
        <v>0.37715033406066018</v>
      </c>
      <c r="EU184" s="1206">
        <v>0.30450755339348901</v>
      </c>
      <c r="EV184" s="1206">
        <v>0.38106480656243896</v>
      </c>
      <c r="EW184" s="1206">
        <v>0.46482879475947408</v>
      </c>
      <c r="EX184" s="1550">
        <v>0.33106730545097462</v>
      </c>
      <c r="EY184" s="1206"/>
      <c r="EZ184" s="1206"/>
      <c r="FA184" s="1206"/>
      <c r="FB184" s="1206"/>
      <c r="FC184" s="1206"/>
      <c r="FD184" s="1206"/>
      <c r="FE184" s="1206"/>
      <c r="FF184" s="1206"/>
      <c r="FG184" s="1206"/>
      <c r="FH184" s="1206"/>
      <c r="FI184" s="1206"/>
      <c r="FJ184" s="1550"/>
      <c r="FK184" s="1206"/>
      <c r="FL184" s="1206"/>
      <c r="FM184" s="1206"/>
      <c r="FN184" s="1206"/>
      <c r="FO184" s="1206"/>
      <c r="FP184" s="1206"/>
      <c r="FQ184" s="316"/>
      <c r="FR184" s="316"/>
      <c r="FS184" s="316"/>
      <c r="FT184" s="316"/>
      <c r="FU184" s="316"/>
      <c r="FV184" s="316"/>
      <c r="FW184" s="316"/>
      <c r="FX184" s="316"/>
      <c r="FY184" s="316"/>
      <c r="FZ184" s="316"/>
      <c r="GA184" s="316"/>
      <c r="GB184" s="316"/>
      <c r="GC184" s="316"/>
      <c r="GD184" s="316"/>
      <c r="GE184" s="316"/>
      <c r="GF184" s="316"/>
      <c r="GG184" s="316"/>
      <c r="GH184" s="316"/>
      <c r="GI184" s="316"/>
      <c r="GJ184" s="316"/>
      <c r="GK184" s="316"/>
      <c r="GL184" s="316"/>
      <c r="GM184" s="316"/>
      <c r="GN184" s="316"/>
      <c r="GO184" s="316"/>
      <c r="GP184" s="316"/>
      <c r="GQ184" s="316"/>
      <c r="GR184" s="316"/>
      <c r="GS184" s="316"/>
      <c r="GT184" s="316"/>
      <c r="GU184" s="316"/>
      <c r="GV184" s="316"/>
      <c r="GW184" s="316"/>
      <c r="GX184" s="316"/>
      <c r="GY184" s="316"/>
      <c r="GZ184" s="316"/>
      <c r="HA184" s="316"/>
      <c r="HB184" s="316"/>
      <c r="HC184" s="316"/>
      <c r="HD184" s="316"/>
      <c r="HE184" s="316"/>
      <c r="HF184" s="316"/>
      <c r="HG184" s="316"/>
      <c r="HH184" s="316"/>
      <c r="HI184" s="316"/>
      <c r="HJ184" s="316"/>
      <c r="HK184" s="316"/>
      <c r="HL184" s="316"/>
      <c r="HM184" s="316"/>
      <c r="HV184" s="302">
        <f t="shared" si="33"/>
        <v>0</v>
      </c>
      <c r="HW184" s="302">
        <f t="shared" si="34"/>
        <v>0</v>
      </c>
      <c r="HX184" s="346">
        <f t="shared" si="32"/>
        <v>0</v>
      </c>
      <c r="HY184" s="302">
        <f t="shared" si="35"/>
        <v>2.6395268319999996</v>
      </c>
      <c r="KH184" s="303"/>
    </row>
    <row r="185" spans="2:294" outlineLevel="1">
      <c r="B185" s="117" t="s">
        <v>361</v>
      </c>
      <c r="D185" s="319" t="s">
        <v>444</v>
      </c>
      <c r="E185" s="316">
        <v>0.21190166500000002</v>
      </c>
      <c r="F185" s="316">
        <v>0.30456252100000003</v>
      </c>
      <c r="G185" s="316">
        <v>0.27265143799999997</v>
      </c>
      <c r="H185" s="316">
        <v>0.46724373400000002</v>
      </c>
      <c r="I185" s="316">
        <v>0.422696299</v>
      </c>
      <c r="J185" s="316">
        <v>0.39780338399999998</v>
      </c>
      <c r="K185" s="316">
        <v>0.119115595</v>
      </c>
      <c r="L185" s="316">
        <v>9.8705445000000003E-2</v>
      </c>
      <c r="M185" s="316">
        <v>0.11279849900000001</v>
      </c>
      <c r="N185" s="316">
        <v>0.112673571</v>
      </c>
      <c r="O185" s="316">
        <v>0.112297257</v>
      </c>
      <c r="P185" s="316">
        <v>0.11567704999999999</v>
      </c>
      <c r="Q185" s="316">
        <v>0.12766154099999999</v>
      </c>
      <c r="R185" s="316">
        <v>0.120168726</v>
      </c>
      <c r="S185" s="316">
        <v>0.112139404</v>
      </c>
      <c r="T185" s="316">
        <v>0.12047321499999999</v>
      </c>
      <c r="U185" s="316">
        <v>0.14187265600000001</v>
      </c>
      <c r="V185" s="316">
        <v>8.0223349999999999E-2</v>
      </c>
      <c r="W185" s="316">
        <v>0.15000117199999999</v>
      </c>
      <c r="X185" s="316">
        <v>0.158728918</v>
      </c>
      <c r="Y185" s="316">
        <v>0.172068054</v>
      </c>
      <c r="Z185" s="316">
        <v>0.19026106600000001</v>
      </c>
      <c r="AA185" s="316">
        <v>0.20373992200000002</v>
      </c>
      <c r="AB185" s="316">
        <v>0.20289443299999999</v>
      </c>
      <c r="AC185" s="316">
        <v>0.199734091</v>
      </c>
      <c r="AD185" s="316">
        <v>0.17555932300000002</v>
      </c>
      <c r="AE185" s="316"/>
      <c r="AF185" s="316"/>
      <c r="AG185" s="316"/>
      <c r="AH185" s="316"/>
      <c r="AI185" s="316"/>
      <c r="AJ185" s="316"/>
      <c r="AK185" s="316"/>
      <c r="AL185" s="316"/>
      <c r="AM185" s="316"/>
      <c r="AN185" s="316"/>
      <c r="AO185" s="316">
        <v>0.30807902200000004</v>
      </c>
      <c r="AP185" s="316">
        <v>0.340517921</v>
      </c>
      <c r="AQ185" s="316">
        <v>0.30068979800000001</v>
      </c>
      <c r="AR185" s="316">
        <v>0.317807375</v>
      </c>
      <c r="AS185" s="316">
        <v>0.24787485500000001</v>
      </c>
      <c r="AT185" s="316">
        <v>0.33972572600000001</v>
      </c>
      <c r="AU185" s="316">
        <v>0.29475235900000002</v>
      </c>
      <c r="AV185" s="316">
        <v>0.40209588400000001</v>
      </c>
      <c r="AW185" s="316">
        <v>0.32962929499999999</v>
      </c>
      <c r="AX185" s="316">
        <v>0.31223378699999998</v>
      </c>
      <c r="AY185" s="316">
        <v>0.34600877299999999</v>
      </c>
      <c r="AZ185" s="316">
        <v>0.27566333800000004</v>
      </c>
      <c r="BA185" s="316">
        <v>0.45370987800000001</v>
      </c>
      <c r="BB185" s="316">
        <v>0.40110998000000003</v>
      </c>
      <c r="BC185" s="316">
        <v>0.37610549500000001</v>
      </c>
      <c r="BD185" s="316">
        <v>0.40366322100000002</v>
      </c>
      <c r="BE185" s="316">
        <v>0.43085668299999996</v>
      </c>
      <c r="BF185" s="316">
        <v>0.46467829100000002</v>
      </c>
      <c r="BG185" s="316">
        <v>0.468479643</v>
      </c>
      <c r="BH185" s="316">
        <v>0.55959425899999993</v>
      </c>
      <c r="BI185" s="316">
        <v>0.66312646400000008</v>
      </c>
      <c r="BJ185" s="316">
        <v>0.66906872299999998</v>
      </c>
      <c r="BK185" s="316">
        <v>0.73050270799999995</v>
      </c>
      <c r="BL185" s="316">
        <v>0.69592034699999994</v>
      </c>
      <c r="BM185" s="316">
        <v>0.59226944000000004</v>
      </c>
      <c r="BN185" s="316">
        <v>0.60091033700000007</v>
      </c>
      <c r="BO185" s="316">
        <v>0.54480296799999994</v>
      </c>
      <c r="BP185" s="316">
        <v>0.59237072899999998</v>
      </c>
      <c r="BQ185" s="316">
        <v>0.55539984600000003</v>
      </c>
      <c r="BR185" s="316">
        <v>0.68318268699999996</v>
      </c>
      <c r="BS185" s="316">
        <v>0.66684252799999999</v>
      </c>
      <c r="BT185" s="316">
        <v>0.68204874800000004</v>
      </c>
      <c r="BU185" s="316">
        <v>0.68810247200000008</v>
      </c>
      <c r="BV185" s="316">
        <v>0.60472470499999997</v>
      </c>
      <c r="BW185" s="316">
        <v>0.63917405499999991</v>
      </c>
      <c r="BX185" s="316">
        <v>0.69244098799999998</v>
      </c>
      <c r="BY185" s="316">
        <v>0.69886333700000003</v>
      </c>
      <c r="BZ185" s="316">
        <v>0.69149052500000008</v>
      </c>
      <c r="CA185" s="316">
        <v>0.58085474699999995</v>
      </c>
      <c r="CB185" s="316">
        <v>0.64043700299999995</v>
      </c>
      <c r="CC185" s="316">
        <v>0.58485533999999995</v>
      </c>
      <c r="CD185" s="316">
        <v>1.8228489999999999E-3</v>
      </c>
      <c r="CE185" s="317">
        <v>2.9381099999999999E-3</v>
      </c>
      <c r="CF185" s="316">
        <v>9.8279630000000003E-3</v>
      </c>
      <c r="CG185" s="316">
        <v>2.4104169999999998E-3</v>
      </c>
      <c r="CH185" s="316">
        <v>4.5220920000000001E-3</v>
      </c>
      <c r="CI185" s="316">
        <v>8.7212499999999998E-3</v>
      </c>
      <c r="CJ185" s="316">
        <v>3.3576450000000002E-3</v>
      </c>
      <c r="CK185" s="316">
        <v>9.487609000000001E-3</v>
      </c>
      <c r="CL185" s="316">
        <v>6.2078309999999996E-3</v>
      </c>
      <c r="CM185" s="316">
        <v>8.7173240000000003E-3</v>
      </c>
      <c r="CN185" s="316">
        <v>4.8342369999999999E-3</v>
      </c>
      <c r="CO185" s="316">
        <v>8.9724800000000001E-4</v>
      </c>
      <c r="CP185" s="318">
        <v>2.7214919999999998E-3</v>
      </c>
      <c r="CQ185" s="316">
        <v>6.73641E-4</v>
      </c>
      <c r="CR185" s="316">
        <v>5.0584080000000003E-3</v>
      </c>
      <c r="CS185" s="316">
        <v>3.1187685E-2</v>
      </c>
      <c r="CT185" s="316">
        <v>1.6868915000000002E-2</v>
      </c>
      <c r="CU185" s="316">
        <v>1.5523696E-2</v>
      </c>
      <c r="CV185" s="316">
        <v>1.1047450000000001E-3</v>
      </c>
      <c r="CW185" s="316">
        <v>9.9931259999999997E-3</v>
      </c>
      <c r="CX185" s="316">
        <v>1.1170197E-2</v>
      </c>
      <c r="CY185" s="316">
        <v>4.5387890000000005E-3</v>
      </c>
      <c r="CZ185" s="316">
        <v>9.2408309999999997E-3</v>
      </c>
      <c r="DA185" s="316">
        <v>9.4020509999999998E-3</v>
      </c>
      <c r="DB185" s="1498">
        <v>1.2915649999999999E-2</v>
      </c>
      <c r="DC185" s="316"/>
      <c r="DD185" s="316"/>
      <c r="DE185" s="316"/>
      <c r="DF185" s="316"/>
      <c r="DG185" s="316"/>
      <c r="DH185" s="316"/>
      <c r="DI185" s="316"/>
      <c r="DJ185" s="316"/>
      <c r="DK185" s="316"/>
      <c r="DL185" s="316"/>
      <c r="DM185" s="316"/>
      <c r="DN185" s="318"/>
      <c r="DO185" s="316">
        <v>0</v>
      </c>
      <c r="DP185" s="316">
        <v>0</v>
      </c>
      <c r="DQ185" s="316">
        <v>0</v>
      </c>
      <c r="DR185" s="316">
        <v>0</v>
      </c>
      <c r="DS185" s="316">
        <v>0</v>
      </c>
      <c r="DT185" s="316">
        <v>0</v>
      </c>
      <c r="DU185" s="316">
        <v>0</v>
      </c>
      <c r="DV185" s="316">
        <v>0</v>
      </c>
      <c r="DW185" s="316">
        <v>0</v>
      </c>
      <c r="DX185" s="316">
        <v>0</v>
      </c>
      <c r="DY185" s="316">
        <v>0</v>
      </c>
      <c r="DZ185" s="318">
        <v>0</v>
      </c>
      <c r="EA185" s="316">
        <v>2.9031771617548454E-4</v>
      </c>
      <c r="EB185" s="316">
        <v>2.9031771617548454E-4</v>
      </c>
      <c r="EC185" s="316">
        <v>2.9031771617548454E-4</v>
      </c>
      <c r="ED185" s="316">
        <v>2.9031771617548454E-4</v>
      </c>
      <c r="EE185" s="316">
        <v>2.9031771617548454E-4</v>
      </c>
      <c r="EF185" s="316">
        <v>2.9031771617548454E-4</v>
      </c>
      <c r="EG185" s="316">
        <v>2.9031771617548454E-4</v>
      </c>
      <c r="EH185" s="316">
        <v>2.9031771617548454E-4</v>
      </c>
      <c r="EI185" s="316">
        <v>2.9031771617548454E-4</v>
      </c>
      <c r="EJ185" s="316">
        <v>2.9031771617548454E-4</v>
      </c>
      <c r="EK185" s="316">
        <v>2.9031771617548454E-4</v>
      </c>
      <c r="EL185" s="318">
        <v>2.9031771617548454E-4</v>
      </c>
      <c r="EM185" s="1206">
        <v>2.9031771617548454E-4</v>
      </c>
      <c r="EN185" s="1206">
        <v>2.9031771617548454E-4</v>
      </c>
      <c r="EO185" s="1206">
        <v>2.9031771617548454E-4</v>
      </c>
      <c r="EP185" s="1206">
        <v>2.9031771617548454E-4</v>
      </c>
      <c r="EQ185" s="1206">
        <v>2.9031771617548454E-4</v>
      </c>
      <c r="ER185" s="1206">
        <v>2.9031771617548454E-4</v>
      </c>
      <c r="ES185" s="1206"/>
      <c r="ET185" s="1206"/>
      <c r="EU185" s="1206"/>
      <c r="EV185" s="1206"/>
      <c r="EW185" s="1206"/>
      <c r="EX185" s="1550"/>
      <c r="EY185" s="1206"/>
      <c r="EZ185" s="1206"/>
      <c r="FA185" s="1206"/>
      <c r="FB185" s="1206"/>
      <c r="FC185" s="1206"/>
      <c r="FD185" s="1206"/>
      <c r="FE185" s="1206"/>
      <c r="FF185" s="1206"/>
      <c r="FG185" s="1206"/>
      <c r="FH185" s="1206"/>
      <c r="FI185" s="1206"/>
      <c r="FJ185" s="1550"/>
      <c r="FK185" s="1206"/>
      <c r="FL185" s="1206"/>
      <c r="FM185" s="1206"/>
      <c r="FN185" s="1206"/>
      <c r="FO185" s="1206"/>
      <c r="FP185" s="1206"/>
      <c r="FQ185" s="316"/>
      <c r="FR185" s="316"/>
      <c r="FS185" s="316"/>
      <c r="FT185" s="316"/>
      <c r="FU185" s="316"/>
      <c r="FV185" s="316"/>
      <c r="FW185" s="316"/>
      <c r="FX185" s="316"/>
      <c r="FY185" s="316"/>
      <c r="FZ185" s="316"/>
      <c r="GA185" s="316"/>
      <c r="GB185" s="316"/>
      <c r="GC185" s="316"/>
      <c r="GD185" s="316"/>
      <c r="GE185" s="316"/>
      <c r="GF185" s="316"/>
      <c r="GG185" s="316"/>
      <c r="GH185" s="316"/>
      <c r="GI185" s="316"/>
      <c r="GJ185" s="316"/>
      <c r="GK185" s="316"/>
      <c r="GL185" s="316"/>
      <c r="GM185" s="316"/>
      <c r="GN185" s="316"/>
      <c r="GO185" s="316"/>
      <c r="GP185" s="316"/>
      <c r="GQ185" s="316"/>
      <c r="GR185" s="316"/>
      <c r="GS185" s="316"/>
      <c r="GT185" s="316"/>
      <c r="GU185" s="316"/>
      <c r="GV185" s="316"/>
      <c r="GW185" s="316"/>
      <c r="GX185" s="316"/>
      <c r="GY185" s="316"/>
      <c r="GZ185" s="316"/>
      <c r="HA185" s="316"/>
      <c r="HB185" s="316"/>
      <c r="HC185" s="316"/>
      <c r="HD185" s="316"/>
      <c r="HE185" s="316"/>
      <c r="HF185" s="316"/>
      <c r="HG185" s="316"/>
      <c r="HH185" s="316"/>
      <c r="HI185" s="316"/>
      <c r="HJ185" s="316"/>
      <c r="HK185" s="316"/>
      <c r="HL185" s="316"/>
      <c r="HM185" s="316"/>
      <c r="HV185" s="302">
        <f t="shared" si="33"/>
        <v>0</v>
      </c>
      <c r="HW185" s="302">
        <f t="shared" si="34"/>
        <v>0</v>
      </c>
      <c r="HX185" s="346">
        <f t="shared" si="32"/>
        <v>0</v>
      </c>
      <c r="HY185" s="302">
        <f t="shared" si="35"/>
        <v>0</v>
      </c>
      <c r="KH185" s="303"/>
    </row>
    <row r="186" spans="2:294" outlineLevel="1">
      <c r="B186" s="117" t="s">
        <v>361</v>
      </c>
      <c r="D186" s="319" t="s">
        <v>1088</v>
      </c>
      <c r="E186" s="316">
        <v>6.1744155075</v>
      </c>
      <c r="F186" s="316">
        <v>5.3889730209000009</v>
      </c>
      <c r="G186" s="316">
        <v>7.0803729044999999</v>
      </c>
      <c r="H186" s="316">
        <v>6.6270199617000012</v>
      </c>
      <c r="I186" s="316">
        <v>6.7954945221000012</v>
      </c>
      <c r="J186" s="316">
        <v>7.1764330166999999</v>
      </c>
      <c r="K186" s="316">
        <v>6.7950315819</v>
      </c>
      <c r="L186" s="316">
        <v>7.1654195376000009</v>
      </c>
      <c r="M186" s="316">
        <v>7.1051526773999996</v>
      </c>
      <c r="N186" s="316">
        <v>7.3255790024999996</v>
      </c>
      <c r="O186" s="316">
        <v>8.8592640210000013</v>
      </c>
      <c r="P186" s="316">
        <v>8.6010976521000018</v>
      </c>
      <c r="Q186" s="316">
        <v>8.2244696060000013</v>
      </c>
      <c r="R186" s="316">
        <v>8.2504522340000008</v>
      </c>
      <c r="S186" s="316">
        <v>8.6966353170000001</v>
      </c>
      <c r="T186" s="316">
        <v>7.7579551629999992</v>
      </c>
      <c r="U186" s="316">
        <v>9.4472078899999996</v>
      </c>
      <c r="V186" s="316">
        <v>9.3742413809999992</v>
      </c>
      <c r="W186" s="316">
        <v>9.9725900930000009</v>
      </c>
      <c r="X186" s="316">
        <v>9.7589354779999997</v>
      </c>
      <c r="Y186" s="316">
        <v>11.365568758</v>
      </c>
      <c r="Z186" s="316">
        <v>11.241149647</v>
      </c>
      <c r="AA186" s="316">
        <v>10.828866846999999</v>
      </c>
      <c r="AB186" s="316">
        <v>11.943142040000001</v>
      </c>
      <c r="AC186" s="316">
        <v>11.202867822600002</v>
      </c>
      <c r="AD186" s="316">
        <v>11.698870918500001</v>
      </c>
      <c r="AE186" s="316"/>
      <c r="AF186" s="316"/>
      <c r="AG186" s="316"/>
      <c r="AH186" s="316"/>
      <c r="AI186" s="316"/>
      <c r="AJ186" s="316"/>
      <c r="AK186" s="316"/>
      <c r="AL186" s="316"/>
      <c r="AM186" s="316"/>
      <c r="AN186" s="316"/>
      <c r="AO186" s="316">
        <v>10.864006069499998</v>
      </c>
      <c r="AP186" s="316">
        <v>9.692610215400002</v>
      </c>
      <c r="AQ186" s="316">
        <v>11.4414040179</v>
      </c>
      <c r="AR186" s="316">
        <v>10.853389414800001</v>
      </c>
      <c r="AS186" s="316">
        <v>10.708658587799999</v>
      </c>
      <c r="AT186" s="316">
        <v>11.302633232100002</v>
      </c>
      <c r="AU186" s="316">
        <v>10.0832535513</v>
      </c>
      <c r="AV186" s="316">
        <v>10.1672121204</v>
      </c>
      <c r="AW186" s="316">
        <v>11.005070824800001</v>
      </c>
      <c r="AX186" s="316">
        <v>10.884717901799998</v>
      </c>
      <c r="AY186" s="316">
        <v>11.490395847299999</v>
      </c>
      <c r="AZ186" s="316">
        <v>13.1720329485</v>
      </c>
      <c r="BA186" s="316">
        <v>12.737528903699999</v>
      </c>
      <c r="BB186" s="316">
        <v>11.257663214700001</v>
      </c>
      <c r="BC186" s="316">
        <v>11.1460344921</v>
      </c>
      <c r="BD186" s="316">
        <v>12.6425453796</v>
      </c>
      <c r="BE186" s="316">
        <v>13.052437770600001</v>
      </c>
      <c r="BF186" s="316">
        <v>12.8009756898</v>
      </c>
      <c r="BG186" s="316">
        <v>12.4207568658</v>
      </c>
      <c r="BH186" s="316">
        <v>13.717127858400001</v>
      </c>
      <c r="BI186" s="316">
        <v>14.793326482500001</v>
      </c>
      <c r="BJ186" s="316">
        <v>12.797021796300001</v>
      </c>
      <c r="BK186" s="316">
        <v>13.656517943400003</v>
      </c>
      <c r="BL186" s="316">
        <v>15.0596805402</v>
      </c>
      <c r="BM186" s="316">
        <v>13.786489595700001</v>
      </c>
      <c r="BN186" s="316">
        <v>15.1246936098</v>
      </c>
      <c r="BO186" s="316">
        <v>15.5450249217</v>
      </c>
      <c r="BP186" s="316">
        <v>13.3706250216</v>
      </c>
      <c r="BQ186" s="316">
        <v>14.7513115674</v>
      </c>
      <c r="BR186" s="316">
        <v>16.965416653200002</v>
      </c>
      <c r="BS186" s="316">
        <v>16.103856380400003</v>
      </c>
      <c r="BT186" s="316">
        <v>16.016018902200003</v>
      </c>
      <c r="BU186" s="316">
        <v>17.618087405699999</v>
      </c>
      <c r="BV186" s="316">
        <v>15.9029216811</v>
      </c>
      <c r="BW186" s="316">
        <v>15.373609681500001</v>
      </c>
      <c r="BX186" s="316">
        <v>15.457416717600003</v>
      </c>
      <c r="BY186" s="316">
        <v>17.704630363500002</v>
      </c>
      <c r="BZ186" s="316">
        <v>14.869608117299999</v>
      </c>
      <c r="CA186" s="316">
        <v>16.7499340884</v>
      </c>
      <c r="CB186" s="316">
        <v>15.487502299200001</v>
      </c>
      <c r="CC186" s="316">
        <v>17.170673921099997</v>
      </c>
      <c r="CD186" s="316">
        <v>0.66667215999999996</v>
      </c>
      <c r="CE186" s="317">
        <v>0.66498333200000004</v>
      </c>
      <c r="CF186" s="316">
        <v>0.69779532099999997</v>
      </c>
      <c r="CG186" s="316">
        <v>0.54132426300000003</v>
      </c>
      <c r="CH186" s="316">
        <v>0.60287751600000006</v>
      </c>
      <c r="CI186" s="316">
        <v>0.72828548100000001</v>
      </c>
      <c r="CJ186" s="316">
        <v>0.68065796099999998</v>
      </c>
      <c r="CK186" s="316">
        <v>0.86416317000000009</v>
      </c>
      <c r="CL186" s="316">
        <v>0.559585059</v>
      </c>
      <c r="CM186" s="316">
        <v>0.74329169299999998</v>
      </c>
      <c r="CN186" s="316">
        <v>0.678387768</v>
      </c>
      <c r="CO186" s="316">
        <v>0.67562325999999995</v>
      </c>
      <c r="CP186" s="318">
        <v>0.70231970899999996</v>
      </c>
      <c r="CQ186" s="316">
        <v>0.87439970600000005</v>
      </c>
      <c r="CR186" s="316">
        <v>1.0000228769999999</v>
      </c>
      <c r="CS186" s="316">
        <v>0.724415174</v>
      </c>
      <c r="CT186" s="316">
        <v>0.76825304999999999</v>
      </c>
      <c r="CU186" s="316">
        <v>0.81534457100000002</v>
      </c>
      <c r="CV186" s="316">
        <v>0.93593386999999995</v>
      </c>
      <c r="CW186" s="316">
        <v>0.96658990900000008</v>
      </c>
      <c r="CX186" s="316">
        <v>0.94592811200000004</v>
      </c>
      <c r="CY186" s="316">
        <v>0.82226193000000003</v>
      </c>
      <c r="CZ186" s="316">
        <v>1.0458314450000001</v>
      </c>
      <c r="DA186" s="316">
        <v>0.67513224400000005</v>
      </c>
      <c r="DB186" s="1498">
        <v>0.813956342</v>
      </c>
      <c r="DC186" s="316"/>
      <c r="DD186" s="316"/>
      <c r="DE186" s="316"/>
      <c r="DF186" s="316"/>
      <c r="DG186" s="316"/>
      <c r="DH186" s="316"/>
      <c r="DI186" s="316"/>
      <c r="DJ186" s="316"/>
      <c r="DK186" s="316"/>
      <c r="DL186" s="316"/>
      <c r="DM186" s="316"/>
      <c r="DN186" s="318"/>
      <c r="DO186" s="316">
        <v>0.87130438600000004</v>
      </c>
      <c r="DP186" s="316">
        <v>0.94536127000000003</v>
      </c>
      <c r="DQ186" s="316">
        <v>0.82964167200000005</v>
      </c>
      <c r="DR186" s="316">
        <v>0.89850720799999995</v>
      </c>
      <c r="DS186" s="316">
        <v>0.863054027</v>
      </c>
      <c r="DT186" s="316">
        <v>0.87548200099999995</v>
      </c>
      <c r="DU186" s="316">
        <v>0.95554425899999995</v>
      </c>
      <c r="DV186" s="316">
        <v>0.90211125000000003</v>
      </c>
      <c r="DW186" s="316">
        <v>0.79045706900000001</v>
      </c>
      <c r="DX186" s="316">
        <v>0.88952234200000002</v>
      </c>
      <c r="DY186" s="316">
        <v>0.89026216300000005</v>
      </c>
      <c r="DZ186" s="318">
        <v>0.94429096400000001</v>
      </c>
      <c r="EA186" s="316">
        <v>0.89472936199999997</v>
      </c>
      <c r="EB186" s="316">
        <v>0.97328871500000003</v>
      </c>
      <c r="EC186" s="316">
        <v>0.92068365200000002</v>
      </c>
      <c r="ED186" s="316">
        <v>0.87354013799999997</v>
      </c>
      <c r="EE186" s="316">
        <v>0.84762976599999995</v>
      </c>
      <c r="EF186" s="316">
        <v>0.86663206299999995</v>
      </c>
      <c r="EG186" s="316">
        <v>0.92385190699999997</v>
      </c>
      <c r="EH186" s="316">
        <v>0.93923122299999995</v>
      </c>
      <c r="EI186" s="316">
        <v>0.82200727200000001</v>
      </c>
      <c r="EJ186" s="316">
        <v>0.98884953499999995</v>
      </c>
      <c r="EK186" s="316">
        <v>0.84871136899999999</v>
      </c>
      <c r="EL186" s="318">
        <v>0.95409369300000002</v>
      </c>
      <c r="EM186" s="1206">
        <v>0.97385526</v>
      </c>
      <c r="EN186" s="1206">
        <v>1.013490343</v>
      </c>
      <c r="EO186" s="1206">
        <v>1.0444072010000001</v>
      </c>
      <c r="EP186" s="1206">
        <v>0.99342025300000003</v>
      </c>
      <c r="EQ186" s="1206">
        <v>0.97498501100000001</v>
      </c>
      <c r="ER186" s="1206">
        <v>0.96529683799999999</v>
      </c>
      <c r="ES186" s="1206">
        <v>1.0152177069253046</v>
      </c>
      <c r="ET186" s="1206">
        <v>1.127020686217133</v>
      </c>
      <c r="EU186" s="1206">
        <v>0.89477879199999988</v>
      </c>
      <c r="EV186" s="1206">
        <v>1.003494817</v>
      </c>
      <c r="EW186" s="1206">
        <v>1.0645982000000001</v>
      </c>
      <c r="EX186" s="1550">
        <v>1.0962078200000001</v>
      </c>
      <c r="EY186" s="1206"/>
      <c r="EZ186" s="1206"/>
      <c r="FA186" s="1206"/>
      <c r="FB186" s="1206"/>
      <c r="FC186" s="1206"/>
      <c r="FD186" s="1206"/>
      <c r="FE186" s="1206"/>
      <c r="FF186" s="1206"/>
      <c r="FG186" s="1206"/>
      <c r="FH186" s="1206"/>
      <c r="FI186" s="1206"/>
      <c r="FJ186" s="1550"/>
      <c r="FK186" s="1206"/>
      <c r="FL186" s="1206"/>
      <c r="FM186" s="1206"/>
      <c r="FN186" s="1206"/>
      <c r="FO186" s="1206"/>
      <c r="FP186" s="1206"/>
      <c r="FQ186" s="316"/>
      <c r="FR186" s="316"/>
      <c r="FS186" s="316"/>
      <c r="FT186" s="316"/>
      <c r="FU186" s="316"/>
      <c r="FV186" s="316"/>
      <c r="FW186" s="316"/>
      <c r="FX186" s="316"/>
      <c r="FY186" s="316"/>
      <c r="FZ186" s="316"/>
      <c r="GA186" s="316"/>
      <c r="GB186" s="316"/>
      <c r="GC186" s="316"/>
      <c r="GD186" s="316"/>
      <c r="GE186" s="316"/>
      <c r="GF186" s="316"/>
      <c r="GG186" s="316"/>
      <c r="GH186" s="316"/>
      <c r="GI186" s="316"/>
      <c r="GJ186" s="316"/>
      <c r="GK186" s="316"/>
      <c r="GL186" s="316"/>
      <c r="GM186" s="316"/>
      <c r="GN186" s="316"/>
      <c r="GO186" s="316"/>
      <c r="GP186" s="316"/>
      <c r="GQ186" s="316"/>
      <c r="GR186" s="316"/>
      <c r="GS186" s="316"/>
      <c r="GT186" s="316"/>
      <c r="GU186" s="316"/>
      <c r="GV186" s="316"/>
      <c r="GW186" s="316"/>
      <c r="GX186" s="316"/>
      <c r="GY186" s="316"/>
      <c r="GZ186" s="316"/>
      <c r="HA186" s="316"/>
      <c r="HB186" s="316"/>
      <c r="HC186" s="316"/>
      <c r="HD186" s="316"/>
      <c r="HE186" s="316"/>
      <c r="HF186" s="316"/>
      <c r="HG186" s="316"/>
      <c r="HH186" s="316"/>
      <c r="HI186" s="316"/>
      <c r="HJ186" s="316"/>
      <c r="HK186" s="316"/>
      <c r="HL186" s="316"/>
      <c r="HM186" s="316"/>
      <c r="HV186" s="302">
        <f t="shared" si="33"/>
        <v>0</v>
      </c>
      <c r="HW186" s="302">
        <f t="shared" si="34"/>
        <v>0</v>
      </c>
      <c r="HX186" s="346">
        <f t="shared" si="32"/>
        <v>0</v>
      </c>
      <c r="HY186" s="302">
        <f t="shared" si="35"/>
        <v>5.283350564</v>
      </c>
      <c r="KH186" s="303"/>
    </row>
    <row r="187" spans="2:294" outlineLevel="1">
      <c r="D187" s="319" t="s">
        <v>1089</v>
      </c>
      <c r="E187" s="316"/>
      <c r="F187" s="316"/>
      <c r="G187" s="316"/>
      <c r="H187" s="316"/>
      <c r="I187" s="316"/>
      <c r="J187" s="316"/>
      <c r="K187" s="316"/>
      <c r="L187" s="316"/>
      <c r="M187" s="316"/>
      <c r="N187" s="316"/>
      <c r="O187" s="316"/>
      <c r="P187" s="316"/>
      <c r="Q187" s="316"/>
      <c r="R187" s="316"/>
      <c r="S187" s="316"/>
      <c r="T187" s="316"/>
      <c r="U187" s="316"/>
      <c r="V187" s="316"/>
      <c r="W187" s="316"/>
      <c r="X187" s="316"/>
      <c r="Y187" s="316"/>
      <c r="Z187" s="316"/>
      <c r="AA187" s="316"/>
      <c r="AB187" s="316"/>
      <c r="AC187" s="316"/>
      <c r="AD187" s="316"/>
      <c r="AE187" s="316"/>
      <c r="AF187" s="316"/>
      <c r="AG187" s="316"/>
      <c r="AH187" s="316"/>
      <c r="AI187" s="316"/>
      <c r="AJ187" s="316"/>
      <c r="AK187" s="316"/>
      <c r="AL187" s="316"/>
      <c r="AM187" s="316"/>
      <c r="AN187" s="316"/>
      <c r="AO187" s="316"/>
      <c r="AP187" s="316"/>
      <c r="AQ187" s="316"/>
      <c r="AR187" s="316"/>
      <c r="AS187" s="316"/>
      <c r="AT187" s="316"/>
      <c r="AU187" s="316"/>
      <c r="AV187" s="316"/>
      <c r="AW187" s="316"/>
      <c r="AX187" s="316"/>
      <c r="AY187" s="316"/>
      <c r="AZ187" s="316"/>
      <c r="BA187" s="316"/>
      <c r="BB187" s="316"/>
      <c r="BC187" s="316"/>
      <c r="BD187" s="316"/>
      <c r="BE187" s="316"/>
      <c r="BF187" s="316"/>
      <c r="BG187" s="316"/>
      <c r="BH187" s="316"/>
      <c r="BI187" s="316"/>
      <c r="BJ187" s="316"/>
      <c r="BK187" s="316"/>
      <c r="BL187" s="316"/>
      <c r="BM187" s="316"/>
      <c r="BN187" s="316"/>
      <c r="BO187" s="316"/>
      <c r="BP187" s="316"/>
      <c r="BQ187" s="316"/>
      <c r="BR187" s="316"/>
      <c r="BS187" s="316"/>
      <c r="BT187" s="316"/>
      <c r="BU187" s="316"/>
      <c r="BV187" s="316"/>
      <c r="BW187" s="316"/>
      <c r="BX187" s="316"/>
      <c r="BY187" s="316"/>
      <c r="BZ187" s="316"/>
      <c r="CA187" s="316"/>
      <c r="CB187" s="316"/>
      <c r="CC187" s="316"/>
      <c r="CD187" s="316"/>
      <c r="CE187" s="317"/>
      <c r="CF187" s="316"/>
      <c r="CG187" s="316"/>
      <c r="CH187" s="316"/>
      <c r="CI187" s="316"/>
      <c r="CJ187" s="316"/>
      <c r="CK187" s="316"/>
      <c r="CL187" s="316"/>
      <c r="CM187" s="316"/>
      <c r="CN187" s="316"/>
      <c r="CO187" s="316"/>
      <c r="CP187" s="318"/>
      <c r="CQ187" s="316"/>
      <c r="CR187" s="316"/>
      <c r="CS187" s="316"/>
      <c r="CT187" s="316"/>
      <c r="CU187" s="316"/>
      <c r="CV187" s="316"/>
      <c r="CW187" s="316"/>
      <c r="CX187" s="316"/>
      <c r="CY187" s="316"/>
      <c r="CZ187" s="316"/>
      <c r="DA187" s="316"/>
      <c r="DB187" s="1498"/>
      <c r="DC187" s="316"/>
      <c r="DD187" s="316"/>
      <c r="DE187" s="316"/>
      <c r="DF187" s="316"/>
      <c r="DG187" s="316"/>
      <c r="DH187" s="316"/>
      <c r="DI187" s="316"/>
      <c r="DJ187" s="316"/>
      <c r="DK187" s="316"/>
      <c r="DL187" s="316"/>
      <c r="DM187" s="316"/>
      <c r="DN187" s="318"/>
      <c r="DO187" s="316">
        <v>0.259652147</v>
      </c>
      <c r="DP187" s="316">
        <v>0.26273953</v>
      </c>
      <c r="DQ187" s="316">
        <v>0.22729111499999999</v>
      </c>
      <c r="DR187" s="316">
        <v>0.24257200500000001</v>
      </c>
      <c r="DS187" s="316">
        <v>0.27024034299999999</v>
      </c>
      <c r="DT187" s="316">
        <v>0.243500093</v>
      </c>
      <c r="DU187" s="316">
        <v>0.29074821200000001</v>
      </c>
      <c r="DV187" s="316">
        <v>0.28248054900000003</v>
      </c>
      <c r="DW187" s="316">
        <v>0.35017320899999999</v>
      </c>
      <c r="DX187" s="316">
        <v>0.30971138300000001</v>
      </c>
      <c r="DY187" s="316">
        <v>0.219034017</v>
      </c>
      <c r="DZ187" s="318">
        <v>0.39053502000000001</v>
      </c>
      <c r="EA187" s="316">
        <v>0.272646102</v>
      </c>
      <c r="EB187" s="316">
        <v>0.35955708600000003</v>
      </c>
      <c r="EC187" s="316">
        <v>0.37681294500000001</v>
      </c>
      <c r="ED187" s="316">
        <v>0.409931088</v>
      </c>
      <c r="EE187" s="316">
        <v>0.52681662699999998</v>
      </c>
      <c r="EF187" s="316">
        <v>0.41791365699999999</v>
      </c>
      <c r="EG187" s="316">
        <v>0.492870423</v>
      </c>
      <c r="EH187" s="316">
        <v>0.38495477700000003</v>
      </c>
      <c r="EI187" s="316">
        <v>0.429567319</v>
      </c>
      <c r="EJ187" s="316">
        <v>0.34221561900000003</v>
      </c>
      <c r="EK187" s="316">
        <v>0.458043594</v>
      </c>
      <c r="EL187" s="318">
        <v>0.426032297</v>
      </c>
      <c r="EM187" s="1206">
        <v>0.446381417</v>
      </c>
      <c r="EN187" s="1206">
        <v>0.37882296199999999</v>
      </c>
      <c r="EO187" s="1206">
        <v>0.43899298399999997</v>
      </c>
      <c r="EP187" s="1206">
        <v>0.41913514200000002</v>
      </c>
      <c r="EQ187" s="1206">
        <v>0.37956826100000002</v>
      </c>
      <c r="ER187" s="1206">
        <v>0.46952987499999999</v>
      </c>
      <c r="ES187" s="1206">
        <v>0.37303118600000001</v>
      </c>
      <c r="ET187" s="1206">
        <v>0.39464575600000001</v>
      </c>
      <c r="EU187" s="1206">
        <v>0.38522885299999998</v>
      </c>
      <c r="EV187" s="1206">
        <v>0.31141468500000002</v>
      </c>
      <c r="EW187" s="1206">
        <v>0.36140069600000002</v>
      </c>
      <c r="EX187" s="1550">
        <v>0.37888442500000002</v>
      </c>
      <c r="EY187" s="1206"/>
      <c r="EZ187" s="1206"/>
      <c r="FA187" s="1206"/>
      <c r="FB187" s="1206"/>
      <c r="FC187" s="1206"/>
      <c r="FD187" s="1206"/>
      <c r="FE187" s="1206"/>
      <c r="FF187" s="1206"/>
      <c r="FG187" s="1206"/>
      <c r="FH187" s="1206"/>
      <c r="FI187" s="1206"/>
      <c r="FJ187" s="1550"/>
      <c r="FK187" s="1206"/>
      <c r="FL187" s="1206"/>
      <c r="FM187" s="1206"/>
      <c r="FN187" s="1206"/>
      <c r="FO187" s="1206"/>
      <c r="FP187" s="1206"/>
      <c r="FQ187" s="316"/>
      <c r="FR187" s="316"/>
      <c r="FS187" s="316"/>
      <c r="FT187" s="316"/>
      <c r="FU187" s="316"/>
      <c r="FV187" s="316"/>
      <c r="FW187" s="316"/>
      <c r="FX187" s="316"/>
      <c r="FY187" s="316"/>
      <c r="FZ187" s="316"/>
      <c r="GA187" s="316"/>
      <c r="GB187" s="316"/>
      <c r="GC187" s="316"/>
      <c r="GD187" s="316"/>
      <c r="GE187" s="316"/>
      <c r="GF187" s="316"/>
      <c r="GG187" s="316"/>
      <c r="GH187" s="316"/>
      <c r="GI187" s="316"/>
      <c r="GJ187" s="316"/>
      <c r="GK187" s="316"/>
      <c r="GL187" s="316"/>
      <c r="GM187" s="316"/>
      <c r="GN187" s="316"/>
      <c r="GO187" s="316"/>
      <c r="GP187" s="316"/>
      <c r="GQ187" s="316"/>
      <c r="GR187" s="316"/>
      <c r="GS187" s="316"/>
      <c r="GT187" s="316"/>
      <c r="GU187" s="316"/>
      <c r="GV187" s="316"/>
      <c r="GW187" s="316"/>
      <c r="GX187" s="316"/>
      <c r="GY187" s="316"/>
      <c r="GZ187" s="316"/>
      <c r="HA187" s="316"/>
      <c r="HB187" s="316"/>
      <c r="HC187" s="316"/>
      <c r="HD187" s="316"/>
      <c r="HE187" s="316"/>
      <c r="HF187" s="316"/>
      <c r="HG187" s="316"/>
      <c r="HH187" s="316"/>
      <c r="HI187" s="316"/>
      <c r="HJ187" s="316"/>
      <c r="HK187" s="316"/>
      <c r="HL187" s="316"/>
      <c r="HM187" s="316"/>
      <c r="HX187" s="346"/>
      <c r="KH187" s="303"/>
    </row>
    <row r="188" spans="2:294" outlineLevel="1">
      <c r="D188" s="891" t="s">
        <v>1061</v>
      </c>
      <c r="E188" s="316"/>
      <c r="F188" s="316"/>
      <c r="G188" s="316"/>
      <c r="H188" s="316"/>
      <c r="I188" s="316"/>
      <c r="J188" s="316"/>
      <c r="K188" s="316"/>
      <c r="L188" s="316"/>
      <c r="M188" s="316"/>
      <c r="N188" s="316"/>
      <c r="O188" s="316"/>
      <c r="P188" s="316"/>
      <c r="Q188" s="316"/>
      <c r="R188" s="316"/>
      <c r="S188" s="316"/>
      <c r="T188" s="316"/>
      <c r="U188" s="316"/>
      <c r="V188" s="316"/>
      <c r="W188" s="316"/>
      <c r="X188" s="316"/>
      <c r="Y188" s="316"/>
      <c r="Z188" s="316"/>
      <c r="AA188" s="316"/>
      <c r="AB188" s="316"/>
      <c r="AC188" s="316"/>
      <c r="AD188" s="316"/>
      <c r="AE188" s="316"/>
      <c r="AF188" s="316"/>
      <c r="AG188" s="316"/>
      <c r="AH188" s="316"/>
      <c r="AI188" s="316"/>
      <c r="AJ188" s="316"/>
      <c r="AK188" s="316"/>
      <c r="AL188" s="316"/>
      <c r="AM188" s="316"/>
      <c r="AN188" s="316"/>
      <c r="AO188" s="316"/>
      <c r="AP188" s="316"/>
      <c r="AQ188" s="316"/>
      <c r="AR188" s="316"/>
      <c r="AS188" s="316"/>
      <c r="AT188" s="316"/>
      <c r="AU188" s="316"/>
      <c r="AV188" s="316"/>
      <c r="AW188" s="316"/>
      <c r="AX188" s="316"/>
      <c r="AY188" s="316"/>
      <c r="AZ188" s="316"/>
      <c r="BA188" s="316"/>
      <c r="BB188" s="316"/>
      <c r="BC188" s="316"/>
      <c r="BD188" s="316"/>
      <c r="BE188" s="316"/>
      <c r="BF188" s="316"/>
      <c r="BG188" s="316"/>
      <c r="BH188" s="316"/>
      <c r="BI188" s="316"/>
      <c r="BJ188" s="316"/>
      <c r="BK188" s="316"/>
      <c r="BL188" s="316"/>
      <c r="BM188" s="316"/>
      <c r="BN188" s="316"/>
      <c r="BO188" s="316"/>
      <c r="BP188" s="316"/>
      <c r="BQ188" s="316"/>
      <c r="BR188" s="316"/>
      <c r="BS188" s="316"/>
      <c r="BT188" s="316"/>
      <c r="BU188" s="316"/>
      <c r="BV188" s="316"/>
      <c r="BW188" s="316"/>
      <c r="BX188" s="316"/>
      <c r="BY188" s="316"/>
      <c r="BZ188" s="316"/>
      <c r="CA188" s="316"/>
      <c r="CB188" s="316"/>
      <c r="CC188" s="316"/>
      <c r="CD188" s="316"/>
      <c r="CE188" s="317"/>
      <c r="CF188" s="316"/>
      <c r="CG188" s="316"/>
      <c r="CH188" s="316"/>
      <c r="CI188" s="316"/>
      <c r="CJ188" s="316"/>
      <c r="CK188" s="316"/>
      <c r="CL188" s="316"/>
      <c r="CM188" s="316"/>
      <c r="CN188" s="316"/>
      <c r="CO188" s="316"/>
      <c r="CP188" s="318"/>
      <c r="CQ188" s="316"/>
      <c r="CR188" s="316"/>
      <c r="CS188" s="316"/>
      <c r="CT188" s="316"/>
      <c r="CU188" s="316"/>
      <c r="CV188" s="316"/>
      <c r="CW188" s="316"/>
      <c r="CX188" s="316"/>
      <c r="CY188" s="316"/>
      <c r="CZ188" s="316"/>
      <c r="DA188" s="316"/>
      <c r="DB188" s="1498"/>
      <c r="DC188" s="316">
        <v>0.29499999999999998</v>
      </c>
      <c r="DD188" s="316">
        <v>0.95499999999999996</v>
      </c>
      <c r="DE188" s="316">
        <v>0.77900000000000003</v>
      </c>
      <c r="DF188" s="316">
        <v>0.68400000000000005</v>
      </c>
      <c r="DG188" s="316">
        <v>0.67500000000000004</v>
      </c>
      <c r="DH188" s="316">
        <v>0.77300000000000002</v>
      </c>
      <c r="DI188" s="316">
        <v>0.71560000000000001</v>
      </c>
      <c r="DJ188" s="316">
        <v>0.67100000000000004</v>
      </c>
      <c r="DK188" s="316">
        <v>0.78300000000000003</v>
      </c>
      <c r="DL188" s="316">
        <v>0.76300000000000001</v>
      </c>
      <c r="DM188" s="316">
        <v>0.73699999999999999</v>
      </c>
      <c r="DN188" s="318">
        <v>0.84799999999999998</v>
      </c>
      <c r="DO188" s="316">
        <v>0.73974856200000005</v>
      </c>
      <c r="DP188" s="316">
        <v>0.82919036700000004</v>
      </c>
      <c r="DQ188" s="316">
        <v>0.87094658000000003</v>
      </c>
      <c r="DR188" s="316">
        <v>0.70157835199999996</v>
      </c>
      <c r="DS188" s="316">
        <v>0.821549474</v>
      </c>
      <c r="DT188" s="316">
        <v>1.0244940810000001</v>
      </c>
      <c r="DU188" s="316">
        <v>1.1159677509999999</v>
      </c>
      <c r="DV188" s="316">
        <v>0.74446658200000004</v>
      </c>
      <c r="DW188" s="316">
        <v>0.91216096800000002</v>
      </c>
      <c r="DX188" s="316">
        <v>0.79233381999999997</v>
      </c>
      <c r="DY188" s="316">
        <v>0.80858132599999999</v>
      </c>
      <c r="DZ188" s="318">
        <v>0.88013021899999999</v>
      </c>
      <c r="EA188" s="316">
        <v>0.77951761200000003</v>
      </c>
      <c r="EB188" s="316">
        <v>0.85310538599999997</v>
      </c>
      <c r="EC188" s="316">
        <v>0.85846891700000005</v>
      </c>
      <c r="ED188" s="316">
        <v>0.81156610799999995</v>
      </c>
      <c r="EE188" s="316">
        <v>0.89398497700000001</v>
      </c>
      <c r="EF188" s="316">
        <v>0.90503010500000003</v>
      </c>
      <c r="EG188" s="316">
        <v>0.74971463000000005</v>
      </c>
      <c r="EH188" s="316">
        <v>0.81065723899999997</v>
      </c>
      <c r="EI188" s="316">
        <v>0.88320536900000002</v>
      </c>
      <c r="EJ188" s="316">
        <v>0.77698077300000001</v>
      </c>
      <c r="EK188" s="316">
        <v>0.89142172200000003</v>
      </c>
      <c r="EL188" s="318">
        <v>0.97563938900000002</v>
      </c>
      <c r="EM188" s="1206">
        <v>0.83848702600000002</v>
      </c>
      <c r="EN188" s="1206">
        <v>1.013353685</v>
      </c>
      <c r="EO188" s="1206">
        <v>0.94132519000000003</v>
      </c>
      <c r="EP188" s="1206">
        <v>0.84642424299999997</v>
      </c>
      <c r="EQ188" s="1206">
        <v>0.88327053200000005</v>
      </c>
      <c r="ER188" s="1206">
        <v>0.89122966599999998</v>
      </c>
      <c r="ES188" s="1206">
        <v>0.78034427100000003</v>
      </c>
      <c r="ET188" s="1206">
        <v>0.93406694999999995</v>
      </c>
      <c r="EU188" s="1206">
        <v>0.93166332100000004</v>
      </c>
      <c r="EV188" s="1206">
        <v>0.90874494699999997</v>
      </c>
      <c r="EW188" s="1206">
        <v>1.0802803459999999</v>
      </c>
      <c r="EX188" s="1550">
        <v>0.93492535499999996</v>
      </c>
      <c r="EY188" s="1206"/>
      <c r="EZ188" s="1206"/>
      <c r="FA188" s="1206"/>
      <c r="FB188" s="1206"/>
      <c r="FC188" s="1206"/>
      <c r="FD188" s="1206"/>
      <c r="FE188" s="1206"/>
      <c r="FF188" s="1206"/>
      <c r="FG188" s="1206"/>
      <c r="FH188" s="1206"/>
      <c r="FI188" s="1206"/>
      <c r="FJ188" s="1550"/>
      <c r="FK188" s="1206"/>
      <c r="FL188" s="1206"/>
      <c r="FM188" s="1206"/>
      <c r="FN188" s="1206"/>
      <c r="FO188" s="1206"/>
      <c r="FP188" s="1206"/>
      <c r="FQ188" s="316"/>
      <c r="FR188" s="316"/>
      <c r="FS188" s="316"/>
      <c r="FT188" s="316"/>
      <c r="FU188" s="316"/>
      <c r="FV188" s="316"/>
      <c r="FW188" s="316"/>
      <c r="FX188" s="316"/>
      <c r="FY188" s="316"/>
      <c r="FZ188" s="316"/>
      <c r="GA188" s="316"/>
      <c r="GB188" s="316"/>
      <c r="GC188" s="316"/>
      <c r="GD188" s="316"/>
      <c r="GE188" s="316"/>
      <c r="GF188" s="316"/>
      <c r="GG188" s="316"/>
      <c r="GH188" s="316"/>
      <c r="GI188" s="316"/>
      <c r="GJ188" s="316"/>
      <c r="GK188" s="316"/>
      <c r="GL188" s="316"/>
      <c r="GM188" s="316"/>
      <c r="GN188" s="316"/>
      <c r="GO188" s="316"/>
      <c r="GP188" s="316"/>
      <c r="GQ188" s="316"/>
      <c r="GR188" s="316"/>
      <c r="GS188" s="316"/>
      <c r="GT188" s="316"/>
      <c r="GU188" s="316"/>
      <c r="GV188" s="316"/>
      <c r="GW188" s="316"/>
      <c r="GX188" s="316"/>
      <c r="GY188" s="316"/>
      <c r="GZ188" s="316"/>
      <c r="HA188" s="316"/>
      <c r="HB188" s="316"/>
      <c r="HC188" s="316"/>
      <c r="HD188" s="316"/>
      <c r="HE188" s="316"/>
      <c r="HF188" s="316"/>
      <c r="HG188" s="316"/>
      <c r="HH188" s="316"/>
      <c r="HI188" s="316"/>
      <c r="HJ188" s="316"/>
      <c r="HK188" s="316"/>
      <c r="HL188" s="316"/>
      <c r="HM188" s="316"/>
      <c r="HV188" s="302">
        <f t="shared" ref="HV188:HV198" si="36">+SUM(DC188:DH188)</f>
        <v>4.1609999999999996</v>
      </c>
      <c r="HW188" s="302">
        <f t="shared" ref="HW188:HW198" si="37">+SUM(DI188:DN188)</f>
        <v>4.5175999999999998</v>
      </c>
      <c r="HX188" s="346">
        <f t="shared" si="32"/>
        <v>8.6785999999999994</v>
      </c>
      <c r="HY188" s="302">
        <f t="shared" ref="HY188:HY199" si="38">SUM(DO188:DT188)</f>
        <v>4.9875074160000006</v>
      </c>
      <c r="KH188" s="303"/>
    </row>
    <row r="189" spans="2:294" outlineLevel="1">
      <c r="B189" s="117" t="s">
        <v>361</v>
      </c>
      <c r="D189" s="332" t="s">
        <v>445</v>
      </c>
      <c r="E189" s="316">
        <v>2.7006257007000003</v>
      </c>
      <c r="F189" s="316">
        <v>2.3956280892000006</v>
      </c>
      <c r="G189" s="316">
        <v>3.0513422493000002</v>
      </c>
      <c r="H189" s="316">
        <v>2.9238067827000003</v>
      </c>
      <c r="I189" s="316">
        <v>3.0755514365999996</v>
      </c>
      <c r="J189" s="316">
        <v>2.8571080203000001</v>
      </c>
      <c r="K189" s="316">
        <v>2.9849418459000003</v>
      </c>
      <c r="L189" s="316">
        <v>3.5022437325000002</v>
      </c>
      <c r="M189" s="316">
        <v>2.6735484204</v>
      </c>
      <c r="N189" s="316">
        <v>2.9102264712000001</v>
      </c>
      <c r="O189" s="316">
        <v>3.5309522043000001</v>
      </c>
      <c r="P189" s="316">
        <v>3.3428814228000001</v>
      </c>
      <c r="Q189" s="316">
        <v>3.3310654563997821</v>
      </c>
      <c r="R189" s="316">
        <v>3.291657697912421</v>
      </c>
      <c r="S189" s="316">
        <v>3.9003472468590576</v>
      </c>
      <c r="T189" s="316">
        <v>3.6784816167265442</v>
      </c>
      <c r="U189" s="316">
        <v>4.3387147874513277</v>
      </c>
      <c r="V189" s="316">
        <v>4.2811404873610241</v>
      </c>
      <c r="W189" s="316">
        <v>4.5574334518237301</v>
      </c>
      <c r="X189" s="316">
        <v>4.6627333853793269</v>
      </c>
      <c r="Y189" s="316">
        <v>4.9711645301437306</v>
      </c>
      <c r="Z189" s="316">
        <v>5.1515374799677982</v>
      </c>
      <c r="AA189" s="316">
        <v>4.5044794523483045</v>
      </c>
      <c r="AB189" s="316">
        <v>5.4994414137980234</v>
      </c>
      <c r="AC189" s="316">
        <v>4.5015777809999999</v>
      </c>
      <c r="AD189" s="316">
        <v>4.9117385574000005</v>
      </c>
      <c r="AE189" s="316">
        <v>4.6153532538000004</v>
      </c>
      <c r="AF189" s="316">
        <v>4.9108857255</v>
      </c>
      <c r="AG189" s="316">
        <v>4.3222614228000005</v>
      </c>
      <c r="AH189" s="316">
        <v>4.3336629198000001</v>
      </c>
      <c r="AI189" s="316">
        <v>4.3831809594000006</v>
      </c>
      <c r="AJ189" s="316">
        <v>4.5555867287999998</v>
      </c>
      <c r="AK189" s="316">
        <v>4.1156479619999997</v>
      </c>
      <c r="AL189" s="316">
        <v>4.0039666704000005</v>
      </c>
      <c r="AM189" s="316">
        <v>4.6209315150000005</v>
      </c>
      <c r="AN189" s="316">
        <v>4.6910471759999997</v>
      </c>
      <c r="AO189" s="316">
        <v>3.8723120361000003</v>
      </c>
      <c r="AP189" s="316">
        <v>3.8560713813</v>
      </c>
      <c r="AQ189" s="316">
        <v>4.6009879424999998</v>
      </c>
      <c r="AR189" s="316">
        <v>4.0300898364000002</v>
      </c>
      <c r="AS189" s="316">
        <v>4.3106822271</v>
      </c>
      <c r="AT189" s="316">
        <v>4.6666302615000008</v>
      </c>
      <c r="AU189" s="316">
        <v>3.6348611922000003</v>
      </c>
      <c r="AV189" s="316">
        <v>4.0822821747000004</v>
      </c>
      <c r="AW189" s="316">
        <v>4.0570851456000003</v>
      </c>
      <c r="AX189" s="316">
        <v>4.0971821463000007</v>
      </c>
      <c r="AY189" s="316">
        <v>4.5688450293000002</v>
      </c>
      <c r="AZ189" s="316">
        <v>5.1349498910999998</v>
      </c>
      <c r="BA189" s="316">
        <v>4.4590551768000006</v>
      </c>
      <c r="BB189" s="316">
        <v>4.0689444708</v>
      </c>
      <c r="BC189" s="316">
        <v>4.8221914788000007</v>
      </c>
      <c r="BD189" s="316">
        <v>3.940295382</v>
      </c>
      <c r="BE189" s="316">
        <v>4.8139834698000001</v>
      </c>
      <c r="BF189" s="316">
        <v>4.7052297288</v>
      </c>
      <c r="BG189" s="316">
        <v>4.6417355883000004</v>
      </c>
      <c r="BH189" s="316">
        <v>5.6039188734000005</v>
      </c>
      <c r="BI189" s="316">
        <v>5.757847398</v>
      </c>
      <c r="BJ189" s="316">
        <v>5.0149138635000003</v>
      </c>
      <c r="BK189" s="316">
        <v>6.0373587779999998</v>
      </c>
      <c r="BL189" s="316">
        <v>5.8176813861000003</v>
      </c>
      <c r="BM189" s="316">
        <v>5.1004013463</v>
      </c>
      <c r="BN189" s="316">
        <v>5.7727871820000001</v>
      </c>
      <c r="BO189" s="316">
        <v>6.2901754721999996</v>
      </c>
      <c r="BP189" s="316">
        <v>5.5990192896000011</v>
      </c>
      <c r="BQ189" s="316">
        <v>6.9685079706000002</v>
      </c>
      <c r="BR189" s="316">
        <v>6.2220461211</v>
      </c>
      <c r="BS189" s="316">
        <v>6.8690743794000007</v>
      </c>
      <c r="BT189" s="316">
        <v>6.9620741361</v>
      </c>
      <c r="BU189" s="316">
        <v>6.8031847304999999</v>
      </c>
      <c r="BV189" s="316">
        <v>6.2841963735000004</v>
      </c>
      <c r="BW189" s="316">
        <v>5.9817929841000002</v>
      </c>
      <c r="BX189" s="316">
        <v>5.8888777571999995</v>
      </c>
      <c r="BY189" s="316">
        <v>6.341047047</v>
      </c>
      <c r="BZ189" s="316">
        <v>5.7005419338000003</v>
      </c>
      <c r="CA189" s="316">
        <v>5.7216563928000008</v>
      </c>
      <c r="CB189" s="316">
        <v>6.1109018658000007</v>
      </c>
      <c r="CC189" s="316">
        <v>6.6497725691999996</v>
      </c>
      <c r="CD189" s="316">
        <v>21.217024090799999</v>
      </c>
      <c r="CE189" s="317">
        <v>16.090310353499998</v>
      </c>
      <c r="CF189" s="316">
        <v>18.716012387999999</v>
      </c>
      <c r="CG189" s="316">
        <v>21.138830867700001</v>
      </c>
      <c r="CH189" s="316">
        <v>18.5464598256</v>
      </c>
      <c r="CI189" s="316">
        <v>21.171876082200001</v>
      </c>
      <c r="CJ189" s="316">
        <v>20.638044451799999</v>
      </c>
      <c r="CK189" s="316">
        <v>22.173186520800002</v>
      </c>
      <c r="CL189" s="316">
        <v>20.069732109599997</v>
      </c>
      <c r="CM189" s="316">
        <v>20.624844828599997</v>
      </c>
      <c r="CN189" s="316">
        <v>20.063275226999998</v>
      </c>
      <c r="CO189" s="316">
        <v>26.431406572499998</v>
      </c>
      <c r="CP189" s="318">
        <v>33.464728710899998</v>
      </c>
      <c r="CQ189" s="316">
        <v>21.009046951800002</v>
      </c>
      <c r="CR189" s="316">
        <v>21.133695948299998</v>
      </c>
      <c r="CS189" s="316">
        <v>27.884221133400001</v>
      </c>
      <c r="CT189" s="316">
        <v>21.356403523200001</v>
      </c>
      <c r="CU189" s="316">
        <v>21.511141365599997</v>
      </c>
      <c r="CV189" s="316">
        <v>23.3403010452</v>
      </c>
      <c r="CW189" s="316">
        <v>22.384861343099999</v>
      </c>
      <c r="CX189" s="316">
        <v>20.962725366600001</v>
      </c>
      <c r="CY189" s="316">
        <v>23.846452569</v>
      </c>
      <c r="CZ189" s="316">
        <v>23.600567036700003</v>
      </c>
      <c r="DA189" s="316">
        <v>24.082077372299999</v>
      </c>
      <c r="DB189" s="1498">
        <v>34.667507649600005</v>
      </c>
      <c r="DC189" s="316">
        <v>21.020342461352435</v>
      </c>
      <c r="DD189" s="316">
        <v>22.41970873814277</v>
      </c>
      <c r="DE189" s="316">
        <v>26.462655254429844</v>
      </c>
      <c r="DF189" s="316">
        <v>25.928451449779434</v>
      </c>
      <c r="DG189" s="316">
        <v>23.973056382899909</v>
      </c>
      <c r="DH189" s="316">
        <v>32.004096754695617</v>
      </c>
      <c r="DI189" s="316">
        <v>25.845007895682123</v>
      </c>
      <c r="DJ189" s="316">
        <v>24.54799402500964</v>
      </c>
      <c r="DK189" s="316">
        <v>28.762320032541503</v>
      </c>
      <c r="DL189" s="316">
        <v>26.073363219708661</v>
      </c>
      <c r="DM189" s="316">
        <v>25.566225104782905</v>
      </c>
      <c r="DN189" s="318">
        <v>40.610210409975174</v>
      </c>
      <c r="DO189" s="316">
        <v>24.575119863900003</v>
      </c>
      <c r="DP189" s="316">
        <v>25.253331534300003</v>
      </c>
      <c r="DQ189" s="316">
        <v>29.934156591999997</v>
      </c>
      <c r="DR189" s="316">
        <v>25.520966387699996</v>
      </c>
      <c r="DS189" s="316">
        <v>25.9201902159</v>
      </c>
      <c r="DT189" s="316">
        <v>30.686208181819996</v>
      </c>
      <c r="DU189" s="316">
        <v>29.4583278711</v>
      </c>
      <c r="DV189" s="316">
        <v>28.857553697099998</v>
      </c>
      <c r="DW189" s="316">
        <v>32.634061162000002</v>
      </c>
      <c r="DX189" s="316">
        <v>27.369452396900002</v>
      </c>
      <c r="DY189" s="316">
        <v>29.231314420700002</v>
      </c>
      <c r="DZ189" s="318">
        <v>42.979458079899992</v>
      </c>
      <c r="EA189" s="316">
        <v>28.202585008699998</v>
      </c>
      <c r="EB189" s="316">
        <v>28.187900527900002</v>
      </c>
      <c r="EC189" s="316">
        <v>36.44744439318999</v>
      </c>
      <c r="ED189" s="316">
        <v>31.796544580599999</v>
      </c>
      <c r="EE189" s="316">
        <v>31.503900752300002</v>
      </c>
      <c r="EF189" s="316">
        <v>40.707319792500002</v>
      </c>
      <c r="EG189" s="316">
        <v>33.038529406999999</v>
      </c>
      <c r="EH189" s="316">
        <v>31.433837689000001</v>
      </c>
      <c r="EI189" s="316">
        <v>35.882729088199994</v>
      </c>
      <c r="EJ189" s="316">
        <v>32.8268608136</v>
      </c>
      <c r="EK189" s="316">
        <v>32.389005212080008</v>
      </c>
      <c r="EL189" s="318">
        <v>43.500487695049848</v>
      </c>
      <c r="EM189" s="1206">
        <v>30.906249728319999</v>
      </c>
      <c r="EN189" s="1206">
        <v>35.091470095800005</v>
      </c>
      <c r="EO189" s="1206">
        <v>36.65031393396</v>
      </c>
      <c r="EP189" s="1206">
        <v>32.886596466519997</v>
      </c>
      <c r="EQ189" s="1206">
        <v>35.038868828280002</v>
      </c>
      <c r="ER189" s="1206">
        <v>43.132705185279995</v>
      </c>
      <c r="ES189" s="1206">
        <v>39.356497086352796</v>
      </c>
      <c r="ET189" s="1206">
        <v>37.734449936709929</v>
      </c>
      <c r="EU189" s="1206">
        <v>37.11177639868</v>
      </c>
      <c r="EV189" s="1206">
        <v>40.404032144494401</v>
      </c>
      <c r="EW189" s="1206">
        <v>38.387444583280015</v>
      </c>
      <c r="EX189" s="1550">
        <v>51.889292502999993</v>
      </c>
      <c r="EY189" s="1206"/>
      <c r="EZ189" s="1206"/>
      <c r="FA189" s="1206"/>
      <c r="FB189" s="1206"/>
      <c r="FC189" s="1206"/>
      <c r="FD189" s="1206"/>
      <c r="FE189" s="1206"/>
      <c r="FF189" s="1206"/>
      <c r="FG189" s="1206"/>
      <c r="FH189" s="1206"/>
      <c r="FI189" s="1206"/>
      <c r="FJ189" s="1550"/>
      <c r="FK189" s="1206"/>
      <c r="FL189" s="1206"/>
      <c r="FM189" s="1206"/>
      <c r="FN189" s="1206"/>
      <c r="FO189" s="1206"/>
      <c r="FP189" s="1206"/>
      <c r="FQ189" s="316"/>
      <c r="FR189" s="316"/>
      <c r="FS189" s="316"/>
      <c r="FT189" s="316"/>
      <c r="FU189" s="316"/>
      <c r="FV189" s="316"/>
      <c r="FW189" s="316"/>
      <c r="FX189" s="316"/>
      <c r="FY189" s="316"/>
      <c r="FZ189" s="316"/>
      <c r="GA189" s="316"/>
      <c r="GB189" s="316"/>
      <c r="GC189" s="316"/>
      <c r="GD189" s="316"/>
      <c r="GE189" s="316"/>
      <c r="GF189" s="316"/>
      <c r="GG189" s="316"/>
      <c r="GH189" s="316"/>
      <c r="GI189" s="316"/>
      <c r="GJ189" s="316"/>
      <c r="GK189" s="316"/>
      <c r="GL189" s="316"/>
      <c r="GM189" s="316"/>
      <c r="GN189" s="316"/>
      <c r="GO189" s="316"/>
      <c r="GP189" s="316"/>
      <c r="GQ189" s="316"/>
      <c r="GR189" s="316"/>
      <c r="GS189" s="316"/>
      <c r="GT189" s="316"/>
      <c r="GU189" s="316"/>
      <c r="GV189" s="316"/>
      <c r="GW189" s="316"/>
      <c r="GX189" s="316"/>
      <c r="GY189" s="316"/>
      <c r="GZ189" s="316"/>
      <c r="HA189" s="316"/>
      <c r="HB189" s="316"/>
      <c r="HC189" s="316"/>
      <c r="HD189" s="316"/>
      <c r="HE189" s="316"/>
      <c r="HF189" s="316"/>
      <c r="HG189" s="316"/>
      <c r="HH189" s="316"/>
      <c r="HI189" s="316"/>
      <c r="HJ189" s="316"/>
      <c r="HK189" s="316"/>
      <c r="HL189" s="316"/>
      <c r="HM189" s="316"/>
      <c r="HV189" s="302">
        <f t="shared" si="36"/>
        <v>151.80831104130002</v>
      </c>
      <c r="HW189" s="302">
        <f t="shared" si="37"/>
        <v>171.40512068769999</v>
      </c>
      <c r="HX189" s="346">
        <f t="shared" si="32"/>
        <v>323.21343172900004</v>
      </c>
      <c r="HY189" s="302">
        <f t="shared" si="38"/>
        <v>161.88997277562001</v>
      </c>
      <c r="KH189" s="303"/>
    </row>
    <row r="190" spans="2:294" outlineLevel="1">
      <c r="B190" s="117" t="s">
        <v>361</v>
      </c>
      <c r="D190" s="319" t="s">
        <v>446</v>
      </c>
      <c r="E190" s="316"/>
      <c r="F190" s="316"/>
      <c r="G190" s="316"/>
      <c r="H190" s="316"/>
      <c r="I190" s="316"/>
      <c r="J190" s="316"/>
      <c r="K190" s="316"/>
      <c r="L190" s="316"/>
      <c r="M190" s="316"/>
      <c r="N190" s="316"/>
      <c r="O190" s="316"/>
      <c r="P190" s="316"/>
      <c r="Q190" s="316"/>
      <c r="R190" s="316"/>
      <c r="S190" s="316"/>
      <c r="T190" s="316"/>
      <c r="U190" s="316"/>
      <c r="V190" s="316"/>
      <c r="W190" s="316"/>
      <c r="X190" s="316"/>
      <c r="Y190" s="316"/>
      <c r="Z190" s="316"/>
      <c r="AA190" s="316"/>
      <c r="AB190" s="316"/>
      <c r="AC190" s="316"/>
      <c r="AD190" s="316"/>
      <c r="AE190" s="316"/>
      <c r="AF190" s="316"/>
      <c r="AG190" s="316"/>
      <c r="AH190" s="316"/>
      <c r="AI190" s="316">
        <v>0</v>
      </c>
      <c r="AJ190" s="316">
        <v>0</v>
      </c>
      <c r="AK190" s="316">
        <v>0</v>
      </c>
      <c r="AL190" s="316">
        <v>0</v>
      </c>
      <c r="AM190" s="316">
        <v>0</v>
      </c>
      <c r="AN190" s="316">
        <v>0</v>
      </c>
      <c r="AO190" s="316">
        <v>0</v>
      </c>
      <c r="AP190" s="316">
        <v>0</v>
      </c>
      <c r="AQ190" s="316">
        <v>0</v>
      </c>
      <c r="AR190" s="316">
        <v>0</v>
      </c>
      <c r="AS190" s="316">
        <v>0</v>
      </c>
      <c r="AT190" s="316">
        <v>0</v>
      </c>
      <c r="AU190" s="316">
        <v>0</v>
      </c>
      <c r="AV190" s="316">
        <v>0</v>
      </c>
      <c r="AW190" s="316">
        <v>0</v>
      </c>
      <c r="AX190" s="316">
        <v>0</v>
      </c>
      <c r="AY190" s="316">
        <v>0</v>
      </c>
      <c r="AZ190" s="316">
        <v>0</v>
      </c>
      <c r="BA190" s="316">
        <v>0</v>
      </c>
      <c r="BB190" s="316">
        <v>0</v>
      </c>
      <c r="BC190" s="316">
        <v>0</v>
      </c>
      <c r="BD190" s="316">
        <v>0</v>
      </c>
      <c r="BE190" s="316">
        <v>0</v>
      </c>
      <c r="BF190" s="316">
        <v>0</v>
      </c>
      <c r="BG190" s="316">
        <v>0</v>
      </c>
      <c r="BH190" s="316">
        <v>0</v>
      </c>
      <c r="BI190" s="316">
        <v>0</v>
      </c>
      <c r="BJ190" s="316">
        <v>0</v>
      </c>
      <c r="BK190" s="316">
        <v>0</v>
      </c>
      <c r="BL190" s="316">
        <v>0</v>
      </c>
      <c r="BM190" s="316">
        <v>0</v>
      </c>
      <c r="BN190" s="316">
        <v>0</v>
      </c>
      <c r="BO190" s="316">
        <v>0</v>
      </c>
      <c r="BP190" s="316">
        <v>0</v>
      </c>
      <c r="BQ190" s="316">
        <v>0</v>
      </c>
      <c r="BR190" s="316">
        <v>0</v>
      </c>
      <c r="BS190" s="316">
        <v>0</v>
      </c>
      <c r="BT190" s="316">
        <v>0</v>
      </c>
      <c r="BU190" s="316">
        <v>0</v>
      </c>
      <c r="BV190" s="316">
        <v>0</v>
      </c>
      <c r="BW190" s="316">
        <v>0</v>
      </c>
      <c r="BX190" s="316">
        <v>0</v>
      </c>
      <c r="BY190" s="316">
        <v>0</v>
      </c>
      <c r="BZ190" s="316">
        <v>0</v>
      </c>
      <c r="CA190" s="316">
        <v>0</v>
      </c>
      <c r="CB190" s="316">
        <v>0</v>
      </c>
      <c r="CC190" s="316">
        <v>0</v>
      </c>
      <c r="CD190" s="316">
        <v>6.5180837096999991</v>
      </c>
      <c r="CE190" s="317">
        <v>6.7366902546</v>
      </c>
      <c r="CF190" s="316">
        <v>6.1068302621999999</v>
      </c>
      <c r="CG190" s="316">
        <v>6.8280531947999998</v>
      </c>
      <c r="CH190" s="316">
        <v>7.8064579251000001</v>
      </c>
      <c r="CI190" s="316">
        <v>8.1603117908999998</v>
      </c>
      <c r="CJ190" s="316">
        <v>7.9802586918000005</v>
      </c>
      <c r="CK190" s="316">
        <v>8.2039759515000004</v>
      </c>
      <c r="CL190" s="316">
        <v>7.2599873472000001</v>
      </c>
      <c r="CM190" s="316">
        <v>7.2809049735000002</v>
      </c>
      <c r="CN190" s="316">
        <v>8.0172674955000005</v>
      </c>
      <c r="CO190" s="316">
        <v>8.3042534394000018</v>
      </c>
      <c r="CP190" s="318">
        <v>7.8717999303000008</v>
      </c>
      <c r="CQ190" s="316">
        <v>7.782627261600001</v>
      </c>
      <c r="CR190" s="316">
        <v>7.6012299054000003</v>
      </c>
      <c r="CS190" s="316">
        <v>8.7531792948000025</v>
      </c>
      <c r="CT190" s="316">
        <v>7.7517604926000008</v>
      </c>
      <c r="CU190" s="316">
        <v>7.5989398680000004</v>
      </c>
      <c r="CV190" s="316">
        <v>8.3404416761999993</v>
      </c>
      <c r="CW190" s="316">
        <v>8.050610515499999</v>
      </c>
      <c r="CX190" s="316">
        <v>7.2574940286</v>
      </c>
      <c r="CY190" s="316">
        <v>7.9065599373000008</v>
      </c>
      <c r="CZ190" s="316">
        <v>8.1813919059000018</v>
      </c>
      <c r="DA190" s="316">
        <v>9.1612123523999998</v>
      </c>
      <c r="DB190" s="1498">
        <v>11.3852438667</v>
      </c>
      <c r="DC190" s="316">
        <v>7.8574058543206524</v>
      </c>
      <c r="DD190" s="316">
        <v>7.363318467042566</v>
      </c>
      <c r="DE190" s="316">
        <v>9.1731760781706662</v>
      </c>
      <c r="DF190" s="316">
        <v>9.267140774954445</v>
      </c>
      <c r="DG190" s="316">
        <v>8.9736080523093253</v>
      </c>
      <c r="DH190" s="316">
        <v>10.063379199121947</v>
      </c>
      <c r="DI190" s="316">
        <v>7.993661997213322</v>
      </c>
      <c r="DJ190" s="316">
        <v>8.6605111779759554</v>
      </c>
      <c r="DK190" s="316">
        <v>9.0816079169001949</v>
      </c>
      <c r="DL190" s="316">
        <v>9.0274323796330638</v>
      </c>
      <c r="DM190" s="316">
        <v>9.7662289284729038</v>
      </c>
      <c r="DN190" s="318">
        <v>11.866588971381663</v>
      </c>
      <c r="DO190" s="316">
        <v>9.8108258972999991</v>
      </c>
      <c r="DP190" s="316">
        <v>11.156453113800003</v>
      </c>
      <c r="DQ190" s="316">
        <v>10.9570908448</v>
      </c>
      <c r="DR190" s="316">
        <v>9.567440680399999</v>
      </c>
      <c r="DS190" s="316">
        <v>10.712232864899999</v>
      </c>
      <c r="DT190" s="316">
        <v>10.824824211799999</v>
      </c>
      <c r="DU190" s="316">
        <v>8.7792521957000016</v>
      </c>
      <c r="DV190" s="316">
        <v>9.5347919117999993</v>
      </c>
      <c r="DW190" s="316">
        <v>11.028032146600001</v>
      </c>
      <c r="DX190" s="316">
        <v>8.9639059277000008</v>
      </c>
      <c r="DY190" s="316">
        <v>11.344663394299999</v>
      </c>
      <c r="DZ190" s="318">
        <v>11.3917456027</v>
      </c>
      <c r="EA190" s="316">
        <v>9.3237178376000003</v>
      </c>
      <c r="EB190" s="316">
        <v>9.8451868539999996</v>
      </c>
      <c r="EC190" s="316">
        <v>11.760298321299999</v>
      </c>
      <c r="ED190" s="316">
        <v>11.451489605500001</v>
      </c>
      <c r="EE190" s="316">
        <v>10.078342945399999</v>
      </c>
      <c r="EF190" s="316">
        <v>11.5178781555</v>
      </c>
      <c r="EG190" s="316">
        <v>11.368516396</v>
      </c>
      <c r="EH190" s="316">
        <v>10.028138416999999</v>
      </c>
      <c r="EI190" s="316">
        <v>11.581017923899999</v>
      </c>
      <c r="EJ190" s="316">
        <v>10.2261374518</v>
      </c>
      <c r="EK190" s="316">
        <v>12.074526229</v>
      </c>
      <c r="EL190" s="318">
        <v>11.542016648200001</v>
      </c>
      <c r="EM190" s="1206">
        <v>11.100910027360001</v>
      </c>
      <c r="EN190" s="1206">
        <v>13.460010395399999</v>
      </c>
      <c r="EO190" s="1206">
        <v>11.702864630040001</v>
      </c>
      <c r="EP190" s="1206">
        <v>11.33023760292</v>
      </c>
      <c r="EQ190" s="1206">
        <v>13.92719101116</v>
      </c>
      <c r="ER190" s="1206">
        <v>13.705957183200001</v>
      </c>
      <c r="ES190" s="1206">
        <v>12.058170215760001</v>
      </c>
      <c r="ET190" s="1206">
        <v>11.533972994280001</v>
      </c>
      <c r="EU190" s="1206">
        <v>11.48394955252</v>
      </c>
      <c r="EV190" s="1206">
        <v>13.6838825104</v>
      </c>
      <c r="EW190" s="1206">
        <v>12.898527870799999</v>
      </c>
      <c r="EX190" s="1550">
        <v>13.96304876424</v>
      </c>
      <c r="EY190" s="1206"/>
      <c r="EZ190" s="1206"/>
      <c r="FA190" s="1206"/>
      <c r="FB190" s="1206"/>
      <c r="FC190" s="1206"/>
      <c r="FD190" s="1206"/>
      <c r="FE190" s="1206"/>
      <c r="FF190" s="1206"/>
      <c r="FG190" s="1206"/>
      <c r="FH190" s="1206"/>
      <c r="FI190" s="1206"/>
      <c r="FJ190" s="1550"/>
      <c r="FK190" s="1206"/>
      <c r="FL190" s="1206"/>
      <c r="FM190" s="1206"/>
      <c r="FN190" s="1206"/>
      <c r="FO190" s="1206"/>
      <c r="FP190" s="1206"/>
      <c r="FQ190" s="316"/>
      <c r="FR190" s="316"/>
      <c r="FS190" s="316"/>
      <c r="FT190" s="316"/>
      <c r="FU190" s="316"/>
      <c r="FV190" s="316"/>
      <c r="FW190" s="316"/>
      <c r="FX190" s="316"/>
      <c r="FY190" s="316"/>
      <c r="FZ190" s="316"/>
      <c r="GA190" s="316"/>
      <c r="GB190" s="316"/>
      <c r="GC190" s="316"/>
      <c r="GD190" s="316"/>
      <c r="GE190" s="316"/>
      <c r="GF190" s="316"/>
      <c r="GG190" s="316"/>
      <c r="GH190" s="316"/>
      <c r="GI190" s="316"/>
      <c r="GJ190" s="316"/>
      <c r="GK190" s="316"/>
      <c r="GL190" s="316"/>
      <c r="GM190" s="316"/>
      <c r="GN190" s="316"/>
      <c r="GO190" s="316"/>
      <c r="GP190" s="316"/>
      <c r="GQ190" s="316"/>
      <c r="GR190" s="316"/>
      <c r="GS190" s="316"/>
      <c r="GT190" s="316"/>
      <c r="GU190" s="316"/>
      <c r="GV190" s="316"/>
      <c r="GW190" s="316"/>
      <c r="GX190" s="316"/>
      <c r="GY190" s="316"/>
      <c r="GZ190" s="316"/>
      <c r="HA190" s="316"/>
      <c r="HB190" s="316"/>
      <c r="HC190" s="316"/>
      <c r="HD190" s="316"/>
      <c r="HE190" s="316"/>
      <c r="HF190" s="316"/>
      <c r="HG190" s="316"/>
      <c r="HH190" s="316"/>
      <c r="HI190" s="316"/>
      <c r="HJ190" s="316"/>
      <c r="HK190" s="316"/>
      <c r="HL190" s="316"/>
      <c r="HM190" s="316"/>
      <c r="HV190" s="302">
        <f t="shared" si="36"/>
        <v>52.698028425919603</v>
      </c>
      <c r="HW190" s="302">
        <f t="shared" si="37"/>
        <v>56.396031371577109</v>
      </c>
      <c r="HX190" s="346">
        <f t="shared" si="32"/>
        <v>109.09405979749671</v>
      </c>
      <c r="HY190" s="302">
        <f t="shared" si="38"/>
        <v>63.028867612999996</v>
      </c>
      <c r="KH190" s="303"/>
    </row>
    <row r="191" spans="2:294" outlineLevel="1">
      <c r="B191" s="117" t="s">
        <v>361</v>
      </c>
      <c r="D191" s="334" t="s">
        <v>447</v>
      </c>
      <c r="E191" s="316">
        <v>0.49791566999999998</v>
      </c>
      <c r="F191" s="316">
        <v>0.44200630899999999</v>
      </c>
      <c r="G191" s="316">
        <v>0.51042233199999998</v>
      </c>
      <c r="H191" s="316">
        <v>0.55690909199999994</v>
      </c>
      <c r="I191" s="316">
        <v>0.42698375900000002</v>
      </c>
      <c r="J191" s="316">
        <v>0.43914651900000001</v>
      </c>
      <c r="K191" s="316">
        <v>0.47559663299999999</v>
      </c>
      <c r="L191" s="316">
        <v>0.72857648800000008</v>
      </c>
      <c r="M191" s="316">
        <v>0.45083933900000001</v>
      </c>
      <c r="N191" s="316">
        <v>0.64295382700000003</v>
      </c>
      <c r="O191" s="316">
        <v>0.71120613399999999</v>
      </c>
      <c r="P191" s="316">
        <v>0.47689050700000002</v>
      </c>
      <c r="Q191" s="316">
        <v>0.48987784299999998</v>
      </c>
      <c r="R191" s="316">
        <v>0.568371391</v>
      </c>
      <c r="S191" s="316">
        <v>0.62521907199999993</v>
      </c>
      <c r="T191" s="316">
        <v>0.64313113</v>
      </c>
      <c r="U191" s="316">
        <v>0.52495512900000008</v>
      </c>
      <c r="V191" s="316">
        <v>0.54976124000000004</v>
      </c>
      <c r="W191" s="316">
        <v>0.56980924399999999</v>
      </c>
      <c r="X191" s="316">
        <v>0.64142504199999995</v>
      </c>
      <c r="Y191" s="316">
        <v>0.68155461000000006</v>
      </c>
      <c r="Z191" s="316">
        <v>0.67518260399999996</v>
      </c>
      <c r="AA191" s="316">
        <v>0.70120011799999993</v>
      </c>
      <c r="AB191" s="316">
        <v>0.70752664300000001</v>
      </c>
      <c r="AC191" s="316">
        <v>0.61122333100000004</v>
      </c>
      <c r="AD191" s="316">
        <v>0.59264962300000001</v>
      </c>
      <c r="AE191" s="316">
        <v>0.73443156999999992</v>
      </c>
      <c r="AF191" s="316">
        <v>0.64244508599999994</v>
      </c>
      <c r="AG191" s="316">
        <v>0.56781628500000003</v>
      </c>
      <c r="AH191" s="316">
        <v>0.61917653099999992</v>
      </c>
      <c r="AI191" s="316">
        <v>0.63300367200000007</v>
      </c>
      <c r="AJ191" s="316">
        <v>0.96606690800000006</v>
      </c>
      <c r="AK191" s="316">
        <v>0.95661735000000003</v>
      </c>
      <c r="AL191" s="316">
        <v>1.2810830440000001</v>
      </c>
      <c r="AM191" s="316">
        <v>1.1112622109999999</v>
      </c>
      <c r="AN191" s="316">
        <v>1.117531574</v>
      </c>
      <c r="AO191" s="316">
        <v>1.0371172710000001</v>
      </c>
      <c r="AP191" s="316">
        <v>1.1000962519999999</v>
      </c>
      <c r="AQ191" s="316">
        <v>1.148196328</v>
      </c>
      <c r="AR191" s="316">
        <v>1.0785727679999999</v>
      </c>
      <c r="AS191" s="316">
        <v>1.082693023</v>
      </c>
      <c r="AT191" s="316">
        <v>1.289751772</v>
      </c>
      <c r="AU191" s="316">
        <v>1.012765224</v>
      </c>
      <c r="AV191" s="316">
        <v>1.2707604369999999</v>
      </c>
      <c r="AW191" s="316">
        <v>1.3383013519450802</v>
      </c>
      <c r="AX191" s="316">
        <v>1.16251939263108</v>
      </c>
      <c r="AY191" s="316">
        <v>1.9071989642179998</v>
      </c>
      <c r="AZ191" s="316">
        <v>1.4149711079159999</v>
      </c>
      <c r="BA191" s="316">
        <v>1.5846556833136001</v>
      </c>
      <c r="BB191" s="316">
        <v>1.0472778182</v>
      </c>
      <c r="BC191" s="316">
        <v>1.45509477725</v>
      </c>
      <c r="BD191" s="316">
        <v>1.0988167422216</v>
      </c>
      <c r="BE191" s="316">
        <v>1.5396962732063704</v>
      </c>
      <c r="BF191" s="316">
        <v>1.7943395398980002</v>
      </c>
      <c r="BG191" s="316">
        <v>1.2171819070658225</v>
      </c>
      <c r="BH191" s="316">
        <v>1.6267583445915532</v>
      </c>
      <c r="BI191" s="316">
        <v>1.318814910889486</v>
      </c>
      <c r="BJ191" s="316">
        <v>1.3396010998952927</v>
      </c>
      <c r="BK191" s="316">
        <v>1.4919876956492435</v>
      </c>
      <c r="BL191" s="316">
        <v>1.7050419736488096</v>
      </c>
      <c r="BM191" s="316">
        <v>1.5254219147709966</v>
      </c>
      <c r="BN191" s="316">
        <v>1.5492383628302304</v>
      </c>
      <c r="BO191" s="316">
        <v>1.7446721241936403</v>
      </c>
      <c r="BP191" s="316">
        <v>1.3767693720119418</v>
      </c>
      <c r="BQ191" s="316">
        <v>1.8210153277058536</v>
      </c>
      <c r="BR191" s="316">
        <v>1.6703414440604034</v>
      </c>
      <c r="BS191" s="316">
        <v>1.7215646491039862</v>
      </c>
      <c r="BT191" s="316">
        <v>1.8661818841393014</v>
      </c>
      <c r="BU191" s="316">
        <v>1.8288415296314879</v>
      </c>
      <c r="BV191" s="316">
        <v>2.0123911977473763</v>
      </c>
      <c r="BW191" s="316">
        <v>1.7180797921588167</v>
      </c>
      <c r="BX191" s="316">
        <v>1.7533135903551735</v>
      </c>
      <c r="BY191" s="316">
        <v>1.7432182789663309</v>
      </c>
      <c r="BZ191" s="316">
        <v>1.5864968863984323</v>
      </c>
      <c r="CA191" s="316">
        <v>1.6189843254302851</v>
      </c>
      <c r="CB191" s="316">
        <v>2.2510697330064624</v>
      </c>
      <c r="CC191" s="316">
        <v>1.7684114761229439</v>
      </c>
      <c r="CD191" s="316">
        <v>0</v>
      </c>
      <c r="CE191" s="317">
        <v>0</v>
      </c>
      <c r="CF191" s="316">
        <v>0</v>
      </c>
      <c r="CG191" s="316">
        <v>0</v>
      </c>
      <c r="CH191" s="316">
        <v>0</v>
      </c>
      <c r="CI191" s="316">
        <v>0</v>
      </c>
      <c r="CJ191" s="316">
        <v>0</v>
      </c>
      <c r="CK191" s="316">
        <v>0</v>
      </c>
      <c r="CL191" s="316">
        <v>0</v>
      </c>
      <c r="CM191" s="316">
        <v>0</v>
      </c>
      <c r="CN191" s="316">
        <v>0</v>
      </c>
      <c r="CO191" s="316">
        <v>0</v>
      </c>
      <c r="CP191" s="318">
        <v>0</v>
      </c>
      <c r="CQ191" s="316">
        <v>0.69046273699999994</v>
      </c>
      <c r="CR191" s="316">
        <v>0.33372785900000002</v>
      </c>
      <c r="CS191" s="316">
        <v>1.6745578539999999</v>
      </c>
      <c r="CT191" s="316">
        <v>0.42409683999999997</v>
      </c>
      <c r="CU191" s="316">
        <v>0.43759795600000001</v>
      </c>
      <c r="CV191" s="316">
        <v>0.89834770900000005</v>
      </c>
      <c r="CW191" s="316">
        <v>0.87849677100000001</v>
      </c>
      <c r="CX191" s="316">
        <v>0.28420994599999999</v>
      </c>
      <c r="CY191" s="316">
        <v>0.28015272299999999</v>
      </c>
      <c r="CZ191" s="316">
        <v>0.73828567099999998</v>
      </c>
      <c r="DA191" s="316">
        <v>2.0817381610000001</v>
      </c>
      <c r="DB191" s="1498">
        <v>0.64485734500000003</v>
      </c>
      <c r="DC191" s="316">
        <v>0</v>
      </c>
      <c r="DD191" s="316">
        <v>0</v>
      </c>
      <c r="DE191" s="316">
        <v>0</v>
      </c>
      <c r="DF191" s="316">
        <v>0</v>
      </c>
      <c r="DG191" s="316">
        <v>0</v>
      </c>
      <c r="DH191" s="316">
        <v>0</v>
      </c>
      <c r="DI191" s="316">
        <v>0</v>
      </c>
      <c r="DJ191" s="316">
        <v>0</v>
      </c>
      <c r="DK191" s="316">
        <v>0</v>
      </c>
      <c r="DL191" s="316">
        <v>0</v>
      </c>
      <c r="DM191" s="316">
        <v>0</v>
      </c>
      <c r="DN191" s="318">
        <v>0</v>
      </c>
      <c r="DO191" s="316">
        <v>0</v>
      </c>
      <c r="DP191" s="316">
        <v>0</v>
      </c>
      <c r="DQ191" s="316">
        <v>0</v>
      </c>
      <c r="DR191" s="316">
        <v>0</v>
      </c>
      <c r="DS191" s="316">
        <v>0</v>
      </c>
      <c r="DT191" s="316">
        <v>0</v>
      </c>
      <c r="DU191" s="316">
        <v>0</v>
      </c>
      <c r="DV191" s="316">
        <v>0</v>
      </c>
      <c r="DW191" s="316">
        <v>0</v>
      </c>
      <c r="DX191" s="316">
        <v>0</v>
      </c>
      <c r="DY191" s="316">
        <v>0</v>
      </c>
      <c r="DZ191" s="318">
        <v>0</v>
      </c>
      <c r="EA191" s="316">
        <v>0</v>
      </c>
      <c r="EB191" s="316">
        <v>0</v>
      </c>
      <c r="EC191" s="316">
        <v>0</v>
      </c>
      <c r="ED191" s="316">
        <v>0</v>
      </c>
      <c r="EE191" s="316">
        <v>0</v>
      </c>
      <c r="EF191" s="316">
        <v>0</v>
      </c>
      <c r="EG191" s="316">
        <v>0</v>
      </c>
      <c r="EH191" s="316">
        <v>0</v>
      </c>
      <c r="EI191" s="316">
        <v>0</v>
      </c>
      <c r="EJ191" s="316">
        <v>0</v>
      </c>
      <c r="EK191" s="316">
        <v>0</v>
      </c>
      <c r="EL191" s="318">
        <v>0</v>
      </c>
      <c r="EM191" s="1206">
        <v>0</v>
      </c>
      <c r="EN191" s="1206">
        <v>0</v>
      </c>
      <c r="EO191" s="1206">
        <v>0</v>
      </c>
      <c r="EP191" s="1206">
        <v>0</v>
      </c>
      <c r="EQ191" s="1206">
        <v>0</v>
      </c>
      <c r="ER191" s="1206">
        <v>0</v>
      </c>
      <c r="ES191" s="1206">
        <v>0</v>
      </c>
      <c r="ET191" s="1206">
        <v>0</v>
      </c>
      <c r="EU191" s="1206">
        <v>0</v>
      </c>
      <c r="EV191" s="1206">
        <v>0</v>
      </c>
      <c r="EW191" s="1206">
        <v>0</v>
      </c>
      <c r="EX191" s="1550">
        <v>0</v>
      </c>
      <c r="EY191" s="1206"/>
      <c r="EZ191" s="1206"/>
      <c r="FA191" s="1206"/>
      <c r="FB191" s="1206"/>
      <c r="FC191" s="1206"/>
      <c r="FD191" s="1206"/>
      <c r="FE191" s="1206"/>
      <c r="FF191" s="1206"/>
      <c r="FG191" s="1206"/>
      <c r="FH191" s="1206"/>
      <c r="FI191" s="1206"/>
      <c r="FJ191" s="1550"/>
      <c r="FK191" s="1206"/>
      <c r="FL191" s="1206"/>
      <c r="FM191" s="1206"/>
      <c r="FN191" s="1206"/>
      <c r="FO191" s="1206"/>
      <c r="FP191" s="1206"/>
      <c r="FQ191" s="316"/>
      <c r="FR191" s="316"/>
      <c r="FS191" s="316"/>
      <c r="FT191" s="316"/>
      <c r="FU191" s="316"/>
      <c r="FV191" s="316"/>
      <c r="FW191" s="316"/>
      <c r="FX191" s="316"/>
      <c r="FY191" s="316"/>
      <c r="FZ191" s="316"/>
      <c r="GA191" s="316"/>
      <c r="GB191" s="316"/>
      <c r="GC191" s="316"/>
      <c r="GD191" s="316"/>
      <c r="GE191" s="316"/>
      <c r="GF191" s="316"/>
      <c r="GG191" s="316"/>
      <c r="GH191" s="316"/>
      <c r="GI191" s="316"/>
      <c r="GJ191" s="316"/>
      <c r="GK191" s="316"/>
      <c r="GL191" s="316"/>
      <c r="GM191" s="316"/>
      <c r="GN191" s="316"/>
      <c r="GO191" s="316"/>
      <c r="GP191" s="316"/>
      <c r="GQ191" s="316"/>
      <c r="GR191" s="316"/>
      <c r="GS191" s="316"/>
      <c r="GT191" s="316"/>
      <c r="GU191" s="316"/>
      <c r="GV191" s="316"/>
      <c r="GW191" s="316"/>
      <c r="GX191" s="316"/>
      <c r="GY191" s="316"/>
      <c r="GZ191" s="316"/>
      <c r="HA191" s="316"/>
      <c r="HB191" s="316"/>
      <c r="HC191" s="316"/>
      <c r="HD191" s="316"/>
      <c r="HE191" s="316"/>
      <c r="HF191" s="316"/>
      <c r="HG191" s="316"/>
      <c r="HH191" s="316"/>
      <c r="HI191" s="316"/>
      <c r="HJ191" s="316"/>
      <c r="HK191" s="316"/>
      <c r="HL191" s="316"/>
      <c r="HM191" s="316"/>
      <c r="HV191" s="302">
        <f t="shared" si="36"/>
        <v>0</v>
      </c>
      <c r="HW191" s="302">
        <f t="shared" si="37"/>
        <v>0</v>
      </c>
      <c r="HX191" s="346">
        <f t="shared" si="32"/>
        <v>0</v>
      </c>
      <c r="HY191" s="302">
        <f t="shared" si="38"/>
        <v>0</v>
      </c>
      <c r="KH191" s="303"/>
    </row>
    <row r="192" spans="2:294" outlineLevel="1">
      <c r="B192" s="117" t="s">
        <v>361</v>
      </c>
      <c r="D192" s="332" t="s">
        <v>448</v>
      </c>
      <c r="E192" s="316">
        <v>2.2592518260000003</v>
      </c>
      <c r="F192" s="316">
        <v>2.014925458</v>
      </c>
      <c r="G192" s="316">
        <v>2.6956078455999997</v>
      </c>
      <c r="H192" s="316">
        <v>3.0237900077999997</v>
      </c>
      <c r="I192" s="316">
        <v>2.7295611709999998</v>
      </c>
      <c r="J192" s="316">
        <v>2.6869124457</v>
      </c>
      <c r="K192" s="316">
        <v>2.3318610402999997</v>
      </c>
      <c r="L192" s="316">
        <v>3.2033428023999999</v>
      </c>
      <c r="M192" s="316">
        <v>2.4158126736000001</v>
      </c>
      <c r="N192" s="316">
        <v>2.4991312107999999</v>
      </c>
      <c r="O192" s="316">
        <v>2.5836144210000005</v>
      </c>
      <c r="P192" s="316">
        <v>2.5763770176</v>
      </c>
      <c r="Q192" s="316">
        <v>2.6505820039999999</v>
      </c>
      <c r="R192" s="316">
        <v>2.6575226879999998</v>
      </c>
      <c r="S192" s="316">
        <v>3.5901670350000003</v>
      </c>
      <c r="T192" s="316">
        <v>3.0041761019999997</v>
      </c>
      <c r="U192" s="316">
        <v>3.6264561880000001</v>
      </c>
      <c r="V192" s="316">
        <v>3.9656708439999999</v>
      </c>
      <c r="W192" s="316">
        <v>3.5012916330000001</v>
      </c>
      <c r="X192" s="316">
        <v>3.6986789559999997</v>
      </c>
      <c r="Y192" s="316">
        <v>4.0191855140000001</v>
      </c>
      <c r="Z192" s="316">
        <v>5.1095316670000006</v>
      </c>
      <c r="AA192" s="316">
        <v>4.2018960009999997</v>
      </c>
      <c r="AB192" s="316">
        <v>6.1066210719999994</v>
      </c>
      <c r="AC192" s="316">
        <v>3.7671264120999997</v>
      </c>
      <c r="AD192" s="316">
        <v>4.6877666362000001</v>
      </c>
      <c r="AE192" s="316">
        <v>5.0816161306000005</v>
      </c>
      <c r="AF192" s="316">
        <v>4.4222002749999998</v>
      </c>
      <c r="AG192" s="316">
        <v>3.9024345846999995</v>
      </c>
      <c r="AH192" s="316">
        <v>4.7647870801999996</v>
      </c>
      <c r="AI192" s="316">
        <v>2.9568654295000001</v>
      </c>
      <c r="AJ192" s="316">
        <v>2.7410340171999996</v>
      </c>
      <c r="AK192" s="316">
        <v>1.9899647599999999</v>
      </c>
      <c r="AL192" s="316">
        <v>2.9417247686999999</v>
      </c>
      <c r="AM192" s="316">
        <v>3.1583616149999996</v>
      </c>
      <c r="AN192" s="316">
        <v>2.8762059641</v>
      </c>
      <c r="AO192" s="316">
        <v>2.1540306920000001</v>
      </c>
      <c r="AP192" s="316">
        <v>2.1914707339999997</v>
      </c>
      <c r="AQ192" s="316">
        <v>2.5383525719999995</v>
      </c>
      <c r="AR192" s="316">
        <v>2.282658327</v>
      </c>
      <c r="AS192" s="316">
        <v>2.1364757680000004</v>
      </c>
      <c r="AT192" s="316">
        <v>2.3181811090000002</v>
      </c>
      <c r="AU192" s="316">
        <v>2.1699009770000002</v>
      </c>
      <c r="AV192" s="316">
        <v>2.1494145809999998</v>
      </c>
      <c r="AW192" s="316">
        <v>2.3164283490000002</v>
      </c>
      <c r="AX192" s="316">
        <v>2.3008920069999999</v>
      </c>
      <c r="AY192" s="316">
        <v>2.5809758239999998</v>
      </c>
      <c r="AZ192" s="316">
        <v>3.3310534900000004</v>
      </c>
      <c r="BA192" s="316">
        <v>2.6638330409999997</v>
      </c>
      <c r="BB192" s="316">
        <v>2.3600145189999999</v>
      </c>
      <c r="BC192" s="316">
        <v>2.6475652410000006</v>
      </c>
      <c r="BD192" s="316">
        <v>2.0567703370000001</v>
      </c>
      <c r="BE192" s="316">
        <v>2.5948458479999998</v>
      </c>
      <c r="BF192" s="316">
        <v>2.6278005700000002</v>
      </c>
      <c r="BG192" s="316">
        <v>2.6107166510000002</v>
      </c>
      <c r="BH192" s="316">
        <v>3.091951865</v>
      </c>
      <c r="BI192" s="316">
        <v>2.9404031380000002</v>
      </c>
      <c r="BJ192" s="316">
        <v>2.667449639</v>
      </c>
      <c r="BK192" s="316">
        <v>2.9994482310000001</v>
      </c>
      <c r="BL192" s="316">
        <v>3.563739006</v>
      </c>
      <c r="BM192" s="316">
        <v>3.0607413899999996</v>
      </c>
      <c r="BN192" s="316">
        <v>3.2903629670000001</v>
      </c>
      <c r="BO192" s="316">
        <v>3.6684038210000001</v>
      </c>
      <c r="BP192" s="316">
        <v>3.3176136920000006</v>
      </c>
      <c r="BQ192" s="316">
        <v>4.4489102969999994</v>
      </c>
      <c r="BR192" s="316">
        <v>3.099957109</v>
      </c>
      <c r="BS192" s="316">
        <v>5.6652627510000002</v>
      </c>
      <c r="BT192" s="316">
        <v>5.5167007180000001</v>
      </c>
      <c r="BU192" s="316">
        <v>3.7851631840000004</v>
      </c>
      <c r="BV192" s="316">
        <v>3.843894852</v>
      </c>
      <c r="BW192" s="316">
        <v>3.7201749240000002</v>
      </c>
      <c r="BX192" s="316">
        <v>3.76540696</v>
      </c>
      <c r="BY192" s="316">
        <v>4.0547086649999997</v>
      </c>
      <c r="BZ192" s="316">
        <v>3.2822493419999996</v>
      </c>
      <c r="CA192" s="316">
        <v>3.21077587</v>
      </c>
      <c r="CB192" s="316">
        <v>3.2065292360000002</v>
      </c>
      <c r="CC192" s="316">
        <v>3.6739556950000001</v>
      </c>
      <c r="CD192" s="316">
        <v>2.4020269004188073</v>
      </c>
      <c r="CE192" s="317">
        <v>1.9337765021972675</v>
      </c>
      <c r="CF192" s="316">
        <v>1.8288542943007851</v>
      </c>
      <c r="CG192" s="316">
        <v>2.5520020298934396</v>
      </c>
      <c r="CH192" s="316">
        <v>2.2096294350452252</v>
      </c>
      <c r="CI192" s="316">
        <v>1.8083133546247239</v>
      </c>
      <c r="CJ192" s="316">
        <v>2.1623823208938009</v>
      </c>
      <c r="CK192" s="316">
        <v>2.0042194830250453</v>
      </c>
      <c r="CL192" s="316">
        <v>1.9624436171630721</v>
      </c>
      <c r="CM192" s="316">
        <v>1.9815824134642153</v>
      </c>
      <c r="CN192" s="316">
        <v>2.0239803312533597</v>
      </c>
      <c r="CO192" s="316">
        <v>1.8273638328576212</v>
      </c>
      <c r="CP192" s="318">
        <v>2.088726884605653</v>
      </c>
      <c r="CQ192" s="316">
        <v>1.9354408506233358</v>
      </c>
      <c r="CR192" s="316">
        <v>2.3671327554552253</v>
      </c>
      <c r="CS192" s="316">
        <v>2.4923512253225213</v>
      </c>
      <c r="CT192" s="316">
        <v>2.0451090547822162</v>
      </c>
      <c r="CU192" s="316">
        <v>1.9837426961943678</v>
      </c>
      <c r="CV192" s="316">
        <v>2.4548291674151379</v>
      </c>
      <c r="CW192" s="316">
        <v>1.9191719123825999</v>
      </c>
      <c r="CX192" s="316">
        <v>1.8696045928680809</v>
      </c>
      <c r="CY192" s="316">
        <v>2.0711762329117911</v>
      </c>
      <c r="CZ192" s="316">
        <v>2.1223709913900968</v>
      </c>
      <c r="DA192" s="316">
        <v>2.0173544903026883</v>
      </c>
      <c r="DB192" s="1498">
        <v>2.5874132982511866</v>
      </c>
      <c r="DC192" s="316">
        <v>2.5696098597798605</v>
      </c>
      <c r="DD192" s="316">
        <v>2.9128867376545529</v>
      </c>
      <c r="DE192" s="316">
        <v>2.8454542336511399</v>
      </c>
      <c r="DF192" s="316">
        <v>2.8844728096049548</v>
      </c>
      <c r="DG192" s="316">
        <v>2.7422700434726845</v>
      </c>
      <c r="DH192" s="316">
        <v>2.8678633868368055</v>
      </c>
      <c r="DI192" s="316">
        <v>2.7297334062201397</v>
      </c>
      <c r="DJ192" s="316">
        <v>2.7706360223454469</v>
      </c>
      <c r="DK192" s="316">
        <v>3.6775720623488604</v>
      </c>
      <c r="DL192" s="316">
        <v>3.5609213413950451</v>
      </c>
      <c r="DM192" s="316">
        <v>3.7136874025273157</v>
      </c>
      <c r="DN192" s="318">
        <v>4.0063761751631946</v>
      </c>
      <c r="DO192" s="316">
        <v>3.4702866769999998</v>
      </c>
      <c r="DP192" s="316">
        <v>3.900070419</v>
      </c>
      <c r="DQ192" s="316">
        <v>3.6639423350000002</v>
      </c>
      <c r="DR192" s="316">
        <v>3.871266103</v>
      </c>
      <c r="DS192" s="316">
        <v>3.87617404</v>
      </c>
      <c r="DT192" s="316">
        <v>4.0453988570000003</v>
      </c>
      <c r="DU192" s="316">
        <v>3.1836985320000002</v>
      </c>
      <c r="DV192" s="316">
        <v>3.2551214669999999</v>
      </c>
      <c r="DW192" s="316">
        <v>3.9352879110000001</v>
      </c>
      <c r="DX192" s="316">
        <v>3.494468082</v>
      </c>
      <c r="DY192" s="316">
        <v>3.7936700440000002</v>
      </c>
      <c r="DZ192" s="318">
        <v>4.078106569</v>
      </c>
      <c r="EA192" s="316">
        <v>3.7409128470000002</v>
      </c>
      <c r="EB192" s="316">
        <v>4.209405233</v>
      </c>
      <c r="EC192" s="316">
        <v>3.8614450200000001</v>
      </c>
      <c r="ED192" s="316">
        <v>4.0301945545999995</v>
      </c>
      <c r="EE192" s="316">
        <v>3.8320627838600001</v>
      </c>
      <c r="EF192" s="316">
        <v>4.2718638266299997</v>
      </c>
      <c r="EG192" s="316">
        <v>3.7337713314499998</v>
      </c>
      <c r="EH192" s="316">
        <v>3.7953239009700002</v>
      </c>
      <c r="EI192" s="316">
        <v>4.0891613230599999</v>
      </c>
      <c r="EJ192" s="316">
        <v>3.61801710694</v>
      </c>
      <c r="EK192" s="316">
        <v>4.1314867500100032</v>
      </c>
      <c r="EL192" s="318">
        <v>4.2038020090600003</v>
      </c>
      <c r="EM192" s="1206">
        <v>4.028536291</v>
      </c>
      <c r="EN192" s="1206">
        <v>4.6679601249999996</v>
      </c>
      <c r="EO192" s="1206">
        <v>4.3319909279999997</v>
      </c>
      <c r="EP192" s="1206">
        <v>3.8092113257766673</v>
      </c>
      <c r="EQ192" s="1206">
        <v>3.9850165277766672</v>
      </c>
      <c r="ER192" s="1206">
        <v>4.4106870967766669</v>
      </c>
      <c r="ES192" s="1206">
        <v>3.6190116130000001</v>
      </c>
      <c r="ET192" s="1206">
        <v>4.2930604560000001</v>
      </c>
      <c r="EU192" s="1206">
        <v>4.3362715070000002</v>
      </c>
      <c r="EV192" s="1206">
        <v>4.1400936179999999</v>
      </c>
      <c r="EW192" s="1206">
        <v>4.9625228730000002</v>
      </c>
      <c r="EX192" s="1550">
        <v>4.1354308376700004</v>
      </c>
      <c r="EY192" s="1206"/>
      <c r="EZ192" s="1206"/>
      <c r="FA192" s="1206"/>
      <c r="FB192" s="1206"/>
      <c r="FC192" s="1206"/>
      <c r="FD192" s="1206"/>
      <c r="FE192" s="1206"/>
      <c r="FF192" s="1206"/>
      <c r="FG192" s="1206"/>
      <c r="FH192" s="1206"/>
      <c r="FI192" s="1206"/>
      <c r="FJ192" s="1550"/>
      <c r="FK192" s="1206"/>
      <c r="FL192" s="1206"/>
      <c r="FM192" s="1206"/>
      <c r="FN192" s="1206"/>
      <c r="FO192" s="1206"/>
      <c r="FP192" s="1206"/>
      <c r="FQ192" s="316"/>
      <c r="FR192" s="316"/>
      <c r="FS192" s="316"/>
      <c r="FT192" s="316"/>
      <c r="FU192" s="316"/>
      <c r="FV192" s="316"/>
      <c r="FW192" s="316"/>
      <c r="FX192" s="316"/>
      <c r="FY192" s="316"/>
      <c r="FZ192" s="316"/>
      <c r="GA192" s="316"/>
      <c r="GB192" s="316"/>
      <c r="GC192" s="316"/>
      <c r="GD192" s="316"/>
      <c r="GE192" s="316"/>
      <c r="GF192" s="316"/>
      <c r="GG192" s="316"/>
      <c r="GH192" s="316"/>
      <c r="GI192" s="316"/>
      <c r="GJ192" s="316"/>
      <c r="GK192" s="316"/>
      <c r="GL192" s="316"/>
      <c r="GM192" s="316"/>
      <c r="GN192" s="316"/>
      <c r="GO192" s="316"/>
      <c r="GP192" s="316"/>
      <c r="GQ192" s="316"/>
      <c r="GR192" s="316"/>
      <c r="GS192" s="316"/>
      <c r="GT192" s="316"/>
      <c r="GU192" s="316"/>
      <c r="GV192" s="316"/>
      <c r="GW192" s="316"/>
      <c r="GX192" s="316"/>
      <c r="GY192" s="316"/>
      <c r="GZ192" s="316"/>
      <c r="HA192" s="316"/>
      <c r="HB192" s="316"/>
      <c r="HC192" s="316"/>
      <c r="HD192" s="316"/>
      <c r="HE192" s="316"/>
      <c r="HF192" s="316"/>
      <c r="HG192" s="316"/>
      <c r="HH192" s="316"/>
      <c r="HI192" s="316"/>
      <c r="HJ192" s="316"/>
      <c r="HK192" s="316"/>
      <c r="HL192" s="316"/>
      <c r="HM192" s="316"/>
      <c r="HV192" s="302">
        <f t="shared" si="36"/>
        <v>16.822557070999999</v>
      </c>
      <c r="HW192" s="302">
        <f t="shared" si="37"/>
        <v>20.458926410000004</v>
      </c>
      <c r="HX192" s="346">
        <f t="shared" si="32"/>
        <v>37.281483481000002</v>
      </c>
      <c r="HY192" s="302">
        <f t="shared" si="38"/>
        <v>22.827138431000002</v>
      </c>
      <c r="HZ192" s="302">
        <f>SUM(DU192:DZ192)</f>
        <v>21.740352604999998</v>
      </c>
      <c r="KH192" s="303"/>
    </row>
    <row r="193" spans="1:294" outlineLevel="1">
      <c r="B193" s="117" t="s">
        <v>361</v>
      </c>
      <c r="D193" s="331" t="s">
        <v>449</v>
      </c>
      <c r="E193" s="316">
        <v>0</v>
      </c>
      <c r="F193" s="316">
        <v>0</v>
      </c>
      <c r="G193" s="316">
        <v>0</v>
      </c>
      <c r="H193" s="316">
        <v>0</v>
      </c>
      <c r="I193" s="316">
        <v>0</v>
      </c>
      <c r="J193" s="316">
        <v>0</v>
      </c>
      <c r="K193" s="316">
        <v>0</v>
      </c>
      <c r="L193" s="316">
        <v>0</v>
      </c>
      <c r="M193" s="316">
        <v>0</v>
      </c>
      <c r="N193" s="316">
        <v>0</v>
      </c>
      <c r="O193" s="316">
        <v>0</v>
      </c>
      <c r="P193" s="316">
        <v>0</v>
      </c>
      <c r="Q193" s="316">
        <v>0</v>
      </c>
      <c r="R193" s="316">
        <v>0</v>
      </c>
      <c r="S193" s="316">
        <v>0</v>
      </c>
      <c r="T193" s="316">
        <v>0</v>
      </c>
      <c r="U193" s="316">
        <v>0</v>
      </c>
      <c r="V193" s="316">
        <v>0</v>
      </c>
      <c r="W193" s="316">
        <v>0</v>
      </c>
      <c r="X193" s="316">
        <v>0</v>
      </c>
      <c r="Y193" s="316">
        <v>0</v>
      </c>
      <c r="Z193" s="316">
        <v>0</v>
      </c>
      <c r="AA193" s="316">
        <v>0</v>
      </c>
      <c r="AB193" s="316">
        <v>0</v>
      </c>
      <c r="AC193" s="316">
        <v>0</v>
      </c>
      <c r="AD193" s="316">
        <v>5.4048999999999997E-5</v>
      </c>
      <c r="AE193" s="316">
        <v>0</v>
      </c>
      <c r="AF193" s="316">
        <v>0</v>
      </c>
      <c r="AG193" s="316">
        <v>0</v>
      </c>
      <c r="AH193" s="316">
        <v>0</v>
      </c>
      <c r="AI193" s="316">
        <v>1.5581505000000001E-2</v>
      </c>
      <c r="AJ193" s="316">
        <v>0</v>
      </c>
      <c r="AK193" s="316">
        <v>0</v>
      </c>
      <c r="AL193" s="316">
        <v>1.456265E-3</v>
      </c>
      <c r="AM193" s="316">
        <v>0</v>
      </c>
      <c r="AN193" s="316">
        <v>1.5581505000000001E-2</v>
      </c>
      <c r="AO193" s="316">
        <v>0</v>
      </c>
      <c r="AP193" s="316">
        <v>0</v>
      </c>
      <c r="AQ193" s="316">
        <v>0</v>
      </c>
      <c r="AR193" s="316">
        <v>0</v>
      </c>
      <c r="AS193" s="316">
        <v>0</v>
      </c>
      <c r="AT193" s="316">
        <v>0</v>
      </c>
      <c r="AU193" s="316">
        <v>0</v>
      </c>
      <c r="AV193" s="316">
        <v>0</v>
      </c>
      <c r="AW193" s="316">
        <v>0</v>
      </c>
      <c r="AX193" s="316">
        <v>0</v>
      </c>
      <c r="AY193" s="316">
        <v>0</v>
      </c>
      <c r="AZ193" s="316">
        <v>0</v>
      </c>
      <c r="BA193" s="316">
        <v>0</v>
      </c>
      <c r="BB193" s="316">
        <v>0</v>
      </c>
      <c r="BC193" s="316">
        <v>0</v>
      </c>
      <c r="BD193" s="316">
        <v>0</v>
      </c>
      <c r="BE193" s="316">
        <v>0</v>
      </c>
      <c r="BF193" s="316">
        <v>0</v>
      </c>
      <c r="BG193" s="316">
        <v>0</v>
      </c>
      <c r="BH193" s="316">
        <v>0</v>
      </c>
      <c r="BI193" s="316">
        <v>0</v>
      </c>
      <c r="BJ193" s="316">
        <v>0</v>
      </c>
      <c r="BK193" s="316">
        <v>0</v>
      </c>
      <c r="BL193" s="316">
        <v>0</v>
      </c>
      <c r="BM193" s="316">
        <v>0</v>
      </c>
      <c r="BN193" s="316">
        <v>0</v>
      </c>
      <c r="BO193" s="316">
        <v>0</v>
      </c>
      <c r="BP193" s="316">
        <v>0</v>
      </c>
      <c r="BQ193" s="316">
        <v>0</v>
      </c>
      <c r="BR193" s="316">
        <v>0</v>
      </c>
      <c r="BS193" s="316">
        <v>0</v>
      </c>
      <c r="BT193" s="316">
        <v>0</v>
      </c>
      <c r="BU193" s="316">
        <v>0</v>
      </c>
      <c r="BV193" s="316">
        <v>0</v>
      </c>
      <c r="BW193" s="316">
        <v>0</v>
      </c>
      <c r="BX193" s="316">
        <v>0</v>
      </c>
      <c r="BY193" s="316">
        <v>0</v>
      </c>
      <c r="BZ193" s="316">
        <v>0</v>
      </c>
      <c r="CA193" s="316">
        <v>0</v>
      </c>
      <c r="CB193" s="316">
        <v>0</v>
      </c>
      <c r="CC193" s="316">
        <v>0</v>
      </c>
      <c r="CD193" s="316">
        <v>4.4572365920000001</v>
      </c>
      <c r="CE193" s="317">
        <v>3.9393244790000002</v>
      </c>
      <c r="CF193" s="316">
        <v>3.8202676950000001</v>
      </c>
      <c r="CG193" s="316">
        <v>4.3750961170000009</v>
      </c>
      <c r="CH193" s="316">
        <v>4.9460916490000004</v>
      </c>
      <c r="CI193" s="316">
        <v>4.5951193520000002</v>
      </c>
      <c r="CJ193" s="316">
        <v>4.8533161430000007</v>
      </c>
      <c r="CK193" s="316">
        <v>5.2829806130000003</v>
      </c>
      <c r="CL193" s="316">
        <v>4.6631892639999997</v>
      </c>
      <c r="CM193" s="316">
        <v>4.853641917</v>
      </c>
      <c r="CN193" s="316">
        <v>4.6720987699999998</v>
      </c>
      <c r="CO193" s="316">
        <v>5.1804120569999998</v>
      </c>
      <c r="CP193" s="318">
        <v>6.6748379409999998</v>
      </c>
      <c r="CQ193" s="316">
        <v>4.4563394450000002</v>
      </c>
      <c r="CR193" s="316">
        <v>4.3919501279999995</v>
      </c>
      <c r="CS193" s="316">
        <v>5.0807098110000002</v>
      </c>
      <c r="CT193" s="316">
        <v>4.5882690229999996</v>
      </c>
      <c r="CU193" s="316">
        <v>5.1776039040000006</v>
      </c>
      <c r="CV193" s="316">
        <v>5.0770663970000003</v>
      </c>
      <c r="CW193" s="316">
        <v>5.7757457929999996</v>
      </c>
      <c r="CX193" s="316">
        <v>5.1678418309999996</v>
      </c>
      <c r="CY193" s="316">
        <v>5.3520139840000001</v>
      </c>
      <c r="CZ193" s="316">
        <v>5.4402056289999994</v>
      </c>
      <c r="DA193" s="316">
        <v>6.3478676700000003</v>
      </c>
      <c r="DB193" s="1498">
        <v>6.5963300519999999</v>
      </c>
      <c r="DC193" s="636">
        <v>5.4445769111376707</v>
      </c>
      <c r="DD193" s="636">
        <v>5.805323652966166</v>
      </c>
      <c r="DE193" s="636">
        <v>6.8912519040461664</v>
      </c>
      <c r="DF193" s="636">
        <v>7.8815760578910536</v>
      </c>
      <c r="DG193" s="636">
        <v>6.9713311465128545</v>
      </c>
      <c r="DH193" s="636">
        <v>8.1799067232881555</v>
      </c>
      <c r="DI193" s="636">
        <v>6.5955284107216379</v>
      </c>
      <c r="DJ193" s="636">
        <v>6.6938668656392997</v>
      </c>
      <c r="DK193" s="636">
        <v>7.0590422128204722</v>
      </c>
      <c r="DL193" s="636">
        <v>7.087590191428438</v>
      </c>
      <c r="DM193" s="636">
        <v>7.4229804772847547</v>
      </c>
      <c r="DN193" s="653">
        <v>7.8521124858999043</v>
      </c>
      <c r="DO193" s="636">
        <v>6.5610445010000005</v>
      </c>
      <c r="DP193" s="636">
        <v>7.3270348959999998</v>
      </c>
      <c r="DQ193" s="636">
        <v>7.2908090130000005</v>
      </c>
      <c r="DR193" s="636">
        <v>6.6548213110000001</v>
      </c>
      <c r="DS193" s="636">
        <v>7.0344070729999997</v>
      </c>
      <c r="DT193" s="636">
        <v>7.9401631290000001</v>
      </c>
      <c r="DU193" s="636">
        <v>7.2879551160000009</v>
      </c>
      <c r="DV193" s="636">
        <v>6.9474123759999991</v>
      </c>
      <c r="DW193" s="636">
        <v>8.5377774140000007</v>
      </c>
      <c r="DX193" s="636">
        <v>7.1242365200000002</v>
      </c>
      <c r="DY193" s="636">
        <v>9.4087535320000004</v>
      </c>
      <c r="DZ193" s="653">
        <v>9.0894584079999987</v>
      </c>
      <c r="EA193" s="636">
        <v>7.1439643850000003</v>
      </c>
      <c r="EB193" s="636">
        <v>7.3806015580000004</v>
      </c>
      <c r="EC193" s="636">
        <v>8.2485887610000006</v>
      </c>
      <c r="ED193" s="636">
        <v>8.7947602640000007</v>
      </c>
      <c r="EE193" s="636">
        <v>7.7643052749999999</v>
      </c>
      <c r="EF193" s="636">
        <v>9.0628797320000007</v>
      </c>
      <c r="EG193" s="636">
        <v>9.2121257239999998</v>
      </c>
      <c r="EH193" s="636">
        <v>7.2475529339999998</v>
      </c>
      <c r="EI193" s="636">
        <v>8.6403218250000009</v>
      </c>
      <c r="EJ193" s="636">
        <v>7.3190470420000002</v>
      </c>
      <c r="EK193" s="636">
        <v>8.6909410600000001</v>
      </c>
      <c r="EL193" s="653">
        <v>8.626191575</v>
      </c>
      <c r="EM193" s="1209">
        <v>8.0683065989999996</v>
      </c>
      <c r="EN193" s="1209">
        <v>9.4906773229999999</v>
      </c>
      <c r="EO193" s="1209">
        <v>7.7190137739999996</v>
      </c>
      <c r="EP193" s="1209">
        <v>8.2399675400000003</v>
      </c>
      <c r="EQ193" s="1209">
        <v>9.2015794169999996</v>
      </c>
      <c r="ER193" s="1209">
        <v>10.894658637999999</v>
      </c>
      <c r="ES193" s="1209">
        <v>10.091343062856238</v>
      </c>
      <c r="ET193" s="1209">
        <v>9.3960448855626328</v>
      </c>
      <c r="EU193" s="1209">
        <v>8.9297695994327615</v>
      </c>
      <c r="EV193" s="1209">
        <v>10.472205665552421</v>
      </c>
      <c r="EW193" s="1209">
        <v>9.9040917576417105</v>
      </c>
      <c r="EX193" s="1539">
        <v>9.3201618568994924</v>
      </c>
      <c r="EY193" s="1209"/>
      <c r="EZ193" s="1209"/>
      <c r="FA193" s="1209"/>
      <c r="FB193" s="1209"/>
      <c r="FC193" s="1209"/>
      <c r="FD193" s="1209"/>
      <c r="FE193" s="1209"/>
      <c r="FF193" s="1209"/>
      <c r="FG193" s="1209"/>
      <c r="FH193" s="1209"/>
      <c r="FI193" s="1209"/>
      <c r="FJ193" s="1539"/>
      <c r="FK193" s="1209"/>
      <c r="FL193" s="1209"/>
      <c r="FM193" s="1209"/>
      <c r="FN193" s="1209"/>
      <c r="FO193" s="1209"/>
      <c r="FP193" s="1209"/>
      <c r="FQ193" s="636"/>
      <c r="FR193" s="636"/>
      <c r="FS193" s="636"/>
      <c r="FT193" s="636"/>
      <c r="FU193" s="636"/>
      <c r="FV193" s="636"/>
      <c r="FW193" s="636"/>
      <c r="FX193" s="636"/>
      <c r="FY193" s="636"/>
      <c r="FZ193" s="636"/>
      <c r="GA193" s="636"/>
      <c r="GB193" s="636"/>
      <c r="GC193" s="636"/>
      <c r="GD193" s="636"/>
      <c r="GE193" s="636"/>
      <c r="GF193" s="636"/>
      <c r="GG193" s="636"/>
      <c r="GH193" s="636"/>
      <c r="GI193" s="636"/>
      <c r="GJ193" s="636"/>
      <c r="GK193" s="636"/>
      <c r="GL193" s="636"/>
      <c r="GM193" s="636"/>
      <c r="GN193" s="636"/>
      <c r="GO193" s="636"/>
      <c r="GP193" s="636"/>
      <c r="GQ193" s="636"/>
      <c r="GR193" s="636"/>
      <c r="GS193" s="636"/>
      <c r="GT193" s="636"/>
      <c r="GU193" s="636"/>
      <c r="GV193" s="636"/>
      <c r="GW193" s="636"/>
      <c r="GX193" s="636"/>
      <c r="GY193" s="636"/>
      <c r="GZ193" s="636"/>
      <c r="HA193" s="636"/>
      <c r="HB193" s="636"/>
      <c r="HC193" s="636"/>
      <c r="HD193" s="636"/>
      <c r="HE193" s="636"/>
      <c r="HF193" s="636"/>
      <c r="HG193" s="636"/>
      <c r="HH193" s="636"/>
      <c r="HI193" s="636"/>
      <c r="HJ193" s="636"/>
      <c r="HK193" s="636"/>
      <c r="HL193" s="636"/>
      <c r="HM193" s="636"/>
      <c r="HV193" s="637">
        <f t="shared" si="36"/>
        <v>41.173966395842065</v>
      </c>
      <c r="HW193" s="637">
        <f t="shared" si="37"/>
        <v>42.711120643794501</v>
      </c>
      <c r="HX193" s="346">
        <f t="shared" si="32"/>
        <v>83.885087039636574</v>
      </c>
      <c r="HY193" s="302">
        <f t="shared" si="38"/>
        <v>42.808279922999994</v>
      </c>
      <c r="KH193" s="303"/>
    </row>
    <row r="194" spans="1:294" outlineLevel="1">
      <c r="B194" s="117" t="s">
        <v>361</v>
      </c>
      <c r="D194" s="332" t="s">
        <v>450</v>
      </c>
      <c r="E194" s="316">
        <v>0</v>
      </c>
      <c r="F194" s="316">
        <v>0</v>
      </c>
      <c r="G194" s="316">
        <v>0</v>
      </c>
      <c r="H194" s="316">
        <v>0</v>
      </c>
      <c r="I194" s="316">
        <v>0</v>
      </c>
      <c r="J194" s="316">
        <v>0</v>
      </c>
      <c r="K194" s="316">
        <v>0</v>
      </c>
      <c r="L194" s="316">
        <v>0</v>
      </c>
      <c r="M194" s="316">
        <v>0</v>
      </c>
      <c r="N194" s="316">
        <v>0</v>
      </c>
      <c r="O194" s="316">
        <v>0</v>
      </c>
      <c r="P194" s="316">
        <v>0</v>
      </c>
      <c r="Q194" s="316">
        <v>0</v>
      </c>
      <c r="R194" s="316">
        <v>0</v>
      </c>
      <c r="S194" s="316">
        <v>0</v>
      </c>
      <c r="T194" s="316">
        <v>0</v>
      </c>
      <c r="U194" s="316">
        <v>0</v>
      </c>
      <c r="V194" s="316">
        <v>0</v>
      </c>
      <c r="W194" s="316">
        <v>0</v>
      </c>
      <c r="X194" s="316">
        <v>0</v>
      </c>
      <c r="Y194" s="316">
        <v>0</v>
      </c>
      <c r="Z194" s="316">
        <v>0</v>
      </c>
      <c r="AA194" s="316">
        <v>0</v>
      </c>
      <c r="AB194" s="316">
        <v>0</v>
      </c>
      <c r="AC194" s="316">
        <v>0</v>
      </c>
      <c r="AD194" s="316">
        <v>0</v>
      </c>
      <c r="AE194" s="316">
        <v>0</v>
      </c>
      <c r="AF194" s="316">
        <v>0</v>
      </c>
      <c r="AG194" s="316">
        <v>0</v>
      </c>
      <c r="AH194" s="316">
        <v>0</v>
      </c>
      <c r="AI194" s="316">
        <v>0</v>
      </c>
      <c r="AJ194" s="316">
        <v>0</v>
      </c>
      <c r="AK194" s="316">
        <v>0</v>
      </c>
      <c r="AL194" s="316">
        <v>0</v>
      </c>
      <c r="AM194" s="316">
        <v>0</v>
      </c>
      <c r="AN194" s="316">
        <v>0</v>
      </c>
      <c r="AO194" s="316">
        <v>0</v>
      </c>
      <c r="AP194" s="316">
        <v>0</v>
      </c>
      <c r="AQ194" s="316">
        <v>0</v>
      </c>
      <c r="AR194" s="316">
        <v>0</v>
      </c>
      <c r="AS194" s="316">
        <v>0</v>
      </c>
      <c r="AT194" s="316">
        <v>0</v>
      </c>
      <c r="AU194" s="316">
        <v>0</v>
      </c>
      <c r="AV194" s="316">
        <v>0</v>
      </c>
      <c r="AW194" s="316">
        <v>0</v>
      </c>
      <c r="AX194" s="316">
        <v>0</v>
      </c>
      <c r="AY194" s="316">
        <v>0</v>
      </c>
      <c r="AZ194" s="316">
        <v>0</v>
      </c>
      <c r="BA194" s="316">
        <v>0</v>
      </c>
      <c r="BB194" s="316">
        <v>0</v>
      </c>
      <c r="BC194" s="316">
        <v>0</v>
      </c>
      <c r="BD194" s="316">
        <v>0</v>
      </c>
      <c r="BE194" s="316">
        <v>0</v>
      </c>
      <c r="BF194" s="316">
        <v>0</v>
      </c>
      <c r="BG194" s="316">
        <v>0</v>
      </c>
      <c r="BH194" s="316">
        <v>0</v>
      </c>
      <c r="BI194" s="316">
        <v>0</v>
      </c>
      <c r="BJ194" s="316">
        <v>0</v>
      </c>
      <c r="BK194" s="316">
        <v>0</v>
      </c>
      <c r="BL194" s="316">
        <v>0</v>
      </c>
      <c r="BM194" s="316">
        <v>0</v>
      </c>
      <c r="BN194" s="316">
        <v>0</v>
      </c>
      <c r="BO194" s="316">
        <v>0</v>
      </c>
      <c r="BP194" s="316">
        <v>0</v>
      </c>
      <c r="BQ194" s="316">
        <v>0</v>
      </c>
      <c r="BR194" s="316">
        <v>0</v>
      </c>
      <c r="BS194" s="316">
        <v>0</v>
      </c>
      <c r="BT194" s="316">
        <v>0</v>
      </c>
      <c r="BU194" s="316">
        <v>0</v>
      </c>
      <c r="BV194" s="316">
        <v>0</v>
      </c>
      <c r="BW194" s="316">
        <v>0</v>
      </c>
      <c r="BX194" s="316">
        <v>0</v>
      </c>
      <c r="BY194" s="316">
        <v>0</v>
      </c>
      <c r="BZ194" s="316">
        <v>0</v>
      </c>
      <c r="CA194" s="316">
        <v>0</v>
      </c>
      <c r="CB194" s="316">
        <v>0</v>
      </c>
      <c r="CC194" s="316">
        <v>0</v>
      </c>
      <c r="CD194" s="316">
        <v>0</v>
      </c>
      <c r="CE194" s="317">
        <v>0</v>
      </c>
      <c r="CF194" s="316">
        <v>0</v>
      </c>
      <c r="CG194" s="316">
        <v>0</v>
      </c>
      <c r="CH194" s="316">
        <v>0</v>
      </c>
      <c r="CI194" s="316">
        <v>0</v>
      </c>
      <c r="CJ194" s="316">
        <v>0</v>
      </c>
      <c r="CK194" s="316">
        <v>0</v>
      </c>
      <c r="CL194" s="316">
        <v>0</v>
      </c>
      <c r="CM194" s="316">
        <v>0</v>
      </c>
      <c r="CN194" s="316">
        <v>0</v>
      </c>
      <c r="CO194" s="316">
        <v>0</v>
      </c>
      <c r="CP194" s="318">
        <v>0</v>
      </c>
      <c r="CQ194" s="316">
        <v>0</v>
      </c>
      <c r="CR194" s="316">
        <v>0</v>
      </c>
      <c r="CS194" s="316">
        <v>0</v>
      </c>
      <c r="CT194" s="316">
        <v>0</v>
      </c>
      <c r="CU194" s="316">
        <v>0</v>
      </c>
      <c r="CV194" s="316">
        <v>0</v>
      </c>
      <c r="CW194" s="316">
        <v>0</v>
      </c>
      <c r="CX194" s="316">
        <v>0</v>
      </c>
      <c r="CY194" s="316">
        <v>0</v>
      </c>
      <c r="CZ194" s="316">
        <v>0</v>
      </c>
      <c r="DA194" s="316">
        <v>0</v>
      </c>
      <c r="DB194" s="1498">
        <v>0</v>
      </c>
      <c r="DC194" s="316">
        <v>0</v>
      </c>
      <c r="DD194" s="316">
        <v>0</v>
      </c>
      <c r="DE194" s="316">
        <v>0</v>
      </c>
      <c r="DF194" s="316">
        <v>0</v>
      </c>
      <c r="DG194" s="316">
        <v>0</v>
      </c>
      <c r="DH194" s="316">
        <v>0</v>
      </c>
      <c r="DI194" s="316">
        <v>0</v>
      </c>
      <c r="DJ194" s="316">
        <v>0</v>
      </c>
      <c r="DK194" s="316">
        <v>0</v>
      </c>
      <c r="DL194" s="316">
        <v>0</v>
      </c>
      <c r="DM194" s="316">
        <v>0</v>
      </c>
      <c r="DN194" s="318">
        <v>0</v>
      </c>
      <c r="DO194" s="316">
        <v>0</v>
      </c>
      <c r="DP194" s="316">
        <v>0</v>
      </c>
      <c r="DQ194" s="316">
        <v>0</v>
      </c>
      <c r="DR194" s="316">
        <v>0</v>
      </c>
      <c r="DS194" s="316">
        <v>0</v>
      </c>
      <c r="DT194" s="316">
        <v>0</v>
      </c>
      <c r="DU194" s="316">
        <v>0</v>
      </c>
      <c r="DV194" s="316">
        <v>0</v>
      </c>
      <c r="DW194" s="316">
        <v>0</v>
      </c>
      <c r="DX194" s="316">
        <v>0</v>
      </c>
      <c r="DY194" s="316">
        <v>0</v>
      </c>
      <c r="DZ194" s="318">
        <v>0</v>
      </c>
      <c r="EA194" s="316">
        <v>0</v>
      </c>
      <c r="EB194" s="316">
        <v>0</v>
      </c>
      <c r="EC194" s="316">
        <v>0</v>
      </c>
      <c r="ED194" s="316">
        <v>0</v>
      </c>
      <c r="EE194" s="316">
        <v>0</v>
      </c>
      <c r="EF194" s="316">
        <v>0</v>
      </c>
      <c r="EG194" s="316">
        <v>0</v>
      </c>
      <c r="EH194" s="316">
        <v>0</v>
      </c>
      <c r="EI194" s="316">
        <v>0</v>
      </c>
      <c r="EJ194" s="316">
        <v>0</v>
      </c>
      <c r="EK194" s="316">
        <v>0</v>
      </c>
      <c r="EL194" s="318">
        <v>0</v>
      </c>
      <c r="EM194" s="1206">
        <v>0</v>
      </c>
      <c r="EN194" s="1206">
        <v>0</v>
      </c>
      <c r="EO194" s="1206">
        <v>0</v>
      </c>
      <c r="EP194" s="1206">
        <v>0</v>
      </c>
      <c r="EQ194" s="1206">
        <v>0</v>
      </c>
      <c r="ER194" s="1206">
        <v>0</v>
      </c>
      <c r="ES194" s="1206">
        <v>0</v>
      </c>
      <c r="ET194" s="1206">
        <v>0</v>
      </c>
      <c r="EU194" s="1206">
        <v>0</v>
      </c>
      <c r="EV194" s="1206">
        <v>0</v>
      </c>
      <c r="EW194" s="1206">
        <v>0</v>
      </c>
      <c r="EX194" s="1550">
        <v>0</v>
      </c>
      <c r="EY194" s="1206"/>
      <c r="EZ194" s="1206"/>
      <c r="FA194" s="1206"/>
      <c r="FB194" s="1206"/>
      <c r="FC194" s="1206"/>
      <c r="FD194" s="1206"/>
      <c r="FE194" s="1206"/>
      <c r="FF194" s="1206"/>
      <c r="FG194" s="1206"/>
      <c r="FH194" s="1206"/>
      <c r="FI194" s="1206"/>
      <c r="FJ194" s="1550"/>
      <c r="FK194" s="1206"/>
      <c r="FL194" s="1206"/>
      <c r="FM194" s="1206"/>
      <c r="FN194" s="1206"/>
      <c r="FO194" s="1206"/>
      <c r="FP194" s="1206"/>
      <c r="FQ194" s="316"/>
      <c r="FR194" s="316"/>
      <c r="FS194" s="316"/>
      <c r="FT194" s="316"/>
      <c r="FU194" s="316"/>
      <c r="FV194" s="316"/>
      <c r="FW194" s="316"/>
      <c r="FX194" s="316"/>
      <c r="FY194" s="316"/>
      <c r="FZ194" s="316"/>
      <c r="GA194" s="316"/>
      <c r="GB194" s="316"/>
      <c r="GC194" s="316"/>
      <c r="GD194" s="316"/>
      <c r="GE194" s="316"/>
      <c r="GF194" s="316"/>
      <c r="GG194" s="316"/>
      <c r="GH194" s="316"/>
      <c r="GI194" s="316"/>
      <c r="GJ194" s="316"/>
      <c r="GK194" s="316"/>
      <c r="GL194" s="316"/>
      <c r="GM194" s="316"/>
      <c r="GN194" s="316"/>
      <c r="GO194" s="316"/>
      <c r="GP194" s="316"/>
      <c r="GQ194" s="316"/>
      <c r="GR194" s="316"/>
      <c r="GS194" s="316"/>
      <c r="GT194" s="316"/>
      <c r="GU194" s="316"/>
      <c r="GV194" s="316"/>
      <c r="GW194" s="316"/>
      <c r="GX194" s="316"/>
      <c r="GY194" s="316"/>
      <c r="GZ194" s="316"/>
      <c r="HA194" s="316"/>
      <c r="HB194" s="316"/>
      <c r="HC194" s="316"/>
      <c r="HD194" s="316"/>
      <c r="HE194" s="316"/>
      <c r="HF194" s="316"/>
      <c r="HG194" s="316"/>
      <c r="HH194" s="316"/>
      <c r="HI194" s="316"/>
      <c r="HJ194" s="316"/>
      <c r="HK194" s="316"/>
      <c r="HL194" s="316"/>
      <c r="HM194" s="316"/>
      <c r="HV194" s="302">
        <f t="shared" si="36"/>
        <v>0</v>
      </c>
      <c r="HW194" s="302">
        <f t="shared" si="37"/>
        <v>0</v>
      </c>
      <c r="HX194" s="346">
        <f t="shared" si="32"/>
        <v>0</v>
      </c>
      <c r="HY194" s="302">
        <f t="shared" si="38"/>
        <v>0</v>
      </c>
      <c r="KH194" s="303"/>
    </row>
    <row r="195" spans="1:294" outlineLevel="1">
      <c r="B195" s="117" t="s">
        <v>361</v>
      </c>
      <c r="D195" s="319" t="s">
        <v>451</v>
      </c>
      <c r="E195" s="316">
        <v>2.1246493810000002</v>
      </c>
      <c r="F195" s="316">
        <v>1.8214421489999999</v>
      </c>
      <c r="G195" s="316">
        <v>2.2139975779999999</v>
      </c>
      <c r="H195" s="316">
        <v>2.0969566129999997</v>
      </c>
      <c r="I195" s="316">
        <v>2.5563688999999998</v>
      </c>
      <c r="J195" s="316">
        <v>2.2591644689999999</v>
      </c>
      <c r="K195" s="316">
        <v>2.1716784149999997</v>
      </c>
      <c r="L195" s="316">
        <v>2.7678751610000001</v>
      </c>
      <c r="M195" s="316">
        <v>1.9129404779999999</v>
      </c>
      <c r="N195" s="316">
        <v>2.206883602</v>
      </c>
      <c r="O195" s="316">
        <v>2.4344739530000004</v>
      </c>
      <c r="P195" s="316">
        <v>2.3539260230000001</v>
      </c>
      <c r="Q195" s="316">
        <v>2.4870534229999999</v>
      </c>
      <c r="R195" s="316">
        <v>2.4965501469999998</v>
      </c>
      <c r="S195" s="316">
        <v>3.0483832280000001</v>
      </c>
      <c r="T195" s="316">
        <v>2.5043777650000001</v>
      </c>
      <c r="U195" s="316">
        <v>3.3039303100000001</v>
      </c>
      <c r="V195" s="316">
        <v>3.2839433549999999</v>
      </c>
      <c r="W195" s="316">
        <v>3.355493359</v>
      </c>
      <c r="X195" s="316">
        <v>3.515916217</v>
      </c>
      <c r="Y195" s="316">
        <v>3.8514673880000001</v>
      </c>
      <c r="Z195" s="316">
        <v>4.0741596040000001</v>
      </c>
      <c r="AA195" s="316">
        <v>3.601628303</v>
      </c>
      <c r="AB195" s="316">
        <v>4.5306755949999999</v>
      </c>
      <c r="AC195" s="316">
        <v>3.4879829009999996</v>
      </c>
      <c r="AD195" s="316">
        <v>3.9359746279999999</v>
      </c>
      <c r="AE195" s="316">
        <v>3.9819497500000001</v>
      </c>
      <c r="AF195" s="316">
        <v>4.1965958179999996</v>
      </c>
      <c r="AG195" s="316">
        <v>3.4465601609999998</v>
      </c>
      <c r="AH195" s="316">
        <v>3.325273825</v>
      </c>
      <c r="AI195" s="316">
        <v>2.3099364959999997</v>
      </c>
      <c r="AJ195" s="316">
        <v>2.0838579479999999</v>
      </c>
      <c r="AK195" s="316">
        <v>1.828618984</v>
      </c>
      <c r="AL195" s="316">
        <v>1.9240610409999999</v>
      </c>
      <c r="AM195" s="316">
        <v>2.5859281139999997</v>
      </c>
      <c r="AN195" s="316">
        <v>2.383491018</v>
      </c>
      <c r="AO195" s="316">
        <v>1.9078862249999999</v>
      </c>
      <c r="AP195" s="316">
        <v>2.0092739489999998</v>
      </c>
      <c r="AQ195" s="316">
        <v>2.3833305489999996</v>
      </c>
      <c r="AR195" s="316">
        <v>2.1207370210000001</v>
      </c>
      <c r="AS195" s="316">
        <v>2.0126609220000002</v>
      </c>
      <c r="AT195" s="316">
        <v>2.0947642320000002</v>
      </c>
      <c r="AU195" s="316">
        <v>1.959893723</v>
      </c>
      <c r="AV195" s="316">
        <v>2.028402335</v>
      </c>
      <c r="AW195" s="316">
        <v>2.1435452340000003</v>
      </c>
      <c r="AX195" s="316">
        <v>2.1269026869999998</v>
      </c>
      <c r="AY195" s="316">
        <v>2.4193728059999997</v>
      </c>
      <c r="AZ195" s="316">
        <v>3.0086530320000002</v>
      </c>
      <c r="BA195" s="316">
        <v>2.2768383889999999</v>
      </c>
      <c r="BB195" s="316">
        <v>2.165545668</v>
      </c>
      <c r="BC195" s="316">
        <v>2.5691348360000004</v>
      </c>
      <c r="BD195" s="316">
        <v>1.9800706130000001</v>
      </c>
      <c r="BE195" s="316">
        <v>2.5192430579999998</v>
      </c>
      <c r="BF195" s="316">
        <v>2.539602318</v>
      </c>
      <c r="BG195" s="316">
        <v>2.5436826420000003</v>
      </c>
      <c r="BH195" s="316">
        <v>2.9578949149999998</v>
      </c>
      <c r="BI195" s="316">
        <v>2.855622973</v>
      </c>
      <c r="BJ195" s="316">
        <v>2.5955280859999998</v>
      </c>
      <c r="BK195" s="316">
        <v>2.930882907</v>
      </c>
      <c r="BL195" s="316">
        <v>3.4424570180000003</v>
      </c>
      <c r="BM195" s="316">
        <v>2.8837728699999996</v>
      </c>
      <c r="BN195" s="316">
        <v>3.1855072170000001</v>
      </c>
      <c r="BO195" s="316">
        <v>3.5739458119999998</v>
      </c>
      <c r="BP195" s="316">
        <v>3.2172898570000004</v>
      </c>
      <c r="BQ195" s="316">
        <v>4.3117261829999993</v>
      </c>
      <c r="BR195" s="316">
        <v>2.9716630789999998</v>
      </c>
      <c r="BS195" s="316">
        <v>5.6002862480000006</v>
      </c>
      <c r="BT195" s="316">
        <v>5.460168768</v>
      </c>
      <c r="BU195" s="316">
        <v>3.6739005370000002</v>
      </c>
      <c r="BV195" s="316">
        <v>3.7575017330000002</v>
      </c>
      <c r="BW195" s="316">
        <v>3.6332888800000003</v>
      </c>
      <c r="BX195" s="316">
        <v>3.621804928</v>
      </c>
      <c r="BY195" s="316">
        <v>3.7909035199999996</v>
      </c>
      <c r="BZ195" s="316">
        <v>3.1588992299999998</v>
      </c>
      <c r="CA195" s="316">
        <v>3.0961400480000001</v>
      </c>
      <c r="CB195" s="316">
        <v>3.0655440380000001</v>
      </c>
      <c r="CC195" s="316">
        <v>3.558989339</v>
      </c>
      <c r="CD195" s="316">
        <v>0</v>
      </c>
      <c r="CE195" s="317">
        <v>0</v>
      </c>
      <c r="CF195" s="316">
        <v>0</v>
      </c>
      <c r="CG195" s="316">
        <v>0</v>
      </c>
      <c r="CH195" s="316">
        <v>0</v>
      </c>
      <c r="CI195" s="316">
        <v>0</v>
      </c>
      <c r="CJ195" s="316">
        <v>0</v>
      </c>
      <c r="CK195" s="316">
        <v>0</v>
      </c>
      <c r="CL195" s="316">
        <v>0</v>
      </c>
      <c r="CM195" s="316">
        <v>0</v>
      </c>
      <c r="CN195" s="316">
        <v>0</v>
      </c>
      <c r="CO195" s="316">
        <v>0</v>
      </c>
      <c r="CP195" s="318">
        <v>0</v>
      </c>
      <c r="CQ195" s="316">
        <v>0</v>
      </c>
      <c r="CR195" s="316">
        <v>0</v>
      </c>
      <c r="CS195" s="316">
        <v>0</v>
      </c>
      <c r="CT195" s="316">
        <v>0</v>
      </c>
      <c r="CU195" s="316">
        <v>0</v>
      </c>
      <c r="CV195" s="316">
        <v>0</v>
      </c>
      <c r="CW195" s="316">
        <v>0</v>
      </c>
      <c r="CX195" s="316">
        <v>0</v>
      </c>
      <c r="CY195" s="316">
        <v>0</v>
      </c>
      <c r="CZ195" s="316">
        <v>0</v>
      </c>
      <c r="DA195" s="316">
        <v>0</v>
      </c>
      <c r="DB195" s="1498">
        <v>0</v>
      </c>
      <c r="DC195" s="316">
        <v>0</v>
      </c>
      <c r="DD195" s="316">
        <v>0</v>
      </c>
      <c r="DE195" s="316">
        <v>0</v>
      </c>
      <c r="DF195" s="316">
        <v>0</v>
      </c>
      <c r="DG195" s="316">
        <v>0</v>
      </c>
      <c r="DH195" s="316">
        <v>0</v>
      </c>
      <c r="DI195" s="316">
        <v>0</v>
      </c>
      <c r="DJ195" s="316">
        <v>0</v>
      </c>
      <c r="DK195" s="316">
        <v>0</v>
      </c>
      <c r="DL195" s="316">
        <v>0</v>
      </c>
      <c r="DM195" s="316">
        <v>0</v>
      </c>
      <c r="DN195" s="318">
        <v>0</v>
      </c>
      <c r="DO195" s="316">
        <v>0</v>
      </c>
      <c r="DP195" s="316">
        <v>0</v>
      </c>
      <c r="DQ195" s="316">
        <v>0</v>
      </c>
      <c r="DR195" s="316">
        <v>0</v>
      </c>
      <c r="DS195" s="316">
        <v>0</v>
      </c>
      <c r="DT195" s="316">
        <v>0</v>
      </c>
      <c r="DU195" s="316">
        <v>0</v>
      </c>
      <c r="DV195" s="316">
        <v>0</v>
      </c>
      <c r="DW195" s="316">
        <v>0</v>
      </c>
      <c r="DX195" s="316">
        <v>0</v>
      </c>
      <c r="DY195" s="316">
        <v>0</v>
      </c>
      <c r="DZ195" s="318">
        <v>0</v>
      </c>
      <c r="EA195" s="316">
        <v>0</v>
      </c>
      <c r="EB195" s="316">
        <v>0</v>
      </c>
      <c r="EC195" s="316">
        <v>0</v>
      </c>
      <c r="ED195" s="316">
        <v>0</v>
      </c>
      <c r="EE195" s="316">
        <v>0</v>
      </c>
      <c r="EF195" s="316">
        <v>0</v>
      </c>
      <c r="EG195" s="316">
        <v>0</v>
      </c>
      <c r="EH195" s="316">
        <v>0</v>
      </c>
      <c r="EI195" s="316">
        <v>0</v>
      </c>
      <c r="EJ195" s="316">
        <v>0</v>
      </c>
      <c r="EK195" s="316">
        <v>0</v>
      </c>
      <c r="EL195" s="318">
        <v>0</v>
      </c>
      <c r="EM195" s="1206">
        <v>0</v>
      </c>
      <c r="EN195" s="1206">
        <v>0</v>
      </c>
      <c r="EO195" s="1206">
        <v>0</v>
      </c>
      <c r="EP195" s="1206">
        <v>0</v>
      </c>
      <c r="EQ195" s="1206">
        <v>0</v>
      </c>
      <c r="ER195" s="1206">
        <v>0</v>
      </c>
      <c r="ES195" s="1206">
        <v>0</v>
      </c>
      <c r="ET195" s="1206">
        <v>0</v>
      </c>
      <c r="EU195" s="1206">
        <v>0</v>
      </c>
      <c r="EV195" s="1206">
        <v>0</v>
      </c>
      <c r="EW195" s="1206">
        <v>0</v>
      </c>
      <c r="EX195" s="1550">
        <v>0</v>
      </c>
      <c r="EY195" s="1206"/>
      <c r="EZ195" s="1206"/>
      <c r="FA195" s="1206"/>
      <c r="FB195" s="1206"/>
      <c r="FC195" s="1206"/>
      <c r="FD195" s="1206"/>
      <c r="FE195" s="1206"/>
      <c r="FF195" s="1206"/>
      <c r="FG195" s="1206"/>
      <c r="FH195" s="1206"/>
      <c r="FI195" s="1206"/>
      <c r="FJ195" s="1550"/>
      <c r="FK195" s="1206"/>
      <c r="FL195" s="1206"/>
      <c r="FM195" s="1206"/>
      <c r="FN195" s="1206"/>
      <c r="FO195" s="1206"/>
      <c r="FP195" s="1206"/>
      <c r="FQ195" s="316"/>
      <c r="FR195" s="316"/>
      <c r="FS195" s="316"/>
      <c r="FT195" s="316"/>
      <c r="FU195" s="316"/>
      <c r="FV195" s="316"/>
      <c r="FW195" s="316"/>
      <c r="FX195" s="316"/>
      <c r="FY195" s="316"/>
      <c r="FZ195" s="316"/>
      <c r="GA195" s="316"/>
      <c r="GB195" s="316"/>
      <c r="GC195" s="316"/>
      <c r="GD195" s="316"/>
      <c r="GE195" s="316"/>
      <c r="GF195" s="316"/>
      <c r="GG195" s="316"/>
      <c r="GH195" s="316"/>
      <c r="GI195" s="316"/>
      <c r="GJ195" s="316"/>
      <c r="GK195" s="316"/>
      <c r="GL195" s="316"/>
      <c r="GM195" s="316"/>
      <c r="GN195" s="316"/>
      <c r="GO195" s="316"/>
      <c r="GP195" s="316"/>
      <c r="GQ195" s="316"/>
      <c r="GR195" s="316"/>
      <c r="GS195" s="316"/>
      <c r="GT195" s="316"/>
      <c r="GU195" s="316"/>
      <c r="GV195" s="316"/>
      <c r="GW195" s="316"/>
      <c r="GX195" s="316"/>
      <c r="GY195" s="316"/>
      <c r="GZ195" s="316"/>
      <c r="HA195" s="316"/>
      <c r="HB195" s="316"/>
      <c r="HC195" s="316"/>
      <c r="HD195" s="316"/>
      <c r="HE195" s="316"/>
      <c r="HF195" s="316"/>
      <c r="HG195" s="316"/>
      <c r="HH195" s="316"/>
      <c r="HI195" s="316"/>
      <c r="HJ195" s="316"/>
      <c r="HK195" s="316"/>
      <c r="HL195" s="316"/>
      <c r="HM195" s="316"/>
      <c r="HV195" s="302">
        <f t="shared" si="36"/>
        <v>0</v>
      </c>
      <c r="HW195" s="302">
        <f t="shared" si="37"/>
        <v>0</v>
      </c>
      <c r="HX195" s="346">
        <f t="shared" si="32"/>
        <v>0</v>
      </c>
      <c r="HY195" s="302">
        <f t="shared" si="38"/>
        <v>0</v>
      </c>
      <c r="KH195" s="303"/>
    </row>
    <row r="196" spans="1:294" outlineLevel="1">
      <c r="B196" s="117" t="s">
        <v>361</v>
      </c>
      <c r="D196" s="332" t="s">
        <v>452</v>
      </c>
      <c r="E196" s="316">
        <v>6.1687066999999998E-2</v>
      </c>
      <c r="F196" s="316">
        <v>9.1392477999999999E-2</v>
      </c>
      <c r="G196" s="316">
        <v>8.1683013999999998E-2</v>
      </c>
      <c r="H196" s="316">
        <v>0.120444994</v>
      </c>
      <c r="I196" s="316">
        <v>0.25055133800000001</v>
      </c>
      <c r="J196" s="316">
        <v>0.17013589099999998</v>
      </c>
      <c r="K196" s="316">
        <v>0.249422856</v>
      </c>
      <c r="L196" s="316">
        <v>0.20375912199999999</v>
      </c>
      <c r="M196" s="316">
        <v>6.756819E-2</v>
      </c>
      <c r="N196" s="316">
        <v>7.1212939000000003E-2</v>
      </c>
      <c r="O196" s="316">
        <v>0.23854813499999999</v>
      </c>
      <c r="P196" s="316">
        <v>0.16453262399999999</v>
      </c>
      <c r="Q196" s="316">
        <v>0.13034979200000002</v>
      </c>
      <c r="R196" s="316">
        <v>0.119335596</v>
      </c>
      <c r="S196" s="316">
        <v>0.199559821</v>
      </c>
      <c r="T196" s="316">
        <v>9.1094597999999999E-2</v>
      </c>
      <c r="U196" s="316">
        <v>0.17754924500000002</v>
      </c>
      <c r="V196" s="316">
        <v>0.277467668</v>
      </c>
      <c r="W196" s="316">
        <v>0.201630853</v>
      </c>
      <c r="X196" s="316">
        <v>0.21536609899999998</v>
      </c>
      <c r="Y196" s="316">
        <v>0.158895493</v>
      </c>
      <c r="Z196" s="316">
        <v>0.23033645599999999</v>
      </c>
      <c r="AA196" s="316">
        <v>0.118420626</v>
      </c>
      <c r="AB196" s="316">
        <v>0.27089723800000004</v>
      </c>
      <c r="AC196" s="316">
        <v>9.3957575000000002E-2</v>
      </c>
      <c r="AD196" s="316">
        <v>0.107842839</v>
      </c>
      <c r="AE196" s="316">
        <v>0.37407533900000001</v>
      </c>
      <c r="AF196" s="316">
        <v>0.247568279</v>
      </c>
      <c r="AG196" s="316">
        <v>0.236847168</v>
      </c>
      <c r="AH196" s="316">
        <v>0.11318597300000001</v>
      </c>
      <c r="AI196" s="316">
        <v>0</v>
      </c>
      <c r="AJ196" s="316">
        <v>0</v>
      </c>
      <c r="AK196" s="316">
        <v>0</v>
      </c>
      <c r="AL196" s="316">
        <v>0</v>
      </c>
      <c r="AM196" s="316">
        <v>0</v>
      </c>
      <c r="AN196" s="316">
        <v>0</v>
      </c>
      <c r="AO196" s="316">
        <v>0</v>
      </c>
      <c r="AP196" s="316">
        <v>0</v>
      </c>
      <c r="AQ196" s="316">
        <v>0</v>
      </c>
      <c r="AR196" s="316">
        <v>0</v>
      </c>
      <c r="AS196" s="316">
        <v>0</v>
      </c>
      <c r="AT196" s="316">
        <v>0</v>
      </c>
      <c r="AU196" s="316">
        <v>0</v>
      </c>
      <c r="AV196" s="316">
        <v>0</v>
      </c>
      <c r="AW196" s="316">
        <v>0</v>
      </c>
      <c r="AX196" s="316">
        <v>0</v>
      </c>
      <c r="AY196" s="316">
        <v>0</v>
      </c>
      <c r="AZ196" s="316">
        <v>0</v>
      </c>
      <c r="BA196" s="316">
        <v>0</v>
      </c>
      <c r="BB196" s="316">
        <v>0</v>
      </c>
      <c r="BC196" s="316">
        <v>0</v>
      </c>
      <c r="BD196" s="316">
        <v>0</v>
      </c>
      <c r="BE196" s="316">
        <v>0</v>
      </c>
      <c r="BF196" s="316">
        <v>0</v>
      </c>
      <c r="BG196" s="316">
        <v>0</v>
      </c>
      <c r="BH196" s="316">
        <v>0</v>
      </c>
      <c r="BI196" s="316">
        <v>0</v>
      </c>
      <c r="BJ196" s="316">
        <v>0</v>
      </c>
      <c r="BK196" s="316">
        <v>0</v>
      </c>
      <c r="BL196" s="316">
        <v>0</v>
      </c>
      <c r="BM196" s="316">
        <v>0</v>
      </c>
      <c r="BN196" s="316">
        <v>0</v>
      </c>
      <c r="BO196" s="316">
        <v>0</v>
      </c>
      <c r="BP196" s="316">
        <v>0</v>
      </c>
      <c r="BQ196" s="316">
        <v>0</v>
      </c>
      <c r="BR196" s="316">
        <v>0</v>
      </c>
      <c r="BS196" s="316">
        <v>0</v>
      </c>
      <c r="BT196" s="316">
        <v>0</v>
      </c>
      <c r="BU196" s="316">
        <v>0</v>
      </c>
      <c r="BV196" s="316">
        <v>0</v>
      </c>
      <c r="BW196" s="316">
        <v>0</v>
      </c>
      <c r="BX196" s="316">
        <v>0</v>
      </c>
      <c r="BY196" s="316">
        <v>0</v>
      </c>
      <c r="BZ196" s="316">
        <v>0</v>
      </c>
      <c r="CA196" s="316">
        <v>0</v>
      </c>
      <c r="CB196" s="316">
        <v>0</v>
      </c>
      <c r="CC196" s="316">
        <v>0</v>
      </c>
      <c r="CD196" s="316">
        <v>4.3037853569999998</v>
      </c>
      <c r="CE196" s="317">
        <v>3.8299825030000001</v>
      </c>
      <c r="CF196" s="316">
        <v>3.716542375</v>
      </c>
      <c r="CG196" s="316">
        <v>4.2394430640000005</v>
      </c>
      <c r="CH196" s="316">
        <v>4.7699982910000003</v>
      </c>
      <c r="CI196" s="316">
        <v>4.3526265930000001</v>
      </c>
      <c r="CJ196" s="316">
        <v>4.5651707090000002</v>
      </c>
      <c r="CK196" s="316">
        <v>4.9052552290000007</v>
      </c>
      <c r="CL196" s="316">
        <v>4.3874742260000001</v>
      </c>
      <c r="CM196" s="316">
        <v>4.4872801679999998</v>
      </c>
      <c r="CN196" s="316">
        <v>4.4057326530000003</v>
      </c>
      <c r="CO196" s="316">
        <v>4.8670432149999998</v>
      </c>
      <c r="CP196" s="318">
        <v>4.3579329219999998</v>
      </c>
      <c r="CQ196" s="316">
        <v>4.286387918</v>
      </c>
      <c r="CR196" s="316">
        <v>4.2280780409999998</v>
      </c>
      <c r="CS196" s="316">
        <v>4.9327603729999998</v>
      </c>
      <c r="CT196" s="316">
        <v>4.403298768</v>
      </c>
      <c r="CU196" s="316">
        <v>5.0195894660000002</v>
      </c>
      <c r="CV196" s="316">
        <v>4.8361439830000004</v>
      </c>
      <c r="CW196" s="316">
        <v>5.4792385609999998</v>
      </c>
      <c r="CX196" s="316">
        <v>4.9807417279999999</v>
      </c>
      <c r="CY196" s="316">
        <v>5.1732147040000003</v>
      </c>
      <c r="CZ196" s="316">
        <v>5.2499684249999996</v>
      </c>
      <c r="DA196" s="316">
        <v>6.0861645480000002</v>
      </c>
      <c r="DB196" s="1498">
        <v>6.1341910899999998</v>
      </c>
      <c r="DC196" s="636">
        <v>5.1863058709811556</v>
      </c>
      <c r="DD196" s="636">
        <v>5.093720108516453</v>
      </c>
      <c r="DE196" s="636">
        <v>6.11110102412764</v>
      </c>
      <c r="DF196" s="636">
        <v>6.990763211625155</v>
      </c>
      <c r="DG196" s="636">
        <v>6.1107945870444809</v>
      </c>
      <c r="DH196" s="636">
        <v>7.170876512616827</v>
      </c>
      <c r="DI196" s="636">
        <v>5.5605018652239773</v>
      </c>
      <c r="DJ196" s="636">
        <v>5.7548126133699649</v>
      </c>
      <c r="DK196" s="636">
        <v>6.0316812247713987</v>
      </c>
      <c r="DL196" s="636">
        <v>6.0562493250749689</v>
      </c>
      <c r="DM196" s="636">
        <v>6.2926918805289995</v>
      </c>
      <c r="DN196" s="653">
        <v>6.5434286510128423</v>
      </c>
      <c r="DO196" s="636">
        <v>5.4073248190000003</v>
      </c>
      <c r="DP196" s="636">
        <v>6.1129519639999996</v>
      </c>
      <c r="DQ196" s="636">
        <v>6.0763687810000002</v>
      </c>
      <c r="DR196" s="636">
        <v>5.6310601079999998</v>
      </c>
      <c r="DS196" s="636">
        <v>5.8898679139999999</v>
      </c>
      <c r="DT196" s="636">
        <v>6.6726244460000004</v>
      </c>
      <c r="DU196" s="636">
        <v>5.9745850340000004</v>
      </c>
      <c r="DV196" s="636">
        <v>5.8085026629999996</v>
      </c>
      <c r="DW196" s="636">
        <v>7.2625981209999999</v>
      </c>
      <c r="DX196" s="636">
        <v>5.9930482410000003</v>
      </c>
      <c r="DY196" s="636">
        <v>8.0620424180000008</v>
      </c>
      <c r="DZ196" s="653">
        <v>7.5989432299999997</v>
      </c>
      <c r="EA196" s="636">
        <v>5.8313266239999999</v>
      </c>
      <c r="EB196" s="636">
        <v>6.0346449440000001</v>
      </c>
      <c r="EC196" s="636">
        <v>6.7320194090000003</v>
      </c>
      <c r="ED196" s="636">
        <v>7.3098861499999996</v>
      </c>
      <c r="EE196" s="636">
        <v>6.3854811429999998</v>
      </c>
      <c r="EF196" s="636">
        <v>7.7447785319999998</v>
      </c>
      <c r="EG196" s="636">
        <v>7.5527915710000002</v>
      </c>
      <c r="EH196" s="636">
        <v>5.9495420330000002</v>
      </c>
      <c r="EI196" s="636">
        <v>7.1207423719999996</v>
      </c>
      <c r="EJ196" s="636">
        <v>5.9401869600000001</v>
      </c>
      <c r="EK196" s="636">
        <v>7.1676602379999999</v>
      </c>
      <c r="EL196" s="653">
        <v>7.0870259390000001</v>
      </c>
      <c r="EM196" s="1209">
        <v>6.5010363619999998</v>
      </c>
      <c r="EN196" s="1209">
        <v>7.7521701099999998</v>
      </c>
      <c r="EO196" s="1209">
        <v>6.215087735</v>
      </c>
      <c r="EP196" s="1209">
        <v>6.7051053060000001</v>
      </c>
      <c r="EQ196" s="1209">
        <v>7.5011491990000003</v>
      </c>
      <c r="ER196" s="1209">
        <v>8.1082409089999992</v>
      </c>
      <c r="ES196" s="1209">
        <v>8.1675500260000007</v>
      </c>
      <c r="ET196" s="1209">
        <v>7.7269777560000001</v>
      </c>
      <c r="EU196" s="1209">
        <v>7.2406172389999996</v>
      </c>
      <c r="EV196" s="1209">
        <v>8.5654672079999994</v>
      </c>
      <c r="EW196" s="1209">
        <v>8.2457840050000009</v>
      </c>
      <c r="EX196" s="1539">
        <v>7.6798071459999999</v>
      </c>
      <c r="EY196" s="1209"/>
      <c r="EZ196" s="1209"/>
      <c r="FA196" s="1209"/>
      <c r="FB196" s="1209"/>
      <c r="FC196" s="1209"/>
      <c r="FD196" s="1209"/>
      <c r="FE196" s="1209"/>
      <c r="FF196" s="1209"/>
      <c r="FG196" s="1209"/>
      <c r="FH196" s="1209"/>
      <c r="FI196" s="1209"/>
      <c r="FJ196" s="1539"/>
      <c r="FK196" s="1209"/>
      <c r="FL196" s="1209"/>
      <c r="FM196" s="1209"/>
      <c r="FN196" s="1209"/>
      <c r="FO196" s="1209"/>
      <c r="FP196" s="1209"/>
      <c r="FQ196" s="636"/>
      <c r="FR196" s="636"/>
      <c r="FS196" s="636"/>
      <c r="FT196" s="636"/>
      <c r="FU196" s="636"/>
      <c r="FV196" s="636"/>
      <c r="FW196" s="636"/>
      <c r="FX196" s="636"/>
      <c r="FY196" s="636"/>
      <c r="FZ196" s="636"/>
      <c r="GA196" s="636"/>
      <c r="GB196" s="636"/>
      <c r="GC196" s="636"/>
      <c r="GD196" s="636"/>
      <c r="GE196" s="636"/>
      <c r="GF196" s="636"/>
      <c r="GG196" s="636"/>
      <c r="GH196" s="636"/>
      <c r="GI196" s="636"/>
      <c r="GJ196" s="636"/>
      <c r="GK196" s="636"/>
      <c r="GL196" s="636"/>
      <c r="GM196" s="636"/>
      <c r="GN196" s="636"/>
      <c r="GO196" s="636"/>
      <c r="GP196" s="636"/>
      <c r="GQ196" s="636"/>
      <c r="GR196" s="636"/>
      <c r="GS196" s="636"/>
      <c r="GT196" s="636"/>
      <c r="GU196" s="636"/>
      <c r="GV196" s="636"/>
      <c r="GW196" s="636"/>
      <c r="GX196" s="636"/>
      <c r="GY196" s="636"/>
      <c r="GZ196" s="636"/>
      <c r="HA196" s="636"/>
      <c r="HB196" s="636"/>
      <c r="HC196" s="636"/>
      <c r="HD196" s="636"/>
      <c r="HE196" s="636"/>
      <c r="HF196" s="636"/>
      <c r="HG196" s="636"/>
      <c r="HH196" s="636"/>
      <c r="HI196" s="636"/>
      <c r="HJ196" s="636"/>
      <c r="HK196" s="636"/>
      <c r="HL196" s="636"/>
      <c r="HM196" s="636"/>
      <c r="HV196" s="302">
        <f t="shared" si="36"/>
        <v>36.663561314911711</v>
      </c>
      <c r="HW196" s="302">
        <f t="shared" si="37"/>
        <v>36.239365559982147</v>
      </c>
      <c r="HX196" s="346">
        <f t="shared" si="32"/>
        <v>72.902926874893865</v>
      </c>
      <c r="HY196" s="302">
        <f t="shared" si="38"/>
        <v>35.790198031999999</v>
      </c>
      <c r="KH196" s="303"/>
    </row>
    <row r="197" spans="1:294" outlineLevel="1">
      <c r="B197" s="117" t="s">
        <v>361</v>
      </c>
      <c r="D197" s="319" t="s">
        <v>453</v>
      </c>
      <c r="E197" s="316"/>
      <c r="F197" s="316"/>
      <c r="G197" s="316"/>
      <c r="H197" s="316"/>
      <c r="I197" s="316"/>
      <c r="J197" s="316"/>
      <c r="K197" s="316"/>
      <c r="L197" s="316"/>
      <c r="M197" s="316"/>
      <c r="N197" s="316"/>
      <c r="O197" s="316"/>
      <c r="P197" s="316"/>
      <c r="Q197" s="316"/>
      <c r="R197" s="316"/>
      <c r="S197" s="316"/>
      <c r="T197" s="316"/>
      <c r="U197" s="316"/>
      <c r="V197" s="316"/>
      <c r="W197" s="316"/>
      <c r="X197" s="316"/>
      <c r="Y197" s="316"/>
      <c r="Z197" s="316"/>
      <c r="AA197" s="316"/>
      <c r="AB197" s="316"/>
      <c r="AC197" s="316"/>
      <c r="AD197" s="316"/>
      <c r="AE197" s="316"/>
      <c r="AF197" s="316"/>
      <c r="AG197" s="316"/>
      <c r="AH197" s="316"/>
      <c r="AI197" s="316">
        <v>3.7878E-3</v>
      </c>
      <c r="AJ197" s="316">
        <v>4.1001399999999999E-4</v>
      </c>
      <c r="AK197" s="316">
        <v>0</v>
      </c>
      <c r="AL197" s="316">
        <v>1.6011825E-2</v>
      </c>
      <c r="AM197" s="316">
        <v>0</v>
      </c>
      <c r="AN197" s="316">
        <v>0</v>
      </c>
      <c r="AO197" s="316">
        <v>0</v>
      </c>
      <c r="AP197" s="316">
        <v>5.9320000000000001E-6</v>
      </c>
      <c r="AQ197" s="316">
        <v>0</v>
      </c>
      <c r="AR197" s="316">
        <v>6.6048749999999996E-3</v>
      </c>
      <c r="AS197" s="316">
        <v>1.5E-6</v>
      </c>
      <c r="AT197" s="316">
        <v>6.3130000000000004E-6</v>
      </c>
      <c r="AU197" s="316">
        <v>0</v>
      </c>
      <c r="AV197" s="316">
        <v>0</v>
      </c>
      <c r="AW197" s="316">
        <v>0</v>
      </c>
      <c r="AX197" s="316">
        <v>0</v>
      </c>
      <c r="AY197" s="316">
        <v>6.3749999999999999E-6</v>
      </c>
      <c r="AZ197" s="316">
        <v>0</v>
      </c>
      <c r="BA197" s="316">
        <v>0</v>
      </c>
      <c r="BB197" s="316">
        <v>0</v>
      </c>
      <c r="BC197" s="316">
        <v>0</v>
      </c>
      <c r="BD197" s="316">
        <v>0</v>
      </c>
      <c r="BE197" s="316">
        <v>0</v>
      </c>
      <c r="BF197" s="316">
        <v>0</v>
      </c>
      <c r="BG197" s="316">
        <v>0</v>
      </c>
      <c r="BH197" s="316">
        <v>0</v>
      </c>
      <c r="BI197" s="316">
        <v>0</v>
      </c>
      <c r="BJ197" s="316">
        <v>0</v>
      </c>
      <c r="BK197" s="316">
        <v>0</v>
      </c>
      <c r="BL197" s="316">
        <v>4.2000000000000004E-5</v>
      </c>
      <c r="BM197" s="316">
        <v>2.3999999999999998E-4</v>
      </c>
      <c r="BN197" s="316">
        <v>0</v>
      </c>
      <c r="BO197" s="316">
        <v>0</v>
      </c>
      <c r="BP197" s="316">
        <v>0</v>
      </c>
      <c r="BQ197" s="316">
        <v>0</v>
      </c>
      <c r="BR197" s="316">
        <v>0</v>
      </c>
      <c r="BS197" s="316">
        <v>0</v>
      </c>
      <c r="BT197" s="316">
        <v>0</v>
      </c>
      <c r="BU197" s="316">
        <v>0</v>
      </c>
      <c r="BV197" s="316">
        <v>0</v>
      </c>
      <c r="BW197" s="316">
        <v>0</v>
      </c>
      <c r="BX197" s="316">
        <v>0</v>
      </c>
      <c r="BY197" s="316">
        <v>0</v>
      </c>
      <c r="BZ197" s="316">
        <v>0</v>
      </c>
      <c r="CA197" s="316">
        <v>0</v>
      </c>
      <c r="CB197" s="316">
        <v>0</v>
      </c>
      <c r="CC197" s="316">
        <v>0</v>
      </c>
      <c r="CD197" s="316">
        <v>0</v>
      </c>
      <c r="CE197" s="317">
        <v>0</v>
      </c>
      <c r="CF197" s="316">
        <v>0</v>
      </c>
      <c r="CG197" s="316">
        <v>0</v>
      </c>
      <c r="CH197" s="316">
        <v>0</v>
      </c>
      <c r="CI197" s="316">
        <v>0</v>
      </c>
      <c r="CJ197" s="316">
        <v>0</v>
      </c>
      <c r="CK197" s="316">
        <v>0</v>
      </c>
      <c r="CL197" s="316">
        <v>0</v>
      </c>
      <c r="CM197" s="316">
        <v>0</v>
      </c>
      <c r="CN197" s="316">
        <v>0</v>
      </c>
      <c r="CO197" s="316">
        <v>0</v>
      </c>
      <c r="CP197" s="318">
        <v>0</v>
      </c>
      <c r="CQ197" s="316">
        <v>0.19613696999999999</v>
      </c>
      <c r="CR197" s="316">
        <v>0.10287481599999999</v>
      </c>
      <c r="CS197" s="316">
        <v>0.88128245100000002</v>
      </c>
      <c r="CT197" s="316">
        <v>0.23854651000000002</v>
      </c>
      <c r="CU197" s="316">
        <v>0.31168724099999995</v>
      </c>
      <c r="CV197" s="316">
        <v>0.46079302799999999</v>
      </c>
      <c r="CW197" s="316">
        <v>0.58105257300000002</v>
      </c>
      <c r="CX197" s="316">
        <v>0.22504149100000001</v>
      </c>
      <c r="CY197" s="316">
        <v>0.17876561399999999</v>
      </c>
      <c r="CZ197" s="316">
        <v>0.46736693800000001</v>
      </c>
      <c r="DA197" s="316">
        <v>1.5094311060000001</v>
      </c>
      <c r="DB197" s="1498">
        <v>0.52489575799999999</v>
      </c>
      <c r="DC197" s="316">
        <v>0.16115076336019576</v>
      </c>
      <c r="DD197" s="316">
        <v>0.61717184066107078</v>
      </c>
      <c r="DE197" s="316">
        <v>0.68831319326028939</v>
      </c>
      <c r="DF197" s="316">
        <v>0.77443400553898456</v>
      </c>
      <c r="DG197" s="316">
        <v>0.75625273719333341</v>
      </c>
      <c r="DH197" s="316">
        <v>0.84409716637573162</v>
      </c>
      <c r="DI197" s="316">
        <v>0.69326260518275218</v>
      </c>
      <c r="DJ197" s="316">
        <v>0.7184912774338551</v>
      </c>
      <c r="DK197" s="316">
        <v>0.76467038815893984</v>
      </c>
      <c r="DL197" s="316">
        <v>0.79742966838863905</v>
      </c>
      <c r="DM197" s="316">
        <v>0.89337474856980625</v>
      </c>
      <c r="DN197" s="318">
        <v>1.0443280373941155</v>
      </c>
      <c r="DO197" s="316">
        <v>0</v>
      </c>
      <c r="DP197" s="316">
        <v>0</v>
      </c>
      <c r="DQ197" s="316">
        <v>0</v>
      </c>
      <c r="DR197" s="316">
        <v>0</v>
      </c>
      <c r="DS197" s="316">
        <v>0</v>
      </c>
      <c r="DT197" s="316">
        <v>0</v>
      </c>
      <c r="DU197" s="316">
        <v>0</v>
      </c>
      <c r="DV197" s="316">
        <v>0</v>
      </c>
      <c r="DW197" s="316">
        <v>0</v>
      </c>
      <c r="DX197" s="316">
        <v>0</v>
      </c>
      <c r="DY197" s="316">
        <v>0</v>
      </c>
      <c r="DZ197" s="318">
        <v>0</v>
      </c>
      <c r="EA197" s="316">
        <v>0</v>
      </c>
      <c r="EB197" s="316">
        <v>0</v>
      </c>
      <c r="EC197" s="316">
        <v>0</v>
      </c>
      <c r="ED197" s="316">
        <v>0</v>
      </c>
      <c r="EE197" s="316">
        <v>0</v>
      </c>
      <c r="EF197" s="316">
        <v>0</v>
      </c>
      <c r="EG197" s="316">
        <v>0</v>
      </c>
      <c r="EH197" s="316">
        <v>0</v>
      </c>
      <c r="EI197" s="316">
        <v>0</v>
      </c>
      <c r="EJ197" s="316">
        <v>0</v>
      </c>
      <c r="EK197" s="316">
        <v>0</v>
      </c>
      <c r="EL197" s="318">
        <v>0</v>
      </c>
      <c r="EM197" s="1206">
        <v>0</v>
      </c>
      <c r="EN197" s="1206">
        <v>0</v>
      </c>
      <c r="EO197" s="1206">
        <v>0</v>
      </c>
      <c r="EP197" s="1206">
        <v>0</v>
      </c>
      <c r="EQ197" s="1206">
        <v>0</v>
      </c>
      <c r="ER197" s="1206">
        <v>0</v>
      </c>
      <c r="ES197" s="1206">
        <v>0</v>
      </c>
      <c r="ET197" s="1206">
        <v>0</v>
      </c>
      <c r="EU197" s="1206">
        <v>0</v>
      </c>
      <c r="EV197" s="1206">
        <v>0</v>
      </c>
      <c r="EW197" s="1206">
        <v>0</v>
      </c>
      <c r="EX197" s="1550">
        <v>0</v>
      </c>
      <c r="EY197" s="1206"/>
      <c r="EZ197" s="1206"/>
      <c r="FA197" s="1206"/>
      <c r="FB197" s="1206"/>
      <c r="FC197" s="1206"/>
      <c r="FD197" s="1206"/>
      <c r="FE197" s="1206"/>
      <c r="FF197" s="1206"/>
      <c r="FG197" s="1206"/>
      <c r="FH197" s="1206"/>
      <c r="FI197" s="1206"/>
      <c r="FJ197" s="1550"/>
      <c r="FK197" s="1206"/>
      <c r="FL197" s="1206"/>
      <c r="FM197" s="1206"/>
      <c r="FN197" s="1206"/>
      <c r="FO197" s="1206"/>
      <c r="FP197" s="1206"/>
      <c r="FQ197" s="316"/>
      <c r="FR197" s="316"/>
      <c r="FS197" s="316"/>
      <c r="FT197" s="316"/>
      <c r="FU197" s="316"/>
      <c r="FV197" s="316"/>
      <c r="FW197" s="316"/>
      <c r="FX197" s="316"/>
      <c r="FY197" s="316"/>
      <c r="FZ197" s="316"/>
      <c r="GA197" s="316"/>
      <c r="GB197" s="316"/>
      <c r="GC197" s="316"/>
      <c r="GD197" s="316"/>
      <c r="GE197" s="316"/>
      <c r="GF197" s="316"/>
      <c r="GG197" s="316"/>
      <c r="GH197" s="316"/>
      <c r="GI197" s="316"/>
      <c r="GJ197" s="316"/>
      <c r="GK197" s="316"/>
      <c r="GL197" s="316"/>
      <c r="GM197" s="316"/>
      <c r="GN197" s="316"/>
      <c r="GO197" s="316"/>
      <c r="GP197" s="316"/>
      <c r="GQ197" s="316"/>
      <c r="GR197" s="316"/>
      <c r="GS197" s="316"/>
      <c r="GT197" s="316"/>
      <c r="GU197" s="316"/>
      <c r="GV197" s="316"/>
      <c r="GW197" s="316"/>
      <c r="GX197" s="316"/>
      <c r="GY197" s="316"/>
      <c r="GZ197" s="316"/>
      <c r="HA197" s="316"/>
      <c r="HB197" s="316"/>
      <c r="HC197" s="316"/>
      <c r="HD197" s="316"/>
      <c r="HE197" s="316"/>
      <c r="HF197" s="316"/>
      <c r="HG197" s="316"/>
      <c r="HH197" s="316"/>
      <c r="HI197" s="316"/>
      <c r="HJ197" s="316"/>
      <c r="HK197" s="316"/>
      <c r="HL197" s="316"/>
      <c r="HM197" s="316"/>
      <c r="HV197" s="302">
        <f t="shared" si="36"/>
        <v>3.8414197063896056</v>
      </c>
      <c r="HW197" s="302">
        <f t="shared" si="37"/>
        <v>4.9115567251281078</v>
      </c>
      <c r="HX197" s="346">
        <f t="shared" si="32"/>
        <v>8.7529764315177125</v>
      </c>
      <c r="HY197" s="302">
        <f t="shared" si="38"/>
        <v>0</v>
      </c>
      <c r="KH197" s="303"/>
    </row>
    <row r="198" spans="1:294" outlineLevel="1">
      <c r="B198" s="117" t="s">
        <v>361</v>
      </c>
      <c r="D198" s="319" t="s">
        <v>454</v>
      </c>
      <c r="E198" s="316">
        <v>0.13460244499999999</v>
      </c>
      <c r="F198" s="316">
        <v>0.12039069299999999</v>
      </c>
      <c r="G198" s="316">
        <v>0.116645427</v>
      </c>
      <c r="H198" s="316">
        <v>0.12070149600000001</v>
      </c>
      <c r="I198" s="316">
        <v>0.113644941</v>
      </c>
      <c r="J198" s="316">
        <v>0.10596032200000001</v>
      </c>
      <c r="K198" s="316">
        <v>0.14027067600000001</v>
      </c>
      <c r="L198" s="316">
        <v>0.201951092</v>
      </c>
      <c r="M198" s="316">
        <v>0.163350089</v>
      </c>
      <c r="N198" s="316">
        <v>0.150508489</v>
      </c>
      <c r="O198" s="316">
        <v>0.149140468</v>
      </c>
      <c r="P198" s="316">
        <v>0.155245725</v>
      </c>
      <c r="Q198" s="316">
        <v>0.13995253099999999</v>
      </c>
      <c r="R198" s="316">
        <v>0.14770439799999999</v>
      </c>
      <c r="S198" s="316">
        <v>0.17964501499999999</v>
      </c>
      <c r="T198" s="316">
        <v>0.15539027499999999</v>
      </c>
      <c r="U198" s="316">
        <v>0.14696535700000002</v>
      </c>
      <c r="V198" s="316">
        <v>0.191164056</v>
      </c>
      <c r="W198" s="316">
        <v>0.14576831899999998</v>
      </c>
      <c r="X198" s="316">
        <v>0.178982681</v>
      </c>
      <c r="Y198" s="316">
        <v>0.16054040900000002</v>
      </c>
      <c r="Z198" s="316">
        <v>0.175199401</v>
      </c>
      <c r="AA198" s="316">
        <v>0.23231686099999999</v>
      </c>
      <c r="AB198" s="316">
        <v>0.28301336900000001</v>
      </c>
      <c r="AC198" s="316">
        <v>0.19999209700000001</v>
      </c>
      <c r="AD198" s="316">
        <v>0.19383410500000001</v>
      </c>
      <c r="AE198" s="316">
        <v>0.203162915</v>
      </c>
      <c r="AF198" s="316">
        <v>0.22560445700000001</v>
      </c>
      <c r="AG198" s="316">
        <v>0.181731265</v>
      </c>
      <c r="AH198" s="316">
        <v>0.24682662</v>
      </c>
      <c r="AI198" s="316">
        <v>0.23377483399999999</v>
      </c>
      <c r="AJ198" s="316">
        <v>0.18078339700000001</v>
      </c>
      <c r="AK198" s="316">
        <v>0.161345776</v>
      </c>
      <c r="AL198" s="316">
        <v>0.158282056</v>
      </c>
      <c r="AM198" s="316">
        <v>0.159382195</v>
      </c>
      <c r="AN198" s="316">
        <v>0.15124401299999998</v>
      </c>
      <c r="AO198" s="316">
        <v>0.24614446699999998</v>
      </c>
      <c r="AP198" s="316">
        <v>0.182196785</v>
      </c>
      <c r="AQ198" s="316">
        <v>0.15502202299999998</v>
      </c>
      <c r="AR198" s="316">
        <v>0.16192130599999999</v>
      </c>
      <c r="AS198" s="316">
        <v>0.12381484600000001</v>
      </c>
      <c r="AT198" s="316">
        <v>0.22341687699999999</v>
      </c>
      <c r="AU198" s="316">
        <v>0.21000725399999998</v>
      </c>
      <c r="AV198" s="316">
        <v>0.121012246</v>
      </c>
      <c r="AW198" s="316">
        <v>0.172883115</v>
      </c>
      <c r="AX198" s="316">
        <v>0.17398932</v>
      </c>
      <c r="AY198" s="316">
        <v>0.16160301799999999</v>
      </c>
      <c r="AZ198" s="316">
        <v>0.322400458</v>
      </c>
      <c r="BA198" s="316">
        <v>0.38699465199999999</v>
      </c>
      <c r="BB198" s="316">
        <v>0.194468851</v>
      </c>
      <c r="BC198" s="316">
        <v>7.8430404999999995E-2</v>
      </c>
      <c r="BD198" s="316">
        <v>7.6699723999999997E-2</v>
      </c>
      <c r="BE198" s="316">
        <v>7.5602790000000003E-2</v>
      </c>
      <c r="BF198" s="316">
        <v>8.8198251999999991E-2</v>
      </c>
      <c r="BG198" s="316">
        <v>6.7034008999999992E-2</v>
      </c>
      <c r="BH198" s="316">
        <v>0.13405695000000001</v>
      </c>
      <c r="BI198" s="316">
        <v>8.4780164999999991E-2</v>
      </c>
      <c r="BJ198" s="316">
        <v>7.1921552999999999E-2</v>
      </c>
      <c r="BK198" s="316">
        <v>6.8565324000000011E-2</v>
      </c>
      <c r="BL198" s="316">
        <v>0.12128198799999999</v>
      </c>
      <c r="BM198" s="316">
        <v>0.17696852000000002</v>
      </c>
      <c r="BN198" s="316">
        <v>0.10485575</v>
      </c>
      <c r="BO198" s="316">
        <v>9.4458009000000009E-2</v>
      </c>
      <c r="BP198" s="316">
        <v>0.100323835</v>
      </c>
      <c r="BQ198" s="316">
        <v>0.137184114</v>
      </c>
      <c r="BR198" s="316">
        <v>0.12829403</v>
      </c>
      <c r="BS198" s="316">
        <v>6.4976502999999991E-2</v>
      </c>
      <c r="BT198" s="316">
        <v>5.6531950000000004E-2</v>
      </c>
      <c r="BU198" s="316">
        <v>0.11126264700000001</v>
      </c>
      <c r="BV198" s="316">
        <v>8.6393119000000004E-2</v>
      </c>
      <c r="BW198" s="316">
        <v>8.6886043999999996E-2</v>
      </c>
      <c r="BX198" s="316">
        <v>0.14360203200000002</v>
      </c>
      <c r="BY198" s="316">
        <v>0.26380514499999996</v>
      </c>
      <c r="BZ198" s="316">
        <v>0.123350112</v>
      </c>
      <c r="CA198" s="316">
        <v>0.114635822</v>
      </c>
      <c r="CB198" s="316">
        <v>0.14098519800000001</v>
      </c>
      <c r="CC198" s="316">
        <v>0.11496635600000001</v>
      </c>
      <c r="CD198" s="316">
        <v>0</v>
      </c>
      <c r="CE198" s="317">
        <v>0</v>
      </c>
      <c r="CF198" s="316">
        <v>0</v>
      </c>
      <c r="CG198" s="316">
        <v>0</v>
      </c>
      <c r="CH198" s="316">
        <v>0</v>
      </c>
      <c r="CI198" s="316">
        <v>0</v>
      </c>
      <c r="CJ198" s="316">
        <v>0</v>
      </c>
      <c r="CK198" s="316">
        <v>0</v>
      </c>
      <c r="CL198" s="316">
        <v>0</v>
      </c>
      <c r="CM198" s="316">
        <v>0</v>
      </c>
      <c r="CN198" s="316">
        <v>0</v>
      </c>
      <c r="CO198" s="316">
        <v>0</v>
      </c>
      <c r="CP198" s="318">
        <v>0</v>
      </c>
      <c r="CQ198" s="316">
        <v>0</v>
      </c>
      <c r="CR198" s="316">
        <v>0</v>
      </c>
      <c r="CS198" s="316">
        <v>0</v>
      </c>
      <c r="CT198" s="316">
        <v>0</v>
      </c>
      <c r="CU198" s="316">
        <v>0</v>
      </c>
      <c r="CV198" s="316">
        <v>0</v>
      </c>
      <c r="CW198" s="316">
        <v>0</v>
      </c>
      <c r="CX198" s="316">
        <v>0</v>
      </c>
      <c r="CY198" s="316">
        <v>0</v>
      </c>
      <c r="CZ198" s="316">
        <v>0</v>
      </c>
      <c r="DA198" s="316">
        <v>0</v>
      </c>
      <c r="DB198" s="1498">
        <v>0</v>
      </c>
      <c r="DC198" s="316">
        <v>0</v>
      </c>
      <c r="DD198" s="316">
        <v>0</v>
      </c>
      <c r="DE198" s="316">
        <v>0</v>
      </c>
      <c r="DF198" s="316">
        <v>0</v>
      </c>
      <c r="DG198" s="316">
        <v>0</v>
      </c>
      <c r="DH198" s="316">
        <v>0</v>
      </c>
      <c r="DI198" s="316">
        <v>0</v>
      </c>
      <c r="DJ198" s="316">
        <v>0</v>
      </c>
      <c r="DK198" s="316">
        <v>0</v>
      </c>
      <c r="DL198" s="316">
        <v>0</v>
      </c>
      <c r="DM198" s="316">
        <v>0</v>
      </c>
      <c r="DN198" s="318">
        <v>0</v>
      </c>
      <c r="DO198" s="316">
        <v>0</v>
      </c>
      <c r="DP198" s="316">
        <v>0</v>
      </c>
      <c r="DQ198" s="316">
        <v>0</v>
      </c>
      <c r="DR198" s="316">
        <v>0</v>
      </c>
      <c r="DS198" s="316">
        <v>0</v>
      </c>
      <c r="DT198" s="316">
        <v>0</v>
      </c>
      <c r="DU198" s="316">
        <v>0</v>
      </c>
      <c r="DV198" s="316">
        <v>0</v>
      </c>
      <c r="DW198" s="316">
        <v>0</v>
      </c>
      <c r="DX198" s="316">
        <v>0</v>
      </c>
      <c r="DY198" s="316">
        <v>0</v>
      </c>
      <c r="DZ198" s="318">
        <v>0</v>
      </c>
      <c r="EA198" s="316">
        <v>0</v>
      </c>
      <c r="EB198" s="316">
        <v>0</v>
      </c>
      <c r="EC198" s="316">
        <v>0</v>
      </c>
      <c r="ED198" s="316">
        <v>0</v>
      </c>
      <c r="EE198" s="316">
        <v>0</v>
      </c>
      <c r="EF198" s="316">
        <v>0</v>
      </c>
      <c r="EG198" s="316">
        <v>0</v>
      </c>
      <c r="EH198" s="316">
        <v>0</v>
      </c>
      <c r="EI198" s="316">
        <v>0</v>
      </c>
      <c r="EJ198" s="316">
        <v>0</v>
      </c>
      <c r="EK198" s="316">
        <v>0</v>
      </c>
      <c r="EL198" s="318">
        <v>0</v>
      </c>
      <c r="EM198" s="1206">
        <v>0</v>
      </c>
      <c r="EN198" s="1206">
        <v>0</v>
      </c>
      <c r="EO198" s="1206">
        <v>0</v>
      </c>
      <c r="EP198" s="1206">
        <v>0</v>
      </c>
      <c r="EQ198" s="1206">
        <v>0</v>
      </c>
      <c r="ER198" s="1206">
        <v>0</v>
      </c>
      <c r="ES198" s="1206">
        <v>0</v>
      </c>
      <c r="ET198" s="1206">
        <v>0</v>
      </c>
      <c r="EU198" s="1206">
        <v>0</v>
      </c>
      <c r="EV198" s="1206">
        <v>0</v>
      </c>
      <c r="EW198" s="1206">
        <v>0</v>
      </c>
      <c r="EX198" s="1550">
        <v>0</v>
      </c>
      <c r="EY198" s="1206"/>
      <c r="EZ198" s="1206"/>
      <c r="FA198" s="1206"/>
      <c r="FB198" s="1206"/>
      <c r="FC198" s="1206"/>
      <c r="FD198" s="1206"/>
      <c r="FE198" s="1206"/>
      <c r="FF198" s="1206"/>
      <c r="FG198" s="1206"/>
      <c r="FH198" s="1206"/>
      <c r="FI198" s="1206"/>
      <c r="FJ198" s="1550"/>
      <c r="FK198" s="1206"/>
      <c r="FL198" s="1206"/>
      <c r="FM198" s="1206"/>
      <c r="FN198" s="1206"/>
      <c r="FO198" s="1206"/>
      <c r="FP198" s="1206"/>
      <c r="FQ198" s="316"/>
      <c r="FR198" s="316"/>
      <c r="FS198" s="316"/>
      <c r="FT198" s="316"/>
      <c r="FU198" s="316"/>
      <c r="FV198" s="316"/>
      <c r="FW198" s="316"/>
      <c r="FX198" s="316"/>
      <c r="FY198" s="316"/>
      <c r="FZ198" s="316"/>
      <c r="GA198" s="316"/>
      <c r="GB198" s="316"/>
      <c r="GC198" s="316"/>
      <c r="GD198" s="316"/>
      <c r="GE198" s="316"/>
      <c r="GF198" s="316"/>
      <c r="GG198" s="316"/>
      <c r="GH198" s="316"/>
      <c r="GI198" s="316"/>
      <c r="GJ198" s="316"/>
      <c r="GK198" s="316"/>
      <c r="GL198" s="316"/>
      <c r="GM198" s="316"/>
      <c r="GN198" s="316"/>
      <c r="GO198" s="316"/>
      <c r="GP198" s="316"/>
      <c r="GQ198" s="316"/>
      <c r="GR198" s="316"/>
      <c r="GS198" s="316"/>
      <c r="GT198" s="316"/>
      <c r="GU198" s="316"/>
      <c r="GV198" s="316"/>
      <c r="GW198" s="316"/>
      <c r="GX198" s="316"/>
      <c r="GY198" s="316"/>
      <c r="GZ198" s="316"/>
      <c r="HA198" s="316"/>
      <c r="HB198" s="316"/>
      <c r="HC198" s="316"/>
      <c r="HD198" s="316"/>
      <c r="HE198" s="316"/>
      <c r="HF198" s="316"/>
      <c r="HG198" s="316"/>
      <c r="HH198" s="316"/>
      <c r="HI198" s="316"/>
      <c r="HJ198" s="316"/>
      <c r="HK198" s="316"/>
      <c r="HL198" s="316"/>
      <c r="HM198" s="316"/>
      <c r="HV198" s="302">
        <f t="shared" si="36"/>
        <v>0</v>
      </c>
      <c r="HW198" s="302">
        <f t="shared" si="37"/>
        <v>0</v>
      </c>
      <c r="HX198" s="346">
        <f t="shared" si="32"/>
        <v>0</v>
      </c>
      <c r="HY198" s="302">
        <f t="shared" si="38"/>
        <v>0</v>
      </c>
      <c r="KH198" s="303"/>
    </row>
    <row r="199" spans="1:294" outlineLevel="1">
      <c r="D199" s="891" t="s">
        <v>1081</v>
      </c>
      <c r="E199" s="316"/>
      <c r="F199" s="316"/>
      <c r="G199" s="316"/>
      <c r="H199" s="316"/>
      <c r="I199" s="316"/>
      <c r="J199" s="316"/>
      <c r="K199" s="316"/>
      <c r="L199" s="316"/>
      <c r="M199" s="316"/>
      <c r="N199" s="316"/>
      <c r="O199" s="316"/>
      <c r="P199" s="316"/>
      <c r="Q199" s="316"/>
      <c r="R199" s="316"/>
      <c r="S199" s="316"/>
      <c r="T199" s="316"/>
      <c r="U199" s="316"/>
      <c r="V199" s="316"/>
      <c r="W199" s="316"/>
      <c r="X199" s="316"/>
      <c r="Y199" s="316"/>
      <c r="Z199" s="316"/>
      <c r="AA199" s="316"/>
      <c r="AB199" s="316"/>
      <c r="AC199" s="316"/>
      <c r="AD199" s="316"/>
      <c r="AE199" s="316"/>
      <c r="AF199" s="316"/>
      <c r="AG199" s="316"/>
      <c r="AH199" s="316"/>
      <c r="AI199" s="316"/>
      <c r="AJ199" s="316"/>
      <c r="AK199" s="316"/>
      <c r="AL199" s="316"/>
      <c r="AM199" s="316"/>
      <c r="AN199" s="316"/>
      <c r="AO199" s="316"/>
      <c r="AP199" s="316"/>
      <c r="AQ199" s="316"/>
      <c r="AR199" s="316"/>
      <c r="AS199" s="316"/>
      <c r="AT199" s="316"/>
      <c r="AU199" s="316"/>
      <c r="AV199" s="316"/>
      <c r="AW199" s="316"/>
      <c r="AX199" s="316"/>
      <c r="AY199" s="316"/>
      <c r="AZ199" s="316"/>
      <c r="BA199" s="316"/>
      <c r="BB199" s="316"/>
      <c r="BC199" s="316"/>
      <c r="BD199" s="316"/>
      <c r="BE199" s="316"/>
      <c r="BF199" s="316"/>
      <c r="BG199" s="316"/>
      <c r="BH199" s="316"/>
      <c r="BI199" s="316"/>
      <c r="BJ199" s="316"/>
      <c r="BK199" s="316"/>
      <c r="BL199" s="316"/>
      <c r="BM199" s="316"/>
      <c r="BN199" s="316"/>
      <c r="BO199" s="316"/>
      <c r="BP199" s="316"/>
      <c r="BQ199" s="316"/>
      <c r="BR199" s="316"/>
      <c r="BS199" s="316"/>
      <c r="BT199" s="316"/>
      <c r="BU199" s="316"/>
      <c r="BV199" s="316"/>
      <c r="BW199" s="316"/>
      <c r="BX199" s="316"/>
      <c r="BY199" s="316"/>
      <c r="BZ199" s="316"/>
      <c r="CA199" s="316"/>
      <c r="CB199" s="316"/>
      <c r="CC199" s="316"/>
      <c r="CD199" s="316"/>
      <c r="CE199" s="317"/>
      <c r="CF199" s="316"/>
      <c r="CG199" s="316"/>
      <c r="CH199" s="316"/>
      <c r="CI199" s="316"/>
      <c r="CJ199" s="316"/>
      <c r="CK199" s="316"/>
      <c r="CL199" s="316"/>
      <c r="CM199" s="316"/>
      <c r="CN199" s="316"/>
      <c r="CO199" s="316"/>
      <c r="CP199" s="318"/>
      <c r="CQ199" s="316"/>
      <c r="CR199" s="316"/>
      <c r="CS199" s="316"/>
      <c r="CT199" s="316"/>
      <c r="CU199" s="316"/>
      <c r="CV199" s="316"/>
      <c r="CW199" s="316"/>
      <c r="CX199" s="316"/>
      <c r="CY199" s="316"/>
      <c r="CZ199" s="316"/>
      <c r="DA199" s="316"/>
      <c r="DB199" s="1498"/>
      <c r="DC199" s="316">
        <v>9.7120276796319099E-2</v>
      </c>
      <c r="DD199" s="316">
        <v>9.4431703788642338E-2</v>
      </c>
      <c r="DE199" s="316">
        <v>9.1837686658237272E-2</v>
      </c>
      <c r="DF199" s="316">
        <v>0.11637884072691407</v>
      </c>
      <c r="DG199" s="316">
        <v>0.10428382227504068</v>
      </c>
      <c r="DH199" s="316">
        <v>0.16493304429559694</v>
      </c>
      <c r="DI199" s="316">
        <v>0.34176394031490803</v>
      </c>
      <c r="DJ199" s="316">
        <v>0.22056297483547979</v>
      </c>
      <c r="DK199" s="316">
        <v>0.26269059989013327</v>
      </c>
      <c r="DL199" s="316">
        <v>0.2339111979648299</v>
      </c>
      <c r="DM199" s="316">
        <v>0.23691384818594868</v>
      </c>
      <c r="DN199" s="318">
        <v>0.26435579749294685</v>
      </c>
      <c r="DO199" s="316">
        <v>0.81548350400000003</v>
      </c>
      <c r="DP199" s="316">
        <v>0.89468296199999997</v>
      </c>
      <c r="DQ199" s="316">
        <v>0.88994272699999999</v>
      </c>
      <c r="DR199" s="316">
        <v>0.74259006599999999</v>
      </c>
      <c r="DS199" s="316">
        <v>0.85803408800000003</v>
      </c>
      <c r="DT199" s="316">
        <v>0.95241461699999996</v>
      </c>
      <c r="DU199" s="316">
        <v>0.82779765299999997</v>
      </c>
      <c r="DV199" s="316">
        <v>0.78600829800000005</v>
      </c>
      <c r="DW199" s="316">
        <v>0.92951981500000003</v>
      </c>
      <c r="DX199" s="316">
        <v>0.81068596299999995</v>
      </c>
      <c r="DY199" s="316">
        <v>0.99184130999999998</v>
      </c>
      <c r="DZ199" s="318">
        <v>1.1211130899999999</v>
      </c>
      <c r="EA199" s="316">
        <v>0.86431013499999998</v>
      </c>
      <c r="EB199" s="316">
        <v>0.89608272</v>
      </c>
      <c r="EC199" s="316">
        <v>1.0324487339999999</v>
      </c>
      <c r="ED199" s="316">
        <v>0.98973740300000002</v>
      </c>
      <c r="EE199" s="316">
        <v>0.88089663600000001</v>
      </c>
      <c r="EF199" s="316">
        <v>1.0335363049999999</v>
      </c>
      <c r="EG199" s="316">
        <v>0.97513037800000002</v>
      </c>
      <c r="EH199" s="316">
        <v>0.82774864599999998</v>
      </c>
      <c r="EI199" s="316">
        <v>1.002834577</v>
      </c>
      <c r="EJ199" s="316">
        <v>0.90485316500000001</v>
      </c>
      <c r="EK199" s="316">
        <v>0.98641874200000002</v>
      </c>
      <c r="EL199" s="318">
        <v>1.041281949</v>
      </c>
      <c r="EM199" s="1206">
        <v>1.0299287829999999</v>
      </c>
      <c r="EN199" s="1206">
        <v>1.1369505499999999</v>
      </c>
      <c r="EO199" s="1206">
        <v>1.01343703</v>
      </c>
      <c r="EP199" s="1206">
        <v>0.98094202600000002</v>
      </c>
      <c r="EQ199" s="1206">
        <v>1.1072251980000001</v>
      </c>
      <c r="ER199" s="1206">
        <v>1.2211093550000001</v>
      </c>
      <c r="ES199" s="1206">
        <v>1.0309217020000001</v>
      </c>
      <c r="ET199" s="1206">
        <v>1.040925815</v>
      </c>
      <c r="EU199" s="1206">
        <v>1.025590373</v>
      </c>
      <c r="EV199" s="1206">
        <v>1.1776016650000001</v>
      </c>
      <c r="EW199" s="1206">
        <v>1.1498127010000001</v>
      </c>
      <c r="EX199" s="1550">
        <v>1.099506222</v>
      </c>
      <c r="EY199" s="1206"/>
      <c r="EZ199" s="1206"/>
      <c r="FA199" s="1206"/>
      <c r="FB199" s="1206"/>
      <c r="FC199" s="1206"/>
      <c r="FD199" s="1206"/>
      <c r="FE199" s="1206"/>
      <c r="FF199" s="1206"/>
      <c r="FG199" s="1206"/>
      <c r="FH199" s="1206"/>
      <c r="FI199" s="1206"/>
      <c r="FJ199" s="1550"/>
      <c r="FK199" s="1206"/>
      <c r="FL199" s="1206"/>
      <c r="FM199" s="1206"/>
      <c r="FN199" s="1206"/>
      <c r="FO199" s="1206"/>
      <c r="FP199" s="1206"/>
      <c r="FQ199" s="316"/>
      <c r="FR199" s="316"/>
      <c r="FS199" s="316"/>
      <c r="FT199" s="316"/>
      <c r="FU199" s="316"/>
      <c r="FV199" s="316"/>
      <c r="FW199" s="316"/>
      <c r="FX199" s="316"/>
      <c r="FY199" s="316"/>
      <c r="FZ199" s="316"/>
      <c r="GA199" s="316"/>
      <c r="GB199" s="316"/>
      <c r="GC199" s="316"/>
      <c r="GD199" s="316"/>
      <c r="GE199" s="316"/>
      <c r="GF199" s="316"/>
      <c r="GG199" s="316"/>
      <c r="GH199" s="316"/>
      <c r="GI199" s="316"/>
      <c r="GJ199" s="316"/>
      <c r="GK199" s="316"/>
      <c r="GL199" s="316"/>
      <c r="GM199" s="316"/>
      <c r="GN199" s="316"/>
      <c r="GO199" s="316"/>
      <c r="GP199" s="316"/>
      <c r="GQ199" s="316"/>
      <c r="GR199" s="316"/>
      <c r="GS199" s="316"/>
      <c r="GT199" s="316"/>
      <c r="GU199" s="316"/>
      <c r="GV199" s="316"/>
      <c r="GW199" s="316"/>
      <c r="GX199" s="316"/>
      <c r="GY199" s="316"/>
      <c r="GZ199" s="316"/>
      <c r="HA199" s="316"/>
      <c r="HB199" s="316"/>
      <c r="HC199" s="316"/>
      <c r="HD199" s="316"/>
      <c r="HE199" s="316"/>
      <c r="HF199" s="316"/>
      <c r="HG199" s="316"/>
      <c r="HH199" s="316"/>
      <c r="HI199" s="316"/>
      <c r="HJ199" s="316"/>
      <c r="HK199" s="316"/>
      <c r="HL199" s="316"/>
      <c r="HM199" s="316"/>
      <c r="HX199" s="346"/>
      <c r="HY199" s="302">
        <f t="shared" si="38"/>
        <v>5.1531479639999995</v>
      </c>
      <c r="KH199" s="303"/>
    </row>
    <row r="200" spans="1:294" outlineLevel="1">
      <c r="D200" s="891" t="s">
        <v>1230</v>
      </c>
      <c r="E200" s="316"/>
      <c r="F200" s="316"/>
      <c r="G200" s="316"/>
      <c r="H200" s="316"/>
      <c r="I200" s="316"/>
      <c r="J200" s="316"/>
      <c r="K200" s="316"/>
      <c r="L200" s="316"/>
      <c r="M200" s="316"/>
      <c r="N200" s="316"/>
      <c r="O200" s="316"/>
      <c r="P200" s="316"/>
      <c r="Q200" s="316"/>
      <c r="R200" s="316"/>
      <c r="S200" s="316"/>
      <c r="T200" s="316"/>
      <c r="U200" s="316"/>
      <c r="V200" s="316"/>
      <c r="W200" s="316"/>
      <c r="X200" s="316"/>
      <c r="Y200" s="316"/>
      <c r="Z200" s="316"/>
      <c r="AA200" s="316"/>
      <c r="AB200" s="316"/>
      <c r="AC200" s="316"/>
      <c r="AD200" s="316"/>
      <c r="AE200" s="316"/>
      <c r="AF200" s="316"/>
      <c r="AG200" s="316"/>
      <c r="AH200" s="316"/>
      <c r="AI200" s="316"/>
      <c r="AJ200" s="316"/>
      <c r="AK200" s="316"/>
      <c r="AL200" s="316"/>
      <c r="AM200" s="316"/>
      <c r="AN200" s="316"/>
      <c r="AO200" s="316"/>
      <c r="AP200" s="316"/>
      <c r="AQ200" s="316"/>
      <c r="AR200" s="316"/>
      <c r="AS200" s="316"/>
      <c r="AT200" s="316"/>
      <c r="AU200" s="316"/>
      <c r="AV200" s="316"/>
      <c r="AW200" s="316"/>
      <c r="AX200" s="316"/>
      <c r="AY200" s="316"/>
      <c r="AZ200" s="316"/>
      <c r="BA200" s="316"/>
      <c r="BB200" s="316"/>
      <c r="BC200" s="316"/>
      <c r="BD200" s="316"/>
      <c r="BE200" s="316"/>
      <c r="BF200" s="316"/>
      <c r="BG200" s="316"/>
      <c r="BH200" s="316"/>
      <c r="BI200" s="316"/>
      <c r="BJ200" s="316"/>
      <c r="BK200" s="316"/>
      <c r="BL200" s="316"/>
      <c r="BM200" s="316"/>
      <c r="BN200" s="316"/>
      <c r="BO200" s="316"/>
      <c r="BP200" s="316"/>
      <c r="BQ200" s="316"/>
      <c r="BR200" s="316"/>
      <c r="BS200" s="316"/>
      <c r="BT200" s="316"/>
      <c r="BU200" s="316"/>
      <c r="BV200" s="316"/>
      <c r="BW200" s="316"/>
      <c r="BX200" s="316"/>
      <c r="BY200" s="316"/>
      <c r="BZ200" s="316"/>
      <c r="CA200" s="316"/>
      <c r="CB200" s="316"/>
      <c r="CC200" s="316"/>
      <c r="CD200" s="316"/>
      <c r="CE200" s="317"/>
      <c r="CF200" s="316"/>
      <c r="CG200" s="316"/>
      <c r="CH200" s="316"/>
      <c r="CI200" s="316"/>
      <c r="CJ200" s="316"/>
      <c r="CK200" s="316"/>
      <c r="CL200" s="316"/>
      <c r="CM200" s="316"/>
      <c r="CN200" s="316"/>
      <c r="CO200" s="316"/>
      <c r="CP200" s="318"/>
      <c r="CQ200" s="316"/>
      <c r="CR200" s="316"/>
      <c r="CS200" s="316"/>
      <c r="CT200" s="316"/>
      <c r="CU200" s="316"/>
      <c r="CV200" s="316"/>
      <c r="CW200" s="316"/>
      <c r="CX200" s="316"/>
      <c r="CY200" s="316"/>
      <c r="CZ200" s="316"/>
      <c r="DA200" s="316"/>
      <c r="DB200" s="1498"/>
      <c r="DC200" s="316"/>
      <c r="DD200" s="316"/>
      <c r="DE200" s="316"/>
      <c r="DF200" s="316"/>
      <c r="DG200" s="316"/>
      <c r="DH200" s="316"/>
      <c r="DI200" s="316"/>
      <c r="DJ200" s="316"/>
      <c r="DK200" s="316"/>
      <c r="DL200" s="316"/>
      <c r="DM200" s="316"/>
      <c r="DN200" s="318"/>
      <c r="DO200" s="316"/>
      <c r="DP200" s="316"/>
      <c r="DQ200" s="316"/>
      <c r="DR200" s="316"/>
      <c r="DS200" s="316"/>
      <c r="DT200" s="316"/>
      <c r="DU200" s="316"/>
      <c r="DV200" s="316"/>
      <c r="DW200" s="316"/>
      <c r="DX200" s="316"/>
      <c r="DY200" s="316"/>
      <c r="DZ200" s="318"/>
      <c r="EA200" s="316"/>
      <c r="EB200" s="316"/>
      <c r="EC200" s="316"/>
      <c r="ED200" s="316"/>
      <c r="EE200" s="316"/>
      <c r="EF200" s="316"/>
      <c r="EG200" s="316"/>
      <c r="EH200" s="316"/>
      <c r="EI200" s="316"/>
      <c r="EJ200" s="316"/>
      <c r="EK200" s="316"/>
      <c r="EL200" s="318"/>
      <c r="EM200" s="1206">
        <v>0.13584512800000001</v>
      </c>
      <c r="EN200" s="1206">
        <v>0.150573756</v>
      </c>
      <c r="EO200" s="1206">
        <v>0.12838455500000001</v>
      </c>
      <c r="EP200" s="1206">
        <v>0.12900236400000001</v>
      </c>
      <c r="EQ200" s="1206">
        <v>0.13895186500000001</v>
      </c>
      <c r="ER200" s="1206">
        <v>0.15578781799999999</v>
      </c>
      <c r="ES200" s="1206">
        <v>0.13487955600000001</v>
      </c>
      <c r="ET200" s="1206">
        <v>0.13514399899999999</v>
      </c>
      <c r="EU200" s="1206">
        <v>0.13457538999999999</v>
      </c>
      <c r="EV200" s="1206">
        <v>0.15523136400000001</v>
      </c>
      <c r="EW200" s="1206">
        <v>0.15296206000000001</v>
      </c>
      <c r="EX200" s="1550">
        <v>0.14312493600000001</v>
      </c>
      <c r="EY200" s="1206"/>
      <c r="EZ200" s="1206"/>
      <c r="FA200" s="1206"/>
      <c r="FB200" s="1206"/>
      <c r="FC200" s="1206"/>
      <c r="FD200" s="1206"/>
      <c r="FE200" s="1206"/>
      <c r="FF200" s="1206"/>
      <c r="FG200" s="1206"/>
      <c r="FH200" s="1206"/>
      <c r="FI200" s="1206"/>
      <c r="FJ200" s="1550"/>
      <c r="FK200" s="1206"/>
      <c r="FL200" s="1206"/>
      <c r="FM200" s="1206"/>
      <c r="FN200" s="1206"/>
      <c r="FO200" s="1206"/>
      <c r="FP200" s="1206"/>
      <c r="FQ200" s="316"/>
      <c r="FR200" s="316"/>
      <c r="FS200" s="316"/>
      <c r="FT200" s="316"/>
      <c r="FU200" s="316"/>
      <c r="FV200" s="316"/>
      <c r="FW200" s="316"/>
      <c r="FX200" s="316"/>
      <c r="FY200" s="316"/>
      <c r="FZ200" s="316"/>
      <c r="GA200" s="316"/>
      <c r="GB200" s="316"/>
      <c r="GC200" s="316"/>
      <c r="GD200" s="316"/>
      <c r="GE200" s="316"/>
      <c r="GF200" s="316"/>
      <c r="GG200" s="316"/>
      <c r="GH200" s="316"/>
      <c r="GI200" s="316"/>
      <c r="GJ200" s="316"/>
      <c r="GK200" s="316"/>
      <c r="GL200" s="316"/>
      <c r="GM200" s="316"/>
      <c r="GN200" s="316"/>
      <c r="GO200" s="316"/>
      <c r="GP200" s="316"/>
      <c r="GQ200" s="316"/>
      <c r="GR200" s="316"/>
      <c r="GS200" s="316"/>
      <c r="GT200" s="316"/>
      <c r="GU200" s="316"/>
      <c r="GV200" s="316"/>
      <c r="GW200" s="316"/>
      <c r="GX200" s="316"/>
      <c r="GY200" s="316"/>
      <c r="GZ200" s="316"/>
      <c r="HA200" s="316"/>
      <c r="HB200" s="316"/>
      <c r="HC200" s="316"/>
      <c r="HD200" s="316"/>
      <c r="HE200" s="316"/>
      <c r="HF200" s="316"/>
      <c r="HG200" s="316"/>
      <c r="HH200" s="316"/>
      <c r="HI200" s="316"/>
      <c r="HJ200" s="316"/>
      <c r="HK200" s="316"/>
      <c r="HL200" s="316"/>
      <c r="HM200" s="316"/>
      <c r="HX200" s="346"/>
      <c r="KH200" s="303"/>
    </row>
    <row r="201" spans="1:294" ht="15" customHeight="1" outlineLevel="1">
      <c r="B201" s="117" t="s">
        <v>361</v>
      </c>
      <c r="D201" s="332" t="s">
        <v>455</v>
      </c>
      <c r="E201" s="316">
        <v>15.900270389500001</v>
      </c>
      <c r="F201" s="316">
        <v>15.102378765900001</v>
      </c>
      <c r="G201" s="316">
        <v>22.086037131499999</v>
      </c>
      <c r="H201" s="316">
        <v>18.201817783700001</v>
      </c>
      <c r="I201" s="316">
        <v>18.360900384100002</v>
      </c>
      <c r="J201" s="316">
        <v>24.982421092700001</v>
      </c>
      <c r="K201" s="316">
        <v>17.3240368479</v>
      </c>
      <c r="L201" s="316">
        <v>18.747609784599998</v>
      </c>
      <c r="M201" s="316">
        <v>21.873555507399999</v>
      </c>
      <c r="N201" s="316">
        <v>18.669706724499999</v>
      </c>
      <c r="O201" s="316">
        <v>20.230525147999998</v>
      </c>
      <c r="P201" s="316">
        <v>23.902143403100006</v>
      </c>
      <c r="Q201" s="316">
        <v>21.087327168000002</v>
      </c>
      <c r="R201" s="316">
        <v>20.690058716999999</v>
      </c>
      <c r="S201" s="316">
        <v>26.405317320999998</v>
      </c>
      <c r="T201" s="316">
        <v>23.271331894999999</v>
      </c>
      <c r="U201" s="316">
        <v>23.641492929000002</v>
      </c>
      <c r="V201" s="316">
        <v>35.306892220000002</v>
      </c>
      <c r="W201" s="316">
        <v>24.372739454000001</v>
      </c>
      <c r="X201" s="316">
        <v>24.683473452999998</v>
      </c>
      <c r="Y201" s="316">
        <v>35.050593321999997</v>
      </c>
      <c r="Z201" s="316">
        <v>29.308416343999998</v>
      </c>
      <c r="AA201" s="316">
        <v>25.515420328000001</v>
      </c>
      <c r="AB201" s="316">
        <v>37.627979185000001</v>
      </c>
      <c r="AC201" s="316">
        <v>27.9572495946</v>
      </c>
      <c r="AD201" s="316">
        <v>28.364116906500001</v>
      </c>
      <c r="AE201" s="316">
        <v>32.965941546900005</v>
      </c>
      <c r="AF201" s="316">
        <v>27.311951837500001</v>
      </c>
      <c r="AG201" s="316">
        <v>26.835357422999998</v>
      </c>
      <c r="AH201" s="316">
        <v>36.675784828499999</v>
      </c>
      <c r="AI201" s="316">
        <v>26.011453915600001</v>
      </c>
      <c r="AJ201" s="316">
        <v>27.523233182400002</v>
      </c>
      <c r="AK201" s="316">
        <v>32.590949348900004</v>
      </c>
      <c r="AL201" s="316">
        <v>25.582110614700003</v>
      </c>
      <c r="AM201" s="316">
        <v>29.006403433400003</v>
      </c>
      <c r="AN201" s="316">
        <v>37.902355736000004</v>
      </c>
      <c r="AO201" s="316">
        <v>28.468137239499995</v>
      </c>
      <c r="AP201" s="316">
        <v>27.464071189400006</v>
      </c>
      <c r="AQ201" s="316">
        <v>43.631684612899996</v>
      </c>
      <c r="AR201" s="316">
        <v>29.317532812800003</v>
      </c>
      <c r="AS201" s="316">
        <v>28.298698128800005</v>
      </c>
      <c r="AT201" s="316">
        <v>36.112201429100004</v>
      </c>
      <c r="AU201" s="316">
        <v>30.368651599300001</v>
      </c>
      <c r="AV201" s="316">
        <v>33.2871120334</v>
      </c>
      <c r="AW201" s="316">
        <v>37.863616466745086</v>
      </c>
      <c r="AX201" s="316">
        <v>32.589924484431073</v>
      </c>
      <c r="AY201" s="316">
        <v>34.350844690518002</v>
      </c>
      <c r="AZ201" s="316">
        <v>45.277497729415998</v>
      </c>
      <c r="BA201" s="316">
        <v>37.411114440013598</v>
      </c>
      <c r="BB201" s="316">
        <v>31.573080102900001</v>
      </c>
      <c r="BC201" s="316">
        <v>48.33347621835</v>
      </c>
      <c r="BD201" s="316">
        <v>35.564303945821599</v>
      </c>
      <c r="BE201" s="316">
        <v>40.177170076806377</v>
      </c>
      <c r="BF201" s="316">
        <v>45.815386335698008</v>
      </c>
      <c r="BG201" s="316">
        <v>35.297975336865818</v>
      </c>
      <c r="BH201" s="316">
        <v>40.216656254991555</v>
      </c>
      <c r="BI201" s="316">
        <v>46.946961206389489</v>
      </c>
      <c r="BJ201" s="316">
        <v>39.850780304195297</v>
      </c>
      <c r="BK201" s="316">
        <v>40.903609818049247</v>
      </c>
      <c r="BL201" s="316">
        <v>51.922997772848802</v>
      </c>
      <c r="BM201" s="316">
        <v>42.079086980470997</v>
      </c>
      <c r="BN201" s="316">
        <v>42.587990136630232</v>
      </c>
      <c r="BO201" s="316">
        <v>58.110797098893642</v>
      </c>
      <c r="BP201" s="316">
        <v>42.644542384611952</v>
      </c>
      <c r="BQ201" s="316">
        <v>52.704327631105855</v>
      </c>
      <c r="BR201" s="316">
        <v>55.584335644260406</v>
      </c>
      <c r="BS201" s="316">
        <v>45.616169956503988</v>
      </c>
      <c r="BT201" s="316">
        <v>48.517228817339308</v>
      </c>
      <c r="BU201" s="316">
        <v>54.770296613331489</v>
      </c>
      <c r="BV201" s="316">
        <v>49.630867935847377</v>
      </c>
      <c r="BW201" s="316">
        <v>47.73854370565882</v>
      </c>
      <c r="BX201" s="316">
        <v>54.546352951955171</v>
      </c>
      <c r="BY201" s="316">
        <v>50.759378499466337</v>
      </c>
      <c r="BZ201" s="316">
        <v>49.54590144869843</v>
      </c>
      <c r="CA201" s="316">
        <v>69.941717107830286</v>
      </c>
      <c r="CB201" s="316">
        <v>49.834096165206468</v>
      </c>
      <c r="CC201" s="316">
        <v>51.997049962222945</v>
      </c>
      <c r="CD201" s="316">
        <v>0.15345123499999999</v>
      </c>
      <c r="CE201" s="317">
        <v>0.10934197600000001</v>
      </c>
      <c r="CF201" s="316">
        <v>0.10372532</v>
      </c>
      <c r="CG201" s="316">
        <v>0.135653053</v>
      </c>
      <c r="CH201" s="316">
        <v>0.17609335800000001</v>
      </c>
      <c r="CI201" s="316">
        <v>0.242492759</v>
      </c>
      <c r="CJ201" s="316">
        <v>0.28814543400000003</v>
      </c>
      <c r="CK201" s="316">
        <v>0.377725384</v>
      </c>
      <c r="CL201" s="316">
        <v>0.27571503799999997</v>
      </c>
      <c r="CM201" s="316">
        <v>0.36636174899999996</v>
      </c>
      <c r="CN201" s="316">
        <v>0.26636611699999996</v>
      </c>
      <c r="CO201" s="316">
        <v>0.31336884199999998</v>
      </c>
      <c r="CP201" s="318">
        <v>2.316905019</v>
      </c>
      <c r="CQ201" s="316">
        <v>0.16995152699999999</v>
      </c>
      <c r="CR201" s="316">
        <v>0.163872087</v>
      </c>
      <c r="CS201" s="316">
        <v>0.14794943799999999</v>
      </c>
      <c r="CT201" s="316">
        <v>0.184970255</v>
      </c>
      <c r="CU201" s="316">
        <v>0.15801443800000001</v>
      </c>
      <c r="CV201" s="316">
        <v>0.240922414</v>
      </c>
      <c r="CW201" s="316">
        <v>0.29650723200000001</v>
      </c>
      <c r="CX201" s="316">
        <v>0.18710010299999999</v>
      </c>
      <c r="CY201" s="316">
        <v>0.17879928</v>
      </c>
      <c r="CZ201" s="316">
        <v>0.19023720399999999</v>
      </c>
      <c r="DA201" s="316">
        <v>0.26170312200000001</v>
      </c>
      <c r="DB201" s="1498">
        <v>0.46213896199999999</v>
      </c>
      <c r="DC201" s="316">
        <v>9.7120276796319099E-2</v>
      </c>
      <c r="DD201" s="316">
        <v>9.4431703788642338E-2</v>
      </c>
      <c r="DE201" s="316">
        <v>9.1837686658237272E-2</v>
      </c>
      <c r="DF201" s="316">
        <v>0.11637884072691407</v>
      </c>
      <c r="DG201" s="316">
        <v>0.10428382227504068</v>
      </c>
      <c r="DH201" s="316">
        <v>0.16493304429559694</v>
      </c>
      <c r="DI201" s="316">
        <v>0</v>
      </c>
      <c r="DJ201" s="316">
        <v>0</v>
      </c>
      <c r="DK201" s="316">
        <v>0</v>
      </c>
      <c r="DL201" s="316">
        <v>0</v>
      </c>
      <c r="DM201" s="316">
        <v>0</v>
      </c>
      <c r="DN201" s="318">
        <v>0</v>
      </c>
      <c r="DO201" s="316">
        <v>0.338236178</v>
      </c>
      <c r="DP201" s="316">
        <v>0.31939996999999998</v>
      </c>
      <c r="DQ201" s="316">
        <v>0.32449750500000002</v>
      </c>
      <c r="DR201" s="316">
        <v>0.28117113700000002</v>
      </c>
      <c r="DS201" s="316">
        <v>0.286505071</v>
      </c>
      <c r="DT201" s="316">
        <v>0.31512406599999998</v>
      </c>
      <c r="DU201" s="316">
        <v>0.48557242900000003</v>
      </c>
      <c r="DV201" s="316">
        <v>0.352901415</v>
      </c>
      <c r="DW201" s="316">
        <v>0.34565947800000002</v>
      </c>
      <c r="DX201" s="316">
        <v>0.32050231600000001</v>
      </c>
      <c r="DY201" s="316">
        <v>0.35486980400000001</v>
      </c>
      <c r="DZ201" s="318">
        <v>0.36940208800000002</v>
      </c>
      <c r="EA201" s="316">
        <v>0.44832762599999998</v>
      </c>
      <c r="EB201" s="316">
        <v>0.449873894</v>
      </c>
      <c r="EC201" s="316">
        <v>0.48412061799999995</v>
      </c>
      <c r="ED201" s="316">
        <v>0.49513671100000001</v>
      </c>
      <c r="EE201" s="316">
        <v>0.49792749600000002</v>
      </c>
      <c r="EF201" s="316">
        <v>0.28456489500000004</v>
      </c>
      <c r="EG201" s="316">
        <v>0.68420377499999996</v>
      </c>
      <c r="EH201" s="316">
        <v>0.47026225499999996</v>
      </c>
      <c r="EI201" s="316">
        <v>0.51674487599999996</v>
      </c>
      <c r="EJ201" s="316">
        <v>0.47400691700000003</v>
      </c>
      <c r="EK201" s="316">
        <v>0.53686208000000002</v>
      </c>
      <c r="EL201" s="318">
        <v>0.49788368700000002</v>
      </c>
      <c r="EM201" s="1209">
        <v>0.40149632600000001</v>
      </c>
      <c r="EN201" s="1209">
        <v>0.45098290699999999</v>
      </c>
      <c r="EO201" s="1209">
        <v>0.36210445400000002</v>
      </c>
      <c r="EP201" s="1209">
        <v>0.42491784399999999</v>
      </c>
      <c r="EQ201" s="1209">
        <v>0.45425315500000002</v>
      </c>
      <c r="ER201" s="1209">
        <v>1.4095205559999999</v>
      </c>
      <c r="ES201" s="1206">
        <v>0.75799177885623692</v>
      </c>
      <c r="ET201" s="1206">
        <v>0.49299731556263282</v>
      </c>
      <c r="EU201" s="1206">
        <v>0.52898659743276255</v>
      </c>
      <c r="EV201" s="1206">
        <v>0.57390542855242188</v>
      </c>
      <c r="EW201" s="1206">
        <v>0.35553299164170937</v>
      </c>
      <c r="EX201" s="1550">
        <v>0.39772355289949246</v>
      </c>
      <c r="EY201" s="1206"/>
      <c r="EZ201" s="1206"/>
      <c r="FA201" s="1206"/>
      <c r="FB201" s="1206"/>
      <c r="FC201" s="1206"/>
      <c r="FD201" s="1206"/>
      <c r="FE201" s="1206"/>
      <c r="FF201" s="1206"/>
      <c r="FG201" s="1206"/>
      <c r="FH201" s="1206"/>
      <c r="FI201" s="1206"/>
      <c r="FJ201" s="1550"/>
      <c r="FK201" s="1206"/>
      <c r="FL201" s="1206"/>
      <c r="FM201" s="1206"/>
      <c r="FN201" s="1206"/>
      <c r="FO201" s="1206"/>
      <c r="FP201" s="1206"/>
      <c r="FQ201" s="316"/>
      <c r="FR201" s="316"/>
      <c r="FS201" s="316"/>
      <c r="FT201" s="316"/>
      <c r="FU201" s="316"/>
      <c r="FV201" s="316"/>
      <c r="FW201" s="316"/>
      <c r="FX201" s="316"/>
      <c r="FY201" s="316"/>
      <c r="FZ201" s="316"/>
      <c r="GA201" s="316"/>
      <c r="GB201" s="316"/>
      <c r="GC201" s="316"/>
      <c r="GD201" s="316"/>
      <c r="GE201" s="316"/>
      <c r="GF201" s="316"/>
      <c r="GG201" s="316"/>
      <c r="GH201" s="316"/>
      <c r="GI201" s="316"/>
      <c r="GJ201" s="316"/>
      <c r="GK201" s="316"/>
      <c r="GL201" s="316"/>
      <c r="GM201" s="316"/>
      <c r="GN201" s="316"/>
      <c r="GO201" s="316"/>
      <c r="GP201" s="316"/>
      <c r="GQ201" s="316"/>
      <c r="GR201" s="316"/>
      <c r="GS201" s="316"/>
      <c r="GT201" s="316"/>
      <c r="GU201" s="316"/>
      <c r="GV201" s="316"/>
      <c r="GW201" s="316"/>
      <c r="GX201" s="316"/>
      <c r="GY201" s="316"/>
      <c r="GZ201" s="316"/>
      <c r="HA201" s="316"/>
      <c r="HB201" s="316"/>
      <c r="HC201" s="316"/>
      <c r="HD201" s="316"/>
      <c r="HE201" s="316"/>
      <c r="HF201" s="316"/>
      <c r="HG201" s="316"/>
      <c r="HH201" s="316"/>
      <c r="HI201" s="316"/>
      <c r="HJ201" s="316"/>
      <c r="HK201" s="316"/>
      <c r="HL201" s="316"/>
      <c r="HM201" s="316"/>
      <c r="HV201" s="302">
        <f>+SUM(DC201:DH201)</f>
        <v>0.66898537454075035</v>
      </c>
      <c r="HW201" s="302">
        <f>+SUM(DI201:DN201)</f>
        <v>0</v>
      </c>
      <c r="HX201" s="346">
        <f t="shared" si="32"/>
        <v>0.66898537454075035</v>
      </c>
      <c r="HY201" s="302">
        <f>SUM(DO201:DT201)</f>
        <v>1.864933927</v>
      </c>
      <c r="KH201" s="303"/>
    </row>
    <row r="202" spans="1:294" outlineLevel="1">
      <c r="B202" s="117" t="s">
        <v>361</v>
      </c>
      <c r="D202" s="315" t="s">
        <v>456</v>
      </c>
      <c r="E202" s="316">
        <v>0</v>
      </c>
      <c r="F202" s="316">
        <v>7.3092616000000013E-2</v>
      </c>
      <c r="G202" s="316">
        <v>0.36496484060000001</v>
      </c>
      <c r="H202" s="316">
        <v>0.80613189879999991</v>
      </c>
      <c r="I202" s="316">
        <v>5.9547330000000002E-2</v>
      </c>
      <c r="J202" s="316">
        <v>0.32178765469999998</v>
      </c>
      <c r="K202" s="316">
        <v>1.9911949299999999E-2</v>
      </c>
      <c r="L202" s="316">
        <v>0.2335165494</v>
      </c>
      <c r="M202" s="316">
        <v>0.33952210660000004</v>
      </c>
      <c r="N202" s="316">
        <v>0.14173911980000004</v>
      </c>
      <c r="O202" s="316">
        <v>0</v>
      </c>
      <c r="P202" s="316">
        <v>6.7205269599999992E-2</v>
      </c>
      <c r="Q202" s="316">
        <v>2.3576049999999998E-2</v>
      </c>
      <c r="R202" s="316">
        <v>1.3268143E-2</v>
      </c>
      <c r="S202" s="316">
        <v>0.36213879199999999</v>
      </c>
      <c r="T202" s="316">
        <v>0.34440806199999996</v>
      </c>
      <c r="U202" s="316">
        <v>0.175560521</v>
      </c>
      <c r="V202" s="316">
        <v>0.49056343299999999</v>
      </c>
      <c r="W202" s="316">
        <v>2.9955E-5</v>
      </c>
      <c r="X202" s="316">
        <v>3.7800579999999998E-3</v>
      </c>
      <c r="Y202" s="316">
        <v>7.1777170000000001E-3</v>
      </c>
      <c r="Z202" s="316">
        <v>0.86017266199999998</v>
      </c>
      <c r="AA202" s="316">
        <v>0.36795083699999998</v>
      </c>
      <c r="AB202" s="316">
        <v>1.292932108</v>
      </c>
      <c r="AC202" s="316">
        <v>7.9151414099999998E-2</v>
      </c>
      <c r="AD202" s="316">
        <v>0.5579038542000001</v>
      </c>
      <c r="AE202" s="316">
        <v>0.89650346560000005</v>
      </c>
      <c r="AF202" s="316">
        <v>0</v>
      </c>
      <c r="AG202" s="316">
        <v>0.2741431587</v>
      </c>
      <c r="AH202" s="316">
        <v>1.1926866351999998</v>
      </c>
      <c r="AI202" s="316">
        <v>0.39757259449999999</v>
      </c>
      <c r="AJ202" s="316">
        <v>0.47639267219999998</v>
      </c>
      <c r="AK202" s="316">
        <v>0</v>
      </c>
      <c r="AL202" s="316">
        <v>0.85792540670000006</v>
      </c>
      <c r="AM202" s="316">
        <v>0.41305130600000001</v>
      </c>
      <c r="AN202" s="316">
        <v>0.32588942810000004</v>
      </c>
      <c r="AO202" s="316">
        <v>0.64671251159999998</v>
      </c>
      <c r="AP202" s="316">
        <v>0</v>
      </c>
      <c r="AQ202" s="316">
        <v>1.0515757128000001</v>
      </c>
      <c r="AR202" s="316">
        <v>0.29322368929999998</v>
      </c>
      <c r="AS202" s="316">
        <v>0</v>
      </c>
      <c r="AT202" s="316">
        <v>0.4515440141</v>
      </c>
      <c r="AU202" s="316">
        <v>0.5135120084</v>
      </c>
      <c r="AV202" s="316">
        <v>0.69698791529999993</v>
      </c>
      <c r="AW202" s="316">
        <v>0.90963400879999989</v>
      </c>
      <c r="AX202" s="316">
        <v>0</v>
      </c>
      <c r="AY202" s="316">
        <v>0.89653700000000003</v>
      </c>
      <c r="AZ202" s="316">
        <v>0</v>
      </c>
      <c r="BA202" s="316">
        <v>1.4727263939999999</v>
      </c>
      <c r="BB202" s="316">
        <v>0</v>
      </c>
      <c r="BC202" s="316">
        <v>1.8504318710000001</v>
      </c>
      <c r="BD202" s="316">
        <v>0.94247817290000002</v>
      </c>
      <c r="BE202" s="316">
        <v>0</v>
      </c>
      <c r="BF202" s="316">
        <v>0.68079991620000013</v>
      </c>
      <c r="BG202" s="316">
        <v>0</v>
      </c>
      <c r="BH202" s="316">
        <v>1.4055919022999999</v>
      </c>
      <c r="BI202" s="316">
        <v>0</v>
      </c>
      <c r="BJ202" s="316">
        <v>0</v>
      </c>
      <c r="BK202" s="316">
        <v>0.84972365459999999</v>
      </c>
      <c r="BL202" s="316">
        <v>0.5880363999999999</v>
      </c>
      <c r="BM202" s="316">
        <v>1.1066112450999999</v>
      </c>
      <c r="BN202" s="316">
        <v>0.58366986779999985</v>
      </c>
      <c r="BO202" s="316">
        <v>0.37367604999999998</v>
      </c>
      <c r="BP202" s="316">
        <v>0.80848054320000007</v>
      </c>
      <c r="BQ202" s="316">
        <v>0.65009044770000002</v>
      </c>
      <c r="BR202" s="316">
        <v>0.78674618310000011</v>
      </c>
      <c r="BS202" s="316">
        <v>0</v>
      </c>
      <c r="BT202" s="316">
        <v>1.0383218097000002</v>
      </c>
      <c r="BU202" s="316">
        <v>0.66126909239999998</v>
      </c>
      <c r="BV202" s="316">
        <v>0.8294708462999999</v>
      </c>
      <c r="BW202" s="316">
        <v>0</v>
      </c>
      <c r="BX202" s="316">
        <v>1.1885189493000003</v>
      </c>
      <c r="BY202" s="316">
        <v>0</v>
      </c>
      <c r="BZ202" s="316">
        <v>1.0845933135000001</v>
      </c>
      <c r="CA202" s="316">
        <v>0.70348018860000006</v>
      </c>
      <c r="CB202" s="316">
        <v>0.64682754929999997</v>
      </c>
      <c r="CC202" s="316">
        <v>0</v>
      </c>
      <c r="CD202" s="316">
        <v>72.383602025218806</v>
      </c>
      <c r="CE202" s="317">
        <v>50.193935114697268</v>
      </c>
      <c r="CF202" s="316">
        <v>54.70438608830078</v>
      </c>
      <c r="CG202" s="316">
        <v>67.162459495593438</v>
      </c>
      <c r="CH202" s="316">
        <v>55.670643975645227</v>
      </c>
      <c r="CI202" s="316">
        <v>56.695037962824713</v>
      </c>
      <c r="CJ202" s="316">
        <v>71.718126505693789</v>
      </c>
      <c r="CK202" s="316">
        <v>61.906300489825043</v>
      </c>
      <c r="CL202" s="316">
        <v>57.303852409763074</v>
      </c>
      <c r="CM202" s="316">
        <v>66.565750227064214</v>
      </c>
      <c r="CN202" s="316">
        <v>58.011065220253357</v>
      </c>
      <c r="CO202" s="316">
        <v>64.443055566357629</v>
      </c>
      <c r="CP202" s="318">
        <v>92.074709867505646</v>
      </c>
      <c r="CQ202" s="316">
        <v>60.638112647423334</v>
      </c>
      <c r="CR202" s="316">
        <v>60.650657708755219</v>
      </c>
      <c r="CS202" s="316">
        <v>80.598148978722534</v>
      </c>
      <c r="CT202" s="316">
        <v>59.767111687982222</v>
      </c>
      <c r="CU202" s="316">
        <v>57.520965587794365</v>
      </c>
      <c r="CV202" s="316">
        <v>81.491256073615119</v>
      </c>
      <c r="CW202" s="316">
        <v>65.69516840548259</v>
      </c>
      <c r="CX202" s="316">
        <v>58.716004557468082</v>
      </c>
      <c r="CY202" s="316">
        <v>87.43036961291179</v>
      </c>
      <c r="CZ202" s="316">
        <v>72.447978578090101</v>
      </c>
      <c r="DA202" s="316">
        <v>68.82082806760269</v>
      </c>
      <c r="DB202" s="1498">
        <v>98.309068731851184</v>
      </c>
      <c r="DC202" s="636">
        <v>66.468543010846716</v>
      </c>
      <c r="DD202" s="636">
        <v>68.055312448935553</v>
      </c>
      <c r="DE202" s="636">
        <v>86.749043686568399</v>
      </c>
      <c r="DF202" s="636">
        <v>77.674971646906329</v>
      </c>
      <c r="DG202" s="636">
        <v>70.19406207954917</v>
      </c>
      <c r="DH202" s="636">
        <v>94.337508211493841</v>
      </c>
      <c r="DI202" s="636">
        <v>76.641645563319059</v>
      </c>
      <c r="DJ202" s="636">
        <v>71.840331808814327</v>
      </c>
      <c r="DK202" s="636">
        <v>104.19237770397912</v>
      </c>
      <c r="DL202" s="636">
        <v>77.059273623350094</v>
      </c>
      <c r="DM202" s="636">
        <v>78.131954524163547</v>
      </c>
      <c r="DN202" s="653">
        <v>115.32722113707386</v>
      </c>
      <c r="DO202" s="636">
        <v>69.831563770900004</v>
      </c>
      <c r="DP202" s="636">
        <v>82.33910191530002</v>
      </c>
      <c r="DQ202" s="636">
        <v>96.163174166000005</v>
      </c>
      <c r="DR202" s="636">
        <v>75.032477447700003</v>
      </c>
      <c r="DS202" s="636">
        <v>77.267322875679994</v>
      </c>
      <c r="DT202" s="636">
        <v>106.50302736044726</v>
      </c>
      <c r="DU202" s="636">
        <v>86.734714967100004</v>
      </c>
      <c r="DV202" s="636">
        <v>78.780214510100009</v>
      </c>
      <c r="DW202" s="636">
        <v>118.07723005051002</v>
      </c>
      <c r="DX202" s="636">
        <v>79.296490456900003</v>
      </c>
      <c r="DY202" s="636">
        <v>88.823347795700016</v>
      </c>
      <c r="DZ202" s="653">
        <v>127.8539387389</v>
      </c>
      <c r="EA202" s="636">
        <v>80.425120776100002</v>
      </c>
      <c r="EB202" s="636">
        <v>87.508551998900003</v>
      </c>
      <c r="EC202" s="636">
        <v>108.45574319418998</v>
      </c>
      <c r="ED202" s="636">
        <v>93.733123831520004</v>
      </c>
      <c r="EE202" s="636">
        <v>90.027859884160009</v>
      </c>
      <c r="EF202" s="636">
        <v>122.95230199713001</v>
      </c>
      <c r="EG202" s="636">
        <v>102.46752245544999</v>
      </c>
      <c r="EH202" s="636">
        <v>86.122847689970001</v>
      </c>
      <c r="EI202" s="636">
        <v>124.83402543546001</v>
      </c>
      <c r="EJ202" s="636">
        <v>105.62523695336404</v>
      </c>
      <c r="EK202" s="636">
        <v>94.089169285707328</v>
      </c>
      <c r="EL202" s="653">
        <v>137.81101315866755</v>
      </c>
      <c r="EM202" s="1206">
        <v>90.187192761839995</v>
      </c>
      <c r="EN202" s="1206">
        <v>104.37264189677001</v>
      </c>
      <c r="EO202" s="1206">
        <v>117.39625051976</v>
      </c>
      <c r="EP202" s="1206">
        <v>102.61004217357664</v>
      </c>
      <c r="EQ202" s="1206">
        <v>100.33151328883667</v>
      </c>
      <c r="ER202" s="1206">
        <v>139.43788517754672</v>
      </c>
      <c r="ES202" s="1209">
        <v>112.80798430857266</v>
      </c>
      <c r="ET202" s="1209">
        <v>105.61359187744993</v>
      </c>
      <c r="EU202" s="1209">
        <v>121.72483361832001</v>
      </c>
      <c r="EV202" s="1209">
        <v>128.44429942349441</v>
      </c>
      <c r="EW202" s="1209">
        <v>115.03043924578003</v>
      </c>
      <c r="EX202" s="1539">
        <v>161.46531100932819</v>
      </c>
      <c r="EY202" s="1209"/>
      <c r="EZ202" s="1209"/>
      <c r="FA202" s="1209"/>
      <c r="FB202" s="1209"/>
      <c r="FC202" s="1209"/>
      <c r="FD202" s="1209"/>
      <c r="FE202" s="1209"/>
      <c r="FF202" s="1209"/>
      <c r="FG202" s="1209"/>
      <c r="FH202" s="1209"/>
      <c r="FI202" s="1209"/>
      <c r="FJ202" s="1539"/>
      <c r="FK202" s="1209"/>
      <c r="FL202" s="1209"/>
      <c r="FM202" s="1209"/>
      <c r="FN202" s="1209"/>
      <c r="FO202" s="1209"/>
      <c r="FP202" s="1209"/>
      <c r="FQ202" s="636"/>
      <c r="FR202" s="636"/>
      <c r="FS202" s="636"/>
      <c r="FT202" s="636"/>
      <c r="FU202" s="636"/>
      <c r="FV202" s="636"/>
      <c r="FW202" s="636"/>
      <c r="FX202" s="636"/>
      <c r="FY202" s="636"/>
      <c r="FZ202" s="636"/>
      <c r="GA202" s="636"/>
      <c r="GB202" s="636"/>
      <c r="GC202" s="636"/>
      <c r="GD202" s="636"/>
      <c r="GE202" s="636"/>
      <c r="GF202" s="636"/>
      <c r="GG202" s="636"/>
      <c r="GH202" s="636"/>
      <c r="GI202" s="636"/>
      <c r="GJ202" s="636"/>
      <c r="GK202" s="636"/>
      <c r="GL202" s="636"/>
      <c r="GM202" s="636"/>
      <c r="GN202" s="636"/>
      <c r="GO202" s="636"/>
      <c r="GP202" s="636"/>
      <c r="GQ202" s="636"/>
      <c r="GR202" s="636"/>
      <c r="GS202" s="636"/>
      <c r="GT202" s="636"/>
      <c r="GU202" s="636"/>
      <c r="GV202" s="636"/>
      <c r="GW202" s="636"/>
      <c r="GX202" s="636"/>
      <c r="GY202" s="636"/>
      <c r="GZ202" s="636"/>
      <c r="HA202" s="636"/>
      <c r="HB202" s="636"/>
      <c r="HC202" s="636"/>
      <c r="HD202" s="636"/>
      <c r="HE202" s="636"/>
      <c r="HF202" s="636"/>
      <c r="HG202" s="636"/>
      <c r="HH202" s="636"/>
      <c r="HI202" s="636"/>
      <c r="HJ202" s="636"/>
      <c r="HK202" s="636"/>
      <c r="HL202" s="636"/>
      <c r="HM202" s="636"/>
      <c r="HV202" s="302">
        <f>+SUM(DC202:DH202)</f>
        <v>463.47944108430005</v>
      </c>
      <c r="HW202" s="302">
        <f>+SUM(DI202:DN202)</f>
        <v>523.19280436069994</v>
      </c>
      <c r="HX202" s="346">
        <f t="shared" si="32"/>
        <v>986.67224544500004</v>
      </c>
      <c r="HY202" s="302">
        <f>SUM(DO202:DT202)</f>
        <v>507.13666753602735</v>
      </c>
      <c r="KH202" s="303"/>
    </row>
    <row r="203" spans="1:294" outlineLevel="1">
      <c r="B203" s="117" t="s">
        <v>361</v>
      </c>
      <c r="D203" s="320" t="s">
        <v>457</v>
      </c>
      <c r="E203" s="316">
        <v>15.900270389500001</v>
      </c>
      <c r="F203" s="316">
        <v>15.175471381900001</v>
      </c>
      <c r="G203" s="316">
        <v>22.451001972099998</v>
      </c>
      <c r="H203" s="316">
        <v>19.007949682500001</v>
      </c>
      <c r="I203" s="316">
        <v>18.420447714100003</v>
      </c>
      <c r="J203" s="316">
        <v>25.304208747400001</v>
      </c>
      <c r="K203" s="316">
        <v>17.343948797199999</v>
      </c>
      <c r="L203" s="316">
        <v>18.981126333999999</v>
      </c>
      <c r="M203" s="316">
        <v>22.213077613999999</v>
      </c>
      <c r="N203" s="316">
        <v>18.8114458443</v>
      </c>
      <c r="O203" s="316">
        <v>20.230525147999998</v>
      </c>
      <c r="P203" s="316">
        <v>23.969348672700004</v>
      </c>
      <c r="Q203" s="316">
        <v>21.110903218000001</v>
      </c>
      <c r="R203" s="316">
        <v>20.703326860000001</v>
      </c>
      <c r="S203" s="316">
        <v>26.767456112999998</v>
      </c>
      <c r="T203" s="316">
        <v>23.615739956999999</v>
      </c>
      <c r="U203" s="316">
        <v>23.817053450000003</v>
      </c>
      <c r="V203" s="316">
        <v>35.797455653</v>
      </c>
      <c r="W203" s="316">
        <v>24.372769409</v>
      </c>
      <c r="X203" s="316">
        <v>24.687253510999998</v>
      </c>
      <c r="Y203" s="316">
        <v>35.057771038999995</v>
      </c>
      <c r="Z203" s="316">
        <v>30.168589005999998</v>
      </c>
      <c r="AA203" s="316">
        <v>25.883371165</v>
      </c>
      <c r="AB203" s="316">
        <v>38.920911293000003</v>
      </c>
      <c r="AC203" s="316">
        <v>28.0364010087</v>
      </c>
      <c r="AD203" s="316">
        <v>28.922020760700001</v>
      </c>
      <c r="AE203" s="316">
        <v>33.862445012500004</v>
      </c>
      <c r="AF203" s="316">
        <v>27.311951837500001</v>
      </c>
      <c r="AG203" s="316">
        <v>27.109500581699997</v>
      </c>
      <c r="AH203" s="316">
        <v>37.868471463699997</v>
      </c>
      <c r="AI203" s="316">
        <v>26.409026510100002</v>
      </c>
      <c r="AJ203" s="316">
        <v>27.999625854600001</v>
      </c>
      <c r="AK203" s="316">
        <v>32.590949348900004</v>
      </c>
      <c r="AL203" s="316">
        <v>26.440036021400005</v>
      </c>
      <c r="AM203" s="316">
        <v>29.419454739400003</v>
      </c>
      <c r="AN203" s="316">
        <v>38.228245164100002</v>
      </c>
      <c r="AO203" s="316">
        <v>29.114849751099996</v>
      </c>
      <c r="AP203" s="316">
        <v>27.464071189400006</v>
      </c>
      <c r="AQ203" s="316">
        <v>44.683260325699997</v>
      </c>
      <c r="AR203" s="316">
        <v>29.610756502100003</v>
      </c>
      <c r="AS203" s="316">
        <v>28.298698128800005</v>
      </c>
      <c r="AT203" s="316">
        <v>36.563745443200006</v>
      </c>
      <c r="AU203" s="316">
        <v>30.882163607700001</v>
      </c>
      <c r="AV203" s="316">
        <v>33.984099948699999</v>
      </c>
      <c r="AW203" s="316">
        <v>38.773250475545083</v>
      </c>
      <c r="AX203" s="316">
        <v>32.589924484431073</v>
      </c>
      <c r="AY203" s="316">
        <v>35.247381690518004</v>
      </c>
      <c r="AZ203" s="316">
        <v>45.277497729415998</v>
      </c>
      <c r="BA203" s="316">
        <v>38.883840834013597</v>
      </c>
      <c r="BB203" s="316">
        <v>31.573080102900001</v>
      </c>
      <c r="BC203" s="316">
        <v>50.183908089349998</v>
      </c>
      <c r="BD203" s="316">
        <v>36.506782118721603</v>
      </c>
      <c r="BE203" s="316">
        <v>40.177170076806377</v>
      </c>
      <c r="BF203" s="316">
        <v>46.49618625189801</v>
      </c>
      <c r="BG203" s="316">
        <v>35.297975336865818</v>
      </c>
      <c r="BH203" s="316">
        <v>41.622248157291558</v>
      </c>
      <c r="BI203" s="316">
        <v>46.946961206389489</v>
      </c>
      <c r="BJ203" s="316">
        <v>39.850780304195297</v>
      </c>
      <c r="BK203" s="316">
        <v>41.753333472649246</v>
      </c>
      <c r="BL203" s="316">
        <v>52.511034172848802</v>
      </c>
      <c r="BM203" s="316">
        <v>43.185698225570995</v>
      </c>
      <c r="BN203" s="316">
        <v>43.17166000443023</v>
      </c>
      <c r="BO203" s="316">
        <v>58.484473148893642</v>
      </c>
      <c r="BP203" s="316">
        <v>43.453022927811951</v>
      </c>
      <c r="BQ203" s="316">
        <v>53.354418078805857</v>
      </c>
      <c r="BR203" s="316">
        <v>56.371081827360406</v>
      </c>
      <c r="BS203" s="316">
        <v>45.616169956503988</v>
      </c>
      <c r="BT203" s="316">
        <v>49.55555062703931</v>
      </c>
      <c r="BU203" s="316">
        <v>55.431565705731487</v>
      </c>
      <c r="BV203" s="316">
        <v>50.460338782147375</v>
      </c>
      <c r="BW203" s="316">
        <v>47.73854370565882</v>
      </c>
      <c r="BX203" s="316">
        <v>55.734871901255168</v>
      </c>
      <c r="BY203" s="316">
        <v>50.759378499466337</v>
      </c>
      <c r="BZ203" s="316">
        <v>50.630494762198431</v>
      </c>
      <c r="CA203" s="316">
        <v>70.645197296430283</v>
      </c>
      <c r="CB203" s="316">
        <v>50.480923714506467</v>
      </c>
      <c r="CC203" s="316">
        <v>51.997049962222945</v>
      </c>
      <c r="CD203" s="316">
        <v>0.48778349610000005</v>
      </c>
      <c r="CE203" s="317">
        <v>0.16453814999999999</v>
      </c>
      <c r="CF203" s="316">
        <v>1.696486449</v>
      </c>
      <c r="CG203" s="316">
        <v>0.60007235469999998</v>
      </c>
      <c r="CH203" s="316">
        <v>0.89844482570000006</v>
      </c>
      <c r="CI203" s="316">
        <v>0.13532039299999998</v>
      </c>
      <c r="CJ203" s="316">
        <v>1.06806E-2</v>
      </c>
      <c r="CK203" s="316">
        <v>0.72226980000000007</v>
      </c>
      <c r="CL203" s="316">
        <v>1.0840072224000001</v>
      </c>
      <c r="CM203" s="316">
        <v>1.101724589</v>
      </c>
      <c r="CN203" s="316">
        <v>0.22129627199999999</v>
      </c>
      <c r="CO203" s="316">
        <v>0.13379805</v>
      </c>
      <c r="CP203" s="318">
        <v>0.20731427400000002</v>
      </c>
      <c r="CQ203" s="316">
        <v>1.5669082269999999</v>
      </c>
      <c r="CR203" s="316">
        <v>0.92709444800000007</v>
      </c>
      <c r="CS203" s="316">
        <v>0.61107674999999995</v>
      </c>
      <c r="CT203" s="316">
        <v>0.67258708690000002</v>
      </c>
      <c r="CU203" s="316">
        <v>0.69240837499999996</v>
      </c>
      <c r="CV203" s="316">
        <v>1.011895904</v>
      </c>
      <c r="CW203" s="316">
        <v>0.161435943</v>
      </c>
      <c r="CX203" s="316">
        <v>0</v>
      </c>
      <c r="CY203" s="316">
        <v>0.18460253000000001</v>
      </c>
      <c r="CZ203" s="316">
        <v>0.43585084400000002</v>
      </c>
      <c r="DA203" s="316">
        <v>0</v>
      </c>
      <c r="DB203" s="1498">
        <v>0</v>
      </c>
      <c r="DC203" s="316"/>
      <c r="DD203" s="316"/>
      <c r="DE203" s="316"/>
      <c r="DF203" s="316"/>
      <c r="DG203" s="316"/>
      <c r="DH203" s="316"/>
      <c r="DI203" s="316"/>
      <c r="DJ203" s="316"/>
      <c r="DK203" s="316"/>
      <c r="DL203" s="316"/>
      <c r="DM203" s="316"/>
      <c r="DN203" s="318"/>
      <c r="DO203" s="316"/>
      <c r="DP203" s="316"/>
      <c r="DQ203" s="316"/>
      <c r="DR203" s="316"/>
      <c r="DS203" s="316"/>
      <c r="DT203" s="316"/>
      <c r="DU203" s="316"/>
      <c r="DV203" s="316"/>
      <c r="DW203" s="316"/>
      <c r="DX203" s="316"/>
      <c r="DY203" s="316"/>
      <c r="DZ203" s="318"/>
      <c r="EA203" s="316"/>
      <c r="EB203" s="316"/>
      <c r="EC203" s="316"/>
      <c r="ED203" s="316"/>
      <c r="EE203" s="316"/>
      <c r="EF203" s="316"/>
      <c r="EG203" s="316"/>
      <c r="EH203" s="316"/>
      <c r="EI203" s="316"/>
      <c r="EJ203" s="316"/>
      <c r="EK203" s="316"/>
      <c r="EL203" s="318"/>
      <c r="EM203" s="1209"/>
      <c r="EN203" s="1209"/>
      <c r="EO203" s="1209"/>
      <c r="EP203" s="1209"/>
      <c r="EQ203" s="1209"/>
      <c r="ER203" s="1209"/>
      <c r="ES203" s="1206"/>
      <c r="ET203" s="1206"/>
      <c r="EU203" s="1206"/>
      <c r="EV203" s="1206"/>
      <c r="EW203" s="1206"/>
      <c r="EX203" s="1550"/>
      <c r="EY203" s="1206"/>
      <c r="EZ203" s="1206"/>
      <c r="FA203" s="1206"/>
      <c r="FB203" s="1206"/>
      <c r="FC203" s="1206"/>
      <c r="FD203" s="1206"/>
      <c r="FE203" s="1206"/>
      <c r="FF203" s="1206"/>
      <c r="FG203" s="1206"/>
      <c r="FH203" s="1206"/>
      <c r="FI203" s="1206"/>
      <c r="FJ203" s="1550"/>
      <c r="FK203" s="1206"/>
      <c r="FL203" s="1206"/>
      <c r="FM203" s="1206"/>
      <c r="FN203" s="1206"/>
      <c r="FO203" s="1206"/>
      <c r="FP203" s="1206"/>
      <c r="FQ203" s="316"/>
      <c r="FR203" s="316"/>
      <c r="FS203" s="316"/>
      <c r="FT203" s="316"/>
      <c r="FU203" s="316"/>
      <c r="FV203" s="316"/>
      <c r="FW203" s="316"/>
      <c r="FX203" s="316"/>
      <c r="FY203" s="316"/>
      <c r="FZ203" s="316"/>
      <c r="GA203" s="316"/>
      <c r="GB203" s="316"/>
      <c r="GC203" s="316"/>
      <c r="GD203" s="316"/>
      <c r="GE203" s="316"/>
      <c r="GF203" s="316"/>
      <c r="GG203" s="316"/>
      <c r="GH203" s="316"/>
      <c r="GI203" s="316"/>
      <c r="GJ203" s="316"/>
      <c r="GK203" s="316"/>
      <c r="GL203" s="316"/>
      <c r="GM203" s="316"/>
      <c r="GN203" s="316"/>
      <c r="GO203" s="316"/>
      <c r="GP203" s="316"/>
      <c r="GQ203" s="316"/>
      <c r="GR203" s="316"/>
      <c r="GS203" s="316"/>
      <c r="GT203" s="316"/>
      <c r="GU203" s="316"/>
      <c r="GV203" s="316"/>
      <c r="GW203" s="316"/>
      <c r="GX203" s="316"/>
      <c r="GY203" s="316"/>
      <c r="GZ203" s="316"/>
      <c r="HA203" s="316"/>
      <c r="HB203" s="316"/>
      <c r="HC203" s="316"/>
      <c r="HD203" s="316"/>
      <c r="HE203" s="316"/>
      <c r="HF203" s="316"/>
      <c r="HG203" s="316"/>
      <c r="HH203" s="316"/>
      <c r="HI203" s="316"/>
      <c r="HJ203" s="316"/>
      <c r="HK203" s="316"/>
      <c r="HL203" s="316"/>
      <c r="HM203" s="316"/>
      <c r="HV203" s="302">
        <f>+SUM(DC203:DH203)</f>
        <v>0</v>
      </c>
      <c r="HW203" s="302">
        <f>+SUM(DI203:DN203)</f>
        <v>0</v>
      </c>
      <c r="HX203" s="346">
        <f t="shared" si="32"/>
        <v>0</v>
      </c>
      <c r="KH203" s="303"/>
    </row>
    <row r="204" spans="1:294" outlineLevel="1">
      <c r="B204" s="117" t="s">
        <v>361</v>
      </c>
      <c r="D204" s="315" t="s">
        <v>1062</v>
      </c>
      <c r="E204" s="316"/>
      <c r="F204" s="316"/>
      <c r="G204" s="316"/>
      <c r="H204" s="316"/>
      <c r="I204" s="316"/>
      <c r="J204" s="316"/>
      <c r="K204" s="316"/>
      <c r="L204" s="316"/>
      <c r="M204" s="316"/>
      <c r="N204" s="316"/>
      <c r="O204" s="316"/>
      <c r="P204" s="316"/>
      <c r="Q204" s="316"/>
      <c r="R204" s="316"/>
      <c r="S204" s="316"/>
      <c r="T204" s="316"/>
      <c r="U204" s="316"/>
      <c r="V204" s="316"/>
      <c r="W204" s="316"/>
      <c r="X204" s="316"/>
      <c r="Y204" s="316"/>
      <c r="Z204" s="316"/>
      <c r="AA204" s="316"/>
      <c r="AB204" s="316"/>
      <c r="AC204" s="316"/>
      <c r="AD204" s="316"/>
      <c r="AE204" s="316"/>
      <c r="AF204" s="316"/>
      <c r="AG204" s="316"/>
      <c r="AH204" s="316"/>
      <c r="AI204" s="316"/>
      <c r="AJ204" s="316"/>
      <c r="AK204" s="316"/>
      <c r="AL204" s="316"/>
      <c r="AM204" s="316"/>
      <c r="AN204" s="316"/>
      <c r="AO204" s="316"/>
      <c r="AP204" s="316"/>
      <c r="AQ204" s="316"/>
      <c r="AR204" s="316"/>
      <c r="AS204" s="316"/>
      <c r="AT204" s="316"/>
      <c r="AU204" s="316"/>
      <c r="AV204" s="316"/>
      <c r="AW204" s="316"/>
      <c r="AX204" s="316"/>
      <c r="AY204" s="316"/>
      <c r="AZ204" s="316"/>
      <c r="BA204" s="316"/>
      <c r="BB204" s="316"/>
      <c r="BC204" s="316"/>
      <c r="BD204" s="316"/>
      <c r="BE204" s="316"/>
      <c r="BF204" s="316"/>
      <c r="BG204" s="316"/>
      <c r="BH204" s="316"/>
      <c r="BI204" s="316"/>
      <c r="BJ204" s="316"/>
      <c r="BK204" s="316"/>
      <c r="BL204" s="316"/>
      <c r="BM204" s="316"/>
      <c r="BN204" s="316"/>
      <c r="BO204" s="316"/>
      <c r="BP204" s="316"/>
      <c r="BQ204" s="316"/>
      <c r="BR204" s="316"/>
      <c r="BS204" s="316"/>
      <c r="BT204" s="316"/>
      <c r="BU204" s="316"/>
      <c r="BV204" s="316"/>
      <c r="BW204" s="316"/>
      <c r="BX204" s="316"/>
      <c r="BY204" s="316"/>
      <c r="BZ204" s="316"/>
      <c r="CA204" s="316"/>
      <c r="CB204" s="316"/>
      <c r="CC204" s="316"/>
      <c r="CD204" s="316">
        <v>72.8713855213188</v>
      </c>
      <c r="CE204" s="317">
        <v>50.358473264697267</v>
      </c>
      <c r="CF204" s="316">
        <v>56.400872537300778</v>
      </c>
      <c r="CG204" s="316">
        <v>67.762531850293442</v>
      </c>
      <c r="CH204" s="316">
        <v>56.569088801345224</v>
      </c>
      <c r="CI204" s="316">
        <v>56.830358355824714</v>
      </c>
      <c r="CJ204" s="316">
        <v>71.728807105693789</v>
      </c>
      <c r="CK204" s="316">
        <v>62.628570289825042</v>
      </c>
      <c r="CL204" s="316">
        <v>58.387859632163071</v>
      </c>
      <c r="CM204" s="316">
        <v>67.667474816064214</v>
      </c>
      <c r="CN204" s="316">
        <v>58.232361492253354</v>
      </c>
      <c r="CO204" s="316">
        <v>64.576853616357624</v>
      </c>
      <c r="CP204" s="318">
        <v>92.282024141505644</v>
      </c>
      <c r="CQ204" s="316">
        <v>62.205020874423333</v>
      </c>
      <c r="CR204" s="316">
        <v>61.577752156755217</v>
      </c>
      <c r="CS204" s="316">
        <v>81.209225728722529</v>
      </c>
      <c r="CT204" s="316">
        <v>60.439698774882224</v>
      </c>
      <c r="CU204" s="316">
        <v>58.213373962794364</v>
      </c>
      <c r="CV204" s="316">
        <v>82.503151977615119</v>
      </c>
      <c r="CW204" s="316">
        <v>65.856604348482591</v>
      </c>
      <c r="CX204" s="316">
        <v>58.716004557468082</v>
      </c>
      <c r="CY204" s="316">
        <v>87.614972142911796</v>
      </c>
      <c r="CZ204" s="316">
        <v>72.883829422090102</v>
      </c>
      <c r="DA204" s="316">
        <v>68.82082806760269</v>
      </c>
      <c r="DB204" s="1498">
        <v>98.309068731851184</v>
      </c>
      <c r="DC204" s="636">
        <v>66.468543010846716</v>
      </c>
      <c r="DD204" s="636">
        <v>68.055312448935553</v>
      </c>
      <c r="DE204" s="636">
        <v>86.749043686568399</v>
      </c>
      <c r="DF204" s="636">
        <v>77.674971646906329</v>
      </c>
      <c r="DG204" s="636">
        <v>70.19406207954917</v>
      </c>
      <c r="DH204" s="636">
        <v>94.337508211493841</v>
      </c>
      <c r="DI204" s="636">
        <v>76.641645563319059</v>
      </c>
      <c r="DJ204" s="636">
        <v>71.840331808814327</v>
      </c>
      <c r="DK204" s="636">
        <v>104.19237770397912</v>
      </c>
      <c r="DL204" s="636">
        <v>77.059273623350094</v>
      </c>
      <c r="DM204" s="636">
        <v>78.131954524163547</v>
      </c>
      <c r="DN204" s="653">
        <v>115.32722113707386</v>
      </c>
      <c r="DO204" s="636">
        <v>69.831563770900004</v>
      </c>
      <c r="DP204" s="636">
        <v>82.33910191530002</v>
      </c>
      <c r="DQ204" s="636">
        <v>96.163174166000005</v>
      </c>
      <c r="DR204" s="636">
        <v>75.032477447700003</v>
      </c>
      <c r="DS204" s="636">
        <v>77.267322875679994</v>
      </c>
      <c r="DT204" s="636">
        <v>106.50302736044726</v>
      </c>
      <c r="DU204" s="636">
        <v>86.734714967100004</v>
      </c>
      <c r="DV204" s="636">
        <v>78.780214510100009</v>
      </c>
      <c r="DW204" s="636">
        <v>118.07723005051002</v>
      </c>
      <c r="DX204" s="636">
        <v>79.296490456900003</v>
      </c>
      <c r="DY204" s="636">
        <v>88.823347795700016</v>
      </c>
      <c r="DZ204" s="653">
        <v>127.8539387389</v>
      </c>
      <c r="EA204" s="636">
        <v>80.425120776100002</v>
      </c>
      <c r="EB204" s="636">
        <v>87.508551998900003</v>
      </c>
      <c r="EC204" s="636">
        <v>108.45574319418998</v>
      </c>
      <c r="ED204" s="636">
        <v>93.733123831520004</v>
      </c>
      <c r="EE204" s="636">
        <v>90.027859884160009</v>
      </c>
      <c r="EF204" s="636">
        <v>122.95230199713001</v>
      </c>
      <c r="EG204" s="636">
        <v>102.46752245544999</v>
      </c>
      <c r="EH204" s="636">
        <v>86.122847689970001</v>
      </c>
      <c r="EI204" s="636">
        <v>124.83402543546001</v>
      </c>
      <c r="EJ204" s="636">
        <v>105.62523695336404</v>
      </c>
      <c r="EK204" s="636">
        <v>94.089169285707328</v>
      </c>
      <c r="EL204" s="653">
        <v>137.81101315866755</v>
      </c>
      <c r="EM204" s="1209">
        <v>90.187192761839995</v>
      </c>
      <c r="EN204" s="1209">
        <v>104.37264189677001</v>
      </c>
      <c r="EO204" s="1209">
        <v>117.39625051976</v>
      </c>
      <c r="EP204" s="1209">
        <v>102.61004217357664</v>
      </c>
      <c r="EQ204" s="1209">
        <v>100.33151328883667</v>
      </c>
      <c r="ER204" s="1209">
        <v>139.43788517754672</v>
      </c>
      <c r="ES204" s="1209">
        <v>112.80798430857266</v>
      </c>
      <c r="ET204" s="1209">
        <v>105.61359187744993</v>
      </c>
      <c r="EU204" s="1209">
        <v>121.72483361832001</v>
      </c>
      <c r="EV204" s="1209">
        <v>128.44429942349441</v>
      </c>
      <c r="EW204" s="1209">
        <v>115.03043924578003</v>
      </c>
      <c r="EX204" s="1539">
        <v>161.46531100932819</v>
      </c>
      <c r="EY204" s="1209"/>
      <c r="EZ204" s="1209"/>
      <c r="FA204" s="1209"/>
      <c r="FB204" s="1209"/>
      <c r="FC204" s="1209"/>
      <c r="FD204" s="1209"/>
      <c r="FE204" s="1209"/>
      <c r="FF204" s="1209"/>
      <c r="FG204" s="1209"/>
      <c r="FH204" s="1209"/>
      <c r="FI204" s="1209"/>
      <c r="FJ204" s="1539"/>
      <c r="FK204" s="1209"/>
      <c r="FL204" s="1209"/>
      <c r="FM204" s="1209"/>
      <c r="FN204" s="1209"/>
      <c r="FO204" s="1209"/>
      <c r="FP204" s="1209"/>
      <c r="FQ204" s="636"/>
      <c r="FR204" s="636"/>
      <c r="FS204" s="636"/>
      <c r="FT204" s="636"/>
      <c r="FU204" s="636"/>
      <c r="FV204" s="636"/>
      <c r="FW204" s="636"/>
      <c r="FX204" s="636"/>
      <c r="FY204" s="636"/>
      <c r="FZ204" s="636"/>
      <c r="GA204" s="636"/>
      <c r="GB204" s="636"/>
      <c r="GC204" s="636"/>
      <c r="GD204" s="636"/>
      <c r="GE204" s="636"/>
      <c r="GF204" s="636"/>
      <c r="GG204" s="636"/>
      <c r="GH204" s="636"/>
      <c r="GI204" s="636"/>
      <c r="GJ204" s="636"/>
      <c r="GK204" s="636"/>
      <c r="GL204" s="636"/>
      <c r="GM204" s="636"/>
      <c r="GN204" s="636"/>
      <c r="GO204" s="636"/>
      <c r="GP204" s="636"/>
      <c r="GQ204" s="636"/>
      <c r="GR204" s="636"/>
      <c r="GS204" s="636"/>
      <c r="GT204" s="636"/>
      <c r="GU204" s="636"/>
      <c r="GV204" s="636"/>
      <c r="GW204" s="636"/>
      <c r="GX204" s="636"/>
      <c r="GY204" s="636"/>
      <c r="GZ204" s="636"/>
      <c r="HA204" s="636"/>
      <c r="HB204" s="636"/>
      <c r="HC204" s="636"/>
      <c r="HD204" s="636"/>
      <c r="HE204" s="636"/>
      <c r="HF204" s="636"/>
      <c r="HG204" s="636"/>
      <c r="HH204" s="636"/>
      <c r="HI204" s="636"/>
      <c r="HJ204" s="636"/>
      <c r="HK204" s="636"/>
      <c r="HL204" s="636"/>
      <c r="HM204" s="636"/>
      <c r="HV204" s="637">
        <f>+SUM(DC204:DH204)</f>
        <v>463.47944108430005</v>
      </c>
      <c r="HW204" s="637">
        <f>+SUM(DI204:DN204)</f>
        <v>523.19280436069994</v>
      </c>
      <c r="HX204" s="346">
        <f t="shared" si="32"/>
        <v>986.67224544500004</v>
      </c>
      <c r="HY204" s="302">
        <f>SUM(DO204:DT204)</f>
        <v>507.13666753602735</v>
      </c>
      <c r="KH204" s="303"/>
    </row>
    <row r="205" spans="1:294" outlineLevel="1">
      <c r="D205" s="888"/>
      <c r="CE205" s="840"/>
      <c r="CP205" s="303"/>
      <c r="DC205" s="890" t="s">
        <v>1057</v>
      </c>
      <c r="DD205" s="637"/>
      <c r="DE205" s="637"/>
      <c r="DF205" s="637"/>
      <c r="DG205" s="637"/>
      <c r="DH205" s="637"/>
      <c r="DI205" s="637"/>
      <c r="DJ205" s="637"/>
      <c r="DK205" s="637"/>
      <c r="DL205" s="637"/>
      <c r="DM205" s="637"/>
      <c r="DN205" s="1533"/>
      <c r="DO205" s="637"/>
      <c r="DP205" s="637"/>
      <c r="DQ205" s="637"/>
      <c r="DR205" s="637"/>
      <c r="DS205" s="637"/>
      <c r="DT205" s="637"/>
      <c r="DU205" s="637"/>
      <c r="DV205" s="637"/>
      <c r="DW205" s="637"/>
      <c r="DX205" s="637"/>
      <c r="DY205" s="637"/>
      <c r="DZ205" s="1533"/>
      <c r="EA205" s="637"/>
      <c r="EB205" s="637"/>
      <c r="EC205" s="637"/>
      <c r="ED205" s="637"/>
      <c r="EE205" s="637"/>
      <c r="EF205" s="637"/>
      <c r="EG205" s="637"/>
      <c r="EH205" s="637"/>
      <c r="EI205" s="637"/>
      <c r="EJ205" s="637"/>
      <c r="EK205" s="637"/>
      <c r="EL205" s="1533"/>
      <c r="EM205" s="1208"/>
      <c r="EN205" s="1208"/>
      <c r="EO205" s="1208"/>
      <c r="EP205" s="1208"/>
      <c r="EQ205" s="1208"/>
      <c r="ER205" s="1208"/>
      <c r="ES205" s="1219"/>
      <c r="ET205" s="1219"/>
      <c r="EU205" s="1219"/>
      <c r="EV205" s="1219"/>
      <c r="EW205" s="1219"/>
      <c r="EX205" s="1570"/>
      <c r="EY205" s="1219"/>
      <c r="EZ205" s="1219"/>
      <c r="FA205" s="1219"/>
      <c r="FB205" s="1219"/>
      <c r="FC205" s="1219"/>
      <c r="FD205" s="1219"/>
      <c r="FE205" s="1219"/>
      <c r="FF205" s="1219"/>
      <c r="FG205" s="1219"/>
      <c r="FH205" s="1219"/>
      <c r="FI205" s="1219"/>
      <c r="FJ205" s="1570"/>
      <c r="FK205" s="1219"/>
      <c r="FL205" s="1219"/>
      <c r="FM205" s="1219"/>
      <c r="FN205" s="1219"/>
      <c r="FO205" s="1219"/>
      <c r="FP205" s="1219"/>
      <c r="FQ205" s="637"/>
      <c r="FR205" s="637"/>
      <c r="FS205" s="637"/>
      <c r="FT205" s="637"/>
      <c r="FU205" s="637"/>
      <c r="FV205" s="637"/>
      <c r="FW205" s="637"/>
      <c r="FX205" s="637"/>
      <c r="FY205" s="637"/>
      <c r="FZ205" s="637"/>
      <c r="GA205" s="637"/>
      <c r="GB205" s="637"/>
      <c r="GC205" s="637"/>
      <c r="GD205" s="637"/>
      <c r="GE205" s="637"/>
      <c r="GF205" s="637"/>
      <c r="GG205" s="637"/>
      <c r="GH205" s="637"/>
      <c r="GI205" s="637"/>
      <c r="GJ205" s="637"/>
      <c r="GK205" s="637"/>
      <c r="GL205" s="637"/>
      <c r="GM205" s="637"/>
      <c r="GN205" s="637"/>
      <c r="GO205" s="637"/>
      <c r="GP205" s="637"/>
      <c r="GQ205" s="637"/>
      <c r="GR205" s="637"/>
      <c r="GS205" s="637"/>
      <c r="GT205" s="637"/>
      <c r="GU205" s="637"/>
      <c r="GV205" s="637"/>
      <c r="GW205" s="637"/>
      <c r="GX205" s="637"/>
      <c r="GY205" s="637"/>
      <c r="GZ205" s="637"/>
      <c r="HA205" s="637"/>
      <c r="HB205" s="637"/>
      <c r="HC205" s="637"/>
      <c r="HD205" s="637"/>
      <c r="HE205" s="637"/>
      <c r="HF205" s="637"/>
      <c r="HG205" s="637"/>
      <c r="HH205" s="637"/>
      <c r="HI205" s="637"/>
      <c r="HJ205" s="637"/>
      <c r="HK205" s="637"/>
      <c r="HL205" s="637"/>
      <c r="HM205" s="637"/>
      <c r="HV205" s="940"/>
      <c r="HW205" s="940"/>
      <c r="HX205" s="937"/>
      <c r="HY205" s="938"/>
      <c r="KH205" s="303"/>
    </row>
    <row r="206" spans="1:294" ht="12.75" customHeight="1" outlineLevel="1">
      <c r="D206" s="901" t="s">
        <v>1059</v>
      </c>
      <c r="E206" s="902"/>
      <c r="F206" s="902"/>
      <c r="G206" s="902"/>
      <c r="H206" s="902"/>
      <c r="I206" s="902"/>
      <c r="J206" s="902"/>
      <c r="K206" s="902"/>
      <c r="L206" s="902"/>
      <c r="M206" s="902"/>
      <c r="N206" s="902"/>
      <c r="O206" s="902"/>
      <c r="P206" s="902"/>
      <c r="Q206" s="902"/>
      <c r="R206" s="902"/>
      <c r="S206" s="902"/>
      <c r="T206" s="902"/>
      <c r="U206" s="902"/>
      <c r="V206" s="902"/>
      <c r="W206" s="902"/>
      <c r="X206" s="902"/>
      <c r="Y206" s="902"/>
      <c r="Z206" s="902"/>
      <c r="AA206" s="902"/>
      <c r="AB206" s="902"/>
      <c r="AC206" s="902"/>
      <c r="AD206" s="902"/>
      <c r="AE206" s="902"/>
      <c r="AF206" s="902"/>
      <c r="AG206" s="902"/>
      <c r="AH206" s="902"/>
      <c r="AI206" s="902"/>
      <c r="AJ206" s="902"/>
      <c r="AK206" s="902"/>
      <c r="AL206" s="902"/>
      <c r="AM206" s="902"/>
      <c r="AN206" s="902"/>
      <c r="AO206" s="902"/>
      <c r="AP206" s="902"/>
      <c r="AQ206" s="902"/>
      <c r="AR206" s="902"/>
      <c r="AS206" s="902"/>
      <c r="AT206" s="902"/>
      <c r="AU206" s="902"/>
      <c r="AV206" s="902"/>
      <c r="AW206" s="902"/>
      <c r="AX206" s="902"/>
      <c r="AY206" s="902"/>
      <c r="AZ206" s="902"/>
      <c r="BA206" s="902"/>
      <c r="BB206" s="902"/>
      <c r="BC206" s="902"/>
      <c r="BD206" s="902"/>
      <c r="BE206" s="902"/>
      <c r="BF206" s="902"/>
      <c r="BG206" s="902"/>
      <c r="BH206" s="902"/>
      <c r="BI206" s="902"/>
      <c r="BJ206" s="902"/>
      <c r="BK206" s="902"/>
      <c r="BL206" s="902"/>
      <c r="BM206" s="902"/>
      <c r="BN206" s="902"/>
      <c r="BO206" s="902"/>
      <c r="BP206" s="902"/>
      <c r="BQ206" s="902"/>
      <c r="BR206" s="902"/>
      <c r="BS206" s="902"/>
      <c r="BT206" s="902"/>
      <c r="BU206" s="902"/>
      <c r="BV206" s="902"/>
      <c r="BW206" s="902"/>
      <c r="BX206" s="902"/>
      <c r="BY206" s="902"/>
      <c r="BZ206" s="902"/>
      <c r="CA206" s="902"/>
      <c r="CB206" s="902"/>
      <c r="CC206" s="902"/>
      <c r="CD206" s="903"/>
      <c r="CE206" s="904"/>
      <c r="CF206" s="902"/>
      <c r="CG206" s="902"/>
      <c r="CH206" s="902"/>
      <c r="CI206" s="902"/>
      <c r="CJ206" s="902"/>
      <c r="CK206" s="902"/>
      <c r="CL206" s="902"/>
      <c r="CM206" s="902"/>
      <c r="CN206" s="902"/>
      <c r="CO206" s="902"/>
      <c r="CP206" s="1488"/>
      <c r="CQ206" s="902"/>
      <c r="CR206" s="902"/>
      <c r="CS206" s="902"/>
      <c r="CT206" s="902"/>
      <c r="CU206" s="902"/>
      <c r="CV206" s="902"/>
      <c r="CW206" s="902"/>
      <c r="CX206" s="902"/>
      <c r="CY206" s="902"/>
      <c r="CZ206" s="902"/>
      <c r="DA206" s="902"/>
      <c r="DB206" s="1508"/>
      <c r="DC206" s="905">
        <f>+DC161+DC176+DC193</f>
        <v>66.468543010846716</v>
      </c>
      <c r="DD206" s="905">
        <f t="shared" ref="DD206:DZ206" si="39">+DD161+DD176+DD193</f>
        <v>68.055312448935553</v>
      </c>
      <c r="DE206" s="905">
        <f t="shared" si="39"/>
        <v>86.749043686568399</v>
      </c>
      <c r="DF206" s="905">
        <f t="shared" si="39"/>
        <v>77.674971646906329</v>
      </c>
      <c r="DG206" s="905">
        <f t="shared" si="39"/>
        <v>70.19406207954917</v>
      </c>
      <c r="DH206" s="905">
        <f t="shared" si="39"/>
        <v>94.337508211493841</v>
      </c>
      <c r="DI206" s="905">
        <f t="shared" si="39"/>
        <v>76.641645563319059</v>
      </c>
      <c r="DJ206" s="905">
        <f t="shared" si="39"/>
        <v>71.840331808814327</v>
      </c>
      <c r="DK206" s="905">
        <f t="shared" si="39"/>
        <v>104.19237770397912</v>
      </c>
      <c r="DL206" s="905">
        <f t="shared" si="39"/>
        <v>77.059273623350094</v>
      </c>
      <c r="DM206" s="905">
        <f t="shared" si="39"/>
        <v>78.131954524163547</v>
      </c>
      <c r="DN206" s="1534">
        <f t="shared" si="39"/>
        <v>115.32722113707386</v>
      </c>
      <c r="DO206" s="905">
        <f t="shared" si="39"/>
        <v>69.831563770900004</v>
      </c>
      <c r="DP206" s="905">
        <f t="shared" si="39"/>
        <v>82.33910191530002</v>
      </c>
      <c r="DQ206" s="905">
        <f t="shared" si="39"/>
        <v>96.163174166000005</v>
      </c>
      <c r="DR206" s="905">
        <f t="shared" si="39"/>
        <v>75.032477447700003</v>
      </c>
      <c r="DS206" s="905">
        <f t="shared" si="39"/>
        <v>77.267322875679994</v>
      </c>
      <c r="DT206" s="905">
        <f t="shared" si="39"/>
        <v>106.50302736044726</v>
      </c>
      <c r="DU206" s="905">
        <f t="shared" si="39"/>
        <v>86.734714967100004</v>
      </c>
      <c r="DV206" s="905">
        <f t="shared" si="39"/>
        <v>78.780214510100009</v>
      </c>
      <c r="DW206" s="905">
        <f t="shared" si="39"/>
        <v>118.07723005051002</v>
      </c>
      <c r="DX206" s="905">
        <f t="shared" si="39"/>
        <v>79.296490456900003</v>
      </c>
      <c r="DY206" s="905">
        <f t="shared" si="39"/>
        <v>88.823347795700016</v>
      </c>
      <c r="DZ206" s="1534">
        <f t="shared" si="39"/>
        <v>127.8539387389</v>
      </c>
      <c r="EA206" s="905"/>
      <c r="EB206" s="905"/>
      <c r="EC206" s="905"/>
      <c r="ED206" s="905"/>
      <c r="EE206" s="905"/>
      <c r="EF206" s="905"/>
      <c r="EG206" s="905"/>
      <c r="EH206" s="905"/>
      <c r="EI206" s="905"/>
      <c r="EJ206" s="905"/>
      <c r="EK206" s="905"/>
      <c r="EL206" s="1534"/>
      <c r="EM206" s="1220"/>
      <c r="EN206" s="1220"/>
      <c r="EO206" s="1220"/>
      <c r="EP206" s="1220"/>
      <c r="EQ206" s="1220"/>
      <c r="ER206" s="1220"/>
      <c r="ES206" s="1220"/>
      <c r="ET206" s="1220"/>
      <c r="EU206" s="1220"/>
      <c r="EV206" s="1220"/>
      <c r="EW206" s="1220"/>
      <c r="EX206" s="1571"/>
      <c r="EY206" s="1220"/>
      <c r="EZ206" s="1220"/>
      <c r="FA206" s="1220"/>
      <c r="FB206" s="1220"/>
      <c r="FC206" s="1220"/>
      <c r="FD206" s="1220"/>
      <c r="FE206" s="1220"/>
      <c r="FF206" s="1220"/>
      <c r="FG206" s="1220"/>
      <c r="FH206" s="1220"/>
      <c r="FI206" s="1220"/>
      <c r="FJ206" s="1571"/>
      <c r="FK206" s="1220"/>
      <c r="FL206" s="1220"/>
      <c r="FM206" s="1220"/>
      <c r="FN206" s="1220"/>
      <c r="FO206" s="1220"/>
      <c r="FP206" s="1220"/>
      <c r="FQ206" s="905"/>
      <c r="FR206" s="905"/>
      <c r="FS206" s="905"/>
      <c r="FT206" s="905"/>
      <c r="FU206" s="905"/>
      <c r="FV206" s="905"/>
      <c r="FW206" s="905"/>
      <c r="FX206" s="905"/>
      <c r="FY206" s="905"/>
      <c r="FZ206" s="905"/>
      <c r="GA206" s="905"/>
      <c r="GB206" s="905"/>
      <c r="GC206" s="905"/>
      <c r="GD206" s="905"/>
      <c r="GE206" s="905"/>
      <c r="GF206" s="905"/>
      <c r="GG206" s="905"/>
      <c r="GH206" s="905"/>
      <c r="GI206" s="905"/>
      <c r="GJ206" s="905"/>
      <c r="GK206" s="905"/>
      <c r="GL206" s="905"/>
      <c r="GM206" s="905"/>
      <c r="GN206" s="905"/>
      <c r="GO206" s="905"/>
      <c r="GP206" s="905"/>
      <c r="GQ206" s="905"/>
      <c r="GR206" s="905"/>
      <c r="GS206" s="905"/>
      <c r="GT206" s="905"/>
      <c r="GU206" s="905"/>
      <c r="GV206" s="905"/>
      <c r="GW206" s="905"/>
      <c r="GX206" s="905"/>
      <c r="GY206" s="905"/>
      <c r="GZ206" s="905"/>
      <c r="HA206" s="905"/>
      <c r="HB206" s="905"/>
      <c r="HC206" s="905"/>
      <c r="HD206" s="905"/>
      <c r="HE206" s="905"/>
      <c r="HF206" s="905"/>
      <c r="HG206" s="905"/>
      <c r="HH206" s="905"/>
      <c r="HI206" s="905"/>
      <c r="HJ206" s="905"/>
      <c r="HK206" s="905"/>
      <c r="HL206" s="905"/>
      <c r="HM206" s="905"/>
      <c r="HV206" s="893">
        <f>+SUM(DC206:DH206)</f>
        <v>463.47944108430005</v>
      </c>
      <c r="HW206" s="893">
        <f>+SUM(DI206:DN206)</f>
        <v>523.19280436069994</v>
      </c>
      <c r="HX206" s="894">
        <f>HV206+HW206</f>
        <v>986.67224544500004</v>
      </c>
      <c r="HY206" s="302">
        <f>SUM(DO206:DT206)</f>
        <v>507.13666753602735</v>
      </c>
      <c r="KH206" s="303"/>
    </row>
    <row r="207" spans="1:294" outlineLevel="1">
      <c r="A207" s="314" t="s">
        <v>1092</v>
      </c>
      <c r="CD207" s="885"/>
      <c r="CE207" s="886"/>
      <c r="CF207" s="828"/>
      <c r="CG207" s="828"/>
      <c r="CH207" s="828"/>
      <c r="CI207" s="828"/>
      <c r="CJ207" s="828"/>
      <c r="CK207" s="828"/>
      <c r="CL207" s="828"/>
      <c r="CM207" s="828"/>
      <c r="CN207" s="828"/>
      <c r="CO207" s="828"/>
      <c r="CP207" s="1489"/>
      <c r="CQ207" s="828"/>
      <c r="CR207" s="828"/>
      <c r="CS207" s="828"/>
      <c r="CT207" s="828"/>
      <c r="CU207" s="828"/>
      <c r="CV207" s="828"/>
      <c r="CW207" s="828"/>
      <c r="CX207" s="828"/>
      <c r="CY207" s="828"/>
      <c r="CZ207" s="828"/>
      <c r="DA207" s="828"/>
      <c r="DB207" s="1509"/>
      <c r="DC207" s="890" t="s">
        <v>1056</v>
      </c>
      <c r="DD207" s="887"/>
      <c r="DE207" s="887"/>
      <c r="DF207" s="887"/>
      <c r="DG207" s="887"/>
      <c r="DH207" s="887"/>
      <c r="DI207" s="887"/>
      <c r="DJ207" s="887"/>
      <c r="DK207" s="887"/>
      <c r="DL207" s="887"/>
      <c r="DM207" s="887"/>
      <c r="DN207" s="1535"/>
      <c r="DO207" s="887"/>
      <c r="DP207" s="887"/>
      <c r="DQ207" s="887"/>
      <c r="DR207" s="887"/>
      <c r="DS207" s="887"/>
      <c r="DT207" s="887"/>
      <c r="DU207" s="887"/>
      <c r="DV207" s="887"/>
      <c r="DW207" s="887"/>
      <c r="DX207" s="887"/>
      <c r="DY207" s="887"/>
      <c r="DZ207" s="1535"/>
      <c r="EA207" s="887"/>
      <c r="EB207" s="887"/>
      <c r="EC207" s="887"/>
      <c r="ED207" s="887"/>
      <c r="EE207" s="887"/>
      <c r="EF207" s="887"/>
      <c r="EG207" s="887"/>
      <c r="EH207" s="887"/>
      <c r="EI207" s="887"/>
      <c r="EJ207" s="887"/>
      <c r="EK207" s="887"/>
      <c r="EL207" s="1535"/>
      <c r="EM207" s="1221"/>
      <c r="EN207" s="1221"/>
      <c r="EO207" s="1221"/>
      <c r="EP207" s="1221"/>
      <c r="EQ207" s="1221"/>
      <c r="ER207" s="1221"/>
      <c r="ES207" s="1221"/>
      <c r="ET207" s="1221"/>
      <c r="EU207" s="1221"/>
      <c r="EV207" s="1221"/>
      <c r="EW207" s="1221"/>
      <c r="EX207" s="1572"/>
      <c r="EY207" s="1221"/>
      <c r="EZ207" s="1221"/>
      <c r="FA207" s="1221"/>
      <c r="FB207" s="1221"/>
      <c r="FC207" s="1221"/>
      <c r="FD207" s="1221"/>
      <c r="FE207" s="1221"/>
      <c r="FF207" s="1221"/>
      <c r="FG207" s="1221"/>
      <c r="FH207" s="1221"/>
      <c r="FI207" s="1221"/>
      <c r="FJ207" s="1572"/>
      <c r="FK207" s="1221"/>
      <c r="FL207" s="1221"/>
      <c r="FM207" s="1221"/>
      <c r="FN207" s="1221"/>
      <c r="FO207" s="1221"/>
      <c r="FP207" s="1221"/>
      <c r="FQ207" s="887"/>
      <c r="FR207" s="887"/>
      <c r="FS207" s="887"/>
      <c r="FT207" s="887"/>
      <c r="FU207" s="887"/>
      <c r="FV207" s="887"/>
      <c r="FW207" s="887"/>
      <c r="FX207" s="887"/>
      <c r="FY207" s="887"/>
      <c r="FZ207" s="887"/>
      <c r="GA207" s="887"/>
      <c r="GB207" s="887"/>
      <c r="GC207" s="887"/>
      <c r="GD207" s="887"/>
      <c r="GE207" s="887"/>
      <c r="GF207" s="887"/>
      <c r="GG207" s="887"/>
      <c r="GH207" s="887"/>
      <c r="GI207" s="887"/>
      <c r="GJ207" s="887"/>
      <c r="GK207" s="887"/>
      <c r="GL207" s="887"/>
      <c r="GM207" s="887"/>
      <c r="GN207" s="887"/>
      <c r="GO207" s="887"/>
      <c r="GP207" s="887"/>
      <c r="GQ207" s="887"/>
      <c r="GR207" s="887"/>
      <c r="GS207" s="887"/>
      <c r="GT207" s="887"/>
      <c r="GU207" s="887"/>
      <c r="GV207" s="887"/>
      <c r="GW207" s="887"/>
      <c r="GX207" s="887"/>
      <c r="GY207" s="887"/>
      <c r="GZ207" s="887"/>
      <c r="HA207" s="887"/>
      <c r="HB207" s="887"/>
      <c r="HC207" s="887"/>
      <c r="HD207" s="887"/>
      <c r="HE207" s="887"/>
      <c r="HF207" s="887"/>
      <c r="HG207" s="887"/>
      <c r="HH207" s="887"/>
      <c r="HI207" s="887"/>
      <c r="HJ207" s="887"/>
      <c r="HK207" s="887"/>
      <c r="HL207" s="887"/>
      <c r="HM207" s="887"/>
      <c r="HU207" s="938"/>
      <c r="HV207" s="939"/>
      <c r="HW207" s="939"/>
      <c r="HX207" s="937"/>
      <c r="HY207" s="938"/>
      <c r="HZ207" s="938"/>
      <c r="KH207" s="303"/>
    </row>
    <row r="208" spans="1:294" outlineLevel="1">
      <c r="B208" s="117" t="s">
        <v>361</v>
      </c>
      <c r="D208" s="330" t="s">
        <v>458</v>
      </c>
      <c r="E208" s="316"/>
      <c r="F208" s="316"/>
      <c r="G208" s="316"/>
      <c r="H208" s="316"/>
      <c r="I208" s="316"/>
      <c r="J208" s="316"/>
      <c r="K208" s="316"/>
      <c r="L208" s="316"/>
      <c r="M208" s="316"/>
      <c r="N208" s="316"/>
      <c r="O208" s="316"/>
      <c r="P208" s="316"/>
      <c r="Q208" s="316"/>
      <c r="R208" s="316"/>
      <c r="S208" s="316"/>
      <c r="T208" s="316"/>
      <c r="U208" s="316"/>
      <c r="V208" s="316"/>
      <c r="W208" s="316"/>
      <c r="X208" s="316"/>
      <c r="Y208" s="316"/>
      <c r="Z208" s="316"/>
      <c r="AA208" s="316"/>
      <c r="AB208" s="316"/>
      <c r="AC208" s="316"/>
      <c r="AD208" s="316"/>
      <c r="AE208" s="316"/>
      <c r="AF208" s="316"/>
      <c r="AG208" s="316"/>
      <c r="AH208" s="316"/>
      <c r="AI208" s="316"/>
      <c r="AJ208" s="316"/>
      <c r="AK208" s="316"/>
      <c r="AL208" s="316"/>
      <c r="AM208" s="316"/>
      <c r="AN208" s="316"/>
      <c r="AO208" s="316"/>
      <c r="AP208" s="316"/>
      <c r="AQ208" s="316"/>
      <c r="AR208" s="316"/>
      <c r="AS208" s="316"/>
      <c r="AT208" s="316"/>
      <c r="AU208" s="316"/>
      <c r="AV208" s="316"/>
      <c r="AW208" s="316"/>
      <c r="AX208" s="316"/>
      <c r="AY208" s="316"/>
      <c r="AZ208" s="316"/>
      <c r="BA208" s="316"/>
      <c r="BB208" s="316"/>
      <c r="BC208" s="316"/>
      <c r="BD208" s="316"/>
      <c r="BE208" s="316"/>
      <c r="BF208" s="316"/>
      <c r="BG208" s="316"/>
      <c r="BH208" s="316"/>
      <c r="BI208" s="316"/>
      <c r="BJ208" s="316"/>
      <c r="BK208" s="316"/>
      <c r="BL208" s="316"/>
      <c r="BM208" s="316"/>
      <c r="BN208" s="316"/>
      <c r="BO208" s="316"/>
      <c r="BP208" s="316"/>
      <c r="BQ208" s="316"/>
      <c r="BR208" s="316"/>
      <c r="BS208" s="316"/>
      <c r="BT208" s="316"/>
      <c r="BU208" s="316"/>
      <c r="BV208" s="316"/>
      <c r="BW208" s="316"/>
      <c r="BX208" s="316"/>
      <c r="BY208" s="316"/>
      <c r="BZ208" s="316"/>
      <c r="CA208" s="316"/>
      <c r="CB208" s="316"/>
      <c r="CC208" s="316"/>
      <c r="CD208" s="316"/>
      <c r="CE208" s="317"/>
      <c r="CF208" s="316"/>
      <c r="CG208" s="316"/>
      <c r="CH208" s="316"/>
      <c r="CI208" s="316"/>
      <c r="CJ208" s="316"/>
      <c r="CK208" s="316"/>
      <c r="CL208" s="316"/>
      <c r="CM208" s="316"/>
      <c r="CN208" s="316"/>
      <c r="CO208" s="316"/>
      <c r="CP208" s="318"/>
      <c r="CQ208" s="316"/>
      <c r="CR208" s="316"/>
      <c r="CS208" s="316"/>
      <c r="CT208" s="316"/>
      <c r="CU208" s="316"/>
      <c r="CV208" s="316"/>
      <c r="CW208" s="316"/>
      <c r="CX208" s="316"/>
      <c r="CY208" s="316"/>
      <c r="CZ208" s="316"/>
      <c r="DA208" s="316"/>
      <c r="DB208" s="1498"/>
      <c r="DC208" s="883">
        <v>42186</v>
      </c>
      <c r="DD208" s="883">
        <v>42217</v>
      </c>
      <c r="DE208" s="883">
        <v>42248</v>
      </c>
      <c r="DF208" s="883">
        <v>42278</v>
      </c>
      <c r="DG208" s="883">
        <v>42309</v>
      </c>
      <c r="DH208" s="883">
        <v>42339</v>
      </c>
      <c r="DI208" s="883">
        <v>42370</v>
      </c>
      <c r="DJ208" s="883">
        <v>42401</v>
      </c>
      <c r="DK208" s="883">
        <v>42430</v>
      </c>
      <c r="DL208" s="883">
        <v>42461</v>
      </c>
      <c r="DM208" s="883">
        <v>42491</v>
      </c>
      <c r="DN208" s="928">
        <v>42522</v>
      </c>
      <c r="DO208" s="883">
        <v>42552</v>
      </c>
      <c r="DP208" s="883">
        <v>42583</v>
      </c>
      <c r="DQ208" s="883">
        <v>42614</v>
      </c>
      <c r="DR208" s="883">
        <v>42644</v>
      </c>
      <c r="DS208" s="883">
        <v>42675</v>
      </c>
      <c r="DT208" s="883">
        <v>42705</v>
      </c>
      <c r="DU208" s="883">
        <v>42736</v>
      </c>
      <c r="DV208" s="883">
        <v>42767</v>
      </c>
      <c r="DW208" s="883">
        <v>42795</v>
      </c>
      <c r="DX208" s="883">
        <v>42826</v>
      </c>
      <c r="DY208" s="883">
        <v>42856</v>
      </c>
      <c r="DZ208" s="928">
        <v>42887</v>
      </c>
      <c r="EA208" s="883">
        <v>42917</v>
      </c>
      <c r="EB208" s="883">
        <v>42948</v>
      </c>
      <c r="EC208" s="883">
        <v>42979</v>
      </c>
      <c r="ED208" s="883">
        <v>43009</v>
      </c>
      <c r="EE208" s="883">
        <v>43040</v>
      </c>
      <c r="EF208" s="883">
        <v>43070</v>
      </c>
      <c r="EG208" s="883">
        <v>43101</v>
      </c>
      <c r="EH208" s="883">
        <v>43132</v>
      </c>
      <c r="EI208" s="883">
        <v>43160</v>
      </c>
      <c r="EJ208" s="883">
        <v>43191</v>
      </c>
      <c r="EK208" s="883">
        <v>43221</v>
      </c>
      <c r="EL208" s="928">
        <v>43252</v>
      </c>
      <c r="EM208" s="1205">
        <v>43282</v>
      </c>
      <c r="EN208" s="1205">
        <v>43313</v>
      </c>
      <c r="EO208" s="1205">
        <v>43344</v>
      </c>
      <c r="EP208" s="1205">
        <v>43374</v>
      </c>
      <c r="EQ208" s="1205">
        <v>43405</v>
      </c>
      <c r="ER208" s="1205">
        <v>43435</v>
      </c>
      <c r="ES208" s="1205">
        <v>43466</v>
      </c>
      <c r="ET208" s="1205">
        <v>43497</v>
      </c>
      <c r="EU208" s="1205">
        <v>43525</v>
      </c>
      <c r="EV208" s="1205">
        <v>43556</v>
      </c>
      <c r="EW208" s="1205">
        <v>43586</v>
      </c>
      <c r="EX208" s="1558">
        <v>43617</v>
      </c>
      <c r="EY208" s="1205">
        <v>43647</v>
      </c>
      <c r="EZ208" s="1205">
        <v>43678</v>
      </c>
      <c r="FA208" s="1205">
        <v>43709</v>
      </c>
      <c r="FB208" s="1205">
        <v>43739</v>
      </c>
      <c r="FC208" s="1205">
        <v>43770</v>
      </c>
      <c r="FD208" s="1205">
        <v>43800</v>
      </c>
      <c r="FE208" s="1205">
        <v>43831</v>
      </c>
      <c r="FF208" s="1205">
        <v>43862</v>
      </c>
      <c r="FG208" s="1205">
        <v>43891</v>
      </c>
      <c r="FH208" s="1205">
        <v>43922</v>
      </c>
      <c r="FI208" s="1205">
        <v>43952</v>
      </c>
      <c r="FJ208" s="1558">
        <v>43983</v>
      </c>
      <c r="FK208" s="1205">
        <v>44013</v>
      </c>
      <c r="FL208" s="1205">
        <v>44044</v>
      </c>
      <c r="FM208" s="1205">
        <v>44075</v>
      </c>
      <c r="FN208" s="1205">
        <v>44105</v>
      </c>
      <c r="FO208" s="1205">
        <v>44136</v>
      </c>
      <c r="FP208" s="1205">
        <v>44166</v>
      </c>
      <c r="FQ208" s="883"/>
      <c r="FR208" s="883"/>
      <c r="FS208" s="883"/>
      <c r="FT208" s="883"/>
      <c r="FU208" s="883"/>
      <c r="FV208" s="883"/>
      <c r="FW208" s="883"/>
      <c r="FX208" s="883"/>
      <c r="FY208" s="883"/>
      <c r="FZ208" s="883"/>
      <c r="GA208" s="883"/>
      <c r="GB208" s="883"/>
      <c r="GC208" s="883"/>
      <c r="GD208" s="883"/>
      <c r="GE208" s="883"/>
      <c r="GF208" s="883"/>
      <c r="GG208" s="883"/>
      <c r="GH208" s="883"/>
      <c r="GI208" s="883"/>
      <c r="GJ208" s="883"/>
      <c r="GK208" s="883"/>
      <c r="GL208" s="883"/>
      <c r="GM208" s="883"/>
      <c r="GN208" s="883"/>
      <c r="GO208" s="883"/>
      <c r="GP208" s="883"/>
      <c r="GQ208" s="883"/>
      <c r="GR208" s="883"/>
      <c r="GS208" s="883"/>
      <c r="GT208" s="883"/>
      <c r="GU208" s="883"/>
      <c r="GV208" s="883"/>
      <c r="GW208" s="883"/>
      <c r="GX208" s="883"/>
      <c r="GY208" s="883"/>
      <c r="GZ208" s="883"/>
      <c r="HA208" s="883"/>
      <c r="HB208" s="883"/>
      <c r="HC208" s="883"/>
      <c r="HD208" s="883"/>
      <c r="HE208" s="883"/>
      <c r="HF208" s="883"/>
      <c r="HG208" s="883"/>
      <c r="HH208" s="883"/>
      <c r="HI208" s="883"/>
      <c r="HJ208" s="883"/>
      <c r="HK208" s="883"/>
      <c r="HL208" s="883"/>
      <c r="HM208" s="883"/>
      <c r="HU208" s="938"/>
      <c r="HV208" s="938"/>
      <c r="HW208" s="938"/>
      <c r="HX208" s="937"/>
      <c r="HY208" s="938"/>
      <c r="HZ208" s="938"/>
      <c r="KH208" s="303"/>
    </row>
    <row r="209" spans="1:294" outlineLevel="1">
      <c r="B209" s="117" t="s">
        <v>361</v>
      </c>
      <c r="D209" s="331" t="s">
        <v>968</v>
      </c>
      <c r="E209" s="316"/>
      <c r="F209" s="316"/>
      <c r="G209" s="316"/>
      <c r="H209" s="316"/>
      <c r="I209" s="316"/>
      <c r="J209" s="316"/>
      <c r="K209" s="316"/>
      <c r="L209" s="316"/>
      <c r="M209" s="316"/>
      <c r="N209" s="316"/>
      <c r="O209" s="316"/>
      <c r="P209" s="316"/>
      <c r="Q209" s="316"/>
      <c r="R209" s="316"/>
      <c r="S209" s="316"/>
      <c r="T209" s="316"/>
      <c r="U209" s="316"/>
      <c r="V209" s="316"/>
      <c r="W209" s="316"/>
      <c r="X209" s="316"/>
      <c r="Y209" s="316"/>
      <c r="Z209" s="316"/>
      <c r="AA209" s="316"/>
      <c r="AB209" s="316"/>
      <c r="AC209" s="316"/>
      <c r="AD209" s="316"/>
      <c r="AE209" s="316"/>
      <c r="AF209" s="316"/>
      <c r="AG209" s="316"/>
      <c r="AH209" s="316"/>
      <c r="AI209" s="316"/>
      <c r="AJ209" s="316"/>
      <c r="AK209" s="316"/>
      <c r="AL209" s="316"/>
      <c r="AM209" s="316"/>
      <c r="AN209" s="316"/>
      <c r="AO209" s="316"/>
      <c r="AP209" s="316"/>
      <c r="AQ209" s="316"/>
      <c r="AR209" s="316"/>
      <c r="AS209" s="316"/>
      <c r="AT209" s="316"/>
      <c r="AU209" s="316"/>
      <c r="AV209" s="316"/>
      <c r="AW209" s="316"/>
      <c r="AX209" s="316"/>
      <c r="AY209" s="316"/>
      <c r="AZ209" s="316"/>
      <c r="BA209" s="316"/>
      <c r="BB209" s="316"/>
      <c r="BC209" s="316"/>
      <c r="BD209" s="316"/>
      <c r="BE209" s="316"/>
      <c r="BF209" s="316"/>
      <c r="BG209" s="316"/>
      <c r="BH209" s="316"/>
      <c r="BI209" s="316"/>
      <c r="BJ209" s="316"/>
      <c r="BK209" s="316"/>
      <c r="BL209" s="316"/>
      <c r="BM209" s="316"/>
      <c r="BN209" s="316"/>
      <c r="BO209" s="316"/>
      <c r="BP209" s="316"/>
      <c r="BQ209" s="316"/>
      <c r="BR209" s="316"/>
      <c r="BS209" s="316"/>
      <c r="BT209" s="316"/>
      <c r="BU209" s="316"/>
      <c r="BV209" s="316"/>
      <c r="BW209" s="316"/>
      <c r="BX209" s="316"/>
      <c r="BY209" s="316"/>
      <c r="BZ209" s="316"/>
      <c r="CA209" s="316"/>
      <c r="CB209" s="316"/>
      <c r="CC209" s="316"/>
      <c r="CD209" s="316"/>
      <c r="CE209" s="317"/>
      <c r="CF209" s="316"/>
      <c r="CG209" s="316"/>
      <c r="CH209" s="316"/>
      <c r="CI209" s="316"/>
      <c r="CJ209" s="316"/>
      <c r="CK209" s="316"/>
      <c r="CL209" s="316"/>
      <c r="CM209" s="316"/>
      <c r="CN209" s="316"/>
      <c r="CO209" s="316"/>
      <c r="CP209" s="318"/>
      <c r="CQ209" s="316">
        <v>0.183261338</v>
      </c>
      <c r="CR209" s="316">
        <v>0.14638458600000001</v>
      </c>
      <c r="CS209" s="316">
        <v>0.113267485</v>
      </c>
      <c r="CT209" s="316">
        <v>0.122111359</v>
      </c>
      <c r="CU209" s="316">
        <v>0.116284792</v>
      </c>
      <c r="CV209" s="316">
        <v>0.15974851299999998</v>
      </c>
      <c r="CW209" s="316">
        <v>0.46627267899999997</v>
      </c>
      <c r="CX209" s="316">
        <v>1.052214293</v>
      </c>
      <c r="CY209" s="316">
        <v>9.8454401609999991</v>
      </c>
      <c r="CZ209" s="316">
        <v>0.50515088600000002</v>
      </c>
      <c r="DA209" s="316">
        <v>0.26616519800000005</v>
      </c>
      <c r="DB209" s="1498">
        <v>0.24200322200000002</v>
      </c>
      <c r="DC209" s="636">
        <v>0.265408537</v>
      </c>
      <c r="DD209" s="636">
        <v>0.19027443199999999</v>
      </c>
      <c r="DE209" s="636">
        <v>7.5303182999999996E-2</v>
      </c>
      <c r="DF209" s="636">
        <v>9.3817632999999998E-2</v>
      </c>
      <c r="DG209" s="636">
        <v>9.6626641999999999E-2</v>
      </c>
      <c r="DH209" s="636">
        <v>9.9763664000000002E-2</v>
      </c>
      <c r="DI209" s="636">
        <v>0.35724085500000002</v>
      </c>
      <c r="DJ209" s="636">
        <v>0.94090106299999998</v>
      </c>
      <c r="DK209" s="636">
        <v>9.5045297170000005</v>
      </c>
      <c r="DL209" s="636">
        <v>1.38641853</v>
      </c>
      <c r="DM209" s="636">
        <v>0.30435586199999998</v>
      </c>
      <c r="DN209" s="653">
        <v>0.32706426910907299</v>
      </c>
      <c r="DO209" s="636">
        <v>0.16981340364852907</v>
      </c>
      <c r="DP209" s="636">
        <v>0.21171806276689387</v>
      </c>
      <c r="DQ209" s="636">
        <v>0.17637747358457684</v>
      </c>
      <c r="DR209" s="636">
        <v>0.20408398909872857</v>
      </c>
      <c r="DS209" s="636">
        <v>0.22159607649424631</v>
      </c>
      <c r="DT209" s="636">
        <v>0.48598600102578449</v>
      </c>
      <c r="DU209" s="636">
        <v>0.58629205100000004</v>
      </c>
      <c r="DV209" s="636">
        <v>1.5856071979999999</v>
      </c>
      <c r="DW209" s="636">
        <v>12.725059079999999</v>
      </c>
      <c r="DX209" s="636">
        <v>0.57326582100000001</v>
      </c>
      <c r="DY209" s="636">
        <v>0.50074186300000001</v>
      </c>
      <c r="DZ209" s="653">
        <v>0</v>
      </c>
      <c r="EA209" s="636">
        <v>0.22674821419018054</v>
      </c>
      <c r="EB209" s="636">
        <v>0.2361400924788237</v>
      </c>
      <c r="EC209" s="636">
        <v>0.19255294665680348</v>
      </c>
      <c r="ED209" s="636">
        <v>0.22674821419018054</v>
      </c>
      <c r="EE209" s="636">
        <v>0.2361400924788237</v>
      </c>
      <c r="EF209" s="636">
        <v>0.19255294665680348</v>
      </c>
      <c r="EG209" s="636">
        <v>0.85181301325458303</v>
      </c>
      <c r="EH209" s="636">
        <v>1.3401586173046514</v>
      </c>
      <c r="EI209" s="636">
        <v>12.973533580430418</v>
      </c>
      <c r="EJ209" s="636">
        <v>1.4418040524169249</v>
      </c>
      <c r="EK209" s="636">
        <v>0.50146783091962921</v>
      </c>
      <c r="EL209" s="653">
        <v>0.41145482824615598</v>
      </c>
      <c r="EM209" s="1209">
        <v>0.31447588599999998</v>
      </c>
      <c r="EN209" s="1209">
        <v>0.26314551400000002</v>
      </c>
      <c r="EO209" s="1209">
        <v>0.19594088800000001</v>
      </c>
      <c r="EP209" s="1209">
        <v>0.42045458299999999</v>
      </c>
      <c r="EQ209" s="1209">
        <v>0.28763700399999997</v>
      </c>
      <c r="ER209" s="1209">
        <v>0.36551615700000001</v>
      </c>
      <c r="ES209" s="1209">
        <v>5.7445599869999997</v>
      </c>
      <c r="ET209" s="1209">
        <v>1.675767827</v>
      </c>
      <c r="EU209" s="1209">
        <v>8.2551049469999995</v>
      </c>
      <c r="EV209" s="1209">
        <v>1.1323164939999999</v>
      </c>
      <c r="EW209" s="1209">
        <v>0.41788988500000002</v>
      </c>
      <c r="EX209" s="1539">
        <v>0.29598800600000003</v>
      </c>
      <c r="EY209" s="1209"/>
      <c r="EZ209" s="1209"/>
      <c r="FA209" s="1209"/>
      <c r="FB209" s="1209"/>
      <c r="FC209" s="1209"/>
      <c r="FD209" s="1209"/>
      <c r="FE209" s="1209"/>
      <c r="FF209" s="1209"/>
      <c r="FG209" s="1209"/>
      <c r="FH209" s="1209"/>
      <c r="FI209" s="1209"/>
      <c r="FJ209" s="1539"/>
      <c r="FK209" s="1209"/>
      <c r="FL209" s="1209"/>
      <c r="FM209" s="1209"/>
      <c r="FN209" s="1209"/>
      <c r="FO209" s="1209"/>
      <c r="FP209" s="1209"/>
      <c r="FQ209" s="636"/>
      <c r="FR209" s="636"/>
      <c r="FS209" s="636"/>
      <c r="FT209" s="636"/>
      <c r="FU209" s="636"/>
      <c r="FV209" s="636"/>
      <c r="FW209" s="636"/>
      <c r="FX209" s="636"/>
      <c r="FY209" s="636"/>
      <c r="FZ209" s="636"/>
      <c r="GA209" s="636"/>
      <c r="GB209" s="636"/>
      <c r="GC209" s="636"/>
      <c r="GD209" s="636"/>
      <c r="GE209" s="636"/>
      <c r="GF209" s="636"/>
      <c r="GG209" s="636"/>
      <c r="GH209" s="636"/>
      <c r="GI209" s="636"/>
      <c r="GJ209" s="636"/>
      <c r="GK209" s="636"/>
      <c r="GL209" s="636"/>
      <c r="GM209" s="636"/>
      <c r="GN209" s="636"/>
      <c r="GO209" s="636"/>
      <c r="GP209" s="636"/>
      <c r="GQ209" s="636"/>
      <c r="GR209" s="636"/>
      <c r="GS209" s="636"/>
      <c r="GT209" s="636"/>
      <c r="GU209" s="636"/>
      <c r="GV209" s="636"/>
      <c r="GW209" s="636"/>
      <c r="GX209" s="636"/>
      <c r="GY209" s="636"/>
      <c r="GZ209" s="636"/>
      <c r="HA209" s="636"/>
      <c r="HB209" s="636"/>
      <c r="HC209" s="636"/>
      <c r="HD209" s="636"/>
      <c r="HE209" s="636"/>
      <c r="HF209" s="636"/>
      <c r="HG209" s="636"/>
      <c r="HH209" s="636"/>
      <c r="HI209" s="636"/>
      <c r="HJ209" s="636"/>
      <c r="HK209" s="636"/>
      <c r="HL209" s="636"/>
      <c r="HM209" s="636"/>
      <c r="HV209" s="637">
        <f>+SUM(DC209:DH209)</f>
        <v>0.82119409100000007</v>
      </c>
      <c r="HW209" s="637">
        <f>+SUM(DI209:DN209)</f>
        <v>12.820510296109074</v>
      </c>
      <c r="HX209" s="346">
        <f t="shared" ref="HX209:HX215" si="40">HV209+HW209</f>
        <v>13.641704387109074</v>
      </c>
      <c r="HY209" s="302">
        <f>SUM(DO209:DT209)</f>
        <v>1.4695750066187592</v>
      </c>
      <c r="KH209" s="303"/>
    </row>
    <row r="210" spans="1:294" outlineLevel="1">
      <c r="B210" s="117" t="s">
        <v>361</v>
      </c>
      <c r="D210" s="321" t="s">
        <v>459</v>
      </c>
      <c r="E210" s="316"/>
      <c r="F210" s="316"/>
      <c r="G210" s="316"/>
      <c r="H210" s="316"/>
      <c r="I210" s="316"/>
      <c r="J210" s="316"/>
      <c r="K210" s="316"/>
      <c r="L210" s="316"/>
      <c r="M210" s="316"/>
      <c r="N210" s="316"/>
      <c r="O210" s="316"/>
      <c r="P210" s="316"/>
      <c r="Q210" s="316"/>
      <c r="R210" s="316"/>
      <c r="S210" s="316"/>
      <c r="T210" s="316"/>
      <c r="U210" s="316"/>
      <c r="V210" s="316"/>
      <c r="W210" s="316"/>
      <c r="X210" s="316"/>
      <c r="Y210" s="316"/>
      <c r="Z210" s="316"/>
      <c r="AA210" s="316"/>
      <c r="AB210" s="316"/>
      <c r="AC210" s="316"/>
      <c r="AD210" s="316"/>
      <c r="AE210" s="316"/>
      <c r="AF210" s="316"/>
      <c r="AG210" s="316"/>
      <c r="AH210" s="316"/>
      <c r="AI210" s="316"/>
      <c r="AJ210" s="316"/>
      <c r="AK210" s="316"/>
      <c r="AL210" s="316"/>
      <c r="AM210" s="316"/>
      <c r="AN210" s="316"/>
      <c r="AO210" s="316"/>
      <c r="AP210" s="316"/>
      <c r="AQ210" s="316"/>
      <c r="AR210" s="316"/>
      <c r="AS210" s="316"/>
      <c r="AT210" s="316"/>
      <c r="AU210" s="316"/>
      <c r="AV210" s="316"/>
      <c r="AW210" s="316"/>
      <c r="AX210" s="316"/>
      <c r="AY210" s="316"/>
      <c r="AZ210" s="316"/>
      <c r="BA210" s="316"/>
      <c r="BB210" s="316"/>
      <c r="BC210" s="316"/>
      <c r="BD210" s="316"/>
      <c r="BE210" s="316"/>
      <c r="BF210" s="316"/>
      <c r="BG210" s="316"/>
      <c r="BH210" s="316"/>
      <c r="BI210" s="316"/>
      <c r="BJ210" s="316"/>
      <c r="BK210" s="316"/>
      <c r="BL210" s="316"/>
      <c r="BM210" s="316"/>
      <c r="BN210" s="316"/>
      <c r="BO210" s="316"/>
      <c r="BP210" s="316"/>
      <c r="BQ210" s="316"/>
      <c r="BR210" s="316"/>
      <c r="BS210" s="316"/>
      <c r="BT210" s="316"/>
      <c r="BU210" s="316"/>
      <c r="BV210" s="316"/>
      <c r="BW210" s="316"/>
      <c r="BX210" s="316"/>
      <c r="BY210" s="316"/>
      <c r="BZ210" s="316"/>
      <c r="CA210" s="316"/>
      <c r="CB210" s="316"/>
      <c r="CC210" s="316"/>
      <c r="CD210" s="316"/>
      <c r="CE210" s="317"/>
      <c r="CF210" s="316"/>
      <c r="CG210" s="316"/>
      <c r="CH210" s="316"/>
      <c r="CI210" s="316"/>
      <c r="CJ210" s="316"/>
      <c r="CK210" s="316"/>
      <c r="CL210" s="316"/>
      <c r="CM210" s="316"/>
      <c r="CN210" s="316"/>
      <c r="CO210" s="316"/>
      <c r="CP210" s="318"/>
      <c r="CQ210" s="316">
        <v>6.4068461000000007E-2</v>
      </c>
      <c r="CR210" s="316">
        <v>4.8630384999999998E-2</v>
      </c>
      <c r="CS210" s="316">
        <v>4.5853443000000001E-2</v>
      </c>
      <c r="CT210" s="316">
        <v>3.7334525E-2</v>
      </c>
      <c r="CU210" s="316">
        <v>2.5196940000000001E-2</v>
      </c>
      <c r="CV210" s="316">
        <v>2.1096296E-2</v>
      </c>
      <c r="CW210" s="316">
        <v>0.14355452799999999</v>
      </c>
      <c r="CX210" s="316">
        <v>0.18836430800000001</v>
      </c>
      <c r="CY210" s="316">
        <v>3.4652163030000001</v>
      </c>
      <c r="CZ210" s="316">
        <v>0.25610231700000002</v>
      </c>
      <c r="DA210" s="316">
        <v>0.14764929600000001</v>
      </c>
      <c r="DB210" s="1498">
        <v>0.101770338</v>
      </c>
      <c r="DC210" s="316"/>
      <c r="DD210" s="316"/>
      <c r="DE210" s="316"/>
      <c r="DF210" s="316"/>
      <c r="DG210" s="316"/>
      <c r="DH210" s="316"/>
      <c r="DI210" s="316"/>
      <c r="DJ210" s="316"/>
      <c r="DK210" s="316"/>
      <c r="DL210" s="316"/>
      <c r="DM210" s="316"/>
      <c r="DN210" s="318"/>
      <c r="DO210" s="316"/>
      <c r="DP210" s="316"/>
      <c r="DQ210" s="316"/>
      <c r="DR210" s="316"/>
      <c r="DS210" s="316"/>
      <c r="DT210" s="316"/>
      <c r="DU210" s="316"/>
      <c r="DV210" s="316"/>
      <c r="DW210" s="316"/>
      <c r="DX210" s="316"/>
      <c r="DY210" s="316"/>
      <c r="DZ210" s="318"/>
      <c r="EA210" s="316"/>
      <c r="EB210" s="316"/>
      <c r="EC210" s="316"/>
      <c r="ED210" s="316"/>
      <c r="EE210" s="316"/>
      <c r="EF210" s="316"/>
      <c r="EG210" s="316"/>
      <c r="EH210" s="316"/>
      <c r="EI210" s="316"/>
      <c r="EJ210" s="316"/>
      <c r="EK210" s="316"/>
      <c r="EL210" s="318"/>
      <c r="EM210" s="1206"/>
      <c r="EN210" s="1206"/>
      <c r="EO210" s="1206"/>
      <c r="EP210" s="1206"/>
      <c r="EQ210" s="1206"/>
      <c r="ER210" s="1206"/>
      <c r="ES210" s="1206"/>
      <c r="ET210" s="1206"/>
      <c r="EU210" s="1206"/>
      <c r="EV210" s="1206"/>
      <c r="EW210" s="1206"/>
      <c r="EX210" s="1550"/>
      <c r="EY210" s="1206"/>
      <c r="EZ210" s="1206"/>
      <c r="FA210" s="1206"/>
      <c r="FB210" s="1206"/>
      <c r="FC210" s="1206"/>
      <c r="FD210" s="1206"/>
      <c r="FE210" s="1206"/>
      <c r="FF210" s="1206"/>
      <c r="FG210" s="1206"/>
      <c r="FH210" s="1206"/>
      <c r="FI210" s="1206"/>
      <c r="FJ210" s="1550"/>
      <c r="FK210" s="1206"/>
      <c r="FL210" s="1206"/>
      <c r="FM210" s="1206"/>
      <c r="FN210" s="1206"/>
      <c r="FO210" s="1206"/>
      <c r="FP210" s="1206"/>
      <c r="FQ210" s="316"/>
      <c r="FR210" s="316"/>
      <c r="FS210" s="316"/>
      <c r="FT210" s="316"/>
      <c r="FU210" s="316"/>
      <c r="FV210" s="316"/>
      <c r="FW210" s="316"/>
      <c r="FX210" s="316"/>
      <c r="FY210" s="316"/>
      <c r="FZ210" s="316"/>
      <c r="GA210" s="316"/>
      <c r="GB210" s="316"/>
      <c r="GC210" s="316"/>
      <c r="GD210" s="316"/>
      <c r="GE210" s="316"/>
      <c r="GF210" s="316"/>
      <c r="GG210" s="316"/>
      <c r="GH210" s="316"/>
      <c r="GI210" s="316"/>
      <c r="GJ210" s="316"/>
      <c r="GK210" s="316"/>
      <c r="GL210" s="316"/>
      <c r="GM210" s="316"/>
      <c r="GN210" s="316"/>
      <c r="GO210" s="316"/>
      <c r="GP210" s="316"/>
      <c r="GQ210" s="316"/>
      <c r="GR210" s="316"/>
      <c r="GS210" s="316"/>
      <c r="GT210" s="316"/>
      <c r="GU210" s="316"/>
      <c r="GV210" s="316"/>
      <c r="GW210" s="316"/>
      <c r="GX210" s="316"/>
      <c r="GY210" s="316"/>
      <c r="GZ210" s="316"/>
      <c r="HA210" s="316"/>
      <c r="HB210" s="316"/>
      <c r="HC210" s="316"/>
      <c r="HD210" s="316"/>
      <c r="HE210" s="316"/>
      <c r="HF210" s="316"/>
      <c r="HG210" s="316"/>
      <c r="HH210" s="316"/>
      <c r="HI210" s="316"/>
      <c r="HJ210" s="316"/>
      <c r="HK210" s="316"/>
      <c r="HL210" s="316"/>
      <c r="HM210" s="316"/>
      <c r="HV210" s="302">
        <f>+SUM(DC210:DH210)</f>
        <v>0</v>
      </c>
      <c r="HW210" s="302">
        <f>+SUM(DI210:DN210)</f>
        <v>0</v>
      </c>
      <c r="HX210" s="346">
        <f t="shared" si="40"/>
        <v>0</v>
      </c>
      <c r="HY210" s="302">
        <f>SUM(DO210:DT210)</f>
        <v>0</v>
      </c>
      <c r="KH210" s="303"/>
    </row>
    <row r="211" spans="1:294" outlineLevel="1">
      <c r="B211" s="117" t="s">
        <v>361</v>
      </c>
      <c r="D211" s="321" t="s">
        <v>460</v>
      </c>
      <c r="E211" s="316"/>
      <c r="F211" s="316"/>
      <c r="G211" s="316"/>
      <c r="H211" s="316"/>
      <c r="I211" s="316"/>
      <c r="J211" s="316"/>
      <c r="K211" s="316"/>
      <c r="L211" s="316"/>
      <c r="M211" s="316"/>
      <c r="N211" s="316"/>
      <c r="O211" s="316"/>
      <c r="P211" s="316"/>
      <c r="Q211" s="316"/>
      <c r="R211" s="316"/>
      <c r="S211" s="316"/>
      <c r="T211" s="316"/>
      <c r="U211" s="316"/>
      <c r="V211" s="316"/>
      <c r="W211" s="316"/>
      <c r="X211" s="316"/>
      <c r="Y211" s="316"/>
      <c r="Z211" s="316"/>
      <c r="AA211" s="316"/>
      <c r="AB211" s="316"/>
      <c r="AC211" s="316"/>
      <c r="AD211" s="316"/>
      <c r="AE211" s="316"/>
      <c r="AF211" s="316"/>
      <c r="AG211" s="316"/>
      <c r="AH211" s="316"/>
      <c r="AI211" s="316"/>
      <c r="AJ211" s="316"/>
      <c r="AK211" s="316"/>
      <c r="AL211" s="316"/>
      <c r="AM211" s="316"/>
      <c r="AN211" s="316"/>
      <c r="AO211" s="316"/>
      <c r="AP211" s="316"/>
      <c r="AQ211" s="316"/>
      <c r="AR211" s="316"/>
      <c r="AS211" s="316"/>
      <c r="AT211" s="316"/>
      <c r="AU211" s="316"/>
      <c r="AV211" s="316"/>
      <c r="AW211" s="316"/>
      <c r="AX211" s="316"/>
      <c r="AY211" s="316"/>
      <c r="AZ211" s="316"/>
      <c r="BA211" s="316"/>
      <c r="BB211" s="316"/>
      <c r="BC211" s="316"/>
      <c r="BD211" s="316"/>
      <c r="BE211" s="316"/>
      <c r="BF211" s="316"/>
      <c r="BG211" s="316"/>
      <c r="BH211" s="316"/>
      <c r="BI211" s="316"/>
      <c r="BJ211" s="316"/>
      <c r="BK211" s="316"/>
      <c r="BL211" s="316"/>
      <c r="BM211" s="316"/>
      <c r="BN211" s="316"/>
      <c r="BO211" s="316"/>
      <c r="BP211" s="316"/>
      <c r="BQ211" s="316"/>
      <c r="BR211" s="316"/>
      <c r="BS211" s="316"/>
      <c r="BT211" s="316"/>
      <c r="BU211" s="316"/>
      <c r="BV211" s="316"/>
      <c r="BW211" s="316"/>
      <c r="BX211" s="316"/>
      <c r="BY211" s="316"/>
      <c r="BZ211" s="316"/>
      <c r="CA211" s="316"/>
      <c r="CB211" s="316"/>
      <c r="CC211" s="316"/>
      <c r="CD211" s="316"/>
      <c r="CE211" s="317"/>
      <c r="CF211" s="316"/>
      <c r="CG211" s="316"/>
      <c r="CH211" s="316"/>
      <c r="CI211" s="316"/>
      <c r="CJ211" s="316"/>
      <c r="CK211" s="316"/>
      <c r="CL211" s="316"/>
      <c r="CM211" s="316"/>
      <c r="CN211" s="316"/>
      <c r="CO211" s="316"/>
      <c r="CP211" s="318"/>
      <c r="CQ211" s="316">
        <v>1.1348087E-2</v>
      </c>
      <c r="CR211" s="316">
        <v>5.8128695000000001E-2</v>
      </c>
      <c r="CS211" s="316">
        <v>1.463251E-2</v>
      </c>
      <c r="CT211" s="316">
        <v>1.2963402000000001E-2</v>
      </c>
      <c r="CU211" s="316">
        <v>1.1737841000000001E-2</v>
      </c>
      <c r="CV211" s="316">
        <v>2.0278507000000001E-2</v>
      </c>
      <c r="CW211" s="316">
        <v>5.9038619000000001E-2</v>
      </c>
      <c r="CX211" s="316">
        <v>6.2166051999999999E-2</v>
      </c>
      <c r="CY211" s="316">
        <v>0.45422262699999999</v>
      </c>
      <c r="CZ211" s="316">
        <v>2.2439537999999998E-2</v>
      </c>
      <c r="DA211" s="316">
        <v>6.7278549999999996E-3</v>
      </c>
      <c r="DB211" s="1498">
        <v>3.5048200000000001E-3</v>
      </c>
      <c r="DC211" s="316">
        <v>0.265408537</v>
      </c>
      <c r="DD211" s="316">
        <v>0.19027443199999999</v>
      </c>
      <c r="DE211" s="316">
        <v>7.5303182999999996E-2</v>
      </c>
      <c r="DF211" s="316">
        <v>9.3817632999999998E-2</v>
      </c>
      <c r="DG211" s="316">
        <v>9.6626641999999999E-2</v>
      </c>
      <c r="DH211" s="316">
        <v>9.9763664000000002E-2</v>
      </c>
      <c r="DI211" s="316">
        <v>0.35724085500000002</v>
      </c>
      <c r="DJ211" s="316">
        <v>0.94090106299999998</v>
      </c>
      <c r="DK211" s="316">
        <v>9.5045297170000005</v>
      </c>
      <c r="DL211" s="316">
        <v>1.38641853</v>
      </c>
      <c r="DM211" s="316">
        <v>0.30435586199999998</v>
      </c>
      <c r="DN211" s="318">
        <v>0.32706426910907299</v>
      </c>
      <c r="DO211" s="316">
        <v>0.16981340364852907</v>
      </c>
      <c r="DP211" s="316">
        <v>0.21171806276689387</v>
      </c>
      <c r="DQ211" s="316">
        <v>0.17637747358457684</v>
      </c>
      <c r="DR211" s="316">
        <v>0.20408398909872857</v>
      </c>
      <c r="DS211" s="316">
        <v>0.22159607649424631</v>
      </c>
      <c r="DT211" s="316">
        <v>0.48598600102578449</v>
      </c>
      <c r="DU211" s="316">
        <v>0.58629205100000004</v>
      </c>
      <c r="DV211" s="316">
        <v>1.5856071979999999</v>
      </c>
      <c r="DW211" s="316">
        <v>12.725059079999999</v>
      </c>
      <c r="DX211" s="316">
        <v>0.57326582100000001</v>
      </c>
      <c r="DY211" s="316">
        <v>0.50074186300000001</v>
      </c>
      <c r="DZ211" s="318">
        <v>0</v>
      </c>
      <c r="EA211" s="316">
        <v>0.22674821419018054</v>
      </c>
      <c r="EB211" s="316">
        <v>0.2361400924788237</v>
      </c>
      <c r="EC211" s="316">
        <v>0.19255294665680348</v>
      </c>
      <c r="ED211" s="316">
        <v>0.22674821419018054</v>
      </c>
      <c r="EE211" s="316">
        <v>0.2361400924788237</v>
      </c>
      <c r="EF211" s="316">
        <v>0.19255294665680348</v>
      </c>
      <c r="EG211" s="316">
        <v>0.85181301325458303</v>
      </c>
      <c r="EH211" s="316">
        <v>1.3401586173046514</v>
      </c>
      <c r="EI211" s="316">
        <v>12.973533580430418</v>
      </c>
      <c r="EJ211" s="316">
        <v>1.4418040524169249</v>
      </c>
      <c r="EK211" s="316">
        <v>0.50146783091962921</v>
      </c>
      <c r="EL211" s="318">
        <v>0.41145482824615598</v>
      </c>
      <c r="EM211" s="1206">
        <v>0.31447588599999998</v>
      </c>
      <c r="EN211" s="1206">
        <v>0.26314551400000002</v>
      </c>
      <c r="EO211" s="1206">
        <v>0.19594088800000001</v>
      </c>
      <c r="EP211" s="1206">
        <v>0.42045458299999999</v>
      </c>
      <c r="EQ211" s="1206">
        <v>0.28763700399999997</v>
      </c>
      <c r="ER211" s="1206">
        <v>0.36551615700000001</v>
      </c>
      <c r="ES211" s="1206">
        <v>5.7445599869999997</v>
      </c>
      <c r="ET211" s="1206">
        <v>1.675767827</v>
      </c>
      <c r="EU211" s="1206">
        <v>8.2551049469999995</v>
      </c>
      <c r="EV211" s="1206">
        <v>1.1323164939999999</v>
      </c>
      <c r="EW211" s="1206">
        <v>0.41788988500000002</v>
      </c>
      <c r="EX211" s="1550">
        <v>0.29598800600000003</v>
      </c>
      <c r="EY211" s="1206"/>
      <c r="EZ211" s="1206"/>
      <c r="FA211" s="1206"/>
      <c r="FB211" s="1206"/>
      <c r="FC211" s="1206"/>
      <c r="FD211" s="1206"/>
      <c r="FE211" s="1206"/>
      <c r="FF211" s="1206"/>
      <c r="FG211" s="1206"/>
      <c r="FH211" s="1206"/>
      <c r="FI211" s="1206"/>
      <c r="FJ211" s="1550"/>
      <c r="FK211" s="1206"/>
      <c r="FL211" s="1206"/>
      <c r="FM211" s="1206"/>
      <c r="FN211" s="1206"/>
      <c r="FO211" s="1206"/>
      <c r="FP211" s="1206"/>
      <c r="FQ211" s="316"/>
      <c r="FR211" s="316"/>
      <c r="FS211" s="316"/>
      <c r="FT211" s="316"/>
      <c r="FU211" s="316"/>
      <c r="FV211" s="316"/>
      <c r="FW211" s="316"/>
      <c r="FX211" s="316"/>
      <c r="FY211" s="316"/>
      <c r="FZ211" s="316"/>
      <c r="GA211" s="316"/>
      <c r="GB211" s="316"/>
      <c r="GC211" s="316"/>
      <c r="GD211" s="316"/>
      <c r="GE211" s="316"/>
      <c r="GF211" s="316"/>
      <c r="GG211" s="316"/>
      <c r="GH211" s="316"/>
      <c r="GI211" s="316"/>
      <c r="GJ211" s="316"/>
      <c r="GK211" s="316"/>
      <c r="GL211" s="316"/>
      <c r="GM211" s="316"/>
      <c r="GN211" s="316"/>
      <c r="GO211" s="316"/>
      <c r="GP211" s="316"/>
      <c r="GQ211" s="316"/>
      <c r="GR211" s="316"/>
      <c r="GS211" s="316"/>
      <c r="GT211" s="316"/>
      <c r="GU211" s="316"/>
      <c r="GV211" s="316"/>
      <c r="GW211" s="316"/>
      <c r="GX211" s="316"/>
      <c r="GY211" s="316"/>
      <c r="GZ211" s="316"/>
      <c r="HA211" s="316"/>
      <c r="HB211" s="316"/>
      <c r="HC211" s="316"/>
      <c r="HD211" s="316"/>
      <c r="HE211" s="316"/>
      <c r="HF211" s="316"/>
      <c r="HG211" s="316"/>
      <c r="HH211" s="316"/>
      <c r="HI211" s="316"/>
      <c r="HJ211" s="316"/>
      <c r="HK211" s="316"/>
      <c r="HL211" s="316"/>
      <c r="HM211" s="316"/>
      <c r="HV211" s="302">
        <f>+SUM(DC211:DH211)</f>
        <v>0.82119409100000007</v>
      </c>
      <c r="HW211" s="302">
        <f>+SUM(DI211:DN211)</f>
        <v>12.820510296109074</v>
      </c>
      <c r="HX211" s="346">
        <f t="shared" si="40"/>
        <v>13.641704387109074</v>
      </c>
      <c r="HY211" s="302">
        <f>SUM(DO211:DT211)</f>
        <v>1.4695750066187592</v>
      </c>
      <c r="KH211" s="303"/>
    </row>
    <row r="212" spans="1:294" outlineLevel="1">
      <c r="B212" s="117" t="s">
        <v>361</v>
      </c>
      <c r="D212" s="321" t="s">
        <v>461</v>
      </c>
      <c r="E212" s="316"/>
      <c r="F212" s="316"/>
      <c r="G212" s="316"/>
      <c r="H212" s="316"/>
      <c r="I212" s="316"/>
      <c r="J212" s="316"/>
      <c r="K212" s="316"/>
      <c r="L212" s="316"/>
      <c r="M212" s="316"/>
      <c r="N212" s="316"/>
      <c r="O212" s="316"/>
      <c r="P212" s="316"/>
      <c r="Q212" s="316"/>
      <c r="R212" s="316"/>
      <c r="S212" s="316"/>
      <c r="T212" s="316"/>
      <c r="U212" s="316"/>
      <c r="V212" s="316"/>
      <c r="W212" s="316"/>
      <c r="X212" s="316"/>
      <c r="Y212" s="316"/>
      <c r="Z212" s="316"/>
      <c r="AA212" s="316"/>
      <c r="AB212" s="316"/>
      <c r="AC212" s="316"/>
      <c r="AD212" s="316"/>
      <c r="AE212" s="316"/>
      <c r="AF212" s="316"/>
      <c r="AG212" s="316"/>
      <c r="AH212" s="316"/>
      <c r="AI212" s="316"/>
      <c r="AJ212" s="316"/>
      <c r="AK212" s="316"/>
      <c r="AL212" s="316"/>
      <c r="AM212" s="316"/>
      <c r="AN212" s="316"/>
      <c r="AO212" s="316"/>
      <c r="AP212" s="316"/>
      <c r="AQ212" s="316"/>
      <c r="AR212" s="316"/>
      <c r="AS212" s="316"/>
      <c r="AT212" s="316"/>
      <c r="AU212" s="316"/>
      <c r="AV212" s="316"/>
      <c r="AW212" s="316"/>
      <c r="AX212" s="316"/>
      <c r="AY212" s="316"/>
      <c r="AZ212" s="316"/>
      <c r="BA212" s="316"/>
      <c r="BB212" s="316"/>
      <c r="BC212" s="316"/>
      <c r="BD212" s="316"/>
      <c r="BE212" s="316"/>
      <c r="BF212" s="316"/>
      <c r="BG212" s="316"/>
      <c r="BH212" s="316"/>
      <c r="BI212" s="316"/>
      <c r="BJ212" s="316"/>
      <c r="BK212" s="316"/>
      <c r="BL212" s="316"/>
      <c r="BM212" s="316"/>
      <c r="BN212" s="316"/>
      <c r="BO212" s="316"/>
      <c r="BP212" s="316"/>
      <c r="BQ212" s="316"/>
      <c r="BR212" s="316"/>
      <c r="BS212" s="316"/>
      <c r="BT212" s="316"/>
      <c r="BU212" s="316"/>
      <c r="BV212" s="316"/>
      <c r="BW212" s="316"/>
      <c r="BX212" s="316"/>
      <c r="BY212" s="316"/>
      <c r="BZ212" s="316"/>
      <c r="CA212" s="316"/>
      <c r="CB212" s="316"/>
      <c r="CC212" s="316"/>
      <c r="CD212" s="316"/>
      <c r="CE212" s="317"/>
      <c r="CF212" s="316"/>
      <c r="CG212" s="316"/>
      <c r="CH212" s="316"/>
      <c r="CI212" s="316"/>
      <c r="CJ212" s="316"/>
      <c r="CK212" s="316"/>
      <c r="CL212" s="316"/>
      <c r="CM212" s="316"/>
      <c r="CN212" s="316"/>
      <c r="CO212" s="316"/>
      <c r="CP212" s="318"/>
      <c r="CQ212" s="316">
        <v>0.10784479</v>
      </c>
      <c r="CR212" s="316">
        <v>3.9625505999999998E-2</v>
      </c>
      <c r="CS212" s="316">
        <v>5.2781531999999999E-2</v>
      </c>
      <c r="CT212" s="316">
        <v>7.1813431999999996E-2</v>
      </c>
      <c r="CU212" s="316">
        <v>7.9350010999999998E-2</v>
      </c>
      <c r="CV212" s="316">
        <v>0.11837370999999999</v>
      </c>
      <c r="CW212" s="316">
        <v>0.26367953199999999</v>
      </c>
      <c r="CX212" s="316">
        <v>0.80168393299999996</v>
      </c>
      <c r="CY212" s="316">
        <v>5.9260012309999999</v>
      </c>
      <c r="CZ212" s="316">
        <v>0.22660903099999999</v>
      </c>
      <c r="DA212" s="316">
        <v>0.111788047</v>
      </c>
      <c r="DB212" s="1498">
        <v>0.13672806400000001</v>
      </c>
      <c r="DC212" s="316"/>
      <c r="DD212" s="316"/>
      <c r="DE212" s="316"/>
      <c r="DF212" s="316"/>
      <c r="DG212" s="316"/>
      <c r="DH212" s="316"/>
      <c r="DI212" s="316"/>
      <c r="DJ212" s="316"/>
      <c r="DK212" s="316"/>
      <c r="DL212" s="316"/>
      <c r="DM212" s="316"/>
      <c r="DN212" s="318"/>
      <c r="DO212" s="316">
        <v>0</v>
      </c>
      <c r="DP212" s="316">
        <v>0</v>
      </c>
      <c r="DQ212" s="316">
        <v>0</v>
      </c>
      <c r="DR212" s="316">
        <v>0</v>
      </c>
      <c r="DS212" s="316">
        <v>0</v>
      </c>
      <c r="DT212" s="316">
        <v>0</v>
      </c>
      <c r="DU212" s="316">
        <v>0</v>
      </c>
      <c r="DV212" s="316">
        <v>0</v>
      </c>
      <c r="DW212" s="316">
        <v>0</v>
      </c>
      <c r="DX212" s="316">
        <v>0</v>
      </c>
      <c r="DY212" s="316">
        <v>0</v>
      </c>
      <c r="DZ212" s="318">
        <v>0</v>
      </c>
      <c r="EA212" s="316">
        <v>0</v>
      </c>
      <c r="EB212" s="316">
        <v>0</v>
      </c>
      <c r="EC212" s="316">
        <v>0</v>
      </c>
      <c r="ED212" s="316">
        <v>0</v>
      </c>
      <c r="EE212" s="316">
        <v>0</v>
      </c>
      <c r="EF212" s="316">
        <v>0</v>
      </c>
      <c r="EG212" s="316">
        <v>0</v>
      </c>
      <c r="EH212" s="316">
        <v>0</v>
      </c>
      <c r="EI212" s="316">
        <v>0</v>
      </c>
      <c r="EJ212" s="316">
        <v>0</v>
      </c>
      <c r="EK212" s="316">
        <v>0</v>
      </c>
      <c r="EL212" s="318">
        <v>0</v>
      </c>
      <c r="EM212" s="1206">
        <v>0</v>
      </c>
      <c r="EN212" s="1206">
        <v>0</v>
      </c>
      <c r="EO212" s="1206">
        <v>0</v>
      </c>
      <c r="EP212" s="1206">
        <v>0</v>
      </c>
      <c r="EQ212" s="1206">
        <v>0</v>
      </c>
      <c r="ER212" s="1206">
        <v>0</v>
      </c>
      <c r="ES212" s="1206">
        <v>0</v>
      </c>
      <c r="ET212" s="1206">
        <v>0</v>
      </c>
      <c r="EU212" s="1206">
        <v>0</v>
      </c>
      <c r="EV212" s="1206">
        <v>0</v>
      </c>
      <c r="EW212" s="1206">
        <v>0</v>
      </c>
      <c r="EX212" s="1550">
        <v>0</v>
      </c>
      <c r="EY212" s="1206"/>
      <c r="EZ212" s="1206"/>
      <c r="FA212" s="1206"/>
      <c r="FB212" s="1206"/>
      <c r="FC212" s="1206"/>
      <c r="FD212" s="1206"/>
      <c r="FE212" s="1206"/>
      <c r="FF212" s="1206"/>
      <c r="FG212" s="1206"/>
      <c r="FH212" s="1206"/>
      <c r="FI212" s="1206"/>
      <c r="FJ212" s="1550"/>
      <c r="FK212" s="1206"/>
      <c r="FL212" s="1206"/>
      <c r="FM212" s="1206"/>
      <c r="FN212" s="1206"/>
      <c r="FO212" s="1206"/>
      <c r="FP212" s="1206"/>
      <c r="FQ212" s="316"/>
      <c r="FR212" s="316"/>
      <c r="FS212" s="316"/>
      <c r="FT212" s="316"/>
      <c r="FU212" s="316"/>
      <c r="FV212" s="316"/>
      <c r="FW212" s="316"/>
      <c r="FX212" s="316"/>
      <c r="FY212" s="316"/>
      <c r="FZ212" s="316"/>
      <c r="GA212" s="316"/>
      <c r="GB212" s="316"/>
      <c r="GC212" s="316"/>
      <c r="GD212" s="316"/>
      <c r="GE212" s="316"/>
      <c r="GF212" s="316"/>
      <c r="GG212" s="316"/>
      <c r="GH212" s="316"/>
      <c r="GI212" s="316"/>
      <c r="GJ212" s="316"/>
      <c r="GK212" s="316"/>
      <c r="GL212" s="316"/>
      <c r="GM212" s="316"/>
      <c r="GN212" s="316"/>
      <c r="GO212" s="316"/>
      <c r="GP212" s="316"/>
      <c r="GQ212" s="316"/>
      <c r="GR212" s="316"/>
      <c r="GS212" s="316"/>
      <c r="GT212" s="316"/>
      <c r="GU212" s="316"/>
      <c r="GV212" s="316"/>
      <c r="GW212" s="316"/>
      <c r="GX212" s="316"/>
      <c r="GY212" s="316"/>
      <c r="GZ212" s="316"/>
      <c r="HA212" s="316"/>
      <c r="HB212" s="316"/>
      <c r="HC212" s="316"/>
      <c r="HD212" s="316"/>
      <c r="HE212" s="316"/>
      <c r="HF212" s="316"/>
      <c r="HG212" s="316"/>
      <c r="HH212" s="316"/>
      <c r="HI212" s="316"/>
      <c r="HJ212" s="316"/>
      <c r="HK212" s="316"/>
      <c r="HL212" s="316"/>
      <c r="HM212" s="316"/>
      <c r="HV212" s="302">
        <f>+SUM(DC212:DH212)</f>
        <v>0</v>
      </c>
      <c r="HW212" s="302">
        <f>+SUM(DI212:DN212)</f>
        <v>0</v>
      </c>
      <c r="HX212" s="346">
        <f t="shared" si="40"/>
        <v>0</v>
      </c>
      <c r="HY212" s="302">
        <f>SUM(DO212:DT212)</f>
        <v>0</v>
      </c>
      <c r="KH212" s="303"/>
    </row>
    <row r="213" spans="1:294" outlineLevel="1">
      <c r="B213" s="117" t="s">
        <v>361</v>
      </c>
      <c r="D213" s="321" t="s">
        <v>1055</v>
      </c>
      <c r="E213" s="316"/>
      <c r="F213" s="316"/>
      <c r="G213" s="316"/>
      <c r="H213" s="316"/>
      <c r="I213" s="316"/>
      <c r="J213" s="316"/>
      <c r="K213" s="316"/>
      <c r="L213" s="316"/>
      <c r="M213" s="316"/>
      <c r="N213" s="316"/>
      <c r="O213" s="316"/>
      <c r="P213" s="316"/>
      <c r="Q213" s="316"/>
      <c r="R213" s="316"/>
      <c r="S213" s="316"/>
      <c r="T213" s="316"/>
      <c r="U213" s="316"/>
      <c r="V213" s="316"/>
      <c r="W213" s="316"/>
      <c r="X213" s="316"/>
      <c r="Y213" s="316"/>
      <c r="Z213" s="316"/>
      <c r="AA213" s="316"/>
      <c r="AB213" s="316"/>
      <c r="AC213" s="316"/>
      <c r="AD213" s="316"/>
      <c r="AE213" s="316"/>
      <c r="AF213" s="316"/>
      <c r="AG213" s="316"/>
      <c r="AH213" s="316"/>
      <c r="AI213" s="316"/>
      <c r="AJ213" s="316"/>
      <c r="AK213" s="316"/>
      <c r="AL213" s="316"/>
      <c r="AM213" s="316"/>
      <c r="AN213" s="316"/>
      <c r="AO213" s="316"/>
      <c r="AP213" s="316"/>
      <c r="AQ213" s="316"/>
      <c r="AR213" s="316"/>
      <c r="AS213" s="316"/>
      <c r="AT213" s="316"/>
      <c r="AU213" s="316"/>
      <c r="AV213" s="316"/>
      <c r="AW213" s="316"/>
      <c r="AX213" s="316"/>
      <c r="AY213" s="316"/>
      <c r="AZ213" s="316"/>
      <c r="BA213" s="316"/>
      <c r="BB213" s="316"/>
      <c r="BC213" s="316"/>
      <c r="BD213" s="316"/>
      <c r="BE213" s="316"/>
      <c r="BF213" s="316"/>
      <c r="BG213" s="316"/>
      <c r="BH213" s="316"/>
      <c r="BI213" s="316"/>
      <c r="BJ213" s="316"/>
      <c r="BK213" s="316"/>
      <c r="BL213" s="316"/>
      <c r="BM213" s="316"/>
      <c r="BN213" s="316"/>
      <c r="BO213" s="316"/>
      <c r="BP213" s="316"/>
      <c r="BQ213" s="316"/>
      <c r="BR213" s="316"/>
      <c r="BS213" s="316"/>
      <c r="BT213" s="316"/>
      <c r="BU213" s="316"/>
      <c r="BV213" s="316"/>
      <c r="BW213" s="316"/>
      <c r="BX213" s="316"/>
      <c r="BY213" s="316"/>
      <c r="BZ213" s="316"/>
      <c r="CA213" s="316"/>
      <c r="CB213" s="316"/>
      <c r="CC213" s="316"/>
      <c r="CD213" s="316"/>
      <c r="CE213" s="317"/>
      <c r="CF213" s="316"/>
      <c r="CG213" s="316"/>
      <c r="CH213" s="316"/>
      <c r="CI213" s="316"/>
      <c r="CJ213" s="316"/>
      <c r="CK213" s="316"/>
      <c r="CL213" s="316"/>
      <c r="CM213" s="316"/>
      <c r="CN213" s="316"/>
      <c r="CO213" s="316"/>
      <c r="CP213" s="318"/>
      <c r="CQ213" s="316"/>
      <c r="CR213" s="316"/>
      <c r="CS213" s="316"/>
      <c r="CT213" s="316"/>
      <c r="CU213" s="316"/>
      <c r="CV213" s="316"/>
      <c r="CW213" s="316">
        <v>7.3491065097949999</v>
      </c>
      <c r="CX213" s="316">
        <v>7.3491065097949999</v>
      </c>
      <c r="CY213" s="316">
        <v>3.1678718789999998</v>
      </c>
      <c r="CZ213" s="316"/>
      <c r="DA213" s="316"/>
      <c r="DB213" s="1498"/>
      <c r="DC213" s="316">
        <v>1.888342226</v>
      </c>
      <c r="DD213" s="316">
        <v>1.286530621</v>
      </c>
      <c r="DE213" s="316">
        <v>1.706911273</v>
      </c>
      <c r="DF213" s="316">
        <v>1.5562641180000001</v>
      </c>
      <c r="DG213" s="316">
        <v>1.695714588</v>
      </c>
      <c r="DH213" s="316">
        <v>4.1205279880000001</v>
      </c>
      <c r="DI213" s="316">
        <v>2.771882524</v>
      </c>
      <c r="DJ213" s="316">
        <v>1.900041047</v>
      </c>
      <c r="DK213" s="316">
        <v>4.2548248659999999</v>
      </c>
      <c r="DL213" s="316">
        <v>1.7565806509999999</v>
      </c>
      <c r="DM213" s="316">
        <v>2.0005338739999998</v>
      </c>
      <c r="DN213" s="318">
        <v>1.8086069338909299</v>
      </c>
      <c r="DO213" s="316">
        <v>1.6531450803514709</v>
      </c>
      <c r="DP213" s="316">
        <v>2.020534381233106</v>
      </c>
      <c r="DQ213" s="316">
        <v>1.9438201444154231</v>
      </c>
      <c r="DR213" s="316">
        <v>1.9867715699012716</v>
      </c>
      <c r="DS213" s="316">
        <v>2.1148053475057536</v>
      </c>
      <c r="DT213" s="316">
        <v>5.3559525459742154</v>
      </c>
      <c r="DU213" s="316">
        <v>2.2916792739999998</v>
      </c>
      <c r="DV213" s="316">
        <v>2.0503062380000001</v>
      </c>
      <c r="DW213" s="316">
        <v>2.933340431</v>
      </c>
      <c r="DX213" s="316">
        <v>1.9550365513333334</v>
      </c>
      <c r="DY213" s="316">
        <v>2.5998176423333299</v>
      </c>
      <c r="DZ213" s="318">
        <v>3.5421288861533302</v>
      </c>
      <c r="EA213" s="316">
        <v>2.2199904568098194</v>
      </c>
      <c r="EB213" s="316">
        <v>2.2668937165211762</v>
      </c>
      <c r="EC213" s="316">
        <v>2.2885579603431965</v>
      </c>
      <c r="ED213" s="316">
        <v>2.7761808718098191</v>
      </c>
      <c r="EE213" s="316">
        <v>2.7539049385211762</v>
      </c>
      <c r="EF213" s="316">
        <v>6.192634617343197</v>
      </c>
      <c r="EG213" s="316">
        <v>2.5395723369810299</v>
      </c>
      <c r="EH213" s="316">
        <v>2.5391290281972885</v>
      </c>
      <c r="EI213" s="316">
        <v>3.295974372863443</v>
      </c>
      <c r="EJ213" s="316">
        <v>2.3145780987595277</v>
      </c>
      <c r="EK213" s="316">
        <v>2.8332227186524785</v>
      </c>
      <c r="EL213" s="318">
        <v>2.9309503558138497</v>
      </c>
      <c r="EM213" s="1206">
        <v>2.6034546569999999</v>
      </c>
      <c r="EN213" s="1206">
        <v>2.510094257</v>
      </c>
      <c r="EO213" s="1206">
        <v>2.5775800250000001</v>
      </c>
      <c r="EP213" s="1206">
        <v>3.2720744960000001</v>
      </c>
      <c r="EQ213" s="1206">
        <v>3.0297721110000002</v>
      </c>
      <c r="ER213" s="1206">
        <v>6.9000685620000004</v>
      </c>
      <c r="ES213" s="1206">
        <v>3.9918407069999997</v>
      </c>
      <c r="ET213" s="1206">
        <v>2.5252701900000001</v>
      </c>
      <c r="EU213" s="1206">
        <v>3.5012718550000002</v>
      </c>
      <c r="EV213" s="1206">
        <v>3.6209366780000001</v>
      </c>
      <c r="EW213" s="1206">
        <v>3.1565331159999999</v>
      </c>
      <c r="EX213" s="1550">
        <v>3.5527360720000001</v>
      </c>
      <c r="EY213" s="1206"/>
      <c r="EZ213" s="1206"/>
      <c r="FA213" s="1206"/>
      <c r="FB213" s="1206"/>
      <c r="FC213" s="1206"/>
      <c r="FD213" s="1206"/>
      <c r="FE213" s="1206"/>
      <c r="FF213" s="1206"/>
      <c r="FG213" s="1206"/>
      <c r="FH213" s="1206"/>
      <c r="FI213" s="1206"/>
      <c r="FJ213" s="1550"/>
      <c r="FK213" s="1206"/>
      <c r="FL213" s="1206"/>
      <c r="FM213" s="1206"/>
      <c r="FN213" s="1206"/>
      <c r="FO213" s="1206"/>
      <c r="FP213" s="1206"/>
      <c r="FQ213" s="316"/>
      <c r="FR213" s="316"/>
      <c r="FS213" s="316"/>
      <c r="FT213" s="316"/>
      <c r="FU213" s="316"/>
      <c r="FV213" s="316"/>
      <c r="FW213" s="316"/>
      <c r="FX213" s="316"/>
      <c r="FY213" s="316"/>
      <c r="FZ213" s="316"/>
      <c r="GA213" s="316"/>
      <c r="GB213" s="316"/>
      <c r="GC213" s="316"/>
      <c r="GD213" s="316"/>
      <c r="GE213" s="316"/>
      <c r="GF213" s="316"/>
      <c r="GG213" s="316"/>
      <c r="GH213" s="316"/>
      <c r="GI213" s="316"/>
      <c r="GJ213" s="316"/>
      <c r="GK213" s="316"/>
      <c r="GL213" s="316"/>
      <c r="GM213" s="316"/>
      <c r="GN213" s="316"/>
      <c r="GO213" s="316"/>
      <c r="GP213" s="316"/>
      <c r="GQ213" s="316"/>
      <c r="GR213" s="316"/>
      <c r="GS213" s="316"/>
      <c r="GT213" s="316"/>
      <c r="GU213" s="316"/>
      <c r="GV213" s="316"/>
      <c r="GW213" s="316"/>
      <c r="GX213" s="316"/>
      <c r="GY213" s="316"/>
      <c r="GZ213" s="316"/>
      <c r="HA213" s="316"/>
      <c r="HB213" s="316"/>
      <c r="HC213" s="316"/>
      <c r="HD213" s="316"/>
      <c r="HE213" s="316"/>
      <c r="HF213" s="316"/>
      <c r="HG213" s="316"/>
      <c r="HH213" s="316"/>
      <c r="HI213" s="316"/>
      <c r="HJ213" s="316"/>
      <c r="HK213" s="316"/>
      <c r="HL213" s="316"/>
      <c r="HM213" s="316"/>
      <c r="HV213" s="302">
        <f>+SUM(DC213:DH213)</f>
        <v>12.254290814000001</v>
      </c>
      <c r="HW213" s="302">
        <f>+SUM(DI213:DN213)</f>
        <v>14.492469895890931</v>
      </c>
      <c r="HX213" s="346">
        <f t="shared" si="40"/>
        <v>26.746760709890932</v>
      </c>
      <c r="HY213" s="302">
        <f>SUM(DO213:DT213)</f>
        <v>15.075029069381241</v>
      </c>
      <c r="KH213" s="303"/>
    </row>
    <row r="214" spans="1:294" outlineLevel="1">
      <c r="D214" s="675" t="s">
        <v>1234</v>
      </c>
      <c r="CE214" s="840"/>
      <c r="CP214" s="303"/>
      <c r="DC214" s="890" t="s">
        <v>1058</v>
      </c>
      <c r="EA214" s="302"/>
      <c r="EB214" s="302"/>
      <c r="EC214" s="302"/>
      <c r="ED214" s="302"/>
      <c r="EE214" s="302"/>
      <c r="EF214" s="302"/>
      <c r="EG214" s="302"/>
      <c r="EH214" s="302"/>
      <c r="EI214" s="302"/>
      <c r="EJ214" s="302"/>
      <c r="EK214" s="302"/>
      <c r="EL214" s="303"/>
      <c r="EM214" s="1208"/>
      <c r="EN214" s="1208"/>
      <c r="EO214" s="1206">
        <v>2.1669842020000001</v>
      </c>
      <c r="EP214" s="1206"/>
      <c r="EQ214" s="1206"/>
      <c r="ER214" s="1206">
        <v>2.2170388330000002</v>
      </c>
      <c r="ES214" s="1206">
        <v>0</v>
      </c>
      <c r="ET214" s="1206">
        <v>0</v>
      </c>
      <c r="EU214" s="1206">
        <v>1.9034152189999993</v>
      </c>
      <c r="EV214" s="1206">
        <v>0</v>
      </c>
      <c r="EW214" s="1206">
        <v>0</v>
      </c>
      <c r="EX214" s="1550">
        <v>2.1224270360000013</v>
      </c>
      <c r="EY214" s="1208"/>
      <c r="EZ214" s="1208"/>
      <c r="FA214" s="1208"/>
      <c r="FB214" s="1208"/>
      <c r="FC214" s="1208"/>
      <c r="FD214" s="1208"/>
      <c r="FE214" s="1208"/>
      <c r="FF214" s="1208"/>
      <c r="FG214" s="1208"/>
      <c r="FH214" s="1208"/>
      <c r="FI214" s="1208"/>
      <c r="FJ214" s="1560"/>
      <c r="FK214" s="1208"/>
      <c r="FL214" s="1208"/>
      <c r="FM214" s="1208"/>
      <c r="FN214" s="1208"/>
      <c r="FO214" s="1208"/>
      <c r="FP214" s="1208"/>
      <c r="FQ214" s="302"/>
      <c r="FR214" s="302"/>
      <c r="FS214" s="302"/>
      <c r="FT214" s="302"/>
      <c r="FU214" s="302"/>
      <c r="FV214" s="302"/>
      <c r="FW214" s="302"/>
      <c r="FX214" s="302"/>
      <c r="FY214" s="302"/>
      <c r="FZ214" s="302"/>
      <c r="GA214" s="302"/>
      <c r="GB214" s="302"/>
      <c r="GC214" s="302"/>
      <c r="GD214" s="302"/>
      <c r="GE214" s="302"/>
      <c r="GF214" s="302"/>
      <c r="GG214" s="302"/>
      <c r="GH214" s="302"/>
      <c r="GI214" s="302"/>
      <c r="GJ214" s="302"/>
      <c r="GK214" s="302"/>
      <c r="GL214" s="302"/>
      <c r="GM214" s="302"/>
      <c r="GN214" s="302"/>
      <c r="GO214" s="302"/>
      <c r="GP214" s="302"/>
      <c r="GQ214" s="302"/>
      <c r="GR214" s="302"/>
      <c r="GS214" s="302"/>
      <c r="GT214" s="302"/>
      <c r="GU214" s="302"/>
      <c r="GV214" s="302"/>
      <c r="GW214" s="302"/>
      <c r="GX214" s="302"/>
      <c r="GY214" s="302"/>
      <c r="GZ214" s="302"/>
      <c r="HA214" s="302"/>
      <c r="HB214" s="302"/>
      <c r="HC214" s="302"/>
      <c r="HD214" s="302"/>
      <c r="HE214" s="302"/>
      <c r="HF214" s="302"/>
      <c r="HG214" s="302"/>
      <c r="HH214" s="302"/>
      <c r="HI214" s="302"/>
      <c r="HJ214" s="302"/>
      <c r="HK214" s="302"/>
      <c r="HL214" s="302"/>
      <c r="HM214" s="302"/>
      <c r="HX214" s="346"/>
      <c r="KH214" s="303"/>
    </row>
    <row r="215" spans="1:294" outlineLevel="1">
      <c r="D215" s="675" t="s">
        <v>1235</v>
      </c>
      <c r="CD215" s="885" t="s">
        <v>1060</v>
      </c>
      <c r="CE215" s="886"/>
      <c r="CF215" s="828"/>
      <c r="CG215" s="828"/>
      <c r="CH215" s="828"/>
      <c r="CI215" s="828"/>
      <c r="CJ215" s="828"/>
      <c r="CK215" s="828"/>
      <c r="CL215" s="828"/>
      <c r="CM215" s="828"/>
      <c r="CN215" s="828"/>
      <c r="CO215" s="828"/>
      <c r="CP215" s="1489"/>
      <c r="CQ215" s="828"/>
      <c r="CR215" s="828"/>
      <c r="CS215" s="828"/>
      <c r="CT215" s="828"/>
      <c r="CU215" s="828"/>
      <c r="CV215" s="828"/>
      <c r="CW215" s="828"/>
      <c r="CX215" s="828"/>
      <c r="CY215" s="828"/>
      <c r="CZ215" s="828"/>
      <c r="DA215" s="828"/>
      <c r="DB215" s="1509"/>
      <c r="DC215" s="887">
        <v>66.733951547846715</v>
      </c>
      <c r="DD215" s="887">
        <v>68.245586880935548</v>
      </c>
      <c r="DE215" s="887">
        <v>86.824346869568402</v>
      </c>
      <c r="DF215" s="887">
        <v>77.768789279906329</v>
      </c>
      <c r="DG215" s="887">
        <v>70.290688721549174</v>
      </c>
      <c r="DH215" s="887">
        <v>94.437271875493835</v>
      </c>
      <c r="DI215" s="887">
        <v>76.99888641831906</v>
      </c>
      <c r="DJ215" s="887">
        <v>72.781232871814325</v>
      </c>
      <c r="DK215" s="887">
        <v>113.69690742097912</v>
      </c>
      <c r="DL215" s="887">
        <v>78.445692153350095</v>
      </c>
      <c r="DM215" s="887">
        <v>78.436310386163541</v>
      </c>
      <c r="DN215" s="1535">
        <v>115.65428540618294</v>
      </c>
      <c r="DO215" s="887">
        <v>70.001377174548537</v>
      </c>
      <c r="DP215" s="887">
        <v>82.550819978066912</v>
      </c>
      <c r="DQ215" s="887">
        <v>96.339551639584585</v>
      </c>
      <c r="DR215" s="887">
        <v>75.236561436798738</v>
      </c>
      <c r="DS215" s="887">
        <v>77.488918952174245</v>
      </c>
      <c r="DT215" s="887">
        <v>106.98901336147304</v>
      </c>
      <c r="DU215" s="887">
        <v>87.321007018100005</v>
      </c>
      <c r="DV215" s="887">
        <v>80.365821708100015</v>
      </c>
      <c r="DW215" s="887">
        <v>130.80228913051002</v>
      </c>
      <c r="DX215" s="887">
        <v>79.869756277900009</v>
      </c>
      <c r="DY215" s="887">
        <v>89.324089658700018</v>
      </c>
      <c r="DZ215" s="1535">
        <v>127.8539387389</v>
      </c>
      <c r="EA215" s="887"/>
      <c r="EB215" s="887"/>
      <c r="EC215" s="887"/>
      <c r="ED215" s="887"/>
      <c r="EE215" s="887"/>
      <c r="EF215" s="887"/>
      <c r="EG215" s="887"/>
      <c r="EH215" s="887"/>
      <c r="EI215" s="887"/>
      <c r="EJ215" s="887"/>
      <c r="EK215" s="887"/>
      <c r="EL215" s="1535"/>
      <c r="EM215" s="1221"/>
      <c r="EN215" s="1221"/>
      <c r="EO215" s="1206">
        <v>5.0329786810000003</v>
      </c>
      <c r="EP215" s="1206"/>
      <c r="EQ215" s="1206"/>
      <c r="ER215" s="1206">
        <v>4.2359017769999996</v>
      </c>
      <c r="ES215" s="1206">
        <v>0</v>
      </c>
      <c r="ET215" s="1206">
        <v>0</v>
      </c>
      <c r="EU215" s="1206">
        <v>4.5140113359999994</v>
      </c>
      <c r="EV215" s="1206">
        <v>0</v>
      </c>
      <c r="EW215" s="1206">
        <v>0</v>
      </c>
      <c r="EX215" s="1550">
        <v>6.1646746080000003</v>
      </c>
      <c r="EY215" s="1221"/>
      <c r="EZ215" s="1221"/>
      <c r="FA215" s="1221"/>
      <c r="FB215" s="1221"/>
      <c r="FC215" s="1221"/>
      <c r="FD215" s="1221"/>
      <c r="FE215" s="1221"/>
      <c r="FF215" s="1221"/>
      <c r="FG215" s="1221"/>
      <c r="FH215" s="1221"/>
      <c r="FI215" s="1221"/>
      <c r="FJ215" s="1572"/>
      <c r="FK215" s="1221"/>
      <c r="FL215" s="1221"/>
      <c r="FM215" s="1221"/>
      <c r="FN215" s="1221"/>
      <c r="FO215" s="1221"/>
      <c r="FP215" s="1221"/>
      <c r="FQ215" s="887"/>
      <c r="FR215" s="887"/>
      <c r="FS215" s="887"/>
      <c r="FT215" s="887"/>
      <c r="FU215" s="887"/>
      <c r="FV215" s="887"/>
      <c r="FW215" s="887"/>
      <c r="FX215" s="887"/>
      <c r="FY215" s="887"/>
      <c r="FZ215" s="887"/>
      <c r="GA215" s="887"/>
      <c r="GB215" s="887"/>
      <c r="GC215" s="887"/>
      <c r="GD215" s="887"/>
      <c r="GE215" s="887"/>
      <c r="GF215" s="887"/>
      <c r="GG215" s="887"/>
      <c r="GH215" s="887"/>
      <c r="GI215" s="887"/>
      <c r="GJ215" s="887"/>
      <c r="GK215" s="887"/>
      <c r="GL215" s="887"/>
      <c r="GM215" s="887"/>
      <c r="GN215" s="887"/>
      <c r="GO215" s="887"/>
      <c r="GP215" s="887"/>
      <c r="GQ215" s="887"/>
      <c r="GR215" s="887"/>
      <c r="GS215" s="887"/>
      <c r="GT215" s="887"/>
      <c r="GU215" s="887"/>
      <c r="GV215" s="887"/>
      <c r="GW215" s="887"/>
      <c r="GX215" s="887"/>
      <c r="GY215" s="887"/>
      <c r="GZ215" s="887"/>
      <c r="HA215" s="887"/>
      <c r="HB215" s="887"/>
      <c r="HC215" s="887"/>
      <c r="HD215" s="887"/>
      <c r="HE215" s="887"/>
      <c r="HF215" s="887"/>
      <c r="HG215" s="887"/>
      <c r="HH215" s="887"/>
      <c r="HI215" s="887"/>
      <c r="HJ215" s="887"/>
      <c r="HK215" s="887"/>
      <c r="HL215" s="887"/>
      <c r="HM215" s="887"/>
      <c r="HV215" s="828">
        <f>+SUM(DC215:DH215)</f>
        <v>464.30063517530004</v>
      </c>
      <c r="HW215" s="828">
        <f>+SUM(DI215:DN215)</f>
        <v>536.01331465680903</v>
      </c>
      <c r="HX215" s="829">
        <f t="shared" si="40"/>
        <v>1000.3139498321091</v>
      </c>
      <c r="HY215" s="302">
        <f>SUM(DO215:DT215)</f>
        <v>508.60624254264604</v>
      </c>
      <c r="KH215" s="303"/>
    </row>
    <row r="216" spans="1:294" ht="11.25" customHeight="1" outlineLevel="1">
      <c r="CD216" s="885"/>
      <c r="CE216" s="886"/>
      <c r="CF216" s="828"/>
      <c r="CG216" s="828"/>
      <c r="CH216" s="828"/>
      <c r="CI216" s="828"/>
      <c r="CJ216" s="828"/>
      <c r="CK216" s="828"/>
      <c r="CL216" s="828"/>
      <c r="CM216" s="828"/>
      <c r="CN216" s="828"/>
      <c r="CO216" s="828"/>
      <c r="CP216" s="1489"/>
      <c r="CQ216" s="828"/>
      <c r="CR216" s="828"/>
      <c r="CS216" s="828"/>
      <c r="CT216" s="828"/>
      <c r="CU216" s="828"/>
      <c r="CV216" s="828"/>
      <c r="CW216" s="828"/>
      <c r="CX216" s="828"/>
      <c r="CY216" s="828"/>
      <c r="CZ216" s="828"/>
      <c r="DA216" s="828"/>
      <c r="DB216" s="1509"/>
      <c r="DC216" s="887"/>
      <c r="DD216" s="887"/>
      <c r="DE216" s="887"/>
      <c r="DF216" s="887"/>
      <c r="DG216" s="887"/>
      <c r="DH216" s="887"/>
      <c r="DI216" s="887"/>
      <c r="DJ216" s="887"/>
      <c r="DK216" s="887"/>
      <c r="DL216" s="887"/>
      <c r="DM216" s="887"/>
      <c r="DN216" s="1535"/>
      <c r="DO216" s="887"/>
      <c r="DP216" s="887"/>
      <c r="DQ216" s="887"/>
      <c r="DR216" s="887"/>
      <c r="DS216" s="887"/>
      <c r="DT216" s="887"/>
      <c r="DU216" s="887"/>
      <c r="DV216" s="887"/>
      <c r="DW216" s="887"/>
      <c r="DX216" s="887"/>
      <c r="DY216" s="887"/>
      <c r="DZ216" s="1535"/>
      <c r="EA216" s="887"/>
      <c r="EB216" s="887"/>
      <c r="EC216" s="887"/>
      <c r="ED216" s="887"/>
      <c r="EE216" s="887"/>
      <c r="EF216" s="887"/>
      <c r="EG216" s="887"/>
      <c r="EH216" s="887"/>
      <c r="EI216" s="887"/>
      <c r="EJ216" s="887"/>
      <c r="EK216" s="887"/>
      <c r="EL216" s="1535"/>
      <c r="EM216" s="1221"/>
      <c r="EN216" s="1221"/>
      <c r="EO216" s="1221"/>
      <c r="EP216" s="1221"/>
      <c r="EQ216" s="1221"/>
      <c r="ER216" s="1221"/>
      <c r="ES216" s="1221"/>
      <c r="ET216" s="1221"/>
      <c r="EU216" s="1221"/>
      <c r="EV216" s="1221"/>
      <c r="EW216" s="1221"/>
      <c r="EX216" s="1572"/>
      <c r="EY216" s="1221"/>
      <c r="EZ216" s="1221"/>
      <c r="FA216" s="1221"/>
      <c r="FB216" s="1221"/>
      <c r="FC216" s="1221"/>
      <c r="FD216" s="1221"/>
      <c r="FE216" s="1221"/>
      <c r="FF216" s="1221"/>
      <c r="FG216" s="1221"/>
      <c r="FH216" s="1221"/>
      <c r="FI216" s="1221"/>
      <c r="FJ216" s="1572"/>
      <c r="FK216" s="1221"/>
      <c r="FL216" s="1221"/>
      <c r="FM216" s="1221"/>
      <c r="FN216" s="1221"/>
      <c r="FO216" s="1221"/>
      <c r="FP216" s="1221"/>
      <c r="FQ216" s="887"/>
      <c r="FR216" s="887"/>
      <c r="FS216" s="887"/>
      <c r="FT216" s="887"/>
      <c r="FU216" s="887"/>
      <c r="FV216" s="887"/>
      <c r="FW216" s="887"/>
      <c r="FX216" s="887"/>
      <c r="FY216" s="887"/>
      <c r="FZ216" s="887"/>
      <c r="GA216" s="887"/>
      <c r="GB216" s="887"/>
      <c r="GC216" s="887"/>
      <c r="GD216" s="887"/>
      <c r="GE216" s="887"/>
      <c r="GF216" s="887"/>
      <c r="GG216" s="887"/>
      <c r="GH216" s="887"/>
      <c r="GI216" s="887"/>
      <c r="GJ216" s="887"/>
      <c r="GK216" s="887"/>
      <c r="GL216" s="887"/>
      <c r="GM216" s="887"/>
      <c r="GN216" s="887"/>
      <c r="GO216" s="887"/>
      <c r="GP216" s="887"/>
      <c r="GQ216" s="887"/>
      <c r="GR216" s="887"/>
      <c r="GS216" s="887"/>
      <c r="GT216" s="887"/>
      <c r="GU216" s="887"/>
      <c r="GV216" s="887"/>
      <c r="GW216" s="887"/>
      <c r="GX216" s="887"/>
      <c r="GY216" s="887"/>
      <c r="GZ216" s="887"/>
      <c r="HA216" s="887"/>
      <c r="HB216" s="887"/>
      <c r="HC216" s="887"/>
      <c r="HD216" s="887"/>
      <c r="HE216" s="887"/>
      <c r="HF216" s="887"/>
      <c r="HG216" s="887"/>
      <c r="HH216" s="887"/>
      <c r="HI216" s="887"/>
      <c r="HJ216" s="887"/>
      <c r="HK216" s="887"/>
      <c r="HL216" s="887"/>
      <c r="HM216" s="887"/>
      <c r="HV216" s="828"/>
      <c r="HW216" s="828"/>
      <c r="HX216" s="885"/>
      <c r="KH216" s="303"/>
    </row>
    <row r="217" spans="1:294" outlineLevel="1">
      <c r="A217" s="314" t="s">
        <v>1093</v>
      </c>
      <c r="CE217" s="840"/>
      <c r="CK217" s="842">
        <f>+CK218-CK238</f>
        <v>35.365490066999982</v>
      </c>
      <c r="CL217" s="842">
        <f>+CL218-CL238</f>
        <v>3.3889503059999839</v>
      </c>
      <c r="CM217" s="842">
        <f>+CM218-CM238</f>
        <v>-1.4995638400000217</v>
      </c>
      <c r="CN217" s="842">
        <f>+CN218-CN238</f>
        <v>23.639963428000001</v>
      </c>
      <c r="CO217" s="842">
        <f>+CO218-CO238</f>
        <v>17.700478739000005</v>
      </c>
      <c r="CP217" s="303"/>
      <c r="DC217" s="890" t="s">
        <v>1068</v>
      </c>
      <c r="EA217" s="302"/>
      <c r="EB217" s="302"/>
      <c r="EC217" s="302"/>
      <c r="ED217" s="302"/>
      <c r="EE217" s="302"/>
      <c r="EF217" s="302"/>
      <c r="EG217" s="302"/>
      <c r="EH217" s="302"/>
      <c r="EI217" s="302"/>
      <c r="EJ217" s="302"/>
      <c r="EK217" s="302"/>
      <c r="EL217" s="303"/>
      <c r="EM217" s="1208"/>
      <c r="EN217" s="1208"/>
      <c r="EO217" s="1208"/>
      <c r="EP217" s="1208"/>
      <c r="EQ217" s="1208"/>
      <c r="ER217" s="1208"/>
      <c r="ES217" s="1208"/>
      <c r="ET217" s="1208"/>
      <c r="EU217" s="1208"/>
      <c r="EV217" s="1208"/>
      <c r="EW217" s="1208"/>
      <c r="EX217" s="1560"/>
      <c r="EY217" s="1208"/>
      <c r="EZ217" s="1208"/>
      <c r="FA217" s="1208"/>
      <c r="FB217" s="1208"/>
      <c r="FC217" s="1208"/>
      <c r="FD217" s="1208"/>
      <c r="FE217" s="1208"/>
      <c r="FF217" s="1208"/>
      <c r="FG217" s="1208"/>
      <c r="FH217" s="1208"/>
      <c r="FI217" s="1208"/>
      <c r="FJ217" s="1560"/>
      <c r="FK217" s="1208"/>
      <c r="FL217" s="1208"/>
      <c r="FM217" s="1208"/>
      <c r="FN217" s="1208"/>
      <c r="FO217" s="1208"/>
      <c r="FP217" s="1208"/>
      <c r="FQ217" s="302"/>
      <c r="FR217" s="302"/>
      <c r="FS217" s="302"/>
      <c r="FT217" s="302"/>
      <c r="FU217" s="302"/>
      <c r="FV217" s="302"/>
      <c r="FW217" s="302"/>
      <c r="FX217" s="302"/>
      <c r="FY217" s="302"/>
      <c r="FZ217" s="302"/>
      <c r="GA217" s="302"/>
      <c r="GB217" s="302"/>
      <c r="GC217" s="302"/>
      <c r="GD217" s="302"/>
      <c r="GE217" s="302"/>
      <c r="GF217" s="302"/>
      <c r="GG217" s="302"/>
      <c r="GH217" s="302"/>
      <c r="GI217" s="302"/>
      <c r="GJ217" s="302"/>
      <c r="GK217" s="302"/>
      <c r="GL217" s="302"/>
      <c r="GM217" s="302"/>
      <c r="GN217" s="302"/>
      <c r="GO217" s="302"/>
      <c r="GP217" s="302"/>
      <c r="GQ217" s="302"/>
      <c r="GR217" s="302"/>
      <c r="GS217" s="302"/>
      <c r="GT217" s="302"/>
      <c r="GU217" s="302"/>
      <c r="GV217" s="302"/>
      <c r="GW217" s="302"/>
      <c r="GX217" s="302"/>
      <c r="GY217" s="302"/>
      <c r="GZ217" s="302"/>
      <c r="HA217" s="302"/>
      <c r="HB217" s="302"/>
      <c r="HC217" s="302"/>
      <c r="HD217" s="302"/>
      <c r="HE217" s="302"/>
      <c r="HF217" s="302"/>
      <c r="HG217" s="302"/>
      <c r="HH217" s="302"/>
      <c r="HI217" s="302"/>
      <c r="HJ217" s="302"/>
      <c r="HK217" s="302"/>
      <c r="HL217" s="302"/>
      <c r="HM217" s="302"/>
      <c r="KH217" s="303"/>
    </row>
    <row r="218" spans="1:294" outlineLevel="1">
      <c r="A218" s="117" t="s">
        <v>923</v>
      </c>
      <c r="B218" s="117" t="s">
        <v>361</v>
      </c>
      <c r="D218" s="336" t="s">
        <v>463</v>
      </c>
      <c r="E218" s="316"/>
      <c r="F218" s="316"/>
      <c r="G218" s="316"/>
      <c r="H218" s="316"/>
      <c r="I218" s="316"/>
      <c r="J218" s="316"/>
      <c r="K218" s="316"/>
      <c r="L218" s="316"/>
      <c r="M218" s="316"/>
      <c r="N218" s="316"/>
      <c r="O218" s="316"/>
      <c r="P218" s="316"/>
      <c r="Q218" s="316"/>
      <c r="R218" s="316"/>
      <c r="S218" s="316"/>
      <c r="T218" s="316"/>
      <c r="U218" s="316"/>
      <c r="V218" s="316"/>
      <c r="W218" s="316"/>
      <c r="X218" s="316"/>
      <c r="Y218" s="316"/>
      <c r="Z218" s="316"/>
      <c r="AA218" s="316"/>
      <c r="AB218" s="316"/>
      <c r="AC218" s="316"/>
      <c r="AD218" s="316"/>
      <c r="AE218" s="316"/>
      <c r="AF218" s="316"/>
      <c r="AG218" s="316"/>
      <c r="AH218" s="316"/>
      <c r="AI218" s="316"/>
      <c r="AJ218" s="316"/>
      <c r="AK218" s="316"/>
      <c r="AL218" s="316"/>
      <c r="AM218" s="316"/>
      <c r="AN218" s="316"/>
      <c r="AO218" s="316"/>
      <c r="AP218" s="316"/>
      <c r="AQ218" s="316"/>
      <c r="AR218" s="316"/>
      <c r="AS218" s="316"/>
      <c r="AT218" s="316"/>
      <c r="AU218" s="316"/>
      <c r="AV218" s="316"/>
      <c r="AW218" s="316"/>
      <c r="AX218" s="316"/>
      <c r="AY218" s="316"/>
      <c r="AZ218" s="316"/>
      <c r="BA218" s="316"/>
      <c r="BB218" s="316"/>
      <c r="BC218" s="316"/>
      <c r="BD218" s="316"/>
      <c r="BE218" s="316"/>
      <c r="BF218" s="316"/>
      <c r="BG218" s="316"/>
      <c r="BH218" s="316"/>
      <c r="BI218" s="316"/>
      <c r="BJ218" s="316"/>
      <c r="BK218" s="316"/>
      <c r="BL218" s="316"/>
      <c r="BM218" s="316"/>
      <c r="BN218" s="316"/>
      <c r="BO218" s="316"/>
      <c r="BP218" s="316"/>
      <c r="BQ218" s="316"/>
      <c r="BR218" s="316"/>
      <c r="BS218" s="316"/>
      <c r="BT218" s="316"/>
      <c r="BU218" s="316"/>
      <c r="BV218" s="316"/>
      <c r="BW218" s="316"/>
      <c r="BX218" s="316"/>
      <c r="BY218" s="316"/>
      <c r="BZ218" s="316"/>
      <c r="CA218" s="316"/>
      <c r="CB218" s="316"/>
      <c r="CC218" s="316"/>
      <c r="CD218" s="316"/>
      <c r="CE218" s="317"/>
      <c r="CF218" s="316"/>
      <c r="CG218" s="316"/>
      <c r="CH218" s="316"/>
      <c r="CI218" s="316"/>
      <c r="CJ218" s="316"/>
      <c r="CK218" s="335">
        <f>+CK219+CK222+SUM(CK225:CK233)</f>
        <v>125.25433524299999</v>
      </c>
      <c r="CL218" s="335">
        <f>+CL219+CL222+SUM(CL225:CL233)</f>
        <v>82.869652847999987</v>
      </c>
      <c r="CM218" s="335">
        <f>+CM219+CM222+SUM(CM225:CM233)</f>
        <v>98.550025784999974</v>
      </c>
      <c r="CN218" s="335">
        <f>+CN219+CN222+SUM(CN225:CN233)</f>
        <v>145.84591141600001</v>
      </c>
      <c r="CO218" s="335">
        <f>+CO219+CO222+SUM(CO225:CO233)</f>
        <v>149.51475732099999</v>
      </c>
      <c r="CP218" s="318"/>
      <c r="CQ218" s="316"/>
      <c r="CR218" s="316"/>
      <c r="CS218" s="316"/>
      <c r="CT218" s="316"/>
      <c r="CU218" s="316"/>
      <c r="CV218" s="316"/>
      <c r="CW218" s="316"/>
      <c r="CX218" s="316"/>
      <c r="CY218" s="316"/>
      <c r="CZ218" s="316"/>
      <c r="DA218" s="316"/>
      <c r="DB218" s="1498"/>
      <c r="DC218" s="883">
        <v>42186</v>
      </c>
      <c r="DD218" s="883">
        <v>42217</v>
      </c>
      <c r="DE218" s="883">
        <v>42248</v>
      </c>
      <c r="DF218" s="883">
        <v>42278</v>
      </c>
      <c r="DG218" s="883">
        <v>42309</v>
      </c>
      <c r="DH218" s="883">
        <v>42339</v>
      </c>
      <c r="DI218" s="883">
        <v>42370</v>
      </c>
      <c r="DJ218" s="883">
        <v>42401</v>
      </c>
      <c r="DK218" s="883">
        <v>42430</v>
      </c>
      <c r="DL218" s="883">
        <v>42461</v>
      </c>
      <c r="DM218" s="883">
        <v>42491</v>
      </c>
      <c r="DN218" s="928">
        <v>42522</v>
      </c>
      <c r="DO218" s="883">
        <v>42552</v>
      </c>
      <c r="DP218" s="883">
        <v>42583</v>
      </c>
      <c r="DQ218" s="883">
        <v>42614</v>
      </c>
      <c r="DR218" s="883">
        <v>42644</v>
      </c>
      <c r="DS218" s="883">
        <v>42675</v>
      </c>
      <c r="DT218" s="883">
        <v>42705</v>
      </c>
      <c r="DU218" s="883">
        <v>42736</v>
      </c>
      <c r="DV218" s="883">
        <v>42767</v>
      </c>
      <c r="DW218" s="883">
        <v>42795</v>
      </c>
      <c r="DX218" s="883">
        <v>42826</v>
      </c>
      <c r="DY218" s="883">
        <v>42856</v>
      </c>
      <c r="DZ218" s="928">
        <v>42887</v>
      </c>
      <c r="EA218" s="883">
        <v>42917</v>
      </c>
      <c r="EB218" s="883">
        <v>42948</v>
      </c>
      <c r="EC218" s="883">
        <v>42979</v>
      </c>
      <c r="ED218" s="883">
        <v>43009</v>
      </c>
      <c r="EE218" s="883">
        <v>43040</v>
      </c>
      <c r="EF218" s="883">
        <v>43070</v>
      </c>
      <c r="EG218" s="883">
        <v>43101</v>
      </c>
      <c r="EH218" s="883">
        <v>43132</v>
      </c>
      <c r="EI218" s="883">
        <v>43160</v>
      </c>
      <c r="EJ218" s="883">
        <v>43191</v>
      </c>
      <c r="EK218" s="883">
        <v>43221</v>
      </c>
      <c r="EL218" s="928">
        <v>43252</v>
      </c>
      <c r="EM218" s="1205">
        <v>43282</v>
      </c>
      <c r="EN218" s="1205">
        <v>43313</v>
      </c>
      <c r="EO218" s="1205">
        <v>43344</v>
      </c>
      <c r="EP218" s="1205">
        <v>43374</v>
      </c>
      <c r="EQ218" s="1205">
        <v>43405</v>
      </c>
      <c r="ER218" s="1205">
        <v>43435</v>
      </c>
      <c r="ES218" s="1205">
        <v>43466</v>
      </c>
      <c r="ET218" s="1205">
        <v>43497</v>
      </c>
      <c r="EU218" s="1205">
        <v>43525</v>
      </c>
      <c r="EV218" s="1205">
        <v>43556</v>
      </c>
      <c r="EW218" s="1205">
        <v>43586</v>
      </c>
      <c r="EX218" s="1558">
        <v>43617</v>
      </c>
      <c r="EY218" s="1205">
        <v>43647</v>
      </c>
      <c r="EZ218" s="1205">
        <v>43678</v>
      </c>
      <c r="FA218" s="1205">
        <v>43709</v>
      </c>
      <c r="FB218" s="1205">
        <v>43739</v>
      </c>
      <c r="FC218" s="1205">
        <v>43770</v>
      </c>
      <c r="FD218" s="1205">
        <v>43800</v>
      </c>
      <c r="FE218" s="1205">
        <v>43831</v>
      </c>
      <c r="FF218" s="1205">
        <v>43862</v>
      </c>
      <c r="FG218" s="1205">
        <v>43891</v>
      </c>
      <c r="FH218" s="1205">
        <v>43922</v>
      </c>
      <c r="FI218" s="1205">
        <v>43952</v>
      </c>
      <c r="FJ218" s="1558">
        <v>43983</v>
      </c>
      <c r="FK218" s="1205">
        <v>44013</v>
      </c>
      <c r="FL218" s="1205">
        <v>44044</v>
      </c>
      <c r="FM218" s="1205">
        <v>44075</v>
      </c>
      <c r="FN218" s="1205">
        <v>44105</v>
      </c>
      <c r="FO218" s="1205">
        <v>44136</v>
      </c>
      <c r="FP218" s="1205">
        <v>44166</v>
      </c>
      <c r="FQ218" s="883"/>
      <c r="FR218" s="883"/>
      <c r="FS218" s="883"/>
      <c r="FT218" s="883"/>
      <c r="FU218" s="883"/>
      <c r="FV218" s="883"/>
      <c r="FW218" s="883"/>
      <c r="FX218" s="883"/>
      <c r="FY218" s="883"/>
      <c r="FZ218" s="883"/>
      <c r="GA218" s="883"/>
      <c r="GB218" s="883"/>
      <c r="GC218" s="883"/>
      <c r="GD218" s="883"/>
      <c r="GE218" s="883"/>
      <c r="GF218" s="883"/>
      <c r="GG218" s="883"/>
      <c r="GH218" s="883"/>
      <c r="GI218" s="883"/>
      <c r="GJ218" s="883"/>
      <c r="GK218" s="883"/>
      <c r="GL218" s="883"/>
      <c r="GM218" s="883"/>
      <c r="GN218" s="883"/>
      <c r="GO218" s="883"/>
      <c r="GP218" s="883"/>
      <c r="GQ218" s="883"/>
      <c r="GR218" s="883"/>
      <c r="GS218" s="883"/>
      <c r="GT218" s="883"/>
      <c r="GU218" s="883"/>
      <c r="GV218" s="883"/>
      <c r="GW218" s="883"/>
      <c r="GX218" s="883"/>
      <c r="GY218" s="883"/>
      <c r="GZ218" s="883"/>
      <c r="HA218" s="883"/>
      <c r="HB218" s="883"/>
      <c r="HC218" s="883"/>
      <c r="HD218" s="883"/>
      <c r="HE218" s="883"/>
      <c r="HF218" s="883"/>
      <c r="HG218" s="883"/>
      <c r="HH218" s="883"/>
      <c r="HI218" s="883"/>
      <c r="HJ218" s="883"/>
      <c r="HK218" s="883"/>
      <c r="HL218" s="883"/>
      <c r="HM218" s="883"/>
      <c r="KH218" s="303"/>
    </row>
    <row r="219" spans="1:294" outlineLevel="1">
      <c r="B219" s="117" t="s">
        <v>361</v>
      </c>
      <c r="D219" s="337" t="s">
        <v>464</v>
      </c>
      <c r="E219" s="316"/>
      <c r="F219" s="316"/>
      <c r="G219" s="316"/>
      <c r="H219" s="316"/>
      <c r="I219" s="316"/>
      <c r="J219" s="316"/>
      <c r="K219" s="316"/>
      <c r="L219" s="316"/>
      <c r="M219" s="316"/>
      <c r="N219" s="316"/>
      <c r="O219" s="316"/>
      <c r="P219" s="316"/>
      <c r="Q219" s="316"/>
      <c r="R219" s="316"/>
      <c r="S219" s="316"/>
      <c r="T219" s="316"/>
      <c r="U219" s="316"/>
      <c r="V219" s="316"/>
      <c r="W219" s="316"/>
      <c r="X219" s="316"/>
      <c r="Y219" s="316"/>
      <c r="Z219" s="316"/>
      <c r="AA219" s="316"/>
      <c r="AB219" s="316"/>
      <c r="AC219" s="316"/>
      <c r="AD219" s="316"/>
      <c r="AE219" s="316"/>
      <c r="AF219" s="316"/>
      <c r="AG219" s="316"/>
      <c r="AH219" s="316"/>
      <c r="AI219" s="316"/>
      <c r="AJ219" s="316"/>
      <c r="AK219" s="316"/>
      <c r="AL219" s="316"/>
      <c r="AM219" s="316"/>
      <c r="AN219" s="316"/>
      <c r="AO219" s="316"/>
      <c r="AP219" s="316"/>
      <c r="AQ219" s="316"/>
      <c r="AR219" s="316"/>
      <c r="AS219" s="316"/>
      <c r="AT219" s="316"/>
      <c r="AU219" s="316"/>
      <c r="AV219" s="316"/>
      <c r="AW219" s="316"/>
      <c r="AX219" s="316"/>
      <c r="AY219" s="316"/>
      <c r="AZ219" s="316"/>
      <c r="BA219" s="316"/>
      <c r="BB219" s="316"/>
      <c r="BC219" s="316"/>
      <c r="BD219" s="316"/>
      <c r="BE219" s="316"/>
      <c r="BF219" s="316"/>
      <c r="BG219" s="316"/>
      <c r="BH219" s="316"/>
      <c r="BI219" s="316"/>
      <c r="BJ219" s="316"/>
      <c r="BK219" s="316"/>
      <c r="BL219" s="316"/>
      <c r="BM219" s="316"/>
      <c r="BN219" s="316"/>
      <c r="BO219" s="316"/>
      <c r="BP219" s="316"/>
      <c r="BQ219" s="316"/>
      <c r="BR219" s="316"/>
      <c r="BS219" s="316">
        <v>13.250438358</v>
      </c>
      <c r="BT219" s="316">
        <v>15.142419798000001</v>
      </c>
      <c r="BU219" s="316">
        <v>10.465569511</v>
      </c>
      <c r="BV219" s="316">
        <v>19.144608862999998</v>
      </c>
      <c r="BW219" s="316">
        <v>12.38366167</v>
      </c>
      <c r="BX219" s="316">
        <v>12.345760840000001</v>
      </c>
      <c r="BY219" s="316">
        <v>12.281595282</v>
      </c>
      <c r="BZ219" s="316">
        <v>14.947415005</v>
      </c>
      <c r="CA219" s="316">
        <v>14.463020575</v>
      </c>
      <c r="CB219" s="316">
        <v>17.263546629</v>
      </c>
      <c r="CC219" s="316">
        <v>14.468678076</v>
      </c>
      <c r="CD219" s="316">
        <v>12.723720517</v>
      </c>
      <c r="CE219" s="317">
        <v>16.994601701000001</v>
      </c>
      <c r="CF219" s="316">
        <v>15.296408276999999</v>
      </c>
      <c r="CG219" s="316">
        <v>12.785106967999999</v>
      </c>
      <c r="CH219" s="316">
        <v>21.522832184999999</v>
      </c>
      <c r="CI219" s="316">
        <v>13.74655516</v>
      </c>
      <c r="CJ219" s="316">
        <v>12.527354783</v>
      </c>
      <c r="CK219" s="316">
        <v>17.305775839999999</v>
      </c>
      <c r="CL219" s="316">
        <v>15.261176783</v>
      </c>
      <c r="CM219" s="316">
        <v>14.226565817999999</v>
      </c>
      <c r="CN219" s="316">
        <v>20.575106379000001</v>
      </c>
      <c r="CO219" s="316">
        <v>14.207658584000001</v>
      </c>
      <c r="CP219" s="318">
        <v>13.422926986</v>
      </c>
      <c r="CQ219" s="316">
        <v>24.384377145999999</v>
      </c>
      <c r="CR219" s="316">
        <v>14.475676630000001</v>
      </c>
      <c r="CS219" s="316">
        <v>13.475882387</v>
      </c>
      <c r="CT219" s="316">
        <v>21.792291245000001</v>
      </c>
      <c r="CU219" s="316">
        <v>14.063459443999999</v>
      </c>
      <c r="CV219" s="316">
        <v>13.595746498</v>
      </c>
      <c r="CW219" s="316">
        <v>22.064813458</v>
      </c>
      <c r="CX219" s="316">
        <v>11.475777178</v>
      </c>
      <c r="CY219" s="316">
        <v>18.702557545000001</v>
      </c>
      <c r="CZ219" s="316">
        <v>20.166489068000001</v>
      </c>
      <c r="DA219" s="316">
        <v>15.465617441999999</v>
      </c>
      <c r="DB219" s="1498">
        <v>14.104508206</v>
      </c>
      <c r="DC219" s="316">
        <v>25.760848382999999</v>
      </c>
      <c r="DD219" s="316">
        <v>16.630622875</v>
      </c>
      <c r="DE219" s="316">
        <v>15.729075969</v>
      </c>
      <c r="DF219" s="316">
        <v>25.341055635</v>
      </c>
      <c r="DG219" s="316">
        <v>15.952211698999999</v>
      </c>
      <c r="DH219" s="316">
        <v>15.896342681</v>
      </c>
      <c r="DI219" s="316">
        <v>27.269807771</v>
      </c>
      <c r="DJ219" s="316">
        <v>14.262571819</v>
      </c>
      <c r="DK219" s="316">
        <v>20.399614275000001</v>
      </c>
      <c r="DL219" s="316">
        <v>26.154303194000001</v>
      </c>
      <c r="DM219" s="316">
        <v>17.351693442999998</v>
      </c>
      <c r="DN219" s="318">
        <v>21.587089448</v>
      </c>
      <c r="DO219" s="316">
        <v>30.792339913999999</v>
      </c>
      <c r="DP219" s="316">
        <v>25.930212775000001</v>
      </c>
      <c r="DQ219" s="316">
        <v>17.198660204999999</v>
      </c>
      <c r="DR219" s="316">
        <v>31.218526591</v>
      </c>
      <c r="DS219" s="316">
        <v>22.623937429000001</v>
      </c>
      <c r="DT219" s="316">
        <v>20.321524653000001</v>
      </c>
      <c r="DU219" s="316">
        <v>32.600142276</v>
      </c>
      <c r="DV219" s="316">
        <v>20.681147721999999</v>
      </c>
      <c r="DW219" s="316">
        <v>14.811887330999999</v>
      </c>
      <c r="DX219" s="316">
        <v>36.372824244999997</v>
      </c>
      <c r="DY219" s="316">
        <v>26.777018936000001</v>
      </c>
      <c r="DZ219" s="318">
        <v>38.763488469999999</v>
      </c>
      <c r="EA219" s="316">
        <v>38.763488469999999</v>
      </c>
      <c r="EB219" s="316">
        <v>22.126329033000001</v>
      </c>
      <c r="EC219" s="316">
        <v>23.992127427</v>
      </c>
      <c r="ED219" s="316">
        <v>31.381220567</v>
      </c>
      <c r="EE219" s="316">
        <v>20.59107835</v>
      </c>
      <c r="EF219" s="316">
        <v>22.203756637000001</v>
      </c>
      <c r="EG219" s="316">
        <v>35.831669345000002</v>
      </c>
      <c r="EH219" s="316">
        <v>18.217909506000002</v>
      </c>
      <c r="EI219" s="316">
        <v>29.443757700999999</v>
      </c>
      <c r="EJ219" s="316">
        <v>28.913823983</v>
      </c>
      <c r="EK219" s="316">
        <v>29.702432408</v>
      </c>
      <c r="EL219" s="1550">
        <v>23.122873592000001</v>
      </c>
      <c r="EM219" s="1206">
        <v>36.880675347</v>
      </c>
      <c r="EN219" s="1206">
        <v>23.217829071000001</v>
      </c>
      <c r="EO219" s="1206">
        <v>25.954929501999999</v>
      </c>
      <c r="EP219" s="1206">
        <v>35.318556829999999</v>
      </c>
      <c r="EQ219" s="1206">
        <v>23.391870655000002</v>
      </c>
      <c r="ER219" s="1206">
        <v>23.821014502000001</v>
      </c>
      <c r="ES219" s="1206">
        <v>24.216932529000001</v>
      </c>
      <c r="ET219" s="1206">
        <v>30.592745741000002</v>
      </c>
      <c r="EU219" s="1206">
        <v>32.861703890999998</v>
      </c>
      <c r="EV219" s="1206">
        <v>44.669000662000002</v>
      </c>
      <c r="EW219" s="1206">
        <v>40.584315027999999</v>
      </c>
      <c r="EX219" s="1550">
        <v>24.641690694000001</v>
      </c>
      <c r="EY219" s="1206"/>
      <c r="EZ219" s="1206"/>
      <c r="FA219" s="1206"/>
      <c r="FB219" s="1206"/>
      <c r="FC219" s="1206"/>
      <c r="FD219" s="1206"/>
      <c r="FE219" s="1206"/>
      <c r="FF219" s="1206"/>
      <c r="FG219" s="1206"/>
      <c r="FH219" s="1206"/>
      <c r="FI219" s="1206"/>
      <c r="FJ219" s="1550"/>
      <c r="FK219" s="1206"/>
      <c r="FL219" s="1206"/>
      <c r="FM219" s="1206"/>
      <c r="FN219" s="1206"/>
      <c r="FO219" s="1206"/>
      <c r="FP219" s="1206"/>
      <c r="FQ219" s="316"/>
      <c r="FR219" s="316"/>
      <c r="FS219" s="316"/>
      <c r="FT219" s="316"/>
      <c r="FU219" s="316"/>
      <c r="FV219" s="316"/>
      <c r="FW219" s="316"/>
      <c r="FX219" s="316"/>
      <c r="FY219" s="316"/>
      <c r="FZ219" s="316"/>
      <c r="GA219" s="316"/>
      <c r="GB219" s="316"/>
      <c r="GC219" s="316"/>
      <c r="GD219" s="316"/>
      <c r="GE219" s="316"/>
      <c r="GF219" s="316"/>
      <c r="GG219" s="316"/>
      <c r="GH219" s="316"/>
      <c r="GI219" s="316"/>
      <c r="GJ219" s="316"/>
      <c r="GK219" s="316"/>
      <c r="GL219" s="316"/>
      <c r="GM219" s="316"/>
      <c r="GN219" s="316"/>
      <c r="GO219" s="316"/>
      <c r="GP219" s="316"/>
      <c r="GQ219" s="316"/>
      <c r="GR219" s="316"/>
      <c r="GS219" s="316"/>
      <c r="GT219" s="316"/>
      <c r="GU219" s="316"/>
      <c r="GV219" s="316"/>
      <c r="GW219" s="316"/>
      <c r="GX219" s="316"/>
      <c r="GY219" s="316"/>
      <c r="GZ219" s="316"/>
      <c r="HA219" s="316"/>
      <c r="HB219" s="316"/>
      <c r="HC219" s="316"/>
      <c r="HD219" s="316"/>
      <c r="HE219" s="316"/>
      <c r="HF219" s="316"/>
      <c r="HG219" s="316"/>
      <c r="HH219" s="316"/>
      <c r="HI219" s="316"/>
      <c r="HJ219" s="316"/>
      <c r="HK219" s="316"/>
      <c r="HL219" s="316"/>
      <c r="HM219" s="316"/>
      <c r="HV219" s="302">
        <f t="shared" ref="HV219:HV228" si="41">+SUM(DC219:DH219)</f>
        <v>115.310157242</v>
      </c>
      <c r="HW219" s="302">
        <f t="shared" ref="HW219:HW228" si="42">+SUM(DI219:DN219)</f>
        <v>127.02507995000001</v>
      </c>
      <c r="HX219" s="346">
        <f t="shared" ref="HX219:HX231" si="43">HV219+HW219</f>
        <v>242.33523719200002</v>
      </c>
      <c r="HY219" s="302">
        <f t="shared" ref="HY219:HY228" si="44">SUM(DO219:DT219)</f>
        <v>148.08520156700001</v>
      </c>
      <c r="KH219" s="303"/>
    </row>
    <row r="220" spans="1:294" outlineLevel="1">
      <c r="B220" s="117" t="s">
        <v>361</v>
      </c>
      <c r="D220" s="338" t="s">
        <v>465</v>
      </c>
      <c r="E220" s="316"/>
      <c r="F220" s="316"/>
      <c r="G220" s="316"/>
      <c r="H220" s="316"/>
      <c r="I220" s="316"/>
      <c r="J220" s="316"/>
      <c r="K220" s="316"/>
      <c r="L220" s="316"/>
      <c r="M220" s="316"/>
      <c r="N220" s="316"/>
      <c r="O220" s="316"/>
      <c r="P220" s="316"/>
      <c r="Q220" s="316"/>
      <c r="R220" s="316"/>
      <c r="S220" s="316"/>
      <c r="T220" s="316"/>
      <c r="U220" s="316"/>
      <c r="V220" s="316"/>
      <c r="W220" s="316"/>
      <c r="X220" s="316"/>
      <c r="Y220" s="316"/>
      <c r="Z220" s="316"/>
      <c r="AA220" s="316"/>
      <c r="AB220" s="316"/>
      <c r="AC220" s="316"/>
      <c r="AD220" s="316"/>
      <c r="AE220" s="316"/>
      <c r="AF220" s="316"/>
      <c r="AG220" s="316"/>
      <c r="AH220" s="316"/>
      <c r="AI220" s="316"/>
      <c r="AJ220" s="316"/>
      <c r="AK220" s="316"/>
      <c r="AL220" s="316"/>
      <c r="AM220" s="316"/>
      <c r="AN220" s="316"/>
      <c r="AO220" s="316"/>
      <c r="AP220" s="316"/>
      <c r="AQ220" s="316"/>
      <c r="AR220" s="316"/>
      <c r="AS220" s="316"/>
      <c r="AT220" s="316"/>
      <c r="AU220" s="316"/>
      <c r="AV220" s="316"/>
      <c r="AW220" s="316"/>
      <c r="AX220" s="316"/>
      <c r="AY220" s="316"/>
      <c r="AZ220" s="316"/>
      <c r="BA220" s="316"/>
      <c r="BB220" s="316"/>
      <c r="BC220" s="316"/>
      <c r="BD220" s="316"/>
      <c r="BE220" s="316"/>
      <c r="BF220" s="316"/>
      <c r="BG220" s="316"/>
      <c r="BH220" s="316"/>
      <c r="BI220" s="316"/>
      <c r="BJ220" s="316"/>
      <c r="BK220" s="316"/>
      <c r="BL220" s="316"/>
      <c r="BM220" s="316"/>
      <c r="BN220" s="316"/>
      <c r="BO220" s="316"/>
      <c r="BP220" s="316"/>
      <c r="BQ220" s="316"/>
      <c r="BR220" s="316"/>
      <c r="BS220" s="316">
        <v>3.1112973519999998</v>
      </c>
      <c r="BT220" s="316">
        <v>2.8256175300000002</v>
      </c>
      <c r="BU220" s="316">
        <v>2.8209782990000001</v>
      </c>
      <c r="BV220" s="316">
        <v>3.3594289449999999</v>
      </c>
      <c r="BW220" s="316">
        <v>3.1229821420000001</v>
      </c>
      <c r="BX220" s="316">
        <v>3.06276145</v>
      </c>
      <c r="BY220" s="316">
        <v>3.3396436070000002</v>
      </c>
      <c r="BZ220" s="316">
        <v>2.9997923270000002</v>
      </c>
      <c r="CA220" s="316">
        <v>3.5253506309999998</v>
      </c>
      <c r="CB220" s="316">
        <v>3.3415827849999999</v>
      </c>
      <c r="CC220" s="316">
        <v>3.198035425</v>
      </c>
      <c r="CD220" s="316">
        <v>3.1972616299999999</v>
      </c>
      <c r="CE220" s="317">
        <v>3.0580970779999999</v>
      </c>
      <c r="CF220" s="316">
        <v>3.4830667009999998</v>
      </c>
      <c r="CG220" s="316">
        <v>3.550329638</v>
      </c>
      <c r="CH220" s="316">
        <v>3.648968956</v>
      </c>
      <c r="CI220" s="316">
        <v>4.1364914749999997</v>
      </c>
      <c r="CJ220" s="316">
        <v>3.036364002</v>
      </c>
      <c r="CK220" s="316">
        <v>3.908229205</v>
      </c>
      <c r="CL220" s="316">
        <v>3.3496332610000001</v>
      </c>
      <c r="CM220" s="316">
        <v>3.349825407</v>
      </c>
      <c r="CN220" s="316">
        <v>3.6429534540000001</v>
      </c>
      <c r="CO220" s="316">
        <v>3.350320682</v>
      </c>
      <c r="CP220" s="318">
        <v>3.3502945510000002</v>
      </c>
      <c r="CQ220" s="316">
        <v>6.8139577850000004</v>
      </c>
      <c r="CR220" s="316">
        <v>3.7736912230000002</v>
      </c>
      <c r="CS220" s="316">
        <v>3.523673541</v>
      </c>
      <c r="CT220" s="316">
        <v>3.7408800260000001</v>
      </c>
      <c r="CU220" s="316">
        <v>3.5379927549999999</v>
      </c>
      <c r="CV220" s="316">
        <v>3.2726724200000001</v>
      </c>
      <c r="CW220" s="316">
        <v>3.8472440190000001</v>
      </c>
      <c r="CX220" s="316">
        <v>3.44767242</v>
      </c>
      <c r="CY220" s="316">
        <v>3.8040478590000002</v>
      </c>
      <c r="CZ220" s="316">
        <v>3.7577844109999998</v>
      </c>
      <c r="DA220" s="316">
        <v>3.5394204669999998</v>
      </c>
      <c r="DB220" s="1498">
        <v>3.539596489</v>
      </c>
      <c r="DC220" s="316"/>
      <c r="DD220" s="316"/>
      <c r="DE220" s="316"/>
      <c r="DF220" s="316"/>
      <c r="DG220" s="316"/>
      <c r="DH220" s="316"/>
      <c r="DI220" s="316"/>
      <c r="DJ220" s="316"/>
      <c r="DK220" s="316"/>
      <c r="DL220" s="316"/>
      <c r="DM220" s="316"/>
      <c r="DN220" s="318"/>
      <c r="DO220" s="316"/>
      <c r="DP220" s="316"/>
      <c r="DQ220" s="316"/>
      <c r="DR220" s="316"/>
      <c r="DS220" s="316"/>
      <c r="DT220" s="316"/>
      <c r="DU220" s="316"/>
      <c r="DV220" s="316"/>
      <c r="DW220" s="316"/>
      <c r="DX220" s="316"/>
      <c r="DY220" s="316"/>
      <c r="DZ220" s="318"/>
      <c r="EA220" s="316"/>
      <c r="EB220" s="316"/>
      <c r="EC220" s="316"/>
      <c r="ED220" s="316"/>
      <c r="EE220" s="316"/>
      <c r="EF220" s="316"/>
      <c r="EG220" s="316"/>
      <c r="EH220" s="316"/>
      <c r="EI220" s="316"/>
      <c r="EJ220" s="316"/>
      <c r="EK220" s="316"/>
      <c r="EL220" s="1550"/>
      <c r="EM220" s="1206"/>
      <c r="EN220" s="1206"/>
      <c r="EO220" s="1206"/>
      <c r="EP220" s="1206"/>
      <c r="EQ220" s="1206"/>
      <c r="ER220" s="1206"/>
      <c r="ES220" s="1206"/>
      <c r="ET220" s="1206"/>
      <c r="EU220" s="1206"/>
      <c r="EV220" s="1206"/>
      <c r="EW220" s="1206"/>
      <c r="EX220" s="1550"/>
      <c r="EY220" s="1206"/>
      <c r="EZ220" s="1206"/>
      <c r="FA220" s="1206"/>
      <c r="FB220" s="1206"/>
      <c r="FC220" s="1206"/>
      <c r="FD220" s="1206"/>
      <c r="FE220" s="1206"/>
      <c r="FF220" s="1206"/>
      <c r="FG220" s="1206"/>
      <c r="FH220" s="1206"/>
      <c r="FI220" s="1206"/>
      <c r="FJ220" s="1550"/>
      <c r="FK220" s="1206"/>
      <c r="FL220" s="1206"/>
      <c r="FM220" s="1206"/>
      <c r="FN220" s="1206"/>
      <c r="FO220" s="1206"/>
      <c r="FP220" s="1206"/>
      <c r="FQ220" s="316"/>
      <c r="FR220" s="316"/>
      <c r="FS220" s="316"/>
      <c r="FT220" s="316"/>
      <c r="FU220" s="316"/>
      <c r="FV220" s="316"/>
      <c r="FW220" s="316"/>
      <c r="FX220" s="316"/>
      <c r="FY220" s="316"/>
      <c r="FZ220" s="316"/>
      <c r="GA220" s="316"/>
      <c r="GB220" s="316"/>
      <c r="GC220" s="316"/>
      <c r="GD220" s="316"/>
      <c r="GE220" s="316"/>
      <c r="GF220" s="316"/>
      <c r="GG220" s="316"/>
      <c r="GH220" s="316"/>
      <c r="GI220" s="316"/>
      <c r="GJ220" s="316"/>
      <c r="GK220" s="316"/>
      <c r="GL220" s="316"/>
      <c r="GM220" s="316"/>
      <c r="GN220" s="316"/>
      <c r="GO220" s="316"/>
      <c r="GP220" s="316"/>
      <c r="GQ220" s="316"/>
      <c r="GR220" s="316"/>
      <c r="GS220" s="316"/>
      <c r="GT220" s="316"/>
      <c r="GU220" s="316"/>
      <c r="GV220" s="316"/>
      <c r="GW220" s="316"/>
      <c r="GX220" s="316"/>
      <c r="GY220" s="316"/>
      <c r="GZ220" s="316"/>
      <c r="HA220" s="316"/>
      <c r="HB220" s="316"/>
      <c r="HC220" s="316"/>
      <c r="HD220" s="316"/>
      <c r="HE220" s="316"/>
      <c r="HF220" s="316"/>
      <c r="HG220" s="316"/>
      <c r="HH220" s="316"/>
      <c r="HI220" s="316"/>
      <c r="HJ220" s="316"/>
      <c r="HK220" s="316"/>
      <c r="HL220" s="316"/>
      <c r="HM220" s="316"/>
      <c r="HV220" s="302">
        <f t="shared" si="41"/>
        <v>0</v>
      </c>
      <c r="HW220" s="302">
        <f t="shared" si="42"/>
        <v>0</v>
      </c>
      <c r="HX220" s="346">
        <f t="shared" si="43"/>
        <v>0</v>
      </c>
      <c r="HY220" s="302">
        <f t="shared" si="44"/>
        <v>0</v>
      </c>
      <c r="KH220" s="303"/>
    </row>
    <row r="221" spans="1:294" outlineLevel="1">
      <c r="B221" s="117" t="s">
        <v>361</v>
      </c>
      <c r="D221" s="338" t="s">
        <v>466</v>
      </c>
      <c r="E221" s="316"/>
      <c r="F221" s="316"/>
      <c r="G221" s="316"/>
      <c r="H221" s="316"/>
      <c r="I221" s="316"/>
      <c r="J221" s="316"/>
      <c r="K221" s="316"/>
      <c r="L221" s="316"/>
      <c r="M221" s="316"/>
      <c r="N221" s="316"/>
      <c r="O221" s="316"/>
      <c r="P221" s="316"/>
      <c r="Q221" s="316"/>
      <c r="R221" s="316"/>
      <c r="S221" s="316"/>
      <c r="T221" s="316"/>
      <c r="U221" s="316"/>
      <c r="V221" s="316"/>
      <c r="W221" s="316"/>
      <c r="X221" s="316"/>
      <c r="Y221" s="316"/>
      <c r="Z221" s="316"/>
      <c r="AA221" s="316"/>
      <c r="AB221" s="316"/>
      <c r="AC221" s="316"/>
      <c r="AD221" s="316"/>
      <c r="AE221" s="316"/>
      <c r="AF221" s="316"/>
      <c r="AG221" s="316"/>
      <c r="AH221" s="316"/>
      <c r="AI221" s="316"/>
      <c r="AJ221" s="316"/>
      <c r="AK221" s="316"/>
      <c r="AL221" s="316"/>
      <c r="AM221" s="316"/>
      <c r="AN221" s="316"/>
      <c r="AO221" s="316"/>
      <c r="AP221" s="316"/>
      <c r="AQ221" s="316"/>
      <c r="AR221" s="316"/>
      <c r="AS221" s="316"/>
      <c r="AT221" s="316"/>
      <c r="AU221" s="316"/>
      <c r="AV221" s="316"/>
      <c r="AW221" s="316"/>
      <c r="AX221" s="316"/>
      <c r="AY221" s="316"/>
      <c r="AZ221" s="316"/>
      <c r="BA221" s="316"/>
      <c r="BB221" s="316"/>
      <c r="BC221" s="316"/>
      <c r="BD221" s="316"/>
      <c r="BE221" s="316"/>
      <c r="BF221" s="316"/>
      <c r="BG221" s="316"/>
      <c r="BH221" s="316"/>
      <c r="BI221" s="316"/>
      <c r="BJ221" s="316"/>
      <c r="BK221" s="316"/>
      <c r="BL221" s="316"/>
      <c r="BM221" s="316"/>
      <c r="BN221" s="316"/>
      <c r="BO221" s="316"/>
      <c r="BP221" s="316"/>
      <c r="BQ221" s="316"/>
      <c r="BR221" s="316"/>
      <c r="BS221" s="316">
        <v>10.139141005999999</v>
      </c>
      <c r="BT221" s="316">
        <v>12.316802268</v>
      </c>
      <c r="BU221" s="316">
        <v>7.6445912119999999</v>
      </c>
      <c r="BV221" s="316">
        <v>15.785179918000001</v>
      </c>
      <c r="BW221" s="316">
        <v>9.2606795280000007</v>
      </c>
      <c r="BX221" s="316">
        <v>9.2829993900000005</v>
      </c>
      <c r="BY221" s="316">
        <v>8.9419516750000003</v>
      </c>
      <c r="BZ221" s="316">
        <v>11.947622678</v>
      </c>
      <c r="CA221" s="316">
        <v>10.937669944</v>
      </c>
      <c r="CB221" s="316">
        <v>13.921963844</v>
      </c>
      <c r="CC221" s="316">
        <v>11.270642650999999</v>
      </c>
      <c r="CD221" s="316">
        <v>9.5264588870000004</v>
      </c>
      <c r="CE221" s="317">
        <v>13.936504622999999</v>
      </c>
      <c r="CF221" s="316">
        <v>11.813341575999999</v>
      </c>
      <c r="CG221" s="316">
        <v>9.23477733</v>
      </c>
      <c r="CH221" s="316">
        <v>17.873863229000001</v>
      </c>
      <c r="CI221" s="316">
        <v>9.6100636850000001</v>
      </c>
      <c r="CJ221" s="316">
        <v>9.4909907810000007</v>
      </c>
      <c r="CK221" s="316">
        <v>13.397546634999999</v>
      </c>
      <c r="CL221" s="316">
        <v>11.911543522000001</v>
      </c>
      <c r="CM221" s="316">
        <v>10.876740411</v>
      </c>
      <c r="CN221" s="316">
        <v>16.932152925</v>
      </c>
      <c r="CO221" s="316">
        <v>10.857337901999999</v>
      </c>
      <c r="CP221" s="318">
        <v>10.072632434999999</v>
      </c>
      <c r="CQ221" s="316">
        <v>17.570419360999999</v>
      </c>
      <c r="CR221" s="316">
        <v>10.701985407</v>
      </c>
      <c r="CS221" s="316">
        <v>9.9522088459999996</v>
      </c>
      <c r="CT221" s="316">
        <v>18.051411218999998</v>
      </c>
      <c r="CU221" s="316">
        <v>10.525466689</v>
      </c>
      <c r="CV221" s="316">
        <v>10.323074077999999</v>
      </c>
      <c r="CW221" s="316">
        <v>18.217569438999998</v>
      </c>
      <c r="CX221" s="316">
        <v>8.0281047579999996</v>
      </c>
      <c r="CY221" s="316">
        <v>14.898509686000001</v>
      </c>
      <c r="CZ221" s="316">
        <v>16.408704657000001</v>
      </c>
      <c r="DA221" s="316">
        <v>11.926196975</v>
      </c>
      <c r="DB221" s="1498">
        <v>10.564911716999999</v>
      </c>
      <c r="DC221" s="316"/>
      <c r="DD221" s="316"/>
      <c r="DE221" s="316"/>
      <c r="DF221" s="316"/>
      <c r="DG221" s="316"/>
      <c r="DH221" s="316"/>
      <c r="DI221" s="316"/>
      <c r="DJ221" s="316"/>
      <c r="DK221" s="316"/>
      <c r="DL221" s="316"/>
      <c r="DM221" s="316"/>
      <c r="DN221" s="318"/>
      <c r="DO221" s="316"/>
      <c r="DP221" s="316"/>
      <c r="DQ221" s="316"/>
      <c r="DR221" s="316"/>
      <c r="DS221" s="316"/>
      <c r="DT221" s="316"/>
      <c r="DU221" s="316"/>
      <c r="DV221" s="316"/>
      <c r="DW221" s="316"/>
      <c r="DX221" s="316"/>
      <c r="DY221" s="316"/>
      <c r="DZ221" s="318"/>
      <c r="EA221" s="316"/>
      <c r="EB221" s="316"/>
      <c r="EC221" s="316"/>
      <c r="ED221" s="316"/>
      <c r="EE221" s="316"/>
      <c r="EF221" s="316"/>
      <c r="EG221" s="316"/>
      <c r="EH221" s="316"/>
      <c r="EI221" s="316"/>
      <c r="EJ221" s="316"/>
      <c r="EK221" s="316"/>
      <c r="EL221" s="1550"/>
      <c r="EM221" s="1206"/>
      <c r="EN221" s="1206"/>
      <c r="EO221" s="1206"/>
      <c r="EP221" s="1206"/>
      <c r="EQ221" s="1206"/>
      <c r="ER221" s="1206"/>
      <c r="ES221" s="1206"/>
      <c r="ET221" s="1206"/>
      <c r="EU221" s="1206"/>
      <c r="EV221" s="1206"/>
      <c r="EW221" s="1206"/>
      <c r="EX221" s="1550"/>
      <c r="EY221" s="1206"/>
      <c r="EZ221" s="1206"/>
      <c r="FA221" s="1206"/>
      <c r="FB221" s="1206"/>
      <c r="FC221" s="1206"/>
      <c r="FD221" s="1206"/>
      <c r="FE221" s="1206"/>
      <c r="FF221" s="1206"/>
      <c r="FG221" s="1206"/>
      <c r="FH221" s="1206"/>
      <c r="FI221" s="1206"/>
      <c r="FJ221" s="1550"/>
      <c r="FK221" s="1206"/>
      <c r="FL221" s="1206"/>
      <c r="FM221" s="1206"/>
      <c r="FN221" s="1206"/>
      <c r="FO221" s="1206"/>
      <c r="FP221" s="1206"/>
      <c r="FQ221" s="316"/>
      <c r="FR221" s="316"/>
      <c r="FS221" s="316"/>
      <c r="FT221" s="316"/>
      <c r="FU221" s="316"/>
      <c r="FV221" s="316"/>
      <c r="FW221" s="316"/>
      <c r="FX221" s="316"/>
      <c r="FY221" s="316"/>
      <c r="FZ221" s="316"/>
      <c r="GA221" s="316"/>
      <c r="GB221" s="316"/>
      <c r="GC221" s="316"/>
      <c r="GD221" s="316"/>
      <c r="GE221" s="316"/>
      <c r="GF221" s="316"/>
      <c r="GG221" s="316"/>
      <c r="GH221" s="316"/>
      <c r="GI221" s="316"/>
      <c r="GJ221" s="316"/>
      <c r="GK221" s="316"/>
      <c r="GL221" s="316"/>
      <c r="GM221" s="316"/>
      <c r="GN221" s="316"/>
      <c r="GO221" s="316"/>
      <c r="GP221" s="316"/>
      <c r="GQ221" s="316"/>
      <c r="GR221" s="316"/>
      <c r="GS221" s="316"/>
      <c r="GT221" s="316"/>
      <c r="GU221" s="316"/>
      <c r="GV221" s="316"/>
      <c r="GW221" s="316"/>
      <c r="GX221" s="316"/>
      <c r="GY221" s="316"/>
      <c r="GZ221" s="316"/>
      <c r="HA221" s="316"/>
      <c r="HB221" s="316"/>
      <c r="HC221" s="316"/>
      <c r="HD221" s="316"/>
      <c r="HE221" s="316"/>
      <c r="HF221" s="316"/>
      <c r="HG221" s="316"/>
      <c r="HH221" s="316"/>
      <c r="HI221" s="316"/>
      <c r="HJ221" s="316"/>
      <c r="HK221" s="316"/>
      <c r="HL221" s="316"/>
      <c r="HM221" s="316"/>
      <c r="HV221" s="302">
        <f t="shared" si="41"/>
        <v>0</v>
      </c>
      <c r="HW221" s="302">
        <f t="shared" si="42"/>
        <v>0</v>
      </c>
      <c r="HX221" s="346">
        <f t="shared" si="43"/>
        <v>0</v>
      </c>
      <c r="HY221" s="302">
        <f t="shared" si="44"/>
        <v>0</v>
      </c>
      <c r="KH221" s="303"/>
    </row>
    <row r="222" spans="1:294" outlineLevel="1">
      <c r="B222" s="117" t="s">
        <v>361</v>
      </c>
      <c r="D222" s="337" t="s">
        <v>467</v>
      </c>
      <c r="E222" s="316"/>
      <c r="F222" s="316"/>
      <c r="G222" s="316"/>
      <c r="H222" s="316"/>
      <c r="I222" s="316"/>
      <c r="J222" s="316"/>
      <c r="K222" s="316"/>
      <c r="L222" s="316"/>
      <c r="M222" s="316"/>
      <c r="N222" s="316"/>
      <c r="O222" s="316"/>
      <c r="P222" s="316"/>
      <c r="Q222" s="316"/>
      <c r="R222" s="316"/>
      <c r="S222" s="316"/>
      <c r="T222" s="316"/>
      <c r="U222" s="316"/>
      <c r="V222" s="316"/>
      <c r="W222" s="316"/>
      <c r="X222" s="316"/>
      <c r="Y222" s="316"/>
      <c r="Z222" s="316"/>
      <c r="AA222" s="316"/>
      <c r="AB222" s="316"/>
      <c r="AC222" s="316"/>
      <c r="AD222" s="316"/>
      <c r="AE222" s="316"/>
      <c r="AF222" s="316"/>
      <c r="AG222" s="316"/>
      <c r="AH222" s="316"/>
      <c r="AI222" s="316"/>
      <c r="AJ222" s="316"/>
      <c r="AK222" s="316"/>
      <c r="AL222" s="316"/>
      <c r="AM222" s="316"/>
      <c r="AN222" s="316"/>
      <c r="AO222" s="316"/>
      <c r="AP222" s="316"/>
      <c r="AQ222" s="316"/>
      <c r="AR222" s="316"/>
      <c r="AS222" s="316"/>
      <c r="AT222" s="316"/>
      <c r="AU222" s="316"/>
      <c r="AV222" s="316"/>
      <c r="AW222" s="316"/>
      <c r="AX222" s="316"/>
      <c r="AY222" s="316"/>
      <c r="AZ222" s="316"/>
      <c r="BA222" s="316"/>
      <c r="BB222" s="316"/>
      <c r="BC222" s="316"/>
      <c r="BD222" s="316"/>
      <c r="BE222" s="316"/>
      <c r="BF222" s="316"/>
      <c r="BG222" s="316"/>
      <c r="BH222" s="316"/>
      <c r="BI222" s="316"/>
      <c r="BJ222" s="316"/>
      <c r="BK222" s="316"/>
      <c r="BL222" s="316"/>
      <c r="BM222" s="316"/>
      <c r="BN222" s="316"/>
      <c r="BO222" s="316"/>
      <c r="BP222" s="316"/>
      <c r="BQ222" s="316"/>
      <c r="BR222" s="316"/>
      <c r="BS222" s="316">
        <v>13.10341237225</v>
      </c>
      <c r="BT222" s="316">
        <v>9.335434782430001</v>
      </c>
      <c r="BU222" s="316">
        <v>6.8151908380000004</v>
      </c>
      <c r="BV222" s="316">
        <v>17.443907538000001</v>
      </c>
      <c r="BW222" s="316">
        <v>10.159151058000001</v>
      </c>
      <c r="BX222" s="316">
        <v>6.9713928459999996</v>
      </c>
      <c r="BY222" s="316">
        <v>13.47067966</v>
      </c>
      <c r="BZ222" s="316">
        <v>15.015137985000001</v>
      </c>
      <c r="CA222" s="316">
        <v>9.8163805380000007</v>
      </c>
      <c r="CB222" s="316">
        <v>15.291779931000001</v>
      </c>
      <c r="CC222" s="316">
        <v>18.609652870000001</v>
      </c>
      <c r="CD222" s="316">
        <v>11.053052539999999</v>
      </c>
      <c r="CE222" s="317">
        <v>11.973839774</v>
      </c>
      <c r="CF222" s="316">
        <v>8.460472008</v>
      </c>
      <c r="CG222" s="316">
        <v>10.756931573999999</v>
      </c>
      <c r="CH222" s="316">
        <v>15.969647987</v>
      </c>
      <c r="CI222" s="316">
        <v>9.6369806679999996</v>
      </c>
      <c r="CJ222" s="316">
        <v>7.5783808190000004</v>
      </c>
      <c r="CK222" s="316">
        <v>18.50854756</v>
      </c>
      <c r="CL222" s="316">
        <v>9.8280426120000008</v>
      </c>
      <c r="CM222" s="316">
        <v>10.716758257</v>
      </c>
      <c r="CN222" s="316">
        <v>16.706219817000001</v>
      </c>
      <c r="CO222" s="316">
        <v>15.358612858000001</v>
      </c>
      <c r="CP222" s="318">
        <v>7.0216506660000002</v>
      </c>
      <c r="CQ222" s="316">
        <v>16.388526584000001</v>
      </c>
      <c r="CR222" s="316">
        <v>13.251808939</v>
      </c>
      <c r="CS222" s="316">
        <v>14.393685036999999</v>
      </c>
      <c r="CT222" s="316">
        <v>18.078245930000001</v>
      </c>
      <c r="CU222" s="316">
        <v>13.379108058</v>
      </c>
      <c r="CV222" s="316">
        <v>24.687432243</v>
      </c>
      <c r="CW222" s="316">
        <v>23.120048399000002</v>
      </c>
      <c r="CX222" s="316">
        <v>11.707696149</v>
      </c>
      <c r="CY222" s="316">
        <v>20.064160621999999</v>
      </c>
      <c r="CZ222" s="316">
        <v>13.566068809000001</v>
      </c>
      <c r="DA222" s="316">
        <v>15.207758555</v>
      </c>
      <c r="DB222" s="1498">
        <v>6.012899032</v>
      </c>
      <c r="DC222" s="316">
        <v>15.315699127</v>
      </c>
      <c r="DD222" s="316">
        <v>19.601054483999999</v>
      </c>
      <c r="DE222" s="316">
        <v>12.228546647</v>
      </c>
      <c r="DF222" s="316">
        <v>23.176438959999999</v>
      </c>
      <c r="DG222" s="316">
        <v>11.650523166999999</v>
      </c>
      <c r="DH222" s="316">
        <v>17.726570696</v>
      </c>
      <c r="DI222" s="316">
        <v>19.911141094000001</v>
      </c>
      <c r="DJ222" s="316">
        <v>10.867269656</v>
      </c>
      <c r="DK222" s="316">
        <v>16.740908356999999</v>
      </c>
      <c r="DL222" s="316">
        <v>12.706009720999999</v>
      </c>
      <c r="DM222" s="316">
        <v>12.952371539</v>
      </c>
      <c r="DN222" s="318">
        <v>7.7448793619999998</v>
      </c>
      <c r="DO222" s="316">
        <v>19.603173823999999</v>
      </c>
      <c r="DP222" s="316">
        <v>23.254240544000002</v>
      </c>
      <c r="DQ222" s="316">
        <v>12.083861908999999</v>
      </c>
      <c r="DR222" s="316">
        <v>25.767375555000001</v>
      </c>
      <c r="DS222" s="316">
        <v>9.8346446059999995</v>
      </c>
      <c r="DT222" s="316">
        <v>8.6299415439999994</v>
      </c>
      <c r="DU222" s="316">
        <v>25.084539389</v>
      </c>
      <c r="DV222" s="316">
        <v>12.670331827</v>
      </c>
      <c r="DW222" s="316">
        <v>11.810988330000001</v>
      </c>
      <c r="DX222" s="316">
        <v>21.695334284000001</v>
      </c>
      <c r="DY222" s="316">
        <v>18.773221575000001</v>
      </c>
      <c r="DZ222" s="318">
        <v>29.944219717999999</v>
      </c>
      <c r="EA222" s="316">
        <v>29.944219717999999</v>
      </c>
      <c r="EB222" s="316">
        <v>16.777167303999999</v>
      </c>
      <c r="EC222" s="316">
        <v>20.330724265000001</v>
      </c>
      <c r="ED222" s="316">
        <v>15.904849377</v>
      </c>
      <c r="EE222" s="316">
        <v>17.680046376</v>
      </c>
      <c r="EF222" s="316">
        <v>17.112941378999999</v>
      </c>
      <c r="EG222" s="316">
        <v>15.585146095000001</v>
      </c>
      <c r="EH222" s="316">
        <v>13.420272141</v>
      </c>
      <c r="EI222" s="316">
        <v>18.415957964</v>
      </c>
      <c r="EJ222" s="316">
        <v>24.476168367</v>
      </c>
      <c r="EK222" s="316">
        <v>21.665859222000002</v>
      </c>
      <c r="EL222" s="1550">
        <v>4.9673091940000003</v>
      </c>
      <c r="EM222" s="1206">
        <v>28.141431067999999</v>
      </c>
      <c r="EN222" s="1206">
        <v>15.436150675</v>
      </c>
      <c r="EO222" s="1206">
        <v>16.633843982999998</v>
      </c>
      <c r="EP222" s="1206">
        <v>20.538649782</v>
      </c>
      <c r="EQ222" s="1206">
        <v>21.425074646999999</v>
      </c>
      <c r="ER222" s="1206">
        <v>16.093008045000001</v>
      </c>
      <c r="ES222" s="1206">
        <v>20.661565843000002</v>
      </c>
      <c r="ET222" s="1206">
        <v>13.080870481</v>
      </c>
      <c r="EU222" s="1206">
        <v>23.831020044999999</v>
      </c>
      <c r="EV222" s="1206">
        <v>19.384197674999999</v>
      </c>
      <c r="EW222" s="1206">
        <v>24.3705575</v>
      </c>
      <c r="EX222" s="1550">
        <v>10.255814616</v>
      </c>
      <c r="EY222" s="1206"/>
      <c r="EZ222" s="1206"/>
      <c r="FA222" s="1206"/>
      <c r="FB222" s="1206"/>
      <c r="FC222" s="1206"/>
      <c r="FD222" s="1206"/>
      <c r="FE222" s="1206"/>
      <c r="FF222" s="1206"/>
      <c r="FG222" s="1206"/>
      <c r="FH222" s="1206"/>
      <c r="FI222" s="1206"/>
      <c r="FJ222" s="1550"/>
      <c r="FK222" s="1206"/>
      <c r="FL222" s="1206"/>
      <c r="FM222" s="1206"/>
      <c r="FN222" s="1206"/>
      <c r="FO222" s="1206"/>
      <c r="FP222" s="1206"/>
      <c r="FQ222" s="316"/>
      <c r="FR222" s="316"/>
      <c r="FS222" s="316"/>
      <c r="FT222" s="316"/>
      <c r="FU222" s="316"/>
      <c r="FV222" s="316"/>
      <c r="FW222" s="316"/>
      <c r="FX222" s="316"/>
      <c r="FY222" s="316"/>
      <c r="FZ222" s="316"/>
      <c r="GA222" s="316"/>
      <c r="GB222" s="316"/>
      <c r="GC222" s="316"/>
      <c r="GD222" s="316"/>
      <c r="GE222" s="316"/>
      <c r="GF222" s="316"/>
      <c r="GG222" s="316"/>
      <c r="GH222" s="316"/>
      <c r="GI222" s="316"/>
      <c r="GJ222" s="316"/>
      <c r="GK222" s="316"/>
      <c r="GL222" s="316"/>
      <c r="GM222" s="316"/>
      <c r="GN222" s="316"/>
      <c r="GO222" s="316"/>
      <c r="GP222" s="316"/>
      <c r="GQ222" s="316"/>
      <c r="GR222" s="316"/>
      <c r="GS222" s="316"/>
      <c r="GT222" s="316"/>
      <c r="GU222" s="316"/>
      <c r="GV222" s="316"/>
      <c r="GW222" s="316"/>
      <c r="GX222" s="316"/>
      <c r="GY222" s="316"/>
      <c r="GZ222" s="316"/>
      <c r="HA222" s="316"/>
      <c r="HB222" s="316"/>
      <c r="HC222" s="316"/>
      <c r="HD222" s="316"/>
      <c r="HE222" s="316"/>
      <c r="HF222" s="316"/>
      <c r="HG222" s="316"/>
      <c r="HH222" s="316"/>
      <c r="HI222" s="316"/>
      <c r="HJ222" s="316"/>
      <c r="HK222" s="316"/>
      <c r="HL222" s="316"/>
      <c r="HM222" s="316"/>
      <c r="HV222" s="302">
        <f t="shared" si="41"/>
        <v>99.698833081000004</v>
      </c>
      <c r="HW222" s="302">
        <f t="shared" si="42"/>
        <v>80.922579729000006</v>
      </c>
      <c r="HX222" s="346">
        <f t="shared" si="43"/>
        <v>180.62141281000001</v>
      </c>
      <c r="HY222" s="302">
        <f t="shared" si="44"/>
        <v>99.173237982000003</v>
      </c>
      <c r="KH222" s="303"/>
    </row>
    <row r="223" spans="1:294" outlineLevel="1">
      <c r="B223" s="117" t="s">
        <v>361</v>
      </c>
      <c r="D223" s="338" t="s">
        <v>465</v>
      </c>
      <c r="E223" s="316"/>
      <c r="F223" s="316"/>
      <c r="G223" s="316"/>
      <c r="H223" s="316"/>
      <c r="I223" s="316"/>
      <c r="J223" s="316"/>
      <c r="K223" s="316"/>
      <c r="L223" s="316"/>
      <c r="M223" s="316"/>
      <c r="N223" s="316"/>
      <c r="O223" s="316"/>
      <c r="P223" s="316"/>
      <c r="Q223" s="316"/>
      <c r="R223" s="316"/>
      <c r="S223" s="316"/>
      <c r="T223" s="316"/>
      <c r="U223" s="316"/>
      <c r="V223" s="316"/>
      <c r="W223" s="316"/>
      <c r="X223" s="316"/>
      <c r="Y223" s="316"/>
      <c r="Z223" s="316"/>
      <c r="AA223" s="316"/>
      <c r="AB223" s="316"/>
      <c r="AC223" s="316"/>
      <c r="AD223" s="316"/>
      <c r="AE223" s="316"/>
      <c r="AF223" s="316"/>
      <c r="AG223" s="316"/>
      <c r="AH223" s="316"/>
      <c r="AI223" s="316"/>
      <c r="AJ223" s="316"/>
      <c r="AK223" s="316"/>
      <c r="AL223" s="316"/>
      <c r="AM223" s="316"/>
      <c r="AN223" s="316"/>
      <c r="AO223" s="316"/>
      <c r="AP223" s="316"/>
      <c r="AQ223" s="316"/>
      <c r="AR223" s="316"/>
      <c r="AS223" s="316"/>
      <c r="AT223" s="316"/>
      <c r="AU223" s="316"/>
      <c r="AV223" s="316"/>
      <c r="AW223" s="316"/>
      <c r="AX223" s="316"/>
      <c r="AY223" s="316"/>
      <c r="AZ223" s="316"/>
      <c r="BA223" s="316"/>
      <c r="BB223" s="316"/>
      <c r="BC223" s="316"/>
      <c r="BD223" s="316"/>
      <c r="BE223" s="316"/>
      <c r="BF223" s="316"/>
      <c r="BG223" s="316"/>
      <c r="BH223" s="316"/>
      <c r="BI223" s="316"/>
      <c r="BJ223" s="316"/>
      <c r="BK223" s="316"/>
      <c r="BL223" s="316"/>
      <c r="BM223" s="316"/>
      <c r="BN223" s="316"/>
      <c r="BO223" s="316"/>
      <c r="BP223" s="316"/>
      <c r="BQ223" s="316"/>
      <c r="BR223" s="316"/>
      <c r="BS223" s="316">
        <v>1.52128317</v>
      </c>
      <c r="BT223" s="316">
        <v>1.415431407</v>
      </c>
      <c r="BU223" s="316">
        <v>0.91367280699999998</v>
      </c>
      <c r="BV223" s="316">
        <v>1.3909890970000001</v>
      </c>
      <c r="BW223" s="316">
        <v>0.87510691699999998</v>
      </c>
      <c r="BX223" s="316">
        <v>0.44594154699999999</v>
      </c>
      <c r="BY223" s="316">
        <v>1.3301121250000001</v>
      </c>
      <c r="BZ223" s="316">
        <v>0.89124587300000002</v>
      </c>
      <c r="CA223" s="316">
        <v>0.93439076600000004</v>
      </c>
      <c r="CB223" s="316">
        <v>1.0890192030000001</v>
      </c>
      <c r="CC223" s="316">
        <v>2.4920448130000001</v>
      </c>
      <c r="CD223" s="316">
        <v>0.166942905</v>
      </c>
      <c r="CE223" s="317">
        <v>1.3016823289999999</v>
      </c>
      <c r="CF223" s="316">
        <v>1.247854402</v>
      </c>
      <c r="CG223" s="316">
        <v>1.8608826409999999</v>
      </c>
      <c r="CH223" s="316">
        <v>1.399141365</v>
      </c>
      <c r="CI223" s="316">
        <v>0.98476855200000002</v>
      </c>
      <c r="CJ223" s="316">
        <v>0.80950324200000001</v>
      </c>
      <c r="CK223" s="316">
        <v>1.617615142</v>
      </c>
      <c r="CL223" s="316">
        <v>0.93723900299999996</v>
      </c>
      <c r="CM223" s="316">
        <v>0.79194314200000004</v>
      </c>
      <c r="CN223" s="316">
        <v>1.6587439770000001</v>
      </c>
      <c r="CO223" s="316">
        <v>0.904222419</v>
      </c>
      <c r="CP223" s="318">
        <v>0.13500000000000001</v>
      </c>
      <c r="CQ223" s="316">
        <v>1.8780744140000001</v>
      </c>
      <c r="CR223" s="316">
        <v>1.3715944419999999</v>
      </c>
      <c r="CS223" s="316">
        <v>1.4458685449999999</v>
      </c>
      <c r="CT223" s="316">
        <v>1.599996121</v>
      </c>
      <c r="CU223" s="316">
        <v>1.636220561</v>
      </c>
      <c r="CV223" s="316">
        <v>1.400044104</v>
      </c>
      <c r="CW223" s="316">
        <v>1.54686506</v>
      </c>
      <c r="CX223" s="316">
        <v>1.4851369430000001</v>
      </c>
      <c r="CY223" s="316">
        <v>1.5561899619999999</v>
      </c>
      <c r="CZ223" s="316">
        <v>1.306972875</v>
      </c>
      <c r="DA223" s="316">
        <v>3.0039064639999999</v>
      </c>
      <c r="DB223" s="1498">
        <v>0.65531390199999995</v>
      </c>
      <c r="DC223" s="316"/>
      <c r="DD223" s="316"/>
      <c r="DE223" s="316"/>
      <c r="DF223" s="316"/>
      <c r="DG223" s="316"/>
      <c r="DH223" s="316"/>
      <c r="DI223" s="316"/>
      <c r="DJ223" s="316"/>
      <c r="DK223" s="316"/>
      <c r="DL223" s="316"/>
      <c r="DM223" s="316"/>
      <c r="DN223" s="318"/>
      <c r="DO223" s="316"/>
      <c r="DP223" s="316"/>
      <c r="DQ223" s="316"/>
      <c r="DR223" s="316"/>
      <c r="DS223" s="316"/>
      <c r="DT223" s="316"/>
      <c r="DU223" s="316"/>
      <c r="DV223" s="316"/>
      <c r="DW223" s="316"/>
      <c r="DX223" s="316"/>
      <c r="DY223" s="316"/>
      <c r="DZ223" s="318"/>
      <c r="EA223" s="316"/>
      <c r="EB223" s="316"/>
      <c r="EC223" s="316"/>
      <c r="ED223" s="316"/>
      <c r="EE223" s="316"/>
      <c r="EF223" s="316"/>
      <c r="EG223" s="316"/>
      <c r="EH223" s="316"/>
      <c r="EI223" s="316"/>
      <c r="EJ223" s="316"/>
      <c r="EK223" s="316"/>
      <c r="EL223" s="1550"/>
      <c r="EM223" s="1206"/>
      <c r="EN223" s="1206"/>
      <c r="EO223" s="1206"/>
      <c r="EP223" s="1206"/>
      <c r="EQ223" s="1206"/>
      <c r="ER223" s="1206"/>
      <c r="ES223" s="1206"/>
      <c r="ET223" s="1206"/>
      <c r="EU223" s="1206"/>
      <c r="EV223" s="1206"/>
      <c r="EW223" s="1206"/>
      <c r="EX223" s="1550"/>
      <c r="EY223" s="1206"/>
      <c r="EZ223" s="1206"/>
      <c r="FA223" s="1206"/>
      <c r="FB223" s="1206"/>
      <c r="FC223" s="1206"/>
      <c r="FD223" s="1206"/>
      <c r="FE223" s="1206"/>
      <c r="FF223" s="1206"/>
      <c r="FG223" s="1206"/>
      <c r="FH223" s="1206"/>
      <c r="FI223" s="1206"/>
      <c r="FJ223" s="1550"/>
      <c r="FK223" s="1206"/>
      <c r="FL223" s="1206"/>
      <c r="FM223" s="1206"/>
      <c r="FN223" s="1206"/>
      <c r="FO223" s="1206"/>
      <c r="FP223" s="1206"/>
      <c r="FQ223" s="316"/>
      <c r="FR223" s="316"/>
      <c r="FS223" s="316"/>
      <c r="FT223" s="316"/>
      <c r="FU223" s="316"/>
      <c r="FV223" s="316"/>
      <c r="FW223" s="316"/>
      <c r="FX223" s="316"/>
      <c r="FY223" s="316"/>
      <c r="FZ223" s="316"/>
      <c r="GA223" s="316"/>
      <c r="GB223" s="316"/>
      <c r="GC223" s="316"/>
      <c r="GD223" s="316"/>
      <c r="GE223" s="316"/>
      <c r="GF223" s="316"/>
      <c r="GG223" s="316"/>
      <c r="GH223" s="316"/>
      <c r="GI223" s="316"/>
      <c r="GJ223" s="316"/>
      <c r="GK223" s="316"/>
      <c r="GL223" s="316"/>
      <c r="GM223" s="316"/>
      <c r="GN223" s="316"/>
      <c r="GO223" s="316"/>
      <c r="GP223" s="316"/>
      <c r="GQ223" s="316"/>
      <c r="GR223" s="316"/>
      <c r="GS223" s="316"/>
      <c r="GT223" s="316"/>
      <c r="GU223" s="316"/>
      <c r="GV223" s="316"/>
      <c r="GW223" s="316"/>
      <c r="GX223" s="316"/>
      <c r="GY223" s="316"/>
      <c r="GZ223" s="316"/>
      <c r="HA223" s="316"/>
      <c r="HB223" s="316"/>
      <c r="HC223" s="316"/>
      <c r="HD223" s="316"/>
      <c r="HE223" s="316"/>
      <c r="HF223" s="316"/>
      <c r="HG223" s="316"/>
      <c r="HH223" s="316"/>
      <c r="HI223" s="316"/>
      <c r="HJ223" s="316"/>
      <c r="HK223" s="316"/>
      <c r="HL223" s="316"/>
      <c r="HM223" s="316"/>
      <c r="HV223" s="302">
        <f t="shared" si="41"/>
        <v>0</v>
      </c>
      <c r="HW223" s="302">
        <f t="shared" si="42"/>
        <v>0</v>
      </c>
      <c r="HX223" s="346">
        <f t="shared" si="43"/>
        <v>0</v>
      </c>
      <c r="HY223" s="302">
        <f t="shared" si="44"/>
        <v>0</v>
      </c>
      <c r="KH223" s="303"/>
    </row>
    <row r="224" spans="1:294" outlineLevel="1">
      <c r="B224" s="117" t="s">
        <v>361</v>
      </c>
      <c r="D224" s="338" t="s">
        <v>466</v>
      </c>
      <c r="E224" s="316"/>
      <c r="F224" s="316"/>
      <c r="G224" s="316"/>
      <c r="H224" s="316"/>
      <c r="I224" s="316"/>
      <c r="J224" s="316"/>
      <c r="K224" s="316"/>
      <c r="L224" s="316"/>
      <c r="M224" s="316"/>
      <c r="N224" s="316"/>
      <c r="O224" s="316"/>
      <c r="P224" s="316"/>
      <c r="Q224" s="316"/>
      <c r="R224" s="316"/>
      <c r="S224" s="316"/>
      <c r="T224" s="316"/>
      <c r="U224" s="316"/>
      <c r="V224" s="316"/>
      <c r="W224" s="316"/>
      <c r="X224" s="316"/>
      <c r="Y224" s="316"/>
      <c r="Z224" s="316"/>
      <c r="AA224" s="316"/>
      <c r="AB224" s="316"/>
      <c r="AC224" s="316"/>
      <c r="AD224" s="316"/>
      <c r="AE224" s="316"/>
      <c r="AF224" s="316"/>
      <c r="AG224" s="316"/>
      <c r="AH224" s="316"/>
      <c r="AI224" s="316"/>
      <c r="AJ224" s="316"/>
      <c r="AK224" s="316"/>
      <c r="AL224" s="316"/>
      <c r="AM224" s="316"/>
      <c r="AN224" s="316"/>
      <c r="AO224" s="316"/>
      <c r="AP224" s="316"/>
      <c r="AQ224" s="316"/>
      <c r="AR224" s="316"/>
      <c r="AS224" s="316"/>
      <c r="AT224" s="316"/>
      <c r="AU224" s="316"/>
      <c r="AV224" s="316"/>
      <c r="AW224" s="316"/>
      <c r="AX224" s="316"/>
      <c r="AY224" s="316"/>
      <c r="AZ224" s="316"/>
      <c r="BA224" s="316"/>
      <c r="BB224" s="316"/>
      <c r="BC224" s="316"/>
      <c r="BD224" s="316"/>
      <c r="BE224" s="316"/>
      <c r="BF224" s="316"/>
      <c r="BG224" s="316"/>
      <c r="BH224" s="316"/>
      <c r="BI224" s="316"/>
      <c r="BJ224" s="316"/>
      <c r="BK224" s="316"/>
      <c r="BL224" s="316"/>
      <c r="BM224" s="316"/>
      <c r="BN224" s="316"/>
      <c r="BO224" s="316"/>
      <c r="BP224" s="316"/>
      <c r="BQ224" s="316"/>
      <c r="BR224" s="316"/>
      <c r="BS224" s="316">
        <v>11.58212920225</v>
      </c>
      <c r="BT224" s="316">
        <v>7.9200033754300003</v>
      </c>
      <c r="BU224" s="316">
        <v>5.9015180310000002</v>
      </c>
      <c r="BV224" s="316">
        <v>16.052918440999999</v>
      </c>
      <c r="BW224" s="316">
        <v>9.2840441410000007</v>
      </c>
      <c r="BX224" s="316">
        <v>6.5254512990000002</v>
      </c>
      <c r="BY224" s="316">
        <v>12.140567535000001</v>
      </c>
      <c r="BZ224" s="316">
        <v>14.123892112</v>
      </c>
      <c r="CA224" s="316">
        <v>8.8819897720000007</v>
      </c>
      <c r="CB224" s="316">
        <v>14.202760727999999</v>
      </c>
      <c r="CC224" s="316">
        <v>16.117608057000002</v>
      </c>
      <c r="CD224" s="316">
        <v>10.886109635</v>
      </c>
      <c r="CE224" s="317">
        <v>10.672157445</v>
      </c>
      <c r="CF224" s="316">
        <v>7.2126176060000002</v>
      </c>
      <c r="CG224" s="316">
        <v>8.8960489329999994</v>
      </c>
      <c r="CH224" s="316">
        <v>14.570506622</v>
      </c>
      <c r="CI224" s="316">
        <v>8.6522121159999994</v>
      </c>
      <c r="CJ224" s="316">
        <v>6.7688775769999996</v>
      </c>
      <c r="CK224" s="316">
        <v>16.890932417999998</v>
      </c>
      <c r="CL224" s="316">
        <v>8.8908036090000007</v>
      </c>
      <c r="CM224" s="316">
        <v>9.9248151149999995</v>
      </c>
      <c r="CN224" s="316">
        <v>15.047475840000001</v>
      </c>
      <c r="CO224" s="316">
        <v>14.454390439000001</v>
      </c>
      <c r="CP224" s="318">
        <v>6.8866506660000004</v>
      </c>
      <c r="CQ224" s="316">
        <v>14.510452170000001</v>
      </c>
      <c r="CR224" s="316">
        <v>11.880214497000001</v>
      </c>
      <c r="CS224" s="316">
        <v>12.947816491999999</v>
      </c>
      <c r="CT224" s="316">
        <v>16.478249809000001</v>
      </c>
      <c r="CU224" s="316">
        <v>11.742887497</v>
      </c>
      <c r="CV224" s="316">
        <v>23.287388139000001</v>
      </c>
      <c r="CW224" s="316">
        <v>21.573183339</v>
      </c>
      <c r="CX224" s="316">
        <v>10.222559206</v>
      </c>
      <c r="CY224" s="316">
        <v>18.507970660000002</v>
      </c>
      <c r="CZ224" s="316">
        <v>12.259095933999999</v>
      </c>
      <c r="DA224" s="316">
        <v>12.203852091</v>
      </c>
      <c r="DB224" s="1498">
        <v>5.3575851300000004</v>
      </c>
      <c r="DC224" s="316"/>
      <c r="DD224" s="316"/>
      <c r="DE224" s="316"/>
      <c r="DF224" s="316"/>
      <c r="DG224" s="316"/>
      <c r="DH224" s="316"/>
      <c r="DI224" s="316"/>
      <c r="DJ224" s="316"/>
      <c r="DK224" s="316"/>
      <c r="DL224" s="316"/>
      <c r="DM224" s="316"/>
      <c r="DN224" s="318"/>
      <c r="DO224" s="316"/>
      <c r="DP224" s="316"/>
      <c r="DQ224" s="316"/>
      <c r="DR224" s="316"/>
      <c r="DS224" s="316"/>
      <c r="DT224" s="316"/>
      <c r="DU224" s="316"/>
      <c r="DV224" s="316"/>
      <c r="DW224" s="316"/>
      <c r="DX224" s="316"/>
      <c r="DY224" s="316"/>
      <c r="DZ224" s="318"/>
      <c r="EA224" s="316"/>
      <c r="EB224" s="316"/>
      <c r="EC224" s="316"/>
      <c r="ED224" s="316"/>
      <c r="EE224" s="316"/>
      <c r="EF224" s="316"/>
      <c r="EG224" s="316"/>
      <c r="EH224" s="316"/>
      <c r="EI224" s="316"/>
      <c r="EJ224" s="316"/>
      <c r="EK224" s="316"/>
      <c r="EL224" s="1550"/>
      <c r="EM224" s="1206"/>
      <c r="EN224" s="1206"/>
      <c r="EO224" s="1206"/>
      <c r="EP224" s="1206"/>
      <c r="EQ224" s="1206"/>
      <c r="ER224" s="1206"/>
      <c r="ES224" s="1206"/>
      <c r="ET224" s="1206"/>
      <c r="EU224" s="1206"/>
      <c r="EV224" s="1206"/>
      <c r="EW224" s="1206"/>
      <c r="EX224" s="1550"/>
      <c r="EY224" s="1206"/>
      <c r="EZ224" s="1206"/>
      <c r="FA224" s="1206"/>
      <c r="FB224" s="1206"/>
      <c r="FC224" s="1206"/>
      <c r="FD224" s="1206"/>
      <c r="FE224" s="1206"/>
      <c r="FF224" s="1206"/>
      <c r="FG224" s="1206"/>
      <c r="FH224" s="1206"/>
      <c r="FI224" s="1206"/>
      <c r="FJ224" s="1550"/>
      <c r="FK224" s="1206"/>
      <c r="FL224" s="1206"/>
      <c r="FM224" s="1206"/>
      <c r="FN224" s="1206"/>
      <c r="FO224" s="1206"/>
      <c r="FP224" s="1206"/>
      <c r="FQ224" s="316"/>
      <c r="FR224" s="316"/>
      <c r="FS224" s="316"/>
      <c r="FT224" s="316"/>
      <c r="FU224" s="316"/>
      <c r="FV224" s="316"/>
      <c r="FW224" s="316"/>
      <c r="FX224" s="316"/>
      <c r="FY224" s="316"/>
      <c r="FZ224" s="316"/>
      <c r="GA224" s="316"/>
      <c r="GB224" s="316"/>
      <c r="GC224" s="316"/>
      <c r="GD224" s="316"/>
      <c r="GE224" s="316"/>
      <c r="GF224" s="316"/>
      <c r="GG224" s="316"/>
      <c r="GH224" s="316"/>
      <c r="GI224" s="316"/>
      <c r="GJ224" s="316"/>
      <c r="GK224" s="316"/>
      <c r="GL224" s="316"/>
      <c r="GM224" s="316"/>
      <c r="GN224" s="316"/>
      <c r="GO224" s="316"/>
      <c r="GP224" s="316"/>
      <c r="GQ224" s="316"/>
      <c r="GR224" s="316"/>
      <c r="GS224" s="316"/>
      <c r="GT224" s="316"/>
      <c r="GU224" s="316"/>
      <c r="GV224" s="316"/>
      <c r="GW224" s="316"/>
      <c r="GX224" s="316"/>
      <c r="GY224" s="316"/>
      <c r="GZ224" s="316"/>
      <c r="HA224" s="316"/>
      <c r="HB224" s="316"/>
      <c r="HC224" s="316"/>
      <c r="HD224" s="316"/>
      <c r="HE224" s="316"/>
      <c r="HF224" s="316"/>
      <c r="HG224" s="316"/>
      <c r="HH224" s="316"/>
      <c r="HI224" s="316"/>
      <c r="HJ224" s="316"/>
      <c r="HK224" s="316"/>
      <c r="HL224" s="316"/>
      <c r="HM224" s="316"/>
      <c r="HV224" s="302">
        <f t="shared" si="41"/>
        <v>0</v>
      </c>
      <c r="HW224" s="302">
        <f t="shared" si="42"/>
        <v>0</v>
      </c>
      <c r="HX224" s="346">
        <f t="shared" si="43"/>
        <v>0</v>
      </c>
      <c r="HY224" s="302">
        <f t="shared" si="44"/>
        <v>0</v>
      </c>
      <c r="KH224" s="303"/>
    </row>
    <row r="225" spans="1:294" outlineLevel="1">
      <c r="B225" s="117" t="s">
        <v>361</v>
      </c>
      <c r="D225" s="337" t="s">
        <v>85</v>
      </c>
      <c r="E225" s="316"/>
      <c r="F225" s="316"/>
      <c r="G225" s="316"/>
      <c r="H225" s="316"/>
      <c r="I225" s="316"/>
      <c r="J225" s="316"/>
      <c r="K225" s="316"/>
      <c r="L225" s="316"/>
      <c r="M225" s="316"/>
      <c r="N225" s="316"/>
      <c r="O225" s="316"/>
      <c r="P225" s="316"/>
      <c r="Q225" s="316"/>
      <c r="R225" s="316"/>
      <c r="S225" s="316"/>
      <c r="T225" s="316"/>
      <c r="U225" s="316"/>
      <c r="V225" s="316"/>
      <c r="W225" s="316"/>
      <c r="X225" s="316"/>
      <c r="Y225" s="316"/>
      <c r="Z225" s="316"/>
      <c r="AA225" s="316"/>
      <c r="AB225" s="316"/>
      <c r="AC225" s="316"/>
      <c r="AD225" s="316"/>
      <c r="AE225" s="316"/>
      <c r="AF225" s="316"/>
      <c r="AG225" s="316"/>
      <c r="AH225" s="316"/>
      <c r="AI225" s="316"/>
      <c r="AJ225" s="316"/>
      <c r="AK225" s="316"/>
      <c r="AL225" s="316"/>
      <c r="AM225" s="316"/>
      <c r="AN225" s="316"/>
      <c r="AO225" s="316"/>
      <c r="AP225" s="316"/>
      <c r="AQ225" s="316"/>
      <c r="AR225" s="316"/>
      <c r="AS225" s="316"/>
      <c r="AT225" s="316"/>
      <c r="AU225" s="316"/>
      <c r="AV225" s="316"/>
      <c r="AW225" s="316"/>
      <c r="AX225" s="316"/>
      <c r="AY225" s="316"/>
      <c r="AZ225" s="316"/>
      <c r="BA225" s="316"/>
      <c r="BB225" s="316"/>
      <c r="BC225" s="316"/>
      <c r="BD225" s="316"/>
      <c r="BE225" s="316"/>
      <c r="BF225" s="316"/>
      <c r="BG225" s="316"/>
      <c r="BH225" s="316"/>
      <c r="BI225" s="316"/>
      <c r="BJ225" s="316"/>
      <c r="BK225" s="316"/>
      <c r="BL225" s="316"/>
      <c r="BM225" s="316"/>
      <c r="BN225" s="316"/>
      <c r="BO225" s="316"/>
      <c r="BP225" s="316"/>
      <c r="BQ225" s="316"/>
      <c r="BR225" s="316"/>
      <c r="BS225" s="316">
        <v>28.108112689999999</v>
      </c>
      <c r="BT225" s="316">
        <v>21.829118519000001</v>
      </c>
      <c r="BU225" s="316">
        <v>13.248228184</v>
      </c>
      <c r="BV225" s="316">
        <v>33.816107766000002</v>
      </c>
      <c r="BW225" s="316">
        <v>22.982548066</v>
      </c>
      <c r="BX225" s="316">
        <v>12.194446618000001</v>
      </c>
      <c r="BY225" s="316">
        <v>23.322773112</v>
      </c>
      <c r="BZ225" s="316">
        <v>23.478185815</v>
      </c>
      <c r="CA225" s="316">
        <v>12.794870319999999</v>
      </c>
      <c r="CB225" s="316">
        <v>35.783130337000003</v>
      </c>
      <c r="CC225" s="316">
        <v>19.252583978000001</v>
      </c>
      <c r="CD225" s="316">
        <v>7.857864578</v>
      </c>
      <c r="CE225" s="317">
        <v>31.192567466</v>
      </c>
      <c r="CF225" s="316">
        <v>28.036041021999999</v>
      </c>
      <c r="CG225" s="316">
        <v>19.255505343999999</v>
      </c>
      <c r="CH225" s="316">
        <v>41.869910961000002</v>
      </c>
      <c r="CI225" s="316">
        <v>18.912014732999999</v>
      </c>
      <c r="CJ225" s="316">
        <v>11.869387855999999</v>
      </c>
      <c r="CK225" s="316">
        <v>32.160711262</v>
      </c>
      <c r="CL225" s="316">
        <v>19.504065296</v>
      </c>
      <c r="CM225" s="316">
        <v>18.083639073000001</v>
      </c>
      <c r="CN225" s="316">
        <v>20.865577895000001</v>
      </c>
      <c r="CO225" s="316">
        <v>30.707759768999999</v>
      </c>
      <c r="CP225" s="318">
        <v>14.319031366999999</v>
      </c>
      <c r="CQ225" s="316">
        <v>34.06160981</v>
      </c>
      <c r="CR225" s="316">
        <v>22.177663803000002</v>
      </c>
      <c r="CS225" s="316">
        <v>20.930272569</v>
      </c>
      <c r="CT225" s="316">
        <v>30.547470727</v>
      </c>
      <c r="CU225" s="316">
        <v>17.438616502999999</v>
      </c>
      <c r="CV225" s="316">
        <v>15.206777966000001</v>
      </c>
      <c r="CW225" s="316">
        <v>26.679335974000001</v>
      </c>
      <c r="CX225" s="316">
        <v>15.634970797999999</v>
      </c>
      <c r="CY225" s="316">
        <v>18.597033776</v>
      </c>
      <c r="CZ225" s="316">
        <v>26.65231503</v>
      </c>
      <c r="DA225" s="316">
        <v>26.733774095000001</v>
      </c>
      <c r="DB225" s="1498">
        <v>10.103397703000001</v>
      </c>
      <c r="DC225" s="316">
        <v>25.718023719000001</v>
      </c>
      <c r="DD225" s="316">
        <v>16.165961749000001</v>
      </c>
      <c r="DE225" s="316">
        <v>15.307859504</v>
      </c>
      <c r="DF225" s="316">
        <v>34.763280277</v>
      </c>
      <c r="DG225" s="316">
        <v>23.837612493999998</v>
      </c>
      <c r="DH225" s="316">
        <v>23.542947236</v>
      </c>
      <c r="DI225" s="316">
        <v>26.392081162</v>
      </c>
      <c r="DJ225" s="316">
        <v>15.882600845000001</v>
      </c>
      <c r="DK225" s="316">
        <v>17.849957912000001</v>
      </c>
      <c r="DL225" s="316">
        <v>30.886333393000001</v>
      </c>
      <c r="DM225" s="316">
        <v>16.17055156</v>
      </c>
      <c r="DN225" s="318">
        <v>11.200376692000001</v>
      </c>
      <c r="DO225" s="316">
        <v>22.578083913</v>
      </c>
      <c r="DP225" s="316">
        <v>25.587696403999999</v>
      </c>
      <c r="DQ225" s="316">
        <v>21.150487600000002</v>
      </c>
      <c r="DR225" s="316">
        <v>36.414638408999998</v>
      </c>
      <c r="DS225" s="316">
        <v>22.331639522</v>
      </c>
      <c r="DT225" s="316">
        <v>17.565738026999998</v>
      </c>
      <c r="DU225" s="316">
        <v>39.206336948999997</v>
      </c>
      <c r="DV225" s="316">
        <v>20.67511287</v>
      </c>
      <c r="DW225" s="316">
        <v>12.769029507999999</v>
      </c>
      <c r="DX225" s="316">
        <v>45.253026210999998</v>
      </c>
      <c r="DY225" s="316">
        <v>21.505546471999999</v>
      </c>
      <c r="DZ225" s="318">
        <v>27.978200163</v>
      </c>
      <c r="EA225" s="316">
        <v>27.978200163</v>
      </c>
      <c r="EB225" s="316">
        <v>29.141433498000001</v>
      </c>
      <c r="EC225" s="316">
        <v>26.260948547999998</v>
      </c>
      <c r="ED225" s="316">
        <v>28.120349814000001</v>
      </c>
      <c r="EE225" s="316">
        <v>30.261083850999999</v>
      </c>
      <c r="EF225" s="316">
        <v>27.391822125000001</v>
      </c>
      <c r="EG225" s="316">
        <v>22.794279230000001</v>
      </c>
      <c r="EH225" s="316">
        <v>29.902798384</v>
      </c>
      <c r="EI225" s="316">
        <v>29.244449166999999</v>
      </c>
      <c r="EJ225" s="316">
        <v>21.354180243999998</v>
      </c>
      <c r="EK225" s="316">
        <v>32.483761174999998</v>
      </c>
      <c r="EL225" s="1550">
        <v>24.381465667000001</v>
      </c>
      <c r="EM225" s="1206">
        <v>17.915629078999999</v>
      </c>
      <c r="EN225" s="1206">
        <v>32.550917914000003</v>
      </c>
      <c r="EO225" s="1206">
        <v>26.649629336</v>
      </c>
      <c r="EP225" s="1206">
        <v>39.099893715</v>
      </c>
      <c r="EQ225" s="1206">
        <v>45.470855860999997</v>
      </c>
      <c r="ER225" s="1206">
        <v>26.581601663000001</v>
      </c>
      <c r="ES225" s="1206">
        <v>18.516460883000001</v>
      </c>
      <c r="ET225" s="1206">
        <v>18.951537310999999</v>
      </c>
      <c r="EU225" s="1206">
        <v>26.290257534999999</v>
      </c>
      <c r="EV225" s="1206">
        <v>30.427009459000001</v>
      </c>
      <c r="EW225" s="1206">
        <v>16.766017014999999</v>
      </c>
      <c r="EX225" s="1550">
        <v>19.043325953</v>
      </c>
      <c r="EY225" s="1206"/>
      <c r="EZ225" s="1206"/>
      <c r="FA225" s="1206"/>
      <c r="FB225" s="1206"/>
      <c r="FC225" s="1206"/>
      <c r="FD225" s="1206"/>
      <c r="FE225" s="1206"/>
      <c r="FF225" s="1206"/>
      <c r="FG225" s="1206"/>
      <c r="FH225" s="1206"/>
      <c r="FI225" s="1206"/>
      <c r="FJ225" s="1550"/>
      <c r="FK225" s="1206"/>
      <c r="FL225" s="1206"/>
      <c r="FM225" s="1206"/>
      <c r="FN225" s="1206"/>
      <c r="FO225" s="1206"/>
      <c r="FP225" s="1206"/>
      <c r="FQ225" s="316"/>
      <c r="FR225" s="316"/>
      <c r="FS225" s="316"/>
      <c r="FT225" s="316"/>
      <c r="FU225" s="316"/>
      <c r="FV225" s="316"/>
      <c r="FW225" s="316"/>
      <c r="FX225" s="316"/>
      <c r="FY225" s="316"/>
      <c r="FZ225" s="316"/>
      <c r="GA225" s="316"/>
      <c r="GB225" s="316"/>
      <c r="GC225" s="316"/>
      <c r="GD225" s="316"/>
      <c r="GE225" s="316"/>
      <c r="GF225" s="316"/>
      <c r="GG225" s="316"/>
      <c r="GH225" s="316"/>
      <c r="GI225" s="316"/>
      <c r="GJ225" s="316"/>
      <c r="GK225" s="316"/>
      <c r="GL225" s="316"/>
      <c r="GM225" s="316"/>
      <c r="GN225" s="316"/>
      <c r="GO225" s="316"/>
      <c r="GP225" s="316"/>
      <c r="GQ225" s="316"/>
      <c r="GR225" s="316"/>
      <c r="GS225" s="316"/>
      <c r="GT225" s="316"/>
      <c r="GU225" s="316"/>
      <c r="GV225" s="316"/>
      <c r="GW225" s="316"/>
      <c r="GX225" s="316"/>
      <c r="GY225" s="316"/>
      <c r="GZ225" s="316"/>
      <c r="HA225" s="316"/>
      <c r="HB225" s="316"/>
      <c r="HC225" s="316"/>
      <c r="HD225" s="316"/>
      <c r="HE225" s="316"/>
      <c r="HF225" s="316"/>
      <c r="HG225" s="316"/>
      <c r="HH225" s="316"/>
      <c r="HI225" s="316"/>
      <c r="HJ225" s="316"/>
      <c r="HK225" s="316"/>
      <c r="HL225" s="316"/>
      <c r="HM225" s="316"/>
      <c r="HV225" s="302">
        <f t="shared" si="41"/>
        <v>139.33568497900001</v>
      </c>
      <c r="HW225" s="302">
        <f t="shared" si="42"/>
        <v>118.38190156400002</v>
      </c>
      <c r="HX225" s="346">
        <f t="shared" si="43"/>
        <v>257.71758654300004</v>
      </c>
      <c r="HY225" s="302">
        <f t="shared" si="44"/>
        <v>145.62828387499999</v>
      </c>
      <c r="KH225" s="303"/>
    </row>
    <row r="226" spans="1:294" outlineLevel="1">
      <c r="B226" s="117" t="s">
        <v>361</v>
      </c>
      <c r="D226" s="337" t="s">
        <v>468</v>
      </c>
      <c r="E226" s="316"/>
      <c r="F226" s="316"/>
      <c r="G226" s="316"/>
      <c r="H226" s="316"/>
      <c r="I226" s="316"/>
      <c r="J226" s="316"/>
      <c r="K226" s="316"/>
      <c r="L226" s="316"/>
      <c r="M226" s="316"/>
      <c r="N226" s="316"/>
      <c r="O226" s="316"/>
      <c r="P226" s="316"/>
      <c r="Q226" s="316"/>
      <c r="R226" s="316"/>
      <c r="S226" s="316"/>
      <c r="T226" s="316"/>
      <c r="U226" s="316"/>
      <c r="V226" s="316"/>
      <c r="W226" s="316"/>
      <c r="X226" s="316"/>
      <c r="Y226" s="316"/>
      <c r="Z226" s="316"/>
      <c r="AA226" s="316"/>
      <c r="AB226" s="316"/>
      <c r="AC226" s="316"/>
      <c r="AD226" s="316"/>
      <c r="AE226" s="316"/>
      <c r="AF226" s="316"/>
      <c r="AG226" s="316"/>
      <c r="AH226" s="316"/>
      <c r="AI226" s="316"/>
      <c r="AJ226" s="316"/>
      <c r="AK226" s="316"/>
      <c r="AL226" s="316"/>
      <c r="AM226" s="316"/>
      <c r="AN226" s="316"/>
      <c r="AO226" s="316"/>
      <c r="AP226" s="316"/>
      <c r="AQ226" s="316"/>
      <c r="AR226" s="316"/>
      <c r="AS226" s="316"/>
      <c r="AT226" s="316"/>
      <c r="AU226" s="316"/>
      <c r="AV226" s="316"/>
      <c r="AW226" s="316"/>
      <c r="AX226" s="316"/>
      <c r="AY226" s="316"/>
      <c r="AZ226" s="316"/>
      <c r="BA226" s="316"/>
      <c r="BB226" s="316"/>
      <c r="BC226" s="316"/>
      <c r="BD226" s="316"/>
      <c r="BE226" s="316"/>
      <c r="BF226" s="316"/>
      <c r="BG226" s="316"/>
      <c r="BH226" s="316"/>
      <c r="BI226" s="316"/>
      <c r="BJ226" s="316"/>
      <c r="BK226" s="316"/>
      <c r="BL226" s="316"/>
      <c r="BM226" s="316"/>
      <c r="BN226" s="316"/>
      <c r="BO226" s="316"/>
      <c r="BP226" s="316"/>
      <c r="BQ226" s="316"/>
      <c r="BR226" s="316"/>
      <c r="BS226" s="316">
        <v>4.5234391010000001</v>
      </c>
      <c r="BT226" s="316">
        <v>7.8403370309999998</v>
      </c>
      <c r="BU226" s="316">
        <v>5.3986782460000002</v>
      </c>
      <c r="BV226" s="316">
        <v>8.6363335610000007</v>
      </c>
      <c r="BW226" s="316">
        <v>4.9076517710000003</v>
      </c>
      <c r="BX226" s="316">
        <v>5.7710280459999996</v>
      </c>
      <c r="BY226" s="316">
        <v>9.7754765859999999</v>
      </c>
      <c r="BZ226" s="316">
        <v>6.4653720200000002</v>
      </c>
      <c r="CA226" s="316">
        <v>4.8472462360000002</v>
      </c>
      <c r="CB226" s="316">
        <v>9.7985406420000007</v>
      </c>
      <c r="CC226" s="316">
        <v>10.398180063</v>
      </c>
      <c r="CD226" s="316">
        <v>2.0217900750000002</v>
      </c>
      <c r="CE226" s="317">
        <v>4.1218678119999996</v>
      </c>
      <c r="CF226" s="316">
        <v>3.0527925360000001</v>
      </c>
      <c r="CG226" s="316">
        <v>4.3797581149999996</v>
      </c>
      <c r="CH226" s="316">
        <v>8.201250924</v>
      </c>
      <c r="CI226" s="316">
        <v>4.6632914940000001</v>
      </c>
      <c r="CJ226" s="316">
        <v>9.5954992279999995</v>
      </c>
      <c r="CK226" s="316">
        <v>19.788627708</v>
      </c>
      <c r="CL226" s="316">
        <v>9.3291781070000006</v>
      </c>
      <c r="CM226" s="316">
        <v>3.9728699330000001</v>
      </c>
      <c r="CN226" s="316">
        <v>36.040940083999999</v>
      </c>
      <c r="CO226" s="316">
        <v>10.388191089999999</v>
      </c>
      <c r="CP226" s="318">
        <v>5.5742181420000003</v>
      </c>
      <c r="CQ226" s="316">
        <v>8.1239777909999997</v>
      </c>
      <c r="CR226" s="316">
        <v>8.1626322439999992</v>
      </c>
      <c r="CS226" s="316">
        <v>17.633937930999998</v>
      </c>
      <c r="CT226" s="316">
        <v>4.3200615000000004</v>
      </c>
      <c r="CU226" s="316">
        <v>13.312885845</v>
      </c>
      <c r="CV226" s="316">
        <v>10.796285337</v>
      </c>
      <c r="CW226" s="316">
        <v>6.00273915</v>
      </c>
      <c r="CX226" s="316">
        <v>16.521865980000001</v>
      </c>
      <c r="CY226" s="316">
        <v>26.299949222999999</v>
      </c>
      <c r="CZ226" s="316">
        <v>28.379187033000001</v>
      </c>
      <c r="DA226" s="316">
        <v>18.037174863000001</v>
      </c>
      <c r="DB226" s="1498">
        <v>3.872886458</v>
      </c>
      <c r="DC226" s="316">
        <v>20.031666439999999</v>
      </c>
      <c r="DD226" s="316">
        <v>5.7584803429999996</v>
      </c>
      <c r="DE226" s="316">
        <v>15.547034236</v>
      </c>
      <c r="DF226" s="316">
        <v>21.488628047999999</v>
      </c>
      <c r="DG226" s="316">
        <v>9.0915347840000003</v>
      </c>
      <c r="DH226" s="316">
        <v>5.0807362579999999</v>
      </c>
      <c r="DI226" s="316">
        <v>19.827556969</v>
      </c>
      <c r="DJ226" s="316">
        <v>5.5587548150000003</v>
      </c>
      <c r="DK226" s="316">
        <v>9.5034078379999993</v>
      </c>
      <c r="DL226" s="316">
        <v>8.7389496310000006</v>
      </c>
      <c r="DM226" s="316">
        <v>11.420979965000001</v>
      </c>
      <c r="DN226" s="318">
        <v>6.4142006580000004</v>
      </c>
      <c r="DO226" s="316">
        <v>17.830386839999999</v>
      </c>
      <c r="DP226" s="316">
        <v>24.458453924000001</v>
      </c>
      <c r="DQ226" s="316">
        <v>8.9936596830000006</v>
      </c>
      <c r="DR226" s="316">
        <v>18.029543111999999</v>
      </c>
      <c r="DS226" s="316">
        <v>13.747938799</v>
      </c>
      <c r="DT226" s="316">
        <v>20.318674549000001</v>
      </c>
      <c r="DU226" s="316">
        <v>15.032641369</v>
      </c>
      <c r="DV226" s="316">
        <v>8.3836660419999998</v>
      </c>
      <c r="DW226" s="316">
        <v>5.2430148010000002</v>
      </c>
      <c r="DX226" s="316">
        <v>15.108378704</v>
      </c>
      <c r="DY226" s="316">
        <v>11.246329053</v>
      </c>
      <c r="DZ226" s="318">
        <v>25.872880681000002</v>
      </c>
      <c r="EA226" s="316">
        <v>25.872880681000002</v>
      </c>
      <c r="EB226" s="316">
        <v>12.845961409999999</v>
      </c>
      <c r="EC226" s="316">
        <v>15.981307165</v>
      </c>
      <c r="ED226" s="316">
        <v>32.649109463999999</v>
      </c>
      <c r="EE226" s="316">
        <v>10.668168140000001</v>
      </c>
      <c r="EF226" s="316">
        <v>7.4420272409999999</v>
      </c>
      <c r="EG226" s="316">
        <v>29.429129078999999</v>
      </c>
      <c r="EH226" s="316">
        <v>7.6272627249999996</v>
      </c>
      <c r="EI226" s="316">
        <v>11.585520362</v>
      </c>
      <c r="EJ226" s="316">
        <v>14.866800035000001</v>
      </c>
      <c r="EK226" s="316">
        <v>8.9920118129999995</v>
      </c>
      <c r="EL226" s="1550">
        <v>3.87894439</v>
      </c>
      <c r="EM226" s="1206">
        <v>5.6727965129999998</v>
      </c>
      <c r="EN226" s="1206">
        <v>33.740439352000003</v>
      </c>
      <c r="EO226" s="1206">
        <v>13.793889009999999</v>
      </c>
      <c r="EP226" s="1206">
        <v>25.71266228</v>
      </c>
      <c r="EQ226" s="1206">
        <v>16.995882278</v>
      </c>
      <c r="ER226" s="1206">
        <v>16.060366010999999</v>
      </c>
      <c r="ES226" s="1206">
        <v>11.724667692000001</v>
      </c>
      <c r="ET226" s="1206">
        <v>5.7211090220000003</v>
      </c>
      <c r="EU226" s="1206">
        <v>27.812311814000001</v>
      </c>
      <c r="EV226" s="1206">
        <v>38.221013028000002</v>
      </c>
      <c r="EW226" s="1206">
        <v>20.611869896999998</v>
      </c>
      <c r="EX226" s="1550">
        <v>21.638142078000001</v>
      </c>
      <c r="EY226" s="1206"/>
      <c r="EZ226" s="1206"/>
      <c r="FA226" s="1206"/>
      <c r="FB226" s="1206"/>
      <c r="FC226" s="1206"/>
      <c r="FD226" s="1206"/>
      <c r="FE226" s="1206"/>
      <c r="FF226" s="1206"/>
      <c r="FG226" s="1206"/>
      <c r="FH226" s="1206"/>
      <c r="FI226" s="1206"/>
      <c r="FJ226" s="1550"/>
      <c r="FK226" s="1206"/>
      <c r="FL226" s="1206"/>
      <c r="FM226" s="1206"/>
      <c r="FN226" s="1206"/>
      <c r="FO226" s="1206"/>
      <c r="FP226" s="1206"/>
      <c r="FQ226" s="316"/>
      <c r="FR226" s="316"/>
      <c r="FS226" s="316"/>
      <c r="FT226" s="316"/>
      <c r="FU226" s="316"/>
      <c r="FV226" s="316"/>
      <c r="FW226" s="316"/>
      <c r="FX226" s="316"/>
      <c r="FY226" s="316"/>
      <c r="FZ226" s="316"/>
      <c r="GA226" s="316"/>
      <c r="GB226" s="316"/>
      <c r="GC226" s="316"/>
      <c r="GD226" s="316"/>
      <c r="GE226" s="316"/>
      <c r="GF226" s="316"/>
      <c r="GG226" s="316"/>
      <c r="GH226" s="316"/>
      <c r="GI226" s="316"/>
      <c r="GJ226" s="316"/>
      <c r="GK226" s="316"/>
      <c r="GL226" s="316"/>
      <c r="GM226" s="316"/>
      <c r="GN226" s="316"/>
      <c r="GO226" s="316"/>
      <c r="GP226" s="316"/>
      <c r="GQ226" s="316"/>
      <c r="GR226" s="316"/>
      <c r="GS226" s="316"/>
      <c r="GT226" s="316"/>
      <c r="GU226" s="316"/>
      <c r="GV226" s="316"/>
      <c r="GW226" s="316"/>
      <c r="GX226" s="316"/>
      <c r="GY226" s="316"/>
      <c r="GZ226" s="316"/>
      <c r="HA226" s="316"/>
      <c r="HB226" s="316"/>
      <c r="HC226" s="316"/>
      <c r="HD226" s="316"/>
      <c r="HE226" s="316"/>
      <c r="HF226" s="316"/>
      <c r="HG226" s="316"/>
      <c r="HH226" s="316"/>
      <c r="HI226" s="316"/>
      <c r="HJ226" s="316"/>
      <c r="HK226" s="316"/>
      <c r="HL226" s="316"/>
      <c r="HM226" s="316"/>
      <c r="HV226" s="302">
        <f t="shared" si="41"/>
        <v>76.998080109</v>
      </c>
      <c r="HW226" s="302">
        <f t="shared" si="42"/>
        <v>61.463849875999998</v>
      </c>
      <c r="HX226" s="346">
        <f t="shared" si="43"/>
        <v>138.46192998499998</v>
      </c>
      <c r="HY226" s="302">
        <f t="shared" si="44"/>
        <v>103.37865690699999</v>
      </c>
      <c r="KH226" s="303"/>
    </row>
    <row r="227" spans="1:294" outlineLevel="1">
      <c r="B227" s="117" t="s">
        <v>361</v>
      </c>
      <c r="D227" s="838" t="s">
        <v>975</v>
      </c>
      <c r="E227" s="316"/>
      <c r="F227" s="316"/>
      <c r="G227" s="316"/>
      <c r="H227" s="316"/>
      <c r="I227" s="316"/>
      <c r="J227" s="316"/>
      <c r="K227" s="316"/>
      <c r="L227" s="316"/>
      <c r="M227" s="316"/>
      <c r="N227" s="316"/>
      <c r="O227" s="316"/>
      <c r="P227" s="316"/>
      <c r="Q227" s="316"/>
      <c r="R227" s="316"/>
      <c r="S227" s="316"/>
      <c r="T227" s="316"/>
      <c r="U227" s="316"/>
      <c r="V227" s="316"/>
      <c r="W227" s="316"/>
      <c r="X227" s="316"/>
      <c r="Y227" s="316"/>
      <c r="Z227" s="316"/>
      <c r="AA227" s="316"/>
      <c r="AB227" s="316"/>
      <c r="AC227" s="316"/>
      <c r="AD227" s="316"/>
      <c r="AE227" s="316"/>
      <c r="AF227" s="316"/>
      <c r="AG227" s="316"/>
      <c r="AH227" s="316"/>
      <c r="AI227" s="316"/>
      <c r="AJ227" s="316"/>
      <c r="AK227" s="316"/>
      <c r="AL227" s="316"/>
      <c r="AM227" s="316"/>
      <c r="AN227" s="316"/>
      <c r="AO227" s="316"/>
      <c r="AP227" s="316"/>
      <c r="AQ227" s="316"/>
      <c r="AR227" s="316"/>
      <c r="AS227" s="316"/>
      <c r="AT227" s="316"/>
      <c r="AU227" s="316"/>
      <c r="AV227" s="316"/>
      <c r="AW227" s="316"/>
      <c r="AX227" s="316"/>
      <c r="AY227" s="316"/>
      <c r="AZ227" s="316"/>
      <c r="BA227" s="316"/>
      <c r="BB227" s="316"/>
      <c r="BC227" s="316"/>
      <c r="BD227" s="316"/>
      <c r="BE227" s="316"/>
      <c r="BF227" s="316"/>
      <c r="BG227" s="316"/>
      <c r="BH227" s="316"/>
      <c r="BI227" s="316"/>
      <c r="BJ227" s="316"/>
      <c r="BK227" s="316"/>
      <c r="BL227" s="316"/>
      <c r="BM227" s="316"/>
      <c r="BN227" s="316"/>
      <c r="BO227" s="316"/>
      <c r="BP227" s="316"/>
      <c r="BQ227" s="316"/>
      <c r="BR227" s="316"/>
      <c r="BS227" s="316">
        <v>4.078584545</v>
      </c>
      <c r="BT227" s="316">
        <v>0.35575366400000002</v>
      </c>
      <c r="BU227" s="316">
        <v>2.0323074999999999</v>
      </c>
      <c r="BV227" s="316">
        <v>4.5972335040000001</v>
      </c>
      <c r="BW227" s="316">
        <v>2.9477860690000002</v>
      </c>
      <c r="BX227" s="316">
        <v>0.49817592700000002</v>
      </c>
      <c r="BY227" s="316">
        <v>4.1115559690000003</v>
      </c>
      <c r="BZ227" s="316">
        <v>3.1786107289999999</v>
      </c>
      <c r="CA227" s="316">
        <v>1.199526503</v>
      </c>
      <c r="CB227" s="316">
        <v>2.77495387</v>
      </c>
      <c r="CC227" s="316">
        <v>108.363833485</v>
      </c>
      <c r="CD227" s="316">
        <v>8.1158711050000001</v>
      </c>
      <c r="CE227" s="317">
        <v>2.390504993</v>
      </c>
      <c r="CF227" s="316">
        <v>21.606221523999999</v>
      </c>
      <c r="CG227" s="316">
        <v>4.6446851389999999</v>
      </c>
      <c r="CH227" s="316">
        <v>3.6924955100000001</v>
      </c>
      <c r="CI227" s="316">
        <v>4</v>
      </c>
      <c r="CJ227" s="316">
        <v>2.8368251789999999</v>
      </c>
      <c r="CK227" s="316">
        <v>9.6416975600000008</v>
      </c>
      <c r="CL227" s="316">
        <v>2.8833706860000001</v>
      </c>
      <c r="CM227" s="316">
        <v>13.888100193</v>
      </c>
      <c r="CN227" s="316">
        <v>1.3420353789999999</v>
      </c>
      <c r="CO227" s="316">
        <v>3.085795101</v>
      </c>
      <c r="CP227" s="318">
        <v>15.697588456</v>
      </c>
      <c r="CQ227" s="316">
        <v>3.3838203980000001</v>
      </c>
      <c r="CR227" s="316">
        <v>5.8877582220000004</v>
      </c>
      <c r="CS227" s="316">
        <v>7.1350750520000004</v>
      </c>
      <c r="CT227" s="316">
        <v>2.87493949</v>
      </c>
      <c r="CU227" s="316">
        <v>4.2249999999999996</v>
      </c>
      <c r="CV227" s="316">
        <v>3.3</v>
      </c>
      <c r="CW227" s="316">
        <v>3.7043971180000002</v>
      </c>
      <c r="CX227" s="316">
        <v>6.7442315449999999</v>
      </c>
      <c r="CY227" s="316">
        <v>6.7</v>
      </c>
      <c r="CZ227" s="316">
        <v>0.412073786</v>
      </c>
      <c r="DA227" s="316">
        <v>3.4</v>
      </c>
      <c r="DB227" s="1498">
        <v>28.990791000000002</v>
      </c>
      <c r="DC227" s="316">
        <v>5.3</v>
      </c>
      <c r="DD227" s="316">
        <v>13.347593832999999</v>
      </c>
      <c r="DE227" s="316">
        <v>9.6235096430000002</v>
      </c>
      <c r="DF227" s="316">
        <v>3.5366866149999998</v>
      </c>
      <c r="DG227" s="316">
        <v>4.3726213439999997</v>
      </c>
      <c r="DH227" s="316">
        <v>4</v>
      </c>
      <c r="DI227" s="316">
        <v>21.152643471000001</v>
      </c>
      <c r="DJ227" s="316">
        <v>11.237692828</v>
      </c>
      <c r="DK227" s="316">
        <v>2.875</v>
      </c>
      <c r="DL227" s="316">
        <v>3.2648615439999999</v>
      </c>
      <c r="DM227" s="316">
        <v>2.875</v>
      </c>
      <c r="DN227" s="318">
        <v>8.3103340330000002</v>
      </c>
      <c r="DO227" s="316">
        <v>5.3</v>
      </c>
      <c r="DP227" s="316">
        <v>6.3</v>
      </c>
      <c r="DQ227" s="316">
        <v>7.3</v>
      </c>
      <c r="DR227" s="316">
        <v>8.3000000000000007</v>
      </c>
      <c r="DS227" s="316">
        <v>9.3000000000000007</v>
      </c>
      <c r="DT227" s="316">
        <v>10.3</v>
      </c>
      <c r="DU227" s="316">
        <v>11.3</v>
      </c>
      <c r="DV227" s="316">
        <v>12.3</v>
      </c>
      <c r="DW227" s="316">
        <v>13.3</v>
      </c>
      <c r="DX227" s="316">
        <v>14.3</v>
      </c>
      <c r="DY227" s="316">
        <v>15.3</v>
      </c>
      <c r="DZ227" s="318">
        <v>16.3</v>
      </c>
      <c r="EA227" s="316">
        <v>17.3</v>
      </c>
      <c r="EB227" s="316">
        <v>18.3</v>
      </c>
      <c r="EC227" s="316">
        <v>19.3</v>
      </c>
      <c r="ED227" s="316">
        <v>20.3</v>
      </c>
      <c r="EE227" s="316">
        <v>21.3</v>
      </c>
      <c r="EF227" s="316">
        <v>22.3</v>
      </c>
      <c r="EG227" s="316">
        <v>23.3</v>
      </c>
      <c r="EH227" s="316">
        <v>24.3</v>
      </c>
      <c r="EI227" s="316">
        <v>25.3</v>
      </c>
      <c r="EJ227" s="316">
        <v>26.3</v>
      </c>
      <c r="EK227" s="316">
        <v>27.3</v>
      </c>
      <c r="EL227" s="1550">
        <v>28.3</v>
      </c>
      <c r="EM227" s="1206">
        <v>29.3</v>
      </c>
      <c r="EN227" s="1206">
        <v>30.3</v>
      </c>
      <c r="EO227" s="1206">
        <v>31.3</v>
      </c>
      <c r="EP227" s="1206">
        <v>32.299999999999997</v>
      </c>
      <c r="EQ227" s="1206">
        <v>33.299999999999997</v>
      </c>
      <c r="ER227" s="1206">
        <v>34.299999999999997</v>
      </c>
      <c r="ES227" s="1206">
        <v>35.299999999999997</v>
      </c>
      <c r="ET227" s="1206">
        <v>36.299999999999997</v>
      </c>
      <c r="EU227" s="1206">
        <v>37.299999999999997</v>
      </c>
      <c r="EV227" s="1206">
        <v>38.299999999999997</v>
      </c>
      <c r="EW227" s="1206">
        <v>39.299999999999997</v>
      </c>
      <c r="EX227" s="1550">
        <v>40.299999999999997</v>
      </c>
      <c r="EY227" s="1206"/>
      <c r="EZ227" s="1206"/>
      <c r="FA227" s="1206"/>
      <c r="FB227" s="1206"/>
      <c r="FC227" s="1206"/>
      <c r="FD227" s="1206"/>
      <c r="FE227" s="1206"/>
      <c r="FF227" s="1206"/>
      <c r="FG227" s="1206"/>
      <c r="FH227" s="1206"/>
      <c r="FI227" s="1206"/>
      <c r="FJ227" s="1550"/>
      <c r="FK227" s="1206"/>
      <c r="FL227" s="1206"/>
      <c r="FM227" s="1206"/>
      <c r="FN227" s="1206"/>
      <c r="FO227" s="1206"/>
      <c r="FP227" s="1206"/>
      <c r="FQ227" s="316"/>
      <c r="FR227" s="316"/>
      <c r="FS227" s="316"/>
      <c r="FT227" s="316"/>
      <c r="FU227" s="316"/>
      <c r="FV227" s="316"/>
      <c r="FW227" s="316"/>
      <c r="FX227" s="316"/>
      <c r="FY227" s="316"/>
      <c r="FZ227" s="316"/>
      <c r="GA227" s="316"/>
      <c r="GB227" s="316"/>
      <c r="GC227" s="316"/>
      <c r="GD227" s="316"/>
      <c r="GE227" s="316"/>
      <c r="GF227" s="316"/>
      <c r="GG227" s="316"/>
      <c r="GH227" s="316"/>
      <c r="GI227" s="316"/>
      <c r="GJ227" s="316"/>
      <c r="GK227" s="316"/>
      <c r="GL227" s="316"/>
      <c r="GM227" s="316"/>
      <c r="GN227" s="316"/>
      <c r="GO227" s="316"/>
      <c r="GP227" s="316"/>
      <c r="GQ227" s="316"/>
      <c r="GR227" s="316"/>
      <c r="GS227" s="316"/>
      <c r="GT227" s="316"/>
      <c r="GU227" s="316"/>
      <c r="GV227" s="316"/>
      <c r="GW227" s="316"/>
      <c r="GX227" s="316"/>
      <c r="GY227" s="316"/>
      <c r="GZ227" s="316"/>
      <c r="HA227" s="316"/>
      <c r="HB227" s="316"/>
      <c r="HC227" s="316"/>
      <c r="HD227" s="316"/>
      <c r="HE227" s="316"/>
      <c r="HF227" s="316"/>
      <c r="HG227" s="316"/>
      <c r="HH227" s="316"/>
      <c r="HI227" s="316"/>
      <c r="HJ227" s="316"/>
      <c r="HK227" s="316"/>
      <c r="HL227" s="316"/>
      <c r="HM227" s="316"/>
      <c r="HV227" s="302">
        <f t="shared" si="41"/>
        <v>40.180411435000003</v>
      </c>
      <c r="HW227" s="302">
        <f t="shared" si="42"/>
        <v>49.715531876</v>
      </c>
      <c r="HX227" s="346">
        <f t="shared" si="43"/>
        <v>89.895943310999996</v>
      </c>
      <c r="HY227" s="302">
        <f t="shared" si="44"/>
        <v>46.8</v>
      </c>
      <c r="KH227" s="303"/>
    </row>
    <row r="228" spans="1:294" outlineLevel="1">
      <c r="B228" s="117" t="s">
        <v>361</v>
      </c>
      <c r="D228" s="337" t="s">
        <v>470</v>
      </c>
      <c r="E228" s="316"/>
      <c r="F228" s="316"/>
      <c r="G228" s="316"/>
      <c r="H228" s="316"/>
      <c r="I228" s="316"/>
      <c r="J228" s="316"/>
      <c r="K228" s="316"/>
      <c r="L228" s="316"/>
      <c r="M228" s="316"/>
      <c r="N228" s="316"/>
      <c r="O228" s="316"/>
      <c r="P228" s="316"/>
      <c r="Q228" s="316"/>
      <c r="R228" s="316"/>
      <c r="S228" s="316"/>
      <c r="T228" s="316"/>
      <c r="U228" s="316"/>
      <c r="V228" s="316"/>
      <c r="W228" s="316"/>
      <c r="X228" s="316"/>
      <c r="Y228" s="316"/>
      <c r="Z228" s="316"/>
      <c r="AA228" s="316"/>
      <c r="AB228" s="316"/>
      <c r="AC228" s="316"/>
      <c r="AD228" s="316"/>
      <c r="AE228" s="316"/>
      <c r="AF228" s="316"/>
      <c r="AG228" s="316"/>
      <c r="AH228" s="316"/>
      <c r="AI228" s="316"/>
      <c r="AJ228" s="316"/>
      <c r="AK228" s="316"/>
      <c r="AL228" s="316"/>
      <c r="AM228" s="316"/>
      <c r="AN228" s="316"/>
      <c r="AO228" s="316"/>
      <c r="AP228" s="316"/>
      <c r="AQ228" s="316"/>
      <c r="AR228" s="316"/>
      <c r="AS228" s="316"/>
      <c r="AT228" s="316"/>
      <c r="AU228" s="316"/>
      <c r="AV228" s="316"/>
      <c r="AW228" s="316"/>
      <c r="AX228" s="316"/>
      <c r="AY228" s="316"/>
      <c r="AZ228" s="316"/>
      <c r="BA228" s="316"/>
      <c r="BB228" s="316"/>
      <c r="BC228" s="316"/>
      <c r="BD228" s="316"/>
      <c r="BE228" s="316"/>
      <c r="BF228" s="316"/>
      <c r="BG228" s="316"/>
      <c r="BH228" s="316"/>
      <c r="BI228" s="316"/>
      <c r="BJ228" s="316"/>
      <c r="BK228" s="316"/>
      <c r="BL228" s="316"/>
      <c r="BM228" s="316"/>
      <c r="BN228" s="316"/>
      <c r="BO228" s="316"/>
      <c r="BP228" s="316"/>
      <c r="BQ228" s="316"/>
      <c r="BR228" s="316"/>
      <c r="BS228" s="316">
        <v>8.9979059390000007</v>
      </c>
      <c r="BT228" s="316">
        <v>15.238155254</v>
      </c>
      <c r="BU228" s="316">
        <v>10.731943847</v>
      </c>
      <c r="BV228" s="316">
        <v>38.280104581000003</v>
      </c>
      <c r="BW228" s="316">
        <v>19.21824221</v>
      </c>
      <c r="BX228" s="316">
        <v>3.4928711909999999</v>
      </c>
      <c r="BY228" s="316">
        <v>16.503664744000002</v>
      </c>
      <c r="BZ228" s="316">
        <v>16.912173433</v>
      </c>
      <c r="CA228" s="316">
        <v>14.65821757</v>
      </c>
      <c r="CB228" s="316">
        <v>45.488008786000002</v>
      </c>
      <c r="CC228" s="316">
        <v>30.685310925</v>
      </c>
      <c r="CD228" s="316">
        <v>20.505813729</v>
      </c>
      <c r="CE228" s="317">
        <v>7.8191067849999998</v>
      </c>
      <c r="CF228" s="316">
        <v>27.064540614999999</v>
      </c>
      <c r="CG228" s="316">
        <v>13.416189154</v>
      </c>
      <c r="CH228" s="316">
        <v>30.291457128000001</v>
      </c>
      <c r="CI228" s="316">
        <v>23.947314263999999</v>
      </c>
      <c r="CJ228" s="316">
        <v>12.362992740999999</v>
      </c>
      <c r="CK228" s="316">
        <v>21.517392606000001</v>
      </c>
      <c r="CL228" s="316">
        <v>23.682749282</v>
      </c>
      <c r="CM228" s="316">
        <v>32.481324956000002</v>
      </c>
      <c r="CN228" s="316">
        <v>26.759737409</v>
      </c>
      <c r="CO228" s="316">
        <v>64.034057740999998</v>
      </c>
      <c r="CP228" s="318">
        <v>36.776276578000001</v>
      </c>
      <c r="CQ228" s="316">
        <v>18.732472962999999</v>
      </c>
      <c r="CR228" s="316">
        <v>31.425210746000001</v>
      </c>
      <c r="CS228" s="316">
        <v>28.036566303000001</v>
      </c>
      <c r="CT228" s="316">
        <v>20.871269851000001</v>
      </c>
      <c r="CU228" s="316">
        <v>19.008571825000001</v>
      </c>
      <c r="CV228" s="316">
        <v>17.450130183999999</v>
      </c>
      <c r="CW228" s="316">
        <v>33.116301632999999</v>
      </c>
      <c r="CX228" s="316">
        <v>26.094432314999999</v>
      </c>
      <c r="CY228" s="316">
        <v>44.998493394999997</v>
      </c>
      <c r="CZ228" s="316">
        <v>78.902201219999995</v>
      </c>
      <c r="DA228" s="316">
        <v>45.806131833999999</v>
      </c>
      <c r="DB228" s="1498">
        <v>32.207662052000003</v>
      </c>
      <c r="DC228" s="316">
        <v>16.489001077000001</v>
      </c>
      <c r="DD228" s="316">
        <v>30.797304453999999</v>
      </c>
      <c r="DE228" s="316">
        <v>40.144479420000003</v>
      </c>
      <c r="DF228" s="316">
        <v>47.547703896999998</v>
      </c>
      <c r="DG228" s="316">
        <v>28.742775963</v>
      </c>
      <c r="DH228" s="316">
        <v>14.383686656</v>
      </c>
      <c r="DI228" s="316">
        <v>57.002527604999997</v>
      </c>
      <c r="DJ228" s="316">
        <v>37.214416708000002</v>
      </c>
      <c r="DK228" s="316">
        <v>24.533894926999999</v>
      </c>
      <c r="DL228" s="316">
        <v>57.665731115</v>
      </c>
      <c r="DM228" s="316">
        <v>62.479018287999999</v>
      </c>
      <c r="DN228" s="318">
        <v>29.876977194999998</v>
      </c>
      <c r="DO228" s="316">
        <v>24.510819567999999</v>
      </c>
      <c r="DP228" s="316">
        <v>31.191320255000001</v>
      </c>
      <c r="DQ228" s="316">
        <v>19.781208627000002</v>
      </c>
      <c r="DR228" s="316">
        <v>36.670557473000002</v>
      </c>
      <c r="DS228" s="316">
        <v>39.918205536999999</v>
      </c>
      <c r="DT228" s="316">
        <v>14.805941098</v>
      </c>
      <c r="DU228" s="316">
        <v>55.250912331000002</v>
      </c>
      <c r="DV228" s="316">
        <v>37.215884711999998</v>
      </c>
      <c r="DW228" s="316">
        <v>17.677582613999999</v>
      </c>
      <c r="DX228" s="316">
        <v>60.345860789</v>
      </c>
      <c r="DY228" s="316">
        <v>55.610312768999997</v>
      </c>
      <c r="DZ228" s="318">
        <v>7.9984918089999999</v>
      </c>
      <c r="EA228" s="316">
        <v>7.9984918089999999</v>
      </c>
      <c r="EB228" s="316">
        <v>57.63256397</v>
      </c>
      <c r="EC228" s="316">
        <v>42.977248097999997</v>
      </c>
      <c r="ED228" s="316">
        <v>44.711899309000003</v>
      </c>
      <c r="EE228" s="316">
        <v>39.024985354999998</v>
      </c>
      <c r="EF228" s="316">
        <v>19.645622919000001</v>
      </c>
      <c r="EG228" s="316">
        <v>83.314393476999996</v>
      </c>
      <c r="EH228" s="316">
        <v>34.696378115999998</v>
      </c>
      <c r="EI228" s="316">
        <v>30.38618468</v>
      </c>
      <c r="EJ228" s="316">
        <v>43.270346683</v>
      </c>
      <c r="EK228" s="316">
        <v>40.489700677000002</v>
      </c>
      <c r="EL228" s="1550">
        <v>19.011669787999999</v>
      </c>
      <c r="EM228" s="1206">
        <v>27.928875783999999</v>
      </c>
      <c r="EN228" s="1206">
        <v>32.216142105000003</v>
      </c>
      <c r="EO228" s="1206">
        <v>34.432715870000003</v>
      </c>
      <c r="EP228" s="1206">
        <v>53.201433113</v>
      </c>
      <c r="EQ228" s="1206">
        <v>46.650960023000003</v>
      </c>
      <c r="ER228" s="1206">
        <v>58.397181713999998</v>
      </c>
      <c r="ES228" s="1206">
        <v>55.415338763999998</v>
      </c>
      <c r="ET228" s="1206">
        <v>58.919306761999998</v>
      </c>
      <c r="EU228" s="1206">
        <v>47.107478352999998</v>
      </c>
      <c r="EV228" s="1206">
        <v>92.436332003000004</v>
      </c>
      <c r="EW228" s="1206">
        <v>87.662794950000006</v>
      </c>
      <c r="EX228" s="1550">
        <v>29.336689837000002</v>
      </c>
      <c r="EY228" s="1206"/>
      <c r="EZ228" s="1206"/>
      <c r="FA228" s="1206"/>
      <c r="FB228" s="1206"/>
      <c r="FC228" s="1206"/>
      <c r="FD228" s="1206"/>
      <c r="FE228" s="1206"/>
      <c r="FF228" s="1206"/>
      <c r="FG228" s="1206"/>
      <c r="FH228" s="1206"/>
      <c r="FI228" s="1206"/>
      <c r="FJ228" s="1550"/>
      <c r="FK228" s="1206"/>
      <c r="FL228" s="1206"/>
      <c r="FM228" s="1206"/>
      <c r="FN228" s="1206"/>
      <c r="FO228" s="1206"/>
      <c r="FP228" s="1206"/>
      <c r="FQ228" s="316"/>
      <c r="FR228" s="316"/>
      <c r="FS228" s="316"/>
      <c r="FT228" s="316"/>
      <c r="FU228" s="316"/>
      <c r="FV228" s="316"/>
      <c r="FW228" s="316"/>
      <c r="FX228" s="316"/>
      <c r="FY228" s="316"/>
      <c r="FZ228" s="316"/>
      <c r="GA228" s="316"/>
      <c r="GB228" s="316"/>
      <c r="GC228" s="316"/>
      <c r="GD228" s="316"/>
      <c r="GE228" s="316"/>
      <c r="GF228" s="316"/>
      <c r="GG228" s="316"/>
      <c r="GH228" s="316"/>
      <c r="GI228" s="316"/>
      <c r="GJ228" s="316"/>
      <c r="GK228" s="316"/>
      <c r="GL228" s="316"/>
      <c r="GM228" s="316"/>
      <c r="GN228" s="316"/>
      <c r="GO228" s="316"/>
      <c r="GP228" s="316"/>
      <c r="GQ228" s="316"/>
      <c r="GR228" s="316"/>
      <c r="GS228" s="316"/>
      <c r="GT228" s="316"/>
      <c r="GU228" s="316"/>
      <c r="GV228" s="316"/>
      <c r="GW228" s="316"/>
      <c r="GX228" s="316"/>
      <c r="GY228" s="316"/>
      <c r="GZ228" s="316"/>
      <c r="HA228" s="316"/>
      <c r="HB228" s="316"/>
      <c r="HC228" s="316"/>
      <c r="HD228" s="316"/>
      <c r="HE228" s="316"/>
      <c r="HF228" s="316"/>
      <c r="HG228" s="316"/>
      <c r="HH228" s="316"/>
      <c r="HI228" s="316"/>
      <c r="HJ228" s="316"/>
      <c r="HK228" s="316"/>
      <c r="HL228" s="316"/>
      <c r="HM228" s="316"/>
      <c r="HV228" s="302">
        <f t="shared" si="41"/>
        <v>178.10495146699998</v>
      </c>
      <c r="HW228" s="302">
        <f t="shared" si="42"/>
        <v>268.77256583799999</v>
      </c>
      <c r="HX228" s="346">
        <f t="shared" si="43"/>
        <v>446.87751730499997</v>
      </c>
      <c r="HY228" s="302">
        <f t="shared" si="44"/>
        <v>166.87805255800001</v>
      </c>
      <c r="KH228" s="303"/>
    </row>
    <row r="229" spans="1:294" outlineLevel="1">
      <c r="D229" s="337" t="s">
        <v>1264</v>
      </c>
      <c r="E229" s="316"/>
      <c r="F229" s="316"/>
      <c r="G229" s="316"/>
      <c r="H229" s="316"/>
      <c r="I229" s="316"/>
      <c r="J229" s="316"/>
      <c r="K229" s="316"/>
      <c r="L229" s="316"/>
      <c r="M229" s="316"/>
      <c r="N229" s="316"/>
      <c r="O229" s="316"/>
      <c r="P229" s="316"/>
      <c r="Q229" s="316"/>
      <c r="R229" s="316"/>
      <c r="S229" s="316"/>
      <c r="T229" s="316"/>
      <c r="U229" s="316"/>
      <c r="V229" s="316"/>
      <c r="W229" s="316"/>
      <c r="X229" s="316"/>
      <c r="Y229" s="316"/>
      <c r="Z229" s="316"/>
      <c r="AA229" s="316"/>
      <c r="AB229" s="316"/>
      <c r="AC229" s="316"/>
      <c r="AD229" s="316"/>
      <c r="AE229" s="316"/>
      <c r="AF229" s="316"/>
      <c r="AG229" s="316"/>
      <c r="AH229" s="316"/>
      <c r="AI229" s="316"/>
      <c r="AJ229" s="316"/>
      <c r="AK229" s="316"/>
      <c r="AL229" s="316"/>
      <c r="AM229" s="316"/>
      <c r="AN229" s="316"/>
      <c r="AO229" s="316"/>
      <c r="AP229" s="316"/>
      <c r="AQ229" s="316"/>
      <c r="AR229" s="316"/>
      <c r="AS229" s="316"/>
      <c r="AT229" s="316"/>
      <c r="AU229" s="316"/>
      <c r="AV229" s="316"/>
      <c r="AW229" s="316"/>
      <c r="AX229" s="316"/>
      <c r="AY229" s="316"/>
      <c r="AZ229" s="316"/>
      <c r="BA229" s="316"/>
      <c r="BB229" s="316"/>
      <c r="BC229" s="316"/>
      <c r="BD229" s="316"/>
      <c r="BE229" s="316"/>
      <c r="BF229" s="316"/>
      <c r="BG229" s="316"/>
      <c r="BH229" s="316"/>
      <c r="BI229" s="316"/>
      <c r="BJ229" s="316"/>
      <c r="BK229" s="316"/>
      <c r="BL229" s="316"/>
      <c r="BM229" s="316"/>
      <c r="BN229" s="316"/>
      <c r="BO229" s="316"/>
      <c r="BP229" s="316"/>
      <c r="BQ229" s="316"/>
      <c r="BR229" s="316"/>
      <c r="BS229" s="316"/>
      <c r="BT229" s="316"/>
      <c r="BU229" s="316"/>
      <c r="BV229" s="316"/>
      <c r="BW229" s="316"/>
      <c r="BX229" s="316"/>
      <c r="BY229" s="316"/>
      <c r="BZ229" s="316"/>
      <c r="CA229" s="316"/>
      <c r="CB229" s="316"/>
      <c r="CC229" s="316"/>
      <c r="CD229" s="316"/>
      <c r="CE229" s="317"/>
      <c r="CF229" s="316"/>
      <c r="CG229" s="316"/>
      <c r="CH229" s="316"/>
      <c r="CI229" s="316"/>
      <c r="CJ229" s="316"/>
      <c r="CK229" s="316"/>
      <c r="CL229" s="316"/>
      <c r="CM229" s="316"/>
      <c r="CN229" s="316"/>
      <c r="CO229" s="316"/>
      <c r="CP229" s="318"/>
      <c r="CQ229" s="316"/>
      <c r="CR229" s="316"/>
      <c r="CS229" s="316"/>
      <c r="CT229" s="316"/>
      <c r="CU229" s="316"/>
      <c r="CV229" s="316"/>
      <c r="CW229" s="316"/>
      <c r="CX229" s="316"/>
      <c r="CY229" s="316"/>
      <c r="CZ229" s="316"/>
      <c r="DA229" s="316"/>
      <c r="DB229" s="1498"/>
      <c r="DC229" s="1206">
        <v>0.27191921299999999</v>
      </c>
      <c r="DD229" s="1239">
        <v>4.4122247979999996</v>
      </c>
      <c r="DE229" s="1239">
        <v>8.9971561859999998</v>
      </c>
      <c r="DF229" s="1239">
        <v>3.411240324</v>
      </c>
      <c r="DG229" s="1239">
        <v>3.3483935229999999</v>
      </c>
      <c r="DH229" s="1239">
        <v>1.8647466909999999</v>
      </c>
      <c r="DI229" s="1239">
        <v>8.2065762479999993</v>
      </c>
      <c r="DJ229" s="1239">
        <v>5.9568302329999998</v>
      </c>
      <c r="DK229" s="1239">
        <v>3.8723187179999998</v>
      </c>
      <c r="DL229" s="1239">
        <v>13.759621873</v>
      </c>
      <c r="DM229" s="1239">
        <v>7.0525808640000003</v>
      </c>
      <c r="DN229" s="1536">
        <v>7.2722973790000003</v>
      </c>
      <c r="DO229" s="1206">
        <v>0.23505114599999999</v>
      </c>
      <c r="DP229" s="1239">
        <v>4.1538316499999999</v>
      </c>
      <c r="DQ229" s="1239">
        <v>4.4406720970000002</v>
      </c>
      <c r="DR229" s="1239">
        <v>8.2728073089999992</v>
      </c>
      <c r="DS229" s="1239">
        <v>5.4199051269999998</v>
      </c>
      <c r="DT229" s="1239">
        <v>0.72537453900000004</v>
      </c>
      <c r="DU229" s="1239">
        <v>9.1587036800000003</v>
      </c>
      <c r="DV229" s="1239">
        <v>6.0952181259999998</v>
      </c>
      <c r="DW229" s="1239">
        <v>4.7569522229999999</v>
      </c>
      <c r="DX229" s="1239">
        <v>7.7324768190000004</v>
      </c>
      <c r="DY229" s="1239">
        <v>11.764328003999999</v>
      </c>
      <c r="DZ229" s="1536">
        <v>0.48354820900000001</v>
      </c>
      <c r="EA229" s="1206">
        <v>0.48354820900000001</v>
      </c>
      <c r="EB229" s="1239">
        <v>4.8194829280000002</v>
      </c>
      <c r="EC229" s="1239">
        <v>7.2983819849999998</v>
      </c>
      <c r="ED229" s="1239">
        <v>7.1608223659999997</v>
      </c>
      <c r="EE229" s="1239">
        <v>10.52294474</v>
      </c>
      <c r="EF229" s="1239">
        <v>6.1341399819999998</v>
      </c>
      <c r="EG229" s="1239">
        <v>12.864274357999999</v>
      </c>
      <c r="EH229" s="1239">
        <v>0.57902742799999996</v>
      </c>
      <c r="EI229" s="1239">
        <v>1.984479814</v>
      </c>
      <c r="EJ229" s="1239">
        <v>4.1823349859999999</v>
      </c>
      <c r="EK229" s="1239">
        <v>11.471806392</v>
      </c>
      <c r="EL229" s="1536">
        <v>5.9171049529999999</v>
      </c>
      <c r="EM229" s="1206">
        <v>2.3158961059999998</v>
      </c>
      <c r="EN229" s="1239">
        <v>2.504822823</v>
      </c>
      <c r="EO229" s="1239">
        <v>1.9591349929999999</v>
      </c>
      <c r="EP229" s="1239">
        <v>7.1750623530000004</v>
      </c>
      <c r="EQ229" s="1239">
        <v>6.5964459550000001</v>
      </c>
      <c r="ER229" s="1239">
        <v>2.4404201950000002</v>
      </c>
      <c r="ES229" s="1239">
        <v>3.1315734179999999</v>
      </c>
      <c r="ET229" s="1239">
        <v>4.7265107820000001</v>
      </c>
      <c r="EU229" s="1239">
        <v>6.1300859609999998</v>
      </c>
      <c r="EV229" s="1239">
        <v>5.6363455729999998</v>
      </c>
      <c r="EW229" s="1239">
        <v>10.017233999</v>
      </c>
      <c r="EX229" s="1536">
        <v>10.399856092</v>
      </c>
      <c r="EY229" s="1206"/>
      <c r="EZ229" s="1206"/>
      <c r="FA229" s="1206"/>
      <c r="FB229" s="1206"/>
      <c r="FC229" s="1206"/>
      <c r="FD229" s="1206"/>
      <c r="FE229" s="1206"/>
      <c r="FF229" s="1206"/>
      <c r="FG229" s="1206"/>
      <c r="FH229" s="1206"/>
      <c r="FI229" s="1206"/>
      <c r="FJ229" s="1550"/>
      <c r="FK229" s="1206"/>
      <c r="FL229" s="1206"/>
      <c r="FM229" s="1206"/>
      <c r="FN229" s="1206"/>
      <c r="FO229" s="1206"/>
      <c r="FP229" s="1206"/>
      <c r="FQ229" s="316"/>
      <c r="FR229" s="316"/>
      <c r="FS229" s="316"/>
      <c r="FT229" s="316"/>
      <c r="FU229" s="316"/>
      <c r="FV229" s="316"/>
      <c r="FW229" s="316"/>
      <c r="FX229" s="316"/>
      <c r="FY229" s="316"/>
      <c r="FZ229" s="316"/>
      <c r="GA229" s="316"/>
      <c r="GB229" s="316"/>
      <c r="GC229" s="316"/>
      <c r="GD229" s="316"/>
      <c r="GE229" s="316"/>
      <c r="GF229" s="316"/>
      <c r="GG229" s="316"/>
      <c r="GH229" s="316"/>
      <c r="GI229" s="316"/>
      <c r="GJ229" s="316"/>
      <c r="GK229" s="316"/>
      <c r="GL229" s="316"/>
      <c r="GM229" s="316"/>
      <c r="GN229" s="316"/>
      <c r="GO229" s="316"/>
      <c r="GP229" s="316"/>
      <c r="GQ229" s="316"/>
      <c r="GR229" s="316"/>
      <c r="GS229" s="316"/>
      <c r="GT229" s="316"/>
      <c r="GU229" s="316"/>
      <c r="GV229" s="316"/>
      <c r="GW229" s="316"/>
      <c r="GX229" s="316"/>
      <c r="GY229" s="316"/>
      <c r="GZ229" s="316"/>
      <c r="HA229" s="316"/>
      <c r="HB229" s="316"/>
      <c r="HC229" s="316"/>
      <c r="HD229" s="316"/>
      <c r="HE229" s="316"/>
      <c r="HF229" s="316"/>
      <c r="HG229" s="316"/>
      <c r="HH229" s="316"/>
      <c r="HI229" s="316"/>
      <c r="HJ229" s="316"/>
      <c r="HK229" s="316"/>
      <c r="HL229" s="316"/>
      <c r="HM229" s="316"/>
      <c r="HX229" s="346"/>
      <c r="KH229" s="303"/>
    </row>
    <row r="230" spans="1:294" outlineLevel="1">
      <c r="B230" s="117" t="s">
        <v>361</v>
      </c>
      <c r="D230" s="337" t="s">
        <v>1065</v>
      </c>
      <c r="E230" s="316"/>
      <c r="F230" s="316"/>
      <c r="G230" s="316"/>
      <c r="H230" s="316"/>
      <c r="I230" s="316"/>
      <c r="J230" s="316"/>
      <c r="K230" s="316"/>
      <c r="L230" s="316"/>
      <c r="M230" s="316"/>
      <c r="N230" s="316"/>
      <c r="O230" s="316"/>
      <c r="P230" s="316"/>
      <c r="Q230" s="316"/>
      <c r="R230" s="316"/>
      <c r="S230" s="316"/>
      <c r="T230" s="316"/>
      <c r="U230" s="316"/>
      <c r="V230" s="316"/>
      <c r="W230" s="316"/>
      <c r="X230" s="316"/>
      <c r="Y230" s="316"/>
      <c r="Z230" s="316"/>
      <c r="AA230" s="316"/>
      <c r="AB230" s="316"/>
      <c r="AC230" s="316"/>
      <c r="AD230" s="316"/>
      <c r="AE230" s="316"/>
      <c r="AF230" s="316"/>
      <c r="AG230" s="316"/>
      <c r="AH230" s="316"/>
      <c r="AI230" s="316"/>
      <c r="AJ230" s="316"/>
      <c r="AK230" s="316"/>
      <c r="AL230" s="316"/>
      <c r="AM230" s="316"/>
      <c r="AN230" s="316"/>
      <c r="AO230" s="316"/>
      <c r="AP230" s="316"/>
      <c r="AQ230" s="316"/>
      <c r="AR230" s="316"/>
      <c r="AS230" s="316"/>
      <c r="AT230" s="316"/>
      <c r="AU230" s="316"/>
      <c r="AV230" s="316"/>
      <c r="AW230" s="316"/>
      <c r="AX230" s="316"/>
      <c r="AY230" s="316"/>
      <c r="AZ230" s="316"/>
      <c r="BA230" s="316"/>
      <c r="BB230" s="316"/>
      <c r="BC230" s="316"/>
      <c r="BD230" s="316"/>
      <c r="BE230" s="316"/>
      <c r="BF230" s="316"/>
      <c r="BG230" s="316"/>
      <c r="BH230" s="316"/>
      <c r="BI230" s="316"/>
      <c r="BJ230" s="316"/>
      <c r="BK230" s="316"/>
      <c r="BL230" s="316"/>
      <c r="BM230" s="316"/>
      <c r="BN230" s="316"/>
      <c r="BO230" s="316"/>
      <c r="BP230" s="316"/>
      <c r="BQ230" s="316"/>
      <c r="BR230" s="316"/>
      <c r="BS230" s="316">
        <v>0.27911588100000001</v>
      </c>
      <c r="BT230" s="316">
        <v>6.0173479999999996E-3</v>
      </c>
      <c r="BU230" s="316">
        <v>3.2019841E-2</v>
      </c>
      <c r="BV230" s="316">
        <v>0.88178715299999999</v>
      </c>
      <c r="BW230" s="316">
        <v>2E-3</v>
      </c>
      <c r="BX230" s="316">
        <v>0.44723873600000003</v>
      </c>
      <c r="BY230" s="316">
        <v>0.999707448</v>
      </c>
      <c r="BZ230" s="316">
        <v>1.3888581330000001</v>
      </c>
      <c r="CA230" s="316">
        <v>0.22859237299999999</v>
      </c>
      <c r="CB230" s="316">
        <v>0.28744314100000001</v>
      </c>
      <c r="CC230" s="316">
        <v>1.6669696300000001</v>
      </c>
      <c r="CD230" s="316">
        <v>0.96901999999999999</v>
      </c>
      <c r="CE230" s="317">
        <v>0.36813540099999997</v>
      </c>
      <c r="CF230" s="316">
        <v>4.5232902999999998E-2</v>
      </c>
      <c r="CG230" s="316">
        <v>3.3386531220000002</v>
      </c>
      <c r="CH230" s="316">
        <v>1.0237072460000001</v>
      </c>
      <c r="CI230" s="316">
        <v>3.3230105000000003E-2</v>
      </c>
      <c r="CJ230" s="316">
        <v>5.9628996020000002</v>
      </c>
      <c r="CK230" s="316">
        <v>5.3125763999999999E-2</v>
      </c>
      <c r="CL230" s="316">
        <v>0.72610595700000002</v>
      </c>
      <c r="CM230" s="316">
        <v>0.102254233</v>
      </c>
      <c r="CN230" s="316">
        <v>0.97177808600000004</v>
      </c>
      <c r="CO230" s="316">
        <v>1.1094596269999999</v>
      </c>
      <c r="CP230" s="318">
        <v>2.5327119680000001</v>
      </c>
      <c r="CQ230" s="316">
        <v>0.31722989899999998</v>
      </c>
      <c r="CR230" s="316">
        <v>0.26443969699999997</v>
      </c>
      <c r="CS230" s="316">
        <v>0</v>
      </c>
      <c r="CT230" s="316">
        <v>0.43116074199999999</v>
      </c>
      <c r="CU230" s="316">
        <v>0.45814742800000002</v>
      </c>
      <c r="CV230" s="316">
        <v>6.6300937000000004E-2</v>
      </c>
      <c r="CW230" s="316">
        <v>0</v>
      </c>
      <c r="CX230" s="316">
        <v>0</v>
      </c>
      <c r="CY230" s="316">
        <v>0</v>
      </c>
      <c r="CZ230" s="316">
        <v>0.10930949299999999</v>
      </c>
      <c r="DA230" s="316">
        <v>0.408423337</v>
      </c>
      <c r="DB230" s="1498">
        <v>4.2000000000000002E-4</v>
      </c>
      <c r="DC230" s="316">
        <v>6.4977678340000002</v>
      </c>
      <c r="DD230" s="316">
        <v>1.297001844</v>
      </c>
      <c r="DE230" s="316">
        <v>4.6251975229999998</v>
      </c>
      <c r="DF230" s="316">
        <v>7.2525455049999996</v>
      </c>
      <c r="DG230" s="316">
        <v>0</v>
      </c>
      <c r="DH230" s="316">
        <v>1.9204864740000001</v>
      </c>
      <c r="DI230" s="316">
        <v>5.1709814669999998</v>
      </c>
      <c r="DJ230" s="316">
        <v>8.0631162889999999</v>
      </c>
      <c r="DK230" s="316">
        <v>4.9287267940000001</v>
      </c>
      <c r="DL230" s="316">
        <v>1.1147604360000001</v>
      </c>
      <c r="DM230" s="316">
        <v>3.580054917</v>
      </c>
      <c r="DN230" s="318">
        <v>1.5632517909999999</v>
      </c>
      <c r="DO230" s="316">
        <v>19.871877898000001</v>
      </c>
      <c r="DP230" s="316">
        <v>0.89498947200000001</v>
      </c>
      <c r="DQ230" s="316">
        <v>5.6049394000000002E-2</v>
      </c>
      <c r="DR230" s="316">
        <v>2.6373553000000001E-2</v>
      </c>
      <c r="DS230" s="316">
        <v>6.0757000999999998E-2</v>
      </c>
      <c r="DT230" s="316">
        <v>0</v>
      </c>
      <c r="DU230" s="316">
        <v>0</v>
      </c>
      <c r="DV230" s="316">
        <v>1.7687446999999999E-2</v>
      </c>
      <c r="DW230" s="316">
        <v>1.5547114000000001E-2</v>
      </c>
      <c r="DX230" s="316">
        <v>0</v>
      </c>
      <c r="DY230" s="316">
        <v>0</v>
      </c>
      <c r="DZ230" s="318">
        <v>17.118598822999999</v>
      </c>
      <c r="EA230" s="316">
        <v>17.118598822999999</v>
      </c>
      <c r="EB230" s="316">
        <v>3.8433893110000001</v>
      </c>
      <c r="EC230" s="316">
        <v>0</v>
      </c>
      <c r="ED230" s="316">
        <v>0</v>
      </c>
      <c r="EE230" s="316">
        <v>0.96460102400000003</v>
      </c>
      <c r="EF230" s="316">
        <v>5.8037006000000002E-2</v>
      </c>
      <c r="EG230" s="316">
        <v>0.37297880100000003</v>
      </c>
      <c r="EH230" s="316">
        <v>1.3756063000000001E-2</v>
      </c>
      <c r="EI230" s="316">
        <v>9.3636900000000005E-4</v>
      </c>
      <c r="EJ230" s="316">
        <v>1.1091320000000001E-3</v>
      </c>
      <c r="EK230" s="316">
        <v>1.5380999999999999E-4</v>
      </c>
      <c r="EL230" s="1550">
        <v>1.1735753999999999E-2</v>
      </c>
      <c r="EM230" s="1206">
        <v>13.709952197</v>
      </c>
      <c r="EN230" s="1206">
        <v>11.977710954999999</v>
      </c>
      <c r="EO230" s="1206">
        <v>0.14146813999999999</v>
      </c>
      <c r="EP230" s="1206">
        <v>0</v>
      </c>
      <c r="EQ230" s="1206">
        <v>0</v>
      </c>
      <c r="ER230" s="1206">
        <v>0</v>
      </c>
      <c r="ES230" s="1206">
        <v>0.41388430999999998</v>
      </c>
      <c r="ET230" s="1206">
        <v>0</v>
      </c>
      <c r="EU230" s="1206">
        <v>0</v>
      </c>
      <c r="EV230" s="1206">
        <v>0</v>
      </c>
      <c r="EW230" s="1206">
        <v>0</v>
      </c>
      <c r="EX230" s="1550">
        <v>0</v>
      </c>
      <c r="EY230" s="1206"/>
      <c r="EZ230" s="1206"/>
      <c r="FA230" s="1206"/>
      <c r="FB230" s="1206"/>
      <c r="FC230" s="1206"/>
      <c r="FD230" s="1206"/>
      <c r="FE230" s="1206"/>
      <c r="FF230" s="1206"/>
      <c r="FG230" s="1206"/>
      <c r="FH230" s="1206"/>
      <c r="FI230" s="1206"/>
      <c r="FJ230" s="1550"/>
      <c r="FK230" s="1206"/>
      <c r="FL230" s="1206"/>
      <c r="FM230" s="1206"/>
      <c r="FN230" s="1206"/>
      <c r="FO230" s="1206"/>
      <c r="FP230" s="1206"/>
      <c r="FQ230" s="316"/>
      <c r="FR230" s="316"/>
      <c r="FS230" s="316"/>
      <c r="FT230" s="316"/>
      <c r="FU230" s="316"/>
      <c r="FV230" s="316"/>
      <c r="FW230" s="316"/>
      <c r="FX230" s="316"/>
      <c r="FY230" s="316"/>
      <c r="FZ230" s="316"/>
      <c r="GA230" s="316"/>
      <c r="GB230" s="316"/>
      <c r="GC230" s="316"/>
      <c r="GD230" s="316"/>
      <c r="GE230" s="316"/>
      <c r="GF230" s="316"/>
      <c r="GG230" s="316"/>
      <c r="GH230" s="316"/>
      <c r="GI230" s="316"/>
      <c r="GJ230" s="316"/>
      <c r="GK230" s="316"/>
      <c r="GL230" s="316"/>
      <c r="GM230" s="316"/>
      <c r="GN230" s="316"/>
      <c r="GO230" s="316"/>
      <c r="GP230" s="316"/>
      <c r="GQ230" s="316"/>
      <c r="GR230" s="316"/>
      <c r="GS230" s="316"/>
      <c r="GT230" s="316"/>
      <c r="GU230" s="316"/>
      <c r="GV230" s="316"/>
      <c r="GW230" s="316"/>
      <c r="GX230" s="316"/>
      <c r="GY230" s="316"/>
      <c r="GZ230" s="316"/>
      <c r="HA230" s="316"/>
      <c r="HB230" s="316"/>
      <c r="HC230" s="316"/>
      <c r="HD230" s="316"/>
      <c r="HE230" s="316"/>
      <c r="HF230" s="316"/>
      <c r="HG230" s="316"/>
      <c r="HH230" s="316"/>
      <c r="HI230" s="316"/>
      <c r="HJ230" s="316"/>
      <c r="HK230" s="316"/>
      <c r="HL230" s="316"/>
      <c r="HM230" s="316"/>
      <c r="HV230" s="302">
        <f>+SUM(DC230:DH230)</f>
        <v>21.59299918</v>
      </c>
      <c r="HW230" s="302">
        <f>+SUM(DI230:DN230)</f>
        <v>24.420891693999998</v>
      </c>
      <c r="HX230" s="346">
        <f t="shared" si="43"/>
        <v>46.013890873999998</v>
      </c>
      <c r="HY230" s="302">
        <f>SUM(DO230:DT230)</f>
        <v>20.910047317999997</v>
      </c>
      <c r="KH230" s="303"/>
    </row>
    <row r="231" spans="1:294" outlineLevel="1">
      <c r="B231" s="117" t="s">
        <v>361</v>
      </c>
      <c r="D231" s="337" t="s">
        <v>1066</v>
      </c>
      <c r="E231" s="316"/>
      <c r="F231" s="316"/>
      <c r="G231" s="316"/>
      <c r="H231" s="316"/>
      <c r="I231" s="316"/>
      <c r="J231" s="316"/>
      <c r="K231" s="316"/>
      <c r="L231" s="316"/>
      <c r="M231" s="316"/>
      <c r="N231" s="316"/>
      <c r="O231" s="316"/>
      <c r="P231" s="316"/>
      <c r="Q231" s="316"/>
      <c r="R231" s="316"/>
      <c r="S231" s="316"/>
      <c r="T231" s="316"/>
      <c r="U231" s="316"/>
      <c r="V231" s="316"/>
      <c r="W231" s="316"/>
      <c r="X231" s="316"/>
      <c r="Y231" s="316"/>
      <c r="Z231" s="316"/>
      <c r="AA231" s="316"/>
      <c r="AB231" s="316"/>
      <c r="AC231" s="316"/>
      <c r="AD231" s="316"/>
      <c r="AE231" s="316"/>
      <c r="AF231" s="316"/>
      <c r="AG231" s="316"/>
      <c r="AH231" s="316"/>
      <c r="AI231" s="316"/>
      <c r="AJ231" s="316"/>
      <c r="AK231" s="316"/>
      <c r="AL231" s="316"/>
      <c r="AM231" s="316"/>
      <c r="AN231" s="316"/>
      <c r="AO231" s="316"/>
      <c r="AP231" s="316"/>
      <c r="AQ231" s="316"/>
      <c r="AR231" s="316"/>
      <c r="AS231" s="316"/>
      <c r="AT231" s="316"/>
      <c r="AU231" s="316"/>
      <c r="AV231" s="316"/>
      <c r="AW231" s="316"/>
      <c r="AX231" s="316"/>
      <c r="AY231" s="316"/>
      <c r="AZ231" s="316"/>
      <c r="BA231" s="316"/>
      <c r="BB231" s="316"/>
      <c r="BC231" s="316"/>
      <c r="BD231" s="316"/>
      <c r="BE231" s="316"/>
      <c r="BF231" s="316"/>
      <c r="BG231" s="316"/>
      <c r="BH231" s="316"/>
      <c r="BI231" s="316"/>
      <c r="BJ231" s="316"/>
      <c r="BK231" s="316"/>
      <c r="BL231" s="316"/>
      <c r="BM231" s="316"/>
      <c r="BN231" s="316"/>
      <c r="BO231" s="316"/>
      <c r="BP231" s="316"/>
      <c r="BQ231" s="316"/>
      <c r="BR231" s="316"/>
      <c r="BS231" s="316">
        <v>0.29478044799999997</v>
      </c>
      <c r="BT231" s="316">
        <v>1.198582636</v>
      </c>
      <c r="BU231" s="316">
        <v>1.159378325</v>
      </c>
      <c r="BV231" s="316">
        <v>2.6299444830000001</v>
      </c>
      <c r="BW231" s="316">
        <v>2.2229761639999999</v>
      </c>
      <c r="BX231" s="316">
        <v>1.366512344</v>
      </c>
      <c r="BY231" s="316">
        <v>2.1331117160000002</v>
      </c>
      <c r="BZ231" s="316">
        <v>1.8207399929999999</v>
      </c>
      <c r="CA231" s="316">
        <v>1.914010945</v>
      </c>
      <c r="CB231" s="316">
        <v>2.5145817840000002</v>
      </c>
      <c r="CC231" s="316">
        <v>8.8502698479999999</v>
      </c>
      <c r="CD231" s="316">
        <v>3.8778661080000001</v>
      </c>
      <c r="CE231" s="317">
        <v>0.62834436900000001</v>
      </c>
      <c r="CF231" s="316">
        <v>1.958956323</v>
      </c>
      <c r="CG231" s="316">
        <v>1.451404065</v>
      </c>
      <c r="CH231" s="316">
        <v>13.086894258999999</v>
      </c>
      <c r="CI231" s="316">
        <v>2.0303838280000002</v>
      </c>
      <c r="CJ231" s="316">
        <v>1.4082085129999999</v>
      </c>
      <c r="CK231" s="316">
        <v>2.1825454770000001</v>
      </c>
      <c r="CL231" s="316">
        <v>0.47200763899999998</v>
      </c>
      <c r="CM231" s="316">
        <v>1.926717977</v>
      </c>
      <c r="CN231" s="316">
        <v>13.369324688000001</v>
      </c>
      <c r="CO231" s="316">
        <v>1.572467031</v>
      </c>
      <c r="CP231" s="318">
        <v>2.2171769870000002</v>
      </c>
      <c r="CQ231" s="316">
        <v>1.6139140249999999</v>
      </c>
      <c r="CR231" s="316">
        <v>2.690494191</v>
      </c>
      <c r="CS231" s="316">
        <v>2.7286537709999998</v>
      </c>
      <c r="CT231" s="316">
        <v>19.965297763999999</v>
      </c>
      <c r="CU231" s="316">
        <v>2.926404845</v>
      </c>
      <c r="CV231" s="316">
        <v>1.2423336410000001</v>
      </c>
      <c r="CW231" s="316">
        <v>1.720635634</v>
      </c>
      <c r="CX231" s="316">
        <v>1.0965883030000001</v>
      </c>
      <c r="CY231" s="316">
        <v>4.4167458179999999</v>
      </c>
      <c r="CZ231" s="316">
        <v>20.98729041</v>
      </c>
      <c r="DA231" s="316">
        <v>3.205517172</v>
      </c>
      <c r="DB231" s="1498">
        <v>1.856683648</v>
      </c>
      <c r="DC231" s="316">
        <v>1.8949841599999999</v>
      </c>
      <c r="DD231" s="316">
        <v>4.491078076</v>
      </c>
      <c r="DE231" s="316">
        <v>3.4353565370000001</v>
      </c>
      <c r="DF231" s="316">
        <v>1.8219410700000001</v>
      </c>
      <c r="DG231" s="316">
        <v>4.5336751240000002</v>
      </c>
      <c r="DH231" s="316">
        <v>1.3725996439999999</v>
      </c>
      <c r="DI231" s="316">
        <v>2.0589334090000002</v>
      </c>
      <c r="DJ231" s="316">
        <v>4.9357321399999998</v>
      </c>
      <c r="DK231" s="316">
        <v>3.4777443180000001</v>
      </c>
      <c r="DL231" s="316">
        <v>2.352990863</v>
      </c>
      <c r="DM231" s="316">
        <v>5.9086445239999996</v>
      </c>
      <c r="DN231" s="318">
        <v>1.377894102</v>
      </c>
      <c r="DO231" s="316">
        <v>2.2708957719999998</v>
      </c>
      <c r="DP231" s="316">
        <v>1.979180253</v>
      </c>
      <c r="DQ231" s="316">
        <v>10.326019866999999</v>
      </c>
      <c r="DR231" s="316">
        <v>1.8700789250000001</v>
      </c>
      <c r="DS231" s="316">
        <v>6.8912517219999998</v>
      </c>
      <c r="DT231" s="316">
        <v>2.854658401</v>
      </c>
      <c r="DU231" s="316">
        <v>3.5000753219999998</v>
      </c>
      <c r="DV231" s="316">
        <v>8.2733343969999993</v>
      </c>
      <c r="DW231" s="316">
        <v>3.441651314</v>
      </c>
      <c r="DX231" s="316">
        <v>4.4105825320000003</v>
      </c>
      <c r="DY231" s="316">
        <v>5.8488595349999999</v>
      </c>
      <c r="DZ231" s="318">
        <v>3.5002442199999999</v>
      </c>
      <c r="EA231" s="316">
        <v>3.5002442199999999</v>
      </c>
      <c r="EB231" s="316">
        <v>9.2201562900000003</v>
      </c>
      <c r="EC231" s="316">
        <v>6.3835577480000003</v>
      </c>
      <c r="ED231" s="316">
        <v>2.7260711980000001</v>
      </c>
      <c r="EE231" s="316">
        <v>8.0898960740000003</v>
      </c>
      <c r="EF231" s="316">
        <v>2.9190812730000002</v>
      </c>
      <c r="EG231" s="316">
        <v>3.6508980470000001</v>
      </c>
      <c r="EH231" s="316">
        <v>10.72770343</v>
      </c>
      <c r="EI231" s="316">
        <v>2.8788853749999999</v>
      </c>
      <c r="EJ231" s="316">
        <v>6.1792045140000003</v>
      </c>
      <c r="EK231" s="316">
        <v>7.4795880649999997</v>
      </c>
      <c r="EL231" s="1550">
        <v>4.6480506530000003</v>
      </c>
      <c r="EM231" s="1206">
        <v>3.816679057</v>
      </c>
      <c r="EN231" s="1206">
        <v>10.486365338000001</v>
      </c>
      <c r="EO231" s="1206">
        <v>6.3748220890000002</v>
      </c>
      <c r="EP231" s="1206">
        <v>14.542099840000001</v>
      </c>
      <c r="EQ231" s="1206">
        <v>1.4068361229999999</v>
      </c>
      <c r="ER231" s="1206">
        <v>13.431045345999999</v>
      </c>
      <c r="ES231" s="1206">
        <v>4.597397645</v>
      </c>
      <c r="ET231" s="1206">
        <v>11.637998302</v>
      </c>
      <c r="EU231" s="1206">
        <v>6.2838735159999999</v>
      </c>
      <c r="EV231" s="1206">
        <v>14.234033402</v>
      </c>
      <c r="EW231" s="1206">
        <v>12.805721848999999</v>
      </c>
      <c r="EX231" s="1550">
        <v>2.3569134960000002</v>
      </c>
      <c r="EY231" s="1206"/>
      <c r="EZ231" s="1206"/>
      <c r="FA231" s="1206"/>
      <c r="FB231" s="1206"/>
      <c r="FC231" s="1206"/>
      <c r="FD231" s="1206"/>
      <c r="FE231" s="1206"/>
      <c r="FF231" s="1206"/>
      <c r="FG231" s="1206"/>
      <c r="FH231" s="1206"/>
      <c r="FI231" s="1206"/>
      <c r="FJ231" s="1550"/>
      <c r="FK231" s="1206"/>
      <c r="FL231" s="1206"/>
      <c r="FM231" s="1206"/>
      <c r="FN231" s="1206"/>
      <c r="FO231" s="1206"/>
      <c r="FP231" s="1206"/>
      <c r="FQ231" s="316"/>
      <c r="FR231" s="316"/>
      <c r="FS231" s="316"/>
      <c r="FT231" s="316"/>
      <c r="FU231" s="316"/>
      <c r="FV231" s="316"/>
      <c r="FW231" s="316"/>
      <c r="FX231" s="316"/>
      <c r="FY231" s="316"/>
      <c r="FZ231" s="316"/>
      <c r="GA231" s="316"/>
      <c r="GB231" s="316"/>
      <c r="GC231" s="316"/>
      <c r="GD231" s="316"/>
      <c r="GE231" s="316"/>
      <c r="GF231" s="316"/>
      <c r="GG231" s="316"/>
      <c r="GH231" s="316"/>
      <c r="GI231" s="316"/>
      <c r="GJ231" s="316"/>
      <c r="GK231" s="316"/>
      <c r="GL231" s="316"/>
      <c r="GM231" s="316"/>
      <c r="GN231" s="316"/>
      <c r="GO231" s="316"/>
      <c r="GP231" s="316"/>
      <c r="GQ231" s="316"/>
      <c r="GR231" s="316"/>
      <c r="GS231" s="316"/>
      <c r="GT231" s="316"/>
      <c r="GU231" s="316"/>
      <c r="GV231" s="316"/>
      <c r="GW231" s="316"/>
      <c r="GX231" s="316"/>
      <c r="GY231" s="316"/>
      <c r="GZ231" s="316"/>
      <c r="HA231" s="316"/>
      <c r="HB231" s="316"/>
      <c r="HC231" s="316"/>
      <c r="HD231" s="316"/>
      <c r="HE231" s="316"/>
      <c r="HF231" s="316"/>
      <c r="HG231" s="316"/>
      <c r="HH231" s="316"/>
      <c r="HI231" s="316"/>
      <c r="HJ231" s="316"/>
      <c r="HK231" s="316"/>
      <c r="HL231" s="316"/>
      <c r="HM231" s="316"/>
      <c r="HV231" s="302">
        <f>+SUM(DC231:DH231)</f>
        <v>17.549634610999998</v>
      </c>
      <c r="HW231" s="302">
        <f>+SUM(DI231:DN231)</f>
        <v>20.111939356000001</v>
      </c>
      <c r="HX231" s="346">
        <f t="shared" si="43"/>
        <v>37.661573966999995</v>
      </c>
      <c r="HY231" s="302">
        <f>SUM(DO231:DT231)</f>
        <v>26.192084940000001</v>
      </c>
      <c r="KH231" s="303"/>
    </row>
    <row r="232" spans="1:294" outlineLevel="1">
      <c r="B232" s="117" t="s">
        <v>361</v>
      </c>
      <c r="D232" s="337" t="s">
        <v>472</v>
      </c>
      <c r="E232" s="316"/>
      <c r="F232" s="316"/>
      <c r="G232" s="316"/>
      <c r="H232" s="316"/>
      <c r="I232" s="316"/>
      <c r="J232" s="316"/>
      <c r="K232" s="316"/>
      <c r="L232" s="316"/>
      <c r="M232" s="316"/>
      <c r="N232" s="316"/>
      <c r="O232" s="316"/>
      <c r="P232" s="316"/>
      <c r="Q232" s="316"/>
      <c r="R232" s="316"/>
      <c r="S232" s="316"/>
      <c r="T232" s="316"/>
      <c r="U232" s="316"/>
      <c r="V232" s="316"/>
      <c r="W232" s="316"/>
      <c r="X232" s="316"/>
      <c r="Y232" s="316"/>
      <c r="Z232" s="316"/>
      <c r="AA232" s="316"/>
      <c r="AB232" s="316"/>
      <c r="AC232" s="316"/>
      <c r="AD232" s="316"/>
      <c r="AE232" s="316"/>
      <c r="AF232" s="316"/>
      <c r="AG232" s="316"/>
      <c r="AH232" s="316"/>
      <c r="AI232" s="316"/>
      <c r="AJ232" s="316"/>
      <c r="AK232" s="316"/>
      <c r="AL232" s="316"/>
      <c r="AM232" s="316"/>
      <c r="AN232" s="316"/>
      <c r="AO232" s="316"/>
      <c r="AP232" s="316"/>
      <c r="AQ232" s="316"/>
      <c r="AR232" s="316"/>
      <c r="AS232" s="316"/>
      <c r="AT232" s="316"/>
      <c r="AU232" s="316"/>
      <c r="AV232" s="316"/>
      <c r="AW232" s="316"/>
      <c r="AX232" s="316"/>
      <c r="AY232" s="316"/>
      <c r="AZ232" s="316"/>
      <c r="BA232" s="316"/>
      <c r="BB232" s="316"/>
      <c r="BC232" s="316"/>
      <c r="BD232" s="316"/>
      <c r="BE232" s="316"/>
      <c r="BF232" s="316"/>
      <c r="BG232" s="316"/>
      <c r="BH232" s="316"/>
      <c r="BI232" s="316"/>
      <c r="BJ232" s="316"/>
      <c r="BK232" s="316"/>
      <c r="BL232" s="316"/>
      <c r="BM232" s="316"/>
      <c r="BN232" s="316"/>
      <c r="BO232" s="316"/>
      <c r="BP232" s="316"/>
      <c r="BQ232" s="316"/>
      <c r="BR232" s="316"/>
      <c r="BS232" s="316">
        <v>0.96557876300000001</v>
      </c>
      <c r="BT232" s="316">
        <v>7.2424847000000001E-2</v>
      </c>
      <c r="BU232" s="316">
        <v>0.67611396800000001</v>
      </c>
      <c r="BV232" s="316">
        <v>3.2317306860000001</v>
      </c>
      <c r="BW232" s="316">
        <v>1.3253600999999999</v>
      </c>
      <c r="BX232" s="316">
        <v>0.83295369200000002</v>
      </c>
      <c r="BY232" s="316">
        <v>1.1392456129999999</v>
      </c>
      <c r="BZ232" s="316">
        <v>0.46771389600000002</v>
      </c>
      <c r="CA232" s="316">
        <v>0.69489980600000001</v>
      </c>
      <c r="CB232" s="316">
        <v>0.71632456600000005</v>
      </c>
      <c r="CC232" s="316">
        <v>2.854530499</v>
      </c>
      <c r="CD232" s="316">
        <v>6.0947944080000003</v>
      </c>
      <c r="CE232" s="317">
        <v>0.39586318599999998</v>
      </c>
      <c r="CF232" s="316">
        <v>0.42736229799999997</v>
      </c>
      <c r="CG232" s="316">
        <v>0.703602968</v>
      </c>
      <c r="CH232" s="316">
        <v>2.4406560769999999</v>
      </c>
      <c r="CI232" s="316">
        <v>1.580804755</v>
      </c>
      <c r="CJ232" s="316">
        <v>0.87157223399999995</v>
      </c>
      <c r="CK232" s="316">
        <v>2.2065311749999998</v>
      </c>
      <c r="CL232" s="316">
        <v>1.0281840710000001</v>
      </c>
      <c r="CM232" s="316">
        <v>2.360836929</v>
      </c>
      <c r="CN232" s="316">
        <v>4.9935879759999997</v>
      </c>
      <c r="CO232" s="316">
        <v>8.2198030689999992</v>
      </c>
      <c r="CP232" s="318">
        <v>0.86198469600000005</v>
      </c>
      <c r="CQ232" s="316">
        <v>9.8490963990000004</v>
      </c>
      <c r="CR232" s="316">
        <v>0.102537352</v>
      </c>
      <c r="CS232" s="316">
        <v>1.360054179</v>
      </c>
      <c r="CT232" s="316">
        <v>2.0463993569999999</v>
      </c>
      <c r="CU232" s="316">
        <v>1.4408561609999999</v>
      </c>
      <c r="CV232" s="316">
        <v>1.1275184149999999</v>
      </c>
      <c r="CW232" s="316">
        <v>1.1873878470000001</v>
      </c>
      <c r="CX232" s="316">
        <v>0.103676817</v>
      </c>
      <c r="CY232" s="316">
        <v>1.763604411</v>
      </c>
      <c r="CZ232" s="316">
        <v>2.1634711850000001</v>
      </c>
      <c r="DA232" s="316">
        <v>2.3130289560000001</v>
      </c>
      <c r="DB232" s="1498">
        <v>1.0637032870000001</v>
      </c>
      <c r="DC232" s="316">
        <v>1.444282061</v>
      </c>
      <c r="DD232" s="316">
        <v>0.106041388</v>
      </c>
      <c r="DE232" s="316">
        <v>1.7954092049999999</v>
      </c>
      <c r="DF232" s="316">
        <v>2.3202968859999999</v>
      </c>
      <c r="DG232" s="316">
        <v>12.082189246</v>
      </c>
      <c r="DH232" s="316">
        <v>1.4302259770000001</v>
      </c>
      <c r="DI232" s="316">
        <v>1.344234975</v>
      </c>
      <c r="DJ232" s="316">
        <v>0.110646936</v>
      </c>
      <c r="DK232" s="316">
        <v>4.132394315</v>
      </c>
      <c r="DL232" s="316">
        <v>2.4114964649999999</v>
      </c>
      <c r="DM232" s="316">
        <v>2.7604297070000001</v>
      </c>
      <c r="DN232" s="318">
        <v>4.0842326419999999</v>
      </c>
      <c r="DO232" s="316">
        <v>1.537694613</v>
      </c>
      <c r="DP232" s="316">
        <v>0.943079801</v>
      </c>
      <c r="DQ232" s="316">
        <v>8.0629126170000003</v>
      </c>
      <c r="DR232" s="316">
        <v>3.375540006</v>
      </c>
      <c r="DS232" s="316">
        <v>1.795995776</v>
      </c>
      <c r="DT232" s="316">
        <v>2.2912062039999999</v>
      </c>
      <c r="DU232" s="316">
        <v>11.939265708000001</v>
      </c>
      <c r="DV232" s="316">
        <v>3.7590306930000001</v>
      </c>
      <c r="DW232" s="316">
        <v>7.1034922119999999</v>
      </c>
      <c r="DX232" s="316">
        <v>4.5842435669999997</v>
      </c>
      <c r="DY232" s="316">
        <v>1.9757851319999999</v>
      </c>
      <c r="DZ232" s="318">
        <v>2.3953407169999998</v>
      </c>
      <c r="EA232" s="316">
        <v>2.3953407169999998</v>
      </c>
      <c r="EB232" s="316">
        <v>3.91415238</v>
      </c>
      <c r="EC232" s="316">
        <v>7.3104019149999999</v>
      </c>
      <c r="ED232" s="316">
        <v>4.7563836659999996</v>
      </c>
      <c r="EE232" s="316">
        <v>1.890203195</v>
      </c>
      <c r="EF232" s="316">
        <v>9.3638516749999994</v>
      </c>
      <c r="EG232" s="316">
        <v>1.1499744510000001</v>
      </c>
      <c r="EH232" s="316">
        <v>2.359665503</v>
      </c>
      <c r="EI232" s="316">
        <v>6.6830322469999999</v>
      </c>
      <c r="EJ232" s="316">
        <v>9.1984197689999991</v>
      </c>
      <c r="EK232" s="316">
        <v>2.0812441829999999</v>
      </c>
      <c r="EL232" s="1550">
        <v>8.2409011490000008</v>
      </c>
      <c r="EM232" s="1206">
        <v>2.5469821850000001</v>
      </c>
      <c r="EN232" s="1206">
        <v>0.65517455199999997</v>
      </c>
      <c r="EO232" s="1206">
        <v>5.5644570880000002</v>
      </c>
      <c r="EP232" s="1206">
        <v>2.9774682480000001</v>
      </c>
      <c r="EQ232" s="1206">
        <v>17.292357291999998</v>
      </c>
      <c r="ER232" s="1206">
        <v>1.6570807460000001</v>
      </c>
      <c r="ES232" s="1206">
        <v>1.1860716259999999</v>
      </c>
      <c r="ET232" s="1206">
        <v>1.4158283250000001</v>
      </c>
      <c r="EU232" s="1206">
        <v>5.9580953709999998</v>
      </c>
      <c r="EV232" s="1206">
        <v>1.805382633</v>
      </c>
      <c r="EW232" s="1206">
        <v>17.144360447</v>
      </c>
      <c r="EX232" s="1550">
        <v>1.517057804</v>
      </c>
      <c r="EY232" s="1206"/>
      <c r="EZ232" s="1206"/>
      <c r="FA232" s="1206"/>
      <c r="FB232" s="1206"/>
      <c r="FC232" s="1206"/>
      <c r="FD232" s="1206"/>
      <c r="FE232" s="1206"/>
      <c r="FF232" s="1206"/>
      <c r="FG232" s="1206"/>
      <c r="FH232" s="1206"/>
      <c r="FI232" s="1206"/>
      <c r="FJ232" s="1550"/>
      <c r="FK232" s="1206"/>
      <c r="FL232" s="1206"/>
      <c r="FM232" s="1206"/>
      <c r="FN232" s="1206"/>
      <c r="FO232" s="1206"/>
      <c r="FP232" s="1206"/>
      <c r="FQ232" s="316"/>
      <c r="FR232" s="316"/>
      <c r="FS232" s="316"/>
      <c r="FT232" s="316"/>
      <c r="FU232" s="316"/>
      <c r="FV232" s="316"/>
      <c r="FW232" s="316"/>
      <c r="FX232" s="316"/>
      <c r="FY232" s="316"/>
      <c r="FZ232" s="316"/>
      <c r="GA232" s="316"/>
      <c r="GB232" s="316"/>
      <c r="GC232" s="316"/>
      <c r="GD232" s="316"/>
      <c r="GE232" s="316"/>
      <c r="GF232" s="316"/>
      <c r="GG232" s="316"/>
      <c r="GH232" s="316"/>
      <c r="GI232" s="316"/>
      <c r="GJ232" s="316"/>
      <c r="GK232" s="316"/>
      <c r="GL232" s="316"/>
      <c r="GM232" s="316"/>
      <c r="GN232" s="316"/>
      <c r="GO232" s="316"/>
      <c r="GP232" s="316"/>
      <c r="GQ232" s="316"/>
      <c r="GR232" s="316"/>
      <c r="GS232" s="316"/>
      <c r="GT232" s="316"/>
      <c r="GU232" s="316"/>
      <c r="GV232" s="316"/>
      <c r="GW232" s="316"/>
      <c r="GX232" s="316"/>
      <c r="GY232" s="316"/>
      <c r="GZ232" s="316"/>
      <c r="HA232" s="316"/>
      <c r="HB232" s="316"/>
      <c r="HC232" s="316"/>
      <c r="HD232" s="316"/>
      <c r="HE232" s="316"/>
      <c r="HF232" s="316"/>
      <c r="HG232" s="316"/>
      <c r="HH232" s="316"/>
      <c r="HI232" s="316"/>
      <c r="HJ232" s="316"/>
      <c r="HK232" s="316"/>
      <c r="HL232" s="316"/>
      <c r="HM232" s="316"/>
      <c r="HV232" s="302">
        <f>+SUM(DC232:DH232)</f>
        <v>19.178444763000002</v>
      </c>
      <c r="HW232" s="302">
        <f>+SUM(DI232:DN232)</f>
        <v>14.843435039999999</v>
      </c>
      <c r="HX232" s="346">
        <f t="shared" ref="HX232:HX249" si="45">HV232+HW232</f>
        <v>34.021879803000004</v>
      </c>
      <c r="HY232" s="302">
        <f>SUM(DO232:DT232)</f>
        <v>18.006429017000002</v>
      </c>
      <c r="KH232" s="303"/>
    </row>
    <row r="233" spans="1:294" outlineLevel="1">
      <c r="B233" s="117" t="s">
        <v>361</v>
      </c>
      <c r="D233" s="838" t="s">
        <v>1069</v>
      </c>
      <c r="E233" s="316"/>
      <c r="F233" s="316"/>
      <c r="G233" s="316"/>
      <c r="H233" s="316"/>
      <c r="I233" s="316"/>
      <c r="J233" s="316"/>
      <c r="K233" s="316"/>
      <c r="L233" s="316"/>
      <c r="M233" s="316"/>
      <c r="N233" s="316"/>
      <c r="O233" s="316"/>
      <c r="P233" s="316"/>
      <c r="Q233" s="316"/>
      <c r="R233" s="316"/>
      <c r="S233" s="316"/>
      <c r="T233" s="316"/>
      <c r="U233" s="316"/>
      <c r="V233" s="316"/>
      <c r="W233" s="316"/>
      <c r="X233" s="316"/>
      <c r="Y233" s="316"/>
      <c r="Z233" s="316"/>
      <c r="AA233" s="316"/>
      <c r="AB233" s="316"/>
      <c r="AC233" s="316"/>
      <c r="AD233" s="316"/>
      <c r="AE233" s="316"/>
      <c r="AF233" s="316"/>
      <c r="AG233" s="316"/>
      <c r="AH233" s="316"/>
      <c r="AI233" s="316"/>
      <c r="AJ233" s="316"/>
      <c r="AK233" s="316"/>
      <c r="AL233" s="316"/>
      <c r="AM233" s="316"/>
      <c r="AN233" s="316"/>
      <c r="AO233" s="316"/>
      <c r="AP233" s="316"/>
      <c r="AQ233" s="316"/>
      <c r="AR233" s="316"/>
      <c r="AS233" s="316"/>
      <c r="AT233" s="316"/>
      <c r="AU233" s="316"/>
      <c r="AV233" s="316"/>
      <c r="AW233" s="316"/>
      <c r="AX233" s="316"/>
      <c r="AY233" s="316"/>
      <c r="AZ233" s="316"/>
      <c r="BA233" s="316"/>
      <c r="BB233" s="316"/>
      <c r="BC233" s="316"/>
      <c r="BD233" s="316"/>
      <c r="BE233" s="316"/>
      <c r="BF233" s="316"/>
      <c r="BG233" s="316"/>
      <c r="BH233" s="316"/>
      <c r="BI233" s="316"/>
      <c r="BJ233" s="316"/>
      <c r="BK233" s="316"/>
      <c r="BL233" s="316"/>
      <c r="BM233" s="316"/>
      <c r="BN233" s="316"/>
      <c r="BO233" s="316"/>
      <c r="BP233" s="316"/>
      <c r="BQ233" s="316"/>
      <c r="BR233" s="316"/>
      <c r="BS233" s="316"/>
      <c r="BT233" s="316"/>
      <c r="BU233" s="316"/>
      <c r="BV233" s="316"/>
      <c r="BW233" s="316"/>
      <c r="BX233" s="316"/>
      <c r="BY233" s="316"/>
      <c r="BZ233" s="316"/>
      <c r="CA233" s="316"/>
      <c r="CB233" s="316"/>
      <c r="CC233" s="316"/>
      <c r="CD233" s="316"/>
      <c r="CE233" s="317">
        <v>5.9806559970000004</v>
      </c>
      <c r="CF233" s="316">
        <v>0</v>
      </c>
      <c r="CG233" s="316">
        <v>2.4868241860000002</v>
      </c>
      <c r="CH233" s="316">
        <v>5.7063252359999996</v>
      </c>
      <c r="CI233" s="316">
        <v>0.115232735</v>
      </c>
      <c r="CJ233" s="316">
        <v>0.171666657</v>
      </c>
      <c r="CK233" s="316">
        <v>1.8893802909999999</v>
      </c>
      <c r="CL233" s="316">
        <v>0.154772415</v>
      </c>
      <c r="CM233" s="316">
        <v>0.79095841600000005</v>
      </c>
      <c r="CN233" s="316">
        <v>4.2216037030000004</v>
      </c>
      <c r="CO233" s="316">
        <v>0.83095245100000004</v>
      </c>
      <c r="CP233" s="318">
        <v>5.8514820000000002E-2</v>
      </c>
      <c r="CQ233" s="316">
        <v>4.3384599399999999</v>
      </c>
      <c r="CR233" s="316">
        <v>2.8334494619999999</v>
      </c>
      <c r="CS233" s="316">
        <v>5.5940669710000002</v>
      </c>
      <c r="CT233" s="316">
        <v>2.7899434000000001E-2</v>
      </c>
      <c r="CU233" s="316">
        <v>0</v>
      </c>
      <c r="CV233" s="316">
        <v>0</v>
      </c>
      <c r="CW233" s="316">
        <v>3.0288072960000001</v>
      </c>
      <c r="CX233" s="316">
        <v>0.14963575000000001</v>
      </c>
      <c r="CY233" s="316">
        <v>4.3652265970000004</v>
      </c>
      <c r="CZ233" s="316">
        <v>3.8180877049999999</v>
      </c>
      <c r="DA233" s="316">
        <v>0.87516175500000004</v>
      </c>
      <c r="DB233" s="1498">
        <v>3.5785191630000002</v>
      </c>
      <c r="DC233" s="316">
        <v>0</v>
      </c>
      <c r="DD233" s="316">
        <v>0</v>
      </c>
      <c r="DE233" s="316">
        <v>0.84725262700000004</v>
      </c>
      <c r="DF233" s="316">
        <v>1.4201047630000001</v>
      </c>
      <c r="DG233" s="316">
        <v>0.17094899999999999</v>
      </c>
      <c r="DH233" s="316">
        <v>0.83931962000000004</v>
      </c>
      <c r="DI233" s="316">
        <v>2.6560080570000002</v>
      </c>
      <c r="DJ233" s="316">
        <v>0</v>
      </c>
      <c r="DK233" s="316">
        <v>0.496480586</v>
      </c>
      <c r="DL233" s="316">
        <v>0.48701245199999998</v>
      </c>
      <c r="DM233" s="316">
        <v>3.3036283950000001</v>
      </c>
      <c r="DN233" s="318">
        <v>0</v>
      </c>
      <c r="DO233" s="316">
        <v>0</v>
      </c>
      <c r="DP233" s="316">
        <v>0</v>
      </c>
      <c r="DQ233" s="316">
        <v>0</v>
      </c>
      <c r="DR233" s="316">
        <v>0</v>
      </c>
      <c r="DS233" s="316">
        <v>0</v>
      </c>
      <c r="DT233" s="316">
        <v>0</v>
      </c>
      <c r="DU233" s="316">
        <v>0</v>
      </c>
      <c r="DV233" s="316">
        <v>0</v>
      </c>
      <c r="DW233" s="316">
        <v>0</v>
      </c>
      <c r="DX233" s="316">
        <v>0</v>
      </c>
      <c r="DY233" s="316">
        <v>0</v>
      </c>
      <c r="DZ233" s="318">
        <v>0</v>
      </c>
      <c r="EA233" s="316">
        <v>0</v>
      </c>
      <c r="EB233" s="316">
        <v>0</v>
      </c>
      <c r="EC233" s="316">
        <v>0</v>
      </c>
      <c r="ED233" s="316">
        <v>0</v>
      </c>
      <c r="EE233" s="316">
        <v>0</v>
      </c>
      <c r="EF233" s="316">
        <v>0</v>
      </c>
      <c r="EG233" s="316">
        <v>0</v>
      </c>
      <c r="EH233" s="316">
        <v>0</v>
      </c>
      <c r="EI233" s="316">
        <v>0</v>
      </c>
      <c r="EJ233" s="316">
        <v>0</v>
      </c>
      <c r="EK233" s="316">
        <v>0</v>
      </c>
      <c r="EL233" s="1550">
        <v>0</v>
      </c>
      <c r="EM233" s="1206">
        <v>0</v>
      </c>
      <c r="EN233" s="1206">
        <v>0</v>
      </c>
      <c r="EO233" s="1206">
        <v>0</v>
      </c>
      <c r="EP233" s="1206">
        <v>0</v>
      </c>
      <c r="EQ233" s="1206">
        <v>0</v>
      </c>
      <c r="ER233" s="1206">
        <v>0</v>
      </c>
      <c r="ES233" s="1206">
        <v>0</v>
      </c>
      <c r="ET233" s="1206">
        <v>0</v>
      </c>
      <c r="EU233" s="1206">
        <v>0</v>
      </c>
      <c r="EV233" s="1206">
        <v>0</v>
      </c>
      <c r="EW233" s="1206">
        <v>0</v>
      </c>
      <c r="EX233" s="1550">
        <v>0</v>
      </c>
      <c r="EY233" s="1206"/>
      <c r="EZ233" s="1206"/>
      <c r="FA233" s="1206"/>
      <c r="FB233" s="1206"/>
      <c r="FC233" s="1206"/>
      <c r="FD233" s="1206"/>
      <c r="FE233" s="1206"/>
      <c r="FF233" s="1206"/>
      <c r="FG233" s="1206"/>
      <c r="FH233" s="1206"/>
      <c r="FI233" s="1206"/>
      <c r="FJ233" s="1550"/>
      <c r="FK233" s="1206"/>
      <c r="FL233" s="1206"/>
      <c r="FM233" s="1206"/>
      <c r="FN233" s="1206"/>
      <c r="FO233" s="1206"/>
      <c r="FP233" s="1206"/>
      <c r="FQ233" s="316"/>
      <c r="FR233" s="316"/>
      <c r="FS233" s="316"/>
      <c r="FT233" s="316"/>
      <c r="FU233" s="316"/>
      <c r="FV233" s="316"/>
      <c r="FW233" s="316"/>
      <c r="FX233" s="316"/>
      <c r="FY233" s="316"/>
      <c r="FZ233" s="316"/>
      <c r="GA233" s="316"/>
      <c r="GB233" s="316"/>
      <c r="GC233" s="316"/>
      <c r="GD233" s="316"/>
      <c r="GE233" s="316"/>
      <c r="GF233" s="316"/>
      <c r="GG233" s="316"/>
      <c r="GH233" s="316"/>
      <c r="GI233" s="316"/>
      <c r="GJ233" s="316"/>
      <c r="GK233" s="316"/>
      <c r="GL233" s="316"/>
      <c r="GM233" s="316"/>
      <c r="GN233" s="316"/>
      <c r="GO233" s="316"/>
      <c r="GP233" s="316"/>
      <c r="GQ233" s="316"/>
      <c r="GR233" s="316"/>
      <c r="GS233" s="316"/>
      <c r="GT233" s="316"/>
      <c r="GU233" s="316"/>
      <c r="GV233" s="316"/>
      <c r="GW233" s="316"/>
      <c r="GX233" s="316"/>
      <c r="GY233" s="316"/>
      <c r="GZ233" s="316"/>
      <c r="HA233" s="316"/>
      <c r="HB233" s="316"/>
      <c r="HC233" s="316"/>
      <c r="HD233" s="316"/>
      <c r="HE233" s="316"/>
      <c r="HF233" s="316"/>
      <c r="HG233" s="316"/>
      <c r="HH233" s="316"/>
      <c r="HI233" s="316"/>
      <c r="HJ233" s="316"/>
      <c r="HK233" s="316"/>
      <c r="HL233" s="316"/>
      <c r="HM233" s="316"/>
      <c r="HV233" s="302">
        <f>+SUM(DC233:DH233)</f>
        <v>3.2776260099999996</v>
      </c>
      <c r="HW233" s="302">
        <f>+SUM(DI233:DN233)</f>
        <v>6.9431294900000005</v>
      </c>
      <c r="HX233" s="346">
        <f t="shared" si="45"/>
        <v>10.220755499999999</v>
      </c>
      <c r="HY233" s="302">
        <f>SUM(DO233:DT233)</f>
        <v>0</v>
      </c>
      <c r="KH233" s="303"/>
    </row>
    <row r="234" spans="1:294" outlineLevel="1">
      <c r="D234" s="896"/>
      <c r="CE234" s="840"/>
      <c r="CP234" s="303"/>
      <c r="DC234" s="890" t="s">
        <v>1067</v>
      </c>
      <c r="DN234" s="318">
        <v>92.159235922999997</v>
      </c>
      <c r="DO234" s="316"/>
      <c r="DP234" s="316"/>
      <c r="DQ234" s="316"/>
      <c r="DR234" s="316"/>
      <c r="DS234" s="316"/>
      <c r="DT234" s="316"/>
      <c r="DU234" s="316"/>
      <c r="DV234" s="316"/>
      <c r="DW234" s="316"/>
      <c r="DX234" s="316"/>
      <c r="DY234" s="316"/>
      <c r="DZ234" s="318"/>
      <c r="EA234" s="316"/>
      <c r="EB234" s="316"/>
      <c r="EC234" s="316"/>
      <c r="ED234" s="316"/>
      <c r="EE234" s="316"/>
      <c r="EF234" s="316"/>
      <c r="EG234" s="316"/>
      <c r="EH234" s="316"/>
      <c r="EI234" s="316"/>
      <c r="EJ234" s="316"/>
      <c r="EK234" s="316"/>
      <c r="EL234" s="318"/>
      <c r="EM234" s="1206"/>
      <c r="EN234" s="1206"/>
      <c r="EO234" s="1206"/>
      <c r="EP234" s="1206"/>
      <c r="EQ234" s="1206"/>
      <c r="ER234" s="1206"/>
      <c r="ES234" s="1206"/>
      <c r="ET234" s="1206"/>
      <c r="EU234" s="1206"/>
      <c r="EV234" s="1206"/>
      <c r="EW234" s="1206"/>
      <c r="EX234" s="1550"/>
      <c r="EY234" s="1206"/>
      <c r="EZ234" s="1206"/>
      <c r="FA234" s="1206"/>
      <c r="FB234" s="1206"/>
      <c r="FC234" s="1206"/>
      <c r="FD234" s="1206"/>
      <c r="FE234" s="1206"/>
      <c r="FF234" s="1206"/>
      <c r="FG234" s="1206"/>
      <c r="FH234" s="1206"/>
      <c r="FI234" s="1206"/>
      <c r="FJ234" s="1550"/>
      <c r="FK234" s="1206"/>
      <c r="FL234" s="1206"/>
      <c r="FM234" s="1206"/>
      <c r="FN234" s="1206"/>
      <c r="FO234" s="1206"/>
      <c r="FP234" s="1206"/>
      <c r="FQ234" s="316"/>
      <c r="FR234" s="316"/>
      <c r="FS234" s="316"/>
      <c r="FT234" s="316"/>
      <c r="FU234" s="316"/>
      <c r="FV234" s="316"/>
      <c r="FW234" s="316"/>
      <c r="FX234" s="316"/>
      <c r="FY234" s="316"/>
      <c r="FZ234" s="316"/>
      <c r="GA234" s="316"/>
      <c r="GB234" s="316"/>
      <c r="GC234" s="316"/>
      <c r="GD234" s="316"/>
      <c r="GE234" s="316"/>
      <c r="GF234" s="316"/>
      <c r="GG234" s="316"/>
      <c r="GH234" s="316"/>
      <c r="GI234" s="316"/>
      <c r="GJ234" s="316"/>
      <c r="GK234" s="316"/>
      <c r="GL234" s="316"/>
      <c r="GM234" s="316"/>
      <c r="GN234" s="316"/>
      <c r="GO234" s="316"/>
      <c r="GP234" s="316"/>
      <c r="GQ234" s="316"/>
      <c r="GR234" s="316"/>
      <c r="GS234" s="316"/>
      <c r="GT234" s="316"/>
      <c r="GU234" s="316"/>
      <c r="GV234" s="316"/>
      <c r="GW234" s="316"/>
      <c r="GX234" s="316"/>
      <c r="GY234" s="316"/>
      <c r="GZ234" s="316"/>
      <c r="HA234" s="316"/>
      <c r="HB234" s="316"/>
      <c r="HC234" s="316"/>
      <c r="HD234" s="316"/>
      <c r="HE234" s="316"/>
      <c r="HF234" s="316"/>
      <c r="HG234" s="316"/>
      <c r="HH234" s="316"/>
      <c r="HI234" s="316"/>
      <c r="HJ234" s="316"/>
      <c r="HK234" s="316"/>
      <c r="HL234" s="316"/>
      <c r="HM234" s="316"/>
      <c r="HX234" s="346"/>
      <c r="KH234" s="303"/>
    </row>
    <row r="235" spans="1:294" ht="11.25" customHeight="1" outlineLevel="1">
      <c r="D235" s="896"/>
      <c r="CE235" s="840"/>
      <c r="CP235" s="303"/>
      <c r="DC235" s="890"/>
      <c r="EA235" s="302"/>
      <c r="EB235" s="302"/>
      <c r="EC235" s="302"/>
      <c r="ED235" s="302"/>
      <c r="EE235" s="302"/>
      <c r="EF235" s="302"/>
      <c r="EG235" s="302"/>
      <c r="EH235" s="302"/>
      <c r="EI235" s="302"/>
      <c r="EJ235" s="302"/>
      <c r="EK235" s="302"/>
      <c r="EL235" s="303"/>
      <c r="EM235" s="1208"/>
      <c r="EN235" s="1208"/>
      <c r="EO235" s="1208"/>
      <c r="EP235" s="1208"/>
      <c r="EQ235" s="1208"/>
      <c r="ER235" s="1208"/>
      <c r="ES235" s="1208"/>
      <c r="ET235" s="1208"/>
      <c r="EU235" s="1208"/>
      <c r="EV235" s="1208"/>
      <c r="EW235" s="1208"/>
      <c r="EX235" s="1560"/>
      <c r="EY235" s="1208"/>
      <c r="EZ235" s="1208"/>
      <c r="FA235" s="1208"/>
      <c r="FB235" s="1208"/>
      <c r="FC235" s="1208"/>
      <c r="FD235" s="1208"/>
      <c r="FE235" s="1208"/>
      <c r="FF235" s="1208"/>
      <c r="FG235" s="1208"/>
      <c r="FH235" s="1208"/>
      <c r="FI235" s="1208"/>
      <c r="FJ235" s="1560"/>
      <c r="FK235" s="1208"/>
      <c r="FL235" s="1208"/>
      <c r="FM235" s="1208"/>
      <c r="FN235" s="1208"/>
      <c r="FO235" s="1208"/>
      <c r="FP235" s="1208"/>
      <c r="FQ235" s="302"/>
      <c r="FR235" s="302"/>
      <c r="FS235" s="302"/>
      <c r="FT235" s="302"/>
      <c r="FU235" s="302"/>
      <c r="FV235" s="302"/>
      <c r="FW235" s="302"/>
      <c r="FX235" s="302"/>
      <c r="FY235" s="302"/>
      <c r="FZ235" s="302"/>
      <c r="GA235" s="302"/>
      <c r="GB235" s="302"/>
      <c r="GC235" s="302"/>
      <c r="GD235" s="302"/>
      <c r="GE235" s="302"/>
      <c r="GF235" s="302"/>
      <c r="GG235" s="302"/>
      <c r="GH235" s="302"/>
      <c r="GI235" s="302"/>
      <c r="GJ235" s="302"/>
      <c r="GK235" s="302"/>
      <c r="GL235" s="302"/>
      <c r="GM235" s="302"/>
      <c r="GN235" s="302"/>
      <c r="GO235" s="302"/>
      <c r="GP235" s="302"/>
      <c r="GQ235" s="302"/>
      <c r="GR235" s="302"/>
      <c r="GS235" s="302"/>
      <c r="GT235" s="302"/>
      <c r="GU235" s="302"/>
      <c r="GV235" s="302"/>
      <c r="GW235" s="302"/>
      <c r="GX235" s="302"/>
      <c r="GY235" s="302"/>
      <c r="GZ235" s="302"/>
      <c r="HA235" s="302"/>
      <c r="HB235" s="302"/>
      <c r="HC235" s="302"/>
      <c r="HD235" s="302"/>
      <c r="HE235" s="302"/>
      <c r="HF235" s="302"/>
      <c r="HG235" s="302"/>
      <c r="HH235" s="302"/>
      <c r="HI235" s="302"/>
      <c r="HJ235" s="302"/>
      <c r="HK235" s="302"/>
      <c r="HL235" s="302"/>
      <c r="HM235" s="302"/>
      <c r="HX235" s="346"/>
      <c r="KH235" s="303"/>
    </row>
    <row r="236" spans="1:294" outlineLevel="1">
      <c r="A236" s="314" t="s">
        <v>1094</v>
      </c>
      <c r="D236" s="896"/>
      <c r="CE236" s="840"/>
      <c r="CP236" s="303"/>
      <c r="DC236" s="890" t="s">
        <v>1071</v>
      </c>
      <c r="EA236" s="302"/>
      <c r="EB236" s="302"/>
      <c r="EC236" s="302"/>
      <c r="ED236" s="302"/>
      <c r="EE236" s="302"/>
      <c r="EF236" s="302"/>
      <c r="EG236" s="302"/>
      <c r="EH236" s="302"/>
      <c r="EI236" s="302"/>
      <c r="EJ236" s="302"/>
      <c r="EK236" s="302"/>
      <c r="EL236" s="303"/>
      <c r="EM236" s="1208"/>
      <c r="EN236" s="1208"/>
      <c r="EO236" s="1208"/>
      <c r="EP236" s="1208"/>
      <c r="EQ236" s="1208"/>
      <c r="ER236" s="1208"/>
      <c r="ES236" s="1208"/>
      <c r="ET236" s="1208"/>
      <c r="EU236" s="1208"/>
      <c r="EV236" s="1208"/>
      <c r="EW236" s="1208"/>
      <c r="EX236" s="1560"/>
      <c r="EY236" s="1208"/>
      <c r="EZ236" s="1208"/>
      <c r="FA236" s="1208"/>
      <c r="FB236" s="1208"/>
      <c r="FC236" s="1208"/>
      <c r="FD236" s="1208"/>
      <c r="FE236" s="1208"/>
      <c r="FF236" s="1208"/>
      <c r="FG236" s="1208"/>
      <c r="FH236" s="1208"/>
      <c r="FI236" s="1208"/>
      <c r="FJ236" s="1560"/>
      <c r="FK236" s="1208"/>
      <c r="FL236" s="1208"/>
      <c r="FM236" s="1208"/>
      <c r="FN236" s="1208"/>
      <c r="FO236" s="1208"/>
      <c r="FP236" s="1208"/>
      <c r="FQ236" s="302"/>
      <c r="FR236" s="302"/>
      <c r="FS236" s="302"/>
      <c r="FT236" s="302"/>
      <c r="FU236" s="302"/>
      <c r="FV236" s="302"/>
      <c r="FW236" s="302"/>
      <c r="FX236" s="302"/>
      <c r="FY236" s="302"/>
      <c r="FZ236" s="302"/>
      <c r="GA236" s="302"/>
      <c r="GB236" s="302"/>
      <c r="GC236" s="302"/>
      <c r="GD236" s="302"/>
      <c r="GE236" s="302"/>
      <c r="GF236" s="302"/>
      <c r="GG236" s="302"/>
      <c r="GH236" s="302"/>
      <c r="GI236" s="302"/>
      <c r="GJ236" s="302"/>
      <c r="GK236" s="302"/>
      <c r="GL236" s="302"/>
      <c r="GM236" s="302"/>
      <c r="GN236" s="302"/>
      <c r="GO236" s="302"/>
      <c r="GP236" s="302"/>
      <c r="GQ236" s="302"/>
      <c r="GR236" s="302"/>
      <c r="GS236" s="302"/>
      <c r="GT236" s="302"/>
      <c r="GU236" s="302"/>
      <c r="GV236" s="302"/>
      <c r="GW236" s="302"/>
      <c r="GX236" s="302"/>
      <c r="GY236" s="302"/>
      <c r="GZ236" s="302"/>
      <c r="HA236" s="302"/>
      <c r="HB236" s="302"/>
      <c r="HC236" s="302"/>
      <c r="HD236" s="302"/>
      <c r="HE236" s="302"/>
      <c r="HF236" s="302"/>
      <c r="HG236" s="302"/>
      <c r="HH236" s="302"/>
      <c r="HI236" s="302"/>
      <c r="HJ236" s="302"/>
      <c r="HK236" s="302"/>
      <c r="HL236" s="302"/>
      <c r="HM236" s="302"/>
      <c r="HX236" s="346"/>
      <c r="KH236" s="303"/>
    </row>
    <row r="237" spans="1:294" outlineLevel="1">
      <c r="A237" s="117" t="s">
        <v>923</v>
      </c>
      <c r="D237" s="868"/>
      <c r="E237" s="868">
        <f t="shared" ref="E237:BO237" si="46">+E$1</f>
        <v>39083</v>
      </c>
      <c r="F237" s="868">
        <f t="shared" si="46"/>
        <v>39114</v>
      </c>
      <c r="G237" s="868">
        <f t="shared" si="46"/>
        <v>39142</v>
      </c>
      <c r="H237" s="868">
        <f t="shared" si="46"/>
        <v>39173</v>
      </c>
      <c r="I237" s="868">
        <f t="shared" si="46"/>
        <v>39203</v>
      </c>
      <c r="J237" s="868">
        <f t="shared" si="46"/>
        <v>39234</v>
      </c>
      <c r="K237" s="868">
        <f t="shared" si="46"/>
        <v>39264</v>
      </c>
      <c r="L237" s="868">
        <f t="shared" si="46"/>
        <v>39295</v>
      </c>
      <c r="M237" s="868">
        <f t="shared" si="46"/>
        <v>39326</v>
      </c>
      <c r="N237" s="868">
        <f t="shared" si="46"/>
        <v>39356</v>
      </c>
      <c r="O237" s="868">
        <f t="shared" si="46"/>
        <v>39387</v>
      </c>
      <c r="P237" s="868">
        <f t="shared" si="46"/>
        <v>39417</v>
      </c>
      <c r="Q237" s="868">
        <f t="shared" si="46"/>
        <v>39448</v>
      </c>
      <c r="R237" s="868">
        <f t="shared" si="46"/>
        <v>39479</v>
      </c>
      <c r="S237" s="868">
        <f t="shared" si="46"/>
        <v>39508</v>
      </c>
      <c r="T237" s="868">
        <f t="shared" si="46"/>
        <v>39539</v>
      </c>
      <c r="U237" s="868">
        <f t="shared" si="46"/>
        <v>39569</v>
      </c>
      <c r="V237" s="868">
        <f t="shared" si="46"/>
        <v>39600</v>
      </c>
      <c r="W237" s="868">
        <f t="shared" si="46"/>
        <v>39630</v>
      </c>
      <c r="X237" s="868">
        <f t="shared" si="46"/>
        <v>39661</v>
      </c>
      <c r="Y237" s="868">
        <f t="shared" si="46"/>
        <v>39692</v>
      </c>
      <c r="Z237" s="868">
        <f t="shared" si="46"/>
        <v>39722</v>
      </c>
      <c r="AA237" s="868">
        <f t="shared" si="46"/>
        <v>39753</v>
      </c>
      <c r="AB237" s="868">
        <f t="shared" si="46"/>
        <v>39783</v>
      </c>
      <c r="AC237" s="868">
        <f t="shared" si="46"/>
        <v>39814</v>
      </c>
      <c r="AD237" s="868">
        <f t="shared" si="46"/>
        <v>39845</v>
      </c>
      <c r="AE237" s="868">
        <f t="shared" si="46"/>
        <v>39873</v>
      </c>
      <c r="AF237" s="868">
        <f t="shared" si="46"/>
        <v>39904</v>
      </c>
      <c r="AG237" s="868">
        <f t="shared" si="46"/>
        <v>39934</v>
      </c>
      <c r="AH237" s="868">
        <f t="shared" si="46"/>
        <v>39965</v>
      </c>
      <c r="AI237" s="868">
        <f t="shared" si="46"/>
        <v>39995</v>
      </c>
      <c r="AJ237" s="868">
        <f t="shared" si="46"/>
        <v>40026</v>
      </c>
      <c r="AK237" s="868">
        <f t="shared" si="46"/>
        <v>40057</v>
      </c>
      <c r="AL237" s="868">
        <f t="shared" si="46"/>
        <v>40087</v>
      </c>
      <c r="AM237" s="868">
        <f t="shared" si="46"/>
        <v>40118</v>
      </c>
      <c r="AN237" s="868">
        <f t="shared" si="46"/>
        <v>40148</v>
      </c>
      <c r="AO237" s="868">
        <f t="shared" si="46"/>
        <v>40179</v>
      </c>
      <c r="AP237" s="868">
        <f t="shared" si="46"/>
        <v>40210</v>
      </c>
      <c r="AQ237" s="868">
        <f t="shared" si="46"/>
        <v>40238</v>
      </c>
      <c r="AR237" s="868">
        <f t="shared" si="46"/>
        <v>40269</v>
      </c>
      <c r="AS237" s="868">
        <f t="shared" si="46"/>
        <v>40299</v>
      </c>
      <c r="AT237" s="868">
        <f t="shared" si="46"/>
        <v>40330</v>
      </c>
      <c r="AU237" s="868">
        <f t="shared" si="46"/>
        <v>40360</v>
      </c>
      <c r="AV237" s="868">
        <f t="shared" si="46"/>
        <v>40391</v>
      </c>
      <c r="AW237" s="868">
        <f t="shared" si="46"/>
        <v>40422</v>
      </c>
      <c r="AX237" s="868">
        <f t="shared" si="46"/>
        <v>40452</v>
      </c>
      <c r="AY237" s="868">
        <f t="shared" si="46"/>
        <v>40483</v>
      </c>
      <c r="AZ237" s="868">
        <f t="shared" si="46"/>
        <v>40513</v>
      </c>
      <c r="BA237" s="868">
        <f t="shared" si="46"/>
        <v>40544</v>
      </c>
      <c r="BB237" s="868">
        <f t="shared" si="46"/>
        <v>40575</v>
      </c>
      <c r="BC237" s="868">
        <f t="shared" si="46"/>
        <v>40603</v>
      </c>
      <c r="BD237" s="868">
        <f t="shared" si="46"/>
        <v>40634</v>
      </c>
      <c r="BE237" s="868">
        <f t="shared" si="46"/>
        <v>40664</v>
      </c>
      <c r="BF237" s="868">
        <f t="shared" si="46"/>
        <v>40695</v>
      </c>
      <c r="BG237" s="868">
        <f t="shared" si="46"/>
        <v>40725</v>
      </c>
      <c r="BH237" s="868">
        <f t="shared" si="46"/>
        <v>40756</v>
      </c>
      <c r="BI237" s="868">
        <f t="shared" si="46"/>
        <v>40787</v>
      </c>
      <c r="BJ237" s="868">
        <f t="shared" si="46"/>
        <v>40817</v>
      </c>
      <c r="BK237" s="868">
        <f t="shared" si="46"/>
        <v>40848</v>
      </c>
      <c r="BL237" s="868">
        <f t="shared" si="46"/>
        <v>40878</v>
      </c>
      <c r="BM237" s="868">
        <f t="shared" si="46"/>
        <v>40909</v>
      </c>
      <c r="BN237" s="868">
        <f t="shared" si="46"/>
        <v>40940</v>
      </c>
      <c r="BO237" s="868">
        <f t="shared" si="46"/>
        <v>40969</v>
      </c>
      <c r="BP237" s="868">
        <f t="shared" ref="BP237:DB237" si="47">+BP$1</f>
        <v>41000</v>
      </c>
      <c r="BQ237" s="868">
        <f t="shared" si="47"/>
        <v>41030</v>
      </c>
      <c r="BR237" s="868">
        <f t="shared" si="47"/>
        <v>41061</v>
      </c>
      <c r="BS237" s="868">
        <f t="shared" si="47"/>
        <v>41091</v>
      </c>
      <c r="BT237" s="868">
        <f t="shared" si="47"/>
        <v>41122</v>
      </c>
      <c r="BU237" s="868">
        <f t="shared" si="47"/>
        <v>41153</v>
      </c>
      <c r="BV237" s="868">
        <f t="shared" si="47"/>
        <v>41183</v>
      </c>
      <c r="BW237" s="868">
        <f t="shared" si="47"/>
        <v>41214</v>
      </c>
      <c r="BX237" s="868">
        <f t="shared" si="47"/>
        <v>41244</v>
      </c>
      <c r="BY237" s="868">
        <f t="shared" si="47"/>
        <v>41275</v>
      </c>
      <c r="BZ237" s="868">
        <f t="shared" si="47"/>
        <v>41306</v>
      </c>
      <c r="CA237" s="868">
        <f t="shared" si="47"/>
        <v>41334</v>
      </c>
      <c r="CB237" s="868">
        <f t="shared" si="47"/>
        <v>41365</v>
      </c>
      <c r="CC237" s="868">
        <f t="shared" si="47"/>
        <v>41395</v>
      </c>
      <c r="CD237" s="868">
        <f t="shared" si="47"/>
        <v>41426</v>
      </c>
      <c r="CE237" s="868">
        <f t="shared" si="47"/>
        <v>41456</v>
      </c>
      <c r="CF237" s="868">
        <f t="shared" si="47"/>
        <v>41487</v>
      </c>
      <c r="CG237" s="868">
        <f t="shared" si="47"/>
        <v>41518</v>
      </c>
      <c r="CH237" s="868">
        <f t="shared" si="47"/>
        <v>41548</v>
      </c>
      <c r="CI237" s="868">
        <f t="shared" si="47"/>
        <v>41579</v>
      </c>
      <c r="CJ237" s="868">
        <f t="shared" si="47"/>
        <v>41609</v>
      </c>
      <c r="CK237" s="868">
        <f t="shared" si="47"/>
        <v>41640</v>
      </c>
      <c r="CL237" s="868">
        <f t="shared" si="47"/>
        <v>41671</v>
      </c>
      <c r="CM237" s="868">
        <f t="shared" si="47"/>
        <v>41699</v>
      </c>
      <c r="CN237" s="868">
        <f t="shared" si="47"/>
        <v>41730</v>
      </c>
      <c r="CO237" s="868">
        <f t="shared" si="47"/>
        <v>41760</v>
      </c>
      <c r="CP237" s="1490">
        <f t="shared" si="47"/>
        <v>41791</v>
      </c>
      <c r="CQ237" s="868">
        <f t="shared" si="47"/>
        <v>41821</v>
      </c>
      <c r="CR237" s="868">
        <f t="shared" si="47"/>
        <v>41852</v>
      </c>
      <c r="CS237" s="868">
        <f t="shared" si="47"/>
        <v>41883</v>
      </c>
      <c r="CT237" s="868">
        <f t="shared" si="47"/>
        <v>41913</v>
      </c>
      <c r="CU237" s="868">
        <f t="shared" si="47"/>
        <v>41944</v>
      </c>
      <c r="CV237" s="868">
        <f t="shared" si="47"/>
        <v>41974</v>
      </c>
      <c r="CW237" s="868">
        <f t="shared" si="47"/>
        <v>42005</v>
      </c>
      <c r="CX237" s="868">
        <f t="shared" si="47"/>
        <v>42036</v>
      </c>
      <c r="CY237" s="868">
        <f t="shared" si="47"/>
        <v>42064</v>
      </c>
      <c r="CZ237" s="868">
        <f t="shared" si="47"/>
        <v>42095</v>
      </c>
      <c r="DA237" s="868">
        <f t="shared" si="47"/>
        <v>42125</v>
      </c>
      <c r="DB237" s="1510">
        <f t="shared" si="47"/>
        <v>42156</v>
      </c>
      <c r="DC237" s="910">
        <v>42186</v>
      </c>
      <c r="DD237" s="910">
        <v>42217</v>
      </c>
      <c r="DE237" s="910">
        <v>42248</v>
      </c>
      <c r="DF237" s="910">
        <v>42278</v>
      </c>
      <c r="DG237" s="910">
        <v>42309</v>
      </c>
      <c r="DH237" s="910">
        <v>42339</v>
      </c>
      <c r="DI237" s="910">
        <v>42370</v>
      </c>
      <c r="DJ237" s="910">
        <v>42401</v>
      </c>
      <c r="DK237" s="910">
        <v>42430</v>
      </c>
      <c r="DL237" s="910">
        <v>42461</v>
      </c>
      <c r="DM237" s="910">
        <v>42491</v>
      </c>
      <c r="DN237" s="1537">
        <v>42522</v>
      </c>
      <c r="DO237" s="883">
        <v>42552</v>
      </c>
      <c r="DP237" s="883">
        <v>42583</v>
      </c>
      <c r="DQ237" s="883">
        <v>42614</v>
      </c>
      <c r="DR237" s="883">
        <v>42644</v>
      </c>
      <c r="DS237" s="883">
        <v>42675</v>
      </c>
      <c r="DT237" s="883">
        <v>42705</v>
      </c>
      <c r="DU237" s="883">
        <v>42736</v>
      </c>
      <c r="DV237" s="883">
        <v>42767</v>
      </c>
      <c r="DW237" s="883">
        <v>42795</v>
      </c>
      <c r="DX237" s="883">
        <v>42826</v>
      </c>
      <c r="DY237" s="883">
        <v>42856</v>
      </c>
      <c r="DZ237" s="928">
        <v>42887</v>
      </c>
      <c r="EA237" s="883">
        <v>42917</v>
      </c>
      <c r="EB237" s="883">
        <v>42948</v>
      </c>
      <c r="EC237" s="883">
        <v>42979</v>
      </c>
      <c r="ED237" s="883">
        <v>43009</v>
      </c>
      <c r="EE237" s="883">
        <v>43040</v>
      </c>
      <c r="EF237" s="883">
        <v>43070</v>
      </c>
      <c r="EG237" s="883">
        <v>43101</v>
      </c>
      <c r="EH237" s="883">
        <v>43132</v>
      </c>
      <c r="EI237" s="883">
        <v>43160</v>
      </c>
      <c r="EJ237" s="883">
        <v>43191</v>
      </c>
      <c r="EK237" s="883">
        <v>43221</v>
      </c>
      <c r="EL237" s="928">
        <v>43252</v>
      </c>
      <c r="EM237" s="1205">
        <v>43282</v>
      </c>
      <c r="EN237" s="1205">
        <v>43313</v>
      </c>
      <c r="EO237" s="1205">
        <v>43344</v>
      </c>
      <c r="EP237" s="1205">
        <v>43374</v>
      </c>
      <c r="EQ237" s="1205">
        <v>43405</v>
      </c>
      <c r="ER237" s="1205">
        <v>43435</v>
      </c>
      <c r="ES237" s="1205">
        <v>43466</v>
      </c>
      <c r="ET237" s="1205">
        <v>43497</v>
      </c>
      <c r="EU237" s="1205">
        <v>43525</v>
      </c>
      <c r="EV237" s="1205">
        <v>43556</v>
      </c>
      <c r="EW237" s="1205">
        <v>43586</v>
      </c>
      <c r="EX237" s="1558">
        <v>43617</v>
      </c>
      <c r="EY237" s="1205">
        <v>43647</v>
      </c>
      <c r="EZ237" s="1205">
        <v>43678</v>
      </c>
      <c r="FA237" s="1205">
        <v>43709</v>
      </c>
      <c r="FB237" s="1205">
        <v>43739</v>
      </c>
      <c r="FC237" s="1205">
        <v>43770</v>
      </c>
      <c r="FD237" s="1205">
        <v>43800</v>
      </c>
      <c r="FE237" s="1205">
        <v>43831</v>
      </c>
      <c r="FF237" s="1205">
        <v>43862</v>
      </c>
      <c r="FG237" s="1205">
        <v>43891</v>
      </c>
      <c r="FH237" s="1205">
        <v>43922</v>
      </c>
      <c r="FI237" s="1205">
        <v>43952</v>
      </c>
      <c r="FJ237" s="1558">
        <v>43983</v>
      </c>
      <c r="FK237" s="1205">
        <v>44013</v>
      </c>
      <c r="FL237" s="1205">
        <v>44044</v>
      </c>
      <c r="FM237" s="1205">
        <v>44075</v>
      </c>
      <c r="FN237" s="1205">
        <v>44105</v>
      </c>
      <c r="FO237" s="1205">
        <v>44136</v>
      </c>
      <c r="FP237" s="1205">
        <v>44166</v>
      </c>
      <c r="FQ237" s="883"/>
      <c r="FR237" s="883"/>
      <c r="FS237" s="883"/>
      <c r="FT237" s="883"/>
      <c r="FU237" s="883"/>
      <c r="FV237" s="883"/>
      <c r="FW237" s="883"/>
      <c r="FX237" s="883"/>
      <c r="FY237" s="883"/>
      <c r="FZ237" s="883"/>
      <c r="GA237" s="883"/>
      <c r="GB237" s="883"/>
      <c r="GC237" s="883"/>
      <c r="GD237" s="883"/>
      <c r="GE237" s="883"/>
      <c r="GF237" s="883"/>
      <c r="GG237" s="883"/>
      <c r="GH237" s="883"/>
      <c r="GI237" s="883"/>
      <c r="GJ237" s="883"/>
      <c r="GK237" s="883"/>
      <c r="GL237" s="883"/>
      <c r="GM237" s="883"/>
      <c r="GN237" s="883"/>
      <c r="GO237" s="883"/>
      <c r="GP237" s="883"/>
      <c r="GQ237" s="883"/>
      <c r="GR237" s="883"/>
      <c r="GS237" s="883"/>
      <c r="GT237" s="883"/>
      <c r="GU237" s="883"/>
      <c r="GV237" s="883"/>
      <c r="GW237" s="883"/>
      <c r="GX237" s="883"/>
      <c r="GY237" s="883"/>
      <c r="GZ237" s="883"/>
      <c r="HA237" s="883"/>
      <c r="HB237" s="883"/>
      <c r="HC237" s="883"/>
      <c r="HD237" s="883"/>
      <c r="HE237" s="883"/>
      <c r="HF237" s="883"/>
      <c r="HG237" s="883"/>
      <c r="HH237" s="883"/>
      <c r="HI237" s="883"/>
      <c r="HJ237" s="883"/>
      <c r="HK237" s="883"/>
      <c r="HL237" s="883"/>
      <c r="HM237" s="883"/>
      <c r="HX237" s="346"/>
      <c r="KH237" s="303"/>
    </row>
    <row r="238" spans="1:294" outlineLevel="1">
      <c r="A238" s="302"/>
      <c r="D238" s="336" t="s">
        <v>1072</v>
      </c>
      <c r="E238" s="316"/>
      <c r="F238" s="316"/>
      <c r="G238" s="316"/>
      <c r="H238" s="316"/>
      <c r="I238" s="316"/>
      <c r="J238" s="316"/>
      <c r="K238" s="316"/>
      <c r="L238" s="316"/>
      <c r="M238" s="316"/>
      <c r="N238" s="316"/>
      <c r="O238" s="316"/>
      <c r="P238" s="316"/>
      <c r="Q238" s="316"/>
      <c r="R238" s="316"/>
      <c r="S238" s="316"/>
      <c r="T238" s="316"/>
      <c r="U238" s="316"/>
      <c r="V238" s="316"/>
      <c r="W238" s="316"/>
      <c r="X238" s="316"/>
      <c r="Y238" s="316"/>
      <c r="Z238" s="316"/>
      <c r="AA238" s="316"/>
      <c r="AB238" s="316"/>
      <c r="AC238" s="316"/>
      <c r="AD238" s="316"/>
      <c r="AE238" s="316"/>
      <c r="AF238" s="316"/>
      <c r="AG238" s="316"/>
      <c r="AH238" s="316"/>
      <c r="AI238" s="316"/>
      <c r="AJ238" s="316"/>
      <c r="AK238" s="316"/>
      <c r="AL238" s="316"/>
      <c r="AM238" s="316"/>
      <c r="AN238" s="316"/>
      <c r="AO238" s="316"/>
      <c r="AP238" s="316"/>
      <c r="AQ238" s="316"/>
      <c r="AR238" s="316"/>
      <c r="AS238" s="316"/>
      <c r="AT238" s="316"/>
      <c r="AU238" s="316"/>
      <c r="AV238" s="316"/>
      <c r="AW238" s="316"/>
      <c r="AX238" s="316"/>
      <c r="AY238" s="316"/>
      <c r="AZ238" s="316"/>
      <c r="BA238" s="316"/>
      <c r="BB238" s="316"/>
      <c r="BC238" s="316"/>
      <c r="BD238" s="316"/>
      <c r="BE238" s="316"/>
      <c r="BF238" s="316"/>
      <c r="BG238" s="316"/>
      <c r="BH238" s="316"/>
      <c r="BI238" s="316"/>
      <c r="BJ238" s="316"/>
      <c r="BK238" s="316"/>
      <c r="BL238" s="316"/>
      <c r="BM238" s="316"/>
      <c r="BN238" s="316"/>
      <c r="BO238" s="316"/>
      <c r="BP238" s="316"/>
      <c r="BQ238" s="316"/>
      <c r="BR238" s="316"/>
      <c r="BS238" s="316"/>
      <c r="BT238" s="316"/>
      <c r="BU238" s="316"/>
      <c r="BV238" s="316"/>
      <c r="BW238" s="316"/>
      <c r="BX238" s="316"/>
      <c r="BY238" s="316"/>
      <c r="BZ238" s="316"/>
      <c r="CA238" s="316"/>
      <c r="CB238" s="316"/>
      <c r="CC238" s="316"/>
      <c r="CD238" s="316"/>
      <c r="CE238" s="317">
        <v>50.056769670999998</v>
      </c>
      <c r="CF238" s="316">
        <v>114.07509643</v>
      </c>
      <c r="CG238" s="316">
        <v>66.532683567000007</v>
      </c>
      <c r="CH238" s="316">
        <v>121.98062654</v>
      </c>
      <c r="CI238" s="316">
        <v>86.404042364999995</v>
      </c>
      <c r="CJ238" s="316">
        <v>106.36479744499999</v>
      </c>
      <c r="CK238" s="316">
        <v>89.888845176000004</v>
      </c>
      <c r="CL238" s="316">
        <v>79.480702542000003</v>
      </c>
      <c r="CM238" s="316">
        <v>100.049589625</v>
      </c>
      <c r="CN238" s="316">
        <v>122.20594798800001</v>
      </c>
      <c r="CO238" s="316">
        <v>131.81427858199999</v>
      </c>
      <c r="CP238" s="318">
        <v>179.21593368200001</v>
      </c>
      <c r="CQ238" s="316">
        <v>72.544250169999998</v>
      </c>
      <c r="CR238" s="316">
        <v>90.673585248999998</v>
      </c>
      <c r="CS238" s="316">
        <v>113.82680510199999</v>
      </c>
      <c r="CT238" s="316">
        <v>103.517281235</v>
      </c>
      <c r="CU238" s="316">
        <v>72.179879372000002</v>
      </c>
      <c r="CV238" s="316">
        <v>102.781301609</v>
      </c>
      <c r="CW238" s="316">
        <v>105.10777140499999</v>
      </c>
      <c r="CX238" s="316">
        <v>70.664087977999998</v>
      </c>
      <c r="CY238" s="316">
        <v>144.363524595</v>
      </c>
      <c r="CZ238" s="316">
        <v>139.38320783899999</v>
      </c>
      <c r="DA238" s="316">
        <v>125.357777508</v>
      </c>
      <c r="DB238" s="1498">
        <v>183.31475319399999</v>
      </c>
      <c r="DC238" s="316">
        <v>65.008474866</v>
      </c>
      <c r="DD238" s="316">
        <v>99.954856052000011</v>
      </c>
      <c r="DE238" s="316">
        <v>121.90098285999998</v>
      </c>
      <c r="DF238" s="316">
        <v>134.018956172</v>
      </c>
      <c r="DG238" s="316">
        <v>100.77649861999998</v>
      </c>
      <c r="DH238" s="316">
        <v>132.142398644</v>
      </c>
      <c r="DI238" s="316">
        <v>136.661898863</v>
      </c>
      <c r="DJ238" s="316">
        <v>113.48673293</v>
      </c>
      <c r="DK238" s="316">
        <v>97.751514867999987</v>
      </c>
      <c r="DL238" s="316">
        <v>146.367822289</v>
      </c>
      <c r="DM238" s="316">
        <v>103.483242711</v>
      </c>
      <c r="DN238" s="318">
        <v>195.097479935</v>
      </c>
      <c r="DO238" s="316">
        <v>118.267250563</v>
      </c>
      <c r="DP238" s="316">
        <v>71.391446497999993</v>
      </c>
      <c r="DQ238" s="316">
        <v>103.21770842399999</v>
      </c>
      <c r="DR238" s="316">
        <v>150.14689840899999</v>
      </c>
      <c r="DS238" s="316">
        <v>129.72002139899999</v>
      </c>
      <c r="DT238" s="316">
        <v>197.80980112399999</v>
      </c>
      <c r="DU238" s="316">
        <v>124.266358169</v>
      </c>
      <c r="DV238" s="316">
        <v>115.90163091300001</v>
      </c>
      <c r="DW238" s="316">
        <v>139.18961606299999</v>
      </c>
      <c r="DX238" s="316">
        <v>122.121820333</v>
      </c>
      <c r="DY238" s="316">
        <v>137.817062631</v>
      </c>
      <c r="DZ238" s="318">
        <v>228.87499245399999</v>
      </c>
      <c r="EA238" s="316">
        <v>95.696865955000007</v>
      </c>
      <c r="EB238" s="316">
        <v>136.57839521599999</v>
      </c>
      <c r="EC238" s="316">
        <v>145.04027717599999</v>
      </c>
      <c r="ED238" s="316">
        <v>178.72304216200001</v>
      </c>
      <c r="EE238" s="316">
        <v>132.83793650800001</v>
      </c>
      <c r="EF238" s="316">
        <v>203.41563763799999</v>
      </c>
      <c r="EG238" s="316">
        <v>188.85836129699999</v>
      </c>
      <c r="EH238" s="316">
        <v>119.678272616</v>
      </c>
      <c r="EI238" s="316">
        <v>163.55305351000001</v>
      </c>
      <c r="EJ238" s="316">
        <v>126.930407888</v>
      </c>
      <c r="EK238" s="316">
        <v>152.45968237599999</v>
      </c>
      <c r="EL238" s="318">
        <v>206.95086219500001</v>
      </c>
      <c r="EM238" s="1206">
        <v>120.29193546099999</v>
      </c>
      <c r="EN238" s="1206">
        <v>126.512277642</v>
      </c>
      <c r="EO238" s="1206">
        <v>151.73106588499999</v>
      </c>
      <c r="EP238" s="1206">
        <v>162.61941389699999</v>
      </c>
      <c r="EQ238" s="1206">
        <v>140.04526147999999</v>
      </c>
      <c r="ER238" s="1206">
        <v>263.73589689400001</v>
      </c>
      <c r="ES238" s="1206">
        <v>211.151145845</v>
      </c>
      <c r="ET238" s="1206">
        <v>153.48605326500001</v>
      </c>
      <c r="EU238" s="1206">
        <v>145.21244791000001</v>
      </c>
      <c r="EV238" s="1206">
        <v>186.11752711299999</v>
      </c>
      <c r="EW238" s="1206">
        <v>134.615180732</v>
      </c>
      <c r="EX238" s="1550">
        <v>267.03164733900002</v>
      </c>
      <c r="EY238" s="1206"/>
      <c r="EZ238" s="1206"/>
      <c r="FA238" s="1206"/>
      <c r="FB238" s="1206"/>
      <c r="FC238" s="1206"/>
      <c r="FD238" s="1206"/>
      <c r="FE238" s="1206"/>
      <c r="FF238" s="1206"/>
      <c r="FG238" s="1206"/>
      <c r="FH238" s="1206"/>
      <c r="FI238" s="1206"/>
      <c r="FJ238" s="1550"/>
      <c r="FK238" s="1206"/>
      <c r="FL238" s="1206"/>
      <c r="FM238" s="1206"/>
      <c r="FN238" s="1206"/>
      <c r="FO238" s="1206"/>
      <c r="FP238" s="1206"/>
      <c r="FQ238" s="316"/>
      <c r="FR238" s="316"/>
      <c r="FS238" s="316"/>
      <c r="FT238" s="316"/>
      <c r="FU238" s="316"/>
      <c r="FV238" s="316"/>
      <c r="FW238" s="316"/>
      <c r="FX238" s="316"/>
      <c r="FY238" s="316"/>
      <c r="FZ238" s="316"/>
      <c r="GA238" s="316"/>
      <c r="GB238" s="316"/>
      <c r="GC238" s="316"/>
      <c r="GD238" s="316"/>
      <c r="GE238" s="316"/>
      <c r="GF238" s="316"/>
      <c r="GG238" s="316"/>
      <c r="GH238" s="316"/>
      <c r="GI238" s="316"/>
      <c r="GJ238" s="316"/>
      <c r="GK238" s="316"/>
      <c r="GL238" s="316"/>
      <c r="GM238" s="316"/>
      <c r="GN238" s="316"/>
      <c r="GO238" s="316"/>
      <c r="GP238" s="316"/>
      <c r="GQ238" s="316"/>
      <c r="GR238" s="316"/>
      <c r="GS238" s="316"/>
      <c r="GT238" s="316"/>
      <c r="GU238" s="316"/>
      <c r="GV238" s="316"/>
      <c r="GW238" s="316"/>
      <c r="GX238" s="316"/>
      <c r="GY238" s="316"/>
      <c r="GZ238" s="316"/>
      <c r="HA238" s="316"/>
      <c r="HB238" s="316"/>
      <c r="HC238" s="316"/>
      <c r="HD238" s="316"/>
      <c r="HE238" s="316"/>
      <c r="HF238" s="316"/>
      <c r="HG238" s="316"/>
      <c r="HH238" s="316"/>
      <c r="HI238" s="316"/>
      <c r="HJ238" s="316"/>
      <c r="HK238" s="316"/>
      <c r="HL238" s="316"/>
      <c r="HM238" s="316"/>
      <c r="HV238" s="302">
        <f t="shared" ref="HV238:HV249" si="48">+SUM(DC238:DH238)</f>
        <v>653.80216721399995</v>
      </c>
      <c r="HW238" s="302">
        <f t="shared" ref="HW238:HW249" si="49">+SUM(DI238:DN238)</f>
        <v>792.84869159600009</v>
      </c>
      <c r="HX238" s="346">
        <f t="shared" si="45"/>
        <v>1446.65085881</v>
      </c>
      <c r="HY238" s="302">
        <f t="shared" ref="HY238:HY249" si="50">SUM(DO238:DT238)</f>
        <v>770.55312641699993</v>
      </c>
      <c r="KH238" s="303"/>
    </row>
    <row r="239" spans="1:294" outlineLevel="1">
      <c r="A239" s="302"/>
      <c r="B239" s="117" t="s">
        <v>361</v>
      </c>
      <c r="D239" s="337" t="s">
        <v>474</v>
      </c>
      <c r="E239" s="316"/>
      <c r="F239" s="316"/>
      <c r="G239" s="316"/>
      <c r="H239" s="316"/>
      <c r="I239" s="316"/>
      <c r="J239" s="316"/>
      <c r="K239" s="316"/>
      <c r="L239" s="316"/>
      <c r="M239" s="316"/>
      <c r="N239" s="316"/>
      <c r="O239" s="316"/>
      <c r="P239" s="316"/>
      <c r="Q239" s="316"/>
      <c r="R239" s="316"/>
      <c r="S239" s="316"/>
      <c r="T239" s="316"/>
      <c r="U239" s="316"/>
      <c r="V239" s="316"/>
      <c r="W239" s="316"/>
      <c r="X239" s="316"/>
      <c r="Y239" s="316"/>
      <c r="Z239" s="316"/>
      <c r="AA239" s="316"/>
      <c r="AB239" s="316"/>
      <c r="AC239" s="316"/>
      <c r="AD239" s="316"/>
      <c r="AE239" s="316"/>
      <c r="AF239" s="316"/>
      <c r="AG239" s="316"/>
      <c r="AH239" s="316"/>
      <c r="AI239" s="316"/>
      <c r="AJ239" s="316"/>
      <c r="AK239" s="316"/>
      <c r="AL239" s="316"/>
      <c r="AM239" s="316"/>
      <c r="AN239" s="316"/>
      <c r="AO239" s="316"/>
      <c r="AP239" s="316"/>
      <c r="AQ239" s="316"/>
      <c r="AR239" s="316"/>
      <c r="AS239" s="316"/>
      <c r="AT239" s="316"/>
      <c r="AU239" s="316"/>
      <c r="AV239" s="316"/>
      <c r="AW239" s="316"/>
      <c r="AX239" s="316"/>
      <c r="AY239" s="316"/>
      <c r="AZ239" s="316"/>
      <c r="BA239" s="316"/>
      <c r="BB239" s="316"/>
      <c r="BC239" s="316"/>
      <c r="BD239" s="316"/>
      <c r="BE239" s="316"/>
      <c r="BF239" s="316"/>
      <c r="BG239" s="316"/>
      <c r="BH239" s="316"/>
      <c r="BI239" s="316"/>
      <c r="BJ239" s="316"/>
      <c r="BK239" s="316"/>
      <c r="BL239" s="316"/>
      <c r="BM239" s="316"/>
      <c r="BN239" s="316"/>
      <c r="BO239" s="316"/>
      <c r="BP239" s="316"/>
      <c r="BQ239" s="316"/>
      <c r="BR239" s="316"/>
      <c r="BS239" s="316"/>
      <c r="BT239" s="316"/>
      <c r="BU239" s="316"/>
      <c r="BV239" s="316"/>
      <c r="BW239" s="316"/>
      <c r="BX239" s="316"/>
      <c r="BY239" s="316"/>
      <c r="BZ239" s="316"/>
      <c r="CA239" s="316"/>
      <c r="CB239" s="316"/>
      <c r="CC239" s="316"/>
      <c r="CD239" s="316"/>
      <c r="CE239" s="317">
        <v>4.8473123E-2</v>
      </c>
      <c r="CF239" s="316">
        <v>0.151468255</v>
      </c>
      <c r="CG239" s="316">
        <v>3.3602557750000002</v>
      </c>
      <c r="CH239" s="316">
        <v>1.0222064049999999</v>
      </c>
      <c r="CI239" s="316">
        <v>2.5928409999999998E-3</v>
      </c>
      <c r="CJ239" s="316">
        <v>5.9961297069999997</v>
      </c>
      <c r="CK239" s="316">
        <v>0</v>
      </c>
      <c r="CL239" s="316">
        <v>0.67148968399999998</v>
      </c>
      <c r="CM239" s="316">
        <v>0.18816992499999999</v>
      </c>
      <c r="CN239" s="316">
        <v>1.0781420479999999</v>
      </c>
      <c r="CO239" s="316">
        <v>1.128908378</v>
      </c>
      <c r="CP239" s="318">
        <v>2.598975217</v>
      </c>
      <c r="CQ239" s="316">
        <v>0.31722989899999998</v>
      </c>
      <c r="CR239" s="316">
        <v>0</v>
      </c>
      <c r="CS239" s="316">
        <v>0.26443969699999997</v>
      </c>
      <c r="CT239" s="316">
        <v>0</v>
      </c>
      <c r="CU239" s="316">
        <v>0.53077045199999995</v>
      </c>
      <c r="CV239" s="316">
        <v>0.35569134099999999</v>
      </c>
      <c r="CW239" s="316">
        <v>6.6212813999999995E-2</v>
      </c>
      <c r="CX239" s="316">
        <v>0</v>
      </c>
      <c r="CY239" s="316">
        <v>0</v>
      </c>
      <c r="CZ239" s="316">
        <v>0.10930949299999999</v>
      </c>
      <c r="DA239" s="316">
        <v>0.40373607700000003</v>
      </c>
      <c r="DB239" s="1498">
        <v>5.1072599999999998E-3</v>
      </c>
      <c r="DC239" s="316">
        <v>1.6892490000000001E-3</v>
      </c>
      <c r="DD239" s="316">
        <v>4.7735748689999999</v>
      </c>
      <c r="DE239" s="316">
        <v>4.5347488360000003</v>
      </c>
      <c r="DF239" s="316">
        <v>8.8429239739999996</v>
      </c>
      <c r="DG239" s="316">
        <v>1.5195757780000001</v>
      </c>
      <c r="DH239" s="316">
        <v>0</v>
      </c>
      <c r="DI239" s="316">
        <v>7.0255480529999996</v>
      </c>
      <c r="DJ239" s="316">
        <v>6.0246679780000001</v>
      </c>
      <c r="DK239" s="316">
        <v>4.9247516229999997</v>
      </c>
      <c r="DL239" s="316">
        <v>3.1990077609999998</v>
      </c>
      <c r="DM239" s="316">
        <v>2.0371430660000001</v>
      </c>
      <c r="DN239" s="318">
        <v>1.741162796</v>
      </c>
      <c r="DO239" s="316">
        <v>19.702418346000002</v>
      </c>
      <c r="DP239" s="316">
        <v>1.0001114980000001</v>
      </c>
      <c r="DQ239" s="316">
        <v>0.12038691999999999</v>
      </c>
      <c r="DR239" s="316">
        <v>2.6373553000000001E-2</v>
      </c>
      <c r="DS239" s="316">
        <v>6.0757000999999998E-2</v>
      </c>
      <c r="DT239" s="316">
        <v>0</v>
      </c>
      <c r="DU239" s="316">
        <v>0</v>
      </c>
      <c r="DV239" s="316">
        <v>1.7687446999999999E-2</v>
      </c>
      <c r="DW239" s="316">
        <v>1.5547114000000001E-2</v>
      </c>
      <c r="DX239" s="316">
        <v>0</v>
      </c>
      <c r="DY239" s="316">
        <v>0</v>
      </c>
      <c r="DZ239" s="318">
        <v>1.168755268</v>
      </c>
      <c r="EA239" s="316">
        <v>5.2640034680000003</v>
      </c>
      <c r="EB239" s="316">
        <v>10.708794528</v>
      </c>
      <c r="EC239" s="316">
        <v>4.9891901379999997</v>
      </c>
      <c r="ED239" s="316">
        <v>0</v>
      </c>
      <c r="EE239" s="316">
        <v>0</v>
      </c>
      <c r="EF239" s="316">
        <v>4.9635804999999998E-2</v>
      </c>
      <c r="EG239" s="316">
        <v>8.238716342</v>
      </c>
      <c r="EH239" s="316">
        <v>5.6205756439999996</v>
      </c>
      <c r="EI239" s="316">
        <v>16.056207315999998</v>
      </c>
      <c r="EJ239" s="316">
        <v>11.2129306</v>
      </c>
      <c r="EK239" s="316">
        <v>26.426782185</v>
      </c>
      <c r="EL239" s="318">
        <v>14.318288172000001</v>
      </c>
      <c r="EM239" s="1206">
        <v>2.90976298</v>
      </c>
      <c r="EN239" s="1206">
        <v>5.6919950720000001</v>
      </c>
      <c r="EO239" s="1206">
        <v>6.4337714320000003</v>
      </c>
      <c r="EP239" s="1206">
        <v>1.939590446</v>
      </c>
      <c r="EQ239" s="1206">
        <v>1.44622009</v>
      </c>
      <c r="ER239" s="1206">
        <v>5.6921988619999997</v>
      </c>
      <c r="ES239" s="1206">
        <v>1.6848284060000001</v>
      </c>
      <c r="ET239" s="1206">
        <v>0</v>
      </c>
      <c r="EU239" s="1206">
        <v>0</v>
      </c>
      <c r="EV239" s="1206">
        <v>0</v>
      </c>
      <c r="EW239" s="1206">
        <v>0</v>
      </c>
      <c r="EX239" s="1550">
        <v>0.22232415699999999</v>
      </c>
      <c r="EY239" s="1206"/>
      <c r="EZ239" s="1206"/>
      <c r="FA239" s="1206"/>
      <c r="FB239" s="1206"/>
      <c r="FC239" s="1206"/>
      <c r="FD239" s="1206"/>
      <c r="FE239" s="1206"/>
      <c r="FF239" s="1206"/>
      <c r="FG239" s="1206"/>
      <c r="FH239" s="1206"/>
      <c r="FI239" s="1206"/>
      <c r="FJ239" s="1550"/>
      <c r="FK239" s="1206"/>
      <c r="FL239" s="1206"/>
      <c r="FM239" s="1206"/>
      <c r="FN239" s="1206"/>
      <c r="FO239" s="1206"/>
      <c r="FP239" s="1206"/>
      <c r="FQ239" s="316"/>
      <c r="FR239" s="316"/>
      <c r="FS239" s="316"/>
      <c r="FT239" s="316"/>
      <c r="FU239" s="316"/>
      <c r="FV239" s="316"/>
      <c r="FW239" s="316"/>
      <c r="FX239" s="316"/>
      <c r="FY239" s="316"/>
      <c r="FZ239" s="316"/>
      <c r="GA239" s="316"/>
      <c r="GB239" s="316"/>
      <c r="GC239" s="316"/>
      <c r="GD239" s="316"/>
      <c r="GE239" s="316"/>
      <c r="GF239" s="316"/>
      <c r="GG239" s="316"/>
      <c r="GH239" s="316"/>
      <c r="GI239" s="316"/>
      <c r="GJ239" s="316"/>
      <c r="GK239" s="316"/>
      <c r="GL239" s="316"/>
      <c r="GM239" s="316"/>
      <c r="GN239" s="316"/>
      <c r="GO239" s="316"/>
      <c r="GP239" s="316"/>
      <c r="GQ239" s="316"/>
      <c r="GR239" s="316"/>
      <c r="GS239" s="316"/>
      <c r="GT239" s="316"/>
      <c r="GU239" s="316"/>
      <c r="GV239" s="316"/>
      <c r="GW239" s="316"/>
      <c r="GX239" s="316"/>
      <c r="GY239" s="316"/>
      <c r="GZ239" s="316"/>
      <c r="HA239" s="316"/>
      <c r="HB239" s="316"/>
      <c r="HC239" s="316"/>
      <c r="HD239" s="316"/>
      <c r="HE239" s="316"/>
      <c r="HF239" s="316"/>
      <c r="HG239" s="316"/>
      <c r="HH239" s="316"/>
      <c r="HI239" s="316"/>
      <c r="HJ239" s="316"/>
      <c r="HK239" s="316"/>
      <c r="HL239" s="316"/>
      <c r="HM239" s="316"/>
      <c r="HV239" s="302">
        <f t="shared" si="48"/>
        <v>19.672512706000003</v>
      </c>
      <c r="HW239" s="302">
        <f t="shared" si="49"/>
        <v>24.952281277000001</v>
      </c>
      <c r="HX239" s="346">
        <f t="shared" si="45"/>
        <v>44.624793983000004</v>
      </c>
      <c r="HY239" s="302">
        <f t="shared" si="50"/>
        <v>20.910047318</v>
      </c>
      <c r="KH239" s="303"/>
    </row>
    <row r="240" spans="1:294" outlineLevel="1">
      <c r="B240" s="117" t="s">
        <v>361</v>
      </c>
      <c r="D240" s="337" t="s">
        <v>475</v>
      </c>
      <c r="E240" s="316"/>
      <c r="F240" s="316"/>
      <c r="G240" s="316"/>
      <c r="H240" s="316"/>
      <c r="I240" s="316"/>
      <c r="J240" s="316"/>
      <c r="K240" s="316"/>
      <c r="L240" s="316"/>
      <c r="M240" s="316"/>
      <c r="N240" s="316"/>
      <c r="O240" s="316"/>
      <c r="P240" s="316"/>
      <c r="Q240" s="316"/>
      <c r="R240" s="316"/>
      <c r="S240" s="316"/>
      <c r="T240" s="316"/>
      <c r="U240" s="316"/>
      <c r="V240" s="316"/>
      <c r="W240" s="316"/>
      <c r="X240" s="316"/>
      <c r="Y240" s="316"/>
      <c r="Z240" s="316"/>
      <c r="AA240" s="316"/>
      <c r="AB240" s="316"/>
      <c r="AC240" s="316"/>
      <c r="AD240" s="316"/>
      <c r="AE240" s="316"/>
      <c r="AF240" s="316"/>
      <c r="AG240" s="316"/>
      <c r="AH240" s="316"/>
      <c r="AI240" s="316"/>
      <c r="AJ240" s="316"/>
      <c r="AK240" s="316"/>
      <c r="AL240" s="316"/>
      <c r="AM240" s="316"/>
      <c r="AN240" s="316"/>
      <c r="AO240" s="316"/>
      <c r="AP240" s="316"/>
      <c r="AQ240" s="316"/>
      <c r="AR240" s="316"/>
      <c r="AS240" s="316"/>
      <c r="AT240" s="316"/>
      <c r="AU240" s="316"/>
      <c r="AV240" s="316"/>
      <c r="AW240" s="316"/>
      <c r="AX240" s="316"/>
      <c r="AY240" s="316"/>
      <c r="AZ240" s="316"/>
      <c r="BA240" s="316"/>
      <c r="BB240" s="316"/>
      <c r="BC240" s="316"/>
      <c r="BD240" s="316"/>
      <c r="BE240" s="316"/>
      <c r="BF240" s="316"/>
      <c r="BG240" s="316"/>
      <c r="BH240" s="316"/>
      <c r="BI240" s="316"/>
      <c r="BJ240" s="316"/>
      <c r="BK240" s="316"/>
      <c r="BL240" s="316"/>
      <c r="BM240" s="316"/>
      <c r="BN240" s="316"/>
      <c r="BO240" s="316"/>
      <c r="BP240" s="316"/>
      <c r="BQ240" s="316"/>
      <c r="BR240" s="316"/>
      <c r="BS240" s="316"/>
      <c r="BT240" s="316"/>
      <c r="BU240" s="316"/>
      <c r="BV240" s="316"/>
      <c r="BW240" s="316"/>
      <c r="BX240" s="316"/>
      <c r="BY240" s="316"/>
      <c r="BZ240" s="316"/>
      <c r="CA240" s="316"/>
      <c r="CB240" s="316"/>
      <c r="CC240" s="316"/>
      <c r="CD240" s="316"/>
      <c r="CE240" s="317">
        <v>0.39586318599999998</v>
      </c>
      <c r="CF240" s="316">
        <v>0.42736229799999997</v>
      </c>
      <c r="CG240" s="316">
        <v>0.703602968</v>
      </c>
      <c r="CH240" s="316">
        <v>2.4406560769999999</v>
      </c>
      <c r="CI240" s="316">
        <v>1.580804755</v>
      </c>
      <c r="CJ240" s="316">
        <v>0.87157223399999995</v>
      </c>
      <c r="CK240" s="316">
        <v>2.2065311749999998</v>
      </c>
      <c r="CL240" s="316">
        <v>8.4264433E-2</v>
      </c>
      <c r="CM240" s="316">
        <v>1.5885897550000001</v>
      </c>
      <c r="CN240" s="316">
        <v>6.7097547879999997</v>
      </c>
      <c r="CO240" s="316">
        <v>7.299675176</v>
      </c>
      <c r="CP240" s="318">
        <v>1.782112589</v>
      </c>
      <c r="CQ240" s="316">
        <v>9.8490963990000004</v>
      </c>
      <c r="CR240" s="316">
        <v>0.102537352</v>
      </c>
      <c r="CS240" s="316">
        <v>1.360054179</v>
      </c>
      <c r="CT240" s="316">
        <v>2.0463993569999999</v>
      </c>
      <c r="CU240" s="316">
        <v>1.4408561609999999</v>
      </c>
      <c r="CV240" s="316">
        <v>1.1275184149999999</v>
      </c>
      <c r="CW240" s="316">
        <v>1.1873878470000001</v>
      </c>
      <c r="CX240" s="316">
        <v>0.103676817</v>
      </c>
      <c r="CY240" s="316">
        <v>1.763604411</v>
      </c>
      <c r="CZ240" s="316">
        <v>2.1634711850000001</v>
      </c>
      <c r="DA240" s="316">
        <v>2.3130289560000001</v>
      </c>
      <c r="DB240" s="1498">
        <v>1.0637032870000001</v>
      </c>
      <c r="DC240" s="316">
        <v>1.444282061</v>
      </c>
      <c r="DD240" s="316">
        <v>0.106041388</v>
      </c>
      <c r="DE240" s="316">
        <v>1.7954092049999999</v>
      </c>
      <c r="DF240" s="316">
        <v>2.3202968859999999</v>
      </c>
      <c r="DG240" s="316">
        <v>11.898459359</v>
      </c>
      <c r="DH240" s="316">
        <v>1.4302259770000001</v>
      </c>
      <c r="DI240" s="316">
        <v>1.344234975</v>
      </c>
      <c r="DJ240" s="316">
        <v>0.110646936</v>
      </c>
      <c r="DK240" s="316">
        <v>4.3161242020000001</v>
      </c>
      <c r="DL240" s="316">
        <v>2.4114964649999999</v>
      </c>
      <c r="DM240" s="316">
        <v>1.712589567</v>
      </c>
      <c r="DN240" s="318">
        <v>1.660475036</v>
      </c>
      <c r="DO240" s="316">
        <v>1.537694613</v>
      </c>
      <c r="DP240" s="316">
        <v>8.7627767999999995E-2</v>
      </c>
      <c r="DQ240" s="316">
        <v>6.41836465</v>
      </c>
      <c r="DR240" s="316">
        <v>1.4215288939999999</v>
      </c>
      <c r="DS240" s="316">
        <v>5.8838037979999998</v>
      </c>
      <c r="DT240" s="316">
        <v>1.611618209</v>
      </c>
      <c r="DU240" s="316">
        <v>8.6876223269999997</v>
      </c>
      <c r="DV240" s="316">
        <v>5.0511282509999997</v>
      </c>
      <c r="DW240" s="316">
        <v>10.108829119999999</v>
      </c>
      <c r="DX240" s="316">
        <v>4.5842435669999997</v>
      </c>
      <c r="DY240" s="316">
        <v>1.9757851319999999</v>
      </c>
      <c r="DZ240" s="318">
        <v>2.3190587030000001</v>
      </c>
      <c r="EA240" s="316">
        <v>2.3953407169999998</v>
      </c>
      <c r="EB240" s="316">
        <v>3.91415238</v>
      </c>
      <c r="EC240" s="316">
        <v>7.0652200220000001</v>
      </c>
      <c r="ED240" s="316">
        <v>5.0015655590000003</v>
      </c>
      <c r="EE240" s="316">
        <v>1.890203195</v>
      </c>
      <c r="EF240" s="316">
        <v>6.9142024559999999</v>
      </c>
      <c r="EG240" s="316">
        <v>6.7097637890000001</v>
      </c>
      <c r="EH240" s="316">
        <v>2.359665503</v>
      </c>
      <c r="EI240" s="316">
        <v>6.6821449529999999</v>
      </c>
      <c r="EJ240" s="316">
        <v>2.979026825</v>
      </c>
      <c r="EK240" s="316">
        <v>5.1913843020000003</v>
      </c>
      <c r="EL240" s="318">
        <v>7.4461670440000001</v>
      </c>
      <c r="EM240" s="1206">
        <v>2.5469821850000001</v>
      </c>
      <c r="EN240" s="1206">
        <v>0.65517455199999997</v>
      </c>
      <c r="EO240" s="1206">
        <v>5.5644570880000002</v>
      </c>
      <c r="EP240" s="1206">
        <v>2.9774682480000001</v>
      </c>
      <c r="EQ240" s="1206">
        <v>17.292357291999998</v>
      </c>
      <c r="ER240" s="1206">
        <v>1.6570807460000001</v>
      </c>
      <c r="ES240" s="1206">
        <v>1.1860716259999999</v>
      </c>
      <c r="ET240" s="1206">
        <v>1.4158283250000001</v>
      </c>
      <c r="EU240" s="1206">
        <v>5.9580953709999998</v>
      </c>
      <c r="EV240" s="1206">
        <v>1.770482906</v>
      </c>
      <c r="EW240" s="1206">
        <v>17.179260173999999</v>
      </c>
      <c r="EX240" s="1550">
        <v>1.517057804</v>
      </c>
      <c r="EY240" s="1206"/>
      <c r="EZ240" s="1206"/>
      <c r="FA240" s="1206"/>
      <c r="FB240" s="1206"/>
      <c r="FC240" s="1206"/>
      <c r="FD240" s="1206"/>
      <c r="FE240" s="1206"/>
      <c r="FF240" s="1206"/>
      <c r="FG240" s="1206"/>
      <c r="FH240" s="1206"/>
      <c r="FI240" s="1206"/>
      <c r="FJ240" s="1550"/>
      <c r="FK240" s="1206"/>
      <c r="FL240" s="1206"/>
      <c r="FM240" s="1206"/>
      <c r="FN240" s="1206"/>
      <c r="FO240" s="1206"/>
      <c r="FP240" s="1206"/>
      <c r="FQ240" s="316"/>
      <c r="FR240" s="316"/>
      <c r="FS240" s="316"/>
      <c r="FT240" s="316"/>
      <c r="FU240" s="316"/>
      <c r="FV240" s="316"/>
      <c r="FW240" s="316"/>
      <c r="FX240" s="316"/>
      <c r="FY240" s="316"/>
      <c r="FZ240" s="316"/>
      <c r="GA240" s="316"/>
      <c r="GB240" s="316"/>
      <c r="GC240" s="316"/>
      <c r="GD240" s="316"/>
      <c r="GE240" s="316"/>
      <c r="GF240" s="316"/>
      <c r="GG240" s="316"/>
      <c r="GH240" s="316"/>
      <c r="GI240" s="316"/>
      <c r="GJ240" s="316"/>
      <c r="GK240" s="316"/>
      <c r="GL240" s="316"/>
      <c r="GM240" s="316"/>
      <c r="GN240" s="316"/>
      <c r="GO240" s="316"/>
      <c r="GP240" s="316"/>
      <c r="GQ240" s="316"/>
      <c r="GR240" s="316"/>
      <c r="GS240" s="316"/>
      <c r="GT240" s="316"/>
      <c r="GU240" s="316"/>
      <c r="GV240" s="316"/>
      <c r="GW240" s="316"/>
      <c r="GX240" s="316"/>
      <c r="GY240" s="316"/>
      <c r="GZ240" s="316"/>
      <c r="HA240" s="316"/>
      <c r="HB240" s="316"/>
      <c r="HC240" s="316"/>
      <c r="HD240" s="316"/>
      <c r="HE240" s="316"/>
      <c r="HF240" s="316"/>
      <c r="HG240" s="316"/>
      <c r="HH240" s="316"/>
      <c r="HI240" s="316"/>
      <c r="HJ240" s="316"/>
      <c r="HK240" s="316"/>
      <c r="HL240" s="316"/>
      <c r="HM240" s="316"/>
      <c r="HV240" s="302">
        <f t="shared" si="48"/>
        <v>18.994714876</v>
      </c>
      <c r="HW240" s="302">
        <f t="shared" si="49"/>
        <v>11.555567181000001</v>
      </c>
      <c r="HX240" s="346">
        <f t="shared" si="45"/>
        <v>30.550282057</v>
      </c>
      <c r="HY240" s="302">
        <f t="shared" si="50"/>
        <v>16.960637931999997</v>
      </c>
      <c r="KH240" s="303"/>
    </row>
    <row r="241" spans="2:294" outlineLevel="1">
      <c r="B241" s="117" t="s">
        <v>361</v>
      </c>
      <c r="D241" s="337" t="s">
        <v>476</v>
      </c>
      <c r="E241" s="316"/>
      <c r="F241" s="316"/>
      <c r="G241" s="316"/>
      <c r="H241" s="316"/>
      <c r="I241" s="316"/>
      <c r="J241" s="316"/>
      <c r="K241" s="316"/>
      <c r="L241" s="316"/>
      <c r="M241" s="316"/>
      <c r="N241" s="316"/>
      <c r="O241" s="316"/>
      <c r="P241" s="316"/>
      <c r="Q241" s="316"/>
      <c r="R241" s="316"/>
      <c r="S241" s="316"/>
      <c r="T241" s="316"/>
      <c r="U241" s="316"/>
      <c r="V241" s="316"/>
      <c r="W241" s="316"/>
      <c r="X241" s="316"/>
      <c r="Y241" s="316"/>
      <c r="Z241" s="316"/>
      <c r="AA241" s="316"/>
      <c r="AB241" s="316"/>
      <c r="AC241" s="316"/>
      <c r="AD241" s="316"/>
      <c r="AE241" s="316"/>
      <c r="AF241" s="316"/>
      <c r="AG241" s="316"/>
      <c r="AH241" s="316"/>
      <c r="AI241" s="316"/>
      <c r="AJ241" s="316"/>
      <c r="AK241" s="316"/>
      <c r="AL241" s="316"/>
      <c r="AM241" s="316"/>
      <c r="AN241" s="316"/>
      <c r="AO241" s="316"/>
      <c r="AP241" s="316"/>
      <c r="AQ241" s="316"/>
      <c r="AR241" s="316"/>
      <c r="AS241" s="316"/>
      <c r="AT241" s="316"/>
      <c r="AU241" s="316"/>
      <c r="AV241" s="316"/>
      <c r="AW241" s="316"/>
      <c r="AX241" s="316"/>
      <c r="AY241" s="316"/>
      <c r="AZ241" s="316"/>
      <c r="BA241" s="316"/>
      <c r="BB241" s="316"/>
      <c r="BC241" s="316"/>
      <c r="BD241" s="316"/>
      <c r="BE241" s="316"/>
      <c r="BF241" s="316"/>
      <c r="BG241" s="316"/>
      <c r="BH241" s="316"/>
      <c r="BI241" s="316"/>
      <c r="BJ241" s="316"/>
      <c r="BK241" s="316"/>
      <c r="BL241" s="316"/>
      <c r="BM241" s="316"/>
      <c r="BN241" s="316"/>
      <c r="BO241" s="316"/>
      <c r="BP241" s="316"/>
      <c r="BQ241" s="316"/>
      <c r="BR241" s="316"/>
      <c r="BS241" s="316"/>
      <c r="BT241" s="316"/>
      <c r="BU241" s="316"/>
      <c r="BV241" s="316"/>
      <c r="BW241" s="316"/>
      <c r="BX241" s="316"/>
      <c r="BY241" s="316"/>
      <c r="BZ241" s="316"/>
      <c r="CA241" s="316"/>
      <c r="CB241" s="316"/>
      <c r="CC241" s="316"/>
      <c r="CD241" s="316"/>
      <c r="CE241" s="317">
        <v>0.71397251799999994</v>
      </c>
      <c r="CF241" s="316">
        <v>22.967915131000002</v>
      </c>
      <c r="CG241" s="316">
        <v>11.464983598</v>
      </c>
      <c r="CH241" s="316">
        <v>21.943562580999998</v>
      </c>
      <c r="CI241" s="316">
        <v>22.895787488</v>
      </c>
      <c r="CJ241" s="316">
        <v>33.939326112000003</v>
      </c>
      <c r="CK241" s="316">
        <v>10.747903343000001</v>
      </c>
      <c r="CL241" s="316">
        <v>17.489678627</v>
      </c>
      <c r="CM241" s="316">
        <v>28.420389805999999</v>
      </c>
      <c r="CN241" s="316">
        <v>22.001746373</v>
      </c>
      <c r="CO241" s="316">
        <v>41.359356699000003</v>
      </c>
      <c r="CP241" s="318">
        <v>85.694039627999999</v>
      </c>
      <c r="CQ241" s="316">
        <v>1.5233101419999999</v>
      </c>
      <c r="CR241" s="316">
        <v>16.155707589999999</v>
      </c>
      <c r="CS241" s="316">
        <v>39.065856275999998</v>
      </c>
      <c r="CT241" s="316">
        <v>17.998921991</v>
      </c>
      <c r="CU241" s="316">
        <v>10.993770279</v>
      </c>
      <c r="CV241" s="316">
        <v>23.723234878</v>
      </c>
      <c r="CW241" s="316">
        <v>19.546826626000001</v>
      </c>
      <c r="CX241" s="316">
        <v>13.436254146</v>
      </c>
      <c r="CY241" s="316">
        <v>38.292580217000001</v>
      </c>
      <c r="CZ241" s="316">
        <v>45.517299711</v>
      </c>
      <c r="DA241" s="316">
        <v>57.768564744000003</v>
      </c>
      <c r="DB241" s="1498">
        <v>76.399357395999999</v>
      </c>
      <c r="DC241" s="316">
        <v>4.9280118689999997</v>
      </c>
      <c r="DD241" s="316">
        <v>11.039598944</v>
      </c>
      <c r="DE241" s="316">
        <v>44.50643299</v>
      </c>
      <c r="DF241" s="316">
        <v>32.5543756</v>
      </c>
      <c r="DG241" s="316">
        <v>20.408180118000001</v>
      </c>
      <c r="DH241" s="316">
        <v>55.007926951999998</v>
      </c>
      <c r="DI241" s="316">
        <v>26.999730938999999</v>
      </c>
      <c r="DJ241" s="316">
        <v>35.767276017</v>
      </c>
      <c r="DK241" s="316">
        <v>27.268314208</v>
      </c>
      <c r="DL241" s="316">
        <v>34.937820508999998</v>
      </c>
      <c r="DM241" s="316">
        <v>35.766116552</v>
      </c>
      <c r="DN241" s="318">
        <v>102.97636166300001</v>
      </c>
      <c r="DO241" s="316">
        <v>11.419642832999999</v>
      </c>
      <c r="DP241" s="316">
        <v>12.685811561</v>
      </c>
      <c r="DQ241" s="316">
        <v>25.868299465</v>
      </c>
      <c r="DR241" s="316">
        <v>27.196558505999999</v>
      </c>
      <c r="DS241" s="316">
        <v>22.783177304999999</v>
      </c>
      <c r="DT241" s="316">
        <v>65.773055902999999</v>
      </c>
      <c r="DU241" s="316">
        <v>21.331223915999999</v>
      </c>
      <c r="DV241" s="316">
        <v>28.622871756999999</v>
      </c>
      <c r="DW241" s="316">
        <v>42.703288426</v>
      </c>
      <c r="DX241" s="316">
        <v>31.302056869000001</v>
      </c>
      <c r="DY241" s="316">
        <v>33.243957965</v>
      </c>
      <c r="DZ241" s="318">
        <v>94.574213787999994</v>
      </c>
      <c r="EA241" s="316">
        <v>3.0772822780000002</v>
      </c>
      <c r="EB241" s="316">
        <v>26.3686434</v>
      </c>
      <c r="EC241" s="316">
        <v>29.590639855999999</v>
      </c>
      <c r="ED241" s="316">
        <v>53.751454868000003</v>
      </c>
      <c r="EE241" s="316">
        <v>45.668061313000003</v>
      </c>
      <c r="EF241" s="316">
        <v>44.450096389000002</v>
      </c>
      <c r="EG241" s="316">
        <v>63.367580195999999</v>
      </c>
      <c r="EH241" s="316">
        <v>25.677274296</v>
      </c>
      <c r="EI241" s="316">
        <v>32.647215324999998</v>
      </c>
      <c r="EJ241" s="316">
        <v>17.388060697</v>
      </c>
      <c r="EK241" s="316">
        <v>26.529376141</v>
      </c>
      <c r="EL241" s="318">
        <v>67.708085679999996</v>
      </c>
      <c r="EM241" s="1206">
        <v>21.284656133999999</v>
      </c>
      <c r="EN241" s="1206">
        <v>26.156264026999999</v>
      </c>
      <c r="EO241" s="1206">
        <v>29.725764776999998</v>
      </c>
      <c r="EP241" s="1206">
        <v>33.757289403999998</v>
      </c>
      <c r="EQ241" s="1206">
        <v>25.229100856999999</v>
      </c>
      <c r="ER241" s="1206">
        <v>94.829139359999999</v>
      </c>
      <c r="ES241" s="1206">
        <v>69.845675463000006</v>
      </c>
      <c r="ET241" s="1206">
        <v>39.153307775000002</v>
      </c>
      <c r="EU241" s="1206">
        <v>41.703383776999999</v>
      </c>
      <c r="EV241" s="1206">
        <v>53.315583664000002</v>
      </c>
      <c r="EW241" s="1206">
        <v>33.153283655000003</v>
      </c>
      <c r="EX241" s="1550">
        <v>129.290322008</v>
      </c>
      <c r="EY241" s="1206"/>
      <c r="EZ241" s="1206"/>
      <c r="FA241" s="1206"/>
      <c r="FB241" s="1206"/>
      <c r="FC241" s="1206"/>
      <c r="FD241" s="1206"/>
      <c r="FE241" s="1206"/>
      <c r="FF241" s="1206"/>
      <c r="FG241" s="1206"/>
      <c r="FH241" s="1206"/>
      <c r="FI241" s="1206"/>
      <c r="FJ241" s="1550"/>
      <c r="FK241" s="1206"/>
      <c r="FL241" s="1206"/>
      <c r="FM241" s="1206"/>
      <c r="FN241" s="1206"/>
      <c r="FO241" s="1206"/>
      <c r="FP241" s="1206"/>
      <c r="FQ241" s="316"/>
      <c r="FR241" s="316"/>
      <c r="FS241" s="316"/>
      <c r="FT241" s="316"/>
      <c r="FU241" s="316"/>
      <c r="FV241" s="316"/>
      <c r="FW241" s="316"/>
      <c r="FX241" s="316"/>
      <c r="FY241" s="316"/>
      <c r="FZ241" s="316"/>
      <c r="GA241" s="316"/>
      <c r="GB241" s="316"/>
      <c r="GC241" s="316"/>
      <c r="GD241" s="316"/>
      <c r="GE241" s="316"/>
      <c r="GF241" s="316"/>
      <c r="GG241" s="316"/>
      <c r="GH241" s="316"/>
      <c r="GI241" s="316"/>
      <c r="GJ241" s="316"/>
      <c r="GK241" s="316"/>
      <c r="GL241" s="316"/>
      <c r="GM241" s="316"/>
      <c r="GN241" s="316"/>
      <c r="GO241" s="316"/>
      <c r="GP241" s="316"/>
      <c r="GQ241" s="316"/>
      <c r="GR241" s="316"/>
      <c r="GS241" s="316"/>
      <c r="GT241" s="316"/>
      <c r="GU241" s="316"/>
      <c r="GV241" s="316"/>
      <c r="GW241" s="316"/>
      <c r="GX241" s="316"/>
      <c r="GY241" s="316"/>
      <c r="GZ241" s="316"/>
      <c r="HA241" s="316"/>
      <c r="HB241" s="316"/>
      <c r="HC241" s="316"/>
      <c r="HD241" s="316"/>
      <c r="HE241" s="316"/>
      <c r="HF241" s="316"/>
      <c r="HG241" s="316"/>
      <c r="HH241" s="316"/>
      <c r="HI241" s="316"/>
      <c r="HJ241" s="316"/>
      <c r="HK241" s="316"/>
      <c r="HL241" s="316"/>
      <c r="HM241" s="316"/>
      <c r="HV241" s="302">
        <f t="shared" si="48"/>
        <v>168.444526473</v>
      </c>
      <c r="HW241" s="302">
        <f t="shared" si="49"/>
        <v>263.71561988799999</v>
      </c>
      <c r="HX241" s="346">
        <f t="shared" si="45"/>
        <v>432.16014636099999</v>
      </c>
      <c r="HY241" s="302">
        <f t="shared" si="50"/>
        <v>165.72654557300001</v>
      </c>
      <c r="KH241" s="303"/>
    </row>
    <row r="242" spans="2:294" outlineLevel="1">
      <c r="B242" s="117" t="s">
        <v>361</v>
      </c>
      <c r="D242" s="337" t="s">
        <v>468</v>
      </c>
      <c r="E242" s="316"/>
      <c r="F242" s="316"/>
      <c r="G242" s="316"/>
      <c r="H242" s="316"/>
      <c r="I242" s="316"/>
      <c r="J242" s="316"/>
      <c r="K242" s="316"/>
      <c r="L242" s="316"/>
      <c r="M242" s="316"/>
      <c r="N242" s="316"/>
      <c r="O242" s="316"/>
      <c r="P242" s="316"/>
      <c r="Q242" s="316"/>
      <c r="R242" s="316"/>
      <c r="S242" s="316"/>
      <c r="T242" s="316"/>
      <c r="U242" s="316"/>
      <c r="V242" s="316"/>
      <c r="W242" s="316"/>
      <c r="X242" s="316"/>
      <c r="Y242" s="316"/>
      <c r="Z242" s="316"/>
      <c r="AA242" s="316"/>
      <c r="AB242" s="316"/>
      <c r="AC242" s="316"/>
      <c r="AD242" s="316"/>
      <c r="AE242" s="316"/>
      <c r="AF242" s="316"/>
      <c r="AG242" s="316"/>
      <c r="AH242" s="316"/>
      <c r="AI242" s="316"/>
      <c r="AJ242" s="316"/>
      <c r="AK242" s="316"/>
      <c r="AL242" s="316"/>
      <c r="AM242" s="316"/>
      <c r="AN242" s="316"/>
      <c r="AO242" s="316"/>
      <c r="AP242" s="316"/>
      <c r="AQ242" s="316"/>
      <c r="AR242" s="316"/>
      <c r="AS242" s="316"/>
      <c r="AT242" s="316"/>
      <c r="AU242" s="316"/>
      <c r="AV242" s="316"/>
      <c r="AW242" s="316"/>
      <c r="AX242" s="316"/>
      <c r="AY242" s="316"/>
      <c r="AZ242" s="316"/>
      <c r="BA242" s="316"/>
      <c r="BB242" s="316"/>
      <c r="BC242" s="316"/>
      <c r="BD242" s="316"/>
      <c r="BE242" s="316"/>
      <c r="BF242" s="316"/>
      <c r="BG242" s="316"/>
      <c r="BH242" s="316"/>
      <c r="BI242" s="316"/>
      <c r="BJ242" s="316"/>
      <c r="BK242" s="316"/>
      <c r="BL242" s="316"/>
      <c r="BM242" s="316"/>
      <c r="BN242" s="316"/>
      <c r="BO242" s="316"/>
      <c r="BP242" s="316"/>
      <c r="BQ242" s="316"/>
      <c r="BR242" s="316"/>
      <c r="BS242" s="316"/>
      <c r="BT242" s="316"/>
      <c r="BU242" s="316"/>
      <c r="BV242" s="316"/>
      <c r="BW242" s="316"/>
      <c r="BX242" s="316"/>
      <c r="BY242" s="316"/>
      <c r="BZ242" s="316"/>
      <c r="CA242" s="316"/>
      <c r="CB242" s="316"/>
      <c r="CC242" s="316"/>
      <c r="CD242" s="316"/>
      <c r="CE242" s="317">
        <v>2.352804377</v>
      </c>
      <c r="CF242" s="316">
        <v>4.3249138110000001</v>
      </c>
      <c r="CG242" s="316">
        <v>2.5435362939999999</v>
      </c>
      <c r="CH242" s="316">
        <v>8.3786073380000001</v>
      </c>
      <c r="CI242" s="316">
        <v>4.2638647719999998</v>
      </c>
      <c r="CJ242" s="316">
        <v>11.96225523</v>
      </c>
      <c r="CK242" s="316">
        <v>17.921396846</v>
      </c>
      <c r="CL242" s="316">
        <v>6.7096976100000001</v>
      </c>
      <c r="CM242" s="316">
        <v>5.7495258040000001</v>
      </c>
      <c r="CN242" s="316">
        <v>22.415040608000002</v>
      </c>
      <c r="CO242" s="316">
        <v>20.999657485</v>
      </c>
      <c r="CP242" s="318">
        <v>11.487184998</v>
      </c>
      <c r="CQ242" s="316">
        <v>2.827208749</v>
      </c>
      <c r="CR242" s="316">
        <v>7.9455821740000001</v>
      </c>
      <c r="CS242" s="316">
        <v>21.349758787999999</v>
      </c>
      <c r="CT242" s="316">
        <v>2.8231263389999999</v>
      </c>
      <c r="CU242" s="316">
        <v>6.9828340830000002</v>
      </c>
      <c r="CV242" s="316">
        <v>13.288142703</v>
      </c>
      <c r="CW242" s="316">
        <v>11.747981891</v>
      </c>
      <c r="CX242" s="316">
        <v>11.479197488000001</v>
      </c>
      <c r="CY242" s="316">
        <v>31.065068091000001</v>
      </c>
      <c r="CZ242" s="316">
        <v>15.875564785</v>
      </c>
      <c r="DA242" s="316">
        <v>13.154465117999999</v>
      </c>
      <c r="DB242" s="1498">
        <v>20.969254713000002</v>
      </c>
      <c r="DC242" s="316">
        <v>3.3617248169999998</v>
      </c>
      <c r="DD242" s="316">
        <v>16.710014044000001</v>
      </c>
      <c r="DE242" s="316">
        <v>17.079653381</v>
      </c>
      <c r="DF242" s="316">
        <v>12.153026630999999</v>
      </c>
      <c r="DG242" s="316">
        <v>16.529425214</v>
      </c>
      <c r="DH242" s="316">
        <v>9.9983772779999995</v>
      </c>
      <c r="DI242" s="316">
        <v>16.743957596000001</v>
      </c>
      <c r="DJ242" s="316">
        <v>4.9279440770000003</v>
      </c>
      <c r="DK242" s="316">
        <v>6.7148079740000002</v>
      </c>
      <c r="DL242" s="316">
        <v>11.01666902</v>
      </c>
      <c r="DM242" s="316">
        <v>10.962534661999999</v>
      </c>
      <c r="DN242" s="318">
        <v>10.569068034000001</v>
      </c>
      <c r="DO242" s="316">
        <v>11.900812760999999</v>
      </c>
      <c r="DP242" s="316">
        <v>6.8321448910000004</v>
      </c>
      <c r="DQ242" s="316">
        <v>13.540982852999999</v>
      </c>
      <c r="DR242" s="316">
        <v>22.341660553000001</v>
      </c>
      <c r="DS242" s="316">
        <v>9.4904586379999998</v>
      </c>
      <c r="DT242" s="316">
        <v>39.122165154000001</v>
      </c>
      <c r="DU242" s="316">
        <v>9.9199702439999999</v>
      </c>
      <c r="DV242" s="316">
        <v>8.3620142229999992</v>
      </c>
      <c r="DW242" s="316">
        <v>9.6077540589999995</v>
      </c>
      <c r="DX242" s="316">
        <v>6.9123071490000001</v>
      </c>
      <c r="DY242" s="316">
        <v>7.3059550289999997</v>
      </c>
      <c r="DZ242" s="318">
        <v>14.00744409</v>
      </c>
      <c r="EA242" s="316">
        <v>7.4882011090000002</v>
      </c>
      <c r="EB242" s="316">
        <v>9.0777707280000008</v>
      </c>
      <c r="EC242" s="316">
        <v>16.768792312999999</v>
      </c>
      <c r="ED242" s="316">
        <v>16.139019146999999</v>
      </c>
      <c r="EE242" s="316">
        <v>4.8869796120000002</v>
      </c>
      <c r="EF242" s="316">
        <v>45.187501312000002</v>
      </c>
      <c r="EG242" s="316">
        <v>17.600851702</v>
      </c>
      <c r="EH242" s="316">
        <v>3.2984602820000002</v>
      </c>
      <c r="EI242" s="316">
        <v>7.696409729</v>
      </c>
      <c r="EJ242" s="316">
        <v>9.9253390410000009</v>
      </c>
      <c r="EK242" s="316">
        <v>11.935431541</v>
      </c>
      <c r="EL242" s="318">
        <v>10.998916783</v>
      </c>
      <c r="EM242" s="1206">
        <v>6.7698534429999997</v>
      </c>
      <c r="EN242" s="1206">
        <v>6.1516147510000003</v>
      </c>
      <c r="EO242" s="1206">
        <v>20.030871525999999</v>
      </c>
      <c r="EP242" s="1206">
        <v>19.066732634000001</v>
      </c>
      <c r="EQ242" s="1206">
        <v>6.8442039440000002</v>
      </c>
      <c r="ER242" s="1206">
        <v>27.709374836999999</v>
      </c>
      <c r="ES242" s="1206">
        <v>24.556276254</v>
      </c>
      <c r="ET242" s="1206">
        <v>13.042276478</v>
      </c>
      <c r="EU242" s="1206">
        <v>15.308398003000001</v>
      </c>
      <c r="EV242" s="1206">
        <v>17.357775522000001</v>
      </c>
      <c r="EW242" s="1206">
        <v>10.556014693</v>
      </c>
      <c r="EX242" s="1550">
        <v>26.009762047999999</v>
      </c>
      <c r="EY242" s="1206"/>
      <c r="EZ242" s="1206"/>
      <c r="FA242" s="1206"/>
      <c r="FB242" s="1206"/>
      <c r="FC242" s="1206"/>
      <c r="FD242" s="1206"/>
      <c r="FE242" s="1206"/>
      <c r="FF242" s="1206"/>
      <c r="FG242" s="1206"/>
      <c r="FH242" s="1206"/>
      <c r="FI242" s="1206"/>
      <c r="FJ242" s="1550"/>
      <c r="FK242" s="1206"/>
      <c r="FL242" s="1206"/>
      <c r="FM242" s="1206"/>
      <c r="FN242" s="1206"/>
      <c r="FO242" s="1206"/>
      <c r="FP242" s="1206"/>
      <c r="FQ242" s="316"/>
      <c r="FR242" s="316"/>
      <c r="FS242" s="316"/>
      <c r="FT242" s="316"/>
      <c r="FU242" s="316"/>
      <c r="FV242" s="316"/>
      <c r="FW242" s="316"/>
      <c r="FX242" s="316"/>
      <c r="FY242" s="316"/>
      <c r="FZ242" s="316"/>
      <c r="GA242" s="316"/>
      <c r="GB242" s="316"/>
      <c r="GC242" s="316"/>
      <c r="GD242" s="316"/>
      <c r="GE242" s="316"/>
      <c r="GF242" s="316"/>
      <c r="GG242" s="316"/>
      <c r="GH242" s="316"/>
      <c r="GI242" s="316"/>
      <c r="GJ242" s="316"/>
      <c r="GK242" s="316"/>
      <c r="GL242" s="316"/>
      <c r="GM242" s="316"/>
      <c r="GN242" s="316"/>
      <c r="GO242" s="316"/>
      <c r="GP242" s="316"/>
      <c r="GQ242" s="316"/>
      <c r="GR242" s="316"/>
      <c r="GS242" s="316"/>
      <c r="GT242" s="316"/>
      <c r="GU242" s="316"/>
      <c r="GV242" s="316"/>
      <c r="GW242" s="316"/>
      <c r="GX242" s="316"/>
      <c r="GY242" s="316"/>
      <c r="GZ242" s="316"/>
      <c r="HA242" s="316"/>
      <c r="HB242" s="316"/>
      <c r="HC242" s="316"/>
      <c r="HD242" s="316"/>
      <c r="HE242" s="316"/>
      <c r="HF242" s="316"/>
      <c r="HG242" s="316"/>
      <c r="HH242" s="316"/>
      <c r="HI242" s="316"/>
      <c r="HJ242" s="316"/>
      <c r="HK242" s="316"/>
      <c r="HL242" s="316"/>
      <c r="HM242" s="316"/>
      <c r="HV242" s="302">
        <f t="shared" si="48"/>
        <v>75.832221365000009</v>
      </c>
      <c r="HW242" s="302">
        <f t="shared" si="49"/>
        <v>60.934981362999991</v>
      </c>
      <c r="HX242" s="346">
        <f t="shared" si="45"/>
        <v>136.767202728</v>
      </c>
      <c r="HY242" s="302">
        <f t="shared" si="50"/>
        <v>103.22822484999999</v>
      </c>
      <c r="KH242" s="303"/>
    </row>
    <row r="243" spans="2:294" outlineLevel="1">
      <c r="B243" s="117" t="s">
        <v>361</v>
      </c>
      <c r="D243" s="337" t="s">
        <v>473</v>
      </c>
      <c r="E243" s="316"/>
      <c r="F243" s="316"/>
      <c r="G243" s="316"/>
      <c r="H243" s="316"/>
      <c r="I243" s="316"/>
      <c r="J243" s="316"/>
      <c r="K243" s="316"/>
      <c r="L243" s="316"/>
      <c r="M243" s="316"/>
      <c r="N243" s="316"/>
      <c r="O243" s="316"/>
      <c r="P243" s="316"/>
      <c r="Q243" s="316"/>
      <c r="R243" s="316"/>
      <c r="S243" s="316"/>
      <c r="T243" s="316"/>
      <c r="U243" s="316"/>
      <c r="V243" s="316"/>
      <c r="W243" s="316"/>
      <c r="X243" s="316"/>
      <c r="Y243" s="316"/>
      <c r="Z243" s="316"/>
      <c r="AA243" s="316"/>
      <c r="AB243" s="316"/>
      <c r="AC243" s="316"/>
      <c r="AD243" s="316"/>
      <c r="AE243" s="316"/>
      <c r="AF243" s="316"/>
      <c r="AG243" s="316"/>
      <c r="AH243" s="316"/>
      <c r="AI243" s="316"/>
      <c r="AJ243" s="316"/>
      <c r="AK243" s="316"/>
      <c r="AL243" s="316"/>
      <c r="AM243" s="316"/>
      <c r="AN243" s="316"/>
      <c r="AO243" s="316"/>
      <c r="AP243" s="316"/>
      <c r="AQ243" s="316"/>
      <c r="AR243" s="316"/>
      <c r="AS243" s="316"/>
      <c r="AT243" s="316"/>
      <c r="AU243" s="316"/>
      <c r="AV243" s="316"/>
      <c r="AW243" s="316"/>
      <c r="AX243" s="316"/>
      <c r="AY243" s="316"/>
      <c r="AZ243" s="316"/>
      <c r="BA243" s="316"/>
      <c r="BB243" s="316"/>
      <c r="BC243" s="316"/>
      <c r="BD243" s="316"/>
      <c r="BE243" s="316"/>
      <c r="BF243" s="316"/>
      <c r="BG243" s="316"/>
      <c r="BH243" s="316"/>
      <c r="BI243" s="316"/>
      <c r="BJ243" s="316"/>
      <c r="BK243" s="316"/>
      <c r="BL243" s="316"/>
      <c r="BM243" s="316"/>
      <c r="BN243" s="316"/>
      <c r="BO243" s="316"/>
      <c r="BP243" s="316"/>
      <c r="BQ243" s="316"/>
      <c r="BR243" s="316"/>
      <c r="BS243" s="316"/>
      <c r="BT243" s="316"/>
      <c r="BU243" s="316"/>
      <c r="BV243" s="316"/>
      <c r="BW243" s="316"/>
      <c r="BX243" s="316"/>
      <c r="BY243" s="316"/>
      <c r="BZ243" s="316"/>
      <c r="CA243" s="316"/>
      <c r="CB243" s="316"/>
      <c r="CC243" s="316"/>
      <c r="CD243" s="316"/>
      <c r="CE243" s="317">
        <v>0</v>
      </c>
      <c r="CF243" s="316">
        <v>5.9806559970000004</v>
      </c>
      <c r="CG243" s="316">
        <v>0</v>
      </c>
      <c r="CH243" s="316">
        <v>0.135849474</v>
      </c>
      <c r="CI243" s="316">
        <v>5.3964651180000001</v>
      </c>
      <c r="CJ243" s="316">
        <v>2.852216866</v>
      </c>
      <c r="CK243" s="316">
        <v>0.45901865600000002</v>
      </c>
      <c r="CL243" s="316">
        <v>0.28852551599999998</v>
      </c>
      <c r="CM243" s="316">
        <v>0.67146054600000005</v>
      </c>
      <c r="CN243" s="316">
        <v>1.7030574979999999</v>
      </c>
      <c r="CO243" s="316">
        <v>0.30047096299999998</v>
      </c>
      <c r="CP243" s="318">
        <v>4.4995195150000002</v>
      </c>
      <c r="CQ243" s="316">
        <v>0</v>
      </c>
      <c r="CR243" s="316">
        <v>0</v>
      </c>
      <c r="CS243" s="316">
        <v>7.1458173409999999</v>
      </c>
      <c r="CT243" s="316">
        <v>3.7718999000000003E-2</v>
      </c>
      <c r="CU243" s="316">
        <v>0</v>
      </c>
      <c r="CV243" s="316">
        <v>4.4777999999999997E-3</v>
      </c>
      <c r="CW243" s="316">
        <v>0</v>
      </c>
      <c r="CX243" s="316">
        <v>0.39217257500000002</v>
      </c>
      <c r="CY243" s="316">
        <v>0</v>
      </c>
      <c r="CZ243" s="316">
        <v>4.1639014940000001</v>
      </c>
      <c r="DA243" s="316">
        <v>5.4260867309999998</v>
      </c>
      <c r="DB243" s="1498">
        <v>8.7094935610000004</v>
      </c>
      <c r="DC243" s="316">
        <v>0</v>
      </c>
      <c r="DD243" s="316">
        <v>0</v>
      </c>
      <c r="DE243" s="316">
        <v>0</v>
      </c>
      <c r="DF243" s="316">
        <v>0</v>
      </c>
      <c r="DG243" s="316">
        <v>0</v>
      </c>
      <c r="DH243" s="316">
        <v>0</v>
      </c>
      <c r="DI243" s="316">
        <v>0.74642232600000002</v>
      </c>
      <c r="DJ243" s="316">
        <v>0.75568703500000001</v>
      </c>
      <c r="DK243" s="316">
        <v>0.65010734199999998</v>
      </c>
      <c r="DL243" s="316">
        <v>0.733325966</v>
      </c>
      <c r="DM243" s="316">
        <v>0</v>
      </c>
      <c r="DN243" s="318">
        <v>2.2750088389999998</v>
      </c>
      <c r="DO243" s="316">
        <v>0</v>
      </c>
      <c r="DP243" s="316">
        <v>0</v>
      </c>
      <c r="DQ243" s="316">
        <v>0</v>
      </c>
      <c r="DR243" s="316">
        <v>0</v>
      </c>
      <c r="DS243" s="316">
        <v>0</v>
      </c>
      <c r="DT243" s="316">
        <v>0</v>
      </c>
      <c r="DU243" s="316">
        <v>0</v>
      </c>
      <c r="DV243" s="316">
        <v>0</v>
      </c>
      <c r="DW243" s="316">
        <v>0</v>
      </c>
      <c r="DX243" s="316">
        <v>0</v>
      </c>
      <c r="DY243" s="316">
        <v>0</v>
      </c>
      <c r="DZ243" s="318">
        <v>0</v>
      </c>
      <c r="EA243" s="316">
        <v>0</v>
      </c>
      <c r="EB243" s="316">
        <v>0</v>
      </c>
      <c r="EC243" s="316">
        <v>0</v>
      </c>
      <c r="ED243" s="316">
        <v>0</v>
      </c>
      <c r="EE243" s="316">
        <v>0</v>
      </c>
      <c r="EF243" s="316">
        <v>0</v>
      </c>
      <c r="EG243" s="316">
        <v>0</v>
      </c>
      <c r="EH243" s="316">
        <v>0</v>
      </c>
      <c r="EI243" s="316">
        <v>0</v>
      </c>
      <c r="EJ243" s="316">
        <v>0</v>
      </c>
      <c r="EK243" s="316">
        <v>0</v>
      </c>
      <c r="EL243" s="318">
        <v>0</v>
      </c>
      <c r="EM243" s="1206">
        <v>0</v>
      </c>
      <c r="EN243" s="1206">
        <v>0</v>
      </c>
      <c r="EO243" s="1206">
        <v>0</v>
      </c>
      <c r="EP243" s="1206">
        <v>0</v>
      </c>
      <c r="EQ243" s="1206">
        <v>0</v>
      </c>
      <c r="ER243" s="1206">
        <v>0</v>
      </c>
      <c r="ES243" s="1206">
        <v>0</v>
      </c>
      <c r="ET243" s="1206">
        <v>0</v>
      </c>
      <c r="EU243" s="1206">
        <v>0</v>
      </c>
      <c r="EV243" s="1206">
        <v>0</v>
      </c>
      <c r="EW243" s="1206">
        <v>0</v>
      </c>
      <c r="EX243" s="1550">
        <v>0</v>
      </c>
      <c r="EY243" s="1206"/>
      <c r="EZ243" s="1206"/>
      <c r="FA243" s="1206"/>
      <c r="FB243" s="1206"/>
      <c r="FC243" s="1206"/>
      <c r="FD243" s="1206"/>
      <c r="FE243" s="1206"/>
      <c r="FF243" s="1206"/>
      <c r="FG243" s="1206"/>
      <c r="FH243" s="1206"/>
      <c r="FI243" s="1206"/>
      <c r="FJ243" s="1550"/>
      <c r="FK243" s="1206"/>
      <c r="FL243" s="1206"/>
      <c r="FM243" s="1206"/>
      <c r="FN243" s="1206"/>
      <c r="FO243" s="1206"/>
      <c r="FP243" s="1206"/>
      <c r="FQ243" s="316"/>
      <c r="FR243" s="316"/>
      <c r="FS243" s="316"/>
      <c r="FT243" s="316"/>
      <c r="FU243" s="316"/>
      <c r="FV243" s="316"/>
      <c r="FW243" s="316"/>
      <c r="FX243" s="316"/>
      <c r="FY243" s="316"/>
      <c r="FZ243" s="316"/>
      <c r="GA243" s="316"/>
      <c r="GB243" s="316"/>
      <c r="GC243" s="316"/>
      <c r="GD243" s="316"/>
      <c r="GE243" s="316"/>
      <c r="GF243" s="316"/>
      <c r="GG243" s="316"/>
      <c r="GH243" s="316"/>
      <c r="GI243" s="316"/>
      <c r="GJ243" s="316"/>
      <c r="GK243" s="316"/>
      <c r="GL243" s="316"/>
      <c r="GM243" s="316"/>
      <c r="GN243" s="316"/>
      <c r="GO243" s="316"/>
      <c r="GP243" s="316"/>
      <c r="GQ243" s="316"/>
      <c r="GR243" s="316"/>
      <c r="GS243" s="316"/>
      <c r="GT243" s="316"/>
      <c r="GU243" s="316"/>
      <c r="GV243" s="316"/>
      <c r="GW243" s="316"/>
      <c r="GX243" s="316"/>
      <c r="GY243" s="316"/>
      <c r="GZ243" s="316"/>
      <c r="HA243" s="316"/>
      <c r="HB243" s="316"/>
      <c r="HC243" s="316"/>
      <c r="HD243" s="316"/>
      <c r="HE243" s="316"/>
      <c r="HF243" s="316"/>
      <c r="HG243" s="316"/>
      <c r="HH243" s="316"/>
      <c r="HI243" s="316"/>
      <c r="HJ243" s="316"/>
      <c r="HK243" s="316"/>
      <c r="HL243" s="316"/>
      <c r="HM243" s="316"/>
      <c r="HV243" s="302">
        <f t="shared" si="48"/>
        <v>0</v>
      </c>
      <c r="HW243" s="302">
        <f t="shared" si="49"/>
        <v>5.1605515080000002</v>
      </c>
      <c r="HX243" s="346">
        <f t="shared" si="45"/>
        <v>5.1605515080000002</v>
      </c>
      <c r="HY243" s="302">
        <f t="shared" si="50"/>
        <v>0</v>
      </c>
      <c r="KH243" s="303"/>
    </row>
    <row r="244" spans="2:294" outlineLevel="1">
      <c r="B244" s="117" t="s">
        <v>361</v>
      </c>
      <c r="D244" s="337" t="s">
        <v>477</v>
      </c>
      <c r="E244" s="316"/>
      <c r="F244" s="316"/>
      <c r="G244" s="316"/>
      <c r="H244" s="316"/>
      <c r="I244" s="316"/>
      <c r="J244" s="316"/>
      <c r="K244" s="316"/>
      <c r="L244" s="316"/>
      <c r="M244" s="316"/>
      <c r="N244" s="316"/>
      <c r="O244" s="316"/>
      <c r="P244" s="316"/>
      <c r="Q244" s="316"/>
      <c r="R244" s="316"/>
      <c r="S244" s="316"/>
      <c r="T244" s="316"/>
      <c r="U244" s="316"/>
      <c r="V244" s="316"/>
      <c r="W244" s="316"/>
      <c r="X244" s="316"/>
      <c r="Y244" s="316"/>
      <c r="Z244" s="316"/>
      <c r="AA244" s="316"/>
      <c r="AB244" s="316"/>
      <c r="AC244" s="316"/>
      <c r="AD244" s="316"/>
      <c r="AE244" s="316"/>
      <c r="AF244" s="316"/>
      <c r="AG244" s="316"/>
      <c r="AH244" s="316"/>
      <c r="AI244" s="316"/>
      <c r="AJ244" s="316"/>
      <c r="AK244" s="316"/>
      <c r="AL244" s="316"/>
      <c r="AM244" s="316"/>
      <c r="AN244" s="316"/>
      <c r="AO244" s="316"/>
      <c r="AP244" s="316"/>
      <c r="AQ244" s="316"/>
      <c r="AR244" s="316"/>
      <c r="AS244" s="316"/>
      <c r="AT244" s="316"/>
      <c r="AU244" s="316"/>
      <c r="AV244" s="316"/>
      <c r="AW244" s="316"/>
      <c r="AX244" s="316"/>
      <c r="AY244" s="316"/>
      <c r="AZ244" s="316"/>
      <c r="BA244" s="316"/>
      <c r="BB244" s="316"/>
      <c r="BC244" s="316"/>
      <c r="BD244" s="316"/>
      <c r="BE244" s="316"/>
      <c r="BF244" s="316"/>
      <c r="BG244" s="316"/>
      <c r="BH244" s="316"/>
      <c r="BI244" s="316"/>
      <c r="BJ244" s="316"/>
      <c r="BK244" s="316"/>
      <c r="BL244" s="316"/>
      <c r="BM244" s="316"/>
      <c r="BN244" s="316"/>
      <c r="BO244" s="316"/>
      <c r="BP244" s="316"/>
      <c r="BQ244" s="316"/>
      <c r="BR244" s="316"/>
      <c r="BS244" s="316"/>
      <c r="BT244" s="316"/>
      <c r="BU244" s="316"/>
      <c r="BV244" s="316"/>
      <c r="BW244" s="316"/>
      <c r="BX244" s="316"/>
      <c r="BY244" s="316"/>
      <c r="BZ244" s="316"/>
      <c r="CA244" s="316"/>
      <c r="CB244" s="316"/>
      <c r="CC244" s="316"/>
      <c r="CD244" s="316"/>
      <c r="CE244" s="317">
        <v>8.7415903769999996</v>
      </c>
      <c r="CF244" s="316">
        <v>7.9504822170000002</v>
      </c>
      <c r="CG244" s="316">
        <v>9.5546624940000005</v>
      </c>
      <c r="CH244" s="316">
        <v>12.398293619</v>
      </c>
      <c r="CI244" s="316">
        <v>12.774283292</v>
      </c>
      <c r="CJ244" s="316">
        <v>11.885031553999999</v>
      </c>
      <c r="CK244" s="316">
        <v>12.232055731000001</v>
      </c>
      <c r="CL244" s="316">
        <v>11.215308689</v>
      </c>
      <c r="CM244" s="316">
        <v>11.345104039000001</v>
      </c>
      <c r="CN244" s="316">
        <v>14.394406369</v>
      </c>
      <c r="CO244" s="316">
        <v>16.510584692999998</v>
      </c>
      <c r="CP244" s="318">
        <v>13.224545317</v>
      </c>
      <c r="CQ244" s="316">
        <v>13.693573508</v>
      </c>
      <c r="CR244" s="316">
        <v>11.137954858000001</v>
      </c>
      <c r="CS244" s="316">
        <v>15.248563475999999</v>
      </c>
      <c r="CT244" s="316">
        <v>13.558980758000001</v>
      </c>
      <c r="CU244" s="316">
        <v>15.64991045</v>
      </c>
      <c r="CV244" s="316">
        <v>23.429708950999999</v>
      </c>
      <c r="CW244" s="316">
        <v>22.202783358000001</v>
      </c>
      <c r="CX244" s="316">
        <v>12.325948228</v>
      </c>
      <c r="CY244" s="316">
        <v>19.695945395999999</v>
      </c>
      <c r="CZ244" s="316">
        <v>16.570881312000001</v>
      </c>
      <c r="DA244" s="316">
        <v>9.1958878720000001</v>
      </c>
      <c r="DB244" s="1498">
        <v>15.019864312999999</v>
      </c>
      <c r="DC244" s="316">
        <v>9.4259825540000008</v>
      </c>
      <c r="DD244" s="316">
        <v>19.393590053</v>
      </c>
      <c r="DE244" s="316">
        <v>13.056603406000001</v>
      </c>
      <c r="DF244" s="316">
        <v>19.722771295000001</v>
      </c>
      <c r="DG244" s="316">
        <v>10.599101391</v>
      </c>
      <c r="DH244" s="316">
        <v>20.901919025000002</v>
      </c>
      <c r="DI244" s="316">
        <v>12.772065245</v>
      </c>
      <c r="DJ244" s="316">
        <v>17.222341178000001</v>
      </c>
      <c r="DK244" s="316">
        <v>11.515625386</v>
      </c>
      <c r="DL244" s="316">
        <v>17.329424532000001</v>
      </c>
      <c r="DM244" s="316">
        <v>11.609994572</v>
      </c>
      <c r="DN244" s="318">
        <v>16.904907199</v>
      </c>
      <c r="DO244" s="316">
        <v>17.649825823</v>
      </c>
      <c r="DP244" s="316">
        <v>10.685843561</v>
      </c>
      <c r="DQ244" s="316">
        <v>14.152345973999999</v>
      </c>
      <c r="DR244" s="316">
        <v>22.939820272999999</v>
      </c>
      <c r="DS244" s="316">
        <v>12.652276299</v>
      </c>
      <c r="DT244" s="316">
        <v>19.615904769</v>
      </c>
      <c r="DU244" s="316">
        <v>13.944320357</v>
      </c>
      <c r="DV244" s="316">
        <v>15.465819615999999</v>
      </c>
      <c r="DW244" s="316">
        <v>15.726253386</v>
      </c>
      <c r="DX244" s="316">
        <v>14.726030087</v>
      </c>
      <c r="DY244" s="316">
        <v>16.188808007999999</v>
      </c>
      <c r="DZ244" s="318">
        <v>20.407458263999999</v>
      </c>
      <c r="EA244" s="316">
        <v>16.389945106999999</v>
      </c>
      <c r="EB244" s="316">
        <v>11.549463073</v>
      </c>
      <c r="EC244" s="316">
        <v>16.653329973999998</v>
      </c>
      <c r="ED244" s="316">
        <v>19.488419819000001</v>
      </c>
      <c r="EE244" s="316">
        <v>14.973082892000001</v>
      </c>
      <c r="EF244" s="316">
        <v>21.532544535</v>
      </c>
      <c r="EG244" s="316">
        <v>19.355675709</v>
      </c>
      <c r="EH244" s="316">
        <v>14.603730814</v>
      </c>
      <c r="EI244" s="316">
        <v>14.292192969</v>
      </c>
      <c r="EJ244" s="316">
        <v>17.213966965000001</v>
      </c>
      <c r="EK244" s="316">
        <v>17.418467822</v>
      </c>
      <c r="EL244" s="318">
        <v>16.981185755999999</v>
      </c>
      <c r="EM244" s="1206">
        <v>19.836760339000001</v>
      </c>
      <c r="EN244" s="1206">
        <v>12.799703174999999</v>
      </c>
      <c r="EO244" s="1206">
        <v>15.986436706999999</v>
      </c>
      <c r="EP244" s="1206">
        <v>16.881349798999999</v>
      </c>
      <c r="EQ244" s="1206">
        <v>14.272429762</v>
      </c>
      <c r="ER244" s="1206">
        <v>27.582314833000002</v>
      </c>
      <c r="ES244" s="1206">
        <v>28.871944460000002</v>
      </c>
      <c r="ET244" s="1206">
        <v>14.802206663</v>
      </c>
      <c r="EU244" s="1206">
        <v>18.324866591999999</v>
      </c>
      <c r="EV244" s="1206">
        <v>23.969349605000001</v>
      </c>
      <c r="EW244" s="1206">
        <v>14.078212747</v>
      </c>
      <c r="EX244" s="1550">
        <v>24.685959437000001</v>
      </c>
      <c r="EY244" s="1206"/>
      <c r="EZ244" s="1206"/>
      <c r="FA244" s="1206"/>
      <c r="FB244" s="1206"/>
      <c r="FC244" s="1206"/>
      <c r="FD244" s="1206"/>
      <c r="FE244" s="1206"/>
      <c r="FF244" s="1206"/>
      <c r="FG244" s="1206"/>
      <c r="FH244" s="1206"/>
      <c r="FI244" s="1206"/>
      <c r="FJ244" s="1550"/>
      <c r="FK244" s="1206"/>
      <c r="FL244" s="1206"/>
      <c r="FM244" s="1206"/>
      <c r="FN244" s="1206"/>
      <c r="FO244" s="1206"/>
      <c r="FP244" s="1206"/>
      <c r="FQ244" s="316"/>
      <c r="FR244" s="316"/>
      <c r="FS244" s="316"/>
      <c r="FT244" s="316"/>
      <c r="FU244" s="316"/>
      <c r="FV244" s="316"/>
      <c r="FW244" s="316"/>
      <c r="FX244" s="316"/>
      <c r="FY244" s="316"/>
      <c r="FZ244" s="316"/>
      <c r="GA244" s="316"/>
      <c r="GB244" s="316"/>
      <c r="GC244" s="316"/>
      <c r="GD244" s="316"/>
      <c r="GE244" s="316"/>
      <c r="GF244" s="316"/>
      <c r="GG244" s="316"/>
      <c r="GH244" s="316"/>
      <c r="GI244" s="316"/>
      <c r="GJ244" s="316"/>
      <c r="GK244" s="316"/>
      <c r="GL244" s="316"/>
      <c r="GM244" s="316"/>
      <c r="GN244" s="316"/>
      <c r="GO244" s="316"/>
      <c r="GP244" s="316"/>
      <c r="GQ244" s="316"/>
      <c r="GR244" s="316"/>
      <c r="GS244" s="316"/>
      <c r="GT244" s="316"/>
      <c r="GU244" s="316"/>
      <c r="GV244" s="316"/>
      <c r="GW244" s="316"/>
      <c r="GX244" s="316"/>
      <c r="GY244" s="316"/>
      <c r="GZ244" s="316"/>
      <c r="HA244" s="316"/>
      <c r="HB244" s="316"/>
      <c r="HC244" s="316"/>
      <c r="HD244" s="316"/>
      <c r="HE244" s="316"/>
      <c r="HF244" s="316"/>
      <c r="HG244" s="316"/>
      <c r="HH244" s="316"/>
      <c r="HI244" s="316"/>
      <c r="HJ244" s="316"/>
      <c r="HK244" s="316"/>
      <c r="HL244" s="316"/>
      <c r="HM244" s="316"/>
      <c r="HV244" s="302">
        <f t="shared" si="48"/>
        <v>93.09996772400001</v>
      </c>
      <c r="HW244" s="302">
        <f t="shared" si="49"/>
        <v>87.354358112</v>
      </c>
      <c r="HX244" s="346">
        <f t="shared" si="45"/>
        <v>180.45432583600001</v>
      </c>
      <c r="HY244" s="302">
        <f t="shared" si="50"/>
        <v>97.696016698999983</v>
      </c>
      <c r="KH244" s="303"/>
    </row>
    <row r="245" spans="2:294" outlineLevel="1">
      <c r="B245" s="117" t="s">
        <v>361</v>
      </c>
      <c r="D245" s="337" t="s">
        <v>471</v>
      </c>
      <c r="E245" s="316"/>
      <c r="F245" s="316"/>
      <c r="G245" s="316"/>
      <c r="H245" s="316"/>
      <c r="I245" s="316"/>
      <c r="J245" s="316"/>
      <c r="K245" s="316"/>
      <c r="L245" s="316"/>
      <c r="M245" s="316"/>
      <c r="N245" s="316"/>
      <c r="O245" s="316"/>
      <c r="P245" s="316"/>
      <c r="Q245" s="316"/>
      <c r="R245" s="316"/>
      <c r="S245" s="316"/>
      <c r="T245" s="316"/>
      <c r="U245" s="316"/>
      <c r="V245" s="316"/>
      <c r="W245" s="316"/>
      <c r="X245" s="316"/>
      <c r="Y245" s="316"/>
      <c r="Z245" s="316"/>
      <c r="AA245" s="316"/>
      <c r="AB245" s="316"/>
      <c r="AC245" s="316"/>
      <c r="AD245" s="316"/>
      <c r="AE245" s="316"/>
      <c r="AF245" s="316"/>
      <c r="AG245" s="316"/>
      <c r="AH245" s="316"/>
      <c r="AI245" s="316"/>
      <c r="AJ245" s="316"/>
      <c r="AK245" s="316"/>
      <c r="AL245" s="316"/>
      <c r="AM245" s="316"/>
      <c r="AN245" s="316"/>
      <c r="AO245" s="316"/>
      <c r="AP245" s="316"/>
      <c r="AQ245" s="316"/>
      <c r="AR245" s="316"/>
      <c r="AS245" s="316"/>
      <c r="AT245" s="316"/>
      <c r="AU245" s="316"/>
      <c r="AV245" s="316"/>
      <c r="AW245" s="316"/>
      <c r="AX245" s="316"/>
      <c r="AY245" s="316"/>
      <c r="AZ245" s="316"/>
      <c r="BA245" s="316"/>
      <c r="BB245" s="316"/>
      <c r="BC245" s="316"/>
      <c r="BD245" s="316"/>
      <c r="BE245" s="316"/>
      <c r="BF245" s="316"/>
      <c r="BG245" s="316"/>
      <c r="BH245" s="316"/>
      <c r="BI245" s="316"/>
      <c r="BJ245" s="316"/>
      <c r="BK245" s="316"/>
      <c r="BL245" s="316"/>
      <c r="BM245" s="316"/>
      <c r="BN245" s="316"/>
      <c r="BO245" s="316"/>
      <c r="BP245" s="316"/>
      <c r="BQ245" s="316"/>
      <c r="BR245" s="316"/>
      <c r="BS245" s="316"/>
      <c r="BT245" s="316"/>
      <c r="BU245" s="316"/>
      <c r="BV245" s="316"/>
      <c r="BW245" s="316"/>
      <c r="BX245" s="316"/>
      <c r="BY245" s="316"/>
      <c r="BZ245" s="316"/>
      <c r="CA245" s="316"/>
      <c r="CB245" s="316"/>
      <c r="CC245" s="316"/>
      <c r="CD245" s="316"/>
      <c r="CE245" s="317">
        <v>0.62834436900000001</v>
      </c>
      <c r="CF245" s="316">
        <v>1.958956323</v>
      </c>
      <c r="CG245" s="316">
        <v>1.451404065</v>
      </c>
      <c r="CH245" s="316">
        <v>13.086894258999999</v>
      </c>
      <c r="CI245" s="316">
        <v>2.0303838280000002</v>
      </c>
      <c r="CJ245" s="316">
        <v>1.4082085129999999</v>
      </c>
      <c r="CK245" s="316">
        <v>2.1825454770000001</v>
      </c>
      <c r="CL245" s="316">
        <v>0.205787158</v>
      </c>
      <c r="CM245" s="316">
        <v>2.141453453</v>
      </c>
      <c r="CN245" s="316">
        <v>13.420809693000001</v>
      </c>
      <c r="CO245" s="316">
        <v>1.5539844620000001</v>
      </c>
      <c r="CP245" s="318">
        <v>2.2356595559999999</v>
      </c>
      <c r="CQ245" s="316">
        <v>1.6139140249999999</v>
      </c>
      <c r="CR245" s="316">
        <v>2.690494191</v>
      </c>
      <c r="CS245" s="316">
        <v>2.7286537709999998</v>
      </c>
      <c r="CT245" s="316">
        <v>1.5192630140000001</v>
      </c>
      <c r="CU245" s="316">
        <v>2.926404845</v>
      </c>
      <c r="CV245" s="316">
        <v>1.2423336410000001</v>
      </c>
      <c r="CW245" s="316">
        <v>1.720635634</v>
      </c>
      <c r="CX245" s="316">
        <v>1.0965883030000001</v>
      </c>
      <c r="CY245" s="316">
        <v>4.4167458179999999</v>
      </c>
      <c r="CZ245" s="316">
        <v>1.983468952</v>
      </c>
      <c r="DA245" s="316">
        <v>3.205517172</v>
      </c>
      <c r="DB245" s="1498">
        <v>1.856683648</v>
      </c>
      <c r="DC245" s="316">
        <v>0</v>
      </c>
      <c r="DD245" s="316">
        <v>0</v>
      </c>
      <c r="DE245" s="316">
        <v>0</v>
      </c>
      <c r="DF245" s="316">
        <v>0</v>
      </c>
      <c r="DG245" s="316">
        <v>0</v>
      </c>
      <c r="DH245" s="316">
        <v>0</v>
      </c>
      <c r="DI245" s="316">
        <v>2.0589334090000002</v>
      </c>
      <c r="DJ245" s="316">
        <v>4.9357321399999998</v>
      </c>
      <c r="DK245" s="316">
        <v>3.4511521900000002</v>
      </c>
      <c r="DL245" s="316">
        <v>2.352990863</v>
      </c>
      <c r="DM245" s="316">
        <v>5.6211685109999996</v>
      </c>
      <c r="DN245" s="318">
        <v>1.665370115</v>
      </c>
      <c r="DO245" s="316">
        <v>2.2708957719999998</v>
      </c>
      <c r="DP245" s="316">
        <v>1.9027358080000001</v>
      </c>
      <c r="DQ245" s="316">
        <v>4.0303026109999998</v>
      </c>
      <c r="DR245" s="316">
        <v>0.60084294699999996</v>
      </c>
      <c r="DS245" s="316">
        <v>9.3875556719999995</v>
      </c>
      <c r="DT245" s="316">
        <v>5.4837887470000002</v>
      </c>
      <c r="DU245" s="316">
        <v>3.5600683850000001</v>
      </c>
      <c r="DV245" s="316">
        <v>8.2733343969999993</v>
      </c>
      <c r="DW245" s="316">
        <v>3.441651314</v>
      </c>
      <c r="DX245" s="316">
        <v>4.4105825320000003</v>
      </c>
      <c r="DY245" s="316">
        <v>5.8488595349999999</v>
      </c>
      <c r="DZ245" s="318">
        <v>7.0653338579999998</v>
      </c>
      <c r="EA245" s="316">
        <v>3.5002442199999999</v>
      </c>
      <c r="EB245" s="316">
        <v>9.1508729009999996</v>
      </c>
      <c r="EC245" s="316">
        <v>6.4041025400000002</v>
      </c>
      <c r="ED245" s="316">
        <v>2.7748097949999999</v>
      </c>
      <c r="EE245" s="316">
        <v>7.7276811839999997</v>
      </c>
      <c r="EF245" s="316">
        <v>3.2812961629999999</v>
      </c>
      <c r="EG245" s="316">
        <v>3.6508980470000001</v>
      </c>
      <c r="EH245" s="316">
        <v>10.72770343</v>
      </c>
      <c r="EI245" s="316">
        <v>4.7762329860000001</v>
      </c>
      <c r="EJ245" s="316">
        <v>4.2818569030000004</v>
      </c>
      <c r="EK245" s="316">
        <v>7.4795880649999997</v>
      </c>
      <c r="EL245" s="318">
        <v>4.6480506530000003</v>
      </c>
      <c r="EM245" s="1206">
        <v>3.816679057</v>
      </c>
      <c r="EN245" s="1206">
        <v>10.486365338000001</v>
      </c>
      <c r="EO245" s="1206">
        <v>6.3748220890000002</v>
      </c>
      <c r="EP245" s="1206">
        <v>14.542099840000001</v>
      </c>
      <c r="EQ245" s="1206">
        <v>11.854197691</v>
      </c>
      <c r="ER245" s="1206">
        <v>2.9836837780000001</v>
      </c>
      <c r="ES245" s="1206">
        <v>4.597397645</v>
      </c>
      <c r="ET245" s="1206">
        <v>11.637998302</v>
      </c>
      <c r="EU245" s="1206">
        <v>6.4636354840000001</v>
      </c>
      <c r="EV245" s="1206">
        <v>13.977150341</v>
      </c>
      <c r="EW245" s="1206">
        <v>12.882842942</v>
      </c>
      <c r="EX245" s="1550">
        <v>2.3569134960000002</v>
      </c>
      <c r="EY245" s="1206"/>
      <c r="EZ245" s="1206"/>
      <c r="FA245" s="1206"/>
      <c r="FB245" s="1206"/>
      <c r="FC245" s="1206"/>
      <c r="FD245" s="1206"/>
      <c r="FE245" s="1206"/>
      <c r="FF245" s="1206"/>
      <c r="FG245" s="1206"/>
      <c r="FH245" s="1206"/>
      <c r="FI245" s="1206"/>
      <c r="FJ245" s="1550"/>
      <c r="FK245" s="1206"/>
      <c r="FL245" s="1206"/>
      <c r="FM245" s="1206"/>
      <c r="FN245" s="1206"/>
      <c r="FO245" s="1206"/>
      <c r="FP245" s="1206"/>
      <c r="FQ245" s="316"/>
      <c r="FR245" s="316"/>
      <c r="FS245" s="316"/>
      <c r="FT245" s="316"/>
      <c r="FU245" s="316"/>
      <c r="FV245" s="316"/>
      <c r="FW245" s="316"/>
      <c r="FX245" s="316"/>
      <c r="FY245" s="316"/>
      <c r="FZ245" s="316"/>
      <c r="GA245" s="316"/>
      <c r="GB245" s="316"/>
      <c r="GC245" s="316"/>
      <c r="GD245" s="316"/>
      <c r="GE245" s="316"/>
      <c r="GF245" s="316"/>
      <c r="GG245" s="316"/>
      <c r="GH245" s="316"/>
      <c r="GI245" s="316"/>
      <c r="GJ245" s="316"/>
      <c r="GK245" s="316"/>
      <c r="GL245" s="316"/>
      <c r="GM245" s="316"/>
      <c r="GN245" s="316"/>
      <c r="GO245" s="316"/>
      <c r="GP245" s="316"/>
      <c r="GQ245" s="316"/>
      <c r="GR245" s="316"/>
      <c r="GS245" s="316"/>
      <c r="GT245" s="316"/>
      <c r="GU245" s="316"/>
      <c r="GV245" s="316"/>
      <c r="GW245" s="316"/>
      <c r="GX245" s="316"/>
      <c r="GY245" s="316"/>
      <c r="GZ245" s="316"/>
      <c r="HA245" s="316"/>
      <c r="HB245" s="316"/>
      <c r="HC245" s="316"/>
      <c r="HD245" s="316"/>
      <c r="HE245" s="316"/>
      <c r="HF245" s="316"/>
      <c r="HG245" s="316"/>
      <c r="HH245" s="316"/>
      <c r="HI245" s="316"/>
      <c r="HJ245" s="316"/>
      <c r="HK245" s="316"/>
      <c r="HL245" s="316"/>
      <c r="HM245" s="316"/>
      <c r="HV245" s="302">
        <f t="shared" si="48"/>
        <v>0</v>
      </c>
      <c r="HW245" s="302">
        <f t="shared" si="49"/>
        <v>20.085347228000003</v>
      </c>
      <c r="HX245" s="346">
        <f t="shared" si="45"/>
        <v>20.085347228000003</v>
      </c>
      <c r="HY245" s="302">
        <f t="shared" si="50"/>
        <v>23.676121557000002</v>
      </c>
      <c r="KH245" s="303"/>
    </row>
    <row r="246" spans="2:294" outlineLevel="1">
      <c r="B246" s="117" t="s">
        <v>361</v>
      </c>
      <c r="D246" s="337" t="s">
        <v>469</v>
      </c>
      <c r="E246" s="316"/>
      <c r="F246" s="316"/>
      <c r="G246" s="316"/>
      <c r="H246" s="316"/>
      <c r="I246" s="316"/>
      <c r="J246" s="316"/>
      <c r="K246" s="316"/>
      <c r="L246" s="316"/>
      <c r="M246" s="316"/>
      <c r="N246" s="316"/>
      <c r="O246" s="316"/>
      <c r="P246" s="316"/>
      <c r="Q246" s="316"/>
      <c r="R246" s="316"/>
      <c r="S246" s="316"/>
      <c r="T246" s="316"/>
      <c r="U246" s="316"/>
      <c r="V246" s="316"/>
      <c r="W246" s="316"/>
      <c r="X246" s="316"/>
      <c r="Y246" s="316"/>
      <c r="Z246" s="316"/>
      <c r="AA246" s="316"/>
      <c r="AB246" s="316"/>
      <c r="AC246" s="316"/>
      <c r="AD246" s="316"/>
      <c r="AE246" s="316"/>
      <c r="AF246" s="316"/>
      <c r="AG246" s="316"/>
      <c r="AH246" s="316"/>
      <c r="AI246" s="316"/>
      <c r="AJ246" s="316"/>
      <c r="AK246" s="316"/>
      <c r="AL246" s="316"/>
      <c r="AM246" s="316"/>
      <c r="AN246" s="316"/>
      <c r="AO246" s="316"/>
      <c r="AP246" s="316"/>
      <c r="AQ246" s="316"/>
      <c r="AR246" s="316"/>
      <c r="AS246" s="316"/>
      <c r="AT246" s="316"/>
      <c r="AU246" s="316"/>
      <c r="AV246" s="316"/>
      <c r="AW246" s="316"/>
      <c r="AX246" s="316"/>
      <c r="AY246" s="316"/>
      <c r="AZ246" s="316"/>
      <c r="BA246" s="316"/>
      <c r="BB246" s="316"/>
      <c r="BC246" s="316"/>
      <c r="BD246" s="316"/>
      <c r="BE246" s="316"/>
      <c r="BF246" s="316"/>
      <c r="BG246" s="316"/>
      <c r="BH246" s="316"/>
      <c r="BI246" s="316"/>
      <c r="BJ246" s="316"/>
      <c r="BK246" s="316"/>
      <c r="BL246" s="316"/>
      <c r="BM246" s="316"/>
      <c r="BN246" s="316"/>
      <c r="BO246" s="316"/>
      <c r="BP246" s="316"/>
      <c r="BQ246" s="316"/>
      <c r="BR246" s="316"/>
      <c r="BS246" s="316"/>
      <c r="BT246" s="316"/>
      <c r="BU246" s="316"/>
      <c r="BV246" s="316"/>
      <c r="BW246" s="316"/>
      <c r="BX246" s="316"/>
      <c r="BY246" s="316"/>
      <c r="BZ246" s="316"/>
      <c r="CA246" s="316"/>
      <c r="CB246" s="316"/>
      <c r="CC246" s="316"/>
      <c r="CD246" s="316"/>
      <c r="CE246" s="317">
        <v>2.3254828760000001</v>
      </c>
      <c r="CF246" s="316">
        <v>21.477896982000001</v>
      </c>
      <c r="CG246" s="316">
        <v>4.8380317980000003</v>
      </c>
      <c r="CH246" s="316">
        <v>3.6664955099999998</v>
      </c>
      <c r="CI246" s="316">
        <v>4.0259999999999998</v>
      </c>
      <c r="CJ246" s="316">
        <v>2.8368251789999999</v>
      </c>
      <c r="CK246" s="316">
        <v>9.6416975600000008</v>
      </c>
      <c r="CL246" s="316">
        <v>2.7872927550000002</v>
      </c>
      <c r="CM246" s="316">
        <v>13.984178124</v>
      </c>
      <c r="CN246" s="316">
        <v>0.34203537899999997</v>
      </c>
      <c r="CO246" s="316">
        <v>3.085795101</v>
      </c>
      <c r="CP246" s="318">
        <v>16.697588455999998</v>
      </c>
      <c r="CQ246" s="316">
        <v>3.3838203980000001</v>
      </c>
      <c r="CR246" s="316">
        <v>5.8877582220000004</v>
      </c>
      <c r="CS246" s="316">
        <v>6.1350750520000004</v>
      </c>
      <c r="CT246" s="316">
        <v>3.4750000000000001</v>
      </c>
      <c r="CU246" s="316">
        <v>2.7249697450000001</v>
      </c>
      <c r="CV246" s="316">
        <v>5.1999697449999998</v>
      </c>
      <c r="CW246" s="316">
        <v>3.7043971180000002</v>
      </c>
      <c r="CX246" s="316">
        <v>5.0264641450000003</v>
      </c>
      <c r="CY246" s="316">
        <v>8.4177674000000007</v>
      </c>
      <c r="CZ246" s="316">
        <v>0.412073786</v>
      </c>
      <c r="DA246" s="316">
        <v>2.5499999999999998</v>
      </c>
      <c r="DB246" s="1498">
        <v>29.840790999999999</v>
      </c>
      <c r="DC246" s="316">
        <v>5.3</v>
      </c>
      <c r="DD246" s="316">
        <v>13.347593832999999</v>
      </c>
      <c r="DE246" s="316">
        <v>8.4300109649999992</v>
      </c>
      <c r="DF246" s="316">
        <v>4.7301852929999999</v>
      </c>
      <c r="DG246" s="316">
        <v>4.3726213439999997</v>
      </c>
      <c r="DH246" s="316">
        <v>4</v>
      </c>
      <c r="DI246" s="316">
        <v>18.152643471000001</v>
      </c>
      <c r="DJ246" s="316">
        <v>10.237692828</v>
      </c>
      <c r="DK246" s="316">
        <v>3.4166666659999998</v>
      </c>
      <c r="DL246" s="316">
        <v>4.7231948780000002</v>
      </c>
      <c r="DM246" s="316">
        <v>2.875</v>
      </c>
      <c r="DN246" s="318">
        <v>10.310334033</v>
      </c>
      <c r="DO246" s="316">
        <v>4.8980108539999998</v>
      </c>
      <c r="DP246" s="316">
        <v>6.9066390130000004</v>
      </c>
      <c r="DQ246" s="316">
        <v>5.114651265</v>
      </c>
      <c r="DR246" s="316">
        <v>12.557798579</v>
      </c>
      <c r="DS246" s="316">
        <v>7.6440726510000001</v>
      </c>
      <c r="DT246" s="316">
        <v>6.5949982159999996</v>
      </c>
      <c r="DU246" s="316">
        <v>9.2977403200000008</v>
      </c>
      <c r="DV246" s="316">
        <v>6.0299764959999997</v>
      </c>
      <c r="DW246" s="316">
        <v>19.564882179000001</v>
      </c>
      <c r="DX246" s="316">
        <v>5.514651153</v>
      </c>
      <c r="DY246" s="316">
        <v>15.763531491</v>
      </c>
      <c r="DZ246" s="318">
        <v>21.42389068</v>
      </c>
      <c r="EA246" s="316">
        <v>6.8</v>
      </c>
      <c r="EB246" s="316">
        <v>13.823127455</v>
      </c>
      <c r="EC246" s="316">
        <v>14.595596735999999</v>
      </c>
      <c r="ED246" s="316">
        <v>16.641112683999999</v>
      </c>
      <c r="EE246" s="316">
        <v>12.958859156999999</v>
      </c>
      <c r="EF246" s="316">
        <v>17.168928225999998</v>
      </c>
      <c r="EG246" s="316">
        <v>13.318198282000001</v>
      </c>
      <c r="EH246" s="316">
        <v>13.107458163</v>
      </c>
      <c r="EI246" s="316">
        <v>18.397751581000001</v>
      </c>
      <c r="EJ246" s="316">
        <v>8.8221777439999993</v>
      </c>
      <c r="EK246" s="316">
        <v>10.715627456</v>
      </c>
      <c r="EL246" s="318">
        <v>9.6364187700000006</v>
      </c>
      <c r="EM246" s="1206">
        <v>18.295448931999999</v>
      </c>
      <c r="EN246" s="1206">
        <v>5.9919073760000003</v>
      </c>
      <c r="EO246" s="1206">
        <v>14.29080705</v>
      </c>
      <c r="EP246" s="1206">
        <v>15.597151498000001</v>
      </c>
      <c r="EQ246" s="1206">
        <v>7.0825640050000001</v>
      </c>
      <c r="ER246" s="1206">
        <v>28.529486042999999</v>
      </c>
      <c r="ES246" s="1206">
        <v>16.467596491999998</v>
      </c>
      <c r="ET246" s="1206">
        <v>13.380851702999999</v>
      </c>
      <c r="EU246" s="1206">
        <v>21.771007916999999</v>
      </c>
      <c r="EV246" s="1206">
        <v>15.475808110999999</v>
      </c>
      <c r="EW246" s="1206">
        <v>4.5938451909999998</v>
      </c>
      <c r="EX246" s="1550">
        <v>11.729146661</v>
      </c>
      <c r="EY246" s="1206"/>
      <c r="EZ246" s="1206"/>
      <c r="FA246" s="1206"/>
      <c r="FB246" s="1206"/>
      <c r="FC246" s="1206"/>
      <c r="FD246" s="1206"/>
      <c r="FE246" s="1206"/>
      <c r="FF246" s="1206"/>
      <c r="FG246" s="1206"/>
      <c r="FH246" s="1206"/>
      <c r="FI246" s="1206"/>
      <c r="FJ246" s="1550"/>
      <c r="FK246" s="1206"/>
      <c r="FL246" s="1206"/>
      <c r="FM246" s="1206"/>
      <c r="FN246" s="1206"/>
      <c r="FO246" s="1206"/>
      <c r="FP246" s="1206"/>
      <c r="FQ246" s="316"/>
      <c r="FR246" s="316"/>
      <c r="FS246" s="316"/>
      <c r="FT246" s="316"/>
      <c r="FU246" s="316"/>
      <c r="FV246" s="316"/>
      <c r="FW246" s="316"/>
      <c r="FX246" s="316"/>
      <c r="FY246" s="316"/>
      <c r="FZ246" s="316"/>
      <c r="GA246" s="316"/>
      <c r="GB246" s="316"/>
      <c r="GC246" s="316"/>
      <c r="GD246" s="316"/>
      <c r="GE246" s="316"/>
      <c r="GF246" s="316"/>
      <c r="GG246" s="316"/>
      <c r="GH246" s="316"/>
      <c r="GI246" s="316"/>
      <c r="GJ246" s="316"/>
      <c r="GK246" s="316"/>
      <c r="GL246" s="316"/>
      <c r="GM246" s="316"/>
      <c r="GN246" s="316"/>
      <c r="GO246" s="316"/>
      <c r="GP246" s="316"/>
      <c r="GQ246" s="316"/>
      <c r="GR246" s="316"/>
      <c r="GS246" s="316"/>
      <c r="GT246" s="316"/>
      <c r="GU246" s="316"/>
      <c r="GV246" s="316"/>
      <c r="GW246" s="316"/>
      <c r="GX246" s="316"/>
      <c r="GY246" s="316"/>
      <c r="GZ246" s="316"/>
      <c r="HA246" s="316"/>
      <c r="HB246" s="316"/>
      <c r="HC246" s="316"/>
      <c r="HD246" s="316"/>
      <c r="HE246" s="316"/>
      <c r="HF246" s="316"/>
      <c r="HG246" s="316"/>
      <c r="HH246" s="316"/>
      <c r="HI246" s="316"/>
      <c r="HJ246" s="316"/>
      <c r="HK246" s="316"/>
      <c r="HL246" s="316"/>
      <c r="HM246" s="316"/>
      <c r="HV246" s="302">
        <f t="shared" si="48"/>
        <v>40.180411434999996</v>
      </c>
      <c r="HW246" s="302">
        <f t="shared" si="49"/>
        <v>49.715531876</v>
      </c>
      <c r="HX246" s="346">
        <f t="shared" si="45"/>
        <v>89.895943310999996</v>
      </c>
      <c r="HY246" s="302">
        <f t="shared" si="50"/>
        <v>43.716170578000003</v>
      </c>
      <c r="KH246" s="303"/>
    </row>
    <row r="247" spans="2:294" outlineLevel="1">
      <c r="B247" s="117" t="s">
        <v>361</v>
      </c>
      <c r="D247" s="337" t="s">
        <v>85</v>
      </c>
      <c r="E247" s="316"/>
      <c r="F247" s="316"/>
      <c r="G247" s="316"/>
      <c r="H247" s="316"/>
      <c r="I247" s="316"/>
      <c r="J247" s="316"/>
      <c r="K247" s="316"/>
      <c r="L247" s="316"/>
      <c r="M247" s="316"/>
      <c r="N247" s="316"/>
      <c r="O247" s="316"/>
      <c r="P247" s="316"/>
      <c r="Q247" s="316"/>
      <c r="R247" s="316"/>
      <c r="S247" s="316"/>
      <c r="T247" s="316"/>
      <c r="U247" s="316"/>
      <c r="V247" s="316"/>
      <c r="W247" s="316"/>
      <c r="X247" s="316"/>
      <c r="Y247" s="316"/>
      <c r="Z247" s="316"/>
      <c r="AA247" s="316"/>
      <c r="AB247" s="316"/>
      <c r="AC247" s="316"/>
      <c r="AD247" s="316"/>
      <c r="AE247" s="316"/>
      <c r="AF247" s="316"/>
      <c r="AG247" s="316"/>
      <c r="AH247" s="316"/>
      <c r="AI247" s="316"/>
      <c r="AJ247" s="316"/>
      <c r="AK247" s="316"/>
      <c r="AL247" s="316"/>
      <c r="AM247" s="316"/>
      <c r="AN247" s="316"/>
      <c r="AO247" s="316"/>
      <c r="AP247" s="316"/>
      <c r="AQ247" s="316"/>
      <c r="AR247" s="316"/>
      <c r="AS247" s="316"/>
      <c r="AT247" s="316"/>
      <c r="AU247" s="316"/>
      <c r="AV247" s="316"/>
      <c r="AW247" s="316"/>
      <c r="AX247" s="316"/>
      <c r="AY247" s="316"/>
      <c r="AZ247" s="316"/>
      <c r="BA247" s="316"/>
      <c r="BB247" s="316"/>
      <c r="BC247" s="316"/>
      <c r="BD247" s="316"/>
      <c r="BE247" s="316"/>
      <c r="BF247" s="316"/>
      <c r="BG247" s="316"/>
      <c r="BH247" s="316"/>
      <c r="BI247" s="316"/>
      <c r="BJ247" s="316"/>
      <c r="BK247" s="316"/>
      <c r="BL247" s="316"/>
      <c r="BM247" s="316"/>
      <c r="BN247" s="316"/>
      <c r="BO247" s="316"/>
      <c r="BP247" s="316"/>
      <c r="BQ247" s="316"/>
      <c r="BR247" s="316"/>
      <c r="BS247" s="316"/>
      <c r="BT247" s="316"/>
      <c r="BU247" s="316"/>
      <c r="BV247" s="316"/>
      <c r="BW247" s="316"/>
      <c r="BX247" s="316"/>
      <c r="BY247" s="316"/>
      <c r="BZ247" s="316"/>
      <c r="CA247" s="316"/>
      <c r="CB247" s="316"/>
      <c r="CC247" s="316"/>
      <c r="CD247" s="316"/>
      <c r="CE247" s="317">
        <v>20.288814465000002</v>
      </c>
      <c r="CF247" s="316">
        <v>31.926520867000001</v>
      </c>
      <c r="CG247" s="316">
        <v>20.390323092999999</v>
      </c>
      <c r="CH247" s="316">
        <v>37.138745464000003</v>
      </c>
      <c r="CI247" s="316">
        <v>20.493128676000001</v>
      </c>
      <c r="CJ247" s="316">
        <v>20.330886023000001</v>
      </c>
      <c r="CK247" s="316">
        <v>20.792473902000001</v>
      </c>
      <c r="CL247" s="316">
        <v>22.288472990999999</v>
      </c>
      <c r="CM247" s="316">
        <v>21.076441602999999</v>
      </c>
      <c r="CN247" s="316">
        <v>20.453895932999998</v>
      </c>
      <c r="CO247" s="316">
        <v>24.641843828999999</v>
      </c>
      <c r="CP247" s="318">
        <v>26.766084612</v>
      </c>
      <c r="CQ247" s="316">
        <v>20.880763045999998</v>
      </c>
      <c r="CR247" s="316">
        <v>27.209381593</v>
      </c>
      <c r="CS247" s="316">
        <v>14.630734157999999</v>
      </c>
      <c r="CT247" s="316">
        <v>31.771888672999999</v>
      </c>
      <c r="CU247" s="316">
        <v>16.197014546999998</v>
      </c>
      <c r="CV247" s="316">
        <v>19.851863732999998</v>
      </c>
      <c r="CW247" s="316">
        <v>24.604528220999999</v>
      </c>
      <c r="CX247" s="316">
        <v>17.374302832000001</v>
      </c>
      <c r="CY247" s="316">
        <v>21.012402180999999</v>
      </c>
      <c r="CZ247" s="316">
        <v>26.323725590999999</v>
      </c>
      <c r="DA247" s="316">
        <v>19.992045912999998</v>
      </c>
      <c r="DB247" s="1498">
        <v>23.413846839000001</v>
      </c>
      <c r="DC247" s="316">
        <v>20.137518965999998</v>
      </c>
      <c r="DD247" s="316">
        <v>15.316707211000001</v>
      </c>
      <c r="DE247" s="316">
        <v>15.501902736</v>
      </c>
      <c r="DF247" s="316">
        <v>29.935788780999999</v>
      </c>
      <c r="DG247" s="316">
        <v>18.768960934999999</v>
      </c>
      <c r="DH247" s="316">
        <v>23.967824173</v>
      </c>
      <c r="DI247" s="316">
        <v>26.979603236999999</v>
      </c>
      <c r="DJ247" s="316">
        <v>19.268462623000001</v>
      </c>
      <c r="DK247" s="316">
        <v>15.470161525</v>
      </c>
      <c r="DL247" s="316">
        <v>30.93298051</v>
      </c>
      <c r="DM247" s="316">
        <v>16.11610924</v>
      </c>
      <c r="DN247" s="318">
        <v>24.928716532999999</v>
      </c>
      <c r="DO247" s="316">
        <v>19.018868387000001</v>
      </c>
      <c r="DP247" s="316">
        <v>7.3592675290000003</v>
      </c>
      <c r="DQ247" s="316">
        <v>15.697852458</v>
      </c>
      <c r="DR247" s="316">
        <v>27.669171923</v>
      </c>
      <c r="DS247" s="316">
        <v>32.772481313</v>
      </c>
      <c r="DT247" s="316">
        <v>38.076629402999998</v>
      </c>
      <c r="DU247" s="316">
        <v>30.217422205999998</v>
      </c>
      <c r="DV247" s="316">
        <v>22.280225639000001</v>
      </c>
      <c r="DW247" s="316">
        <v>21.655344812999999</v>
      </c>
      <c r="DX247" s="316">
        <v>16.26390979</v>
      </c>
      <c r="DY247" s="316">
        <v>26.185127329</v>
      </c>
      <c r="DZ247" s="318">
        <v>43.468353571999998</v>
      </c>
      <c r="EA247" s="316">
        <v>16.543169505000002</v>
      </c>
      <c r="EB247" s="316">
        <v>27.201206794000001</v>
      </c>
      <c r="EC247" s="316">
        <v>23.330594127000001</v>
      </c>
      <c r="ED247" s="316">
        <v>25.624052534</v>
      </c>
      <c r="EE247" s="316">
        <v>21.420506181</v>
      </c>
      <c r="EF247" s="316">
        <v>42.317493120000002</v>
      </c>
      <c r="EG247" s="316">
        <v>27.83095673</v>
      </c>
      <c r="EH247" s="316">
        <v>23.177112268999998</v>
      </c>
      <c r="EI247" s="316">
        <v>32.105243664</v>
      </c>
      <c r="EJ247" s="316">
        <v>19.862908866000001</v>
      </c>
      <c r="EK247" s="316">
        <v>25.187944315999999</v>
      </c>
      <c r="EL247" s="318">
        <v>43.154304535000001</v>
      </c>
      <c r="EM247" s="1206">
        <v>17.293005130000001</v>
      </c>
      <c r="EN247" s="1206">
        <v>29.70773505</v>
      </c>
      <c r="EO247" s="1206">
        <v>28.425470861000001</v>
      </c>
      <c r="EP247" s="1206">
        <v>29.52831102</v>
      </c>
      <c r="EQ247" s="1206">
        <v>28.587395484999998</v>
      </c>
      <c r="ER247" s="1206">
        <v>44.794473863999997</v>
      </c>
      <c r="ES247" s="1206">
        <v>43.043323043999997</v>
      </c>
      <c r="ET247" s="1206">
        <v>32.465792358999998</v>
      </c>
      <c r="EU247" s="1206">
        <v>24.046030156</v>
      </c>
      <c r="EV247" s="1206">
        <v>28.569136621999998</v>
      </c>
      <c r="EW247" s="1206">
        <v>12.582839813</v>
      </c>
      <c r="EX247" s="1550">
        <v>39.791120415999998</v>
      </c>
      <c r="EY247" s="1206"/>
      <c r="EZ247" s="1206"/>
      <c r="FA247" s="1206"/>
      <c r="FB247" s="1206"/>
      <c r="FC247" s="1206"/>
      <c r="FD247" s="1206"/>
      <c r="FE247" s="1206"/>
      <c r="FF247" s="1206"/>
      <c r="FG247" s="1206"/>
      <c r="FH247" s="1206"/>
      <c r="FI247" s="1206"/>
      <c r="FJ247" s="1550"/>
      <c r="FK247" s="1206"/>
      <c r="FL247" s="1206"/>
      <c r="FM247" s="1206"/>
      <c r="FN247" s="1206"/>
      <c r="FO247" s="1206"/>
      <c r="FP247" s="1206"/>
      <c r="FQ247" s="316"/>
      <c r="FR247" s="316"/>
      <c r="FS247" s="316"/>
      <c r="FT247" s="316"/>
      <c r="FU247" s="316"/>
      <c r="FV247" s="316"/>
      <c r="FW247" s="316"/>
      <c r="FX247" s="316"/>
      <c r="FY247" s="316"/>
      <c r="FZ247" s="316"/>
      <c r="GA247" s="316"/>
      <c r="GB247" s="316"/>
      <c r="GC247" s="316"/>
      <c r="GD247" s="316"/>
      <c r="GE247" s="316"/>
      <c r="GF247" s="316"/>
      <c r="GG247" s="316"/>
      <c r="GH247" s="316"/>
      <c r="GI247" s="316"/>
      <c r="GJ247" s="316"/>
      <c r="GK247" s="316"/>
      <c r="GL247" s="316"/>
      <c r="GM247" s="316"/>
      <c r="GN247" s="316"/>
      <c r="GO247" s="316"/>
      <c r="GP247" s="316"/>
      <c r="GQ247" s="316"/>
      <c r="GR247" s="316"/>
      <c r="GS247" s="316"/>
      <c r="GT247" s="316"/>
      <c r="GU247" s="316"/>
      <c r="GV247" s="316"/>
      <c r="GW247" s="316"/>
      <c r="GX247" s="316"/>
      <c r="GY247" s="316"/>
      <c r="GZ247" s="316"/>
      <c r="HA247" s="316"/>
      <c r="HB247" s="316"/>
      <c r="HC247" s="316"/>
      <c r="HD247" s="316"/>
      <c r="HE247" s="316"/>
      <c r="HF247" s="316"/>
      <c r="HG247" s="316"/>
      <c r="HH247" s="316"/>
      <c r="HI247" s="316"/>
      <c r="HJ247" s="316"/>
      <c r="HK247" s="316"/>
      <c r="HL247" s="316"/>
      <c r="HM247" s="316"/>
      <c r="HV247" s="302">
        <f t="shared" si="48"/>
        <v>123.62870280199999</v>
      </c>
      <c r="HW247" s="302">
        <f t="shared" si="49"/>
        <v>133.69603366799998</v>
      </c>
      <c r="HX247" s="346">
        <f t="shared" si="45"/>
        <v>257.32473646999995</v>
      </c>
      <c r="HY247" s="302">
        <f t="shared" si="50"/>
        <v>140.59427101300003</v>
      </c>
      <c r="KH247" s="303"/>
    </row>
    <row r="248" spans="2:294" outlineLevel="1">
      <c r="B248" s="117" t="s">
        <v>361</v>
      </c>
      <c r="D248" s="337" t="s">
        <v>464</v>
      </c>
      <c r="E248" s="316"/>
      <c r="F248" s="316"/>
      <c r="G248" s="316"/>
      <c r="H248" s="316"/>
      <c r="I248" s="316"/>
      <c r="J248" s="316"/>
      <c r="K248" s="316"/>
      <c r="L248" s="316"/>
      <c r="M248" s="316"/>
      <c r="N248" s="316"/>
      <c r="O248" s="316"/>
      <c r="P248" s="316"/>
      <c r="Q248" s="316"/>
      <c r="R248" s="316"/>
      <c r="S248" s="316"/>
      <c r="T248" s="316"/>
      <c r="U248" s="316"/>
      <c r="V248" s="316"/>
      <c r="W248" s="316"/>
      <c r="X248" s="316"/>
      <c r="Y248" s="316"/>
      <c r="Z248" s="316"/>
      <c r="AA248" s="316"/>
      <c r="AB248" s="316"/>
      <c r="AC248" s="316"/>
      <c r="AD248" s="316"/>
      <c r="AE248" s="316"/>
      <c r="AF248" s="316"/>
      <c r="AG248" s="316"/>
      <c r="AH248" s="316"/>
      <c r="AI248" s="316"/>
      <c r="AJ248" s="316"/>
      <c r="AK248" s="316"/>
      <c r="AL248" s="316"/>
      <c r="AM248" s="316"/>
      <c r="AN248" s="316"/>
      <c r="AO248" s="316"/>
      <c r="AP248" s="316"/>
      <c r="AQ248" s="316"/>
      <c r="AR248" s="316"/>
      <c r="AS248" s="316"/>
      <c r="AT248" s="316"/>
      <c r="AU248" s="316"/>
      <c r="AV248" s="316"/>
      <c r="AW248" s="316"/>
      <c r="AX248" s="316"/>
      <c r="AY248" s="316"/>
      <c r="AZ248" s="316"/>
      <c r="BA248" s="316"/>
      <c r="BB248" s="316"/>
      <c r="BC248" s="316"/>
      <c r="BD248" s="316"/>
      <c r="BE248" s="316"/>
      <c r="BF248" s="316"/>
      <c r="BG248" s="316"/>
      <c r="BH248" s="316"/>
      <c r="BI248" s="316"/>
      <c r="BJ248" s="316"/>
      <c r="BK248" s="316"/>
      <c r="BL248" s="316"/>
      <c r="BM248" s="316"/>
      <c r="BN248" s="316"/>
      <c r="BO248" s="316"/>
      <c r="BP248" s="316"/>
      <c r="BQ248" s="316"/>
      <c r="BR248" s="316"/>
      <c r="BS248" s="316"/>
      <c r="BT248" s="316"/>
      <c r="BU248" s="316"/>
      <c r="BV248" s="316"/>
      <c r="BW248" s="316"/>
      <c r="BX248" s="316"/>
      <c r="BY248" s="316"/>
      <c r="BZ248" s="316"/>
      <c r="CA248" s="316"/>
      <c r="CB248" s="316"/>
      <c r="CC248" s="316"/>
      <c r="CD248" s="316"/>
      <c r="CE248" s="317">
        <v>14.56142438</v>
      </c>
      <c r="CF248" s="316">
        <v>16.908924549000002</v>
      </c>
      <c r="CG248" s="316">
        <v>12.225883482</v>
      </c>
      <c r="CH248" s="316">
        <v>21.769315812999999</v>
      </c>
      <c r="CI248" s="316">
        <v>12.940731595000001</v>
      </c>
      <c r="CJ248" s="316">
        <v>14.282346027000001</v>
      </c>
      <c r="CK248" s="316">
        <v>13.705222486</v>
      </c>
      <c r="CL248" s="316">
        <v>17.740185079</v>
      </c>
      <c r="CM248" s="316">
        <v>14.884276570000001</v>
      </c>
      <c r="CN248" s="316">
        <v>19.687059299000001</v>
      </c>
      <c r="CO248" s="316">
        <v>14.934001796</v>
      </c>
      <c r="CP248" s="318">
        <v>14.230223794</v>
      </c>
      <c r="CQ248" s="316">
        <v>18.455334004000001</v>
      </c>
      <c r="CR248" s="316">
        <v>19.544169269000001</v>
      </c>
      <c r="CS248" s="316">
        <v>13.043669704999999</v>
      </c>
      <c r="CT248" s="316">
        <v>21.100683728</v>
      </c>
      <c r="CU248" s="316">
        <v>14.733348810000001</v>
      </c>
      <c r="CV248" s="316">
        <v>14.562838202</v>
      </c>
      <c r="CW248" s="316">
        <v>20.327017896000001</v>
      </c>
      <c r="CX248" s="316">
        <v>9.8216560190000006</v>
      </c>
      <c r="CY248" s="316">
        <v>19.699411081000001</v>
      </c>
      <c r="CZ248" s="316">
        <v>20.925502295000001</v>
      </c>
      <c r="DA248" s="316">
        <v>16.774531656000001</v>
      </c>
      <c r="DB248" s="1498">
        <v>14.746144738</v>
      </c>
      <c r="DC248" s="316">
        <v>20.409265349999998</v>
      </c>
      <c r="DD248" s="316">
        <v>19.26773571</v>
      </c>
      <c r="DE248" s="316">
        <v>16.996221340999998</v>
      </c>
      <c r="DF248" s="316">
        <v>23.759587711999998</v>
      </c>
      <c r="DG248" s="316">
        <v>16.680174481000002</v>
      </c>
      <c r="DH248" s="316">
        <v>16.836125239000001</v>
      </c>
      <c r="DI248" s="316">
        <v>23.838759612</v>
      </c>
      <c r="DJ248" s="316">
        <v>14.236282118</v>
      </c>
      <c r="DK248" s="316">
        <v>20.023803751999999</v>
      </c>
      <c r="DL248" s="316">
        <v>29.128877629000002</v>
      </c>
      <c r="DM248" s="316">
        <v>16.782586541000001</v>
      </c>
      <c r="DN248" s="318">
        <v>24.341084525999999</v>
      </c>
      <c r="DO248" s="316">
        <v>29.869081174000002</v>
      </c>
      <c r="DP248" s="316">
        <v>23.931264869</v>
      </c>
      <c r="DQ248" s="316">
        <v>18.274522227999999</v>
      </c>
      <c r="DR248" s="316">
        <v>24.519224341000001</v>
      </c>
      <c r="DS248" s="316">
        <v>29.045438722</v>
      </c>
      <c r="DT248" s="316">
        <v>21.531640722999999</v>
      </c>
      <c r="DU248" s="316">
        <v>27.307990413999999</v>
      </c>
      <c r="DV248" s="316">
        <v>21.798573087000001</v>
      </c>
      <c r="DW248" s="316">
        <v>16.366065652</v>
      </c>
      <c r="DX248" s="316">
        <v>27.343764989</v>
      </c>
      <c r="DY248" s="316">
        <v>31.214030716</v>
      </c>
      <c r="DZ248" s="318">
        <v>24.440484230999999</v>
      </c>
      <c r="EA248" s="316">
        <v>34.238679550999997</v>
      </c>
      <c r="EB248" s="316">
        <v>24.784363957</v>
      </c>
      <c r="EC248" s="316">
        <v>25.642811470000002</v>
      </c>
      <c r="ED248" s="316">
        <v>28.063910043</v>
      </c>
      <c r="EE248" s="316">
        <v>23.312562973999999</v>
      </c>
      <c r="EF248" s="316">
        <v>22.513939632</v>
      </c>
      <c r="EG248" s="316">
        <v>28.7857205</v>
      </c>
      <c r="EH248" s="316">
        <v>21.106292215</v>
      </c>
      <c r="EI248" s="316">
        <v>30.899654987000002</v>
      </c>
      <c r="EJ248" s="316">
        <v>23.757056477999999</v>
      </c>
      <c r="EK248" s="316">
        <v>21.508586071</v>
      </c>
      <c r="EL248" s="318">
        <v>32.059444802000002</v>
      </c>
      <c r="EM248" s="1206">
        <v>27.538787261</v>
      </c>
      <c r="EN248" s="1206">
        <v>28.871518300999998</v>
      </c>
      <c r="EO248" s="1206">
        <v>24.898664355000001</v>
      </c>
      <c r="EP248" s="1206">
        <v>28.329421008000001</v>
      </c>
      <c r="EQ248" s="1206">
        <v>27.436792354000001</v>
      </c>
      <c r="ER248" s="1206">
        <v>29.958144570999998</v>
      </c>
      <c r="ES248" s="1206">
        <v>20.898032454999999</v>
      </c>
      <c r="ET248" s="1206">
        <v>27.587791660000001</v>
      </c>
      <c r="EU248" s="1206">
        <v>11.63703061</v>
      </c>
      <c r="EV248" s="1206">
        <v>31.682240342</v>
      </c>
      <c r="EW248" s="1206">
        <v>29.588881517000001</v>
      </c>
      <c r="EX248" s="1550">
        <v>31.429041311999999</v>
      </c>
      <c r="EY248" s="1206"/>
      <c r="EZ248" s="1206"/>
      <c r="FA248" s="1206"/>
      <c r="FB248" s="1206"/>
      <c r="FC248" s="1206"/>
      <c r="FD248" s="1206"/>
      <c r="FE248" s="1206"/>
      <c r="FF248" s="1206"/>
      <c r="FG248" s="1206"/>
      <c r="FH248" s="1206"/>
      <c r="FI248" s="1206"/>
      <c r="FJ248" s="1550"/>
      <c r="FK248" s="1206"/>
      <c r="FL248" s="1206"/>
      <c r="FM248" s="1206"/>
      <c r="FN248" s="1206"/>
      <c r="FO248" s="1206"/>
      <c r="FP248" s="1206"/>
      <c r="FQ248" s="316"/>
      <c r="FR248" s="316"/>
      <c r="FS248" s="316"/>
      <c r="FT248" s="316"/>
      <c r="FU248" s="316"/>
      <c r="FV248" s="316"/>
      <c r="FW248" s="316"/>
      <c r="FX248" s="316"/>
      <c r="FY248" s="316"/>
      <c r="FZ248" s="316"/>
      <c r="GA248" s="316"/>
      <c r="GB248" s="316"/>
      <c r="GC248" s="316"/>
      <c r="GD248" s="316"/>
      <c r="GE248" s="316"/>
      <c r="GF248" s="316"/>
      <c r="GG248" s="316"/>
      <c r="GH248" s="316"/>
      <c r="GI248" s="316"/>
      <c r="GJ248" s="316"/>
      <c r="GK248" s="316"/>
      <c r="GL248" s="316"/>
      <c r="GM248" s="316"/>
      <c r="GN248" s="316"/>
      <c r="GO248" s="316"/>
      <c r="GP248" s="316"/>
      <c r="GQ248" s="316"/>
      <c r="GR248" s="316"/>
      <c r="GS248" s="316"/>
      <c r="GT248" s="316"/>
      <c r="GU248" s="316"/>
      <c r="GV248" s="316"/>
      <c r="GW248" s="316"/>
      <c r="GX248" s="316"/>
      <c r="GY248" s="316"/>
      <c r="GZ248" s="316"/>
      <c r="HA248" s="316"/>
      <c r="HB248" s="316"/>
      <c r="HC248" s="316"/>
      <c r="HD248" s="316"/>
      <c r="HE248" s="316"/>
      <c r="HF248" s="316"/>
      <c r="HG248" s="316"/>
      <c r="HH248" s="316"/>
      <c r="HI248" s="316"/>
      <c r="HJ248" s="316"/>
      <c r="HK248" s="316"/>
      <c r="HL248" s="316"/>
      <c r="HM248" s="316"/>
      <c r="HV248" s="302">
        <f t="shared" si="48"/>
        <v>113.94910983299998</v>
      </c>
      <c r="HW248" s="302">
        <f t="shared" si="49"/>
        <v>128.35139417799999</v>
      </c>
      <c r="HX248" s="346">
        <f t="shared" si="45"/>
        <v>242.30050401099999</v>
      </c>
      <c r="HY248" s="302">
        <f t="shared" si="50"/>
        <v>147.17117205700001</v>
      </c>
      <c r="KH248" s="303"/>
    </row>
    <row r="249" spans="2:294" outlineLevel="1">
      <c r="B249" s="117" t="s">
        <v>361</v>
      </c>
      <c r="D249" s="339" t="s">
        <v>1073</v>
      </c>
      <c r="E249" s="316"/>
      <c r="F249" s="316"/>
      <c r="G249" s="316"/>
      <c r="H249" s="316"/>
      <c r="I249" s="316"/>
      <c r="J249" s="316"/>
      <c r="K249" s="316"/>
      <c r="L249" s="316"/>
      <c r="M249" s="316"/>
      <c r="N249" s="316"/>
      <c r="O249" s="316"/>
      <c r="P249" s="316"/>
      <c r="Q249" s="316"/>
      <c r="R249" s="316"/>
      <c r="S249" s="316"/>
      <c r="T249" s="316"/>
      <c r="U249" s="316"/>
      <c r="V249" s="316"/>
      <c r="W249" s="316"/>
      <c r="X249" s="316"/>
      <c r="Y249" s="316"/>
      <c r="Z249" s="316"/>
      <c r="AA249" s="316"/>
      <c r="AB249" s="316"/>
      <c r="AC249" s="316"/>
      <c r="AD249" s="316"/>
      <c r="AE249" s="316"/>
      <c r="AF249" s="316"/>
      <c r="AG249" s="316"/>
      <c r="AH249" s="316"/>
      <c r="AI249" s="316"/>
      <c r="AJ249" s="316"/>
      <c r="AK249" s="316"/>
      <c r="AL249" s="316"/>
      <c r="AM249" s="316"/>
      <c r="AN249" s="316"/>
      <c r="AO249" s="316"/>
      <c r="AP249" s="316"/>
      <c r="AQ249" s="316"/>
      <c r="AR249" s="316"/>
      <c r="AS249" s="316"/>
      <c r="AT249" s="316"/>
      <c r="AU249" s="316"/>
      <c r="AV249" s="316"/>
      <c r="AW249" s="316"/>
      <c r="AX249" s="316"/>
      <c r="AY249" s="316"/>
      <c r="AZ249" s="316"/>
      <c r="BA249" s="316"/>
      <c r="BB249" s="316"/>
      <c r="BC249" s="316"/>
      <c r="BD249" s="316"/>
      <c r="BE249" s="316"/>
      <c r="BF249" s="316"/>
      <c r="BG249" s="316"/>
      <c r="BH249" s="316"/>
      <c r="BI249" s="316"/>
      <c r="BJ249" s="316"/>
      <c r="BK249" s="316"/>
      <c r="BL249" s="316"/>
      <c r="BM249" s="316"/>
      <c r="BN249" s="316"/>
      <c r="BO249" s="316"/>
      <c r="BP249" s="316"/>
      <c r="BQ249" s="316"/>
      <c r="BR249" s="316"/>
      <c r="BS249" s="316"/>
      <c r="BT249" s="316"/>
      <c r="BU249" s="316"/>
      <c r="BV249" s="316"/>
      <c r="BW249" s="316"/>
      <c r="BX249" s="316"/>
      <c r="BY249" s="316"/>
      <c r="BZ249" s="316"/>
      <c r="CA249" s="316"/>
      <c r="CB249" s="316"/>
      <c r="CC249" s="316"/>
      <c r="CD249" s="316"/>
      <c r="CE249" s="340">
        <v>25.508399537999999</v>
      </c>
      <c r="CF249" s="341">
        <v>-2.0401775750000093</v>
      </c>
      <c r="CG249" s="341">
        <v>4.2207555349999968</v>
      </c>
      <c r="CH249" s="341">
        <v>16.252574370000001</v>
      </c>
      <c r="CI249" s="341">
        <v>-2.4876395040000032</v>
      </c>
      <c r="CJ249" s="341">
        <v>-38.466229519000009</v>
      </c>
      <c r="CK249" s="341">
        <v>33.882002667999998</v>
      </c>
      <c r="CL249" s="341">
        <v>2.2579470150000027</v>
      </c>
      <c r="CM249" s="341">
        <v>-2.0906577159999982</v>
      </c>
      <c r="CN249" s="341">
        <v>22.995433001999999</v>
      </c>
      <c r="CO249" s="341">
        <v>16.250835539999997</v>
      </c>
      <c r="CP249" s="836">
        <v>-75.287974610000006</v>
      </c>
      <c r="CQ249" s="341">
        <v>44.310774844999997</v>
      </c>
      <c r="CR249" s="341">
        <v>7.5001968780000023</v>
      </c>
      <c r="CS249" s="341">
        <v>-7.9004163129999991</v>
      </c>
      <c r="CT249" s="341">
        <v>7.7556771840000014</v>
      </c>
      <c r="CU249" s="341">
        <v>14.144899252999997</v>
      </c>
      <c r="CV249" s="341">
        <v>-15.019393060999995</v>
      </c>
      <c r="CW249" s="341">
        <v>9.6241101279999999</v>
      </c>
      <c r="CX249" s="341">
        <v>18.724819482000001</v>
      </c>
      <c r="CY249" s="341">
        <v>-5.0054926209999993</v>
      </c>
      <c r="CZ249" s="341">
        <v>34.591635226999998</v>
      </c>
      <c r="DA249" s="341">
        <v>1.3786757339999962</v>
      </c>
      <c r="DB249" s="1511">
        <v>-84.901138697999983</v>
      </c>
      <c r="DC249" s="316">
        <v>45.052735190000007</v>
      </c>
      <c r="DD249" s="316">
        <v>7.2257779429999971</v>
      </c>
      <c r="DE249" s="316">
        <v>-6.9903193999999953</v>
      </c>
      <c r="DF249" s="316">
        <v>32.998058119999996</v>
      </c>
      <c r="DG249" s="316">
        <v>6.2888159679999962</v>
      </c>
      <c r="DH249" s="316">
        <v>-50.081889140000001</v>
      </c>
      <c r="DI249" s="316">
        <v>46.068997971999991</v>
      </c>
      <c r="DJ249" s="316">
        <v>-6.6366921700000008</v>
      </c>
      <c r="DK249" s="316">
        <v>7.4934037979999992</v>
      </c>
      <c r="DL249" s="316">
        <v>11.347221520000002</v>
      </c>
      <c r="DM249" s="316">
        <v>29.137273227999998</v>
      </c>
      <c r="DN249" s="318">
        <v>-104.89661460000001</v>
      </c>
      <c r="DO249" s="316">
        <v>25.456573080999995</v>
      </c>
      <c r="DP249" s="316">
        <v>68.927591491000001</v>
      </c>
      <c r="DQ249" s="316">
        <v>-6.6212411989999929</v>
      </c>
      <c r="DR249" s="316">
        <v>22.329321789000002</v>
      </c>
      <c r="DS249" s="316">
        <v>1.7125336159999982</v>
      </c>
      <c r="DT249" s="316">
        <v>-103.077576081</v>
      </c>
      <c r="DU249" s="316">
        <v>72.040236409999991</v>
      </c>
      <c r="DV249" s="316">
        <v>3.8861973749999965</v>
      </c>
      <c r="DW249" s="316">
        <v>-51.794579945000002</v>
      </c>
      <c r="DX249" s="316">
        <v>88.399945051999993</v>
      </c>
      <c r="DY249" s="316">
        <v>18.782829167999999</v>
      </c>
      <c r="DZ249" s="318">
        <v>-77.964563783999992</v>
      </c>
      <c r="EA249" s="316">
        <v>55.820003290999999</v>
      </c>
      <c r="EB249" s="316">
        <v>39.295028280000004</v>
      </c>
      <c r="EC249" s="316">
        <v>32.034154108999999</v>
      </c>
      <c r="ED249" s="316">
        <v>0.725604204999998</v>
      </c>
      <c r="EE249" s="316">
        <v>5.2141258529999961</v>
      </c>
      <c r="EF249" s="316">
        <v>-77.101285343000029</v>
      </c>
      <c r="EG249" s="316">
        <v>27.522394906999999</v>
      </c>
      <c r="EH249" s="316">
        <v>17.15996041</v>
      </c>
      <c r="EI249" s="316">
        <v>2.7166068449999985</v>
      </c>
      <c r="EJ249" s="316">
        <v>52.045411289</v>
      </c>
      <c r="EK249" s="316">
        <v>27.567981759000002</v>
      </c>
      <c r="EL249" s="318">
        <v>-105.17609369500001</v>
      </c>
      <c r="EM249" s="1206">
        <v>23.816345483999996</v>
      </c>
      <c r="EN249" s="1206">
        <v>44.226370795000022</v>
      </c>
      <c r="EO249" s="1206">
        <v>8.1419027430000028</v>
      </c>
      <c r="EP249" s="1206">
        <v>42.716289001999996</v>
      </c>
      <c r="EQ249" s="1206">
        <v>63.645386470000005</v>
      </c>
      <c r="ER249" s="1206">
        <v>-106.17324135299999</v>
      </c>
      <c r="ES249" s="1206">
        <v>-51.511227849000008</v>
      </c>
      <c r="ET249" s="1206">
        <v>-4.1803346760000011</v>
      </c>
      <c r="EU249" s="1206">
        <v>48.686548283999997</v>
      </c>
      <c r="EV249" s="1206">
        <v>66.64271675900001</v>
      </c>
      <c r="EW249" s="1206">
        <v>99.212840006999997</v>
      </c>
      <c r="EX249" s="1550">
        <v>-154.08028402900001</v>
      </c>
      <c r="EY249" s="1206"/>
      <c r="EZ249" s="1206"/>
      <c r="FA249" s="1206"/>
      <c r="FB249" s="1206"/>
      <c r="FC249" s="1206"/>
      <c r="FD249" s="1206"/>
      <c r="FE249" s="1206"/>
      <c r="FF249" s="1206"/>
      <c r="FG249" s="1206"/>
      <c r="FH249" s="1206"/>
      <c r="FI249" s="1206"/>
      <c r="FJ249" s="1550"/>
      <c r="FK249" s="1206"/>
      <c r="FL249" s="1206"/>
      <c r="FM249" s="1206"/>
      <c r="FN249" s="1206"/>
      <c r="FO249" s="1206"/>
      <c r="FP249" s="1206"/>
      <c r="FQ249" s="316"/>
      <c r="FR249" s="316"/>
      <c r="FS249" s="316"/>
      <c r="FT249" s="316"/>
      <c r="FU249" s="316"/>
      <c r="FV249" s="316"/>
      <c r="FW249" s="316"/>
      <c r="FX249" s="316"/>
      <c r="FY249" s="316"/>
      <c r="FZ249" s="316"/>
      <c r="GA249" s="316"/>
      <c r="GB249" s="316"/>
      <c r="GC249" s="316"/>
      <c r="GD249" s="316"/>
      <c r="GE249" s="316"/>
      <c r="GF249" s="316"/>
      <c r="GG249" s="316"/>
      <c r="GH249" s="316"/>
      <c r="GI249" s="316"/>
      <c r="GJ249" s="316"/>
      <c r="GK249" s="316"/>
      <c r="GL249" s="316"/>
      <c r="GM249" s="316"/>
      <c r="GN249" s="316"/>
      <c r="GO249" s="316"/>
      <c r="GP249" s="316"/>
      <c r="GQ249" s="316"/>
      <c r="GR249" s="316"/>
      <c r="GS249" s="316"/>
      <c r="GT249" s="316"/>
      <c r="GU249" s="316"/>
      <c r="GV249" s="316"/>
      <c r="GW249" s="316"/>
      <c r="GX249" s="316"/>
      <c r="GY249" s="316"/>
      <c r="GZ249" s="316"/>
      <c r="HA249" s="316"/>
      <c r="HB249" s="316"/>
      <c r="HC249" s="316"/>
      <c r="HD249" s="316"/>
      <c r="HE249" s="316"/>
      <c r="HF249" s="316"/>
      <c r="HG249" s="316"/>
      <c r="HH249" s="316"/>
      <c r="HI249" s="316"/>
      <c r="HJ249" s="316"/>
      <c r="HK249" s="316"/>
      <c r="HL249" s="316"/>
      <c r="HM249" s="316"/>
      <c r="HV249" s="302">
        <f t="shared" si="48"/>
        <v>34.493178681000003</v>
      </c>
      <c r="HW249" s="302">
        <f t="shared" si="49"/>
        <v>-17.486410252000013</v>
      </c>
      <c r="HX249" s="346">
        <f t="shared" si="45"/>
        <v>17.00676842899999</v>
      </c>
      <c r="HY249" s="302">
        <f t="shared" si="50"/>
        <v>8.7272026970000098</v>
      </c>
      <c r="KH249" s="303"/>
    </row>
    <row r="250" spans="2:294" outlineLevel="1">
      <c r="B250" s="117" t="s">
        <v>361</v>
      </c>
      <c r="D250" s="337" t="s">
        <v>478</v>
      </c>
      <c r="E250" s="316"/>
      <c r="F250" s="316"/>
      <c r="G250" s="316"/>
      <c r="H250" s="316"/>
      <c r="I250" s="316"/>
      <c r="J250" s="316"/>
      <c r="K250" s="316"/>
      <c r="L250" s="316"/>
      <c r="M250" s="316"/>
      <c r="N250" s="316"/>
      <c r="O250" s="316"/>
      <c r="P250" s="316"/>
      <c r="Q250" s="316"/>
      <c r="R250" s="316"/>
      <c r="S250" s="316"/>
      <c r="T250" s="316"/>
      <c r="U250" s="316"/>
      <c r="V250" s="316"/>
      <c r="W250" s="316"/>
      <c r="X250" s="316"/>
      <c r="Y250" s="316"/>
      <c r="Z250" s="316"/>
      <c r="AA250" s="316"/>
      <c r="AB250" s="316"/>
      <c r="AC250" s="316"/>
      <c r="AD250" s="316"/>
      <c r="AE250" s="316"/>
      <c r="AF250" s="316"/>
      <c r="AG250" s="316"/>
      <c r="AH250" s="316"/>
      <c r="AI250" s="316"/>
      <c r="AJ250" s="316"/>
      <c r="AK250" s="316"/>
      <c r="AL250" s="316"/>
      <c r="AM250" s="316"/>
      <c r="AN250" s="316"/>
      <c r="AO250" s="316"/>
      <c r="AP250" s="316"/>
      <c r="AQ250" s="316"/>
      <c r="AR250" s="316"/>
      <c r="AS250" s="316"/>
      <c r="AT250" s="316"/>
      <c r="AU250" s="316"/>
      <c r="AV250" s="316"/>
      <c r="AW250" s="316"/>
      <c r="AX250" s="316"/>
      <c r="AY250" s="316"/>
      <c r="AZ250" s="316"/>
      <c r="BA250" s="316"/>
      <c r="BB250" s="316"/>
      <c r="BC250" s="316"/>
      <c r="BD250" s="316"/>
      <c r="BE250" s="316"/>
      <c r="BF250" s="316"/>
      <c r="BG250" s="316"/>
      <c r="BH250" s="316"/>
      <c r="BI250" s="316"/>
      <c r="BJ250" s="316"/>
      <c r="BK250" s="316"/>
      <c r="BL250" s="316"/>
      <c r="BM250" s="316"/>
      <c r="BN250" s="316"/>
      <c r="BO250" s="316"/>
      <c r="BP250" s="316"/>
      <c r="BQ250" s="316"/>
      <c r="BR250" s="316"/>
      <c r="BS250" s="316"/>
      <c r="BT250" s="316"/>
      <c r="BU250" s="316"/>
      <c r="BV250" s="316"/>
      <c r="BW250" s="316"/>
      <c r="BX250" s="316"/>
      <c r="BY250" s="316"/>
      <c r="BZ250" s="316"/>
      <c r="CA250" s="316"/>
      <c r="CB250" s="316"/>
      <c r="CC250" s="316"/>
      <c r="CD250" s="316"/>
      <c r="CE250" s="340" t="s">
        <v>479</v>
      </c>
      <c r="CF250" s="341" t="s">
        <v>479</v>
      </c>
      <c r="CG250" s="341" t="s">
        <v>479</v>
      </c>
      <c r="CH250" s="341" t="s">
        <v>479</v>
      </c>
      <c r="CI250" s="341" t="s">
        <v>479</v>
      </c>
      <c r="CJ250" s="341" t="s">
        <v>479</v>
      </c>
      <c r="CK250" s="341" t="s">
        <v>479</v>
      </c>
      <c r="CL250" s="341" t="s">
        <v>479</v>
      </c>
      <c r="CM250" s="341" t="s">
        <v>479</v>
      </c>
      <c r="CN250" s="341" t="s">
        <v>479</v>
      </c>
      <c r="CO250" s="341" t="s">
        <v>479</v>
      </c>
      <c r="CP250" s="836" t="s">
        <v>479</v>
      </c>
      <c r="CQ250" s="341" t="s">
        <v>479</v>
      </c>
      <c r="CR250" s="341" t="s">
        <v>479</v>
      </c>
      <c r="CS250" s="341" t="s">
        <v>479</v>
      </c>
      <c r="CT250" s="341" t="s">
        <v>479</v>
      </c>
      <c r="CU250" s="341" t="s">
        <v>479</v>
      </c>
      <c r="CV250" s="341" t="s">
        <v>479</v>
      </c>
      <c r="CW250" s="341" t="s">
        <v>479</v>
      </c>
      <c r="CX250" s="341" t="s">
        <v>479</v>
      </c>
      <c r="CY250" s="341" t="s">
        <v>479</v>
      </c>
      <c r="CZ250" s="341" t="s">
        <v>479</v>
      </c>
      <c r="DA250" s="341" t="s">
        <v>479</v>
      </c>
      <c r="DB250" s="1511" t="s">
        <v>479</v>
      </c>
      <c r="DC250" s="341" t="s">
        <v>479</v>
      </c>
      <c r="DD250" s="341" t="s">
        <v>479</v>
      </c>
      <c r="DE250" s="341" t="s">
        <v>479</v>
      </c>
      <c r="DF250" s="341" t="s">
        <v>479</v>
      </c>
      <c r="DG250" s="341" t="s">
        <v>479</v>
      </c>
      <c r="DH250" s="341" t="s">
        <v>479</v>
      </c>
      <c r="DI250" s="341" t="s">
        <v>479</v>
      </c>
      <c r="DJ250" s="341" t="s">
        <v>479</v>
      </c>
      <c r="DK250" s="341" t="s">
        <v>479</v>
      </c>
      <c r="DL250" s="341" t="s">
        <v>479</v>
      </c>
      <c r="DM250" s="341" t="s">
        <v>479</v>
      </c>
      <c r="DN250" s="836" t="s">
        <v>479</v>
      </c>
      <c r="DO250" s="341" t="s">
        <v>479</v>
      </c>
      <c r="DP250" s="341" t="s">
        <v>479</v>
      </c>
      <c r="DQ250" s="341" t="s">
        <v>479</v>
      </c>
      <c r="DR250" s="341" t="s">
        <v>479</v>
      </c>
      <c r="DS250" s="341" t="s">
        <v>479</v>
      </c>
      <c r="DT250" s="341" t="s">
        <v>479</v>
      </c>
      <c r="DU250" s="341" t="s">
        <v>479</v>
      </c>
      <c r="DV250" s="341" t="s">
        <v>479</v>
      </c>
      <c r="DW250" s="341" t="s">
        <v>479</v>
      </c>
      <c r="DX250" s="341" t="s">
        <v>479</v>
      </c>
      <c r="DY250" s="341" t="s">
        <v>479</v>
      </c>
      <c r="DZ250" s="836" t="s">
        <v>479</v>
      </c>
      <c r="EA250" s="341" t="s">
        <v>479</v>
      </c>
      <c r="EB250" s="341" t="s">
        <v>479</v>
      </c>
      <c r="EC250" s="341" t="s">
        <v>479</v>
      </c>
      <c r="ED250" s="341" t="s">
        <v>479</v>
      </c>
      <c r="EE250" s="341" t="s">
        <v>479</v>
      </c>
      <c r="EF250" s="341" t="s">
        <v>479</v>
      </c>
      <c r="EG250" s="341" t="s">
        <v>479</v>
      </c>
      <c r="EH250" s="341" t="s">
        <v>479</v>
      </c>
      <c r="EI250" s="341" t="s">
        <v>479</v>
      </c>
      <c r="EJ250" s="341" t="s">
        <v>479</v>
      </c>
      <c r="EK250" s="341" t="s">
        <v>479</v>
      </c>
      <c r="EL250" s="836" t="s">
        <v>479</v>
      </c>
      <c r="EM250" s="1222" t="s">
        <v>479</v>
      </c>
      <c r="EN250" s="1222" t="s">
        <v>479</v>
      </c>
      <c r="EO250" s="1222" t="s">
        <v>479</v>
      </c>
      <c r="EP250" s="1222" t="s">
        <v>479</v>
      </c>
      <c r="EQ250" s="1222" t="s">
        <v>479</v>
      </c>
      <c r="ER250" s="1222" t="s">
        <v>479</v>
      </c>
      <c r="ES250" s="1222" t="s">
        <v>479</v>
      </c>
      <c r="ET250" s="1222" t="s">
        <v>479</v>
      </c>
      <c r="EU250" s="1222" t="s">
        <v>479</v>
      </c>
      <c r="EV250" s="1222" t="s">
        <v>479</v>
      </c>
      <c r="EW250" s="1222" t="s">
        <v>479</v>
      </c>
      <c r="EX250" s="1573" t="s">
        <v>479</v>
      </c>
      <c r="EY250" s="1222"/>
      <c r="EZ250" s="1222"/>
      <c r="FA250" s="1222"/>
      <c r="FB250" s="1222"/>
      <c r="FC250" s="1222"/>
      <c r="FD250" s="1222"/>
      <c r="FE250" s="1222"/>
      <c r="FF250" s="1222"/>
      <c r="FG250" s="1222"/>
      <c r="FH250" s="1222"/>
      <c r="FI250" s="1222"/>
      <c r="FJ250" s="1573"/>
      <c r="FK250" s="1222"/>
      <c r="FL250" s="1222"/>
      <c r="FM250" s="1222"/>
      <c r="FN250" s="1222"/>
      <c r="FO250" s="1222"/>
      <c r="FP250" s="1222"/>
      <c r="FQ250" s="341"/>
      <c r="FR250" s="341"/>
      <c r="FS250" s="341"/>
      <c r="FT250" s="341"/>
      <c r="FU250" s="341"/>
      <c r="FV250" s="341"/>
      <c r="FW250" s="341"/>
      <c r="FX250" s="341"/>
      <c r="FY250" s="341"/>
      <c r="FZ250" s="341"/>
      <c r="GA250" s="341"/>
      <c r="GB250" s="341"/>
      <c r="GC250" s="341"/>
      <c r="GD250" s="341"/>
      <c r="GE250" s="341"/>
      <c r="GF250" s="341"/>
      <c r="GG250" s="341"/>
      <c r="GH250" s="341"/>
      <c r="GI250" s="341"/>
      <c r="GJ250" s="341"/>
      <c r="GK250" s="341"/>
      <c r="GL250" s="341"/>
      <c r="GM250" s="341"/>
      <c r="GN250" s="341"/>
      <c r="GO250" s="341"/>
      <c r="GP250" s="341"/>
      <c r="GQ250" s="341"/>
      <c r="GR250" s="341"/>
      <c r="GS250" s="341"/>
      <c r="GT250" s="341"/>
      <c r="GU250" s="341"/>
      <c r="GV250" s="341"/>
      <c r="GW250" s="341"/>
      <c r="GX250" s="341"/>
      <c r="GY250" s="341"/>
      <c r="GZ250" s="341"/>
      <c r="HA250" s="341"/>
      <c r="HB250" s="341"/>
      <c r="HC250" s="341"/>
      <c r="HD250" s="341"/>
      <c r="HE250" s="341"/>
      <c r="HF250" s="341"/>
      <c r="HG250" s="341"/>
      <c r="HH250" s="341"/>
      <c r="HI250" s="341"/>
      <c r="HJ250" s="341"/>
      <c r="HK250" s="341"/>
      <c r="HL250" s="341"/>
      <c r="HM250" s="341"/>
      <c r="KH250" s="303"/>
    </row>
    <row r="251" spans="2:294" outlineLevel="1">
      <c r="B251" s="117" t="s">
        <v>361</v>
      </c>
      <c r="D251" s="337" t="s">
        <v>475</v>
      </c>
      <c r="E251" s="316"/>
      <c r="F251" s="316"/>
      <c r="G251" s="316"/>
      <c r="H251" s="316"/>
      <c r="I251" s="316"/>
      <c r="J251" s="316"/>
      <c r="K251" s="316"/>
      <c r="L251" s="316"/>
      <c r="M251" s="316"/>
      <c r="N251" s="316"/>
      <c r="O251" s="316"/>
      <c r="P251" s="316"/>
      <c r="Q251" s="316"/>
      <c r="R251" s="316"/>
      <c r="S251" s="316"/>
      <c r="T251" s="316"/>
      <c r="U251" s="316"/>
      <c r="V251" s="316"/>
      <c r="W251" s="316"/>
      <c r="X251" s="316"/>
      <c r="Y251" s="316"/>
      <c r="Z251" s="316"/>
      <c r="AA251" s="316"/>
      <c r="AB251" s="316"/>
      <c r="AC251" s="316"/>
      <c r="AD251" s="316"/>
      <c r="AE251" s="316"/>
      <c r="AF251" s="316"/>
      <c r="AG251" s="316"/>
      <c r="AH251" s="316"/>
      <c r="AI251" s="316"/>
      <c r="AJ251" s="316"/>
      <c r="AK251" s="316"/>
      <c r="AL251" s="316"/>
      <c r="AM251" s="316"/>
      <c r="AN251" s="316"/>
      <c r="AO251" s="316"/>
      <c r="AP251" s="316"/>
      <c r="AQ251" s="316"/>
      <c r="AR251" s="316"/>
      <c r="AS251" s="316"/>
      <c r="AT251" s="316"/>
      <c r="AU251" s="316"/>
      <c r="AV251" s="316"/>
      <c r="AW251" s="316"/>
      <c r="AX251" s="316"/>
      <c r="AY251" s="316"/>
      <c r="AZ251" s="316"/>
      <c r="BA251" s="316"/>
      <c r="BB251" s="316"/>
      <c r="BC251" s="316"/>
      <c r="BD251" s="316"/>
      <c r="BE251" s="316"/>
      <c r="BF251" s="316"/>
      <c r="BG251" s="316"/>
      <c r="BH251" s="316"/>
      <c r="BI251" s="316"/>
      <c r="BJ251" s="316"/>
      <c r="BK251" s="316"/>
      <c r="BL251" s="316"/>
      <c r="BM251" s="316"/>
      <c r="BN251" s="316"/>
      <c r="BO251" s="316"/>
      <c r="BP251" s="316"/>
      <c r="BQ251" s="316"/>
      <c r="BR251" s="316"/>
      <c r="BS251" s="316"/>
      <c r="BT251" s="316"/>
      <c r="BU251" s="316"/>
      <c r="BV251" s="316"/>
      <c r="BW251" s="316"/>
      <c r="BX251" s="316"/>
      <c r="BY251" s="316"/>
      <c r="BZ251" s="316"/>
      <c r="CA251" s="316"/>
      <c r="CB251" s="316"/>
      <c r="CC251" s="316"/>
      <c r="CD251" s="316"/>
      <c r="CE251" s="340" t="s">
        <v>479</v>
      </c>
      <c r="CF251" s="341" t="s">
        <v>479</v>
      </c>
      <c r="CG251" s="341" t="s">
        <v>479</v>
      </c>
      <c r="CH251" s="341" t="s">
        <v>479</v>
      </c>
      <c r="CI251" s="341" t="s">
        <v>479</v>
      </c>
      <c r="CJ251" s="341" t="s">
        <v>479</v>
      </c>
      <c r="CK251" s="341" t="s">
        <v>479</v>
      </c>
      <c r="CL251" s="341" t="s">
        <v>479</v>
      </c>
      <c r="CM251" s="341" t="s">
        <v>479</v>
      </c>
      <c r="CN251" s="341" t="s">
        <v>479</v>
      </c>
      <c r="CO251" s="341" t="s">
        <v>479</v>
      </c>
      <c r="CP251" s="836" t="s">
        <v>479</v>
      </c>
      <c r="CQ251" s="341" t="s">
        <v>479</v>
      </c>
      <c r="CR251" s="341" t="s">
        <v>479</v>
      </c>
      <c r="CS251" s="341" t="s">
        <v>479</v>
      </c>
      <c r="CT251" s="341" t="s">
        <v>479</v>
      </c>
      <c r="CU251" s="341" t="s">
        <v>479</v>
      </c>
      <c r="CV251" s="341" t="s">
        <v>479</v>
      </c>
      <c r="CW251" s="341" t="s">
        <v>479</v>
      </c>
      <c r="CX251" s="341" t="s">
        <v>479</v>
      </c>
      <c r="CY251" s="341" t="s">
        <v>479</v>
      </c>
      <c r="CZ251" s="341" t="s">
        <v>479</v>
      </c>
      <c r="DA251" s="341" t="s">
        <v>479</v>
      </c>
      <c r="DB251" s="1511" t="s">
        <v>479</v>
      </c>
      <c r="DC251" s="341">
        <v>0</v>
      </c>
      <c r="DD251" s="341">
        <v>0</v>
      </c>
      <c r="DE251" s="341">
        <v>0</v>
      </c>
      <c r="DF251" s="341">
        <v>0</v>
      </c>
      <c r="DG251" s="341">
        <v>0</v>
      </c>
      <c r="DH251" s="341">
        <v>0</v>
      </c>
      <c r="DI251" s="341">
        <v>0</v>
      </c>
      <c r="DJ251" s="341">
        <v>0</v>
      </c>
      <c r="DK251" s="341">
        <v>0</v>
      </c>
      <c r="DL251" s="341">
        <v>0</v>
      </c>
      <c r="DM251" s="341">
        <v>0</v>
      </c>
      <c r="DN251" s="836">
        <v>0</v>
      </c>
      <c r="DO251" s="341" t="s">
        <v>479</v>
      </c>
      <c r="DP251" s="341" t="s">
        <v>479</v>
      </c>
      <c r="DQ251" s="341" t="s">
        <v>479</v>
      </c>
      <c r="DR251" s="341" t="s">
        <v>479</v>
      </c>
      <c r="DS251" s="341" t="s">
        <v>479</v>
      </c>
      <c r="DT251" s="341" t="s">
        <v>479</v>
      </c>
      <c r="DU251" s="341" t="s">
        <v>479</v>
      </c>
      <c r="DV251" s="341" t="s">
        <v>479</v>
      </c>
      <c r="DW251" s="341" t="s">
        <v>479</v>
      </c>
      <c r="DX251" s="341" t="s">
        <v>479</v>
      </c>
      <c r="DY251" s="341" t="s">
        <v>479</v>
      </c>
      <c r="DZ251" s="836" t="s">
        <v>479</v>
      </c>
      <c r="EA251" s="341" t="s">
        <v>479</v>
      </c>
      <c r="EB251" s="341" t="s">
        <v>479</v>
      </c>
      <c r="EC251" s="341" t="s">
        <v>479</v>
      </c>
      <c r="ED251" s="341" t="s">
        <v>479</v>
      </c>
      <c r="EE251" s="341" t="s">
        <v>479</v>
      </c>
      <c r="EF251" s="341" t="s">
        <v>479</v>
      </c>
      <c r="EG251" s="341" t="s">
        <v>479</v>
      </c>
      <c r="EH251" s="341" t="s">
        <v>479</v>
      </c>
      <c r="EI251" s="341" t="s">
        <v>479</v>
      </c>
      <c r="EJ251" s="341" t="s">
        <v>479</v>
      </c>
      <c r="EK251" s="341" t="s">
        <v>479</v>
      </c>
      <c r="EL251" s="836" t="s">
        <v>479</v>
      </c>
      <c r="EM251" s="1222" t="s">
        <v>479</v>
      </c>
      <c r="EN251" s="1222" t="s">
        <v>479</v>
      </c>
      <c r="EO251" s="1222" t="s">
        <v>479</v>
      </c>
      <c r="EP251" s="1222" t="s">
        <v>479</v>
      </c>
      <c r="EQ251" s="1222" t="s">
        <v>479</v>
      </c>
      <c r="ER251" s="1222" t="s">
        <v>479</v>
      </c>
      <c r="ES251" s="1222" t="s">
        <v>479</v>
      </c>
      <c r="ET251" s="1222" t="s">
        <v>479</v>
      </c>
      <c r="EU251" s="1222" t="s">
        <v>479</v>
      </c>
      <c r="EV251" s="1222" t="s">
        <v>479</v>
      </c>
      <c r="EW251" s="1222" t="s">
        <v>479</v>
      </c>
      <c r="EX251" s="1573" t="s">
        <v>479</v>
      </c>
      <c r="EY251" s="1222"/>
      <c r="EZ251" s="1222"/>
      <c r="FA251" s="1222"/>
      <c r="FB251" s="1222"/>
      <c r="FC251" s="1222"/>
      <c r="FD251" s="1222"/>
      <c r="FE251" s="1222"/>
      <c r="FF251" s="1222"/>
      <c r="FG251" s="1222"/>
      <c r="FH251" s="1222"/>
      <c r="FI251" s="1222"/>
      <c r="FJ251" s="1573"/>
      <c r="FK251" s="1222"/>
      <c r="FL251" s="1222"/>
      <c r="FM251" s="1222"/>
      <c r="FN251" s="1222"/>
      <c r="FO251" s="1222"/>
      <c r="FP251" s="1222"/>
      <c r="FQ251" s="341"/>
      <c r="FR251" s="341"/>
      <c r="FS251" s="341"/>
      <c r="FT251" s="341"/>
      <c r="FU251" s="341"/>
      <c r="FV251" s="341"/>
      <c r="FW251" s="341"/>
      <c r="FX251" s="341"/>
      <c r="FY251" s="341"/>
      <c r="FZ251" s="341"/>
      <c r="GA251" s="341"/>
      <c r="GB251" s="341"/>
      <c r="GC251" s="341"/>
      <c r="GD251" s="341"/>
      <c r="GE251" s="341"/>
      <c r="GF251" s="341"/>
      <c r="GG251" s="341"/>
      <c r="GH251" s="341"/>
      <c r="GI251" s="341"/>
      <c r="GJ251" s="341"/>
      <c r="GK251" s="341"/>
      <c r="GL251" s="341"/>
      <c r="GM251" s="341"/>
      <c r="GN251" s="341"/>
      <c r="GO251" s="341"/>
      <c r="GP251" s="341"/>
      <c r="GQ251" s="341"/>
      <c r="GR251" s="341"/>
      <c r="GS251" s="341"/>
      <c r="GT251" s="341"/>
      <c r="GU251" s="341"/>
      <c r="GV251" s="341"/>
      <c r="GW251" s="341"/>
      <c r="GX251" s="341"/>
      <c r="GY251" s="341"/>
      <c r="GZ251" s="341"/>
      <c r="HA251" s="341"/>
      <c r="HB251" s="341"/>
      <c r="HC251" s="341"/>
      <c r="HD251" s="341"/>
      <c r="HE251" s="341"/>
      <c r="HF251" s="341"/>
      <c r="HG251" s="341"/>
      <c r="HH251" s="341"/>
      <c r="HI251" s="341"/>
      <c r="HJ251" s="341"/>
      <c r="HK251" s="341"/>
      <c r="HL251" s="341"/>
      <c r="HM251" s="341"/>
      <c r="KH251" s="303"/>
    </row>
    <row r="252" spans="2:294" outlineLevel="1">
      <c r="B252" s="117" t="s">
        <v>361</v>
      </c>
      <c r="D252" s="337" t="s">
        <v>476</v>
      </c>
      <c r="E252" s="316"/>
      <c r="F252" s="316"/>
      <c r="G252" s="316"/>
      <c r="H252" s="316"/>
      <c r="I252" s="316"/>
      <c r="J252" s="316"/>
      <c r="K252" s="316"/>
      <c r="L252" s="316"/>
      <c r="M252" s="316"/>
      <c r="N252" s="316"/>
      <c r="O252" s="316"/>
      <c r="P252" s="316"/>
      <c r="Q252" s="316"/>
      <c r="R252" s="316"/>
      <c r="S252" s="316"/>
      <c r="T252" s="316"/>
      <c r="U252" s="316"/>
      <c r="V252" s="316"/>
      <c r="W252" s="316"/>
      <c r="X252" s="316"/>
      <c r="Y252" s="316"/>
      <c r="Z252" s="316"/>
      <c r="AA252" s="316"/>
      <c r="AB252" s="316"/>
      <c r="AC252" s="316"/>
      <c r="AD252" s="316"/>
      <c r="AE252" s="316"/>
      <c r="AF252" s="316"/>
      <c r="AG252" s="316"/>
      <c r="AH252" s="316"/>
      <c r="AI252" s="316"/>
      <c r="AJ252" s="316"/>
      <c r="AK252" s="316"/>
      <c r="AL252" s="316"/>
      <c r="AM252" s="316"/>
      <c r="AN252" s="316"/>
      <c r="AO252" s="316"/>
      <c r="AP252" s="316"/>
      <c r="AQ252" s="316"/>
      <c r="AR252" s="316"/>
      <c r="AS252" s="316"/>
      <c r="AT252" s="316"/>
      <c r="AU252" s="316"/>
      <c r="AV252" s="316"/>
      <c r="AW252" s="316"/>
      <c r="AX252" s="316"/>
      <c r="AY252" s="316"/>
      <c r="AZ252" s="316"/>
      <c r="BA252" s="316"/>
      <c r="BB252" s="316"/>
      <c r="BC252" s="316"/>
      <c r="BD252" s="316"/>
      <c r="BE252" s="316"/>
      <c r="BF252" s="316"/>
      <c r="BG252" s="316"/>
      <c r="BH252" s="316"/>
      <c r="BI252" s="316"/>
      <c r="BJ252" s="316"/>
      <c r="BK252" s="316"/>
      <c r="BL252" s="316"/>
      <c r="BM252" s="316"/>
      <c r="BN252" s="316"/>
      <c r="BO252" s="316"/>
      <c r="BP252" s="316"/>
      <c r="BQ252" s="316"/>
      <c r="BR252" s="316"/>
      <c r="BS252" s="316"/>
      <c r="BT252" s="316"/>
      <c r="BU252" s="316"/>
      <c r="BV252" s="316"/>
      <c r="BW252" s="316"/>
      <c r="BX252" s="316"/>
      <c r="BY252" s="316"/>
      <c r="BZ252" s="316"/>
      <c r="CA252" s="316"/>
      <c r="CB252" s="316"/>
      <c r="CC252" s="316"/>
      <c r="CD252" s="316"/>
      <c r="CE252" s="340">
        <v>7.1051342669999995</v>
      </c>
      <c r="CF252" s="341">
        <v>4.0966254839999969</v>
      </c>
      <c r="CG252" s="341">
        <v>1.9512055559999997</v>
      </c>
      <c r="CH252" s="341">
        <v>8.3478945470000028</v>
      </c>
      <c r="CI252" s="341">
        <v>1.0515267759999993</v>
      </c>
      <c r="CJ252" s="341">
        <v>-21.576333371000004</v>
      </c>
      <c r="CK252" s="341">
        <v>10.769489263000001</v>
      </c>
      <c r="CL252" s="341">
        <v>6.1930706549999996</v>
      </c>
      <c r="CM252" s="341">
        <v>4.0609351500000024</v>
      </c>
      <c r="CN252" s="341">
        <v>4.757991036</v>
      </c>
      <c r="CO252" s="341">
        <v>22.674701041999995</v>
      </c>
      <c r="CP252" s="836">
        <v>-48.917763049999998</v>
      </c>
      <c r="CQ252" s="341">
        <v>17.209162821</v>
      </c>
      <c r="CR252" s="341">
        <v>15.269503156000003</v>
      </c>
      <c r="CS252" s="341">
        <v>-11.06146811</v>
      </c>
      <c r="CT252" s="341">
        <v>2.8723477899999992</v>
      </c>
      <c r="CU252" s="341">
        <v>8.0139070379999993</v>
      </c>
      <c r="CV252" s="341">
        <v>-6.2731117709999999</v>
      </c>
      <c r="CW252" s="341">
        <v>10.639484512999999</v>
      </c>
      <c r="CX252" s="341">
        <v>12.667846544</v>
      </c>
      <c r="CY252" s="341">
        <v>4.5214003620000014</v>
      </c>
      <c r="CZ252" s="341">
        <v>25.523249270000001</v>
      </c>
      <c r="DA252" s="341">
        <v>-15.798718662000006</v>
      </c>
      <c r="DB252" s="1511">
        <v>-43.995719493999999</v>
      </c>
      <c r="DC252" s="316">
        <v>11.560989208000002</v>
      </c>
      <c r="DD252" s="316">
        <v>19.757705510000001</v>
      </c>
      <c r="DE252" s="316">
        <v>-4.3619535699999972</v>
      </c>
      <c r="DF252" s="316">
        <v>14.993328296999998</v>
      </c>
      <c r="DG252" s="316">
        <v>8.3345958449999991</v>
      </c>
      <c r="DH252" s="316">
        <v>-40.624240295999996</v>
      </c>
      <c r="DI252" s="316">
        <v>30.002796665999998</v>
      </c>
      <c r="DJ252" s="316">
        <v>1.4471406910000013</v>
      </c>
      <c r="DK252" s="316">
        <v>-2.734419281000001</v>
      </c>
      <c r="DL252" s="316">
        <v>22.727910606000002</v>
      </c>
      <c r="DM252" s="316">
        <v>26.712901735999999</v>
      </c>
      <c r="DN252" s="318">
        <v>-73.099384468000011</v>
      </c>
      <c r="DO252" s="316">
        <v>13.091176734999999</v>
      </c>
      <c r="DP252" s="316">
        <v>18.505508694</v>
      </c>
      <c r="DQ252" s="316">
        <v>-6.0870908379999982</v>
      </c>
      <c r="DR252" s="316">
        <v>9.4739989670000035</v>
      </c>
      <c r="DS252" s="316">
        <v>17.135028232</v>
      </c>
      <c r="DT252" s="316">
        <v>-50.967114805000001</v>
      </c>
      <c r="DU252" s="316">
        <v>33.919688415000003</v>
      </c>
      <c r="DV252" s="316">
        <v>8.593012954999999</v>
      </c>
      <c r="DW252" s="316">
        <v>-25.025705812000002</v>
      </c>
      <c r="DX252" s="316">
        <v>29.043803919999998</v>
      </c>
      <c r="DY252" s="316">
        <v>22.366354803999997</v>
      </c>
      <c r="DZ252" s="318">
        <v>-86.575721978999994</v>
      </c>
      <c r="EA252" s="316">
        <v>4.9212095309999997</v>
      </c>
      <c r="EB252" s="316">
        <v>31.26392057</v>
      </c>
      <c r="EC252" s="316">
        <v>13.386608241999998</v>
      </c>
      <c r="ED252" s="316">
        <v>-9.0395555590000001</v>
      </c>
      <c r="EE252" s="316">
        <v>-6.6430759580000043</v>
      </c>
      <c r="EF252" s="316">
        <v>-24.804473470000001</v>
      </c>
      <c r="EG252" s="316">
        <v>19.946813280999997</v>
      </c>
      <c r="EH252" s="316">
        <v>9.019103819999998</v>
      </c>
      <c r="EI252" s="316">
        <v>-2.2610306449999982</v>
      </c>
      <c r="EJ252" s="316">
        <v>25.882285985999999</v>
      </c>
      <c r="EK252" s="316">
        <v>13.960324536000002</v>
      </c>
      <c r="EL252" s="318">
        <v>-48.696415891999997</v>
      </c>
      <c r="EM252" s="1206">
        <v>6.6442196500000001</v>
      </c>
      <c r="EN252" s="1206">
        <v>6.0598780780000041</v>
      </c>
      <c r="EO252" s="1206">
        <v>4.7069510930000042</v>
      </c>
      <c r="EP252" s="1206">
        <v>19.444143709000002</v>
      </c>
      <c r="EQ252" s="1206">
        <v>21.421859166000004</v>
      </c>
      <c r="ER252" s="1206">
        <v>-36.431957646000001</v>
      </c>
      <c r="ES252" s="1206">
        <v>-14.430336699000009</v>
      </c>
      <c r="ET252" s="1206">
        <v>19.765998986999996</v>
      </c>
      <c r="EU252" s="1206">
        <v>5.4040945759999985</v>
      </c>
      <c r="EV252" s="1206">
        <v>39.120748339000002</v>
      </c>
      <c r="EW252" s="1206">
        <v>54.509511295000003</v>
      </c>
      <c r="EX252" s="1550">
        <v>-99.95363217100001</v>
      </c>
      <c r="EY252" s="1206"/>
      <c r="EZ252" s="1206"/>
      <c r="FA252" s="1206"/>
      <c r="FB252" s="1206"/>
      <c r="FC252" s="1206"/>
      <c r="FD252" s="1206"/>
      <c r="FE252" s="1206"/>
      <c r="FF252" s="1206"/>
      <c r="FG252" s="1206"/>
      <c r="FH252" s="1206"/>
      <c r="FI252" s="1206"/>
      <c r="FJ252" s="1550"/>
      <c r="FK252" s="1206"/>
      <c r="FL252" s="1206"/>
      <c r="FM252" s="1206"/>
      <c r="FN252" s="1206"/>
      <c r="FO252" s="1206"/>
      <c r="FP252" s="1206"/>
      <c r="FQ252" s="316"/>
      <c r="FR252" s="316"/>
      <c r="FS252" s="316"/>
      <c r="FT252" s="316"/>
      <c r="FU252" s="316"/>
      <c r="FV252" s="316"/>
      <c r="FW252" s="316"/>
      <c r="FX252" s="316"/>
      <c r="FY252" s="316"/>
      <c r="FZ252" s="316"/>
      <c r="GA252" s="316"/>
      <c r="GB252" s="316"/>
      <c r="GC252" s="316"/>
      <c r="GD252" s="316"/>
      <c r="GE252" s="316"/>
      <c r="GF252" s="316"/>
      <c r="GG252" s="316"/>
      <c r="GH252" s="316"/>
      <c r="GI252" s="316"/>
      <c r="GJ252" s="316"/>
      <c r="GK252" s="316"/>
      <c r="GL252" s="316"/>
      <c r="GM252" s="316"/>
      <c r="GN252" s="316"/>
      <c r="GO252" s="316"/>
      <c r="GP252" s="316"/>
      <c r="GQ252" s="316"/>
      <c r="GR252" s="316"/>
      <c r="GS252" s="316"/>
      <c r="GT252" s="316"/>
      <c r="GU252" s="316"/>
      <c r="GV252" s="316"/>
      <c r="GW252" s="316"/>
      <c r="GX252" s="316"/>
      <c r="GY252" s="316"/>
      <c r="GZ252" s="316"/>
      <c r="HA252" s="316"/>
      <c r="HB252" s="316"/>
      <c r="HC252" s="316"/>
      <c r="HD252" s="316"/>
      <c r="HE252" s="316"/>
      <c r="HF252" s="316"/>
      <c r="HG252" s="316"/>
      <c r="HH252" s="316"/>
      <c r="HI252" s="316"/>
      <c r="HJ252" s="316"/>
      <c r="HK252" s="316"/>
      <c r="HL252" s="316"/>
      <c r="HM252" s="316"/>
      <c r="HY252" s="302">
        <f t="shared" ref="HY252:HY259" si="51">SUM(DO252:DT252)</f>
        <v>1.1515069850000046</v>
      </c>
      <c r="KH252" s="303"/>
    </row>
    <row r="253" spans="2:294" outlineLevel="1">
      <c r="B253" s="117" t="s">
        <v>361</v>
      </c>
      <c r="D253" s="337" t="s">
        <v>468</v>
      </c>
      <c r="E253" s="316"/>
      <c r="F253" s="316"/>
      <c r="G253" s="316"/>
      <c r="H253" s="316"/>
      <c r="I253" s="316"/>
      <c r="J253" s="316"/>
      <c r="K253" s="316"/>
      <c r="L253" s="316"/>
      <c r="M253" s="316"/>
      <c r="N253" s="316"/>
      <c r="O253" s="316"/>
      <c r="P253" s="316"/>
      <c r="Q253" s="316"/>
      <c r="R253" s="316"/>
      <c r="S253" s="316"/>
      <c r="T253" s="316"/>
      <c r="U253" s="316"/>
      <c r="V253" s="316"/>
      <c r="W253" s="316"/>
      <c r="X253" s="316"/>
      <c r="Y253" s="316"/>
      <c r="Z253" s="316"/>
      <c r="AA253" s="316"/>
      <c r="AB253" s="316"/>
      <c r="AC253" s="316"/>
      <c r="AD253" s="316"/>
      <c r="AE253" s="316"/>
      <c r="AF253" s="316"/>
      <c r="AG253" s="316"/>
      <c r="AH253" s="316"/>
      <c r="AI253" s="316"/>
      <c r="AJ253" s="316"/>
      <c r="AK253" s="316"/>
      <c r="AL253" s="316"/>
      <c r="AM253" s="316"/>
      <c r="AN253" s="316"/>
      <c r="AO253" s="316"/>
      <c r="AP253" s="316"/>
      <c r="AQ253" s="316"/>
      <c r="AR253" s="316"/>
      <c r="AS253" s="316"/>
      <c r="AT253" s="316"/>
      <c r="AU253" s="316"/>
      <c r="AV253" s="316"/>
      <c r="AW253" s="316"/>
      <c r="AX253" s="316"/>
      <c r="AY253" s="316"/>
      <c r="AZ253" s="316"/>
      <c r="BA253" s="316"/>
      <c r="BB253" s="316"/>
      <c r="BC253" s="316"/>
      <c r="BD253" s="316"/>
      <c r="BE253" s="316"/>
      <c r="BF253" s="316"/>
      <c r="BG253" s="316"/>
      <c r="BH253" s="316"/>
      <c r="BI253" s="316"/>
      <c r="BJ253" s="316"/>
      <c r="BK253" s="316"/>
      <c r="BL253" s="316"/>
      <c r="BM253" s="316"/>
      <c r="BN253" s="316"/>
      <c r="BO253" s="316"/>
      <c r="BP253" s="316"/>
      <c r="BQ253" s="316"/>
      <c r="BR253" s="316"/>
      <c r="BS253" s="316"/>
      <c r="BT253" s="316"/>
      <c r="BU253" s="316"/>
      <c r="BV253" s="316"/>
      <c r="BW253" s="316"/>
      <c r="BX253" s="316"/>
      <c r="BY253" s="316"/>
      <c r="BZ253" s="316"/>
      <c r="CA253" s="316"/>
      <c r="CB253" s="316"/>
      <c r="CC253" s="316"/>
      <c r="CD253" s="316"/>
      <c r="CE253" s="340">
        <v>1.7690634349999996</v>
      </c>
      <c r="CF253" s="341">
        <v>-1.2721212749999999</v>
      </c>
      <c r="CG253" s="341">
        <v>1.8362218209999996</v>
      </c>
      <c r="CH253" s="341">
        <v>-0.17735641400000013</v>
      </c>
      <c r="CI253" s="341">
        <v>0.39942672200000029</v>
      </c>
      <c r="CJ253" s="341">
        <v>-2.3667560020000007</v>
      </c>
      <c r="CK253" s="341">
        <v>1.8672308619999995</v>
      </c>
      <c r="CL253" s="341">
        <v>2.6194804970000005</v>
      </c>
      <c r="CM253" s="341">
        <v>-1.776655871</v>
      </c>
      <c r="CN253" s="341">
        <v>13.625899475999997</v>
      </c>
      <c r="CO253" s="341">
        <v>-10.611466395000001</v>
      </c>
      <c r="CP253" s="836">
        <v>-5.9129668559999997</v>
      </c>
      <c r="CQ253" s="341">
        <v>5.2967690419999993</v>
      </c>
      <c r="CR253" s="341">
        <v>0.2170500699999991</v>
      </c>
      <c r="CS253" s="341">
        <v>-3.7158208570000006</v>
      </c>
      <c r="CT253" s="341">
        <v>1.4969351610000006</v>
      </c>
      <c r="CU253" s="341">
        <v>6.3300517620000001</v>
      </c>
      <c r="CV253" s="341">
        <v>-2.4918573659999996</v>
      </c>
      <c r="CW253" s="341">
        <v>-5.7452427410000002</v>
      </c>
      <c r="CX253" s="341">
        <v>5.0426684920000007</v>
      </c>
      <c r="CY253" s="341">
        <v>-4.7651188680000018</v>
      </c>
      <c r="CZ253" s="341">
        <v>12.503622248000001</v>
      </c>
      <c r="DA253" s="341">
        <v>4.8827097450000014</v>
      </c>
      <c r="DB253" s="1511">
        <v>-17.096368255000002</v>
      </c>
      <c r="DC253" s="316">
        <v>16.669941623</v>
      </c>
      <c r="DD253" s="316">
        <v>-10.951533701000002</v>
      </c>
      <c r="DE253" s="316">
        <v>-1.532619145</v>
      </c>
      <c r="DF253" s="316">
        <v>9.3356014169999995</v>
      </c>
      <c r="DG253" s="316">
        <v>-7.4378904299999995</v>
      </c>
      <c r="DH253" s="316">
        <v>-4.9176410199999996</v>
      </c>
      <c r="DI253" s="316">
        <v>3.0835993729999984</v>
      </c>
      <c r="DJ253" s="316">
        <v>0.63081073800000009</v>
      </c>
      <c r="DK253" s="316">
        <v>2.7885998639999992</v>
      </c>
      <c r="DL253" s="316">
        <v>-2.2777193889999996</v>
      </c>
      <c r="DM253" s="316">
        <v>0.4584453030000013</v>
      </c>
      <c r="DN253" s="318">
        <v>-4.1548673760000003</v>
      </c>
      <c r="DO253" s="316">
        <v>5.929574079</v>
      </c>
      <c r="DP253" s="316">
        <v>17.626309032999998</v>
      </c>
      <c r="DQ253" s="316">
        <v>-4.5473231699999985</v>
      </c>
      <c r="DR253" s="316">
        <v>-4.3121174410000016</v>
      </c>
      <c r="DS253" s="316">
        <v>4.2574801610000002</v>
      </c>
      <c r="DT253" s="316">
        <v>-18.803490605</v>
      </c>
      <c r="DU253" s="316">
        <v>5.1126711250000003</v>
      </c>
      <c r="DV253" s="316">
        <v>2.1651819000000572E-2</v>
      </c>
      <c r="DW253" s="316">
        <v>-4.3647392579999993</v>
      </c>
      <c r="DX253" s="316">
        <v>8.1960715549999996</v>
      </c>
      <c r="DY253" s="316">
        <v>3.9403740240000005</v>
      </c>
      <c r="DZ253" s="318">
        <v>11.865436591000002</v>
      </c>
      <c r="EA253" s="316">
        <v>18.384679572000003</v>
      </c>
      <c r="EB253" s="316">
        <v>3.7681906819999984</v>
      </c>
      <c r="EC253" s="316">
        <v>-0.78748514799999825</v>
      </c>
      <c r="ED253" s="316">
        <v>16.510090317</v>
      </c>
      <c r="EE253" s="316">
        <v>5.7811885280000004</v>
      </c>
      <c r="EF253" s="316">
        <v>-37.745474071000004</v>
      </c>
      <c r="EG253" s="316">
        <v>11.828277376999999</v>
      </c>
      <c r="EH253" s="316">
        <v>4.3288024429999989</v>
      </c>
      <c r="EI253" s="316">
        <v>3.8891106330000005</v>
      </c>
      <c r="EJ253" s="316">
        <v>4.9414609939999998</v>
      </c>
      <c r="EK253" s="316">
        <v>-2.9434197280000003</v>
      </c>
      <c r="EL253" s="318">
        <v>-7.1199723930000003</v>
      </c>
      <c r="EM253" s="1206">
        <v>-1.0970569299999999</v>
      </c>
      <c r="EN253" s="1206">
        <v>27.588824601000002</v>
      </c>
      <c r="EO253" s="1206">
        <v>-6.2369825159999994</v>
      </c>
      <c r="EP253" s="1206">
        <v>6.645929645999999</v>
      </c>
      <c r="EQ253" s="1206">
        <v>10.151678334</v>
      </c>
      <c r="ER253" s="1206">
        <v>-11.649008825999999</v>
      </c>
      <c r="ES253" s="1206">
        <v>-12.831608562</v>
      </c>
      <c r="ET253" s="1206">
        <v>-7.3211674559999995</v>
      </c>
      <c r="EU253" s="1206">
        <v>12.503913811</v>
      </c>
      <c r="EV253" s="1206">
        <v>20.863237506000001</v>
      </c>
      <c r="EW253" s="1206">
        <v>10.055855203999998</v>
      </c>
      <c r="EX253" s="1550">
        <v>-4.3716199699999976</v>
      </c>
      <c r="EY253" s="1206"/>
      <c r="EZ253" s="1206"/>
      <c r="FA253" s="1206"/>
      <c r="FB253" s="1206"/>
      <c r="FC253" s="1206"/>
      <c r="FD253" s="1206"/>
      <c r="FE253" s="1206"/>
      <c r="FF253" s="1206"/>
      <c r="FG253" s="1206"/>
      <c r="FH253" s="1206"/>
      <c r="FI253" s="1206"/>
      <c r="FJ253" s="1550"/>
      <c r="FK253" s="1206"/>
      <c r="FL253" s="1206"/>
      <c r="FM253" s="1206"/>
      <c r="FN253" s="1206"/>
      <c r="FO253" s="1206"/>
      <c r="FP253" s="1206"/>
      <c r="FQ253" s="316"/>
      <c r="FR253" s="316"/>
      <c r="FS253" s="316"/>
      <c r="FT253" s="316"/>
      <c r="FU253" s="316"/>
      <c r="FV253" s="316"/>
      <c r="FW253" s="316"/>
      <c r="FX253" s="316"/>
      <c r="FY253" s="316"/>
      <c r="FZ253" s="316"/>
      <c r="GA253" s="316"/>
      <c r="GB253" s="316"/>
      <c r="GC253" s="316"/>
      <c r="GD253" s="316"/>
      <c r="GE253" s="316"/>
      <c r="GF253" s="316"/>
      <c r="GG253" s="316"/>
      <c r="GH253" s="316"/>
      <c r="GI253" s="316"/>
      <c r="GJ253" s="316"/>
      <c r="GK253" s="316"/>
      <c r="GL253" s="316"/>
      <c r="GM253" s="316"/>
      <c r="GN253" s="316"/>
      <c r="GO253" s="316"/>
      <c r="GP253" s="316"/>
      <c r="GQ253" s="316"/>
      <c r="GR253" s="316"/>
      <c r="GS253" s="316"/>
      <c r="GT253" s="316"/>
      <c r="GU253" s="316"/>
      <c r="GV253" s="316"/>
      <c r="GW253" s="316"/>
      <c r="GX253" s="316"/>
      <c r="GY253" s="316"/>
      <c r="GZ253" s="316"/>
      <c r="HA253" s="316"/>
      <c r="HB253" s="316"/>
      <c r="HC253" s="316"/>
      <c r="HD253" s="316"/>
      <c r="HE253" s="316"/>
      <c r="HF253" s="316"/>
      <c r="HG253" s="316"/>
      <c r="HH253" s="316"/>
      <c r="HI253" s="316"/>
      <c r="HJ253" s="316"/>
      <c r="HK253" s="316"/>
      <c r="HL253" s="316"/>
      <c r="HM253" s="316"/>
      <c r="HY253" s="302">
        <f t="shared" si="51"/>
        <v>0.15043205699999618</v>
      </c>
      <c r="KH253" s="303"/>
    </row>
    <row r="254" spans="2:294" outlineLevel="1">
      <c r="B254" s="117" t="s">
        <v>361</v>
      </c>
      <c r="D254" s="337" t="s">
        <v>477</v>
      </c>
      <c r="E254" s="316"/>
      <c r="F254" s="316"/>
      <c r="G254" s="316"/>
      <c r="H254" s="316"/>
      <c r="I254" s="316"/>
      <c r="J254" s="316"/>
      <c r="K254" s="316"/>
      <c r="L254" s="316"/>
      <c r="M254" s="316"/>
      <c r="N254" s="316"/>
      <c r="O254" s="316"/>
      <c r="P254" s="316"/>
      <c r="Q254" s="316"/>
      <c r="R254" s="316"/>
      <c r="S254" s="316"/>
      <c r="T254" s="316"/>
      <c r="U254" s="316"/>
      <c r="V254" s="316"/>
      <c r="W254" s="316"/>
      <c r="X254" s="316"/>
      <c r="Y254" s="316"/>
      <c r="Z254" s="316"/>
      <c r="AA254" s="316"/>
      <c r="AB254" s="316"/>
      <c r="AC254" s="316"/>
      <c r="AD254" s="316"/>
      <c r="AE254" s="316"/>
      <c r="AF254" s="316"/>
      <c r="AG254" s="316"/>
      <c r="AH254" s="316"/>
      <c r="AI254" s="316"/>
      <c r="AJ254" s="316"/>
      <c r="AK254" s="316"/>
      <c r="AL254" s="316"/>
      <c r="AM254" s="316"/>
      <c r="AN254" s="316"/>
      <c r="AO254" s="316"/>
      <c r="AP254" s="316"/>
      <c r="AQ254" s="316"/>
      <c r="AR254" s="316"/>
      <c r="AS254" s="316"/>
      <c r="AT254" s="316"/>
      <c r="AU254" s="316"/>
      <c r="AV254" s="316"/>
      <c r="AW254" s="316"/>
      <c r="AX254" s="316"/>
      <c r="AY254" s="316"/>
      <c r="AZ254" s="316"/>
      <c r="BA254" s="316"/>
      <c r="BB254" s="316"/>
      <c r="BC254" s="316"/>
      <c r="BD254" s="316"/>
      <c r="BE254" s="316"/>
      <c r="BF254" s="316"/>
      <c r="BG254" s="316"/>
      <c r="BH254" s="316"/>
      <c r="BI254" s="316"/>
      <c r="BJ254" s="316"/>
      <c r="BK254" s="316"/>
      <c r="BL254" s="316"/>
      <c r="BM254" s="316"/>
      <c r="BN254" s="316"/>
      <c r="BO254" s="316"/>
      <c r="BP254" s="316"/>
      <c r="BQ254" s="316"/>
      <c r="BR254" s="316"/>
      <c r="BS254" s="316"/>
      <c r="BT254" s="316"/>
      <c r="BU254" s="316"/>
      <c r="BV254" s="316"/>
      <c r="BW254" s="316"/>
      <c r="BX254" s="316"/>
      <c r="BY254" s="316"/>
      <c r="BZ254" s="316"/>
      <c r="CA254" s="316"/>
      <c r="CB254" s="316"/>
      <c r="CC254" s="316"/>
      <c r="CD254" s="316"/>
      <c r="CE254" s="340">
        <v>3.2322493970000004</v>
      </c>
      <c r="CF254" s="341">
        <v>0.50998979099999975</v>
      </c>
      <c r="CG254" s="341">
        <v>1.2022690799999989</v>
      </c>
      <c r="CH254" s="341">
        <v>3.5713543679999997</v>
      </c>
      <c r="CI254" s="341">
        <v>-3.1373026240000002</v>
      </c>
      <c r="CJ254" s="341">
        <v>-4.306650734999999</v>
      </c>
      <c r="CK254" s="341">
        <v>6.2764918289999994</v>
      </c>
      <c r="CL254" s="341">
        <v>-1.3872660769999996</v>
      </c>
      <c r="CM254" s="341">
        <v>-0.62834578200000024</v>
      </c>
      <c r="CN254" s="341">
        <v>2.3118134480000005</v>
      </c>
      <c r="CO254" s="341">
        <v>-1.1519718349999977</v>
      </c>
      <c r="CP254" s="836">
        <v>-6.2028946510000003</v>
      </c>
      <c r="CQ254" s="341">
        <v>2.6949530760000009</v>
      </c>
      <c r="CR254" s="341">
        <v>2.1138540809999995</v>
      </c>
      <c r="CS254" s="341">
        <v>-0.85487843900000016</v>
      </c>
      <c r="CT254" s="341">
        <v>4.5192651720000008</v>
      </c>
      <c r="CU254" s="341">
        <v>-2.2708023920000002</v>
      </c>
      <c r="CV254" s="341">
        <v>1.2577232920000014</v>
      </c>
      <c r="CW254" s="341">
        <v>0.91726504100000028</v>
      </c>
      <c r="CX254" s="341">
        <v>-0.61825207899999945</v>
      </c>
      <c r="CY254" s="341">
        <v>0.36821522600000023</v>
      </c>
      <c r="CZ254" s="341">
        <v>-3.0048125030000001</v>
      </c>
      <c r="DA254" s="341">
        <v>6.0118706829999997</v>
      </c>
      <c r="DB254" s="1511">
        <v>-9.0069652809999994</v>
      </c>
      <c r="DC254" s="316">
        <v>5.8897165729999994</v>
      </c>
      <c r="DD254" s="316">
        <v>0.20746443099999823</v>
      </c>
      <c r="DE254" s="316">
        <v>-0.82805675900000075</v>
      </c>
      <c r="DF254" s="316">
        <v>3.4536676649999976</v>
      </c>
      <c r="DG254" s="316">
        <v>1.0514217759999998</v>
      </c>
      <c r="DH254" s="316">
        <v>-3.175348329000002</v>
      </c>
      <c r="DI254" s="316">
        <v>7.139075849000001</v>
      </c>
      <c r="DJ254" s="316">
        <v>-6.3550715220000011</v>
      </c>
      <c r="DK254" s="316">
        <v>5.2252829709999986</v>
      </c>
      <c r="DL254" s="316">
        <v>-4.6234148110000017</v>
      </c>
      <c r="DM254" s="316">
        <v>1.3423769669999999</v>
      </c>
      <c r="DN254" s="318">
        <v>-9.1600278370000012</v>
      </c>
      <c r="DO254" s="316">
        <v>1.9533480009999984</v>
      </c>
      <c r="DP254" s="316">
        <v>12.568396983000001</v>
      </c>
      <c r="DQ254" s="316">
        <v>-2.0684840649999998</v>
      </c>
      <c r="DR254" s="316">
        <v>2.8275552820000023</v>
      </c>
      <c r="DS254" s="316">
        <v>-2.8176316930000009</v>
      </c>
      <c r="DT254" s="316">
        <v>-10.985963225000001</v>
      </c>
      <c r="DU254" s="316">
        <v>11.140219031999999</v>
      </c>
      <c r="DV254" s="316">
        <v>-2.7954877889999992</v>
      </c>
      <c r="DW254" s="316">
        <v>-3.9152650559999991</v>
      </c>
      <c r="DX254" s="316">
        <v>6.9693041970000014</v>
      </c>
      <c r="DY254" s="316">
        <v>2.5844135670000021</v>
      </c>
      <c r="DZ254" s="318">
        <v>9.5367614540000005</v>
      </c>
      <c r="EA254" s="316">
        <v>13.554274611</v>
      </c>
      <c r="EB254" s="316">
        <v>5.2277042309999988</v>
      </c>
      <c r="EC254" s="316">
        <v>3.6773942910000024</v>
      </c>
      <c r="ED254" s="316">
        <v>-3.583570442000001</v>
      </c>
      <c r="EE254" s="316">
        <v>2.7069634839999992</v>
      </c>
      <c r="EF254" s="316">
        <v>-4.4196031560000009</v>
      </c>
      <c r="EG254" s="316">
        <v>-3.7705296139999991</v>
      </c>
      <c r="EH254" s="316">
        <v>-1.1834586730000005</v>
      </c>
      <c r="EI254" s="316">
        <v>4.1237649950000002</v>
      </c>
      <c r="EJ254" s="316">
        <v>7.2622014019999988</v>
      </c>
      <c r="EK254" s="316">
        <v>4.2473914000000015</v>
      </c>
      <c r="EL254" s="318">
        <v>-12.013876561999998</v>
      </c>
      <c r="EM254" s="1206">
        <v>8.3046707289999979</v>
      </c>
      <c r="EN254" s="1206">
        <v>2.6364475000000009</v>
      </c>
      <c r="EO254" s="1206">
        <v>0.64740727599999914</v>
      </c>
      <c r="EP254" s="1206">
        <v>3.6572999830000015</v>
      </c>
      <c r="EQ254" s="1206">
        <v>7.1526448849999991</v>
      </c>
      <c r="ER254" s="1206">
        <v>-11.489306788</v>
      </c>
      <c r="ES254" s="1206">
        <v>-8.2103786169999999</v>
      </c>
      <c r="ET254" s="1206">
        <v>-1.7213361819999999</v>
      </c>
      <c r="EU254" s="1206">
        <v>5.5061534529999996</v>
      </c>
      <c r="EV254" s="1206">
        <v>-4.5851519300000021</v>
      </c>
      <c r="EW254" s="1206">
        <v>10.292344753</v>
      </c>
      <c r="EX254" s="1550">
        <v>-14.430144821000001</v>
      </c>
      <c r="EY254" s="1206"/>
      <c r="EZ254" s="1206"/>
      <c r="FA254" s="1206"/>
      <c r="FB254" s="1206"/>
      <c r="FC254" s="1206"/>
      <c r="FD254" s="1206"/>
      <c r="FE254" s="1206"/>
      <c r="FF254" s="1206"/>
      <c r="FG254" s="1206"/>
      <c r="FH254" s="1206"/>
      <c r="FI254" s="1206"/>
      <c r="FJ254" s="1550"/>
      <c r="FK254" s="1206"/>
      <c r="FL254" s="1206"/>
      <c r="FM254" s="1206"/>
      <c r="FN254" s="1206"/>
      <c r="FO254" s="1206"/>
      <c r="FP254" s="1206"/>
      <c r="FQ254" s="316"/>
      <c r="FR254" s="316"/>
      <c r="FS254" s="316"/>
      <c r="FT254" s="316"/>
      <c r="FU254" s="316"/>
      <c r="FV254" s="316"/>
      <c r="FW254" s="316"/>
      <c r="FX254" s="316"/>
      <c r="FY254" s="316"/>
      <c r="FZ254" s="316"/>
      <c r="GA254" s="316"/>
      <c r="GB254" s="316"/>
      <c r="GC254" s="316"/>
      <c r="GD254" s="316"/>
      <c r="GE254" s="316"/>
      <c r="GF254" s="316"/>
      <c r="GG254" s="316"/>
      <c r="GH254" s="316"/>
      <c r="GI254" s="316"/>
      <c r="GJ254" s="316"/>
      <c r="GK254" s="316"/>
      <c r="GL254" s="316"/>
      <c r="GM254" s="316"/>
      <c r="GN254" s="316"/>
      <c r="GO254" s="316"/>
      <c r="GP254" s="316"/>
      <c r="GQ254" s="316"/>
      <c r="GR254" s="316"/>
      <c r="GS254" s="316"/>
      <c r="GT254" s="316"/>
      <c r="GU254" s="316"/>
      <c r="GV254" s="316"/>
      <c r="GW254" s="316"/>
      <c r="GX254" s="316"/>
      <c r="GY254" s="316"/>
      <c r="GZ254" s="316"/>
      <c r="HA254" s="316"/>
      <c r="HB254" s="316"/>
      <c r="HC254" s="316"/>
      <c r="HD254" s="316"/>
      <c r="HE254" s="316"/>
      <c r="HF254" s="316"/>
      <c r="HG254" s="316"/>
      <c r="HH254" s="316"/>
      <c r="HI254" s="316"/>
      <c r="HJ254" s="316"/>
      <c r="HK254" s="316"/>
      <c r="HL254" s="316"/>
      <c r="HM254" s="316"/>
      <c r="HY254" s="302">
        <f t="shared" si="51"/>
        <v>1.4772212830000004</v>
      </c>
      <c r="KH254" s="303"/>
    </row>
    <row r="255" spans="2:294" outlineLevel="1">
      <c r="B255" s="117" t="s">
        <v>361</v>
      </c>
      <c r="D255" s="337" t="s">
        <v>471</v>
      </c>
      <c r="E255" s="316"/>
      <c r="F255" s="316"/>
      <c r="G255" s="316"/>
      <c r="H255" s="316"/>
      <c r="I255" s="316"/>
      <c r="J255" s="316"/>
      <c r="K255" s="316"/>
      <c r="L255" s="316"/>
      <c r="M255" s="316"/>
      <c r="N255" s="316"/>
      <c r="O255" s="316"/>
      <c r="P255" s="316"/>
      <c r="Q255" s="316"/>
      <c r="R255" s="316"/>
      <c r="S255" s="316"/>
      <c r="T255" s="316"/>
      <c r="U255" s="316"/>
      <c r="V255" s="316"/>
      <c r="W255" s="316"/>
      <c r="X255" s="316"/>
      <c r="Y255" s="316"/>
      <c r="Z255" s="316"/>
      <c r="AA255" s="316"/>
      <c r="AB255" s="316"/>
      <c r="AC255" s="316"/>
      <c r="AD255" s="316"/>
      <c r="AE255" s="316"/>
      <c r="AF255" s="316"/>
      <c r="AG255" s="316"/>
      <c r="AH255" s="316"/>
      <c r="AI255" s="316"/>
      <c r="AJ255" s="316"/>
      <c r="AK255" s="316"/>
      <c r="AL255" s="316"/>
      <c r="AM255" s="316"/>
      <c r="AN255" s="316"/>
      <c r="AO255" s="316"/>
      <c r="AP255" s="316"/>
      <c r="AQ255" s="316"/>
      <c r="AR255" s="316"/>
      <c r="AS255" s="316"/>
      <c r="AT255" s="316"/>
      <c r="AU255" s="316"/>
      <c r="AV255" s="316"/>
      <c r="AW255" s="316"/>
      <c r="AX255" s="316"/>
      <c r="AY255" s="316"/>
      <c r="AZ255" s="316"/>
      <c r="BA255" s="316"/>
      <c r="BB255" s="316"/>
      <c r="BC255" s="316"/>
      <c r="BD255" s="316"/>
      <c r="BE255" s="316"/>
      <c r="BF255" s="316"/>
      <c r="BG255" s="316"/>
      <c r="BH255" s="316"/>
      <c r="BI255" s="316"/>
      <c r="BJ255" s="316"/>
      <c r="BK255" s="316"/>
      <c r="BL255" s="316"/>
      <c r="BM255" s="316"/>
      <c r="BN255" s="316"/>
      <c r="BO255" s="316"/>
      <c r="BP255" s="316"/>
      <c r="BQ255" s="316"/>
      <c r="BR255" s="316"/>
      <c r="BS255" s="316"/>
      <c r="BT255" s="316"/>
      <c r="BU255" s="316"/>
      <c r="BV255" s="316"/>
      <c r="BW255" s="316"/>
      <c r="BX255" s="316"/>
      <c r="BY255" s="316"/>
      <c r="BZ255" s="316"/>
      <c r="CA255" s="316"/>
      <c r="CB255" s="316"/>
      <c r="CC255" s="316"/>
      <c r="CD255" s="316"/>
      <c r="CE255" s="340" t="s">
        <v>479</v>
      </c>
      <c r="CF255" s="341" t="s">
        <v>479</v>
      </c>
      <c r="CG255" s="341" t="s">
        <v>479</v>
      </c>
      <c r="CH255" s="341" t="s">
        <v>479</v>
      </c>
      <c r="CI255" s="341" t="s">
        <v>479</v>
      </c>
      <c r="CJ255" s="341" t="s">
        <v>479</v>
      </c>
      <c r="CK255" s="341" t="s">
        <v>479</v>
      </c>
      <c r="CL255" s="341" t="s">
        <v>479</v>
      </c>
      <c r="CM255" s="341" t="s">
        <v>479</v>
      </c>
      <c r="CN255" s="341" t="s">
        <v>479</v>
      </c>
      <c r="CO255" s="341" t="s">
        <v>479</v>
      </c>
      <c r="CP255" s="836" t="s">
        <v>479</v>
      </c>
      <c r="CQ255" s="341" t="s">
        <v>479</v>
      </c>
      <c r="CR255" s="341" t="s">
        <v>479</v>
      </c>
      <c r="CS255" s="341" t="s">
        <v>479</v>
      </c>
      <c r="CT255" s="341" t="s">
        <v>479</v>
      </c>
      <c r="CU255" s="341" t="s">
        <v>479</v>
      </c>
      <c r="CV255" s="341" t="s">
        <v>479</v>
      </c>
      <c r="CW255" s="341" t="s">
        <v>479</v>
      </c>
      <c r="CX255" s="341" t="s">
        <v>479</v>
      </c>
      <c r="CY255" s="341" t="s">
        <v>479</v>
      </c>
      <c r="CZ255" s="341" t="s">
        <v>479</v>
      </c>
      <c r="DA255" s="341" t="s">
        <v>479</v>
      </c>
      <c r="DB255" s="1511" t="s">
        <v>479</v>
      </c>
      <c r="DC255" s="341">
        <v>0</v>
      </c>
      <c r="DD255" s="341">
        <v>0</v>
      </c>
      <c r="DE255" s="341">
        <v>0</v>
      </c>
      <c r="DF255" s="341">
        <v>0</v>
      </c>
      <c r="DG255" s="341">
        <v>0</v>
      </c>
      <c r="DH255" s="341">
        <v>0</v>
      </c>
      <c r="DI255" s="341">
        <v>0</v>
      </c>
      <c r="DJ255" s="341">
        <v>0</v>
      </c>
      <c r="DK255" s="341">
        <v>0</v>
      </c>
      <c r="DL255" s="341">
        <v>0</v>
      </c>
      <c r="DM255" s="341">
        <v>0</v>
      </c>
      <c r="DN255" s="836">
        <v>0</v>
      </c>
      <c r="DO255" s="341">
        <v>0</v>
      </c>
      <c r="DP255" s="341">
        <v>0</v>
      </c>
      <c r="DQ255" s="341">
        <v>0</v>
      </c>
      <c r="DR255" s="341">
        <v>0</v>
      </c>
      <c r="DS255" s="341">
        <v>0</v>
      </c>
      <c r="DT255" s="341">
        <v>0</v>
      </c>
      <c r="DU255" s="341">
        <v>0</v>
      </c>
      <c r="DV255" s="341">
        <v>0</v>
      </c>
      <c r="DW255" s="341">
        <v>0</v>
      </c>
      <c r="DX255" s="341">
        <v>0</v>
      </c>
      <c r="DY255" s="341">
        <v>0</v>
      </c>
      <c r="DZ255" s="836">
        <v>0</v>
      </c>
      <c r="EA255" s="341">
        <v>0</v>
      </c>
      <c r="EB255" s="341">
        <v>0</v>
      </c>
      <c r="EC255" s="341">
        <v>0</v>
      </c>
      <c r="ED255" s="341">
        <v>0</v>
      </c>
      <c r="EE255" s="341">
        <v>0</v>
      </c>
      <c r="EF255" s="341">
        <v>0</v>
      </c>
      <c r="EG255" s="341">
        <v>0</v>
      </c>
      <c r="EH255" s="341">
        <v>0</v>
      </c>
      <c r="EI255" s="341">
        <v>0</v>
      </c>
      <c r="EJ255" s="341">
        <v>0</v>
      </c>
      <c r="EK255" s="341">
        <v>0</v>
      </c>
      <c r="EL255" s="836">
        <v>0</v>
      </c>
      <c r="EM255" s="1222">
        <v>0</v>
      </c>
      <c r="EN255" s="1222">
        <v>0</v>
      </c>
      <c r="EO255" s="1222">
        <v>0</v>
      </c>
      <c r="EP255" s="1222">
        <v>0</v>
      </c>
      <c r="EQ255" s="1222">
        <v>0</v>
      </c>
      <c r="ER255" s="1222">
        <v>0</v>
      </c>
      <c r="ES255" s="1222">
        <v>0</v>
      </c>
      <c r="ET255" s="1222">
        <v>0</v>
      </c>
      <c r="EU255" s="1222">
        <v>0</v>
      </c>
      <c r="EV255" s="1222">
        <v>0</v>
      </c>
      <c r="EW255" s="1222">
        <v>0</v>
      </c>
      <c r="EX255" s="1573">
        <v>0</v>
      </c>
      <c r="EY255" s="1222"/>
      <c r="EZ255" s="1222"/>
      <c r="FA255" s="1222"/>
      <c r="FB255" s="1222"/>
      <c r="FC255" s="1222"/>
      <c r="FD255" s="1222"/>
      <c r="FE255" s="1222"/>
      <c r="FF255" s="1222"/>
      <c r="FG255" s="1222"/>
      <c r="FH255" s="1222"/>
      <c r="FI255" s="1222"/>
      <c r="FJ255" s="1573"/>
      <c r="FK255" s="1222"/>
      <c r="FL255" s="1222"/>
      <c r="FM255" s="1222"/>
      <c r="FN255" s="1222"/>
      <c r="FO255" s="1222"/>
      <c r="FP255" s="1222"/>
      <c r="FQ255" s="341"/>
      <c r="FR255" s="341"/>
      <c r="FS255" s="341"/>
      <c r="FT255" s="341"/>
      <c r="FU255" s="341"/>
      <c r="FV255" s="341"/>
      <c r="FW255" s="341"/>
      <c r="FX255" s="341"/>
      <c r="FY255" s="341"/>
      <c r="FZ255" s="341"/>
      <c r="GA255" s="341"/>
      <c r="GB255" s="341"/>
      <c r="GC255" s="341"/>
      <c r="GD255" s="341"/>
      <c r="GE255" s="341"/>
      <c r="GF255" s="341"/>
      <c r="GG255" s="341"/>
      <c r="GH255" s="341"/>
      <c r="GI255" s="341"/>
      <c r="GJ255" s="341"/>
      <c r="GK255" s="341"/>
      <c r="GL255" s="341"/>
      <c r="GM255" s="341"/>
      <c r="GN255" s="341"/>
      <c r="GO255" s="341"/>
      <c r="GP255" s="341"/>
      <c r="GQ255" s="341"/>
      <c r="GR255" s="341"/>
      <c r="GS255" s="341"/>
      <c r="GT255" s="341"/>
      <c r="GU255" s="341"/>
      <c r="GV255" s="341"/>
      <c r="GW255" s="341"/>
      <c r="GX255" s="341"/>
      <c r="GY255" s="341"/>
      <c r="GZ255" s="341"/>
      <c r="HA255" s="341"/>
      <c r="HB255" s="341"/>
      <c r="HC255" s="341"/>
      <c r="HD255" s="341"/>
      <c r="HE255" s="341"/>
      <c r="HF255" s="341"/>
      <c r="HG255" s="341"/>
      <c r="HH255" s="341"/>
      <c r="HI255" s="341"/>
      <c r="HJ255" s="341"/>
      <c r="HK255" s="341"/>
      <c r="HL255" s="341"/>
      <c r="HM255" s="341"/>
      <c r="HY255" s="302">
        <f t="shared" si="51"/>
        <v>0</v>
      </c>
      <c r="KH255" s="303"/>
    </row>
    <row r="256" spans="2:294" outlineLevel="1">
      <c r="B256" s="117" t="s">
        <v>361</v>
      </c>
      <c r="D256" s="337" t="s">
        <v>469</v>
      </c>
      <c r="E256" s="316"/>
      <c r="F256" s="316"/>
      <c r="G256" s="316"/>
      <c r="H256" s="316"/>
      <c r="I256" s="316"/>
      <c r="J256" s="316"/>
      <c r="K256" s="316"/>
      <c r="L256" s="316"/>
      <c r="M256" s="316"/>
      <c r="N256" s="316"/>
      <c r="O256" s="316"/>
      <c r="P256" s="316"/>
      <c r="Q256" s="316"/>
      <c r="R256" s="316"/>
      <c r="S256" s="316"/>
      <c r="T256" s="316"/>
      <c r="U256" s="316"/>
      <c r="V256" s="316"/>
      <c r="W256" s="316"/>
      <c r="X256" s="316"/>
      <c r="Y256" s="316"/>
      <c r="Z256" s="316"/>
      <c r="AA256" s="316"/>
      <c r="AB256" s="316"/>
      <c r="AC256" s="316"/>
      <c r="AD256" s="316"/>
      <c r="AE256" s="316"/>
      <c r="AF256" s="316"/>
      <c r="AG256" s="316"/>
      <c r="AH256" s="316"/>
      <c r="AI256" s="316"/>
      <c r="AJ256" s="316"/>
      <c r="AK256" s="316"/>
      <c r="AL256" s="316"/>
      <c r="AM256" s="316"/>
      <c r="AN256" s="316"/>
      <c r="AO256" s="316"/>
      <c r="AP256" s="316"/>
      <c r="AQ256" s="316"/>
      <c r="AR256" s="316"/>
      <c r="AS256" s="316"/>
      <c r="AT256" s="316"/>
      <c r="AU256" s="316"/>
      <c r="AV256" s="316"/>
      <c r="AW256" s="316"/>
      <c r="AX256" s="316"/>
      <c r="AY256" s="316"/>
      <c r="AZ256" s="316"/>
      <c r="BA256" s="316"/>
      <c r="BB256" s="316"/>
      <c r="BC256" s="316"/>
      <c r="BD256" s="316"/>
      <c r="BE256" s="316"/>
      <c r="BF256" s="316"/>
      <c r="BG256" s="316"/>
      <c r="BH256" s="316"/>
      <c r="BI256" s="316"/>
      <c r="BJ256" s="316"/>
      <c r="BK256" s="316"/>
      <c r="BL256" s="316"/>
      <c r="BM256" s="316"/>
      <c r="BN256" s="316"/>
      <c r="BO256" s="316"/>
      <c r="BP256" s="316"/>
      <c r="BQ256" s="316"/>
      <c r="BR256" s="316"/>
      <c r="BS256" s="316"/>
      <c r="BT256" s="316"/>
      <c r="BU256" s="316"/>
      <c r="BV256" s="316"/>
      <c r="BW256" s="316"/>
      <c r="BX256" s="316"/>
      <c r="BY256" s="316"/>
      <c r="BZ256" s="316"/>
      <c r="CA256" s="316"/>
      <c r="CB256" s="316"/>
      <c r="CC256" s="316"/>
      <c r="CD256" s="316"/>
      <c r="CE256" s="340">
        <v>6.5022116999999824E-2</v>
      </c>
      <c r="CF256" s="341">
        <v>0.12832454199999788</v>
      </c>
      <c r="CG256" s="341">
        <v>-0.19334665900000036</v>
      </c>
      <c r="CH256" s="341">
        <v>2.6000000000000245E-2</v>
      </c>
      <c r="CI256" s="341">
        <v>-2.5999999999999801E-2</v>
      </c>
      <c r="CJ256" s="341">
        <v>0</v>
      </c>
      <c r="CK256" s="341">
        <v>0</v>
      </c>
      <c r="CL256" s="341">
        <v>9.607793099999995E-2</v>
      </c>
      <c r="CM256" s="341">
        <v>-9.607793099999995E-2</v>
      </c>
      <c r="CN256" s="341">
        <v>1</v>
      </c>
      <c r="CO256" s="341">
        <v>0</v>
      </c>
      <c r="CP256" s="836">
        <v>-0.99999999999999822</v>
      </c>
      <c r="CQ256" s="341">
        <v>0</v>
      </c>
      <c r="CR256" s="341">
        <v>0</v>
      </c>
      <c r="CS256" s="341">
        <v>1</v>
      </c>
      <c r="CT256" s="341">
        <v>-0.60006051000000005</v>
      </c>
      <c r="CU256" s="341">
        <v>1.5000302549999995</v>
      </c>
      <c r="CV256" s="341">
        <v>-1.8999697449999999</v>
      </c>
      <c r="CW256" s="341">
        <v>0</v>
      </c>
      <c r="CX256" s="341">
        <v>1.7177673999999996</v>
      </c>
      <c r="CY256" s="341">
        <v>-1.7177674000000005</v>
      </c>
      <c r="CZ256" s="341">
        <v>0</v>
      </c>
      <c r="DA256" s="341">
        <v>0.85000000000000009</v>
      </c>
      <c r="DB256" s="1511">
        <v>-0.84999999999999787</v>
      </c>
      <c r="DC256" s="316">
        <v>0</v>
      </c>
      <c r="DD256" s="316">
        <v>0</v>
      </c>
      <c r="DE256" s="316">
        <v>1.193498678000001</v>
      </c>
      <c r="DF256" s="316">
        <v>-1.1934986780000001</v>
      </c>
      <c r="DG256" s="316">
        <v>0</v>
      </c>
      <c r="DH256" s="316">
        <v>0</v>
      </c>
      <c r="DI256" s="316">
        <v>3</v>
      </c>
      <c r="DJ256" s="316">
        <v>1</v>
      </c>
      <c r="DK256" s="316">
        <v>-0.5416666659999998</v>
      </c>
      <c r="DL256" s="316">
        <v>-1.4583333340000002</v>
      </c>
      <c r="DM256" s="316">
        <v>0</v>
      </c>
      <c r="DN256" s="318">
        <v>-2</v>
      </c>
      <c r="DO256" s="316">
        <v>0</v>
      </c>
      <c r="DP256" s="316">
        <v>0</v>
      </c>
      <c r="DQ256" s="316">
        <v>1.704883755</v>
      </c>
      <c r="DR256" s="316">
        <v>-1.1048837549999995</v>
      </c>
      <c r="DS256" s="316">
        <v>0</v>
      </c>
      <c r="DT256" s="316">
        <v>-0.59999999999999964</v>
      </c>
      <c r="DU256" s="316">
        <v>7.5865912329999983</v>
      </c>
      <c r="DV256" s="316">
        <v>0.78955852400000026</v>
      </c>
      <c r="DW256" s="316">
        <v>-8.0483761930000011</v>
      </c>
      <c r="DX256" s="316">
        <v>6.1725897030000008</v>
      </c>
      <c r="DY256" s="316">
        <v>-0.9917205899999999</v>
      </c>
      <c r="DZ256" s="318">
        <v>-11.623890679999999</v>
      </c>
      <c r="EA256" s="316">
        <v>3.0000000000000009</v>
      </c>
      <c r="EB256" s="316">
        <v>-0.24697898299999999</v>
      </c>
      <c r="EC256" s="316">
        <v>14.477966346000001</v>
      </c>
      <c r="ED256" s="316">
        <v>-8.9749679150000006</v>
      </c>
      <c r="EE256" s="316">
        <v>-2.7500432469999989</v>
      </c>
      <c r="EF256" s="316">
        <v>5.1041193440000008</v>
      </c>
      <c r="EG256" s="316">
        <v>-2.4914374820000003</v>
      </c>
      <c r="EH256" s="316">
        <v>1.1582094139999999</v>
      </c>
      <c r="EI256" s="316">
        <v>1.2814536449999991</v>
      </c>
      <c r="EJ256" s="316">
        <v>7.311424023999999</v>
      </c>
      <c r="EK256" s="316">
        <v>-3.1859776450000004</v>
      </c>
      <c r="EL256" s="318">
        <v>-9.6364187700000006</v>
      </c>
      <c r="EM256" s="1206">
        <v>0</v>
      </c>
      <c r="EN256" s="1206">
        <v>10.751726982000001</v>
      </c>
      <c r="EO256" s="1206">
        <v>9.7441032680000017</v>
      </c>
      <c r="EP256" s="1206">
        <v>-3.5918028530000008</v>
      </c>
      <c r="EQ256" s="1206">
        <v>12.080665408</v>
      </c>
      <c r="ER256" s="1206">
        <v>-22.252965822999997</v>
      </c>
      <c r="ES256" s="1206">
        <v>5.1690581160000022</v>
      </c>
      <c r="ET256" s="1206">
        <v>-4.3945290579999998</v>
      </c>
      <c r="EU256" s="1206">
        <v>1.8034857840000029</v>
      </c>
      <c r="EV256" s="1206">
        <v>-3.6007503129999989</v>
      </c>
      <c r="EW256" s="1206">
        <v>9.1765180419999997</v>
      </c>
      <c r="EX256" s="1550">
        <v>-7.7897419859999992</v>
      </c>
      <c r="EY256" s="1206"/>
      <c r="EZ256" s="1206"/>
      <c r="FA256" s="1206"/>
      <c r="FB256" s="1206"/>
      <c r="FC256" s="1206"/>
      <c r="FD256" s="1206"/>
      <c r="FE256" s="1206"/>
      <c r="FF256" s="1206"/>
      <c r="FG256" s="1206"/>
      <c r="FH256" s="1206"/>
      <c r="FI256" s="1206"/>
      <c r="FJ256" s="1550"/>
      <c r="FK256" s="1206"/>
      <c r="FL256" s="1206"/>
      <c r="FM256" s="1206"/>
      <c r="FN256" s="1206"/>
      <c r="FO256" s="1206"/>
      <c r="FP256" s="1206"/>
      <c r="FQ256" s="316"/>
      <c r="FR256" s="316"/>
      <c r="FS256" s="316"/>
      <c r="FT256" s="316"/>
      <c r="FU256" s="316"/>
      <c r="FV256" s="316"/>
      <c r="FW256" s="316"/>
      <c r="FX256" s="316"/>
      <c r="FY256" s="316"/>
      <c r="FZ256" s="316"/>
      <c r="GA256" s="316"/>
      <c r="GB256" s="316"/>
      <c r="GC256" s="316"/>
      <c r="GD256" s="316"/>
      <c r="GE256" s="316"/>
      <c r="GF256" s="316"/>
      <c r="GG256" s="316"/>
      <c r="GH256" s="316"/>
      <c r="GI256" s="316"/>
      <c r="GJ256" s="316"/>
      <c r="GK256" s="316"/>
      <c r="GL256" s="316"/>
      <c r="GM256" s="316"/>
      <c r="GN256" s="316"/>
      <c r="GO256" s="316"/>
      <c r="GP256" s="316"/>
      <c r="GQ256" s="316"/>
      <c r="GR256" s="316"/>
      <c r="GS256" s="316"/>
      <c r="GT256" s="316"/>
      <c r="GU256" s="316"/>
      <c r="GV256" s="316"/>
      <c r="GW256" s="316"/>
      <c r="GX256" s="316"/>
      <c r="GY256" s="316"/>
      <c r="GZ256" s="316"/>
      <c r="HA256" s="316"/>
      <c r="HB256" s="316"/>
      <c r="HC256" s="316"/>
      <c r="HD256" s="316"/>
      <c r="HE256" s="316"/>
      <c r="HF256" s="316"/>
      <c r="HG256" s="316"/>
      <c r="HH256" s="316"/>
      <c r="HI256" s="316"/>
      <c r="HJ256" s="316"/>
      <c r="HK256" s="316"/>
      <c r="HL256" s="316"/>
      <c r="HM256" s="316"/>
      <c r="HY256" s="302">
        <f t="shared" si="51"/>
        <v>8.8817841970012523E-16</v>
      </c>
      <c r="KH256" s="303"/>
    </row>
    <row r="257" spans="1:295" outlineLevel="1">
      <c r="B257" s="117" t="s">
        <v>361</v>
      </c>
      <c r="D257" s="337" t="s">
        <v>85</v>
      </c>
      <c r="E257" s="316"/>
      <c r="F257" s="316"/>
      <c r="G257" s="316"/>
      <c r="H257" s="316"/>
      <c r="I257" s="316"/>
      <c r="J257" s="316"/>
      <c r="K257" s="316"/>
      <c r="L257" s="316"/>
      <c r="M257" s="316"/>
      <c r="N257" s="316"/>
      <c r="O257" s="316"/>
      <c r="P257" s="316"/>
      <c r="Q257" s="316"/>
      <c r="R257" s="316"/>
      <c r="S257" s="316"/>
      <c r="T257" s="316"/>
      <c r="U257" s="316"/>
      <c r="V257" s="316"/>
      <c r="W257" s="316"/>
      <c r="X257" s="316"/>
      <c r="Y257" s="316"/>
      <c r="Z257" s="316"/>
      <c r="AA257" s="316"/>
      <c r="AB257" s="316"/>
      <c r="AC257" s="316"/>
      <c r="AD257" s="316"/>
      <c r="AE257" s="316"/>
      <c r="AF257" s="316"/>
      <c r="AG257" s="316"/>
      <c r="AH257" s="316"/>
      <c r="AI257" s="316"/>
      <c r="AJ257" s="316"/>
      <c r="AK257" s="316"/>
      <c r="AL257" s="316"/>
      <c r="AM257" s="316"/>
      <c r="AN257" s="316"/>
      <c r="AO257" s="316"/>
      <c r="AP257" s="316"/>
      <c r="AQ257" s="316"/>
      <c r="AR257" s="316"/>
      <c r="AS257" s="316"/>
      <c r="AT257" s="316"/>
      <c r="AU257" s="316"/>
      <c r="AV257" s="316"/>
      <c r="AW257" s="316"/>
      <c r="AX257" s="316"/>
      <c r="AY257" s="316"/>
      <c r="AZ257" s="316"/>
      <c r="BA257" s="316"/>
      <c r="BB257" s="316"/>
      <c r="BC257" s="316"/>
      <c r="BD257" s="316"/>
      <c r="BE257" s="316"/>
      <c r="BF257" s="316"/>
      <c r="BG257" s="316"/>
      <c r="BH257" s="316"/>
      <c r="BI257" s="316"/>
      <c r="BJ257" s="316"/>
      <c r="BK257" s="316"/>
      <c r="BL257" s="316"/>
      <c r="BM257" s="316"/>
      <c r="BN257" s="316"/>
      <c r="BO257" s="316"/>
      <c r="BP257" s="316"/>
      <c r="BQ257" s="316"/>
      <c r="BR257" s="316"/>
      <c r="BS257" s="316"/>
      <c r="BT257" s="316"/>
      <c r="BU257" s="316"/>
      <c r="BV257" s="316"/>
      <c r="BW257" s="316"/>
      <c r="BX257" s="316"/>
      <c r="BY257" s="316"/>
      <c r="BZ257" s="316"/>
      <c r="CA257" s="316"/>
      <c r="CB257" s="316"/>
      <c r="CC257" s="316"/>
      <c r="CD257" s="316"/>
      <c r="CE257" s="340">
        <v>10.903753000999998</v>
      </c>
      <c r="CF257" s="341">
        <v>-3.8904798450000015</v>
      </c>
      <c r="CG257" s="341">
        <v>-1.1348177489999998</v>
      </c>
      <c r="CH257" s="341">
        <v>4.7311654969999992</v>
      </c>
      <c r="CI257" s="341">
        <v>-1.5811139430000019</v>
      </c>
      <c r="CJ257" s="341">
        <v>-8.461498167000002</v>
      </c>
      <c r="CK257" s="341">
        <v>11.368237359999998</v>
      </c>
      <c r="CL257" s="341">
        <v>-2.7844076949999987</v>
      </c>
      <c r="CM257" s="341">
        <v>-2.9928025299999987</v>
      </c>
      <c r="CN257" s="341">
        <v>0.41168196200000295</v>
      </c>
      <c r="CO257" s="341">
        <v>6.06591594</v>
      </c>
      <c r="CP257" s="836">
        <v>-12.447053245000001</v>
      </c>
      <c r="CQ257" s="341">
        <v>13.180846764000002</v>
      </c>
      <c r="CR257" s="341">
        <v>-5.0317177899999983</v>
      </c>
      <c r="CS257" s="341">
        <v>6.2995384110000003</v>
      </c>
      <c r="CT257" s="341">
        <v>-1.2244179459999991</v>
      </c>
      <c r="CU257" s="341">
        <v>1.2416019560000002</v>
      </c>
      <c r="CV257" s="341">
        <v>-4.6450857669999976</v>
      </c>
      <c r="CW257" s="341">
        <v>2.0748077530000018</v>
      </c>
      <c r="CX257" s="341">
        <v>-1.739332034000002</v>
      </c>
      <c r="CY257" s="341">
        <v>-2.4153684049999988</v>
      </c>
      <c r="CZ257" s="341">
        <v>0.3285894390000017</v>
      </c>
      <c r="DA257" s="341">
        <v>6.7417281820000028</v>
      </c>
      <c r="DB257" s="1511">
        <v>-13.310449136000001</v>
      </c>
      <c r="DC257" s="316">
        <v>5.5805047530000031</v>
      </c>
      <c r="DD257" s="316">
        <v>0.84925453800000028</v>
      </c>
      <c r="DE257" s="316">
        <v>-0.19404323200000029</v>
      </c>
      <c r="DF257" s="316">
        <v>4.8274914960000004</v>
      </c>
      <c r="DG257" s="316">
        <v>5.0686515589999992</v>
      </c>
      <c r="DH257" s="316">
        <v>-0.42487693700000051</v>
      </c>
      <c r="DI257" s="316">
        <v>-0.58752207499999898</v>
      </c>
      <c r="DJ257" s="316">
        <v>-3.3858617780000007</v>
      </c>
      <c r="DK257" s="316">
        <v>2.3797963870000007</v>
      </c>
      <c r="DL257" s="316">
        <v>-4.6647116999999128E-2</v>
      </c>
      <c r="DM257" s="316">
        <v>5.4442319999999711E-2</v>
      </c>
      <c r="DN257" s="318">
        <v>-13.728339840999999</v>
      </c>
      <c r="DO257" s="316">
        <v>3.5592155259999991</v>
      </c>
      <c r="DP257" s="316">
        <v>18.228428874999999</v>
      </c>
      <c r="DQ257" s="316">
        <v>5.4526351420000019</v>
      </c>
      <c r="DR257" s="316">
        <v>8.745466485999998</v>
      </c>
      <c r="DS257" s="316">
        <v>-10.440841791</v>
      </c>
      <c r="DT257" s="316">
        <v>-20.510891376</v>
      </c>
      <c r="DU257" s="316">
        <v>8.9889147429999987</v>
      </c>
      <c r="DV257" s="316">
        <v>-1.6051127690000015</v>
      </c>
      <c r="DW257" s="316">
        <v>-8.8863153050000001</v>
      </c>
      <c r="DX257" s="316">
        <v>28.989116420999999</v>
      </c>
      <c r="DY257" s="316">
        <v>-4.6795808570000013</v>
      </c>
      <c r="DZ257" s="318">
        <v>-15.490153408999998</v>
      </c>
      <c r="EA257" s="316">
        <v>11.435030657999999</v>
      </c>
      <c r="EB257" s="316">
        <v>1.9402267040000005</v>
      </c>
      <c r="EC257" s="316">
        <v>2.930354420999997</v>
      </c>
      <c r="ED257" s="316">
        <v>2.4962972800000003</v>
      </c>
      <c r="EE257" s="316">
        <v>8.8405776699999983</v>
      </c>
      <c r="EF257" s="316">
        <v>-14.925670995000001</v>
      </c>
      <c r="EG257" s="316">
        <v>-5.0366774999999997</v>
      </c>
      <c r="EH257" s="316">
        <v>6.725686115000002</v>
      </c>
      <c r="EI257" s="316">
        <v>-2.8607944970000005</v>
      </c>
      <c r="EJ257" s="316">
        <v>1.4912713779999969</v>
      </c>
      <c r="EK257" s="316">
        <v>7.2958168589999985</v>
      </c>
      <c r="EL257" s="318">
        <v>-18.772838868000001</v>
      </c>
      <c r="EM257" s="1206">
        <v>0.62262394899999762</v>
      </c>
      <c r="EN257" s="1206">
        <v>2.8431828640000028</v>
      </c>
      <c r="EO257" s="1206">
        <v>-1.7758415250000006</v>
      </c>
      <c r="EP257" s="1206">
        <v>9.571582695</v>
      </c>
      <c r="EQ257" s="1206">
        <v>16.883460375999999</v>
      </c>
      <c r="ER257" s="1206">
        <v>-18.212872200999996</v>
      </c>
      <c r="ES257" s="1206">
        <v>-24.526862160999997</v>
      </c>
      <c r="ET257" s="1206">
        <v>-13.514255047999999</v>
      </c>
      <c r="EU257" s="1206">
        <v>2.244227378999998</v>
      </c>
      <c r="EV257" s="1206">
        <v>1.8578728370000022</v>
      </c>
      <c r="EW257" s="1206">
        <v>4.1831772019999995</v>
      </c>
      <c r="EX257" s="1550">
        <v>-20.747794462999998</v>
      </c>
      <c r="EY257" s="1206"/>
      <c r="EZ257" s="1206"/>
      <c r="FA257" s="1206"/>
      <c r="FB257" s="1206"/>
      <c r="FC257" s="1206"/>
      <c r="FD257" s="1206"/>
      <c r="FE257" s="1206"/>
      <c r="FF257" s="1206"/>
      <c r="FG257" s="1206"/>
      <c r="FH257" s="1206"/>
      <c r="FI257" s="1206"/>
      <c r="FJ257" s="1550"/>
      <c r="FK257" s="1206"/>
      <c r="FL257" s="1206"/>
      <c r="FM257" s="1206"/>
      <c r="FN257" s="1206"/>
      <c r="FO257" s="1206"/>
      <c r="FP257" s="1206"/>
      <c r="FQ257" s="316"/>
      <c r="FR257" s="316"/>
      <c r="FS257" s="316"/>
      <c r="FT257" s="316"/>
      <c r="FU257" s="316"/>
      <c r="FV257" s="316"/>
      <c r="FW257" s="316"/>
      <c r="FX257" s="316"/>
      <c r="FY257" s="316"/>
      <c r="FZ257" s="316"/>
      <c r="GA257" s="316"/>
      <c r="GB257" s="316"/>
      <c r="GC257" s="316"/>
      <c r="GD257" s="316"/>
      <c r="GE257" s="316"/>
      <c r="GF257" s="316"/>
      <c r="GG257" s="316"/>
      <c r="GH257" s="316"/>
      <c r="GI257" s="316"/>
      <c r="GJ257" s="316"/>
      <c r="GK257" s="316"/>
      <c r="GL257" s="316"/>
      <c r="GM257" s="316"/>
      <c r="GN257" s="316"/>
      <c r="GO257" s="316"/>
      <c r="GP257" s="316"/>
      <c r="GQ257" s="316"/>
      <c r="GR257" s="316"/>
      <c r="GS257" s="316"/>
      <c r="GT257" s="316"/>
      <c r="GU257" s="316"/>
      <c r="GV257" s="316"/>
      <c r="GW257" s="316"/>
      <c r="GX257" s="316"/>
      <c r="GY257" s="316"/>
      <c r="GZ257" s="316"/>
      <c r="HA257" s="316"/>
      <c r="HB257" s="316"/>
      <c r="HC257" s="316"/>
      <c r="HD257" s="316"/>
      <c r="HE257" s="316"/>
      <c r="HF257" s="316"/>
      <c r="HG257" s="316"/>
      <c r="HH257" s="316"/>
      <c r="HI257" s="316"/>
      <c r="HJ257" s="316"/>
      <c r="HK257" s="316"/>
      <c r="HL257" s="316"/>
      <c r="HM257" s="316"/>
      <c r="HY257" s="302">
        <f t="shared" si="51"/>
        <v>5.0340128619999973</v>
      </c>
      <c r="KH257" s="303"/>
    </row>
    <row r="258" spans="1:295" outlineLevel="1">
      <c r="B258" s="117" t="s">
        <v>361</v>
      </c>
      <c r="D258" s="337" t="s">
        <v>464</v>
      </c>
      <c r="E258" s="316"/>
      <c r="F258" s="316"/>
      <c r="G258" s="316"/>
      <c r="H258" s="316"/>
      <c r="I258" s="316"/>
      <c r="J258" s="316"/>
      <c r="K258" s="316"/>
      <c r="L258" s="316"/>
      <c r="M258" s="316"/>
      <c r="N258" s="316"/>
      <c r="O258" s="316"/>
      <c r="P258" s="316"/>
      <c r="Q258" s="316"/>
      <c r="R258" s="316"/>
      <c r="S258" s="316"/>
      <c r="T258" s="316"/>
      <c r="U258" s="316"/>
      <c r="V258" s="316"/>
      <c r="W258" s="316"/>
      <c r="X258" s="316"/>
      <c r="Y258" s="316"/>
      <c r="Z258" s="316"/>
      <c r="AA258" s="316"/>
      <c r="AB258" s="316"/>
      <c r="AC258" s="316"/>
      <c r="AD258" s="316"/>
      <c r="AE258" s="316"/>
      <c r="AF258" s="316"/>
      <c r="AG258" s="316"/>
      <c r="AH258" s="316"/>
      <c r="AI258" s="316"/>
      <c r="AJ258" s="316"/>
      <c r="AK258" s="316"/>
      <c r="AL258" s="316"/>
      <c r="AM258" s="316"/>
      <c r="AN258" s="316"/>
      <c r="AO258" s="316"/>
      <c r="AP258" s="316"/>
      <c r="AQ258" s="316"/>
      <c r="AR258" s="316"/>
      <c r="AS258" s="316"/>
      <c r="AT258" s="316"/>
      <c r="AU258" s="316"/>
      <c r="AV258" s="316"/>
      <c r="AW258" s="316"/>
      <c r="AX258" s="316"/>
      <c r="AY258" s="316"/>
      <c r="AZ258" s="316"/>
      <c r="BA258" s="316"/>
      <c r="BB258" s="316"/>
      <c r="BC258" s="316"/>
      <c r="BD258" s="316"/>
      <c r="BE258" s="316"/>
      <c r="BF258" s="316"/>
      <c r="BG258" s="316"/>
      <c r="BH258" s="316"/>
      <c r="BI258" s="316"/>
      <c r="BJ258" s="316"/>
      <c r="BK258" s="316"/>
      <c r="BL258" s="316"/>
      <c r="BM258" s="316"/>
      <c r="BN258" s="316"/>
      <c r="BO258" s="316"/>
      <c r="BP258" s="316"/>
      <c r="BQ258" s="316"/>
      <c r="BR258" s="316"/>
      <c r="BS258" s="316"/>
      <c r="BT258" s="316"/>
      <c r="BU258" s="316"/>
      <c r="BV258" s="316"/>
      <c r="BW258" s="316"/>
      <c r="BX258" s="316"/>
      <c r="BY258" s="316"/>
      <c r="BZ258" s="316"/>
      <c r="CA258" s="316"/>
      <c r="CB258" s="316"/>
      <c r="CC258" s="316"/>
      <c r="CD258" s="316"/>
      <c r="CE258" s="340">
        <v>2.4331773210000005</v>
      </c>
      <c r="CF258" s="341">
        <v>-1.6125162720000024</v>
      </c>
      <c r="CG258" s="341">
        <v>0.55922348599999872</v>
      </c>
      <c r="CH258" s="341">
        <v>-0.24648362800000001</v>
      </c>
      <c r="CI258" s="341">
        <v>0.80582356499999896</v>
      </c>
      <c r="CJ258" s="341">
        <v>-1.7549912440000011</v>
      </c>
      <c r="CK258" s="341">
        <v>3.6005533539999988</v>
      </c>
      <c r="CL258" s="341">
        <v>-2.4790082959999999</v>
      </c>
      <c r="CM258" s="341">
        <v>-0.65771075200000162</v>
      </c>
      <c r="CN258" s="341">
        <v>0.88804707999999977</v>
      </c>
      <c r="CO258" s="341">
        <v>-0.72634321199999974</v>
      </c>
      <c r="CP258" s="836">
        <v>-0.80729680800000025</v>
      </c>
      <c r="CQ258" s="341">
        <v>5.9290431419999976</v>
      </c>
      <c r="CR258" s="341">
        <v>-5.0684926390000005</v>
      </c>
      <c r="CS258" s="341">
        <v>0.43221268200000118</v>
      </c>
      <c r="CT258" s="341">
        <v>0.69160751700000134</v>
      </c>
      <c r="CU258" s="341">
        <v>-0.66988936600000137</v>
      </c>
      <c r="CV258" s="341">
        <v>-0.96709170399999955</v>
      </c>
      <c r="CW258" s="341">
        <v>1.7377955619999987</v>
      </c>
      <c r="CX258" s="341">
        <v>1.6541211589999989</v>
      </c>
      <c r="CY258" s="341">
        <v>-0.99685353599999971</v>
      </c>
      <c r="CZ258" s="341">
        <v>-0.75901322700000051</v>
      </c>
      <c r="DA258" s="341">
        <v>-1.3089142140000014</v>
      </c>
      <c r="DB258" s="1511">
        <v>-0.6416365319999997</v>
      </c>
      <c r="DC258" s="316">
        <v>5.3515830330000007</v>
      </c>
      <c r="DD258" s="316">
        <v>-2.6371128349999999</v>
      </c>
      <c r="DE258" s="316">
        <v>-1.2671453719999981</v>
      </c>
      <c r="DF258" s="316">
        <v>1.5814679230000017</v>
      </c>
      <c r="DG258" s="316">
        <v>-0.72796278200000231</v>
      </c>
      <c r="DH258" s="316">
        <v>-0.93978255800000099</v>
      </c>
      <c r="DI258" s="316">
        <v>3.4310481589999995</v>
      </c>
      <c r="DJ258" s="316">
        <v>2.628970099999961E-2</v>
      </c>
      <c r="DK258" s="316">
        <v>0.37581052300000195</v>
      </c>
      <c r="DL258" s="316">
        <v>-2.974574435000001</v>
      </c>
      <c r="DM258" s="316">
        <v>0.56910690199999792</v>
      </c>
      <c r="DN258" s="318">
        <v>-2.7539950779999991</v>
      </c>
      <c r="DO258" s="316">
        <v>0.92325873999999786</v>
      </c>
      <c r="DP258" s="316">
        <v>1.9989479060000015</v>
      </c>
      <c r="DQ258" s="316">
        <v>-1.0758620229999991</v>
      </c>
      <c r="DR258" s="316">
        <v>6.6993022499999988</v>
      </c>
      <c r="DS258" s="316">
        <v>-6.4215012929999986</v>
      </c>
      <c r="DT258" s="316">
        <v>-1.210116069999998</v>
      </c>
      <c r="DU258" s="316">
        <v>5.2921518620000008</v>
      </c>
      <c r="DV258" s="316">
        <v>-1.1174253650000026</v>
      </c>
      <c r="DW258" s="316">
        <v>-1.5541783210000002</v>
      </c>
      <c r="DX258" s="316">
        <v>9.0290592559999965</v>
      </c>
      <c r="DY258" s="316">
        <v>-4.4370117799999989</v>
      </c>
      <c r="DZ258" s="318">
        <v>14.323004238999999</v>
      </c>
      <c r="EA258" s="316">
        <v>4.5248089190000016</v>
      </c>
      <c r="EB258" s="316">
        <v>-2.658034923999999</v>
      </c>
      <c r="EC258" s="316">
        <v>-1.6506840430000018</v>
      </c>
      <c r="ED258" s="316">
        <v>3.3173105239999998</v>
      </c>
      <c r="EE258" s="316">
        <v>-2.7214846239999986</v>
      </c>
      <c r="EF258" s="316">
        <v>-0.31018299499999813</v>
      </c>
      <c r="EG258" s="316">
        <v>7.0459488450000016</v>
      </c>
      <c r="EH258" s="316">
        <v>-2.8883827089999983</v>
      </c>
      <c r="EI258" s="316">
        <v>-1.4558972860000026</v>
      </c>
      <c r="EJ258" s="316">
        <v>5.1567675050000013</v>
      </c>
      <c r="EK258" s="316">
        <v>8.1938463370000001</v>
      </c>
      <c r="EL258" s="318">
        <v>-8.9365712100000003</v>
      </c>
      <c r="EM258" s="1206">
        <v>9.3418880860000009</v>
      </c>
      <c r="EN258" s="1206">
        <v>-5.6536892299999977</v>
      </c>
      <c r="EO258" s="1206">
        <v>1.0562651469999977</v>
      </c>
      <c r="EP258" s="1206">
        <v>6.9891358219999979</v>
      </c>
      <c r="EQ258" s="1206">
        <v>-4.0449216989999996</v>
      </c>
      <c r="ER258" s="1206">
        <v>-6.1371300689999977</v>
      </c>
      <c r="ES258" s="1206">
        <v>3.3189000740000019</v>
      </c>
      <c r="ET258" s="1206">
        <v>3.0049540810000011</v>
      </c>
      <c r="EU258" s="1206">
        <v>21.224673280999998</v>
      </c>
      <c r="EV258" s="1206">
        <v>12.986760320000002</v>
      </c>
      <c r="EW258" s="1206">
        <v>10.995433510999998</v>
      </c>
      <c r="EX258" s="1550">
        <v>-6.7873506179999978</v>
      </c>
      <c r="EY258" s="1206"/>
      <c r="EZ258" s="1206"/>
      <c r="FA258" s="1206"/>
      <c r="FB258" s="1206"/>
      <c r="FC258" s="1206"/>
      <c r="FD258" s="1206"/>
      <c r="FE258" s="1206"/>
      <c r="FF258" s="1206"/>
      <c r="FG258" s="1206"/>
      <c r="FH258" s="1206"/>
      <c r="FI258" s="1206"/>
      <c r="FJ258" s="1550"/>
      <c r="FK258" s="1206"/>
      <c r="FL258" s="1206"/>
      <c r="FM258" s="1206"/>
      <c r="FN258" s="1206"/>
      <c r="FO258" s="1206"/>
      <c r="FP258" s="1206"/>
      <c r="FQ258" s="316"/>
      <c r="FR258" s="316"/>
      <c r="FS258" s="316"/>
      <c r="FT258" s="316"/>
      <c r="FU258" s="316"/>
      <c r="FV258" s="316"/>
      <c r="FW258" s="316"/>
      <c r="FX258" s="316"/>
      <c r="FY258" s="316"/>
      <c r="FZ258" s="316"/>
      <c r="GA258" s="316"/>
      <c r="GB258" s="316"/>
      <c r="GC258" s="316"/>
      <c r="GD258" s="316"/>
      <c r="GE258" s="316"/>
      <c r="GF258" s="316"/>
      <c r="GG258" s="316"/>
      <c r="GH258" s="316"/>
      <c r="GI258" s="316"/>
      <c r="GJ258" s="316"/>
      <c r="GK258" s="316"/>
      <c r="GL258" s="316"/>
      <c r="GM258" s="316"/>
      <c r="GN258" s="316"/>
      <c r="GO258" s="316"/>
      <c r="GP258" s="316"/>
      <c r="GQ258" s="316"/>
      <c r="GR258" s="316"/>
      <c r="GS258" s="316"/>
      <c r="GT258" s="316"/>
      <c r="GU258" s="316"/>
      <c r="GV258" s="316"/>
      <c r="GW258" s="316"/>
      <c r="GX258" s="316"/>
      <c r="GY258" s="316"/>
      <c r="GZ258" s="316"/>
      <c r="HA258" s="316"/>
      <c r="HB258" s="316"/>
      <c r="HC258" s="316"/>
      <c r="HD258" s="316"/>
      <c r="HE258" s="316"/>
      <c r="HF258" s="316"/>
      <c r="HG258" s="316"/>
      <c r="HH258" s="316"/>
      <c r="HI258" s="316"/>
      <c r="HJ258" s="316"/>
      <c r="HK258" s="316"/>
      <c r="HL258" s="316"/>
      <c r="HM258" s="316"/>
      <c r="HY258" s="302">
        <f t="shared" si="51"/>
        <v>0.91402951000000243</v>
      </c>
      <c r="KH258" s="303"/>
    </row>
    <row r="259" spans="1:295" outlineLevel="1">
      <c r="B259" s="117" t="s">
        <v>361</v>
      </c>
      <c r="D259" s="339" t="s">
        <v>480</v>
      </c>
      <c r="E259" s="316"/>
      <c r="F259" s="316"/>
      <c r="G259" s="316"/>
      <c r="H259" s="316"/>
      <c r="I259" s="316"/>
      <c r="J259" s="316"/>
      <c r="K259" s="316"/>
      <c r="L259" s="316"/>
      <c r="M259" s="316"/>
      <c r="N259" s="316"/>
      <c r="O259" s="316"/>
      <c r="P259" s="316"/>
      <c r="Q259" s="316"/>
      <c r="R259" s="316"/>
      <c r="S259" s="316"/>
      <c r="T259" s="316"/>
      <c r="U259" s="316"/>
      <c r="V259" s="316"/>
      <c r="W259" s="316"/>
      <c r="X259" s="316"/>
      <c r="Y259" s="316"/>
      <c r="Z259" s="316"/>
      <c r="AA259" s="316"/>
      <c r="AB259" s="316"/>
      <c r="AC259" s="316"/>
      <c r="AD259" s="316"/>
      <c r="AE259" s="316"/>
      <c r="AF259" s="316"/>
      <c r="AG259" s="316"/>
      <c r="AH259" s="316"/>
      <c r="AI259" s="316"/>
      <c r="AJ259" s="316"/>
      <c r="AK259" s="316"/>
      <c r="AL259" s="316"/>
      <c r="AM259" s="316"/>
      <c r="AN259" s="316"/>
      <c r="AO259" s="316"/>
      <c r="AP259" s="316"/>
      <c r="AQ259" s="316"/>
      <c r="AR259" s="316"/>
      <c r="AS259" s="316"/>
      <c r="AT259" s="316"/>
      <c r="AU259" s="316"/>
      <c r="AV259" s="316"/>
      <c r="AW259" s="316"/>
      <c r="AX259" s="316"/>
      <c r="AY259" s="316"/>
      <c r="AZ259" s="316"/>
      <c r="BA259" s="316"/>
      <c r="BB259" s="316"/>
      <c r="BC259" s="316"/>
      <c r="BD259" s="316"/>
      <c r="BE259" s="316"/>
      <c r="BF259" s="316"/>
      <c r="BG259" s="316"/>
      <c r="BH259" s="316"/>
      <c r="BI259" s="316"/>
      <c r="BJ259" s="316"/>
      <c r="BK259" s="316"/>
      <c r="BL259" s="316"/>
      <c r="BM259" s="316"/>
      <c r="BN259" s="316"/>
      <c r="BO259" s="316"/>
      <c r="BP259" s="316"/>
      <c r="BQ259" s="316"/>
      <c r="BR259" s="316"/>
      <c r="BS259" s="316"/>
      <c r="BT259" s="316"/>
      <c r="BU259" s="316"/>
      <c r="BV259" s="316"/>
      <c r="BW259" s="316"/>
      <c r="BX259" s="316"/>
      <c r="BY259" s="316"/>
      <c r="BZ259" s="316"/>
      <c r="CA259" s="316"/>
      <c r="CB259" s="316"/>
      <c r="CC259" s="316"/>
      <c r="CD259" s="316"/>
      <c r="CE259" s="317">
        <v>25.459926414999998</v>
      </c>
      <c r="CF259" s="316">
        <v>-2.1916458300000095</v>
      </c>
      <c r="CG259" s="316">
        <v>0.86049975999999662</v>
      </c>
      <c r="CH259" s="316">
        <v>15.230367965000001</v>
      </c>
      <c r="CI259" s="316">
        <v>-2.490232345000003</v>
      </c>
      <c r="CJ259" s="316">
        <v>-44.462359226000011</v>
      </c>
      <c r="CK259" s="316">
        <v>33.882002667999998</v>
      </c>
      <c r="CL259" s="316">
        <v>1.5864573310000027</v>
      </c>
      <c r="CM259" s="316">
        <v>-2.2788276409999981</v>
      </c>
      <c r="CN259" s="316">
        <v>21.917290953999998</v>
      </c>
      <c r="CO259" s="316">
        <v>15.121927161999997</v>
      </c>
      <c r="CP259" s="318">
        <v>-77.886949827000009</v>
      </c>
      <c r="CQ259" s="316">
        <v>43.993544946</v>
      </c>
      <c r="CR259" s="316">
        <v>7.5001968780000023</v>
      </c>
      <c r="CS259" s="316">
        <v>-8.1648560099999994</v>
      </c>
      <c r="CT259" s="316">
        <v>7.7556771840000014</v>
      </c>
      <c r="CU259" s="316">
        <v>13.614128800999996</v>
      </c>
      <c r="CV259" s="316">
        <v>-15.375084401999995</v>
      </c>
      <c r="CW259" s="316">
        <v>9.5578973139999999</v>
      </c>
      <c r="CX259" s="316">
        <v>18.724819482000001</v>
      </c>
      <c r="CY259" s="316">
        <v>-5.0054926209999993</v>
      </c>
      <c r="CZ259" s="316">
        <v>34.482325734</v>
      </c>
      <c r="DA259" s="316">
        <v>0.97493965699999618</v>
      </c>
      <c r="DB259" s="1498">
        <v>-84.906245957999985</v>
      </c>
      <c r="DC259" s="316">
        <v>45.051045941000005</v>
      </c>
      <c r="DD259" s="316">
        <v>2.4522030739999972</v>
      </c>
      <c r="DE259" s="316">
        <v>-11.525068235999996</v>
      </c>
      <c r="DF259" s="316">
        <v>24.155134145999995</v>
      </c>
      <c r="DG259" s="316">
        <v>4.7692401899999961</v>
      </c>
      <c r="DH259" s="316">
        <v>-50.081889140000001</v>
      </c>
      <c r="DI259" s="316">
        <v>39.04344991899999</v>
      </c>
      <c r="DJ259" s="316">
        <v>-12.661360148</v>
      </c>
      <c r="DK259" s="316">
        <v>2.5686521749999995</v>
      </c>
      <c r="DL259" s="316">
        <v>8.1482137590000008</v>
      </c>
      <c r="DM259" s="316">
        <v>27.100130161999999</v>
      </c>
      <c r="DN259" s="318">
        <v>-106.637777396</v>
      </c>
      <c r="DO259" s="316">
        <v>5.7541547349999931</v>
      </c>
      <c r="DP259" s="316">
        <v>67.927479993000006</v>
      </c>
      <c r="DQ259" s="316">
        <v>-6.7416281189999925</v>
      </c>
      <c r="DR259" s="316">
        <v>22.302948236000002</v>
      </c>
      <c r="DS259" s="316">
        <v>1.6517766149999982</v>
      </c>
      <c r="DT259" s="316">
        <v>-103.077576081</v>
      </c>
      <c r="DU259" s="316">
        <v>72.040236409999991</v>
      </c>
      <c r="DV259" s="316">
        <v>3.8685099279999964</v>
      </c>
      <c r="DW259" s="316">
        <v>-51.810127059000003</v>
      </c>
      <c r="DX259" s="316">
        <v>88.399945051999993</v>
      </c>
      <c r="DY259" s="316">
        <v>18.782829167999999</v>
      </c>
      <c r="DZ259" s="318">
        <v>-79.13331905199999</v>
      </c>
      <c r="EA259" s="316">
        <v>50.555999823000001</v>
      </c>
      <c r="EB259" s="316">
        <v>28.586233752000005</v>
      </c>
      <c r="EC259" s="316">
        <v>27.044963971000001</v>
      </c>
      <c r="ED259" s="316">
        <v>0.725604204999998</v>
      </c>
      <c r="EE259" s="316">
        <v>5.2141258529999961</v>
      </c>
      <c r="EF259" s="316">
        <v>-77.150921148000023</v>
      </c>
      <c r="EG259" s="316">
        <v>19.283678564999999</v>
      </c>
      <c r="EH259" s="316">
        <v>11.539384766000001</v>
      </c>
      <c r="EI259" s="316">
        <v>-13.339600471000001</v>
      </c>
      <c r="EJ259" s="316">
        <v>40.832480689</v>
      </c>
      <c r="EK259" s="316">
        <v>1.1411995740000016</v>
      </c>
      <c r="EL259" s="318">
        <v>-119.494381867</v>
      </c>
      <c r="EM259" s="1206">
        <v>20.906582503999996</v>
      </c>
      <c r="EN259" s="1206">
        <v>38.534375723000025</v>
      </c>
      <c r="EO259" s="1206">
        <v>1.7081313110000025</v>
      </c>
      <c r="EP259" s="1206">
        <v>40.776698555999999</v>
      </c>
      <c r="EQ259" s="1206">
        <v>62.199166380000008</v>
      </c>
      <c r="ER259" s="1206">
        <v>-111.86544021499999</v>
      </c>
      <c r="ES259" s="1206">
        <v>-53.196056255000009</v>
      </c>
      <c r="ET259" s="1206">
        <v>-4.1803346760000011</v>
      </c>
      <c r="EU259" s="1206">
        <v>48.686548283999997</v>
      </c>
      <c r="EV259" s="1206">
        <v>66.64271675900001</v>
      </c>
      <c r="EW259" s="1206">
        <v>99.212840006999997</v>
      </c>
      <c r="EX259" s="1550">
        <v>-154.30260818600001</v>
      </c>
      <c r="EY259" s="1206"/>
      <c r="EZ259" s="1206"/>
      <c r="FA259" s="1206"/>
      <c r="FB259" s="1206"/>
      <c r="FC259" s="1206"/>
      <c r="FD259" s="1206"/>
      <c r="FE259" s="1206"/>
      <c r="FF259" s="1206"/>
      <c r="FG259" s="1206"/>
      <c r="FH259" s="1206"/>
      <c r="FI259" s="1206"/>
      <c r="FJ259" s="1550"/>
      <c r="FK259" s="1206"/>
      <c r="FL259" s="1206"/>
      <c r="FM259" s="1206"/>
      <c r="FN259" s="1206"/>
      <c r="FO259" s="1206"/>
      <c r="FP259" s="1206"/>
      <c r="FQ259" s="316"/>
      <c r="FR259" s="316"/>
      <c r="FS259" s="316"/>
      <c r="FT259" s="316"/>
      <c r="FU259" s="316"/>
      <c r="FV259" s="316"/>
      <c r="FW259" s="316"/>
      <c r="FX259" s="316"/>
      <c r="FY259" s="316"/>
      <c r="FZ259" s="316"/>
      <c r="GA259" s="316"/>
      <c r="GB259" s="316"/>
      <c r="GC259" s="316"/>
      <c r="GD259" s="316"/>
      <c r="GE259" s="316"/>
      <c r="GF259" s="316"/>
      <c r="GG259" s="316"/>
      <c r="GH259" s="316"/>
      <c r="GI259" s="316"/>
      <c r="GJ259" s="316"/>
      <c r="GK259" s="316"/>
      <c r="GL259" s="316"/>
      <c r="GM259" s="316"/>
      <c r="GN259" s="316"/>
      <c r="GO259" s="316"/>
      <c r="GP259" s="316"/>
      <c r="GQ259" s="316"/>
      <c r="GR259" s="316"/>
      <c r="GS259" s="316"/>
      <c r="GT259" s="316"/>
      <c r="GU259" s="316"/>
      <c r="GV259" s="316"/>
      <c r="GW259" s="316"/>
      <c r="GX259" s="316"/>
      <c r="GY259" s="316"/>
      <c r="GZ259" s="316"/>
      <c r="HA259" s="316"/>
      <c r="HB259" s="316"/>
      <c r="HC259" s="316"/>
      <c r="HD259" s="316"/>
      <c r="HE259" s="316"/>
      <c r="HF259" s="316"/>
      <c r="HG259" s="316"/>
      <c r="HH259" s="316"/>
      <c r="HI259" s="316"/>
      <c r="HJ259" s="316"/>
      <c r="HK259" s="316"/>
      <c r="HL259" s="316"/>
      <c r="HM259" s="316"/>
      <c r="HV259" s="302">
        <f>+SUM(DC259:DH259)</f>
        <v>14.820665974999997</v>
      </c>
      <c r="HW259" s="302">
        <f>+SUM(DI259:DN259)</f>
        <v>-42.43869152900001</v>
      </c>
      <c r="HX259" s="346">
        <f>HV259+HW259</f>
        <v>-27.618025554000013</v>
      </c>
      <c r="HY259" s="302">
        <f t="shared" si="51"/>
        <v>-12.182844620999987</v>
      </c>
      <c r="KH259" s="303"/>
      <c r="KI259" s="302"/>
    </row>
    <row r="260" spans="1:295" outlineLevel="1">
      <c r="D260" s="841"/>
      <c r="CE260" s="840"/>
      <c r="CP260" s="303"/>
      <c r="DC260" s="890" t="s">
        <v>1071</v>
      </c>
      <c r="EA260" s="302"/>
      <c r="EB260" s="302"/>
      <c r="EC260" s="302"/>
      <c r="ED260" s="302"/>
      <c r="EE260" s="302"/>
      <c r="EF260" s="302"/>
      <c r="EG260" s="302"/>
      <c r="EH260" s="302"/>
      <c r="EI260" s="302"/>
      <c r="EJ260" s="302"/>
      <c r="EK260" s="302"/>
      <c r="EL260" s="303"/>
      <c r="EM260" s="1208"/>
      <c r="EN260" s="1208"/>
      <c r="EO260" s="1208"/>
      <c r="EP260" s="1208"/>
      <c r="EQ260" s="1208"/>
      <c r="ER260" s="1208"/>
      <c r="ES260" s="1208"/>
      <c r="ET260" s="1208"/>
      <c r="EU260" s="1208"/>
      <c r="EV260" s="1208"/>
      <c r="EW260" s="1208"/>
      <c r="EX260" s="1560"/>
      <c r="EY260" s="1208"/>
      <c r="EZ260" s="1208"/>
      <c r="FA260" s="1208"/>
      <c r="FB260" s="1208"/>
      <c r="FC260" s="1208"/>
      <c r="FD260" s="1208"/>
      <c r="FE260" s="1208"/>
      <c r="FF260" s="1208"/>
      <c r="FG260" s="1208"/>
      <c r="FH260" s="1208"/>
      <c r="FI260" s="1208"/>
      <c r="FJ260" s="1560"/>
      <c r="FK260" s="1208"/>
      <c r="FL260" s="1208"/>
      <c r="FM260" s="1208"/>
      <c r="FN260" s="1208"/>
      <c r="FO260" s="1208"/>
      <c r="FP260" s="1208"/>
      <c r="FQ260" s="302"/>
      <c r="FR260" s="302"/>
      <c r="FS260" s="302"/>
      <c r="FT260" s="302"/>
      <c r="FU260" s="302"/>
      <c r="FV260" s="302"/>
      <c r="FW260" s="302"/>
      <c r="FX260" s="302"/>
      <c r="FY260" s="302"/>
      <c r="FZ260" s="302"/>
      <c r="GA260" s="302"/>
      <c r="GB260" s="302"/>
      <c r="GC260" s="302"/>
      <c r="GD260" s="302"/>
      <c r="GE260" s="302"/>
      <c r="GF260" s="302"/>
      <c r="GG260" s="302"/>
      <c r="GH260" s="302"/>
      <c r="GI260" s="302"/>
      <c r="GJ260" s="302"/>
      <c r="GK260" s="302"/>
      <c r="GL260" s="302"/>
      <c r="GM260" s="302"/>
      <c r="GN260" s="302"/>
      <c r="GO260" s="302"/>
      <c r="GP260" s="302"/>
      <c r="GQ260" s="302"/>
      <c r="GR260" s="302"/>
      <c r="GS260" s="302"/>
      <c r="GT260" s="302"/>
      <c r="GU260" s="302"/>
      <c r="GV260" s="302"/>
      <c r="GW260" s="302"/>
      <c r="GX260" s="302"/>
      <c r="GY260" s="302"/>
      <c r="GZ260" s="302"/>
      <c r="HA260" s="302"/>
      <c r="HB260" s="302"/>
      <c r="HC260" s="302"/>
      <c r="HD260" s="302"/>
      <c r="HE260" s="302"/>
      <c r="HF260" s="302"/>
      <c r="HG260" s="302"/>
      <c r="HH260" s="302"/>
      <c r="HI260" s="302"/>
      <c r="HJ260" s="302"/>
      <c r="HK260" s="302"/>
      <c r="HL260" s="302"/>
      <c r="HM260" s="302"/>
      <c r="HN260" s="302"/>
      <c r="HX260" s="350"/>
      <c r="KH260" s="303"/>
      <c r="KI260" s="302"/>
    </row>
    <row r="261" spans="1:295" ht="10.5" customHeight="1" outlineLevel="1">
      <c r="D261" s="841"/>
      <c r="CE261" s="840"/>
      <c r="CP261" s="303"/>
      <c r="DC261" s="890"/>
      <c r="EA261" s="302"/>
      <c r="EB261" s="302"/>
      <c r="EC261" s="302"/>
      <c r="ED261" s="302"/>
      <c r="EE261" s="302"/>
      <c r="EF261" s="302"/>
      <c r="EG261" s="302"/>
      <c r="EH261" s="302"/>
      <c r="EI261" s="302"/>
      <c r="EJ261" s="302"/>
      <c r="EK261" s="302"/>
      <c r="EL261" s="303"/>
      <c r="EM261" s="1208"/>
      <c r="EN261" s="1208"/>
      <c r="EO261" s="1208"/>
      <c r="EP261" s="1208"/>
      <c r="EQ261" s="1208"/>
      <c r="ER261" s="1208"/>
      <c r="ES261" s="1208"/>
      <c r="ET261" s="1208"/>
      <c r="EU261" s="1208"/>
      <c r="EV261" s="1208"/>
      <c r="EW261" s="1208"/>
      <c r="EX261" s="1560"/>
      <c r="EY261" s="1208"/>
      <c r="EZ261" s="1208"/>
      <c r="FA261" s="1208"/>
      <c r="FB261" s="1208"/>
      <c r="FC261" s="1208"/>
      <c r="FD261" s="1208"/>
      <c r="FE261" s="1208"/>
      <c r="FF261" s="1208"/>
      <c r="FG261" s="1208"/>
      <c r="FH261" s="1208"/>
      <c r="FI261" s="1208"/>
      <c r="FJ261" s="1560"/>
      <c r="FK261" s="1208"/>
      <c r="FL261" s="1208"/>
      <c r="FM261" s="1208"/>
      <c r="FN261" s="1208"/>
      <c r="FO261" s="1208"/>
      <c r="FP261" s="1208"/>
      <c r="FQ261" s="302"/>
      <c r="FR261" s="302"/>
      <c r="FS261" s="302"/>
      <c r="FT261" s="302"/>
      <c r="FU261" s="302"/>
      <c r="FV261" s="302"/>
      <c r="FW261" s="302"/>
      <c r="FX261" s="302"/>
      <c r="FY261" s="302"/>
      <c r="FZ261" s="302"/>
      <c r="GA261" s="302"/>
      <c r="GB261" s="302"/>
      <c r="GC261" s="302"/>
      <c r="GD261" s="302"/>
      <c r="GE261" s="302"/>
      <c r="GF261" s="302"/>
      <c r="GG261" s="302"/>
      <c r="GH261" s="302"/>
      <c r="GI261" s="302"/>
      <c r="GJ261" s="302"/>
      <c r="GK261" s="302"/>
      <c r="GL261" s="302"/>
      <c r="GM261" s="302"/>
      <c r="GN261" s="302"/>
      <c r="GO261" s="302"/>
      <c r="GP261" s="302"/>
      <c r="GQ261" s="302"/>
      <c r="GR261" s="302"/>
      <c r="GS261" s="302"/>
      <c r="GT261" s="302"/>
      <c r="GU261" s="302"/>
      <c r="GV261" s="302"/>
      <c r="GW261" s="302"/>
      <c r="GX261" s="302"/>
      <c r="GY261" s="302"/>
      <c r="GZ261" s="302"/>
      <c r="HA261" s="302"/>
      <c r="HB261" s="302"/>
      <c r="HC261" s="302"/>
      <c r="HD261" s="302"/>
      <c r="HE261" s="302"/>
      <c r="HF261" s="302"/>
      <c r="HG261" s="302"/>
      <c r="HH261" s="302"/>
      <c r="HI261" s="302"/>
      <c r="HJ261" s="302"/>
      <c r="HK261" s="302"/>
      <c r="HL261" s="302"/>
      <c r="HM261" s="302"/>
      <c r="HN261" s="302"/>
      <c r="HX261" s="350"/>
      <c r="KH261" s="303"/>
      <c r="KI261" s="302"/>
    </row>
    <row r="262" spans="1:295" outlineLevel="1">
      <c r="A262" s="314" t="s">
        <v>1095</v>
      </c>
      <c r="D262" s="841"/>
      <c r="CE262" s="840"/>
      <c r="CP262" s="303"/>
      <c r="DC262" s="890" t="s">
        <v>1074</v>
      </c>
      <c r="EA262" s="302"/>
      <c r="EB262" s="302"/>
      <c r="EC262" s="302"/>
      <c r="ED262" s="302"/>
      <c r="EE262" s="302"/>
      <c r="EF262" s="302"/>
      <c r="EG262" s="302"/>
      <c r="EH262" s="302"/>
      <c r="EI262" s="302"/>
      <c r="EJ262" s="302"/>
      <c r="EK262" s="302"/>
      <c r="EL262" s="303"/>
      <c r="EM262" s="1208"/>
      <c r="EN262" s="1208"/>
      <c r="EO262" s="1208"/>
      <c r="EP262" s="1208"/>
      <c r="EQ262" s="1208"/>
      <c r="ER262" s="1208"/>
      <c r="ES262" s="1208"/>
      <c r="ET262" s="1208"/>
      <c r="EU262" s="1208"/>
      <c r="EV262" s="1208"/>
      <c r="EW262" s="1208"/>
      <c r="EX262" s="1560"/>
      <c r="EY262" s="1208"/>
      <c r="EZ262" s="1208"/>
      <c r="FA262" s="1208"/>
      <c r="FB262" s="1208"/>
      <c r="FC262" s="1208"/>
      <c r="FD262" s="1208"/>
      <c r="FE262" s="1208"/>
      <c r="FF262" s="1208"/>
      <c r="FG262" s="1208"/>
      <c r="FH262" s="1208"/>
      <c r="FI262" s="1208"/>
      <c r="FJ262" s="1560"/>
      <c r="FK262" s="1208"/>
      <c r="FL262" s="1208"/>
      <c r="FM262" s="1208"/>
      <c r="FN262" s="1208"/>
      <c r="FO262" s="1208"/>
      <c r="FP262" s="1208"/>
      <c r="FQ262" s="302"/>
      <c r="FR262" s="302"/>
      <c r="FS262" s="302"/>
      <c r="FT262" s="302"/>
      <c r="FU262" s="302"/>
      <c r="FV262" s="302"/>
      <c r="FW262" s="302"/>
      <c r="FX262" s="302"/>
      <c r="FY262" s="302"/>
      <c r="FZ262" s="302"/>
      <c r="GA262" s="302"/>
      <c r="GB262" s="302"/>
      <c r="GC262" s="302"/>
      <c r="GD262" s="302"/>
      <c r="GE262" s="302"/>
      <c r="GF262" s="302"/>
      <c r="GG262" s="302"/>
      <c r="GH262" s="302"/>
      <c r="GI262" s="302"/>
      <c r="GJ262" s="302"/>
      <c r="GK262" s="302"/>
      <c r="GL262" s="302"/>
      <c r="GM262" s="302"/>
      <c r="GN262" s="302"/>
      <c r="GO262" s="302"/>
      <c r="GP262" s="302"/>
      <c r="GQ262" s="302"/>
      <c r="GR262" s="302"/>
      <c r="GS262" s="302"/>
      <c r="GT262" s="302"/>
      <c r="GU262" s="302"/>
      <c r="GV262" s="302"/>
      <c r="GW262" s="302"/>
      <c r="GX262" s="302"/>
      <c r="GY262" s="302"/>
      <c r="GZ262" s="302"/>
      <c r="HA262" s="302"/>
      <c r="HB262" s="302"/>
      <c r="HC262" s="302"/>
      <c r="HD262" s="302"/>
      <c r="HE262" s="302"/>
      <c r="HF262" s="302"/>
      <c r="HG262" s="302"/>
      <c r="HH262" s="302"/>
      <c r="HI262" s="302"/>
      <c r="HJ262" s="302"/>
      <c r="HK262" s="302"/>
      <c r="HL262" s="302"/>
      <c r="HM262" s="302"/>
      <c r="HN262" s="302"/>
      <c r="HX262" s="350"/>
      <c r="KH262" s="303"/>
      <c r="KI262" s="302"/>
    </row>
    <row r="263" spans="1:295" outlineLevel="1">
      <c r="D263" s="339"/>
      <c r="E263" s="316"/>
      <c r="F263" s="316"/>
      <c r="G263" s="316"/>
      <c r="H263" s="316"/>
      <c r="I263" s="316"/>
      <c r="J263" s="316"/>
      <c r="K263" s="316"/>
      <c r="L263" s="316"/>
      <c r="M263" s="316"/>
      <c r="N263" s="316"/>
      <c r="O263" s="316"/>
      <c r="P263" s="316"/>
      <c r="Q263" s="316"/>
      <c r="R263" s="316"/>
      <c r="S263" s="316"/>
      <c r="T263" s="316"/>
      <c r="U263" s="316"/>
      <c r="V263" s="316"/>
      <c r="W263" s="316"/>
      <c r="X263" s="316"/>
      <c r="Y263" s="316"/>
      <c r="Z263" s="316"/>
      <c r="AA263" s="316"/>
      <c r="AB263" s="316"/>
      <c r="AC263" s="316"/>
      <c r="AD263" s="316"/>
      <c r="AE263" s="316"/>
      <c r="AF263" s="316"/>
      <c r="AG263" s="316"/>
      <c r="AH263" s="316"/>
      <c r="AI263" s="316"/>
      <c r="AJ263" s="316"/>
      <c r="AK263" s="316"/>
      <c r="AL263" s="316"/>
      <c r="AM263" s="316"/>
      <c r="AN263" s="316"/>
      <c r="AO263" s="316"/>
      <c r="AP263" s="316"/>
      <c r="AQ263" s="316"/>
      <c r="AR263" s="316"/>
      <c r="AS263" s="316"/>
      <c r="AT263" s="316"/>
      <c r="AU263" s="316"/>
      <c r="AV263" s="316"/>
      <c r="AW263" s="316"/>
      <c r="AX263" s="316"/>
      <c r="AY263" s="316"/>
      <c r="AZ263" s="316"/>
      <c r="BA263" s="316"/>
      <c r="BB263" s="316"/>
      <c r="BC263" s="316"/>
      <c r="BD263" s="316"/>
      <c r="BE263" s="316"/>
      <c r="BF263" s="316"/>
      <c r="BG263" s="316"/>
      <c r="BH263" s="316"/>
      <c r="BI263" s="316"/>
      <c r="BJ263" s="316"/>
      <c r="BK263" s="316"/>
      <c r="BL263" s="316"/>
      <c r="BM263" s="316"/>
      <c r="BN263" s="316"/>
      <c r="BO263" s="316"/>
      <c r="BP263" s="316"/>
      <c r="BQ263" s="316"/>
      <c r="BR263" s="316"/>
      <c r="BS263" s="316"/>
      <c r="BT263" s="316"/>
      <c r="BU263" s="316"/>
      <c r="BV263" s="316"/>
      <c r="BW263" s="316"/>
      <c r="BX263" s="316"/>
      <c r="BY263" s="316"/>
      <c r="BZ263" s="316"/>
      <c r="CA263" s="316"/>
      <c r="CB263" s="316"/>
      <c r="CC263" s="316"/>
      <c r="CD263" s="316"/>
      <c r="CE263" s="317"/>
      <c r="CF263" s="316"/>
      <c r="CG263" s="316"/>
      <c r="CH263" s="316"/>
      <c r="CI263" s="316"/>
      <c r="CJ263" s="316"/>
      <c r="CK263" s="316"/>
      <c r="CL263" s="316"/>
      <c r="CM263" s="316"/>
      <c r="CN263" s="316"/>
      <c r="CO263" s="316"/>
      <c r="CP263" s="318"/>
      <c r="CQ263" s="316"/>
      <c r="CR263" s="316"/>
      <c r="CS263" s="316"/>
      <c r="CT263" s="316"/>
      <c r="CU263" s="316"/>
      <c r="CV263" s="316"/>
      <c r="CW263" s="316"/>
      <c r="CX263" s="316"/>
      <c r="CY263" s="316"/>
      <c r="CZ263" s="316"/>
      <c r="DA263" s="316"/>
      <c r="DB263" s="1498"/>
      <c r="DC263" s="911">
        <v>42186</v>
      </c>
      <c r="DD263" s="911">
        <v>42217</v>
      </c>
      <c r="DE263" s="911">
        <v>42248</v>
      </c>
      <c r="DF263" s="911">
        <v>42278</v>
      </c>
      <c r="DG263" s="911">
        <v>42309</v>
      </c>
      <c r="DH263" s="911">
        <v>42339</v>
      </c>
      <c r="DI263" s="911">
        <v>42370</v>
      </c>
      <c r="DJ263" s="911">
        <v>42401</v>
      </c>
      <c r="DK263" s="911">
        <v>42430</v>
      </c>
      <c r="DL263" s="911">
        <v>42461</v>
      </c>
      <c r="DM263" s="911">
        <v>42491</v>
      </c>
      <c r="DN263" s="933">
        <v>42522</v>
      </c>
      <c r="DO263" s="883">
        <v>42552</v>
      </c>
      <c r="DP263" s="883">
        <v>42583</v>
      </c>
      <c r="DQ263" s="883">
        <v>42614</v>
      </c>
      <c r="DR263" s="883">
        <v>42644</v>
      </c>
      <c r="DS263" s="883">
        <v>42675</v>
      </c>
      <c r="DT263" s="883">
        <v>42705</v>
      </c>
      <c r="DU263" s="883">
        <v>42736</v>
      </c>
      <c r="DV263" s="883">
        <v>42767</v>
      </c>
      <c r="DW263" s="883">
        <v>42795</v>
      </c>
      <c r="DX263" s="883">
        <v>42826</v>
      </c>
      <c r="DY263" s="883">
        <v>42856</v>
      </c>
      <c r="DZ263" s="928">
        <v>42887</v>
      </c>
      <c r="EA263" s="883">
        <v>42917</v>
      </c>
      <c r="EB263" s="883">
        <v>42948</v>
      </c>
      <c r="EC263" s="883">
        <v>42979</v>
      </c>
      <c r="ED263" s="883">
        <v>43009</v>
      </c>
      <c r="EE263" s="883">
        <v>43040</v>
      </c>
      <c r="EF263" s="883">
        <v>43070</v>
      </c>
      <c r="EG263" s="883">
        <v>43101</v>
      </c>
      <c r="EH263" s="883">
        <v>43132</v>
      </c>
      <c r="EI263" s="883">
        <v>43160</v>
      </c>
      <c r="EJ263" s="883">
        <v>43191</v>
      </c>
      <c r="EK263" s="883">
        <v>43221</v>
      </c>
      <c r="EL263" s="928">
        <v>43252</v>
      </c>
      <c r="EM263" s="1205">
        <v>43282</v>
      </c>
      <c r="EN263" s="1205">
        <v>43313</v>
      </c>
      <c r="EO263" s="1205">
        <v>43344</v>
      </c>
      <c r="EP263" s="1205">
        <v>43374</v>
      </c>
      <c r="EQ263" s="1205">
        <v>43405</v>
      </c>
      <c r="ER263" s="1205">
        <v>43435</v>
      </c>
      <c r="ES263" s="1205">
        <v>43466</v>
      </c>
      <c r="ET263" s="1205">
        <v>43497</v>
      </c>
      <c r="EU263" s="1205">
        <v>43525</v>
      </c>
      <c r="EV263" s="1205">
        <v>43556</v>
      </c>
      <c r="EW263" s="1205">
        <v>43586</v>
      </c>
      <c r="EX263" s="1558">
        <v>43617</v>
      </c>
      <c r="EY263" s="1205">
        <v>43647</v>
      </c>
      <c r="EZ263" s="1205">
        <v>43678</v>
      </c>
      <c r="FA263" s="1205">
        <v>43709</v>
      </c>
      <c r="FB263" s="1205">
        <v>43739</v>
      </c>
      <c r="FC263" s="1205">
        <v>43770</v>
      </c>
      <c r="FD263" s="1205">
        <v>43800</v>
      </c>
      <c r="FE263" s="1205">
        <v>43831</v>
      </c>
      <c r="FF263" s="1205">
        <v>43862</v>
      </c>
      <c r="FG263" s="1205">
        <v>43891</v>
      </c>
      <c r="FH263" s="1205">
        <v>43922</v>
      </c>
      <c r="FI263" s="1205">
        <v>43952</v>
      </c>
      <c r="FJ263" s="1558">
        <v>43983</v>
      </c>
      <c r="FK263" s="1205">
        <v>44013</v>
      </c>
      <c r="FL263" s="1205">
        <v>44044</v>
      </c>
      <c r="FM263" s="1205">
        <v>44075</v>
      </c>
      <c r="FN263" s="1205">
        <v>44105</v>
      </c>
      <c r="FO263" s="1205">
        <v>44136</v>
      </c>
      <c r="FP263" s="1205">
        <v>44166</v>
      </c>
      <c r="FQ263" s="883"/>
      <c r="FR263" s="883"/>
      <c r="FS263" s="883"/>
      <c r="FT263" s="883"/>
      <c r="FU263" s="883"/>
      <c r="FV263" s="883"/>
      <c r="FW263" s="883"/>
      <c r="FX263" s="883"/>
      <c r="FY263" s="883"/>
      <c r="FZ263" s="883"/>
      <c r="GA263" s="883"/>
      <c r="GB263" s="883"/>
      <c r="GC263" s="883"/>
      <c r="GD263" s="883"/>
      <c r="GE263" s="883"/>
      <c r="GF263" s="883"/>
      <c r="GG263" s="883"/>
      <c r="GH263" s="883"/>
      <c r="GI263" s="883"/>
      <c r="GJ263" s="883"/>
      <c r="GK263" s="883"/>
      <c r="GL263" s="883"/>
      <c r="GM263" s="883"/>
      <c r="GN263" s="883"/>
      <c r="GO263" s="883"/>
      <c r="GP263" s="883"/>
      <c r="GQ263" s="883"/>
      <c r="GR263" s="883"/>
      <c r="GS263" s="883"/>
      <c r="GT263" s="883"/>
      <c r="GU263" s="883"/>
      <c r="GV263" s="883"/>
      <c r="GW263" s="883"/>
      <c r="GX263" s="883"/>
      <c r="GY263" s="883"/>
      <c r="GZ263" s="883"/>
      <c r="HA263" s="883"/>
      <c r="HB263" s="883"/>
      <c r="HC263" s="883"/>
      <c r="HD263" s="883"/>
      <c r="HE263" s="883"/>
      <c r="HF263" s="883"/>
      <c r="HG263" s="883"/>
      <c r="HH263" s="883"/>
      <c r="HI263" s="883"/>
      <c r="HJ263" s="883"/>
      <c r="HK263" s="883"/>
      <c r="HL263" s="883"/>
      <c r="HM263" s="883"/>
      <c r="HN263" s="302"/>
      <c r="HX263" s="350"/>
      <c r="KH263" s="303"/>
      <c r="KI263" s="302"/>
    </row>
    <row r="264" spans="1:295" outlineLevel="1">
      <c r="D264" s="339" t="s">
        <v>481</v>
      </c>
      <c r="E264" s="316"/>
      <c r="F264" s="316"/>
      <c r="G264" s="316"/>
      <c r="H264" s="316"/>
      <c r="I264" s="316"/>
      <c r="J264" s="316"/>
      <c r="K264" s="316"/>
      <c r="L264" s="316"/>
      <c r="M264" s="316"/>
      <c r="N264" s="316"/>
      <c r="O264" s="316"/>
      <c r="P264" s="316"/>
      <c r="Q264" s="316"/>
      <c r="R264" s="316"/>
      <c r="S264" s="316"/>
      <c r="T264" s="316"/>
      <c r="U264" s="316"/>
      <c r="V264" s="316"/>
      <c r="W264" s="316"/>
      <c r="X264" s="316"/>
      <c r="Y264" s="316"/>
      <c r="Z264" s="316"/>
      <c r="AA264" s="316"/>
      <c r="AB264" s="316"/>
      <c r="AC264" s="316"/>
      <c r="AD264" s="316"/>
      <c r="AE264" s="316"/>
      <c r="AF264" s="316"/>
      <c r="AG264" s="316"/>
      <c r="AH264" s="316"/>
      <c r="AI264" s="316"/>
      <c r="AJ264" s="316"/>
      <c r="AK264" s="316"/>
      <c r="AL264" s="316"/>
      <c r="AM264" s="316"/>
      <c r="AN264" s="316"/>
      <c r="AO264" s="316"/>
      <c r="AP264" s="316"/>
      <c r="AQ264" s="316"/>
      <c r="AR264" s="316"/>
      <c r="AS264" s="316"/>
      <c r="AT264" s="316"/>
      <c r="AU264" s="316"/>
      <c r="AV264" s="316"/>
      <c r="AW264" s="316"/>
      <c r="AX264" s="316"/>
      <c r="AY264" s="316"/>
      <c r="AZ264" s="316"/>
      <c r="BA264" s="316"/>
      <c r="BB264" s="316"/>
      <c r="BC264" s="316"/>
      <c r="BD264" s="316"/>
      <c r="BE264" s="316"/>
      <c r="BF264" s="316"/>
      <c r="BG264" s="316"/>
      <c r="BH264" s="316"/>
      <c r="BI264" s="316"/>
      <c r="BJ264" s="316"/>
      <c r="BK264" s="316"/>
      <c r="BL264" s="316"/>
      <c r="BM264" s="316"/>
      <c r="BN264" s="316"/>
      <c r="BO264" s="316"/>
      <c r="BP264" s="316"/>
      <c r="BQ264" s="316"/>
      <c r="BR264" s="316"/>
      <c r="BS264" s="316"/>
      <c r="BT264" s="316"/>
      <c r="BU264" s="316"/>
      <c r="BV264" s="316"/>
      <c r="BW264" s="316"/>
      <c r="BX264" s="316"/>
      <c r="BY264" s="316"/>
      <c r="BZ264" s="316"/>
      <c r="CA264" s="316"/>
      <c r="CB264" s="316"/>
      <c r="CC264" s="316"/>
      <c r="CD264" s="316"/>
      <c r="CE264" s="317">
        <v>4.1218678119999996</v>
      </c>
      <c r="CF264" s="316">
        <v>3.0527925360000001</v>
      </c>
      <c r="CG264" s="316">
        <v>4.3797581149999996</v>
      </c>
      <c r="CH264" s="316">
        <v>8.201250924</v>
      </c>
      <c r="CI264" s="316">
        <v>4.6632914940000001</v>
      </c>
      <c r="CJ264" s="316">
        <v>9.5954992279999995</v>
      </c>
      <c r="CK264" s="316">
        <v>19.788627708</v>
      </c>
      <c r="CL264" s="316">
        <v>9.3291781070000006</v>
      </c>
      <c r="CM264" s="316">
        <v>3.9728699330000001</v>
      </c>
      <c r="CN264" s="316">
        <v>36.040940083999999</v>
      </c>
      <c r="CO264" s="316">
        <v>10.388191089999999</v>
      </c>
      <c r="CP264" s="318">
        <v>5.5742181420000003</v>
      </c>
      <c r="CQ264" s="316">
        <v>8.1239777909999997</v>
      </c>
      <c r="CR264" s="316">
        <v>8.1626322439999992</v>
      </c>
      <c r="CS264" s="316">
        <v>17.633937930999998</v>
      </c>
      <c r="CT264" s="316">
        <v>4.3200615000000004</v>
      </c>
      <c r="CU264" s="316">
        <v>13.312885845</v>
      </c>
      <c r="CV264" s="316">
        <v>10.796285337</v>
      </c>
      <c r="CW264" s="316">
        <v>6.00273915</v>
      </c>
      <c r="CX264" s="316">
        <v>16.521865980000001</v>
      </c>
      <c r="CY264" s="316">
        <v>26.299949222999999</v>
      </c>
      <c r="CZ264" s="316">
        <v>28.379187033000001</v>
      </c>
      <c r="DA264" s="316">
        <v>18.037174863000001</v>
      </c>
      <c r="DB264" s="1498">
        <v>3.872886458</v>
      </c>
      <c r="DC264" s="316">
        <v>20.031666439999999</v>
      </c>
      <c r="DD264" s="316">
        <v>5.7584803439999996</v>
      </c>
      <c r="DE264" s="316">
        <v>15.547081670000001</v>
      </c>
      <c r="DF264" s="316">
        <v>21.488628049999999</v>
      </c>
      <c r="DG264" s="316">
        <v>9.0915347850000003</v>
      </c>
      <c r="DH264" s="316">
        <v>5.0807362579999999</v>
      </c>
      <c r="DI264" s="316">
        <v>27.308649025999998</v>
      </c>
      <c r="DJ264" s="316">
        <v>5.5587548150000003</v>
      </c>
      <c r="DK264" s="316">
        <v>9.5034078399999995</v>
      </c>
      <c r="DL264" s="316">
        <v>8.7388416339999999</v>
      </c>
      <c r="DM264" s="316">
        <v>11.420979965000001</v>
      </c>
      <c r="DN264" s="318">
        <v>6.4115301990000004</v>
      </c>
      <c r="DO264" s="316">
        <v>17.830386839999999</v>
      </c>
      <c r="DP264" s="316">
        <v>24.458453924000001</v>
      </c>
      <c r="DQ264" s="316">
        <v>8.9936596830000006</v>
      </c>
      <c r="DR264" s="316">
        <v>18.029543111999999</v>
      </c>
      <c r="DS264" s="316">
        <v>13.747938799</v>
      </c>
      <c r="DT264" s="316">
        <v>20.318674549000001</v>
      </c>
      <c r="DU264" s="316">
        <v>15.032641369</v>
      </c>
      <c r="DV264" s="316">
        <v>8.3836660419999998</v>
      </c>
      <c r="DW264" s="316">
        <v>5.2430148010000002</v>
      </c>
      <c r="DX264" s="316">
        <v>15.108378704</v>
      </c>
      <c r="DY264" s="316">
        <v>11.246329053</v>
      </c>
      <c r="DZ264" s="318">
        <v>0.96119616600000002</v>
      </c>
      <c r="EA264" s="316">
        <v>25.872880681000002</v>
      </c>
      <c r="EB264" s="316">
        <v>12.925111099</v>
      </c>
      <c r="EC264" s="316">
        <v>25.854006870999999</v>
      </c>
      <c r="ED264" s="316">
        <v>33.279234199000001</v>
      </c>
      <c r="EE264" s="316">
        <v>14.314430412</v>
      </c>
      <c r="EF264" s="316">
        <v>11.712284659</v>
      </c>
      <c r="EG264" s="316">
        <v>8.7310083279999997</v>
      </c>
      <c r="EH264" s="316">
        <v>7.6339070710000003</v>
      </c>
      <c r="EI264" s="316">
        <v>11.585520362</v>
      </c>
      <c r="EJ264" s="316">
        <v>11.433172015</v>
      </c>
      <c r="EK264" s="316">
        <v>14.617660114</v>
      </c>
      <c r="EL264" s="318">
        <v>3.8799066940000002</v>
      </c>
      <c r="EM264" s="1206">
        <v>5.6727965129999998</v>
      </c>
      <c r="EN264" s="1206">
        <v>33.740439352000003</v>
      </c>
      <c r="EO264" s="1206">
        <v>13.793889009999999</v>
      </c>
      <c r="EP264" s="1206">
        <v>25.71266228</v>
      </c>
      <c r="EQ264" s="1206">
        <v>16.995882278</v>
      </c>
      <c r="ER264" s="1206">
        <v>16.054394511000002</v>
      </c>
      <c r="ES264" s="1206">
        <v>11.724667692000001</v>
      </c>
      <c r="ET264" s="1206">
        <v>5.7211090220000003</v>
      </c>
      <c r="EU264" s="1206">
        <v>34.580441728499999</v>
      </c>
      <c r="EV264" s="1206">
        <v>32.951912861500006</v>
      </c>
      <c r="EW264" s="1206">
        <v>18.7012586315</v>
      </c>
      <c r="EX264" s="1550">
        <v>22.049723595500001</v>
      </c>
      <c r="EY264" s="1206"/>
      <c r="EZ264" s="1206"/>
      <c r="FA264" s="1206"/>
      <c r="FB264" s="1206"/>
      <c r="FC264" s="1206"/>
      <c r="FD264" s="1206"/>
      <c r="FE264" s="1206"/>
      <c r="FF264" s="1206"/>
      <c r="FG264" s="1206"/>
      <c r="FH264" s="1206"/>
      <c r="FI264" s="1206"/>
      <c r="FJ264" s="1550"/>
      <c r="FK264" s="1206"/>
      <c r="FL264" s="1206"/>
      <c r="FM264" s="1206"/>
      <c r="FN264" s="1206"/>
      <c r="FO264" s="1206"/>
      <c r="FP264" s="1206"/>
      <c r="FQ264" s="316"/>
      <c r="FR264" s="316"/>
      <c r="FS264" s="316"/>
      <c r="FT264" s="316"/>
      <c r="FU264" s="316"/>
      <c r="FV264" s="316"/>
      <c r="FW264" s="316"/>
      <c r="FX264" s="316"/>
      <c r="FY264" s="316"/>
      <c r="FZ264" s="316"/>
      <c r="GA264" s="316"/>
      <c r="GB264" s="316"/>
      <c r="GC264" s="316"/>
      <c r="GD264" s="316"/>
      <c r="GE264" s="316"/>
      <c r="GF264" s="316"/>
      <c r="GG264" s="316"/>
      <c r="GH264" s="316"/>
      <c r="GI264" s="316"/>
      <c r="GJ264" s="316"/>
      <c r="GK264" s="316"/>
      <c r="GL264" s="316"/>
      <c r="GM264" s="316"/>
      <c r="GN264" s="316"/>
      <c r="GO264" s="316"/>
      <c r="GP264" s="316"/>
      <c r="GQ264" s="316"/>
      <c r="GR264" s="316"/>
      <c r="GS264" s="316"/>
      <c r="GT264" s="316"/>
      <c r="GU264" s="316"/>
      <c r="GV264" s="316"/>
      <c r="GW264" s="316"/>
      <c r="GX264" s="316"/>
      <c r="GY264" s="316"/>
      <c r="GZ264" s="316"/>
      <c r="HA264" s="316"/>
      <c r="HB264" s="316"/>
      <c r="HC264" s="316"/>
      <c r="HD264" s="316"/>
      <c r="HE264" s="316"/>
      <c r="HF264" s="316"/>
      <c r="HG264" s="316"/>
      <c r="HH264" s="316"/>
      <c r="HI264" s="316"/>
      <c r="HJ264" s="316"/>
      <c r="HK264" s="316"/>
      <c r="HL264" s="316"/>
      <c r="HM264" s="316"/>
      <c r="HY264" s="302">
        <f>SUM(DO264:DT264)</f>
        <v>103.37865690699999</v>
      </c>
      <c r="KH264" s="303"/>
    </row>
    <row r="265" spans="1:295" outlineLevel="1">
      <c r="A265" s="117" t="s">
        <v>923</v>
      </c>
      <c r="B265" s="117" t="s">
        <v>361</v>
      </c>
      <c r="D265" s="320" t="s">
        <v>1106</v>
      </c>
      <c r="E265" s="316"/>
      <c r="F265" s="316"/>
      <c r="G265" s="316"/>
      <c r="H265" s="316"/>
      <c r="I265" s="316"/>
      <c r="J265" s="316"/>
      <c r="K265" s="316"/>
      <c r="L265" s="316"/>
      <c r="M265" s="316"/>
      <c r="N265" s="316"/>
      <c r="O265" s="316"/>
      <c r="P265" s="316"/>
      <c r="Q265" s="316"/>
      <c r="R265" s="316"/>
      <c r="S265" s="316"/>
      <c r="T265" s="316"/>
      <c r="U265" s="316"/>
      <c r="V265" s="316"/>
      <c r="W265" s="316"/>
      <c r="X265" s="316"/>
      <c r="Y265" s="316"/>
      <c r="Z265" s="316"/>
      <c r="AA265" s="316"/>
      <c r="AB265" s="316"/>
      <c r="AC265" s="316"/>
      <c r="AD265" s="316"/>
      <c r="AE265" s="316"/>
      <c r="AF265" s="316"/>
      <c r="AG265" s="316"/>
      <c r="AH265" s="316"/>
      <c r="AI265" s="316"/>
      <c r="AJ265" s="316"/>
      <c r="AK265" s="316"/>
      <c r="AL265" s="316"/>
      <c r="AM265" s="316"/>
      <c r="AN265" s="316"/>
      <c r="AO265" s="316"/>
      <c r="AP265" s="316"/>
      <c r="AQ265" s="316"/>
      <c r="AR265" s="316"/>
      <c r="AS265" s="316"/>
      <c r="AT265" s="316"/>
      <c r="AU265" s="316"/>
      <c r="AV265" s="316"/>
      <c r="AW265" s="316"/>
      <c r="AX265" s="316"/>
      <c r="AY265" s="316"/>
      <c r="AZ265" s="316"/>
      <c r="BA265" s="316"/>
      <c r="BB265" s="316"/>
      <c r="BC265" s="316"/>
      <c r="BD265" s="316"/>
      <c r="BE265" s="316"/>
      <c r="BF265" s="316"/>
      <c r="BG265" s="316"/>
      <c r="BH265" s="316"/>
      <c r="BI265" s="316"/>
      <c r="BJ265" s="316"/>
      <c r="BK265" s="316"/>
      <c r="BL265" s="316"/>
      <c r="BM265" s="316"/>
      <c r="BN265" s="316"/>
      <c r="BO265" s="316"/>
      <c r="BP265" s="316"/>
      <c r="BQ265" s="316"/>
      <c r="BR265" s="316"/>
      <c r="BS265" s="316"/>
      <c r="BT265" s="316"/>
      <c r="BU265" s="316"/>
      <c r="BV265" s="316"/>
      <c r="BW265" s="316"/>
      <c r="BX265" s="316"/>
      <c r="BY265" s="316"/>
      <c r="BZ265" s="316"/>
      <c r="CA265" s="316"/>
      <c r="CB265" s="316"/>
      <c r="CC265" s="316"/>
      <c r="CD265" s="316"/>
      <c r="CE265" s="317">
        <v>0.50456340899999996</v>
      </c>
      <c r="CF265" s="316">
        <v>1.7476063589999999</v>
      </c>
      <c r="CG265" s="316">
        <v>2.5078438830000001</v>
      </c>
      <c r="CH265" s="316">
        <v>4.2796865100000003</v>
      </c>
      <c r="CI265" s="316">
        <v>1.984140751</v>
      </c>
      <c r="CJ265" s="316">
        <v>8.8832548409999994</v>
      </c>
      <c r="CK265" s="316">
        <v>17.122658194</v>
      </c>
      <c r="CL265" s="316">
        <v>5.8810547279999996</v>
      </c>
      <c r="CM265" s="316">
        <v>2.0204277400000001</v>
      </c>
      <c r="CN265" s="316">
        <v>32.840357654000002</v>
      </c>
      <c r="CO265" s="316">
        <v>6.1217295199999997</v>
      </c>
      <c r="CP265" s="318">
        <v>4.6989858790000003</v>
      </c>
      <c r="CQ265" s="316">
        <v>3.3069556549999999</v>
      </c>
      <c r="CR265" s="316">
        <v>6.4042622419999997</v>
      </c>
      <c r="CS265" s="316">
        <v>16.276444960999999</v>
      </c>
      <c r="CT265" s="316">
        <v>2.5757698800000002</v>
      </c>
      <c r="CU265" s="316">
        <v>11.361395821</v>
      </c>
      <c r="CV265" s="316">
        <v>8.9995893299999992</v>
      </c>
      <c r="CW265" s="316">
        <v>4.5673420480000004</v>
      </c>
      <c r="CX265" s="316">
        <v>15.067308116</v>
      </c>
      <c r="CY265" s="316">
        <v>21.316740576000001</v>
      </c>
      <c r="CZ265" s="316">
        <v>23.350845295999999</v>
      </c>
      <c r="DA265" s="316">
        <v>13.842407558</v>
      </c>
      <c r="DB265" s="1498">
        <v>2.6777527449999998</v>
      </c>
      <c r="DC265" s="316">
        <v>17.737972109000001</v>
      </c>
      <c r="DD265" s="316">
        <v>4.4097133079999997</v>
      </c>
      <c r="DE265" s="316">
        <v>13.657923759999999</v>
      </c>
      <c r="DF265" s="316">
        <v>17.11311074</v>
      </c>
      <c r="DG265" s="316">
        <v>7.0939463659999999</v>
      </c>
      <c r="DH265" s="316">
        <v>3.497748745</v>
      </c>
      <c r="DI265" s="316">
        <v>23.813975739</v>
      </c>
      <c r="DJ265" s="316">
        <v>2.792332053</v>
      </c>
      <c r="DK265" s="316">
        <v>7.4808230059999996</v>
      </c>
      <c r="DL265" s="316">
        <v>13.848432197999999</v>
      </c>
      <c r="DM265" s="316">
        <v>9.0590336780000005</v>
      </c>
      <c r="DN265" s="318">
        <v>7.3517119559999999</v>
      </c>
      <c r="DO265" s="316">
        <v>16.004670951000001</v>
      </c>
      <c r="DP265" s="316">
        <v>22.695920107999999</v>
      </c>
      <c r="DQ265" s="316">
        <v>8.208668393</v>
      </c>
      <c r="DR265" s="316">
        <v>14.774478496</v>
      </c>
      <c r="DS265" s="316">
        <v>12.192076373000001</v>
      </c>
      <c r="DT265" s="316">
        <v>17.985155098</v>
      </c>
      <c r="DU265" s="316">
        <v>12.935356780999999</v>
      </c>
      <c r="DV265" s="316">
        <v>4.7429380810000001</v>
      </c>
      <c r="DW265" s="316">
        <v>4.727136539</v>
      </c>
      <c r="DX265" s="316">
        <v>7.9464688419999998</v>
      </c>
      <c r="DY265" s="316">
        <v>5.5027702610000002</v>
      </c>
      <c r="DZ265" s="318">
        <v>0.43582214100000005</v>
      </c>
      <c r="EA265" s="316">
        <v>22.346125575999999</v>
      </c>
      <c r="EB265" s="316">
        <v>11.357354151999999</v>
      </c>
      <c r="EC265" s="316">
        <v>24.795617952000001</v>
      </c>
      <c r="ED265" s="316">
        <v>28.623205810000002</v>
      </c>
      <c r="EE265" s="316">
        <v>12.447309749</v>
      </c>
      <c r="EF265" s="316">
        <v>10.951594114000001</v>
      </c>
      <c r="EG265" s="316">
        <v>2.6845931360000002</v>
      </c>
      <c r="EH265" s="316">
        <v>3.77043778</v>
      </c>
      <c r="EI265" s="316">
        <v>6.889388587</v>
      </c>
      <c r="EJ265" s="316">
        <v>7.4604991099999998</v>
      </c>
      <c r="EK265" s="316">
        <v>11.488189165</v>
      </c>
      <c r="EL265" s="318">
        <v>2.9563233879999999</v>
      </c>
      <c r="EM265" s="1232">
        <v>3.9337860079999998</v>
      </c>
      <c r="EN265" s="1232">
        <v>31.859930555999998</v>
      </c>
      <c r="EO265" s="1232">
        <v>12.333831847000001</v>
      </c>
      <c r="EP265" s="1232">
        <v>22.787231059</v>
      </c>
      <c r="EQ265" s="1232">
        <v>13.611195721</v>
      </c>
      <c r="ER265" s="1232">
        <v>11.547436397</v>
      </c>
      <c r="ES265" s="1232">
        <v>6.8268359780000001</v>
      </c>
      <c r="ET265" s="1232">
        <v>3.4691243489999999</v>
      </c>
      <c r="EU265" s="1232">
        <v>34.067866636000005</v>
      </c>
      <c r="EV265" s="1232">
        <v>32.439337769000005</v>
      </c>
      <c r="EW265" s="1232">
        <v>18.188683538999999</v>
      </c>
      <c r="EX265" s="1574">
        <v>21.537148503000001</v>
      </c>
      <c r="EY265" s="1206"/>
      <c r="EZ265" s="1206"/>
      <c r="FA265" s="1206"/>
      <c r="FB265" s="1206"/>
      <c r="FC265" s="1206"/>
      <c r="FD265" s="1206"/>
      <c r="FE265" s="1206"/>
      <c r="FF265" s="1206"/>
      <c r="FG265" s="1206"/>
      <c r="FH265" s="1206"/>
      <c r="FI265" s="1206"/>
      <c r="FJ265" s="1550"/>
      <c r="FK265" s="1206"/>
      <c r="FL265" s="1206"/>
      <c r="FM265" s="1206"/>
      <c r="FN265" s="1206"/>
      <c r="FO265" s="1206"/>
      <c r="FP265" s="1206"/>
      <c r="FQ265" s="316"/>
      <c r="FR265" s="316"/>
      <c r="FS265" s="316"/>
      <c r="FT265" s="316"/>
      <c r="FU265" s="316"/>
      <c r="FV265" s="316"/>
      <c r="FW265" s="316"/>
      <c r="FX265" s="316"/>
      <c r="FY265" s="316"/>
      <c r="FZ265" s="316"/>
      <c r="GA265" s="316"/>
      <c r="GB265" s="316"/>
      <c r="GC265" s="316"/>
      <c r="GD265" s="316"/>
      <c r="GE265" s="316"/>
      <c r="GF265" s="316"/>
      <c r="GG265" s="316"/>
      <c r="GH265" s="316"/>
      <c r="GI265" s="316"/>
      <c r="GJ265" s="316"/>
      <c r="GK265" s="316"/>
      <c r="GL265" s="316"/>
      <c r="GM265" s="316"/>
      <c r="GN265" s="316"/>
      <c r="GO265" s="316"/>
      <c r="GP265" s="316"/>
      <c r="GQ265" s="316"/>
      <c r="GR265" s="316"/>
      <c r="GS265" s="316"/>
      <c r="GT265" s="316"/>
      <c r="GU265" s="316"/>
      <c r="GV265" s="316"/>
      <c r="GW265" s="316"/>
      <c r="GX265" s="316"/>
      <c r="GY265" s="316"/>
      <c r="GZ265" s="316"/>
      <c r="HA265" s="316"/>
      <c r="HB265" s="316"/>
      <c r="HC265" s="316"/>
      <c r="HD265" s="316"/>
      <c r="HE265" s="316"/>
      <c r="HF265" s="316"/>
      <c r="HG265" s="316"/>
      <c r="HH265" s="316"/>
      <c r="HI265" s="316"/>
      <c r="HJ265" s="316"/>
      <c r="HK265" s="316"/>
      <c r="HL265" s="316"/>
      <c r="HM265" s="316"/>
      <c r="HY265" s="302">
        <f>SUM(DO265:DT265)</f>
        <v>91.860969419000014</v>
      </c>
      <c r="KH265" s="303"/>
    </row>
    <row r="266" spans="1:295" outlineLevel="1">
      <c r="B266" s="117" t="s">
        <v>361</v>
      </c>
      <c r="D266" s="320" t="s">
        <v>482</v>
      </c>
      <c r="E266" s="316"/>
      <c r="F266" s="316"/>
      <c r="G266" s="316"/>
      <c r="H266" s="316"/>
      <c r="I266" s="316"/>
      <c r="J266" s="316"/>
      <c r="K266" s="316"/>
      <c r="L266" s="316"/>
      <c r="M266" s="316"/>
      <c r="N266" s="316"/>
      <c r="O266" s="316"/>
      <c r="P266" s="316"/>
      <c r="Q266" s="316"/>
      <c r="R266" s="316"/>
      <c r="S266" s="316"/>
      <c r="T266" s="316"/>
      <c r="U266" s="316"/>
      <c r="V266" s="316"/>
      <c r="W266" s="316"/>
      <c r="X266" s="316"/>
      <c r="Y266" s="316"/>
      <c r="Z266" s="316"/>
      <c r="AA266" s="316"/>
      <c r="AB266" s="316"/>
      <c r="AC266" s="316"/>
      <c r="AD266" s="316"/>
      <c r="AE266" s="316"/>
      <c r="AF266" s="316"/>
      <c r="AG266" s="316"/>
      <c r="AH266" s="316"/>
      <c r="AI266" s="316"/>
      <c r="AJ266" s="316"/>
      <c r="AK266" s="316"/>
      <c r="AL266" s="316"/>
      <c r="AM266" s="316"/>
      <c r="AN266" s="316"/>
      <c r="AO266" s="316"/>
      <c r="AP266" s="316"/>
      <c r="AQ266" s="316"/>
      <c r="AR266" s="316"/>
      <c r="AS266" s="316"/>
      <c r="AT266" s="316"/>
      <c r="AU266" s="316"/>
      <c r="AV266" s="316"/>
      <c r="AW266" s="316"/>
      <c r="AX266" s="316"/>
      <c r="AY266" s="316"/>
      <c r="AZ266" s="316"/>
      <c r="BA266" s="316"/>
      <c r="BB266" s="316"/>
      <c r="BC266" s="316"/>
      <c r="BD266" s="316"/>
      <c r="BE266" s="316"/>
      <c r="BF266" s="316"/>
      <c r="BG266" s="316"/>
      <c r="BH266" s="316"/>
      <c r="BI266" s="316"/>
      <c r="BJ266" s="316"/>
      <c r="BK266" s="316"/>
      <c r="BL266" s="316"/>
      <c r="BM266" s="316"/>
      <c r="BN266" s="316"/>
      <c r="BO266" s="316"/>
      <c r="BP266" s="316"/>
      <c r="BQ266" s="316"/>
      <c r="BR266" s="316"/>
      <c r="BS266" s="316"/>
      <c r="BT266" s="316"/>
      <c r="BU266" s="316"/>
      <c r="BV266" s="316"/>
      <c r="BW266" s="316"/>
      <c r="BX266" s="316"/>
      <c r="BY266" s="316"/>
      <c r="BZ266" s="316"/>
      <c r="CA266" s="316"/>
      <c r="CB266" s="316"/>
      <c r="CC266" s="316"/>
      <c r="CD266" s="316"/>
      <c r="CE266" s="317">
        <v>3.2977603279999999</v>
      </c>
      <c r="CF266" s="316">
        <v>0.98312016899999999</v>
      </c>
      <c r="CG266" s="316">
        <v>1.6299203170000001</v>
      </c>
      <c r="CH266" s="316">
        <v>3.2214061530000002</v>
      </c>
      <c r="CI266" s="316">
        <v>2.0843482959999999</v>
      </c>
      <c r="CJ266" s="316">
        <v>8.0249717999999998E-2</v>
      </c>
      <c r="CK266" s="316">
        <v>2.4277355690000002</v>
      </c>
      <c r="CL266" s="316">
        <v>3.1378533200000001</v>
      </c>
      <c r="CM266" s="316">
        <v>1.7430949929999999</v>
      </c>
      <c r="CN266" s="316">
        <v>2.8110625219999998</v>
      </c>
      <c r="CO266" s="316">
        <v>3.7248062860000002</v>
      </c>
      <c r="CP266" s="318">
        <v>0.117453643</v>
      </c>
      <c r="CQ266" s="316">
        <v>4.7076895849999998</v>
      </c>
      <c r="CR266" s="316">
        <v>1.484837527</v>
      </c>
      <c r="CS266" s="316">
        <v>1.0334999499999999</v>
      </c>
      <c r="CT266" s="316">
        <v>1.227770359</v>
      </c>
      <c r="CU266" s="316">
        <v>1.4919316929999999</v>
      </c>
      <c r="CV266" s="316">
        <v>1.3295058470000001</v>
      </c>
      <c r="CW266" s="316">
        <v>0.96740195799999995</v>
      </c>
      <c r="CX266" s="316">
        <v>1.1926800040000001</v>
      </c>
      <c r="CY266" s="316">
        <v>4.5218385740000002</v>
      </c>
      <c r="CZ266" s="316">
        <v>4.6592218299999999</v>
      </c>
      <c r="DA266" s="316">
        <v>3.8439886759999999</v>
      </c>
      <c r="DB266" s="1498">
        <v>0.316585595</v>
      </c>
      <c r="DC266" s="316">
        <v>2.0785957609999999</v>
      </c>
      <c r="DD266" s="316">
        <v>1.013019814</v>
      </c>
      <c r="DE266" s="316">
        <v>1.679942531</v>
      </c>
      <c r="DF266" s="316">
        <v>3.8260517589999998</v>
      </c>
      <c r="DG266" s="316">
        <v>1.7588236859999999</v>
      </c>
      <c r="DH266" s="316">
        <v>1.206725469</v>
      </c>
      <c r="DI266" s="316">
        <v>3.183438631</v>
      </c>
      <c r="DJ266" s="316">
        <v>2.5440392649999999</v>
      </c>
      <c r="DK266" s="316">
        <v>2.5123295890000001</v>
      </c>
      <c r="DL266" s="316">
        <v>5.1677136470000002</v>
      </c>
      <c r="DM266" s="316">
        <v>1.919365505</v>
      </c>
      <c r="DN266" s="318">
        <v>8.9281018000000004E-2</v>
      </c>
      <c r="DO266" s="316">
        <v>1.663015777</v>
      </c>
      <c r="DP266" s="316">
        <v>1.636151197</v>
      </c>
      <c r="DQ266" s="316">
        <v>0.465051675</v>
      </c>
      <c r="DR266" s="316">
        <v>3.1853889560000002</v>
      </c>
      <c r="DS266" s="316">
        <v>1.3625779570000001</v>
      </c>
      <c r="DT266" s="316">
        <v>1.993680144</v>
      </c>
      <c r="DU266" s="316">
        <v>1.9732281599999999</v>
      </c>
      <c r="DV266" s="316">
        <v>3.4378741449999999</v>
      </c>
      <c r="DW266" s="316">
        <v>0.35597105800000001</v>
      </c>
      <c r="DX266" s="316">
        <v>6.7384860499999997</v>
      </c>
      <c r="DY266" s="316">
        <v>5.5133531920000003</v>
      </c>
      <c r="DZ266" s="318">
        <v>0.214645112</v>
      </c>
      <c r="EA266" s="316">
        <v>3.4428360140000001</v>
      </c>
      <c r="EB266" s="316">
        <v>1.4038838730000001</v>
      </c>
      <c r="EC266" s="316">
        <v>0.89195627099999997</v>
      </c>
      <c r="ED266" s="316">
        <v>4.2184349839999999</v>
      </c>
      <c r="EE266" s="316">
        <v>1.6175866320000001</v>
      </c>
      <c r="EF266" s="316">
        <v>0.59496847799999997</v>
      </c>
      <c r="EG266" s="316">
        <v>5.7378195459999999</v>
      </c>
      <c r="EH266" s="316">
        <v>3.322141496</v>
      </c>
      <c r="EI266" s="316">
        <v>4.3754322779999999</v>
      </c>
      <c r="EJ266" s="316">
        <v>3.8449640920000001</v>
      </c>
      <c r="EK266" s="316">
        <v>2.8300768230000002</v>
      </c>
      <c r="EL266" s="318">
        <v>0.15571638600000001</v>
      </c>
      <c r="EM266" s="1206">
        <v>1.4293233009999999</v>
      </c>
      <c r="EN266" s="1206">
        <v>1.616375925</v>
      </c>
      <c r="EO266" s="1206">
        <v>1.2355409150000001</v>
      </c>
      <c r="EP266" s="1206">
        <v>2.5893228829999999</v>
      </c>
      <c r="EQ266" s="1206">
        <v>3.1457423200000001</v>
      </c>
      <c r="ER266" s="1206">
        <v>4.1453405419999996</v>
      </c>
      <c r="ES266" s="1206">
        <v>4.5069167510000003</v>
      </c>
      <c r="ET266" s="1206">
        <v>1.869392409</v>
      </c>
      <c r="EU266" s="1206">
        <v>0.43625127749999998</v>
      </c>
      <c r="EV266" s="1206">
        <v>0.43625127749999998</v>
      </c>
      <c r="EW266" s="1206">
        <v>0.43625127749999998</v>
      </c>
      <c r="EX266" s="1550">
        <v>0.43625127749999998</v>
      </c>
      <c r="EY266" s="1206"/>
      <c r="EZ266" s="1206"/>
      <c r="FA266" s="1206"/>
      <c r="FB266" s="1206"/>
      <c r="FC266" s="1206"/>
      <c r="FD266" s="1206"/>
      <c r="FE266" s="1206"/>
      <c r="FF266" s="1206"/>
      <c r="FG266" s="1206"/>
      <c r="FH266" s="1206"/>
      <c r="FI266" s="1206"/>
      <c r="FJ266" s="1550"/>
      <c r="FK266" s="1206"/>
      <c r="FL266" s="1206"/>
      <c r="FM266" s="1206"/>
      <c r="FN266" s="1206"/>
      <c r="FO266" s="1206"/>
      <c r="FP266" s="1206"/>
      <c r="FQ266" s="316"/>
      <c r="FR266" s="316"/>
      <c r="FS266" s="316"/>
      <c r="FT266" s="316"/>
      <c r="FU266" s="316"/>
      <c r="FV266" s="316"/>
      <c r="FW266" s="316"/>
      <c r="FX266" s="316"/>
      <c r="FY266" s="316"/>
      <c r="FZ266" s="316"/>
      <c r="GA266" s="316"/>
      <c r="GB266" s="316"/>
      <c r="GC266" s="316"/>
      <c r="GD266" s="316"/>
      <c r="GE266" s="316"/>
      <c r="GF266" s="316"/>
      <c r="GG266" s="316"/>
      <c r="GH266" s="316"/>
      <c r="GI266" s="316"/>
      <c r="GJ266" s="316"/>
      <c r="GK266" s="316"/>
      <c r="GL266" s="316"/>
      <c r="GM266" s="316"/>
      <c r="GN266" s="316"/>
      <c r="GO266" s="316"/>
      <c r="GP266" s="316"/>
      <c r="GQ266" s="316"/>
      <c r="GR266" s="316"/>
      <c r="GS266" s="316"/>
      <c r="GT266" s="316"/>
      <c r="GU266" s="316"/>
      <c r="GV266" s="316"/>
      <c r="GW266" s="316"/>
      <c r="GX266" s="316"/>
      <c r="GY266" s="316"/>
      <c r="GZ266" s="316"/>
      <c r="HA266" s="316"/>
      <c r="HB266" s="316"/>
      <c r="HC266" s="316"/>
      <c r="HD266" s="316"/>
      <c r="HE266" s="316"/>
      <c r="HF266" s="316"/>
      <c r="HG266" s="316"/>
      <c r="HH266" s="316"/>
      <c r="HI266" s="316"/>
      <c r="HJ266" s="316"/>
      <c r="HK266" s="316"/>
      <c r="HL266" s="316"/>
      <c r="HM266" s="316"/>
      <c r="HY266" s="302">
        <f>SUM(DO266:DT266)</f>
        <v>10.305865706000001</v>
      </c>
      <c r="KH266" s="303"/>
    </row>
    <row r="267" spans="1:295" outlineLevel="1">
      <c r="B267" s="117" t="s">
        <v>361</v>
      </c>
      <c r="D267" s="320" t="s">
        <v>483</v>
      </c>
      <c r="E267" s="316"/>
      <c r="F267" s="316"/>
      <c r="G267" s="316"/>
      <c r="H267" s="316"/>
      <c r="I267" s="316"/>
      <c r="J267" s="316"/>
      <c r="K267" s="316"/>
      <c r="L267" s="316"/>
      <c r="M267" s="316"/>
      <c r="N267" s="316"/>
      <c r="O267" s="316"/>
      <c r="P267" s="316"/>
      <c r="Q267" s="316"/>
      <c r="R267" s="316"/>
      <c r="S267" s="316"/>
      <c r="T267" s="316"/>
      <c r="U267" s="316"/>
      <c r="V267" s="316"/>
      <c r="W267" s="316"/>
      <c r="X267" s="316"/>
      <c r="Y267" s="316"/>
      <c r="Z267" s="316"/>
      <c r="AA267" s="316"/>
      <c r="AB267" s="316"/>
      <c r="AC267" s="316"/>
      <c r="AD267" s="316"/>
      <c r="AE267" s="316"/>
      <c r="AF267" s="316"/>
      <c r="AG267" s="316"/>
      <c r="AH267" s="316"/>
      <c r="AI267" s="316"/>
      <c r="AJ267" s="316"/>
      <c r="AK267" s="316"/>
      <c r="AL267" s="316"/>
      <c r="AM267" s="316"/>
      <c r="AN267" s="316"/>
      <c r="AO267" s="316"/>
      <c r="AP267" s="316"/>
      <c r="AQ267" s="316"/>
      <c r="AR267" s="316"/>
      <c r="AS267" s="316"/>
      <c r="AT267" s="316"/>
      <c r="AU267" s="316"/>
      <c r="AV267" s="316"/>
      <c r="AW267" s="316"/>
      <c r="AX267" s="316"/>
      <c r="AY267" s="316"/>
      <c r="AZ267" s="316"/>
      <c r="BA267" s="316"/>
      <c r="BB267" s="316"/>
      <c r="BC267" s="316"/>
      <c r="BD267" s="316"/>
      <c r="BE267" s="316"/>
      <c r="BF267" s="316"/>
      <c r="BG267" s="316"/>
      <c r="BH267" s="316"/>
      <c r="BI267" s="316"/>
      <c r="BJ267" s="316"/>
      <c r="BK267" s="316"/>
      <c r="BL267" s="316"/>
      <c r="BM267" s="316"/>
      <c r="BN267" s="316"/>
      <c r="BO267" s="316"/>
      <c r="BP267" s="316"/>
      <c r="BQ267" s="316"/>
      <c r="BR267" s="316"/>
      <c r="BS267" s="316"/>
      <c r="BT267" s="316"/>
      <c r="BU267" s="316"/>
      <c r="BV267" s="316"/>
      <c r="BW267" s="316"/>
      <c r="BX267" s="316"/>
      <c r="BY267" s="316"/>
      <c r="BZ267" s="316"/>
      <c r="CA267" s="316"/>
      <c r="CB267" s="316"/>
      <c r="CC267" s="316"/>
      <c r="CD267" s="316"/>
      <c r="CE267" s="317">
        <v>0.31954407499999998</v>
      </c>
      <c r="CF267" s="316">
        <v>0.32206600800000001</v>
      </c>
      <c r="CG267" s="316">
        <v>0.241993915</v>
      </c>
      <c r="CH267" s="316">
        <v>0.700158261</v>
      </c>
      <c r="CI267" s="316">
        <v>0.59480244699999996</v>
      </c>
      <c r="CJ267" s="316">
        <v>0.63199466900000001</v>
      </c>
      <c r="CK267" s="316">
        <v>0.238233945</v>
      </c>
      <c r="CL267" s="316">
        <v>0.31027005899999999</v>
      </c>
      <c r="CM267" s="316">
        <v>0.20934720000000001</v>
      </c>
      <c r="CN267" s="316">
        <v>0.38951990800000003</v>
      </c>
      <c r="CO267" s="316">
        <v>0.54165528399999996</v>
      </c>
      <c r="CP267" s="318">
        <v>0.75777861999999996</v>
      </c>
      <c r="CQ267" s="316">
        <v>0.109332551</v>
      </c>
      <c r="CR267" s="316">
        <v>0.273532475</v>
      </c>
      <c r="CS267" s="316">
        <v>0.32399302000000002</v>
      </c>
      <c r="CT267" s="316">
        <v>0.51652126099999995</v>
      </c>
      <c r="CU267" s="316">
        <v>0.45955833099999999</v>
      </c>
      <c r="CV267" s="316">
        <v>0.46719016000000002</v>
      </c>
      <c r="CW267" s="316">
        <v>0.46799514399999997</v>
      </c>
      <c r="CX267" s="316">
        <v>0.26187786000000002</v>
      </c>
      <c r="CY267" s="316">
        <v>0.46137007299999999</v>
      </c>
      <c r="CZ267" s="316">
        <v>0.36911990700000002</v>
      </c>
      <c r="DA267" s="316">
        <v>0.35077862900000001</v>
      </c>
      <c r="DB267" s="1498">
        <v>0.87854811799999999</v>
      </c>
      <c r="DC267" s="316">
        <v>0.21509856999999999</v>
      </c>
      <c r="DD267" s="316">
        <v>0.33574722200000001</v>
      </c>
      <c r="DE267" s="316">
        <v>0.20921537900000001</v>
      </c>
      <c r="DF267" s="316">
        <v>0.54946555100000005</v>
      </c>
      <c r="DG267" s="316">
        <v>0.23876473300000001</v>
      </c>
      <c r="DH267" s="316">
        <v>0.37626204400000002</v>
      </c>
      <c r="DI267" s="316">
        <v>0.311234656</v>
      </c>
      <c r="DJ267" s="316">
        <v>0.22238349700000001</v>
      </c>
      <c r="DK267" s="316">
        <v>0.44589663800000001</v>
      </c>
      <c r="DL267" s="316">
        <v>0.45821742900000001</v>
      </c>
      <c r="DM267" s="316">
        <v>0.44258078200000001</v>
      </c>
      <c r="DN267" s="318">
        <v>0.57106979000000002</v>
      </c>
      <c r="DO267" s="316">
        <v>0.16270011200000001</v>
      </c>
      <c r="DP267" s="316">
        <v>0.126382619</v>
      </c>
      <c r="DQ267" s="316">
        <v>0.31993961500000001</v>
      </c>
      <c r="DR267" s="316">
        <v>6.967566E-2</v>
      </c>
      <c r="DS267" s="316">
        <v>0.19328446899999999</v>
      </c>
      <c r="DT267" s="316">
        <v>0.33983930699999998</v>
      </c>
      <c r="DU267" s="316">
        <v>0.124056428</v>
      </c>
      <c r="DV267" s="316">
        <v>0.20285381599999999</v>
      </c>
      <c r="DW267" s="316">
        <v>0.159907204</v>
      </c>
      <c r="DX267" s="316">
        <v>0.42342381200000001</v>
      </c>
      <c r="DY267" s="316">
        <v>0.23020560000000001</v>
      </c>
      <c r="DZ267" s="318">
        <v>0.310728913</v>
      </c>
      <c r="EA267" s="316">
        <v>8.3919091000000001E-2</v>
      </c>
      <c r="EB267" s="316">
        <v>0.16387307400000001</v>
      </c>
      <c r="EC267" s="316">
        <v>0.16643264799999999</v>
      </c>
      <c r="ED267" s="316">
        <v>0.43759340499999999</v>
      </c>
      <c r="EE267" s="316">
        <v>0.24953403099999999</v>
      </c>
      <c r="EF267" s="316">
        <v>0.165722067</v>
      </c>
      <c r="EG267" s="316">
        <v>0.308595646</v>
      </c>
      <c r="EH267" s="316">
        <v>0.54132779499999994</v>
      </c>
      <c r="EI267" s="316">
        <v>0.320699497</v>
      </c>
      <c r="EJ267" s="316">
        <v>0.127708813</v>
      </c>
      <c r="EK267" s="316">
        <v>0.29939412599999998</v>
      </c>
      <c r="EL267" s="318">
        <v>0.76786692000000001</v>
      </c>
      <c r="EM267" s="1206">
        <v>0.30968720399999999</v>
      </c>
      <c r="EN267" s="1206">
        <v>0.26413287099999999</v>
      </c>
      <c r="EO267" s="1206">
        <v>0.224516248</v>
      </c>
      <c r="EP267" s="1206">
        <v>0.33610833800000001</v>
      </c>
      <c r="EQ267" s="1206">
        <v>0.238944237</v>
      </c>
      <c r="ER267" s="1206">
        <v>0.361617572</v>
      </c>
      <c r="ES267" s="1206">
        <v>0.390914963</v>
      </c>
      <c r="ET267" s="1206">
        <v>0.38259226400000002</v>
      </c>
      <c r="EU267" s="1206">
        <v>7.6323815000000003E-2</v>
      </c>
      <c r="EV267" s="1206">
        <v>7.6323815000000003E-2</v>
      </c>
      <c r="EW267" s="1206">
        <v>7.6323815000000003E-2</v>
      </c>
      <c r="EX267" s="1550">
        <v>7.6323815000000003E-2</v>
      </c>
      <c r="EY267" s="1206"/>
      <c r="EZ267" s="1206"/>
      <c r="FA267" s="1206"/>
      <c r="FB267" s="1206"/>
      <c r="FC267" s="1206"/>
      <c r="FD267" s="1206"/>
      <c r="FE267" s="1206"/>
      <c r="FF267" s="1206"/>
      <c r="FG267" s="1206"/>
      <c r="FH267" s="1206"/>
      <c r="FI267" s="1206"/>
      <c r="FJ267" s="1550"/>
      <c r="FK267" s="1206"/>
      <c r="FL267" s="1206"/>
      <c r="FM267" s="1206"/>
      <c r="FN267" s="1206"/>
      <c r="FO267" s="1206"/>
      <c r="FP267" s="1206"/>
      <c r="FQ267" s="316"/>
      <c r="FR267" s="316"/>
      <c r="FS267" s="316"/>
      <c r="FT267" s="316"/>
      <c r="FU267" s="316"/>
      <c r="FV267" s="316"/>
      <c r="FW267" s="316"/>
      <c r="FX267" s="316"/>
      <c r="FY267" s="316"/>
      <c r="FZ267" s="316"/>
      <c r="GA267" s="316"/>
      <c r="GB267" s="316"/>
      <c r="GC267" s="316"/>
      <c r="GD267" s="316"/>
      <c r="GE267" s="316"/>
      <c r="GF267" s="316"/>
      <c r="GG267" s="316"/>
      <c r="GH267" s="316"/>
      <c r="GI267" s="316"/>
      <c r="GJ267" s="316"/>
      <c r="GK267" s="316"/>
      <c r="GL267" s="316"/>
      <c r="GM267" s="316"/>
      <c r="GN267" s="316"/>
      <c r="GO267" s="316"/>
      <c r="GP267" s="316"/>
      <c r="GQ267" s="316"/>
      <c r="GR267" s="316"/>
      <c r="GS267" s="316"/>
      <c r="GT267" s="316"/>
      <c r="GU267" s="316"/>
      <c r="GV267" s="316"/>
      <c r="GW267" s="316"/>
      <c r="GX267" s="316"/>
      <c r="GY267" s="316"/>
      <c r="GZ267" s="316"/>
      <c r="HA267" s="316"/>
      <c r="HB267" s="316"/>
      <c r="HC267" s="316"/>
      <c r="HD267" s="316"/>
      <c r="HE267" s="316"/>
      <c r="HF267" s="316"/>
      <c r="HG267" s="316"/>
      <c r="HH267" s="316"/>
      <c r="HI267" s="316"/>
      <c r="HJ267" s="316"/>
      <c r="HK267" s="316"/>
      <c r="HL267" s="316"/>
      <c r="HM267" s="316"/>
      <c r="HY267" s="302">
        <f>SUM(DO267:DT267)</f>
        <v>1.2118217819999999</v>
      </c>
      <c r="KH267" s="303"/>
    </row>
    <row r="268" spans="1:295" outlineLevel="1">
      <c r="D268" s="943" t="s">
        <v>1105</v>
      </c>
      <c r="E268" s="316"/>
      <c r="F268" s="316"/>
      <c r="G268" s="316"/>
      <c r="H268" s="316"/>
      <c r="I268" s="316"/>
      <c r="J268" s="316"/>
      <c r="K268" s="316"/>
      <c r="L268" s="316"/>
      <c r="M268" s="316"/>
      <c r="N268" s="316"/>
      <c r="O268" s="316"/>
      <c r="P268" s="316"/>
      <c r="Q268" s="316"/>
      <c r="R268" s="316"/>
      <c r="S268" s="316"/>
      <c r="T268" s="316"/>
      <c r="U268" s="316"/>
      <c r="V268" s="316"/>
      <c r="W268" s="316"/>
      <c r="X268" s="316"/>
      <c r="Y268" s="316"/>
      <c r="Z268" s="316"/>
      <c r="AA268" s="316"/>
      <c r="AB268" s="316"/>
      <c r="AC268" s="316"/>
      <c r="AD268" s="316"/>
      <c r="AE268" s="316"/>
      <c r="AF268" s="316"/>
      <c r="AG268" s="316"/>
      <c r="AH268" s="316"/>
      <c r="AI268" s="316"/>
      <c r="AJ268" s="316"/>
      <c r="AK268" s="316"/>
      <c r="AL268" s="316"/>
      <c r="AM268" s="316"/>
      <c r="AN268" s="316"/>
      <c r="AO268" s="316"/>
      <c r="AP268" s="316"/>
      <c r="AQ268" s="316"/>
      <c r="AR268" s="316"/>
      <c r="AS268" s="316"/>
      <c r="AT268" s="316"/>
      <c r="AU268" s="316"/>
      <c r="AV268" s="316"/>
      <c r="AW268" s="316"/>
      <c r="AX268" s="316"/>
      <c r="AY268" s="316"/>
      <c r="AZ268" s="316"/>
      <c r="BA268" s="316"/>
      <c r="BB268" s="316"/>
      <c r="BC268" s="316"/>
      <c r="BD268" s="316"/>
      <c r="BE268" s="316"/>
      <c r="BF268" s="316"/>
      <c r="BG268" s="316"/>
      <c r="BH268" s="316"/>
      <c r="BI268" s="316"/>
      <c r="BJ268" s="316"/>
      <c r="BK268" s="316"/>
      <c r="BL268" s="316"/>
      <c r="BM268" s="316"/>
      <c r="BN268" s="316"/>
      <c r="BO268" s="316"/>
      <c r="BP268" s="316"/>
      <c r="BQ268" s="316"/>
      <c r="BR268" s="316"/>
      <c r="BS268" s="316"/>
      <c r="BT268" s="316"/>
      <c r="BU268" s="316"/>
      <c r="BV268" s="316"/>
      <c r="BW268" s="316"/>
      <c r="BX268" s="316"/>
      <c r="BY268" s="316"/>
      <c r="BZ268" s="316"/>
      <c r="CA268" s="316"/>
      <c r="CB268" s="316"/>
      <c r="CC268" s="316"/>
      <c r="CD268" s="316"/>
      <c r="CE268" s="317"/>
      <c r="CF268" s="316"/>
      <c r="CG268" s="316"/>
      <c r="CH268" s="316"/>
      <c r="CI268" s="316"/>
      <c r="CJ268" s="316"/>
      <c r="CK268" s="316"/>
      <c r="CL268" s="316"/>
      <c r="CM268" s="316"/>
      <c r="CN268" s="316"/>
      <c r="CO268" s="316"/>
      <c r="CP268" s="318"/>
      <c r="CQ268" s="316"/>
      <c r="CR268" s="316"/>
      <c r="CS268" s="316"/>
      <c r="CT268" s="316"/>
      <c r="CU268" s="316"/>
      <c r="CV268" s="316"/>
      <c r="CW268" s="316"/>
      <c r="CX268" s="316"/>
      <c r="CY268" s="316"/>
      <c r="CZ268" s="316"/>
      <c r="DA268" s="316"/>
      <c r="DB268" s="1498"/>
      <c r="DC268" s="677">
        <v>0</v>
      </c>
      <c r="DD268" s="677">
        <v>0</v>
      </c>
      <c r="DE268" s="677">
        <v>0</v>
      </c>
      <c r="DF268" s="677">
        <v>0</v>
      </c>
      <c r="DG268" s="677">
        <v>0</v>
      </c>
      <c r="DH268" s="677">
        <v>0</v>
      </c>
      <c r="DI268" s="677">
        <v>7.4810920569999997</v>
      </c>
      <c r="DJ268" s="677">
        <v>0</v>
      </c>
      <c r="DK268" s="677">
        <v>0.93564139300000004</v>
      </c>
      <c r="DL268" s="677">
        <v>10.73552164</v>
      </c>
      <c r="DM268" s="677">
        <v>0</v>
      </c>
      <c r="DN268" s="679">
        <v>1.600532565</v>
      </c>
      <c r="DO268" s="677">
        <v>0</v>
      </c>
      <c r="DP268" s="677">
        <v>0</v>
      </c>
      <c r="DQ268" s="677">
        <v>0</v>
      </c>
      <c r="DR268" s="677">
        <v>0</v>
      </c>
      <c r="DS268" s="677">
        <v>0</v>
      </c>
      <c r="DT268" s="677">
        <v>0</v>
      </c>
      <c r="DU268" s="677">
        <v>0</v>
      </c>
      <c r="DV268" s="677">
        <v>0</v>
      </c>
      <c r="DW268" s="677">
        <v>0</v>
      </c>
      <c r="DX268" s="677">
        <v>0</v>
      </c>
      <c r="DY268" s="677">
        <v>0</v>
      </c>
      <c r="DZ268" s="679">
        <v>0</v>
      </c>
      <c r="EA268" s="677">
        <v>0</v>
      </c>
      <c r="EB268" s="677">
        <v>0</v>
      </c>
      <c r="EC268" s="677">
        <v>0</v>
      </c>
      <c r="ED268" s="677">
        <v>0</v>
      </c>
      <c r="EE268" s="677">
        <v>0</v>
      </c>
      <c r="EF268" s="677">
        <v>0</v>
      </c>
      <c r="EG268" s="677">
        <v>0</v>
      </c>
      <c r="EH268" s="677">
        <v>0</v>
      </c>
      <c r="EI268" s="677">
        <v>0</v>
      </c>
      <c r="EJ268" s="677">
        <v>0</v>
      </c>
      <c r="EK268" s="677">
        <v>0</v>
      </c>
      <c r="EL268" s="679">
        <v>0</v>
      </c>
      <c r="EM268" s="1217">
        <v>0</v>
      </c>
      <c r="EN268" s="1217">
        <v>0</v>
      </c>
      <c r="EO268" s="1217">
        <v>0</v>
      </c>
      <c r="EP268" s="1217">
        <v>0</v>
      </c>
      <c r="EQ268" s="1217">
        <v>0</v>
      </c>
      <c r="ER268" s="1217">
        <v>0</v>
      </c>
      <c r="ES268" s="1217">
        <v>0</v>
      </c>
      <c r="ET268" s="1217">
        <v>0</v>
      </c>
      <c r="EU268" s="1217">
        <v>0</v>
      </c>
      <c r="EV268" s="1217">
        <v>0</v>
      </c>
      <c r="EW268" s="1217">
        <v>0</v>
      </c>
      <c r="EX268" s="1568">
        <v>0</v>
      </c>
      <c r="EY268" s="1217"/>
      <c r="EZ268" s="1217"/>
      <c r="FA268" s="1217"/>
      <c r="FB268" s="1217"/>
      <c r="FC268" s="1217"/>
      <c r="FD268" s="1217"/>
      <c r="FE268" s="1217"/>
      <c r="FF268" s="1217"/>
      <c r="FG268" s="1217"/>
      <c r="FH268" s="1217"/>
      <c r="FI268" s="1217"/>
      <c r="FJ268" s="1568"/>
      <c r="FK268" s="1217"/>
      <c r="FL268" s="1217"/>
      <c r="FM268" s="1217"/>
      <c r="FN268" s="1217"/>
      <c r="FO268" s="1217"/>
      <c r="FP268" s="1217"/>
      <c r="FQ268" s="677"/>
      <c r="FR268" s="677"/>
      <c r="FS268" s="677"/>
      <c r="FT268" s="677"/>
      <c r="FU268" s="677"/>
      <c r="FV268" s="677"/>
      <c r="FW268" s="677"/>
      <c r="FX268" s="677"/>
      <c r="FY268" s="677"/>
      <c r="FZ268" s="677"/>
      <c r="GA268" s="677"/>
      <c r="GB268" s="677"/>
      <c r="GC268" s="677"/>
      <c r="GD268" s="677"/>
      <c r="GE268" s="677"/>
      <c r="GF268" s="677"/>
      <c r="GG268" s="677"/>
      <c r="GH268" s="677"/>
      <c r="GI268" s="677"/>
      <c r="GJ268" s="677"/>
      <c r="GK268" s="677"/>
      <c r="GL268" s="677"/>
      <c r="GM268" s="677"/>
      <c r="GN268" s="677"/>
      <c r="GO268" s="677"/>
      <c r="GP268" s="677"/>
      <c r="GQ268" s="677"/>
      <c r="GR268" s="677"/>
      <c r="GS268" s="677"/>
      <c r="GT268" s="677"/>
      <c r="GU268" s="677"/>
      <c r="GV268" s="677"/>
      <c r="GW268" s="677"/>
      <c r="GX268" s="677"/>
      <c r="GY268" s="677"/>
      <c r="GZ268" s="677"/>
      <c r="HA268" s="677"/>
      <c r="HB268" s="677"/>
      <c r="HC268" s="677"/>
      <c r="HD268" s="677"/>
      <c r="HE268" s="677"/>
      <c r="HF268" s="677"/>
      <c r="HG268" s="677"/>
      <c r="HH268" s="677"/>
      <c r="HI268" s="677"/>
      <c r="HJ268" s="677"/>
      <c r="HK268" s="677"/>
      <c r="HL268" s="677"/>
      <c r="HM268" s="677"/>
      <c r="HY268" s="302">
        <f>SUM(DO268:DT268)</f>
        <v>0</v>
      </c>
      <c r="KH268" s="303"/>
    </row>
    <row r="269" spans="1:295" outlineLevel="1">
      <c r="D269" s="869"/>
      <c r="CE269" s="840"/>
      <c r="CP269" s="303"/>
      <c r="DC269" s="890" t="s">
        <v>1075</v>
      </c>
      <c r="EA269" s="302"/>
      <c r="EB269" s="302"/>
      <c r="EC269" s="302"/>
      <c r="ED269" s="302"/>
      <c r="EE269" s="302"/>
      <c r="EF269" s="302"/>
      <c r="EG269" s="302"/>
      <c r="EH269" s="302"/>
      <c r="EI269" s="302"/>
      <c r="EJ269" s="302"/>
      <c r="EK269" s="302"/>
      <c r="EL269" s="303"/>
      <c r="EM269" s="1208"/>
      <c r="EN269" s="1208"/>
      <c r="EO269" s="1208"/>
      <c r="EP269" s="1208"/>
      <c r="EQ269" s="1208"/>
      <c r="ER269" s="1208"/>
      <c r="ES269" s="1208"/>
      <c r="ET269" s="1208"/>
      <c r="EU269" s="1208"/>
      <c r="EV269" s="1208"/>
      <c r="EW269" s="1208"/>
      <c r="EX269" s="1560"/>
      <c r="EY269" s="1208"/>
      <c r="EZ269" s="1208"/>
      <c r="FA269" s="1208"/>
      <c r="FB269" s="1208"/>
      <c r="FC269" s="1208"/>
      <c r="FD269" s="1208"/>
      <c r="FE269" s="1208"/>
      <c r="FF269" s="1208"/>
      <c r="FG269" s="1208"/>
      <c r="FH269" s="1208"/>
      <c r="FI269" s="1208"/>
      <c r="FJ269" s="1560"/>
      <c r="FK269" s="1208"/>
      <c r="FL269" s="1208"/>
      <c r="FM269" s="1208"/>
      <c r="FN269" s="1208"/>
      <c r="FO269" s="1208"/>
      <c r="FP269" s="1208"/>
      <c r="FQ269" s="302"/>
      <c r="FR269" s="302"/>
      <c r="FS269" s="302"/>
      <c r="FT269" s="302"/>
      <c r="FU269" s="302"/>
      <c r="FV269" s="302"/>
      <c r="FW269" s="302"/>
      <c r="FX269" s="302"/>
      <c r="FY269" s="302"/>
      <c r="FZ269" s="302"/>
      <c r="GA269" s="302"/>
      <c r="GB269" s="302"/>
      <c r="GC269" s="302"/>
      <c r="GD269" s="302"/>
      <c r="GE269" s="302"/>
      <c r="GF269" s="302"/>
      <c r="GG269" s="302"/>
      <c r="GH269" s="302"/>
      <c r="GI269" s="302"/>
      <c r="GJ269" s="302"/>
      <c r="GK269" s="302"/>
      <c r="GL269" s="302"/>
      <c r="GM269" s="302"/>
      <c r="GN269" s="302"/>
      <c r="GO269" s="302"/>
      <c r="GP269" s="302"/>
      <c r="GQ269" s="302"/>
      <c r="GR269" s="302"/>
      <c r="GS269" s="302"/>
      <c r="GT269" s="302"/>
      <c r="GU269" s="302"/>
      <c r="GV269" s="302"/>
      <c r="GW269" s="302"/>
      <c r="GX269" s="302"/>
      <c r="GY269" s="302"/>
      <c r="GZ269" s="302"/>
      <c r="HA269" s="302"/>
      <c r="HB269" s="302"/>
      <c r="HC269" s="302"/>
      <c r="HD269" s="302"/>
      <c r="HE269" s="302"/>
      <c r="HF269" s="302"/>
      <c r="HG269" s="302"/>
      <c r="HH269" s="302"/>
      <c r="HI269" s="302"/>
      <c r="HJ269" s="302"/>
      <c r="HK269" s="302"/>
      <c r="HL269" s="302"/>
      <c r="HM269" s="302"/>
      <c r="KH269" s="303"/>
    </row>
    <row r="270" spans="1:295" outlineLevel="1">
      <c r="D270" s="869"/>
      <c r="CE270" s="840"/>
      <c r="CP270" s="303"/>
      <c r="DC270" s="890"/>
      <c r="EA270" s="302"/>
      <c r="EB270" s="302"/>
      <c r="EC270" s="302"/>
      <c r="ED270" s="302"/>
      <c r="EE270" s="302"/>
      <c r="EF270" s="302"/>
      <c r="EG270" s="302"/>
      <c r="EH270" s="302"/>
      <c r="EI270" s="302"/>
      <c r="EJ270" s="302"/>
      <c r="EK270" s="302"/>
      <c r="EL270" s="303"/>
      <c r="EM270" s="1208"/>
      <c r="EN270" s="1208"/>
      <c r="EO270" s="1208"/>
      <c r="EP270" s="1208"/>
      <c r="EQ270" s="1208"/>
      <c r="ER270" s="1208"/>
      <c r="ES270" s="1208"/>
      <c r="ET270" s="1208"/>
      <c r="EU270" s="1208"/>
      <c r="EV270" s="1208"/>
      <c r="EW270" s="1208"/>
      <c r="EX270" s="1560"/>
      <c r="EY270" s="1208"/>
      <c r="EZ270" s="1208"/>
      <c r="FA270" s="1208"/>
      <c r="FB270" s="1208"/>
      <c r="FC270" s="1208"/>
      <c r="FD270" s="1208"/>
      <c r="FE270" s="1208"/>
      <c r="FF270" s="1208"/>
      <c r="FG270" s="1208"/>
      <c r="FH270" s="1208"/>
      <c r="FI270" s="1208"/>
      <c r="FJ270" s="1560"/>
      <c r="FK270" s="1208"/>
      <c r="FL270" s="1208"/>
      <c r="FM270" s="1208"/>
      <c r="FN270" s="1208"/>
      <c r="FO270" s="1208"/>
      <c r="FP270" s="1208"/>
      <c r="FQ270" s="302"/>
      <c r="FR270" s="302"/>
      <c r="FS270" s="302"/>
      <c r="FT270" s="302"/>
      <c r="FU270" s="302"/>
      <c r="FV270" s="302"/>
      <c r="FW270" s="302"/>
      <c r="FX270" s="302"/>
      <c r="FY270" s="302"/>
      <c r="FZ270" s="302"/>
      <c r="GA270" s="302"/>
      <c r="GB270" s="302"/>
      <c r="GC270" s="302"/>
      <c r="GD270" s="302"/>
      <c r="GE270" s="302"/>
      <c r="GF270" s="302"/>
      <c r="GG270" s="302"/>
      <c r="GH270" s="302"/>
      <c r="GI270" s="302"/>
      <c r="GJ270" s="302"/>
      <c r="GK270" s="302"/>
      <c r="GL270" s="302"/>
      <c r="GM270" s="302"/>
      <c r="GN270" s="302"/>
      <c r="GO270" s="302"/>
      <c r="GP270" s="302"/>
      <c r="GQ270" s="302"/>
      <c r="GR270" s="302"/>
      <c r="GS270" s="302"/>
      <c r="GT270" s="302"/>
      <c r="GU270" s="302"/>
      <c r="GV270" s="302"/>
      <c r="GW270" s="302"/>
      <c r="GX270" s="302"/>
      <c r="GY270" s="302"/>
      <c r="GZ270" s="302"/>
      <c r="HA270" s="302"/>
      <c r="HB270" s="302"/>
      <c r="HC270" s="302"/>
      <c r="HD270" s="302"/>
      <c r="HE270" s="302"/>
      <c r="HF270" s="302"/>
      <c r="HG270" s="302"/>
      <c r="HH270" s="302"/>
      <c r="HI270" s="302"/>
      <c r="HJ270" s="302"/>
      <c r="HK270" s="302"/>
      <c r="HL270" s="302"/>
      <c r="HM270" s="302"/>
      <c r="KH270" s="303"/>
    </row>
    <row r="271" spans="1:295" outlineLevel="1">
      <c r="A271" s="314" t="s">
        <v>1096</v>
      </c>
      <c r="D271" s="869"/>
      <c r="CE271" s="840"/>
      <c r="CP271" s="303"/>
      <c r="DC271" s="890" t="s">
        <v>1079</v>
      </c>
      <c r="EA271" s="302"/>
      <c r="EB271" s="302"/>
      <c r="EC271" s="302"/>
      <c r="ED271" s="302"/>
      <c r="EE271" s="302"/>
      <c r="EF271" s="302"/>
      <c r="EG271" s="302"/>
      <c r="EH271" s="302"/>
      <c r="EI271" s="302"/>
      <c r="EJ271" s="302"/>
      <c r="EK271" s="302"/>
      <c r="EL271" s="303"/>
      <c r="EM271" s="1208"/>
      <c r="EN271" s="1208"/>
      <c r="EO271" s="1208"/>
      <c r="EP271" s="1208"/>
      <c r="EQ271" s="1208"/>
      <c r="ER271" s="1208"/>
      <c r="ES271" s="1208"/>
      <c r="ET271" s="1208"/>
      <c r="EU271" s="1208"/>
      <c r="EV271" s="1208"/>
      <c r="EW271" s="1208"/>
      <c r="EX271" s="1560"/>
      <c r="EY271" s="1208"/>
      <c r="EZ271" s="1208"/>
      <c r="FA271" s="1208"/>
      <c r="FB271" s="1208"/>
      <c r="FC271" s="1208"/>
      <c r="FD271" s="1208"/>
      <c r="FE271" s="1208"/>
      <c r="FF271" s="1208"/>
      <c r="FG271" s="1208"/>
      <c r="FH271" s="1208"/>
      <c r="FI271" s="1208"/>
      <c r="FJ271" s="1560"/>
      <c r="FK271" s="1208"/>
      <c r="FL271" s="1208"/>
      <c r="FM271" s="1208"/>
      <c r="FN271" s="1208"/>
      <c r="FO271" s="1208"/>
      <c r="FP271" s="1208"/>
      <c r="FQ271" s="302"/>
      <c r="FR271" s="302"/>
      <c r="FS271" s="302"/>
      <c r="FT271" s="302"/>
      <c r="FU271" s="302"/>
      <c r="FV271" s="302"/>
      <c r="FW271" s="302"/>
      <c r="FX271" s="302"/>
      <c r="FY271" s="302"/>
      <c r="FZ271" s="302"/>
      <c r="GA271" s="302"/>
      <c r="GB271" s="302"/>
      <c r="GC271" s="302"/>
      <c r="GD271" s="302"/>
      <c r="GE271" s="302"/>
      <c r="GF271" s="302"/>
      <c r="GG271" s="302"/>
      <c r="GH271" s="302"/>
      <c r="GI271" s="302"/>
      <c r="GJ271" s="302"/>
      <c r="GK271" s="302"/>
      <c r="GL271" s="302"/>
      <c r="GM271" s="302"/>
      <c r="GN271" s="302"/>
      <c r="GO271" s="302"/>
      <c r="GP271" s="302"/>
      <c r="GQ271" s="302"/>
      <c r="GR271" s="302"/>
      <c r="GS271" s="302"/>
      <c r="GT271" s="302"/>
      <c r="GU271" s="302"/>
      <c r="GV271" s="302"/>
      <c r="GW271" s="302"/>
      <c r="GX271" s="302"/>
      <c r="GY271" s="302"/>
      <c r="GZ271" s="302"/>
      <c r="HA271" s="302"/>
      <c r="HB271" s="302"/>
      <c r="HC271" s="302"/>
      <c r="HD271" s="302"/>
      <c r="HE271" s="302"/>
      <c r="HF271" s="302"/>
      <c r="HG271" s="302"/>
      <c r="HH271" s="302"/>
      <c r="HI271" s="302"/>
      <c r="HJ271" s="302"/>
      <c r="HK271" s="302"/>
      <c r="HL271" s="302"/>
      <c r="HM271" s="302"/>
      <c r="KH271" s="303"/>
    </row>
    <row r="272" spans="1:295" outlineLevel="1">
      <c r="D272" s="320"/>
      <c r="E272" s="316"/>
      <c r="F272" s="316"/>
      <c r="G272" s="316"/>
      <c r="H272" s="316"/>
      <c r="I272" s="316"/>
      <c r="J272" s="316"/>
      <c r="K272" s="316"/>
      <c r="L272" s="316"/>
      <c r="M272" s="316"/>
      <c r="N272" s="316"/>
      <c r="O272" s="316"/>
      <c r="P272" s="316"/>
      <c r="Q272" s="316"/>
      <c r="R272" s="316"/>
      <c r="S272" s="316"/>
      <c r="T272" s="316"/>
      <c r="U272" s="316"/>
      <c r="V272" s="316"/>
      <c r="W272" s="316"/>
      <c r="X272" s="316"/>
      <c r="Y272" s="316"/>
      <c r="Z272" s="316"/>
      <c r="AA272" s="316"/>
      <c r="AB272" s="316"/>
      <c r="AC272" s="316"/>
      <c r="AD272" s="316"/>
      <c r="AE272" s="316"/>
      <c r="AF272" s="316"/>
      <c r="AG272" s="316"/>
      <c r="AH272" s="316"/>
      <c r="AI272" s="316"/>
      <c r="AJ272" s="316"/>
      <c r="AK272" s="316"/>
      <c r="AL272" s="316"/>
      <c r="AM272" s="316"/>
      <c r="AN272" s="316"/>
      <c r="AO272" s="316"/>
      <c r="AP272" s="316"/>
      <c r="AQ272" s="316"/>
      <c r="AR272" s="316"/>
      <c r="AS272" s="316"/>
      <c r="AT272" s="316"/>
      <c r="AU272" s="316"/>
      <c r="AV272" s="316"/>
      <c r="AW272" s="316"/>
      <c r="AX272" s="316"/>
      <c r="AY272" s="316"/>
      <c r="AZ272" s="316"/>
      <c r="BA272" s="316"/>
      <c r="BB272" s="316"/>
      <c r="BC272" s="316"/>
      <c r="BD272" s="316"/>
      <c r="BE272" s="316"/>
      <c r="BF272" s="316"/>
      <c r="BG272" s="316"/>
      <c r="BH272" s="316"/>
      <c r="BI272" s="316"/>
      <c r="BJ272" s="316"/>
      <c r="BK272" s="316"/>
      <c r="BL272" s="316"/>
      <c r="BM272" s="316"/>
      <c r="BN272" s="316"/>
      <c r="BO272" s="316"/>
      <c r="BP272" s="316"/>
      <c r="BQ272" s="316"/>
      <c r="BR272" s="316"/>
      <c r="BS272" s="316"/>
      <c r="BT272" s="316"/>
      <c r="BU272" s="316"/>
      <c r="BV272" s="316"/>
      <c r="BW272" s="316"/>
      <c r="BX272" s="316"/>
      <c r="BY272" s="316"/>
      <c r="BZ272" s="316"/>
      <c r="CA272" s="316"/>
      <c r="CB272" s="316"/>
      <c r="CC272" s="316"/>
      <c r="CD272" s="316"/>
      <c r="CE272" s="317"/>
      <c r="CF272" s="316"/>
      <c r="CG272" s="316"/>
      <c r="CH272" s="316"/>
      <c r="CI272" s="316"/>
      <c r="CJ272" s="316"/>
      <c r="CK272" s="316"/>
      <c r="CL272" s="316"/>
      <c r="CM272" s="316"/>
      <c r="CN272" s="316"/>
      <c r="CO272" s="316"/>
      <c r="CP272" s="318"/>
      <c r="CQ272" s="316"/>
      <c r="CR272" s="316"/>
      <c r="CS272" s="316"/>
      <c r="CT272" s="316"/>
      <c r="CU272" s="316"/>
      <c r="CV272" s="316"/>
      <c r="CW272" s="316"/>
      <c r="CX272" s="316"/>
      <c r="CY272" s="316"/>
      <c r="CZ272" s="316"/>
      <c r="DA272" s="316"/>
      <c r="DB272" s="1498"/>
      <c r="DC272" s="911">
        <v>42186</v>
      </c>
      <c r="DD272" s="911">
        <v>42217</v>
      </c>
      <c r="DE272" s="911">
        <v>42248</v>
      </c>
      <c r="DF272" s="911">
        <v>42278</v>
      </c>
      <c r="DG272" s="911">
        <v>42309</v>
      </c>
      <c r="DH272" s="911">
        <v>42339</v>
      </c>
      <c r="DI272" s="911">
        <v>42370</v>
      </c>
      <c r="DJ272" s="911">
        <v>42401</v>
      </c>
      <c r="DK272" s="911">
        <v>42430</v>
      </c>
      <c r="DL272" s="911">
        <v>42461</v>
      </c>
      <c r="DM272" s="911">
        <v>42491</v>
      </c>
      <c r="DN272" s="933">
        <v>42522</v>
      </c>
      <c r="DO272" s="883">
        <v>42552</v>
      </c>
      <c r="DP272" s="883">
        <v>42583</v>
      </c>
      <c r="DQ272" s="883">
        <v>42614</v>
      </c>
      <c r="DR272" s="883">
        <v>42644</v>
      </c>
      <c r="DS272" s="883">
        <v>42675</v>
      </c>
      <c r="DT272" s="883">
        <v>42705</v>
      </c>
      <c r="DU272" s="883">
        <v>42736</v>
      </c>
      <c r="DV272" s="883">
        <v>42767</v>
      </c>
      <c r="DW272" s="883">
        <v>42795</v>
      </c>
      <c r="DX272" s="883">
        <v>42826</v>
      </c>
      <c r="DY272" s="883">
        <v>42856</v>
      </c>
      <c r="DZ272" s="928">
        <v>42887</v>
      </c>
      <c r="EA272" s="883"/>
      <c r="EB272" s="883"/>
      <c r="EC272" s="883"/>
      <c r="ED272" s="883"/>
      <c r="EE272" s="883"/>
      <c r="EF272" s="883"/>
      <c r="EG272" s="883"/>
      <c r="EH272" s="883"/>
      <c r="EI272" s="883"/>
      <c r="EJ272" s="883"/>
      <c r="EK272" s="883"/>
      <c r="EL272" s="928"/>
      <c r="EM272" s="1223"/>
      <c r="EN272" s="1223"/>
      <c r="EO272" s="1223"/>
      <c r="EP272" s="1223"/>
      <c r="EQ272" s="1223"/>
      <c r="ER272" s="1223"/>
      <c r="ES272" s="1223"/>
      <c r="ET272" s="1223"/>
      <c r="EU272" s="1223"/>
      <c r="EV272" s="1223"/>
      <c r="EW272" s="1223"/>
      <c r="EX272" s="1575"/>
      <c r="EY272" s="1223"/>
      <c r="EZ272" s="1223"/>
      <c r="FA272" s="1223"/>
      <c r="FB272" s="1223"/>
      <c r="FC272" s="1223"/>
      <c r="FD272" s="1223"/>
      <c r="FE272" s="1223"/>
      <c r="FF272" s="1223"/>
      <c r="FG272" s="1223"/>
      <c r="FH272" s="1223"/>
      <c r="FI272" s="1223"/>
      <c r="FJ272" s="1575"/>
      <c r="FK272" s="1223"/>
      <c r="FL272" s="1223"/>
      <c r="FM272" s="1223"/>
      <c r="FN272" s="1223"/>
      <c r="FO272" s="1223"/>
      <c r="FP272" s="1223"/>
      <c r="FQ272" s="883"/>
      <c r="FR272" s="883"/>
      <c r="FS272" s="883"/>
      <c r="FT272" s="883"/>
      <c r="FU272" s="883"/>
      <c r="FV272" s="883"/>
      <c r="FW272" s="883"/>
      <c r="FX272" s="883"/>
      <c r="FY272" s="883"/>
      <c r="FZ272" s="883"/>
      <c r="GA272" s="883"/>
      <c r="GB272" s="883"/>
      <c r="GC272" s="883"/>
      <c r="GD272" s="883"/>
      <c r="GE272" s="883"/>
      <c r="GF272" s="883"/>
      <c r="GG272" s="883"/>
      <c r="GH272" s="883"/>
      <c r="GI272" s="883"/>
      <c r="GJ272" s="883"/>
      <c r="GK272" s="883"/>
      <c r="GL272" s="883"/>
      <c r="GM272" s="883"/>
      <c r="GN272" s="883"/>
      <c r="GO272" s="883"/>
      <c r="GP272" s="883"/>
      <c r="GQ272" s="883"/>
      <c r="GR272" s="883"/>
      <c r="GS272" s="883"/>
      <c r="GT272" s="883"/>
      <c r="GU272" s="883"/>
      <c r="GV272" s="883"/>
      <c r="GW272" s="883"/>
      <c r="GX272" s="883"/>
      <c r="GY272" s="883"/>
      <c r="GZ272" s="883"/>
      <c r="HA272" s="883"/>
      <c r="HB272" s="883"/>
      <c r="HC272" s="883"/>
      <c r="HD272" s="883"/>
      <c r="HE272" s="883"/>
      <c r="HF272" s="883"/>
      <c r="HG272" s="883"/>
      <c r="HH272" s="883"/>
      <c r="HI272" s="883"/>
      <c r="HJ272" s="883"/>
      <c r="HK272" s="883"/>
      <c r="HL272" s="883"/>
      <c r="HM272" s="883"/>
      <c r="KH272" s="303"/>
    </row>
    <row r="273" spans="1:294" outlineLevel="1">
      <c r="A273" s="117" t="s">
        <v>923</v>
      </c>
      <c r="D273" s="339" t="s">
        <v>1078</v>
      </c>
      <c r="E273" s="316"/>
      <c r="F273" s="316"/>
      <c r="G273" s="316"/>
      <c r="H273" s="316"/>
      <c r="I273" s="316"/>
      <c r="J273" s="316"/>
      <c r="K273" s="316"/>
      <c r="L273" s="316"/>
      <c r="M273" s="316"/>
      <c r="N273" s="316"/>
      <c r="O273" s="316"/>
      <c r="P273" s="316"/>
      <c r="Q273" s="316"/>
      <c r="R273" s="316"/>
      <c r="S273" s="316"/>
      <c r="T273" s="316"/>
      <c r="U273" s="316"/>
      <c r="V273" s="316"/>
      <c r="W273" s="316"/>
      <c r="X273" s="316"/>
      <c r="Y273" s="316"/>
      <c r="Z273" s="316"/>
      <c r="AA273" s="316"/>
      <c r="AB273" s="316"/>
      <c r="AC273" s="316"/>
      <c r="AD273" s="316"/>
      <c r="AE273" s="316"/>
      <c r="AF273" s="316"/>
      <c r="AG273" s="316"/>
      <c r="AH273" s="316"/>
      <c r="AI273" s="316"/>
      <c r="AJ273" s="316"/>
      <c r="AK273" s="316"/>
      <c r="AL273" s="316"/>
      <c r="AM273" s="316"/>
      <c r="AN273" s="316"/>
      <c r="AO273" s="316"/>
      <c r="AP273" s="316"/>
      <c r="AQ273" s="316"/>
      <c r="AR273" s="316"/>
      <c r="AS273" s="316"/>
      <c r="AT273" s="316"/>
      <c r="AU273" s="316"/>
      <c r="AV273" s="316"/>
      <c r="AW273" s="316"/>
      <c r="AX273" s="316"/>
      <c r="AY273" s="316"/>
      <c r="AZ273" s="316"/>
      <c r="BA273" s="316"/>
      <c r="BB273" s="316"/>
      <c r="BC273" s="316"/>
      <c r="BD273" s="316"/>
      <c r="BE273" s="316"/>
      <c r="BF273" s="316"/>
      <c r="BG273" s="316"/>
      <c r="BH273" s="316"/>
      <c r="BI273" s="316"/>
      <c r="BJ273" s="316"/>
      <c r="BK273" s="316"/>
      <c r="BL273" s="316"/>
      <c r="BM273" s="316"/>
      <c r="BN273" s="316"/>
      <c r="BO273" s="316"/>
      <c r="BP273" s="316"/>
      <c r="BQ273" s="316"/>
      <c r="BR273" s="316"/>
      <c r="BS273" s="316"/>
      <c r="BT273" s="316"/>
      <c r="BU273" s="316"/>
      <c r="BV273" s="316"/>
      <c r="BW273" s="316"/>
      <c r="BX273" s="316"/>
      <c r="BY273" s="316"/>
      <c r="BZ273" s="316"/>
      <c r="CA273" s="316"/>
      <c r="CB273" s="316"/>
      <c r="CC273" s="316"/>
      <c r="CD273" s="316"/>
      <c r="CE273" s="317">
        <v>1.1349399529999999</v>
      </c>
      <c r="CF273" s="316">
        <v>1.4630002769999999</v>
      </c>
      <c r="CG273" s="316">
        <v>1.3054274539999999</v>
      </c>
      <c r="CH273" s="316">
        <v>2.2216993990000002</v>
      </c>
      <c r="CI273" s="316">
        <v>0.69107618300000007</v>
      </c>
      <c r="CJ273" s="316">
        <v>0.65031120600000003</v>
      </c>
      <c r="CK273" s="316">
        <v>1.9135211519999999</v>
      </c>
      <c r="CL273" s="316">
        <v>0.47741728299999997</v>
      </c>
      <c r="CM273" s="316">
        <v>1.0267364919999999</v>
      </c>
      <c r="CN273" s="316">
        <v>0.97803167700000004</v>
      </c>
      <c r="CO273" s="316">
        <v>3.220760845</v>
      </c>
      <c r="CP273" s="318">
        <v>3.7836638009999999</v>
      </c>
      <c r="CQ273" s="316">
        <v>0.67842869300000008</v>
      </c>
      <c r="CR273" s="316">
        <v>1.1277501160000001</v>
      </c>
      <c r="CS273" s="316">
        <v>2.4514973879999999</v>
      </c>
      <c r="CT273" s="316">
        <v>1.0587368719999999</v>
      </c>
      <c r="CU273" s="316">
        <v>1.3975622430000001</v>
      </c>
      <c r="CV273" s="316">
        <v>1.791853173</v>
      </c>
      <c r="CW273" s="316">
        <v>1.7077041459999998</v>
      </c>
      <c r="CX273" s="316">
        <v>1.0288627880000001</v>
      </c>
      <c r="CY273" s="316">
        <v>1.8426684580000001</v>
      </c>
      <c r="CZ273" s="316">
        <v>3.7820743399999999</v>
      </c>
      <c r="DA273" s="316">
        <v>2.0963128589999998</v>
      </c>
      <c r="DB273" s="1498">
        <v>1.8369815279999999</v>
      </c>
      <c r="DC273" s="316">
        <v>0</v>
      </c>
      <c r="DD273" s="316">
        <v>8.8504699000000006E-2</v>
      </c>
      <c r="DE273" s="316">
        <v>0.21395088100000001</v>
      </c>
      <c r="DF273" s="316">
        <v>0.104251079</v>
      </c>
      <c r="DG273" s="316">
        <v>0.42393392299999999</v>
      </c>
      <c r="DH273" s="316">
        <v>6.0823601999999997E-2</v>
      </c>
      <c r="DI273" s="316">
        <v>0.22819368400000001</v>
      </c>
      <c r="DJ273" s="316">
        <v>0.257469748</v>
      </c>
      <c r="DK273" s="316">
        <v>0</v>
      </c>
      <c r="DL273" s="316">
        <v>0.67878242799999999</v>
      </c>
      <c r="DM273" s="316">
        <v>6.4819420000000003E-2</v>
      </c>
      <c r="DN273" s="318">
        <v>0.81591566800000004</v>
      </c>
      <c r="DO273" s="316">
        <v>0</v>
      </c>
      <c r="DP273" s="316">
        <v>0.49947828100000002</v>
      </c>
      <c r="DQ273" s="316">
        <v>0</v>
      </c>
      <c r="DR273" s="316">
        <v>0</v>
      </c>
      <c r="DS273" s="316">
        <v>0</v>
      </c>
      <c r="DT273" s="316">
        <v>0</v>
      </c>
      <c r="DU273" s="316">
        <v>0</v>
      </c>
      <c r="DV273" s="316">
        <v>0</v>
      </c>
      <c r="DW273" s="316">
        <v>0</v>
      </c>
      <c r="DX273" s="316">
        <v>0</v>
      </c>
      <c r="DY273" s="316">
        <v>0</v>
      </c>
      <c r="DZ273" s="318">
        <v>0</v>
      </c>
      <c r="EA273" s="316"/>
      <c r="EB273" s="316"/>
      <c r="EC273" s="316"/>
      <c r="ED273" s="316"/>
      <c r="EE273" s="316"/>
      <c r="EF273" s="316"/>
      <c r="EG273" s="316"/>
      <c r="EH273" s="316"/>
      <c r="EI273" s="316"/>
      <c r="EJ273" s="316"/>
      <c r="EK273" s="316"/>
      <c r="EL273" s="318"/>
      <c r="EM273" s="1206"/>
      <c r="EN273" s="1206"/>
      <c r="EO273" s="1206"/>
      <c r="EP273" s="1206"/>
      <c r="EQ273" s="1206"/>
      <c r="ER273" s="1206"/>
      <c r="ES273" s="1206"/>
      <c r="ET273" s="1206"/>
      <c r="EU273" s="1206"/>
      <c r="EV273" s="1206"/>
      <c r="EW273" s="1206"/>
      <c r="EX273" s="1550"/>
      <c r="EY273" s="1206"/>
      <c r="EZ273" s="1206"/>
      <c r="FA273" s="1206"/>
      <c r="FB273" s="1206"/>
      <c r="FC273" s="1206"/>
      <c r="FD273" s="1206"/>
      <c r="FE273" s="1206"/>
      <c r="FF273" s="1206"/>
      <c r="FG273" s="1206"/>
      <c r="FH273" s="1206"/>
      <c r="FI273" s="1206"/>
      <c r="FJ273" s="1550"/>
      <c r="FK273" s="1206"/>
      <c r="FL273" s="1206"/>
      <c r="FM273" s="1206"/>
      <c r="FN273" s="1206"/>
      <c r="FO273" s="1206"/>
      <c r="FP273" s="1206"/>
      <c r="FQ273" s="316"/>
      <c r="FR273" s="316"/>
      <c r="FS273" s="316"/>
      <c r="FT273" s="316"/>
      <c r="FU273" s="316"/>
      <c r="FV273" s="316"/>
      <c r="FW273" s="316"/>
      <c r="FX273" s="316"/>
      <c r="FY273" s="316"/>
      <c r="FZ273" s="316"/>
      <c r="GA273" s="316"/>
      <c r="GB273" s="316"/>
      <c r="GC273" s="316"/>
      <c r="GD273" s="316"/>
      <c r="GE273" s="316"/>
      <c r="GF273" s="316"/>
      <c r="GG273" s="316"/>
      <c r="GH273" s="316"/>
      <c r="GI273" s="316"/>
      <c r="GJ273" s="316"/>
      <c r="GK273" s="316"/>
      <c r="GL273" s="316"/>
      <c r="GM273" s="316"/>
      <c r="GN273" s="316"/>
      <c r="GO273" s="316"/>
      <c r="GP273" s="316"/>
      <c r="GQ273" s="316"/>
      <c r="GR273" s="316"/>
      <c r="GS273" s="316"/>
      <c r="GT273" s="316"/>
      <c r="GU273" s="316"/>
      <c r="GV273" s="316"/>
      <c r="GW273" s="316"/>
      <c r="GX273" s="316"/>
      <c r="GY273" s="316"/>
      <c r="GZ273" s="316"/>
      <c r="HA273" s="316"/>
      <c r="HB273" s="316"/>
      <c r="HC273" s="316"/>
      <c r="HD273" s="316"/>
      <c r="HE273" s="316"/>
      <c r="HF273" s="316"/>
      <c r="HG273" s="316"/>
      <c r="HH273" s="316"/>
      <c r="HI273" s="316"/>
      <c r="HJ273" s="316"/>
      <c r="HK273" s="316"/>
      <c r="HL273" s="316"/>
      <c r="HM273" s="316"/>
      <c r="HY273" s="302">
        <f>SUM(DO273:DT273)</f>
        <v>0.49947828100000002</v>
      </c>
      <c r="KH273" s="303"/>
    </row>
    <row r="274" spans="1:294" outlineLevel="1">
      <c r="A274" s="302"/>
      <c r="B274" s="117" t="s">
        <v>361</v>
      </c>
      <c r="D274" s="320" t="s">
        <v>484</v>
      </c>
      <c r="E274" s="316"/>
      <c r="F274" s="316"/>
      <c r="G274" s="316"/>
      <c r="H274" s="316"/>
      <c r="I274" s="316"/>
      <c r="J274" s="316"/>
      <c r="K274" s="316"/>
      <c r="L274" s="316"/>
      <c r="M274" s="316"/>
      <c r="N274" s="316"/>
      <c r="O274" s="316"/>
      <c r="P274" s="316"/>
      <c r="Q274" s="316"/>
      <c r="R274" s="316"/>
      <c r="S274" s="316"/>
      <c r="T274" s="316"/>
      <c r="U274" s="316"/>
      <c r="V274" s="316"/>
      <c r="W274" s="316"/>
      <c r="X274" s="316"/>
      <c r="Y274" s="316"/>
      <c r="Z274" s="316"/>
      <c r="AA274" s="316"/>
      <c r="AB274" s="316"/>
      <c r="AC274" s="316"/>
      <c r="AD274" s="316"/>
      <c r="AE274" s="316"/>
      <c r="AF274" s="316"/>
      <c r="AG274" s="316"/>
      <c r="AH274" s="316"/>
      <c r="AI274" s="316"/>
      <c r="AJ274" s="316"/>
      <c r="AK274" s="316"/>
      <c r="AL274" s="316"/>
      <c r="AM274" s="316"/>
      <c r="AN274" s="316"/>
      <c r="AO274" s="316"/>
      <c r="AP274" s="316"/>
      <c r="AQ274" s="316"/>
      <c r="AR274" s="316"/>
      <c r="AS274" s="316"/>
      <c r="AT274" s="316"/>
      <c r="AU274" s="316"/>
      <c r="AV274" s="316"/>
      <c r="AW274" s="316"/>
      <c r="AX274" s="316"/>
      <c r="AY274" s="316"/>
      <c r="AZ274" s="316"/>
      <c r="BA274" s="316"/>
      <c r="BB274" s="316"/>
      <c r="BC274" s="316"/>
      <c r="BD274" s="316"/>
      <c r="BE274" s="316"/>
      <c r="BF274" s="316"/>
      <c r="BG274" s="316"/>
      <c r="BH274" s="316"/>
      <c r="BI274" s="316"/>
      <c r="BJ274" s="316"/>
      <c r="BK274" s="316"/>
      <c r="BL274" s="316"/>
      <c r="BM274" s="316"/>
      <c r="BN274" s="316"/>
      <c r="BO274" s="316"/>
      <c r="BP274" s="316"/>
      <c r="BQ274" s="316"/>
      <c r="BR274" s="316"/>
      <c r="BS274" s="316"/>
      <c r="BT274" s="316"/>
      <c r="BU274" s="316"/>
      <c r="BV274" s="316"/>
      <c r="BW274" s="316"/>
      <c r="BX274" s="316"/>
      <c r="BY274" s="316"/>
      <c r="BZ274" s="316"/>
      <c r="CA274" s="316"/>
      <c r="CB274" s="316"/>
      <c r="CC274" s="316"/>
      <c r="CD274" s="316"/>
      <c r="CE274" s="317">
        <v>0</v>
      </c>
      <c r="CF274" s="316">
        <v>0.32977343199999998</v>
      </c>
      <c r="CG274" s="316">
        <v>0.948509092</v>
      </c>
      <c r="CH274" s="316">
        <v>4.5374589E-2</v>
      </c>
      <c r="CI274" s="316">
        <v>0.20241998999999999</v>
      </c>
      <c r="CJ274" s="316">
        <v>0.24856455899999999</v>
      </c>
      <c r="CK274" s="316">
        <v>0.98122790800000004</v>
      </c>
      <c r="CL274" s="316">
        <v>2.1391443999999999E-2</v>
      </c>
      <c r="CM274" s="316">
        <v>0.21768807300000001</v>
      </c>
      <c r="CN274" s="316">
        <v>0.36740752700000001</v>
      </c>
      <c r="CO274" s="316">
        <v>1.401865935</v>
      </c>
      <c r="CP274" s="318">
        <v>3.325854697</v>
      </c>
      <c r="CQ274" s="316">
        <v>0.14211073099999999</v>
      </c>
      <c r="CR274" s="316">
        <v>0.41778137700000001</v>
      </c>
      <c r="CS274" s="316">
        <v>0.31138856399999998</v>
      </c>
      <c r="CT274" s="316">
        <v>0.299398567</v>
      </c>
      <c r="CU274" s="316">
        <v>0.418558123</v>
      </c>
      <c r="CV274" s="316">
        <v>0.32558673100000002</v>
      </c>
      <c r="CW274" s="316">
        <v>0.25556950899999997</v>
      </c>
      <c r="CX274" s="316">
        <v>0.46175410900000002</v>
      </c>
      <c r="CY274" s="316">
        <v>0.27559267100000001</v>
      </c>
      <c r="CZ274" s="316">
        <v>0.33958231100000003</v>
      </c>
      <c r="DA274" s="316">
        <v>9.0817483000000004E-2</v>
      </c>
      <c r="DB274" s="1498">
        <v>1.8369815279999999</v>
      </c>
      <c r="DC274" s="316">
        <v>0</v>
      </c>
      <c r="DD274" s="316">
        <v>8.8504699000000006E-2</v>
      </c>
      <c r="DE274" s="316">
        <v>0.21395088100000001</v>
      </c>
      <c r="DF274" s="316">
        <v>0.104251079</v>
      </c>
      <c r="DG274" s="316">
        <v>0.42393392299999999</v>
      </c>
      <c r="DH274" s="316">
        <v>6.0823601999999997E-2</v>
      </c>
      <c r="DI274" s="316">
        <v>0.22819368400000001</v>
      </c>
      <c r="DJ274" s="316">
        <v>0.257469748</v>
      </c>
      <c r="DK274" s="316">
        <v>0</v>
      </c>
      <c r="DL274" s="316">
        <v>0.67878242799999999</v>
      </c>
      <c r="DM274" s="316">
        <v>6.4819420000000003E-2</v>
      </c>
      <c r="DN274" s="318">
        <v>0.81591566800000004</v>
      </c>
      <c r="DO274" s="316">
        <v>0</v>
      </c>
      <c r="DP274" s="316">
        <v>0.49947828100000002</v>
      </c>
      <c r="DQ274" s="316">
        <v>0</v>
      </c>
      <c r="DR274" s="316">
        <v>0</v>
      </c>
      <c r="DS274" s="316">
        <v>0</v>
      </c>
      <c r="DT274" s="316">
        <v>0</v>
      </c>
      <c r="DU274" s="316">
        <v>0</v>
      </c>
      <c r="DV274" s="316">
        <v>0</v>
      </c>
      <c r="DW274" s="316">
        <v>0</v>
      </c>
      <c r="DX274" s="316">
        <v>0</v>
      </c>
      <c r="DY274" s="316">
        <v>0</v>
      </c>
      <c r="DZ274" s="318">
        <v>0</v>
      </c>
      <c r="EA274" s="316"/>
      <c r="EB274" s="316"/>
      <c r="EC274" s="316"/>
      <c r="ED274" s="316"/>
      <c r="EE274" s="316"/>
      <c r="EF274" s="316"/>
      <c r="EG274" s="316"/>
      <c r="EH274" s="316"/>
      <c r="EI274" s="316"/>
      <c r="EJ274" s="316"/>
      <c r="EK274" s="316"/>
      <c r="EL274" s="318"/>
      <c r="EM274" s="1206"/>
      <c r="EN274" s="1206"/>
      <c r="EO274" s="1206"/>
      <c r="EP274" s="1206"/>
      <c r="EQ274" s="1206"/>
      <c r="ER274" s="1206"/>
      <c r="ES274" s="1206"/>
      <c r="ET274" s="1206"/>
      <c r="EU274" s="1206"/>
      <c r="EV274" s="1206"/>
      <c r="EW274" s="1206"/>
      <c r="EX274" s="1550"/>
      <c r="EY274" s="1206"/>
      <c r="EZ274" s="1206"/>
      <c r="FA274" s="1206"/>
      <c r="FB274" s="1206"/>
      <c r="FC274" s="1206"/>
      <c r="FD274" s="1206"/>
      <c r="FE274" s="1206"/>
      <c r="FF274" s="1206"/>
      <c r="FG274" s="1206"/>
      <c r="FH274" s="1206"/>
      <c r="FI274" s="1206"/>
      <c r="FJ274" s="1550"/>
      <c r="FK274" s="1206"/>
      <c r="FL274" s="1206"/>
      <c r="FM274" s="1206"/>
      <c r="FN274" s="1206"/>
      <c r="FO274" s="1206"/>
      <c r="FP274" s="1206"/>
      <c r="FQ274" s="316"/>
      <c r="FR274" s="316"/>
      <c r="FS274" s="316"/>
      <c r="FT274" s="316"/>
      <c r="FU274" s="316"/>
      <c r="FV274" s="316"/>
      <c r="FW274" s="316"/>
      <c r="FX274" s="316"/>
      <c r="FY274" s="316"/>
      <c r="FZ274" s="316"/>
      <c r="GA274" s="316"/>
      <c r="GB274" s="316"/>
      <c r="GC274" s="316"/>
      <c r="GD274" s="316"/>
      <c r="GE274" s="316"/>
      <c r="GF274" s="316"/>
      <c r="GG274" s="316"/>
      <c r="GH274" s="316"/>
      <c r="GI274" s="316"/>
      <c r="GJ274" s="316"/>
      <c r="GK274" s="316"/>
      <c r="GL274" s="316"/>
      <c r="GM274" s="316"/>
      <c r="GN274" s="316"/>
      <c r="GO274" s="316"/>
      <c r="GP274" s="316"/>
      <c r="GQ274" s="316"/>
      <c r="GR274" s="316"/>
      <c r="GS274" s="316"/>
      <c r="GT274" s="316"/>
      <c r="GU274" s="316"/>
      <c r="GV274" s="316"/>
      <c r="GW274" s="316"/>
      <c r="GX274" s="316"/>
      <c r="GY274" s="316"/>
      <c r="GZ274" s="316"/>
      <c r="HA274" s="316"/>
      <c r="HB274" s="316"/>
      <c r="HC274" s="316"/>
      <c r="HD274" s="316"/>
      <c r="HE274" s="316"/>
      <c r="HF274" s="316"/>
      <c r="HG274" s="316"/>
      <c r="HH274" s="316"/>
      <c r="HI274" s="316"/>
      <c r="HJ274" s="316"/>
      <c r="HK274" s="316"/>
      <c r="HL274" s="316"/>
      <c r="HM274" s="316"/>
      <c r="HY274" s="302">
        <f>SUM(DO274:DT274)</f>
        <v>0.49947828100000002</v>
      </c>
      <c r="KH274" s="303"/>
    </row>
    <row r="275" spans="1:294" outlineLevel="1">
      <c r="B275" s="117" t="s">
        <v>361</v>
      </c>
      <c r="D275" s="320" t="s">
        <v>485</v>
      </c>
      <c r="E275" s="316"/>
      <c r="F275" s="316"/>
      <c r="G275" s="316"/>
      <c r="H275" s="316"/>
      <c r="I275" s="316"/>
      <c r="J275" s="316"/>
      <c r="K275" s="316"/>
      <c r="L275" s="316"/>
      <c r="M275" s="316"/>
      <c r="N275" s="316"/>
      <c r="O275" s="316"/>
      <c r="P275" s="316"/>
      <c r="Q275" s="316"/>
      <c r="R275" s="316"/>
      <c r="S275" s="316"/>
      <c r="T275" s="316"/>
      <c r="U275" s="316"/>
      <c r="V275" s="316"/>
      <c r="W275" s="316"/>
      <c r="X275" s="316"/>
      <c r="Y275" s="316"/>
      <c r="Z275" s="316"/>
      <c r="AA275" s="316"/>
      <c r="AB275" s="316"/>
      <c r="AC275" s="316"/>
      <c r="AD275" s="316"/>
      <c r="AE275" s="316"/>
      <c r="AF275" s="316"/>
      <c r="AG275" s="316"/>
      <c r="AH275" s="316"/>
      <c r="AI275" s="316"/>
      <c r="AJ275" s="316"/>
      <c r="AK275" s="316"/>
      <c r="AL275" s="316"/>
      <c r="AM275" s="316"/>
      <c r="AN275" s="316"/>
      <c r="AO275" s="316"/>
      <c r="AP275" s="316"/>
      <c r="AQ275" s="316"/>
      <c r="AR275" s="316"/>
      <c r="AS275" s="316"/>
      <c r="AT275" s="316"/>
      <c r="AU275" s="316"/>
      <c r="AV275" s="316"/>
      <c r="AW275" s="316"/>
      <c r="AX275" s="316"/>
      <c r="AY275" s="316"/>
      <c r="AZ275" s="316"/>
      <c r="BA275" s="316"/>
      <c r="BB275" s="316"/>
      <c r="BC275" s="316"/>
      <c r="BD275" s="316"/>
      <c r="BE275" s="316"/>
      <c r="BF275" s="316"/>
      <c r="BG275" s="316"/>
      <c r="BH275" s="316"/>
      <c r="BI275" s="316"/>
      <c r="BJ275" s="316"/>
      <c r="BK275" s="316"/>
      <c r="BL275" s="316"/>
      <c r="BM275" s="316"/>
      <c r="BN275" s="316"/>
      <c r="BO275" s="316"/>
      <c r="BP275" s="316"/>
      <c r="BQ275" s="316"/>
      <c r="BR275" s="316"/>
      <c r="BS275" s="316"/>
      <c r="BT275" s="316"/>
      <c r="BU275" s="316"/>
      <c r="BV275" s="316"/>
      <c r="BW275" s="316"/>
      <c r="BX275" s="316"/>
      <c r="BY275" s="316"/>
      <c r="BZ275" s="316"/>
      <c r="CA275" s="316"/>
      <c r="CB275" s="316"/>
      <c r="CC275" s="316"/>
      <c r="CD275" s="316"/>
      <c r="CE275" s="317">
        <v>1.1349399529999999</v>
      </c>
      <c r="CF275" s="316">
        <v>1.133226845</v>
      </c>
      <c r="CG275" s="316">
        <v>0.35691836199999999</v>
      </c>
      <c r="CH275" s="316">
        <v>2.1763248100000001</v>
      </c>
      <c r="CI275" s="316">
        <v>0.48865619300000002</v>
      </c>
      <c r="CJ275" s="316">
        <v>0.40174664700000001</v>
      </c>
      <c r="CK275" s="316">
        <v>0.93229324400000002</v>
      </c>
      <c r="CL275" s="316">
        <v>0.45602583899999999</v>
      </c>
      <c r="CM275" s="316">
        <v>0.80904841900000002</v>
      </c>
      <c r="CN275" s="316">
        <v>0.61062415000000003</v>
      </c>
      <c r="CO275" s="316">
        <v>1.81889491</v>
      </c>
      <c r="CP275" s="318">
        <v>0.45780910400000002</v>
      </c>
      <c r="CQ275" s="316">
        <v>0.53631796200000004</v>
      </c>
      <c r="CR275" s="316">
        <v>0.70996873900000002</v>
      </c>
      <c r="CS275" s="316">
        <v>2.1401088239999999</v>
      </c>
      <c r="CT275" s="316">
        <v>0.75933830499999999</v>
      </c>
      <c r="CU275" s="316">
        <v>0.97900412000000003</v>
      </c>
      <c r="CV275" s="316">
        <v>1.466266442</v>
      </c>
      <c r="CW275" s="316">
        <v>1.4521346369999999</v>
      </c>
      <c r="CX275" s="316">
        <v>0.56710867899999995</v>
      </c>
      <c r="CY275" s="316">
        <v>1.5670757870000001</v>
      </c>
      <c r="CZ275" s="316">
        <v>3.4424920289999998</v>
      </c>
      <c r="DA275" s="316">
        <v>2.0054953759999998</v>
      </c>
      <c r="DB275" s="1498">
        <v>0</v>
      </c>
      <c r="DC275" s="316">
        <v>0</v>
      </c>
      <c r="DD275" s="316">
        <v>0</v>
      </c>
      <c r="DE275" s="316">
        <v>0</v>
      </c>
      <c r="DF275" s="316">
        <v>0</v>
      </c>
      <c r="DG275" s="316">
        <v>0</v>
      </c>
      <c r="DH275" s="316">
        <v>0</v>
      </c>
      <c r="DI275" s="316">
        <v>0</v>
      </c>
      <c r="DJ275" s="316">
        <v>0</v>
      </c>
      <c r="DK275" s="316">
        <v>0</v>
      </c>
      <c r="DL275" s="316">
        <v>0</v>
      </c>
      <c r="DM275" s="316">
        <v>0</v>
      </c>
      <c r="DN275" s="318">
        <v>0</v>
      </c>
      <c r="DO275" s="316">
        <v>0</v>
      </c>
      <c r="DP275" s="316">
        <v>0</v>
      </c>
      <c r="DQ275" s="316">
        <v>0</v>
      </c>
      <c r="DR275" s="316">
        <v>0</v>
      </c>
      <c r="DS275" s="316">
        <v>0</v>
      </c>
      <c r="DT275" s="316">
        <v>0</v>
      </c>
      <c r="DU275" s="316">
        <v>0</v>
      </c>
      <c r="DV275" s="316">
        <v>0</v>
      </c>
      <c r="DW275" s="316">
        <v>0</v>
      </c>
      <c r="DX275" s="316">
        <v>0</v>
      </c>
      <c r="DY275" s="316">
        <v>0</v>
      </c>
      <c r="DZ275" s="318">
        <v>0</v>
      </c>
      <c r="EA275" s="316"/>
      <c r="EB275" s="316"/>
      <c r="EC275" s="316"/>
      <c r="ED275" s="316"/>
      <c r="EE275" s="316"/>
      <c r="EF275" s="316"/>
      <c r="EG275" s="316"/>
      <c r="EH275" s="316"/>
      <c r="EI275" s="316"/>
      <c r="EJ275" s="316"/>
      <c r="EK275" s="316"/>
      <c r="EL275" s="318"/>
      <c r="EM275" s="1206"/>
      <c r="EN275" s="1206"/>
      <c r="EO275" s="1206"/>
      <c r="EP275" s="1206"/>
      <c r="EQ275" s="1206"/>
      <c r="ER275" s="1206"/>
      <c r="ES275" s="1206"/>
      <c r="ET275" s="1206"/>
      <c r="EU275" s="1206"/>
      <c r="EV275" s="1206"/>
      <c r="EW275" s="1206"/>
      <c r="EX275" s="1550"/>
      <c r="EY275" s="1206"/>
      <c r="EZ275" s="1206"/>
      <c r="FA275" s="1206"/>
      <c r="FB275" s="1206"/>
      <c r="FC275" s="1206"/>
      <c r="FD275" s="1206"/>
      <c r="FE275" s="1206"/>
      <c r="FF275" s="1206"/>
      <c r="FG275" s="1206"/>
      <c r="FH275" s="1206"/>
      <c r="FI275" s="1206"/>
      <c r="FJ275" s="1550"/>
      <c r="FK275" s="1206"/>
      <c r="FL275" s="1206"/>
      <c r="FM275" s="1206"/>
      <c r="FN275" s="1206"/>
      <c r="FO275" s="1206"/>
      <c r="FP275" s="1206"/>
      <c r="FQ275" s="316"/>
      <c r="FR275" s="316"/>
      <c r="FS275" s="316"/>
      <c r="FT275" s="316"/>
      <c r="FU275" s="316"/>
      <c r="FV275" s="316"/>
      <c r="FW275" s="316"/>
      <c r="FX275" s="316"/>
      <c r="FY275" s="316"/>
      <c r="FZ275" s="316"/>
      <c r="GA275" s="316"/>
      <c r="GB275" s="316"/>
      <c r="GC275" s="316"/>
      <c r="GD275" s="316"/>
      <c r="GE275" s="316"/>
      <c r="GF275" s="316"/>
      <c r="GG275" s="316"/>
      <c r="GH275" s="316"/>
      <c r="GI275" s="316"/>
      <c r="GJ275" s="316"/>
      <c r="GK275" s="316"/>
      <c r="GL275" s="316"/>
      <c r="GM275" s="316"/>
      <c r="GN275" s="316"/>
      <c r="GO275" s="316"/>
      <c r="GP275" s="316"/>
      <c r="GQ275" s="316"/>
      <c r="GR275" s="316"/>
      <c r="GS275" s="316"/>
      <c r="GT275" s="316"/>
      <c r="GU275" s="316"/>
      <c r="GV275" s="316"/>
      <c r="GW275" s="316"/>
      <c r="GX275" s="316"/>
      <c r="GY275" s="316"/>
      <c r="GZ275" s="316"/>
      <c r="HA275" s="316"/>
      <c r="HB275" s="316"/>
      <c r="HC275" s="316"/>
      <c r="HD275" s="316"/>
      <c r="HE275" s="316"/>
      <c r="HF275" s="316"/>
      <c r="HG275" s="316"/>
      <c r="HH275" s="316"/>
      <c r="HI275" s="316"/>
      <c r="HJ275" s="316"/>
      <c r="HK275" s="316"/>
      <c r="HL275" s="316"/>
      <c r="HM275" s="316"/>
      <c r="HY275" s="302">
        <f>SUM(DO275:DT275)</f>
        <v>0</v>
      </c>
      <c r="KH275" s="303"/>
    </row>
    <row r="276" spans="1:294" outlineLevel="1">
      <c r="D276" s="869"/>
      <c r="CE276" s="840"/>
      <c r="CP276" s="303"/>
      <c r="DC276" s="890" t="s">
        <v>1080</v>
      </c>
      <c r="DN276" s="303">
        <v>2.9366451320000002</v>
      </c>
      <c r="EA276" s="302"/>
      <c r="EB276" s="302"/>
      <c r="EC276" s="302"/>
      <c r="ED276" s="302"/>
      <c r="EE276" s="302"/>
      <c r="EF276" s="302"/>
      <c r="EG276" s="302"/>
      <c r="EH276" s="302"/>
      <c r="EI276" s="302"/>
      <c r="EJ276" s="302"/>
      <c r="EK276" s="302"/>
      <c r="EL276" s="303"/>
      <c r="EM276" s="1208"/>
      <c r="EN276" s="1208"/>
      <c r="EO276" s="1208"/>
      <c r="EP276" s="1208"/>
      <c r="EQ276" s="1208"/>
      <c r="ER276" s="1208"/>
      <c r="ES276" s="1208"/>
      <c r="ET276" s="1208"/>
      <c r="EU276" s="1208"/>
      <c r="EV276" s="1208"/>
      <c r="EW276" s="1208"/>
      <c r="EX276" s="1560"/>
      <c r="EY276" s="1208"/>
      <c r="EZ276" s="1208"/>
      <c r="FA276" s="1208"/>
      <c r="FB276" s="1208"/>
      <c r="FC276" s="1208"/>
      <c r="FD276" s="1208"/>
      <c r="FE276" s="1208"/>
      <c r="FF276" s="1208"/>
      <c r="FG276" s="1208"/>
      <c r="FH276" s="1208"/>
      <c r="FI276" s="1208"/>
      <c r="FJ276" s="1560"/>
      <c r="FK276" s="1208"/>
      <c r="FL276" s="1208"/>
      <c r="FM276" s="1208"/>
      <c r="FN276" s="1208"/>
      <c r="FO276" s="1208"/>
      <c r="FP276" s="1208"/>
      <c r="FQ276" s="302"/>
      <c r="FR276" s="302"/>
      <c r="FS276" s="302"/>
      <c r="FT276" s="302"/>
      <c r="FU276" s="302"/>
      <c r="FV276" s="302"/>
      <c r="FW276" s="302"/>
      <c r="FX276" s="302"/>
      <c r="FY276" s="302"/>
      <c r="FZ276" s="302"/>
      <c r="GA276" s="302"/>
      <c r="GB276" s="302"/>
      <c r="GC276" s="302"/>
      <c r="GD276" s="302"/>
      <c r="GE276" s="302"/>
      <c r="GF276" s="302"/>
      <c r="GG276" s="302"/>
      <c r="GH276" s="302"/>
      <c r="GI276" s="302"/>
      <c r="GJ276" s="302"/>
      <c r="GK276" s="302"/>
      <c r="GL276" s="302"/>
      <c r="GM276" s="302"/>
      <c r="GN276" s="302"/>
      <c r="GO276" s="302"/>
      <c r="GP276" s="302"/>
      <c r="GQ276" s="302"/>
      <c r="GR276" s="302"/>
      <c r="GS276" s="302"/>
      <c r="GT276" s="302"/>
      <c r="GU276" s="302"/>
      <c r="GV276" s="302"/>
      <c r="GW276" s="302"/>
      <c r="GX276" s="302"/>
      <c r="GY276" s="302"/>
      <c r="GZ276" s="302"/>
      <c r="HA276" s="302"/>
      <c r="HB276" s="302"/>
      <c r="HC276" s="302"/>
      <c r="HD276" s="302"/>
      <c r="HE276" s="302"/>
      <c r="HF276" s="302"/>
      <c r="HG276" s="302"/>
      <c r="HH276" s="302"/>
      <c r="HI276" s="302"/>
      <c r="HJ276" s="302"/>
      <c r="HK276" s="302"/>
      <c r="HL276" s="302"/>
      <c r="HM276" s="302"/>
      <c r="KH276" s="303"/>
    </row>
    <row r="277" spans="1:294" outlineLevel="1">
      <c r="A277" s="314" t="s">
        <v>1098</v>
      </c>
      <c r="D277" s="841" t="s">
        <v>413</v>
      </c>
      <c r="CE277" s="840"/>
      <c r="CP277" s="303"/>
      <c r="EA277" s="302"/>
      <c r="EB277" s="302"/>
      <c r="EC277" s="302"/>
      <c r="ED277" s="302"/>
      <c r="EE277" s="302"/>
      <c r="EF277" s="302"/>
      <c r="EG277" s="302"/>
      <c r="EH277" s="302"/>
      <c r="EI277" s="302"/>
      <c r="EJ277" s="302"/>
      <c r="EK277" s="302"/>
      <c r="EL277" s="303"/>
      <c r="EM277" s="1208"/>
      <c r="EN277" s="1208"/>
      <c r="EO277" s="1208"/>
      <c r="EP277" s="1208"/>
      <c r="EQ277" s="1208"/>
      <c r="ER277" s="1208"/>
      <c r="ES277" s="1208"/>
      <c r="ET277" s="1208"/>
      <c r="EU277" s="1208"/>
      <c r="EV277" s="1208"/>
      <c r="EW277" s="1208"/>
      <c r="EX277" s="1560"/>
      <c r="EY277" s="1208"/>
      <c r="EZ277" s="1208"/>
      <c r="FA277" s="1208"/>
      <c r="FB277" s="1208"/>
      <c r="FC277" s="1208"/>
      <c r="FD277" s="1208"/>
      <c r="FE277" s="1208"/>
      <c r="FF277" s="1208"/>
      <c r="FG277" s="1208"/>
      <c r="FH277" s="1208"/>
      <c r="FI277" s="1208"/>
      <c r="FJ277" s="1560"/>
      <c r="FK277" s="1208"/>
      <c r="FL277" s="1208"/>
      <c r="FM277" s="1208"/>
      <c r="FN277" s="1208"/>
      <c r="FO277" s="1208"/>
      <c r="FP277" s="1208"/>
      <c r="FQ277" s="302"/>
      <c r="FR277" s="302"/>
      <c r="FS277" s="302"/>
      <c r="FT277" s="302"/>
      <c r="FU277" s="302"/>
      <c r="FV277" s="302"/>
      <c r="FW277" s="302"/>
      <c r="FX277" s="302"/>
      <c r="FY277" s="302"/>
      <c r="FZ277" s="302"/>
      <c r="GA277" s="302"/>
      <c r="GB277" s="302"/>
      <c r="GC277" s="302"/>
      <c r="GD277" s="302"/>
      <c r="GE277" s="302"/>
      <c r="GF277" s="302"/>
      <c r="GG277" s="302"/>
      <c r="GH277" s="302"/>
      <c r="GI277" s="302"/>
      <c r="GJ277" s="302"/>
      <c r="GK277" s="302"/>
      <c r="GL277" s="302"/>
      <c r="GM277" s="302"/>
      <c r="GN277" s="302"/>
      <c r="GO277" s="302"/>
      <c r="GP277" s="302"/>
      <c r="GQ277" s="302"/>
      <c r="GR277" s="302"/>
      <c r="GS277" s="302"/>
      <c r="GT277" s="302"/>
      <c r="GU277" s="302"/>
      <c r="GV277" s="302"/>
      <c r="GW277" s="302"/>
      <c r="GX277" s="302"/>
      <c r="GY277" s="302"/>
      <c r="GZ277" s="302"/>
      <c r="HA277" s="302"/>
      <c r="HB277" s="302"/>
      <c r="HC277" s="302"/>
      <c r="HD277" s="302"/>
      <c r="HE277" s="302"/>
      <c r="HF277" s="302"/>
      <c r="HG277" s="302"/>
      <c r="HH277" s="302"/>
      <c r="HI277" s="302"/>
      <c r="HJ277" s="302"/>
      <c r="HK277" s="302"/>
      <c r="HL277" s="302"/>
      <c r="HM277" s="302"/>
      <c r="KH277" s="303"/>
    </row>
    <row r="278" spans="1:294" outlineLevel="1">
      <c r="A278" s="117" t="s">
        <v>1041</v>
      </c>
      <c r="B278" s="117" t="s">
        <v>361</v>
      </c>
      <c r="D278" s="370" t="s">
        <v>486</v>
      </c>
      <c r="CE278" s="840">
        <v>-1.6468438000000001</v>
      </c>
      <c r="CF278" s="302">
        <v>-8.4087999999999996E-2</v>
      </c>
      <c r="CG278" s="302">
        <v>-2.7999999999999998E-4</v>
      </c>
      <c r="CH278" s="302">
        <v>-1.83E-3</v>
      </c>
      <c r="CI278" s="302">
        <v>-6.4999999999999997E-4</v>
      </c>
      <c r="CJ278" s="302">
        <v>-0.21287973299999999</v>
      </c>
      <c r="CK278" s="302">
        <v>-4.8000000000000001E-4</v>
      </c>
      <c r="CL278" s="302">
        <v>-0.95079999999999998</v>
      </c>
      <c r="CM278" s="302">
        <v>-0.38655285700241937</v>
      </c>
      <c r="CN278" s="302">
        <v>0</v>
      </c>
      <c r="CO278" s="302">
        <v>-1.8600000000000001E-3</v>
      </c>
      <c r="CP278" s="303">
        <v>0</v>
      </c>
      <c r="CQ278" s="302">
        <v>-3.5496379069439997E-2</v>
      </c>
      <c r="CR278" s="302">
        <v>-0.26348023300000001</v>
      </c>
      <c r="CS278" s="302">
        <v>-9.2253200000000004E-3</v>
      </c>
      <c r="CT278" s="302">
        <v>-1.1358765</v>
      </c>
      <c r="CU278" s="302">
        <v>-0.17954335799999999</v>
      </c>
      <c r="CV278" s="302">
        <v>-0.47499999999999998</v>
      </c>
      <c r="CW278" s="302">
        <v>-1.2276349999999999E-3</v>
      </c>
      <c r="CX278" s="302">
        <v>-1.8229569000000001E-2</v>
      </c>
      <c r="CY278" s="302">
        <v>-8.8000000000000003E-4</v>
      </c>
      <c r="CZ278" s="302">
        <v>0</v>
      </c>
      <c r="DA278" s="302">
        <v>0</v>
      </c>
      <c r="DB278" s="706">
        <v>0</v>
      </c>
      <c r="DC278" s="890" t="s">
        <v>1076</v>
      </c>
      <c r="EA278" s="302"/>
      <c r="EB278" s="302"/>
      <c r="EC278" s="302"/>
      <c r="ED278" s="302"/>
      <c r="EE278" s="302"/>
      <c r="EF278" s="302"/>
      <c r="EG278" s="302"/>
      <c r="EH278" s="302"/>
      <c r="EI278" s="302"/>
      <c r="EJ278" s="302"/>
      <c r="EK278" s="302"/>
      <c r="EL278" s="303"/>
      <c r="EM278" s="1208"/>
      <c r="EN278" s="1208"/>
      <c r="EO278" s="1208"/>
      <c r="EP278" s="1208"/>
      <c r="EQ278" s="1208"/>
      <c r="ER278" s="1208"/>
      <c r="ES278" s="1208"/>
      <c r="ET278" s="1208"/>
      <c r="EU278" s="1208"/>
      <c r="EV278" s="1208"/>
      <c r="EW278" s="1208"/>
      <c r="EX278" s="1560"/>
      <c r="EY278" s="1208"/>
      <c r="EZ278" s="1208"/>
      <c r="FA278" s="1208"/>
      <c r="FB278" s="1208"/>
      <c r="FC278" s="1208"/>
      <c r="FD278" s="1208"/>
      <c r="FE278" s="1208"/>
      <c r="FF278" s="1208"/>
      <c r="FG278" s="1208"/>
      <c r="FH278" s="1208"/>
      <c r="FI278" s="1208"/>
      <c r="FJ278" s="1560"/>
      <c r="FK278" s="1208"/>
      <c r="FL278" s="1208"/>
      <c r="FM278" s="1208"/>
      <c r="FN278" s="1208"/>
      <c r="FO278" s="1208"/>
      <c r="FP278" s="1208"/>
      <c r="FQ278" s="302"/>
      <c r="FR278" s="302"/>
      <c r="FS278" s="302"/>
      <c r="FT278" s="302"/>
      <c r="FU278" s="302"/>
      <c r="FV278" s="302"/>
      <c r="FW278" s="302"/>
      <c r="FX278" s="302"/>
      <c r="FY278" s="302"/>
      <c r="FZ278" s="302"/>
      <c r="GA278" s="302"/>
      <c r="GB278" s="302"/>
      <c r="GC278" s="302"/>
      <c r="GD278" s="302"/>
      <c r="GE278" s="302"/>
      <c r="GF278" s="302"/>
      <c r="GG278" s="302"/>
      <c r="GH278" s="302"/>
      <c r="GI278" s="302"/>
      <c r="GJ278" s="302"/>
      <c r="GK278" s="302"/>
      <c r="GL278" s="302"/>
      <c r="GM278" s="302"/>
      <c r="GN278" s="302"/>
      <c r="GO278" s="302"/>
      <c r="GP278" s="302"/>
      <c r="GQ278" s="302"/>
      <c r="GR278" s="302"/>
      <c r="GS278" s="302"/>
      <c r="GT278" s="302"/>
      <c r="GU278" s="302"/>
      <c r="GV278" s="302"/>
      <c r="GW278" s="302"/>
      <c r="GX278" s="302"/>
      <c r="GY278" s="302"/>
      <c r="GZ278" s="302"/>
      <c r="HA278" s="302"/>
      <c r="HB278" s="302"/>
      <c r="HC278" s="302"/>
      <c r="HD278" s="302"/>
      <c r="HE278" s="302"/>
      <c r="HF278" s="302"/>
      <c r="HG278" s="302"/>
      <c r="HH278" s="302"/>
      <c r="HI278" s="302"/>
      <c r="HJ278" s="302"/>
      <c r="HK278" s="302"/>
      <c r="HL278" s="302"/>
      <c r="HM278" s="302"/>
      <c r="KH278" s="303"/>
    </row>
    <row r="279" spans="1:294" outlineLevel="1">
      <c r="B279" s="117" t="s">
        <v>361</v>
      </c>
      <c r="D279" s="320" t="s">
        <v>998</v>
      </c>
      <c r="E279" s="316"/>
      <c r="F279" s="316"/>
      <c r="G279" s="316"/>
      <c r="H279" s="316"/>
      <c r="I279" s="316"/>
      <c r="J279" s="316"/>
      <c r="K279" s="316"/>
      <c r="L279" s="316"/>
      <c r="M279" s="316"/>
      <c r="N279" s="316"/>
      <c r="O279" s="316"/>
      <c r="P279" s="316"/>
      <c r="Q279" s="316"/>
      <c r="R279" s="316"/>
      <c r="S279" s="316"/>
      <c r="T279" s="316"/>
      <c r="U279" s="316"/>
      <c r="V279" s="316"/>
      <c r="W279" s="316"/>
      <c r="X279" s="316"/>
      <c r="Y279" s="316"/>
      <c r="Z279" s="316"/>
      <c r="AA279" s="316"/>
      <c r="AB279" s="316"/>
      <c r="AC279" s="316"/>
      <c r="AD279" s="316"/>
      <c r="AE279" s="316"/>
      <c r="AF279" s="316"/>
      <c r="AG279" s="316"/>
      <c r="AH279" s="316"/>
      <c r="AI279" s="316"/>
      <c r="AJ279" s="316"/>
      <c r="AK279" s="316"/>
      <c r="AL279" s="316"/>
      <c r="AM279" s="316"/>
      <c r="AN279" s="316"/>
      <c r="AO279" s="316"/>
      <c r="AP279" s="316"/>
      <c r="AQ279" s="316"/>
      <c r="AR279" s="316"/>
      <c r="AS279" s="316"/>
      <c r="AT279" s="316"/>
      <c r="AU279" s="316"/>
      <c r="AV279" s="316"/>
      <c r="AW279" s="316"/>
      <c r="AX279" s="316"/>
      <c r="AY279" s="316"/>
      <c r="AZ279" s="316"/>
      <c r="BA279" s="316"/>
      <c r="BB279" s="316"/>
      <c r="BC279" s="316"/>
      <c r="BD279" s="316"/>
      <c r="BE279" s="316"/>
      <c r="BF279" s="316"/>
      <c r="BG279" s="316"/>
      <c r="BH279" s="316"/>
      <c r="BI279" s="316"/>
      <c r="BJ279" s="316"/>
      <c r="BK279" s="316"/>
      <c r="BL279" s="316"/>
      <c r="BM279" s="316"/>
      <c r="BN279" s="316"/>
      <c r="BO279" s="316"/>
      <c r="BP279" s="316"/>
      <c r="BQ279" s="316"/>
      <c r="BR279" s="316"/>
      <c r="BS279" s="316"/>
      <c r="BT279" s="316"/>
      <c r="BU279" s="316"/>
      <c r="BV279" s="316"/>
      <c r="BW279" s="316"/>
      <c r="BX279" s="316"/>
      <c r="BY279" s="316"/>
      <c r="BZ279" s="316"/>
      <c r="CA279" s="316"/>
      <c r="CB279" s="316"/>
      <c r="CC279" s="316"/>
      <c r="CD279" s="316"/>
      <c r="CE279" s="317">
        <v>-1.6468438000000001</v>
      </c>
      <c r="CF279" s="316">
        <v>-8.4087999999999996E-2</v>
      </c>
      <c r="CG279" s="316">
        <v>-2.7999999999999998E-4</v>
      </c>
      <c r="CH279" s="316">
        <v>-1.83E-3</v>
      </c>
      <c r="CI279" s="316">
        <v>-6.4999999999999997E-4</v>
      </c>
      <c r="CJ279" s="316">
        <v>-0.21287973299999999</v>
      </c>
      <c r="CK279" s="316">
        <v>-4.8000000000000001E-4</v>
      </c>
      <c r="CL279" s="316">
        <v>-0.95079999999999998</v>
      </c>
      <c r="CM279" s="316">
        <v>-0.38655285700241937</v>
      </c>
      <c r="CN279" s="316">
        <v>0</v>
      </c>
      <c r="CO279" s="316">
        <v>-1.8600000000000001E-3</v>
      </c>
      <c r="CP279" s="318">
        <v>0</v>
      </c>
      <c r="CQ279" s="316">
        <v>-3.5496379069439997E-2</v>
      </c>
      <c r="CR279" s="316">
        <v>-0.26348023300000001</v>
      </c>
      <c r="CS279" s="316">
        <v>-9.2253200000000004E-3</v>
      </c>
      <c r="CT279" s="316">
        <v>-1.1358765</v>
      </c>
      <c r="CU279" s="316">
        <v>-0.17954335799999999</v>
      </c>
      <c r="CV279" s="316">
        <v>-0.47499999999999998</v>
      </c>
      <c r="CW279" s="316">
        <v>-1.2276349999999999E-3</v>
      </c>
      <c r="CX279" s="316">
        <v>-1.8229569000000001E-2</v>
      </c>
      <c r="CY279" s="316">
        <v>-8.8000000000000003E-4</v>
      </c>
      <c r="CZ279" s="316">
        <v>0</v>
      </c>
      <c r="DA279" s="316">
        <v>0</v>
      </c>
      <c r="DB279" s="1498">
        <v>0</v>
      </c>
      <c r="DC279" s="316">
        <v>0</v>
      </c>
      <c r="DD279" s="316">
        <v>0</v>
      </c>
      <c r="DE279" s="316">
        <v>0.70431847800000003</v>
      </c>
      <c r="DF279" s="316">
        <v>0</v>
      </c>
      <c r="DG279" s="316">
        <v>0</v>
      </c>
      <c r="DH279" s="316">
        <v>0.48594737700000001</v>
      </c>
      <c r="DI279" s="316">
        <v>0</v>
      </c>
      <c r="DJ279" s="316">
        <v>0</v>
      </c>
      <c r="DK279" s="316">
        <v>6.2377675E-2</v>
      </c>
      <c r="DL279" s="316">
        <v>0.22141875699999999</v>
      </c>
      <c r="DM279" s="316">
        <v>0</v>
      </c>
      <c r="DN279" s="318">
        <v>0</v>
      </c>
      <c r="DO279" s="316">
        <v>0</v>
      </c>
      <c r="DP279" s="316">
        <v>0</v>
      </c>
      <c r="DQ279" s="316">
        <v>0</v>
      </c>
      <c r="DR279" s="316">
        <v>0</v>
      </c>
      <c r="DS279" s="316">
        <v>0</v>
      </c>
      <c r="DT279" s="316">
        <v>0</v>
      </c>
      <c r="DU279" s="316">
        <v>0</v>
      </c>
      <c r="DV279" s="316">
        <v>0</v>
      </c>
      <c r="DW279" s="316">
        <v>0</v>
      </c>
      <c r="DX279" s="316">
        <v>9.0864968659999992</v>
      </c>
      <c r="DY279" s="316">
        <v>0</v>
      </c>
      <c r="DZ279" s="318">
        <v>0</v>
      </c>
      <c r="EA279" s="316">
        <v>0</v>
      </c>
      <c r="EB279" s="316">
        <v>0</v>
      </c>
      <c r="EC279" s="316">
        <v>0</v>
      </c>
      <c r="ED279" s="316">
        <v>0</v>
      </c>
      <c r="EE279" s="316">
        <v>0</v>
      </c>
      <c r="EF279" s="316">
        <v>0</v>
      </c>
      <c r="EG279" s="316">
        <v>0.14000000000000001</v>
      </c>
      <c r="EH279" s="316">
        <v>0</v>
      </c>
      <c r="EI279" s="316">
        <v>0</v>
      </c>
      <c r="EJ279" s="316">
        <v>1.7452326000000001E-2</v>
      </c>
      <c r="EK279" s="316">
        <v>0</v>
      </c>
      <c r="EL279" s="318">
        <v>0.83253643600000005</v>
      </c>
      <c r="EM279" s="1206">
        <v>3.6000000000000002E-4</v>
      </c>
      <c r="EN279" s="1206">
        <v>1.94E-4</v>
      </c>
      <c r="EO279" s="1206">
        <v>7.9699999999999997E-4</v>
      </c>
      <c r="EP279" s="1206">
        <v>0.27348586600000002</v>
      </c>
      <c r="EQ279" s="1206">
        <v>2.5969999999999999E-3</v>
      </c>
      <c r="ER279" s="1206">
        <v>3.97E-4</v>
      </c>
      <c r="ES279" s="1206"/>
      <c r="ET279" s="1206"/>
      <c r="EU279" s="1206"/>
      <c r="EV279" s="1206"/>
      <c r="EW279" s="1206"/>
      <c r="EX279" s="1550"/>
      <c r="EY279" s="1206"/>
      <c r="EZ279" s="1206"/>
      <c r="FA279" s="1206"/>
      <c r="FB279" s="1206"/>
      <c r="FC279" s="1206"/>
      <c r="FD279" s="1206"/>
      <c r="FE279" s="1206"/>
      <c r="FF279" s="1206"/>
      <c r="FG279" s="1206"/>
      <c r="FH279" s="1206"/>
      <c r="FI279" s="1206"/>
      <c r="FJ279" s="1550"/>
      <c r="FK279" s="1206"/>
      <c r="FL279" s="1206"/>
      <c r="FM279" s="1206"/>
      <c r="FN279" s="1206"/>
      <c r="FO279" s="1206"/>
      <c r="FP279" s="1206"/>
      <c r="FQ279" s="316"/>
      <c r="FR279" s="316"/>
      <c r="FS279" s="316"/>
      <c r="FT279" s="316"/>
      <c r="FU279" s="316"/>
      <c r="FV279" s="316"/>
      <c r="FW279" s="316"/>
      <c r="FX279" s="316"/>
      <c r="FY279" s="316"/>
      <c r="FZ279" s="316"/>
      <c r="GA279" s="316"/>
      <c r="GB279" s="316"/>
      <c r="GC279" s="316"/>
      <c r="GD279" s="316"/>
      <c r="GE279" s="316"/>
      <c r="GF279" s="316"/>
      <c r="GG279" s="316"/>
      <c r="GH279" s="316"/>
      <c r="GI279" s="316"/>
      <c r="GJ279" s="316"/>
      <c r="GK279" s="316"/>
      <c r="GL279" s="316"/>
      <c r="GM279" s="316"/>
      <c r="GN279" s="316"/>
      <c r="GO279" s="316"/>
      <c r="GP279" s="316"/>
      <c r="GQ279" s="316"/>
      <c r="GR279" s="316"/>
      <c r="GS279" s="316"/>
      <c r="GT279" s="316"/>
      <c r="GU279" s="316"/>
      <c r="GV279" s="316"/>
      <c r="GW279" s="316"/>
      <c r="GX279" s="316"/>
      <c r="GY279" s="316"/>
      <c r="GZ279" s="316"/>
      <c r="HA279" s="316"/>
      <c r="HB279" s="316"/>
      <c r="HC279" s="316"/>
      <c r="HD279" s="316"/>
      <c r="HE279" s="316"/>
      <c r="HF279" s="316"/>
      <c r="HG279" s="316"/>
      <c r="HH279" s="316"/>
      <c r="HI279" s="316"/>
      <c r="HJ279" s="316"/>
      <c r="HK279" s="316"/>
      <c r="HL279" s="316"/>
      <c r="HM279" s="316"/>
      <c r="HN279" s="304">
        <v>0</v>
      </c>
      <c r="KH279" s="303"/>
    </row>
    <row r="280" spans="1:294" outlineLevel="1">
      <c r="D280" s="302"/>
      <c r="CP280" s="303"/>
      <c r="DC280" s="890" t="s">
        <v>1077</v>
      </c>
      <c r="EA280" s="302"/>
      <c r="EB280" s="302"/>
      <c r="EC280" s="302"/>
      <c r="ED280" s="302"/>
      <c r="EE280" s="302"/>
      <c r="EF280" s="302"/>
      <c r="EG280" s="302"/>
      <c r="EH280" s="302"/>
      <c r="EI280" s="302"/>
      <c r="EJ280" s="302"/>
      <c r="EK280" s="302"/>
      <c r="EL280" s="303"/>
      <c r="EM280" s="1208"/>
      <c r="EN280" s="1208"/>
      <c r="EO280" s="1208"/>
      <c r="EP280" s="1208"/>
      <c r="EQ280" s="1208"/>
      <c r="ER280" s="1208"/>
      <c r="ES280" s="1208"/>
      <c r="ET280" s="1208"/>
      <c r="EU280" s="1208"/>
      <c r="EV280" s="1208"/>
      <c r="EW280" s="1208"/>
      <c r="EX280" s="1560"/>
      <c r="EY280" s="1208"/>
      <c r="EZ280" s="1208"/>
      <c r="FA280" s="1208"/>
      <c r="FB280" s="1208"/>
      <c r="FC280" s="1208"/>
      <c r="FD280" s="1208"/>
      <c r="FE280" s="1208"/>
      <c r="FF280" s="1208"/>
      <c r="FG280" s="1208"/>
      <c r="FH280" s="1208"/>
      <c r="FI280" s="1208"/>
      <c r="FJ280" s="1560"/>
      <c r="FK280" s="1208"/>
      <c r="FL280" s="1208"/>
      <c r="FM280" s="1208"/>
      <c r="FN280" s="1208"/>
      <c r="FO280" s="1208"/>
      <c r="FP280" s="1208"/>
      <c r="FQ280" s="302"/>
      <c r="FR280" s="302"/>
      <c r="FS280" s="302"/>
      <c r="FT280" s="302"/>
      <c r="FU280" s="302"/>
      <c r="FV280" s="302"/>
      <c r="FW280" s="302"/>
      <c r="FX280" s="302"/>
      <c r="FY280" s="302"/>
      <c r="FZ280" s="302"/>
      <c r="GA280" s="302"/>
      <c r="GB280" s="302"/>
      <c r="GC280" s="302"/>
      <c r="GD280" s="302"/>
      <c r="GE280" s="302"/>
      <c r="GF280" s="302"/>
      <c r="GG280" s="302"/>
      <c r="GH280" s="302"/>
      <c r="GI280" s="302"/>
      <c r="GJ280" s="302"/>
      <c r="GK280" s="302"/>
      <c r="GL280" s="302"/>
      <c r="GM280" s="302"/>
      <c r="GN280" s="302"/>
      <c r="GO280" s="302"/>
      <c r="GP280" s="302"/>
      <c r="GQ280" s="302"/>
      <c r="GR280" s="302"/>
      <c r="GS280" s="302"/>
      <c r="GT280" s="302"/>
      <c r="GU280" s="302"/>
      <c r="GV280" s="302"/>
      <c r="GW280" s="302"/>
      <c r="GX280" s="302"/>
      <c r="GY280" s="302"/>
      <c r="GZ280" s="302"/>
      <c r="HA280" s="302"/>
      <c r="HB280" s="302"/>
      <c r="HC280" s="302"/>
      <c r="HD280" s="302"/>
      <c r="HE280" s="302"/>
      <c r="HF280" s="302"/>
      <c r="HG280" s="302"/>
      <c r="HH280" s="302"/>
      <c r="HI280" s="302"/>
      <c r="HJ280" s="302"/>
      <c r="HK280" s="302"/>
      <c r="HL280" s="302"/>
      <c r="HM280" s="302"/>
      <c r="KH280" s="303"/>
    </row>
    <row r="281" spans="1:294" outlineLevel="1">
      <c r="D281" s="869"/>
      <c r="CE281" s="840"/>
      <c r="CP281" s="303"/>
      <c r="EA281" s="302"/>
      <c r="EB281" s="302"/>
      <c r="EC281" s="302"/>
      <c r="ED281" s="302"/>
      <c r="EE281" s="302"/>
      <c r="EF281" s="302"/>
      <c r="EG281" s="302"/>
      <c r="EH281" s="302"/>
      <c r="EI281" s="302"/>
      <c r="EJ281" s="302"/>
      <c r="EK281" s="302"/>
      <c r="EL281" s="303"/>
      <c r="EM281" s="1208"/>
      <c r="EN281" s="1208"/>
      <c r="EO281" s="1208"/>
      <c r="EP281" s="1208"/>
      <c r="EQ281" s="1208"/>
      <c r="ER281" s="1208"/>
      <c r="ES281" s="1208"/>
      <c r="ET281" s="1208"/>
      <c r="EU281" s="1208"/>
      <c r="EV281" s="1208"/>
      <c r="EW281" s="1208"/>
      <c r="EX281" s="1560"/>
      <c r="EY281" s="1208"/>
      <c r="EZ281" s="1208"/>
      <c r="FA281" s="1208"/>
      <c r="FB281" s="1208"/>
      <c r="FC281" s="1208"/>
      <c r="FD281" s="1208"/>
      <c r="FE281" s="1208"/>
      <c r="FF281" s="1208"/>
      <c r="FG281" s="1208"/>
      <c r="FH281" s="1208"/>
      <c r="FI281" s="1208"/>
      <c r="FJ281" s="1560"/>
      <c r="FK281" s="1208"/>
      <c r="FL281" s="1208"/>
      <c r="FM281" s="1208"/>
      <c r="FN281" s="1208"/>
      <c r="FO281" s="1208"/>
      <c r="FP281" s="1208"/>
      <c r="FQ281" s="302"/>
      <c r="FR281" s="302"/>
      <c r="FS281" s="302"/>
      <c r="FT281" s="302"/>
      <c r="FU281" s="302"/>
      <c r="FV281" s="302"/>
      <c r="FW281" s="302"/>
      <c r="FX281" s="302"/>
      <c r="FY281" s="302"/>
      <c r="FZ281" s="302"/>
      <c r="GA281" s="302"/>
      <c r="GB281" s="302"/>
      <c r="GC281" s="302"/>
      <c r="GD281" s="302"/>
      <c r="GE281" s="302"/>
      <c r="GF281" s="302"/>
      <c r="GG281" s="302"/>
      <c r="GH281" s="302"/>
      <c r="GI281" s="302"/>
      <c r="GJ281" s="302"/>
      <c r="GK281" s="302"/>
      <c r="GL281" s="302"/>
      <c r="GM281" s="302"/>
      <c r="GN281" s="302"/>
      <c r="GO281" s="302"/>
      <c r="GP281" s="302"/>
      <c r="GQ281" s="302"/>
      <c r="GR281" s="302"/>
      <c r="GS281" s="302"/>
      <c r="GT281" s="302"/>
      <c r="GU281" s="302"/>
      <c r="GV281" s="302"/>
      <c r="GW281" s="302"/>
      <c r="GX281" s="302"/>
      <c r="GY281" s="302"/>
      <c r="GZ281" s="302"/>
      <c r="HA281" s="302"/>
      <c r="HB281" s="302"/>
      <c r="HC281" s="302"/>
      <c r="HD281" s="302"/>
      <c r="HE281" s="302"/>
      <c r="HF281" s="302"/>
      <c r="HG281" s="302"/>
      <c r="HH281" s="302"/>
      <c r="HI281" s="302"/>
      <c r="HJ281" s="302"/>
      <c r="HK281" s="302"/>
      <c r="HL281" s="302"/>
      <c r="HM281" s="302"/>
      <c r="KH281" s="303"/>
    </row>
    <row r="282" spans="1:294" outlineLevel="1">
      <c r="A282" s="314" t="s">
        <v>1097</v>
      </c>
      <c r="D282" s="869"/>
      <c r="CE282" s="840"/>
      <c r="CP282" s="303"/>
      <c r="DC282" s="890" t="s">
        <v>1000</v>
      </c>
      <c r="EA282" s="302"/>
      <c r="EB282" s="302"/>
      <c r="EC282" s="302"/>
      <c r="ED282" s="302"/>
      <c r="EE282" s="302"/>
      <c r="EF282" s="302"/>
      <c r="EG282" s="302"/>
      <c r="EH282" s="302"/>
      <c r="EI282" s="302"/>
      <c r="EJ282" s="302"/>
      <c r="EK282" s="302"/>
      <c r="EL282" s="303"/>
      <c r="EM282" s="1208"/>
      <c r="EN282" s="1208"/>
      <c r="EO282" s="1208"/>
      <c r="EP282" s="1208"/>
      <c r="EQ282" s="1208"/>
      <c r="ER282" s="1208"/>
      <c r="ES282" s="1208"/>
      <c r="ET282" s="1208"/>
      <c r="EU282" s="1208"/>
      <c r="EV282" s="1208"/>
      <c r="EW282" s="1208"/>
      <c r="EX282" s="1560"/>
      <c r="EY282" s="1208"/>
      <c r="EZ282" s="1208"/>
      <c r="FA282" s="1208"/>
      <c r="FB282" s="1208"/>
      <c r="FC282" s="1208"/>
      <c r="FD282" s="1208"/>
      <c r="FE282" s="1208"/>
      <c r="FF282" s="1208"/>
      <c r="FG282" s="1208"/>
      <c r="FH282" s="1208"/>
      <c r="FI282" s="1208"/>
      <c r="FJ282" s="1560"/>
      <c r="FK282" s="1208"/>
      <c r="FL282" s="1208"/>
      <c r="FM282" s="1208"/>
      <c r="FN282" s="1208"/>
      <c r="FO282" s="1208"/>
      <c r="FP282" s="1208"/>
      <c r="FQ282" s="302"/>
      <c r="FR282" s="302"/>
      <c r="FS282" s="302"/>
      <c r="FT282" s="302"/>
      <c r="FU282" s="302"/>
      <c r="FV282" s="302"/>
      <c r="FW282" s="302"/>
      <c r="FX282" s="302"/>
      <c r="FY282" s="302"/>
      <c r="FZ282" s="302"/>
      <c r="GA282" s="302"/>
      <c r="GB282" s="302"/>
      <c r="GC282" s="302"/>
      <c r="GD282" s="302"/>
      <c r="GE282" s="302"/>
      <c r="GF282" s="302"/>
      <c r="GG282" s="302"/>
      <c r="GH282" s="302"/>
      <c r="GI282" s="302"/>
      <c r="GJ282" s="302"/>
      <c r="GK282" s="302"/>
      <c r="GL282" s="302"/>
      <c r="GM282" s="302"/>
      <c r="GN282" s="302"/>
      <c r="GO282" s="302"/>
      <c r="GP282" s="302"/>
      <c r="GQ282" s="302"/>
      <c r="GR282" s="302"/>
      <c r="GS282" s="302"/>
      <c r="GT282" s="302"/>
      <c r="GU282" s="302"/>
      <c r="GV282" s="302"/>
      <c r="GW282" s="302"/>
      <c r="GX282" s="302"/>
      <c r="GY282" s="302"/>
      <c r="GZ282" s="302"/>
      <c r="HA282" s="302"/>
      <c r="HB282" s="302"/>
      <c r="HC282" s="302"/>
      <c r="HD282" s="302"/>
      <c r="HE282" s="302"/>
      <c r="HF282" s="302"/>
      <c r="HG282" s="302"/>
      <c r="HH282" s="302"/>
      <c r="HI282" s="302"/>
      <c r="HJ282" s="302"/>
      <c r="HK282" s="302"/>
      <c r="HL282" s="302"/>
      <c r="HM282" s="302"/>
      <c r="KH282" s="303"/>
    </row>
    <row r="283" spans="1:294" outlineLevel="1">
      <c r="B283" s="117" t="s">
        <v>361</v>
      </c>
      <c r="D283" s="331" t="s">
        <v>1002</v>
      </c>
      <c r="E283" s="316"/>
      <c r="F283" s="316"/>
      <c r="G283" s="316"/>
      <c r="H283" s="316"/>
      <c r="I283" s="316"/>
      <c r="J283" s="316"/>
      <c r="K283" s="316"/>
      <c r="L283" s="316"/>
      <c r="M283" s="316"/>
      <c r="N283" s="316"/>
      <c r="O283" s="316"/>
      <c r="P283" s="316"/>
      <c r="Q283" s="316"/>
      <c r="R283" s="316"/>
      <c r="S283" s="316"/>
      <c r="T283" s="316"/>
      <c r="U283" s="316"/>
      <c r="V283" s="316"/>
      <c r="W283" s="316"/>
      <c r="X283" s="316"/>
      <c r="Y283" s="316"/>
      <c r="Z283" s="316"/>
      <c r="AA283" s="316"/>
      <c r="AB283" s="316"/>
      <c r="AC283" s="316"/>
      <c r="AD283" s="316"/>
      <c r="AE283" s="316"/>
      <c r="AF283" s="316"/>
      <c r="AG283" s="316"/>
      <c r="AH283" s="316"/>
      <c r="AI283" s="316"/>
      <c r="AJ283" s="316"/>
      <c r="AK283" s="316"/>
      <c r="AL283" s="316"/>
      <c r="AM283" s="316"/>
      <c r="AN283" s="316"/>
      <c r="AO283" s="316"/>
      <c r="AP283" s="316"/>
      <c r="AQ283" s="316"/>
      <c r="AR283" s="316"/>
      <c r="AS283" s="316"/>
      <c r="AT283" s="316"/>
      <c r="AU283" s="316"/>
      <c r="AV283" s="316"/>
      <c r="AW283" s="316"/>
      <c r="AX283" s="316"/>
      <c r="AY283" s="316"/>
      <c r="AZ283" s="316"/>
      <c r="BA283" s="316"/>
      <c r="BB283" s="316"/>
      <c r="BC283" s="316"/>
      <c r="BD283" s="316"/>
      <c r="BE283" s="316"/>
      <c r="BF283" s="316"/>
      <c r="BG283" s="316"/>
      <c r="BH283" s="316"/>
      <c r="BI283" s="316"/>
      <c r="BJ283" s="316"/>
      <c r="BK283" s="316"/>
      <c r="BL283" s="316"/>
      <c r="BM283" s="316"/>
      <c r="BN283" s="316"/>
      <c r="BO283" s="316"/>
      <c r="BP283" s="316"/>
      <c r="BQ283" s="316"/>
      <c r="BR283" s="316"/>
      <c r="BS283" s="316"/>
      <c r="BT283" s="316"/>
      <c r="BU283" s="316"/>
      <c r="BV283" s="316"/>
      <c r="BW283" s="316"/>
      <c r="BX283" s="316"/>
      <c r="BY283" s="316"/>
      <c r="BZ283" s="316"/>
      <c r="CA283" s="316"/>
      <c r="CB283" s="316"/>
      <c r="CC283" s="316"/>
      <c r="CD283" s="316"/>
      <c r="CE283" s="317">
        <v>2.3905059930000001</v>
      </c>
      <c r="CF283" s="316">
        <v>21.624498694</v>
      </c>
      <c r="CG283" s="316">
        <v>4.644686139</v>
      </c>
      <c r="CH283" s="316">
        <v>3.6924965100000002</v>
      </c>
      <c r="CI283" s="316">
        <v>4.0014218450000003</v>
      </c>
      <c r="CJ283" s="316">
        <v>3.0514968039999997</v>
      </c>
      <c r="CK283" s="316">
        <v>9.5048288400000001</v>
      </c>
      <c r="CL283" s="316">
        <v>2.8854914190000001</v>
      </c>
      <c r="CM283" s="316">
        <v>13.888101193000001</v>
      </c>
      <c r="CN283" s="316">
        <v>0.34203537899999997</v>
      </c>
      <c r="CO283" s="316">
        <v>3.1457971009999999</v>
      </c>
      <c r="CP283" s="318">
        <v>15.697589456000001</v>
      </c>
      <c r="CQ283" s="316">
        <v>3.3839473980000001</v>
      </c>
      <c r="CR283" s="316">
        <v>5.8449674539999998</v>
      </c>
      <c r="CS283" s="316">
        <v>7.1366772320000003</v>
      </c>
      <c r="CT283" s="316">
        <v>2.87493949</v>
      </c>
      <c r="CU283" s="316">
        <v>4.2249999999999996</v>
      </c>
      <c r="CV283" s="316">
        <v>3.3</v>
      </c>
      <c r="CW283" s="316">
        <v>3.7044001180000001</v>
      </c>
      <c r="CX283" s="316">
        <v>6.7442345449999994</v>
      </c>
      <c r="CY283" s="316">
        <v>6.7000030000000006</v>
      </c>
      <c r="CZ283" s="316">
        <v>0</v>
      </c>
      <c r="DA283" s="316">
        <v>3.4</v>
      </c>
      <c r="DB283" s="1498">
        <v>3.3</v>
      </c>
      <c r="DC283" s="909">
        <v>42186</v>
      </c>
      <c r="DD283" s="909">
        <v>42217</v>
      </c>
      <c r="DE283" s="909">
        <v>42248</v>
      </c>
      <c r="DF283" s="909">
        <v>42278</v>
      </c>
      <c r="DG283" s="909">
        <v>42309</v>
      </c>
      <c r="DH283" s="909">
        <v>42339</v>
      </c>
      <c r="DI283" s="909">
        <v>42370</v>
      </c>
      <c r="DJ283" s="909">
        <v>42401</v>
      </c>
      <c r="DK283" s="909">
        <v>42430</v>
      </c>
      <c r="DL283" s="909">
        <v>42461</v>
      </c>
      <c r="DM283" s="909">
        <v>42491</v>
      </c>
      <c r="DN283" s="1538">
        <v>42522</v>
      </c>
      <c r="DO283" s="883">
        <v>42552</v>
      </c>
      <c r="DP283" s="883">
        <v>42583</v>
      </c>
      <c r="DQ283" s="883">
        <v>42614</v>
      </c>
      <c r="DR283" s="883">
        <v>42644</v>
      </c>
      <c r="DS283" s="883">
        <v>42675</v>
      </c>
      <c r="DT283" s="883">
        <v>42705</v>
      </c>
      <c r="DU283" s="883">
        <v>42736</v>
      </c>
      <c r="DV283" s="883">
        <v>42767</v>
      </c>
      <c r="DW283" s="883">
        <v>42795</v>
      </c>
      <c r="DX283" s="883">
        <v>42826</v>
      </c>
      <c r="DY283" s="883">
        <v>42856</v>
      </c>
      <c r="DZ283" s="928">
        <v>42887</v>
      </c>
      <c r="EA283" s="883">
        <v>42917</v>
      </c>
      <c r="EB283" s="883">
        <v>42948</v>
      </c>
      <c r="EC283" s="883">
        <v>42979</v>
      </c>
      <c r="ED283" s="883">
        <v>43009</v>
      </c>
      <c r="EE283" s="883">
        <v>43040</v>
      </c>
      <c r="EF283" s="883">
        <v>43070</v>
      </c>
      <c r="EG283" s="883">
        <v>43101</v>
      </c>
      <c r="EH283" s="883">
        <v>43132</v>
      </c>
      <c r="EI283" s="883">
        <v>43160</v>
      </c>
      <c r="EJ283" s="883">
        <v>43191</v>
      </c>
      <c r="EK283" s="883">
        <v>43221</v>
      </c>
      <c r="EL283" s="928">
        <v>43252</v>
      </c>
      <c r="EM283" s="1205">
        <v>43282</v>
      </c>
      <c r="EN283" s="1205">
        <v>43313</v>
      </c>
      <c r="EO283" s="1205">
        <v>43344</v>
      </c>
      <c r="EP283" s="1205">
        <v>43374</v>
      </c>
      <c r="EQ283" s="1205">
        <v>43405</v>
      </c>
      <c r="ER283" s="1205">
        <v>43435</v>
      </c>
      <c r="ES283" s="1205">
        <v>43466</v>
      </c>
      <c r="ET283" s="1205">
        <v>43497</v>
      </c>
      <c r="EU283" s="1205">
        <v>43525</v>
      </c>
      <c r="EV283" s="1205">
        <v>43556</v>
      </c>
      <c r="EW283" s="1205">
        <v>43586</v>
      </c>
      <c r="EX283" s="1558">
        <v>43617</v>
      </c>
      <c r="EY283" s="1205">
        <v>43647</v>
      </c>
      <c r="EZ283" s="1205">
        <v>43678</v>
      </c>
      <c r="FA283" s="1205">
        <v>43709</v>
      </c>
      <c r="FB283" s="1205">
        <v>43739</v>
      </c>
      <c r="FC283" s="1205">
        <v>43770</v>
      </c>
      <c r="FD283" s="1205">
        <v>43800</v>
      </c>
      <c r="FE283" s="1205">
        <v>43831</v>
      </c>
      <c r="FF283" s="1205">
        <v>43862</v>
      </c>
      <c r="FG283" s="1205">
        <v>43891</v>
      </c>
      <c r="FH283" s="1205">
        <v>43922</v>
      </c>
      <c r="FI283" s="1205">
        <v>43952</v>
      </c>
      <c r="FJ283" s="1558">
        <v>43983</v>
      </c>
      <c r="FK283" s="1205">
        <v>44013</v>
      </c>
      <c r="FL283" s="1205">
        <v>44044</v>
      </c>
      <c r="FM283" s="1205">
        <v>44075</v>
      </c>
      <c r="FN283" s="1205">
        <v>44105</v>
      </c>
      <c r="FO283" s="1205">
        <v>44136</v>
      </c>
      <c r="FP283" s="1205">
        <v>44166</v>
      </c>
      <c r="FQ283" s="883"/>
      <c r="FR283" s="883"/>
      <c r="FS283" s="883"/>
      <c r="FT283" s="883"/>
      <c r="FU283" s="883"/>
      <c r="FV283" s="883"/>
      <c r="FW283" s="883"/>
      <c r="FX283" s="883"/>
      <c r="FY283" s="883"/>
      <c r="FZ283" s="883"/>
      <c r="GA283" s="883"/>
      <c r="GB283" s="883"/>
      <c r="GC283" s="883"/>
      <c r="GD283" s="883"/>
      <c r="GE283" s="883"/>
      <c r="GF283" s="883"/>
      <c r="GG283" s="883"/>
      <c r="GH283" s="883"/>
      <c r="GI283" s="883"/>
      <c r="GJ283" s="883"/>
      <c r="GK283" s="883"/>
      <c r="GL283" s="883"/>
      <c r="GM283" s="883"/>
      <c r="GN283" s="883"/>
      <c r="GO283" s="883"/>
      <c r="GP283" s="883"/>
      <c r="GQ283" s="883"/>
      <c r="GR283" s="883"/>
      <c r="GS283" s="883"/>
      <c r="GT283" s="883"/>
      <c r="GU283" s="883"/>
      <c r="GV283" s="883"/>
      <c r="GW283" s="883"/>
      <c r="GX283" s="883"/>
      <c r="GY283" s="883"/>
      <c r="GZ283" s="883"/>
      <c r="HA283" s="883"/>
      <c r="HB283" s="883"/>
      <c r="HC283" s="883"/>
      <c r="HD283" s="883"/>
      <c r="HE283" s="883"/>
      <c r="HF283" s="883"/>
      <c r="HG283" s="883"/>
      <c r="HH283" s="883"/>
      <c r="HI283" s="883"/>
      <c r="HJ283" s="883"/>
      <c r="HK283" s="883"/>
      <c r="HL283" s="883"/>
      <c r="HM283" s="883"/>
      <c r="KH283" s="303"/>
    </row>
    <row r="284" spans="1:294" outlineLevel="1">
      <c r="A284" s="117" t="s">
        <v>923</v>
      </c>
      <c r="D284" s="316" t="s">
        <v>989</v>
      </c>
      <c r="E284" s="316"/>
      <c r="F284" s="316"/>
      <c r="G284" s="316"/>
      <c r="H284" s="316"/>
      <c r="I284" s="316"/>
      <c r="J284" s="316"/>
      <c r="K284" s="316"/>
      <c r="L284" s="316"/>
      <c r="M284" s="316"/>
      <c r="N284" s="316"/>
      <c r="O284" s="316"/>
      <c r="P284" s="316"/>
      <c r="Q284" s="316"/>
      <c r="R284" s="316"/>
      <c r="S284" s="316"/>
      <c r="T284" s="316"/>
      <c r="U284" s="316"/>
      <c r="V284" s="316"/>
      <c r="W284" s="316"/>
      <c r="X284" s="316"/>
      <c r="Y284" s="316"/>
      <c r="Z284" s="316"/>
      <c r="AA284" s="316"/>
      <c r="AB284" s="316"/>
      <c r="AC284" s="316"/>
      <c r="AD284" s="316"/>
      <c r="AE284" s="316"/>
      <c r="AF284" s="316"/>
      <c r="AG284" s="316"/>
      <c r="AH284" s="316"/>
      <c r="AI284" s="316"/>
      <c r="AJ284" s="316"/>
      <c r="AK284" s="316"/>
      <c r="AL284" s="316"/>
      <c r="AM284" s="316"/>
      <c r="AN284" s="316"/>
      <c r="AO284" s="316"/>
      <c r="AP284" s="316"/>
      <c r="AQ284" s="316"/>
      <c r="AR284" s="316"/>
      <c r="AS284" s="316"/>
      <c r="AT284" s="316"/>
      <c r="AU284" s="316"/>
      <c r="AV284" s="316"/>
      <c r="AW284" s="316"/>
      <c r="AX284" s="316"/>
      <c r="AY284" s="316"/>
      <c r="AZ284" s="316"/>
      <c r="BA284" s="316"/>
      <c r="BB284" s="316"/>
      <c r="BC284" s="316"/>
      <c r="BD284" s="316"/>
      <c r="BE284" s="316"/>
      <c r="BF284" s="316"/>
      <c r="BG284" s="316"/>
      <c r="BH284" s="316"/>
      <c r="BI284" s="316"/>
      <c r="BJ284" s="316"/>
      <c r="BK284" s="316"/>
      <c r="BL284" s="316"/>
      <c r="BM284" s="316"/>
      <c r="BN284" s="316"/>
      <c r="BO284" s="316"/>
      <c r="BP284" s="316"/>
      <c r="BQ284" s="316"/>
      <c r="BR284" s="316"/>
      <c r="BS284" s="316"/>
      <c r="BT284" s="316"/>
      <c r="BU284" s="316"/>
      <c r="BV284" s="316"/>
      <c r="BW284" s="316"/>
      <c r="BX284" s="316"/>
      <c r="BY284" s="316"/>
      <c r="BZ284" s="316"/>
      <c r="CA284" s="316"/>
      <c r="CB284" s="316"/>
      <c r="CC284" s="316"/>
      <c r="CD284" s="316"/>
      <c r="CE284" s="317"/>
      <c r="CF284" s="316"/>
      <c r="CG284" s="316"/>
      <c r="CH284" s="316"/>
      <c r="CI284" s="316"/>
      <c r="CJ284" s="316"/>
      <c r="CK284" s="316"/>
      <c r="CL284" s="316"/>
      <c r="CM284" s="316"/>
      <c r="CN284" s="316"/>
      <c r="CO284" s="316"/>
      <c r="CP284" s="318"/>
      <c r="CQ284" s="316"/>
      <c r="CR284" s="316"/>
      <c r="CS284" s="316"/>
      <c r="CT284" s="316"/>
      <c r="CU284" s="316"/>
      <c r="CV284" s="316"/>
      <c r="CW284" s="316"/>
      <c r="CX284" s="316"/>
      <c r="CY284" s="316"/>
      <c r="CZ284" s="316"/>
      <c r="DA284" s="316"/>
      <c r="DB284" s="1498"/>
      <c r="DC284" s="316">
        <v>0</v>
      </c>
      <c r="DD284" s="316">
        <v>0</v>
      </c>
      <c r="DE284" s="316">
        <v>0</v>
      </c>
      <c r="DF284" s="316">
        <v>0.23668661499999999</v>
      </c>
      <c r="DG284" s="316">
        <v>0</v>
      </c>
      <c r="DH284" s="316">
        <v>0</v>
      </c>
      <c r="DI284" s="316">
        <v>0</v>
      </c>
      <c r="DJ284" s="316">
        <v>0</v>
      </c>
      <c r="DK284" s="316">
        <v>0</v>
      </c>
      <c r="DL284" s="316">
        <v>0</v>
      </c>
      <c r="DM284" s="316">
        <v>0</v>
      </c>
      <c r="DN284" s="318">
        <v>0</v>
      </c>
      <c r="DO284" s="316">
        <v>0</v>
      </c>
      <c r="DP284" s="316">
        <v>0</v>
      </c>
      <c r="DQ284" s="316">
        <v>0</v>
      </c>
      <c r="DR284" s="316">
        <v>0</v>
      </c>
      <c r="DS284" s="316">
        <v>0</v>
      </c>
      <c r="DT284" s="316">
        <v>0</v>
      </c>
      <c r="DU284" s="316">
        <v>0</v>
      </c>
      <c r="DV284" s="316">
        <v>0</v>
      </c>
      <c r="DW284" s="316">
        <v>0</v>
      </c>
      <c r="DX284" s="316">
        <v>0</v>
      </c>
      <c r="DY284" s="316">
        <v>0.996028527</v>
      </c>
      <c r="DZ284" s="318">
        <v>0</v>
      </c>
      <c r="EA284" s="316">
        <v>0</v>
      </c>
      <c r="EB284" s="316">
        <v>0</v>
      </c>
      <c r="EC284" s="316">
        <v>0</v>
      </c>
      <c r="ED284" s="316">
        <v>0</v>
      </c>
      <c r="EE284" s="316">
        <v>0</v>
      </c>
      <c r="EF284" s="316">
        <v>0</v>
      </c>
      <c r="EG284" s="316">
        <v>0</v>
      </c>
      <c r="EH284" s="316">
        <v>0</v>
      </c>
      <c r="EI284" s="316">
        <v>0</v>
      </c>
      <c r="EJ284" s="316">
        <v>0</v>
      </c>
      <c r="EK284" s="316">
        <v>0</v>
      </c>
      <c r="EL284" s="318">
        <v>0</v>
      </c>
      <c r="EM284" s="1206">
        <v>0</v>
      </c>
      <c r="EN284" s="1206">
        <v>0</v>
      </c>
      <c r="EO284" s="1206">
        <v>0</v>
      </c>
      <c r="EP284" s="1206">
        <v>0</v>
      </c>
      <c r="EQ284" s="1206">
        <v>0</v>
      </c>
      <c r="ER284" s="1206">
        <v>0</v>
      </c>
      <c r="ES284" s="1206">
        <v>0</v>
      </c>
      <c r="ET284" s="1206">
        <v>0</v>
      </c>
      <c r="EU284" s="1206">
        <v>0</v>
      </c>
      <c r="EV284" s="1206">
        <v>0</v>
      </c>
      <c r="EW284" s="1206">
        <v>0</v>
      </c>
      <c r="EX284" s="1550">
        <v>0</v>
      </c>
      <c r="EY284" s="1206"/>
      <c r="EZ284" s="1206"/>
      <c r="FA284" s="1206"/>
      <c r="FB284" s="1206"/>
      <c r="FC284" s="1206"/>
      <c r="FD284" s="1206"/>
      <c r="FE284" s="1206"/>
      <c r="FF284" s="1206"/>
      <c r="FG284" s="1206"/>
      <c r="FH284" s="1206"/>
      <c r="FI284" s="1206"/>
      <c r="FJ284" s="1550"/>
      <c r="FK284" s="1206"/>
      <c r="FL284" s="1206"/>
      <c r="FM284" s="1206"/>
      <c r="FN284" s="1206"/>
      <c r="FO284" s="1206"/>
      <c r="FP284" s="1206"/>
      <c r="FQ284" s="316"/>
      <c r="FR284" s="316"/>
      <c r="FS284" s="316"/>
      <c r="FT284" s="316"/>
      <c r="FU284" s="316"/>
      <c r="FV284" s="316"/>
      <c r="FW284" s="316"/>
      <c r="FX284" s="316"/>
      <c r="FY284" s="316"/>
      <c r="FZ284" s="316"/>
      <c r="GA284" s="316"/>
      <c r="GB284" s="316"/>
      <c r="GC284" s="316"/>
      <c r="GD284" s="316"/>
      <c r="GE284" s="316"/>
      <c r="GF284" s="316"/>
      <c r="GG284" s="316"/>
      <c r="GH284" s="316"/>
      <c r="GI284" s="316"/>
      <c r="GJ284" s="316"/>
      <c r="GK284" s="316"/>
      <c r="GL284" s="316"/>
      <c r="GM284" s="316"/>
      <c r="GN284" s="316"/>
      <c r="GO284" s="316"/>
      <c r="GP284" s="316"/>
      <c r="GQ284" s="316"/>
      <c r="GR284" s="316"/>
      <c r="GS284" s="316"/>
      <c r="GT284" s="316"/>
      <c r="GU284" s="316"/>
      <c r="GV284" s="316"/>
      <c r="GW284" s="316"/>
      <c r="GX284" s="316"/>
      <c r="GY284" s="316"/>
      <c r="GZ284" s="316"/>
      <c r="HA284" s="316"/>
      <c r="HB284" s="316"/>
      <c r="HC284" s="316"/>
      <c r="HD284" s="316"/>
      <c r="HE284" s="316"/>
      <c r="HF284" s="316"/>
      <c r="HG284" s="316"/>
      <c r="HH284" s="316"/>
      <c r="HI284" s="316"/>
      <c r="HJ284" s="316"/>
      <c r="HK284" s="316"/>
      <c r="HL284" s="316"/>
      <c r="HM284" s="316"/>
      <c r="HY284" s="302">
        <f t="shared" ref="HY284:HY291" si="52">SUM(DO284:DT284)</f>
        <v>0</v>
      </c>
      <c r="KH284" s="303"/>
    </row>
    <row r="285" spans="1:294" outlineLevel="1">
      <c r="D285" s="316" t="s">
        <v>990</v>
      </c>
      <c r="E285" s="316"/>
      <c r="F285" s="316"/>
      <c r="G285" s="316"/>
      <c r="H285" s="316"/>
      <c r="I285" s="316"/>
      <c r="J285" s="316"/>
      <c r="K285" s="316"/>
      <c r="L285" s="316"/>
      <c r="M285" s="316"/>
      <c r="N285" s="316"/>
      <c r="O285" s="316"/>
      <c r="P285" s="316"/>
      <c r="Q285" s="316"/>
      <c r="R285" s="316"/>
      <c r="S285" s="316"/>
      <c r="T285" s="316"/>
      <c r="U285" s="316"/>
      <c r="V285" s="316"/>
      <c r="W285" s="316"/>
      <c r="X285" s="316"/>
      <c r="Y285" s="316"/>
      <c r="Z285" s="316"/>
      <c r="AA285" s="316"/>
      <c r="AB285" s="316"/>
      <c r="AC285" s="316"/>
      <c r="AD285" s="316"/>
      <c r="AE285" s="316"/>
      <c r="AF285" s="316"/>
      <c r="AG285" s="316"/>
      <c r="AH285" s="316"/>
      <c r="AI285" s="316"/>
      <c r="AJ285" s="316"/>
      <c r="AK285" s="316"/>
      <c r="AL285" s="316"/>
      <c r="AM285" s="316"/>
      <c r="AN285" s="316"/>
      <c r="AO285" s="316"/>
      <c r="AP285" s="316"/>
      <c r="AQ285" s="316"/>
      <c r="AR285" s="316"/>
      <c r="AS285" s="316"/>
      <c r="AT285" s="316"/>
      <c r="AU285" s="316"/>
      <c r="AV285" s="316"/>
      <c r="AW285" s="316"/>
      <c r="AX285" s="316"/>
      <c r="AY285" s="316"/>
      <c r="AZ285" s="316"/>
      <c r="BA285" s="316"/>
      <c r="BB285" s="316"/>
      <c r="BC285" s="316"/>
      <c r="BD285" s="316"/>
      <c r="BE285" s="316"/>
      <c r="BF285" s="316"/>
      <c r="BG285" s="316"/>
      <c r="BH285" s="316"/>
      <c r="BI285" s="316"/>
      <c r="BJ285" s="316"/>
      <c r="BK285" s="316"/>
      <c r="BL285" s="316"/>
      <c r="BM285" s="316"/>
      <c r="BN285" s="316"/>
      <c r="BO285" s="316"/>
      <c r="BP285" s="316"/>
      <c r="BQ285" s="316"/>
      <c r="BR285" s="316"/>
      <c r="BS285" s="316"/>
      <c r="BT285" s="316"/>
      <c r="BU285" s="316"/>
      <c r="BV285" s="316"/>
      <c r="BW285" s="316"/>
      <c r="BX285" s="316"/>
      <c r="BY285" s="316"/>
      <c r="BZ285" s="316"/>
      <c r="CA285" s="316"/>
      <c r="CB285" s="316"/>
      <c r="CC285" s="316"/>
      <c r="CD285" s="316"/>
      <c r="CE285" s="317"/>
      <c r="CF285" s="316"/>
      <c r="CG285" s="316"/>
      <c r="CH285" s="316"/>
      <c r="CI285" s="316"/>
      <c r="CJ285" s="316"/>
      <c r="CK285" s="316"/>
      <c r="CL285" s="316"/>
      <c r="CM285" s="316"/>
      <c r="CN285" s="316"/>
      <c r="CO285" s="316"/>
      <c r="CP285" s="318"/>
      <c r="CQ285" s="316"/>
      <c r="CR285" s="316"/>
      <c r="CS285" s="316"/>
      <c r="CT285" s="316"/>
      <c r="CU285" s="316"/>
      <c r="CV285" s="316"/>
      <c r="CW285" s="316"/>
      <c r="CX285" s="316"/>
      <c r="CY285" s="316"/>
      <c r="CZ285" s="316"/>
      <c r="DA285" s="316"/>
      <c r="DB285" s="1498"/>
      <c r="DC285" s="316">
        <v>0</v>
      </c>
      <c r="DD285" s="316">
        <v>0</v>
      </c>
      <c r="DE285" s="316">
        <v>0</v>
      </c>
      <c r="DF285" s="316">
        <v>0</v>
      </c>
      <c r="DG285" s="316">
        <v>0</v>
      </c>
      <c r="DH285" s="316">
        <v>0</v>
      </c>
      <c r="DI285" s="316">
        <v>3</v>
      </c>
      <c r="DJ285" s="316">
        <v>0</v>
      </c>
      <c r="DK285" s="316">
        <v>0</v>
      </c>
      <c r="DL285" s="316">
        <v>0</v>
      </c>
      <c r="DM285" s="316">
        <v>0</v>
      </c>
      <c r="DN285" s="318">
        <v>0</v>
      </c>
      <c r="DO285" s="316">
        <v>0</v>
      </c>
      <c r="DP285" s="316">
        <v>0</v>
      </c>
      <c r="DQ285" s="316">
        <v>0</v>
      </c>
      <c r="DR285" s="316">
        <v>1.1499999999999999</v>
      </c>
      <c r="DS285" s="316">
        <v>0</v>
      </c>
      <c r="DT285" s="316">
        <v>0</v>
      </c>
      <c r="DU285" s="316">
        <v>0.6</v>
      </c>
      <c r="DV285" s="316">
        <v>0</v>
      </c>
      <c r="DW285" s="316">
        <v>0</v>
      </c>
      <c r="DX285" s="316">
        <v>0.4</v>
      </c>
      <c r="DY285" s="316">
        <v>0</v>
      </c>
      <c r="DZ285" s="318">
        <v>0</v>
      </c>
      <c r="EA285" s="316">
        <v>0</v>
      </c>
      <c r="EB285" s="316">
        <v>1.6</v>
      </c>
      <c r="EC285" s="316">
        <v>0</v>
      </c>
      <c r="ED285" s="316">
        <v>0</v>
      </c>
      <c r="EE285" s="316">
        <v>0</v>
      </c>
      <c r="EF285" s="316">
        <v>0</v>
      </c>
      <c r="EG285" s="316">
        <v>0</v>
      </c>
      <c r="EH285" s="316">
        <v>0</v>
      </c>
      <c r="EI285" s="316">
        <v>0</v>
      </c>
      <c r="EJ285" s="316">
        <v>0</v>
      </c>
      <c r="EK285" s="316">
        <v>0</v>
      </c>
      <c r="EL285" s="318">
        <v>0</v>
      </c>
      <c r="EM285" s="1206">
        <v>0</v>
      </c>
      <c r="EN285" s="1206">
        <v>3.06</v>
      </c>
      <c r="EO285" s="1206">
        <v>0</v>
      </c>
      <c r="EP285" s="1206">
        <v>0</v>
      </c>
      <c r="EQ285" s="1206">
        <v>0</v>
      </c>
      <c r="ER285" s="1206">
        <v>0</v>
      </c>
      <c r="ES285" s="1206">
        <v>0</v>
      </c>
      <c r="ET285" s="1206">
        <v>0</v>
      </c>
      <c r="EU285" s="1206">
        <v>0</v>
      </c>
      <c r="EV285" s="1206">
        <v>0</v>
      </c>
      <c r="EW285" s="1206">
        <v>0</v>
      </c>
      <c r="EX285" s="1550">
        <v>0</v>
      </c>
      <c r="EY285" s="1206"/>
      <c r="EZ285" s="1206"/>
      <c r="FA285" s="1206"/>
      <c r="FB285" s="1206"/>
      <c r="FC285" s="1206"/>
      <c r="FD285" s="1206"/>
      <c r="FE285" s="1206"/>
      <c r="FF285" s="1206"/>
      <c r="FG285" s="1206"/>
      <c r="FH285" s="1206"/>
      <c r="FI285" s="1206"/>
      <c r="FJ285" s="1550"/>
      <c r="FK285" s="1206"/>
      <c r="FL285" s="1206"/>
      <c r="FM285" s="1206"/>
      <c r="FN285" s="1206"/>
      <c r="FO285" s="1206"/>
      <c r="FP285" s="1206"/>
      <c r="FQ285" s="316"/>
      <c r="FR285" s="316"/>
      <c r="FS285" s="316"/>
      <c r="FT285" s="316"/>
      <c r="FU285" s="316"/>
      <c r="FV285" s="316"/>
      <c r="FW285" s="316"/>
      <c r="FX285" s="316"/>
      <c r="FY285" s="316"/>
      <c r="FZ285" s="316"/>
      <c r="GA285" s="316"/>
      <c r="GB285" s="316"/>
      <c r="GC285" s="316"/>
      <c r="GD285" s="316"/>
      <c r="GE285" s="316"/>
      <c r="GF285" s="316"/>
      <c r="GG285" s="316"/>
      <c r="GH285" s="316"/>
      <c r="GI285" s="316"/>
      <c r="GJ285" s="316"/>
      <c r="GK285" s="316"/>
      <c r="GL285" s="316"/>
      <c r="GM285" s="316"/>
      <c r="GN285" s="316"/>
      <c r="GO285" s="316"/>
      <c r="GP285" s="316"/>
      <c r="GQ285" s="316"/>
      <c r="GR285" s="316"/>
      <c r="GS285" s="316"/>
      <c r="GT285" s="316"/>
      <c r="GU285" s="316"/>
      <c r="GV285" s="316"/>
      <c r="GW285" s="316"/>
      <c r="GX285" s="316"/>
      <c r="GY285" s="316"/>
      <c r="GZ285" s="316"/>
      <c r="HA285" s="316"/>
      <c r="HB285" s="316"/>
      <c r="HC285" s="316"/>
      <c r="HD285" s="316"/>
      <c r="HE285" s="316"/>
      <c r="HF285" s="316"/>
      <c r="HG285" s="316"/>
      <c r="HH285" s="316"/>
      <c r="HI285" s="316"/>
      <c r="HJ285" s="316"/>
      <c r="HK285" s="316"/>
      <c r="HL285" s="316"/>
      <c r="HM285" s="316"/>
      <c r="HY285" s="302">
        <f t="shared" si="52"/>
        <v>1.1499999999999999</v>
      </c>
      <c r="KH285" s="303"/>
    </row>
    <row r="286" spans="1:294" outlineLevel="1">
      <c r="D286" s="316" t="s">
        <v>991</v>
      </c>
      <c r="E286" s="316"/>
      <c r="F286" s="316"/>
      <c r="G286" s="316"/>
      <c r="H286" s="316"/>
      <c r="I286" s="316"/>
      <c r="J286" s="316"/>
      <c r="K286" s="316"/>
      <c r="L286" s="316"/>
      <c r="M286" s="316"/>
      <c r="N286" s="316"/>
      <c r="O286" s="316"/>
      <c r="P286" s="316"/>
      <c r="Q286" s="316"/>
      <c r="R286" s="316"/>
      <c r="S286" s="316"/>
      <c r="T286" s="316"/>
      <c r="U286" s="316"/>
      <c r="V286" s="316"/>
      <c r="W286" s="316"/>
      <c r="X286" s="316"/>
      <c r="Y286" s="316"/>
      <c r="Z286" s="316"/>
      <c r="AA286" s="316"/>
      <c r="AB286" s="316"/>
      <c r="AC286" s="316"/>
      <c r="AD286" s="316"/>
      <c r="AE286" s="316"/>
      <c r="AF286" s="316"/>
      <c r="AG286" s="316"/>
      <c r="AH286" s="316"/>
      <c r="AI286" s="316"/>
      <c r="AJ286" s="316"/>
      <c r="AK286" s="316"/>
      <c r="AL286" s="316"/>
      <c r="AM286" s="316"/>
      <c r="AN286" s="316"/>
      <c r="AO286" s="316"/>
      <c r="AP286" s="316"/>
      <c r="AQ286" s="316"/>
      <c r="AR286" s="316"/>
      <c r="AS286" s="316"/>
      <c r="AT286" s="316"/>
      <c r="AU286" s="316"/>
      <c r="AV286" s="316"/>
      <c r="AW286" s="316"/>
      <c r="AX286" s="316"/>
      <c r="AY286" s="316"/>
      <c r="AZ286" s="316"/>
      <c r="BA286" s="316"/>
      <c r="BB286" s="316"/>
      <c r="BC286" s="316"/>
      <c r="BD286" s="316"/>
      <c r="BE286" s="316"/>
      <c r="BF286" s="316"/>
      <c r="BG286" s="316"/>
      <c r="BH286" s="316"/>
      <c r="BI286" s="316"/>
      <c r="BJ286" s="316"/>
      <c r="BK286" s="316"/>
      <c r="BL286" s="316"/>
      <c r="BM286" s="316"/>
      <c r="BN286" s="316"/>
      <c r="BO286" s="316"/>
      <c r="BP286" s="316"/>
      <c r="BQ286" s="316"/>
      <c r="BR286" s="316"/>
      <c r="BS286" s="316"/>
      <c r="BT286" s="316"/>
      <c r="BU286" s="316"/>
      <c r="BV286" s="316"/>
      <c r="BW286" s="316"/>
      <c r="BX286" s="316"/>
      <c r="BY286" s="316"/>
      <c r="BZ286" s="316"/>
      <c r="CA286" s="316"/>
      <c r="CB286" s="316"/>
      <c r="CC286" s="316"/>
      <c r="CD286" s="316"/>
      <c r="CE286" s="317"/>
      <c r="CF286" s="316"/>
      <c r="CG286" s="316"/>
      <c r="CH286" s="316"/>
      <c r="CI286" s="316"/>
      <c r="CJ286" s="316"/>
      <c r="CK286" s="316"/>
      <c r="CL286" s="316"/>
      <c r="CM286" s="316"/>
      <c r="CN286" s="316"/>
      <c r="CO286" s="316"/>
      <c r="CP286" s="318"/>
      <c r="CQ286" s="316"/>
      <c r="CR286" s="316"/>
      <c r="CS286" s="316"/>
      <c r="CT286" s="316"/>
      <c r="CU286" s="316"/>
      <c r="CV286" s="316"/>
      <c r="CW286" s="316"/>
      <c r="CX286" s="316"/>
      <c r="CY286" s="316"/>
      <c r="CZ286" s="316"/>
      <c r="DA286" s="316"/>
      <c r="DB286" s="1498"/>
      <c r="DC286" s="316">
        <v>0</v>
      </c>
      <c r="DD286" s="316">
        <v>0</v>
      </c>
      <c r="DE286" s="316">
        <v>0.36849867800000002</v>
      </c>
      <c r="DF286" s="316">
        <v>0</v>
      </c>
      <c r="DG286" s="316">
        <v>0.37262134400000002</v>
      </c>
      <c r="DH286" s="316">
        <v>0</v>
      </c>
      <c r="DI286" s="316">
        <v>0.37845983700000002</v>
      </c>
      <c r="DJ286" s="316">
        <v>0</v>
      </c>
      <c r="DK286" s="316">
        <v>0</v>
      </c>
      <c r="DL286" s="316">
        <v>0.389861544</v>
      </c>
      <c r="DM286" s="316">
        <v>0</v>
      </c>
      <c r="DN286" s="318">
        <v>0</v>
      </c>
      <c r="DO286" s="316">
        <v>0</v>
      </c>
      <c r="DP286" s="316">
        <v>0.30663901399999999</v>
      </c>
      <c r="DQ286" s="316">
        <v>0</v>
      </c>
      <c r="DR286" s="316">
        <v>0.31163317499999998</v>
      </c>
      <c r="DS286" s="316">
        <v>0</v>
      </c>
      <c r="DT286" s="316">
        <v>0</v>
      </c>
      <c r="DU286" s="316">
        <v>0.643098795</v>
      </c>
      <c r="DV286" s="316">
        <v>0</v>
      </c>
      <c r="DW286" s="316">
        <v>0</v>
      </c>
      <c r="DX286" s="316">
        <v>0.31770605200000002</v>
      </c>
      <c r="DY286" s="316">
        <v>0</v>
      </c>
      <c r="DZ286" s="318">
        <v>0</v>
      </c>
      <c r="EA286" s="316">
        <v>0</v>
      </c>
      <c r="EB286" s="316">
        <v>0</v>
      </c>
      <c r="EC286" s="316">
        <v>0</v>
      </c>
      <c r="ED286" s="316">
        <v>0.84660976499999996</v>
      </c>
      <c r="EE286" s="316">
        <v>0</v>
      </c>
      <c r="EF286" s="316">
        <v>0</v>
      </c>
      <c r="EG286" s="316">
        <v>0.21356771699999999</v>
      </c>
      <c r="EH286" s="316">
        <v>0</v>
      </c>
      <c r="EI286" s="316">
        <v>0</v>
      </c>
      <c r="EJ286" s="316">
        <v>0.215527204</v>
      </c>
      <c r="EK286" s="316">
        <v>0</v>
      </c>
      <c r="EL286" s="318">
        <v>0</v>
      </c>
      <c r="EM286" s="1206">
        <v>0</v>
      </c>
      <c r="EN286" s="1206">
        <v>0</v>
      </c>
      <c r="EO286" s="1206">
        <v>0</v>
      </c>
      <c r="EP286" s="1206">
        <v>0.17596346099999999</v>
      </c>
      <c r="EQ286" s="1206">
        <v>0.17690678800000001</v>
      </c>
      <c r="ER286" s="1206">
        <v>0</v>
      </c>
      <c r="ES286" s="1206">
        <v>0.17803535500000001</v>
      </c>
      <c r="ET286" s="1206">
        <v>0</v>
      </c>
      <c r="EU286" s="1206">
        <v>0.64876636600000004</v>
      </c>
      <c r="EV286" s="1206">
        <v>0</v>
      </c>
      <c r="EW286" s="1206">
        <v>0</v>
      </c>
      <c r="EX286" s="1550">
        <v>0</v>
      </c>
      <c r="EY286" s="1206"/>
      <c r="EZ286" s="1206"/>
      <c r="FA286" s="1206"/>
      <c r="FB286" s="1206"/>
      <c r="FC286" s="1206"/>
      <c r="FD286" s="1206"/>
      <c r="FE286" s="1206"/>
      <c r="FF286" s="1206"/>
      <c r="FG286" s="1206"/>
      <c r="FH286" s="1206"/>
      <c r="FI286" s="1206"/>
      <c r="FJ286" s="1550"/>
      <c r="FK286" s="1206"/>
      <c r="FL286" s="1206"/>
      <c r="FM286" s="1206"/>
      <c r="FN286" s="1206"/>
      <c r="FO286" s="1206"/>
      <c r="FP286" s="1206"/>
      <c r="FQ286" s="316"/>
      <c r="FR286" s="316"/>
      <c r="FS286" s="316"/>
      <c r="FT286" s="316"/>
      <c r="FU286" s="316"/>
      <c r="FV286" s="316"/>
      <c r="FW286" s="316"/>
      <c r="FX286" s="316"/>
      <c r="FY286" s="316"/>
      <c r="FZ286" s="316"/>
      <c r="GA286" s="316"/>
      <c r="GB286" s="316"/>
      <c r="GC286" s="316"/>
      <c r="GD286" s="316"/>
      <c r="GE286" s="316"/>
      <c r="GF286" s="316"/>
      <c r="GG286" s="316"/>
      <c r="GH286" s="316"/>
      <c r="GI286" s="316"/>
      <c r="GJ286" s="316"/>
      <c r="GK286" s="316"/>
      <c r="GL286" s="316"/>
      <c r="GM286" s="316"/>
      <c r="GN286" s="316"/>
      <c r="GO286" s="316"/>
      <c r="GP286" s="316"/>
      <c r="GQ286" s="316"/>
      <c r="GR286" s="316"/>
      <c r="GS286" s="316"/>
      <c r="GT286" s="316"/>
      <c r="GU286" s="316"/>
      <c r="GV286" s="316"/>
      <c r="GW286" s="316"/>
      <c r="GX286" s="316"/>
      <c r="GY286" s="316"/>
      <c r="GZ286" s="316"/>
      <c r="HA286" s="316"/>
      <c r="HB286" s="316"/>
      <c r="HC286" s="316"/>
      <c r="HD286" s="316"/>
      <c r="HE286" s="316"/>
      <c r="HF286" s="316"/>
      <c r="HG286" s="316"/>
      <c r="HH286" s="316"/>
      <c r="HI286" s="316"/>
      <c r="HJ286" s="316"/>
      <c r="HK286" s="316"/>
      <c r="HL286" s="316"/>
      <c r="HM286" s="316"/>
      <c r="HY286" s="302">
        <f t="shared" si="52"/>
        <v>0.61827218900000003</v>
      </c>
      <c r="KH286" s="303"/>
    </row>
    <row r="287" spans="1:294" outlineLevel="1">
      <c r="D287" s="316" t="s">
        <v>992</v>
      </c>
      <c r="E287" s="316"/>
      <c r="F287" s="316"/>
      <c r="G287" s="316"/>
      <c r="H287" s="316"/>
      <c r="I287" s="316"/>
      <c r="J287" s="316"/>
      <c r="K287" s="316"/>
      <c r="L287" s="316"/>
      <c r="M287" s="316"/>
      <c r="N287" s="316"/>
      <c r="O287" s="316"/>
      <c r="P287" s="316"/>
      <c r="Q287" s="316"/>
      <c r="R287" s="316"/>
      <c r="S287" s="316"/>
      <c r="T287" s="316"/>
      <c r="U287" s="316"/>
      <c r="V287" s="316"/>
      <c r="W287" s="316"/>
      <c r="X287" s="316"/>
      <c r="Y287" s="316"/>
      <c r="Z287" s="316"/>
      <c r="AA287" s="316"/>
      <c r="AB287" s="316"/>
      <c r="AC287" s="316"/>
      <c r="AD287" s="316"/>
      <c r="AE287" s="316"/>
      <c r="AF287" s="316"/>
      <c r="AG287" s="316"/>
      <c r="AH287" s="316"/>
      <c r="AI287" s="316"/>
      <c r="AJ287" s="316"/>
      <c r="AK287" s="316"/>
      <c r="AL287" s="316"/>
      <c r="AM287" s="316"/>
      <c r="AN287" s="316"/>
      <c r="AO287" s="316"/>
      <c r="AP287" s="316"/>
      <c r="AQ287" s="316"/>
      <c r="AR287" s="316"/>
      <c r="AS287" s="316"/>
      <c r="AT287" s="316"/>
      <c r="AU287" s="316"/>
      <c r="AV287" s="316"/>
      <c r="AW287" s="316"/>
      <c r="AX287" s="316"/>
      <c r="AY287" s="316"/>
      <c r="AZ287" s="316"/>
      <c r="BA287" s="316"/>
      <c r="BB287" s="316"/>
      <c r="BC287" s="316"/>
      <c r="BD287" s="316"/>
      <c r="BE287" s="316"/>
      <c r="BF287" s="316"/>
      <c r="BG287" s="316"/>
      <c r="BH287" s="316"/>
      <c r="BI287" s="316"/>
      <c r="BJ287" s="316"/>
      <c r="BK287" s="316"/>
      <c r="BL287" s="316"/>
      <c r="BM287" s="316"/>
      <c r="BN287" s="316"/>
      <c r="BO287" s="316"/>
      <c r="BP287" s="316"/>
      <c r="BQ287" s="316"/>
      <c r="BR287" s="316"/>
      <c r="BS287" s="316"/>
      <c r="BT287" s="316"/>
      <c r="BU287" s="316"/>
      <c r="BV287" s="316"/>
      <c r="BW287" s="316"/>
      <c r="BX287" s="316"/>
      <c r="BY287" s="316"/>
      <c r="BZ287" s="316"/>
      <c r="CA287" s="316"/>
      <c r="CB287" s="316"/>
      <c r="CC287" s="316"/>
      <c r="CD287" s="316"/>
      <c r="CE287" s="317"/>
      <c r="CF287" s="316"/>
      <c r="CG287" s="316"/>
      <c r="CH287" s="316"/>
      <c r="CI287" s="316"/>
      <c r="CJ287" s="316"/>
      <c r="CK287" s="316"/>
      <c r="CL287" s="316"/>
      <c r="CM287" s="316"/>
      <c r="CN287" s="316"/>
      <c r="CO287" s="316"/>
      <c r="CP287" s="318"/>
      <c r="CQ287" s="316"/>
      <c r="CR287" s="316"/>
      <c r="CS287" s="316"/>
      <c r="CT287" s="316"/>
      <c r="CU287" s="316"/>
      <c r="CV287" s="316"/>
      <c r="CW287" s="316"/>
      <c r="CX287" s="316"/>
      <c r="CY287" s="316"/>
      <c r="CZ287" s="316"/>
      <c r="DA287" s="316"/>
      <c r="DB287" s="1498"/>
      <c r="DC287" s="316"/>
      <c r="DD287" s="316"/>
      <c r="DE287" s="316"/>
      <c r="DF287" s="316"/>
      <c r="DG287" s="316"/>
      <c r="DH287" s="316"/>
      <c r="DI287" s="316"/>
      <c r="DJ287" s="316"/>
      <c r="DK287" s="316"/>
      <c r="DL287" s="316"/>
      <c r="DM287" s="316"/>
      <c r="DN287" s="318"/>
      <c r="DO287" s="316"/>
      <c r="DP287" s="316"/>
      <c r="DQ287" s="316"/>
      <c r="DR287" s="316"/>
      <c r="DS287" s="316"/>
      <c r="DT287" s="316"/>
      <c r="DU287" s="316"/>
      <c r="DV287" s="316"/>
      <c r="DW287" s="316"/>
      <c r="DX287" s="316"/>
      <c r="DY287" s="316"/>
      <c r="DZ287" s="318"/>
      <c r="EA287" s="316"/>
      <c r="EB287" s="316"/>
      <c r="EC287" s="316"/>
      <c r="ED287" s="316"/>
      <c r="EE287" s="316"/>
      <c r="EF287" s="316"/>
      <c r="EG287" s="316"/>
      <c r="EH287" s="316"/>
      <c r="EI287" s="316"/>
      <c r="EJ287" s="316"/>
      <c r="EK287" s="316"/>
      <c r="EL287" s="318"/>
      <c r="EM287" s="1206">
        <v>0</v>
      </c>
      <c r="EN287" s="1206">
        <v>0</v>
      </c>
      <c r="EO287" s="1206">
        <v>0</v>
      </c>
      <c r="EP287" s="1206">
        <v>0</v>
      </c>
      <c r="EQ287" s="1206">
        <v>0</v>
      </c>
      <c r="ER287" s="1206">
        <v>0</v>
      </c>
      <c r="ES287" s="1206">
        <v>0</v>
      </c>
      <c r="ET287" s="1206">
        <v>0</v>
      </c>
      <c r="EU287" s="1206">
        <v>0</v>
      </c>
      <c r="EV287" s="1206">
        <v>0</v>
      </c>
      <c r="EW287" s="1206">
        <v>0</v>
      </c>
      <c r="EX287" s="1550">
        <v>0</v>
      </c>
      <c r="EY287" s="1206"/>
      <c r="EZ287" s="1206"/>
      <c r="FA287" s="1206"/>
      <c r="FB287" s="1206"/>
      <c r="FC287" s="1206"/>
      <c r="FD287" s="1206"/>
      <c r="FE287" s="1206"/>
      <c r="FF287" s="1206"/>
      <c r="FG287" s="1206"/>
      <c r="FH287" s="1206"/>
      <c r="FI287" s="1206"/>
      <c r="FJ287" s="1550"/>
      <c r="FK287" s="1206"/>
      <c r="FL287" s="1206"/>
      <c r="FM287" s="1206"/>
      <c r="FN287" s="1206"/>
      <c r="FO287" s="1206"/>
      <c r="FP287" s="1206"/>
      <c r="FQ287" s="316"/>
      <c r="FR287" s="316"/>
      <c r="FS287" s="316"/>
      <c r="FT287" s="316"/>
      <c r="FU287" s="316"/>
      <c r="FV287" s="316"/>
      <c r="FW287" s="316"/>
      <c r="FX287" s="316"/>
      <c r="FY287" s="316"/>
      <c r="FZ287" s="316"/>
      <c r="GA287" s="316"/>
      <c r="GB287" s="316"/>
      <c r="GC287" s="316"/>
      <c r="GD287" s="316"/>
      <c r="GE287" s="316"/>
      <c r="GF287" s="316"/>
      <c r="GG287" s="316"/>
      <c r="GH287" s="316"/>
      <c r="GI287" s="316"/>
      <c r="GJ287" s="316"/>
      <c r="GK287" s="316"/>
      <c r="GL287" s="316"/>
      <c r="GM287" s="316"/>
      <c r="GN287" s="316"/>
      <c r="GO287" s="316"/>
      <c r="GP287" s="316"/>
      <c r="GQ287" s="316"/>
      <c r="GR287" s="316"/>
      <c r="GS287" s="316"/>
      <c r="GT287" s="316"/>
      <c r="GU287" s="316"/>
      <c r="GV287" s="316"/>
      <c r="GW287" s="316"/>
      <c r="GX287" s="316"/>
      <c r="GY287" s="316"/>
      <c r="GZ287" s="316"/>
      <c r="HA287" s="316"/>
      <c r="HB287" s="316"/>
      <c r="HC287" s="316"/>
      <c r="HD287" s="316"/>
      <c r="HE287" s="316"/>
      <c r="HF287" s="316"/>
      <c r="HG287" s="316"/>
      <c r="HH287" s="316"/>
      <c r="HI287" s="316"/>
      <c r="HJ287" s="316"/>
      <c r="HK287" s="316"/>
      <c r="HL287" s="316"/>
      <c r="HM287" s="316"/>
      <c r="HY287" s="302">
        <f t="shared" si="52"/>
        <v>0</v>
      </c>
      <c r="KH287" s="303"/>
    </row>
    <row r="288" spans="1:294" outlineLevel="1">
      <c r="B288" s="117" t="s">
        <v>361</v>
      </c>
      <c r="D288" s="316" t="s">
        <v>993</v>
      </c>
      <c r="E288" s="316"/>
      <c r="F288" s="316"/>
      <c r="G288" s="316"/>
      <c r="H288" s="316"/>
      <c r="I288" s="316"/>
      <c r="J288" s="316"/>
      <c r="K288" s="316"/>
      <c r="L288" s="316"/>
      <c r="M288" s="316"/>
      <c r="N288" s="316"/>
      <c r="O288" s="316"/>
      <c r="P288" s="316"/>
      <c r="Q288" s="316"/>
      <c r="R288" s="316"/>
      <c r="S288" s="316"/>
      <c r="T288" s="316"/>
      <c r="U288" s="316"/>
      <c r="V288" s="316"/>
      <c r="W288" s="316"/>
      <c r="X288" s="316"/>
      <c r="Y288" s="316"/>
      <c r="Z288" s="316"/>
      <c r="AA288" s="316"/>
      <c r="AB288" s="316"/>
      <c r="AC288" s="316"/>
      <c r="AD288" s="316"/>
      <c r="AE288" s="316"/>
      <c r="AF288" s="316"/>
      <c r="AG288" s="316"/>
      <c r="AH288" s="316"/>
      <c r="AI288" s="316"/>
      <c r="AJ288" s="316"/>
      <c r="AK288" s="316"/>
      <c r="AL288" s="316"/>
      <c r="AM288" s="316"/>
      <c r="AN288" s="316"/>
      <c r="AO288" s="316"/>
      <c r="AP288" s="316"/>
      <c r="AQ288" s="316"/>
      <c r="AR288" s="316"/>
      <c r="AS288" s="316"/>
      <c r="AT288" s="316"/>
      <c r="AU288" s="316"/>
      <c r="AV288" s="316"/>
      <c r="AW288" s="316"/>
      <c r="AX288" s="316"/>
      <c r="AY288" s="316"/>
      <c r="AZ288" s="316"/>
      <c r="BA288" s="316"/>
      <c r="BB288" s="316"/>
      <c r="BC288" s="316"/>
      <c r="BD288" s="316"/>
      <c r="BE288" s="316"/>
      <c r="BF288" s="316"/>
      <c r="BG288" s="316"/>
      <c r="BH288" s="316"/>
      <c r="BI288" s="316"/>
      <c r="BJ288" s="316"/>
      <c r="BK288" s="316"/>
      <c r="BL288" s="316"/>
      <c r="BM288" s="316"/>
      <c r="BN288" s="316"/>
      <c r="BO288" s="316"/>
      <c r="BP288" s="316"/>
      <c r="BQ288" s="316"/>
      <c r="BR288" s="316"/>
      <c r="BS288" s="316"/>
      <c r="BT288" s="316"/>
      <c r="BU288" s="316"/>
      <c r="BV288" s="316"/>
      <c r="BW288" s="316"/>
      <c r="BX288" s="316"/>
      <c r="BY288" s="316"/>
      <c r="BZ288" s="316"/>
      <c r="CA288" s="316"/>
      <c r="CB288" s="316"/>
      <c r="CC288" s="316"/>
      <c r="CD288" s="316"/>
      <c r="CE288" s="317">
        <v>2.390504993</v>
      </c>
      <c r="CF288" s="316">
        <v>7.4228355150000001</v>
      </c>
      <c r="CG288" s="316">
        <v>3.3296801729999999</v>
      </c>
      <c r="CH288" s="316">
        <v>3.6924955100000001</v>
      </c>
      <c r="CI288" s="316">
        <v>4</v>
      </c>
      <c r="CJ288" s="316">
        <v>2.8368251789999999</v>
      </c>
      <c r="CK288" s="316">
        <v>2.7035992700000002</v>
      </c>
      <c r="CL288" s="316">
        <v>2.8833706860000001</v>
      </c>
      <c r="CM288" s="316">
        <v>1.6852193000000001E-2</v>
      </c>
      <c r="CN288" s="316">
        <v>0.34203537899999997</v>
      </c>
      <c r="CO288" s="316">
        <v>8.5795100999999999E-2</v>
      </c>
      <c r="CP288" s="318">
        <v>1.722784256</v>
      </c>
      <c r="CQ288" s="316">
        <v>3.3838203980000001</v>
      </c>
      <c r="CR288" s="316">
        <v>5.7186317999999998</v>
      </c>
      <c r="CS288" s="316">
        <v>6.1350750520000004</v>
      </c>
      <c r="CT288" s="316">
        <v>2.87493949</v>
      </c>
      <c r="CU288" s="316">
        <v>4.2249999999999996</v>
      </c>
      <c r="CV288" s="316">
        <v>3.3</v>
      </c>
      <c r="CW288" s="316">
        <v>3.7043971180000002</v>
      </c>
      <c r="CX288" s="316">
        <v>3.3</v>
      </c>
      <c r="CY288" s="316">
        <v>6.7</v>
      </c>
      <c r="CZ288" s="316">
        <v>0</v>
      </c>
      <c r="DA288" s="316">
        <v>3.4</v>
      </c>
      <c r="DB288" s="1498">
        <v>3.3</v>
      </c>
      <c r="DC288" s="316">
        <v>3.3</v>
      </c>
      <c r="DD288" s="316">
        <v>3.3</v>
      </c>
      <c r="DE288" s="316">
        <v>3.3</v>
      </c>
      <c r="DF288" s="316">
        <v>3.3</v>
      </c>
      <c r="DG288" s="316">
        <v>4</v>
      </c>
      <c r="DH288" s="316">
        <v>4</v>
      </c>
      <c r="DI288" s="316">
        <v>3.3</v>
      </c>
      <c r="DJ288" s="316">
        <v>4</v>
      </c>
      <c r="DK288" s="316">
        <v>2.875</v>
      </c>
      <c r="DL288" s="316">
        <v>2.875</v>
      </c>
      <c r="DM288" s="316">
        <v>2.875</v>
      </c>
      <c r="DN288" s="318">
        <v>2.966221956</v>
      </c>
      <c r="DO288" s="316">
        <v>4.8980108539999998</v>
      </c>
      <c r="DP288" s="316">
        <v>6.5999999989999996</v>
      </c>
      <c r="DQ288" s="316">
        <v>6.81953502</v>
      </c>
      <c r="DR288" s="316">
        <v>6.81953502</v>
      </c>
      <c r="DS288" s="316">
        <v>7.6440726510000001</v>
      </c>
      <c r="DT288" s="316">
        <v>5.9949982159999999</v>
      </c>
      <c r="DU288" s="316">
        <v>6.81953502</v>
      </c>
      <c r="DV288" s="316">
        <v>6.81953502</v>
      </c>
      <c r="DW288" s="316">
        <v>6.81953502</v>
      </c>
      <c r="DX288" s="316">
        <v>6.8195348039999999</v>
      </c>
      <c r="DY288" s="316">
        <v>7.9879124170000004</v>
      </c>
      <c r="DZ288" s="318">
        <v>6.8195350120000002</v>
      </c>
      <c r="EA288" s="316">
        <v>9.8000000000000007</v>
      </c>
      <c r="EB288" s="316">
        <v>3.81953502</v>
      </c>
      <c r="EC288" s="316">
        <v>21.81953502</v>
      </c>
      <c r="ED288" s="316">
        <v>6.8195350039999996</v>
      </c>
      <c r="EE288" s="316">
        <v>6.81953502</v>
      </c>
      <c r="EF288" s="316">
        <v>6.8195350279999998</v>
      </c>
      <c r="EG288" s="316">
        <v>6.81953502</v>
      </c>
      <c r="EH288" s="316">
        <v>6.81953502</v>
      </c>
      <c r="EI288" s="316">
        <v>12.721860212999999</v>
      </c>
      <c r="EJ288" s="316">
        <v>4.3411505400000001</v>
      </c>
      <c r="EK288" s="316">
        <v>8.6823010800000002</v>
      </c>
      <c r="EL288" s="318">
        <v>0</v>
      </c>
      <c r="EM288" s="1206">
        <v>14.730464983999999</v>
      </c>
      <c r="EN288" s="1206">
        <v>3.2421803100000002</v>
      </c>
      <c r="EO288" s="1206">
        <v>17.972645320000002</v>
      </c>
      <c r="EP288" s="1206">
        <v>8.9863226459999996</v>
      </c>
      <c r="EQ288" s="1206">
        <v>18.986322625</v>
      </c>
      <c r="ER288" s="1206">
        <v>0</v>
      </c>
      <c r="ES288" s="1206">
        <v>17.972645289999999</v>
      </c>
      <c r="ET288" s="1206">
        <v>8.9863226449999996</v>
      </c>
      <c r="EU288" s="1206">
        <v>8.9863226600000008</v>
      </c>
      <c r="EV288" s="1206">
        <v>8.9863226449999996</v>
      </c>
      <c r="EW288" s="1206">
        <v>8.9863226479999998</v>
      </c>
      <c r="EX288" s="1550">
        <v>0</v>
      </c>
      <c r="EY288" s="1206"/>
      <c r="EZ288" s="1206"/>
      <c r="FA288" s="1206"/>
      <c r="FB288" s="1206"/>
      <c r="FC288" s="1206"/>
      <c r="FD288" s="1206"/>
      <c r="FE288" s="1206"/>
      <c r="FF288" s="1206"/>
      <c r="FG288" s="1206"/>
      <c r="FH288" s="1206"/>
      <c r="FI288" s="1206"/>
      <c r="FJ288" s="1550"/>
      <c r="FK288" s="1206"/>
      <c r="FL288" s="1206"/>
      <c r="FM288" s="1206"/>
      <c r="FN288" s="1206"/>
      <c r="FO288" s="1206"/>
      <c r="FP288" s="1206"/>
      <c r="FQ288" s="316"/>
      <c r="FR288" s="316"/>
      <c r="FS288" s="316"/>
      <c r="FT288" s="316"/>
      <c r="FU288" s="316"/>
      <c r="FV288" s="316"/>
      <c r="FW288" s="316"/>
      <c r="FX288" s="316"/>
      <c r="FY288" s="316"/>
      <c r="FZ288" s="316"/>
      <c r="GA288" s="316"/>
      <c r="GB288" s="316"/>
      <c r="GC288" s="316"/>
      <c r="GD288" s="316"/>
      <c r="GE288" s="316"/>
      <c r="GF288" s="316"/>
      <c r="GG288" s="316"/>
      <c r="GH288" s="316"/>
      <c r="GI288" s="316"/>
      <c r="GJ288" s="316"/>
      <c r="GK288" s="316"/>
      <c r="GL288" s="316"/>
      <c r="GM288" s="316"/>
      <c r="GN288" s="316"/>
      <c r="GO288" s="316"/>
      <c r="GP288" s="316"/>
      <c r="GQ288" s="316"/>
      <c r="GR288" s="316"/>
      <c r="GS288" s="316"/>
      <c r="GT288" s="316"/>
      <c r="GU288" s="316"/>
      <c r="GV288" s="316"/>
      <c r="GW288" s="316"/>
      <c r="GX288" s="316"/>
      <c r="GY288" s="316"/>
      <c r="GZ288" s="316"/>
      <c r="HA288" s="316"/>
      <c r="HB288" s="316"/>
      <c r="HC288" s="316"/>
      <c r="HD288" s="316"/>
      <c r="HE288" s="316"/>
      <c r="HF288" s="316"/>
      <c r="HG288" s="316"/>
      <c r="HH288" s="316"/>
      <c r="HI288" s="316"/>
      <c r="HJ288" s="316"/>
      <c r="HK288" s="316"/>
      <c r="HL288" s="316"/>
      <c r="HM288" s="316"/>
      <c r="HY288" s="302">
        <f t="shared" si="52"/>
        <v>38.776151759999998</v>
      </c>
      <c r="KH288" s="303"/>
    </row>
    <row r="289" spans="1:294" outlineLevel="1">
      <c r="D289" s="316" t="s">
        <v>994</v>
      </c>
      <c r="E289" s="316"/>
      <c r="F289" s="316"/>
      <c r="G289" s="316"/>
      <c r="H289" s="316"/>
      <c r="I289" s="316"/>
      <c r="J289" s="316"/>
      <c r="K289" s="316"/>
      <c r="L289" s="316"/>
      <c r="M289" s="316"/>
      <c r="N289" s="316"/>
      <c r="O289" s="316"/>
      <c r="P289" s="316"/>
      <c r="Q289" s="316"/>
      <c r="R289" s="316"/>
      <c r="S289" s="316"/>
      <c r="T289" s="316"/>
      <c r="U289" s="316"/>
      <c r="V289" s="316"/>
      <c r="W289" s="316"/>
      <c r="X289" s="316"/>
      <c r="Y289" s="316"/>
      <c r="Z289" s="316"/>
      <c r="AA289" s="316"/>
      <c r="AB289" s="316"/>
      <c r="AC289" s="316"/>
      <c r="AD289" s="316"/>
      <c r="AE289" s="316"/>
      <c r="AF289" s="316"/>
      <c r="AG289" s="316"/>
      <c r="AH289" s="316"/>
      <c r="AI289" s="316"/>
      <c r="AJ289" s="316"/>
      <c r="AK289" s="316"/>
      <c r="AL289" s="316"/>
      <c r="AM289" s="316"/>
      <c r="AN289" s="316"/>
      <c r="AO289" s="316"/>
      <c r="AP289" s="316"/>
      <c r="AQ289" s="316"/>
      <c r="AR289" s="316"/>
      <c r="AS289" s="316"/>
      <c r="AT289" s="316"/>
      <c r="AU289" s="316"/>
      <c r="AV289" s="316"/>
      <c r="AW289" s="316"/>
      <c r="AX289" s="316"/>
      <c r="AY289" s="316"/>
      <c r="AZ289" s="316"/>
      <c r="BA289" s="316"/>
      <c r="BB289" s="316"/>
      <c r="BC289" s="316"/>
      <c r="BD289" s="316"/>
      <c r="BE289" s="316"/>
      <c r="BF289" s="316"/>
      <c r="BG289" s="316"/>
      <c r="BH289" s="316"/>
      <c r="BI289" s="316"/>
      <c r="BJ289" s="316"/>
      <c r="BK289" s="316"/>
      <c r="BL289" s="316"/>
      <c r="BM289" s="316"/>
      <c r="BN289" s="316"/>
      <c r="BO289" s="316"/>
      <c r="BP289" s="316"/>
      <c r="BQ289" s="316"/>
      <c r="BR289" s="316"/>
      <c r="BS289" s="316"/>
      <c r="BT289" s="316"/>
      <c r="BU289" s="316"/>
      <c r="BV289" s="316"/>
      <c r="BW289" s="316"/>
      <c r="BX289" s="316"/>
      <c r="BY289" s="316"/>
      <c r="BZ289" s="316"/>
      <c r="CA289" s="316"/>
      <c r="CB289" s="316"/>
      <c r="CC289" s="316"/>
      <c r="CD289" s="316"/>
      <c r="CE289" s="317"/>
      <c r="CF289" s="316"/>
      <c r="CG289" s="316"/>
      <c r="CH289" s="316"/>
      <c r="CI289" s="316"/>
      <c r="CJ289" s="316"/>
      <c r="CK289" s="316"/>
      <c r="CL289" s="316"/>
      <c r="CM289" s="316"/>
      <c r="CN289" s="316"/>
      <c r="CO289" s="316"/>
      <c r="CP289" s="318"/>
      <c r="CQ289" s="316"/>
      <c r="CR289" s="316"/>
      <c r="CS289" s="316"/>
      <c r="CT289" s="316"/>
      <c r="CU289" s="316"/>
      <c r="CV289" s="316"/>
      <c r="CW289" s="316"/>
      <c r="CX289" s="316"/>
      <c r="CY289" s="316"/>
      <c r="CZ289" s="316"/>
      <c r="DA289" s="316"/>
      <c r="DB289" s="1498"/>
      <c r="DC289" s="316">
        <v>0</v>
      </c>
      <c r="DD289" s="316">
        <v>0</v>
      </c>
      <c r="DE289" s="316">
        <v>0</v>
      </c>
      <c r="DF289" s="316">
        <v>0</v>
      </c>
      <c r="DG289" s="316">
        <v>0</v>
      </c>
      <c r="DH289" s="316">
        <v>0</v>
      </c>
      <c r="DI289" s="316">
        <v>0</v>
      </c>
      <c r="DJ289" s="316">
        <v>0</v>
      </c>
      <c r="DK289" s="316">
        <v>0</v>
      </c>
      <c r="DL289" s="316">
        <v>0</v>
      </c>
      <c r="DM289" s="316">
        <v>0</v>
      </c>
      <c r="DN289" s="318">
        <v>0</v>
      </c>
      <c r="DO289" s="316">
        <v>0</v>
      </c>
      <c r="DP289" s="316">
        <v>0</v>
      </c>
      <c r="DQ289" s="316">
        <v>0</v>
      </c>
      <c r="DR289" s="316">
        <v>0</v>
      </c>
      <c r="DS289" s="316">
        <v>0</v>
      </c>
      <c r="DT289" s="316">
        <v>0</v>
      </c>
      <c r="DU289" s="316">
        <v>0</v>
      </c>
      <c r="DV289" s="316">
        <v>0</v>
      </c>
      <c r="DW289" s="316">
        <v>0</v>
      </c>
      <c r="DX289" s="316">
        <v>0</v>
      </c>
      <c r="DY289" s="316">
        <v>0</v>
      </c>
      <c r="DZ289" s="318">
        <v>0</v>
      </c>
      <c r="EA289" s="316">
        <v>0</v>
      </c>
      <c r="EB289" s="316">
        <v>0</v>
      </c>
      <c r="EC289" s="316">
        <v>0</v>
      </c>
      <c r="ED289" s="316">
        <v>0</v>
      </c>
      <c r="EE289" s="316">
        <v>0</v>
      </c>
      <c r="EF289" s="316">
        <v>0</v>
      </c>
      <c r="EG289" s="316">
        <v>0</v>
      </c>
      <c r="EH289" s="316">
        <v>0</v>
      </c>
      <c r="EI289" s="316">
        <v>0</v>
      </c>
      <c r="EJ289" s="316">
        <v>0</v>
      </c>
      <c r="EK289" s="316">
        <v>0</v>
      </c>
      <c r="EL289" s="318">
        <v>0</v>
      </c>
      <c r="EM289" s="1206">
        <v>0</v>
      </c>
      <c r="EN289" s="1206">
        <v>0</v>
      </c>
      <c r="EO289" s="1206">
        <v>0</v>
      </c>
      <c r="EP289" s="1206">
        <v>0</v>
      </c>
      <c r="EQ289" s="1206">
        <v>0</v>
      </c>
      <c r="ER289" s="1206">
        <v>0</v>
      </c>
      <c r="ES289" s="1206">
        <v>0</v>
      </c>
      <c r="ET289" s="1206">
        <v>0</v>
      </c>
      <c r="EU289" s="1206">
        <v>0</v>
      </c>
      <c r="EV289" s="1206">
        <v>0</v>
      </c>
      <c r="EW289" s="1206">
        <v>0</v>
      </c>
      <c r="EX289" s="1550">
        <v>0</v>
      </c>
      <c r="EY289" s="1206"/>
      <c r="EZ289" s="1206"/>
      <c r="FA289" s="1206"/>
      <c r="FB289" s="1206"/>
      <c r="FC289" s="1206"/>
      <c r="FD289" s="1206"/>
      <c r="FE289" s="1206"/>
      <c r="FF289" s="1206"/>
      <c r="FG289" s="1206"/>
      <c r="FH289" s="1206"/>
      <c r="FI289" s="1206"/>
      <c r="FJ289" s="1550"/>
      <c r="FK289" s="1206"/>
      <c r="FL289" s="1206"/>
      <c r="FM289" s="1206"/>
      <c r="FN289" s="1206"/>
      <c r="FO289" s="1206"/>
      <c r="FP289" s="1206"/>
      <c r="FQ289" s="316"/>
      <c r="FR289" s="316"/>
      <c r="FS289" s="316"/>
      <c r="FT289" s="316"/>
      <c r="FU289" s="316"/>
      <c r="FV289" s="316"/>
      <c r="FW289" s="316"/>
      <c r="FX289" s="316"/>
      <c r="FY289" s="316"/>
      <c r="FZ289" s="316"/>
      <c r="GA289" s="316"/>
      <c r="GB289" s="316"/>
      <c r="GC289" s="316"/>
      <c r="GD289" s="316"/>
      <c r="GE289" s="316"/>
      <c r="GF289" s="316"/>
      <c r="GG289" s="316"/>
      <c r="GH289" s="316"/>
      <c r="GI289" s="316"/>
      <c r="GJ289" s="316"/>
      <c r="GK289" s="316"/>
      <c r="GL289" s="316"/>
      <c r="GM289" s="316"/>
      <c r="GN289" s="316"/>
      <c r="GO289" s="316"/>
      <c r="GP289" s="316"/>
      <c r="GQ289" s="316"/>
      <c r="GR289" s="316"/>
      <c r="GS289" s="316"/>
      <c r="GT289" s="316"/>
      <c r="GU289" s="316"/>
      <c r="GV289" s="316"/>
      <c r="GW289" s="316"/>
      <c r="GX289" s="316"/>
      <c r="GY289" s="316"/>
      <c r="GZ289" s="316"/>
      <c r="HA289" s="316"/>
      <c r="HB289" s="316"/>
      <c r="HC289" s="316"/>
      <c r="HD289" s="316"/>
      <c r="HE289" s="316"/>
      <c r="HF289" s="316"/>
      <c r="HG289" s="316"/>
      <c r="HH289" s="316"/>
      <c r="HI289" s="316"/>
      <c r="HJ289" s="316"/>
      <c r="HK289" s="316"/>
      <c r="HL289" s="316"/>
      <c r="HM289" s="316"/>
      <c r="HY289" s="302">
        <f t="shared" si="52"/>
        <v>0</v>
      </c>
      <c r="KH289" s="303"/>
    </row>
    <row r="290" spans="1:294" outlineLevel="1">
      <c r="B290" s="117" t="s">
        <v>361</v>
      </c>
      <c r="D290" s="316" t="s">
        <v>995</v>
      </c>
      <c r="E290" s="316"/>
      <c r="F290" s="316"/>
      <c r="G290" s="316"/>
      <c r="H290" s="316"/>
      <c r="I290" s="316"/>
      <c r="J290" s="316"/>
      <c r="K290" s="316"/>
      <c r="L290" s="316"/>
      <c r="M290" s="316"/>
      <c r="N290" s="316"/>
      <c r="O290" s="316"/>
      <c r="P290" s="316"/>
      <c r="Q290" s="316"/>
      <c r="R290" s="316"/>
      <c r="S290" s="316"/>
      <c r="T290" s="316"/>
      <c r="U290" s="316"/>
      <c r="V290" s="316"/>
      <c r="W290" s="316"/>
      <c r="X290" s="316"/>
      <c r="Y290" s="316"/>
      <c r="Z290" s="316"/>
      <c r="AA290" s="316"/>
      <c r="AB290" s="316"/>
      <c r="AC290" s="316"/>
      <c r="AD290" s="316"/>
      <c r="AE290" s="316"/>
      <c r="AF290" s="316"/>
      <c r="AG290" s="316"/>
      <c r="AH290" s="316"/>
      <c r="AI290" s="316"/>
      <c r="AJ290" s="316"/>
      <c r="AK290" s="316"/>
      <c r="AL290" s="316"/>
      <c r="AM290" s="316"/>
      <c r="AN290" s="316"/>
      <c r="AO290" s="316"/>
      <c r="AP290" s="316"/>
      <c r="AQ290" s="316"/>
      <c r="AR290" s="316"/>
      <c r="AS290" s="316"/>
      <c r="AT290" s="316"/>
      <c r="AU290" s="316"/>
      <c r="AV290" s="316"/>
      <c r="AW290" s="316"/>
      <c r="AX290" s="316"/>
      <c r="AY290" s="316"/>
      <c r="AZ290" s="316"/>
      <c r="BA290" s="316"/>
      <c r="BB290" s="316"/>
      <c r="BC290" s="316"/>
      <c r="BD290" s="316"/>
      <c r="BE290" s="316"/>
      <c r="BF290" s="316"/>
      <c r="BG290" s="316"/>
      <c r="BH290" s="316"/>
      <c r="BI290" s="316"/>
      <c r="BJ290" s="316"/>
      <c r="BK290" s="316"/>
      <c r="BL290" s="316"/>
      <c r="BM290" s="316"/>
      <c r="BN290" s="316"/>
      <c r="BO290" s="316"/>
      <c r="BP290" s="316"/>
      <c r="BQ290" s="316"/>
      <c r="BR290" s="316"/>
      <c r="BS290" s="316"/>
      <c r="BT290" s="316"/>
      <c r="BU290" s="316"/>
      <c r="BV290" s="316"/>
      <c r="BW290" s="316"/>
      <c r="BX290" s="316"/>
      <c r="BY290" s="316"/>
      <c r="BZ290" s="316"/>
      <c r="CA290" s="316"/>
      <c r="CB290" s="316"/>
      <c r="CC290" s="316"/>
      <c r="CD290" s="316"/>
      <c r="CE290" s="317">
        <v>0</v>
      </c>
      <c r="CF290" s="316">
        <v>14.183386008999999</v>
      </c>
      <c r="CG290" s="316">
        <v>1.3150049660000001</v>
      </c>
      <c r="CH290" s="316">
        <v>0</v>
      </c>
      <c r="CI290" s="316">
        <v>0</v>
      </c>
      <c r="CJ290" s="316">
        <v>0</v>
      </c>
      <c r="CK290" s="316">
        <v>6.8012285700000001</v>
      </c>
      <c r="CL290" s="316">
        <v>0</v>
      </c>
      <c r="CM290" s="316">
        <v>13.671248</v>
      </c>
      <c r="CN290" s="316">
        <v>0</v>
      </c>
      <c r="CO290" s="316">
        <v>0</v>
      </c>
      <c r="CP290" s="318">
        <v>13.7748042</v>
      </c>
      <c r="CQ290" s="316">
        <v>0</v>
      </c>
      <c r="CR290" s="316">
        <v>0</v>
      </c>
      <c r="CS290" s="316">
        <v>0</v>
      </c>
      <c r="CT290" s="316">
        <v>0</v>
      </c>
      <c r="CU290" s="316">
        <v>0</v>
      </c>
      <c r="CV290" s="316">
        <v>0</v>
      </c>
      <c r="CW290" s="316">
        <v>0</v>
      </c>
      <c r="CX290" s="316">
        <v>0</v>
      </c>
      <c r="CY290" s="316">
        <v>0</v>
      </c>
      <c r="CZ290" s="316">
        <v>0</v>
      </c>
      <c r="DA290" s="316">
        <v>0</v>
      </c>
      <c r="DB290" s="1498">
        <v>0</v>
      </c>
      <c r="DC290" s="316">
        <v>0</v>
      </c>
      <c r="DD290" s="316">
        <v>10.047593833000001</v>
      </c>
      <c r="DE290" s="316">
        <v>5.2989860530000001</v>
      </c>
      <c r="DF290" s="316">
        <v>0</v>
      </c>
      <c r="DG290" s="316">
        <v>0</v>
      </c>
      <c r="DH290" s="316">
        <v>0</v>
      </c>
      <c r="DI290" s="316">
        <v>0</v>
      </c>
      <c r="DJ290" s="316">
        <v>0</v>
      </c>
      <c r="DK290" s="316">
        <v>0</v>
      </c>
      <c r="DL290" s="316">
        <v>0</v>
      </c>
      <c r="DM290" s="316">
        <v>0</v>
      </c>
      <c r="DN290" s="318">
        <v>4</v>
      </c>
      <c r="DO290" s="316">
        <v>0</v>
      </c>
      <c r="DP290" s="316">
        <v>0</v>
      </c>
      <c r="DQ290" s="316">
        <v>0</v>
      </c>
      <c r="DR290" s="316">
        <v>0</v>
      </c>
      <c r="DS290" s="316">
        <v>0</v>
      </c>
      <c r="DT290" s="316">
        <v>0</v>
      </c>
      <c r="DU290" s="316">
        <v>0</v>
      </c>
      <c r="DV290" s="316">
        <v>0</v>
      </c>
      <c r="DW290" s="316">
        <v>0</v>
      </c>
      <c r="DX290" s="316">
        <v>0</v>
      </c>
      <c r="DY290" s="316">
        <v>0</v>
      </c>
      <c r="DZ290" s="318">
        <v>0</v>
      </c>
      <c r="EA290" s="316">
        <v>0</v>
      </c>
      <c r="EB290" s="316">
        <v>2.4822225320000002</v>
      </c>
      <c r="EC290" s="316">
        <v>2.301061716</v>
      </c>
      <c r="ED290" s="316">
        <v>0</v>
      </c>
      <c r="EE290" s="316">
        <v>2.2010924460000001</v>
      </c>
      <c r="EF290" s="316">
        <v>0</v>
      </c>
      <c r="EG290" s="316">
        <v>0</v>
      </c>
      <c r="EH290" s="316">
        <v>0.31044890400000003</v>
      </c>
      <c r="EI290" s="316">
        <v>0</v>
      </c>
      <c r="EJ290" s="316">
        <v>3.8319179239999999</v>
      </c>
      <c r="EK290" s="316">
        <v>0</v>
      </c>
      <c r="EL290" s="318">
        <v>0</v>
      </c>
      <c r="EM290" s="1206">
        <v>0</v>
      </c>
      <c r="EN290" s="1206">
        <v>3.8014540480000001</v>
      </c>
      <c r="EO290" s="1206">
        <v>3.5872649980000002</v>
      </c>
      <c r="EP290" s="1206">
        <v>0</v>
      </c>
      <c r="EQ290" s="1206">
        <v>0</v>
      </c>
      <c r="ER290" s="1206">
        <v>1.50152022</v>
      </c>
      <c r="ES290" s="1206">
        <v>2.8859739630000001</v>
      </c>
      <c r="ET290" s="1206">
        <v>0</v>
      </c>
      <c r="EU290" s="1206">
        <v>1.4644046749999999</v>
      </c>
      <c r="EV290" s="1206">
        <v>2.8887351529999998</v>
      </c>
      <c r="EW290" s="1206">
        <v>0</v>
      </c>
      <c r="EX290" s="1550">
        <v>1.4644046749999999</v>
      </c>
      <c r="EY290" s="1206"/>
      <c r="EZ290" s="1206"/>
      <c r="FA290" s="1206"/>
      <c r="FB290" s="1206"/>
      <c r="FC290" s="1206"/>
      <c r="FD290" s="1206"/>
      <c r="FE290" s="1206"/>
      <c r="FF290" s="1206"/>
      <c r="FG290" s="1206"/>
      <c r="FH290" s="1206"/>
      <c r="FI290" s="1206"/>
      <c r="FJ290" s="1550"/>
      <c r="FK290" s="1206"/>
      <c r="FL290" s="1206"/>
      <c r="FM290" s="1206"/>
      <c r="FN290" s="1206"/>
      <c r="FO290" s="1206"/>
      <c r="FP290" s="1206"/>
      <c r="FQ290" s="316"/>
      <c r="FR290" s="316"/>
      <c r="FS290" s="316"/>
      <c r="FT290" s="316"/>
      <c r="FU290" s="316"/>
      <c r="FV290" s="316"/>
      <c r="FW290" s="316"/>
      <c r="FX290" s="316"/>
      <c r="FY290" s="316"/>
      <c r="FZ290" s="316"/>
      <c r="GA290" s="316"/>
      <c r="GB290" s="316"/>
      <c r="GC290" s="316"/>
      <c r="GD290" s="316"/>
      <c r="GE290" s="316"/>
      <c r="GF290" s="316"/>
      <c r="GG290" s="316"/>
      <c r="GH290" s="316"/>
      <c r="GI290" s="316"/>
      <c r="GJ290" s="316"/>
      <c r="GK290" s="316"/>
      <c r="GL290" s="316"/>
      <c r="GM290" s="316"/>
      <c r="GN290" s="316"/>
      <c r="GO290" s="316"/>
      <c r="GP290" s="316"/>
      <c r="GQ290" s="316"/>
      <c r="GR290" s="316"/>
      <c r="GS290" s="316"/>
      <c r="GT290" s="316"/>
      <c r="GU290" s="316"/>
      <c r="GV290" s="316"/>
      <c r="GW290" s="316"/>
      <c r="GX290" s="316"/>
      <c r="GY290" s="316"/>
      <c r="GZ290" s="316"/>
      <c r="HA290" s="316"/>
      <c r="HB290" s="316"/>
      <c r="HC290" s="316"/>
      <c r="HD290" s="316"/>
      <c r="HE290" s="316"/>
      <c r="HF290" s="316"/>
      <c r="HG290" s="316"/>
      <c r="HH290" s="316"/>
      <c r="HI290" s="316"/>
      <c r="HJ290" s="316"/>
      <c r="HK290" s="316"/>
      <c r="HL290" s="316"/>
      <c r="HM290" s="316"/>
      <c r="HY290" s="302">
        <f t="shared" si="52"/>
        <v>0</v>
      </c>
      <c r="KH290" s="303"/>
    </row>
    <row r="291" spans="1:294" outlineLevel="1">
      <c r="B291" s="117" t="s">
        <v>361</v>
      </c>
      <c r="D291" s="316" t="s">
        <v>996</v>
      </c>
      <c r="E291" s="316"/>
      <c r="F291" s="316"/>
      <c r="G291" s="316"/>
      <c r="H291" s="316"/>
      <c r="I291" s="316"/>
      <c r="J291" s="316"/>
      <c r="K291" s="316"/>
      <c r="L291" s="316"/>
      <c r="M291" s="316"/>
      <c r="N291" s="316"/>
      <c r="O291" s="316"/>
      <c r="P291" s="316"/>
      <c r="Q291" s="316"/>
      <c r="R291" s="316"/>
      <c r="S291" s="316"/>
      <c r="T291" s="316"/>
      <c r="U291" s="316"/>
      <c r="V291" s="316"/>
      <c r="W291" s="316"/>
      <c r="X291" s="316"/>
      <c r="Y291" s="316"/>
      <c r="Z291" s="316"/>
      <c r="AA291" s="316"/>
      <c r="AB291" s="316"/>
      <c r="AC291" s="316"/>
      <c r="AD291" s="316"/>
      <c r="AE291" s="316"/>
      <c r="AF291" s="316"/>
      <c r="AG291" s="316"/>
      <c r="AH291" s="316"/>
      <c r="AI291" s="316"/>
      <c r="AJ291" s="316"/>
      <c r="AK291" s="316"/>
      <c r="AL291" s="316"/>
      <c r="AM291" s="316"/>
      <c r="AN291" s="316"/>
      <c r="AO291" s="316"/>
      <c r="AP291" s="316"/>
      <c r="AQ291" s="316"/>
      <c r="AR291" s="316"/>
      <c r="AS291" s="316"/>
      <c r="AT291" s="316"/>
      <c r="AU291" s="316"/>
      <c r="AV291" s="316"/>
      <c r="AW291" s="316"/>
      <c r="AX291" s="316"/>
      <c r="AY291" s="316"/>
      <c r="AZ291" s="316"/>
      <c r="BA291" s="316"/>
      <c r="BB291" s="316"/>
      <c r="BC291" s="316"/>
      <c r="BD291" s="316"/>
      <c r="BE291" s="316"/>
      <c r="BF291" s="316"/>
      <c r="BG291" s="316"/>
      <c r="BH291" s="316"/>
      <c r="BI291" s="316"/>
      <c r="BJ291" s="316"/>
      <c r="BK291" s="316"/>
      <c r="BL291" s="316"/>
      <c r="BM291" s="316"/>
      <c r="BN291" s="316"/>
      <c r="BO291" s="316"/>
      <c r="BP291" s="316"/>
      <c r="BQ291" s="316"/>
      <c r="BR291" s="316"/>
      <c r="BS291" s="316"/>
      <c r="BT291" s="316"/>
      <c r="BU291" s="316"/>
      <c r="BV291" s="316"/>
      <c r="BW291" s="316"/>
      <c r="BX291" s="316"/>
      <c r="BY291" s="316"/>
      <c r="BZ291" s="316"/>
      <c r="CA291" s="316"/>
      <c r="CB291" s="316"/>
      <c r="CC291" s="316"/>
      <c r="CD291" s="316"/>
      <c r="CE291" s="317">
        <v>9.9999999999999995E-7</v>
      </c>
      <c r="CF291" s="316">
        <v>1.8277169999999999E-2</v>
      </c>
      <c r="CG291" s="316">
        <v>9.9999999999999995E-7</v>
      </c>
      <c r="CH291" s="316">
        <v>9.9999999999999995E-7</v>
      </c>
      <c r="CI291" s="316">
        <v>1.4218449999999999E-3</v>
      </c>
      <c r="CJ291" s="316">
        <v>0.214671625</v>
      </c>
      <c r="CK291" s="316">
        <v>9.9999999999999995E-7</v>
      </c>
      <c r="CL291" s="316">
        <v>2.1207330000000001E-3</v>
      </c>
      <c r="CM291" s="316">
        <v>0.20000100000000001</v>
      </c>
      <c r="CN291" s="316">
        <v>0</v>
      </c>
      <c r="CO291" s="316">
        <v>3.0600019999999999</v>
      </c>
      <c r="CP291" s="318">
        <v>0.20000100000000001</v>
      </c>
      <c r="CQ291" s="316">
        <v>1.27E-4</v>
      </c>
      <c r="CR291" s="316">
        <v>0.12633565399999999</v>
      </c>
      <c r="CS291" s="316">
        <v>1.0016021799999999</v>
      </c>
      <c r="CT291" s="316">
        <v>0</v>
      </c>
      <c r="CU291" s="316">
        <v>0</v>
      </c>
      <c r="CV291" s="316">
        <v>0</v>
      </c>
      <c r="CW291" s="316">
        <v>3.0000000000000001E-6</v>
      </c>
      <c r="CX291" s="316">
        <v>3.444234545</v>
      </c>
      <c r="CY291" s="316">
        <v>3.0000000000000001E-6</v>
      </c>
      <c r="CZ291" s="316">
        <v>0</v>
      </c>
      <c r="DA291" s="316">
        <v>0</v>
      </c>
      <c r="DB291" s="1498">
        <v>0</v>
      </c>
      <c r="DC291" s="316">
        <v>2</v>
      </c>
      <c r="DD291" s="316">
        <v>0</v>
      </c>
      <c r="DE291" s="316">
        <v>0.65602491200000002</v>
      </c>
      <c r="DF291" s="316">
        <v>0</v>
      </c>
      <c r="DG291" s="316">
        <v>0</v>
      </c>
      <c r="DH291" s="316">
        <v>0</v>
      </c>
      <c r="DI291" s="316">
        <v>14.474183633999999</v>
      </c>
      <c r="DJ291" s="316">
        <v>7.2376928280000001</v>
      </c>
      <c r="DK291" s="316">
        <v>0</v>
      </c>
      <c r="DL291" s="316">
        <v>0</v>
      </c>
      <c r="DM291" s="316">
        <v>0</v>
      </c>
      <c r="DN291" s="318">
        <v>1.3441120769999999</v>
      </c>
      <c r="DO291" s="316">
        <v>0</v>
      </c>
      <c r="DP291" s="316">
        <v>0</v>
      </c>
      <c r="DQ291" s="316">
        <v>0</v>
      </c>
      <c r="DR291" s="316">
        <v>3.1717466289999998</v>
      </c>
      <c r="DS291" s="316">
        <v>0</v>
      </c>
      <c r="DT291" s="316">
        <v>0</v>
      </c>
      <c r="DU291" s="316">
        <v>8.8216977379999992</v>
      </c>
      <c r="DV291" s="316">
        <v>0</v>
      </c>
      <c r="DW291" s="316">
        <v>4.6969709660000003</v>
      </c>
      <c r="DX291" s="316">
        <v>0</v>
      </c>
      <c r="DY291" s="316">
        <v>5.7878699569999998</v>
      </c>
      <c r="DZ291" s="318">
        <v>3.358288172</v>
      </c>
      <c r="EA291" s="316">
        <v>0</v>
      </c>
      <c r="EB291" s="316">
        <v>5.6743909199999996</v>
      </c>
      <c r="EC291" s="316">
        <v>2.4779663460000001</v>
      </c>
      <c r="ED291" s="316">
        <v>0</v>
      </c>
      <c r="EE291" s="316">
        <v>1.1881884439999999</v>
      </c>
      <c r="EF291" s="316">
        <v>5.8281546979999996</v>
      </c>
      <c r="EG291" s="316">
        <v>1.318658063</v>
      </c>
      <c r="EH291" s="316">
        <v>1.335683653</v>
      </c>
      <c r="EI291" s="316">
        <v>6.9573450130000003</v>
      </c>
      <c r="EJ291" s="316">
        <v>5.2700060999999998</v>
      </c>
      <c r="EK291" s="316">
        <v>4.6473487310000001</v>
      </c>
      <c r="EL291" s="318">
        <v>0</v>
      </c>
      <c r="EM291" s="1206">
        <v>1.089983948</v>
      </c>
      <c r="EN291" s="1206">
        <v>1.64</v>
      </c>
      <c r="EO291" s="1206">
        <v>0</v>
      </c>
      <c r="EP291" s="1206">
        <v>2.8430625379999999</v>
      </c>
      <c r="EQ291" s="1206">
        <v>0</v>
      </c>
      <c r="ER291" s="1206">
        <v>2.2999999999999998</v>
      </c>
      <c r="ES291" s="1206">
        <v>0.6</v>
      </c>
      <c r="ET291" s="1206">
        <v>0</v>
      </c>
      <c r="EU291" s="1206">
        <v>10</v>
      </c>
      <c r="EV291" s="1206">
        <v>0</v>
      </c>
      <c r="EW291" s="1206">
        <v>4.7840405849999996</v>
      </c>
      <c r="EX291" s="1550">
        <v>16.3</v>
      </c>
      <c r="EY291" s="1206"/>
      <c r="EZ291" s="1206"/>
      <c r="FA291" s="1206"/>
      <c r="FB291" s="1206"/>
      <c r="FC291" s="1206"/>
      <c r="FD291" s="1206"/>
      <c r="FE291" s="1206"/>
      <c r="FF291" s="1206"/>
      <c r="FG291" s="1206"/>
      <c r="FH291" s="1206"/>
      <c r="FI291" s="1206"/>
      <c r="FJ291" s="1550"/>
      <c r="FK291" s="1206"/>
      <c r="FL291" s="1206"/>
      <c r="FM291" s="1206"/>
      <c r="FN291" s="1206"/>
      <c r="FO291" s="1206"/>
      <c r="FP291" s="1206"/>
      <c r="FQ291" s="316"/>
      <c r="FR291" s="316"/>
      <c r="FS291" s="316"/>
      <c r="FT291" s="316"/>
      <c r="FU291" s="316"/>
      <c r="FV291" s="316"/>
      <c r="FW291" s="316"/>
      <c r="FX291" s="316"/>
      <c r="FY291" s="316"/>
      <c r="FZ291" s="316"/>
      <c r="GA291" s="316"/>
      <c r="GB291" s="316"/>
      <c r="GC291" s="316"/>
      <c r="GD291" s="316"/>
      <c r="GE291" s="316"/>
      <c r="GF291" s="316"/>
      <c r="GG291" s="316"/>
      <c r="GH291" s="316"/>
      <c r="GI291" s="316"/>
      <c r="GJ291" s="316"/>
      <c r="GK291" s="316"/>
      <c r="GL291" s="316"/>
      <c r="GM291" s="316"/>
      <c r="GN291" s="316"/>
      <c r="GO291" s="316"/>
      <c r="GP291" s="316"/>
      <c r="GQ291" s="316"/>
      <c r="GR291" s="316"/>
      <c r="GS291" s="316"/>
      <c r="GT291" s="316"/>
      <c r="GU291" s="316"/>
      <c r="GV291" s="316"/>
      <c r="GW291" s="316"/>
      <c r="GX291" s="316"/>
      <c r="GY291" s="316"/>
      <c r="GZ291" s="316"/>
      <c r="HA291" s="316"/>
      <c r="HB291" s="316"/>
      <c r="HC291" s="316"/>
      <c r="HD291" s="316"/>
      <c r="HE291" s="316"/>
      <c r="HF291" s="316"/>
      <c r="HG291" s="316"/>
      <c r="HH291" s="316"/>
      <c r="HI291" s="316"/>
      <c r="HJ291" s="316"/>
      <c r="HK291" s="316"/>
      <c r="HL291" s="316"/>
      <c r="HM291" s="316"/>
      <c r="HY291" s="302">
        <f t="shared" si="52"/>
        <v>3.1717466289999998</v>
      </c>
      <c r="KH291" s="303"/>
    </row>
    <row r="292" spans="1:294" outlineLevel="1">
      <c r="D292" s="316" t="s">
        <v>1163</v>
      </c>
      <c r="E292" s="316"/>
      <c r="F292" s="316"/>
      <c r="G292" s="316"/>
      <c r="H292" s="316"/>
      <c r="I292" s="316"/>
      <c r="J292" s="316"/>
      <c r="K292" s="316"/>
      <c r="L292" s="316"/>
      <c r="M292" s="316"/>
      <c r="N292" s="316"/>
      <c r="O292" s="316"/>
      <c r="P292" s="316"/>
      <c r="Q292" s="316"/>
      <c r="R292" s="316"/>
      <c r="S292" s="316"/>
      <c r="T292" s="316"/>
      <c r="U292" s="316"/>
      <c r="V292" s="316"/>
      <c r="W292" s="316"/>
      <c r="X292" s="316"/>
      <c r="Y292" s="316"/>
      <c r="Z292" s="316"/>
      <c r="AA292" s="316"/>
      <c r="AB292" s="316"/>
      <c r="AC292" s="316"/>
      <c r="AD292" s="316"/>
      <c r="AE292" s="316"/>
      <c r="AF292" s="316"/>
      <c r="AG292" s="316"/>
      <c r="AH292" s="316"/>
      <c r="AI292" s="316"/>
      <c r="AJ292" s="316"/>
      <c r="AK292" s="316"/>
      <c r="AL292" s="316"/>
      <c r="AM292" s="316"/>
      <c r="AN292" s="316"/>
      <c r="AO292" s="316"/>
      <c r="AP292" s="316"/>
      <c r="AQ292" s="316"/>
      <c r="AR292" s="316"/>
      <c r="AS292" s="316"/>
      <c r="AT292" s="316"/>
      <c r="AU292" s="316"/>
      <c r="AV292" s="316"/>
      <c r="AW292" s="316"/>
      <c r="AX292" s="316"/>
      <c r="AY292" s="316"/>
      <c r="AZ292" s="316"/>
      <c r="BA292" s="316"/>
      <c r="BB292" s="316"/>
      <c r="BC292" s="316"/>
      <c r="BD292" s="316"/>
      <c r="BE292" s="316"/>
      <c r="BF292" s="316"/>
      <c r="BG292" s="316"/>
      <c r="BH292" s="316"/>
      <c r="BI292" s="316"/>
      <c r="BJ292" s="316"/>
      <c r="BK292" s="316"/>
      <c r="BL292" s="316"/>
      <c r="BM292" s="316"/>
      <c r="BN292" s="316"/>
      <c r="BO292" s="316"/>
      <c r="BP292" s="316"/>
      <c r="BQ292" s="316"/>
      <c r="BR292" s="316"/>
      <c r="BS292" s="316"/>
      <c r="BT292" s="316"/>
      <c r="BU292" s="316"/>
      <c r="BV292" s="316"/>
      <c r="BW292" s="316"/>
      <c r="BX292" s="316"/>
      <c r="BY292" s="316"/>
      <c r="BZ292" s="316"/>
      <c r="CA292" s="316"/>
      <c r="CB292" s="316"/>
      <c r="CC292" s="316"/>
      <c r="CD292" s="316"/>
      <c r="CE292" s="317"/>
      <c r="CF292" s="316"/>
      <c r="CG292" s="316"/>
      <c r="CH292" s="316"/>
      <c r="CI292" s="316"/>
      <c r="CJ292" s="316"/>
      <c r="CK292" s="316"/>
      <c r="CL292" s="316"/>
      <c r="CM292" s="316"/>
      <c r="CN292" s="316"/>
      <c r="CO292" s="316"/>
      <c r="CP292" s="318"/>
      <c r="CQ292" s="316"/>
      <c r="CR292" s="316"/>
      <c r="CS292" s="316"/>
      <c r="CT292" s="316"/>
      <c r="CU292" s="316"/>
      <c r="CV292" s="316"/>
      <c r="CW292" s="316"/>
      <c r="CX292" s="316"/>
      <c r="CY292" s="316"/>
      <c r="CZ292" s="316"/>
      <c r="DA292" s="316"/>
      <c r="DB292" s="1498"/>
      <c r="DC292" s="316"/>
      <c r="DD292" s="316"/>
      <c r="DE292" s="316"/>
      <c r="DF292" s="316"/>
      <c r="DG292" s="316"/>
      <c r="DH292" s="316"/>
      <c r="DI292" s="316"/>
      <c r="DJ292" s="316"/>
      <c r="DK292" s="316"/>
      <c r="DL292" s="316"/>
      <c r="DM292" s="316"/>
      <c r="DN292" s="318"/>
      <c r="DO292" s="316">
        <v>0</v>
      </c>
      <c r="DP292" s="316">
        <v>0</v>
      </c>
      <c r="DQ292" s="316">
        <v>0</v>
      </c>
      <c r="DR292" s="316">
        <v>0</v>
      </c>
      <c r="DS292" s="316">
        <v>0</v>
      </c>
      <c r="DT292" s="316">
        <v>0</v>
      </c>
      <c r="DU292" s="316">
        <v>0</v>
      </c>
      <c r="DV292" s="316">
        <v>0</v>
      </c>
      <c r="DW292" s="316">
        <v>0</v>
      </c>
      <c r="DX292" s="316">
        <v>4.1500000000000004</v>
      </c>
      <c r="DY292" s="316">
        <v>0</v>
      </c>
      <c r="DZ292" s="318">
        <v>7.35</v>
      </c>
      <c r="EA292" s="316">
        <v>0</v>
      </c>
      <c r="EB292" s="316">
        <v>0</v>
      </c>
      <c r="EC292" s="316">
        <v>0</v>
      </c>
      <c r="ED292" s="316">
        <v>0</v>
      </c>
      <c r="EE292" s="316">
        <v>0</v>
      </c>
      <c r="EF292" s="316">
        <v>9.6253578439999998</v>
      </c>
      <c r="EG292" s="316">
        <v>0</v>
      </c>
      <c r="EH292" s="316">
        <v>0</v>
      </c>
      <c r="EI292" s="316">
        <v>0</v>
      </c>
      <c r="EJ292" s="316">
        <v>0</v>
      </c>
      <c r="EK292" s="316">
        <v>0</v>
      </c>
      <c r="EL292" s="318">
        <v>0</v>
      </c>
      <c r="EM292" s="1206">
        <v>0</v>
      </c>
      <c r="EN292" s="1206">
        <v>5</v>
      </c>
      <c r="EO292" s="1206">
        <v>0</v>
      </c>
      <c r="EP292" s="1206">
        <v>0</v>
      </c>
      <c r="EQ292" s="1206">
        <v>0</v>
      </c>
      <c r="ER292" s="1206">
        <v>0</v>
      </c>
      <c r="ES292" s="1206">
        <v>0</v>
      </c>
      <c r="ET292" s="1206">
        <v>0</v>
      </c>
      <c r="EU292" s="1206">
        <v>0</v>
      </c>
      <c r="EV292" s="1206">
        <v>0</v>
      </c>
      <c r="EW292" s="1206">
        <v>0</v>
      </c>
      <c r="EX292" s="1550">
        <v>0</v>
      </c>
      <c r="EY292" s="1206"/>
      <c r="EZ292" s="1206"/>
      <c r="FA292" s="1206"/>
      <c r="FB292" s="1206"/>
      <c r="FC292" s="1206"/>
      <c r="FD292" s="1206"/>
      <c r="FE292" s="1206"/>
      <c r="FF292" s="1206"/>
      <c r="FG292" s="1206"/>
      <c r="FH292" s="1206"/>
      <c r="FI292" s="1206"/>
      <c r="FJ292" s="1550"/>
      <c r="FK292" s="1206"/>
      <c r="FL292" s="1206"/>
      <c r="FM292" s="1206"/>
      <c r="FN292" s="1206"/>
      <c r="FO292" s="1206"/>
      <c r="FP292" s="1206"/>
      <c r="FQ292" s="316"/>
      <c r="FR292" s="316"/>
      <c r="FS292" s="316"/>
      <c r="FT292" s="316"/>
      <c r="FU292" s="316"/>
      <c r="FV292" s="316"/>
      <c r="FW292" s="316"/>
      <c r="FX292" s="316"/>
      <c r="FY292" s="316"/>
      <c r="FZ292" s="316"/>
      <c r="GA292" s="316"/>
      <c r="GB292" s="316"/>
      <c r="GC292" s="316"/>
      <c r="GD292" s="316"/>
      <c r="GE292" s="316"/>
      <c r="GF292" s="316"/>
      <c r="GG292" s="316"/>
      <c r="GH292" s="316"/>
      <c r="GI292" s="316"/>
      <c r="GJ292" s="316"/>
      <c r="GK292" s="316"/>
      <c r="GL292" s="316"/>
      <c r="GM292" s="316"/>
      <c r="GN292" s="316"/>
      <c r="GO292" s="316"/>
      <c r="GP292" s="316"/>
      <c r="GQ292" s="316"/>
      <c r="GR292" s="316"/>
      <c r="GS292" s="316"/>
      <c r="GT292" s="316"/>
      <c r="GU292" s="316"/>
      <c r="GV292" s="316"/>
      <c r="GW292" s="316"/>
      <c r="GX292" s="316"/>
      <c r="GY292" s="316"/>
      <c r="GZ292" s="316"/>
      <c r="HA292" s="316"/>
      <c r="HB292" s="316"/>
      <c r="HC292" s="316"/>
      <c r="HD292" s="316"/>
      <c r="HE292" s="316"/>
      <c r="HF292" s="316"/>
      <c r="HG292" s="316"/>
      <c r="HH292" s="316"/>
      <c r="HI292" s="316"/>
      <c r="HJ292" s="316"/>
      <c r="HK292" s="316"/>
      <c r="HL292" s="316"/>
      <c r="HM292" s="316"/>
      <c r="KH292" s="303"/>
    </row>
    <row r="293" spans="1:294" outlineLevel="1">
      <c r="D293" s="316" t="s">
        <v>1231</v>
      </c>
      <c r="E293" s="316"/>
      <c r="F293" s="316"/>
      <c r="G293" s="316"/>
      <c r="H293" s="316"/>
      <c r="I293" s="316"/>
      <c r="J293" s="316"/>
      <c r="K293" s="316"/>
      <c r="L293" s="316"/>
      <c r="M293" s="316"/>
      <c r="N293" s="316"/>
      <c r="O293" s="316"/>
      <c r="P293" s="316"/>
      <c r="Q293" s="316"/>
      <c r="R293" s="316"/>
      <c r="S293" s="316"/>
      <c r="T293" s="316"/>
      <c r="U293" s="316"/>
      <c r="V293" s="316"/>
      <c r="W293" s="316"/>
      <c r="X293" s="316"/>
      <c r="Y293" s="316"/>
      <c r="Z293" s="316"/>
      <c r="AA293" s="316"/>
      <c r="AB293" s="316"/>
      <c r="AC293" s="316"/>
      <c r="AD293" s="316"/>
      <c r="AE293" s="316"/>
      <c r="AF293" s="316"/>
      <c r="AG293" s="316"/>
      <c r="AH293" s="316"/>
      <c r="AI293" s="316"/>
      <c r="AJ293" s="316"/>
      <c r="AK293" s="316"/>
      <c r="AL293" s="316"/>
      <c r="AM293" s="316"/>
      <c r="AN293" s="316"/>
      <c r="AO293" s="316"/>
      <c r="AP293" s="316"/>
      <c r="AQ293" s="316"/>
      <c r="AR293" s="316"/>
      <c r="AS293" s="316"/>
      <c r="AT293" s="316"/>
      <c r="AU293" s="316"/>
      <c r="AV293" s="316"/>
      <c r="AW293" s="316"/>
      <c r="AX293" s="316"/>
      <c r="AY293" s="316"/>
      <c r="AZ293" s="316"/>
      <c r="BA293" s="316"/>
      <c r="BB293" s="316"/>
      <c r="BC293" s="316"/>
      <c r="BD293" s="316"/>
      <c r="BE293" s="316"/>
      <c r="BF293" s="316"/>
      <c r="BG293" s="316"/>
      <c r="BH293" s="316"/>
      <c r="BI293" s="316"/>
      <c r="BJ293" s="316"/>
      <c r="BK293" s="316"/>
      <c r="BL293" s="316"/>
      <c r="BM293" s="316"/>
      <c r="BN293" s="316"/>
      <c r="BO293" s="316"/>
      <c r="BP293" s="316"/>
      <c r="BQ293" s="316"/>
      <c r="BR293" s="316"/>
      <c r="BS293" s="316"/>
      <c r="BT293" s="316"/>
      <c r="BU293" s="316"/>
      <c r="BV293" s="316"/>
      <c r="BW293" s="316"/>
      <c r="BX293" s="316"/>
      <c r="BY293" s="316"/>
      <c r="BZ293" s="316"/>
      <c r="CA293" s="316"/>
      <c r="CB293" s="316"/>
      <c r="CC293" s="316"/>
      <c r="CD293" s="316"/>
      <c r="CE293" s="317"/>
      <c r="CF293" s="316"/>
      <c r="CG293" s="316"/>
      <c r="CH293" s="316"/>
      <c r="CI293" s="316"/>
      <c r="CJ293" s="316"/>
      <c r="CK293" s="316"/>
      <c r="CL293" s="316"/>
      <c r="CM293" s="316"/>
      <c r="CN293" s="316"/>
      <c r="CO293" s="316"/>
      <c r="CP293" s="318"/>
      <c r="CQ293" s="316"/>
      <c r="CR293" s="316"/>
      <c r="CS293" s="316"/>
      <c r="CT293" s="316"/>
      <c r="CU293" s="316"/>
      <c r="CV293" s="316"/>
      <c r="CW293" s="316"/>
      <c r="CX293" s="316"/>
      <c r="CY293" s="316"/>
      <c r="CZ293" s="316"/>
      <c r="DA293" s="316"/>
      <c r="DB293" s="1498"/>
      <c r="DC293" s="316"/>
      <c r="DD293" s="316"/>
      <c r="DE293" s="316"/>
      <c r="DF293" s="316"/>
      <c r="DG293" s="316"/>
      <c r="DH293" s="316"/>
      <c r="DI293" s="316"/>
      <c r="DJ293" s="316"/>
      <c r="DK293" s="316"/>
      <c r="DL293" s="316"/>
      <c r="DM293" s="636"/>
      <c r="DN293" s="653"/>
      <c r="DO293" s="636"/>
      <c r="DP293" s="636"/>
      <c r="DQ293" s="636"/>
      <c r="DR293" s="636"/>
      <c r="DS293" s="636"/>
      <c r="DT293" s="636"/>
      <c r="DU293" s="636"/>
      <c r="DV293" s="636"/>
      <c r="DW293" s="636"/>
      <c r="DX293" s="636"/>
      <c r="DY293" s="636"/>
      <c r="DZ293" s="653"/>
      <c r="EA293" s="316">
        <v>0</v>
      </c>
      <c r="EB293" s="316">
        <v>0</v>
      </c>
      <c r="EC293" s="316">
        <v>2.4750000000000001</v>
      </c>
      <c r="ED293" s="316">
        <v>0</v>
      </c>
      <c r="EE293" s="316">
        <v>0</v>
      </c>
      <c r="EF293" s="316">
        <v>0</v>
      </c>
      <c r="EG293" s="316">
        <v>2.4750000000000001</v>
      </c>
      <c r="EH293" s="316">
        <v>0</v>
      </c>
      <c r="EI293" s="316">
        <v>0</v>
      </c>
      <c r="EJ293" s="316">
        <v>2.4750000000000001</v>
      </c>
      <c r="EK293" s="316">
        <v>0</v>
      </c>
      <c r="EL293" s="318">
        <v>0</v>
      </c>
      <c r="EM293" s="1206">
        <v>2.4750000000000001</v>
      </c>
      <c r="EN293" s="1206">
        <v>0</v>
      </c>
      <c r="EO293" s="1206">
        <v>2.4750000000000001</v>
      </c>
      <c r="EP293" s="1206">
        <v>0</v>
      </c>
      <c r="EQ293" s="1206">
        <v>0</v>
      </c>
      <c r="ER293" s="1206">
        <v>2.4750000000000001</v>
      </c>
      <c r="ES293" s="1206">
        <v>0</v>
      </c>
      <c r="ET293" s="1206">
        <v>0</v>
      </c>
      <c r="EU293" s="1206">
        <v>2.4750000000000001</v>
      </c>
      <c r="EV293" s="1206">
        <v>0</v>
      </c>
      <c r="EW293" s="1206">
        <v>0</v>
      </c>
      <c r="EX293" s="1550">
        <v>2.4750000000000001</v>
      </c>
      <c r="EY293" s="1206"/>
      <c r="EZ293" s="1206"/>
      <c r="FA293" s="1206"/>
      <c r="FB293" s="1206"/>
      <c r="FC293" s="1206"/>
      <c r="FD293" s="1206"/>
      <c r="FE293" s="1206"/>
      <c r="FF293" s="1206"/>
      <c r="FG293" s="1206"/>
      <c r="FH293" s="1206"/>
      <c r="FI293" s="1206"/>
      <c r="FJ293" s="1550"/>
      <c r="FK293" s="1206"/>
      <c r="FL293" s="1206"/>
      <c r="FM293" s="1206"/>
      <c r="FN293" s="1206"/>
      <c r="FO293" s="1206"/>
      <c r="FP293" s="1206"/>
      <c r="FQ293" s="316"/>
      <c r="FR293" s="316"/>
      <c r="FS293" s="316"/>
      <c r="FT293" s="316"/>
      <c r="FU293" s="316"/>
      <c r="FV293" s="316"/>
      <c r="FW293" s="316"/>
      <c r="FX293" s="316"/>
      <c r="FY293" s="316"/>
      <c r="FZ293" s="316"/>
      <c r="GA293" s="316"/>
      <c r="GB293" s="316"/>
      <c r="GC293" s="316"/>
      <c r="GD293" s="316"/>
      <c r="GE293" s="316"/>
      <c r="GF293" s="316"/>
      <c r="GG293" s="316"/>
      <c r="GH293" s="316"/>
      <c r="GI293" s="316"/>
      <c r="GJ293" s="316"/>
      <c r="GK293" s="316"/>
      <c r="GL293" s="316"/>
      <c r="GM293" s="316"/>
      <c r="GN293" s="316"/>
      <c r="GO293" s="316"/>
      <c r="GP293" s="316"/>
      <c r="GQ293" s="316"/>
      <c r="GR293" s="316"/>
      <c r="GS293" s="316"/>
      <c r="GT293" s="316"/>
      <c r="GU293" s="316"/>
      <c r="GV293" s="316"/>
      <c r="GW293" s="316"/>
      <c r="GX293" s="316"/>
      <c r="GY293" s="316"/>
      <c r="GZ293" s="316"/>
      <c r="HA293" s="316"/>
      <c r="HB293" s="316"/>
      <c r="HC293" s="316"/>
      <c r="HD293" s="316"/>
      <c r="HE293" s="316"/>
      <c r="HF293" s="316"/>
      <c r="HG293" s="316"/>
      <c r="HH293" s="316"/>
      <c r="HI293" s="316"/>
      <c r="HJ293" s="316"/>
      <c r="HK293" s="316"/>
      <c r="HL293" s="316"/>
      <c r="HM293" s="316"/>
      <c r="KH293" s="303"/>
    </row>
    <row r="294" spans="1:294" outlineLevel="1">
      <c r="D294" s="636" t="s">
        <v>997</v>
      </c>
      <c r="E294" s="316"/>
      <c r="F294" s="316"/>
      <c r="G294" s="316"/>
      <c r="H294" s="316"/>
      <c r="I294" s="316"/>
      <c r="J294" s="316"/>
      <c r="K294" s="316"/>
      <c r="L294" s="316"/>
      <c r="M294" s="316"/>
      <c r="N294" s="316"/>
      <c r="O294" s="316"/>
      <c r="P294" s="316"/>
      <c r="Q294" s="316"/>
      <c r="R294" s="316"/>
      <c r="S294" s="316"/>
      <c r="T294" s="316"/>
      <c r="U294" s="316"/>
      <c r="V294" s="316"/>
      <c r="W294" s="316"/>
      <c r="X294" s="316"/>
      <c r="Y294" s="316"/>
      <c r="Z294" s="316"/>
      <c r="AA294" s="316"/>
      <c r="AB294" s="316"/>
      <c r="AC294" s="316"/>
      <c r="AD294" s="316"/>
      <c r="AE294" s="316"/>
      <c r="AF294" s="316"/>
      <c r="AG294" s="316"/>
      <c r="AH294" s="316"/>
      <c r="AI294" s="316"/>
      <c r="AJ294" s="316"/>
      <c r="AK294" s="316"/>
      <c r="AL294" s="316"/>
      <c r="AM294" s="316"/>
      <c r="AN294" s="316"/>
      <c r="AO294" s="316"/>
      <c r="AP294" s="316"/>
      <c r="AQ294" s="316"/>
      <c r="AR294" s="316"/>
      <c r="AS294" s="316"/>
      <c r="AT294" s="316"/>
      <c r="AU294" s="316"/>
      <c r="AV294" s="316"/>
      <c r="AW294" s="316"/>
      <c r="AX294" s="316"/>
      <c r="AY294" s="316"/>
      <c r="AZ294" s="316"/>
      <c r="BA294" s="316"/>
      <c r="BB294" s="316"/>
      <c r="BC294" s="316"/>
      <c r="BD294" s="316"/>
      <c r="BE294" s="316"/>
      <c r="BF294" s="316"/>
      <c r="BG294" s="316"/>
      <c r="BH294" s="316"/>
      <c r="BI294" s="316"/>
      <c r="BJ294" s="316"/>
      <c r="BK294" s="316"/>
      <c r="BL294" s="316"/>
      <c r="BM294" s="316"/>
      <c r="BN294" s="316"/>
      <c r="BO294" s="316"/>
      <c r="BP294" s="316"/>
      <c r="BQ294" s="316"/>
      <c r="BR294" s="316"/>
      <c r="BS294" s="316"/>
      <c r="BT294" s="316"/>
      <c r="BU294" s="316"/>
      <c r="BV294" s="316"/>
      <c r="BW294" s="316"/>
      <c r="BX294" s="316"/>
      <c r="BY294" s="316"/>
      <c r="BZ294" s="316"/>
      <c r="CA294" s="316"/>
      <c r="CB294" s="316"/>
      <c r="CC294" s="316"/>
      <c r="CD294" s="316"/>
      <c r="CE294" s="317"/>
      <c r="CF294" s="316"/>
      <c r="CG294" s="316"/>
      <c r="CH294" s="316"/>
      <c r="CI294" s="316"/>
      <c r="CJ294" s="316"/>
      <c r="CK294" s="316"/>
      <c r="CL294" s="316"/>
      <c r="CM294" s="316"/>
      <c r="CN294" s="316"/>
      <c r="CO294" s="316"/>
      <c r="CP294" s="318"/>
      <c r="CQ294" s="316"/>
      <c r="CR294" s="316"/>
      <c r="CS294" s="316"/>
      <c r="CT294" s="316"/>
      <c r="CU294" s="316"/>
      <c r="CV294" s="316"/>
      <c r="CW294" s="316"/>
      <c r="CX294" s="316"/>
      <c r="CY294" s="316"/>
      <c r="CZ294" s="316"/>
      <c r="DA294" s="316"/>
      <c r="DB294" s="1498"/>
      <c r="DC294" s="636">
        <v>5.3</v>
      </c>
      <c r="DD294" s="636">
        <v>13.347593833000001</v>
      </c>
      <c r="DE294" s="636">
        <v>9.6235096429999984</v>
      </c>
      <c r="DF294" s="636">
        <v>3.5366866149999998</v>
      </c>
      <c r="DG294" s="636">
        <v>4.3726213439999997</v>
      </c>
      <c r="DH294" s="636">
        <v>4</v>
      </c>
      <c r="DI294" s="636">
        <v>21.152643470999998</v>
      </c>
      <c r="DJ294" s="636">
        <v>11.237692828</v>
      </c>
      <c r="DK294" s="636">
        <v>2.875</v>
      </c>
      <c r="DL294" s="636">
        <v>3.2648615439999999</v>
      </c>
      <c r="DM294" s="1209">
        <v>2.875</v>
      </c>
      <c r="DN294" s="1539">
        <v>8.3103340330000002</v>
      </c>
      <c r="DO294" s="1209">
        <v>4.8980108539999998</v>
      </c>
      <c r="DP294" s="1209">
        <v>6.9066390129999995</v>
      </c>
      <c r="DQ294" s="1209">
        <v>6.81953502</v>
      </c>
      <c r="DR294" s="1209">
        <v>11.452914823999999</v>
      </c>
      <c r="DS294" s="1209">
        <v>7.6440726510000001</v>
      </c>
      <c r="DT294" s="1209">
        <v>5.9949982159999999</v>
      </c>
      <c r="DU294" s="1209">
        <v>16.884331552999999</v>
      </c>
      <c r="DV294" s="1209">
        <v>6.81953502</v>
      </c>
      <c r="DW294" s="1209">
        <v>11.516505986</v>
      </c>
      <c r="DX294" s="1209">
        <v>11.687240856000001</v>
      </c>
      <c r="DY294" s="1209">
        <v>14.771810901</v>
      </c>
      <c r="DZ294" s="1539">
        <v>17.527823183999999</v>
      </c>
      <c r="EA294" s="1209">
        <v>9.8000000000000007</v>
      </c>
      <c r="EB294" s="1209">
        <v>13.576148472</v>
      </c>
      <c r="EC294" s="1209">
        <v>26.598563081999998</v>
      </c>
      <c r="ED294" s="1209">
        <v>7.6661447689999997</v>
      </c>
      <c r="EE294" s="1209">
        <v>10.20881591</v>
      </c>
      <c r="EF294" s="1209">
        <v>22.273047569999999</v>
      </c>
      <c r="EG294" s="1209">
        <v>8.351760800000001</v>
      </c>
      <c r="EH294" s="1209">
        <v>8.4656675769999996</v>
      </c>
      <c r="EI294" s="1209">
        <v>19.679205226000001</v>
      </c>
      <c r="EJ294" s="1209">
        <v>13.658601768</v>
      </c>
      <c r="EK294" s="1209">
        <v>13.329649810999999</v>
      </c>
      <c r="EL294" s="1539">
        <v>0</v>
      </c>
      <c r="EM294" s="1209">
        <v>18.295448931999999</v>
      </c>
      <c r="EN294" s="1209">
        <v>16.743634358000001</v>
      </c>
      <c r="EO294" s="1209">
        <v>24.034910318000001</v>
      </c>
      <c r="EP294" s="1209">
        <v>12.005348645</v>
      </c>
      <c r="EQ294" s="1209">
        <v>19.163229413</v>
      </c>
      <c r="ER294" s="1209">
        <v>6.2765202200000001</v>
      </c>
      <c r="ES294" s="1209">
        <v>22.636654608000001</v>
      </c>
      <c r="ET294" s="1209">
        <v>10.986322645</v>
      </c>
      <c r="EU294" s="1209">
        <v>26.574493701000002</v>
      </c>
      <c r="EV294" s="1209">
        <v>15.875057798</v>
      </c>
      <c r="EW294" s="1209">
        <v>18.770363232999998</v>
      </c>
      <c r="EX294" s="1539">
        <v>26.239404675000003</v>
      </c>
      <c r="EY294" s="1209"/>
      <c r="EZ294" s="1209"/>
      <c r="FA294" s="1209"/>
      <c r="FB294" s="1209"/>
      <c r="FC294" s="1209"/>
      <c r="FD294" s="1209"/>
      <c r="FE294" s="1209"/>
      <c r="FF294" s="1209"/>
      <c r="FG294" s="1209"/>
      <c r="FH294" s="1209"/>
      <c r="FI294" s="1209"/>
      <c r="FJ294" s="1539"/>
      <c r="FK294" s="1209"/>
      <c r="FL294" s="1209"/>
      <c r="FM294" s="1209"/>
      <c r="FN294" s="1209"/>
      <c r="FO294" s="1209"/>
      <c r="FP294" s="1209"/>
      <c r="FQ294" s="636"/>
      <c r="FR294" s="636"/>
      <c r="FS294" s="636"/>
      <c r="FT294" s="636"/>
      <c r="FU294" s="636"/>
      <c r="FV294" s="636"/>
      <c r="FW294" s="636"/>
      <c r="FX294" s="636"/>
      <c r="FY294" s="636"/>
      <c r="FZ294" s="636"/>
      <c r="GA294" s="636"/>
      <c r="GB294" s="636"/>
      <c r="GC294" s="636"/>
      <c r="GD294" s="636"/>
      <c r="GE294" s="636"/>
      <c r="GF294" s="636"/>
      <c r="GG294" s="636"/>
      <c r="GH294" s="636"/>
      <c r="GI294" s="636"/>
      <c r="GJ294" s="636"/>
      <c r="GK294" s="636"/>
      <c r="GL294" s="636"/>
      <c r="GM294" s="636"/>
      <c r="GN294" s="636"/>
      <c r="GO294" s="636"/>
      <c r="GP294" s="636"/>
      <c r="GQ294" s="636"/>
      <c r="GR294" s="636"/>
      <c r="GS294" s="636"/>
      <c r="GT294" s="636"/>
      <c r="GU294" s="636"/>
      <c r="GV294" s="636"/>
      <c r="GW294" s="636"/>
      <c r="GX294" s="636"/>
      <c r="GY294" s="636"/>
      <c r="GZ294" s="636"/>
      <c r="HA294" s="636"/>
      <c r="HB294" s="636"/>
      <c r="HC294" s="636"/>
      <c r="HD294" s="636"/>
      <c r="HE294" s="636"/>
      <c r="HF294" s="636"/>
      <c r="HG294" s="636"/>
      <c r="HH294" s="636"/>
      <c r="HI294" s="636"/>
      <c r="HJ294" s="636"/>
      <c r="HK294" s="636"/>
      <c r="HL294" s="636"/>
      <c r="HM294" s="636"/>
      <c r="HY294" s="302">
        <f>SUM(DO293:DT293)</f>
        <v>0</v>
      </c>
      <c r="KH294" s="303"/>
    </row>
    <row r="295" spans="1:294" outlineLevel="1">
      <c r="A295" s="314" t="s">
        <v>1097</v>
      </c>
      <c r="D295" s="896"/>
      <c r="CE295" s="840"/>
      <c r="CP295" s="303"/>
      <c r="DC295" s="890" t="s">
        <v>1071</v>
      </c>
      <c r="EA295" s="302"/>
      <c r="EB295" s="302"/>
      <c r="EC295" s="302"/>
      <c r="ED295" s="302"/>
      <c r="EE295" s="302"/>
      <c r="EF295" s="302"/>
      <c r="EG295" s="302"/>
      <c r="EH295" s="302"/>
      <c r="EI295" s="302"/>
      <c r="EJ295" s="302"/>
      <c r="EK295" s="302"/>
      <c r="EL295" s="303"/>
      <c r="EM295" s="1208"/>
      <c r="EN295" s="1208"/>
      <c r="EO295" s="1208"/>
      <c r="EP295" s="1208"/>
      <c r="EQ295" s="1208"/>
      <c r="ER295" s="1208"/>
      <c r="ES295" s="1208"/>
      <c r="ET295" s="1208"/>
      <c r="EU295" s="1208"/>
      <c r="EV295" s="1208"/>
      <c r="EW295" s="1208"/>
      <c r="EX295" s="1560"/>
      <c r="EY295" s="1208"/>
      <c r="EZ295" s="1208"/>
      <c r="FA295" s="1208"/>
      <c r="FB295" s="1208"/>
      <c r="FC295" s="1208"/>
      <c r="FD295" s="1208"/>
      <c r="FE295" s="1208"/>
      <c r="FF295" s="1208"/>
      <c r="FG295" s="1208"/>
      <c r="FH295" s="1208"/>
      <c r="FI295" s="1208"/>
      <c r="FJ295" s="1560"/>
      <c r="FK295" s="1208"/>
      <c r="FL295" s="1208"/>
      <c r="FM295" s="1208"/>
      <c r="FN295" s="1208"/>
      <c r="FO295" s="1208"/>
      <c r="FP295" s="1208"/>
      <c r="FQ295" s="302"/>
      <c r="FR295" s="302"/>
      <c r="FS295" s="302"/>
      <c r="FT295" s="302"/>
      <c r="FU295" s="302"/>
      <c r="FV295" s="302"/>
      <c r="FW295" s="302"/>
      <c r="FX295" s="302"/>
      <c r="FY295" s="302"/>
      <c r="FZ295" s="302"/>
      <c r="GA295" s="302"/>
      <c r="GB295" s="302"/>
      <c r="GC295" s="302"/>
      <c r="GD295" s="302"/>
      <c r="GE295" s="302"/>
      <c r="GF295" s="302"/>
      <c r="GG295" s="302"/>
      <c r="GH295" s="302"/>
      <c r="GI295" s="302"/>
      <c r="GJ295" s="302"/>
      <c r="GK295" s="302"/>
      <c r="GL295" s="302"/>
      <c r="GM295" s="302"/>
      <c r="GN295" s="302"/>
      <c r="GO295" s="302"/>
      <c r="GP295" s="302"/>
      <c r="GQ295" s="302"/>
      <c r="GR295" s="302"/>
      <c r="GS295" s="302"/>
      <c r="GT295" s="302"/>
      <c r="GU295" s="302"/>
      <c r="GV295" s="302"/>
      <c r="GW295" s="302"/>
      <c r="GX295" s="302"/>
      <c r="GY295" s="302"/>
      <c r="GZ295" s="302"/>
      <c r="HA295" s="302"/>
      <c r="HB295" s="302"/>
      <c r="HC295" s="302"/>
      <c r="HD295" s="302"/>
      <c r="HE295" s="302"/>
      <c r="HF295" s="302"/>
      <c r="HG295" s="302"/>
      <c r="HH295" s="302"/>
      <c r="HI295" s="302"/>
      <c r="HJ295" s="302"/>
      <c r="HK295" s="302"/>
      <c r="HL295" s="302"/>
      <c r="HM295" s="302"/>
      <c r="HX295" s="346"/>
      <c r="KH295" s="303"/>
    </row>
    <row r="296" spans="1:294" outlineLevel="1">
      <c r="C296" s="1229" t="s">
        <v>1248</v>
      </c>
      <c r="D296" s="316"/>
      <c r="E296" s="1230"/>
      <c r="F296" s="316"/>
      <c r="G296" s="316"/>
      <c r="H296" s="316"/>
      <c r="I296" s="316"/>
      <c r="J296" s="316"/>
      <c r="K296" s="316"/>
      <c r="L296" s="316"/>
      <c r="M296" s="316"/>
      <c r="N296" s="316"/>
      <c r="O296" s="316"/>
      <c r="P296" s="316"/>
      <c r="Q296" s="316"/>
      <c r="R296" s="316"/>
      <c r="S296" s="316"/>
      <c r="T296" s="316"/>
      <c r="U296" s="316"/>
      <c r="V296" s="316"/>
      <c r="W296" s="316"/>
      <c r="X296" s="316"/>
      <c r="Y296" s="316"/>
      <c r="Z296" s="316"/>
      <c r="AA296" s="316"/>
      <c r="AB296" s="316"/>
      <c r="AC296" s="316"/>
      <c r="AD296" s="316"/>
      <c r="AE296" s="316"/>
      <c r="AF296" s="316"/>
      <c r="AG296" s="316"/>
      <c r="AH296" s="316"/>
      <c r="AI296" s="316"/>
      <c r="AJ296" s="316"/>
      <c r="AK296" s="316"/>
      <c r="AL296" s="316"/>
      <c r="AM296" s="316"/>
      <c r="AN296" s="316"/>
      <c r="AO296" s="316"/>
      <c r="AP296" s="316"/>
      <c r="AQ296" s="316"/>
      <c r="AR296" s="316"/>
      <c r="AS296" s="316"/>
      <c r="AT296" s="316"/>
      <c r="AU296" s="316"/>
      <c r="AV296" s="316"/>
      <c r="AW296" s="316"/>
      <c r="AX296" s="316"/>
      <c r="AY296" s="316"/>
      <c r="AZ296" s="316"/>
      <c r="BA296" s="316"/>
      <c r="BB296" s="316"/>
      <c r="BC296" s="316"/>
      <c r="BD296" s="316"/>
      <c r="BE296" s="316"/>
      <c r="BF296" s="316"/>
      <c r="BG296" s="316"/>
      <c r="BH296" s="316"/>
      <c r="BI296" s="316"/>
      <c r="BJ296" s="316"/>
      <c r="BK296" s="316"/>
      <c r="BL296" s="316"/>
      <c r="BM296" s="316"/>
      <c r="BN296" s="316"/>
      <c r="BO296" s="316"/>
      <c r="BP296" s="316"/>
      <c r="BQ296" s="316"/>
      <c r="BR296" s="316"/>
      <c r="BS296" s="316"/>
      <c r="BT296" s="316"/>
      <c r="BU296" s="316"/>
      <c r="BV296" s="316"/>
      <c r="BW296" s="316"/>
      <c r="BX296" s="316"/>
      <c r="BY296" s="316"/>
      <c r="BZ296" s="316"/>
      <c r="CA296" s="316"/>
      <c r="CB296" s="316"/>
      <c r="CC296" s="316"/>
      <c r="CD296" s="316"/>
      <c r="CE296" s="317"/>
      <c r="CF296" s="316"/>
      <c r="CG296" s="316"/>
      <c r="CH296" s="316"/>
      <c r="CI296" s="316"/>
      <c r="CJ296" s="316"/>
      <c r="CK296" s="316"/>
      <c r="CL296" s="316"/>
      <c r="CM296" s="316"/>
      <c r="CN296" s="316"/>
      <c r="CO296" s="316"/>
      <c r="CP296" s="318"/>
      <c r="CQ296" s="316"/>
      <c r="CR296" s="316"/>
      <c r="CS296" s="316"/>
      <c r="CT296" s="316"/>
      <c r="CU296" s="316"/>
      <c r="CV296" s="316"/>
      <c r="CW296" s="316"/>
      <c r="CX296" s="316"/>
      <c r="CY296" s="316"/>
      <c r="CZ296" s="316"/>
      <c r="DA296" s="316"/>
      <c r="DB296" s="1498"/>
      <c r="DC296" s="636"/>
      <c r="DD296" s="636"/>
      <c r="DE296" s="636"/>
      <c r="DF296" s="636"/>
      <c r="DG296" s="636"/>
      <c r="DH296" s="636"/>
      <c r="DI296" s="636"/>
      <c r="DJ296" s="636"/>
      <c r="DK296" s="636"/>
      <c r="DL296" s="636"/>
      <c r="DM296" s="1209"/>
      <c r="DN296" s="1539"/>
      <c r="DO296" s="1209"/>
      <c r="DP296" s="1209"/>
      <c r="DQ296" s="1209"/>
      <c r="DR296" s="1209"/>
      <c r="DS296" s="1209"/>
      <c r="DT296" s="1209"/>
      <c r="DU296" s="1209"/>
      <c r="DV296" s="1209"/>
      <c r="DW296" s="1209"/>
      <c r="DX296" s="1209"/>
      <c r="DY296" s="1209"/>
      <c r="DZ296" s="1539"/>
      <c r="EA296" s="1209"/>
      <c r="EB296" s="1209"/>
      <c r="EC296" s="1209"/>
      <c r="ED296" s="1209"/>
      <c r="EE296" s="1209"/>
      <c r="EF296" s="1209"/>
      <c r="EG296" s="1209"/>
      <c r="EH296" s="1209"/>
      <c r="EI296" s="1209"/>
      <c r="EJ296" s="1209"/>
      <c r="EK296" s="1209"/>
      <c r="EL296" s="1539"/>
      <c r="EM296" s="1209"/>
      <c r="EN296" s="1209"/>
      <c r="EO296" s="1209"/>
      <c r="EP296" s="1209"/>
      <c r="EQ296" s="1209"/>
      <c r="ER296" s="1209"/>
      <c r="ES296" s="1209"/>
      <c r="ET296" s="1209"/>
      <c r="EU296" s="1209"/>
      <c r="EV296" s="1209"/>
      <c r="EW296" s="1209"/>
      <c r="EX296" s="1539"/>
      <c r="EY296" s="1209"/>
      <c r="EZ296" s="1209"/>
      <c r="FA296" s="1209"/>
      <c r="FB296" s="1209"/>
      <c r="FC296" s="1209"/>
      <c r="FD296" s="1209"/>
      <c r="FE296" s="1209"/>
      <c r="FF296" s="1209"/>
      <c r="FG296" s="1209"/>
      <c r="FH296" s="1209"/>
      <c r="FI296" s="1209"/>
      <c r="FJ296" s="1539"/>
      <c r="FK296" s="1209"/>
      <c r="FL296" s="1209"/>
      <c r="FM296" s="1209"/>
      <c r="FN296" s="1209"/>
      <c r="FO296" s="1209"/>
      <c r="FP296" s="1209"/>
      <c r="FQ296" s="636"/>
      <c r="FR296" s="636"/>
      <c r="FS296" s="636"/>
      <c r="FT296" s="636"/>
      <c r="FU296" s="636"/>
      <c r="FV296" s="636"/>
      <c r="FW296" s="636"/>
      <c r="FX296" s="636"/>
      <c r="FY296" s="636"/>
      <c r="FZ296" s="636"/>
      <c r="GA296" s="636"/>
      <c r="GB296" s="636"/>
      <c r="GC296" s="636"/>
      <c r="GD296" s="636"/>
      <c r="GE296" s="636"/>
      <c r="GF296" s="636"/>
      <c r="GG296" s="636"/>
      <c r="GH296" s="636"/>
      <c r="GI296" s="636"/>
      <c r="GJ296" s="636"/>
      <c r="GK296" s="636"/>
      <c r="GL296" s="636"/>
      <c r="GM296" s="636"/>
      <c r="GN296" s="636"/>
      <c r="GO296" s="636"/>
      <c r="GP296" s="636"/>
      <c r="GQ296" s="636"/>
      <c r="GR296" s="636"/>
      <c r="GS296" s="636"/>
      <c r="GT296" s="636"/>
      <c r="GU296" s="636"/>
      <c r="GV296" s="636"/>
      <c r="GW296" s="636"/>
      <c r="GX296" s="636"/>
      <c r="GY296" s="636"/>
      <c r="GZ296" s="636"/>
      <c r="HA296" s="636"/>
      <c r="HB296" s="636"/>
      <c r="HC296" s="636"/>
      <c r="HD296" s="636"/>
      <c r="HE296" s="636"/>
      <c r="HF296" s="636"/>
      <c r="HG296" s="636"/>
      <c r="HH296" s="636"/>
      <c r="HI296" s="636"/>
      <c r="HJ296" s="636"/>
      <c r="HK296" s="636"/>
      <c r="HL296" s="636"/>
      <c r="HM296" s="636"/>
      <c r="KH296" s="303"/>
    </row>
    <row r="297" spans="1:294" outlineLevel="1">
      <c r="C297" s="896" t="s">
        <v>475</v>
      </c>
      <c r="D297" s="316"/>
      <c r="F297" s="316"/>
      <c r="G297" s="316"/>
      <c r="H297" s="316"/>
      <c r="I297" s="316"/>
      <c r="J297" s="316"/>
      <c r="K297" s="316"/>
      <c r="L297" s="316"/>
      <c r="M297" s="316"/>
      <c r="N297" s="316"/>
      <c r="O297" s="316"/>
      <c r="P297" s="316"/>
      <c r="Q297" s="316"/>
      <c r="R297" s="316"/>
      <c r="S297" s="316"/>
      <c r="T297" s="316"/>
      <c r="U297" s="316"/>
      <c r="V297" s="316"/>
      <c r="W297" s="316"/>
      <c r="X297" s="316"/>
      <c r="Y297" s="316"/>
      <c r="Z297" s="316"/>
      <c r="AA297" s="316"/>
      <c r="AB297" s="316"/>
      <c r="AC297" s="316"/>
      <c r="AD297" s="316"/>
      <c r="AE297" s="316"/>
      <c r="AF297" s="316"/>
      <c r="AG297" s="316"/>
      <c r="AH297" s="316"/>
      <c r="AI297" s="316"/>
      <c r="AJ297" s="316"/>
      <c r="AK297" s="316"/>
      <c r="AL297" s="316"/>
      <c r="AM297" s="316"/>
      <c r="AN297" s="316"/>
      <c r="AO297" s="316"/>
      <c r="AP297" s="316"/>
      <c r="AQ297" s="316"/>
      <c r="AR297" s="316"/>
      <c r="AS297" s="316"/>
      <c r="AT297" s="316"/>
      <c r="AU297" s="316"/>
      <c r="AV297" s="316"/>
      <c r="AW297" s="316"/>
      <c r="AX297" s="316"/>
      <c r="AY297" s="316"/>
      <c r="AZ297" s="316"/>
      <c r="BA297" s="316"/>
      <c r="BB297" s="316"/>
      <c r="BC297" s="316"/>
      <c r="BD297" s="316"/>
      <c r="BE297" s="316"/>
      <c r="BF297" s="316"/>
      <c r="BG297" s="316"/>
      <c r="BH297" s="316"/>
      <c r="BI297" s="316"/>
      <c r="BJ297" s="316"/>
      <c r="BK297" s="316"/>
      <c r="BL297" s="316"/>
      <c r="BM297" s="316"/>
      <c r="BN297" s="316"/>
      <c r="BO297" s="316"/>
      <c r="BP297" s="316"/>
      <c r="BQ297" s="316"/>
      <c r="BR297" s="316"/>
      <c r="BS297" s="316"/>
      <c r="BT297" s="316"/>
      <c r="BU297" s="316"/>
      <c r="BV297" s="316"/>
      <c r="BW297" s="316"/>
      <c r="BX297" s="316"/>
      <c r="BY297" s="316"/>
      <c r="BZ297" s="316"/>
      <c r="CA297" s="316"/>
      <c r="CB297" s="316"/>
      <c r="CC297" s="316"/>
      <c r="CD297" s="316"/>
      <c r="CE297" s="317"/>
      <c r="CF297" s="316"/>
      <c r="CG297" s="316"/>
      <c r="CH297" s="316"/>
      <c r="CI297" s="316"/>
      <c r="CJ297" s="316"/>
      <c r="CK297" s="316"/>
      <c r="CL297" s="316"/>
      <c r="CM297" s="316"/>
      <c r="CN297" s="316"/>
      <c r="CO297" s="316"/>
      <c r="CP297" s="318"/>
      <c r="CQ297" s="316"/>
      <c r="CR297" s="316"/>
      <c r="CS297" s="316"/>
      <c r="CT297" s="316"/>
      <c r="CU297" s="316"/>
      <c r="CV297" s="316"/>
      <c r="CW297" s="316"/>
      <c r="CX297" s="316"/>
      <c r="CY297" s="316"/>
      <c r="CZ297" s="316"/>
      <c r="DA297" s="316"/>
      <c r="DB297" s="1498"/>
      <c r="DC297" s="636"/>
      <c r="DD297" s="636"/>
      <c r="DE297" s="636"/>
      <c r="DF297" s="636"/>
      <c r="DG297" s="636"/>
      <c r="DH297" s="636"/>
      <c r="DI297" s="636"/>
      <c r="DJ297" s="636"/>
      <c r="DK297" s="636"/>
      <c r="DL297" s="636"/>
      <c r="DM297" s="1209"/>
      <c r="DN297" s="1539"/>
      <c r="DO297" s="1209"/>
      <c r="DP297" s="1209"/>
      <c r="DQ297" s="1209"/>
      <c r="DR297" s="1209"/>
      <c r="DS297" s="1209"/>
      <c r="DT297" s="1209"/>
      <c r="DU297" s="1209"/>
      <c r="DV297" s="1209"/>
      <c r="DW297" s="1209"/>
      <c r="DX297" s="1209"/>
      <c r="DY297" s="1209"/>
      <c r="DZ297" s="1539"/>
      <c r="EA297" s="1209"/>
      <c r="EB297" s="1209"/>
      <c r="EC297" s="1209"/>
      <c r="ED297" s="1209"/>
      <c r="EE297" s="1209"/>
      <c r="EF297" s="1209"/>
      <c r="EG297" s="1209"/>
      <c r="EH297" s="1209"/>
      <c r="EI297" s="1209"/>
      <c r="EJ297" s="1209"/>
      <c r="EK297" s="1209"/>
      <c r="EL297" s="1539"/>
      <c r="EM297" s="1209"/>
      <c r="EN297" s="1209"/>
      <c r="EO297" s="1209"/>
      <c r="EP297" s="1209"/>
      <c r="EQ297" s="1209"/>
      <c r="ER297" s="1209"/>
      <c r="ES297" s="1209"/>
      <c r="ET297" s="1209"/>
      <c r="EU297" s="1209"/>
      <c r="EV297" s="1209"/>
      <c r="EW297" s="1209"/>
      <c r="EX297" s="1539"/>
      <c r="EY297" s="1209"/>
      <c r="EZ297" s="1209"/>
      <c r="FA297" s="1209"/>
      <c r="FB297" s="1209"/>
      <c r="FC297" s="1209"/>
      <c r="FD297" s="1209"/>
      <c r="FE297" s="1209"/>
      <c r="FF297" s="1209"/>
      <c r="FG297" s="1209"/>
      <c r="FH297" s="1209"/>
      <c r="FI297" s="1209"/>
      <c r="FJ297" s="1539"/>
      <c r="FK297" s="1209"/>
      <c r="FL297" s="1209"/>
      <c r="FM297" s="1209"/>
      <c r="FN297" s="1209"/>
      <c r="FO297" s="1209"/>
      <c r="FP297" s="1209"/>
      <c r="FQ297" s="636"/>
      <c r="FR297" s="636"/>
      <c r="FS297" s="636"/>
      <c r="FT297" s="636"/>
      <c r="FU297" s="636"/>
      <c r="FV297" s="636"/>
      <c r="FW297" s="636"/>
      <c r="FX297" s="636"/>
      <c r="FY297" s="636"/>
      <c r="FZ297" s="636"/>
      <c r="GA297" s="636"/>
      <c r="GB297" s="636"/>
      <c r="GC297" s="636"/>
      <c r="GD297" s="636"/>
      <c r="GE297" s="636"/>
      <c r="GF297" s="636"/>
      <c r="GG297" s="636"/>
      <c r="GH297" s="636"/>
      <c r="GI297" s="636"/>
      <c r="GJ297" s="636"/>
      <c r="GK297" s="636"/>
      <c r="GL297" s="636"/>
      <c r="GM297" s="636"/>
      <c r="GN297" s="636"/>
      <c r="GO297" s="636"/>
      <c r="GP297" s="636"/>
      <c r="GQ297" s="636"/>
      <c r="GR297" s="636"/>
      <c r="GS297" s="636"/>
      <c r="GT297" s="636"/>
      <c r="GU297" s="636"/>
      <c r="GV297" s="636"/>
      <c r="GW297" s="636"/>
      <c r="GX297" s="636"/>
      <c r="GY297" s="636"/>
      <c r="GZ297" s="636"/>
      <c r="HA297" s="636"/>
      <c r="HB297" s="636"/>
      <c r="HC297" s="636"/>
      <c r="HD297" s="636"/>
      <c r="HE297" s="636"/>
      <c r="HF297" s="636"/>
      <c r="HG297" s="636"/>
      <c r="HH297" s="636"/>
      <c r="HI297" s="636"/>
      <c r="HJ297" s="636"/>
      <c r="HK297" s="636"/>
      <c r="HL297" s="636"/>
      <c r="HM297" s="636"/>
      <c r="KH297" s="303"/>
    </row>
    <row r="298" spans="1:294" outlineLevel="1">
      <c r="B298" s="117" t="s">
        <v>361</v>
      </c>
      <c r="C298" s="896"/>
      <c r="D298" s="316" t="s">
        <v>1249</v>
      </c>
      <c r="F298" s="316"/>
      <c r="G298" s="316"/>
      <c r="H298" s="316"/>
      <c r="I298" s="316"/>
      <c r="J298" s="316"/>
      <c r="K298" s="316"/>
      <c r="L298" s="316"/>
      <c r="M298" s="316"/>
      <c r="N298" s="316"/>
      <c r="O298" s="316"/>
      <c r="P298" s="316"/>
      <c r="Q298" s="316"/>
      <c r="R298" s="316"/>
      <c r="S298" s="316"/>
      <c r="T298" s="316"/>
      <c r="U298" s="316"/>
      <c r="V298" s="316"/>
      <c r="W298" s="316"/>
      <c r="X298" s="316"/>
      <c r="Y298" s="316"/>
      <c r="Z298" s="316"/>
      <c r="AA298" s="316"/>
      <c r="AB298" s="316"/>
      <c r="AC298" s="316"/>
      <c r="AD298" s="316"/>
      <c r="AE298" s="316"/>
      <c r="AF298" s="316"/>
      <c r="AG298" s="316"/>
      <c r="AH298" s="316"/>
      <c r="AI298" s="316"/>
      <c r="AJ298" s="316"/>
      <c r="AK298" s="316"/>
      <c r="AL298" s="316"/>
      <c r="AM298" s="316"/>
      <c r="AN298" s="316"/>
      <c r="AO298" s="316"/>
      <c r="AP298" s="316"/>
      <c r="AQ298" s="316"/>
      <c r="AR298" s="316"/>
      <c r="AS298" s="316"/>
      <c r="AT298" s="316"/>
      <c r="AU298" s="316"/>
      <c r="AV298" s="316"/>
      <c r="AW298" s="316"/>
      <c r="AX298" s="316"/>
      <c r="AY298" s="316"/>
      <c r="AZ298" s="316"/>
      <c r="BA298" s="316"/>
      <c r="BB298" s="316"/>
      <c r="BC298" s="316"/>
      <c r="BD298" s="316"/>
      <c r="BE298" s="316"/>
      <c r="BF298" s="316"/>
      <c r="BG298" s="316"/>
      <c r="BH298" s="316"/>
      <c r="BI298" s="316"/>
      <c r="BJ298" s="316"/>
      <c r="BK298" s="316"/>
      <c r="BL298" s="316"/>
      <c r="BM298" s="316"/>
      <c r="BN298" s="316"/>
      <c r="BO298" s="316"/>
      <c r="BP298" s="316"/>
      <c r="BQ298" s="316"/>
      <c r="BR298" s="316"/>
      <c r="BS298" s="316"/>
      <c r="BT298" s="316"/>
      <c r="BU298" s="316"/>
      <c r="BV298" s="316"/>
      <c r="BW298" s="316"/>
      <c r="BX298" s="316"/>
      <c r="BY298" s="316"/>
      <c r="BZ298" s="316"/>
      <c r="CA298" s="316"/>
      <c r="CB298" s="316"/>
      <c r="CC298" s="316"/>
      <c r="CD298" s="316"/>
      <c r="CE298" s="317">
        <v>0</v>
      </c>
      <c r="CF298" s="316">
        <v>0.36952295899999998</v>
      </c>
      <c r="CG298" s="316">
        <v>0</v>
      </c>
      <c r="CH298" s="316">
        <v>1.724909799</v>
      </c>
      <c r="CI298" s="316">
        <v>0.26947505700000002</v>
      </c>
      <c r="CJ298" s="316">
        <v>0</v>
      </c>
      <c r="CK298" s="316">
        <v>1.9293396279999999</v>
      </c>
      <c r="CL298" s="316">
        <v>0.94391963800000001</v>
      </c>
      <c r="CM298" s="316">
        <v>1.716166812</v>
      </c>
      <c r="CN298" s="316">
        <v>3.5629766150000002</v>
      </c>
      <c r="CO298" s="316">
        <v>6</v>
      </c>
      <c r="CP298" s="318">
        <v>0.107257982</v>
      </c>
      <c r="CQ298" s="316">
        <v>9.4241119429999998</v>
      </c>
      <c r="CR298" s="316">
        <v>0</v>
      </c>
      <c r="CS298" s="316">
        <v>0.107257982</v>
      </c>
      <c r="CT298" s="316">
        <v>0.97976092999999997</v>
      </c>
      <c r="CU298" s="316">
        <v>0</v>
      </c>
      <c r="CV298" s="316">
        <v>0.27485077800000002</v>
      </c>
      <c r="CW298" s="316">
        <v>4.137349145</v>
      </c>
      <c r="CX298" s="316">
        <v>0</v>
      </c>
      <c r="CY298" s="316">
        <v>2.3536618200000001</v>
      </c>
      <c r="CZ298" s="316">
        <v>1.6205009459999999</v>
      </c>
      <c r="DA298" s="316">
        <v>0.63712747599999997</v>
      </c>
      <c r="DB298" s="1498">
        <v>2.4934164920000002</v>
      </c>
      <c r="DC298" s="316">
        <v>1.016963142</v>
      </c>
      <c r="DD298" s="636">
        <v>0</v>
      </c>
      <c r="DE298" s="636">
        <v>0.107257982</v>
      </c>
      <c r="DF298" s="636">
        <v>1.0296751799999999</v>
      </c>
      <c r="DG298" s="636">
        <v>10.5</v>
      </c>
      <c r="DH298" s="636">
        <v>0.28742022900000003</v>
      </c>
      <c r="DI298" s="636">
        <v>1.0425461199999999</v>
      </c>
      <c r="DJ298" s="636">
        <v>0</v>
      </c>
      <c r="DK298" s="636">
        <v>0</v>
      </c>
      <c r="DL298" s="636">
        <v>1.055577947</v>
      </c>
      <c r="DM298" s="636">
        <v>0</v>
      </c>
      <c r="DN298" s="1539">
        <v>0</v>
      </c>
      <c r="DO298" s="1209">
        <v>1.0687726710000001</v>
      </c>
      <c r="DP298" s="1209">
        <v>0.85545203299999995</v>
      </c>
      <c r="DQ298" s="1209">
        <v>0.86362635300000001</v>
      </c>
      <c r="DR298" s="1209">
        <v>1.9540111120000001</v>
      </c>
      <c r="DS298" s="1209">
        <v>0</v>
      </c>
      <c r="DT298" s="1209">
        <v>0.88021006800000001</v>
      </c>
      <c r="DU298" s="1209">
        <v>11.413168518999999</v>
      </c>
      <c r="DV298" s="1209">
        <v>3.6473710920000002</v>
      </c>
      <c r="DW298" s="1209">
        <v>1.8781187340000001</v>
      </c>
      <c r="DX298" s="1209">
        <v>2.9293783150000001</v>
      </c>
      <c r="DY298" s="1209">
        <v>0</v>
      </c>
      <c r="DZ298" s="1539">
        <v>0.92307597399999997</v>
      </c>
      <c r="EA298" s="1209">
        <v>1.123221655</v>
      </c>
      <c r="EB298" s="1209">
        <v>3.8</v>
      </c>
      <c r="EC298" s="1209">
        <v>1.9</v>
      </c>
      <c r="ED298" s="1209">
        <v>3.0372619259999998</v>
      </c>
      <c r="EE298" s="1209">
        <v>0</v>
      </c>
      <c r="EF298" s="1209">
        <v>2.1082000059999997</v>
      </c>
      <c r="EG298" s="1209">
        <v>0</v>
      </c>
      <c r="EH298" s="1209">
        <v>1.9</v>
      </c>
      <c r="EI298" s="1209">
        <v>2.0874999999999999</v>
      </c>
      <c r="EJ298" s="1209">
        <v>6.406892944</v>
      </c>
      <c r="EK298" s="1209">
        <v>0</v>
      </c>
      <c r="EL298" s="1539">
        <v>6.7624064999999991</v>
      </c>
      <c r="EM298" s="1209">
        <v>1.3886445670000001</v>
      </c>
      <c r="EN298" s="1209">
        <v>0</v>
      </c>
      <c r="EO298" s="1209">
        <v>0</v>
      </c>
      <c r="EP298" s="1209">
        <v>1.195200118</v>
      </c>
      <c r="EQ298" s="1209">
        <v>15</v>
      </c>
      <c r="ER298" s="1209">
        <v>0</v>
      </c>
      <c r="ES298" s="1209">
        <v>0</v>
      </c>
      <c r="ET298" s="1209">
        <v>0</v>
      </c>
      <c r="EU298" s="1209">
        <v>0</v>
      </c>
      <c r="EV298" s="1209">
        <v>0.90004214100000002</v>
      </c>
      <c r="EW298" s="1209">
        <v>15.446089969999999</v>
      </c>
      <c r="EX298" s="1539">
        <v>14.580848113</v>
      </c>
      <c r="EY298" s="1209"/>
      <c r="EZ298" s="1209"/>
      <c r="FA298" s="1209"/>
      <c r="FB298" s="1209"/>
      <c r="FC298" s="1209"/>
      <c r="FD298" s="1209"/>
      <c r="FE298" s="1209"/>
      <c r="FF298" s="1209"/>
      <c r="FG298" s="1209"/>
      <c r="FH298" s="1209"/>
      <c r="FI298" s="1209"/>
      <c r="FJ298" s="1539"/>
      <c r="FK298" s="1209"/>
      <c r="FL298" s="1209"/>
      <c r="FM298" s="1209"/>
      <c r="FN298" s="1209"/>
      <c r="FO298" s="1209"/>
      <c r="FP298" s="1209"/>
      <c r="FQ298" s="636"/>
      <c r="FR298" s="636"/>
      <c r="FS298" s="636"/>
      <c r="FT298" s="636"/>
      <c r="FU298" s="636"/>
      <c r="FV298" s="636"/>
      <c r="FW298" s="636"/>
      <c r="FX298" s="636"/>
      <c r="FY298" s="636"/>
      <c r="FZ298" s="636"/>
      <c r="GA298" s="636"/>
      <c r="GB298" s="636"/>
      <c r="GC298" s="636"/>
      <c r="GD298" s="636"/>
      <c r="GE298" s="636"/>
      <c r="GF298" s="636"/>
      <c r="GG298" s="636"/>
      <c r="GH298" s="636"/>
      <c r="GI298" s="636"/>
      <c r="GJ298" s="636"/>
      <c r="GK298" s="636"/>
      <c r="GL298" s="636"/>
      <c r="GM298" s="636"/>
      <c r="GN298" s="636"/>
      <c r="GO298" s="636"/>
      <c r="GP298" s="636"/>
      <c r="GQ298" s="636"/>
      <c r="GR298" s="636"/>
      <c r="GS298" s="636"/>
      <c r="GT298" s="636"/>
      <c r="GU298" s="636"/>
      <c r="GV298" s="636"/>
      <c r="GW298" s="636"/>
      <c r="GX298" s="636"/>
      <c r="GY298" s="636"/>
      <c r="GZ298" s="636"/>
      <c r="HA298" s="636"/>
      <c r="HB298" s="636"/>
      <c r="HC298" s="636"/>
      <c r="HD298" s="636"/>
      <c r="HE298" s="636"/>
      <c r="HF298" s="636"/>
      <c r="HG298" s="636"/>
      <c r="HH298" s="636"/>
      <c r="HI298" s="636"/>
      <c r="HJ298" s="636"/>
      <c r="HK298" s="636"/>
      <c r="HL298" s="636"/>
      <c r="HM298" s="636"/>
      <c r="KH298" s="303"/>
    </row>
    <row r="299" spans="1:294" outlineLevel="1">
      <c r="B299" s="117" t="s">
        <v>361</v>
      </c>
      <c r="C299" s="896"/>
      <c r="D299" s="316" t="s">
        <v>1250</v>
      </c>
      <c r="F299" s="316"/>
      <c r="G299" s="316"/>
      <c r="H299" s="316"/>
      <c r="I299" s="316"/>
      <c r="J299" s="316"/>
      <c r="K299" s="316"/>
      <c r="L299" s="316"/>
      <c r="M299" s="316"/>
      <c r="N299" s="316"/>
      <c r="O299" s="316"/>
      <c r="P299" s="316"/>
      <c r="Q299" s="316"/>
      <c r="R299" s="316"/>
      <c r="S299" s="316"/>
      <c r="T299" s="316"/>
      <c r="U299" s="316"/>
      <c r="V299" s="316"/>
      <c r="W299" s="316"/>
      <c r="X299" s="316"/>
      <c r="Y299" s="316"/>
      <c r="Z299" s="316"/>
      <c r="AA299" s="316"/>
      <c r="AB299" s="316"/>
      <c r="AC299" s="316"/>
      <c r="AD299" s="316"/>
      <c r="AE299" s="316"/>
      <c r="AF299" s="316"/>
      <c r="AG299" s="316"/>
      <c r="AH299" s="316"/>
      <c r="AI299" s="316"/>
      <c r="AJ299" s="316"/>
      <c r="AK299" s="316"/>
      <c r="AL299" s="316"/>
      <c r="AM299" s="316"/>
      <c r="AN299" s="316"/>
      <c r="AO299" s="316"/>
      <c r="AP299" s="316"/>
      <c r="AQ299" s="316"/>
      <c r="AR299" s="316"/>
      <c r="AS299" s="316"/>
      <c r="AT299" s="316"/>
      <c r="AU299" s="316"/>
      <c r="AV299" s="316"/>
      <c r="AW299" s="316"/>
      <c r="AX299" s="316"/>
      <c r="AY299" s="316"/>
      <c r="AZ299" s="316"/>
      <c r="BA299" s="316"/>
      <c r="BB299" s="316"/>
      <c r="BC299" s="316"/>
      <c r="BD299" s="316"/>
      <c r="BE299" s="316"/>
      <c r="BF299" s="316"/>
      <c r="BG299" s="316"/>
      <c r="BH299" s="316"/>
      <c r="BI299" s="316"/>
      <c r="BJ299" s="316"/>
      <c r="BK299" s="316"/>
      <c r="BL299" s="316"/>
      <c r="BM299" s="316"/>
      <c r="BN299" s="316"/>
      <c r="BO299" s="316"/>
      <c r="BP299" s="316"/>
      <c r="BQ299" s="316"/>
      <c r="BR299" s="316"/>
      <c r="BS299" s="316"/>
      <c r="BT299" s="316"/>
      <c r="BU299" s="316"/>
      <c r="BV299" s="316"/>
      <c r="BW299" s="316"/>
      <c r="BX299" s="316"/>
      <c r="BY299" s="316"/>
      <c r="BZ299" s="316"/>
      <c r="CA299" s="316"/>
      <c r="CB299" s="316"/>
      <c r="CC299" s="316"/>
      <c r="CD299" s="316"/>
      <c r="CE299" s="317">
        <v>0.39586318599999998</v>
      </c>
      <c r="CF299" s="316">
        <v>5.7839338999999997E-2</v>
      </c>
      <c r="CG299" s="316">
        <v>0.703602968</v>
      </c>
      <c r="CH299" s="316">
        <v>0.71574627800000001</v>
      </c>
      <c r="CI299" s="316">
        <v>1.311329698</v>
      </c>
      <c r="CJ299" s="316">
        <v>0.87157223399999995</v>
      </c>
      <c r="CK299" s="316">
        <v>0.27719154699999998</v>
      </c>
      <c r="CL299" s="316">
        <v>8.4264433E-2</v>
      </c>
      <c r="CM299" s="316">
        <v>0.64467011699999999</v>
      </c>
      <c r="CN299" s="316">
        <v>1.430611361</v>
      </c>
      <c r="CO299" s="316">
        <v>2.2198030690000001</v>
      </c>
      <c r="CP299" s="318">
        <v>0.75472671400000002</v>
      </c>
      <c r="CQ299" s="316">
        <v>0.42498445600000001</v>
      </c>
      <c r="CR299" s="316">
        <v>0.102537352</v>
      </c>
      <c r="CS299" s="316">
        <v>1.2527961969999999</v>
      </c>
      <c r="CT299" s="316">
        <v>1.066638427</v>
      </c>
      <c r="CU299" s="316">
        <v>1.4408561610000001</v>
      </c>
      <c r="CV299" s="316">
        <v>0.85266763700000003</v>
      </c>
      <c r="CW299" s="316">
        <v>0.19537990499999999</v>
      </c>
      <c r="CX299" s="316">
        <v>0.103676817</v>
      </c>
      <c r="CY299" s="316">
        <v>1.6563464289999998</v>
      </c>
      <c r="CZ299" s="316">
        <v>1.1590631440000001</v>
      </c>
      <c r="DA299" s="316">
        <v>2.3130289560000001</v>
      </c>
      <c r="DB299" s="1498">
        <v>0.95644530500000002</v>
      </c>
      <c r="DC299" s="316">
        <v>0.42731891899999996</v>
      </c>
      <c r="DD299" s="636">
        <v>0.106041388</v>
      </c>
      <c r="DE299" s="636">
        <v>1.688151223</v>
      </c>
      <c r="DF299" s="636">
        <v>1.290621706</v>
      </c>
      <c r="DG299" s="636">
        <v>1.582189246</v>
      </c>
      <c r="DH299" s="636">
        <v>1.142805748</v>
      </c>
      <c r="DI299" s="636">
        <v>0.30168885499999998</v>
      </c>
      <c r="DJ299" s="636">
        <v>0.110646936</v>
      </c>
      <c r="DK299" s="636">
        <v>4.132394315</v>
      </c>
      <c r="DL299" s="636">
        <v>1.355918518</v>
      </c>
      <c r="DM299" s="636">
        <v>2.7604297070000001</v>
      </c>
      <c r="DN299" s="1539">
        <v>4.0842326419999999</v>
      </c>
      <c r="DO299" s="1209">
        <v>0.46892194200000004</v>
      </c>
      <c r="DP299" s="1209">
        <v>8.7627767999999995E-2</v>
      </c>
      <c r="DQ299" s="1209">
        <v>4.6992862640000004</v>
      </c>
      <c r="DR299" s="1209">
        <v>1.4215288939999999</v>
      </c>
      <c r="DS299" s="1209">
        <v>1.795995776</v>
      </c>
      <c r="DT299" s="1209">
        <v>1.4109961360000001</v>
      </c>
      <c r="DU299" s="1209">
        <v>0.52609718900000002</v>
      </c>
      <c r="DV299" s="1209">
        <v>0.111659601</v>
      </c>
      <c r="DW299" s="1209">
        <v>5.2253734779999998</v>
      </c>
      <c r="DX299" s="1209">
        <v>1.654865252</v>
      </c>
      <c r="DY299" s="1209">
        <v>1.9757851319999999</v>
      </c>
      <c r="DZ299" s="1539">
        <v>1.395982729</v>
      </c>
      <c r="EA299" s="1209">
        <v>1.272119062</v>
      </c>
      <c r="EB299" s="1209">
        <v>0.11415238</v>
      </c>
      <c r="EC299" s="1209">
        <v>5.4104019149999996</v>
      </c>
      <c r="ED299" s="1209">
        <v>1.7191217400000001</v>
      </c>
      <c r="EE299" s="1209">
        <v>1.8902031949999998</v>
      </c>
      <c r="EF299" s="1209">
        <v>1.6026150100000001</v>
      </c>
      <c r="EG299" s="1209">
        <v>1.1499744509999998</v>
      </c>
      <c r="EH299" s="1209">
        <v>0.45966550299999998</v>
      </c>
      <c r="EI299" s="1209">
        <v>4.5955322469999995</v>
      </c>
      <c r="EJ299" s="1209">
        <v>2.791526825</v>
      </c>
      <c r="EK299" s="1209">
        <v>2.0812441829999999</v>
      </c>
      <c r="EL299" s="1539">
        <v>1.4784946489999999</v>
      </c>
      <c r="EM299" s="1209">
        <v>1.336842066</v>
      </c>
      <c r="EN299" s="1209">
        <v>0.46767455200000002</v>
      </c>
      <c r="EO299" s="1209">
        <v>5.5644570879999993</v>
      </c>
      <c r="EP299" s="1209">
        <v>1.767328129</v>
      </c>
      <c r="EQ299" s="1209">
        <v>2.1048572919999997</v>
      </c>
      <c r="ER299" s="1209">
        <v>1.6570807460000001</v>
      </c>
      <c r="ES299" s="1209">
        <v>1.1860716259999999</v>
      </c>
      <c r="ET299" s="1209">
        <v>1.4158283250000001</v>
      </c>
      <c r="EU299" s="1209">
        <v>5.9580953710000006</v>
      </c>
      <c r="EV299" s="1209">
        <v>1.805382633</v>
      </c>
      <c r="EW299" s="1209">
        <v>2.1443604469999999</v>
      </c>
      <c r="EX299" s="1539">
        <v>1.517057804</v>
      </c>
      <c r="EY299" s="1209"/>
      <c r="EZ299" s="1209"/>
      <c r="FA299" s="1209"/>
      <c r="FB299" s="1209"/>
      <c r="FC299" s="1209"/>
      <c r="FD299" s="1209"/>
      <c r="FE299" s="1209"/>
      <c r="FF299" s="1209"/>
      <c r="FG299" s="1209"/>
      <c r="FH299" s="1209"/>
      <c r="FI299" s="1209"/>
      <c r="FJ299" s="1539"/>
      <c r="FK299" s="1209"/>
      <c r="FL299" s="1209"/>
      <c r="FM299" s="1209"/>
      <c r="FN299" s="1209"/>
      <c r="FO299" s="1209"/>
      <c r="FP299" s="1209"/>
      <c r="FQ299" s="636"/>
      <c r="FR299" s="636"/>
      <c r="FS299" s="636"/>
      <c r="FT299" s="636"/>
      <c r="FU299" s="636"/>
      <c r="FV299" s="636"/>
      <c r="FW299" s="636"/>
      <c r="FX299" s="636"/>
      <c r="FY299" s="636"/>
      <c r="FZ299" s="636"/>
      <c r="GA299" s="636"/>
      <c r="GB299" s="636"/>
      <c r="GC299" s="636"/>
      <c r="GD299" s="636"/>
      <c r="GE299" s="636"/>
      <c r="GF299" s="636"/>
      <c r="GG299" s="636"/>
      <c r="GH299" s="636"/>
      <c r="GI299" s="636"/>
      <c r="GJ299" s="636"/>
      <c r="GK299" s="636"/>
      <c r="GL299" s="636"/>
      <c r="GM299" s="636"/>
      <c r="GN299" s="636"/>
      <c r="GO299" s="636"/>
      <c r="GP299" s="636"/>
      <c r="GQ299" s="636"/>
      <c r="GR299" s="636"/>
      <c r="GS299" s="636"/>
      <c r="GT299" s="636"/>
      <c r="GU299" s="636"/>
      <c r="GV299" s="636"/>
      <c r="GW299" s="636"/>
      <c r="GX299" s="636"/>
      <c r="GY299" s="636"/>
      <c r="GZ299" s="636"/>
      <c r="HA299" s="636"/>
      <c r="HB299" s="636"/>
      <c r="HC299" s="636"/>
      <c r="HD299" s="636"/>
      <c r="HE299" s="636"/>
      <c r="HF299" s="636"/>
      <c r="HG299" s="636"/>
      <c r="HH299" s="636"/>
      <c r="HI299" s="636"/>
      <c r="HJ299" s="636"/>
      <c r="HK299" s="636"/>
      <c r="HL299" s="636"/>
      <c r="HM299" s="636"/>
      <c r="KH299" s="303"/>
    </row>
    <row r="300" spans="1:294" outlineLevel="1">
      <c r="C300" s="896" t="s">
        <v>471</v>
      </c>
      <c r="D300" s="316"/>
      <c r="F300" s="316"/>
      <c r="G300" s="316"/>
      <c r="H300" s="316"/>
      <c r="I300" s="316"/>
      <c r="J300" s="316"/>
      <c r="K300" s="316"/>
      <c r="L300" s="316"/>
      <c r="M300" s="316"/>
      <c r="N300" s="316"/>
      <c r="O300" s="316"/>
      <c r="P300" s="316"/>
      <c r="Q300" s="316"/>
      <c r="R300" s="316"/>
      <c r="S300" s="316"/>
      <c r="T300" s="316"/>
      <c r="U300" s="316"/>
      <c r="V300" s="316"/>
      <c r="W300" s="316"/>
      <c r="X300" s="316"/>
      <c r="Y300" s="316"/>
      <c r="Z300" s="316"/>
      <c r="AA300" s="316"/>
      <c r="AB300" s="316"/>
      <c r="AC300" s="316"/>
      <c r="AD300" s="316"/>
      <c r="AE300" s="316"/>
      <c r="AF300" s="316"/>
      <c r="AG300" s="316"/>
      <c r="AH300" s="316"/>
      <c r="AI300" s="316"/>
      <c r="AJ300" s="316"/>
      <c r="AK300" s="316"/>
      <c r="AL300" s="316"/>
      <c r="AM300" s="316"/>
      <c r="AN300" s="316"/>
      <c r="AO300" s="316"/>
      <c r="AP300" s="316"/>
      <c r="AQ300" s="316"/>
      <c r="AR300" s="316"/>
      <c r="AS300" s="316"/>
      <c r="AT300" s="316"/>
      <c r="AU300" s="316"/>
      <c r="AV300" s="316"/>
      <c r="AW300" s="316"/>
      <c r="AX300" s="316"/>
      <c r="AY300" s="316"/>
      <c r="AZ300" s="316"/>
      <c r="BA300" s="316"/>
      <c r="BB300" s="316"/>
      <c r="BC300" s="316"/>
      <c r="BD300" s="316"/>
      <c r="BE300" s="316"/>
      <c r="BF300" s="316"/>
      <c r="BG300" s="316"/>
      <c r="BH300" s="316"/>
      <c r="BI300" s="316"/>
      <c r="BJ300" s="316"/>
      <c r="BK300" s="316"/>
      <c r="BL300" s="316"/>
      <c r="BM300" s="316"/>
      <c r="BN300" s="316"/>
      <c r="BO300" s="316"/>
      <c r="BP300" s="316"/>
      <c r="BQ300" s="316"/>
      <c r="BR300" s="316"/>
      <c r="BS300" s="316"/>
      <c r="BT300" s="316"/>
      <c r="BU300" s="316"/>
      <c r="BV300" s="316"/>
      <c r="BW300" s="316"/>
      <c r="BX300" s="316"/>
      <c r="BY300" s="316"/>
      <c r="BZ300" s="316"/>
      <c r="CA300" s="316"/>
      <c r="CB300" s="316"/>
      <c r="CC300" s="316"/>
      <c r="CD300" s="316"/>
      <c r="CE300" s="317"/>
      <c r="CF300" s="316"/>
      <c r="CG300" s="316"/>
      <c r="CH300" s="316"/>
      <c r="CI300" s="316"/>
      <c r="CJ300" s="316"/>
      <c r="CK300" s="316"/>
      <c r="CL300" s="316"/>
      <c r="CM300" s="316"/>
      <c r="CN300" s="316"/>
      <c r="CO300" s="316"/>
      <c r="CP300" s="318"/>
      <c r="CQ300" s="316"/>
      <c r="CR300" s="316"/>
      <c r="CS300" s="316"/>
      <c r="CT300" s="316"/>
      <c r="CU300" s="316"/>
      <c r="CV300" s="316"/>
      <c r="CW300" s="316"/>
      <c r="CX300" s="316"/>
      <c r="CY300" s="316"/>
      <c r="CZ300" s="316"/>
      <c r="DA300" s="316"/>
      <c r="DB300" s="1498"/>
      <c r="DC300" s="316"/>
      <c r="DD300" s="636"/>
      <c r="DE300" s="636"/>
      <c r="DF300" s="636"/>
      <c r="DG300" s="636"/>
      <c r="DH300" s="636"/>
      <c r="DI300" s="636"/>
      <c r="DJ300" s="636"/>
      <c r="DK300" s="636"/>
      <c r="DL300" s="636"/>
      <c r="DM300" s="636"/>
      <c r="DN300" s="1539"/>
      <c r="DO300" s="1209"/>
      <c r="DP300" s="1209"/>
      <c r="DQ300" s="1209"/>
      <c r="DR300" s="1209"/>
      <c r="DS300" s="1209"/>
      <c r="DT300" s="1209"/>
      <c r="DU300" s="1209"/>
      <c r="DV300" s="1209"/>
      <c r="DW300" s="1209"/>
      <c r="DX300" s="1209"/>
      <c r="DY300" s="1209"/>
      <c r="DZ300" s="1539"/>
      <c r="EA300" s="1209"/>
      <c r="EB300" s="1209"/>
      <c r="EC300" s="1209"/>
      <c r="ED300" s="1209"/>
      <c r="EE300" s="1209"/>
      <c r="EF300" s="1209"/>
      <c r="EG300" s="1209"/>
      <c r="EH300" s="1209"/>
      <c r="EI300" s="1209"/>
      <c r="EJ300" s="1209"/>
      <c r="EK300" s="1209"/>
      <c r="EL300" s="1539"/>
      <c r="EM300" s="1209"/>
      <c r="EN300" s="1209"/>
      <c r="EO300" s="1209"/>
      <c r="EP300" s="1209"/>
      <c r="EQ300" s="1209"/>
      <c r="ER300" s="1209"/>
      <c r="ES300" s="1209"/>
      <c r="ET300" s="1209"/>
      <c r="EU300" s="1209"/>
      <c r="EV300" s="1209"/>
      <c r="EW300" s="1209"/>
      <c r="EX300" s="1539"/>
      <c r="EY300" s="1209"/>
      <c r="EZ300" s="1209"/>
      <c r="FA300" s="1209"/>
      <c r="FB300" s="1209"/>
      <c r="FC300" s="1209"/>
      <c r="FD300" s="1209"/>
      <c r="FE300" s="1209"/>
      <c r="FF300" s="1209"/>
      <c r="FG300" s="1209"/>
      <c r="FH300" s="1209"/>
      <c r="FI300" s="1209"/>
      <c r="FJ300" s="1539"/>
      <c r="FK300" s="1209"/>
      <c r="FL300" s="1209"/>
      <c r="FM300" s="1209"/>
      <c r="FN300" s="1209"/>
      <c r="FO300" s="1209"/>
      <c r="FP300" s="1209"/>
      <c r="FQ300" s="636"/>
      <c r="FR300" s="636"/>
      <c r="FS300" s="636"/>
      <c r="FT300" s="636"/>
      <c r="FU300" s="636"/>
      <c r="FV300" s="636"/>
      <c r="FW300" s="636"/>
      <c r="FX300" s="636"/>
      <c r="FY300" s="636"/>
      <c r="FZ300" s="636"/>
      <c r="GA300" s="636"/>
      <c r="GB300" s="636"/>
      <c r="GC300" s="636"/>
      <c r="GD300" s="636"/>
      <c r="GE300" s="636"/>
      <c r="GF300" s="636"/>
      <c r="GG300" s="636"/>
      <c r="GH300" s="636"/>
      <c r="GI300" s="636"/>
      <c r="GJ300" s="636"/>
      <c r="GK300" s="636"/>
      <c r="GL300" s="636"/>
      <c r="GM300" s="636"/>
      <c r="GN300" s="636"/>
      <c r="GO300" s="636"/>
      <c r="GP300" s="636"/>
      <c r="GQ300" s="636"/>
      <c r="GR300" s="636"/>
      <c r="GS300" s="636"/>
      <c r="GT300" s="636"/>
      <c r="GU300" s="636"/>
      <c r="GV300" s="636"/>
      <c r="GW300" s="636"/>
      <c r="GX300" s="636"/>
      <c r="GY300" s="636"/>
      <c r="GZ300" s="636"/>
      <c r="HA300" s="636"/>
      <c r="HB300" s="636"/>
      <c r="HC300" s="636"/>
      <c r="HD300" s="636"/>
      <c r="HE300" s="636"/>
      <c r="HF300" s="636"/>
      <c r="HG300" s="636"/>
      <c r="HH300" s="636"/>
      <c r="HI300" s="636"/>
      <c r="HJ300" s="636"/>
      <c r="HK300" s="636"/>
      <c r="HL300" s="636"/>
      <c r="HM300" s="636"/>
      <c r="KH300" s="303"/>
    </row>
    <row r="301" spans="1:294" outlineLevel="1">
      <c r="B301" s="117" t="s">
        <v>361</v>
      </c>
      <c r="C301" s="1231"/>
      <c r="D301" s="316" t="s">
        <v>1251</v>
      </c>
      <c r="F301" s="316"/>
      <c r="G301" s="316"/>
      <c r="H301" s="316"/>
      <c r="I301" s="316"/>
      <c r="J301" s="316"/>
      <c r="K301" s="316"/>
      <c r="L301" s="316"/>
      <c r="M301" s="316"/>
      <c r="N301" s="316"/>
      <c r="O301" s="316"/>
      <c r="P301" s="316"/>
      <c r="Q301" s="316"/>
      <c r="R301" s="316"/>
      <c r="S301" s="316"/>
      <c r="T301" s="316"/>
      <c r="U301" s="316"/>
      <c r="V301" s="316"/>
      <c r="W301" s="316"/>
      <c r="X301" s="316"/>
      <c r="Y301" s="316"/>
      <c r="Z301" s="316"/>
      <c r="AA301" s="316"/>
      <c r="AB301" s="316"/>
      <c r="AC301" s="316"/>
      <c r="AD301" s="316"/>
      <c r="AE301" s="316"/>
      <c r="AF301" s="316"/>
      <c r="AG301" s="316"/>
      <c r="AH301" s="316"/>
      <c r="AI301" s="316"/>
      <c r="AJ301" s="316"/>
      <c r="AK301" s="316"/>
      <c r="AL301" s="316"/>
      <c r="AM301" s="316"/>
      <c r="AN301" s="316"/>
      <c r="AO301" s="316"/>
      <c r="AP301" s="316"/>
      <c r="AQ301" s="316"/>
      <c r="AR301" s="316"/>
      <c r="AS301" s="316"/>
      <c r="AT301" s="316"/>
      <c r="AU301" s="316"/>
      <c r="AV301" s="316"/>
      <c r="AW301" s="316"/>
      <c r="AX301" s="316"/>
      <c r="AY301" s="316"/>
      <c r="AZ301" s="316"/>
      <c r="BA301" s="316"/>
      <c r="BB301" s="316"/>
      <c r="BC301" s="316"/>
      <c r="BD301" s="316"/>
      <c r="BE301" s="316"/>
      <c r="BF301" s="316"/>
      <c r="BG301" s="316"/>
      <c r="BH301" s="316"/>
      <c r="BI301" s="316"/>
      <c r="BJ301" s="316"/>
      <c r="BK301" s="316"/>
      <c r="BL301" s="316"/>
      <c r="BM301" s="316"/>
      <c r="BN301" s="316"/>
      <c r="BO301" s="316"/>
      <c r="BP301" s="316"/>
      <c r="BQ301" s="316"/>
      <c r="BR301" s="316"/>
      <c r="BS301" s="316"/>
      <c r="BT301" s="316"/>
      <c r="BU301" s="316"/>
      <c r="BV301" s="316"/>
      <c r="BW301" s="316"/>
      <c r="BX301" s="316"/>
      <c r="BY301" s="316"/>
      <c r="BZ301" s="316"/>
      <c r="CA301" s="316"/>
      <c r="CB301" s="316"/>
      <c r="CC301" s="316"/>
      <c r="CD301" s="316"/>
      <c r="CE301" s="317">
        <v>0</v>
      </c>
      <c r="CF301" s="316">
        <v>0.85679172400000003</v>
      </c>
      <c r="CG301" s="316">
        <v>0</v>
      </c>
      <c r="CH301" s="316">
        <v>3.3017313129999999</v>
      </c>
      <c r="CI301" s="316">
        <v>0.66247898000000005</v>
      </c>
      <c r="CJ301" s="316">
        <v>0.93518368699999999</v>
      </c>
      <c r="CK301" s="316">
        <v>1.1450660850000001</v>
      </c>
      <c r="CL301" s="316">
        <v>0</v>
      </c>
      <c r="CM301" s="316">
        <v>0</v>
      </c>
      <c r="CN301" s="316">
        <v>2.466065908</v>
      </c>
      <c r="CO301" s="316">
        <v>1.0941749780000001</v>
      </c>
      <c r="CP301" s="318">
        <v>1.0063465439999999</v>
      </c>
      <c r="CQ301" s="316">
        <v>0.65265225999999998</v>
      </c>
      <c r="CR301" s="316">
        <v>0.92446115500000003</v>
      </c>
      <c r="CS301" s="316">
        <v>0.69234832000000002</v>
      </c>
      <c r="CT301" s="316">
        <v>0.63867135900000005</v>
      </c>
      <c r="CU301" s="316">
        <v>0.62713229800000003</v>
      </c>
      <c r="CV301" s="316">
        <v>0.561265668</v>
      </c>
      <c r="CW301" s="316">
        <v>0.71467093000000004</v>
      </c>
      <c r="CX301" s="316">
        <v>0.65932749000000002</v>
      </c>
      <c r="CY301" s="316">
        <v>0.52347253900000001</v>
      </c>
      <c r="CZ301" s="316">
        <v>0.57971236299999995</v>
      </c>
      <c r="DA301" s="316">
        <v>2.73287871</v>
      </c>
      <c r="DB301" s="1498">
        <v>0.65030140700000005</v>
      </c>
      <c r="DC301" s="316">
        <v>0.82056269400000004</v>
      </c>
      <c r="DD301" s="636">
        <v>0.70397444600000003</v>
      </c>
      <c r="DE301" s="636">
        <v>0.86835240300000005</v>
      </c>
      <c r="DF301" s="636">
        <v>1.0062079829999999</v>
      </c>
      <c r="DG301" s="636">
        <v>0.64591638100000004</v>
      </c>
      <c r="DH301" s="636">
        <v>0.76375125899999996</v>
      </c>
      <c r="DI301" s="636">
        <v>0.98971626800000001</v>
      </c>
      <c r="DJ301" s="636">
        <v>0.699821637</v>
      </c>
      <c r="DK301" s="636">
        <v>0.65590623299999995</v>
      </c>
      <c r="DL301" s="636">
        <v>1.0676045999999999</v>
      </c>
      <c r="DM301" s="636">
        <v>0.74050832099999997</v>
      </c>
      <c r="DN301" s="1539">
        <v>0.67089062499999996</v>
      </c>
      <c r="DO301" s="1209">
        <v>1.093810036</v>
      </c>
      <c r="DP301" s="1209">
        <v>0</v>
      </c>
      <c r="DQ301" s="1209">
        <v>2.64107373</v>
      </c>
      <c r="DR301" s="1209">
        <v>1.0812104929999999</v>
      </c>
      <c r="DS301" s="1209">
        <v>5.1450937290000001</v>
      </c>
      <c r="DT301" s="1209">
        <v>2.45597032</v>
      </c>
      <c r="DU301" s="1209">
        <v>1.5389733839999999</v>
      </c>
      <c r="DV301" s="1209">
        <v>1.626032127</v>
      </c>
      <c r="DW301" s="1209">
        <v>0</v>
      </c>
      <c r="DX301" s="1209">
        <v>3.2602379570000002</v>
      </c>
      <c r="DY301" s="1209">
        <v>1.15412743</v>
      </c>
      <c r="DZ301" s="1539">
        <v>2.332986172</v>
      </c>
      <c r="EA301" s="1209">
        <v>2.0467826979999999</v>
      </c>
      <c r="EB301" s="1209">
        <v>1.5587384070000001</v>
      </c>
      <c r="EC301" s="1209">
        <v>2.2421106769999999</v>
      </c>
      <c r="ED301" s="1209">
        <v>1.929335523</v>
      </c>
      <c r="EE301" s="1209">
        <v>1.1745709769999999</v>
      </c>
      <c r="EF301" s="1209">
        <v>1.9744015290000001</v>
      </c>
      <c r="EG301" s="1209">
        <v>2.2338352590000001</v>
      </c>
      <c r="EH301" s="1209">
        <v>2.261494747</v>
      </c>
      <c r="EI301" s="1209">
        <v>0</v>
      </c>
      <c r="EJ301" s="1209">
        <v>4.1642875720000001</v>
      </c>
      <c r="EK301" s="1209">
        <v>0</v>
      </c>
      <c r="EL301" s="1539">
        <v>3.628630877</v>
      </c>
      <c r="EM301" s="1209">
        <v>2.1990631711664572</v>
      </c>
      <c r="EN301" s="1209">
        <v>2.056682468207518</v>
      </c>
      <c r="EO301" s="1209">
        <v>1.7641710395801309</v>
      </c>
      <c r="EP301" s="1209">
        <v>2.0716279921982124</v>
      </c>
      <c r="EQ301" s="1209">
        <v>2.0130343650000002</v>
      </c>
      <c r="ER301" s="1209">
        <v>1.9079741481208798</v>
      </c>
      <c r="ES301" s="1209">
        <v>1.9915403009999999</v>
      </c>
      <c r="ET301" s="1209">
        <v>2.1856554410000002</v>
      </c>
      <c r="EU301" s="1209">
        <v>2.0579719870000002</v>
      </c>
      <c r="EV301" s="1209">
        <v>1.269670214</v>
      </c>
      <c r="EW301" s="1209">
        <v>1.378448176</v>
      </c>
      <c r="EX301" s="1539">
        <v>1.516211926</v>
      </c>
      <c r="EY301" s="1209"/>
      <c r="EZ301" s="1209"/>
      <c r="FA301" s="1209"/>
      <c r="FB301" s="1209"/>
      <c r="FC301" s="1209"/>
      <c r="FD301" s="1209"/>
      <c r="FE301" s="1209"/>
      <c r="FF301" s="1209"/>
      <c r="FG301" s="1209"/>
      <c r="FH301" s="1209"/>
      <c r="FI301" s="1209"/>
      <c r="FJ301" s="1539"/>
      <c r="FK301" s="1209"/>
      <c r="FL301" s="1209"/>
      <c r="FM301" s="1209"/>
      <c r="FN301" s="1209"/>
      <c r="FO301" s="1209"/>
      <c r="FP301" s="1209"/>
      <c r="FQ301" s="636"/>
      <c r="FR301" s="636"/>
      <c r="FS301" s="636"/>
      <c r="FT301" s="636"/>
      <c r="FU301" s="636"/>
      <c r="FV301" s="636"/>
      <c r="FW301" s="636"/>
      <c r="FX301" s="636"/>
      <c r="FY301" s="636"/>
      <c r="FZ301" s="636"/>
      <c r="GA301" s="636"/>
      <c r="GB301" s="636"/>
      <c r="GC301" s="636"/>
      <c r="GD301" s="636"/>
      <c r="GE301" s="636"/>
      <c r="GF301" s="636"/>
      <c r="GG301" s="636"/>
      <c r="GH301" s="636"/>
      <c r="GI301" s="636"/>
      <c r="GJ301" s="636"/>
      <c r="GK301" s="636"/>
      <c r="GL301" s="636"/>
      <c r="GM301" s="636"/>
      <c r="GN301" s="636"/>
      <c r="GO301" s="636"/>
      <c r="GP301" s="636"/>
      <c r="GQ301" s="636"/>
      <c r="GR301" s="636"/>
      <c r="GS301" s="636"/>
      <c r="GT301" s="636"/>
      <c r="GU301" s="636"/>
      <c r="GV301" s="636"/>
      <c r="GW301" s="636"/>
      <c r="GX301" s="636"/>
      <c r="GY301" s="636"/>
      <c r="GZ301" s="636"/>
      <c r="HA301" s="636"/>
      <c r="HB301" s="636"/>
      <c r="HC301" s="636"/>
      <c r="HD301" s="636"/>
      <c r="HE301" s="636"/>
      <c r="HF301" s="636"/>
      <c r="HG301" s="636"/>
      <c r="HH301" s="636"/>
      <c r="HI301" s="636"/>
      <c r="HJ301" s="636"/>
      <c r="HK301" s="636"/>
      <c r="HL301" s="636"/>
      <c r="HM301" s="636"/>
      <c r="KH301" s="303"/>
    </row>
    <row r="302" spans="1:294" outlineLevel="1">
      <c r="B302" s="117" t="s">
        <v>361</v>
      </c>
      <c r="C302" s="1229"/>
      <c r="D302" s="316" t="s">
        <v>1252</v>
      </c>
      <c r="F302" s="316"/>
      <c r="G302" s="316"/>
      <c r="H302" s="316"/>
      <c r="I302" s="316"/>
      <c r="J302" s="316"/>
      <c r="K302" s="316"/>
      <c r="L302" s="316"/>
      <c r="M302" s="316"/>
      <c r="N302" s="316"/>
      <c r="O302" s="316"/>
      <c r="P302" s="316"/>
      <c r="Q302" s="316"/>
      <c r="R302" s="316"/>
      <c r="S302" s="316"/>
      <c r="T302" s="316"/>
      <c r="U302" s="316"/>
      <c r="V302" s="316"/>
      <c r="W302" s="316"/>
      <c r="X302" s="316"/>
      <c r="Y302" s="316"/>
      <c r="Z302" s="316"/>
      <c r="AA302" s="316"/>
      <c r="AB302" s="316"/>
      <c r="AC302" s="316"/>
      <c r="AD302" s="316"/>
      <c r="AE302" s="316"/>
      <c r="AF302" s="316"/>
      <c r="AG302" s="316"/>
      <c r="AH302" s="316"/>
      <c r="AI302" s="316"/>
      <c r="AJ302" s="316"/>
      <c r="AK302" s="316"/>
      <c r="AL302" s="316"/>
      <c r="AM302" s="316"/>
      <c r="AN302" s="316"/>
      <c r="AO302" s="316"/>
      <c r="AP302" s="316"/>
      <c r="AQ302" s="316"/>
      <c r="AR302" s="316"/>
      <c r="AS302" s="316"/>
      <c r="AT302" s="316"/>
      <c r="AU302" s="316"/>
      <c r="AV302" s="316"/>
      <c r="AW302" s="316"/>
      <c r="AX302" s="316"/>
      <c r="AY302" s="316"/>
      <c r="AZ302" s="316"/>
      <c r="BA302" s="316"/>
      <c r="BB302" s="316"/>
      <c r="BC302" s="316"/>
      <c r="BD302" s="316"/>
      <c r="BE302" s="316"/>
      <c r="BF302" s="316"/>
      <c r="BG302" s="316"/>
      <c r="BH302" s="316"/>
      <c r="BI302" s="316"/>
      <c r="BJ302" s="316"/>
      <c r="BK302" s="316"/>
      <c r="BL302" s="316"/>
      <c r="BM302" s="316"/>
      <c r="BN302" s="316"/>
      <c r="BO302" s="316"/>
      <c r="BP302" s="316"/>
      <c r="BQ302" s="316"/>
      <c r="BR302" s="316"/>
      <c r="BS302" s="316"/>
      <c r="BT302" s="316"/>
      <c r="BU302" s="316"/>
      <c r="BV302" s="316"/>
      <c r="BW302" s="316"/>
      <c r="BX302" s="316"/>
      <c r="BY302" s="316"/>
      <c r="BZ302" s="316"/>
      <c r="CA302" s="316"/>
      <c r="CB302" s="316"/>
      <c r="CC302" s="316"/>
      <c r="CD302" s="316"/>
      <c r="CE302" s="317">
        <v>0</v>
      </c>
      <c r="CF302" s="316">
        <v>0</v>
      </c>
      <c r="CG302" s="316">
        <v>0</v>
      </c>
      <c r="CH302" s="316">
        <v>0.13125000000000001</v>
      </c>
      <c r="CI302" s="316">
        <v>0.140625</v>
      </c>
      <c r="CJ302" s="316">
        <v>0.1925</v>
      </c>
      <c r="CK302" s="316">
        <v>0</v>
      </c>
      <c r="CL302" s="316">
        <v>0</v>
      </c>
      <c r="CM302" s="316">
        <v>0</v>
      </c>
      <c r="CN302" s="316">
        <v>0.13125000000000001</v>
      </c>
      <c r="CO302" s="316">
        <v>0</v>
      </c>
      <c r="CP302" s="318">
        <v>0</v>
      </c>
      <c r="CQ302" s="316">
        <v>0</v>
      </c>
      <c r="CR302" s="316">
        <v>0.71718749999999998</v>
      </c>
      <c r="CS302" s="316">
        <v>1.4999999999999999E-2</v>
      </c>
      <c r="CT302" s="316">
        <v>0.140625</v>
      </c>
      <c r="CU302" s="316">
        <v>1.080446429</v>
      </c>
      <c r="CV302" s="316">
        <v>1.4999999999999999E-2</v>
      </c>
      <c r="CW302" s="316">
        <v>0</v>
      </c>
      <c r="CX302" s="316">
        <v>2.4250000000000001E-2</v>
      </c>
      <c r="CY302" s="316">
        <v>1.622812506</v>
      </c>
      <c r="CZ302" s="316">
        <v>0.140625</v>
      </c>
      <c r="DA302" s="316">
        <v>0</v>
      </c>
      <c r="DB302" s="1498">
        <v>0.01</v>
      </c>
      <c r="DC302" s="316">
        <v>0</v>
      </c>
      <c r="DD302" s="636">
        <v>2.4740625000000001</v>
      </c>
      <c r="DE302" s="636">
        <v>0</v>
      </c>
      <c r="DF302" s="636">
        <v>0.140625</v>
      </c>
      <c r="DG302" s="636">
        <v>2.7306249999999999</v>
      </c>
      <c r="DH302" s="636">
        <v>0</v>
      </c>
      <c r="DI302" s="636">
        <v>0</v>
      </c>
      <c r="DJ302" s="636">
        <v>3.370312507</v>
      </c>
      <c r="DK302" s="636">
        <v>0</v>
      </c>
      <c r="DL302" s="636">
        <v>0.140625</v>
      </c>
      <c r="DM302" s="636">
        <v>4.3231250000000001</v>
      </c>
      <c r="DN302" s="1539">
        <v>0</v>
      </c>
      <c r="DO302" s="1209">
        <v>0</v>
      </c>
      <c r="DP302" s="1209">
        <v>0</v>
      </c>
      <c r="DQ302" s="1209">
        <v>4.4109375059999998</v>
      </c>
      <c r="DR302" s="1209">
        <v>0</v>
      </c>
      <c r="DS302" s="1209">
        <v>0</v>
      </c>
      <c r="DT302" s="1209">
        <v>0</v>
      </c>
      <c r="DU302" s="1209">
        <v>0</v>
      </c>
      <c r="DV302" s="1209">
        <v>5.1890625000000004</v>
      </c>
      <c r="DW302" s="1209">
        <v>0</v>
      </c>
      <c r="DX302" s="1209">
        <v>0</v>
      </c>
      <c r="DY302" s="1209">
        <v>0</v>
      </c>
      <c r="DZ302" s="1539">
        <v>0</v>
      </c>
      <c r="EA302" s="1209">
        <v>0</v>
      </c>
      <c r="EB302" s="1209">
        <v>5.0906250000000002</v>
      </c>
      <c r="EC302" s="1209">
        <v>0</v>
      </c>
      <c r="ED302" s="1209">
        <v>0</v>
      </c>
      <c r="EE302" s="1209">
        <v>5.631875</v>
      </c>
      <c r="EF302" s="1209">
        <v>0</v>
      </c>
      <c r="EG302" s="1209">
        <v>0</v>
      </c>
      <c r="EH302" s="1209">
        <v>5.7006249999999996</v>
      </c>
      <c r="EI302" s="1209">
        <v>0</v>
      </c>
      <c r="EJ302" s="1209">
        <v>0</v>
      </c>
      <c r="EK302" s="1209">
        <v>6.2518750000000001</v>
      </c>
      <c r="EL302" s="1539">
        <v>0</v>
      </c>
      <c r="EM302" s="1209">
        <v>0</v>
      </c>
      <c r="EN302" s="1209">
        <v>5.7193750000000003</v>
      </c>
      <c r="EO302" s="1209">
        <v>0</v>
      </c>
      <c r="EP302" s="1209">
        <v>0</v>
      </c>
      <c r="EQ302" s="1209">
        <v>0</v>
      </c>
      <c r="ER302" s="1209">
        <v>8.4343749999999993</v>
      </c>
      <c r="ES302" s="1209">
        <v>0</v>
      </c>
      <c r="ET302" s="1209">
        <v>6.6868750090000004</v>
      </c>
      <c r="EU302" s="1209">
        <v>0</v>
      </c>
      <c r="EV302" s="1209">
        <v>0</v>
      </c>
      <c r="EW302" s="1209">
        <v>9.0106250140000004</v>
      </c>
      <c r="EX302" s="1539">
        <v>0</v>
      </c>
      <c r="EY302" s="1209"/>
      <c r="EZ302" s="1209"/>
      <c r="FA302" s="1209"/>
      <c r="FB302" s="1209"/>
      <c r="FC302" s="1209"/>
      <c r="FD302" s="1209"/>
      <c r="FE302" s="1209"/>
      <c r="FF302" s="1209"/>
      <c r="FG302" s="1209"/>
      <c r="FH302" s="1209"/>
      <c r="FI302" s="1209"/>
      <c r="FJ302" s="1539"/>
      <c r="FK302" s="1209"/>
      <c r="FL302" s="1209"/>
      <c r="FM302" s="1209"/>
      <c r="FN302" s="1209"/>
      <c r="FO302" s="1209"/>
      <c r="FP302" s="1209"/>
      <c r="FQ302" s="636"/>
      <c r="FR302" s="636"/>
      <c r="FS302" s="636"/>
      <c r="FT302" s="636"/>
      <c r="FU302" s="636"/>
      <c r="FV302" s="636"/>
      <c r="FW302" s="636"/>
      <c r="FX302" s="636"/>
      <c r="FY302" s="636"/>
      <c r="FZ302" s="636"/>
      <c r="GA302" s="636"/>
      <c r="GB302" s="636"/>
      <c r="GC302" s="636"/>
      <c r="GD302" s="636"/>
      <c r="GE302" s="636"/>
      <c r="GF302" s="636"/>
      <c r="GG302" s="636"/>
      <c r="GH302" s="636"/>
      <c r="GI302" s="636"/>
      <c r="GJ302" s="636"/>
      <c r="GK302" s="636"/>
      <c r="GL302" s="636"/>
      <c r="GM302" s="636"/>
      <c r="GN302" s="636"/>
      <c r="GO302" s="636"/>
      <c r="GP302" s="636"/>
      <c r="GQ302" s="636"/>
      <c r="GR302" s="636"/>
      <c r="GS302" s="636"/>
      <c r="GT302" s="636"/>
      <c r="GU302" s="636"/>
      <c r="GV302" s="636"/>
      <c r="GW302" s="636"/>
      <c r="GX302" s="636"/>
      <c r="GY302" s="636"/>
      <c r="GZ302" s="636"/>
      <c r="HA302" s="636"/>
      <c r="HB302" s="636"/>
      <c r="HC302" s="636"/>
      <c r="HD302" s="636"/>
      <c r="HE302" s="636"/>
      <c r="HF302" s="636"/>
      <c r="HG302" s="636"/>
      <c r="HH302" s="636"/>
      <c r="HI302" s="636"/>
      <c r="HJ302" s="636"/>
      <c r="HK302" s="636"/>
      <c r="HL302" s="636"/>
      <c r="HM302" s="636"/>
      <c r="KH302" s="303"/>
    </row>
    <row r="303" spans="1:294" outlineLevel="1">
      <c r="B303" s="117" t="s">
        <v>361</v>
      </c>
      <c r="C303" s="1229"/>
      <c r="D303" s="316" t="s">
        <v>1253</v>
      </c>
      <c r="F303" s="316"/>
      <c r="G303" s="316"/>
      <c r="H303" s="316"/>
      <c r="I303" s="316"/>
      <c r="J303" s="316"/>
      <c r="K303" s="316"/>
      <c r="L303" s="316"/>
      <c r="M303" s="316"/>
      <c r="N303" s="316"/>
      <c r="O303" s="316"/>
      <c r="P303" s="316"/>
      <c r="Q303" s="316"/>
      <c r="R303" s="316"/>
      <c r="S303" s="316"/>
      <c r="T303" s="316"/>
      <c r="U303" s="316"/>
      <c r="V303" s="316"/>
      <c r="W303" s="316"/>
      <c r="X303" s="316"/>
      <c r="Y303" s="316"/>
      <c r="Z303" s="316"/>
      <c r="AA303" s="316"/>
      <c r="AB303" s="316"/>
      <c r="AC303" s="316"/>
      <c r="AD303" s="316"/>
      <c r="AE303" s="316"/>
      <c r="AF303" s="316"/>
      <c r="AG303" s="316"/>
      <c r="AH303" s="316"/>
      <c r="AI303" s="316"/>
      <c r="AJ303" s="316"/>
      <c r="AK303" s="316"/>
      <c r="AL303" s="316"/>
      <c r="AM303" s="316"/>
      <c r="AN303" s="316"/>
      <c r="AO303" s="316"/>
      <c r="AP303" s="316"/>
      <c r="AQ303" s="316"/>
      <c r="AR303" s="316"/>
      <c r="AS303" s="316"/>
      <c r="AT303" s="316"/>
      <c r="AU303" s="316"/>
      <c r="AV303" s="316"/>
      <c r="AW303" s="316"/>
      <c r="AX303" s="316"/>
      <c r="AY303" s="316"/>
      <c r="AZ303" s="316"/>
      <c r="BA303" s="316"/>
      <c r="BB303" s="316"/>
      <c r="BC303" s="316"/>
      <c r="BD303" s="316"/>
      <c r="BE303" s="316"/>
      <c r="BF303" s="316"/>
      <c r="BG303" s="316"/>
      <c r="BH303" s="316"/>
      <c r="BI303" s="316"/>
      <c r="BJ303" s="316"/>
      <c r="BK303" s="316"/>
      <c r="BL303" s="316"/>
      <c r="BM303" s="316"/>
      <c r="BN303" s="316"/>
      <c r="BO303" s="316"/>
      <c r="BP303" s="316"/>
      <c r="BQ303" s="316"/>
      <c r="BR303" s="316"/>
      <c r="BS303" s="316"/>
      <c r="BT303" s="316"/>
      <c r="BU303" s="316"/>
      <c r="BV303" s="316"/>
      <c r="BW303" s="316"/>
      <c r="BX303" s="316"/>
      <c r="BY303" s="316"/>
      <c r="BZ303" s="316"/>
      <c r="CA303" s="316"/>
      <c r="CB303" s="316"/>
      <c r="CC303" s="316"/>
      <c r="CD303" s="316"/>
      <c r="CE303" s="317"/>
      <c r="CF303" s="316"/>
      <c r="CG303" s="316"/>
      <c r="CH303" s="316"/>
      <c r="CI303" s="316"/>
      <c r="CJ303" s="316"/>
      <c r="CK303" s="316"/>
      <c r="CL303" s="316"/>
      <c r="CM303" s="316"/>
      <c r="CN303" s="316"/>
      <c r="CO303" s="316"/>
      <c r="CP303" s="318"/>
      <c r="CQ303" s="316"/>
      <c r="CR303" s="316"/>
      <c r="CS303" s="316"/>
      <c r="CT303" s="316"/>
      <c r="CU303" s="316"/>
      <c r="CV303" s="316"/>
      <c r="CW303" s="316"/>
      <c r="CX303" s="316"/>
      <c r="CY303" s="316"/>
      <c r="CZ303" s="316"/>
      <c r="DA303" s="316"/>
      <c r="DB303" s="1498"/>
      <c r="DC303" s="316"/>
      <c r="DD303" s="636"/>
      <c r="DE303" s="636"/>
      <c r="DF303" s="636"/>
      <c r="DG303" s="636"/>
      <c r="DH303" s="636"/>
      <c r="DI303" s="636"/>
      <c r="DJ303" s="636"/>
      <c r="DK303" s="636"/>
      <c r="DL303" s="636"/>
      <c r="DM303" s="636"/>
      <c r="DN303" s="1539"/>
      <c r="DO303" s="1209"/>
      <c r="DP303" s="1209"/>
      <c r="DQ303" s="1209"/>
      <c r="DR303" s="1209"/>
      <c r="DS303" s="1209"/>
      <c r="DT303" s="1209"/>
      <c r="DU303" s="1209"/>
      <c r="DV303" s="1209"/>
      <c r="DW303" s="1209"/>
      <c r="DX303" s="1209"/>
      <c r="DY303" s="1209"/>
      <c r="DZ303" s="1539"/>
      <c r="EA303" s="1209">
        <v>0</v>
      </c>
      <c r="EB303" s="1209">
        <v>6.0361455000000001E-2</v>
      </c>
      <c r="EC303" s="1209">
        <v>0.38033745400000002</v>
      </c>
      <c r="ED303" s="1209">
        <v>0</v>
      </c>
      <c r="EE303" s="1209">
        <v>0</v>
      </c>
      <c r="EF303" s="1209">
        <v>0.31945733199999998</v>
      </c>
      <c r="EG303" s="1209">
        <v>0</v>
      </c>
      <c r="EH303" s="1209">
        <v>0</v>
      </c>
      <c r="EI303" s="1209">
        <v>0.34307549599999998</v>
      </c>
      <c r="EJ303" s="1209">
        <v>0</v>
      </c>
      <c r="EK303" s="1209">
        <v>0</v>
      </c>
      <c r="EL303" s="1539">
        <v>0.47444173899999997</v>
      </c>
      <c r="EM303" s="1209">
        <v>0</v>
      </c>
      <c r="EN303" s="1209">
        <v>0</v>
      </c>
      <c r="EO303" s="1209">
        <v>0.68899293399999995</v>
      </c>
      <c r="EP303" s="1209">
        <v>0</v>
      </c>
      <c r="EQ303" s="1209">
        <v>0</v>
      </c>
      <c r="ER303" s="1209">
        <v>0</v>
      </c>
      <c r="ES303" s="1209">
        <v>0.67631622499999999</v>
      </c>
      <c r="ET303" s="1209">
        <v>0</v>
      </c>
      <c r="EU303" s="1209">
        <v>0</v>
      </c>
      <c r="EV303" s="1209">
        <v>9.1063540000000005E-3</v>
      </c>
      <c r="EW303" s="1209">
        <v>0</v>
      </c>
      <c r="EX303" s="1539">
        <v>0</v>
      </c>
      <c r="EY303" s="1209"/>
      <c r="EZ303" s="1209"/>
      <c r="FA303" s="1209"/>
      <c r="FB303" s="1209"/>
      <c r="FC303" s="1209"/>
      <c r="FD303" s="1209"/>
      <c r="FE303" s="1209"/>
      <c r="FF303" s="1209"/>
      <c r="FG303" s="1209"/>
      <c r="FH303" s="1209"/>
      <c r="FI303" s="1209"/>
      <c r="FJ303" s="1539"/>
      <c r="FK303" s="1209"/>
      <c r="FL303" s="1209"/>
      <c r="FM303" s="1209"/>
      <c r="FN303" s="1209"/>
      <c r="FO303" s="1209"/>
      <c r="FP303" s="1209"/>
      <c r="FQ303" s="636"/>
      <c r="FR303" s="636"/>
      <c r="FS303" s="636"/>
      <c r="FT303" s="636"/>
      <c r="FU303" s="636"/>
      <c r="FV303" s="636"/>
      <c r="FW303" s="636"/>
      <c r="FX303" s="636"/>
      <c r="FY303" s="636"/>
      <c r="FZ303" s="636"/>
      <c r="GA303" s="636"/>
      <c r="GB303" s="636"/>
      <c r="GC303" s="636"/>
      <c r="GD303" s="636"/>
      <c r="GE303" s="636"/>
      <c r="GF303" s="636"/>
      <c r="GG303" s="636"/>
      <c r="GH303" s="636"/>
      <c r="GI303" s="636"/>
      <c r="GJ303" s="636"/>
      <c r="GK303" s="636"/>
      <c r="GL303" s="636"/>
      <c r="GM303" s="636"/>
      <c r="GN303" s="636"/>
      <c r="GO303" s="636"/>
      <c r="GP303" s="636"/>
      <c r="GQ303" s="636"/>
      <c r="GR303" s="636"/>
      <c r="GS303" s="636"/>
      <c r="GT303" s="636"/>
      <c r="GU303" s="636"/>
      <c r="GV303" s="636"/>
      <c r="GW303" s="636"/>
      <c r="GX303" s="636"/>
      <c r="GY303" s="636"/>
      <c r="GZ303" s="636"/>
      <c r="HA303" s="636"/>
      <c r="HB303" s="636"/>
      <c r="HC303" s="636"/>
      <c r="HD303" s="636"/>
      <c r="HE303" s="636"/>
      <c r="HF303" s="636"/>
      <c r="HG303" s="636"/>
      <c r="HH303" s="636"/>
      <c r="HI303" s="636"/>
      <c r="HJ303" s="636"/>
      <c r="HK303" s="636"/>
      <c r="HL303" s="636"/>
      <c r="HM303" s="636"/>
      <c r="KH303" s="303"/>
    </row>
    <row r="304" spans="1:294" outlineLevel="1">
      <c r="B304" s="117" t="s">
        <v>361</v>
      </c>
      <c r="C304" s="896"/>
      <c r="D304" s="316" t="s">
        <v>1254</v>
      </c>
      <c r="F304" s="316"/>
      <c r="G304" s="316"/>
      <c r="H304" s="316"/>
      <c r="I304" s="316"/>
      <c r="J304" s="316"/>
      <c r="K304" s="316"/>
      <c r="L304" s="316"/>
      <c r="M304" s="316"/>
      <c r="N304" s="316"/>
      <c r="O304" s="316"/>
      <c r="P304" s="316"/>
      <c r="Q304" s="316"/>
      <c r="R304" s="316"/>
      <c r="S304" s="316"/>
      <c r="T304" s="316"/>
      <c r="U304" s="316"/>
      <c r="V304" s="316"/>
      <c r="W304" s="316"/>
      <c r="X304" s="316"/>
      <c r="Y304" s="316"/>
      <c r="Z304" s="316"/>
      <c r="AA304" s="316"/>
      <c r="AB304" s="316"/>
      <c r="AC304" s="316"/>
      <c r="AD304" s="316"/>
      <c r="AE304" s="316"/>
      <c r="AF304" s="316"/>
      <c r="AG304" s="316"/>
      <c r="AH304" s="316"/>
      <c r="AI304" s="316"/>
      <c r="AJ304" s="316"/>
      <c r="AK304" s="316"/>
      <c r="AL304" s="316"/>
      <c r="AM304" s="316"/>
      <c r="AN304" s="316"/>
      <c r="AO304" s="316"/>
      <c r="AP304" s="316"/>
      <c r="AQ304" s="316"/>
      <c r="AR304" s="316"/>
      <c r="AS304" s="316"/>
      <c r="AT304" s="316"/>
      <c r="AU304" s="316"/>
      <c r="AV304" s="316"/>
      <c r="AW304" s="316"/>
      <c r="AX304" s="316"/>
      <c r="AY304" s="316"/>
      <c r="AZ304" s="316"/>
      <c r="BA304" s="316"/>
      <c r="BB304" s="316"/>
      <c r="BC304" s="316"/>
      <c r="BD304" s="316"/>
      <c r="BE304" s="316"/>
      <c r="BF304" s="316"/>
      <c r="BG304" s="316"/>
      <c r="BH304" s="316"/>
      <c r="BI304" s="316"/>
      <c r="BJ304" s="316"/>
      <c r="BK304" s="316"/>
      <c r="BL304" s="316"/>
      <c r="BM304" s="316"/>
      <c r="BN304" s="316"/>
      <c r="BO304" s="316"/>
      <c r="BP304" s="316"/>
      <c r="BQ304" s="316"/>
      <c r="BR304" s="316"/>
      <c r="BS304" s="316"/>
      <c r="BT304" s="316"/>
      <c r="BU304" s="316"/>
      <c r="BV304" s="316"/>
      <c r="BW304" s="316"/>
      <c r="BX304" s="316"/>
      <c r="BY304" s="316"/>
      <c r="BZ304" s="316"/>
      <c r="CA304" s="316"/>
      <c r="CB304" s="316"/>
      <c r="CC304" s="316"/>
      <c r="CD304" s="316"/>
      <c r="CE304" s="317">
        <v>0</v>
      </c>
      <c r="CF304" s="316">
        <v>0.84375</v>
      </c>
      <c r="CG304" s="316">
        <v>0</v>
      </c>
      <c r="CH304" s="316">
        <v>0.34286402999999999</v>
      </c>
      <c r="CI304" s="316">
        <v>0.84375</v>
      </c>
      <c r="CJ304" s="316">
        <v>0</v>
      </c>
      <c r="CK304" s="316">
        <v>0.29433447600000001</v>
      </c>
      <c r="CL304" s="316">
        <v>0.26622048100000001</v>
      </c>
      <c r="CM304" s="316">
        <v>0.80148500499999997</v>
      </c>
      <c r="CN304" s="316">
        <v>0.44728551599999999</v>
      </c>
      <c r="CO304" s="316">
        <v>0</v>
      </c>
      <c r="CP304" s="318">
        <v>0.94286398400000004</v>
      </c>
      <c r="CQ304" s="316">
        <v>0.24247500299999999</v>
      </c>
      <c r="CR304" s="316">
        <v>0.75</v>
      </c>
      <c r="CS304" s="316">
        <v>0.19286398399999999</v>
      </c>
      <c r="CT304" s="316">
        <v>0.23037918900000001</v>
      </c>
      <c r="CU304" s="316">
        <v>0.75</v>
      </c>
      <c r="CV304" s="316">
        <v>0.19286403499999999</v>
      </c>
      <c r="CW304" s="316">
        <v>0.21813217700000001</v>
      </c>
      <c r="CX304" s="316">
        <v>0</v>
      </c>
      <c r="CY304" s="316">
        <v>0.83036407999999995</v>
      </c>
      <c r="CZ304" s="316">
        <v>0.20573207800000001</v>
      </c>
      <c r="DA304" s="316">
        <v>0</v>
      </c>
      <c r="DB304" s="1498">
        <v>0.83036407999999995</v>
      </c>
      <c r="DC304" s="316">
        <v>0.193176977</v>
      </c>
      <c r="DD304" s="636">
        <v>0.63749999999999996</v>
      </c>
      <c r="DE304" s="636">
        <v>0.19286417</v>
      </c>
      <c r="DF304" s="636">
        <v>0.18046493899999999</v>
      </c>
      <c r="DG304" s="636">
        <v>0.63749999999999996</v>
      </c>
      <c r="DH304" s="636">
        <v>0.19286398499999999</v>
      </c>
      <c r="DI304" s="636">
        <v>0.16759399899999999</v>
      </c>
      <c r="DJ304" s="636">
        <v>0</v>
      </c>
      <c r="DK304" s="636">
        <v>0.33082046900000001</v>
      </c>
      <c r="DL304" s="636">
        <v>0.66081217199999998</v>
      </c>
      <c r="DM304" s="636">
        <v>0</v>
      </c>
      <c r="DN304" s="1539">
        <v>0.69660553000000003</v>
      </c>
      <c r="DO304" s="1209">
        <v>0.14136744800000001</v>
      </c>
      <c r="DP304" s="1209">
        <v>0.58269444500000001</v>
      </c>
      <c r="DQ304" s="1209">
        <v>0.25862565500000001</v>
      </c>
      <c r="DR304" s="1209">
        <v>0.18802548499999999</v>
      </c>
      <c r="DS304" s="1209">
        <v>0.50624999999999998</v>
      </c>
      <c r="DT304" s="1209">
        <v>5.1686410000000002E-2</v>
      </c>
      <c r="DU304" s="1209">
        <v>0.34538536600000003</v>
      </c>
      <c r="DV304" s="1209">
        <v>3.4784245999999998E-2</v>
      </c>
      <c r="DW304" s="1209">
        <v>0.35625000000000001</v>
      </c>
      <c r="DX304" s="1209">
        <v>0.30597163599999999</v>
      </c>
      <c r="DY304" s="1209">
        <v>0</v>
      </c>
      <c r="DZ304" s="1539">
        <v>0.55269922100000002</v>
      </c>
      <c r="EA304" s="1209">
        <v>8.6918464000000001E-2</v>
      </c>
      <c r="EB304" s="1209">
        <v>0.35625000000000001</v>
      </c>
      <c r="EC304" s="1209">
        <v>0.187628717</v>
      </c>
      <c r="ED304" s="1209">
        <v>7.2878192999999994E-2</v>
      </c>
      <c r="EE304" s="1209">
        <v>0.35625000000000001</v>
      </c>
      <c r="EF304" s="1209">
        <v>0.18661270599999999</v>
      </c>
      <c r="EG304" s="1209">
        <v>0</v>
      </c>
      <c r="EH304" s="1209">
        <v>0</v>
      </c>
      <c r="EI304" s="1209">
        <v>0</v>
      </c>
      <c r="EJ304" s="1209">
        <v>0</v>
      </c>
      <c r="EK304" s="1209">
        <v>0</v>
      </c>
      <c r="EL304" s="1539">
        <v>0.18661270599999999</v>
      </c>
      <c r="EM304" s="1209">
        <v>2.9695558E-2</v>
      </c>
      <c r="EN304" s="1209">
        <v>0.1875</v>
      </c>
      <c r="EO304" s="1209">
        <v>0.18661270599999999</v>
      </c>
      <c r="EP304" s="1209">
        <v>1.4940001E-2</v>
      </c>
      <c r="EQ304" s="1209">
        <v>0.1875</v>
      </c>
      <c r="ER304" s="1209">
        <v>0</v>
      </c>
      <c r="ES304" s="1209">
        <v>0.17976196799999999</v>
      </c>
      <c r="ET304" s="1209">
        <v>0</v>
      </c>
      <c r="EU304" s="1209">
        <v>0</v>
      </c>
      <c r="EV304" s="1209">
        <v>0.17976196799999999</v>
      </c>
      <c r="EW304" s="1209">
        <v>0</v>
      </c>
      <c r="EX304" s="1539">
        <v>0.17976196799999999</v>
      </c>
      <c r="EY304" s="1209"/>
      <c r="EZ304" s="1209"/>
      <c r="FA304" s="1209"/>
      <c r="FB304" s="1209"/>
      <c r="FC304" s="1209"/>
      <c r="FD304" s="1209"/>
      <c r="FE304" s="1209"/>
      <c r="FF304" s="1209"/>
      <c r="FG304" s="1209"/>
      <c r="FH304" s="1209"/>
      <c r="FI304" s="1209"/>
      <c r="FJ304" s="1539"/>
      <c r="FK304" s="1209"/>
      <c r="FL304" s="1209"/>
      <c r="FM304" s="1209"/>
      <c r="FN304" s="1209"/>
      <c r="FO304" s="1209"/>
      <c r="FP304" s="1209"/>
      <c r="FQ304" s="636"/>
      <c r="FR304" s="636"/>
      <c r="FS304" s="636"/>
      <c r="FT304" s="636"/>
      <c r="FU304" s="636"/>
      <c r="FV304" s="636"/>
      <c r="FW304" s="636"/>
      <c r="FX304" s="636"/>
      <c r="FY304" s="636"/>
      <c r="FZ304" s="636"/>
      <c r="GA304" s="636"/>
      <c r="GB304" s="636"/>
      <c r="GC304" s="636"/>
      <c r="GD304" s="636"/>
      <c r="GE304" s="636"/>
      <c r="GF304" s="636"/>
      <c r="GG304" s="636"/>
      <c r="GH304" s="636"/>
      <c r="GI304" s="636"/>
      <c r="GJ304" s="636"/>
      <c r="GK304" s="636"/>
      <c r="GL304" s="636"/>
      <c r="GM304" s="636"/>
      <c r="GN304" s="636"/>
      <c r="GO304" s="636"/>
      <c r="GP304" s="636"/>
      <c r="GQ304" s="636"/>
      <c r="GR304" s="636"/>
      <c r="GS304" s="636"/>
      <c r="GT304" s="636"/>
      <c r="GU304" s="636"/>
      <c r="GV304" s="636"/>
      <c r="GW304" s="636"/>
      <c r="GX304" s="636"/>
      <c r="GY304" s="636"/>
      <c r="GZ304" s="636"/>
      <c r="HA304" s="636"/>
      <c r="HB304" s="636"/>
      <c r="HC304" s="636"/>
      <c r="HD304" s="636"/>
      <c r="HE304" s="636"/>
      <c r="HF304" s="636"/>
      <c r="HG304" s="636"/>
      <c r="HH304" s="636"/>
      <c r="HI304" s="636"/>
      <c r="HJ304" s="636"/>
      <c r="HK304" s="636"/>
      <c r="HL304" s="636"/>
      <c r="HM304" s="636"/>
      <c r="KH304" s="303"/>
    </row>
    <row r="305" spans="1:294" outlineLevel="1">
      <c r="B305" s="117" t="s">
        <v>361</v>
      </c>
      <c r="C305" s="896"/>
      <c r="D305" s="316" t="s">
        <v>1255</v>
      </c>
      <c r="F305" s="316"/>
      <c r="G305" s="316"/>
      <c r="H305" s="316"/>
      <c r="I305" s="316"/>
      <c r="J305" s="316"/>
      <c r="K305" s="316"/>
      <c r="L305" s="316"/>
      <c r="M305" s="316"/>
      <c r="N305" s="316"/>
      <c r="O305" s="316"/>
      <c r="P305" s="316"/>
      <c r="Q305" s="316"/>
      <c r="R305" s="316"/>
      <c r="S305" s="316"/>
      <c r="T305" s="316"/>
      <c r="U305" s="316"/>
      <c r="V305" s="316"/>
      <c r="W305" s="316"/>
      <c r="X305" s="316"/>
      <c r="Y305" s="316"/>
      <c r="Z305" s="316"/>
      <c r="AA305" s="316"/>
      <c r="AB305" s="316"/>
      <c r="AC305" s="316"/>
      <c r="AD305" s="316"/>
      <c r="AE305" s="316"/>
      <c r="AF305" s="316"/>
      <c r="AG305" s="316"/>
      <c r="AH305" s="316"/>
      <c r="AI305" s="316"/>
      <c r="AJ305" s="316"/>
      <c r="AK305" s="316"/>
      <c r="AL305" s="316"/>
      <c r="AM305" s="316"/>
      <c r="AN305" s="316"/>
      <c r="AO305" s="316"/>
      <c r="AP305" s="316"/>
      <c r="AQ305" s="316"/>
      <c r="AR305" s="316"/>
      <c r="AS305" s="316"/>
      <c r="AT305" s="316"/>
      <c r="AU305" s="316"/>
      <c r="AV305" s="316"/>
      <c r="AW305" s="316"/>
      <c r="AX305" s="316"/>
      <c r="AY305" s="316"/>
      <c r="AZ305" s="316"/>
      <c r="BA305" s="316"/>
      <c r="BB305" s="316"/>
      <c r="BC305" s="316"/>
      <c r="BD305" s="316"/>
      <c r="BE305" s="316"/>
      <c r="BF305" s="316"/>
      <c r="BG305" s="316"/>
      <c r="BH305" s="316"/>
      <c r="BI305" s="316"/>
      <c r="BJ305" s="316"/>
      <c r="BK305" s="316"/>
      <c r="BL305" s="316"/>
      <c r="BM305" s="316"/>
      <c r="BN305" s="316"/>
      <c r="BO305" s="316"/>
      <c r="BP305" s="316"/>
      <c r="BQ305" s="316"/>
      <c r="BR305" s="316"/>
      <c r="BS305" s="316"/>
      <c r="BT305" s="316"/>
      <c r="BU305" s="316"/>
      <c r="BV305" s="316"/>
      <c r="BW305" s="316"/>
      <c r="BX305" s="316"/>
      <c r="BY305" s="316"/>
      <c r="BZ305" s="316"/>
      <c r="CA305" s="316"/>
      <c r="CB305" s="316"/>
      <c r="CC305" s="316"/>
      <c r="CD305" s="316"/>
      <c r="CE305" s="317">
        <v>0.62834436900000001</v>
      </c>
      <c r="CF305" s="316">
        <v>0.20233494899999999</v>
      </c>
      <c r="CG305" s="316">
        <v>1.451404065</v>
      </c>
      <c r="CH305" s="316">
        <v>9.2698339379999997</v>
      </c>
      <c r="CI305" s="316">
        <v>0.375954605</v>
      </c>
      <c r="CJ305" s="316">
        <v>0.280524826</v>
      </c>
      <c r="CK305" s="316">
        <v>0.64144392000000006</v>
      </c>
      <c r="CL305" s="316">
        <v>0.205787158</v>
      </c>
      <c r="CM305" s="316">
        <v>1.1252329720000001</v>
      </c>
      <c r="CN305" s="316">
        <v>10.294691028999999</v>
      </c>
      <c r="CO305" s="316">
        <v>0.47829205299999999</v>
      </c>
      <c r="CP305" s="318">
        <v>0.24168825399999999</v>
      </c>
      <c r="CQ305" s="316">
        <v>0.71878676200000002</v>
      </c>
      <c r="CR305" s="316">
        <v>0.29884553600000002</v>
      </c>
      <c r="CS305" s="316">
        <v>1.805917292</v>
      </c>
      <c r="CT305" s="316">
        <v>9.7326048409999988</v>
      </c>
      <c r="CU305" s="316">
        <v>0.46882611800000001</v>
      </c>
      <c r="CV305" s="316">
        <v>0.28060508200000001</v>
      </c>
      <c r="CW305" s="316">
        <v>0.78783252699999995</v>
      </c>
      <c r="CX305" s="316">
        <v>0.41301081299999998</v>
      </c>
      <c r="CY305" s="316">
        <v>1.425080576</v>
      </c>
      <c r="CZ305" s="316">
        <v>10.55931024</v>
      </c>
      <c r="DA305" s="316">
        <v>0.47163846199999998</v>
      </c>
      <c r="DB305" s="1498">
        <v>0.247811842</v>
      </c>
      <c r="DC305" s="316">
        <v>0.88124448899999996</v>
      </c>
      <c r="DD305" s="636">
        <v>0.67554113000000005</v>
      </c>
      <c r="DE305" s="636">
        <v>2.2017136580000001</v>
      </c>
      <c r="DF305" s="636">
        <v>10.315275193</v>
      </c>
      <c r="DG305" s="636">
        <v>0.51963374299999998</v>
      </c>
      <c r="DH305" s="636">
        <v>0.319691008</v>
      </c>
      <c r="DI305" s="636">
        <v>0.90162314200000004</v>
      </c>
      <c r="DJ305" s="636">
        <v>0.86559799599999998</v>
      </c>
      <c r="DK305" s="636">
        <v>2.4666691950000001</v>
      </c>
      <c r="DL305" s="636">
        <v>10.819309213</v>
      </c>
      <c r="DM305" s="636">
        <v>0.84501120299999999</v>
      </c>
      <c r="DN305" s="1539">
        <v>0</v>
      </c>
      <c r="DO305" s="1209">
        <v>1.035718288</v>
      </c>
      <c r="DP305" s="1209">
        <v>1.396485808</v>
      </c>
      <c r="DQ305" s="1209">
        <v>2.7520588740000003</v>
      </c>
      <c r="DR305" s="1209">
        <v>11.474761787</v>
      </c>
      <c r="DS305" s="1209">
        <v>1.2399079930000001</v>
      </c>
      <c r="DT305" s="1209">
        <v>0.34700167100000001</v>
      </c>
      <c r="DU305" s="1209">
        <v>1.2146568229999999</v>
      </c>
      <c r="DV305" s="1209">
        <v>1.423455524</v>
      </c>
      <c r="DW305" s="1209">
        <v>3.0854013139999998</v>
      </c>
      <c r="DX305" s="1209">
        <v>11.739692988</v>
      </c>
      <c r="DY305" s="1209">
        <v>0.68761453100000003</v>
      </c>
      <c r="DZ305" s="1539">
        <v>0.34026678300000002</v>
      </c>
      <c r="EA305" s="1209">
        <v>1.366543058</v>
      </c>
      <c r="EB305" s="1209">
        <v>2.1452594940000003</v>
      </c>
      <c r="EC305" s="1209">
        <v>3.5734808999999998</v>
      </c>
      <c r="ED305" s="1209">
        <v>11.962555195</v>
      </c>
      <c r="EE305" s="1209">
        <v>0.92720009700000006</v>
      </c>
      <c r="EF305" s="1209">
        <v>0.30176913599999999</v>
      </c>
      <c r="EG305" s="1209">
        <v>1.417062788</v>
      </c>
      <c r="EH305" s="1209">
        <v>2.765583683</v>
      </c>
      <c r="EI305" s="1209">
        <v>2.5358098790000003</v>
      </c>
      <c r="EJ305" s="1209">
        <v>13.502000711000001</v>
      </c>
      <c r="EK305" s="1209">
        <v>1.2942075420000001</v>
      </c>
      <c r="EL305" s="1539">
        <v>0.35836533100000001</v>
      </c>
      <c r="EM305" s="1209">
        <v>1.6176158859999998</v>
      </c>
      <c r="EN305" s="1209">
        <v>2.7377979680000002</v>
      </c>
      <c r="EO305" s="1209">
        <v>3.735045409</v>
      </c>
      <c r="EP305" s="1209">
        <v>12.470471848000001</v>
      </c>
      <c r="EQ305" s="1209">
        <v>1.4068361229999999</v>
      </c>
      <c r="ER305" s="1209">
        <v>1.07570963</v>
      </c>
      <c r="ES305" s="1209">
        <v>1.749779151</v>
      </c>
      <c r="ET305" s="1232">
        <v>2.765467852</v>
      </c>
      <c r="EU305" s="1232">
        <v>4.2259015289999997</v>
      </c>
      <c r="EV305" s="1232">
        <v>12.775494865999999</v>
      </c>
      <c r="EW305" s="1232">
        <v>2.4166486590000003</v>
      </c>
      <c r="EX305" s="1574">
        <v>0.66093960200000001</v>
      </c>
      <c r="EY305" s="1224"/>
      <c r="EZ305" s="1224"/>
      <c r="FA305" s="1224"/>
      <c r="FB305" s="1224"/>
      <c r="FC305" s="1224"/>
      <c r="FD305" s="1224"/>
      <c r="FE305" s="1224"/>
      <c r="FF305" s="1224"/>
      <c r="FG305" s="1224"/>
      <c r="FH305" s="1224"/>
      <c r="FI305" s="1224"/>
      <c r="FJ305" s="1576"/>
      <c r="FK305" s="1224"/>
      <c r="FL305" s="1224"/>
      <c r="FM305" s="1224"/>
      <c r="FN305" s="1224"/>
      <c r="FO305" s="1224"/>
      <c r="FP305" s="1224"/>
      <c r="FQ305" s="895"/>
      <c r="FR305" s="895"/>
      <c r="FS305" s="895"/>
      <c r="FT305" s="895"/>
      <c r="FU305" s="895"/>
      <c r="FV305" s="895"/>
      <c r="FW305" s="895"/>
      <c r="FX305" s="895"/>
      <c r="FY305" s="895"/>
      <c r="FZ305" s="895"/>
      <c r="GA305" s="895"/>
      <c r="GB305" s="895"/>
      <c r="GC305" s="895"/>
      <c r="GD305" s="895"/>
      <c r="GE305" s="895"/>
      <c r="GF305" s="895"/>
      <c r="GG305" s="895"/>
      <c r="GH305" s="895"/>
      <c r="GI305" s="895"/>
      <c r="GJ305" s="895"/>
      <c r="GK305" s="895"/>
      <c r="GL305" s="895"/>
      <c r="GM305" s="895"/>
      <c r="GN305" s="895"/>
      <c r="GO305" s="895"/>
      <c r="GP305" s="895"/>
      <c r="GQ305" s="895"/>
      <c r="GR305" s="895"/>
      <c r="GS305" s="895"/>
      <c r="GT305" s="895"/>
      <c r="GU305" s="895"/>
      <c r="GV305" s="895"/>
      <c r="GW305" s="895"/>
      <c r="GX305" s="895"/>
      <c r="GY305" s="895"/>
      <c r="GZ305" s="895"/>
      <c r="HA305" s="895"/>
      <c r="HB305" s="895"/>
      <c r="HC305" s="895"/>
      <c r="HD305" s="895"/>
      <c r="HE305" s="895"/>
      <c r="HF305" s="895"/>
      <c r="HG305" s="895"/>
      <c r="HH305" s="895"/>
      <c r="HI305" s="895"/>
      <c r="HJ305" s="895"/>
      <c r="HK305" s="895"/>
      <c r="HL305" s="895"/>
      <c r="HM305" s="895"/>
      <c r="KH305" s="303"/>
    </row>
    <row r="306" spans="1:294" outlineLevel="1">
      <c r="E306" s="117"/>
      <c r="F306" s="117"/>
      <c r="G306" s="117"/>
      <c r="H306" s="117"/>
      <c r="I306" s="117"/>
      <c r="J306" s="117"/>
      <c r="K306" s="117"/>
      <c r="L306" s="117"/>
      <c r="M306" s="117"/>
      <c r="N306" s="117"/>
      <c r="O306" s="117"/>
      <c r="P306" s="117"/>
      <c r="Q306" s="117"/>
      <c r="R306" s="117"/>
      <c r="S306" s="117"/>
      <c r="T306" s="117"/>
      <c r="U306" s="117"/>
      <c r="V306" s="117"/>
      <c r="W306" s="117"/>
      <c r="X306" s="117"/>
      <c r="Y306" s="117"/>
      <c r="Z306" s="117"/>
      <c r="AA306" s="117"/>
      <c r="AB306" s="117"/>
      <c r="AC306" s="117"/>
      <c r="AD306" s="117"/>
      <c r="AE306" s="117"/>
      <c r="AF306" s="117"/>
      <c r="AG306" s="117"/>
      <c r="AH306" s="117"/>
      <c r="AI306" s="117"/>
      <c r="AJ306" s="117"/>
      <c r="AK306" s="117"/>
      <c r="AL306" s="117"/>
      <c r="AM306" s="117"/>
      <c r="AN306" s="117"/>
      <c r="AO306" s="117"/>
      <c r="AP306" s="117"/>
      <c r="AQ306" s="117"/>
      <c r="AR306" s="117"/>
      <c r="AS306" s="117"/>
      <c r="AT306" s="117"/>
      <c r="AU306" s="117"/>
      <c r="AV306" s="117"/>
      <c r="AW306" s="117"/>
      <c r="AX306" s="117"/>
      <c r="AY306" s="117"/>
      <c r="AZ306" s="117"/>
      <c r="BA306" s="117"/>
      <c r="BB306" s="117"/>
      <c r="BC306" s="117"/>
      <c r="BD306" s="117"/>
      <c r="BE306" s="117"/>
      <c r="BF306" s="117"/>
      <c r="BG306" s="117"/>
      <c r="BH306" s="117"/>
      <c r="BI306" s="117"/>
      <c r="BJ306" s="117"/>
      <c r="BK306" s="117"/>
      <c r="BL306" s="117"/>
      <c r="BM306" s="117"/>
      <c r="BN306" s="117"/>
      <c r="BO306" s="117"/>
      <c r="BP306" s="117"/>
      <c r="BQ306" s="117"/>
      <c r="BR306" s="117"/>
      <c r="BS306" s="117"/>
      <c r="BT306" s="117"/>
      <c r="BU306" s="117"/>
      <c r="BV306" s="117"/>
      <c r="BW306" s="117"/>
      <c r="BX306" s="117"/>
      <c r="BY306" s="117"/>
      <c r="BZ306" s="117"/>
      <c r="CA306" s="117"/>
      <c r="CB306" s="117"/>
      <c r="CC306" s="117"/>
      <c r="CD306" s="316"/>
      <c r="CE306" s="317"/>
      <c r="CF306" s="117"/>
      <c r="CG306" s="117"/>
      <c r="CH306" s="117"/>
      <c r="CI306" s="117"/>
      <c r="CJ306" s="117"/>
      <c r="CK306" s="117"/>
      <c r="CL306" s="117"/>
      <c r="CM306" s="117"/>
      <c r="CN306" s="117"/>
      <c r="CO306" s="117"/>
      <c r="CP306" s="1481"/>
      <c r="CQ306" s="117"/>
      <c r="CR306" s="117"/>
      <c r="CS306" s="117"/>
      <c r="CT306" s="117"/>
      <c r="CU306" s="117"/>
      <c r="CV306" s="117"/>
      <c r="CW306" s="117"/>
      <c r="CX306" s="117"/>
      <c r="CY306" s="117"/>
      <c r="CZ306" s="117"/>
      <c r="DA306" s="117"/>
      <c r="DB306" s="1499"/>
      <c r="DC306" s="906"/>
      <c r="DD306" s="117"/>
      <c r="DE306" s="117"/>
      <c r="DF306" s="117"/>
      <c r="DG306" s="117"/>
      <c r="DH306" s="117"/>
      <c r="DI306" s="117"/>
      <c r="DJ306" s="117"/>
      <c r="DK306" s="117"/>
      <c r="DL306" s="117"/>
      <c r="DM306" s="117"/>
      <c r="DN306" s="1540"/>
      <c r="DO306" s="895"/>
      <c r="DP306" s="895"/>
      <c r="DQ306" s="895"/>
      <c r="DR306" s="895"/>
      <c r="DS306" s="895"/>
      <c r="DT306" s="895"/>
      <c r="DU306" s="895"/>
      <c r="DV306" s="895"/>
      <c r="DW306" s="895"/>
      <c r="DX306" s="895"/>
      <c r="DY306" s="895"/>
      <c r="DZ306" s="1540"/>
      <c r="EA306" s="895"/>
      <c r="EB306" s="895"/>
      <c r="EC306" s="895"/>
      <c r="ED306" s="895"/>
      <c r="EE306" s="895"/>
      <c r="EF306" s="895"/>
      <c r="EG306" s="895"/>
      <c r="EH306" s="895"/>
      <c r="EI306" s="895"/>
      <c r="EJ306" s="895"/>
      <c r="EK306" s="895"/>
      <c r="EL306" s="1540"/>
      <c r="EM306" s="1224"/>
      <c r="EN306" s="1224"/>
      <c r="EO306" s="1224"/>
      <c r="EP306" s="1224"/>
      <c r="EQ306" s="1224"/>
      <c r="ER306" s="1224"/>
      <c r="ES306" s="1224"/>
      <c r="ET306" s="1224"/>
      <c r="EU306" s="1224"/>
      <c r="EV306" s="1224"/>
      <c r="EW306" s="1224"/>
      <c r="EX306" s="1576"/>
      <c r="EY306" s="1224"/>
      <c r="EZ306" s="1224"/>
      <c r="FA306" s="1224"/>
      <c r="FB306" s="1224"/>
      <c r="FC306" s="1224"/>
      <c r="FD306" s="1224"/>
      <c r="FE306" s="1224"/>
      <c r="FF306" s="1224"/>
      <c r="FG306" s="1224"/>
      <c r="FH306" s="1224"/>
      <c r="FI306" s="1224"/>
      <c r="FJ306" s="1576"/>
      <c r="FK306" s="1224"/>
      <c r="FL306" s="1224"/>
      <c r="FM306" s="1224"/>
      <c r="FN306" s="1224"/>
      <c r="FO306" s="1224"/>
      <c r="FP306" s="1224"/>
      <c r="FQ306" s="895"/>
      <c r="FR306" s="895"/>
      <c r="FS306" s="895"/>
      <c r="FT306" s="895"/>
      <c r="FU306" s="895"/>
      <c r="FV306" s="895"/>
      <c r="FW306" s="895"/>
      <c r="FX306" s="895"/>
      <c r="FY306" s="895"/>
      <c r="FZ306" s="895"/>
      <c r="GA306" s="895"/>
      <c r="GB306" s="895"/>
      <c r="GC306" s="895"/>
      <c r="GD306" s="895"/>
      <c r="GE306" s="895"/>
      <c r="GF306" s="895"/>
      <c r="GG306" s="895"/>
      <c r="GH306" s="895"/>
      <c r="GI306" s="895"/>
      <c r="GJ306" s="895"/>
      <c r="GK306" s="895"/>
      <c r="GL306" s="895"/>
      <c r="GM306" s="895"/>
      <c r="GN306" s="895"/>
      <c r="GO306" s="1919"/>
      <c r="GP306" s="1919"/>
      <c r="GQ306" s="1919"/>
      <c r="GR306" s="1919"/>
      <c r="GS306" s="1919"/>
      <c r="GT306" s="1919"/>
      <c r="GU306" s="1919"/>
      <c r="GV306" s="1919"/>
      <c r="GW306" s="1919"/>
      <c r="GX306" s="1919"/>
      <c r="GY306" s="1919"/>
      <c r="GZ306" s="1919"/>
      <c r="HA306" s="1919"/>
      <c r="HB306" s="1919"/>
      <c r="HC306" s="1919"/>
      <c r="HD306" s="1919"/>
      <c r="HE306" s="1919"/>
      <c r="HF306" s="1919"/>
      <c r="HG306" s="1919"/>
      <c r="HH306" s="1919"/>
      <c r="HI306" s="1919"/>
      <c r="HJ306" s="1919"/>
      <c r="HK306" s="1919"/>
      <c r="HL306" s="1919"/>
      <c r="HM306" s="1919"/>
      <c r="KH306" s="303"/>
    </row>
    <row r="307" spans="1:294" outlineLevel="1">
      <c r="A307" s="314" t="s">
        <v>1099</v>
      </c>
      <c r="D307" s="843" t="s">
        <v>487</v>
      </c>
      <c r="CE307" s="840"/>
      <c r="CP307" s="303"/>
      <c r="DC307" s="890" t="s">
        <v>1103</v>
      </c>
      <c r="EA307" s="302"/>
      <c r="EB307" s="302"/>
      <c r="EC307" s="302"/>
      <c r="ED307" s="302"/>
      <c r="EE307" s="302"/>
      <c r="EF307" s="302"/>
      <c r="EG307" s="302"/>
      <c r="EH307" s="302"/>
      <c r="EI307" s="302"/>
      <c r="EJ307" s="302"/>
      <c r="EK307" s="302"/>
      <c r="EL307" s="303"/>
      <c r="EM307" s="1208"/>
      <c r="EN307" s="1208"/>
      <c r="EO307" s="1208"/>
      <c r="EP307" s="1208"/>
      <c r="EQ307" s="1208"/>
      <c r="ER307" s="1208"/>
      <c r="ES307" s="1208"/>
      <c r="ET307" s="1208"/>
      <c r="EU307" s="1208"/>
      <c r="EV307" s="1208"/>
      <c r="EW307" s="1208"/>
      <c r="EX307" s="1560"/>
      <c r="EY307" s="1208"/>
      <c r="EZ307" s="1208"/>
      <c r="FA307" s="1208"/>
      <c r="FB307" s="1208"/>
      <c r="FC307" s="1208"/>
      <c r="FD307" s="1208"/>
      <c r="FE307" s="1208"/>
      <c r="FF307" s="1208"/>
      <c r="FG307" s="1208"/>
      <c r="FH307" s="1208"/>
      <c r="FI307" s="1208"/>
      <c r="FJ307" s="1560"/>
      <c r="FK307" s="1208"/>
      <c r="FL307" s="1208"/>
      <c r="FM307" s="1208"/>
      <c r="FN307" s="1208"/>
      <c r="FO307" s="1208"/>
      <c r="FP307" s="1208"/>
      <c r="FQ307" s="302"/>
      <c r="FR307" s="302"/>
      <c r="FS307" s="302"/>
      <c r="FT307" s="302"/>
      <c r="FU307" s="302"/>
      <c r="FV307" s="302"/>
      <c r="FW307" s="302"/>
      <c r="FX307" s="302"/>
      <c r="FY307" s="302"/>
      <c r="FZ307" s="302"/>
      <c r="GA307" s="302"/>
      <c r="GB307" s="302"/>
      <c r="GC307" s="302"/>
      <c r="GD307" s="302"/>
      <c r="GE307" s="302"/>
      <c r="GF307" s="302"/>
      <c r="GG307" s="302"/>
      <c r="GH307" s="302"/>
      <c r="GI307" s="302"/>
      <c r="GJ307" s="302"/>
      <c r="GK307" s="302"/>
      <c r="GL307" s="302"/>
      <c r="GM307" s="302"/>
      <c r="GN307" s="302"/>
      <c r="GO307" s="302"/>
      <c r="GP307" s="302"/>
      <c r="GQ307" s="302"/>
      <c r="GR307" s="302"/>
      <c r="GS307" s="302"/>
      <c r="GT307" s="302"/>
      <c r="GU307" s="302"/>
      <c r="GV307" s="302"/>
      <c r="GW307" s="302"/>
      <c r="GX307" s="302"/>
      <c r="GY307" s="302"/>
      <c r="GZ307" s="302"/>
      <c r="HA307" s="302"/>
      <c r="HB307" s="302"/>
      <c r="HC307" s="302"/>
      <c r="HD307" s="302"/>
      <c r="HE307" s="302"/>
      <c r="HF307" s="302"/>
      <c r="HG307" s="302"/>
      <c r="HH307" s="302"/>
      <c r="HI307" s="302"/>
      <c r="HJ307" s="302"/>
      <c r="HK307" s="302"/>
      <c r="HL307" s="302"/>
      <c r="HM307" s="302"/>
      <c r="KH307" s="303"/>
    </row>
    <row r="308" spans="1:294" customFormat="1" ht="15.5" outlineLevel="1">
      <c r="A308" s="117" t="s">
        <v>395</v>
      </c>
      <c r="D308" s="907"/>
      <c r="E308" s="907"/>
      <c r="F308" s="907"/>
      <c r="G308" s="907"/>
      <c r="H308" s="907"/>
      <c r="I308" s="907"/>
      <c r="J308" s="907"/>
      <c r="K308" s="907"/>
      <c r="L308" s="907"/>
      <c r="M308" s="907"/>
      <c r="N308" s="907"/>
      <c r="O308" s="907"/>
      <c r="P308" s="907"/>
      <c r="Q308" s="907"/>
      <c r="R308" s="907"/>
      <c r="S308" s="907"/>
      <c r="T308" s="907"/>
      <c r="U308" s="907"/>
      <c r="V308" s="907"/>
      <c r="W308" s="907"/>
      <c r="X308" s="907"/>
      <c r="Y308" s="907"/>
      <c r="Z308" s="907"/>
      <c r="AA308" s="907"/>
      <c r="AB308" s="907"/>
      <c r="AC308" s="907"/>
      <c r="AD308" s="907"/>
      <c r="AE308" s="907"/>
      <c r="AF308" s="907"/>
      <c r="AG308" s="907"/>
      <c r="AH308" s="907"/>
      <c r="AI308" s="907"/>
      <c r="AJ308" s="907"/>
      <c r="AK308" s="907"/>
      <c r="AL308" s="907"/>
      <c r="AM308" s="907"/>
      <c r="AN308" s="908">
        <v>40148</v>
      </c>
      <c r="AO308" s="908">
        <v>40179</v>
      </c>
      <c r="AP308" s="908">
        <v>40210</v>
      </c>
      <c r="AQ308" s="908">
        <v>40238</v>
      </c>
      <c r="AR308" s="908">
        <v>40269</v>
      </c>
      <c r="AS308" s="908">
        <v>40299</v>
      </c>
      <c r="AT308" s="908">
        <v>40330</v>
      </c>
      <c r="AU308" s="908">
        <v>40360</v>
      </c>
      <c r="AV308" s="908">
        <v>40391</v>
      </c>
      <c r="AW308" s="908">
        <v>40422</v>
      </c>
      <c r="AX308" s="908">
        <v>40452</v>
      </c>
      <c r="AY308" s="908">
        <v>40483</v>
      </c>
      <c r="AZ308" s="908">
        <v>40513</v>
      </c>
      <c r="BA308" s="908">
        <v>40544</v>
      </c>
      <c r="BB308" s="908">
        <v>40575</v>
      </c>
      <c r="BC308" s="908">
        <v>40603</v>
      </c>
      <c r="BD308" s="908">
        <v>40634</v>
      </c>
      <c r="BE308" s="908">
        <v>40664</v>
      </c>
      <c r="BF308" s="908">
        <v>40695</v>
      </c>
      <c r="BG308" s="908">
        <v>40725</v>
      </c>
      <c r="BH308" s="908">
        <v>40756</v>
      </c>
      <c r="BI308" s="908">
        <v>40787</v>
      </c>
      <c r="BJ308" s="908">
        <v>40817</v>
      </c>
      <c r="BK308" s="908">
        <v>40848</v>
      </c>
      <c r="BL308" s="908">
        <v>40878</v>
      </c>
      <c r="BM308" s="908">
        <v>40909</v>
      </c>
      <c r="BN308" s="908">
        <v>40940</v>
      </c>
      <c r="BO308" s="908">
        <v>40969</v>
      </c>
      <c r="BP308" s="908">
        <v>41000</v>
      </c>
      <c r="BQ308" s="908">
        <v>41030</v>
      </c>
      <c r="BR308" s="908">
        <v>41061</v>
      </c>
      <c r="BS308" s="908">
        <v>41091</v>
      </c>
      <c r="BT308" s="908">
        <v>41122</v>
      </c>
      <c r="BU308" s="908">
        <v>41153</v>
      </c>
      <c r="BV308" s="908">
        <v>41183</v>
      </c>
      <c r="BW308" s="908">
        <v>41214</v>
      </c>
      <c r="BX308" s="908">
        <v>41244</v>
      </c>
      <c r="BY308" s="908">
        <v>41275</v>
      </c>
      <c r="BZ308" s="908">
        <v>41306</v>
      </c>
      <c r="CA308" s="908">
        <v>41334</v>
      </c>
      <c r="CB308" s="908">
        <v>41365</v>
      </c>
      <c r="CC308" s="908">
        <v>41395</v>
      </c>
      <c r="CD308" s="908">
        <v>41426</v>
      </c>
      <c r="CE308" s="908">
        <v>41456</v>
      </c>
      <c r="CF308" s="908">
        <v>41487</v>
      </c>
      <c r="CG308" s="908">
        <v>41518</v>
      </c>
      <c r="CH308" s="908">
        <v>41548</v>
      </c>
      <c r="CI308" s="908">
        <v>41579</v>
      </c>
      <c r="CJ308" s="908">
        <v>41609</v>
      </c>
      <c r="CK308" s="908">
        <v>41640</v>
      </c>
      <c r="CL308" s="908">
        <v>41671</v>
      </c>
      <c r="CM308" s="908">
        <v>41699</v>
      </c>
      <c r="CN308" s="908">
        <v>41730</v>
      </c>
      <c r="CO308" s="908">
        <v>41760</v>
      </c>
      <c r="CP308" s="908">
        <v>41791</v>
      </c>
      <c r="CQ308" s="908">
        <v>41821</v>
      </c>
      <c r="CR308" s="908">
        <v>41852</v>
      </c>
      <c r="CS308" s="908">
        <v>41883</v>
      </c>
      <c r="CT308" s="908">
        <v>41913</v>
      </c>
      <c r="CU308" s="908">
        <v>41944</v>
      </c>
      <c r="CV308" s="908">
        <v>41974</v>
      </c>
      <c r="CW308" s="908">
        <v>42005</v>
      </c>
      <c r="CX308" s="908">
        <v>42036</v>
      </c>
      <c r="CY308" s="908">
        <v>42064</v>
      </c>
      <c r="CZ308" s="908">
        <v>42095</v>
      </c>
      <c r="DA308" s="908">
        <v>42125</v>
      </c>
      <c r="DB308" s="908">
        <v>42156</v>
      </c>
      <c r="DC308" s="908">
        <v>42186</v>
      </c>
      <c r="DD308" s="908">
        <v>42217</v>
      </c>
      <c r="DE308" s="908">
        <v>42248</v>
      </c>
      <c r="DF308" s="908">
        <v>42278</v>
      </c>
      <c r="DG308" s="908">
        <v>42309</v>
      </c>
      <c r="DH308" s="908">
        <v>42339</v>
      </c>
      <c r="DI308" s="908">
        <v>42370</v>
      </c>
      <c r="DJ308" s="908">
        <v>42401</v>
      </c>
      <c r="DK308" s="908">
        <v>42430</v>
      </c>
      <c r="DL308" s="908">
        <v>42461</v>
      </c>
      <c r="DM308" s="908">
        <v>42491</v>
      </c>
      <c r="DN308" s="932">
        <v>42522</v>
      </c>
      <c r="DO308" s="883">
        <v>42552</v>
      </c>
      <c r="DP308" s="883">
        <v>42583</v>
      </c>
      <c r="DQ308" s="883">
        <v>42614</v>
      </c>
      <c r="DR308" s="883">
        <v>42644</v>
      </c>
      <c r="DS308" s="883">
        <v>42675</v>
      </c>
      <c r="DT308" s="883">
        <v>42705</v>
      </c>
      <c r="DU308" s="883">
        <v>42736</v>
      </c>
      <c r="DV308" s="883">
        <v>42767</v>
      </c>
      <c r="DW308" s="883">
        <v>42795</v>
      </c>
      <c r="DX308" s="883">
        <v>42826</v>
      </c>
      <c r="DY308" s="883">
        <v>42856</v>
      </c>
      <c r="DZ308" s="928">
        <v>42887</v>
      </c>
      <c r="EA308" s="883">
        <v>42917</v>
      </c>
      <c r="EB308" s="883">
        <v>42948</v>
      </c>
      <c r="EC308" s="883">
        <v>42979</v>
      </c>
      <c r="ED308" s="883">
        <v>43009</v>
      </c>
      <c r="EE308" s="883">
        <v>43040</v>
      </c>
      <c r="EF308" s="883">
        <v>43070</v>
      </c>
      <c r="EG308" s="883">
        <v>43101</v>
      </c>
      <c r="EH308" s="883">
        <v>43132</v>
      </c>
      <c r="EI308" s="883">
        <v>43160</v>
      </c>
      <c r="EJ308" s="883">
        <v>43191</v>
      </c>
      <c r="EK308" s="883">
        <v>43221</v>
      </c>
      <c r="EL308" s="928">
        <v>43252</v>
      </c>
      <c r="EM308" s="1205">
        <v>43282</v>
      </c>
      <c r="EN308" s="1205">
        <v>43313</v>
      </c>
      <c r="EO308" s="1205">
        <v>43344</v>
      </c>
      <c r="EP308" s="1205">
        <v>43374</v>
      </c>
      <c r="EQ308" s="1205">
        <v>43405</v>
      </c>
      <c r="ER308" s="1205">
        <v>43435</v>
      </c>
      <c r="ES308" s="1205">
        <v>43466</v>
      </c>
      <c r="ET308" s="1205">
        <v>43497</v>
      </c>
      <c r="EU308" s="1205">
        <v>43525</v>
      </c>
      <c r="EV308" s="1205">
        <v>43556</v>
      </c>
      <c r="EW308" s="1205">
        <v>43586</v>
      </c>
      <c r="EX308" s="1558">
        <v>43617</v>
      </c>
      <c r="EY308" s="1205">
        <v>43647</v>
      </c>
      <c r="EZ308" s="1205">
        <v>43678</v>
      </c>
      <c r="FA308" s="1205">
        <v>43709</v>
      </c>
      <c r="FB308" s="1205">
        <v>43739</v>
      </c>
      <c r="FC308" s="1205">
        <v>43770</v>
      </c>
      <c r="FD308" s="1205">
        <v>43800</v>
      </c>
      <c r="FE308" s="1205">
        <v>43831</v>
      </c>
      <c r="FF308" s="1205">
        <v>43862</v>
      </c>
      <c r="FG308" s="1205">
        <v>43891</v>
      </c>
      <c r="FH308" s="1205">
        <v>43922</v>
      </c>
      <c r="FI308" s="1205">
        <v>43952</v>
      </c>
      <c r="FJ308" s="1558">
        <v>43983</v>
      </c>
      <c r="FK308" s="1205">
        <v>44013</v>
      </c>
      <c r="FL308" s="1205">
        <v>44044</v>
      </c>
      <c r="FM308" s="1205">
        <v>44075</v>
      </c>
      <c r="FN308" s="1205">
        <v>44105</v>
      </c>
      <c r="FO308" s="1205">
        <v>44136</v>
      </c>
      <c r="FP308" s="1205">
        <v>44166</v>
      </c>
      <c r="FQ308" s="1205">
        <v>44197</v>
      </c>
      <c r="FR308" s="1205">
        <v>44228</v>
      </c>
      <c r="FS308" s="1205">
        <v>44256</v>
      </c>
      <c r="FT308" s="1205">
        <v>44287</v>
      </c>
      <c r="FU308" s="1205">
        <v>44317</v>
      </c>
      <c r="FV308" s="1205">
        <v>44348</v>
      </c>
      <c r="FW308" s="1205">
        <v>44378</v>
      </c>
      <c r="FX308" s="1205">
        <v>44409</v>
      </c>
      <c r="FY308" s="1205">
        <v>44440</v>
      </c>
      <c r="FZ308" s="1205">
        <v>44470</v>
      </c>
      <c r="GA308" s="1205">
        <v>44501</v>
      </c>
      <c r="GB308" s="1205">
        <v>44531</v>
      </c>
      <c r="GC308" s="1205">
        <v>44562</v>
      </c>
      <c r="GD308" s="1205">
        <v>44593</v>
      </c>
      <c r="GE308" s="1205">
        <v>44621</v>
      </c>
      <c r="GF308" s="1205">
        <v>44652</v>
      </c>
      <c r="GG308" s="1205">
        <v>44682</v>
      </c>
      <c r="GH308" s="1205">
        <v>44713</v>
      </c>
      <c r="GI308" s="1205">
        <v>44743</v>
      </c>
      <c r="GJ308" s="1205">
        <v>44774</v>
      </c>
      <c r="GK308" s="1205">
        <v>44805</v>
      </c>
      <c r="GL308" s="1205">
        <v>44835</v>
      </c>
      <c r="GM308" s="1205">
        <v>44866</v>
      </c>
      <c r="GN308" s="1205">
        <v>44896</v>
      </c>
      <c r="GO308" s="1205">
        <v>44927</v>
      </c>
      <c r="GP308" s="1205">
        <v>44958</v>
      </c>
      <c r="GQ308" s="1205">
        <v>44986</v>
      </c>
      <c r="GR308" s="1205">
        <v>45017</v>
      </c>
      <c r="GS308" s="1205">
        <v>45047</v>
      </c>
      <c r="GT308" s="1205">
        <v>45078</v>
      </c>
      <c r="GU308" s="1205">
        <v>45108</v>
      </c>
      <c r="GV308" s="1205">
        <v>45139</v>
      </c>
      <c r="GW308" s="1205">
        <v>45170</v>
      </c>
      <c r="GX308" s="1205">
        <v>45200</v>
      </c>
      <c r="GY308" s="1205">
        <v>45231</v>
      </c>
      <c r="GZ308" s="1205">
        <v>45261</v>
      </c>
      <c r="HA308" s="1205">
        <v>45292</v>
      </c>
      <c r="HB308" s="1205">
        <v>45323</v>
      </c>
      <c r="HC308" s="1205">
        <v>45352</v>
      </c>
      <c r="HD308" s="1205">
        <v>45383</v>
      </c>
      <c r="HE308" s="1205">
        <v>45413</v>
      </c>
      <c r="HF308" s="1205">
        <v>45444</v>
      </c>
      <c r="HG308" s="1205">
        <v>45474</v>
      </c>
      <c r="HH308" s="1205">
        <v>45505</v>
      </c>
      <c r="HI308" s="1205">
        <v>45536</v>
      </c>
      <c r="HJ308" s="1205">
        <v>45566</v>
      </c>
      <c r="HK308" s="1205">
        <v>45597</v>
      </c>
      <c r="HL308" s="1205">
        <v>45627</v>
      </c>
      <c r="HM308" s="1205"/>
      <c r="HN308" s="304"/>
    </row>
    <row r="309" spans="1:294" outlineLevel="1">
      <c r="A309" s="302"/>
      <c r="B309" s="117" t="s">
        <v>361</v>
      </c>
      <c r="D309" s="321" t="s">
        <v>488</v>
      </c>
      <c r="E309" s="316"/>
      <c r="F309" s="316"/>
      <c r="G309" s="316"/>
      <c r="H309" s="316"/>
      <c r="I309" s="316"/>
      <c r="J309" s="316"/>
      <c r="K309" s="316"/>
      <c r="L309" s="316"/>
      <c r="M309" s="316"/>
      <c r="N309" s="316"/>
      <c r="O309" s="316"/>
      <c r="P309" s="316"/>
      <c r="Q309" s="316"/>
      <c r="R309" s="316"/>
      <c r="S309" s="316"/>
      <c r="T309" s="316"/>
      <c r="U309" s="316"/>
      <c r="V309" s="316"/>
      <c r="W309" s="316"/>
      <c r="X309" s="316"/>
      <c r="Y309" s="316"/>
      <c r="Z309" s="316"/>
      <c r="AA309" s="316"/>
      <c r="AB309" s="316"/>
      <c r="AC309" s="316"/>
      <c r="AD309" s="316"/>
      <c r="AE309" s="316"/>
      <c r="AF309" s="316"/>
      <c r="AG309" s="316"/>
      <c r="AH309" s="316"/>
      <c r="AI309" s="316"/>
      <c r="AJ309" s="316"/>
      <c r="AK309" s="316"/>
      <c r="AL309" s="316"/>
      <c r="AM309" s="316"/>
      <c r="AN309" s="316">
        <v>-141.32597844000003</v>
      </c>
      <c r="AO309" s="316">
        <v>-149.39687363499996</v>
      </c>
      <c r="AP309" s="316">
        <v>-127.44963169099999</v>
      </c>
      <c r="AQ309" s="316">
        <v>-119.93644642799998</v>
      </c>
      <c r="AR309" s="316">
        <v>-112.97846161999996</v>
      </c>
      <c r="AS309" s="316">
        <v>-96.735058648000006</v>
      </c>
      <c r="AT309" s="316">
        <v>-125.783013149</v>
      </c>
      <c r="AU309" s="316">
        <v>-111.32482363700001</v>
      </c>
      <c r="AV309" s="316">
        <v>-77.350114066000003</v>
      </c>
      <c r="AW309" s="316">
        <v>-132.47670511800001</v>
      </c>
      <c r="AX309" s="316">
        <v>-123.86401989800001</v>
      </c>
      <c r="AY309" s="316">
        <v>-89.113117830999983</v>
      </c>
      <c r="AZ309" s="316">
        <v>-131.32492378000003</v>
      </c>
      <c r="BA309" s="316">
        <v>-122.51339211399994</v>
      </c>
      <c r="BB309" s="316">
        <v>-122.96199902000001</v>
      </c>
      <c r="BC309" s="316">
        <v>-98.577085010000019</v>
      </c>
      <c r="BD309" s="316">
        <v>-146.85317597900007</v>
      </c>
      <c r="BE309" s="316">
        <v>-90.455977815999972</v>
      </c>
      <c r="BF309" s="316">
        <v>-48.176601351418356</v>
      </c>
      <c r="BG309" s="316">
        <v>-65.328576759999947</v>
      </c>
      <c r="BH309" s="316">
        <v>-88.864516417000004</v>
      </c>
      <c r="BI309" s="316">
        <v>-114.57434609400002</v>
      </c>
      <c r="BJ309" s="316">
        <v>-180.96099486199998</v>
      </c>
      <c r="BK309" s="316">
        <v>-146.05822945762003</v>
      </c>
      <c r="BL309" s="316">
        <v>-218.25748209299996</v>
      </c>
      <c r="BM309" s="316">
        <v>-204.94261799999998</v>
      </c>
      <c r="BN309" s="316">
        <v>-155.759472636</v>
      </c>
      <c r="BO309" s="316">
        <v>-138.20793316700002</v>
      </c>
      <c r="BP309" s="316">
        <v>-105.515284651</v>
      </c>
      <c r="BQ309" s="316">
        <v>-44.250424141999986</v>
      </c>
      <c r="BR309" s="316">
        <v>-52.246035968000001</v>
      </c>
      <c r="BS309" s="316">
        <v>-88.21471386799999</v>
      </c>
      <c r="BT309" s="316">
        <v>-78.474909305000011</v>
      </c>
      <c r="BU309" s="316">
        <v>-101.28900456599999</v>
      </c>
      <c r="BV309" s="316">
        <v>-115.40738663599998</v>
      </c>
      <c r="BW309" s="316">
        <v>-116.51742649600001</v>
      </c>
      <c r="BX309" s="316">
        <v>-136.94626099999996</v>
      </c>
      <c r="BY309" s="316">
        <v>-94.637540968000025</v>
      </c>
      <c r="BZ309" s="316">
        <v>-62.130464562</v>
      </c>
      <c r="CA309" s="316">
        <v>-76.411260513999991</v>
      </c>
      <c r="CB309" s="316">
        <v>-67.51548504400003</v>
      </c>
      <c r="CC309" s="316">
        <v>-214.00539551800003</v>
      </c>
      <c r="CD309" s="316">
        <v>-163.97288144400002</v>
      </c>
      <c r="CE309" s="317">
        <v>-199.16289677300006</v>
      </c>
      <c r="CF309" s="316">
        <v>-173.05693562099998</v>
      </c>
      <c r="CG309" s="316">
        <v>-192.18188951400001</v>
      </c>
      <c r="CH309" s="316">
        <v>-197.87399016000001</v>
      </c>
      <c r="CI309" s="316">
        <v>-174.41988275300002</v>
      </c>
      <c r="CJ309" s="316">
        <v>-187.30806436800003</v>
      </c>
      <c r="CK309" s="316">
        <v>-153.71924111869765</v>
      </c>
      <c r="CL309" s="316">
        <v>-126.32183013018656</v>
      </c>
      <c r="CM309" s="316">
        <v>-105.14238019354315</v>
      </c>
      <c r="CN309" s="316">
        <v>-82.084350569614116</v>
      </c>
      <c r="CO309" s="316">
        <v>-80.697893689140983</v>
      </c>
      <c r="CP309" s="318">
        <v>-13.323236372852421</v>
      </c>
      <c r="CQ309" s="316">
        <v>19.993095357543552</v>
      </c>
      <c r="CR309" s="316">
        <v>22.028670971611916</v>
      </c>
      <c r="CS309" s="316">
        <v>54.022531451414494</v>
      </c>
      <c r="CT309" s="316">
        <v>81.830728112665071</v>
      </c>
      <c r="CU309" s="316">
        <v>66.584200121327513</v>
      </c>
      <c r="CV309" s="316">
        <v>-21.472170253183663</v>
      </c>
      <c r="CW309" s="316">
        <v>11.201815651305708</v>
      </c>
      <c r="CX309" s="316">
        <v>-5.1563659823535488</v>
      </c>
      <c r="CY309" s="316">
        <v>-3.4430616171474355</v>
      </c>
      <c r="CZ309" s="316">
        <v>21.754058706019009</v>
      </c>
      <c r="DA309" s="316">
        <v>64.06387507776293</v>
      </c>
      <c r="DB309" s="1498">
        <v>124.99304068831268</v>
      </c>
      <c r="DC309" s="636">
        <v>128.60317578372715</v>
      </c>
      <c r="DD309" s="636">
        <v>140.7647499808094</v>
      </c>
      <c r="DE309" s="636">
        <v>98.658292975677739</v>
      </c>
      <c r="DF309" s="636">
        <v>140.79458610339654</v>
      </c>
      <c r="DG309" s="636">
        <v>123.67192237247303</v>
      </c>
      <c r="DH309" s="636">
        <v>39.495503962580869</v>
      </c>
      <c r="DI309" s="636">
        <v>86.091582579875478</v>
      </c>
      <c r="DJ309" s="636">
        <v>75.816036001780617</v>
      </c>
      <c r="DK309" s="636">
        <v>73.178432580821607</v>
      </c>
      <c r="DL309" s="636">
        <v>40.763484120189901</v>
      </c>
      <c r="DM309" s="636">
        <v>71.813589941737291</v>
      </c>
      <c r="DN309" s="653">
        <v>124.36252419194759</v>
      </c>
      <c r="DO309" s="636">
        <v>100.6765730203731</v>
      </c>
      <c r="DP309" s="636">
        <v>100.56845866978946</v>
      </c>
      <c r="DQ309" s="636">
        <v>47.72712348340167</v>
      </c>
      <c r="DR309" s="636">
        <v>45.833515477161257</v>
      </c>
      <c r="DS309" s="636">
        <v>63.485300921692073</v>
      </c>
      <c r="DT309" s="636">
        <v>12.191769501318699</v>
      </c>
      <c r="DU309" s="636">
        <v>8.2739232978238419</v>
      </c>
      <c r="DV309" s="636">
        <v>63.553327648044785</v>
      </c>
      <c r="DW309" s="636">
        <v>54.250756526401972</v>
      </c>
      <c r="DX309" s="636">
        <v>59.979088977169965</v>
      </c>
      <c r="DY309" s="636">
        <v>100.34423484145077</v>
      </c>
      <c r="DZ309" s="653">
        <v>141.70573959091655</v>
      </c>
      <c r="EA309" s="636">
        <v>157.55057647151386</v>
      </c>
      <c r="EB309" s="636">
        <v>185.22294694009707</v>
      </c>
      <c r="EC309" s="636">
        <v>167.4186380921947</v>
      </c>
      <c r="ED309" s="636">
        <v>158.03341696279568</v>
      </c>
      <c r="EE309" s="636">
        <v>161.36477942706443</v>
      </c>
      <c r="EF309" s="636">
        <v>58.372627894482321</v>
      </c>
      <c r="EG309" s="636">
        <v>112.74155190359915</v>
      </c>
      <c r="EH309" s="636">
        <v>135.06545107348347</v>
      </c>
      <c r="EI309" s="636">
        <v>128.45895781161551</v>
      </c>
      <c r="EJ309" s="636">
        <v>128.20880837536839</v>
      </c>
      <c r="EK309" s="636">
        <v>176.25300258646158</v>
      </c>
      <c r="EL309" s="653">
        <v>190.53650127644056</v>
      </c>
      <c r="EM309" s="1209">
        <v>192.40081011131809</v>
      </c>
      <c r="EN309" s="1209">
        <v>178.37043919868034</v>
      </c>
      <c r="EO309" s="1209">
        <v>166.20048706424177</v>
      </c>
      <c r="EP309" s="1209">
        <v>214.67012250574589</v>
      </c>
      <c r="EQ309" s="1209">
        <v>223.0598289259778</v>
      </c>
      <c r="ER309" s="1209">
        <v>-2.9283122416722449</v>
      </c>
      <c r="ES309" s="1209">
        <v>44.906062091342733</v>
      </c>
      <c r="ET309" s="1209">
        <v>72.958664737377376</v>
      </c>
      <c r="EU309" s="1209">
        <v>108.65833178611945</v>
      </c>
      <c r="EV309" s="1209">
        <v>145.38274734263496</v>
      </c>
      <c r="EW309" s="1209">
        <v>178.73814940094917</v>
      </c>
      <c r="EX309" s="1539">
        <v>177.69853280575643</v>
      </c>
      <c r="EY309" s="1209"/>
      <c r="EZ309" s="1209"/>
      <c r="FA309" s="1209"/>
      <c r="FB309" s="1209"/>
      <c r="FC309" s="1209"/>
      <c r="FD309" s="1209"/>
      <c r="FE309" s="1209"/>
      <c r="FF309" s="1209"/>
      <c r="FG309" s="1209"/>
      <c r="FH309" s="1209"/>
      <c r="FI309" s="1209"/>
      <c r="FJ309" s="1539"/>
      <c r="FK309" s="1209"/>
      <c r="FL309" s="1209"/>
      <c r="FM309" s="1209"/>
      <c r="FN309" s="1209"/>
      <c r="FO309" s="1209"/>
      <c r="FP309" s="1209"/>
      <c r="FQ309" s="636"/>
      <c r="FR309" s="636"/>
      <c r="FS309" s="636"/>
      <c r="FT309" s="636"/>
      <c r="FU309" s="636"/>
      <c r="FV309" s="636"/>
      <c r="FW309" s="636"/>
      <c r="FX309" s="636"/>
      <c r="FY309" s="636"/>
      <c r="FZ309" s="636"/>
      <c r="GA309" s="636"/>
      <c r="GB309" s="636"/>
      <c r="GC309" s="636"/>
      <c r="GD309" s="636"/>
      <c r="GE309" s="636"/>
      <c r="GF309" s="636"/>
      <c r="GG309" s="636"/>
      <c r="GH309" s="636"/>
      <c r="GI309" s="636"/>
      <c r="GJ309" s="636"/>
      <c r="GK309" s="636"/>
      <c r="GL309" s="636"/>
      <c r="GM309" s="636"/>
      <c r="GN309" s="636"/>
      <c r="GO309" s="636"/>
      <c r="GP309" s="636"/>
      <c r="GQ309" s="636"/>
      <c r="GR309" s="636"/>
      <c r="GS309" s="636"/>
      <c r="GT309" s="636"/>
      <c r="GU309" s="636"/>
      <c r="GV309" s="636"/>
      <c r="GW309" s="636"/>
      <c r="GX309" s="636"/>
      <c r="GY309" s="636"/>
      <c r="GZ309" s="636"/>
      <c r="HA309" s="636"/>
      <c r="HB309" s="636"/>
      <c r="HC309" s="636"/>
      <c r="HD309" s="636"/>
      <c r="HE309" s="636"/>
      <c r="HF309" s="636"/>
      <c r="HG309" s="636"/>
      <c r="HH309" s="636"/>
      <c r="HI309" s="636"/>
      <c r="HJ309" s="636"/>
      <c r="HK309" s="636"/>
      <c r="HL309" s="636"/>
      <c r="HM309" s="636"/>
      <c r="KH309" s="303"/>
    </row>
    <row r="310" spans="1:294" outlineLevel="1">
      <c r="A310" s="117" t="s">
        <v>395</v>
      </c>
      <c r="B310" s="117" t="s">
        <v>361</v>
      </c>
      <c r="D310" s="320" t="s">
        <v>489</v>
      </c>
      <c r="E310" s="316"/>
      <c r="F310" s="316"/>
      <c r="G310" s="316"/>
      <c r="H310" s="316"/>
      <c r="I310" s="316"/>
      <c r="J310" s="316"/>
      <c r="K310" s="316"/>
      <c r="L310" s="316"/>
      <c r="M310" s="316"/>
      <c r="N310" s="316"/>
      <c r="O310" s="316"/>
      <c r="P310" s="316"/>
      <c r="Q310" s="316"/>
      <c r="R310" s="316"/>
      <c r="S310" s="316"/>
      <c r="T310" s="316"/>
      <c r="U310" s="316"/>
      <c r="V310" s="316"/>
      <c r="W310" s="316"/>
      <c r="X310" s="316"/>
      <c r="Y310" s="316"/>
      <c r="Z310" s="316"/>
      <c r="AA310" s="316"/>
      <c r="AB310" s="316"/>
      <c r="AC310" s="316"/>
      <c r="AD310" s="316"/>
      <c r="AE310" s="316"/>
      <c r="AF310" s="316"/>
      <c r="AG310" s="316"/>
      <c r="AH310" s="316"/>
      <c r="AI310" s="316"/>
      <c r="AJ310" s="316"/>
      <c r="AK310" s="316"/>
      <c r="AL310" s="316"/>
      <c r="AM310" s="316"/>
      <c r="AN310" s="316">
        <v>84.347031560000005</v>
      </c>
      <c r="AO310" s="316">
        <v>71.148633560000007</v>
      </c>
      <c r="AP310" s="316">
        <v>81.855825383999999</v>
      </c>
      <c r="AQ310" s="316">
        <v>92.481823165999998</v>
      </c>
      <c r="AR310" s="316">
        <v>102.07795087</v>
      </c>
      <c r="AS310" s="316">
        <v>125.999129197</v>
      </c>
      <c r="AT310" s="316">
        <v>97.811308843999996</v>
      </c>
      <c r="AU310" s="316">
        <v>100.609786294</v>
      </c>
      <c r="AV310" s="316">
        <v>122.51019702799999</v>
      </c>
      <c r="AW310" s="316">
        <v>100.87192718099999</v>
      </c>
      <c r="AX310" s="316">
        <v>92.695393607</v>
      </c>
      <c r="AY310" s="316">
        <v>128.26429424700001</v>
      </c>
      <c r="AZ310" s="316">
        <v>143.901982296</v>
      </c>
      <c r="BA310" s="316">
        <v>130.71668885700001</v>
      </c>
      <c r="BB310" s="316">
        <v>148.620246006</v>
      </c>
      <c r="BC310" s="316">
        <v>156.974220006</v>
      </c>
      <c r="BD310" s="316">
        <v>126.085018021</v>
      </c>
      <c r="BE310" s="316">
        <v>144.439602799</v>
      </c>
      <c r="BF310" s="316">
        <v>175.31526647245261</v>
      </c>
      <c r="BG310" s="316">
        <v>138.46863570700003</v>
      </c>
      <c r="BH310" s="316">
        <v>132.99405414700001</v>
      </c>
      <c r="BI310" s="316">
        <v>129.251400012</v>
      </c>
      <c r="BJ310" s="316">
        <v>127.08892901200002</v>
      </c>
      <c r="BK310" s="316">
        <v>142.19910441638001</v>
      </c>
      <c r="BL310" s="316">
        <v>118.816936</v>
      </c>
      <c r="BM310" s="316">
        <v>116.64292099999999</v>
      </c>
      <c r="BN310" s="316">
        <v>108.15172799999999</v>
      </c>
      <c r="BO310" s="316">
        <v>95.617458999999997</v>
      </c>
      <c r="BP310" s="316">
        <v>119.66772700000001</v>
      </c>
      <c r="BQ310" s="316">
        <v>158.726944</v>
      </c>
      <c r="BR310" s="316">
        <v>142.678169</v>
      </c>
      <c r="BS310" s="316">
        <v>124.89591300000001</v>
      </c>
      <c r="BT310" s="316">
        <v>130.250302</v>
      </c>
      <c r="BU310" s="316">
        <v>116.9328332</v>
      </c>
      <c r="BV310" s="316">
        <v>108.18710300000001</v>
      </c>
      <c r="BW310" s="316">
        <v>99.904561999999999</v>
      </c>
      <c r="BX310" s="316">
        <v>106.46562900000001</v>
      </c>
      <c r="BY310" s="316">
        <v>124.01933099999999</v>
      </c>
      <c r="BZ310" s="316">
        <v>121.49953699999999</v>
      </c>
      <c r="CA310" s="316">
        <v>127.88905499999998</v>
      </c>
      <c r="CB310" s="316">
        <v>131.96559699999997</v>
      </c>
      <c r="CC310" s="316">
        <v>122.76741200000001</v>
      </c>
      <c r="CD310" s="316">
        <v>150.31938999999997</v>
      </c>
      <c r="CE310" s="317">
        <v>154.54665799999998</v>
      </c>
      <c r="CF310" s="316">
        <v>167.30282099999999</v>
      </c>
      <c r="CG310" s="316">
        <v>165.628342</v>
      </c>
      <c r="CH310" s="316">
        <v>175.57156600000002</v>
      </c>
      <c r="CI310" s="316">
        <v>190.644586</v>
      </c>
      <c r="CJ310" s="316">
        <v>193.72552099999996</v>
      </c>
      <c r="CK310" s="316">
        <v>193.20894940335967</v>
      </c>
      <c r="CL310" s="316">
        <v>192.09349170661866</v>
      </c>
      <c r="CM310" s="316">
        <v>195.45850189488408</v>
      </c>
      <c r="CN310" s="316">
        <v>196.17035339597379</v>
      </c>
      <c r="CO310" s="316">
        <v>207.2208</v>
      </c>
      <c r="CP310" s="318">
        <v>204.74185975791875</v>
      </c>
      <c r="CQ310" s="316">
        <v>204.19466829645359</v>
      </c>
      <c r="CR310" s="316">
        <v>211.11023638920292</v>
      </c>
      <c r="CS310" s="316">
        <v>217.82374620628843</v>
      </c>
      <c r="CT310" s="316">
        <v>239.89272170758892</v>
      </c>
      <c r="CU310" s="316">
        <v>224.85068030274684</v>
      </c>
      <c r="CV310" s="316">
        <v>222.34580334599616</v>
      </c>
      <c r="CW310" s="316">
        <v>225.06115197807881</v>
      </c>
      <c r="CX310" s="316">
        <v>232.65169059129684</v>
      </c>
      <c r="CY310" s="316">
        <v>231.40109748304963</v>
      </c>
      <c r="CZ310" s="316">
        <v>233.12940251354823</v>
      </c>
      <c r="DA310" s="316">
        <v>265.83976442499227</v>
      </c>
      <c r="DB310" s="1498">
        <v>287.026450698058</v>
      </c>
      <c r="DC310" s="316">
        <v>304.51999026117437</v>
      </c>
      <c r="DD310" s="316">
        <v>332.91196703110961</v>
      </c>
      <c r="DE310" s="316">
        <v>323.02819617666569</v>
      </c>
      <c r="DF310" s="316">
        <v>320.12204575042597</v>
      </c>
      <c r="DG310" s="316">
        <v>317.08113602290501</v>
      </c>
      <c r="DH310" s="316">
        <v>304.05368127834498</v>
      </c>
      <c r="DI310" s="316">
        <v>300.77631387712796</v>
      </c>
      <c r="DJ310" s="316">
        <v>305.22230111461801</v>
      </c>
      <c r="DK310" s="316">
        <v>315.70797831450199</v>
      </c>
      <c r="DL310" s="316">
        <v>285.86461109435993</v>
      </c>
      <c r="DM310" s="316">
        <v>299.69431951615798</v>
      </c>
      <c r="DN310" s="318">
        <v>318.26759736565992</v>
      </c>
      <c r="DO310" s="316">
        <v>317.90671806902731</v>
      </c>
      <c r="DP310" s="316">
        <v>335.61974912185997</v>
      </c>
      <c r="DQ310" s="316">
        <v>299.94877318269255</v>
      </c>
      <c r="DR310" s="316">
        <v>290.39825131459651</v>
      </c>
      <c r="DS310" s="316">
        <v>311.53112523460538</v>
      </c>
      <c r="DT310" s="316">
        <v>284.50378182527243</v>
      </c>
      <c r="DU310" s="316">
        <v>291.67329989413929</v>
      </c>
      <c r="DV310" s="316">
        <v>299.23647032889454</v>
      </c>
      <c r="DW310" s="316">
        <v>319.67291196986633</v>
      </c>
      <c r="DX310" s="316">
        <v>317.41356503437783</v>
      </c>
      <c r="DY310" s="316">
        <v>317.19414101459921</v>
      </c>
      <c r="DZ310" s="318">
        <v>344.44386704052943</v>
      </c>
      <c r="EA310" s="316">
        <v>360.43939341839962</v>
      </c>
      <c r="EB310" s="316">
        <v>395.71520117695565</v>
      </c>
      <c r="EC310" s="316">
        <v>408.09114878788728</v>
      </c>
      <c r="ED310" s="316">
        <v>393.81612339360993</v>
      </c>
      <c r="EE310" s="316">
        <v>403.72794388930595</v>
      </c>
      <c r="EF310" s="316">
        <v>379.38229651247417</v>
      </c>
      <c r="EG310" s="316">
        <v>429.28787574547437</v>
      </c>
      <c r="EH310" s="316">
        <v>433.73877359105825</v>
      </c>
      <c r="EI310" s="316">
        <v>424.56843962976001</v>
      </c>
      <c r="EJ310" s="316">
        <v>400.12197573404535</v>
      </c>
      <c r="EK310" s="316">
        <v>425.73170898854312</v>
      </c>
      <c r="EL310" s="318">
        <v>441.55203638850708</v>
      </c>
      <c r="EM310" s="1206">
        <v>455.9048067621178</v>
      </c>
      <c r="EN310" s="1206">
        <v>472.61457584394532</v>
      </c>
      <c r="EO310" s="1206">
        <v>472.46832814297932</v>
      </c>
      <c r="EP310" s="1206">
        <v>483.16897701811899</v>
      </c>
      <c r="EQ310" s="1206">
        <v>482.82623096778582</v>
      </c>
      <c r="ER310" s="1206">
        <v>391.81506094492113</v>
      </c>
      <c r="ES310" s="1206">
        <v>403.54825541791644</v>
      </c>
      <c r="ET310" s="1206">
        <v>404.68806774056139</v>
      </c>
      <c r="EU310" s="1206">
        <v>417.67360077246025</v>
      </c>
      <c r="EV310" s="1206">
        <v>446.63964864002003</v>
      </c>
      <c r="EW310" s="1206">
        <v>452.36398131351871</v>
      </c>
      <c r="EX310" s="1550">
        <v>481.97080947601779</v>
      </c>
      <c r="EY310" s="1206"/>
      <c r="EZ310" s="1206"/>
      <c r="FA310" s="1206"/>
      <c r="FB310" s="1206"/>
      <c r="FC310" s="1206"/>
      <c r="FD310" s="1206"/>
      <c r="FE310" s="1206"/>
      <c r="FF310" s="1206"/>
      <c r="FG310" s="1206"/>
      <c r="FH310" s="1206"/>
      <c r="FI310" s="1206"/>
      <c r="FJ310" s="1550"/>
      <c r="FK310" s="1206"/>
      <c r="FL310" s="1206"/>
      <c r="FM310" s="1206"/>
      <c r="FN310" s="1206"/>
      <c r="FO310" s="1206"/>
      <c r="FP310" s="1206"/>
      <c r="FQ310" s="316"/>
      <c r="FR310" s="316"/>
      <c r="FS310" s="316"/>
      <c r="FT310" s="316"/>
      <c r="FU310" s="316"/>
      <c r="FV310" s="316"/>
      <c r="FW310" s="316"/>
      <c r="FX310" s="316"/>
      <c r="FY310" s="316"/>
      <c r="FZ310" s="316"/>
      <c r="GA310" s="316"/>
      <c r="GB310" s="316"/>
      <c r="GC310" s="316"/>
      <c r="GD310" s="316"/>
      <c r="GE310" s="316"/>
      <c r="GF310" s="316"/>
      <c r="GG310" s="316"/>
      <c r="GH310" s="316"/>
      <c r="GI310" s="316"/>
      <c r="GJ310" s="316"/>
      <c r="GK310" s="316"/>
      <c r="GL310" s="316"/>
      <c r="GM310" s="316"/>
      <c r="GN310" s="316"/>
      <c r="GO310" s="316"/>
      <c r="GP310" s="316"/>
      <c r="GQ310" s="316"/>
      <c r="GR310" s="316"/>
      <c r="GS310" s="316"/>
      <c r="GT310" s="316"/>
      <c r="GU310" s="316"/>
      <c r="GV310" s="316"/>
      <c r="GW310" s="316"/>
      <c r="GX310" s="316"/>
      <c r="GY310" s="316"/>
      <c r="GZ310" s="316"/>
      <c r="HA310" s="316"/>
      <c r="HB310" s="316"/>
      <c r="HC310" s="316"/>
      <c r="HD310" s="316"/>
      <c r="HE310" s="316"/>
      <c r="HF310" s="316"/>
      <c r="HG310" s="316"/>
      <c r="HH310" s="316"/>
      <c r="HI310" s="316"/>
      <c r="HJ310" s="316"/>
      <c r="HK310" s="316"/>
      <c r="HL310" s="316"/>
      <c r="HM310" s="316"/>
      <c r="KH310" s="303"/>
    </row>
    <row r="311" spans="1:294" outlineLevel="1">
      <c r="A311" s="117" t="s">
        <v>395</v>
      </c>
      <c r="B311" s="117" t="s">
        <v>361</v>
      </c>
      <c r="D311" s="320" t="s">
        <v>490</v>
      </c>
      <c r="E311" s="316"/>
      <c r="F311" s="316"/>
      <c r="G311" s="316"/>
      <c r="H311" s="316"/>
      <c r="I311" s="316"/>
      <c r="J311" s="316"/>
      <c r="K311" s="316"/>
      <c r="L311" s="316"/>
      <c r="M311" s="316"/>
      <c r="N311" s="316"/>
      <c r="O311" s="316"/>
      <c r="P311" s="316"/>
      <c r="Q311" s="316"/>
      <c r="R311" s="316"/>
      <c r="S311" s="316"/>
      <c r="T311" s="316"/>
      <c r="U311" s="316"/>
      <c r="V311" s="316"/>
      <c r="W311" s="316"/>
      <c r="X311" s="316"/>
      <c r="Y311" s="316"/>
      <c r="Z311" s="316"/>
      <c r="AA311" s="316"/>
      <c r="AB311" s="316"/>
      <c r="AC311" s="316"/>
      <c r="AD311" s="316"/>
      <c r="AE311" s="316"/>
      <c r="AF311" s="316"/>
      <c r="AG311" s="316"/>
      <c r="AH311" s="316"/>
      <c r="AI311" s="316"/>
      <c r="AJ311" s="316"/>
      <c r="AK311" s="316"/>
      <c r="AL311" s="316"/>
      <c r="AM311" s="316"/>
      <c r="AN311" s="316">
        <v>225.67301000000003</v>
      </c>
      <c r="AO311" s="316">
        <v>220.54550719499997</v>
      </c>
      <c r="AP311" s="316">
        <v>209.30545707499999</v>
      </c>
      <c r="AQ311" s="316">
        <v>212.41826959399998</v>
      </c>
      <c r="AR311" s="316">
        <v>215.05641248999996</v>
      </c>
      <c r="AS311" s="316">
        <v>222.73418784500001</v>
      </c>
      <c r="AT311" s="316">
        <v>223.59432199299999</v>
      </c>
      <c r="AU311" s="316">
        <v>211.93460993100001</v>
      </c>
      <c r="AV311" s="316">
        <v>199.860311094</v>
      </c>
      <c r="AW311" s="316">
        <v>233.348632299</v>
      </c>
      <c r="AX311" s="316">
        <v>216.55941350500001</v>
      </c>
      <c r="AY311" s="316">
        <v>217.37741207799999</v>
      </c>
      <c r="AZ311" s="316">
        <v>275.22690607600003</v>
      </c>
      <c r="BA311" s="316">
        <v>253.23008097099995</v>
      </c>
      <c r="BB311" s="316">
        <v>271.58224502600001</v>
      </c>
      <c r="BC311" s="316">
        <v>255.55130501600001</v>
      </c>
      <c r="BD311" s="316">
        <v>272.93819400000007</v>
      </c>
      <c r="BE311" s="316">
        <v>234.89558061499997</v>
      </c>
      <c r="BF311" s="316">
        <v>223.49186782387096</v>
      </c>
      <c r="BG311" s="316">
        <v>203.79721246699998</v>
      </c>
      <c r="BH311" s="316">
        <v>221.85857056400002</v>
      </c>
      <c r="BI311" s="316">
        <v>243.82574610600003</v>
      </c>
      <c r="BJ311" s="316">
        <v>308.049923874</v>
      </c>
      <c r="BK311" s="316">
        <v>288.25733387400004</v>
      </c>
      <c r="BL311" s="316">
        <v>337.07441809299996</v>
      </c>
      <c r="BM311" s="316">
        <v>321.58553899999998</v>
      </c>
      <c r="BN311" s="316">
        <v>263.91120063599999</v>
      </c>
      <c r="BO311" s="316">
        <v>233.82539216700002</v>
      </c>
      <c r="BP311" s="316">
        <v>225.18301165100002</v>
      </c>
      <c r="BQ311" s="316">
        <v>202.97736814199999</v>
      </c>
      <c r="BR311" s="316">
        <v>194.924204968</v>
      </c>
      <c r="BS311" s="316">
        <v>213.110626868</v>
      </c>
      <c r="BT311" s="316">
        <v>208.72521130500002</v>
      </c>
      <c r="BU311" s="316">
        <v>218.22183776599999</v>
      </c>
      <c r="BV311" s="316">
        <v>223.59448963599999</v>
      </c>
      <c r="BW311" s="316">
        <v>216.42198849600001</v>
      </c>
      <c r="BX311" s="316">
        <v>243.41188999999997</v>
      </c>
      <c r="BY311" s="316">
        <v>218.65687196800002</v>
      </c>
      <c r="BZ311" s="316">
        <v>183.63000156199999</v>
      </c>
      <c r="CA311" s="316">
        <v>204.30031551399998</v>
      </c>
      <c r="CB311" s="316">
        <v>199.481082044</v>
      </c>
      <c r="CC311" s="316">
        <v>336.77280751800004</v>
      </c>
      <c r="CD311" s="316">
        <v>314.29227144399999</v>
      </c>
      <c r="CE311" s="317">
        <v>353.70955477300004</v>
      </c>
      <c r="CF311" s="316">
        <v>340.35975662099997</v>
      </c>
      <c r="CG311" s="316">
        <v>357.81023151400001</v>
      </c>
      <c r="CH311" s="316">
        <v>373.44555616000002</v>
      </c>
      <c r="CI311" s="316">
        <v>365.06446875300003</v>
      </c>
      <c r="CJ311" s="316">
        <v>381.03358536799999</v>
      </c>
      <c r="CK311" s="316">
        <v>346.92819052205732</v>
      </c>
      <c r="CL311" s="316">
        <v>318.41532183680522</v>
      </c>
      <c r="CM311" s="316">
        <v>300.60088208842723</v>
      </c>
      <c r="CN311" s="316">
        <v>278.25470396558791</v>
      </c>
      <c r="CO311" s="316">
        <v>287.91869368914098</v>
      </c>
      <c r="CP311" s="318">
        <v>218.06509613077117</v>
      </c>
      <c r="CQ311" s="316">
        <v>184.20157293891003</v>
      </c>
      <c r="CR311" s="316">
        <v>189.08156541759101</v>
      </c>
      <c r="CS311" s="316">
        <v>163.80121475487394</v>
      </c>
      <c r="CT311" s="316">
        <v>158.06199359492385</v>
      </c>
      <c r="CU311" s="316">
        <v>158.26648018141933</v>
      </c>
      <c r="CV311" s="316">
        <v>243.81797359917982</v>
      </c>
      <c r="CW311" s="316">
        <v>213.8593363267731</v>
      </c>
      <c r="CX311" s="316">
        <v>237.80805657365039</v>
      </c>
      <c r="CY311" s="316">
        <v>234.84415910019706</v>
      </c>
      <c r="CZ311" s="316">
        <v>211.37534380752922</v>
      </c>
      <c r="DA311" s="316">
        <v>201.77588934722934</v>
      </c>
      <c r="DB311" s="1498">
        <v>162.03341000974532</v>
      </c>
      <c r="DC311" s="316">
        <v>175.91681447744722</v>
      </c>
      <c r="DD311" s="316">
        <v>192.14721705030021</v>
      </c>
      <c r="DE311" s="316">
        <v>224.36990320098795</v>
      </c>
      <c r="DF311" s="316">
        <v>179.32745964702943</v>
      </c>
      <c r="DG311" s="316">
        <v>193.40921365043198</v>
      </c>
      <c r="DH311" s="316">
        <v>264.55817731576411</v>
      </c>
      <c r="DI311" s="316">
        <v>214.68473129725248</v>
      </c>
      <c r="DJ311" s="316">
        <v>229.40626511283739</v>
      </c>
      <c r="DK311" s="316">
        <v>242.52954573368038</v>
      </c>
      <c r="DL311" s="316">
        <v>245.10112697417003</v>
      </c>
      <c r="DM311" s="316">
        <v>227.88072957442068</v>
      </c>
      <c r="DN311" s="318">
        <v>193.90507317371234</v>
      </c>
      <c r="DO311" s="316">
        <v>217.23014504865421</v>
      </c>
      <c r="DP311" s="316">
        <v>235.0512904520705</v>
      </c>
      <c r="DQ311" s="316">
        <v>252.22164969929088</v>
      </c>
      <c r="DR311" s="316">
        <v>244.56473583743525</v>
      </c>
      <c r="DS311" s="316">
        <v>248.04582431291331</v>
      </c>
      <c r="DT311" s="316">
        <v>274.3120123239537</v>
      </c>
      <c r="DU311" s="316">
        <v>283.39937659631545</v>
      </c>
      <c r="DV311" s="316">
        <v>235.68314268084976</v>
      </c>
      <c r="DW311" s="316">
        <v>265.42215544346436</v>
      </c>
      <c r="DX311" s="316">
        <v>257.43447605720786</v>
      </c>
      <c r="DY311" s="316">
        <v>216.84990617314844</v>
      </c>
      <c r="DZ311" s="318">
        <v>202.73812744961288</v>
      </c>
      <c r="EA311" s="316">
        <v>202.88881694688575</v>
      </c>
      <c r="EB311" s="316">
        <v>210.49225423685857</v>
      </c>
      <c r="EC311" s="316">
        <v>240.67251069569258</v>
      </c>
      <c r="ED311" s="316">
        <v>235.78270643081424</v>
      </c>
      <c r="EE311" s="316">
        <v>242.36316446224151</v>
      </c>
      <c r="EF311" s="316">
        <v>321.00966861799185</v>
      </c>
      <c r="EG311" s="316">
        <v>316.54632384187522</v>
      </c>
      <c r="EH311" s="316">
        <v>298.67332251757477</v>
      </c>
      <c r="EI311" s="316">
        <v>296.1094818181445</v>
      </c>
      <c r="EJ311" s="316">
        <v>271.91316735867696</v>
      </c>
      <c r="EK311" s="316">
        <v>249.47870640208154</v>
      </c>
      <c r="EL311" s="318">
        <v>251.01553511206652</v>
      </c>
      <c r="EM311" s="1206">
        <v>263.50399665079971</v>
      </c>
      <c r="EN311" s="1206">
        <v>294.24413664526497</v>
      </c>
      <c r="EO311" s="1206">
        <v>306.26784107873755</v>
      </c>
      <c r="EP311" s="1206">
        <v>268.4988545123731</v>
      </c>
      <c r="EQ311" s="1206">
        <v>259.76640204180802</v>
      </c>
      <c r="ER311" s="1206">
        <v>394.74337318659337</v>
      </c>
      <c r="ES311" s="1206">
        <v>358.6421933265737</v>
      </c>
      <c r="ET311" s="1206">
        <v>331.72940300318402</v>
      </c>
      <c r="EU311" s="1206">
        <v>309.0152689863408</v>
      </c>
      <c r="EV311" s="1206">
        <v>301.25690129738507</v>
      </c>
      <c r="EW311" s="1206">
        <v>273.62583191256954</v>
      </c>
      <c r="EX311" s="1550">
        <v>304.57906495726138</v>
      </c>
      <c r="EY311" s="1206"/>
      <c r="EZ311" s="1206"/>
      <c r="FA311" s="1206"/>
      <c r="FB311" s="1206"/>
      <c r="FC311" s="1206"/>
      <c r="FD311" s="1206"/>
      <c r="FE311" s="1206"/>
      <c r="FF311" s="1206"/>
      <c r="FG311" s="1206"/>
      <c r="FH311" s="1206"/>
      <c r="FI311" s="1206"/>
      <c r="FJ311" s="1550"/>
      <c r="FK311" s="1206"/>
      <c r="FL311" s="1206"/>
      <c r="FM311" s="1206"/>
      <c r="FN311" s="1206"/>
      <c r="FO311" s="1206"/>
      <c r="FP311" s="1206"/>
      <c r="FQ311" s="316"/>
      <c r="FR311" s="316"/>
      <c r="FS311" s="316"/>
      <c r="FT311" s="316"/>
      <c r="FU311" s="316"/>
      <c r="FV311" s="316"/>
      <c r="FW311" s="316"/>
      <c r="FX311" s="316"/>
      <c r="FY311" s="316"/>
      <c r="FZ311" s="316"/>
      <c r="GA311" s="316"/>
      <c r="GB311" s="316"/>
      <c r="GC311" s="316"/>
      <c r="GD311" s="316"/>
      <c r="GE311" s="316"/>
      <c r="GF311" s="316"/>
      <c r="GG311" s="316"/>
      <c r="GH311" s="316"/>
      <c r="GI311" s="316"/>
      <c r="GJ311" s="316"/>
      <c r="GK311" s="316"/>
      <c r="GL311" s="316"/>
      <c r="GM311" s="316"/>
      <c r="GN311" s="316"/>
      <c r="GO311" s="316"/>
      <c r="GP311" s="316"/>
      <c r="GQ311" s="316"/>
      <c r="GR311" s="316"/>
      <c r="GS311" s="316"/>
      <c r="GT311" s="316"/>
      <c r="GU311" s="316"/>
      <c r="GV311" s="316"/>
      <c r="GW311" s="316"/>
      <c r="GX311" s="316"/>
      <c r="GY311" s="316"/>
      <c r="GZ311" s="316"/>
      <c r="HA311" s="316"/>
      <c r="HB311" s="316"/>
      <c r="HC311" s="316"/>
      <c r="HD311" s="316"/>
      <c r="HE311" s="316"/>
      <c r="HF311" s="316"/>
      <c r="HG311" s="316"/>
      <c r="HH311" s="316"/>
      <c r="HI311" s="316"/>
      <c r="HJ311" s="316"/>
      <c r="HK311" s="316"/>
      <c r="HL311" s="316"/>
      <c r="HM311" s="316"/>
      <c r="KH311" s="303"/>
    </row>
    <row r="312" spans="1:294" outlineLevel="1">
      <c r="CE312" s="840"/>
      <c r="CP312" s="303"/>
      <c r="DC312" s="890" t="s">
        <v>1103</v>
      </c>
      <c r="EA312" s="302"/>
      <c r="EB312" s="302"/>
      <c r="EC312" s="302"/>
      <c r="ED312" s="302"/>
      <c r="EE312" s="302"/>
      <c r="EF312" s="302"/>
      <c r="EG312" s="302"/>
      <c r="EH312" s="302"/>
      <c r="EI312" s="302"/>
      <c r="EJ312" s="302"/>
      <c r="EK312" s="302"/>
      <c r="EL312" s="303"/>
      <c r="EM312" s="302"/>
      <c r="EN312" s="302"/>
      <c r="EO312" s="302"/>
      <c r="EP312" s="302"/>
      <c r="EQ312" s="302"/>
      <c r="ER312" s="302"/>
      <c r="ES312" s="302"/>
      <c r="ET312" s="302"/>
      <c r="EU312" s="302"/>
      <c r="EV312" s="302"/>
      <c r="EW312" s="302"/>
      <c r="EX312" s="303"/>
      <c r="EY312" s="302"/>
      <c r="EZ312" s="302"/>
      <c r="FA312" s="302"/>
      <c r="FB312" s="302"/>
      <c r="FC312" s="302"/>
      <c r="FD312" s="302"/>
      <c r="FE312" s="302"/>
      <c r="FF312" s="302"/>
      <c r="FG312" s="302"/>
      <c r="FH312" s="302"/>
      <c r="FI312" s="302"/>
      <c r="FJ312" s="303"/>
      <c r="FK312" s="302"/>
      <c r="FL312" s="302"/>
      <c r="FM312" s="302"/>
      <c r="FN312" s="302"/>
      <c r="FO312" s="302"/>
      <c r="FP312" s="302"/>
      <c r="FQ312" s="302"/>
      <c r="FR312" s="302"/>
      <c r="FS312" s="302"/>
      <c r="FT312" s="302"/>
      <c r="FU312" s="302"/>
      <c r="FV312" s="302"/>
      <c r="FW312" s="302"/>
      <c r="FX312" s="302"/>
      <c r="FY312" s="302"/>
      <c r="FZ312" s="302"/>
      <c r="GA312" s="302"/>
      <c r="GB312" s="302"/>
      <c r="GC312" s="302"/>
      <c r="GD312" s="302"/>
      <c r="GE312" s="302"/>
      <c r="GF312" s="302"/>
      <c r="GG312" s="302"/>
      <c r="GH312" s="302"/>
      <c r="GI312" s="302"/>
      <c r="GJ312" s="302"/>
      <c r="GK312" s="302"/>
      <c r="GL312" s="302"/>
      <c r="GM312" s="302"/>
      <c r="GN312" s="302"/>
      <c r="GO312" s="302"/>
      <c r="GP312" s="302"/>
      <c r="GQ312" s="302"/>
      <c r="GR312" s="302"/>
      <c r="GS312" s="302"/>
      <c r="GT312" s="302"/>
      <c r="GU312" s="302"/>
      <c r="GV312" s="302"/>
      <c r="GW312" s="302"/>
      <c r="GX312" s="302"/>
      <c r="GY312" s="302"/>
      <c r="GZ312" s="302"/>
      <c r="HA312" s="302"/>
      <c r="HB312" s="302"/>
      <c r="HC312" s="302"/>
      <c r="HD312" s="302"/>
      <c r="HE312" s="302"/>
      <c r="HF312" s="302"/>
      <c r="HG312" s="302"/>
      <c r="HH312" s="302"/>
      <c r="HI312" s="302"/>
      <c r="HJ312" s="302"/>
      <c r="HK312" s="302"/>
      <c r="HL312" s="302"/>
      <c r="HM312" s="302"/>
      <c r="KH312" s="303"/>
    </row>
    <row r="313" spans="1:294" outlineLevel="1">
      <c r="CE313" s="840"/>
      <c r="CP313" s="303"/>
      <c r="EA313" s="302"/>
      <c r="EB313" s="302"/>
      <c r="EC313" s="302"/>
      <c r="ED313" s="302"/>
      <c r="EE313" s="302"/>
      <c r="EF313" s="302"/>
      <c r="EG313" s="302"/>
      <c r="EH313" s="302"/>
      <c r="EI313" s="302"/>
      <c r="EJ313" s="302"/>
      <c r="EK313" s="302"/>
      <c r="EL313" s="303"/>
      <c r="EM313" s="302"/>
      <c r="EN313" s="302"/>
      <c r="EO313" s="302"/>
      <c r="EP313" s="302"/>
      <c r="EQ313" s="302"/>
      <c r="ER313" s="302"/>
      <c r="ES313" s="302"/>
      <c r="ET313" s="302"/>
      <c r="EU313" s="302"/>
      <c r="EV313" s="302"/>
      <c r="EW313" s="302"/>
      <c r="EX313" s="303"/>
      <c r="EY313" s="302"/>
      <c r="EZ313" s="302"/>
      <c r="FA313" s="302"/>
      <c r="FB313" s="302"/>
      <c r="FC313" s="302"/>
      <c r="FD313" s="302"/>
      <c r="FE313" s="302"/>
      <c r="FF313" s="302"/>
      <c r="FG313" s="302"/>
      <c r="FH313" s="302"/>
      <c r="FI313" s="302"/>
      <c r="FJ313" s="303"/>
      <c r="FK313" s="302"/>
      <c r="FL313" s="302"/>
      <c r="FM313" s="302"/>
      <c r="FN313" s="302"/>
      <c r="FO313" s="302"/>
      <c r="FP313" s="302"/>
      <c r="FQ313" s="302"/>
      <c r="FR313" s="302"/>
      <c r="FS313" s="302"/>
      <c r="FT313" s="302"/>
      <c r="FU313" s="302"/>
      <c r="FV313" s="302"/>
      <c r="FW313" s="302"/>
      <c r="FX313" s="302"/>
      <c r="FY313" s="302"/>
      <c r="FZ313" s="302"/>
      <c r="GA313" s="302"/>
      <c r="GB313" s="302"/>
      <c r="GC313" s="302"/>
      <c r="GD313" s="302"/>
      <c r="GE313" s="302"/>
      <c r="GF313" s="302"/>
      <c r="GG313" s="302"/>
      <c r="GH313" s="302"/>
      <c r="GI313" s="302"/>
      <c r="GJ313" s="302"/>
      <c r="GK313" s="302"/>
      <c r="GL313" s="302"/>
      <c r="GM313" s="302"/>
      <c r="GN313" s="302"/>
      <c r="GO313" s="302"/>
      <c r="GP313" s="302"/>
      <c r="GQ313" s="302"/>
      <c r="GR313" s="302"/>
      <c r="GS313" s="302"/>
      <c r="GT313" s="302"/>
      <c r="GU313" s="302"/>
      <c r="GV313" s="302"/>
      <c r="GW313" s="302"/>
      <c r="GX313" s="302"/>
      <c r="GY313" s="302"/>
      <c r="GZ313" s="302"/>
      <c r="HA313" s="302"/>
      <c r="HB313" s="302"/>
      <c r="HC313" s="302"/>
      <c r="HD313" s="302"/>
      <c r="HE313" s="302"/>
      <c r="HF313" s="302"/>
      <c r="HG313" s="302"/>
      <c r="HH313" s="302"/>
      <c r="HI313" s="302"/>
      <c r="HJ313" s="302"/>
      <c r="HK313" s="302"/>
      <c r="HL313" s="302"/>
      <c r="HM313" s="302"/>
      <c r="KH313" s="303"/>
    </row>
    <row r="314" spans="1:294" outlineLevel="1">
      <c r="CE314" s="840"/>
      <c r="CP314" s="303"/>
      <c r="EA314" s="302"/>
      <c r="EB314" s="302"/>
      <c r="EC314" s="302"/>
      <c r="ED314" s="302"/>
      <c r="EE314" s="302"/>
      <c r="EF314" s="302"/>
      <c r="EG314" s="302"/>
      <c r="EH314" s="302"/>
      <c r="EI314" s="302"/>
      <c r="EJ314" s="302"/>
      <c r="EK314" s="302"/>
      <c r="EL314" s="303"/>
      <c r="EM314" s="302"/>
      <c r="EN314" s="302"/>
      <c r="EO314" s="302"/>
      <c r="EP314" s="302"/>
      <c r="EQ314" s="302"/>
      <c r="ER314" s="302"/>
      <c r="ES314" s="302"/>
      <c r="ET314" s="302"/>
      <c r="EU314" s="302"/>
      <c r="EV314" s="302"/>
      <c r="EW314" s="302"/>
      <c r="EX314" s="303"/>
      <c r="EY314" s="302"/>
      <c r="EZ314" s="302"/>
      <c r="FA314" s="302"/>
      <c r="FB314" s="302"/>
      <c r="FC314" s="302"/>
      <c r="FD314" s="302"/>
      <c r="FE314" s="302"/>
      <c r="FF314" s="302"/>
      <c r="FG314" s="302"/>
      <c r="FH314" s="302"/>
      <c r="FI314" s="302"/>
      <c r="FJ314" s="303"/>
      <c r="FK314" s="302"/>
      <c r="FL314" s="302"/>
      <c r="FM314" s="302"/>
      <c r="FN314" s="302"/>
      <c r="FO314" s="302"/>
      <c r="FP314" s="302"/>
      <c r="FQ314" s="302"/>
      <c r="FR314" s="302"/>
      <c r="FS314" s="302"/>
      <c r="FT314" s="302"/>
      <c r="FU314" s="302"/>
      <c r="FV314" s="302"/>
      <c r="FW314" s="302"/>
      <c r="FX314" s="302"/>
      <c r="FY314" s="302"/>
      <c r="FZ314" s="302"/>
      <c r="GA314" s="302"/>
      <c r="GB314" s="302"/>
      <c r="GC314" s="302"/>
      <c r="GD314" s="302"/>
      <c r="GE314" s="302"/>
      <c r="GF314" s="302"/>
      <c r="GG314" s="302"/>
      <c r="GH314" s="302"/>
      <c r="GI314" s="302"/>
      <c r="GJ314" s="302"/>
      <c r="GK314" s="302"/>
      <c r="GL314" s="302"/>
      <c r="GM314" s="1922"/>
      <c r="GN314" s="302"/>
      <c r="GO314" s="302"/>
      <c r="GP314" s="302"/>
      <c r="GQ314" s="302"/>
      <c r="GR314" s="302"/>
      <c r="GS314" s="302"/>
      <c r="GT314" s="302"/>
      <c r="GU314" s="302"/>
      <c r="GV314" s="302"/>
      <c r="GW314" s="302"/>
      <c r="GX314" s="302"/>
      <c r="GY314" s="302"/>
      <c r="GZ314" s="302"/>
      <c r="HA314" s="302"/>
      <c r="HB314" s="302"/>
      <c r="HC314" s="302"/>
      <c r="HD314" s="302"/>
      <c r="HE314" s="302"/>
      <c r="HF314" s="302"/>
      <c r="HG314" s="302"/>
      <c r="HH314" s="302"/>
      <c r="HI314" s="302"/>
      <c r="HJ314" s="302"/>
      <c r="HK314" s="302"/>
      <c r="HL314" s="302"/>
      <c r="HM314" s="302"/>
      <c r="KH314" s="303"/>
    </row>
    <row r="315" spans="1:294" ht="17.5" outlineLevel="1">
      <c r="D315" s="1477" t="s">
        <v>491</v>
      </c>
      <c r="E315" s="1205">
        <v>39083</v>
      </c>
      <c r="F315" s="1205">
        <v>39114</v>
      </c>
      <c r="G315" s="1205">
        <v>39142</v>
      </c>
      <c r="H315" s="1205">
        <v>39173</v>
      </c>
      <c r="I315" s="1205">
        <v>39203</v>
      </c>
      <c r="J315" s="1205">
        <v>39234</v>
      </c>
      <c r="K315" s="1205">
        <v>39264</v>
      </c>
      <c r="L315" s="1205">
        <v>39295</v>
      </c>
      <c r="M315" s="1205">
        <v>39326</v>
      </c>
      <c r="N315" s="1205">
        <v>39356</v>
      </c>
      <c r="O315" s="1205">
        <v>39387</v>
      </c>
      <c r="P315" s="1205">
        <v>39417</v>
      </c>
      <c r="Q315" s="1205">
        <v>39448</v>
      </c>
      <c r="R315" s="1205">
        <v>39479</v>
      </c>
      <c r="S315" s="1205">
        <v>39508</v>
      </c>
      <c r="T315" s="1205">
        <v>39539</v>
      </c>
      <c r="U315" s="1205">
        <v>39569</v>
      </c>
      <c r="V315" s="1205">
        <v>39600</v>
      </c>
      <c r="W315" s="1205">
        <v>39630</v>
      </c>
      <c r="X315" s="1205">
        <v>39661</v>
      </c>
      <c r="Y315" s="1205">
        <v>39692</v>
      </c>
      <c r="Z315" s="1205">
        <v>39722</v>
      </c>
      <c r="AA315" s="1205">
        <v>39753</v>
      </c>
      <c r="AB315" s="1205">
        <v>39783</v>
      </c>
      <c r="AC315" s="1205">
        <v>39814</v>
      </c>
      <c r="AD315" s="1205">
        <v>39845</v>
      </c>
      <c r="AE315" s="1205">
        <v>39873</v>
      </c>
      <c r="AF315" s="1205">
        <v>39904</v>
      </c>
      <c r="AG315" s="1205">
        <v>39934</v>
      </c>
      <c r="AH315" s="1205">
        <v>39965</v>
      </c>
      <c r="AI315" s="1205">
        <v>39995</v>
      </c>
      <c r="AJ315" s="1205">
        <v>40026</v>
      </c>
      <c r="AK315" s="1205">
        <v>40057</v>
      </c>
      <c r="AL315" s="1205">
        <v>40087</v>
      </c>
      <c r="AM315" s="1205">
        <v>40118</v>
      </c>
      <c r="AN315" s="1205">
        <v>40148</v>
      </c>
      <c r="AO315" s="1205">
        <v>40179</v>
      </c>
      <c r="AP315" s="1205">
        <v>40210</v>
      </c>
      <c r="AQ315" s="1205">
        <v>40238</v>
      </c>
      <c r="AR315" s="1205">
        <v>40269</v>
      </c>
      <c r="AS315" s="1205">
        <v>40299</v>
      </c>
      <c r="AT315" s="1205">
        <v>40330</v>
      </c>
      <c r="AU315" s="1205">
        <v>40360</v>
      </c>
      <c r="AV315" s="1205">
        <v>40391</v>
      </c>
      <c r="AW315" s="1205">
        <v>40422</v>
      </c>
      <c r="AX315" s="1205">
        <v>40452</v>
      </c>
      <c r="AY315" s="1205">
        <v>40483</v>
      </c>
      <c r="AZ315" s="1205">
        <v>40513</v>
      </c>
      <c r="BA315" s="1205">
        <v>40544</v>
      </c>
      <c r="BB315" s="1205">
        <v>40575</v>
      </c>
      <c r="BC315" s="1205">
        <v>40603</v>
      </c>
      <c r="BD315" s="1205">
        <v>40634</v>
      </c>
      <c r="BE315" s="1205">
        <v>40664</v>
      </c>
      <c r="BF315" s="1205">
        <v>40695</v>
      </c>
      <c r="BG315" s="1205">
        <v>40725</v>
      </c>
      <c r="BH315" s="1205">
        <v>40756</v>
      </c>
      <c r="BI315" s="1205">
        <v>40787</v>
      </c>
      <c r="BJ315" s="1205">
        <v>40817</v>
      </c>
      <c r="BK315" s="1205">
        <v>40848</v>
      </c>
      <c r="BL315" s="1205">
        <v>40878</v>
      </c>
      <c r="BM315" s="1205">
        <v>40909</v>
      </c>
      <c r="BN315" s="1205">
        <v>40940</v>
      </c>
      <c r="BO315" s="1205">
        <v>40969</v>
      </c>
      <c r="BP315" s="1205">
        <v>41000</v>
      </c>
      <c r="BQ315" s="1205">
        <v>41030</v>
      </c>
      <c r="BR315" s="1205">
        <v>41061</v>
      </c>
      <c r="BS315" s="1205">
        <v>41091</v>
      </c>
      <c r="BT315" s="1205">
        <v>41122</v>
      </c>
      <c r="BU315" s="1205">
        <v>41153</v>
      </c>
      <c r="BV315" s="1205">
        <v>41183</v>
      </c>
      <c r="BW315" s="1205">
        <v>41214</v>
      </c>
      <c r="BX315" s="1205">
        <v>41244</v>
      </c>
      <c r="BY315" s="1205">
        <v>41275</v>
      </c>
      <c r="BZ315" s="1205">
        <v>41306</v>
      </c>
      <c r="CA315" s="1205">
        <v>41334</v>
      </c>
      <c r="CB315" s="1205">
        <v>41365</v>
      </c>
      <c r="CC315" s="1205">
        <v>41395</v>
      </c>
      <c r="CD315" s="1205">
        <v>41426</v>
      </c>
      <c r="CE315" s="1205">
        <v>41456</v>
      </c>
      <c r="CF315" s="1205">
        <v>41487</v>
      </c>
      <c r="CG315" s="1205">
        <v>41518</v>
      </c>
      <c r="CH315" s="1205">
        <v>41548</v>
      </c>
      <c r="CI315" s="1205">
        <v>41579</v>
      </c>
      <c r="CJ315" s="1205">
        <v>41609</v>
      </c>
      <c r="CK315" s="1205">
        <v>41640</v>
      </c>
      <c r="CL315" s="1205">
        <v>41671</v>
      </c>
      <c r="CM315" s="1205">
        <v>41699</v>
      </c>
      <c r="CN315" s="1205">
        <v>41730</v>
      </c>
      <c r="CO315" s="1205">
        <v>41760</v>
      </c>
      <c r="CP315" s="1205">
        <v>41791</v>
      </c>
      <c r="CQ315" s="1205">
        <v>41821</v>
      </c>
      <c r="CR315" s="1205">
        <v>41852</v>
      </c>
      <c r="CS315" s="1205">
        <v>41883</v>
      </c>
      <c r="CT315" s="1205">
        <v>41913</v>
      </c>
      <c r="CU315" s="1205">
        <v>41944</v>
      </c>
      <c r="CV315" s="1205">
        <v>41974</v>
      </c>
      <c r="CW315" s="1205">
        <v>42005</v>
      </c>
      <c r="CX315" s="1205">
        <v>42036</v>
      </c>
      <c r="CY315" s="1205">
        <v>42064</v>
      </c>
      <c r="CZ315" s="1205">
        <v>42095</v>
      </c>
      <c r="DA315" s="1205">
        <v>42125</v>
      </c>
      <c r="DB315" s="1205">
        <v>42156</v>
      </c>
      <c r="DC315" s="1205">
        <v>42186</v>
      </c>
      <c r="DD315" s="1205">
        <v>42217</v>
      </c>
      <c r="DE315" s="1205">
        <v>42248</v>
      </c>
      <c r="DF315" s="1205">
        <v>42278</v>
      </c>
      <c r="DG315" s="1205">
        <v>42309</v>
      </c>
      <c r="DH315" s="1205">
        <v>42339</v>
      </c>
      <c r="DI315" s="1205">
        <v>42370</v>
      </c>
      <c r="DJ315" s="1205">
        <v>42401</v>
      </c>
      <c r="DK315" s="1205">
        <v>42430</v>
      </c>
      <c r="DL315" s="1205">
        <v>42461</v>
      </c>
      <c r="DM315" s="1205">
        <v>42491</v>
      </c>
      <c r="DN315" s="1205">
        <v>42522</v>
      </c>
      <c r="DO315" s="1205">
        <v>42552</v>
      </c>
      <c r="DP315" s="1205">
        <v>42583</v>
      </c>
      <c r="DQ315" s="1205">
        <v>42615</v>
      </c>
      <c r="DR315" s="1205">
        <v>42646</v>
      </c>
      <c r="DS315" s="1205">
        <v>42678</v>
      </c>
      <c r="DT315" s="1205">
        <v>42709</v>
      </c>
      <c r="DU315" s="1205">
        <v>42736</v>
      </c>
      <c r="DV315" s="1205">
        <v>42767</v>
      </c>
      <c r="DW315" s="1205">
        <v>42795</v>
      </c>
      <c r="DX315" s="1205">
        <v>42826</v>
      </c>
      <c r="DY315" s="1205">
        <v>42856</v>
      </c>
      <c r="DZ315" s="1205">
        <v>42887</v>
      </c>
      <c r="EA315" s="1205">
        <v>42917</v>
      </c>
      <c r="EB315" s="1205">
        <v>42948</v>
      </c>
      <c r="EC315" s="1205">
        <v>42979</v>
      </c>
      <c r="ED315" s="1205">
        <v>43009</v>
      </c>
      <c r="EE315" s="1205">
        <v>43040</v>
      </c>
      <c r="EF315" s="1205">
        <v>43070</v>
      </c>
      <c r="EG315" s="1205">
        <v>43101</v>
      </c>
      <c r="EH315" s="1205">
        <v>43132</v>
      </c>
      <c r="EI315" s="1205">
        <v>43160</v>
      </c>
      <c r="EJ315" s="1205">
        <v>43191</v>
      </c>
      <c r="EK315" s="1205">
        <v>43221</v>
      </c>
      <c r="EL315" s="1205">
        <v>43252</v>
      </c>
      <c r="EM315" s="1205">
        <v>43282</v>
      </c>
      <c r="EN315" s="1205">
        <v>43313</v>
      </c>
      <c r="EO315" s="1205">
        <v>43344</v>
      </c>
      <c r="EP315" s="1205">
        <v>43374</v>
      </c>
      <c r="EQ315" s="1205">
        <v>43405</v>
      </c>
      <c r="ER315" s="1205">
        <v>43435</v>
      </c>
      <c r="ES315" s="1205">
        <v>43466</v>
      </c>
      <c r="ET315" s="1205">
        <v>43497</v>
      </c>
      <c r="EU315" s="1205">
        <v>43525</v>
      </c>
      <c r="EV315" s="1205">
        <v>43556</v>
      </c>
      <c r="EW315" s="1205">
        <v>43586</v>
      </c>
      <c r="EX315" s="1205">
        <v>43617</v>
      </c>
      <c r="EY315" s="1205">
        <v>43647</v>
      </c>
      <c r="EZ315" s="1205">
        <v>43678</v>
      </c>
      <c r="FA315" s="1205">
        <v>43709</v>
      </c>
      <c r="FB315" s="1205">
        <v>43739</v>
      </c>
      <c r="FC315" s="1205">
        <v>43770</v>
      </c>
      <c r="FD315" s="1205">
        <v>43800</v>
      </c>
      <c r="FE315" s="1205">
        <v>43831</v>
      </c>
      <c r="FF315" s="1205">
        <v>43862</v>
      </c>
      <c r="FG315" s="1205">
        <v>43891</v>
      </c>
      <c r="FH315" s="1205">
        <v>43922</v>
      </c>
      <c r="FI315" s="1205">
        <v>43952</v>
      </c>
      <c r="FJ315" s="1205">
        <v>43983</v>
      </c>
      <c r="FK315" s="1205">
        <v>44013</v>
      </c>
      <c r="FL315" s="1205">
        <v>44044</v>
      </c>
      <c r="FM315" s="1205">
        <v>44075</v>
      </c>
      <c r="FN315" s="1205">
        <v>44105</v>
      </c>
      <c r="FO315" s="1205">
        <v>44136</v>
      </c>
      <c r="FP315" s="1205">
        <v>44166</v>
      </c>
      <c r="FQ315" s="1205">
        <v>44197</v>
      </c>
      <c r="FR315" s="1205">
        <v>44228</v>
      </c>
      <c r="FS315" s="1205">
        <v>44256</v>
      </c>
      <c r="FT315" s="1205">
        <v>44287</v>
      </c>
      <c r="FU315" s="1205">
        <v>44317</v>
      </c>
      <c r="FV315" s="1205">
        <v>44348</v>
      </c>
      <c r="FW315" s="1205">
        <v>44378</v>
      </c>
      <c r="FX315" s="1205">
        <v>44409</v>
      </c>
      <c r="FY315" s="1205">
        <v>44440</v>
      </c>
      <c r="FZ315" s="1205">
        <v>44470</v>
      </c>
      <c r="GA315" s="1205">
        <v>44501</v>
      </c>
      <c r="GB315" s="1205">
        <v>44531</v>
      </c>
      <c r="GC315" s="1205">
        <v>44562</v>
      </c>
      <c r="GD315" s="1205">
        <v>44593</v>
      </c>
      <c r="GE315" s="1205">
        <v>44621</v>
      </c>
      <c r="GF315" s="1205">
        <v>44652</v>
      </c>
      <c r="GG315" s="1205">
        <v>44682</v>
      </c>
      <c r="GH315" s="1205">
        <v>44713</v>
      </c>
      <c r="GI315" s="1205">
        <v>44743</v>
      </c>
      <c r="GJ315" s="1205">
        <v>44774</v>
      </c>
      <c r="GK315" s="1205">
        <v>44805</v>
      </c>
      <c r="GL315" s="1205">
        <v>44835</v>
      </c>
      <c r="GM315" s="1205">
        <v>44866</v>
      </c>
      <c r="GN315" s="1205">
        <v>44896</v>
      </c>
      <c r="GO315" s="1205">
        <v>44927</v>
      </c>
      <c r="GP315" s="1205">
        <v>44958</v>
      </c>
      <c r="GQ315" s="1205">
        <v>44986</v>
      </c>
      <c r="GR315" s="1205">
        <v>45017</v>
      </c>
      <c r="GS315" s="1205">
        <v>45047</v>
      </c>
      <c r="GT315" s="1205">
        <v>45078</v>
      </c>
      <c r="GU315" s="1205">
        <v>45108</v>
      </c>
      <c r="GV315" s="1205">
        <v>45139</v>
      </c>
      <c r="GW315" s="1205">
        <v>45170</v>
      </c>
      <c r="GX315" s="1205">
        <v>45200</v>
      </c>
      <c r="GY315" s="1205">
        <v>45231</v>
      </c>
      <c r="GZ315" s="1205">
        <v>45261</v>
      </c>
      <c r="HA315" s="1205">
        <v>45292</v>
      </c>
      <c r="HB315" s="1205">
        <v>45323</v>
      </c>
      <c r="HC315" s="1205">
        <v>45352</v>
      </c>
      <c r="HD315" s="1205">
        <v>45383</v>
      </c>
      <c r="HE315" s="1205">
        <v>45413</v>
      </c>
      <c r="HF315" s="1205">
        <v>45444</v>
      </c>
      <c r="HG315" s="1205">
        <v>45474</v>
      </c>
      <c r="HH315" s="1205">
        <v>45505</v>
      </c>
      <c r="HI315" s="1205">
        <v>45536</v>
      </c>
      <c r="HJ315" s="1205">
        <v>45566</v>
      </c>
      <c r="HK315" s="1205">
        <v>45597</v>
      </c>
      <c r="HL315" s="1205">
        <v>45627</v>
      </c>
      <c r="HM315" s="1205"/>
      <c r="KH315" s="303"/>
    </row>
    <row r="316" spans="1:294" outlineLevel="1">
      <c r="A316" s="314" t="s">
        <v>492</v>
      </c>
      <c r="D316" s="342" t="s">
        <v>493</v>
      </c>
      <c r="E316" s="316"/>
      <c r="F316" s="316"/>
      <c r="G316" s="316"/>
      <c r="H316" s="316"/>
      <c r="I316" s="316"/>
      <c r="J316" s="316"/>
      <c r="K316" s="316"/>
      <c r="L316" s="316"/>
      <c r="M316" s="316"/>
      <c r="N316" s="316"/>
      <c r="O316" s="316"/>
      <c r="P316" s="316"/>
      <c r="Q316" s="316"/>
      <c r="R316" s="316"/>
      <c r="S316" s="316"/>
      <c r="T316" s="316"/>
      <c r="U316" s="316"/>
      <c r="V316" s="316"/>
      <c r="W316" s="316"/>
      <c r="X316" s="316"/>
      <c r="Y316" s="316"/>
      <c r="Z316" s="316"/>
      <c r="AA316" s="316"/>
      <c r="AB316" s="316"/>
      <c r="AC316" s="316"/>
      <c r="AD316" s="316"/>
      <c r="AE316" s="316"/>
      <c r="AF316" s="316"/>
      <c r="AG316" s="316"/>
      <c r="AH316" s="316"/>
      <c r="AI316" s="316"/>
      <c r="AJ316" s="316"/>
      <c r="AK316" s="316"/>
      <c r="AL316" s="316"/>
      <c r="AM316" s="316"/>
      <c r="AN316" s="316"/>
      <c r="AO316" s="316"/>
      <c r="AP316" s="316"/>
      <c r="AQ316" s="316"/>
      <c r="AR316" s="316"/>
      <c r="AS316" s="316"/>
      <c r="AT316" s="316"/>
      <c r="AU316" s="316"/>
      <c r="AV316" s="316"/>
      <c r="AW316" s="316"/>
      <c r="AX316" s="316"/>
      <c r="AY316" s="316"/>
      <c r="AZ316" s="316"/>
      <c r="BA316" s="316"/>
      <c r="BB316" s="316"/>
      <c r="BC316" s="316"/>
      <c r="BD316" s="316"/>
      <c r="BE316" s="316"/>
      <c r="BF316" s="316"/>
      <c r="BG316" s="316"/>
      <c r="BH316" s="316"/>
      <c r="BI316" s="316"/>
      <c r="BJ316" s="316"/>
      <c r="BK316" s="316"/>
      <c r="BL316" s="316"/>
      <c r="BM316" s="316"/>
      <c r="BN316" s="316"/>
      <c r="BO316" s="316"/>
      <c r="BP316" s="316"/>
      <c r="BQ316" s="316"/>
      <c r="BR316" s="316"/>
      <c r="BS316" s="316"/>
      <c r="BT316" s="316"/>
      <c r="BU316" s="316"/>
      <c r="BV316" s="316"/>
      <c r="BW316" s="316"/>
      <c r="BX316" s="316"/>
      <c r="BY316" s="316"/>
      <c r="BZ316" s="316"/>
      <c r="CA316" s="316"/>
      <c r="CB316" s="316"/>
      <c r="CC316" s="316"/>
      <c r="CD316" s="316"/>
      <c r="CE316" s="317"/>
      <c r="CF316" s="316"/>
      <c r="CG316" s="316"/>
      <c r="CH316" s="316"/>
      <c r="CI316" s="316"/>
      <c r="CJ316" s="316"/>
      <c r="CK316" s="316"/>
      <c r="CL316" s="316"/>
      <c r="CM316" s="316"/>
      <c r="CN316" s="316"/>
      <c r="CO316" s="316"/>
      <c r="CP316" s="318"/>
      <c r="CQ316" s="316"/>
      <c r="CR316" s="316"/>
      <c r="CS316" s="316"/>
      <c r="CT316" s="316"/>
      <c r="CU316" s="316"/>
      <c r="CV316" s="316"/>
      <c r="CW316" s="316"/>
      <c r="CX316" s="316"/>
      <c r="CY316" s="316"/>
      <c r="CZ316" s="316"/>
      <c r="DA316" s="316"/>
      <c r="DB316" s="1498"/>
      <c r="DC316" s="316"/>
      <c r="DD316" s="316"/>
      <c r="DE316" s="316"/>
      <c r="DF316" s="316"/>
      <c r="DG316" s="316"/>
      <c r="DH316" s="316"/>
      <c r="DI316" s="316"/>
      <c r="DJ316" s="316"/>
      <c r="DK316" s="316"/>
      <c r="DL316" s="316"/>
      <c r="DM316" s="316"/>
      <c r="DN316" s="318"/>
      <c r="DO316" s="316"/>
      <c r="DP316" s="316"/>
      <c r="DQ316" s="316"/>
      <c r="DR316" s="316"/>
      <c r="DS316" s="316"/>
      <c r="DT316" s="316"/>
      <c r="DU316" s="316"/>
      <c r="DV316" s="316"/>
      <c r="DW316" s="316"/>
      <c r="DX316" s="316"/>
      <c r="DY316" s="316"/>
      <c r="DZ316" s="318"/>
      <c r="EA316" s="316"/>
      <c r="EB316" s="316"/>
      <c r="EC316" s="316"/>
      <c r="ED316" s="316"/>
      <c r="EE316" s="316"/>
      <c r="EF316" s="316"/>
      <c r="EG316" s="316"/>
      <c r="EH316" s="316"/>
      <c r="EI316" s="316"/>
      <c r="EJ316" s="316"/>
      <c r="EK316" s="316"/>
      <c r="EL316" s="318"/>
      <c r="EM316" s="316"/>
      <c r="EN316" s="316"/>
      <c r="EO316" s="316"/>
      <c r="EP316" s="316"/>
      <c r="EQ316" s="316"/>
      <c r="ER316" s="316"/>
      <c r="ES316" s="316"/>
      <c r="ET316" s="316"/>
      <c r="EU316" s="316"/>
      <c r="EV316" s="316"/>
      <c r="EW316" s="316"/>
      <c r="EX316" s="318"/>
      <c r="EY316" s="316"/>
      <c r="EZ316" s="316"/>
      <c r="FA316" s="316"/>
      <c r="FB316" s="316"/>
      <c r="FC316" s="316"/>
      <c r="FD316" s="316"/>
      <c r="FE316" s="316"/>
      <c r="FF316" s="316"/>
      <c r="FG316" s="316"/>
      <c r="FH316" s="316"/>
      <c r="FI316" s="316"/>
      <c r="FJ316" s="318"/>
      <c r="FK316" s="316"/>
      <c r="FL316" s="316"/>
      <c r="FM316" s="316"/>
      <c r="FN316" s="316"/>
      <c r="FO316" s="316"/>
      <c r="FP316" s="316"/>
      <c r="FQ316" s="316"/>
      <c r="FR316" s="316"/>
      <c r="FS316" s="316"/>
      <c r="FT316" s="316"/>
      <c r="FU316" s="316"/>
      <c r="FV316" s="316"/>
      <c r="FW316" s="316"/>
      <c r="FX316" s="316"/>
      <c r="FY316" s="316"/>
      <c r="FZ316" s="316"/>
      <c r="GA316" s="316"/>
      <c r="GB316" s="316"/>
      <c r="GC316" s="316"/>
      <c r="GD316" s="316"/>
      <c r="GE316" s="316"/>
      <c r="GF316" s="316"/>
      <c r="GG316" s="316"/>
      <c r="GH316" s="316"/>
      <c r="GI316" s="316"/>
      <c r="GJ316" s="316"/>
      <c r="GK316" s="316"/>
      <c r="GL316" s="316"/>
      <c r="GM316" s="316"/>
      <c r="GN316" s="316"/>
      <c r="GO316" s="316"/>
      <c r="GP316" s="316"/>
      <c r="GQ316" s="316"/>
      <c r="GR316" s="316"/>
      <c r="GS316" s="316"/>
      <c r="GT316" s="316"/>
      <c r="GU316" s="316"/>
      <c r="GV316" s="316"/>
      <c r="GW316" s="316"/>
      <c r="GX316" s="316"/>
      <c r="GY316" s="316"/>
      <c r="GZ316" s="316"/>
      <c r="HA316" s="316"/>
      <c r="HB316" s="316"/>
      <c r="HC316" s="316"/>
      <c r="HD316" s="316"/>
      <c r="HE316" s="316"/>
      <c r="HF316" s="316"/>
      <c r="HG316" s="316"/>
      <c r="HH316" s="316"/>
      <c r="HI316" s="316"/>
      <c r="HJ316" s="316"/>
      <c r="HK316" s="316"/>
      <c r="HL316" s="316"/>
      <c r="HM316" s="316"/>
      <c r="KH316" s="303"/>
    </row>
    <row r="317" spans="1:294" outlineLevel="1">
      <c r="A317" s="117" t="s">
        <v>422</v>
      </c>
      <c r="B317" s="117" t="s">
        <v>361</v>
      </c>
      <c r="D317" s="342" t="s">
        <v>494</v>
      </c>
      <c r="E317" s="316"/>
      <c r="F317" s="316"/>
      <c r="G317" s="316"/>
      <c r="H317" s="316"/>
      <c r="I317" s="316"/>
      <c r="J317" s="316"/>
      <c r="K317" s="316"/>
      <c r="L317" s="316"/>
      <c r="M317" s="316"/>
      <c r="N317" s="316"/>
      <c r="O317" s="316"/>
      <c r="P317" s="316"/>
      <c r="Q317" s="316"/>
      <c r="R317" s="316"/>
      <c r="S317" s="316"/>
      <c r="T317" s="316"/>
      <c r="U317" s="316"/>
      <c r="V317" s="316"/>
      <c r="W317" s="316"/>
      <c r="X317" s="316"/>
      <c r="Y317" s="316"/>
      <c r="Z317" s="316"/>
      <c r="AA317" s="316"/>
      <c r="AB317" s="316"/>
      <c r="AC317" s="316"/>
      <c r="AD317" s="316"/>
      <c r="AE317" s="316"/>
      <c r="AF317" s="316"/>
      <c r="AG317" s="316"/>
      <c r="AH317" s="316"/>
      <c r="AI317" s="316"/>
      <c r="AJ317" s="316"/>
      <c r="AK317" s="316"/>
      <c r="AL317" s="316"/>
      <c r="AM317" s="316"/>
      <c r="AN317" s="316"/>
      <c r="AO317" s="316"/>
      <c r="AP317" s="316"/>
      <c r="AQ317" s="316"/>
      <c r="AR317" s="316"/>
      <c r="AS317" s="316"/>
      <c r="AT317" s="316"/>
      <c r="AU317" s="316"/>
      <c r="AV317" s="316"/>
      <c r="AW317" s="316"/>
      <c r="AX317" s="316"/>
      <c r="AY317" s="316"/>
      <c r="AZ317" s="316"/>
      <c r="BA317" s="316"/>
      <c r="BB317" s="316"/>
      <c r="BC317" s="316"/>
      <c r="BD317" s="316"/>
      <c r="BE317" s="316"/>
      <c r="BF317" s="316"/>
      <c r="BG317" s="316"/>
      <c r="BH317" s="316"/>
      <c r="BI317" s="316"/>
      <c r="BJ317" s="316"/>
      <c r="BK317" s="316"/>
      <c r="BL317" s="316"/>
      <c r="BM317" s="316"/>
      <c r="BN317" s="316"/>
      <c r="BO317" s="316"/>
      <c r="BP317" s="316"/>
      <c r="BQ317" s="316"/>
      <c r="BR317" s="316"/>
      <c r="BS317" s="316"/>
      <c r="BT317" s="316"/>
      <c r="BU317" s="316"/>
      <c r="BV317" s="316"/>
      <c r="BW317" s="316"/>
      <c r="BX317" s="316"/>
      <c r="BY317" s="316"/>
      <c r="BZ317" s="316"/>
      <c r="CA317" s="316"/>
      <c r="CB317" s="316"/>
      <c r="CC317" s="316"/>
      <c r="CD317" s="316"/>
      <c r="CE317" s="317">
        <v>47.617064136600007</v>
      </c>
      <c r="CF317" s="316">
        <v>53.907251717999998</v>
      </c>
      <c r="CG317" s="316">
        <v>65.190181342100004</v>
      </c>
      <c r="CH317" s="316">
        <v>54.087637409999999</v>
      </c>
      <c r="CI317" s="316">
        <v>53.84528620079999</v>
      </c>
      <c r="CJ317" s="316">
        <v>68.130436793900003</v>
      </c>
      <c r="CK317" s="316">
        <v>59.819924644799997</v>
      </c>
      <c r="CL317" s="316">
        <v>55.9432367223</v>
      </c>
      <c r="CM317" s="316">
        <v>64.537803322999991</v>
      </c>
      <c r="CN317" s="316">
        <v>55.778860669299995</v>
      </c>
      <c r="CO317" s="316">
        <v>61.522298340200003</v>
      </c>
      <c r="CP317" s="318">
        <v>87.613793423199994</v>
      </c>
      <c r="CQ317" s="316">
        <v>60.055278852200004</v>
      </c>
      <c r="CR317" s="316">
        <v>58.9379179584</v>
      </c>
      <c r="CS317" s="316">
        <v>77.510741187099995</v>
      </c>
      <c r="CT317" s="316">
        <v>56.9335934944</v>
      </c>
      <c r="CU317" s="316">
        <v>55.196689518399999</v>
      </c>
      <c r="CV317" s="316">
        <v>79.607384622699996</v>
      </c>
      <c r="CW317" s="316">
        <v>63.361825936499997</v>
      </c>
      <c r="CX317" s="316">
        <v>56.621350344900002</v>
      </c>
      <c r="CY317" s="316">
        <v>89.253470781000004</v>
      </c>
      <c r="CZ317" s="316">
        <v>68.829649387199993</v>
      </c>
      <c r="DA317" s="316">
        <v>65.284426183800008</v>
      </c>
      <c r="DB317" s="1498">
        <v>93.367642129199993</v>
      </c>
      <c r="DC317" s="316">
        <v>66.899926132465808</v>
      </c>
      <c r="DD317" s="316">
        <v>68.245586880935562</v>
      </c>
      <c r="DE317" s="316">
        <v>86.824346869568416</v>
      </c>
      <c r="DF317" s="316">
        <v>77.768789279906358</v>
      </c>
      <c r="DG317" s="316">
        <v>70.290688721549131</v>
      </c>
      <c r="DH317" s="316">
        <v>94.437271875493821</v>
      </c>
      <c r="DI317" s="316">
        <v>76.998886418319074</v>
      </c>
      <c r="DJ317" s="316">
        <v>72.781232871814339</v>
      </c>
      <c r="DK317" s="316">
        <v>113.69690742097904</v>
      </c>
      <c r="DL317" s="316">
        <v>78.445692153350137</v>
      </c>
      <c r="DM317" s="316">
        <v>78.436310386163612</v>
      </c>
      <c r="DN317" s="318">
        <v>115.54161037543037</v>
      </c>
      <c r="DO317" s="316">
        <v>67.24378485328306</v>
      </c>
      <c r="DP317" s="316">
        <v>80.020170967565377</v>
      </c>
      <c r="DQ317" s="316">
        <v>93.417646211050737</v>
      </c>
      <c r="DR317" s="316">
        <v>71.710702953049363</v>
      </c>
      <c r="DS317" s="316">
        <v>74.685107629818347</v>
      </c>
      <c r="DT317" s="316">
        <v>100.0551486989196</v>
      </c>
      <c r="DU317" s="316">
        <v>83.668729627200236</v>
      </c>
      <c r="DV317" s="316">
        <v>77.275728463722075</v>
      </c>
      <c r="DW317" s="316">
        <v>126.0845368149709</v>
      </c>
      <c r="DX317" s="316">
        <v>76.135244471367301</v>
      </c>
      <c r="DY317" s="316">
        <v>83.725678370989797</v>
      </c>
      <c r="DZ317" s="318">
        <v>118.39807715427889</v>
      </c>
      <c r="EA317" s="316">
        <v>77.131139934568424</v>
      </c>
      <c r="EB317" s="316">
        <v>85.064671576639626</v>
      </c>
      <c r="EC317" s="316">
        <v>105.73529056923476</v>
      </c>
      <c r="ED317" s="316">
        <v>91.398602824108167</v>
      </c>
      <c r="EE317" s="316">
        <v>85.558614639260611</v>
      </c>
      <c r="EF317" s="316">
        <v>114.65280414025804</v>
      </c>
      <c r="EG317" s="316">
        <v>99.51139740181128</v>
      </c>
      <c r="EH317" s="316">
        <v>84.319556122114008</v>
      </c>
      <c r="EI317" s="316">
        <v>133.25942373731618</v>
      </c>
      <c r="EJ317" s="316">
        <v>103.29260755838931</v>
      </c>
      <c r="EK317" s="316">
        <v>89.475933699727847</v>
      </c>
      <c r="EL317" s="318">
        <v>129.57340025709945</v>
      </c>
      <c r="EM317" s="316">
        <v>88.812454326839998</v>
      </c>
      <c r="EN317" s="316">
        <v>103.19555137677001</v>
      </c>
      <c r="EO317" s="316">
        <v>116.14608373476</v>
      </c>
      <c r="EP317" s="316">
        <v>101.63279526957668</v>
      </c>
      <c r="EQ317" s="316">
        <v>99.20474964683666</v>
      </c>
      <c r="ER317" s="316">
        <v>138.3298491095467</v>
      </c>
      <c r="ES317" s="316">
        <v>117.4347124288328</v>
      </c>
      <c r="ET317" s="316">
        <v>106.05712111844994</v>
      </c>
      <c r="EU317" s="316">
        <v>128.69624140632001</v>
      </c>
      <c r="EV317" s="316">
        <v>128.4253273124944</v>
      </c>
      <c r="EW317" s="316">
        <v>114.30942840778002</v>
      </c>
      <c r="EX317" s="318">
        <v>160.27794428067008</v>
      </c>
      <c r="EY317" s="316">
        <v>105.65950605125064</v>
      </c>
      <c r="EZ317" s="316">
        <v>114.2113842418846</v>
      </c>
      <c r="FA317" s="316">
        <v>132.89683536742749</v>
      </c>
      <c r="FB317" s="316">
        <v>108.92264112604063</v>
      </c>
      <c r="FC317" s="316">
        <v>106.68326342096984</v>
      </c>
      <c r="FD317" s="316">
        <v>165.17336859615594</v>
      </c>
      <c r="FE317" s="316">
        <v>129.17978821231756</v>
      </c>
      <c r="FF317" s="316">
        <v>116.33520310306274</v>
      </c>
      <c r="FG317" s="316">
        <v>123.84354192911091</v>
      </c>
      <c r="FH317" s="316">
        <v>111.61971296276113</v>
      </c>
      <c r="FI317" s="316">
        <v>92.550406284305652</v>
      </c>
      <c r="FJ317" s="318">
        <v>168.5330629930489</v>
      </c>
      <c r="FK317" s="316">
        <v>99.945885748172259</v>
      </c>
      <c r="FL317" s="316">
        <v>106.90137584125107</v>
      </c>
      <c r="FM317" s="316">
        <v>155.09121168506633</v>
      </c>
      <c r="FN317" s="316">
        <v>118.94741214038808</v>
      </c>
      <c r="FO317" s="316">
        <v>119.17105225139113</v>
      </c>
      <c r="FP317" s="316">
        <v>161.98099204682552</v>
      </c>
      <c r="FQ317" s="316">
        <v>118.21035142438593</v>
      </c>
      <c r="FR317" s="316">
        <v>121.65400060516743</v>
      </c>
      <c r="FS317" s="316">
        <v>169.64471663081804</v>
      </c>
      <c r="FT317" s="316">
        <v>131.6406722489491</v>
      </c>
      <c r="FU317" s="316">
        <v>129.16985994808741</v>
      </c>
      <c r="FV317" s="316">
        <v>189.33175192633266</v>
      </c>
      <c r="FW317" s="316">
        <v>110.1156569781196</v>
      </c>
      <c r="FX317" s="316">
        <v>123.39516343103196</v>
      </c>
      <c r="FY317" s="316">
        <v>167.87899487170446</v>
      </c>
      <c r="FZ317" s="316">
        <v>129.13909366182429</v>
      </c>
      <c r="GA317" s="316">
        <v>135.90353463757307</v>
      </c>
      <c r="GB317" s="316">
        <v>186.33327966820102</v>
      </c>
      <c r="GC317" s="316">
        <v>146.46208294654627</v>
      </c>
      <c r="GD317" s="316">
        <v>134.54808684712521</v>
      </c>
      <c r="GE317" s="316">
        <v>232.31337755216748</v>
      </c>
      <c r="GF317" s="316">
        <v>142.49260437009488</v>
      </c>
      <c r="GG317" s="316">
        <v>145.4445077296626</v>
      </c>
      <c r="GH317" s="316">
        <v>222.74720845481093</v>
      </c>
      <c r="GI317" s="316">
        <v>145.96192723773106</v>
      </c>
      <c r="GJ317" s="316">
        <v>170.08469428493058</v>
      </c>
      <c r="GK317" s="316">
        <v>214.70250271454987</v>
      </c>
      <c r="GL317" s="316">
        <v>143.56997105973565</v>
      </c>
      <c r="GM317" s="316">
        <v>167.57943580356661</v>
      </c>
      <c r="GN317" s="316">
        <v>228.35396693025768</v>
      </c>
      <c r="GO317" s="316">
        <v>198.11964804166763</v>
      </c>
      <c r="GP317" s="316">
        <v>145.38917010292784</v>
      </c>
      <c r="GQ317" s="316">
        <v>258.82715269015324</v>
      </c>
      <c r="GR317" s="316">
        <v>183.31387861149003</v>
      </c>
      <c r="GS317" s="316">
        <v>170.87591844504999</v>
      </c>
      <c r="GT317" s="316">
        <v>260.59353089068003</v>
      </c>
      <c r="GU317" s="316">
        <v>181.55472185685062</v>
      </c>
      <c r="GV317" s="316">
        <v>182.46648224496246</v>
      </c>
      <c r="GW317" s="316">
        <v>218.33074797871626</v>
      </c>
      <c r="GX317" s="316">
        <v>191.66390280255001</v>
      </c>
      <c r="GY317" s="316">
        <v>176.02157551367949</v>
      </c>
      <c r="GZ317" s="316">
        <v>239.0768803329</v>
      </c>
      <c r="HA317" s="316"/>
      <c r="HB317" s="316"/>
      <c r="HC317" s="316"/>
      <c r="HD317" s="316"/>
      <c r="HE317" s="316"/>
      <c r="HF317" s="316"/>
      <c r="HG317" s="316"/>
      <c r="HH317" s="316"/>
      <c r="HI317" s="316"/>
      <c r="HJ317" s="316"/>
      <c r="HK317" s="316"/>
      <c r="HL317" s="316"/>
      <c r="HM317" s="316"/>
      <c r="KH317" s="303"/>
    </row>
    <row r="318" spans="1:294" outlineLevel="1">
      <c r="A318" s="117" t="s">
        <v>422</v>
      </c>
      <c r="B318" s="117" t="s">
        <v>361</v>
      </c>
      <c r="D318" s="343" t="s">
        <v>495</v>
      </c>
      <c r="E318" s="316"/>
      <c r="F318" s="316"/>
      <c r="G318" s="316"/>
      <c r="H318" s="316"/>
      <c r="I318" s="316"/>
      <c r="J318" s="316"/>
      <c r="K318" s="316"/>
      <c r="L318" s="316"/>
      <c r="M318" s="316"/>
      <c r="N318" s="316"/>
      <c r="O318" s="316"/>
      <c r="P318" s="316"/>
      <c r="Q318" s="316"/>
      <c r="R318" s="316"/>
      <c r="S318" s="316"/>
      <c r="T318" s="316"/>
      <c r="U318" s="316"/>
      <c r="V318" s="316"/>
      <c r="W318" s="316"/>
      <c r="X318" s="316"/>
      <c r="Y318" s="316"/>
      <c r="Z318" s="316"/>
      <c r="AA318" s="316"/>
      <c r="AB318" s="316"/>
      <c r="AC318" s="316"/>
      <c r="AD318" s="316"/>
      <c r="AE318" s="316"/>
      <c r="AF318" s="316"/>
      <c r="AG318" s="316"/>
      <c r="AH318" s="316"/>
      <c r="AI318" s="316"/>
      <c r="AJ318" s="316"/>
      <c r="AK318" s="316"/>
      <c r="AL318" s="316"/>
      <c r="AM318" s="316"/>
      <c r="AN318" s="316"/>
      <c r="AO318" s="316"/>
      <c r="AP318" s="316"/>
      <c r="AQ318" s="316"/>
      <c r="AR318" s="316"/>
      <c r="AS318" s="316"/>
      <c r="AT318" s="316"/>
      <c r="AU318" s="316"/>
      <c r="AV318" s="316"/>
      <c r="AW318" s="316"/>
      <c r="AX318" s="316"/>
      <c r="AY318" s="316"/>
      <c r="AZ318" s="316"/>
      <c r="BA318" s="316"/>
      <c r="BB318" s="316"/>
      <c r="BC318" s="316"/>
      <c r="BD318" s="316"/>
      <c r="BE318" s="316"/>
      <c r="BF318" s="316"/>
      <c r="BG318" s="316"/>
      <c r="BH318" s="316"/>
      <c r="BI318" s="316"/>
      <c r="BJ318" s="316"/>
      <c r="BK318" s="316"/>
      <c r="BL318" s="316"/>
      <c r="BM318" s="316"/>
      <c r="BN318" s="316"/>
      <c r="BO318" s="316"/>
      <c r="BP318" s="316"/>
      <c r="BQ318" s="316"/>
      <c r="BR318" s="316"/>
      <c r="BS318" s="316"/>
      <c r="BT318" s="316"/>
      <c r="BU318" s="316"/>
      <c r="BV318" s="316"/>
      <c r="BW318" s="316"/>
      <c r="BX318" s="316"/>
      <c r="BY318" s="316"/>
      <c r="BZ318" s="316"/>
      <c r="CA318" s="316"/>
      <c r="CB318" s="316"/>
      <c r="CC318" s="316"/>
      <c r="CD318" s="316"/>
      <c r="CE318" s="317">
        <v>17.442865989000001</v>
      </c>
      <c r="CF318" s="316">
        <v>19.525892276</v>
      </c>
      <c r="CG318" s="316">
        <v>29.068709611999999</v>
      </c>
      <c r="CH318" s="316">
        <v>19.932281134</v>
      </c>
      <c r="CI318" s="316">
        <v>18.564633012999998</v>
      </c>
      <c r="CJ318" s="316">
        <v>33.827118311</v>
      </c>
      <c r="CK318" s="316">
        <v>21.141859377000003</v>
      </c>
      <c r="CL318" s="316">
        <v>20.952411226999999</v>
      </c>
      <c r="CM318" s="316">
        <v>28.781427078</v>
      </c>
      <c r="CN318" s="316">
        <v>21.026310951999999</v>
      </c>
      <c r="CO318" s="316">
        <v>20.391816973000001</v>
      </c>
      <c r="CP318" s="318">
        <v>37.229654887999999</v>
      </c>
      <c r="CQ318" s="316">
        <v>22.069318692000003</v>
      </c>
      <c r="CR318" s="316">
        <v>21.066326490000002</v>
      </c>
      <c r="CS318" s="316">
        <v>33.752981474999999</v>
      </c>
      <c r="CT318" s="316">
        <v>20.554321023</v>
      </c>
      <c r="CU318" s="316">
        <v>18.533772878000001</v>
      </c>
      <c r="CV318" s="316">
        <v>38.569907888000003</v>
      </c>
      <c r="CW318" s="316">
        <v>24.528582481000001</v>
      </c>
      <c r="CX318" s="316">
        <v>20.478766830999998</v>
      </c>
      <c r="CY318" s="316">
        <v>49.998201248999997</v>
      </c>
      <c r="CZ318" s="316">
        <v>28.614825071999999</v>
      </c>
      <c r="DA318" s="316">
        <v>24.454279628000002</v>
      </c>
      <c r="DB318" s="1498">
        <v>39.297474163000004</v>
      </c>
      <c r="DC318" s="316">
        <v>24.97770777808697</v>
      </c>
      <c r="DD318" s="316">
        <v>24.069154116661423</v>
      </c>
      <c r="DE318" s="316">
        <v>37.947137373144983</v>
      </c>
      <c r="DF318" s="316">
        <v>26.526863113310718</v>
      </c>
      <c r="DG318" s="316">
        <v>22.842077699533458</v>
      </c>
      <c r="DH318" s="316">
        <v>44.97296507686093</v>
      </c>
      <c r="DI318" s="316">
        <v>29.489573230082442</v>
      </c>
      <c r="DJ318" s="316">
        <v>24.739166191259773</v>
      </c>
      <c r="DK318" s="316">
        <v>64.363901094079523</v>
      </c>
      <c r="DL318" s="316">
        <v>30.417722433606038</v>
      </c>
      <c r="DM318" s="316">
        <v>27.793850016598867</v>
      </c>
      <c r="DN318" s="318">
        <v>48.846946710689501</v>
      </c>
      <c r="DO318" s="316">
        <v>21.471689881572686</v>
      </c>
      <c r="DP318" s="316">
        <v>30.266054382305445</v>
      </c>
      <c r="DQ318" s="316">
        <v>39.425181638268725</v>
      </c>
      <c r="DR318" s="316">
        <v>26.784761667258937</v>
      </c>
      <c r="DS318" s="316">
        <v>26.677548393080393</v>
      </c>
      <c r="DT318" s="316">
        <v>43.318929067927989</v>
      </c>
      <c r="DU318" s="316">
        <v>32.470388110317217</v>
      </c>
      <c r="DV318" s="316">
        <v>26.946016230133992</v>
      </c>
      <c r="DW318" s="316">
        <v>68.597441655491167</v>
      </c>
      <c r="DX318" s="316">
        <v>26.875956962522089</v>
      </c>
      <c r="DY318" s="316">
        <v>29.738585438124417</v>
      </c>
      <c r="DZ318" s="318">
        <v>48.540318290994371</v>
      </c>
      <c r="EA318" s="316">
        <v>25.455277023792288</v>
      </c>
      <c r="EB318" s="316">
        <v>32.018292819407755</v>
      </c>
      <c r="EC318" s="316">
        <v>43.027304943689934</v>
      </c>
      <c r="ED318" s="316">
        <v>33.39073301665713</v>
      </c>
      <c r="EE318" s="316">
        <v>29.720448230942814</v>
      </c>
      <c r="EF318" s="316">
        <v>47.180959559145705</v>
      </c>
      <c r="EG318" s="316">
        <v>37.966086083231247</v>
      </c>
      <c r="EH318" s="316">
        <v>28.652020048842438</v>
      </c>
      <c r="EI318" s="316">
        <v>66.11191067311718</v>
      </c>
      <c r="EJ318" s="316">
        <v>44.887675344763323</v>
      </c>
      <c r="EK318" s="316">
        <v>30.249393652575279</v>
      </c>
      <c r="EL318" s="318">
        <v>52.766372826799838</v>
      </c>
      <c r="EM318" s="316">
        <v>32.903887653520002</v>
      </c>
      <c r="EN318" s="316">
        <v>38.718924392970003</v>
      </c>
      <c r="EO318" s="316">
        <v>53.269384041799995</v>
      </c>
      <c r="EP318" s="316">
        <v>43.582974409280006</v>
      </c>
      <c r="EQ318" s="316">
        <v>37.346238129779998</v>
      </c>
      <c r="ER318" s="316">
        <v>64.889195948490041</v>
      </c>
      <c r="ES318" s="316">
        <v>45.557114181480003</v>
      </c>
      <c r="ET318" s="316">
        <v>38.634797108739996</v>
      </c>
      <c r="EU318" s="316">
        <v>56.830703252639999</v>
      </c>
      <c r="EV318" s="316">
        <v>59.092180732999999</v>
      </c>
      <c r="EW318" s="316">
        <v>45.748966423500008</v>
      </c>
      <c r="EX318" s="318">
        <v>78.799486449000057</v>
      </c>
      <c r="EY318" s="316">
        <v>40.861348706000001</v>
      </c>
      <c r="EZ318" s="316">
        <v>40.236363533999992</v>
      </c>
      <c r="FA318" s="316">
        <v>62.600567380000001</v>
      </c>
      <c r="FB318" s="316">
        <v>40.196479917999994</v>
      </c>
      <c r="FC318" s="316">
        <v>35.382652612999998</v>
      </c>
      <c r="FD318" s="316">
        <v>74.515635992236128</v>
      </c>
      <c r="FE318" s="316">
        <v>50.561232297057551</v>
      </c>
      <c r="FF318" s="316">
        <v>46.994172765410902</v>
      </c>
      <c r="FG318" s="316">
        <v>52.490747917832323</v>
      </c>
      <c r="FH318" s="316">
        <v>67.0517552428323</v>
      </c>
      <c r="FI318" s="316">
        <v>44.051889430022307</v>
      </c>
      <c r="FJ318" s="318">
        <v>86.532698150732344</v>
      </c>
      <c r="FK318" s="316">
        <v>36.289047524419288</v>
      </c>
      <c r="FL318" s="316">
        <v>36.019796794131103</v>
      </c>
      <c r="FM318" s="316">
        <v>72.440413640439601</v>
      </c>
      <c r="FN318" s="316">
        <v>42.868981288514391</v>
      </c>
      <c r="FO318" s="316">
        <v>45.484406372303361</v>
      </c>
      <c r="FP318" s="316">
        <v>76.286844757701388</v>
      </c>
      <c r="FQ318" s="316">
        <v>49.103212532440324</v>
      </c>
      <c r="FR318" s="316">
        <v>52.336578481208335</v>
      </c>
      <c r="FS318" s="316">
        <v>93.267847900999698</v>
      </c>
      <c r="FT318" s="316">
        <v>53.732223183644123</v>
      </c>
      <c r="FU318" s="316">
        <v>50.45175707796222</v>
      </c>
      <c r="FV318" s="316">
        <v>94.271498006713855</v>
      </c>
      <c r="FW318" s="316">
        <v>42.931996948309646</v>
      </c>
      <c r="FX318" s="316">
        <v>51.976516482732585</v>
      </c>
      <c r="FY318" s="316">
        <v>85.710003864002815</v>
      </c>
      <c r="FZ318" s="316">
        <v>50.884118057186733</v>
      </c>
      <c r="GA318" s="316">
        <v>53.532433952667745</v>
      </c>
      <c r="GB318" s="316">
        <v>92.791841307198808</v>
      </c>
      <c r="GC318" s="316">
        <v>60.325505074531428</v>
      </c>
      <c r="GD318" s="316">
        <v>54.330143900996141</v>
      </c>
      <c r="GE318" s="316">
        <v>131.26415922232482</v>
      </c>
      <c r="GF318" s="316">
        <v>55.649899866840457</v>
      </c>
      <c r="GG318" s="316">
        <v>59.435778794574979</v>
      </c>
      <c r="GH318" s="316">
        <v>114.72444861402933</v>
      </c>
      <c r="GI318" s="316">
        <v>53.123686379850106</v>
      </c>
      <c r="GJ318" s="316">
        <v>58.948799788705571</v>
      </c>
      <c r="GK318" s="316">
        <v>106.09635069151501</v>
      </c>
      <c r="GL318" s="316">
        <v>50.275023219469276</v>
      </c>
      <c r="GM318" s="316">
        <v>69.215401015664426</v>
      </c>
      <c r="GN318" s="316">
        <v>117.42964368126491</v>
      </c>
      <c r="GO318" s="316">
        <v>64.054880874155515</v>
      </c>
      <c r="GP318" s="316">
        <v>46.815222749658268</v>
      </c>
      <c r="GQ318" s="316">
        <v>147.20322203769587</v>
      </c>
      <c r="GR318" s="316">
        <v>87.433578659999995</v>
      </c>
      <c r="GS318" s="316">
        <v>66.499599309999994</v>
      </c>
      <c r="GT318" s="316">
        <v>142.39999370300001</v>
      </c>
      <c r="GU318" s="316">
        <v>71.838405088999991</v>
      </c>
      <c r="GV318" s="316">
        <v>70.983312988999984</v>
      </c>
      <c r="GW318" s="316">
        <v>110.957612408</v>
      </c>
      <c r="GX318" s="316">
        <v>82.024519187999999</v>
      </c>
      <c r="GY318" s="316">
        <v>73.172715019999998</v>
      </c>
      <c r="GZ318" s="316">
        <v>139.43906328199998</v>
      </c>
      <c r="HA318" s="316">
        <v>88.183945691999995</v>
      </c>
      <c r="HB318" s="316">
        <v>65.311859411967333</v>
      </c>
      <c r="HC318" s="316">
        <v>91.63107527599999</v>
      </c>
      <c r="HD318" s="316">
        <v>131.1451816076123</v>
      </c>
      <c r="HE318" s="316">
        <v>85.313004088487276</v>
      </c>
      <c r="HF318" s="316">
        <v>168.57115475694047</v>
      </c>
      <c r="HG318" s="316">
        <v>74.32016508000001</v>
      </c>
      <c r="HH318" s="316">
        <v>81.87931893199999</v>
      </c>
      <c r="HI318" s="316">
        <v>143.00261516899999</v>
      </c>
      <c r="HJ318" s="316">
        <v>86.889979795466431</v>
      </c>
      <c r="HK318" s="316">
        <v>87.558215688759091</v>
      </c>
      <c r="HL318" s="316">
        <v>161.3257625462445</v>
      </c>
      <c r="HM318" s="316"/>
      <c r="KH318" s="303"/>
    </row>
    <row r="319" spans="1:294" outlineLevel="1">
      <c r="A319" s="117" t="s">
        <v>422</v>
      </c>
      <c r="B319" s="117" t="s">
        <v>361</v>
      </c>
      <c r="D319" s="344" t="s">
        <v>496</v>
      </c>
      <c r="E319" s="316"/>
      <c r="F319" s="316"/>
      <c r="G319" s="316"/>
      <c r="H319" s="316"/>
      <c r="I319" s="316"/>
      <c r="J319" s="316"/>
      <c r="K319" s="316"/>
      <c r="L319" s="316"/>
      <c r="M319" s="316"/>
      <c r="N319" s="316"/>
      <c r="O319" s="316"/>
      <c r="P319" s="316"/>
      <c r="Q319" s="316"/>
      <c r="R319" s="316"/>
      <c r="S319" s="316"/>
      <c r="T319" s="316"/>
      <c r="U319" s="316"/>
      <c r="V319" s="316"/>
      <c r="W319" s="316"/>
      <c r="X319" s="316"/>
      <c r="Y319" s="316"/>
      <c r="Z319" s="316"/>
      <c r="AA319" s="316"/>
      <c r="AB319" s="316"/>
      <c r="AC319" s="316"/>
      <c r="AD319" s="316"/>
      <c r="AE319" s="316"/>
      <c r="AF319" s="316"/>
      <c r="AG319" s="316"/>
      <c r="AH319" s="316"/>
      <c r="AI319" s="316"/>
      <c r="AJ319" s="316"/>
      <c r="AK319" s="316"/>
      <c r="AL319" s="316"/>
      <c r="AM319" s="316"/>
      <c r="AN319" s="316"/>
      <c r="AO319" s="316"/>
      <c r="AP319" s="316"/>
      <c r="AQ319" s="316"/>
      <c r="AR319" s="316"/>
      <c r="AS319" s="316"/>
      <c r="AT319" s="316"/>
      <c r="AU319" s="316"/>
      <c r="AV319" s="316"/>
      <c r="AW319" s="316"/>
      <c r="AX319" s="316"/>
      <c r="AY319" s="316"/>
      <c r="AZ319" s="316"/>
      <c r="BA319" s="316"/>
      <c r="BB319" s="316"/>
      <c r="BC319" s="316"/>
      <c r="BD319" s="316"/>
      <c r="BE319" s="316"/>
      <c r="BF319" s="316"/>
      <c r="BG319" s="316"/>
      <c r="BH319" s="316"/>
      <c r="BI319" s="316"/>
      <c r="BJ319" s="316"/>
      <c r="BK319" s="316"/>
      <c r="BL319" s="316"/>
      <c r="BM319" s="316"/>
      <c r="BN319" s="316"/>
      <c r="BO319" s="316"/>
      <c r="BP319" s="316"/>
      <c r="BQ319" s="316"/>
      <c r="BR319" s="316"/>
      <c r="BS319" s="316"/>
      <c r="BT319" s="316"/>
      <c r="BU319" s="316"/>
      <c r="BV319" s="316"/>
      <c r="BW319" s="316"/>
      <c r="BX319" s="316"/>
      <c r="BY319" s="316"/>
      <c r="BZ319" s="316"/>
      <c r="CA319" s="316"/>
      <c r="CB319" s="316"/>
      <c r="CC319" s="316"/>
      <c r="CD319" s="316"/>
      <c r="CE319" s="317">
        <v>15.335722871</v>
      </c>
      <c r="CF319" s="316">
        <v>18.453643707000001</v>
      </c>
      <c r="CG319" s="316">
        <v>19.47672549</v>
      </c>
      <c r="CH319" s="316">
        <v>17.97492677</v>
      </c>
      <c r="CI319" s="316">
        <v>17.2901992</v>
      </c>
      <c r="CJ319" s="316">
        <v>23.874331232999999</v>
      </c>
      <c r="CK319" s="316">
        <v>18.637431190000001</v>
      </c>
      <c r="CL319" s="316">
        <v>19.059659594999999</v>
      </c>
      <c r="CM319" s="316">
        <v>19.301946052000002</v>
      </c>
      <c r="CN319" s="316">
        <v>18.818232368</v>
      </c>
      <c r="CO319" s="316">
        <v>18.574974748999999</v>
      </c>
      <c r="CP319" s="318">
        <v>27.654926967000002</v>
      </c>
      <c r="CQ319" s="316">
        <v>19.027270161000001</v>
      </c>
      <c r="CR319" s="316">
        <v>17.945877120999999</v>
      </c>
      <c r="CS319" s="316">
        <v>23.738315861</v>
      </c>
      <c r="CT319" s="316">
        <v>18.921073360000001</v>
      </c>
      <c r="CU319" s="316">
        <v>17.030863909000001</v>
      </c>
      <c r="CV319" s="316">
        <v>26.419475679000001</v>
      </c>
      <c r="CW319" s="316">
        <v>22.337229367999999</v>
      </c>
      <c r="CX319" s="316">
        <v>18.098628601000001</v>
      </c>
      <c r="CY319" s="316">
        <v>25.821663387000001</v>
      </c>
      <c r="CZ319" s="316">
        <v>26.245589175999999</v>
      </c>
      <c r="DA319" s="316">
        <v>21.564693520999999</v>
      </c>
      <c r="DB319" s="1498">
        <v>29.496832703999999</v>
      </c>
      <c r="DC319" s="316">
        <v>21.615782720326401</v>
      </c>
      <c r="DD319" s="316">
        <v>20.294735996621601</v>
      </c>
      <c r="DE319" s="316">
        <v>26.120960418486298</v>
      </c>
      <c r="DF319" s="316">
        <v>24.477194525631102</v>
      </c>
      <c r="DG319" s="316">
        <v>21.004385424461599</v>
      </c>
      <c r="DH319" s="316">
        <v>31.049560698246001</v>
      </c>
      <c r="DI319" s="316">
        <v>27.840487462747099</v>
      </c>
      <c r="DJ319" s="316">
        <v>23.1781468343546</v>
      </c>
      <c r="DK319" s="316">
        <v>40.983306076958698</v>
      </c>
      <c r="DL319" s="316">
        <v>28.405466405739702</v>
      </c>
      <c r="DM319" s="316">
        <v>25.082436725609902</v>
      </c>
      <c r="DN319" s="318">
        <v>36.968642948916873</v>
      </c>
      <c r="DO319" s="316">
        <v>18.759607335242031</v>
      </c>
      <c r="DP319" s="316">
        <v>28.357289014025195</v>
      </c>
      <c r="DQ319" s="316">
        <v>27.610516804926178</v>
      </c>
      <c r="DR319" s="316">
        <v>25.009836839513426</v>
      </c>
      <c r="DS319" s="316">
        <v>24.688640878436349</v>
      </c>
      <c r="DT319" s="316">
        <v>33.988548327140684</v>
      </c>
      <c r="DU319" s="316">
        <v>26.924952377653902</v>
      </c>
      <c r="DV319" s="316">
        <v>24.643297991831403</v>
      </c>
      <c r="DW319" s="316">
        <v>46.639684487487699</v>
      </c>
      <c r="DX319" s="316">
        <v>24.402116171907899</v>
      </c>
      <c r="DY319" s="316">
        <v>27.5322358404174</v>
      </c>
      <c r="DZ319" s="318">
        <v>33.036661162635802</v>
      </c>
      <c r="EA319" s="316">
        <v>22.906499245785181</v>
      </c>
      <c r="EB319" s="316">
        <v>29.698573642996624</v>
      </c>
      <c r="EC319" s="316">
        <v>30.146715729253604</v>
      </c>
      <c r="ED319" s="316">
        <v>29.90945527667018</v>
      </c>
      <c r="EE319" s="316">
        <v>27.174290085773425</v>
      </c>
      <c r="EF319" s="316">
        <v>35.693886513293407</v>
      </c>
      <c r="EG319" s="316">
        <v>32.17962014580138</v>
      </c>
      <c r="EH319" s="316">
        <v>26.238264961253353</v>
      </c>
      <c r="EI319" s="316">
        <v>45.753920926414622</v>
      </c>
      <c r="EJ319" s="316">
        <v>29.842121318948323</v>
      </c>
      <c r="EK319" s="316">
        <v>27.659507785700331</v>
      </c>
      <c r="EL319" s="318">
        <v>36.110250100628754</v>
      </c>
      <c r="EM319" s="316">
        <v>21.197964669000001</v>
      </c>
      <c r="EN319" s="316">
        <v>26.297894826</v>
      </c>
      <c r="EO319" s="316">
        <v>25.640282977999998</v>
      </c>
      <c r="EP319" s="316">
        <v>25.162036771</v>
      </c>
      <c r="EQ319" s="316">
        <v>26.049817039000001</v>
      </c>
      <c r="ER319" s="316">
        <v>29.227038579800048</v>
      </c>
      <c r="ES319" s="316">
        <v>26.956796173000001</v>
      </c>
      <c r="ET319" s="316">
        <v>26.604466951999999</v>
      </c>
      <c r="EU319" s="316">
        <v>28.8569176779</v>
      </c>
      <c r="EV319" s="316">
        <v>27.234412380999999</v>
      </c>
      <c r="EW319" s="316">
        <v>28.292670561816003</v>
      </c>
      <c r="EX319" s="318">
        <v>29.380920583622</v>
      </c>
      <c r="EY319" s="316">
        <v>35.1922169493875</v>
      </c>
      <c r="EZ319" s="316">
        <v>36.736436433049995</v>
      </c>
      <c r="FA319" s="316">
        <v>39.451931595097498</v>
      </c>
      <c r="FB319" s="316">
        <v>35.854395532299996</v>
      </c>
      <c r="FC319" s="316">
        <v>32.903049460733499</v>
      </c>
      <c r="FD319" s="316">
        <v>52.796362157162115</v>
      </c>
      <c r="FE319" s="316">
        <v>48.026780050009052</v>
      </c>
      <c r="FF319" s="316">
        <v>43.478022334660892</v>
      </c>
      <c r="FG319" s="316">
        <v>41.94372338853232</v>
      </c>
      <c r="FH319" s="316">
        <v>35.575190619832306</v>
      </c>
      <c r="FI319" s="316">
        <v>40.931714567832309</v>
      </c>
      <c r="FJ319" s="318">
        <v>58.830155635519851</v>
      </c>
      <c r="FK319" s="316">
        <v>34.122865568916787</v>
      </c>
      <c r="FL319" s="316">
        <v>29.537551809794103</v>
      </c>
      <c r="FM319" s="316">
        <v>46.167131573128607</v>
      </c>
      <c r="FN319" s="316">
        <v>40.735007468086749</v>
      </c>
      <c r="FO319" s="316">
        <v>40.831429681469267</v>
      </c>
      <c r="FP319" s="316">
        <v>51.153144298998221</v>
      </c>
      <c r="FQ319" s="316">
        <v>47.07369008529318</v>
      </c>
      <c r="FR319" s="316">
        <v>50.239993272733962</v>
      </c>
      <c r="FS319" s="316">
        <v>54.692521657624496</v>
      </c>
      <c r="FT319" s="316">
        <v>48.768606909993665</v>
      </c>
      <c r="FU319" s="316">
        <v>45.784417457005091</v>
      </c>
      <c r="FV319" s="316">
        <v>63.867142929825107</v>
      </c>
      <c r="FW319" s="316">
        <v>39.773257880022108</v>
      </c>
      <c r="FX319" s="316">
        <v>47.811507659362029</v>
      </c>
      <c r="FY319" s="316">
        <v>53.316081569909386</v>
      </c>
      <c r="FZ319" s="316">
        <v>47.725642027853183</v>
      </c>
      <c r="GA319" s="316">
        <v>49.048040240920493</v>
      </c>
      <c r="GB319" s="316">
        <v>58.046851359131836</v>
      </c>
      <c r="GC319" s="316">
        <v>56.981845465852921</v>
      </c>
      <c r="GD319" s="316">
        <v>49.206752542867306</v>
      </c>
      <c r="GE319" s="316">
        <v>71.063010106402189</v>
      </c>
      <c r="GF319" s="316">
        <v>51.744107802422583</v>
      </c>
      <c r="GG319" s="316">
        <v>54.380453467655663</v>
      </c>
      <c r="GH319" s="316">
        <v>74.027358089106286</v>
      </c>
      <c r="GI319" s="316">
        <v>50.05823752566473</v>
      </c>
      <c r="GJ319" s="316">
        <v>53.976034901746431</v>
      </c>
      <c r="GK319" s="316">
        <v>64.900569102521288</v>
      </c>
      <c r="GL319" s="316">
        <v>46.486649294478795</v>
      </c>
      <c r="GM319" s="316">
        <v>65.36888969702558</v>
      </c>
      <c r="GN319" s="316">
        <v>73.442961896695849</v>
      </c>
      <c r="GO319" s="316">
        <v>58.527242290564104</v>
      </c>
      <c r="GP319" s="316">
        <v>44.172739974658057</v>
      </c>
      <c r="GQ319" s="316">
        <v>70.695255625750136</v>
      </c>
      <c r="GR319" s="316">
        <v>62.246270871999997</v>
      </c>
      <c r="GS319" s="316">
        <v>59.643664710000003</v>
      </c>
      <c r="GT319" s="316">
        <v>83.288185786</v>
      </c>
      <c r="GU319" s="316">
        <v>62.454723569999999</v>
      </c>
      <c r="GV319" s="316">
        <v>64.000766596999995</v>
      </c>
      <c r="GW319" s="316">
        <v>59.770251220999995</v>
      </c>
      <c r="GX319" s="316">
        <v>60.869588732000004</v>
      </c>
      <c r="GY319" s="316">
        <v>65.704452418000002</v>
      </c>
      <c r="GZ319" s="316">
        <v>72.714730935999995</v>
      </c>
      <c r="HA319" s="316">
        <v>71.093015197</v>
      </c>
      <c r="HB319" s="316">
        <v>56.698748836930704</v>
      </c>
      <c r="HC319" s="316">
        <v>57.535459471999999</v>
      </c>
      <c r="HD319" s="316">
        <v>73.892993284572299</v>
      </c>
      <c r="HE319" s="316">
        <v>73.411471319487276</v>
      </c>
      <c r="HF319" s="316">
        <v>98.695551528989284</v>
      </c>
      <c r="HG319" s="316">
        <v>63.085397977000007</v>
      </c>
      <c r="HH319" s="316">
        <v>71.265702486999999</v>
      </c>
      <c r="HI319" s="316">
        <v>70.846427525999999</v>
      </c>
      <c r="HJ319" s="316">
        <v>70.999309431466429</v>
      </c>
      <c r="HK319" s="316">
        <v>78.521305786759086</v>
      </c>
      <c r="HL319" s="316">
        <v>79.625460101244499</v>
      </c>
      <c r="HM319" s="316"/>
      <c r="KH319" s="303"/>
    </row>
    <row r="320" spans="1:294" outlineLevel="1">
      <c r="A320" s="117" t="s">
        <v>422</v>
      </c>
      <c r="B320" s="117" t="s">
        <v>361</v>
      </c>
      <c r="D320" s="344" t="s">
        <v>497</v>
      </c>
      <c r="E320" s="316"/>
      <c r="F320" s="316"/>
      <c r="G320" s="316"/>
      <c r="H320" s="316"/>
      <c r="I320" s="316"/>
      <c r="J320" s="316"/>
      <c r="K320" s="316"/>
      <c r="L320" s="316"/>
      <c r="M320" s="316"/>
      <c r="N320" s="316"/>
      <c r="O320" s="316"/>
      <c r="P320" s="316"/>
      <c r="Q320" s="316"/>
      <c r="R320" s="316"/>
      <c r="S320" s="316"/>
      <c r="T320" s="316"/>
      <c r="U320" s="316"/>
      <c r="V320" s="316"/>
      <c r="W320" s="316"/>
      <c r="X320" s="316"/>
      <c r="Y320" s="316"/>
      <c r="Z320" s="316"/>
      <c r="AA320" s="316"/>
      <c r="AB320" s="316"/>
      <c r="AC320" s="316"/>
      <c r="AD320" s="316"/>
      <c r="AE320" s="316"/>
      <c r="AF320" s="316"/>
      <c r="AG320" s="316"/>
      <c r="AH320" s="316"/>
      <c r="AI320" s="316"/>
      <c r="AJ320" s="316"/>
      <c r="AK320" s="316"/>
      <c r="AL320" s="316"/>
      <c r="AM320" s="316"/>
      <c r="AN320" s="316"/>
      <c r="AO320" s="316"/>
      <c r="AP320" s="316"/>
      <c r="AQ320" s="316"/>
      <c r="AR320" s="316"/>
      <c r="AS320" s="316"/>
      <c r="AT320" s="316"/>
      <c r="AU320" s="316"/>
      <c r="AV320" s="316"/>
      <c r="AW320" s="316"/>
      <c r="AX320" s="316"/>
      <c r="AY320" s="316"/>
      <c r="AZ320" s="316"/>
      <c r="BA320" s="316"/>
      <c r="BB320" s="316"/>
      <c r="BC320" s="316"/>
      <c r="BD320" s="316"/>
      <c r="BE320" s="316"/>
      <c r="BF320" s="316"/>
      <c r="BG320" s="316"/>
      <c r="BH320" s="316"/>
      <c r="BI320" s="316"/>
      <c r="BJ320" s="316"/>
      <c r="BK320" s="316"/>
      <c r="BL320" s="316"/>
      <c r="BM320" s="316"/>
      <c r="BN320" s="316"/>
      <c r="BO320" s="316"/>
      <c r="BP320" s="316"/>
      <c r="BQ320" s="316"/>
      <c r="BR320" s="316"/>
      <c r="BS320" s="316"/>
      <c r="BT320" s="316"/>
      <c r="BU320" s="316"/>
      <c r="BV320" s="316"/>
      <c r="BW320" s="316"/>
      <c r="BX320" s="316"/>
      <c r="BY320" s="316"/>
      <c r="BZ320" s="316"/>
      <c r="CA320" s="316"/>
      <c r="CB320" s="316"/>
      <c r="CC320" s="316"/>
      <c r="CD320" s="316"/>
      <c r="CE320" s="317">
        <v>1.5730296479999999</v>
      </c>
      <c r="CF320" s="316">
        <v>0.97670188199999997</v>
      </c>
      <c r="CG320" s="316">
        <v>9.4186684389999993</v>
      </c>
      <c r="CH320" s="316">
        <v>1.8630770430000001</v>
      </c>
      <c r="CI320" s="316">
        <v>1.1954280770000001</v>
      </c>
      <c r="CJ320" s="316">
        <v>9.7989566579999998</v>
      </c>
      <c r="CK320" s="316">
        <v>2.4694584509999999</v>
      </c>
      <c r="CL320" s="316">
        <v>1.7785372589999999</v>
      </c>
      <c r="CM320" s="316">
        <v>9.4464840460000001</v>
      </c>
      <c r="CN320" s="316">
        <v>2.1443526300000002</v>
      </c>
      <c r="CO320" s="316">
        <v>1.6340826150000001</v>
      </c>
      <c r="CP320" s="318">
        <v>9.4330410859999994</v>
      </c>
      <c r="CQ320" s="316">
        <v>2.2409145150000001</v>
      </c>
      <c r="CR320" s="316">
        <v>3.0693548019999999</v>
      </c>
      <c r="CS320" s="316">
        <v>9.8133753929999994</v>
      </c>
      <c r="CT320" s="316">
        <v>1.547996798</v>
      </c>
      <c r="CU320" s="316">
        <v>1.3657390899999999</v>
      </c>
      <c r="CV320" s="316">
        <v>11.792154244000001</v>
      </c>
      <c r="CW320" s="316">
        <v>1.8611490470000001</v>
      </c>
      <c r="CX320" s="316">
        <v>1.438724117</v>
      </c>
      <c r="CY320" s="316">
        <v>18.633277406000001</v>
      </c>
      <c r="CZ320" s="316">
        <v>2.062493167</v>
      </c>
      <c r="DA320" s="316">
        <v>1.7284441660000001</v>
      </c>
      <c r="DB320" s="1498">
        <v>9.5983201129999998</v>
      </c>
      <c r="DC320" s="316">
        <v>2.5139195502253058</v>
      </c>
      <c r="DD320" s="316">
        <v>3.7630873299630063</v>
      </c>
      <c r="DE320" s="316">
        <v>11.68637619439046</v>
      </c>
      <c r="DF320" s="316">
        <v>2.0360228759916845</v>
      </c>
      <c r="DG320" s="316">
        <v>1.7661458738708549</v>
      </c>
      <c r="DH320" s="316">
        <v>13.643366255934502</v>
      </c>
      <c r="DI320" s="316">
        <v>1.563789465276193</v>
      </c>
      <c r="DJ320" s="316">
        <v>1.3925557091066323</v>
      </c>
      <c r="DK320" s="316">
        <v>23.131304899402526</v>
      </c>
      <c r="DL320" s="316">
        <v>1.9295721089040818</v>
      </c>
      <c r="DM320" s="316">
        <v>1.4832985522586397</v>
      </c>
      <c r="DN320" s="318">
        <v>11.804466063702753</v>
      </c>
      <c r="DO320" s="316">
        <v>2.7120825463306559</v>
      </c>
      <c r="DP320" s="316">
        <v>1.9087653682802499</v>
      </c>
      <c r="DQ320" s="316">
        <v>11.814664833342544</v>
      </c>
      <c r="DR320" s="316">
        <v>1.774924827745511</v>
      </c>
      <c r="DS320" s="316">
        <v>1.9889075146440458</v>
      </c>
      <c r="DT320" s="316">
        <v>9.3303807407873034</v>
      </c>
      <c r="DU320" s="316">
        <v>5.5454357326633161</v>
      </c>
      <c r="DV320" s="316">
        <v>2.3027182383025888</v>
      </c>
      <c r="DW320" s="316">
        <v>21.957757168003475</v>
      </c>
      <c r="DX320" s="316">
        <v>2.4738407906141884</v>
      </c>
      <c r="DY320" s="316">
        <v>2.2063495977070189</v>
      </c>
      <c r="DZ320" s="318">
        <v>15.503657128358569</v>
      </c>
      <c r="EA320" s="316">
        <v>2.5487777780071084</v>
      </c>
      <c r="EB320" s="316">
        <v>2.3197191764111311</v>
      </c>
      <c r="EC320" s="316">
        <v>12.880589214436329</v>
      </c>
      <c r="ED320" s="316">
        <v>3.4812777399869472</v>
      </c>
      <c r="EE320" s="316">
        <v>2.5461581451693878</v>
      </c>
      <c r="EF320" s="316">
        <v>11.487073045852295</v>
      </c>
      <c r="EG320" s="316">
        <v>5.7864659374298659</v>
      </c>
      <c r="EH320" s="316">
        <v>2.4137550875890854</v>
      </c>
      <c r="EI320" s="316">
        <v>20.357989746702554</v>
      </c>
      <c r="EJ320" s="316">
        <v>15.045554025815004</v>
      </c>
      <c r="EK320" s="316">
        <v>2.5898858668749485</v>
      </c>
      <c r="EL320" s="318">
        <v>16.65612272617108</v>
      </c>
      <c r="EM320" s="316">
        <v>8.0171895217000007</v>
      </c>
      <c r="EN320" s="316">
        <v>7.6326909110000001</v>
      </c>
      <c r="EO320" s="316">
        <v>19.951550846</v>
      </c>
      <c r="EP320" s="316">
        <v>8.7253771568000023</v>
      </c>
      <c r="EQ320" s="316">
        <v>7.3900947737899996</v>
      </c>
      <c r="ER320" s="316">
        <v>22.995967151999999</v>
      </c>
      <c r="ES320" s="316">
        <v>11.053207402549821</v>
      </c>
      <c r="ET320" s="316">
        <v>6.7440808205887608</v>
      </c>
      <c r="EU320" s="316">
        <v>20.469464532859995</v>
      </c>
      <c r="EV320" s="316">
        <v>21.805136288621988</v>
      </c>
      <c r="EW320" s="316">
        <v>10.348055409617599</v>
      </c>
      <c r="EX320" s="318">
        <v>26.064018340025321</v>
      </c>
      <c r="EY320" s="316">
        <v>5.6691317566124999</v>
      </c>
      <c r="EZ320" s="316">
        <v>3.1584593709499997</v>
      </c>
      <c r="FA320" s="316">
        <v>23.148635784902499</v>
      </c>
      <c r="FB320" s="316">
        <v>4.3420843856999998</v>
      </c>
      <c r="FC320" s="316">
        <v>2.4796031522664999</v>
      </c>
      <c r="FD320" s="316">
        <v>21.718577542074001</v>
      </c>
      <c r="FE320" s="316">
        <v>2.4194112470485001</v>
      </c>
      <c r="FF320" s="316">
        <v>3.0752299747500063</v>
      </c>
      <c r="FG320" s="316">
        <v>10.436133959299999</v>
      </c>
      <c r="FH320" s="316">
        <v>31.031957757000001</v>
      </c>
      <c r="FI320" s="316">
        <v>2.4544786861899999</v>
      </c>
      <c r="FJ320" s="318">
        <v>27.622070599212503</v>
      </c>
      <c r="FK320" s="316">
        <v>2.0141423475025002</v>
      </c>
      <c r="FL320" s="316">
        <v>5.8497418773370002</v>
      </c>
      <c r="FM320" s="316">
        <v>25.919240270311001</v>
      </c>
      <c r="FN320" s="316">
        <v>1.8741215365647395</v>
      </c>
      <c r="FO320" s="316">
        <v>3.8368395035358707</v>
      </c>
      <c r="FP320" s="316">
        <v>25.124649633900006</v>
      </c>
      <c r="FQ320" s="316">
        <v>1.8790977295475906</v>
      </c>
      <c r="FR320" s="316">
        <v>2.0360644351414678</v>
      </c>
      <c r="FS320" s="316">
        <v>38.096511741148568</v>
      </c>
      <c r="FT320" s="316">
        <v>4.8361935634721194</v>
      </c>
      <c r="FU320" s="316">
        <v>4.0635507007919651</v>
      </c>
      <c r="FV320" s="316">
        <v>30.093867868906994</v>
      </c>
      <c r="FW320" s="316">
        <v>3.0931157336716786</v>
      </c>
      <c r="FX320" s="316">
        <v>2.9578170754016724</v>
      </c>
      <c r="FY320" s="316">
        <v>31.590570183253917</v>
      </c>
      <c r="FZ320" s="316">
        <v>2.7444128197145288</v>
      </c>
      <c r="GA320" s="316">
        <v>3.500495736710513</v>
      </c>
      <c r="GB320" s="316">
        <v>33.653427418945277</v>
      </c>
      <c r="GC320" s="316">
        <v>3.2643601404860303</v>
      </c>
      <c r="GD320" s="316">
        <v>4.1383682588390167</v>
      </c>
      <c r="GE320" s="316">
        <v>60.201149115922632</v>
      </c>
      <c r="GF320" s="316">
        <v>3.7721243841979328</v>
      </c>
      <c r="GG320" s="316">
        <v>4.081840411819174</v>
      </c>
      <c r="GH320" s="316">
        <v>40.579637130642141</v>
      </c>
      <c r="GI320" s="316">
        <v>2.98730281723526</v>
      </c>
      <c r="GJ320" s="316">
        <v>4.8915192968696362</v>
      </c>
      <c r="GK320" s="316">
        <v>40.161849262949666</v>
      </c>
      <c r="GL320" s="316">
        <v>3.7883739249904789</v>
      </c>
      <c r="GM320" s="316">
        <v>3.8465113186388544</v>
      </c>
      <c r="GN320" s="316">
        <v>43.984218038250795</v>
      </c>
      <c r="GO320" s="316">
        <v>5.1486260659438763</v>
      </c>
      <c r="GP320" s="316">
        <v>2.6027649612893375</v>
      </c>
      <c r="GQ320" s="316">
        <v>75.442302689699162</v>
      </c>
      <c r="GR320" s="316">
        <v>24.556008839</v>
      </c>
      <c r="GS320" s="316">
        <v>6.7257222309999998</v>
      </c>
      <c r="GT320" s="316">
        <v>58.147585100999997</v>
      </c>
      <c r="GU320" s="316">
        <v>9.3836815189999996</v>
      </c>
      <c r="GV320" s="316">
        <v>6.9028595749999999</v>
      </c>
      <c r="GW320" s="316">
        <v>50.017063280000002</v>
      </c>
      <c r="GX320" s="316">
        <v>21.154606075</v>
      </c>
      <c r="GY320" s="316">
        <v>7.467787006</v>
      </c>
      <c r="GZ320" s="316">
        <v>65.672315490000003</v>
      </c>
      <c r="HA320" s="316">
        <v>17.039462058000002</v>
      </c>
      <c r="HB320" s="316">
        <v>8.5030904650366406</v>
      </c>
      <c r="HC320" s="316">
        <v>33.034236874999998</v>
      </c>
      <c r="HD320" s="316">
        <v>57.19510828904</v>
      </c>
      <c r="HE320" s="316">
        <v>11.901532768999999</v>
      </c>
      <c r="HF320" s="316">
        <v>68.840429567951205</v>
      </c>
      <c r="HG320" s="316">
        <v>11.234767102999999</v>
      </c>
      <c r="HH320" s="316">
        <v>10.494336979</v>
      </c>
      <c r="HI320" s="316">
        <v>71.037801744999996</v>
      </c>
      <c r="HJ320" s="316">
        <v>15.845187838999999</v>
      </c>
      <c r="HK320" s="316">
        <v>9.0369099019999997</v>
      </c>
      <c r="HL320" s="316">
        <v>80.714143116000002</v>
      </c>
      <c r="HM320" s="316"/>
      <c r="KH320" s="303"/>
    </row>
    <row r="321" spans="1:324" outlineLevel="1">
      <c r="A321" s="117" t="s">
        <v>422</v>
      </c>
      <c r="B321" s="117" t="s">
        <v>361</v>
      </c>
      <c r="D321" s="344" t="s">
        <v>498</v>
      </c>
      <c r="E321" s="316"/>
      <c r="F321" s="316"/>
      <c r="G321" s="316"/>
      <c r="H321" s="316"/>
      <c r="I321" s="316"/>
      <c r="J321" s="316"/>
      <c r="K321" s="316"/>
      <c r="L321" s="316"/>
      <c r="M321" s="316"/>
      <c r="N321" s="316"/>
      <c r="O321" s="316"/>
      <c r="P321" s="316"/>
      <c r="Q321" s="316"/>
      <c r="R321" s="316"/>
      <c r="S321" s="316"/>
      <c r="T321" s="316"/>
      <c r="U321" s="316"/>
      <c r="V321" s="316"/>
      <c r="W321" s="316"/>
      <c r="X321" s="316"/>
      <c r="Y321" s="316"/>
      <c r="Z321" s="316"/>
      <c r="AA321" s="316"/>
      <c r="AB321" s="316"/>
      <c r="AC321" s="316"/>
      <c r="AD321" s="316"/>
      <c r="AE321" s="316"/>
      <c r="AF321" s="316"/>
      <c r="AG321" s="316"/>
      <c r="AH321" s="316"/>
      <c r="AI321" s="316"/>
      <c r="AJ321" s="316"/>
      <c r="AK321" s="316"/>
      <c r="AL321" s="316"/>
      <c r="AM321" s="316"/>
      <c r="AN321" s="316"/>
      <c r="AO321" s="316"/>
      <c r="AP321" s="316"/>
      <c r="AQ321" s="316"/>
      <c r="AR321" s="316"/>
      <c r="AS321" s="316"/>
      <c r="AT321" s="316"/>
      <c r="AU321" s="316"/>
      <c r="AV321" s="316"/>
      <c r="AW321" s="316"/>
      <c r="AX321" s="316"/>
      <c r="AY321" s="316"/>
      <c r="AZ321" s="316"/>
      <c r="BA321" s="316"/>
      <c r="BB321" s="316"/>
      <c r="BC321" s="316"/>
      <c r="BD321" s="316"/>
      <c r="BE321" s="316"/>
      <c r="BF321" s="316"/>
      <c r="BG321" s="316"/>
      <c r="BH321" s="316"/>
      <c r="BI321" s="316"/>
      <c r="BJ321" s="316"/>
      <c r="BK321" s="316"/>
      <c r="BL321" s="316"/>
      <c r="BM321" s="316"/>
      <c r="BN321" s="316"/>
      <c r="BO321" s="316"/>
      <c r="BP321" s="316"/>
      <c r="BQ321" s="316"/>
      <c r="BR321" s="316"/>
      <c r="BS321" s="316"/>
      <c r="BT321" s="316"/>
      <c r="BU321" s="316"/>
      <c r="BV321" s="316"/>
      <c r="BW321" s="316"/>
      <c r="BX321" s="316"/>
      <c r="BY321" s="316"/>
      <c r="BZ321" s="316"/>
      <c r="CA321" s="316"/>
      <c r="CB321" s="316"/>
      <c r="CC321" s="316"/>
      <c r="CD321" s="316"/>
      <c r="CE321" s="317">
        <v>0.53411346999999998</v>
      </c>
      <c r="CF321" s="316">
        <v>9.5546687000000005E-2</v>
      </c>
      <c r="CG321" s="316">
        <v>0.173315683</v>
      </c>
      <c r="CH321" s="316">
        <v>9.4277320999999997E-2</v>
      </c>
      <c r="CI321" s="316">
        <v>7.9005735999999993E-2</v>
      </c>
      <c r="CJ321" s="316">
        <v>0.15383042</v>
      </c>
      <c r="CK321" s="316">
        <v>3.4969736000000001E-2</v>
      </c>
      <c r="CL321" s="316">
        <v>0.11421437299999999</v>
      </c>
      <c r="CM321" s="316">
        <v>3.2996980000000002E-2</v>
      </c>
      <c r="CN321" s="316">
        <v>6.3725954000000001E-2</v>
      </c>
      <c r="CO321" s="316">
        <v>0.18275960899999999</v>
      </c>
      <c r="CP321" s="318">
        <v>0.14168683500000001</v>
      </c>
      <c r="CQ321" s="316">
        <v>0.69328922599999998</v>
      </c>
      <c r="CR321" s="316">
        <v>1.1469060999999999E-2</v>
      </c>
      <c r="CS321" s="316">
        <v>0.148508689</v>
      </c>
      <c r="CT321" s="316">
        <v>1.3437433E-2</v>
      </c>
      <c r="CU321" s="316">
        <v>5.7819868000000003E-2</v>
      </c>
      <c r="CV321" s="316">
        <v>0.23990425500000001</v>
      </c>
      <c r="CW321" s="316">
        <v>6.6524533999999996E-2</v>
      </c>
      <c r="CX321" s="316">
        <v>0.13973018000000001</v>
      </c>
      <c r="CY321" s="316">
        <v>0.21324430999999999</v>
      </c>
      <c r="CZ321" s="316">
        <v>8.0133698000000003E-2</v>
      </c>
      <c r="DA321" s="316">
        <v>1.049353894</v>
      </c>
      <c r="DB321" s="1498">
        <v>6.5593282000000003E-2</v>
      </c>
      <c r="DC321" s="316">
        <v>0.84800550753526072</v>
      </c>
      <c r="DD321" s="316">
        <v>1.133079007681527E-2</v>
      </c>
      <c r="DE321" s="316">
        <v>0.13980076026822338</v>
      </c>
      <c r="DF321" s="316">
        <v>1.3645711687930745E-2</v>
      </c>
      <c r="DG321" s="316">
        <v>7.1546401201005583E-2</v>
      </c>
      <c r="DH321" s="316">
        <v>0.28003812268042177</v>
      </c>
      <c r="DI321" s="316">
        <v>8.5296302059148024E-2</v>
      </c>
      <c r="DJ321" s="316">
        <v>0.16846364779854342</v>
      </c>
      <c r="DK321" s="316">
        <v>0.24929011771830573</v>
      </c>
      <c r="DL321" s="316">
        <v>8.2683918962252689E-2</v>
      </c>
      <c r="DM321" s="316">
        <v>1.2281147387303275</v>
      </c>
      <c r="DN321" s="318">
        <v>7.3837698069873031E-2</v>
      </c>
      <c r="DO321" s="316">
        <v>0</v>
      </c>
      <c r="DP321" s="316">
        <v>0</v>
      </c>
      <c r="DQ321" s="316">
        <v>0</v>
      </c>
      <c r="DR321" s="316">
        <v>0</v>
      </c>
      <c r="DS321" s="316">
        <v>0</v>
      </c>
      <c r="DT321" s="316">
        <v>0</v>
      </c>
      <c r="DU321" s="316">
        <v>0</v>
      </c>
      <c r="DV321" s="316">
        <v>0</v>
      </c>
      <c r="DW321" s="316">
        <v>0</v>
      </c>
      <c r="DX321" s="316">
        <v>0</v>
      </c>
      <c r="DY321" s="316">
        <v>0</v>
      </c>
      <c r="DZ321" s="318">
        <v>0</v>
      </c>
      <c r="EA321" s="316">
        <v>0</v>
      </c>
      <c r="EB321" s="316">
        <v>0</v>
      </c>
      <c r="EC321" s="316">
        <v>0</v>
      </c>
      <c r="ED321" s="316">
        <v>0</v>
      </c>
      <c r="EE321" s="316">
        <v>0</v>
      </c>
      <c r="EF321" s="316">
        <v>0</v>
      </c>
      <c r="EG321" s="316">
        <v>0</v>
      </c>
      <c r="EH321" s="316">
        <v>0</v>
      </c>
      <c r="EI321" s="316">
        <v>0</v>
      </c>
      <c r="EJ321" s="316">
        <v>0</v>
      </c>
      <c r="EK321" s="316">
        <v>0</v>
      </c>
      <c r="EL321" s="318">
        <v>0</v>
      </c>
      <c r="EM321" s="316">
        <v>3.6887334628199997</v>
      </c>
      <c r="EN321" s="316">
        <v>4.7883386559700005</v>
      </c>
      <c r="EO321" s="316">
        <v>7.6775502178000004</v>
      </c>
      <c r="EP321" s="316">
        <v>9.6955604814799994</v>
      </c>
      <c r="EQ321" s="316">
        <v>3.90632631699</v>
      </c>
      <c r="ER321" s="316">
        <v>12.666190216690001</v>
      </c>
      <c r="ES321" s="316">
        <v>7.547110605930178</v>
      </c>
      <c r="ET321" s="316">
        <v>5.286249336151239</v>
      </c>
      <c r="EU321" s="316">
        <v>7.504321041880007</v>
      </c>
      <c r="EV321" s="316">
        <v>10.052632063378015</v>
      </c>
      <c r="EW321" s="316">
        <v>7.1082404520664015</v>
      </c>
      <c r="EX321" s="318">
        <v>23.354547525352729</v>
      </c>
      <c r="EY321" s="316">
        <v>0</v>
      </c>
      <c r="EZ321" s="316">
        <v>0.34146773000000002</v>
      </c>
      <c r="FA321" s="316">
        <v>0</v>
      </c>
      <c r="FB321" s="316">
        <v>0</v>
      </c>
      <c r="FC321" s="316">
        <v>0</v>
      </c>
      <c r="FD321" s="316">
        <v>6.9629299999999996E-4</v>
      </c>
      <c r="FE321" s="316">
        <v>6.9629299999999996E-4</v>
      </c>
      <c r="FF321" s="316">
        <v>6.9629299999999996E-4</v>
      </c>
      <c r="FG321" s="316">
        <v>6.9629299999999996E-4</v>
      </c>
      <c r="FH321" s="316">
        <v>6.9629299999999996E-4</v>
      </c>
      <c r="FI321" s="316">
        <v>6.9629299999999996E-4</v>
      </c>
      <c r="FJ321" s="318">
        <v>6.9629299999999996E-4</v>
      </c>
      <c r="FK321" s="316">
        <v>0.15203960799999999</v>
      </c>
      <c r="FL321" s="316">
        <v>0.63250310700000001</v>
      </c>
      <c r="FM321" s="316">
        <v>0.35404179699999999</v>
      </c>
      <c r="FN321" s="316">
        <v>0.25985228386290415</v>
      </c>
      <c r="FO321" s="316">
        <v>0.81613718729822671</v>
      </c>
      <c r="FP321" s="316">
        <v>9.0508248031688412E-3</v>
      </c>
      <c r="FQ321" s="316">
        <v>0.15042471759955364</v>
      </c>
      <c r="FR321" s="316">
        <v>6.0520773332907188E-2</v>
      </c>
      <c r="FS321" s="316">
        <v>0.47881450222663779</v>
      </c>
      <c r="FT321" s="316">
        <v>0.12742271017833698</v>
      </c>
      <c r="FU321" s="316">
        <v>0.60378892016516228</v>
      </c>
      <c r="FV321" s="316">
        <v>0.31048720798174972</v>
      </c>
      <c r="FW321" s="316">
        <v>6.5623334615857107E-2</v>
      </c>
      <c r="FX321" s="316">
        <v>1.2071917479688861</v>
      </c>
      <c r="FY321" s="316">
        <v>0.80335211083950586</v>
      </c>
      <c r="FZ321" s="316">
        <v>0.41406320961902249</v>
      </c>
      <c r="GA321" s="316">
        <v>0.98389797503674348</v>
      </c>
      <c r="GB321" s="316">
        <v>1.0915625291216942</v>
      </c>
      <c r="GC321" s="316">
        <v>7.9299468192470537E-2</v>
      </c>
      <c r="GD321" s="316">
        <v>0.98502309928981702</v>
      </c>
      <c r="GE321" s="316">
        <v>0</v>
      </c>
      <c r="GF321" s="316">
        <v>0.13366768021994574</v>
      </c>
      <c r="GG321" s="316">
        <v>0.97348491510014123</v>
      </c>
      <c r="GH321" s="316">
        <v>0.11745339428090311</v>
      </c>
      <c r="GI321" s="316">
        <v>7.8146036950115433E-2</v>
      </c>
      <c r="GJ321" s="316">
        <v>8.1245590089511141E-2</v>
      </c>
      <c r="GK321" s="316">
        <v>1.0339323260440725</v>
      </c>
      <c r="GL321" s="316">
        <v>0</v>
      </c>
      <c r="GM321" s="316">
        <v>0</v>
      </c>
      <c r="GN321" s="316">
        <v>2.4637463182604151E-3</v>
      </c>
      <c r="GO321" s="316">
        <v>0.37901251764753963</v>
      </c>
      <c r="GP321" s="316">
        <v>3.971781371087859E-2</v>
      </c>
      <c r="GQ321" s="316">
        <v>1.0656637222465877</v>
      </c>
      <c r="GR321" s="316">
        <v>0.63129894900000005</v>
      </c>
      <c r="GS321" s="316">
        <v>0.13021236899999999</v>
      </c>
      <c r="GT321" s="316">
        <v>0.96422281600000004</v>
      </c>
      <c r="GU321" s="316">
        <v>0</v>
      </c>
      <c r="GV321" s="316">
        <v>7.9686816999999993E-2</v>
      </c>
      <c r="GW321" s="316">
        <v>1.1702979069999999</v>
      </c>
      <c r="GX321" s="316">
        <v>3.24381E-4</v>
      </c>
      <c r="GY321" s="316">
        <v>4.75596E-4</v>
      </c>
      <c r="GZ321" s="316">
        <v>1.0520168560000001</v>
      </c>
      <c r="HA321" s="316">
        <v>5.1468436999999999E-2</v>
      </c>
      <c r="HB321" s="316">
        <v>0.11002011</v>
      </c>
      <c r="HC321" s="316">
        <v>1.061378929</v>
      </c>
      <c r="HD321" s="316">
        <v>5.7080034000000002E-2</v>
      </c>
      <c r="HE321" s="316">
        <v>0</v>
      </c>
      <c r="HF321" s="316">
        <v>1.0351736600000001</v>
      </c>
      <c r="HG321" s="316">
        <v>0</v>
      </c>
      <c r="HH321" s="316">
        <v>0.119279466</v>
      </c>
      <c r="HI321" s="316">
        <v>1.1183858980000001</v>
      </c>
      <c r="HJ321" s="316">
        <v>4.5482525000000003E-2</v>
      </c>
      <c r="HK321" s="316">
        <v>0</v>
      </c>
      <c r="HL321" s="316">
        <v>0.98615932900000003</v>
      </c>
      <c r="HM321" s="316"/>
      <c r="KH321" s="303"/>
    </row>
    <row r="322" spans="1:324" outlineLevel="1">
      <c r="A322" s="117" t="s">
        <v>422</v>
      </c>
      <c r="B322" s="117" t="s">
        <v>361</v>
      </c>
      <c r="D322" s="343" t="s">
        <v>499</v>
      </c>
      <c r="E322" s="316"/>
      <c r="F322" s="316"/>
      <c r="G322" s="316"/>
      <c r="H322" s="316"/>
      <c r="I322" s="316"/>
      <c r="J322" s="316"/>
      <c r="K322" s="316"/>
      <c r="L322" s="316"/>
      <c r="M322" s="316"/>
      <c r="N322" s="316"/>
      <c r="O322" s="316"/>
      <c r="P322" s="316"/>
      <c r="Q322" s="316"/>
      <c r="R322" s="316"/>
      <c r="S322" s="316"/>
      <c r="T322" s="316"/>
      <c r="U322" s="316"/>
      <c r="V322" s="316"/>
      <c r="W322" s="316"/>
      <c r="X322" s="316"/>
      <c r="Y322" s="316"/>
      <c r="Z322" s="316"/>
      <c r="AA322" s="316"/>
      <c r="AB322" s="316"/>
      <c r="AC322" s="316"/>
      <c r="AD322" s="316"/>
      <c r="AE322" s="316"/>
      <c r="AF322" s="316"/>
      <c r="AG322" s="316"/>
      <c r="AH322" s="316"/>
      <c r="AI322" s="316"/>
      <c r="AJ322" s="316"/>
      <c r="AK322" s="316"/>
      <c r="AL322" s="316"/>
      <c r="AM322" s="316"/>
      <c r="AN322" s="316"/>
      <c r="AO322" s="316"/>
      <c r="AP322" s="316"/>
      <c r="AQ322" s="316"/>
      <c r="AR322" s="316"/>
      <c r="AS322" s="316"/>
      <c r="AT322" s="316"/>
      <c r="AU322" s="316"/>
      <c r="AV322" s="316"/>
      <c r="AW322" s="316"/>
      <c r="AX322" s="316"/>
      <c r="AY322" s="316"/>
      <c r="AZ322" s="316"/>
      <c r="BA322" s="316"/>
      <c r="BB322" s="316"/>
      <c r="BC322" s="316"/>
      <c r="BD322" s="316"/>
      <c r="BE322" s="316"/>
      <c r="BF322" s="316"/>
      <c r="BG322" s="316"/>
      <c r="BH322" s="316"/>
      <c r="BI322" s="316"/>
      <c r="BJ322" s="316"/>
      <c r="BK322" s="316"/>
      <c r="BL322" s="316"/>
      <c r="BM322" s="316"/>
      <c r="BN322" s="316"/>
      <c r="BO322" s="316"/>
      <c r="BP322" s="316"/>
      <c r="BQ322" s="316"/>
      <c r="BR322" s="316"/>
      <c r="BS322" s="316"/>
      <c r="BT322" s="316"/>
      <c r="BU322" s="316"/>
      <c r="BV322" s="316"/>
      <c r="BW322" s="316"/>
      <c r="BX322" s="316"/>
      <c r="BY322" s="316"/>
      <c r="BZ322" s="316"/>
      <c r="CA322" s="316"/>
      <c r="CB322" s="316"/>
      <c r="CC322" s="316"/>
      <c r="CD322" s="316"/>
      <c r="CE322" s="317">
        <v>0</v>
      </c>
      <c r="CF322" s="316">
        <v>0</v>
      </c>
      <c r="CG322" s="316">
        <v>0</v>
      </c>
      <c r="CH322" s="316">
        <v>0</v>
      </c>
      <c r="CI322" s="316">
        <v>0</v>
      </c>
      <c r="CJ322" s="316">
        <v>0</v>
      </c>
      <c r="CK322" s="316">
        <v>0</v>
      </c>
      <c r="CL322" s="316">
        <v>0</v>
      </c>
      <c r="CM322" s="316">
        <v>0</v>
      </c>
      <c r="CN322" s="316">
        <v>0</v>
      </c>
      <c r="CO322" s="316">
        <v>0</v>
      </c>
      <c r="CP322" s="318">
        <v>0</v>
      </c>
      <c r="CQ322" s="316">
        <v>0</v>
      </c>
      <c r="CR322" s="316">
        <v>0</v>
      </c>
      <c r="CS322" s="316">
        <v>0</v>
      </c>
      <c r="CT322" s="316">
        <v>0</v>
      </c>
      <c r="CU322" s="316">
        <v>0</v>
      </c>
      <c r="CV322" s="316">
        <v>0</v>
      </c>
      <c r="CW322" s="316">
        <v>0</v>
      </c>
      <c r="CX322" s="316">
        <v>0</v>
      </c>
      <c r="CY322" s="316">
        <v>0</v>
      </c>
      <c r="CZ322" s="316">
        <v>0</v>
      </c>
      <c r="DA322" s="316">
        <v>0</v>
      </c>
      <c r="DB322" s="1498">
        <v>0</v>
      </c>
      <c r="DC322" s="316">
        <v>0</v>
      </c>
      <c r="DD322" s="316">
        <v>0</v>
      </c>
      <c r="DE322" s="316">
        <v>0</v>
      </c>
      <c r="DF322" s="316">
        <v>0</v>
      </c>
      <c r="DG322" s="316">
        <v>0</v>
      </c>
      <c r="DH322" s="316">
        <v>0</v>
      </c>
      <c r="DI322" s="316">
        <v>0</v>
      </c>
      <c r="DJ322" s="316">
        <v>0</v>
      </c>
      <c r="DK322" s="316">
        <v>0</v>
      </c>
      <c r="DL322" s="316">
        <v>0</v>
      </c>
      <c r="DM322" s="316">
        <v>0</v>
      </c>
      <c r="DN322" s="318">
        <v>0</v>
      </c>
      <c r="DO322" s="316">
        <v>0</v>
      </c>
      <c r="DP322" s="316">
        <v>0</v>
      </c>
      <c r="DQ322" s="316">
        <v>0</v>
      </c>
      <c r="DR322" s="316">
        <v>0</v>
      </c>
      <c r="DS322" s="316">
        <v>0</v>
      </c>
      <c r="DT322" s="316">
        <v>0</v>
      </c>
      <c r="DU322" s="316">
        <v>0</v>
      </c>
      <c r="DV322" s="316">
        <v>0</v>
      </c>
      <c r="DW322" s="316">
        <v>0</v>
      </c>
      <c r="DX322" s="316">
        <v>0</v>
      </c>
      <c r="DY322" s="316">
        <v>0</v>
      </c>
      <c r="DZ322" s="318">
        <v>0</v>
      </c>
      <c r="EA322" s="316">
        <v>0</v>
      </c>
      <c r="EB322" s="316">
        <v>0</v>
      </c>
      <c r="EC322" s="316">
        <v>0</v>
      </c>
      <c r="ED322" s="316">
        <v>0</v>
      </c>
      <c r="EE322" s="316">
        <v>0</v>
      </c>
      <c r="EF322" s="316">
        <v>0</v>
      </c>
      <c r="EG322" s="316">
        <v>0</v>
      </c>
      <c r="EH322" s="316">
        <v>0</v>
      </c>
      <c r="EI322" s="316">
        <v>0</v>
      </c>
      <c r="EJ322" s="316">
        <v>0</v>
      </c>
      <c r="EK322" s="316">
        <v>0</v>
      </c>
      <c r="EL322" s="318">
        <v>0</v>
      </c>
      <c r="EM322" s="316">
        <v>0</v>
      </c>
      <c r="EN322" s="316">
        <v>0</v>
      </c>
      <c r="EO322" s="316">
        <v>0</v>
      </c>
      <c r="EP322" s="316">
        <v>0</v>
      </c>
      <c r="EQ322" s="316">
        <v>0</v>
      </c>
      <c r="ER322" s="316">
        <v>0</v>
      </c>
      <c r="ES322" s="316">
        <v>0</v>
      </c>
      <c r="ET322" s="316">
        <v>0</v>
      </c>
      <c r="EU322" s="316">
        <v>0</v>
      </c>
      <c r="EV322" s="316">
        <v>0</v>
      </c>
      <c r="EW322" s="316">
        <v>0</v>
      </c>
      <c r="EX322" s="318">
        <v>0</v>
      </c>
      <c r="EY322" s="316">
        <v>0</v>
      </c>
      <c r="EZ322" s="316">
        <v>0</v>
      </c>
      <c r="FA322" s="316">
        <v>0</v>
      </c>
      <c r="FB322" s="316">
        <v>0</v>
      </c>
      <c r="FC322" s="316">
        <v>0</v>
      </c>
      <c r="FD322" s="316">
        <v>0</v>
      </c>
      <c r="FE322" s="316">
        <v>0</v>
      </c>
      <c r="FF322" s="316">
        <v>0</v>
      </c>
      <c r="FG322" s="316">
        <v>0</v>
      </c>
      <c r="FH322" s="316">
        <v>0</v>
      </c>
      <c r="FI322" s="316">
        <v>0</v>
      </c>
      <c r="FJ322" s="318">
        <v>0</v>
      </c>
      <c r="FK322" s="316">
        <v>0</v>
      </c>
      <c r="FL322" s="316">
        <v>0</v>
      </c>
      <c r="FM322" s="316">
        <v>0</v>
      </c>
      <c r="FN322" s="316">
        <v>0</v>
      </c>
      <c r="FO322" s="316">
        <v>0</v>
      </c>
      <c r="FP322" s="316">
        <v>0</v>
      </c>
      <c r="FQ322" s="316">
        <v>0</v>
      </c>
      <c r="FR322" s="316">
        <v>0</v>
      </c>
      <c r="FS322" s="316">
        <v>0</v>
      </c>
      <c r="FT322" s="316">
        <v>0</v>
      </c>
      <c r="FU322" s="316">
        <v>0</v>
      </c>
      <c r="FV322" s="316">
        <v>0</v>
      </c>
      <c r="FW322" s="316">
        <v>0</v>
      </c>
      <c r="FX322" s="316">
        <v>0</v>
      </c>
      <c r="FY322" s="316">
        <v>0</v>
      </c>
      <c r="FZ322" s="316">
        <v>0</v>
      </c>
      <c r="GA322" s="316">
        <v>0</v>
      </c>
      <c r="GB322" s="316">
        <v>0</v>
      </c>
      <c r="GC322" s="316">
        <v>0</v>
      </c>
      <c r="GD322" s="316">
        <v>0</v>
      </c>
      <c r="GE322" s="316">
        <v>0</v>
      </c>
      <c r="GF322" s="316">
        <v>0</v>
      </c>
      <c r="GG322" s="316">
        <v>0</v>
      </c>
      <c r="GH322" s="316">
        <v>0</v>
      </c>
      <c r="GI322" s="316">
        <v>0</v>
      </c>
      <c r="GJ322" s="316">
        <v>0</v>
      </c>
      <c r="GK322" s="316">
        <v>0</v>
      </c>
      <c r="GL322" s="316">
        <v>0</v>
      </c>
      <c r="GM322" s="316">
        <v>0</v>
      </c>
      <c r="GN322" s="316">
        <v>0</v>
      </c>
      <c r="GO322" s="316">
        <v>0</v>
      </c>
      <c r="GP322" s="316">
        <v>0</v>
      </c>
      <c r="GQ322" s="316">
        <v>0</v>
      </c>
      <c r="GR322" s="316">
        <v>0</v>
      </c>
      <c r="GS322" s="316">
        <v>0</v>
      </c>
      <c r="GT322" s="316">
        <v>0</v>
      </c>
      <c r="GU322" s="316">
        <v>0</v>
      </c>
      <c r="GV322" s="316">
        <v>0</v>
      </c>
      <c r="GW322" s="316">
        <v>0</v>
      </c>
      <c r="GX322" s="316">
        <v>0</v>
      </c>
      <c r="GY322" s="316">
        <v>0</v>
      </c>
      <c r="GZ322" s="316">
        <v>0</v>
      </c>
      <c r="HA322" s="316">
        <v>0</v>
      </c>
      <c r="HB322" s="316">
        <v>0</v>
      </c>
      <c r="HC322" s="316">
        <v>0</v>
      </c>
      <c r="HD322" s="316">
        <v>0</v>
      </c>
      <c r="HE322" s="316">
        <v>0</v>
      </c>
      <c r="HF322" s="316">
        <v>0</v>
      </c>
      <c r="HG322" s="316">
        <v>0</v>
      </c>
      <c r="HH322" s="316">
        <v>0</v>
      </c>
      <c r="HI322" s="316">
        <v>0</v>
      </c>
      <c r="HJ322" s="316">
        <v>0</v>
      </c>
      <c r="HK322" s="316">
        <v>0</v>
      </c>
      <c r="HL322" s="316">
        <v>0</v>
      </c>
      <c r="HM322" s="316"/>
      <c r="KH322" s="303"/>
    </row>
    <row r="323" spans="1:324" outlineLevel="1">
      <c r="A323" s="117" t="s">
        <v>422</v>
      </c>
      <c r="B323" s="117" t="s">
        <v>361</v>
      </c>
      <c r="D323" s="343" t="s">
        <v>500</v>
      </c>
      <c r="E323" s="316"/>
      <c r="F323" s="316"/>
      <c r="G323" s="316"/>
      <c r="H323" s="316"/>
      <c r="I323" s="316"/>
      <c r="J323" s="316"/>
      <c r="K323" s="316"/>
      <c r="L323" s="316"/>
      <c r="M323" s="316"/>
      <c r="N323" s="316"/>
      <c r="O323" s="316"/>
      <c r="P323" s="316"/>
      <c r="Q323" s="316"/>
      <c r="R323" s="316"/>
      <c r="S323" s="316"/>
      <c r="T323" s="316"/>
      <c r="U323" s="316"/>
      <c r="V323" s="316"/>
      <c r="W323" s="316"/>
      <c r="X323" s="316"/>
      <c r="Y323" s="316"/>
      <c r="Z323" s="316"/>
      <c r="AA323" s="316"/>
      <c r="AB323" s="316"/>
      <c r="AC323" s="316"/>
      <c r="AD323" s="316"/>
      <c r="AE323" s="316"/>
      <c r="AF323" s="316"/>
      <c r="AG323" s="316"/>
      <c r="AH323" s="316"/>
      <c r="AI323" s="316"/>
      <c r="AJ323" s="316"/>
      <c r="AK323" s="316"/>
      <c r="AL323" s="316"/>
      <c r="AM323" s="316"/>
      <c r="AN323" s="316"/>
      <c r="AO323" s="316"/>
      <c r="AP323" s="316"/>
      <c r="AQ323" s="316"/>
      <c r="AR323" s="316"/>
      <c r="AS323" s="316"/>
      <c r="AT323" s="316"/>
      <c r="AU323" s="316"/>
      <c r="AV323" s="316"/>
      <c r="AW323" s="316"/>
      <c r="AX323" s="316"/>
      <c r="AY323" s="316"/>
      <c r="AZ323" s="316"/>
      <c r="BA323" s="316"/>
      <c r="BB323" s="316"/>
      <c r="BC323" s="316"/>
      <c r="BD323" s="316"/>
      <c r="BE323" s="316"/>
      <c r="BF323" s="316"/>
      <c r="BG323" s="316"/>
      <c r="BH323" s="316"/>
      <c r="BI323" s="316"/>
      <c r="BJ323" s="316"/>
      <c r="BK323" s="316"/>
      <c r="BL323" s="316"/>
      <c r="BM323" s="316"/>
      <c r="BN323" s="316"/>
      <c r="BO323" s="316"/>
      <c r="BP323" s="316"/>
      <c r="BQ323" s="316"/>
      <c r="BR323" s="316"/>
      <c r="BS323" s="316"/>
      <c r="BT323" s="316"/>
      <c r="BU323" s="316"/>
      <c r="BV323" s="316"/>
      <c r="BW323" s="316"/>
      <c r="BX323" s="316"/>
      <c r="BY323" s="316"/>
      <c r="BZ323" s="316"/>
      <c r="CA323" s="316"/>
      <c r="CB323" s="316"/>
      <c r="CC323" s="316"/>
      <c r="CD323" s="316"/>
      <c r="CE323" s="317">
        <v>0.18629873899999999</v>
      </c>
      <c r="CF323" s="316">
        <v>0.15920899499999999</v>
      </c>
      <c r="CG323" s="316">
        <v>0.178470882</v>
      </c>
      <c r="CH323" s="316">
        <v>0.14890092199999999</v>
      </c>
      <c r="CI323" s="316">
        <v>5.8584415000000001E-2</v>
      </c>
      <c r="CJ323" s="316">
        <v>3.9463314999999999E-2</v>
      </c>
      <c r="CK323" s="316">
        <v>4.5416657000000006E-2</v>
      </c>
      <c r="CL323" s="316">
        <v>3.8194131999999999E-2</v>
      </c>
      <c r="CM323" s="316">
        <v>4.3593558999999997E-2</v>
      </c>
      <c r="CN323" s="316">
        <v>5.3488122999999999E-2</v>
      </c>
      <c r="CO323" s="316">
        <v>4.7626489000000001E-2</v>
      </c>
      <c r="CP323" s="318">
        <v>4.8304062000000002E-2</v>
      </c>
      <c r="CQ323" s="316">
        <v>6.412235899999999E-2</v>
      </c>
      <c r="CR323" s="316">
        <v>0.114669695</v>
      </c>
      <c r="CS323" s="316">
        <v>7.2307892999999998E-2</v>
      </c>
      <c r="CT323" s="316">
        <v>6.9772398999999999E-2</v>
      </c>
      <c r="CU323" s="316">
        <v>5.8702160999999996E-2</v>
      </c>
      <c r="CV323" s="316">
        <v>7.5232731999999997E-2</v>
      </c>
      <c r="CW323" s="316">
        <v>0.120808481</v>
      </c>
      <c r="CX323" s="316">
        <v>0.12825484600000001</v>
      </c>
      <c r="CY323" s="316">
        <v>0.53072420300000001</v>
      </c>
      <c r="CZ323" s="316">
        <v>8.1767031000000004E-2</v>
      </c>
      <c r="DA323" s="316">
        <v>7.9343087000000007E-2</v>
      </c>
      <c r="DB323" s="1498">
        <v>7.8761975000000012E-2</v>
      </c>
      <c r="DC323" s="316">
        <v>5.2479115912306515E-2</v>
      </c>
      <c r="DD323" s="316">
        <v>5.585934207981038E-2</v>
      </c>
      <c r="DE323" s="316">
        <v>5.4293539633636964E-2</v>
      </c>
      <c r="DF323" s="316">
        <v>5.7689530012355966E-2</v>
      </c>
      <c r="DG323" s="316">
        <v>5.2496844027921589E-2</v>
      </c>
      <c r="DH323" s="316">
        <v>6.3531550415572804E-2</v>
      </c>
      <c r="DI323" s="316">
        <v>6.6451509381005192E-2</v>
      </c>
      <c r="DJ323" s="316">
        <v>7.8612076607345538E-2</v>
      </c>
      <c r="DK323" s="316">
        <v>8.6829504111233038E-2</v>
      </c>
      <c r="DL323" s="316">
        <v>6.0433057344616049E-2</v>
      </c>
      <c r="DM323" s="316">
        <v>8.3567027433352675E-2</v>
      </c>
      <c r="DN323" s="318">
        <v>8.6814832929161853E-2</v>
      </c>
      <c r="DO323" s="316">
        <v>5.2048008536990868E-2</v>
      </c>
      <c r="DP323" s="316">
        <v>6.3192970219200617E-2</v>
      </c>
      <c r="DQ323" s="316">
        <v>5.1235985145528594E-2</v>
      </c>
      <c r="DR323" s="316">
        <v>5.4968291556039169E-2</v>
      </c>
      <c r="DS323" s="316">
        <v>5.137729354512878E-2</v>
      </c>
      <c r="DT323" s="316">
        <v>4.793513934449424E-2</v>
      </c>
      <c r="DU323" s="316">
        <v>4.4889627093318708E-2</v>
      </c>
      <c r="DV323" s="316">
        <v>4.096047780590089E-2</v>
      </c>
      <c r="DW323" s="316">
        <v>5.4415358044534401E-2</v>
      </c>
      <c r="DX323" s="316">
        <v>4.5040508734504929E-2</v>
      </c>
      <c r="DY323" s="316">
        <v>5.8503370240740829E-2</v>
      </c>
      <c r="DZ323" s="318">
        <v>4.5218736847096395E-2</v>
      </c>
      <c r="EA323" s="316">
        <v>4.6187208084312524E-11</v>
      </c>
      <c r="EB323" s="316">
        <v>2.3752543848895232E-13</v>
      </c>
      <c r="EC323" s="316">
        <v>7.1074944752443256E-13</v>
      </c>
      <c r="ED323" s="316">
        <v>1.0269602923286729E-12</v>
      </c>
      <c r="EE323" s="316">
        <v>1.7602672137668642E-13</v>
      </c>
      <c r="EF323" s="316">
        <v>3.7982793851907112E-14</v>
      </c>
      <c r="EG323" s="316">
        <v>3.6999291697052164E-13</v>
      </c>
      <c r="EH323" s="316">
        <v>4.1395315342107525E-13</v>
      </c>
      <c r="EI323" s="316">
        <v>1.9518984629729881E-14</v>
      </c>
      <c r="EJ323" s="316">
        <v>2.3367160483534733E-14</v>
      </c>
      <c r="EK323" s="316">
        <v>3.2329481420287986E-13</v>
      </c>
      <c r="EL323" s="318">
        <v>1.2576885197768007E-13</v>
      </c>
      <c r="EM323" s="316">
        <v>0.31462886800000001</v>
      </c>
      <c r="EN323" s="316">
        <v>0.26314551400000002</v>
      </c>
      <c r="EO323" s="316">
        <v>0.19597088800000001</v>
      </c>
      <c r="EP323" s="316">
        <v>0.42047958299999999</v>
      </c>
      <c r="EQ323" s="316">
        <v>0.28871655399999996</v>
      </c>
      <c r="ER323" s="316">
        <v>0.36554615699999998</v>
      </c>
      <c r="ES323" s="316">
        <v>5.7465201069999994</v>
      </c>
      <c r="ET323" s="316">
        <v>1.6758930270000001</v>
      </c>
      <c r="EU323" s="316">
        <v>8.2551049469999995</v>
      </c>
      <c r="EV323" s="316">
        <v>1.1324252939999999</v>
      </c>
      <c r="EW323" s="316">
        <v>0.417966685</v>
      </c>
      <c r="EX323" s="318">
        <v>0.29600300600000001</v>
      </c>
      <c r="EY323" s="316">
        <v>0.13675385796064224</v>
      </c>
      <c r="EZ323" s="316">
        <v>0.12289325796064224</v>
      </c>
      <c r="FA323" s="316">
        <v>0.11405155796064226</v>
      </c>
      <c r="FB323" s="316">
        <v>0.12643465796064224</v>
      </c>
      <c r="FC323" s="316">
        <v>9.1595657960642257E-2</v>
      </c>
      <c r="FD323" s="316">
        <v>0.11365493596064224</v>
      </c>
      <c r="FE323" s="316">
        <v>2.3132621980000003</v>
      </c>
      <c r="FF323" s="316">
        <v>1.0497996283451927</v>
      </c>
      <c r="FG323" s="316">
        <v>0.3926634142885797</v>
      </c>
      <c r="FH323" s="316">
        <v>3.1482156432935386E-2</v>
      </c>
      <c r="FI323" s="316">
        <v>5.1159457960642196E-2</v>
      </c>
      <c r="FJ323" s="318">
        <v>9.9127257960642257E-2</v>
      </c>
      <c r="FK323" s="316">
        <v>0.19186235873786217</v>
      </c>
      <c r="FL323" s="316">
        <v>0.17814652940449016</v>
      </c>
      <c r="FM323" s="316">
        <v>0.19429111185764766</v>
      </c>
      <c r="FN323" s="316">
        <v>0.60447863371770583</v>
      </c>
      <c r="FO323" s="316">
        <v>1.1313748986436614</v>
      </c>
      <c r="FP323" s="316">
        <v>4.9729043880747223</v>
      </c>
      <c r="FQ323" s="316">
        <v>1.2099385805736984</v>
      </c>
      <c r="FR323" s="316">
        <v>1.5253308539083281</v>
      </c>
      <c r="FS323" s="316">
        <v>0.93806127107007642</v>
      </c>
      <c r="FT323" s="316">
        <v>2.8349525329767102</v>
      </c>
      <c r="FU323" s="316">
        <v>2.8251612496666665</v>
      </c>
      <c r="FV323" s="316">
        <v>2.8371726206666663</v>
      </c>
      <c r="FW323" s="316">
        <v>0.24644877124376516</v>
      </c>
      <c r="FX323" s="316">
        <v>0.3317705348749202</v>
      </c>
      <c r="FY323" s="316">
        <v>0.39696251388131465</v>
      </c>
      <c r="FZ323" s="316">
        <v>0.31925356978022218</v>
      </c>
      <c r="GA323" s="316">
        <v>0.43582930656576724</v>
      </c>
      <c r="GB323" s="316">
        <v>1.1366922447600967</v>
      </c>
      <c r="GC323" s="316">
        <v>2.6409874914219094</v>
      </c>
      <c r="GD323" s="316">
        <v>3.3194940210999229</v>
      </c>
      <c r="GE323" s="316">
        <v>6.4050373904781734</v>
      </c>
      <c r="GF323" s="316">
        <v>0.45824303886103701</v>
      </c>
      <c r="GG323" s="316">
        <v>0.46508351724164565</v>
      </c>
      <c r="GH323" s="316">
        <v>0.9513114072779546</v>
      </c>
      <c r="GI323" s="316">
        <v>0.10858707200000001</v>
      </c>
      <c r="GJ323" s="316">
        <v>0.119905739</v>
      </c>
      <c r="GK323" s="316">
        <v>0.120840826</v>
      </c>
      <c r="GL323" s="316">
        <v>0.112895905</v>
      </c>
      <c r="GM323" s="316">
        <v>0.12686587599999999</v>
      </c>
      <c r="GN323" s="316">
        <v>0.11214216</v>
      </c>
      <c r="GO323" s="316">
        <v>0.27268003752899361</v>
      </c>
      <c r="GP323" s="316">
        <v>0.118543777</v>
      </c>
      <c r="GQ323" s="316">
        <v>0.14845968559254585</v>
      </c>
      <c r="GR323" s="316">
        <v>0.19013972900000001</v>
      </c>
      <c r="GS323" s="316">
        <v>0.15852449099999999</v>
      </c>
      <c r="GT323" s="316">
        <v>0.13309398</v>
      </c>
      <c r="GU323" s="316">
        <v>0.862514632</v>
      </c>
      <c r="GV323" s="316">
        <v>0.83800620100000001</v>
      </c>
      <c r="GW323" s="316">
        <v>0.82947120099999994</v>
      </c>
      <c r="GX323" s="316">
        <v>0.796244273</v>
      </c>
      <c r="GY323" s="316">
        <v>1.324951711</v>
      </c>
      <c r="GZ323" s="316">
        <v>1.6741196869999999</v>
      </c>
      <c r="HA323" s="316">
        <v>2.5820993919999999</v>
      </c>
      <c r="HB323" s="316">
        <v>12.626771584</v>
      </c>
      <c r="HC323" s="316">
        <v>2.4519682839999999</v>
      </c>
      <c r="HD323" s="316">
        <v>1.8556768720000001</v>
      </c>
      <c r="HE323" s="316">
        <v>2.3537229829999999</v>
      </c>
      <c r="HF323" s="316">
        <v>2.3060767364535009</v>
      </c>
      <c r="HG323" s="316">
        <v>2.2774786219999998</v>
      </c>
      <c r="HH323" s="316">
        <v>2.280518517</v>
      </c>
      <c r="HI323" s="316">
        <v>2.3483697139999999</v>
      </c>
      <c r="HJ323" s="316">
        <v>3.6097776379999997</v>
      </c>
      <c r="HK323" s="316">
        <v>2.7582048410000004</v>
      </c>
      <c r="HL323" s="316">
        <v>12.897437611999999</v>
      </c>
      <c r="HM323" s="316"/>
      <c r="JD323" s="302">
        <v>0</v>
      </c>
      <c r="JE323" s="302">
        <v>0</v>
      </c>
      <c r="JF323" s="302">
        <v>0</v>
      </c>
      <c r="JG323" s="302">
        <v>0</v>
      </c>
      <c r="JH323" s="302">
        <v>0</v>
      </c>
      <c r="JI323" s="302">
        <v>0</v>
      </c>
      <c r="JJ323" s="302">
        <v>0</v>
      </c>
      <c r="JK323" s="302">
        <v>0</v>
      </c>
      <c r="JL323" s="302">
        <v>0</v>
      </c>
      <c r="JM323" s="302">
        <v>0</v>
      </c>
      <c r="JN323" s="302">
        <v>0</v>
      </c>
      <c r="LB323" s="302">
        <v>0</v>
      </c>
      <c r="LC323" s="302">
        <v>0</v>
      </c>
      <c r="LD323" s="302">
        <v>0</v>
      </c>
      <c r="LE323" s="302">
        <v>0</v>
      </c>
      <c r="LF323" s="302">
        <v>0</v>
      </c>
      <c r="LG323" s="302">
        <v>0</v>
      </c>
      <c r="LH323" s="302">
        <v>0</v>
      </c>
      <c r="LI323" s="302">
        <v>0</v>
      </c>
      <c r="LJ323" s="302">
        <v>4.1500000000000004</v>
      </c>
      <c r="LK323" s="302">
        <v>0</v>
      </c>
      <c r="LL323" s="302">
        <v>7.35</v>
      </c>
    </row>
    <row r="324" spans="1:324" outlineLevel="1">
      <c r="A324" s="117" t="s">
        <v>422</v>
      </c>
      <c r="B324" s="117" t="s">
        <v>361</v>
      </c>
      <c r="D324" s="344" t="s">
        <v>501</v>
      </c>
      <c r="E324" s="316"/>
      <c r="F324" s="316"/>
      <c r="G324" s="316"/>
      <c r="H324" s="316"/>
      <c r="I324" s="316"/>
      <c r="J324" s="316"/>
      <c r="K324" s="316"/>
      <c r="L324" s="316"/>
      <c r="M324" s="316"/>
      <c r="N324" s="316"/>
      <c r="O324" s="316"/>
      <c r="P324" s="316"/>
      <c r="Q324" s="316"/>
      <c r="R324" s="316"/>
      <c r="S324" s="316"/>
      <c r="T324" s="316"/>
      <c r="U324" s="316"/>
      <c r="V324" s="316"/>
      <c r="W324" s="316"/>
      <c r="X324" s="316"/>
      <c r="Y324" s="316"/>
      <c r="Z324" s="316"/>
      <c r="AA324" s="316"/>
      <c r="AB324" s="316"/>
      <c r="AC324" s="316"/>
      <c r="AD324" s="316"/>
      <c r="AE324" s="316"/>
      <c r="AF324" s="316"/>
      <c r="AG324" s="316"/>
      <c r="AH324" s="316"/>
      <c r="AI324" s="316"/>
      <c r="AJ324" s="316"/>
      <c r="AK324" s="316"/>
      <c r="AL324" s="316"/>
      <c r="AM324" s="316"/>
      <c r="AN324" s="316"/>
      <c r="AO324" s="316"/>
      <c r="AP324" s="316"/>
      <c r="AQ324" s="316"/>
      <c r="AR324" s="316"/>
      <c r="AS324" s="316"/>
      <c r="AT324" s="316"/>
      <c r="AU324" s="316"/>
      <c r="AV324" s="316"/>
      <c r="AW324" s="316"/>
      <c r="AX324" s="316"/>
      <c r="AY324" s="316"/>
      <c r="AZ324" s="316"/>
      <c r="BA324" s="316"/>
      <c r="BB324" s="316"/>
      <c r="BC324" s="316"/>
      <c r="BD324" s="316"/>
      <c r="BE324" s="316"/>
      <c r="BF324" s="316"/>
      <c r="BG324" s="316"/>
      <c r="BH324" s="316"/>
      <c r="BI324" s="316"/>
      <c r="BJ324" s="316"/>
      <c r="BK324" s="316"/>
      <c r="BL324" s="316"/>
      <c r="BM324" s="316"/>
      <c r="BN324" s="316"/>
      <c r="BO324" s="316"/>
      <c r="BP324" s="316"/>
      <c r="BQ324" s="316"/>
      <c r="BR324" s="316"/>
      <c r="BS324" s="316"/>
      <c r="BT324" s="316"/>
      <c r="BU324" s="316"/>
      <c r="BV324" s="316"/>
      <c r="BW324" s="316"/>
      <c r="BX324" s="316"/>
      <c r="BY324" s="316"/>
      <c r="BZ324" s="316"/>
      <c r="CA324" s="316"/>
      <c r="CB324" s="316"/>
      <c r="CC324" s="316"/>
      <c r="CD324" s="316"/>
      <c r="CE324" s="317">
        <v>0</v>
      </c>
      <c r="CF324" s="316">
        <v>0</v>
      </c>
      <c r="CG324" s="316">
        <v>0</v>
      </c>
      <c r="CH324" s="316">
        <v>0</v>
      </c>
      <c r="CI324" s="316">
        <v>0</v>
      </c>
      <c r="CJ324" s="316">
        <v>7.4999999999999993E-5</v>
      </c>
      <c r="CK324" s="316">
        <v>2.2499999999999999E-4</v>
      </c>
      <c r="CL324" s="316">
        <v>0</v>
      </c>
      <c r="CM324" s="316">
        <v>0</v>
      </c>
      <c r="CN324" s="316">
        <v>0</v>
      </c>
      <c r="CO324" s="316">
        <v>1.1999999999999999E-3</v>
      </c>
      <c r="CP324" s="318">
        <v>0</v>
      </c>
      <c r="CQ324" s="316">
        <v>1.1348087E-2</v>
      </c>
      <c r="CR324" s="316">
        <v>5.8128695000000001E-2</v>
      </c>
      <c r="CS324" s="316">
        <v>1.463251E-2</v>
      </c>
      <c r="CT324" s="316">
        <v>1.2963402000000001E-2</v>
      </c>
      <c r="CU324" s="316">
        <v>1.1737841000000001E-2</v>
      </c>
      <c r="CV324" s="316">
        <v>2.0278507000000001E-2</v>
      </c>
      <c r="CW324" s="316">
        <v>5.9038619000000001E-2</v>
      </c>
      <c r="CX324" s="316">
        <v>6.2166051999999999E-2</v>
      </c>
      <c r="CY324" s="316">
        <v>0.45422262699999999</v>
      </c>
      <c r="CZ324" s="316">
        <v>2.2439537999999998E-2</v>
      </c>
      <c r="DA324" s="316">
        <v>6.7278549999999996E-3</v>
      </c>
      <c r="DB324" s="1498">
        <v>3.5048200000000001E-3</v>
      </c>
      <c r="DC324" s="316">
        <v>0</v>
      </c>
      <c r="DD324" s="316">
        <v>0</v>
      </c>
      <c r="DE324" s="316">
        <v>0</v>
      </c>
      <c r="DF324" s="316">
        <v>0</v>
      </c>
      <c r="DG324" s="316">
        <v>0</v>
      </c>
      <c r="DH324" s="316">
        <v>0</v>
      </c>
      <c r="DI324" s="316">
        <v>0</v>
      </c>
      <c r="DJ324" s="316">
        <v>0</v>
      </c>
      <c r="DK324" s="316">
        <v>2.0425244828881366E-5</v>
      </c>
      <c r="DL324" s="316">
        <v>0</v>
      </c>
      <c r="DM324" s="316">
        <v>2.0498504389785221E-3</v>
      </c>
      <c r="DN324" s="318">
        <v>2.308679506124886E-3</v>
      </c>
      <c r="DO324" s="316">
        <v>0</v>
      </c>
      <c r="DP324" s="316">
        <v>0</v>
      </c>
      <c r="DQ324" s="316">
        <v>0</v>
      </c>
      <c r="DR324" s="316">
        <v>0</v>
      </c>
      <c r="DS324" s="316">
        <v>0</v>
      </c>
      <c r="DT324" s="316">
        <v>0</v>
      </c>
      <c r="DU324" s="316">
        <v>0</v>
      </c>
      <c r="DV324" s="316">
        <v>0</v>
      </c>
      <c r="DW324" s="316">
        <v>0</v>
      </c>
      <c r="DX324" s="316">
        <v>0</v>
      </c>
      <c r="DY324" s="316">
        <v>0</v>
      </c>
      <c r="DZ324" s="318">
        <v>0</v>
      </c>
      <c r="EA324" s="316">
        <v>0</v>
      </c>
      <c r="EB324" s="316">
        <v>0</v>
      </c>
      <c r="EC324" s="316">
        <v>0</v>
      </c>
      <c r="ED324" s="316">
        <v>0</v>
      </c>
      <c r="EE324" s="316">
        <v>0</v>
      </c>
      <c r="EF324" s="316">
        <v>0</v>
      </c>
      <c r="EG324" s="316">
        <v>0</v>
      </c>
      <c r="EH324" s="316">
        <v>0</v>
      </c>
      <c r="EI324" s="316">
        <v>0</v>
      </c>
      <c r="EJ324" s="316">
        <v>0</v>
      </c>
      <c r="EK324" s="316">
        <v>0</v>
      </c>
      <c r="EL324" s="318">
        <v>0</v>
      </c>
      <c r="EM324" s="316">
        <v>0.31447588599999998</v>
      </c>
      <c r="EN324" s="316">
        <v>0.26314551400000002</v>
      </c>
      <c r="EO324" s="316">
        <v>0.19594088800000001</v>
      </c>
      <c r="EP324" s="316">
        <v>0.42045458299999999</v>
      </c>
      <c r="EQ324" s="316">
        <v>0.28763700399999997</v>
      </c>
      <c r="ER324" s="316">
        <v>0.36551615700000001</v>
      </c>
      <c r="ES324" s="316">
        <v>5.7445599869999997</v>
      </c>
      <c r="ET324" s="316">
        <v>1.675767827</v>
      </c>
      <c r="EU324" s="316">
        <v>8.2551049469999995</v>
      </c>
      <c r="EV324" s="316">
        <v>1.1323164939999999</v>
      </c>
      <c r="EW324" s="316">
        <v>0.41788988500000002</v>
      </c>
      <c r="EX324" s="318">
        <v>0.29598800600000003</v>
      </c>
      <c r="EY324" s="316">
        <v>3.7694857960642252E-2</v>
      </c>
      <c r="EZ324" s="316">
        <v>3.7694857960642252E-2</v>
      </c>
      <c r="FA324" s="316">
        <v>3.7694857960642252E-2</v>
      </c>
      <c r="FB324" s="316">
        <v>3.7694857960642252E-2</v>
      </c>
      <c r="FC324" s="316">
        <v>3.7694857960642252E-2</v>
      </c>
      <c r="FD324" s="316">
        <v>3.7694857960642252E-2</v>
      </c>
      <c r="FE324" s="316">
        <v>2.2379457980000002</v>
      </c>
      <c r="FF324" s="316">
        <v>0.9801658523451926</v>
      </c>
      <c r="FG324" s="316">
        <v>0.33858319528857972</v>
      </c>
      <c r="FH324" s="316">
        <v>2.5475556432935385E-2</v>
      </c>
      <c r="FI324" s="316">
        <v>1.7694857960642199E-2</v>
      </c>
      <c r="FJ324" s="318">
        <v>3.7694857960642252E-2</v>
      </c>
      <c r="FK324" s="316">
        <v>0.12286875873786218</v>
      </c>
      <c r="FL324" s="316">
        <v>9.658788840449016E-2</v>
      </c>
      <c r="FM324" s="316">
        <v>0.12080531185764766</v>
      </c>
      <c r="FN324" s="316">
        <v>0.51586811290864154</v>
      </c>
      <c r="FO324" s="316">
        <v>1.0640952540166371</v>
      </c>
      <c r="FP324" s="316">
        <v>4.8918301880747226</v>
      </c>
      <c r="FQ324" s="316">
        <v>1.1751401805736985</v>
      </c>
      <c r="FR324" s="316">
        <v>1.4748745539083281</v>
      </c>
      <c r="FS324" s="316">
        <v>0.85330137851797383</v>
      </c>
      <c r="FT324" s="316">
        <v>2.7642761556666664</v>
      </c>
      <c r="FU324" s="316">
        <v>2.7642761556666664</v>
      </c>
      <c r="FV324" s="316">
        <v>2.7642761556666664</v>
      </c>
      <c r="FW324" s="316">
        <v>0.21408797124376516</v>
      </c>
      <c r="FX324" s="316">
        <v>0.26719040687492018</v>
      </c>
      <c r="FY324" s="316">
        <v>0.32856051388131463</v>
      </c>
      <c r="FZ324" s="316">
        <v>0.26030012825631266</v>
      </c>
      <c r="GA324" s="316">
        <v>0.37548951598359065</v>
      </c>
      <c r="GB324" s="316">
        <v>1.0525413607600966</v>
      </c>
      <c r="GC324" s="316">
        <v>2.5698428534219095</v>
      </c>
      <c r="GD324" s="316">
        <v>3.2253137920999229</v>
      </c>
      <c r="GE324" s="316">
        <v>6.3113047404781737</v>
      </c>
      <c r="GF324" s="316">
        <v>0.354981962861037</v>
      </c>
      <c r="GG324" s="316">
        <v>0.36522439924164563</v>
      </c>
      <c r="GH324" s="316">
        <v>0.84630933990063029</v>
      </c>
      <c r="GI324" s="316">
        <v>0.10858707200000001</v>
      </c>
      <c r="GJ324" s="316">
        <v>0.119905739</v>
      </c>
      <c r="GK324" s="316">
        <v>0.120840826</v>
      </c>
      <c r="GL324" s="316">
        <v>0.112895905</v>
      </c>
      <c r="GM324" s="316">
        <v>0.12686587599999999</v>
      </c>
      <c r="GN324" s="316">
        <v>0.11214216</v>
      </c>
      <c r="GO324" s="316">
        <v>0.27268003752899361</v>
      </c>
      <c r="GP324" s="316">
        <v>0.118543777</v>
      </c>
      <c r="GQ324" s="316">
        <v>0.14845968559254585</v>
      </c>
      <c r="GR324" s="316">
        <v>0.19013972900000001</v>
      </c>
      <c r="GS324" s="316">
        <v>0.15852449099999999</v>
      </c>
      <c r="GT324" s="316">
        <v>0.13309398</v>
      </c>
      <c r="GU324" s="316">
        <v>0.38703533299999998</v>
      </c>
      <c r="GV324" s="316">
        <v>0.39915237999999997</v>
      </c>
      <c r="GW324" s="316">
        <v>0.31384641499999999</v>
      </c>
      <c r="GX324" s="316">
        <v>0.33990184200000001</v>
      </c>
      <c r="GY324" s="316">
        <v>0.86268649399999997</v>
      </c>
      <c r="GZ324" s="316">
        <v>1.205841274</v>
      </c>
      <c r="HA324" s="316">
        <v>1.9841014430000001</v>
      </c>
      <c r="HB324" s="316">
        <v>12.169493302999999</v>
      </c>
      <c r="HC324" s="316">
        <v>1.9724492519999999</v>
      </c>
      <c r="HD324" s="316">
        <v>1.3708008850000002</v>
      </c>
      <c r="HE324" s="316">
        <v>1.742631947</v>
      </c>
      <c r="HF324" s="316">
        <v>1.6798463240000001</v>
      </c>
      <c r="HG324" s="316">
        <v>1.5849570639999999</v>
      </c>
      <c r="HH324" s="316">
        <v>1.653213944</v>
      </c>
      <c r="HI324" s="316">
        <v>1.7456988519999999</v>
      </c>
      <c r="HJ324" s="316">
        <v>3.009015534</v>
      </c>
      <c r="HK324" s="316">
        <v>2.2275611030000002</v>
      </c>
      <c r="HL324" s="316">
        <v>12.275961865999999</v>
      </c>
      <c r="HM324" s="316"/>
      <c r="KH324" s="303"/>
    </row>
    <row r="325" spans="1:324" outlineLevel="1">
      <c r="A325" s="117" t="s">
        <v>422</v>
      </c>
      <c r="B325" s="117" t="s">
        <v>361</v>
      </c>
      <c r="D325" s="344" t="s">
        <v>502</v>
      </c>
      <c r="E325" s="316"/>
      <c r="F325" s="316"/>
      <c r="G325" s="316"/>
      <c r="H325" s="316"/>
      <c r="I325" s="316"/>
      <c r="J325" s="316"/>
      <c r="K325" s="316"/>
      <c r="L325" s="316"/>
      <c r="M325" s="316"/>
      <c r="N325" s="316"/>
      <c r="O325" s="316"/>
      <c r="P325" s="316"/>
      <c r="Q325" s="316"/>
      <c r="R325" s="316"/>
      <c r="S325" s="316"/>
      <c r="T325" s="316"/>
      <c r="U325" s="316"/>
      <c r="V325" s="316"/>
      <c r="W325" s="316"/>
      <c r="X325" s="316"/>
      <c r="Y325" s="316"/>
      <c r="Z325" s="316"/>
      <c r="AA325" s="316"/>
      <c r="AB325" s="316"/>
      <c r="AC325" s="316"/>
      <c r="AD325" s="316"/>
      <c r="AE325" s="316"/>
      <c r="AF325" s="316"/>
      <c r="AG325" s="316"/>
      <c r="AH325" s="316"/>
      <c r="AI325" s="316"/>
      <c r="AJ325" s="316"/>
      <c r="AK325" s="316"/>
      <c r="AL325" s="316"/>
      <c r="AM325" s="316"/>
      <c r="AN325" s="316"/>
      <c r="AO325" s="316"/>
      <c r="AP325" s="316"/>
      <c r="AQ325" s="316"/>
      <c r="AR325" s="316"/>
      <c r="AS325" s="316"/>
      <c r="AT325" s="316"/>
      <c r="AU325" s="316"/>
      <c r="AV325" s="316"/>
      <c r="AW325" s="316"/>
      <c r="AX325" s="316"/>
      <c r="AY325" s="316"/>
      <c r="AZ325" s="316"/>
      <c r="BA325" s="316"/>
      <c r="BB325" s="316"/>
      <c r="BC325" s="316"/>
      <c r="BD325" s="316"/>
      <c r="BE325" s="316"/>
      <c r="BF325" s="316"/>
      <c r="BG325" s="316"/>
      <c r="BH325" s="316"/>
      <c r="BI325" s="316"/>
      <c r="BJ325" s="316"/>
      <c r="BK325" s="316"/>
      <c r="BL325" s="316"/>
      <c r="BM325" s="316"/>
      <c r="BN325" s="316"/>
      <c r="BO325" s="316"/>
      <c r="BP325" s="316"/>
      <c r="BQ325" s="316"/>
      <c r="BR325" s="316"/>
      <c r="BS325" s="316"/>
      <c r="BT325" s="316"/>
      <c r="BU325" s="316"/>
      <c r="BV325" s="316"/>
      <c r="BW325" s="316"/>
      <c r="BX325" s="316"/>
      <c r="BY325" s="316"/>
      <c r="BZ325" s="316"/>
      <c r="CA325" s="316"/>
      <c r="CB325" s="316"/>
      <c r="CC325" s="316"/>
      <c r="CD325" s="316"/>
      <c r="CE325" s="317">
        <v>0</v>
      </c>
      <c r="CF325" s="316">
        <v>0</v>
      </c>
      <c r="CG325" s="316">
        <v>0</v>
      </c>
      <c r="CH325" s="316">
        <v>0</v>
      </c>
      <c r="CI325" s="316">
        <v>0</v>
      </c>
      <c r="CJ325" s="316">
        <v>0</v>
      </c>
      <c r="CK325" s="316">
        <v>0</v>
      </c>
      <c r="CL325" s="316">
        <v>0</v>
      </c>
      <c r="CM325" s="316">
        <v>0</v>
      </c>
      <c r="CN325" s="316">
        <v>0</v>
      </c>
      <c r="CO325" s="316">
        <v>0</v>
      </c>
      <c r="CP325" s="318">
        <v>0</v>
      </c>
      <c r="CQ325" s="316">
        <v>0</v>
      </c>
      <c r="CR325" s="316">
        <v>0</v>
      </c>
      <c r="CS325" s="316">
        <v>0</v>
      </c>
      <c r="CT325" s="316">
        <v>0</v>
      </c>
      <c r="CU325" s="316">
        <v>0</v>
      </c>
      <c r="CV325" s="316">
        <v>0</v>
      </c>
      <c r="CW325" s="316">
        <v>0</v>
      </c>
      <c r="CX325" s="316">
        <v>0</v>
      </c>
      <c r="CY325" s="316">
        <v>0</v>
      </c>
      <c r="CZ325" s="316">
        <v>0</v>
      </c>
      <c r="DA325" s="316">
        <v>0</v>
      </c>
      <c r="DB325" s="1498">
        <v>0</v>
      </c>
      <c r="DC325" s="316">
        <v>0</v>
      </c>
      <c r="DD325" s="316">
        <v>0</v>
      </c>
      <c r="DE325" s="316">
        <v>0</v>
      </c>
      <c r="DF325" s="316">
        <v>0</v>
      </c>
      <c r="DG325" s="316">
        <v>0</v>
      </c>
      <c r="DH325" s="316">
        <v>0</v>
      </c>
      <c r="DI325" s="316">
        <v>0</v>
      </c>
      <c r="DJ325" s="316">
        <v>0</v>
      </c>
      <c r="DK325" s="316">
        <v>0</v>
      </c>
      <c r="DL325" s="316">
        <v>0</v>
      </c>
      <c r="DM325" s="316">
        <v>0</v>
      </c>
      <c r="DN325" s="318">
        <v>0</v>
      </c>
      <c r="DO325" s="316">
        <v>0</v>
      </c>
      <c r="DP325" s="316">
        <v>0</v>
      </c>
      <c r="DQ325" s="316">
        <v>0</v>
      </c>
      <c r="DR325" s="316">
        <v>0</v>
      </c>
      <c r="DS325" s="316">
        <v>0</v>
      </c>
      <c r="DT325" s="316">
        <v>0</v>
      </c>
      <c r="DU325" s="316">
        <v>0</v>
      </c>
      <c r="DV325" s="316">
        <v>0</v>
      </c>
      <c r="DW325" s="316">
        <v>0</v>
      </c>
      <c r="DX325" s="316">
        <v>0</v>
      </c>
      <c r="DY325" s="316">
        <v>0</v>
      </c>
      <c r="DZ325" s="318">
        <v>0</v>
      </c>
      <c r="EA325" s="316">
        <v>0</v>
      </c>
      <c r="EB325" s="316">
        <v>0</v>
      </c>
      <c r="EC325" s="316">
        <v>0</v>
      </c>
      <c r="ED325" s="316">
        <v>0</v>
      </c>
      <c r="EE325" s="316">
        <v>0</v>
      </c>
      <c r="EF325" s="316">
        <v>0</v>
      </c>
      <c r="EG325" s="316">
        <v>0</v>
      </c>
      <c r="EH325" s="316">
        <v>0</v>
      </c>
      <c r="EI325" s="316">
        <v>0</v>
      </c>
      <c r="EJ325" s="316">
        <v>0</v>
      </c>
      <c r="EK325" s="316">
        <v>0</v>
      </c>
      <c r="EL325" s="318">
        <v>0</v>
      </c>
      <c r="EM325" s="316">
        <v>0</v>
      </c>
      <c r="EN325" s="316">
        <v>0</v>
      </c>
      <c r="EO325" s="316">
        <v>0</v>
      </c>
      <c r="EP325" s="316">
        <v>0</v>
      </c>
      <c r="EQ325" s="316">
        <v>0</v>
      </c>
      <c r="ER325" s="316">
        <v>0</v>
      </c>
      <c r="ES325" s="316">
        <v>0</v>
      </c>
      <c r="ET325" s="316">
        <v>0</v>
      </c>
      <c r="EU325" s="316">
        <v>0</v>
      </c>
      <c r="EV325" s="316">
        <v>0</v>
      </c>
      <c r="EW325" s="316">
        <v>0</v>
      </c>
      <c r="EX325" s="318">
        <v>0</v>
      </c>
      <c r="EY325" s="316">
        <v>0</v>
      </c>
      <c r="EZ325" s="316">
        <v>0</v>
      </c>
      <c r="FA325" s="316">
        <v>0</v>
      </c>
      <c r="FB325" s="316">
        <v>0</v>
      </c>
      <c r="FC325" s="316">
        <v>0</v>
      </c>
      <c r="FD325" s="316">
        <v>0</v>
      </c>
      <c r="FE325" s="316">
        <v>0</v>
      </c>
      <c r="FF325" s="316">
        <v>0</v>
      </c>
      <c r="FG325" s="316">
        <v>0</v>
      </c>
      <c r="FH325" s="316">
        <v>0</v>
      </c>
      <c r="FI325" s="316">
        <v>0</v>
      </c>
      <c r="FJ325" s="318">
        <v>0</v>
      </c>
      <c r="FK325" s="316">
        <v>0</v>
      </c>
      <c r="FL325" s="316">
        <v>0</v>
      </c>
      <c r="FM325" s="316">
        <v>0</v>
      </c>
      <c r="FN325" s="316">
        <v>0</v>
      </c>
      <c r="FO325" s="316">
        <v>0</v>
      </c>
      <c r="FP325" s="316">
        <v>0</v>
      </c>
      <c r="FQ325" s="316">
        <v>0</v>
      </c>
      <c r="FR325" s="316">
        <v>0</v>
      </c>
      <c r="FS325" s="316">
        <v>0</v>
      </c>
      <c r="FT325" s="316">
        <v>0</v>
      </c>
      <c r="FU325" s="316">
        <v>0</v>
      </c>
      <c r="FV325" s="316">
        <v>0</v>
      </c>
      <c r="FW325" s="316">
        <v>0</v>
      </c>
      <c r="FX325" s="316">
        <v>0</v>
      </c>
      <c r="FY325" s="316">
        <v>0</v>
      </c>
      <c r="FZ325" s="316">
        <v>0</v>
      </c>
      <c r="GA325" s="316">
        <v>0</v>
      </c>
      <c r="GB325" s="316">
        <v>0</v>
      </c>
      <c r="GC325" s="316">
        <v>0</v>
      </c>
      <c r="GD325" s="316">
        <v>0</v>
      </c>
      <c r="GE325" s="316">
        <v>0</v>
      </c>
      <c r="GF325" s="316">
        <v>0</v>
      </c>
      <c r="GG325" s="316">
        <v>0</v>
      </c>
      <c r="GH325" s="316">
        <v>0</v>
      </c>
      <c r="GI325" s="316">
        <v>0</v>
      </c>
      <c r="GJ325" s="316">
        <v>0</v>
      </c>
      <c r="GK325" s="316">
        <v>0</v>
      </c>
      <c r="GL325" s="316">
        <v>0</v>
      </c>
      <c r="GM325" s="316">
        <v>0</v>
      </c>
      <c r="GN325" s="316">
        <v>0</v>
      </c>
      <c r="GO325" s="316">
        <v>0</v>
      </c>
      <c r="GP325" s="316">
        <v>0</v>
      </c>
      <c r="GQ325" s="316">
        <v>0</v>
      </c>
      <c r="GR325" s="316">
        <v>0</v>
      </c>
      <c r="GS325" s="316">
        <v>0</v>
      </c>
      <c r="GT325" s="316">
        <v>0</v>
      </c>
      <c r="GU325" s="316">
        <v>0</v>
      </c>
      <c r="GV325" s="316">
        <v>0</v>
      </c>
      <c r="GW325" s="316">
        <v>0</v>
      </c>
      <c r="GX325" s="316">
        <v>0</v>
      </c>
      <c r="GY325" s="316">
        <v>0</v>
      </c>
      <c r="GZ325" s="316">
        <v>0</v>
      </c>
      <c r="HA325" s="316">
        <v>0</v>
      </c>
      <c r="HB325" s="316">
        <v>0</v>
      </c>
      <c r="HC325" s="316">
        <v>0</v>
      </c>
      <c r="HD325" s="316">
        <v>0</v>
      </c>
      <c r="HE325" s="316">
        <v>0</v>
      </c>
      <c r="HF325" s="316">
        <v>0</v>
      </c>
      <c r="HG325" s="316">
        <v>0</v>
      </c>
      <c r="HH325" s="316">
        <v>0</v>
      </c>
      <c r="HI325" s="316">
        <v>0</v>
      </c>
      <c r="HJ325" s="316">
        <v>0</v>
      </c>
      <c r="HK325" s="316">
        <v>0</v>
      </c>
      <c r="HL325" s="316">
        <v>0</v>
      </c>
      <c r="HM325" s="316"/>
      <c r="KH325" s="303"/>
    </row>
    <row r="326" spans="1:324" outlineLevel="1">
      <c r="A326" s="117" t="s">
        <v>422</v>
      </c>
      <c r="B326" s="117" t="s">
        <v>361</v>
      </c>
      <c r="D326" s="344" t="s">
        <v>503</v>
      </c>
      <c r="E326" s="316"/>
      <c r="F326" s="316"/>
      <c r="G326" s="316"/>
      <c r="H326" s="316"/>
      <c r="I326" s="316"/>
      <c r="J326" s="316"/>
      <c r="K326" s="316"/>
      <c r="L326" s="316"/>
      <c r="M326" s="316"/>
      <c r="N326" s="316"/>
      <c r="O326" s="316"/>
      <c r="P326" s="316"/>
      <c r="Q326" s="316"/>
      <c r="R326" s="316"/>
      <c r="S326" s="316"/>
      <c r="T326" s="316"/>
      <c r="U326" s="316"/>
      <c r="V326" s="316"/>
      <c r="W326" s="316"/>
      <c r="X326" s="316"/>
      <c r="Y326" s="316"/>
      <c r="Z326" s="316"/>
      <c r="AA326" s="316"/>
      <c r="AB326" s="316"/>
      <c r="AC326" s="316"/>
      <c r="AD326" s="316"/>
      <c r="AE326" s="316"/>
      <c r="AF326" s="316"/>
      <c r="AG326" s="316"/>
      <c r="AH326" s="316"/>
      <c r="AI326" s="316"/>
      <c r="AJ326" s="316"/>
      <c r="AK326" s="316"/>
      <c r="AL326" s="316"/>
      <c r="AM326" s="316"/>
      <c r="AN326" s="316"/>
      <c r="AO326" s="316"/>
      <c r="AP326" s="316"/>
      <c r="AQ326" s="316"/>
      <c r="AR326" s="316"/>
      <c r="AS326" s="316"/>
      <c r="AT326" s="316"/>
      <c r="AU326" s="316"/>
      <c r="AV326" s="316"/>
      <c r="AW326" s="316"/>
      <c r="AX326" s="316"/>
      <c r="AY326" s="316"/>
      <c r="AZ326" s="316"/>
      <c r="BA326" s="316"/>
      <c r="BB326" s="316"/>
      <c r="BC326" s="316"/>
      <c r="BD326" s="316"/>
      <c r="BE326" s="316"/>
      <c r="BF326" s="316"/>
      <c r="BG326" s="316"/>
      <c r="BH326" s="316"/>
      <c r="BI326" s="316"/>
      <c r="BJ326" s="316"/>
      <c r="BK326" s="316"/>
      <c r="BL326" s="316"/>
      <c r="BM326" s="316"/>
      <c r="BN326" s="316"/>
      <c r="BO326" s="316"/>
      <c r="BP326" s="316"/>
      <c r="BQ326" s="316"/>
      <c r="BR326" s="316"/>
      <c r="BS326" s="316"/>
      <c r="BT326" s="316"/>
      <c r="BU326" s="316"/>
      <c r="BV326" s="316"/>
      <c r="BW326" s="316"/>
      <c r="BX326" s="316"/>
      <c r="BY326" s="316"/>
      <c r="BZ326" s="316"/>
      <c r="CA326" s="316"/>
      <c r="CB326" s="316"/>
      <c r="CC326" s="316"/>
      <c r="CD326" s="316"/>
      <c r="CE326" s="317">
        <v>0</v>
      </c>
      <c r="CF326" s="316">
        <v>0</v>
      </c>
      <c r="CG326" s="316">
        <v>0</v>
      </c>
      <c r="CH326" s="316">
        <v>0</v>
      </c>
      <c r="CI326" s="316">
        <v>0</v>
      </c>
      <c r="CJ326" s="316">
        <v>0</v>
      </c>
      <c r="CK326" s="316">
        <v>0</v>
      </c>
      <c r="CL326" s="316">
        <v>0</v>
      </c>
      <c r="CM326" s="316">
        <v>0</v>
      </c>
      <c r="CN326" s="316">
        <v>0</v>
      </c>
      <c r="CO326" s="316">
        <v>0</v>
      </c>
      <c r="CP326" s="318">
        <v>0</v>
      </c>
      <c r="CQ326" s="316">
        <v>0</v>
      </c>
      <c r="CR326" s="316">
        <v>0</v>
      </c>
      <c r="CS326" s="316">
        <v>0</v>
      </c>
      <c r="CT326" s="316">
        <v>0</v>
      </c>
      <c r="CU326" s="316">
        <v>0</v>
      </c>
      <c r="CV326" s="316">
        <v>0</v>
      </c>
      <c r="CW326" s="316">
        <v>0</v>
      </c>
      <c r="CX326" s="316">
        <v>0</v>
      </c>
      <c r="CY326" s="316">
        <v>0</v>
      </c>
      <c r="CZ326" s="316">
        <v>0</v>
      </c>
      <c r="DA326" s="316">
        <v>0</v>
      </c>
      <c r="DB326" s="1498">
        <v>0</v>
      </c>
      <c r="DC326" s="316">
        <v>0</v>
      </c>
      <c r="DD326" s="316">
        <v>0</v>
      </c>
      <c r="DE326" s="316">
        <v>0</v>
      </c>
      <c r="DF326" s="316">
        <v>0</v>
      </c>
      <c r="DG326" s="316">
        <v>0</v>
      </c>
      <c r="DH326" s="316">
        <v>0</v>
      </c>
      <c r="DI326" s="316">
        <v>0</v>
      </c>
      <c r="DJ326" s="316">
        <v>0</v>
      </c>
      <c r="DK326" s="316">
        <v>0</v>
      </c>
      <c r="DL326" s="316">
        <v>0</v>
      </c>
      <c r="DM326" s="316">
        <v>0</v>
      </c>
      <c r="DN326" s="318">
        <v>0</v>
      </c>
      <c r="DO326" s="316">
        <v>0</v>
      </c>
      <c r="DP326" s="316">
        <v>0</v>
      </c>
      <c r="DQ326" s="316">
        <v>0</v>
      </c>
      <c r="DR326" s="316">
        <v>0</v>
      </c>
      <c r="DS326" s="316">
        <v>0</v>
      </c>
      <c r="DT326" s="316">
        <v>0</v>
      </c>
      <c r="DU326" s="316">
        <v>0</v>
      </c>
      <c r="DV326" s="316">
        <v>0</v>
      </c>
      <c r="DW326" s="316">
        <v>0</v>
      </c>
      <c r="DX326" s="316">
        <v>0</v>
      </c>
      <c r="DY326" s="316">
        <v>0</v>
      </c>
      <c r="DZ326" s="318">
        <v>0</v>
      </c>
      <c r="EA326" s="316">
        <v>0</v>
      </c>
      <c r="EB326" s="316">
        <v>0</v>
      </c>
      <c r="EC326" s="316">
        <v>0</v>
      </c>
      <c r="ED326" s="316">
        <v>0</v>
      </c>
      <c r="EE326" s="316">
        <v>0</v>
      </c>
      <c r="EF326" s="316">
        <v>0</v>
      </c>
      <c r="EG326" s="316">
        <v>0</v>
      </c>
      <c r="EH326" s="316">
        <v>0</v>
      </c>
      <c r="EI326" s="316">
        <v>0</v>
      </c>
      <c r="EJ326" s="316">
        <v>0</v>
      </c>
      <c r="EK326" s="316">
        <v>0</v>
      </c>
      <c r="EL326" s="318">
        <v>0</v>
      </c>
      <c r="EM326" s="316">
        <v>0</v>
      </c>
      <c r="EN326" s="316">
        <v>0</v>
      </c>
      <c r="EO326" s="316">
        <v>0</v>
      </c>
      <c r="EP326" s="316">
        <v>0</v>
      </c>
      <c r="EQ326" s="316">
        <v>0</v>
      </c>
      <c r="ER326" s="316">
        <v>0</v>
      </c>
      <c r="ES326" s="316">
        <v>0</v>
      </c>
      <c r="ET326" s="316">
        <v>0</v>
      </c>
      <c r="EU326" s="316">
        <v>0</v>
      </c>
      <c r="EV326" s="316">
        <v>0</v>
      </c>
      <c r="EW326" s="316">
        <v>0</v>
      </c>
      <c r="EX326" s="318">
        <v>0</v>
      </c>
      <c r="EY326" s="316">
        <v>0</v>
      </c>
      <c r="EZ326" s="316">
        <v>0</v>
      </c>
      <c r="FA326" s="316">
        <v>0</v>
      </c>
      <c r="FB326" s="316">
        <v>0</v>
      </c>
      <c r="FC326" s="316">
        <v>0</v>
      </c>
      <c r="FD326" s="316">
        <v>0</v>
      </c>
      <c r="FE326" s="316">
        <v>0</v>
      </c>
      <c r="FF326" s="316">
        <v>0</v>
      </c>
      <c r="FG326" s="316">
        <v>0</v>
      </c>
      <c r="FH326" s="316">
        <v>0</v>
      </c>
      <c r="FI326" s="316">
        <v>0</v>
      </c>
      <c r="FJ326" s="318">
        <v>0</v>
      </c>
      <c r="FK326" s="316">
        <v>0</v>
      </c>
      <c r="FL326" s="316">
        <v>0</v>
      </c>
      <c r="FM326" s="316">
        <v>0</v>
      </c>
      <c r="FN326" s="316">
        <v>0</v>
      </c>
      <c r="FO326" s="316">
        <v>0</v>
      </c>
      <c r="FP326" s="316">
        <v>0</v>
      </c>
      <c r="FQ326" s="316">
        <v>0</v>
      </c>
      <c r="FR326" s="316">
        <v>0</v>
      </c>
      <c r="FS326" s="316">
        <v>0</v>
      </c>
      <c r="FT326" s="316">
        <v>0</v>
      </c>
      <c r="FU326" s="316">
        <v>0</v>
      </c>
      <c r="FV326" s="316">
        <v>0</v>
      </c>
      <c r="FW326" s="316">
        <v>0</v>
      </c>
      <c r="FX326" s="316">
        <v>0</v>
      </c>
      <c r="FY326" s="316">
        <v>0</v>
      </c>
      <c r="FZ326" s="316">
        <v>0</v>
      </c>
      <c r="GA326" s="316">
        <v>0</v>
      </c>
      <c r="GB326" s="316">
        <v>0</v>
      </c>
      <c r="GC326" s="316">
        <v>0</v>
      </c>
      <c r="GD326" s="316">
        <v>0</v>
      </c>
      <c r="GE326" s="316">
        <v>0</v>
      </c>
      <c r="GF326" s="316">
        <v>0</v>
      </c>
      <c r="GG326" s="316">
        <v>0</v>
      </c>
      <c r="GH326" s="316">
        <v>0</v>
      </c>
      <c r="GI326" s="316">
        <v>0</v>
      </c>
      <c r="GJ326" s="316">
        <v>0</v>
      </c>
      <c r="GK326" s="316">
        <v>0</v>
      </c>
      <c r="GL326" s="316">
        <v>0</v>
      </c>
      <c r="GM326" s="316">
        <v>0</v>
      </c>
      <c r="GN326" s="316">
        <v>0</v>
      </c>
      <c r="GO326" s="316">
        <v>0</v>
      </c>
      <c r="GP326" s="316">
        <v>0</v>
      </c>
      <c r="GQ326" s="316">
        <v>0</v>
      </c>
      <c r="GR326" s="316">
        <v>0</v>
      </c>
      <c r="GS326" s="316">
        <v>0</v>
      </c>
      <c r="GT326" s="316">
        <v>0</v>
      </c>
      <c r="GU326" s="316">
        <v>0</v>
      </c>
      <c r="GV326" s="316">
        <v>0</v>
      </c>
      <c r="GW326" s="316">
        <v>0</v>
      </c>
      <c r="GX326" s="316">
        <v>0</v>
      </c>
      <c r="GY326" s="316">
        <v>0</v>
      </c>
      <c r="GZ326" s="316">
        <v>0</v>
      </c>
      <c r="HA326" s="316">
        <v>0</v>
      </c>
      <c r="HB326" s="316">
        <v>0</v>
      </c>
      <c r="HC326" s="316">
        <v>0</v>
      </c>
      <c r="HD326" s="316">
        <v>0</v>
      </c>
      <c r="HE326" s="316">
        <v>0</v>
      </c>
      <c r="HF326" s="316">
        <v>0</v>
      </c>
      <c r="HG326" s="316">
        <v>0</v>
      </c>
      <c r="HH326" s="316">
        <v>0</v>
      </c>
      <c r="HI326" s="316">
        <v>0</v>
      </c>
      <c r="HJ326" s="316">
        <v>0</v>
      </c>
      <c r="HK326" s="316">
        <v>0</v>
      </c>
      <c r="HL326" s="316">
        <v>0</v>
      </c>
      <c r="HM326" s="316"/>
      <c r="KH326" s="303"/>
    </row>
    <row r="327" spans="1:324" outlineLevel="1">
      <c r="A327" s="117" t="s">
        <v>422</v>
      </c>
      <c r="B327" s="117" t="s">
        <v>361</v>
      </c>
      <c r="D327" s="344" t="s">
        <v>505</v>
      </c>
      <c r="E327" s="316"/>
      <c r="F327" s="316"/>
      <c r="G327" s="316"/>
      <c r="H327" s="316"/>
      <c r="I327" s="316"/>
      <c r="J327" s="316"/>
      <c r="K327" s="316"/>
      <c r="L327" s="316"/>
      <c r="M327" s="316"/>
      <c r="N327" s="316"/>
      <c r="O327" s="316"/>
      <c r="P327" s="316"/>
      <c r="Q327" s="316"/>
      <c r="R327" s="316"/>
      <c r="S327" s="316"/>
      <c r="T327" s="316"/>
      <c r="U327" s="316"/>
      <c r="V327" s="316"/>
      <c r="W327" s="316"/>
      <c r="X327" s="316"/>
      <c r="Y327" s="316"/>
      <c r="Z327" s="316"/>
      <c r="AA327" s="316"/>
      <c r="AB327" s="316"/>
      <c r="AC327" s="316"/>
      <c r="AD327" s="316"/>
      <c r="AE327" s="316"/>
      <c r="AF327" s="316"/>
      <c r="AG327" s="316"/>
      <c r="AH327" s="316"/>
      <c r="AI327" s="316"/>
      <c r="AJ327" s="316"/>
      <c r="AK327" s="316"/>
      <c r="AL327" s="316"/>
      <c r="AM327" s="316"/>
      <c r="AN327" s="316"/>
      <c r="AO327" s="316"/>
      <c r="AP327" s="316"/>
      <c r="AQ327" s="316"/>
      <c r="AR327" s="316"/>
      <c r="AS327" s="316"/>
      <c r="AT327" s="316"/>
      <c r="AU327" s="316"/>
      <c r="AV327" s="316"/>
      <c r="AW327" s="316"/>
      <c r="AX327" s="316"/>
      <c r="AY327" s="316"/>
      <c r="AZ327" s="316"/>
      <c r="BA327" s="316"/>
      <c r="BB327" s="316"/>
      <c r="BC327" s="316"/>
      <c r="BD327" s="316"/>
      <c r="BE327" s="316"/>
      <c r="BF327" s="316"/>
      <c r="BG327" s="316"/>
      <c r="BH327" s="316"/>
      <c r="BI327" s="316"/>
      <c r="BJ327" s="316"/>
      <c r="BK327" s="316"/>
      <c r="BL327" s="316"/>
      <c r="BM327" s="316"/>
      <c r="BN327" s="316"/>
      <c r="BO327" s="316"/>
      <c r="BP327" s="316"/>
      <c r="BQ327" s="316"/>
      <c r="BR327" s="316"/>
      <c r="BS327" s="316"/>
      <c r="BT327" s="316"/>
      <c r="BU327" s="316"/>
      <c r="BV327" s="316"/>
      <c r="BW327" s="316"/>
      <c r="BX327" s="316"/>
      <c r="BY327" s="316"/>
      <c r="BZ327" s="316"/>
      <c r="CA327" s="316"/>
      <c r="CB327" s="316"/>
      <c r="CC327" s="316"/>
      <c r="CD327" s="316"/>
      <c r="CE327" s="317">
        <v>0</v>
      </c>
      <c r="CF327" s="316">
        <v>0</v>
      </c>
      <c r="CG327" s="316">
        <v>0</v>
      </c>
      <c r="CH327" s="316">
        <v>0</v>
      </c>
      <c r="CI327" s="316">
        <v>0</v>
      </c>
      <c r="CJ327" s="316">
        <v>0</v>
      </c>
      <c r="CK327" s="316">
        <v>0</v>
      </c>
      <c r="CL327" s="316">
        <v>0</v>
      </c>
      <c r="CM327" s="316">
        <v>0</v>
      </c>
      <c r="CN327" s="316">
        <v>0</v>
      </c>
      <c r="CO327" s="316">
        <v>0</v>
      </c>
      <c r="CP327" s="318">
        <v>0</v>
      </c>
      <c r="CQ327" s="316">
        <v>0</v>
      </c>
      <c r="CR327" s="316">
        <v>0</v>
      </c>
      <c r="CS327" s="316">
        <v>0</v>
      </c>
      <c r="CT327" s="316">
        <v>0</v>
      </c>
      <c r="CU327" s="316">
        <v>0</v>
      </c>
      <c r="CV327" s="316">
        <v>0</v>
      </c>
      <c r="CW327" s="316">
        <v>0</v>
      </c>
      <c r="CX327" s="316">
        <v>0</v>
      </c>
      <c r="CY327" s="316">
        <v>0</v>
      </c>
      <c r="CZ327" s="316">
        <v>0</v>
      </c>
      <c r="DA327" s="316">
        <v>0</v>
      </c>
      <c r="DB327" s="1498">
        <v>0</v>
      </c>
      <c r="DC327" s="316">
        <v>0</v>
      </c>
      <c r="DD327" s="316">
        <v>0</v>
      </c>
      <c r="DE327" s="316">
        <v>0</v>
      </c>
      <c r="DF327" s="316">
        <v>0</v>
      </c>
      <c r="DG327" s="316">
        <v>0</v>
      </c>
      <c r="DH327" s="316">
        <v>0</v>
      </c>
      <c r="DI327" s="316">
        <v>0</v>
      </c>
      <c r="DJ327" s="316">
        <v>0</v>
      </c>
      <c r="DK327" s="316">
        <v>0</v>
      </c>
      <c r="DL327" s="316">
        <v>0</v>
      </c>
      <c r="DM327" s="316">
        <v>0</v>
      </c>
      <c r="DN327" s="318">
        <v>0</v>
      </c>
      <c r="DO327" s="316">
        <v>0</v>
      </c>
      <c r="DP327" s="316">
        <v>0</v>
      </c>
      <c r="DQ327" s="316">
        <v>0</v>
      </c>
      <c r="DR327" s="316">
        <v>0</v>
      </c>
      <c r="DS327" s="316">
        <v>0</v>
      </c>
      <c r="DT327" s="316">
        <v>0</v>
      </c>
      <c r="DU327" s="316">
        <v>0</v>
      </c>
      <c r="DV327" s="316">
        <v>0</v>
      </c>
      <c r="DW327" s="316">
        <v>0</v>
      </c>
      <c r="DX327" s="316">
        <v>0</v>
      </c>
      <c r="DY327" s="316">
        <v>0</v>
      </c>
      <c r="DZ327" s="318">
        <v>0</v>
      </c>
      <c r="EA327" s="316">
        <v>0</v>
      </c>
      <c r="EB327" s="316">
        <v>0</v>
      </c>
      <c r="EC327" s="316">
        <v>0</v>
      </c>
      <c r="ED327" s="316">
        <v>0</v>
      </c>
      <c r="EE327" s="316">
        <v>0</v>
      </c>
      <c r="EF327" s="316">
        <v>0</v>
      </c>
      <c r="EG327" s="316">
        <v>0</v>
      </c>
      <c r="EH327" s="316">
        <v>0</v>
      </c>
      <c r="EI327" s="316">
        <v>0</v>
      </c>
      <c r="EJ327" s="316">
        <v>0</v>
      </c>
      <c r="EK327" s="316">
        <v>0</v>
      </c>
      <c r="EL327" s="318">
        <v>0</v>
      </c>
      <c r="EM327" s="316">
        <v>0</v>
      </c>
      <c r="EN327" s="316">
        <v>0</v>
      </c>
      <c r="EO327" s="316">
        <v>0</v>
      </c>
      <c r="EP327" s="316">
        <v>0</v>
      </c>
      <c r="EQ327" s="316">
        <v>0</v>
      </c>
      <c r="ER327" s="316">
        <v>0</v>
      </c>
      <c r="ES327" s="316">
        <v>0</v>
      </c>
      <c r="ET327" s="316">
        <v>0</v>
      </c>
      <c r="EU327" s="316">
        <v>0</v>
      </c>
      <c r="EV327" s="316">
        <v>0</v>
      </c>
      <c r="EW327" s="316">
        <v>0</v>
      </c>
      <c r="EX327" s="318">
        <v>0</v>
      </c>
      <c r="EY327" s="316">
        <v>0</v>
      </c>
      <c r="EZ327" s="316">
        <v>0</v>
      </c>
      <c r="FA327" s="316">
        <v>0</v>
      </c>
      <c r="FB327" s="316">
        <v>0</v>
      </c>
      <c r="FC327" s="316">
        <v>0</v>
      </c>
      <c r="FD327" s="316">
        <v>0</v>
      </c>
      <c r="FE327" s="316">
        <v>0</v>
      </c>
      <c r="FF327" s="316">
        <v>0</v>
      </c>
      <c r="FG327" s="316">
        <v>0</v>
      </c>
      <c r="FH327" s="316">
        <v>0</v>
      </c>
      <c r="FI327" s="316">
        <v>0</v>
      </c>
      <c r="FJ327" s="318">
        <v>0</v>
      </c>
      <c r="FK327" s="316">
        <v>0</v>
      </c>
      <c r="FL327" s="316">
        <v>0</v>
      </c>
      <c r="FM327" s="316">
        <v>0</v>
      </c>
      <c r="FN327" s="316">
        <v>0</v>
      </c>
      <c r="FO327" s="316">
        <v>0</v>
      </c>
      <c r="FP327" s="316">
        <v>0</v>
      </c>
      <c r="FQ327" s="316">
        <v>0</v>
      </c>
      <c r="FR327" s="316">
        <v>0</v>
      </c>
      <c r="FS327" s="316">
        <v>0</v>
      </c>
      <c r="FT327" s="316">
        <v>0</v>
      </c>
      <c r="FU327" s="316">
        <v>0</v>
      </c>
      <c r="FV327" s="316">
        <v>0</v>
      </c>
      <c r="FW327" s="316">
        <v>0</v>
      </c>
      <c r="FX327" s="316">
        <v>0</v>
      </c>
      <c r="FY327" s="316">
        <v>0</v>
      </c>
      <c r="FZ327" s="316">
        <v>0</v>
      </c>
      <c r="GA327" s="316">
        <v>0</v>
      </c>
      <c r="GB327" s="316">
        <v>0</v>
      </c>
      <c r="GC327" s="316">
        <v>0</v>
      </c>
      <c r="GD327" s="316">
        <v>0</v>
      </c>
      <c r="GE327" s="316">
        <v>0</v>
      </c>
      <c r="GF327" s="316">
        <v>0</v>
      </c>
      <c r="GG327" s="316">
        <v>0</v>
      </c>
      <c r="GH327" s="316">
        <v>0</v>
      </c>
      <c r="GI327" s="316">
        <v>0</v>
      </c>
      <c r="GJ327" s="316">
        <v>0</v>
      </c>
      <c r="GK327" s="316">
        <v>0</v>
      </c>
      <c r="GL327" s="316">
        <v>0</v>
      </c>
      <c r="GM327" s="316">
        <v>0</v>
      </c>
      <c r="GN327" s="316">
        <v>0</v>
      </c>
      <c r="GO327" s="316">
        <v>0</v>
      </c>
      <c r="GP327" s="316">
        <v>0</v>
      </c>
      <c r="GQ327" s="316">
        <v>0</v>
      </c>
      <c r="GR327" s="316">
        <v>0</v>
      </c>
      <c r="GS327" s="316">
        <v>0</v>
      </c>
      <c r="GT327" s="316">
        <v>0</v>
      </c>
      <c r="GU327" s="316">
        <v>0</v>
      </c>
      <c r="GV327" s="316">
        <v>0</v>
      </c>
      <c r="GW327" s="316">
        <v>0</v>
      </c>
      <c r="GX327" s="316">
        <v>0</v>
      </c>
      <c r="GY327" s="316">
        <v>0</v>
      </c>
      <c r="GZ327" s="316">
        <v>0</v>
      </c>
      <c r="HA327" s="316">
        <v>0</v>
      </c>
      <c r="HB327" s="316">
        <v>0</v>
      </c>
      <c r="HC327" s="316">
        <v>0</v>
      </c>
      <c r="HD327" s="316">
        <v>0</v>
      </c>
      <c r="HE327" s="316">
        <v>0</v>
      </c>
      <c r="HF327" s="316">
        <v>0</v>
      </c>
      <c r="HG327" s="316">
        <v>0</v>
      </c>
      <c r="HH327" s="316">
        <v>0</v>
      </c>
      <c r="HI327" s="316">
        <v>0</v>
      </c>
      <c r="HJ327" s="316">
        <v>0</v>
      </c>
      <c r="HK327" s="316">
        <v>0</v>
      </c>
      <c r="HL327" s="316">
        <v>0</v>
      </c>
      <c r="HM327" s="316"/>
      <c r="KH327" s="303"/>
    </row>
    <row r="328" spans="1:324" outlineLevel="1">
      <c r="A328" s="117" t="s">
        <v>422</v>
      </c>
      <c r="B328" s="117" t="s">
        <v>361</v>
      </c>
      <c r="D328" s="344" t="s">
        <v>506</v>
      </c>
      <c r="E328" s="316"/>
      <c r="F328" s="316"/>
      <c r="G328" s="316"/>
      <c r="H328" s="316"/>
      <c r="I328" s="316"/>
      <c r="J328" s="316"/>
      <c r="K328" s="316"/>
      <c r="L328" s="316"/>
      <c r="M328" s="316"/>
      <c r="N328" s="316"/>
      <c r="O328" s="316"/>
      <c r="P328" s="316"/>
      <c r="Q328" s="316"/>
      <c r="R328" s="316"/>
      <c r="S328" s="316"/>
      <c r="T328" s="316"/>
      <c r="U328" s="316"/>
      <c r="V328" s="316"/>
      <c r="W328" s="316"/>
      <c r="X328" s="316"/>
      <c r="Y328" s="316"/>
      <c r="Z328" s="316"/>
      <c r="AA328" s="316"/>
      <c r="AB328" s="316"/>
      <c r="AC328" s="316"/>
      <c r="AD328" s="316"/>
      <c r="AE328" s="316"/>
      <c r="AF328" s="316"/>
      <c r="AG328" s="316"/>
      <c r="AH328" s="316"/>
      <c r="AI328" s="316"/>
      <c r="AJ328" s="316"/>
      <c r="AK328" s="316"/>
      <c r="AL328" s="316"/>
      <c r="AM328" s="316"/>
      <c r="AN328" s="316"/>
      <c r="AO328" s="316"/>
      <c r="AP328" s="316"/>
      <c r="AQ328" s="316"/>
      <c r="AR328" s="316"/>
      <c r="AS328" s="316"/>
      <c r="AT328" s="316"/>
      <c r="AU328" s="316"/>
      <c r="AV328" s="316"/>
      <c r="AW328" s="316"/>
      <c r="AX328" s="316"/>
      <c r="AY328" s="316"/>
      <c r="AZ328" s="316"/>
      <c r="BA328" s="316"/>
      <c r="BB328" s="316"/>
      <c r="BC328" s="316"/>
      <c r="BD328" s="316"/>
      <c r="BE328" s="316"/>
      <c r="BF328" s="316"/>
      <c r="BG328" s="316"/>
      <c r="BH328" s="316"/>
      <c r="BI328" s="316"/>
      <c r="BJ328" s="316"/>
      <c r="BK328" s="316"/>
      <c r="BL328" s="316"/>
      <c r="BM328" s="316"/>
      <c r="BN328" s="316"/>
      <c r="BO328" s="316"/>
      <c r="BP328" s="316"/>
      <c r="BQ328" s="316"/>
      <c r="BR328" s="316"/>
      <c r="BS328" s="316"/>
      <c r="BT328" s="316"/>
      <c r="BU328" s="316"/>
      <c r="BV328" s="316"/>
      <c r="BW328" s="316"/>
      <c r="BX328" s="316"/>
      <c r="BY328" s="316"/>
      <c r="BZ328" s="316"/>
      <c r="CA328" s="316"/>
      <c r="CB328" s="316"/>
      <c r="CC328" s="316"/>
      <c r="CD328" s="316"/>
      <c r="CE328" s="317">
        <v>0.18629873899999999</v>
      </c>
      <c r="CF328" s="316">
        <v>0.15920899499999999</v>
      </c>
      <c r="CG328" s="316">
        <v>0.178470882</v>
      </c>
      <c r="CH328" s="316">
        <v>0.14890092199999999</v>
      </c>
      <c r="CI328" s="316">
        <v>5.8584415000000001E-2</v>
      </c>
      <c r="CJ328" s="316">
        <v>3.9388315E-2</v>
      </c>
      <c r="CK328" s="316">
        <v>4.5191657000000003E-2</v>
      </c>
      <c r="CL328" s="316">
        <v>3.8194131999999999E-2</v>
      </c>
      <c r="CM328" s="316">
        <v>4.3593558999999997E-2</v>
      </c>
      <c r="CN328" s="316">
        <v>5.3488122999999999E-2</v>
      </c>
      <c r="CO328" s="316">
        <v>4.6426489000000001E-2</v>
      </c>
      <c r="CP328" s="318">
        <v>4.8304062000000002E-2</v>
      </c>
      <c r="CQ328" s="316">
        <v>5.2774271999999997E-2</v>
      </c>
      <c r="CR328" s="316">
        <v>5.6541000000000001E-2</v>
      </c>
      <c r="CS328" s="316">
        <v>5.7675382999999997E-2</v>
      </c>
      <c r="CT328" s="316">
        <v>5.6808997E-2</v>
      </c>
      <c r="CU328" s="316">
        <v>4.6964319999999997E-2</v>
      </c>
      <c r="CV328" s="316">
        <v>5.4954225000000002E-2</v>
      </c>
      <c r="CW328" s="316">
        <v>6.1769862000000002E-2</v>
      </c>
      <c r="CX328" s="316">
        <v>6.6088794000000006E-2</v>
      </c>
      <c r="CY328" s="316">
        <v>7.6501576000000002E-2</v>
      </c>
      <c r="CZ328" s="316">
        <v>5.9327493000000002E-2</v>
      </c>
      <c r="DA328" s="316">
        <v>7.2615232000000002E-2</v>
      </c>
      <c r="DB328" s="1498">
        <v>7.5257155000000006E-2</v>
      </c>
      <c r="DC328" s="316">
        <v>5.2479115912306515E-2</v>
      </c>
      <c r="DD328" s="316">
        <v>5.585934207981038E-2</v>
      </c>
      <c r="DE328" s="316">
        <v>5.4293539633636964E-2</v>
      </c>
      <c r="DF328" s="316">
        <v>5.7689530012355966E-2</v>
      </c>
      <c r="DG328" s="316">
        <v>5.2496844027921589E-2</v>
      </c>
      <c r="DH328" s="316">
        <v>6.3531550415572804E-2</v>
      </c>
      <c r="DI328" s="316">
        <v>6.6451509381005192E-2</v>
      </c>
      <c r="DJ328" s="316">
        <v>7.8612076607345538E-2</v>
      </c>
      <c r="DK328" s="316">
        <v>8.6809078866404155E-2</v>
      </c>
      <c r="DL328" s="316">
        <v>6.0433057344616049E-2</v>
      </c>
      <c r="DM328" s="316">
        <v>8.1517176994374149E-2</v>
      </c>
      <c r="DN328" s="318">
        <v>8.4506153423036967E-2</v>
      </c>
      <c r="DO328" s="316">
        <v>5.2048008536990868E-2</v>
      </c>
      <c r="DP328" s="316">
        <v>6.3192970219200617E-2</v>
      </c>
      <c r="DQ328" s="316">
        <v>5.1235985145528594E-2</v>
      </c>
      <c r="DR328" s="316">
        <v>5.4968291556039169E-2</v>
      </c>
      <c r="DS328" s="316">
        <v>5.137729354512878E-2</v>
      </c>
      <c r="DT328" s="316">
        <v>4.793513934449424E-2</v>
      </c>
      <c r="DU328" s="316">
        <v>4.4889627093318708E-2</v>
      </c>
      <c r="DV328" s="316">
        <v>4.096047780590089E-2</v>
      </c>
      <c r="DW328" s="316">
        <v>5.4415358044534401E-2</v>
      </c>
      <c r="DX328" s="316">
        <v>4.5040508734504929E-2</v>
      </c>
      <c r="DY328" s="316">
        <v>5.8503370240740829E-2</v>
      </c>
      <c r="DZ328" s="318">
        <v>4.5218736847096395E-2</v>
      </c>
      <c r="EA328" s="316">
        <v>4.6187208084312523E-2</v>
      </c>
      <c r="EB328" s="316">
        <v>2.375254384889523E-4</v>
      </c>
      <c r="EC328" s="316">
        <v>7.1074944752443255E-4</v>
      </c>
      <c r="ED328" s="316">
        <v>1.0269602923286729E-3</v>
      </c>
      <c r="EE328" s="316">
        <v>1.7602672137668641E-4</v>
      </c>
      <c r="EF328" s="316">
        <v>3.7982793851907113E-5</v>
      </c>
      <c r="EG328" s="316">
        <v>3.6999291697052163E-4</v>
      </c>
      <c r="EH328" s="316">
        <v>4.1395315342107527E-4</v>
      </c>
      <c r="EI328" s="316">
        <v>1.9518984629729881E-5</v>
      </c>
      <c r="EJ328" s="316">
        <v>2.3367160483534734E-5</v>
      </c>
      <c r="EK328" s="316">
        <v>3.2329481420287988E-4</v>
      </c>
      <c r="EL328" s="318">
        <v>1.2576885197768006E-4</v>
      </c>
      <c r="EM328" s="316">
        <v>1.5298199999999999E-4</v>
      </c>
      <c r="EN328" s="316">
        <v>0</v>
      </c>
      <c r="EO328" s="316">
        <v>3.0000000000000001E-5</v>
      </c>
      <c r="EP328" s="316">
        <v>2.5000000000000001E-5</v>
      </c>
      <c r="EQ328" s="316">
        <v>1.0795500000000001E-3</v>
      </c>
      <c r="ER328" s="316">
        <v>3.0000000000000001E-5</v>
      </c>
      <c r="ES328" s="316">
        <v>1.9601200000000001E-3</v>
      </c>
      <c r="ET328" s="316">
        <v>1.2520000000000001E-4</v>
      </c>
      <c r="EU328" s="316">
        <v>0</v>
      </c>
      <c r="EV328" s="316">
        <v>1.088E-4</v>
      </c>
      <c r="EW328" s="316">
        <v>7.6799999999999997E-5</v>
      </c>
      <c r="EX328" s="318">
        <v>1.5E-5</v>
      </c>
      <c r="EY328" s="316">
        <v>9.9058999999999994E-2</v>
      </c>
      <c r="EZ328" s="316">
        <v>8.5198399999999994E-2</v>
      </c>
      <c r="FA328" s="316">
        <v>7.63567E-2</v>
      </c>
      <c r="FB328" s="316">
        <v>8.8739799999999994E-2</v>
      </c>
      <c r="FC328" s="316">
        <v>5.3900799999999999E-2</v>
      </c>
      <c r="FD328" s="316">
        <v>7.5960078E-2</v>
      </c>
      <c r="FE328" s="316">
        <v>7.5316400000000006E-2</v>
      </c>
      <c r="FF328" s="316">
        <v>6.9633775999999994E-2</v>
      </c>
      <c r="FG328" s="316">
        <v>5.4080218999999999E-2</v>
      </c>
      <c r="FH328" s="316">
        <v>6.0066E-3</v>
      </c>
      <c r="FI328" s="316">
        <v>3.3464599999999997E-2</v>
      </c>
      <c r="FJ328" s="318">
        <v>6.1432399999999998E-2</v>
      </c>
      <c r="FK328" s="316">
        <v>6.8993600000000002E-2</v>
      </c>
      <c r="FL328" s="316">
        <v>8.1558641000000001E-2</v>
      </c>
      <c r="FM328" s="316">
        <v>7.3485800000000004E-2</v>
      </c>
      <c r="FN328" s="316">
        <v>8.8610520809064286E-2</v>
      </c>
      <c r="FO328" s="316">
        <v>6.7279644627024404E-2</v>
      </c>
      <c r="FP328" s="316">
        <v>8.1074199999999999E-2</v>
      </c>
      <c r="FQ328" s="316">
        <v>3.47984E-2</v>
      </c>
      <c r="FR328" s="316">
        <v>5.0456300000000003E-2</v>
      </c>
      <c r="FS328" s="316">
        <v>8.4759892552102548E-2</v>
      </c>
      <c r="FT328" s="316">
        <v>7.0676377310043809E-2</v>
      </c>
      <c r="FU328" s="316">
        <v>6.0885094000000001E-2</v>
      </c>
      <c r="FV328" s="316">
        <v>7.2896464999999994E-2</v>
      </c>
      <c r="FW328" s="316">
        <v>3.2360800000000002E-2</v>
      </c>
      <c r="FX328" s="316">
        <v>6.4580128000000001E-2</v>
      </c>
      <c r="FY328" s="316">
        <v>6.8402000000000004E-2</v>
      </c>
      <c r="FZ328" s="316">
        <v>5.8953441523909536E-2</v>
      </c>
      <c r="GA328" s="316">
        <v>6.0339790582176596E-2</v>
      </c>
      <c r="GB328" s="316">
        <v>8.4150883999999995E-2</v>
      </c>
      <c r="GC328" s="316">
        <v>7.1144637999999996E-2</v>
      </c>
      <c r="GD328" s="316">
        <v>9.4180229000000004E-2</v>
      </c>
      <c r="GE328" s="316">
        <v>9.3732650000000001E-2</v>
      </c>
      <c r="GF328" s="316">
        <v>0.10326107599999999</v>
      </c>
      <c r="GG328" s="316">
        <v>9.9859117999999997E-2</v>
      </c>
      <c r="GH328" s="316">
        <v>0.1050020673773243</v>
      </c>
      <c r="GI328" s="316">
        <v>0</v>
      </c>
      <c r="GJ328" s="316">
        <v>0</v>
      </c>
      <c r="GK328" s="316">
        <v>0</v>
      </c>
      <c r="GL328" s="316">
        <v>0</v>
      </c>
      <c r="GM328" s="316">
        <v>0</v>
      </c>
      <c r="GN328" s="316">
        <v>0</v>
      </c>
      <c r="GO328" s="316">
        <v>0</v>
      </c>
      <c r="GP328" s="316">
        <v>0</v>
      </c>
      <c r="GQ328" s="316">
        <v>0</v>
      </c>
      <c r="GR328" s="316">
        <v>0</v>
      </c>
      <c r="GS328" s="316">
        <v>0</v>
      </c>
      <c r="GT328" s="316">
        <v>0</v>
      </c>
      <c r="GU328" s="316">
        <v>0.47547929900000002</v>
      </c>
      <c r="GV328" s="316">
        <v>0.43885382099999998</v>
      </c>
      <c r="GW328" s="316">
        <v>0.51562478599999995</v>
      </c>
      <c r="GX328" s="316">
        <v>0.45634243099999999</v>
      </c>
      <c r="GY328" s="316">
        <v>0.46226521700000001</v>
      </c>
      <c r="GZ328" s="316">
        <v>0.468278413</v>
      </c>
      <c r="HA328" s="316">
        <v>0.59799794900000003</v>
      </c>
      <c r="HB328" s="316">
        <v>0.45727828100000001</v>
      </c>
      <c r="HC328" s="316">
        <v>0.47951903200000001</v>
      </c>
      <c r="HD328" s="316">
        <v>0.48487598700000001</v>
      </c>
      <c r="HE328" s="316">
        <v>0.61109103600000003</v>
      </c>
      <c r="HF328" s="316">
        <v>0.62623041245350075</v>
      </c>
      <c r="HG328" s="316">
        <v>0.69252155800000004</v>
      </c>
      <c r="HH328" s="316">
        <v>0.62730457299999998</v>
      </c>
      <c r="HI328" s="316">
        <v>0.60267086199999997</v>
      </c>
      <c r="HJ328" s="316">
        <v>0.60076210399999996</v>
      </c>
      <c r="HK328" s="316">
        <v>0.53064373799999998</v>
      </c>
      <c r="HL328" s="316">
        <v>0.621475746</v>
      </c>
      <c r="HM328" s="316"/>
      <c r="KH328" s="303"/>
    </row>
    <row r="329" spans="1:324" outlineLevel="1">
      <c r="A329" s="117" t="s">
        <v>422</v>
      </c>
      <c r="B329" s="117" t="s">
        <v>361</v>
      </c>
      <c r="D329" s="343" t="s">
        <v>507</v>
      </c>
      <c r="E329" s="316"/>
      <c r="F329" s="316"/>
      <c r="G329" s="316"/>
      <c r="H329" s="316"/>
      <c r="I329" s="316"/>
      <c r="J329" s="316"/>
      <c r="K329" s="316"/>
      <c r="L329" s="316"/>
      <c r="M329" s="316"/>
      <c r="N329" s="316"/>
      <c r="O329" s="316"/>
      <c r="P329" s="316"/>
      <c r="Q329" s="316"/>
      <c r="R329" s="316"/>
      <c r="S329" s="316"/>
      <c r="T329" s="316"/>
      <c r="U329" s="316"/>
      <c r="V329" s="316"/>
      <c r="W329" s="316"/>
      <c r="X329" s="316"/>
      <c r="Y329" s="316"/>
      <c r="Z329" s="316"/>
      <c r="AA329" s="316"/>
      <c r="AB329" s="316"/>
      <c r="AC329" s="316"/>
      <c r="AD329" s="316"/>
      <c r="AE329" s="316"/>
      <c r="AF329" s="316"/>
      <c r="AG329" s="316"/>
      <c r="AH329" s="316"/>
      <c r="AI329" s="316"/>
      <c r="AJ329" s="316"/>
      <c r="AK329" s="316"/>
      <c r="AL329" s="316"/>
      <c r="AM329" s="316"/>
      <c r="AN329" s="316"/>
      <c r="AO329" s="316"/>
      <c r="AP329" s="316"/>
      <c r="AQ329" s="316"/>
      <c r="AR329" s="316"/>
      <c r="AS329" s="316"/>
      <c r="AT329" s="316"/>
      <c r="AU329" s="316"/>
      <c r="AV329" s="316"/>
      <c r="AW329" s="316"/>
      <c r="AX329" s="316"/>
      <c r="AY329" s="316"/>
      <c r="AZ329" s="316"/>
      <c r="BA329" s="316"/>
      <c r="BB329" s="316"/>
      <c r="BC329" s="316"/>
      <c r="BD329" s="316"/>
      <c r="BE329" s="316"/>
      <c r="BF329" s="316"/>
      <c r="BG329" s="316"/>
      <c r="BH329" s="316"/>
      <c r="BI329" s="316"/>
      <c r="BJ329" s="316"/>
      <c r="BK329" s="316"/>
      <c r="BL329" s="316"/>
      <c r="BM329" s="316"/>
      <c r="BN329" s="316"/>
      <c r="BO329" s="316"/>
      <c r="BP329" s="316"/>
      <c r="BQ329" s="316"/>
      <c r="BR329" s="316"/>
      <c r="BS329" s="316"/>
      <c r="BT329" s="316"/>
      <c r="BU329" s="316"/>
      <c r="BV329" s="316"/>
      <c r="BW329" s="316"/>
      <c r="BX329" s="316"/>
      <c r="BY329" s="316"/>
      <c r="BZ329" s="316"/>
      <c r="CA329" s="316"/>
      <c r="CB329" s="316"/>
      <c r="CC329" s="316"/>
      <c r="CD329" s="316"/>
      <c r="CE329" s="317">
        <v>26.193950407599999</v>
      </c>
      <c r="CF329" s="316">
        <v>30.537244051999998</v>
      </c>
      <c r="CG329" s="316">
        <v>31.713199928100003</v>
      </c>
      <c r="CH329" s="316">
        <v>29.210378220000003</v>
      </c>
      <c r="CI329" s="316">
        <v>30.778055479799995</v>
      </c>
      <c r="CJ329" s="316">
        <v>29.573716512900003</v>
      </c>
      <c r="CK329" s="316">
        <v>33.513913665799997</v>
      </c>
      <c r="CL329" s="316">
        <v>30.433911302299997</v>
      </c>
      <c r="CM329" s="316">
        <v>31.000781095999997</v>
      </c>
      <c r="CN329" s="316">
        <v>30.170115046299998</v>
      </c>
      <c r="CO329" s="316">
        <v>36.0058408242</v>
      </c>
      <c r="CP329" s="318">
        <v>43.757739748199995</v>
      </c>
      <c r="CQ329" s="316">
        <v>33.471184775199994</v>
      </c>
      <c r="CR329" s="316">
        <v>33.434064120400002</v>
      </c>
      <c r="CS329" s="316">
        <v>38.626960668099997</v>
      </c>
      <c r="CT329" s="316">
        <v>31.706105306399998</v>
      </c>
      <c r="CU329" s="316">
        <v>31.394059134400003</v>
      </c>
      <c r="CV329" s="316">
        <v>35.882737953700001</v>
      </c>
      <c r="CW329" s="316">
        <v>33.075159354500002</v>
      </c>
      <c r="CX329" s="316">
        <v>31.039300498900001</v>
      </c>
      <c r="CY329" s="316">
        <v>37.192440240000003</v>
      </c>
      <c r="CZ329" s="316">
        <v>34.869681115199995</v>
      </c>
      <c r="DA329" s="316">
        <v>34.499460470800003</v>
      </c>
      <c r="DB329" s="1498">
        <v>47.369050485200006</v>
      </c>
      <c r="DC329" s="316">
        <v>37.152220847247435</v>
      </c>
      <c r="DD329" s="316">
        <v>39.11347159675941</v>
      </c>
      <c r="DE329" s="316">
        <v>42.967671525083119</v>
      </c>
      <c r="DF329" s="316">
        <v>44.94925926023231</v>
      </c>
      <c r="DG329" s="316">
        <v>40.775350997670785</v>
      </c>
      <c r="DH329" s="316">
        <v>42.918952010932088</v>
      </c>
      <c r="DI329" s="316">
        <v>41.26642830750005</v>
      </c>
      <c r="DJ329" s="316">
        <v>41.239115872312233</v>
      </c>
      <c r="DK329" s="316">
        <v>42.604703452951888</v>
      </c>
      <c r="DL329" s="316">
        <v>41.523903473342031</v>
      </c>
      <c r="DM329" s="316">
        <v>43.165366416875827</v>
      </c>
      <c r="DN329" s="318">
        <v>59.092532898797486</v>
      </c>
      <c r="DO329" s="316">
        <v>38.445664297665274</v>
      </c>
      <c r="DP329" s="316">
        <v>41.233652227421587</v>
      </c>
      <c r="DQ329" s="316">
        <v>45.783437808304797</v>
      </c>
      <c r="DR329" s="316">
        <v>37.81452832372527</v>
      </c>
      <c r="DS329" s="316">
        <v>40.020885699629673</v>
      </c>
      <c r="DT329" s="316">
        <v>47.777370732519998</v>
      </c>
      <c r="DU329" s="316">
        <v>42.835804453561529</v>
      </c>
      <c r="DV329" s="316">
        <v>42.68298217757912</v>
      </c>
      <c r="DW329" s="316">
        <v>48.179965031960045</v>
      </c>
      <c r="DX329" s="316">
        <v>41.323544411150003</v>
      </c>
      <c r="DY329" s="316">
        <v>43.841985045804634</v>
      </c>
      <c r="DZ329" s="318">
        <v>60.086841465289396</v>
      </c>
      <c r="EA329" s="316">
        <v>43.543357164931251</v>
      </c>
      <c r="EB329" s="316">
        <v>44.347574842021515</v>
      </c>
      <c r="EC329" s="316">
        <v>52.846526088215477</v>
      </c>
      <c r="ED329" s="316">
        <v>48.225939134043763</v>
      </c>
      <c r="EE329" s="316">
        <v>45.185369242105963</v>
      </c>
      <c r="EF329" s="316">
        <v>55.9083828028878</v>
      </c>
      <c r="EG329" s="316">
        <v>50.367792074604417</v>
      </c>
      <c r="EH329" s="316">
        <v>46.768529444280837</v>
      </c>
      <c r="EI329" s="316">
        <v>54.235682428344518</v>
      </c>
      <c r="EJ329" s="316">
        <v>48.953844839073028</v>
      </c>
      <c r="EK329" s="316">
        <v>50.189217396378183</v>
      </c>
      <c r="EL329" s="318">
        <v>64.569952200011286</v>
      </c>
      <c r="EM329" s="316">
        <v>47.52563120632</v>
      </c>
      <c r="EN329" s="316">
        <v>54.722804146800009</v>
      </c>
      <c r="EO329" s="316">
        <v>54.961715030960001</v>
      </c>
      <c r="EP329" s="316">
        <v>49.389373737296673</v>
      </c>
      <c r="EQ329" s="316">
        <v>52.368215546056668</v>
      </c>
      <c r="ER329" s="316">
        <v>62.180448366056659</v>
      </c>
      <c r="ES329" s="316">
        <v>56.079019996352798</v>
      </c>
      <c r="ET329" s="316">
        <v>56.402314137709936</v>
      </c>
      <c r="EU329" s="316">
        <v>54.714496935680003</v>
      </c>
      <c r="EV329" s="316">
        <v>57.778528300494401</v>
      </c>
      <c r="EW329" s="316">
        <v>58.135009390280018</v>
      </c>
      <c r="EX329" s="318">
        <v>71.773079526670003</v>
      </c>
      <c r="EY329" s="316">
        <v>54.263382039290008</v>
      </c>
      <c r="EZ329" s="316">
        <v>61.952180569923961</v>
      </c>
      <c r="FA329" s="316">
        <v>61.400699289466829</v>
      </c>
      <c r="FB329" s="316">
        <v>58.598301699079997</v>
      </c>
      <c r="FC329" s="316">
        <v>60.445300122399203</v>
      </c>
      <c r="FD329" s="316">
        <v>78.471032264479192</v>
      </c>
      <c r="FE329" s="316">
        <v>66.07755830056</v>
      </c>
      <c r="FF329" s="316">
        <v>58.48371647499664</v>
      </c>
      <c r="FG329" s="316">
        <v>60.428050559280003</v>
      </c>
      <c r="FH329" s="316">
        <v>38.734274717475898</v>
      </c>
      <c r="FI329" s="316">
        <v>40.964304717332695</v>
      </c>
      <c r="FJ329" s="318">
        <v>72.390007426795904</v>
      </c>
      <c r="FK329" s="316">
        <v>54.168901728150594</v>
      </c>
      <c r="FL329" s="316">
        <v>60.051041430954385</v>
      </c>
      <c r="FM329" s="316">
        <v>71.479806972853822</v>
      </c>
      <c r="FN329" s="316">
        <v>63.371288552983501</v>
      </c>
      <c r="FO329" s="316">
        <v>61.997095310571702</v>
      </c>
      <c r="FP329" s="316">
        <v>69.343101686268739</v>
      </c>
      <c r="FQ329" s="316">
        <v>60.057290794969944</v>
      </c>
      <c r="FR329" s="316">
        <v>58.694828293877428</v>
      </c>
      <c r="FS329" s="316">
        <v>64.712181678315659</v>
      </c>
      <c r="FT329" s="316">
        <v>64.673643356741692</v>
      </c>
      <c r="FU329" s="316">
        <v>66.447717415473193</v>
      </c>
      <c r="FV329" s="316">
        <v>80.95332279998722</v>
      </c>
      <c r="FW329" s="316">
        <v>57.455082833334053</v>
      </c>
      <c r="FX329" s="316">
        <v>61.040984403823927</v>
      </c>
      <c r="FY329" s="316">
        <v>71.34859550482399</v>
      </c>
      <c r="FZ329" s="316">
        <v>67.735260111406518</v>
      </c>
      <c r="GA329" s="316">
        <v>71.406121894751934</v>
      </c>
      <c r="GB329" s="316">
        <v>79.97994653947751</v>
      </c>
      <c r="GC329" s="316">
        <v>74.128009737574985</v>
      </c>
      <c r="GD329" s="316">
        <v>66.461552756245538</v>
      </c>
      <c r="GE329" s="316">
        <v>83.517696730099829</v>
      </c>
      <c r="GF329" s="316">
        <v>75.203753604971894</v>
      </c>
      <c r="GG329" s="316">
        <v>73.101989073323665</v>
      </c>
      <c r="GH329" s="316">
        <v>91.710698926614242</v>
      </c>
      <c r="GI329" s="316">
        <v>75.83596751694094</v>
      </c>
      <c r="GJ329" s="316">
        <v>91.518969854744995</v>
      </c>
      <c r="GK329" s="316">
        <v>89.953357421414836</v>
      </c>
      <c r="GL329" s="316">
        <v>76.794259471496403</v>
      </c>
      <c r="GM329" s="316">
        <v>79.812763006002214</v>
      </c>
      <c r="GN329" s="316">
        <v>90.371227122600786</v>
      </c>
      <c r="GO329" s="316">
        <v>93.541868119232603</v>
      </c>
      <c r="GP329" s="316">
        <v>78.785211588544087</v>
      </c>
      <c r="GQ329" s="316">
        <v>91.676332418468078</v>
      </c>
      <c r="GR329" s="316">
        <v>80.289282286640002</v>
      </c>
      <c r="GS329" s="316">
        <v>83.865236796749997</v>
      </c>
      <c r="GT329" s="316">
        <v>97.978523219140015</v>
      </c>
      <c r="GU329" s="316">
        <v>93.588156971670628</v>
      </c>
      <c r="GV329" s="316">
        <v>95.09266117670154</v>
      </c>
      <c r="GW329" s="316">
        <v>92.184935714847882</v>
      </c>
      <c r="GX329" s="316">
        <v>95.011488550449997</v>
      </c>
      <c r="GY329" s="316">
        <v>90.740672627979492</v>
      </c>
      <c r="GZ329" s="316">
        <v>94.519543153649991</v>
      </c>
      <c r="HA329" s="316">
        <v>108.52683890841251</v>
      </c>
      <c r="HB329" s="316">
        <v>90.239175114779997</v>
      </c>
      <c r="HC329" s="316">
        <v>93.516958395113221</v>
      </c>
      <c r="HD329" s="316">
        <v>103.89674737625</v>
      </c>
      <c r="HE329" s="316">
        <v>102.254227319295</v>
      </c>
      <c r="HF329" s="316">
        <v>130.19032642524189</v>
      </c>
      <c r="HG329" s="316">
        <v>119.87130082016913</v>
      </c>
      <c r="HH329" s="316">
        <v>111.53782990078483</v>
      </c>
      <c r="HI329" s="316">
        <v>112.14483491384611</v>
      </c>
      <c r="HJ329" s="316">
        <v>124.95749331484998</v>
      </c>
      <c r="HK329" s="316">
        <v>105.55191559369999</v>
      </c>
      <c r="HL329" s="316">
        <v>113.80492420212138</v>
      </c>
      <c r="HM329" s="316"/>
      <c r="KH329" s="303"/>
    </row>
    <row r="330" spans="1:324" outlineLevel="1">
      <c r="A330" s="117" t="s">
        <v>422</v>
      </c>
      <c r="B330" s="117" t="s">
        <v>361</v>
      </c>
      <c r="D330" s="344" t="s">
        <v>508</v>
      </c>
      <c r="E330" s="316"/>
      <c r="F330" s="316"/>
      <c r="G330" s="316"/>
      <c r="H330" s="316"/>
      <c r="I330" s="316"/>
      <c r="J330" s="316"/>
      <c r="K330" s="316"/>
      <c r="L330" s="316"/>
      <c r="M330" s="316"/>
      <c r="N330" s="316"/>
      <c r="O330" s="316"/>
      <c r="P330" s="316"/>
      <c r="Q330" s="316"/>
      <c r="R330" s="316"/>
      <c r="S330" s="316"/>
      <c r="T330" s="316"/>
      <c r="U330" s="316"/>
      <c r="V330" s="316"/>
      <c r="W330" s="316"/>
      <c r="X330" s="316"/>
      <c r="Y330" s="316"/>
      <c r="Z330" s="316"/>
      <c r="AA330" s="316"/>
      <c r="AB330" s="316"/>
      <c r="AC330" s="316"/>
      <c r="AD330" s="316"/>
      <c r="AE330" s="316"/>
      <c r="AF330" s="316"/>
      <c r="AG330" s="316"/>
      <c r="AH330" s="316"/>
      <c r="AI330" s="316"/>
      <c r="AJ330" s="316"/>
      <c r="AK330" s="316"/>
      <c r="AL330" s="316"/>
      <c r="AM330" s="316"/>
      <c r="AN330" s="316"/>
      <c r="AO330" s="316"/>
      <c r="AP330" s="316"/>
      <c r="AQ330" s="316"/>
      <c r="AR330" s="316"/>
      <c r="AS330" s="316"/>
      <c r="AT330" s="316"/>
      <c r="AU330" s="316"/>
      <c r="AV330" s="316"/>
      <c r="AW330" s="316"/>
      <c r="AX330" s="316"/>
      <c r="AY330" s="316"/>
      <c r="AZ330" s="316"/>
      <c r="BA330" s="316"/>
      <c r="BB330" s="316"/>
      <c r="BC330" s="316"/>
      <c r="BD330" s="316"/>
      <c r="BE330" s="316"/>
      <c r="BF330" s="316"/>
      <c r="BG330" s="316"/>
      <c r="BH330" s="316"/>
      <c r="BI330" s="316"/>
      <c r="BJ330" s="316"/>
      <c r="BK330" s="316"/>
      <c r="BL330" s="316"/>
      <c r="BM330" s="316"/>
      <c r="BN330" s="316"/>
      <c r="BO330" s="316"/>
      <c r="BP330" s="316"/>
      <c r="BQ330" s="316"/>
      <c r="BR330" s="316"/>
      <c r="BS330" s="316"/>
      <c r="BT330" s="316"/>
      <c r="BU330" s="316"/>
      <c r="BV330" s="316"/>
      <c r="BW330" s="316"/>
      <c r="BX330" s="316"/>
      <c r="BY330" s="316"/>
      <c r="BZ330" s="316"/>
      <c r="CA330" s="316"/>
      <c r="CB330" s="316"/>
      <c r="CC330" s="316"/>
      <c r="CD330" s="316"/>
      <c r="CE330" s="317">
        <v>15.881936169600001</v>
      </c>
      <c r="CF330" s="316">
        <v>18.854891973000001</v>
      </c>
      <c r="CG330" s="316">
        <v>21.022694216100003</v>
      </c>
      <c r="CH330" s="316">
        <v>18.475735869000001</v>
      </c>
      <c r="CI330" s="316">
        <v>20.979492343799997</v>
      </c>
      <c r="CJ330" s="316">
        <v>20.168021736900002</v>
      </c>
      <c r="CK330" s="316">
        <v>21.989315188799999</v>
      </c>
      <c r="CL330" s="316">
        <v>20.275165771299999</v>
      </c>
      <c r="CM330" s="316">
        <v>20.410296612</v>
      </c>
      <c r="CN330" s="316">
        <v>19.940888978299999</v>
      </c>
      <c r="CO330" s="316">
        <v>26.053933561200001</v>
      </c>
      <c r="CP330" s="318">
        <v>33.077771980199998</v>
      </c>
      <c r="CQ330" s="316">
        <v>33.471184775199994</v>
      </c>
      <c r="CR330" s="316">
        <v>33.434064120400002</v>
      </c>
      <c r="CS330" s="316">
        <v>38.626960668099997</v>
      </c>
      <c r="CT330" s="316">
        <v>31.706105306399998</v>
      </c>
      <c r="CU330" s="316">
        <v>31.394059134400003</v>
      </c>
      <c r="CV330" s="316">
        <v>35.882737953700001</v>
      </c>
      <c r="CW330" s="316">
        <v>33.075159354500002</v>
      </c>
      <c r="CX330" s="316">
        <v>31.039300498900001</v>
      </c>
      <c r="CY330" s="316">
        <v>37.192440240000003</v>
      </c>
      <c r="CZ330" s="316">
        <v>34.869681115199995</v>
      </c>
      <c r="DA330" s="316">
        <v>34.499460470800003</v>
      </c>
      <c r="DB330" s="1498">
        <v>47.369050485200006</v>
      </c>
      <c r="DC330" s="316">
        <v>23.266508495967319</v>
      </c>
      <c r="DD330" s="316">
        <v>23.758111601567538</v>
      </c>
      <c r="DE330" s="316">
        <v>27.771328359273731</v>
      </c>
      <c r="DF330" s="316">
        <v>26.057107734049509</v>
      </c>
      <c r="DG330" s="316">
        <v>25.026585214483969</v>
      </c>
      <c r="DH330" s="316">
        <v>25.517735918346453</v>
      </c>
      <c r="DI330" s="316">
        <v>25.528013021523304</v>
      </c>
      <c r="DJ330" s="316">
        <v>24.555686210496649</v>
      </c>
      <c r="DK330" s="316">
        <v>26.906421522073092</v>
      </c>
      <c r="DL330" s="316">
        <v>23.506149810616684</v>
      </c>
      <c r="DM330" s="316">
        <v>24.68303512760636</v>
      </c>
      <c r="DN330" s="318">
        <v>36.569341124057701</v>
      </c>
      <c r="DO330" s="316">
        <v>25.701807561024744</v>
      </c>
      <c r="DP330" s="316">
        <v>26.397325789838082</v>
      </c>
      <c r="DQ330" s="316">
        <v>31.555241930825211</v>
      </c>
      <c r="DR330" s="316">
        <v>26.863054138133752</v>
      </c>
      <c r="DS330" s="316">
        <v>26.717636984190449</v>
      </c>
      <c r="DT330" s="316">
        <v>32.69728655681979</v>
      </c>
      <c r="DU330" s="316">
        <v>29.609370200203948</v>
      </c>
      <c r="DV330" s="316">
        <v>30.218131036601271</v>
      </c>
      <c r="DW330" s="316">
        <v>34.381804019969429</v>
      </c>
      <c r="DX330" s="316">
        <v>28.627043046811128</v>
      </c>
      <c r="DY330" s="316">
        <v>30.426527154767683</v>
      </c>
      <c r="DZ330" s="318">
        <v>45.255670960007315</v>
      </c>
      <c r="EA330" s="316">
        <v>29.397361652393904</v>
      </c>
      <c r="EB330" s="316">
        <v>29.655846328871178</v>
      </c>
      <c r="EC330" s="316">
        <v>38.342055351274077</v>
      </c>
      <c r="ED330" s="316">
        <v>33.930998060903121</v>
      </c>
      <c r="EE330" s="316">
        <v>31.829732903307988</v>
      </c>
      <c r="EF330" s="316">
        <v>40.563303410143575</v>
      </c>
      <c r="EG330" s="316">
        <v>35.919538485570449</v>
      </c>
      <c r="EH330" s="316">
        <v>32.726659883868365</v>
      </c>
      <c r="EI330" s="316">
        <v>39.61005153807298</v>
      </c>
      <c r="EJ330" s="316">
        <v>34.021254095932044</v>
      </c>
      <c r="EK330" s="316">
        <v>34.65518012998443</v>
      </c>
      <c r="EL330" s="318">
        <v>46.603714353491178</v>
      </c>
      <c r="EM330" s="316">
        <v>30.906249728319999</v>
      </c>
      <c r="EN330" s="316">
        <v>35.091470095800005</v>
      </c>
      <c r="EO330" s="316">
        <v>36.65031393396</v>
      </c>
      <c r="EP330" s="316">
        <v>32.886596466520004</v>
      </c>
      <c r="EQ330" s="316">
        <v>35.038868828280002</v>
      </c>
      <c r="ER330" s="316">
        <v>43.132705185279995</v>
      </c>
      <c r="ES330" s="316">
        <v>39.356497086352796</v>
      </c>
      <c r="ET330" s="316">
        <v>37.734449936709929</v>
      </c>
      <c r="EU330" s="316">
        <v>37.11177639868</v>
      </c>
      <c r="EV330" s="316">
        <v>40.404032144494401</v>
      </c>
      <c r="EW330" s="316">
        <v>38.387444583280022</v>
      </c>
      <c r="EX330" s="318">
        <v>51.889292503</v>
      </c>
      <c r="EY330" s="316">
        <v>34.296850887800005</v>
      </c>
      <c r="EZ330" s="316">
        <v>41.130810978923961</v>
      </c>
      <c r="FA330" s="316">
        <v>42.016032445419995</v>
      </c>
      <c r="FB330" s="316">
        <v>40.468883834080003</v>
      </c>
      <c r="FC330" s="316">
        <v>40.459910524399199</v>
      </c>
      <c r="FD330" s="316">
        <v>59.028955909479201</v>
      </c>
      <c r="FE330" s="316">
        <v>39.751392172399996</v>
      </c>
      <c r="FF330" s="316">
        <v>38.875159240119999</v>
      </c>
      <c r="FG330" s="316">
        <v>42.163423852679998</v>
      </c>
      <c r="FH330" s="316">
        <v>28.42865419908</v>
      </c>
      <c r="FI330" s="316">
        <v>25.959696988936798</v>
      </c>
      <c r="FJ330" s="318">
        <v>51.431453945399994</v>
      </c>
      <c r="FK330" s="316">
        <v>35.002858807720003</v>
      </c>
      <c r="FL330" s="316">
        <v>39.207689627559979</v>
      </c>
      <c r="FM330" s="316">
        <v>49.472296509000003</v>
      </c>
      <c r="FN330" s="316">
        <v>42.979163396173341</v>
      </c>
      <c r="FO330" s="316">
        <v>41.368668658497164</v>
      </c>
      <c r="FP330" s="316">
        <v>46.118193713987054</v>
      </c>
      <c r="FQ330" s="316">
        <v>40.440497797398329</v>
      </c>
      <c r="FR330" s="316">
        <v>38.993644202098764</v>
      </c>
      <c r="FS330" s="316">
        <v>43.75181860061484</v>
      </c>
      <c r="FT330" s="316">
        <v>43.0573064332117</v>
      </c>
      <c r="FU330" s="316">
        <v>45.637175283768784</v>
      </c>
      <c r="FV330" s="316">
        <v>59.002626250009676</v>
      </c>
      <c r="FW330" s="316">
        <v>38.676735753829782</v>
      </c>
      <c r="FX330" s="316">
        <v>39.946161936048583</v>
      </c>
      <c r="FY330" s="316">
        <v>48.504380458713548</v>
      </c>
      <c r="FZ330" s="316">
        <v>45.626606782743686</v>
      </c>
      <c r="GA330" s="316">
        <v>48.178742218431545</v>
      </c>
      <c r="GB330" s="316">
        <v>56.630153828914708</v>
      </c>
      <c r="GC330" s="316">
        <v>50.055151263039996</v>
      </c>
      <c r="GD330" s="316">
        <v>43.807227043699996</v>
      </c>
      <c r="GE330" s="316">
        <v>56.012617229773603</v>
      </c>
      <c r="GF330" s="316">
        <v>48.884781706864608</v>
      </c>
      <c r="GG330" s="316">
        <v>51.031707439965153</v>
      </c>
      <c r="GH330" s="316">
        <v>66.063478275774557</v>
      </c>
      <c r="GI330" s="316">
        <v>52.261630586622253</v>
      </c>
      <c r="GJ330" s="316">
        <v>62.788312695233685</v>
      </c>
      <c r="GK330" s="316">
        <v>59.264710403018157</v>
      </c>
      <c r="GL330" s="316">
        <v>51.003329466508958</v>
      </c>
      <c r="GM330" s="316">
        <v>54.271152905200005</v>
      </c>
      <c r="GN330" s="316">
        <v>61.477659934236584</v>
      </c>
      <c r="GO330" s="316">
        <v>60.920412199326172</v>
      </c>
      <c r="GP330" s="316">
        <v>50.197395067350342</v>
      </c>
      <c r="GQ330" s="316">
        <v>62.11656720336142</v>
      </c>
      <c r="GR330" s="316">
        <v>52.755765961640002</v>
      </c>
      <c r="GS330" s="316">
        <v>56.130795758749997</v>
      </c>
      <c r="GT330" s="316">
        <v>66.757954746140001</v>
      </c>
      <c r="GU330" s="316">
        <v>62.181831814199995</v>
      </c>
      <c r="GV330" s="316">
        <v>60.037218570701533</v>
      </c>
      <c r="GW330" s="316">
        <v>59.178527273324072</v>
      </c>
      <c r="GX330" s="316">
        <v>64.542478498449995</v>
      </c>
      <c r="GY330" s="316">
        <v>60.586507752979493</v>
      </c>
      <c r="GZ330" s="316">
        <v>63.480555277650005</v>
      </c>
      <c r="HA330" s="316">
        <v>72.277019610412509</v>
      </c>
      <c r="HB330" s="316">
        <v>57.151694257780001</v>
      </c>
      <c r="HC330" s="316">
        <v>60.889530337113221</v>
      </c>
      <c r="HD330" s="316">
        <v>70.645444112250004</v>
      </c>
      <c r="HE330" s="316">
        <v>69.402485699294999</v>
      </c>
      <c r="HF330" s="316">
        <v>92.542788181232822</v>
      </c>
      <c r="HG330" s="316">
        <v>88.441319920169121</v>
      </c>
      <c r="HH330" s="316">
        <v>73.33246407378482</v>
      </c>
      <c r="HI330" s="316">
        <v>75.233215001846105</v>
      </c>
      <c r="HJ330" s="316">
        <v>88.868271311849995</v>
      </c>
      <c r="HK330" s="316">
        <v>70.441157013699993</v>
      </c>
      <c r="HL330" s="316">
        <v>77.657159039121382</v>
      </c>
      <c r="HM330" s="316"/>
      <c r="KH330" s="303"/>
    </row>
    <row r="331" spans="1:324" outlineLevel="1">
      <c r="A331" s="117" t="s">
        <v>422</v>
      </c>
      <c r="B331" s="117" t="s">
        <v>361</v>
      </c>
      <c r="D331" s="344" t="s">
        <v>509</v>
      </c>
      <c r="E331" s="316"/>
      <c r="F331" s="316"/>
      <c r="G331" s="316"/>
      <c r="H331" s="316"/>
      <c r="I331" s="316"/>
      <c r="J331" s="316"/>
      <c r="K331" s="316"/>
      <c r="L331" s="316"/>
      <c r="M331" s="316"/>
      <c r="N331" s="316"/>
      <c r="O331" s="316"/>
      <c r="P331" s="316"/>
      <c r="Q331" s="316"/>
      <c r="R331" s="316"/>
      <c r="S331" s="316"/>
      <c r="T331" s="316"/>
      <c r="U331" s="316"/>
      <c r="V331" s="316"/>
      <c r="W331" s="316"/>
      <c r="X331" s="316"/>
      <c r="Y331" s="316"/>
      <c r="Z331" s="316"/>
      <c r="AA331" s="316"/>
      <c r="AB331" s="316"/>
      <c r="AC331" s="316"/>
      <c r="AD331" s="316"/>
      <c r="AE331" s="316"/>
      <c r="AF331" s="316"/>
      <c r="AG331" s="316"/>
      <c r="AH331" s="316"/>
      <c r="AI331" s="316"/>
      <c r="AJ331" s="316"/>
      <c r="AK331" s="316"/>
      <c r="AL331" s="316"/>
      <c r="AM331" s="316"/>
      <c r="AN331" s="316"/>
      <c r="AO331" s="316"/>
      <c r="AP331" s="316"/>
      <c r="AQ331" s="316"/>
      <c r="AR331" s="316"/>
      <c r="AS331" s="316"/>
      <c r="AT331" s="316"/>
      <c r="AU331" s="316"/>
      <c r="AV331" s="316"/>
      <c r="AW331" s="316"/>
      <c r="AX331" s="316"/>
      <c r="AY331" s="316"/>
      <c r="AZ331" s="316"/>
      <c r="BA331" s="316"/>
      <c r="BB331" s="316"/>
      <c r="BC331" s="316"/>
      <c r="BD331" s="316"/>
      <c r="BE331" s="316"/>
      <c r="BF331" s="316"/>
      <c r="BG331" s="316"/>
      <c r="BH331" s="316"/>
      <c r="BI331" s="316"/>
      <c r="BJ331" s="316"/>
      <c r="BK331" s="316"/>
      <c r="BL331" s="316"/>
      <c r="BM331" s="316"/>
      <c r="BN331" s="316"/>
      <c r="BO331" s="316"/>
      <c r="BP331" s="316"/>
      <c r="BQ331" s="316"/>
      <c r="BR331" s="316"/>
      <c r="BS331" s="316"/>
      <c r="BT331" s="316"/>
      <c r="BU331" s="316"/>
      <c r="BV331" s="316"/>
      <c r="BW331" s="316"/>
      <c r="BX331" s="316"/>
      <c r="BY331" s="316"/>
      <c r="BZ331" s="316"/>
      <c r="CA331" s="316"/>
      <c r="CB331" s="316"/>
      <c r="CC331" s="316"/>
      <c r="CD331" s="316"/>
      <c r="CE331" s="317">
        <v>15.881936169600001</v>
      </c>
      <c r="CF331" s="316">
        <v>18.854891973000001</v>
      </c>
      <c r="CG331" s="316">
        <v>21.022694216100003</v>
      </c>
      <c r="CH331" s="316">
        <v>18.475735869000001</v>
      </c>
      <c r="CI331" s="316">
        <v>20.979486082799998</v>
      </c>
      <c r="CJ331" s="316">
        <v>20.168021736900002</v>
      </c>
      <c r="CK331" s="316">
        <v>21.989315188799999</v>
      </c>
      <c r="CL331" s="316">
        <v>20.2751557713</v>
      </c>
      <c r="CM331" s="316">
        <v>20.409192611999998</v>
      </c>
      <c r="CN331" s="316">
        <v>19.940791218299999</v>
      </c>
      <c r="CO331" s="316">
        <v>26.053933561200001</v>
      </c>
      <c r="CP331" s="318">
        <v>33.077771980199998</v>
      </c>
      <c r="CQ331" s="316">
        <v>21.0190435542</v>
      </c>
      <c r="CR331" s="316">
        <v>20.917568714400002</v>
      </c>
      <c r="CS331" s="316">
        <v>26.884899377100002</v>
      </c>
      <c r="CT331" s="316">
        <v>21.2873725854</v>
      </c>
      <c r="CU331" s="316">
        <v>20.929796582400002</v>
      </c>
      <c r="CV331" s="316">
        <v>23.1939375957</v>
      </c>
      <c r="CW331" s="316">
        <v>21.954958753500001</v>
      </c>
      <c r="CX331" s="316">
        <v>20.563003224900001</v>
      </c>
      <c r="CY331" s="316">
        <v>23.182708599000001</v>
      </c>
      <c r="CZ331" s="316">
        <v>23.120711980199999</v>
      </c>
      <c r="DA331" s="316">
        <v>23.529648034800001</v>
      </c>
      <c r="DB331" s="1498">
        <v>34.412194987200003</v>
      </c>
      <c r="DC331" s="316">
        <v>23.266508495967319</v>
      </c>
      <c r="DD331" s="316">
        <v>23.758111601567538</v>
      </c>
      <c r="DE331" s="316">
        <v>27.771328359273731</v>
      </c>
      <c r="DF331" s="316">
        <v>26.057107734049509</v>
      </c>
      <c r="DG331" s="316">
        <v>25.026580111714612</v>
      </c>
      <c r="DH331" s="316">
        <v>25.517735918346453</v>
      </c>
      <c r="DI331" s="316">
        <v>25.528013021523304</v>
      </c>
      <c r="DJ331" s="316">
        <v>24.555686210496649</v>
      </c>
      <c r="DK331" s="316">
        <v>26.906421522073092</v>
      </c>
      <c r="DL331" s="316">
        <v>23.506149810616684</v>
      </c>
      <c r="DM331" s="316">
        <v>24.683025302693412</v>
      </c>
      <c r="DN331" s="318">
        <v>36.569063777088552</v>
      </c>
      <c r="DO331" s="316">
        <v>25.701807561024744</v>
      </c>
      <c r="DP331" s="316">
        <v>26.397325789838082</v>
      </c>
      <c r="DQ331" s="316">
        <v>31.555241930825211</v>
      </c>
      <c r="DR331" s="316">
        <v>26.863054138133752</v>
      </c>
      <c r="DS331" s="316">
        <v>26.717636984190449</v>
      </c>
      <c r="DT331" s="316">
        <v>32.69728655681979</v>
      </c>
      <c r="DU331" s="316">
        <v>29.609370200203948</v>
      </c>
      <c r="DV331" s="316">
        <v>30.218131036601271</v>
      </c>
      <c r="DW331" s="316">
        <v>34.381804019969429</v>
      </c>
      <c r="DX331" s="316">
        <v>28.627043046811128</v>
      </c>
      <c r="DY331" s="316">
        <v>30.426527154767683</v>
      </c>
      <c r="DZ331" s="318">
        <v>45.255670960007315</v>
      </c>
      <c r="EA331" s="316">
        <v>29.397361652393904</v>
      </c>
      <c r="EB331" s="316">
        <v>29.655846328871178</v>
      </c>
      <c r="EC331" s="316">
        <v>38.342055351274077</v>
      </c>
      <c r="ED331" s="316">
        <v>33.930998060903121</v>
      </c>
      <c r="EE331" s="316">
        <v>31.829732903307988</v>
      </c>
      <c r="EF331" s="316">
        <v>40.563303410143575</v>
      </c>
      <c r="EG331" s="316">
        <v>35.919538485570449</v>
      </c>
      <c r="EH331" s="316">
        <v>32.726659883868365</v>
      </c>
      <c r="EI331" s="316">
        <v>39.61005153807298</v>
      </c>
      <c r="EJ331" s="316">
        <v>34.021254095932044</v>
      </c>
      <c r="EK331" s="316">
        <v>34.65518012998443</v>
      </c>
      <c r="EL331" s="318">
        <v>46.603714353491178</v>
      </c>
      <c r="EM331" s="316">
        <v>30.906249728319999</v>
      </c>
      <c r="EN331" s="316">
        <v>35.091470095800005</v>
      </c>
      <c r="EO331" s="316">
        <v>36.65031393396</v>
      </c>
      <c r="EP331" s="316">
        <v>32.886596466520004</v>
      </c>
      <c r="EQ331" s="316">
        <v>35.038868828280002</v>
      </c>
      <c r="ER331" s="316">
        <v>43.132705185279995</v>
      </c>
      <c r="ES331" s="316">
        <v>39.356497086352796</v>
      </c>
      <c r="ET331" s="316">
        <v>37.734449936709929</v>
      </c>
      <c r="EU331" s="316">
        <v>37.11177639868</v>
      </c>
      <c r="EV331" s="316">
        <v>40.404032144494401</v>
      </c>
      <c r="EW331" s="316">
        <v>38.387444583280022</v>
      </c>
      <c r="EX331" s="318">
        <v>51.889292503</v>
      </c>
      <c r="EY331" s="316">
        <v>34.296850887800005</v>
      </c>
      <c r="EZ331" s="316">
        <v>41.130810978923961</v>
      </c>
      <c r="FA331" s="316">
        <v>42.016032445419995</v>
      </c>
      <c r="FB331" s="316">
        <v>40.468883834080003</v>
      </c>
      <c r="FC331" s="316">
        <v>40.459910524399199</v>
      </c>
      <c r="FD331" s="316">
        <v>59.028955909479201</v>
      </c>
      <c r="FE331" s="316">
        <v>39.751392172399996</v>
      </c>
      <c r="FF331" s="316">
        <v>38.875159240119999</v>
      </c>
      <c r="FG331" s="316">
        <v>42.163423852679998</v>
      </c>
      <c r="FH331" s="316">
        <v>28.42865419908</v>
      </c>
      <c r="FI331" s="316">
        <v>25.959696988936798</v>
      </c>
      <c r="FJ331" s="318">
        <v>51.431453945399994</v>
      </c>
      <c r="FK331" s="316">
        <v>35.002858807720003</v>
      </c>
      <c r="FL331" s="316">
        <v>39.207689627559979</v>
      </c>
      <c r="FM331" s="316">
        <v>49.472296509000003</v>
      </c>
      <c r="FN331" s="316">
        <v>42.979163396173341</v>
      </c>
      <c r="FO331" s="316">
        <v>41.368668658497164</v>
      </c>
      <c r="FP331" s="316">
        <v>46.118193713987054</v>
      </c>
      <c r="FQ331" s="316">
        <v>40.440497797398329</v>
      </c>
      <c r="FR331" s="316">
        <v>38.993644202098764</v>
      </c>
      <c r="FS331" s="316">
        <v>43.75181860061484</v>
      </c>
      <c r="FT331" s="316">
        <v>43.0573064332117</v>
      </c>
      <c r="FU331" s="316">
        <v>45.637175283768784</v>
      </c>
      <c r="FV331" s="316">
        <v>59.002626250009676</v>
      </c>
      <c r="FW331" s="316">
        <v>38.676735753829782</v>
      </c>
      <c r="FX331" s="316">
        <v>39.946161936048583</v>
      </c>
      <c r="FY331" s="316">
        <v>48.504380458713548</v>
      </c>
      <c r="FZ331" s="316">
        <v>45.626606782743686</v>
      </c>
      <c r="GA331" s="316">
        <v>48.178742218431545</v>
      </c>
      <c r="GB331" s="316">
        <v>56.630153828914708</v>
      </c>
      <c r="GC331" s="316">
        <v>50.055151263039996</v>
      </c>
      <c r="GD331" s="316">
        <v>43.807227043699996</v>
      </c>
      <c r="GE331" s="316">
        <v>56.012617229773603</v>
      </c>
      <c r="GF331" s="316">
        <v>48.884781706864608</v>
      </c>
      <c r="GG331" s="316">
        <v>51.031707439965153</v>
      </c>
      <c r="GH331" s="316">
        <v>66.063478275774557</v>
      </c>
      <c r="GI331" s="316">
        <v>52.244725581622255</v>
      </c>
      <c r="GJ331" s="316">
        <v>62.765330236233687</v>
      </c>
      <c r="GK331" s="316">
        <v>59.243896196018156</v>
      </c>
      <c r="GL331" s="316">
        <v>50.98288807150896</v>
      </c>
      <c r="GM331" s="316">
        <v>54.250768541200003</v>
      </c>
      <c r="GN331" s="316">
        <v>61.453832934303691</v>
      </c>
      <c r="GO331" s="316">
        <v>60.902610856479178</v>
      </c>
      <c r="GP331" s="316">
        <v>50.187344765715444</v>
      </c>
      <c r="GQ331" s="316">
        <v>62.103972101563201</v>
      </c>
      <c r="GR331" s="316">
        <v>52.735897940640001</v>
      </c>
      <c r="GS331" s="316">
        <v>56.104643205750001</v>
      </c>
      <c r="GT331" s="316">
        <v>66.733926239140004</v>
      </c>
      <c r="GU331" s="316">
        <v>62.158857972199996</v>
      </c>
      <c r="GV331" s="316">
        <v>60.029309262549994</v>
      </c>
      <c r="GW331" s="316">
        <v>59.169522346500003</v>
      </c>
      <c r="GX331" s="316">
        <v>64.52860598545</v>
      </c>
      <c r="GY331" s="316">
        <v>60.572182681979491</v>
      </c>
      <c r="GZ331" s="316">
        <v>63.469634149649998</v>
      </c>
      <c r="HA331" s="316">
        <v>72.264538514412507</v>
      </c>
      <c r="HB331" s="316">
        <v>57.141034558779999</v>
      </c>
      <c r="HC331" s="316">
        <v>60.880727948119997</v>
      </c>
      <c r="HD331" s="316">
        <v>70.631216667250001</v>
      </c>
      <c r="HE331" s="316">
        <v>69.387986040295004</v>
      </c>
      <c r="HF331" s="316">
        <v>92.527496021232821</v>
      </c>
      <c r="HG331" s="316">
        <v>88.426353865169133</v>
      </c>
      <c r="HH331" s="316">
        <v>73.319420889784823</v>
      </c>
      <c r="HI331" s="316">
        <v>75.220508510846102</v>
      </c>
      <c r="HJ331" s="316">
        <v>88.855849391849986</v>
      </c>
      <c r="HK331" s="316">
        <v>70.428333834699998</v>
      </c>
      <c r="HL331" s="316">
        <v>77.643312122121387</v>
      </c>
      <c r="HM331" s="316"/>
      <c r="KH331" s="303"/>
    </row>
    <row r="332" spans="1:324" outlineLevel="1">
      <c r="A332" s="117" t="s">
        <v>422</v>
      </c>
      <c r="B332" s="117" t="s">
        <v>361</v>
      </c>
      <c r="D332" s="344" t="s">
        <v>510</v>
      </c>
      <c r="E332" s="316"/>
      <c r="F332" s="316"/>
      <c r="G332" s="316"/>
      <c r="H332" s="316"/>
      <c r="I332" s="316"/>
      <c r="J332" s="316"/>
      <c r="K332" s="316"/>
      <c r="L332" s="316"/>
      <c r="M332" s="316"/>
      <c r="N332" s="316"/>
      <c r="O332" s="316"/>
      <c r="P332" s="316"/>
      <c r="Q332" s="316"/>
      <c r="R332" s="316"/>
      <c r="S332" s="316"/>
      <c r="T332" s="316"/>
      <c r="U332" s="316"/>
      <c r="V332" s="316"/>
      <c r="W332" s="316"/>
      <c r="X332" s="316"/>
      <c r="Y332" s="316"/>
      <c r="Z332" s="316"/>
      <c r="AA332" s="316"/>
      <c r="AB332" s="316"/>
      <c r="AC332" s="316"/>
      <c r="AD332" s="316"/>
      <c r="AE332" s="316"/>
      <c r="AF332" s="316"/>
      <c r="AG332" s="316"/>
      <c r="AH332" s="316"/>
      <c r="AI332" s="316"/>
      <c r="AJ332" s="316"/>
      <c r="AK332" s="316"/>
      <c r="AL332" s="316"/>
      <c r="AM332" s="316"/>
      <c r="AN332" s="316"/>
      <c r="AO332" s="316"/>
      <c r="AP332" s="316"/>
      <c r="AQ332" s="316"/>
      <c r="AR332" s="316"/>
      <c r="AS332" s="316"/>
      <c r="AT332" s="316"/>
      <c r="AU332" s="316"/>
      <c r="AV332" s="316"/>
      <c r="AW332" s="316"/>
      <c r="AX332" s="316"/>
      <c r="AY332" s="316"/>
      <c r="AZ332" s="316"/>
      <c r="BA332" s="316"/>
      <c r="BB332" s="316"/>
      <c r="BC332" s="316"/>
      <c r="BD332" s="316"/>
      <c r="BE332" s="316"/>
      <c r="BF332" s="316"/>
      <c r="BG332" s="316"/>
      <c r="BH332" s="316"/>
      <c r="BI332" s="316"/>
      <c r="BJ332" s="316"/>
      <c r="BK332" s="316"/>
      <c r="BL332" s="316"/>
      <c r="BM332" s="316"/>
      <c r="BN332" s="316"/>
      <c r="BO332" s="316"/>
      <c r="BP332" s="316"/>
      <c r="BQ332" s="316"/>
      <c r="BR332" s="316"/>
      <c r="BS332" s="316"/>
      <c r="BT332" s="316"/>
      <c r="BU332" s="316"/>
      <c r="BV332" s="316"/>
      <c r="BW332" s="316"/>
      <c r="BX332" s="316"/>
      <c r="BY332" s="316"/>
      <c r="BZ332" s="316"/>
      <c r="CA332" s="316"/>
      <c r="CB332" s="316"/>
      <c r="CC332" s="316"/>
      <c r="CD332" s="316"/>
      <c r="CE332" s="317">
        <v>0</v>
      </c>
      <c r="CF332" s="316">
        <v>0</v>
      </c>
      <c r="CG332" s="316">
        <v>0</v>
      </c>
      <c r="CH332" s="316">
        <v>0</v>
      </c>
      <c r="CI332" s="316">
        <v>6.2609999999999999E-6</v>
      </c>
      <c r="CJ332" s="316">
        <v>0</v>
      </c>
      <c r="CK332" s="316">
        <v>0</v>
      </c>
      <c r="CL332" s="316">
        <v>1.0000000000000001E-5</v>
      </c>
      <c r="CM332" s="316">
        <v>1.1039999999999999E-3</v>
      </c>
      <c r="CN332" s="316">
        <v>9.7759999999999999E-5</v>
      </c>
      <c r="CO332" s="316">
        <v>0</v>
      </c>
      <c r="CP332" s="318">
        <v>0</v>
      </c>
      <c r="CQ332" s="316">
        <v>0</v>
      </c>
      <c r="CR332" s="316">
        <v>0</v>
      </c>
      <c r="CS332" s="316">
        <v>0</v>
      </c>
      <c r="CT332" s="316">
        <v>0</v>
      </c>
      <c r="CU332" s="316">
        <v>4.5650000000000003E-6</v>
      </c>
      <c r="CV332" s="316">
        <v>0</v>
      </c>
      <c r="CW332" s="316">
        <v>0</v>
      </c>
      <c r="CX332" s="316">
        <v>0</v>
      </c>
      <c r="CY332" s="316">
        <v>0</v>
      </c>
      <c r="CZ332" s="316">
        <v>0</v>
      </c>
      <c r="DA332" s="316">
        <v>8.7520000000000002E-6</v>
      </c>
      <c r="DB332" s="1498">
        <v>2.4699200000000002E-4</v>
      </c>
      <c r="DC332" s="316">
        <v>0</v>
      </c>
      <c r="DD332" s="316">
        <v>0</v>
      </c>
      <c r="DE332" s="316">
        <v>0</v>
      </c>
      <c r="DF332" s="316">
        <v>0</v>
      </c>
      <c r="DG332" s="316">
        <v>5.102769357407113E-6</v>
      </c>
      <c r="DH332" s="316">
        <v>0</v>
      </c>
      <c r="DI332" s="316">
        <v>0</v>
      </c>
      <c r="DJ332" s="316">
        <v>0</v>
      </c>
      <c r="DK332" s="316">
        <v>0</v>
      </c>
      <c r="DL332" s="316">
        <v>0</v>
      </c>
      <c r="DM332" s="316">
        <v>9.8249129473932234E-6</v>
      </c>
      <c r="DN332" s="318">
        <v>2.7734696915213906E-4</v>
      </c>
      <c r="DO332" s="316">
        <v>0</v>
      </c>
      <c r="DP332" s="316">
        <v>0</v>
      </c>
      <c r="DQ332" s="316">
        <v>0</v>
      </c>
      <c r="DR332" s="316">
        <v>0</v>
      </c>
      <c r="DS332" s="316">
        <v>0</v>
      </c>
      <c r="DT332" s="316">
        <v>0</v>
      </c>
      <c r="DU332" s="316">
        <v>0</v>
      </c>
      <c r="DV332" s="316">
        <v>0</v>
      </c>
      <c r="DW332" s="316">
        <v>0</v>
      </c>
      <c r="DX332" s="316">
        <v>0</v>
      </c>
      <c r="DY332" s="316">
        <v>0</v>
      </c>
      <c r="DZ332" s="318">
        <v>0</v>
      </c>
      <c r="EA332" s="316">
        <v>0</v>
      </c>
      <c r="EB332" s="316">
        <v>0</v>
      </c>
      <c r="EC332" s="316">
        <v>0</v>
      </c>
      <c r="ED332" s="316">
        <v>0</v>
      </c>
      <c r="EE332" s="316">
        <v>0</v>
      </c>
      <c r="EF332" s="316">
        <v>0</v>
      </c>
      <c r="EG332" s="316">
        <v>0</v>
      </c>
      <c r="EH332" s="316">
        <v>0</v>
      </c>
      <c r="EI332" s="316">
        <v>0</v>
      </c>
      <c r="EJ332" s="316">
        <v>0</v>
      </c>
      <c r="EK332" s="316">
        <v>0</v>
      </c>
      <c r="EL332" s="318">
        <v>0</v>
      </c>
      <c r="EM332" s="316">
        <v>0</v>
      </c>
      <c r="EN332" s="316">
        <v>0</v>
      </c>
      <c r="EO332" s="316">
        <v>0</v>
      </c>
      <c r="EP332" s="316">
        <v>0</v>
      </c>
      <c r="EQ332" s="316">
        <v>0</v>
      </c>
      <c r="ER332" s="316">
        <v>0</v>
      </c>
      <c r="ES332" s="316">
        <v>0</v>
      </c>
      <c r="ET332" s="316">
        <v>0</v>
      </c>
      <c r="EU332" s="316">
        <v>0</v>
      </c>
      <c r="EV332" s="316">
        <v>0</v>
      </c>
      <c r="EW332" s="316">
        <v>0</v>
      </c>
      <c r="EX332" s="318">
        <v>0</v>
      </c>
      <c r="EY332" s="316">
        <v>0</v>
      </c>
      <c r="EZ332" s="316">
        <v>0</v>
      </c>
      <c r="FA332" s="316">
        <v>0</v>
      </c>
      <c r="FB332" s="316">
        <v>0</v>
      </c>
      <c r="FC332" s="316">
        <v>0</v>
      </c>
      <c r="FD332" s="316">
        <v>0</v>
      </c>
      <c r="FE332" s="316">
        <v>0</v>
      </c>
      <c r="FF332" s="316">
        <v>0</v>
      </c>
      <c r="FG332" s="316">
        <v>0</v>
      </c>
      <c r="FH332" s="316">
        <v>0</v>
      </c>
      <c r="FI332" s="316">
        <v>0</v>
      </c>
      <c r="FJ332" s="318">
        <v>0</v>
      </c>
      <c r="FK332" s="316">
        <v>0</v>
      </c>
      <c r="FL332" s="316">
        <v>0</v>
      </c>
      <c r="FM332" s="316">
        <v>0</v>
      </c>
      <c r="FN332" s="316">
        <v>0</v>
      </c>
      <c r="FO332" s="316">
        <v>0</v>
      </c>
      <c r="FP332" s="316">
        <v>0</v>
      </c>
      <c r="FQ332" s="316">
        <v>0</v>
      </c>
      <c r="FR332" s="316">
        <v>0</v>
      </c>
      <c r="FS332" s="316">
        <v>0</v>
      </c>
      <c r="FT332" s="316">
        <v>0</v>
      </c>
      <c r="FU332" s="316">
        <v>0</v>
      </c>
      <c r="FV332" s="316">
        <v>0</v>
      </c>
      <c r="FW332" s="316">
        <v>0</v>
      </c>
      <c r="FX332" s="316">
        <v>0</v>
      </c>
      <c r="FY332" s="316">
        <v>0</v>
      </c>
      <c r="FZ332" s="316">
        <v>0</v>
      </c>
      <c r="GA332" s="316">
        <v>0</v>
      </c>
      <c r="GB332" s="316">
        <v>0</v>
      </c>
      <c r="GC332" s="316">
        <v>0</v>
      </c>
      <c r="GD332" s="316">
        <v>0</v>
      </c>
      <c r="GE332" s="316">
        <v>0</v>
      </c>
      <c r="GF332" s="316">
        <v>0</v>
      </c>
      <c r="GG332" s="316">
        <v>0</v>
      </c>
      <c r="GH332" s="316">
        <v>0</v>
      </c>
      <c r="GI332" s="316">
        <v>0</v>
      </c>
      <c r="GJ332" s="316">
        <v>0</v>
      </c>
      <c r="GK332" s="316">
        <v>0</v>
      </c>
      <c r="GL332" s="316">
        <v>0</v>
      </c>
      <c r="GM332" s="316">
        <v>0</v>
      </c>
      <c r="GN332" s="316">
        <v>0</v>
      </c>
      <c r="GO332" s="316">
        <v>0</v>
      </c>
      <c r="GP332" s="316">
        <v>0</v>
      </c>
      <c r="GQ332" s="316">
        <v>0</v>
      </c>
      <c r="GR332" s="316">
        <v>0</v>
      </c>
      <c r="GS332" s="316">
        <v>0</v>
      </c>
      <c r="GT332" s="316">
        <v>0</v>
      </c>
      <c r="GU332" s="316">
        <v>0</v>
      </c>
      <c r="GV332" s="316">
        <v>0</v>
      </c>
      <c r="GW332" s="316">
        <v>0</v>
      </c>
      <c r="GX332" s="316">
        <v>0</v>
      </c>
      <c r="GY332" s="316">
        <v>0</v>
      </c>
      <c r="GZ332" s="316">
        <v>0</v>
      </c>
      <c r="HA332" s="316">
        <v>0</v>
      </c>
      <c r="HB332" s="316">
        <v>0</v>
      </c>
      <c r="HC332" s="316">
        <v>0</v>
      </c>
      <c r="HD332" s="316">
        <v>0</v>
      </c>
      <c r="HE332" s="316">
        <v>0</v>
      </c>
      <c r="HF332" s="316">
        <v>0</v>
      </c>
      <c r="HG332" s="316">
        <v>0</v>
      </c>
      <c r="HH332" s="316">
        <v>0</v>
      </c>
      <c r="HI332" s="316">
        <v>0</v>
      </c>
      <c r="HJ332" s="316">
        <v>0</v>
      </c>
      <c r="HK332" s="316">
        <v>0</v>
      </c>
      <c r="HL332" s="316">
        <v>0</v>
      </c>
      <c r="HM332" s="316"/>
      <c r="KH332" s="303"/>
    </row>
    <row r="333" spans="1:324" outlineLevel="1">
      <c r="A333" s="117" t="s">
        <v>422</v>
      </c>
      <c r="B333" s="117" t="s">
        <v>361</v>
      </c>
      <c r="D333" s="344" t="s">
        <v>511</v>
      </c>
      <c r="E333" s="316"/>
      <c r="F333" s="316"/>
      <c r="G333" s="316"/>
      <c r="H333" s="316"/>
      <c r="I333" s="316"/>
      <c r="J333" s="316"/>
      <c r="K333" s="316"/>
      <c r="L333" s="316"/>
      <c r="M333" s="316"/>
      <c r="N333" s="316"/>
      <c r="O333" s="316"/>
      <c r="P333" s="316"/>
      <c r="Q333" s="316"/>
      <c r="R333" s="316"/>
      <c r="S333" s="316"/>
      <c r="T333" s="316"/>
      <c r="U333" s="316"/>
      <c r="V333" s="316"/>
      <c r="W333" s="316"/>
      <c r="X333" s="316"/>
      <c r="Y333" s="316"/>
      <c r="Z333" s="316"/>
      <c r="AA333" s="316"/>
      <c r="AB333" s="316"/>
      <c r="AC333" s="316"/>
      <c r="AD333" s="316"/>
      <c r="AE333" s="316"/>
      <c r="AF333" s="316"/>
      <c r="AG333" s="316"/>
      <c r="AH333" s="316"/>
      <c r="AI333" s="316"/>
      <c r="AJ333" s="316"/>
      <c r="AK333" s="316"/>
      <c r="AL333" s="316"/>
      <c r="AM333" s="316"/>
      <c r="AN333" s="316"/>
      <c r="AO333" s="316"/>
      <c r="AP333" s="316"/>
      <c r="AQ333" s="316"/>
      <c r="AR333" s="316"/>
      <c r="AS333" s="316"/>
      <c r="AT333" s="316"/>
      <c r="AU333" s="316"/>
      <c r="AV333" s="316"/>
      <c r="AW333" s="316"/>
      <c r="AX333" s="316"/>
      <c r="AY333" s="316"/>
      <c r="AZ333" s="316"/>
      <c r="BA333" s="316"/>
      <c r="BB333" s="316"/>
      <c r="BC333" s="316"/>
      <c r="BD333" s="316"/>
      <c r="BE333" s="316"/>
      <c r="BF333" s="316"/>
      <c r="BG333" s="316"/>
      <c r="BH333" s="316"/>
      <c r="BI333" s="316"/>
      <c r="BJ333" s="316"/>
      <c r="BK333" s="316"/>
      <c r="BL333" s="316"/>
      <c r="BM333" s="316"/>
      <c r="BN333" s="316"/>
      <c r="BO333" s="316"/>
      <c r="BP333" s="316"/>
      <c r="BQ333" s="316"/>
      <c r="BR333" s="316"/>
      <c r="BS333" s="316"/>
      <c r="BT333" s="316"/>
      <c r="BU333" s="316"/>
      <c r="BV333" s="316"/>
      <c r="BW333" s="316"/>
      <c r="BX333" s="316"/>
      <c r="BY333" s="316"/>
      <c r="BZ333" s="316"/>
      <c r="CA333" s="316"/>
      <c r="CB333" s="316"/>
      <c r="CC333" s="316"/>
      <c r="CD333" s="316"/>
      <c r="CE333" s="317">
        <v>0</v>
      </c>
      <c r="CF333" s="316">
        <v>0</v>
      </c>
      <c r="CG333" s="316">
        <v>0</v>
      </c>
      <c r="CH333" s="316">
        <v>0</v>
      </c>
      <c r="CI333" s="316">
        <v>0</v>
      </c>
      <c r="CJ333" s="316">
        <v>0</v>
      </c>
      <c r="CK333" s="316">
        <v>0</v>
      </c>
      <c r="CL333" s="316">
        <v>0</v>
      </c>
      <c r="CM333" s="316">
        <v>0</v>
      </c>
      <c r="CN333" s="316">
        <v>0</v>
      </c>
      <c r="CO333" s="316">
        <v>0</v>
      </c>
      <c r="CP333" s="318">
        <v>0</v>
      </c>
      <c r="CQ333" s="316">
        <v>0</v>
      </c>
      <c r="CR333" s="316">
        <v>0</v>
      </c>
      <c r="CS333" s="316">
        <v>0</v>
      </c>
      <c r="CT333" s="316">
        <v>0</v>
      </c>
      <c r="CU333" s="316">
        <v>0</v>
      </c>
      <c r="CV333" s="316">
        <v>0</v>
      </c>
      <c r="CW333" s="316">
        <v>0</v>
      </c>
      <c r="CX333" s="316">
        <v>0</v>
      </c>
      <c r="CY333" s="316">
        <v>0</v>
      </c>
      <c r="CZ333" s="316">
        <v>0</v>
      </c>
      <c r="DA333" s="316">
        <v>0</v>
      </c>
      <c r="DB333" s="1498">
        <v>0</v>
      </c>
      <c r="DC333" s="316">
        <v>0</v>
      </c>
      <c r="DD333" s="316">
        <v>0</v>
      </c>
      <c r="DE333" s="316">
        <v>0</v>
      </c>
      <c r="DF333" s="316">
        <v>0</v>
      </c>
      <c r="DG333" s="316">
        <v>0</v>
      </c>
      <c r="DH333" s="316">
        <v>0</v>
      </c>
      <c r="DI333" s="316">
        <v>0</v>
      </c>
      <c r="DJ333" s="316">
        <v>0</v>
      </c>
      <c r="DK333" s="316">
        <v>0</v>
      </c>
      <c r="DL333" s="316">
        <v>0</v>
      </c>
      <c r="DM333" s="316">
        <v>0</v>
      </c>
      <c r="DN333" s="318">
        <v>0</v>
      </c>
      <c r="DO333" s="316">
        <v>0</v>
      </c>
      <c r="DP333" s="316">
        <v>0</v>
      </c>
      <c r="DQ333" s="316">
        <v>0</v>
      </c>
      <c r="DR333" s="316">
        <v>0</v>
      </c>
      <c r="DS333" s="316">
        <v>0</v>
      </c>
      <c r="DT333" s="316">
        <v>0</v>
      </c>
      <c r="DU333" s="316">
        <v>0</v>
      </c>
      <c r="DV333" s="316">
        <v>0</v>
      </c>
      <c r="DW333" s="316">
        <v>0</v>
      </c>
      <c r="DX333" s="316">
        <v>0</v>
      </c>
      <c r="DY333" s="316">
        <v>0</v>
      </c>
      <c r="DZ333" s="318">
        <v>0</v>
      </c>
      <c r="EA333" s="316">
        <v>0</v>
      </c>
      <c r="EB333" s="316">
        <v>0</v>
      </c>
      <c r="EC333" s="316">
        <v>0</v>
      </c>
      <c r="ED333" s="316">
        <v>0</v>
      </c>
      <c r="EE333" s="316">
        <v>0</v>
      </c>
      <c r="EF333" s="316">
        <v>0</v>
      </c>
      <c r="EG333" s="316">
        <v>0</v>
      </c>
      <c r="EH333" s="316">
        <v>0</v>
      </c>
      <c r="EI333" s="316">
        <v>0</v>
      </c>
      <c r="EJ333" s="316">
        <v>0</v>
      </c>
      <c r="EK333" s="316">
        <v>0</v>
      </c>
      <c r="EL333" s="318">
        <v>0</v>
      </c>
      <c r="EM333" s="316">
        <v>0</v>
      </c>
      <c r="EN333" s="316">
        <v>0</v>
      </c>
      <c r="EO333" s="316">
        <v>0</v>
      </c>
      <c r="EP333" s="316">
        <v>0</v>
      </c>
      <c r="EQ333" s="316">
        <v>0</v>
      </c>
      <c r="ER333" s="316">
        <v>0</v>
      </c>
      <c r="ES333" s="316">
        <v>0</v>
      </c>
      <c r="ET333" s="316">
        <v>0</v>
      </c>
      <c r="EU333" s="316">
        <v>0</v>
      </c>
      <c r="EV333" s="316">
        <v>0</v>
      </c>
      <c r="EW333" s="316">
        <v>0</v>
      </c>
      <c r="EX333" s="318">
        <v>0</v>
      </c>
      <c r="EY333" s="316">
        <v>0</v>
      </c>
      <c r="EZ333" s="316">
        <v>0</v>
      </c>
      <c r="FA333" s="316">
        <v>0</v>
      </c>
      <c r="FB333" s="316">
        <v>0</v>
      </c>
      <c r="FC333" s="316">
        <v>0</v>
      </c>
      <c r="FD333" s="316">
        <v>0</v>
      </c>
      <c r="FE333" s="316">
        <v>0</v>
      </c>
      <c r="FF333" s="316">
        <v>0</v>
      </c>
      <c r="FG333" s="316">
        <v>0</v>
      </c>
      <c r="FH333" s="316">
        <v>0</v>
      </c>
      <c r="FI333" s="316">
        <v>0</v>
      </c>
      <c r="FJ333" s="318">
        <v>0</v>
      </c>
      <c r="FK333" s="316">
        <v>0</v>
      </c>
      <c r="FL333" s="316">
        <v>0</v>
      </c>
      <c r="FM333" s="316">
        <v>0</v>
      </c>
      <c r="FN333" s="316">
        <v>0</v>
      </c>
      <c r="FO333" s="316">
        <v>0</v>
      </c>
      <c r="FP333" s="316">
        <v>0</v>
      </c>
      <c r="FQ333" s="316">
        <v>0</v>
      </c>
      <c r="FR333" s="316">
        <v>0</v>
      </c>
      <c r="FS333" s="316">
        <v>0</v>
      </c>
      <c r="FT333" s="316">
        <v>0</v>
      </c>
      <c r="FU333" s="316">
        <v>0</v>
      </c>
      <c r="FV333" s="316">
        <v>0</v>
      </c>
      <c r="FW333" s="316">
        <v>0</v>
      </c>
      <c r="FX333" s="316">
        <v>0</v>
      </c>
      <c r="FY333" s="316">
        <v>0</v>
      </c>
      <c r="FZ333" s="316">
        <v>0</v>
      </c>
      <c r="GA333" s="316">
        <v>0</v>
      </c>
      <c r="GB333" s="316">
        <v>0</v>
      </c>
      <c r="GC333" s="316">
        <v>0</v>
      </c>
      <c r="GD333" s="316">
        <v>0</v>
      </c>
      <c r="GE333" s="316">
        <v>0</v>
      </c>
      <c r="GF333" s="316">
        <v>0</v>
      </c>
      <c r="GG333" s="316">
        <v>0</v>
      </c>
      <c r="GH333" s="316">
        <v>0</v>
      </c>
      <c r="GI333" s="316">
        <v>0</v>
      </c>
      <c r="GJ333" s="316">
        <v>0</v>
      </c>
      <c r="GK333" s="316">
        <v>0</v>
      </c>
      <c r="GL333" s="316">
        <v>0</v>
      </c>
      <c r="GM333" s="316">
        <v>0</v>
      </c>
      <c r="GN333" s="316">
        <v>0</v>
      </c>
      <c r="GO333" s="316">
        <v>0</v>
      </c>
      <c r="GP333" s="316">
        <v>0</v>
      </c>
      <c r="GQ333" s="316">
        <v>0</v>
      </c>
      <c r="GR333" s="316">
        <v>0</v>
      </c>
      <c r="GS333" s="316">
        <v>0</v>
      </c>
      <c r="GT333" s="316">
        <v>0</v>
      </c>
      <c r="GU333" s="316">
        <v>0</v>
      </c>
      <c r="GV333" s="316">
        <v>0</v>
      </c>
      <c r="GW333" s="316">
        <v>0</v>
      </c>
      <c r="GX333" s="316">
        <v>0</v>
      </c>
      <c r="GY333" s="316">
        <v>0</v>
      </c>
      <c r="GZ333" s="316">
        <v>0</v>
      </c>
      <c r="HA333" s="316">
        <v>0</v>
      </c>
      <c r="HB333" s="316">
        <v>0</v>
      </c>
      <c r="HC333" s="316">
        <v>0</v>
      </c>
      <c r="HD333" s="316">
        <v>0</v>
      </c>
      <c r="HE333" s="316">
        <v>0</v>
      </c>
      <c r="HF333" s="316">
        <v>0</v>
      </c>
      <c r="HG333" s="316">
        <v>0</v>
      </c>
      <c r="HH333" s="316">
        <v>0</v>
      </c>
      <c r="HI333" s="316">
        <v>0</v>
      </c>
      <c r="HJ333" s="316">
        <v>0</v>
      </c>
      <c r="HK333" s="316">
        <v>0</v>
      </c>
      <c r="HL333" s="316">
        <v>0</v>
      </c>
      <c r="HM333" s="316"/>
      <c r="KH333" s="303"/>
    </row>
    <row r="334" spans="1:324" outlineLevel="1">
      <c r="A334" s="117" t="s">
        <v>422</v>
      </c>
      <c r="B334" s="117" t="s">
        <v>361</v>
      </c>
      <c r="D334" s="344" t="s">
        <v>512</v>
      </c>
      <c r="E334" s="316"/>
      <c r="F334" s="316"/>
      <c r="G334" s="316"/>
      <c r="H334" s="316"/>
      <c r="I334" s="316"/>
      <c r="J334" s="316"/>
      <c r="K334" s="316"/>
      <c r="L334" s="316"/>
      <c r="M334" s="316"/>
      <c r="N334" s="316"/>
      <c r="O334" s="316"/>
      <c r="P334" s="316"/>
      <c r="Q334" s="316"/>
      <c r="R334" s="316"/>
      <c r="S334" s="316"/>
      <c r="T334" s="316"/>
      <c r="U334" s="316"/>
      <c r="V334" s="316"/>
      <c r="W334" s="316"/>
      <c r="X334" s="316"/>
      <c r="Y334" s="316"/>
      <c r="Z334" s="316"/>
      <c r="AA334" s="316"/>
      <c r="AB334" s="316"/>
      <c r="AC334" s="316"/>
      <c r="AD334" s="316"/>
      <c r="AE334" s="316"/>
      <c r="AF334" s="316"/>
      <c r="AG334" s="316"/>
      <c r="AH334" s="316"/>
      <c r="AI334" s="316"/>
      <c r="AJ334" s="316"/>
      <c r="AK334" s="316"/>
      <c r="AL334" s="316"/>
      <c r="AM334" s="316"/>
      <c r="AN334" s="316"/>
      <c r="AO334" s="316"/>
      <c r="AP334" s="316"/>
      <c r="AQ334" s="316"/>
      <c r="AR334" s="316"/>
      <c r="AS334" s="316"/>
      <c r="AT334" s="316"/>
      <c r="AU334" s="316"/>
      <c r="AV334" s="316"/>
      <c r="AW334" s="316"/>
      <c r="AX334" s="316"/>
      <c r="AY334" s="316"/>
      <c r="AZ334" s="316"/>
      <c r="BA334" s="316"/>
      <c r="BB334" s="316"/>
      <c r="BC334" s="316"/>
      <c r="BD334" s="316"/>
      <c r="BE334" s="316"/>
      <c r="BF334" s="316"/>
      <c r="BG334" s="316"/>
      <c r="BH334" s="316"/>
      <c r="BI334" s="316"/>
      <c r="BJ334" s="316"/>
      <c r="BK334" s="316"/>
      <c r="BL334" s="316"/>
      <c r="BM334" s="316"/>
      <c r="BN334" s="316"/>
      <c r="BO334" s="316"/>
      <c r="BP334" s="316"/>
      <c r="BQ334" s="316"/>
      <c r="BR334" s="316"/>
      <c r="BS334" s="316"/>
      <c r="BT334" s="316"/>
      <c r="BU334" s="316"/>
      <c r="BV334" s="316"/>
      <c r="BW334" s="316"/>
      <c r="BX334" s="316"/>
      <c r="BY334" s="316"/>
      <c r="BZ334" s="316"/>
      <c r="CA334" s="316"/>
      <c r="CB334" s="316"/>
      <c r="CC334" s="316"/>
      <c r="CD334" s="316"/>
      <c r="CE334" s="317">
        <v>10.312014238</v>
      </c>
      <c r="CF334" s="316">
        <v>11.682352078999999</v>
      </c>
      <c r="CG334" s="316">
        <v>10.690505712</v>
      </c>
      <c r="CH334" s="316">
        <v>10.734642351</v>
      </c>
      <c r="CI334" s="316">
        <v>9.7985631360000003</v>
      </c>
      <c r="CJ334" s="316">
        <v>9.4056947760000007</v>
      </c>
      <c r="CK334" s="316">
        <v>11.524598477</v>
      </c>
      <c r="CL334" s="316">
        <v>10.158745530999999</v>
      </c>
      <c r="CM334" s="316">
        <v>10.590484483999999</v>
      </c>
      <c r="CN334" s="316">
        <v>10.229226067999999</v>
      </c>
      <c r="CO334" s="316">
        <v>9.9519072630000007</v>
      </c>
      <c r="CP334" s="318">
        <v>10.679967767999999</v>
      </c>
      <c r="CQ334" s="316">
        <v>12.38807276</v>
      </c>
      <c r="CR334" s="316">
        <v>12.467862021</v>
      </c>
      <c r="CS334" s="316">
        <v>11.696207848</v>
      </c>
      <c r="CT334" s="316">
        <v>10.381398195999999</v>
      </c>
      <c r="CU334" s="316">
        <v>10.439065612</v>
      </c>
      <c r="CV334" s="316">
        <v>12.667704062</v>
      </c>
      <c r="CW334" s="316">
        <v>10.976646073</v>
      </c>
      <c r="CX334" s="316">
        <v>10.287932966</v>
      </c>
      <c r="CY334" s="316">
        <v>10.544515338</v>
      </c>
      <c r="CZ334" s="316">
        <v>11.492866818</v>
      </c>
      <c r="DA334" s="316">
        <v>10.822163140000001</v>
      </c>
      <c r="DB334" s="1498">
        <v>12.855031159999999</v>
      </c>
      <c r="DC334" s="316">
        <v>13.885712351280118</v>
      </c>
      <c r="DD334" s="316">
        <v>14.829079303096313</v>
      </c>
      <c r="DE334" s="316">
        <v>13.77518902838599</v>
      </c>
      <c r="DF334" s="316">
        <v>14.922692627866242</v>
      </c>
      <c r="DG334" s="316">
        <v>13.517082003110152</v>
      </c>
      <c r="DH334" s="316">
        <v>15.628054550338424</v>
      </c>
      <c r="DI334" s="316">
        <v>13.175239244661348</v>
      </c>
      <c r="DJ334" s="316">
        <v>13.077335491675587</v>
      </c>
      <c r="DK334" s="316">
        <v>13.248190450859843</v>
      </c>
      <c r="DL334" s="316">
        <v>12.742532211910587</v>
      </c>
      <c r="DM334" s="316">
        <v>12.568932074627444</v>
      </c>
      <c r="DN334" s="318">
        <v>15.546468166257402</v>
      </c>
      <c r="DO334" s="316">
        <v>12.743856736640529</v>
      </c>
      <c r="DP334" s="316">
        <v>14.836326437583503</v>
      </c>
      <c r="DQ334" s="316">
        <v>14.228195877479589</v>
      </c>
      <c r="DR334" s="316">
        <v>10.951474185591518</v>
      </c>
      <c r="DS334" s="316">
        <v>13.303248715439221</v>
      </c>
      <c r="DT334" s="316">
        <v>15.080084175700211</v>
      </c>
      <c r="DU334" s="316">
        <v>13.226434253357581</v>
      </c>
      <c r="DV334" s="316">
        <v>12.464851140977846</v>
      </c>
      <c r="DW334" s="316">
        <v>13.798161011990613</v>
      </c>
      <c r="DX334" s="316">
        <v>12.696501364338877</v>
      </c>
      <c r="DY334" s="316">
        <v>13.415457891036949</v>
      </c>
      <c r="DZ334" s="318">
        <v>14.831170505282081</v>
      </c>
      <c r="EA334" s="316">
        <v>14.145995512537345</v>
      </c>
      <c r="EB334" s="316">
        <v>14.691728513150336</v>
      </c>
      <c r="EC334" s="316">
        <v>14.5044707369414</v>
      </c>
      <c r="ED334" s="316">
        <v>14.294941073140643</v>
      </c>
      <c r="EE334" s="316">
        <v>13.355636338797972</v>
      </c>
      <c r="EF334" s="316">
        <v>15.345079392744225</v>
      </c>
      <c r="EG334" s="316">
        <v>14.448253589033969</v>
      </c>
      <c r="EH334" s="316">
        <v>14.041869560412472</v>
      </c>
      <c r="EI334" s="316">
        <v>14.625630890271539</v>
      </c>
      <c r="EJ334" s="316">
        <v>14.932590743140988</v>
      </c>
      <c r="EK334" s="316">
        <v>15.534037266393753</v>
      </c>
      <c r="EL334" s="318">
        <v>17.966237846520112</v>
      </c>
      <c r="EM334" s="316">
        <v>16.452051478000001</v>
      </c>
      <c r="EN334" s="316">
        <v>19.421774051</v>
      </c>
      <c r="EO334" s="316">
        <v>18.083721097000002</v>
      </c>
      <c r="EP334" s="316">
        <v>16.299147270776668</v>
      </c>
      <c r="EQ334" s="316">
        <v>17.136581717776668</v>
      </c>
      <c r="ER334" s="316">
        <v>18.885433180776666</v>
      </c>
      <c r="ES334" s="316">
        <v>16.497697909999999</v>
      </c>
      <c r="ET334" s="316">
        <v>18.437644201000001</v>
      </c>
      <c r="EU334" s="316">
        <v>17.389135537000001</v>
      </c>
      <c r="EV334" s="316">
        <v>17.151386156000001</v>
      </c>
      <c r="EW334" s="316">
        <v>19.552364807</v>
      </c>
      <c r="EX334" s="318">
        <v>19.671107023669997</v>
      </c>
      <c r="EY334" s="316">
        <v>19.59418576249</v>
      </c>
      <c r="EZ334" s="316">
        <v>20.436109718000001</v>
      </c>
      <c r="FA334" s="316">
        <v>18.98516237604683</v>
      </c>
      <c r="FB334" s="316">
        <v>18.011922991999999</v>
      </c>
      <c r="FC334" s="316">
        <v>19.608461198000001</v>
      </c>
      <c r="FD334" s="316">
        <v>19.068546339000001</v>
      </c>
      <c r="FE334" s="316">
        <v>19.909591206999998</v>
      </c>
      <c r="FF334" s="316">
        <v>18.654437322</v>
      </c>
      <c r="FG334" s="316">
        <v>17.617448429</v>
      </c>
      <c r="FH334" s="316">
        <v>8.6637359269999994</v>
      </c>
      <c r="FI334" s="316">
        <v>13.405638166999999</v>
      </c>
      <c r="FJ334" s="318">
        <v>19.352599138999999</v>
      </c>
      <c r="FK334" s="316">
        <v>18.84398345258775</v>
      </c>
      <c r="FL334" s="316">
        <v>20.595821602939999</v>
      </c>
      <c r="FM334" s="316">
        <v>21.68748176815107</v>
      </c>
      <c r="FN334" s="316">
        <v>20.345557790859818</v>
      </c>
      <c r="FO334" s="316">
        <v>20.545755038492295</v>
      </c>
      <c r="FP334" s="316">
        <v>23.13632653198728</v>
      </c>
      <c r="FQ334" s="316">
        <v>17.738215291302456</v>
      </c>
      <c r="FR334" s="316">
        <v>17.418107180999996</v>
      </c>
      <c r="FS334" s="316">
        <v>19.614753259000004</v>
      </c>
      <c r="FT334" s="316">
        <v>21.282264591804449</v>
      </c>
      <c r="FU334" s="316">
        <v>20.471551178864715</v>
      </c>
      <c r="FV334" s="316">
        <v>21.594922956410219</v>
      </c>
      <c r="FW334" s="316">
        <v>18.067622638078653</v>
      </c>
      <c r="FX334" s="316">
        <v>20.641168116501973</v>
      </c>
      <c r="FY334" s="316">
        <v>21.972693046623665</v>
      </c>
      <c r="FZ334" s="316">
        <v>21.254760980425406</v>
      </c>
      <c r="GA334" s="316">
        <v>22.469927832496712</v>
      </c>
      <c r="GB334" s="316">
        <v>22.327669297897245</v>
      </c>
      <c r="GC334" s="316">
        <v>21.79843131662</v>
      </c>
      <c r="GD334" s="316">
        <v>20.237493026270002</v>
      </c>
      <c r="GE334" s="316">
        <v>23.498200746375137</v>
      </c>
      <c r="GF334" s="316">
        <v>21.466052514000001</v>
      </c>
      <c r="GG334" s="316">
        <v>20.725141396000001</v>
      </c>
      <c r="GH334" s="316">
        <v>24.324853584447212</v>
      </c>
      <c r="GI334" s="316">
        <v>23.176657358497923</v>
      </c>
      <c r="GJ334" s="316">
        <v>28.247596359008622</v>
      </c>
      <c r="GK334" s="316">
        <v>30.296841981115463</v>
      </c>
      <c r="GL334" s="316">
        <v>25.469940530999995</v>
      </c>
      <c r="GM334" s="316">
        <v>25.183633776999997</v>
      </c>
      <c r="GN334" s="316">
        <v>28.581190517</v>
      </c>
      <c r="GO334" s="316">
        <v>27.723163620000001</v>
      </c>
      <c r="GP334" s="316">
        <v>27.471186628000002</v>
      </c>
      <c r="GQ334" s="316">
        <v>28.922375887000001</v>
      </c>
      <c r="GR334" s="316">
        <v>26.914108077000002</v>
      </c>
      <c r="GS334" s="316">
        <v>27.256239658999998</v>
      </c>
      <c r="GT334" s="316">
        <v>30.707153056999999</v>
      </c>
      <c r="GU334" s="316">
        <v>30.085040145000001</v>
      </c>
      <c r="GV334" s="316">
        <v>33.807194367999998</v>
      </c>
      <c r="GW334" s="316">
        <v>32.269678593000002</v>
      </c>
      <c r="GX334" s="316">
        <v>29.753129599000001</v>
      </c>
      <c r="GY334" s="316">
        <v>29.79562949</v>
      </c>
      <c r="GZ334" s="316">
        <v>30.43527224</v>
      </c>
      <c r="HA334" s="316">
        <v>31.140117139000001</v>
      </c>
      <c r="HB334" s="316">
        <v>30.211059159000001</v>
      </c>
      <c r="HC334" s="316">
        <v>31.647467160000001</v>
      </c>
      <c r="HD334" s="316">
        <v>31.118847344999999</v>
      </c>
      <c r="HE334" s="316">
        <v>31.824080359</v>
      </c>
      <c r="HF334" s="316">
        <v>36.439533484009068</v>
      </c>
      <c r="HG334" s="316">
        <v>29.271157947999999</v>
      </c>
      <c r="HH334" s="316">
        <v>36.883923897999999</v>
      </c>
      <c r="HI334" s="316">
        <v>35.788384030000003</v>
      </c>
      <c r="HJ334" s="316">
        <v>34.282555879999997</v>
      </c>
      <c r="HK334" s="316">
        <v>33.674921998999999</v>
      </c>
      <c r="HL334" s="316">
        <v>34.750225770999997</v>
      </c>
      <c r="HM334" s="316"/>
      <c r="KH334" s="303"/>
    </row>
    <row r="335" spans="1:324" outlineLevel="1">
      <c r="A335" s="117" t="s">
        <v>422</v>
      </c>
      <c r="B335" s="117" t="s">
        <v>361</v>
      </c>
      <c r="D335" s="344" t="s">
        <v>513</v>
      </c>
      <c r="E335" s="316"/>
      <c r="F335" s="316"/>
      <c r="G335" s="316"/>
      <c r="H335" s="316"/>
      <c r="I335" s="316"/>
      <c r="J335" s="316"/>
      <c r="K335" s="316"/>
      <c r="L335" s="316"/>
      <c r="M335" s="316"/>
      <c r="N335" s="316"/>
      <c r="O335" s="316"/>
      <c r="P335" s="316"/>
      <c r="Q335" s="316"/>
      <c r="R335" s="316"/>
      <c r="S335" s="316"/>
      <c r="T335" s="316"/>
      <c r="U335" s="316"/>
      <c r="V335" s="316"/>
      <c r="W335" s="316"/>
      <c r="X335" s="316"/>
      <c r="Y335" s="316"/>
      <c r="Z335" s="316"/>
      <c r="AA335" s="316"/>
      <c r="AB335" s="316"/>
      <c r="AC335" s="316"/>
      <c r="AD335" s="316"/>
      <c r="AE335" s="316"/>
      <c r="AF335" s="316"/>
      <c r="AG335" s="316"/>
      <c r="AH335" s="316"/>
      <c r="AI335" s="316"/>
      <c r="AJ335" s="316"/>
      <c r="AK335" s="316"/>
      <c r="AL335" s="316"/>
      <c r="AM335" s="316"/>
      <c r="AN335" s="316"/>
      <c r="AO335" s="316"/>
      <c r="AP335" s="316"/>
      <c r="AQ335" s="316"/>
      <c r="AR335" s="316"/>
      <c r="AS335" s="316"/>
      <c r="AT335" s="316"/>
      <c r="AU335" s="316"/>
      <c r="AV335" s="316"/>
      <c r="AW335" s="316"/>
      <c r="AX335" s="316"/>
      <c r="AY335" s="316"/>
      <c r="AZ335" s="316"/>
      <c r="BA335" s="316"/>
      <c r="BB335" s="316"/>
      <c r="BC335" s="316"/>
      <c r="BD335" s="316"/>
      <c r="BE335" s="316"/>
      <c r="BF335" s="316"/>
      <c r="BG335" s="316"/>
      <c r="BH335" s="316"/>
      <c r="BI335" s="316"/>
      <c r="BJ335" s="316"/>
      <c r="BK335" s="316"/>
      <c r="BL335" s="316"/>
      <c r="BM335" s="316"/>
      <c r="BN335" s="316"/>
      <c r="BO335" s="316"/>
      <c r="BP335" s="316"/>
      <c r="BQ335" s="316"/>
      <c r="BR335" s="316"/>
      <c r="BS335" s="316"/>
      <c r="BT335" s="316"/>
      <c r="BU335" s="316"/>
      <c r="BV335" s="316"/>
      <c r="BW335" s="316"/>
      <c r="BX335" s="316"/>
      <c r="BY335" s="316"/>
      <c r="BZ335" s="316"/>
      <c r="CA335" s="316"/>
      <c r="CB335" s="316"/>
      <c r="CC335" s="316"/>
      <c r="CD335" s="316"/>
      <c r="CE335" s="317">
        <v>0</v>
      </c>
      <c r="CF335" s="316">
        <v>0</v>
      </c>
      <c r="CG335" s="316">
        <v>0</v>
      </c>
      <c r="CH335" s="316">
        <v>0</v>
      </c>
      <c r="CI335" s="316">
        <v>0</v>
      </c>
      <c r="CJ335" s="316">
        <v>0</v>
      </c>
      <c r="CK335" s="316">
        <v>0</v>
      </c>
      <c r="CL335" s="316">
        <v>0</v>
      </c>
      <c r="CM335" s="316">
        <v>0</v>
      </c>
      <c r="CN335" s="316">
        <v>0</v>
      </c>
      <c r="CO335" s="316">
        <v>0</v>
      </c>
      <c r="CP335" s="318">
        <v>0</v>
      </c>
      <c r="CQ335" s="316">
        <v>0</v>
      </c>
      <c r="CR335" s="316">
        <v>0</v>
      </c>
      <c r="CS335" s="316">
        <v>0</v>
      </c>
      <c r="CT335" s="316">
        <v>0</v>
      </c>
      <c r="CU335" s="316">
        <v>0</v>
      </c>
      <c r="CV335" s="316">
        <v>0</v>
      </c>
      <c r="CW335" s="316">
        <v>0</v>
      </c>
      <c r="CX335" s="316">
        <v>0</v>
      </c>
      <c r="CY335" s="316">
        <v>0</v>
      </c>
      <c r="CZ335" s="316">
        <v>0</v>
      </c>
      <c r="DA335" s="316">
        <v>0</v>
      </c>
      <c r="DB335" s="1498">
        <v>0</v>
      </c>
      <c r="DC335" s="316">
        <v>0</v>
      </c>
      <c r="DD335" s="316">
        <v>0</v>
      </c>
      <c r="DE335" s="316">
        <v>0</v>
      </c>
      <c r="DF335" s="316">
        <v>0</v>
      </c>
      <c r="DG335" s="316">
        <v>0</v>
      </c>
      <c r="DH335" s="316">
        <v>0</v>
      </c>
      <c r="DI335" s="316">
        <v>0</v>
      </c>
      <c r="DJ335" s="316">
        <v>0</v>
      </c>
      <c r="DK335" s="316">
        <v>0</v>
      </c>
      <c r="DL335" s="316">
        <v>0</v>
      </c>
      <c r="DM335" s="316">
        <v>0</v>
      </c>
      <c r="DN335" s="318">
        <v>0</v>
      </c>
      <c r="DO335" s="316">
        <v>0</v>
      </c>
      <c r="DP335" s="316">
        <v>0</v>
      </c>
      <c r="DQ335" s="316">
        <v>0</v>
      </c>
      <c r="DR335" s="316">
        <v>0</v>
      </c>
      <c r="DS335" s="316">
        <v>0</v>
      </c>
      <c r="DT335" s="316">
        <v>0</v>
      </c>
      <c r="DU335" s="316">
        <v>0</v>
      </c>
      <c r="DV335" s="316">
        <v>0</v>
      </c>
      <c r="DW335" s="316">
        <v>0</v>
      </c>
      <c r="DX335" s="316">
        <v>0</v>
      </c>
      <c r="DY335" s="316">
        <v>0</v>
      </c>
      <c r="DZ335" s="318">
        <v>0</v>
      </c>
      <c r="EA335" s="316">
        <v>0</v>
      </c>
      <c r="EB335" s="316">
        <v>0</v>
      </c>
      <c r="EC335" s="316">
        <v>0</v>
      </c>
      <c r="ED335" s="316">
        <v>0</v>
      </c>
      <c r="EE335" s="316">
        <v>0</v>
      </c>
      <c r="EF335" s="316">
        <v>0</v>
      </c>
      <c r="EG335" s="316">
        <v>0</v>
      </c>
      <c r="EH335" s="316">
        <v>0</v>
      </c>
      <c r="EI335" s="316">
        <v>0</v>
      </c>
      <c r="EJ335" s="316">
        <v>0</v>
      </c>
      <c r="EK335" s="316">
        <v>0</v>
      </c>
      <c r="EL335" s="318">
        <v>0</v>
      </c>
      <c r="EM335" s="316">
        <v>0</v>
      </c>
      <c r="EN335" s="316">
        <v>0</v>
      </c>
      <c r="EO335" s="316">
        <v>0</v>
      </c>
      <c r="EP335" s="316">
        <v>0</v>
      </c>
      <c r="EQ335" s="316">
        <v>0</v>
      </c>
      <c r="ER335" s="316">
        <v>0</v>
      </c>
      <c r="ES335" s="316">
        <v>0</v>
      </c>
      <c r="ET335" s="316">
        <v>0</v>
      </c>
      <c r="EU335" s="316">
        <v>0</v>
      </c>
      <c r="EV335" s="316">
        <v>0</v>
      </c>
      <c r="EW335" s="316">
        <v>0</v>
      </c>
      <c r="EX335" s="318">
        <v>0</v>
      </c>
      <c r="EY335" s="316">
        <v>0</v>
      </c>
      <c r="EZ335" s="316">
        <v>0</v>
      </c>
      <c r="FA335" s="316">
        <v>0</v>
      </c>
      <c r="FB335" s="316">
        <v>0</v>
      </c>
      <c r="FC335" s="316">
        <v>0</v>
      </c>
      <c r="FD335" s="316">
        <v>0</v>
      </c>
      <c r="FE335" s="316">
        <v>0</v>
      </c>
      <c r="FF335" s="316">
        <v>0</v>
      </c>
      <c r="FG335" s="316">
        <v>0</v>
      </c>
      <c r="FH335" s="316">
        <v>0</v>
      </c>
      <c r="FI335" s="316">
        <v>0</v>
      </c>
      <c r="FJ335" s="318">
        <v>0</v>
      </c>
      <c r="FK335" s="316">
        <v>0</v>
      </c>
      <c r="FL335" s="316">
        <v>0</v>
      </c>
      <c r="FM335" s="316">
        <v>0</v>
      </c>
      <c r="FN335" s="316">
        <v>0</v>
      </c>
      <c r="FO335" s="316">
        <v>0</v>
      </c>
      <c r="FP335" s="316">
        <v>0</v>
      </c>
      <c r="FQ335" s="316">
        <v>0</v>
      </c>
      <c r="FR335" s="316">
        <v>0</v>
      </c>
      <c r="FS335" s="316">
        <v>0</v>
      </c>
      <c r="FT335" s="316">
        <v>0</v>
      </c>
      <c r="FU335" s="316">
        <v>0</v>
      </c>
      <c r="FV335" s="316">
        <v>0</v>
      </c>
      <c r="FW335" s="316">
        <v>0</v>
      </c>
      <c r="FX335" s="316">
        <v>0</v>
      </c>
      <c r="FY335" s="316">
        <v>0</v>
      </c>
      <c r="FZ335" s="316">
        <v>0</v>
      </c>
      <c r="GA335" s="316">
        <v>0</v>
      </c>
      <c r="GB335" s="316">
        <v>0</v>
      </c>
      <c r="GC335" s="316">
        <v>0</v>
      </c>
      <c r="GD335" s="316">
        <v>0</v>
      </c>
      <c r="GE335" s="316">
        <v>0</v>
      </c>
      <c r="GF335" s="316">
        <v>0</v>
      </c>
      <c r="GG335" s="316">
        <v>0</v>
      </c>
      <c r="GH335" s="316">
        <v>0</v>
      </c>
      <c r="GI335" s="316">
        <v>0</v>
      </c>
      <c r="GJ335" s="316">
        <v>0</v>
      </c>
      <c r="GK335" s="316">
        <v>0</v>
      </c>
      <c r="GL335" s="316">
        <v>0</v>
      </c>
      <c r="GM335" s="316">
        <v>0</v>
      </c>
      <c r="GN335" s="316">
        <v>0</v>
      </c>
      <c r="GO335" s="316">
        <v>0</v>
      </c>
      <c r="GP335" s="316">
        <v>0</v>
      </c>
      <c r="GQ335" s="316">
        <v>0</v>
      </c>
      <c r="GR335" s="316">
        <v>0</v>
      </c>
      <c r="GS335" s="316">
        <v>0</v>
      </c>
      <c r="GT335" s="316">
        <v>0</v>
      </c>
      <c r="GU335" s="316">
        <v>0</v>
      </c>
      <c r="GV335" s="316">
        <v>0</v>
      </c>
      <c r="GW335" s="316">
        <v>0</v>
      </c>
      <c r="GX335" s="316">
        <v>0</v>
      </c>
      <c r="GY335" s="316">
        <v>0</v>
      </c>
      <c r="GZ335" s="316">
        <v>0</v>
      </c>
      <c r="HA335" s="316">
        <v>0</v>
      </c>
      <c r="HB335" s="316">
        <v>0</v>
      </c>
      <c r="HC335" s="316">
        <v>0</v>
      </c>
      <c r="HD335" s="316">
        <v>0</v>
      </c>
      <c r="HE335" s="316">
        <v>0</v>
      </c>
      <c r="HF335" s="316">
        <v>0</v>
      </c>
      <c r="HG335" s="316">
        <v>0</v>
      </c>
      <c r="HH335" s="316">
        <v>0</v>
      </c>
      <c r="HI335" s="316">
        <v>0</v>
      </c>
      <c r="HJ335" s="316">
        <v>0</v>
      </c>
      <c r="HK335" s="316">
        <v>0</v>
      </c>
      <c r="HL335" s="316">
        <v>0</v>
      </c>
      <c r="HM335" s="316"/>
      <c r="KH335" s="303"/>
    </row>
    <row r="336" spans="1:324" outlineLevel="1">
      <c r="A336" s="117" t="s">
        <v>422</v>
      </c>
      <c r="B336" s="117" t="s">
        <v>361</v>
      </c>
      <c r="D336" s="344" t="s">
        <v>514</v>
      </c>
      <c r="E336" s="316"/>
      <c r="F336" s="316"/>
      <c r="G336" s="316"/>
      <c r="H336" s="316"/>
      <c r="I336" s="316"/>
      <c r="J336" s="316"/>
      <c r="K336" s="316"/>
      <c r="L336" s="316"/>
      <c r="M336" s="316"/>
      <c r="N336" s="316"/>
      <c r="O336" s="316"/>
      <c r="P336" s="316"/>
      <c r="Q336" s="316"/>
      <c r="R336" s="316"/>
      <c r="S336" s="316"/>
      <c r="T336" s="316"/>
      <c r="U336" s="316"/>
      <c r="V336" s="316"/>
      <c r="W336" s="316"/>
      <c r="X336" s="316"/>
      <c r="Y336" s="316"/>
      <c r="Z336" s="316"/>
      <c r="AA336" s="316"/>
      <c r="AB336" s="316"/>
      <c r="AC336" s="316"/>
      <c r="AD336" s="316"/>
      <c r="AE336" s="316"/>
      <c r="AF336" s="316"/>
      <c r="AG336" s="316"/>
      <c r="AH336" s="316"/>
      <c r="AI336" s="316"/>
      <c r="AJ336" s="316"/>
      <c r="AK336" s="316"/>
      <c r="AL336" s="316"/>
      <c r="AM336" s="316"/>
      <c r="AN336" s="316"/>
      <c r="AO336" s="316"/>
      <c r="AP336" s="316"/>
      <c r="AQ336" s="316"/>
      <c r="AR336" s="316"/>
      <c r="AS336" s="316"/>
      <c r="AT336" s="316"/>
      <c r="AU336" s="316"/>
      <c r="AV336" s="316"/>
      <c r="AW336" s="316"/>
      <c r="AX336" s="316"/>
      <c r="AY336" s="316"/>
      <c r="AZ336" s="316"/>
      <c r="BA336" s="316"/>
      <c r="BB336" s="316"/>
      <c r="BC336" s="316"/>
      <c r="BD336" s="316"/>
      <c r="BE336" s="316"/>
      <c r="BF336" s="316"/>
      <c r="BG336" s="316"/>
      <c r="BH336" s="316"/>
      <c r="BI336" s="316"/>
      <c r="BJ336" s="316"/>
      <c r="BK336" s="316"/>
      <c r="BL336" s="316"/>
      <c r="BM336" s="316"/>
      <c r="BN336" s="316"/>
      <c r="BO336" s="316"/>
      <c r="BP336" s="316"/>
      <c r="BQ336" s="316"/>
      <c r="BR336" s="316"/>
      <c r="BS336" s="316"/>
      <c r="BT336" s="316"/>
      <c r="BU336" s="316"/>
      <c r="BV336" s="316"/>
      <c r="BW336" s="316"/>
      <c r="BX336" s="316"/>
      <c r="BY336" s="316"/>
      <c r="BZ336" s="316"/>
      <c r="CA336" s="316"/>
      <c r="CB336" s="316"/>
      <c r="CC336" s="316"/>
      <c r="CD336" s="316"/>
      <c r="CE336" s="317">
        <v>0</v>
      </c>
      <c r="CF336" s="316">
        <v>0</v>
      </c>
      <c r="CG336" s="316">
        <v>0</v>
      </c>
      <c r="CH336" s="316">
        <v>0</v>
      </c>
      <c r="CI336" s="316">
        <v>0</v>
      </c>
      <c r="CJ336" s="316">
        <v>0</v>
      </c>
      <c r="CK336" s="316">
        <v>0</v>
      </c>
      <c r="CL336" s="316">
        <v>0</v>
      </c>
      <c r="CM336" s="316">
        <v>0</v>
      </c>
      <c r="CN336" s="316">
        <v>0</v>
      </c>
      <c r="CO336" s="316">
        <v>0</v>
      </c>
      <c r="CP336" s="318">
        <v>0</v>
      </c>
      <c r="CQ336" s="316">
        <v>0</v>
      </c>
      <c r="CR336" s="316">
        <v>0</v>
      </c>
      <c r="CS336" s="316">
        <v>0</v>
      </c>
      <c r="CT336" s="316">
        <v>0</v>
      </c>
      <c r="CU336" s="316">
        <v>0</v>
      </c>
      <c r="CV336" s="316">
        <v>0</v>
      </c>
      <c r="CW336" s="316">
        <v>0</v>
      </c>
      <c r="CX336" s="316">
        <v>0</v>
      </c>
      <c r="CY336" s="316">
        <v>0</v>
      </c>
      <c r="CZ336" s="316">
        <v>0</v>
      </c>
      <c r="DA336" s="316">
        <v>0</v>
      </c>
      <c r="DB336" s="1498">
        <v>0</v>
      </c>
      <c r="DC336" s="316">
        <v>0</v>
      </c>
      <c r="DD336" s="316">
        <v>0</v>
      </c>
      <c r="DE336" s="316">
        <v>0</v>
      </c>
      <c r="DF336" s="316">
        <v>0</v>
      </c>
      <c r="DG336" s="316">
        <v>0</v>
      </c>
      <c r="DH336" s="316">
        <v>0</v>
      </c>
      <c r="DI336" s="316">
        <v>0</v>
      </c>
      <c r="DJ336" s="316">
        <v>0</v>
      </c>
      <c r="DK336" s="316">
        <v>0</v>
      </c>
      <c r="DL336" s="316">
        <v>0</v>
      </c>
      <c r="DM336" s="316">
        <v>0</v>
      </c>
      <c r="DN336" s="318">
        <v>0</v>
      </c>
      <c r="DO336" s="316">
        <v>0</v>
      </c>
      <c r="DP336" s="316">
        <v>0</v>
      </c>
      <c r="DQ336" s="316">
        <v>0</v>
      </c>
      <c r="DR336" s="316">
        <v>0</v>
      </c>
      <c r="DS336" s="316">
        <v>0</v>
      </c>
      <c r="DT336" s="316">
        <v>0</v>
      </c>
      <c r="DU336" s="316">
        <v>0</v>
      </c>
      <c r="DV336" s="316">
        <v>0</v>
      </c>
      <c r="DW336" s="316">
        <v>0</v>
      </c>
      <c r="DX336" s="316">
        <v>0</v>
      </c>
      <c r="DY336" s="316">
        <v>0</v>
      </c>
      <c r="DZ336" s="318">
        <v>0</v>
      </c>
      <c r="EA336" s="316">
        <v>0</v>
      </c>
      <c r="EB336" s="316">
        <v>0</v>
      </c>
      <c r="EC336" s="316">
        <v>0</v>
      </c>
      <c r="ED336" s="316">
        <v>0</v>
      </c>
      <c r="EE336" s="316">
        <v>0</v>
      </c>
      <c r="EF336" s="316">
        <v>0</v>
      </c>
      <c r="EG336" s="316">
        <v>0</v>
      </c>
      <c r="EH336" s="316">
        <v>0</v>
      </c>
      <c r="EI336" s="316">
        <v>0</v>
      </c>
      <c r="EJ336" s="316">
        <v>0</v>
      </c>
      <c r="EK336" s="316">
        <v>0</v>
      </c>
      <c r="EL336" s="318">
        <v>0</v>
      </c>
      <c r="EM336" s="316">
        <v>0</v>
      </c>
      <c r="EN336" s="316">
        <v>0</v>
      </c>
      <c r="EO336" s="316">
        <v>0</v>
      </c>
      <c r="EP336" s="316">
        <v>0</v>
      </c>
      <c r="EQ336" s="316">
        <v>0</v>
      </c>
      <c r="ER336" s="316">
        <v>0</v>
      </c>
      <c r="ES336" s="316">
        <v>0</v>
      </c>
      <c r="ET336" s="316">
        <v>0</v>
      </c>
      <c r="EU336" s="316">
        <v>0</v>
      </c>
      <c r="EV336" s="316">
        <v>0</v>
      </c>
      <c r="EW336" s="316">
        <v>0</v>
      </c>
      <c r="EX336" s="318">
        <v>0</v>
      </c>
      <c r="EY336" s="316">
        <v>0.10653807999999999</v>
      </c>
      <c r="EZ336" s="316">
        <v>0.119452564</v>
      </c>
      <c r="FA336" s="316">
        <v>0.13369715900000001</v>
      </c>
      <c r="FB336" s="316">
        <v>0.117494873</v>
      </c>
      <c r="FC336" s="316">
        <v>0.11112109100000001</v>
      </c>
      <c r="FD336" s="316">
        <v>0.107722707</v>
      </c>
      <c r="FE336" s="316">
        <v>0.11991792900000001</v>
      </c>
      <c r="FF336" s="316">
        <v>0.134249074</v>
      </c>
      <c r="FG336" s="316">
        <v>0.12293912899999999</v>
      </c>
      <c r="FH336" s="316">
        <v>4.6729676999999997E-2</v>
      </c>
      <c r="FI336" s="316">
        <v>3.814647E-3</v>
      </c>
      <c r="FJ336" s="318">
        <v>1.0799428E-2</v>
      </c>
      <c r="FK336" s="316">
        <v>2.6409012999999999E-2</v>
      </c>
      <c r="FL336" s="316">
        <v>1.5117556000000001E-2</v>
      </c>
      <c r="FM336" s="316">
        <v>2.9343368000000002E-2</v>
      </c>
      <c r="FN336" s="316">
        <v>4.6567365950341562E-2</v>
      </c>
      <c r="FO336" s="316">
        <v>8.0208810855810081E-2</v>
      </c>
      <c r="FP336" s="316">
        <v>7.7259509594136175E-2</v>
      </c>
      <c r="FQ336" s="316">
        <v>0.11215451619431686</v>
      </c>
      <c r="FR336" s="316">
        <v>6.6105133672819394E-2</v>
      </c>
      <c r="FS336" s="316">
        <v>6.2961698881499398E-2</v>
      </c>
      <c r="FT336" s="316">
        <v>5.2771587392215019E-2</v>
      </c>
      <c r="FU336" s="316">
        <v>5.7690208506360106E-2</v>
      </c>
      <c r="FV336" s="316">
        <v>7.4472849233990973E-2</v>
      </c>
      <c r="FW336" s="316">
        <v>8.2250240226935292E-2</v>
      </c>
      <c r="FX336" s="316">
        <v>9.0805313971209292E-2</v>
      </c>
      <c r="FY336" s="316">
        <v>6.290088198763627E-2</v>
      </c>
      <c r="FZ336" s="316">
        <v>0.11254463923743112</v>
      </c>
      <c r="GA336" s="316">
        <v>5.3539901131737538E-2</v>
      </c>
      <c r="GB336" s="316">
        <v>0.18795065650670742</v>
      </c>
      <c r="GC336" s="316">
        <v>0.20999435494870752</v>
      </c>
      <c r="GD336" s="316">
        <v>0.20817016616648687</v>
      </c>
      <c r="GE336" s="316">
        <v>0.18023657502643631</v>
      </c>
      <c r="GF336" s="316">
        <v>0.16923144942246571</v>
      </c>
      <c r="GG336" s="316">
        <v>0.17581170783388561</v>
      </c>
      <c r="GH336" s="316">
        <v>0.15567696859847699</v>
      </c>
      <c r="GI336" s="316">
        <v>0</v>
      </c>
      <c r="GJ336" s="316">
        <v>0</v>
      </c>
      <c r="GK336" s="316">
        <v>0</v>
      </c>
      <c r="GL336" s="316">
        <v>0</v>
      </c>
      <c r="GM336" s="316">
        <v>0</v>
      </c>
      <c r="GN336" s="316">
        <v>0</v>
      </c>
      <c r="GO336" s="316">
        <v>0</v>
      </c>
      <c r="GP336" s="316">
        <v>0</v>
      </c>
      <c r="GQ336" s="316">
        <v>0</v>
      </c>
      <c r="GR336" s="316">
        <v>0</v>
      </c>
      <c r="GS336" s="316">
        <v>0</v>
      </c>
      <c r="GT336" s="316">
        <v>0</v>
      </c>
      <c r="GU336" s="316">
        <v>0.19999550699999999</v>
      </c>
      <c r="GV336" s="316">
        <v>0.24524757899999999</v>
      </c>
      <c r="GW336" s="316">
        <v>0.237309567</v>
      </c>
      <c r="GX336" s="316">
        <v>0.21867305200000001</v>
      </c>
      <c r="GY336" s="316">
        <v>5.9883767999999997E-2</v>
      </c>
      <c r="GZ336" s="316">
        <v>0.38814536799999999</v>
      </c>
      <c r="HA336" s="316">
        <v>0.39780178300000002</v>
      </c>
      <c r="HB336" s="316">
        <v>0.37802133799999998</v>
      </c>
      <c r="HC336" s="316">
        <v>0.385825005</v>
      </c>
      <c r="HD336" s="316">
        <v>0.44115505100000002</v>
      </c>
      <c r="HE336" s="316">
        <v>0.518501294</v>
      </c>
      <c r="HF336" s="316">
        <v>0.50786886399999998</v>
      </c>
      <c r="HG336" s="316">
        <v>0.51054981600000005</v>
      </c>
      <c r="HH336" s="316">
        <v>0.48340100899999999</v>
      </c>
      <c r="HI336" s="316">
        <v>0.46028750299999999</v>
      </c>
      <c r="HJ336" s="316">
        <v>0.57127893699999999</v>
      </c>
      <c r="HK336" s="316">
        <v>0.58402084099999996</v>
      </c>
      <c r="HL336" s="316">
        <v>0.70045251500000005</v>
      </c>
      <c r="HM336" s="316"/>
      <c r="KH336" s="303"/>
    </row>
    <row r="337" spans="1:294" outlineLevel="1">
      <c r="A337" s="117" t="s">
        <v>422</v>
      </c>
      <c r="B337" s="117" t="s">
        <v>361</v>
      </c>
      <c r="D337" s="344" t="s">
        <v>515</v>
      </c>
      <c r="E337" s="316"/>
      <c r="F337" s="316"/>
      <c r="G337" s="316"/>
      <c r="H337" s="316"/>
      <c r="I337" s="316"/>
      <c r="J337" s="316"/>
      <c r="K337" s="316"/>
      <c r="L337" s="316"/>
      <c r="M337" s="316"/>
      <c r="N337" s="316"/>
      <c r="O337" s="316"/>
      <c r="P337" s="316"/>
      <c r="Q337" s="316"/>
      <c r="R337" s="316"/>
      <c r="S337" s="316"/>
      <c r="T337" s="316"/>
      <c r="U337" s="316"/>
      <c r="V337" s="316"/>
      <c r="W337" s="316"/>
      <c r="X337" s="316"/>
      <c r="Y337" s="316"/>
      <c r="Z337" s="316"/>
      <c r="AA337" s="316"/>
      <c r="AB337" s="316"/>
      <c r="AC337" s="316"/>
      <c r="AD337" s="316"/>
      <c r="AE337" s="316"/>
      <c r="AF337" s="316"/>
      <c r="AG337" s="316"/>
      <c r="AH337" s="316"/>
      <c r="AI337" s="316"/>
      <c r="AJ337" s="316"/>
      <c r="AK337" s="316"/>
      <c r="AL337" s="316"/>
      <c r="AM337" s="316"/>
      <c r="AN337" s="316"/>
      <c r="AO337" s="316"/>
      <c r="AP337" s="316"/>
      <c r="AQ337" s="316"/>
      <c r="AR337" s="316"/>
      <c r="AS337" s="316"/>
      <c r="AT337" s="316"/>
      <c r="AU337" s="316"/>
      <c r="AV337" s="316"/>
      <c r="AW337" s="316"/>
      <c r="AX337" s="316"/>
      <c r="AY337" s="316"/>
      <c r="AZ337" s="316"/>
      <c r="BA337" s="316"/>
      <c r="BB337" s="316"/>
      <c r="BC337" s="316"/>
      <c r="BD337" s="316"/>
      <c r="BE337" s="316"/>
      <c r="BF337" s="316"/>
      <c r="BG337" s="316"/>
      <c r="BH337" s="316"/>
      <c r="BI337" s="316"/>
      <c r="BJ337" s="316"/>
      <c r="BK337" s="316"/>
      <c r="BL337" s="316"/>
      <c r="BM337" s="316"/>
      <c r="BN337" s="316"/>
      <c r="BO337" s="316"/>
      <c r="BP337" s="316"/>
      <c r="BQ337" s="316"/>
      <c r="BR337" s="316"/>
      <c r="BS337" s="316"/>
      <c r="BT337" s="316"/>
      <c r="BU337" s="316"/>
      <c r="BV337" s="316"/>
      <c r="BW337" s="316"/>
      <c r="BX337" s="316"/>
      <c r="BY337" s="316"/>
      <c r="BZ337" s="316"/>
      <c r="CA337" s="316"/>
      <c r="CB337" s="316"/>
      <c r="CC337" s="316"/>
      <c r="CD337" s="316"/>
      <c r="CE337" s="317">
        <v>0</v>
      </c>
      <c r="CF337" s="316">
        <v>0</v>
      </c>
      <c r="CG337" s="316">
        <v>0</v>
      </c>
      <c r="CH337" s="316">
        <v>0</v>
      </c>
      <c r="CI337" s="316">
        <v>0</v>
      </c>
      <c r="CJ337" s="316">
        <v>0</v>
      </c>
      <c r="CK337" s="316">
        <v>0</v>
      </c>
      <c r="CL337" s="316">
        <v>0</v>
      </c>
      <c r="CM337" s="316">
        <v>0</v>
      </c>
      <c r="CN337" s="316">
        <v>0</v>
      </c>
      <c r="CO337" s="316">
        <v>0</v>
      </c>
      <c r="CP337" s="318">
        <v>0</v>
      </c>
      <c r="CQ337" s="316">
        <v>6.4068461000000007E-2</v>
      </c>
      <c r="CR337" s="316">
        <v>4.8633385000000001E-2</v>
      </c>
      <c r="CS337" s="316">
        <v>4.5853443000000001E-2</v>
      </c>
      <c r="CT337" s="316">
        <v>3.7334525E-2</v>
      </c>
      <c r="CU337" s="316">
        <v>2.5196940000000001E-2</v>
      </c>
      <c r="CV337" s="316">
        <v>2.1096296E-2</v>
      </c>
      <c r="CW337" s="316">
        <v>0.14355452799999999</v>
      </c>
      <c r="CX337" s="316">
        <v>0.18836430800000001</v>
      </c>
      <c r="CY337" s="316">
        <v>3.4652163030000001</v>
      </c>
      <c r="CZ337" s="316">
        <v>0.25610231700000002</v>
      </c>
      <c r="DA337" s="316">
        <v>0.14764929600000001</v>
      </c>
      <c r="DB337" s="1498">
        <v>0.101824338</v>
      </c>
      <c r="DC337" s="316">
        <v>0</v>
      </c>
      <c r="DD337" s="316">
        <v>0.52628069209555683</v>
      </c>
      <c r="DE337" s="316">
        <v>1.4211541374234002</v>
      </c>
      <c r="DF337" s="316">
        <v>3.9694588983165602</v>
      </c>
      <c r="DG337" s="316">
        <v>2.2316837800766649</v>
      </c>
      <c r="DH337" s="316">
        <v>1.7731615422472089</v>
      </c>
      <c r="DI337" s="316">
        <v>2.5631760413154012</v>
      </c>
      <c r="DJ337" s="316">
        <v>3.6060941701399969</v>
      </c>
      <c r="DK337" s="316">
        <v>2.4500914800189548</v>
      </c>
      <c r="DL337" s="316">
        <v>5.2752214508147572</v>
      </c>
      <c r="DM337" s="316">
        <v>5.9133992146420242</v>
      </c>
      <c r="DN337" s="318">
        <v>6.9767236084823825</v>
      </c>
      <c r="DO337" s="316">
        <v>0</v>
      </c>
      <c r="DP337" s="316">
        <v>0</v>
      </c>
      <c r="DQ337" s="316">
        <v>0</v>
      </c>
      <c r="DR337" s="316">
        <v>0</v>
      </c>
      <c r="DS337" s="316">
        <v>0</v>
      </c>
      <c r="DT337" s="316">
        <v>0</v>
      </c>
      <c r="DU337" s="316">
        <v>0</v>
      </c>
      <c r="DV337" s="316">
        <v>0</v>
      </c>
      <c r="DW337" s="316">
        <v>0</v>
      </c>
      <c r="DX337" s="316">
        <v>0</v>
      </c>
      <c r="DY337" s="316">
        <v>0</v>
      </c>
      <c r="DZ337" s="318">
        <v>0</v>
      </c>
      <c r="EA337" s="316">
        <v>0</v>
      </c>
      <c r="EB337" s="316">
        <v>0</v>
      </c>
      <c r="EC337" s="316">
        <v>0</v>
      </c>
      <c r="ED337" s="316">
        <v>0</v>
      </c>
      <c r="EE337" s="316">
        <v>0</v>
      </c>
      <c r="EF337" s="316">
        <v>0</v>
      </c>
      <c r="EG337" s="316">
        <v>0</v>
      </c>
      <c r="EH337" s="316">
        <v>0</v>
      </c>
      <c r="EI337" s="316">
        <v>0</v>
      </c>
      <c r="EJ337" s="316">
        <v>0</v>
      </c>
      <c r="EK337" s="316">
        <v>0</v>
      </c>
      <c r="EL337" s="318">
        <v>0</v>
      </c>
      <c r="EM337" s="316">
        <v>0.16733000000000001</v>
      </c>
      <c r="EN337" s="316">
        <v>0.20956</v>
      </c>
      <c r="EO337" s="316">
        <v>0.22767999999999999</v>
      </c>
      <c r="EP337" s="316">
        <v>0.20363000000000001</v>
      </c>
      <c r="EQ337" s="316">
        <v>0.19276499999999999</v>
      </c>
      <c r="ER337" s="316">
        <v>0.16231000000000001</v>
      </c>
      <c r="ES337" s="316">
        <v>0.224825</v>
      </c>
      <c r="ET337" s="316">
        <v>0.23022000000000001</v>
      </c>
      <c r="EU337" s="316">
        <v>0.213585</v>
      </c>
      <c r="EV337" s="316">
        <v>0.22311</v>
      </c>
      <c r="EW337" s="316">
        <v>0.19520000000000001</v>
      </c>
      <c r="EX337" s="318">
        <v>0.21268000000000001</v>
      </c>
      <c r="EY337" s="316">
        <v>0.26580730899999999</v>
      </c>
      <c r="EZ337" s="316">
        <v>0.26580730899999999</v>
      </c>
      <c r="FA337" s="316">
        <v>0.26580730899999999</v>
      </c>
      <c r="FB337" s="316">
        <v>0</v>
      </c>
      <c r="FC337" s="316">
        <v>0.26580730899999999</v>
      </c>
      <c r="FD337" s="316">
        <v>0.26580730899999999</v>
      </c>
      <c r="FE337" s="316">
        <v>6.2966569921600009</v>
      </c>
      <c r="FF337" s="316">
        <v>0.8198708388766387</v>
      </c>
      <c r="FG337" s="316">
        <v>0.52423914859999998</v>
      </c>
      <c r="FH337" s="316">
        <v>1.5951549143959001</v>
      </c>
      <c r="FI337" s="316">
        <v>1.5951549143959001</v>
      </c>
      <c r="FJ337" s="318">
        <v>1.5951549143959001</v>
      </c>
      <c r="FK337" s="316">
        <v>0.29565045484284408</v>
      </c>
      <c r="FL337" s="316">
        <v>0.23241264445440948</v>
      </c>
      <c r="FM337" s="316">
        <v>0.29068532770274641</v>
      </c>
      <c r="FN337" s="316">
        <v>0</v>
      </c>
      <c r="FO337" s="316">
        <v>2.4628027264377026E-3</v>
      </c>
      <c r="FP337" s="316">
        <v>1.1321930700268231E-2</v>
      </c>
      <c r="FQ337" s="316">
        <v>1.7664231900748419</v>
      </c>
      <c r="FR337" s="316">
        <v>2.2169717771058468</v>
      </c>
      <c r="FS337" s="316">
        <v>1.2826481198193107</v>
      </c>
      <c r="FT337" s="316">
        <v>0.2813007443333333</v>
      </c>
      <c r="FU337" s="316">
        <v>0.2813007443333333</v>
      </c>
      <c r="FV337" s="316">
        <v>0.2813007443333333</v>
      </c>
      <c r="FW337" s="316">
        <v>9.2340063198682126E-2</v>
      </c>
      <c r="FX337" s="316">
        <v>0.11524411630216823</v>
      </c>
      <c r="FY337" s="316">
        <v>0.14171416749914964</v>
      </c>
      <c r="FZ337" s="316">
        <v>0</v>
      </c>
      <c r="GA337" s="316">
        <v>9.6456097691933931E-2</v>
      </c>
      <c r="GB337" s="316">
        <v>0.27037780815886664</v>
      </c>
      <c r="GC337" s="316">
        <v>1.2426386619662857</v>
      </c>
      <c r="GD337" s="316">
        <v>1.5595893771090639</v>
      </c>
      <c r="GE337" s="316">
        <v>3.0518096729246502</v>
      </c>
      <c r="GF337" s="316">
        <v>0.17165030568481376</v>
      </c>
      <c r="GG337" s="316">
        <v>0.17660300052462727</v>
      </c>
      <c r="GH337" s="316">
        <v>0.27698401279400947</v>
      </c>
      <c r="GI337" s="316"/>
      <c r="GJ337" s="316"/>
      <c r="GK337" s="316"/>
      <c r="GL337" s="316"/>
      <c r="GM337" s="316"/>
      <c r="GN337" s="316"/>
      <c r="GO337" s="316"/>
      <c r="GP337" s="316"/>
      <c r="GQ337" s="316"/>
      <c r="GR337" s="316"/>
      <c r="GS337" s="316"/>
      <c r="GT337" s="316"/>
      <c r="GU337" s="316">
        <v>0</v>
      </c>
      <c r="GV337" s="316">
        <v>0</v>
      </c>
      <c r="GW337" s="316">
        <v>0</v>
      </c>
      <c r="GX337" s="316">
        <v>0</v>
      </c>
      <c r="GY337" s="316">
        <v>0</v>
      </c>
      <c r="GZ337" s="316">
        <v>0</v>
      </c>
      <c r="HA337" s="316">
        <v>0</v>
      </c>
      <c r="HB337" s="316">
        <v>0</v>
      </c>
      <c r="HC337" s="316">
        <v>0</v>
      </c>
      <c r="HD337" s="316">
        <v>0</v>
      </c>
      <c r="HE337" s="316">
        <v>0</v>
      </c>
      <c r="HF337" s="316">
        <v>0</v>
      </c>
      <c r="HG337" s="316">
        <v>0</v>
      </c>
      <c r="HH337" s="316">
        <v>0</v>
      </c>
      <c r="HI337" s="316">
        <v>0</v>
      </c>
      <c r="HJ337" s="316">
        <v>0</v>
      </c>
      <c r="HK337" s="316">
        <v>0</v>
      </c>
      <c r="HL337" s="316">
        <v>0</v>
      </c>
      <c r="HM337" s="316"/>
      <c r="KH337" s="303"/>
    </row>
    <row r="338" spans="1:294" outlineLevel="1">
      <c r="A338" s="117" t="s">
        <v>422</v>
      </c>
      <c r="B338" s="117" t="s">
        <v>361</v>
      </c>
      <c r="D338" s="344" t="s">
        <v>516</v>
      </c>
      <c r="E338" s="316"/>
      <c r="F338" s="316"/>
      <c r="G338" s="316"/>
      <c r="H338" s="316"/>
      <c r="I338" s="316"/>
      <c r="J338" s="316"/>
      <c r="K338" s="316"/>
      <c r="L338" s="316"/>
      <c r="M338" s="316"/>
      <c r="N338" s="316"/>
      <c r="O338" s="316"/>
      <c r="P338" s="316"/>
      <c r="Q338" s="316"/>
      <c r="R338" s="316"/>
      <c r="S338" s="316"/>
      <c r="T338" s="316"/>
      <c r="U338" s="316"/>
      <c r="V338" s="316"/>
      <c r="W338" s="316"/>
      <c r="X338" s="316"/>
      <c r="Y338" s="316"/>
      <c r="Z338" s="316"/>
      <c r="AA338" s="316"/>
      <c r="AB338" s="316"/>
      <c r="AC338" s="316"/>
      <c r="AD338" s="316"/>
      <c r="AE338" s="316"/>
      <c r="AF338" s="316"/>
      <c r="AG338" s="316"/>
      <c r="AH338" s="316"/>
      <c r="AI338" s="316"/>
      <c r="AJ338" s="316"/>
      <c r="AK338" s="316"/>
      <c r="AL338" s="316"/>
      <c r="AM338" s="316"/>
      <c r="AN338" s="316"/>
      <c r="AO338" s="316"/>
      <c r="AP338" s="316"/>
      <c r="AQ338" s="316"/>
      <c r="AR338" s="316"/>
      <c r="AS338" s="316"/>
      <c r="AT338" s="316"/>
      <c r="AU338" s="316"/>
      <c r="AV338" s="316"/>
      <c r="AW338" s="316"/>
      <c r="AX338" s="316"/>
      <c r="AY338" s="316"/>
      <c r="AZ338" s="316"/>
      <c r="BA338" s="316"/>
      <c r="BB338" s="316"/>
      <c r="BC338" s="316"/>
      <c r="BD338" s="316"/>
      <c r="BE338" s="316"/>
      <c r="BF338" s="316"/>
      <c r="BG338" s="316"/>
      <c r="BH338" s="316"/>
      <c r="BI338" s="316"/>
      <c r="BJ338" s="316"/>
      <c r="BK338" s="316"/>
      <c r="BL338" s="316"/>
      <c r="BM338" s="316"/>
      <c r="BN338" s="316"/>
      <c r="BO338" s="316"/>
      <c r="BP338" s="316"/>
      <c r="BQ338" s="316"/>
      <c r="BR338" s="316"/>
      <c r="BS338" s="316"/>
      <c r="BT338" s="316"/>
      <c r="BU338" s="316"/>
      <c r="BV338" s="316"/>
      <c r="BW338" s="316"/>
      <c r="BX338" s="316"/>
      <c r="BY338" s="316"/>
      <c r="BZ338" s="316"/>
      <c r="CA338" s="316"/>
      <c r="CB338" s="316"/>
      <c r="CC338" s="316"/>
      <c r="CD338" s="316"/>
      <c r="CE338" s="317">
        <v>0</v>
      </c>
      <c r="CF338" s="316">
        <v>0</v>
      </c>
      <c r="CG338" s="316">
        <v>0</v>
      </c>
      <c r="CH338" s="316">
        <v>0</v>
      </c>
      <c r="CI338" s="316">
        <v>0</v>
      </c>
      <c r="CJ338" s="316">
        <v>0</v>
      </c>
      <c r="CK338" s="316">
        <v>0</v>
      </c>
      <c r="CL338" s="316">
        <v>0</v>
      </c>
      <c r="CM338" s="316">
        <v>0</v>
      </c>
      <c r="CN338" s="316">
        <v>0</v>
      </c>
      <c r="CO338" s="316">
        <v>0</v>
      </c>
      <c r="CP338" s="318">
        <v>0</v>
      </c>
      <c r="CQ338" s="316">
        <v>0</v>
      </c>
      <c r="CR338" s="316">
        <v>3.0000000000000001E-6</v>
      </c>
      <c r="CS338" s="316">
        <v>0</v>
      </c>
      <c r="CT338" s="316">
        <v>0</v>
      </c>
      <c r="CU338" s="316">
        <v>0</v>
      </c>
      <c r="CV338" s="316">
        <v>0</v>
      </c>
      <c r="CW338" s="316">
        <v>0</v>
      </c>
      <c r="CX338" s="316">
        <v>0</v>
      </c>
      <c r="CY338" s="316">
        <v>0</v>
      </c>
      <c r="CZ338" s="316">
        <v>0</v>
      </c>
      <c r="DA338" s="316">
        <v>0</v>
      </c>
      <c r="DB338" s="1498">
        <v>5.3999999999999998E-5</v>
      </c>
      <c r="DC338" s="316">
        <v>0</v>
      </c>
      <c r="DD338" s="316">
        <v>2.9638320199400635E-6</v>
      </c>
      <c r="DE338" s="316">
        <v>0</v>
      </c>
      <c r="DF338" s="316">
        <v>0</v>
      </c>
      <c r="DG338" s="316">
        <v>0</v>
      </c>
      <c r="DH338" s="316">
        <v>0</v>
      </c>
      <c r="DI338" s="316">
        <v>0</v>
      </c>
      <c r="DJ338" s="316">
        <v>0</v>
      </c>
      <c r="DK338" s="316">
        <v>0</v>
      </c>
      <c r="DL338" s="316">
        <v>0</v>
      </c>
      <c r="DM338" s="316">
        <v>0</v>
      </c>
      <c r="DN338" s="318">
        <v>6.063652399355246E-5</v>
      </c>
      <c r="DO338" s="316">
        <v>0</v>
      </c>
      <c r="DP338" s="316">
        <v>0</v>
      </c>
      <c r="DQ338" s="316">
        <v>0</v>
      </c>
      <c r="DR338" s="316">
        <v>0</v>
      </c>
      <c r="DS338" s="316">
        <v>0</v>
      </c>
      <c r="DT338" s="316">
        <v>0</v>
      </c>
      <c r="DU338" s="316">
        <v>0</v>
      </c>
      <c r="DV338" s="316">
        <v>0</v>
      </c>
      <c r="DW338" s="316">
        <v>0</v>
      </c>
      <c r="DX338" s="316">
        <v>0</v>
      </c>
      <c r="DY338" s="316">
        <v>0</v>
      </c>
      <c r="DZ338" s="318">
        <v>0</v>
      </c>
      <c r="EA338" s="316">
        <v>0</v>
      </c>
      <c r="EB338" s="316">
        <v>0</v>
      </c>
      <c r="EC338" s="316">
        <v>0</v>
      </c>
      <c r="ED338" s="316">
        <v>0</v>
      </c>
      <c r="EE338" s="316">
        <v>0</v>
      </c>
      <c r="EF338" s="316">
        <v>0</v>
      </c>
      <c r="EG338" s="316">
        <v>0</v>
      </c>
      <c r="EH338" s="316">
        <v>0</v>
      </c>
      <c r="EI338" s="316">
        <v>0</v>
      </c>
      <c r="EJ338" s="316">
        <v>0</v>
      </c>
      <c r="EK338" s="316">
        <v>0</v>
      </c>
      <c r="EL338" s="318">
        <v>0</v>
      </c>
      <c r="EM338" s="316">
        <v>0.16733000000000001</v>
      </c>
      <c r="EN338" s="316">
        <v>0.20956</v>
      </c>
      <c r="EO338" s="316">
        <v>0.22767999999999999</v>
      </c>
      <c r="EP338" s="316">
        <v>0.20363000000000001</v>
      </c>
      <c r="EQ338" s="316">
        <v>0.19276499999999999</v>
      </c>
      <c r="ER338" s="316">
        <v>0.16231000000000001</v>
      </c>
      <c r="ES338" s="316">
        <v>0.224825</v>
      </c>
      <c r="ET338" s="316">
        <v>0.23022000000000001</v>
      </c>
      <c r="EU338" s="316">
        <v>0.213585</v>
      </c>
      <c r="EV338" s="316">
        <v>0.22311</v>
      </c>
      <c r="EW338" s="316">
        <v>0.19520000000000001</v>
      </c>
      <c r="EX338" s="318">
        <v>0.21268000000000001</v>
      </c>
      <c r="EY338" s="316">
        <v>0</v>
      </c>
      <c r="EZ338" s="316">
        <v>0</v>
      </c>
      <c r="FA338" s="316">
        <v>0</v>
      </c>
      <c r="FB338" s="316">
        <v>0</v>
      </c>
      <c r="FC338" s="316">
        <v>0</v>
      </c>
      <c r="FD338" s="316">
        <v>0</v>
      </c>
      <c r="FE338" s="316">
        <v>0</v>
      </c>
      <c r="FF338" s="316">
        <v>0</v>
      </c>
      <c r="FG338" s="316">
        <v>0</v>
      </c>
      <c r="FH338" s="316">
        <v>0</v>
      </c>
      <c r="FI338" s="316">
        <v>0</v>
      </c>
      <c r="FJ338" s="318">
        <v>0</v>
      </c>
      <c r="FK338" s="316">
        <v>0</v>
      </c>
      <c r="FL338" s="316">
        <v>0</v>
      </c>
      <c r="FM338" s="316">
        <v>0</v>
      </c>
      <c r="FN338" s="316">
        <v>0</v>
      </c>
      <c r="FO338" s="316">
        <v>0</v>
      </c>
      <c r="FP338" s="316">
        <v>0</v>
      </c>
      <c r="FQ338" s="316">
        <v>0</v>
      </c>
      <c r="FR338" s="316">
        <v>0</v>
      </c>
      <c r="FS338" s="316">
        <v>0</v>
      </c>
      <c r="FT338" s="316">
        <v>0</v>
      </c>
      <c r="FU338" s="316">
        <v>0</v>
      </c>
      <c r="FV338" s="316">
        <v>0</v>
      </c>
      <c r="FW338" s="316">
        <v>0</v>
      </c>
      <c r="FX338" s="316">
        <v>0</v>
      </c>
      <c r="FY338" s="316">
        <v>0</v>
      </c>
      <c r="FZ338" s="316">
        <v>0</v>
      </c>
      <c r="GA338" s="316">
        <v>0</v>
      </c>
      <c r="GB338" s="316">
        <v>0</v>
      </c>
      <c r="GC338" s="316">
        <v>0</v>
      </c>
      <c r="GD338" s="316">
        <v>0</v>
      </c>
      <c r="GE338" s="316">
        <v>0</v>
      </c>
      <c r="GF338" s="316">
        <v>0</v>
      </c>
      <c r="GG338" s="316">
        <v>0</v>
      </c>
      <c r="GH338" s="316">
        <v>0</v>
      </c>
      <c r="GI338" s="316">
        <v>0</v>
      </c>
      <c r="GJ338" s="316">
        <v>0</v>
      </c>
      <c r="GK338" s="316">
        <v>0</v>
      </c>
      <c r="GL338" s="316">
        <v>0</v>
      </c>
      <c r="GM338" s="316">
        <v>0</v>
      </c>
      <c r="GN338" s="316">
        <v>0</v>
      </c>
      <c r="GO338" s="316">
        <v>0</v>
      </c>
      <c r="GP338" s="316">
        <v>0</v>
      </c>
      <c r="GQ338" s="316">
        <v>0</v>
      </c>
      <c r="GR338" s="316">
        <v>0</v>
      </c>
      <c r="GS338" s="316">
        <v>0</v>
      </c>
      <c r="GT338" s="316">
        <v>0</v>
      </c>
      <c r="GU338" s="316">
        <v>0</v>
      </c>
      <c r="GV338" s="316">
        <v>0</v>
      </c>
      <c r="GW338" s="316">
        <v>0</v>
      </c>
      <c r="GX338" s="316">
        <v>0</v>
      </c>
      <c r="GY338" s="316">
        <v>0</v>
      </c>
      <c r="GZ338" s="316">
        <v>0</v>
      </c>
      <c r="HA338" s="316">
        <v>0</v>
      </c>
      <c r="HB338" s="316">
        <v>0</v>
      </c>
      <c r="HC338" s="316">
        <v>0</v>
      </c>
      <c r="HD338" s="316">
        <v>0</v>
      </c>
      <c r="HE338" s="316">
        <v>0</v>
      </c>
      <c r="HF338" s="316">
        <v>0</v>
      </c>
      <c r="HG338" s="316">
        <v>0</v>
      </c>
      <c r="HH338" s="316">
        <v>0</v>
      </c>
      <c r="HI338" s="316">
        <v>0</v>
      </c>
      <c r="HJ338" s="316">
        <v>0</v>
      </c>
      <c r="HK338" s="316">
        <v>0</v>
      </c>
      <c r="HL338" s="316">
        <v>0</v>
      </c>
      <c r="HM338" s="316"/>
      <c r="KH338" s="303"/>
    </row>
    <row r="339" spans="1:294" outlineLevel="1">
      <c r="A339" s="117" t="s">
        <v>422</v>
      </c>
      <c r="B339" s="117" t="s">
        <v>361</v>
      </c>
      <c r="D339" s="344" t="s">
        <v>517</v>
      </c>
      <c r="E339" s="316"/>
      <c r="F339" s="316"/>
      <c r="G339" s="316"/>
      <c r="H339" s="316"/>
      <c r="I339" s="316"/>
      <c r="J339" s="316"/>
      <c r="K339" s="316"/>
      <c r="L339" s="316"/>
      <c r="M339" s="316"/>
      <c r="N339" s="316"/>
      <c r="O339" s="316"/>
      <c r="P339" s="316"/>
      <c r="Q339" s="316"/>
      <c r="R339" s="316"/>
      <c r="S339" s="316"/>
      <c r="T339" s="316"/>
      <c r="U339" s="316"/>
      <c r="V339" s="316"/>
      <c r="W339" s="316"/>
      <c r="X339" s="316"/>
      <c r="Y339" s="316"/>
      <c r="Z339" s="316"/>
      <c r="AA339" s="316"/>
      <c r="AB339" s="316"/>
      <c r="AC339" s="316"/>
      <c r="AD339" s="316"/>
      <c r="AE339" s="316"/>
      <c r="AF339" s="316"/>
      <c r="AG339" s="316"/>
      <c r="AH339" s="316"/>
      <c r="AI339" s="316"/>
      <c r="AJ339" s="316"/>
      <c r="AK339" s="316"/>
      <c r="AL339" s="316"/>
      <c r="AM339" s="316"/>
      <c r="AN339" s="316"/>
      <c r="AO339" s="316"/>
      <c r="AP339" s="316"/>
      <c r="AQ339" s="316"/>
      <c r="AR339" s="316"/>
      <c r="AS339" s="316"/>
      <c r="AT339" s="316"/>
      <c r="AU339" s="316"/>
      <c r="AV339" s="316"/>
      <c r="AW339" s="316"/>
      <c r="AX339" s="316"/>
      <c r="AY339" s="316"/>
      <c r="AZ339" s="316"/>
      <c r="BA339" s="316"/>
      <c r="BB339" s="316"/>
      <c r="BC339" s="316"/>
      <c r="BD339" s="316"/>
      <c r="BE339" s="316"/>
      <c r="BF339" s="316"/>
      <c r="BG339" s="316"/>
      <c r="BH339" s="316"/>
      <c r="BI339" s="316"/>
      <c r="BJ339" s="316"/>
      <c r="BK339" s="316"/>
      <c r="BL339" s="316"/>
      <c r="BM339" s="316"/>
      <c r="BN339" s="316"/>
      <c r="BO339" s="316"/>
      <c r="BP339" s="316"/>
      <c r="BQ339" s="316"/>
      <c r="BR339" s="316"/>
      <c r="BS339" s="316"/>
      <c r="BT339" s="316"/>
      <c r="BU339" s="316"/>
      <c r="BV339" s="316"/>
      <c r="BW339" s="316"/>
      <c r="BX339" s="316"/>
      <c r="BY339" s="316"/>
      <c r="BZ339" s="316"/>
      <c r="CA339" s="316"/>
      <c r="CB339" s="316"/>
      <c r="CC339" s="316"/>
      <c r="CD339" s="316"/>
      <c r="CE339" s="317">
        <v>0</v>
      </c>
      <c r="CF339" s="316">
        <v>0</v>
      </c>
      <c r="CG339" s="316">
        <v>0</v>
      </c>
      <c r="CH339" s="316">
        <v>0</v>
      </c>
      <c r="CI339" s="316">
        <v>0</v>
      </c>
      <c r="CJ339" s="316">
        <v>0</v>
      </c>
      <c r="CK339" s="316">
        <v>0</v>
      </c>
      <c r="CL339" s="316">
        <v>0</v>
      </c>
      <c r="CM339" s="316">
        <v>0</v>
      </c>
      <c r="CN339" s="316">
        <v>0</v>
      </c>
      <c r="CO339" s="316">
        <v>0</v>
      </c>
      <c r="CP339" s="318">
        <v>0</v>
      </c>
      <c r="CQ339" s="316">
        <v>6.4068461000000007E-2</v>
      </c>
      <c r="CR339" s="316">
        <v>4.8630384999999998E-2</v>
      </c>
      <c r="CS339" s="316">
        <v>4.5853443000000001E-2</v>
      </c>
      <c r="CT339" s="316">
        <v>3.7334525E-2</v>
      </c>
      <c r="CU339" s="316">
        <v>2.5196940000000001E-2</v>
      </c>
      <c r="CV339" s="316">
        <v>2.1096296E-2</v>
      </c>
      <c r="CW339" s="316">
        <v>0.14355452799999999</v>
      </c>
      <c r="CX339" s="316">
        <v>0.18836430800000001</v>
      </c>
      <c r="CY339" s="316">
        <v>3.4652163030000001</v>
      </c>
      <c r="CZ339" s="316">
        <v>0.25610231700000002</v>
      </c>
      <c r="DA339" s="316">
        <v>0.14764929600000001</v>
      </c>
      <c r="DB339" s="1498">
        <v>0.101770338</v>
      </c>
      <c r="DC339" s="316">
        <v>0</v>
      </c>
      <c r="DD339" s="316">
        <v>0.52627772826353691</v>
      </c>
      <c r="DE339" s="316">
        <v>1.4211541374234002</v>
      </c>
      <c r="DF339" s="316">
        <v>3.9694588983165602</v>
      </c>
      <c r="DG339" s="316">
        <v>2.2316837800766649</v>
      </c>
      <c r="DH339" s="316">
        <v>1.7731615422472089</v>
      </c>
      <c r="DI339" s="316">
        <v>2.5631760413154012</v>
      </c>
      <c r="DJ339" s="316">
        <v>3.6060941701399969</v>
      </c>
      <c r="DK339" s="316">
        <v>2.4500914800189548</v>
      </c>
      <c r="DL339" s="316">
        <v>5.2752214508147572</v>
      </c>
      <c r="DM339" s="316">
        <v>5.9133992146420242</v>
      </c>
      <c r="DN339" s="318">
        <v>6.9766629719583886</v>
      </c>
      <c r="DO339" s="316">
        <v>0</v>
      </c>
      <c r="DP339" s="316">
        <v>0</v>
      </c>
      <c r="DQ339" s="316">
        <v>0</v>
      </c>
      <c r="DR339" s="316">
        <v>0</v>
      </c>
      <c r="DS339" s="316">
        <v>0</v>
      </c>
      <c r="DT339" s="316">
        <v>0</v>
      </c>
      <c r="DU339" s="316">
        <v>0</v>
      </c>
      <c r="DV339" s="316">
        <v>0</v>
      </c>
      <c r="DW339" s="316">
        <v>0</v>
      </c>
      <c r="DX339" s="316">
        <v>0</v>
      </c>
      <c r="DY339" s="316">
        <v>0</v>
      </c>
      <c r="DZ339" s="318">
        <v>0</v>
      </c>
      <c r="EA339" s="316">
        <v>0</v>
      </c>
      <c r="EB339" s="316">
        <v>0</v>
      </c>
      <c r="EC339" s="316">
        <v>0</v>
      </c>
      <c r="ED339" s="316">
        <v>0</v>
      </c>
      <c r="EE339" s="316">
        <v>0</v>
      </c>
      <c r="EF339" s="316">
        <v>0</v>
      </c>
      <c r="EG339" s="316">
        <v>0</v>
      </c>
      <c r="EH339" s="316">
        <v>0</v>
      </c>
      <c r="EI339" s="316">
        <v>0</v>
      </c>
      <c r="EJ339" s="316">
        <v>0</v>
      </c>
      <c r="EK339" s="316">
        <v>0</v>
      </c>
      <c r="EL339" s="318">
        <v>0</v>
      </c>
      <c r="EM339" s="316">
        <v>0</v>
      </c>
      <c r="EN339" s="316">
        <v>0</v>
      </c>
      <c r="EO339" s="316">
        <v>0</v>
      </c>
      <c r="EP339" s="316">
        <v>0</v>
      </c>
      <c r="EQ339" s="316">
        <v>0</v>
      </c>
      <c r="ER339" s="316">
        <v>0</v>
      </c>
      <c r="ES339" s="316">
        <v>0</v>
      </c>
      <c r="ET339" s="316">
        <v>0</v>
      </c>
      <c r="EU339" s="316">
        <v>0</v>
      </c>
      <c r="EV339" s="316">
        <v>0</v>
      </c>
      <c r="EW339" s="316">
        <v>0</v>
      </c>
      <c r="EX339" s="318">
        <v>0</v>
      </c>
      <c r="EY339" s="316">
        <v>0.26580730899999999</v>
      </c>
      <c r="EZ339" s="316">
        <v>0.26580730899999999</v>
      </c>
      <c r="FA339" s="316">
        <v>0.26580730899999999</v>
      </c>
      <c r="FB339" s="316">
        <v>0.26580730899999999</v>
      </c>
      <c r="FC339" s="316">
        <v>0.26580730899999999</v>
      </c>
      <c r="FD339" s="316">
        <v>0.26580730899999999</v>
      </c>
      <c r="FE339" s="316">
        <v>6.2966569921600009</v>
      </c>
      <c r="FF339" s="316">
        <v>0.8198708388766387</v>
      </c>
      <c r="FG339" s="316">
        <v>0.52423914859999998</v>
      </c>
      <c r="FH339" s="316">
        <v>1.5951549143959001</v>
      </c>
      <c r="FI339" s="316">
        <v>1.5951549143959001</v>
      </c>
      <c r="FJ339" s="318">
        <v>1.5951549143959001</v>
      </c>
      <c r="FK339" s="316">
        <v>0.29565045484284408</v>
      </c>
      <c r="FL339" s="316">
        <v>0.23241264445440948</v>
      </c>
      <c r="FM339" s="316">
        <v>0.29068532770274641</v>
      </c>
      <c r="FN339" s="316">
        <v>1.1939545732940664E-3</v>
      </c>
      <c r="FO339" s="316">
        <v>2.4628027264377026E-3</v>
      </c>
      <c r="FP339" s="316">
        <v>1.1321930700268231E-2</v>
      </c>
      <c r="FQ339" s="316">
        <v>1.7664231900748419</v>
      </c>
      <c r="FR339" s="316">
        <v>2.2169717771058468</v>
      </c>
      <c r="FS339" s="316">
        <v>1.2826481198193107</v>
      </c>
      <c r="FT339" s="316">
        <v>0.2813007443333333</v>
      </c>
      <c r="FU339" s="316">
        <v>0.2813007443333333</v>
      </c>
      <c r="FV339" s="316">
        <v>0.2813007443333333</v>
      </c>
      <c r="FW339" s="316">
        <v>9.2340063198682126E-2</v>
      </c>
      <c r="FX339" s="316">
        <v>0.11524411630216823</v>
      </c>
      <c r="FY339" s="316">
        <v>0.14171416749914964</v>
      </c>
      <c r="FZ339" s="316">
        <v>6.6866140149199421E-2</v>
      </c>
      <c r="GA339" s="316">
        <v>9.6456097691933931E-2</v>
      </c>
      <c r="GB339" s="316">
        <v>0.27037780815886664</v>
      </c>
      <c r="GC339" s="316">
        <v>1.2426386619662857</v>
      </c>
      <c r="GD339" s="316">
        <v>1.5595893771090639</v>
      </c>
      <c r="GE339" s="316">
        <v>3.0518096729246502</v>
      </c>
      <c r="GF339" s="316">
        <v>0.17165030568481376</v>
      </c>
      <c r="GG339" s="316">
        <v>0.17660300052462727</v>
      </c>
      <c r="GH339" s="316">
        <v>0.27698401279400947</v>
      </c>
      <c r="GI339" s="316"/>
      <c r="GJ339" s="316"/>
      <c r="GK339" s="316"/>
      <c r="GL339" s="316"/>
      <c r="GM339" s="316"/>
      <c r="GN339" s="316"/>
      <c r="GO339" s="316"/>
      <c r="GP339" s="316"/>
      <c r="GQ339" s="316"/>
      <c r="GR339" s="316"/>
      <c r="GS339" s="316"/>
      <c r="GT339" s="316"/>
      <c r="GU339" s="316">
        <v>0.50321992000000004</v>
      </c>
      <c r="GV339" s="316">
        <v>0.60779959400000005</v>
      </c>
      <c r="GW339" s="316">
        <v>0.49503668099999998</v>
      </c>
      <c r="GX339" s="316">
        <v>0.49720740099999999</v>
      </c>
      <c r="GY339" s="316">
        <v>0.25866908399999999</v>
      </c>
      <c r="GZ339" s="316">
        <v>9.1145840000000006E-2</v>
      </c>
      <c r="HA339" s="316">
        <v>4.5787891690000002</v>
      </c>
      <c r="HB339" s="316">
        <v>2.4912074770000001</v>
      </c>
      <c r="HC339" s="316">
        <v>0.57395500700000002</v>
      </c>
      <c r="HD339" s="316">
        <v>1.6551297110000001</v>
      </c>
      <c r="HE339" s="316">
        <v>0.47746946800000001</v>
      </c>
      <c r="HF339" s="316">
        <v>0.69640668999999999</v>
      </c>
      <c r="HG339" s="316">
        <v>1.4705108929999999</v>
      </c>
      <c r="HH339" s="316">
        <v>0.35344490099999998</v>
      </c>
      <c r="HI339" s="316">
        <v>0.52472494999999997</v>
      </c>
      <c r="HJ339" s="316">
        <v>1.2265425750000001</v>
      </c>
      <c r="HK339" s="316">
        <v>0.41492590299999998</v>
      </c>
      <c r="HL339" s="316">
        <v>0.69585611000000003</v>
      </c>
      <c r="HM339" s="316"/>
      <c r="KH339" s="303"/>
    </row>
    <row r="340" spans="1:294" outlineLevel="1">
      <c r="A340" s="117" t="s">
        <v>422</v>
      </c>
      <c r="B340" s="117" t="s">
        <v>361</v>
      </c>
      <c r="D340" s="344" t="s">
        <v>504</v>
      </c>
      <c r="E340" s="316"/>
      <c r="F340" s="316"/>
      <c r="G340" s="316"/>
      <c r="H340" s="316"/>
      <c r="I340" s="316"/>
      <c r="J340" s="316"/>
      <c r="K340" s="316"/>
      <c r="L340" s="316"/>
      <c r="M340" s="316"/>
      <c r="N340" s="316"/>
      <c r="O340" s="316"/>
      <c r="P340" s="316"/>
      <c r="Q340" s="316"/>
      <c r="R340" s="316"/>
      <c r="S340" s="316"/>
      <c r="T340" s="316"/>
      <c r="U340" s="316"/>
      <c r="V340" s="316"/>
      <c r="W340" s="316"/>
      <c r="X340" s="316"/>
      <c r="Y340" s="316"/>
      <c r="Z340" s="316"/>
      <c r="AA340" s="316"/>
      <c r="AB340" s="316"/>
      <c r="AC340" s="316"/>
      <c r="AD340" s="316"/>
      <c r="AE340" s="316"/>
      <c r="AF340" s="316"/>
      <c r="AG340" s="316"/>
      <c r="AH340" s="316"/>
      <c r="AI340" s="316"/>
      <c r="AJ340" s="316"/>
      <c r="AK340" s="316"/>
      <c r="AL340" s="316"/>
      <c r="AM340" s="316"/>
      <c r="AN340" s="316"/>
      <c r="AO340" s="316"/>
      <c r="AP340" s="316"/>
      <c r="AQ340" s="316"/>
      <c r="AR340" s="316"/>
      <c r="AS340" s="316"/>
      <c r="AT340" s="316"/>
      <c r="AU340" s="316"/>
      <c r="AV340" s="316"/>
      <c r="AW340" s="316"/>
      <c r="AX340" s="316"/>
      <c r="AY340" s="316"/>
      <c r="AZ340" s="316"/>
      <c r="BA340" s="316"/>
      <c r="BB340" s="316"/>
      <c r="BC340" s="316"/>
      <c r="BD340" s="316"/>
      <c r="BE340" s="316"/>
      <c r="BF340" s="316"/>
      <c r="BG340" s="316"/>
      <c r="BH340" s="316"/>
      <c r="BI340" s="316"/>
      <c r="BJ340" s="316"/>
      <c r="BK340" s="316"/>
      <c r="BL340" s="316"/>
      <c r="BM340" s="316"/>
      <c r="BN340" s="316"/>
      <c r="BO340" s="316"/>
      <c r="BP340" s="316"/>
      <c r="BQ340" s="316"/>
      <c r="BR340" s="316"/>
      <c r="BS340" s="316"/>
      <c r="BT340" s="316"/>
      <c r="BU340" s="316"/>
      <c r="BV340" s="316"/>
      <c r="BW340" s="316"/>
      <c r="BX340" s="316"/>
      <c r="BY340" s="316"/>
      <c r="BZ340" s="316"/>
      <c r="CA340" s="316"/>
      <c r="CB340" s="316"/>
      <c r="CC340" s="316"/>
      <c r="CD340" s="316"/>
      <c r="CE340" s="317">
        <v>0</v>
      </c>
      <c r="CF340" s="316">
        <v>0</v>
      </c>
      <c r="CG340" s="316">
        <v>0</v>
      </c>
      <c r="CH340" s="316">
        <v>0</v>
      </c>
      <c r="CI340" s="316">
        <v>0</v>
      </c>
      <c r="CJ340" s="316">
        <v>0</v>
      </c>
      <c r="CK340" s="316">
        <v>0</v>
      </c>
      <c r="CL340" s="316">
        <v>0</v>
      </c>
      <c r="CM340" s="316">
        <v>0</v>
      </c>
      <c r="CN340" s="316">
        <v>0</v>
      </c>
      <c r="CO340" s="316">
        <v>0</v>
      </c>
      <c r="CP340" s="318">
        <v>0</v>
      </c>
      <c r="CQ340" s="316">
        <v>0</v>
      </c>
      <c r="CR340" s="316">
        <v>0</v>
      </c>
      <c r="CS340" s="316">
        <v>0</v>
      </c>
      <c r="CT340" s="316">
        <v>0</v>
      </c>
      <c r="CU340" s="316">
        <v>0</v>
      </c>
      <c r="CV340" s="316">
        <v>0</v>
      </c>
      <c r="CW340" s="316">
        <v>0</v>
      </c>
      <c r="CX340" s="316">
        <v>0</v>
      </c>
      <c r="CY340" s="316">
        <v>0</v>
      </c>
      <c r="CZ340" s="316">
        <v>0</v>
      </c>
      <c r="DA340" s="316">
        <v>0</v>
      </c>
      <c r="DB340" s="1498">
        <v>0</v>
      </c>
      <c r="DC340" s="316">
        <v>0</v>
      </c>
      <c r="DD340" s="316">
        <v>0</v>
      </c>
      <c r="DE340" s="316">
        <v>0</v>
      </c>
      <c r="DF340" s="316">
        <v>0</v>
      </c>
      <c r="DG340" s="316">
        <v>0</v>
      </c>
      <c r="DH340" s="316">
        <v>0</v>
      </c>
      <c r="DI340" s="316">
        <v>0</v>
      </c>
      <c r="DJ340" s="316">
        <v>0</v>
      </c>
      <c r="DK340" s="316">
        <v>0</v>
      </c>
      <c r="DL340" s="316">
        <v>0</v>
      </c>
      <c r="DM340" s="316">
        <v>0</v>
      </c>
      <c r="DN340" s="318">
        <v>0</v>
      </c>
      <c r="DO340" s="316">
        <v>0</v>
      </c>
      <c r="DP340" s="316">
        <v>0</v>
      </c>
      <c r="DQ340" s="316">
        <v>0</v>
      </c>
      <c r="DR340" s="316">
        <v>0</v>
      </c>
      <c r="DS340" s="316">
        <v>0</v>
      </c>
      <c r="DT340" s="316">
        <v>0</v>
      </c>
      <c r="DU340" s="316">
        <v>0</v>
      </c>
      <c r="DV340" s="316">
        <v>0</v>
      </c>
      <c r="DW340" s="316">
        <v>0</v>
      </c>
      <c r="DX340" s="316">
        <v>0</v>
      </c>
      <c r="DY340" s="316">
        <v>0</v>
      </c>
      <c r="DZ340" s="318">
        <v>0</v>
      </c>
      <c r="EA340" s="316">
        <v>0</v>
      </c>
      <c r="EB340" s="316">
        <v>0</v>
      </c>
      <c r="EC340" s="316">
        <v>0</v>
      </c>
      <c r="ED340" s="316">
        <v>0</v>
      </c>
      <c r="EE340" s="316">
        <v>0</v>
      </c>
      <c r="EF340" s="316">
        <v>0</v>
      </c>
      <c r="EG340" s="316">
        <v>0</v>
      </c>
      <c r="EH340" s="316">
        <v>0</v>
      </c>
      <c r="EI340" s="316">
        <v>0</v>
      </c>
      <c r="EJ340" s="316">
        <v>0</v>
      </c>
      <c r="EK340" s="316">
        <v>0</v>
      </c>
      <c r="EL340" s="318">
        <v>0</v>
      </c>
      <c r="EM340" s="316">
        <v>0</v>
      </c>
      <c r="EN340" s="316">
        <v>0</v>
      </c>
      <c r="EO340" s="316">
        <v>0</v>
      </c>
      <c r="EP340" s="316">
        <v>0</v>
      </c>
      <c r="EQ340" s="316">
        <v>0</v>
      </c>
      <c r="ER340" s="316">
        <v>0</v>
      </c>
      <c r="ES340" s="316">
        <v>0</v>
      </c>
      <c r="ET340" s="316">
        <v>0</v>
      </c>
      <c r="EU340" s="316">
        <v>0</v>
      </c>
      <c r="EV340" s="316">
        <v>0</v>
      </c>
      <c r="EW340" s="316">
        <v>0</v>
      </c>
      <c r="EX340" s="318">
        <v>0</v>
      </c>
      <c r="EY340" s="316">
        <v>0</v>
      </c>
      <c r="EZ340" s="316">
        <v>0</v>
      </c>
      <c r="FA340" s="316">
        <v>0</v>
      </c>
      <c r="FB340" s="316">
        <v>0</v>
      </c>
      <c r="FC340" s="316">
        <v>0</v>
      </c>
      <c r="FD340" s="316">
        <v>0</v>
      </c>
      <c r="FE340" s="316">
        <v>0</v>
      </c>
      <c r="FF340" s="316">
        <v>0</v>
      </c>
      <c r="FG340" s="316">
        <v>0</v>
      </c>
      <c r="FH340" s="316">
        <v>0</v>
      </c>
      <c r="FI340" s="316">
        <v>0</v>
      </c>
      <c r="FJ340" s="318">
        <v>0</v>
      </c>
      <c r="FK340" s="316">
        <v>0</v>
      </c>
      <c r="FL340" s="316">
        <v>0</v>
      </c>
      <c r="FM340" s="316">
        <v>0</v>
      </c>
      <c r="FN340" s="316">
        <v>0</v>
      </c>
      <c r="FO340" s="316">
        <v>0</v>
      </c>
      <c r="FP340" s="316">
        <v>0</v>
      </c>
      <c r="FQ340" s="316">
        <v>0</v>
      </c>
      <c r="FR340" s="316">
        <v>0</v>
      </c>
      <c r="FS340" s="316">
        <v>0</v>
      </c>
      <c r="FT340" s="316">
        <v>0</v>
      </c>
      <c r="FU340" s="316">
        <v>0</v>
      </c>
      <c r="FV340" s="316">
        <v>0</v>
      </c>
      <c r="FW340" s="316">
        <v>0</v>
      </c>
      <c r="FX340" s="316">
        <v>0</v>
      </c>
      <c r="FY340" s="316">
        <v>0</v>
      </c>
      <c r="FZ340" s="316">
        <v>0</v>
      </c>
      <c r="GA340" s="316">
        <v>0</v>
      </c>
      <c r="GB340" s="316">
        <v>0</v>
      </c>
      <c r="GC340" s="316">
        <v>0</v>
      </c>
      <c r="GD340" s="316">
        <v>0</v>
      </c>
      <c r="GE340" s="316">
        <v>0</v>
      </c>
      <c r="GF340" s="316">
        <v>0</v>
      </c>
      <c r="GG340" s="316">
        <v>0</v>
      </c>
      <c r="GH340" s="316">
        <v>0</v>
      </c>
      <c r="GI340" s="316">
        <v>0</v>
      </c>
      <c r="GJ340" s="316">
        <v>0</v>
      </c>
      <c r="GK340" s="316">
        <v>0</v>
      </c>
      <c r="GL340" s="316">
        <v>0</v>
      </c>
      <c r="GM340" s="316">
        <v>0</v>
      </c>
      <c r="GN340" s="316">
        <v>0</v>
      </c>
      <c r="GO340" s="316">
        <v>0</v>
      </c>
      <c r="GP340" s="316">
        <v>0</v>
      </c>
      <c r="GQ340" s="316">
        <v>0</v>
      </c>
      <c r="GR340" s="316">
        <v>0</v>
      </c>
      <c r="GS340" s="316">
        <v>0</v>
      </c>
      <c r="GT340" s="316">
        <v>0</v>
      </c>
      <c r="GU340" s="316">
        <v>2.2973842000000001E-2</v>
      </c>
      <c r="GV340" s="316">
        <v>7.9093081515383343E-3</v>
      </c>
      <c r="GW340" s="316">
        <v>9.0049268240762655E-3</v>
      </c>
      <c r="GX340" s="316">
        <v>1.3872513E-2</v>
      </c>
      <c r="GY340" s="316">
        <v>1.4325071E-2</v>
      </c>
      <c r="GZ340" s="316">
        <v>1.0921128E-2</v>
      </c>
      <c r="HA340" s="316">
        <v>1.2481096000000001E-2</v>
      </c>
      <c r="HB340" s="316">
        <v>1.0659699E-2</v>
      </c>
      <c r="HC340" s="316">
        <v>8.8023889932264329E-3</v>
      </c>
      <c r="HD340" s="316">
        <v>1.4227445E-2</v>
      </c>
      <c r="HE340" s="316">
        <v>1.4499659E-2</v>
      </c>
      <c r="HF340" s="316">
        <v>1.509216E-2</v>
      </c>
      <c r="HG340" s="316">
        <v>1.4966055000000001E-2</v>
      </c>
      <c r="HH340" s="316">
        <v>1.3043183999999999E-2</v>
      </c>
      <c r="HI340" s="316">
        <v>1.2706491E-2</v>
      </c>
      <c r="HJ340" s="316">
        <v>1.2421919999999999E-2</v>
      </c>
      <c r="HK340" s="316">
        <v>1.2823179000000001E-2</v>
      </c>
      <c r="HL340" s="316">
        <v>1.3846917E-2</v>
      </c>
      <c r="HM340" s="316"/>
      <c r="KH340" s="303"/>
    </row>
    <row r="341" spans="1:294" outlineLevel="1">
      <c r="A341" s="117" t="s">
        <v>422</v>
      </c>
      <c r="B341" s="117" t="s">
        <v>361</v>
      </c>
      <c r="D341" s="344" t="s">
        <v>518</v>
      </c>
      <c r="E341" s="316"/>
      <c r="F341" s="316"/>
      <c r="G341" s="316"/>
      <c r="H341" s="316"/>
      <c r="I341" s="316"/>
      <c r="J341" s="316"/>
      <c r="K341" s="316"/>
      <c r="L341" s="316"/>
      <c r="M341" s="316"/>
      <c r="N341" s="316"/>
      <c r="O341" s="316"/>
      <c r="P341" s="316"/>
      <c r="Q341" s="316"/>
      <c r="R341" s="316"/>
      <c r="S341" s="316"/>
      <c r="T341" s="316"/>
      <c r="U341" s="316"/>
      <c r="V341" s="316"/>
      <c r="W341" s="316"/>
      <c r="X341" s="316"/>
      <c r="Y341" s="316"/>
      <c r="Z341" s="316"/>
      <c r="AA341" s="316"/>
      <c r="AB341" s="316"/>
      <c r="AC341" s="316"/>
      <c r="AD341" s="316"/>
      <c r="AE341" s="316"/>
      <c r="AF341" s="316"/>
      <c r="AG341" s="316"/>
      <c r="AH341" s="316"/>
      <c r="AI341" s="316"/>
      <c r="AJ341" s="316"/>
      <c r="AK341" s="316"/>
      <c r="AL341" s="316"/>
      <c r="AM341" s="316"/>
      <c r="AN341" s="316"/>
      <c r="AO341" s="316"/>
      <c r="AP341" s="316"/>
      <c r="AQ341" s="316"/>
      <c r="AR341" s="316"/>
      <c r="AS341" s="316"/>
      <c r="AT341" s="316"/>
      <c r="AU341" s="316"/>
      <c r="AV341" s="316"/>
      <c r="AW341" s="316"/>
      <c r="AX341" s="316"/>
      <c r="AY341" s="316"/>
      <c r="AZ341" s="316"/>
      <c r="BA341" s="316"/>
      <c r="BB341" s="316"/>
      <c r="BC341" s="316"/>
      <c r="BD341" s="316"/>
      <c r="BE341" s="316"/>
      <c r="BF341" s="316"/>
      <c r="BG341" s="316"/>
      <c r="BH341" s="316"/>
      <c r="BI341" s="316"/>
      <c r="BJ341" s="316"/>
      <c r="BK341" s="316"/>
      <c r="BL341" s="316"/>
      <c r="BM341" s="316"/>
      <c r="BN341" s="316"/>
      <c r="BO341" s="316"/>
      <c r="BP341" s="316"/>
      <c r="BQ341" s="316"/>
      <c r="BR341" s="316"/>
      <c r="BS341" s="316"/>
      <c r="BT341" s="316"/>
      <c r="BU341" s="316"/>
      <c r="BV341" s="316"/>
      <c r="BW341" s="316"/>
      <c r="BX341" s="316"/>
      <c r="BY341" s="316"/>
      <c r="BZ341" s="316"/>
      <c r="CA341" s="316"/>
      <c r="CB341" s="316"/>
      <c r="CC341" s="316"/>
      <c r="CD341" s="316"/>
      <c r="CE341" s="317">
        <v>0</v>
      </c>
      <c r="CF341" s="316">
        <v>0</v>
      </c>
      <c r="CG341" s="316">
        <v>0</v>
      </c>
      <c r="CH341" s="316">
        <v>0</v>
      </c>
      <c r="CI341" s="316">
        <v>0</v>
      </c>
      <c r="CJ341" s="316">
        <v>0</v>
      </c>
      <c r="CK341" s="316">
        <v>0</v>
      </c>
      <c r="CL341" s="316">
        <v>0</v>
      </c>
      <c r="CM341" s="316">
        <v>0</v>
      </c>
      <c r="CN341" s="316">
        <v>0</v>
      </c>
      <c r="CO341" s="316">
        <v>0</v>
      </c>
      <c r="CP341" s="318">
        <v>0</v>
      </c>
      <c r="CQ341" s="316">
        <v>0</v>
      </c>
      <c r="CR341" s="316">
        <v>0</v>
      </c>
      <c r="CS341" s="316">
        <v>0</v>
      </c>
      <c r="CT341" s="316">
        <v>0</v>
      </c>
      <c r="CU341" s="316">
        <v>0</v>
      </c>
      <c r="CV341" s="316">
        <v>0</v>
      </c>
      <c r="CW341" s="316">
        <v>0</v>
      </c>
      <c r="CX341" s="316">
        <v>0</v>
      </c>
      <c r="CY341" s="316">
        <v>0</v>
      </c>
      <c r="CZ341" s="316">
        <v>0</v>
      </c>
      <c r="DA341" s="316">
        <v>0</v>
      </c>
      <c r="DB341" s="1498">
        <v>0</v>
      </c>
      <c r="DC341" s="316">
        <v>0</v>
      </c>
      <c r="DD341" s="316">
        <v>0</v>
      </c>
      <c r="DE341" s="316">
        <v>0</v>
      </c>
      <c r="DF341" s="316">
        <v>0</v>
      </c>
      <c r="DG341" s="316">
        <v>0</v>
      </c>
      <c r="DH341" s="316">
        <v>0</v>
      </c>
      <c r="DI341" s="316">
        <v>0</v>
      </c>
      <c r="DJ341" s="316">
        <v>0</v>
      </c>
      <c r="DK341" s="316">
        <v>0</v>
      </c>
      <c r="DL341" s="316">
        <v>0</v>
      </c>
      <c r="DM341" s="316">
        <v>0</v>
      </c>
      <c r="DN341" s="318">
        <v>0</v>
      </c>
      <c r="DO341" s="316">
        <v>0</v>
      </c>
      <c r="DP341" s="316">
        <v>0</v>
      </c>
      <c r="DQ341" s="316">
        <v>0</v>
      </c>
      <c r="DR341" s="316">
        <v>0</v>
      </c>
      <c r="DS341" s="316">
        <v>0</v>
      </c>
      <c r="DT341" s="316">
        <v>0</v>
      </c>
      <c r="DU341" s="316">
        <v>0</v>
      </c>
      <c r="DV341" s="316">
        <v>0</v>
      </c>
      <c r="DW341" s="316">
        <v>0</v>
      </c>
      <c r="DX341" s="316">
        <v>0</v>
      </c>
      <c r="DY341" s="316">
        <v>0</v>
      </c>
      <c r="DZ341" s="318">
        <v>0</v>
      </c>
      <c r="EA341" s="316">
        <v>0</v>
      </c>
      <c r="EB341" s="316">
        <v>0</v>
      </c>
      <c r="EC341" s="316">
        <v>0</v>
      </c>
      <c r="ED341" s="316">
        <v>0</v>
      </c>
      <c r="EE341" s="316">
        <v>0</v>
      </c>
      <c r="EF341" s="316">
        <v>0</v>
      </c>
      <c r="EG341" s="316">
        <v>0</v>
      </c>
      <c r="EH341" s="316">
        <v>0</v>
      </c>
      <c r="EI341" s="316">
        <v>0</v>
      </c>
      <c r="EJ341" s="316">
        <v>0</v>
      </c>
      <c r="EK341" s="316">
        <v>0</v>
      </c>
      <c r="EL341" s="318">
        <v>0</v>
      </c>
      <c r="EM341" s="316">
        <v>0</v>
      </c>
      <c r="EN341" s="316">
        <v>0</v>
      </c>
      <c r="EO341" s="316">
        <v>0</v>
      </c>
      <c r="EP341" s="316">
        <v>0</v>
      </c>
      <c r="EQ341" s="316">
        <v>0</v>
      </c>
      <c r="ER341" s="316">
        <v>0</v>
      </c>
      <c r="ES341" s="316">
        <v>0</v>
      </c>
      <c r="ET341" s="316">
        <v>0</v>
      </c>
      <c r="EU341" s="316">
        <v>0</v>
      </c>
      <c r="EV341" s="316">
        <v>0</v>
      </c>
      <c r="EW341" s="316">
        <v>0</v>
      </c>
      <c r="EX341" s="318">
        <v>0</v>
      </c>
      <c r="EY341" s="316">
        <v>0</v>
      </c>
      <c r="EZ341" s="316">
        <v>0</v>
      </c>
      <c r="FA341" s="316">
        <v>0</v>
      </c>
      <c r="FB341" s="316">
        <v>0</v>
      </c>
      <c r="FC341" s="316">
        <v>0</v>
      </c>
      <c r="FD341" s="316">
        <v>0</v>
      </c>
      <c r="FE341" s="316">
        <v>0</v>
      </c>
      <c r="FF341" s="316">
        <v>0</v>
      </c>
      <c r="FG341" s="316">
        <v>0</v>
      </c>
      <c r="FH341" s="316">
        <v>0</v>
      </c>
      <c r="FI341" s="316">
        <v>0</v>
      </c>
      <c r="FJ341" s="318">
        <v>0</v>
      </c>
      <c r="FK341" s="316">
        <v>0</v>
      </c>
      <c r="FL341" s="316">
        <v>0</v>
      </c>
      <c r="FM341" s="316">
        <v>0</v>
      </c>
      <c r="FN341" s="316">
        <v>0</v>
      </c>
      <c r="FO341" s="316">
        <v>0</v>
      </c>
      <c r="FP341" s="316">
        <v>0</v>
      </c>
      <c r="FQ341" s="316">
        <v>0</v>
      </c>
      <c r="FR341" s="316">
        <v>0</v>
      </c>
      <c r="FS341" s="316">
        <v>0</v>
      </c>
      <c r="FT341" s="316">
        <v>0</v>
      </c>
      <c r="FU341" s="316">
        <v>0</v>
      </c>
      <c r="FV341" s="316">
        <v>0</v>
      </c>
      <c r="FW341" s="316">
        <v>0.53613413799999998</v>
      </c>
      <c r="FX341" s="316">
        <v>0.24760492100000001</v>
      </c>
      <c r="FY341" s="316">
        <v>0.66690695</v>
      </c>
      <c r="FZ341" s="316">
        <v>0.74134770900000002</v>
      </c>
      <c r="GA341" s="316">
        <v>0.60745584500000005</v>
      </c>
      <c r="GB341" s="316">
        <v>0.56379494799999996</v>
      </c>
      <c r="GC341" s="316">
        <v>0.82179414100000003</v>
      </c>
      <c r="GD341" s="316">
        <v>0.64907314299999996</v>
      </c>
      <c r="GE341" s="316">
        <v>0.77483250599999998</v>
      </c>
      <c r="GF341" s="316">
        <v>4.5120376289999999</v>
      </c>
      <c r="GG341" s="316">
        <v>0.992725529</v>
      </c>
      <c r="GH341" s="316">
        <v>0.88970608500000004</v>
      </c>
      <c r="GI341" s="316">
        <v>0</v>
      </c>
      <c r="GJ341" s="316">
        <v>0</v>
      </c>
      <c r="GK341" s="316">
        <v>0</v>
      </c>
      <c r="GL341" s="316">
        <v>0</v>
      </c>
      <c r="GM341" s="316">
        <v>0</v>
      </c>
      <c r="GN341" s="316">
        <v>0</v>
      </c>
      <c r="GO341" s="316">
        <v>0</v>
      </c>
      <c r="GP341" s="316">
        <v>0</v>
      </c>
      <c r="GQ341" s="316">
        <v>0</v>
      </c>
      <c r="GR341" s="316">
        <v>0</v>
      </c>
      <c r="GS341" s="316">
        <v>0</v>
      </c>
      <c r="GT341" s="316">
        <v>0</v>
      </c>
      <c r="GU341" s="316">
        <v>0.61806958547062929</v>
      </c>
      <c r="GV341" s="316">
        <v>0.39520106500000002</v>
      </c>
      <c r="GW341" s="316">
        <v>4.3836005238156017E-3</v>
      </c>
      <c r="GX341" s="316">
        <v>0</v>
      </c>
      <c r="GY341" s="316">
        <v>3.9982533000000001E-2</v>
      </c>
      <c r="GZ341" s="316">
        <v>0.124424428</v>
      </c>
      <c r="HA341" s="316">
        <v>0.13311120700000001</v>
      </c>
      <c r="HB341" s="316">
        <v>7.1928829999999997E-3</v>
      </c>
      <c r="HC341" s="316">
        <v>2.0180885999999999E-2</v>
      </c>
      <c r="HD341" s="316">
        <v>3.6171157000000002E-2</v>
      </c>
      <c r="HE341" s="316">
        <v>3.1690498999999997E-2</v>
      </c>
      <c r="HF341" s="316">
        <v>3.7292060000000001E-3</v>
      </c>
      <c r="HG341" s="316">
        <v>0.17776224299999999</v>
      </c>
      <c r="HH341" s="316">
        <v>0.48459601899999999</v>
      </c>
      <c r="HI341" s="316">
        <v>0.13822342900000001</v>
      </c>
      <c r="HJ341" s="316">
        <v>8.8446110000000005E-3</v>
      </c>
      <c r="HK341" s="316">
        <v>0.436889837</v>
      </c>
      <c r="HL341" s="316">
        <v>1.230767E-3</v>
      </c>
      <c r="HM341" s="316"/>
      <c r="KH341" s="303"/>
    </row>
    <row r="342" spans="1:294" outlineLevel="1">
      <c r="A342" s="117" t="s">
        <v>422</v>
      </c>
      <c r="B342" s="117" t="s">
        <v>361</v>
      </c>
      <c r="D342" s="343" t="s">
        <v>519</v>
      </c>
      <c r="E342" s="316"/>
      <c r="F342" s="316"/>
      <c r="G342" s="316"/>
      <c r="H342" s="316"/>
      <c r="I342" s="316"/>
      <c r="J342" s="316"/>
      <c r="K342" s="316"/>
      <c r="L342" s="316"/>
      <c r="M342" s="316"/>
      <c r="N342" s="316"/>
      <c r="O342" s="316"/>
      <c r="P342" s="316"/>
      <c r="Q342" s="316"/>
      <c r="R342" s="316"/>
      <c r="S342" s="316"/>
      <c r="T342" s="316"/>
      <c r="U342" s="316"/>
      <c r="V342" s="316"/>
      <c r="W342" s="316"/>
      <c r="X342" s="316"/>
      <c r="Y342" s="316"/>
      <c r="Z342" s="316"/>
      <c r="AA342" s="316"/>
      <c r="AB342" s="316"/>
      <c r="AC342" s="316"/>
      <c r="AD342" s="316"/>
      <c r="AE342" s="316"/>
      <c r="AF342" s="316"/>
      <c r="AG342" s="316"/>
      <c r="AH342" s="316"/>
      <c r="AI342" s="316"/>
      <c r="AJ342" s="316"/>
      <c r="AK342" s="316"/>
      <c r="AL342" s="316"/>
      <c r="AM342" s="316"/>
      <c r="AN342" s="316"/>
      <c r="AO342" s="316"/>
      <c r="AP342" s="316"/>
      <c r="AQ342" s="316"/>
      <c r="AR342" s="316"/>
      <c r="AS342" s="316"/>
      <c r="AT342" s="316"/>
      <c r="AU342" s="316"/>
      <c r="AV342" s="316"/>
      <c r="AW342" s="316"/>
      <c r="AX342" s="316"/>
      <c r="AY342" s="316"/>
      <c r="AZ342" s="316"/>
      <c r="BA342" s="316"/>
      <c r="BB342" s="316"/>
      <c r="BC342" s="316"/>
      <c r="BD342" s="316"/>
      <c r="BE342" s="316"/>
      <c r="BF342" s="316"/>
      <c r="BG342" s="316"/>
      <c r="BH342" s="316"/>
      <c r="BI342" s="316"/>
      <c r="BJ342" s="316"/>
      <c r="BK342" s="316"/>
      <c r="BL342" s="316"/>
      <c r="BM342" s="316"/>
      <c r="BN342" s="316"/>
      <c r="BO342" s="316"/>
      <c r="BP342" s="316"/>
      <c r="BQ342" s="316"/>
      <c r="BR342" s="316"/>
      <c r="BS342" s="316"/>
      <c r="BT342" s="316"/>
      <c r="BU342" s="316"/>
      <c r="BV342" s="316"/>
      <c r="BW342" s="316"/>
      <c r="BX342" s="316"/>
      <c r="BY342" s="316"/>
      <c r="BZ342" s="316"/>
      <c r="CA342" s="316"/>
      <c r="CB342" s="316"/>
      <c r="CC342" s="316"/>
      <c r="CD342" s="316"/>
      <c r="CE342" s="317">
        <v>3.7939490010000001</v>
      </c>
      <c r="CF342" s="316">
        <v>3.6849063950000001</v>
      </c>
      <c r="CG342" s="316">
        <v>4.2298009200000006</v>
      </c>
      <c r="CH342" s="316">
        <v>4.7960771339999999</v>
      </c>
      <c r="CI342" s="316">
        <v>4.4440132929999994</v>
      </c>
      <c r="CJ342" s="316">
        <v>4.6901386550000002</v>
      </c>
      <c r="CK342" s="316">
        <v>5.1187349449999999</v>
      </c>
      <c r="CL342" s="316">
        <v>4.5187200610000007</v>
      </c>
      <c r="CM342" s="316">
        <v>4.7120015899999999</v>
      </c>
      <c r="CN342" s="316">
        <v>4.5289465480000004</v>
      </c>
      <c r="CO342" s="316">
        <v>5.0770140540000002</v>
      </c>
      <c r="CP342" s="318">
        <v>6.5780947249999997</v>
      </c>
      <c r="CQ342" s="316">
        <v>4.5260695740000001</v>
      </c>
      <c r="CR342" s="316">
        <v>4.4296167329999996</v>
      </c>
      <c r="CS342" s="316">
        <v>5.1189771039999998</v>
      </c>
      <c r="CT342" s="316">
        <v>4.653692693</v>
      </c>
      <c r="CU342" s="316">
        <v>5.2470855609999996</v>
      </c>
      <c r="CV342" s="316">
        <v>5.120880852</v>
      </c>
      <c r="CW342" s="316">
        <v>5.8398687669999996</v>
      </c>
      <c r="CX342" s="316">
        <v>5.2255585289999997</v>
      </c>
      <c r="CY342" s="316">
        <v>5.4515260190000001</v>
      </c>
      <c r="CZ342" s="316">
        <v>5.5418820239999995</v>
      </c>
      <c r="DA342" s="316">
        <v>6.403867397</v>
      </c>
      <c r="DB342" s="1498">
        <v>6.7253262319999996</v>
      </c>
      <c r="DC342" s="316">
        <v>4.717518391219099</v>
      </c>
      <c r="DD342" s="316">
        <v>5.0071018254349102</v>
      </c>
      <c r="DE342" s="316">
        <v>5.8552444317066703</v>
      </c>
      <c r="DF342" s="316">
        <v>6.2349773763509688</v>
      </c>
      <c r="DG342" s="316">
        <v>6.6207631803169766</v>
      </c>
      <c r="DH342" s="316">
        <v>6.4818232372852265</v>
      </c>
      <c r="DI342" s="316">
        <v>6.1764333713555928</v>
      </c>
      <c r="DJ342" s="316">
        <v>6.7243387316349805</v>
      </c>
      <c r="DK342" s="316">
        <v>6.6414733698364117</v>
      </c>
      <c r="DL342" s="316">
        <v>6.4436331890574552</v>
      </c>
      <c r="DM342" s="316">
        <v>7.3935269252555615</v>
      </c>
      <c r="DN342" s="318">
        <v>7.5153159330142207</v>
      </c>
      <c r="DO342" s="316">
        <v>5.8731630538802673</v>
      </c>
      <c r="DP342" s="316">
        <v>6.8078431655664318</v>
      </c>
      <c r="DQ342" s="316">
        <v>6.4688609146038862</v>
      </c>
      <c r="DR342" s="316">
        <v>5.6332750131440354</v>
      </c>
      <c r="DS342" s="316">
        <v>6.2808248521408157</v>
      </c>
      <c r="DT342" s="316">
        <v>6.9785687391861932</v>
      </c>
      <c r="DU342" s="316">
        <v>6.4535900326504123</v>
      </c>
      <c r="DV342" s="316">
        <v>6.1697360451144787</v>
      </c>
      <c r="DW342" s="316">
        <v>7.4766078562602099</v>
      </c>
      <c r="DX342" s="316">
        <v>6.3795661551859313</v>
      </c>
      <c r="DY342" s="316">
        <v>8.3772605749685294</v>
      </c>
      <c r="DZ342" s="318">
        <v>7.7605591533426193</v>
      </c>
      <c r="EA342" s="316">
        <v>6.1493475067648262</v>
      </c>
      <c r="EB342" s="316">
        <v>6.2040950000465163</v>
      </c>
      <c r="EC342" s="316">
        <v>6.9022639913784412</v>
      </c>
      <c r="ED342" s="316">
        <v>7.5065225584641651</v>
      </c>
      <c r="EE342" s="316">
        <v>6.7874645516201646</v>
      </c>
      <c r="EF342" s="316">
        <v>8.0890839007437059</v>
      </c>
      <c r="EG342" s="316">
        <v>7.8174915835055865</v>
      </c>
      <c r="EH342" s="316">
        <v>6.1129786020533592</v>
      </c>
      <c r="EI342" s="316">
        <v>7.2803985792543404</v>
      </c>
      <c r="EJ342" s="316">
        <v>6.1156640965712405</v>
      </c>
      <c r="EK342" s="316">
        <v>7.357798925689039</v>
      </c>
      <c r="EL342" s="318">
        <v>7.2199111359018326</v>
      </c>
      <c r="EM342" s="316">
        <v>8.0683065989999996</v>
      </c>
      <c r="EN342" s="316">
        <v>9.4906773229999999</v>
      </c>
      <c r="EO342" s="316">
        <v>7.7190137740000004</v>
      </c>
      <c r="EP342" s="316">
        <v>8.2399675400000003</v>
      </c>
      <c r="EQ342" s="316">
        <v>9.2015794169999996</v>
      </c>
      <c r="ER342" s="316">
        <v>10.894658637999999</v>
      </c>
      <c r="ES342" s="316">
        <v>10.052058144</v>
      </c>
      <c r="ET342" s="316">
        <v>9.3441168450000003</v>
      </c>
      <c r="EU342" s="316">
        <v>8.8959362710000001</v>
      </c>
      <c r="EV342" s="316">
        <v>10.422192985000001</v>
      </c>
      <c r="EW342" s="316">
        <v>10.007485909</v>
      </c>
      <c r="EX342" s="318">
        <v>9.4093752990000006</v>
      </c>
      <c r="EY342" s="316">
        <v>10.398021448</v>
      </c>
      <c r="EZ342" s="316">
        <v>11.89994688</v>
      </c>
      <c r="FA342" s="316">
        <v>8.7815171400000001</v>
      </c>
      <c r="FB342" s="316">
        <v>10.001424850999999</v>
      </c>
      <c r="FC342" s="316">
        <v>10.763715027610001</v>
      </c>
      <c r="FD342" s="316">
        <v>12.073045403479998</v>
      </c>
      <c r="FE342" s="316">
        <v>10.227735416700002</v>
      </c>
      <c r="FF342" s="316">
        <v>9.8075142343100001</v>
      </c>
      <c r="FG342" s="316">
        <v>10.532080037709999</v>
      </c>
      <c r="FH342" s="316">
        <v>5.8022008460200007</v>
      </c>
      <c r="FI342" s="316">
        <v>7.48305267899</v>
      </c>
      <c r="FJ342" s="318">
        <v>9.5112301575600018</v>
      </c>
      <c r="FK342" s="316">
        <v>9.296074136864517</v>
      </c>
      <c r="FL342" s="316">
        <v>10.65239108676109</v>
      </c>
      <c r="FM342" s="316">
        <v>10.976699959915249</v>
      </c>
      <c r="FN342" s="316">
        <v>12.10266366517248</v>
      </c>
      <c r="FO342" s="316">
        <v>10.558175669872419</v>
      </c>
      <c r="FP342" s="316">
        <v>11.37814121478068</v>
      </c>
      <c r="FQ342" s="316">
        <v>7.8399095164019643</v>
      </c>
      <c r="FR342" s="316">
        <v>9.0972629761733455</v>
      </c>
      <c r="FS342" s="316">
        <v>10.726625780432572</v>
      </c>
      <c r="FT342" s="316">
        <v>10.399853175586575</v>
      </c>
      <c r="FU342" s="316">
        <v>9.4452242049853279</v>
      </c>
      <c r="FV342" s="316">
        <v>11.269758498964924</v>
      </c>
      <c r="FW342" s="316">
        <v>9.4821284252321298</v>
      </c>
      <c r="FX342" s="316">
        <v>10.045892009600527</v>
      </c>
      <c r="FY342" s="316">
        <v>10.423432988996325</v>
      </c>
      <c r="FZ342" s="316">
        <v>10.200461923450804</v>
      </c>
      <c r="GA342" s="316">
        <v>10.529149483587618</v>
      </c>
      <c r="GB342" s="316">
        <v>12.424799576764602</v>
      </c>
      <c r="GC342" s="316">
        <v>9.3675806430179698</v>
      </c>
      <c r="GD342" s="316">
        <v>10.436896168783601</v>
      </c>
      <c r="GE342" s="316">
        <v>11.12648420926465</v>
      </c>
      <c r="GF342" s="316">
        <v>11.180707859421489</v>
      </c>
      <c r="GG342" s="316">
        <v>12.441656344522334</v>
      </c>
      <c r="GH342" s="316">
        <v>15.360749506889384</v>
      </c>
      <c r="GI342" s="316">
        <v>16.38637118794</v>
      </c>
      <c r="GJ342" s="316">
        <v>18.870421394480001</v>
      </c>
      <c r="GK342" s="316">
        <v>17.922437522620001</v>
      </c>
      <c r="GL342" s="316">
        <v>15.91175706177</v>
      </c>
      <c r="GM342" s="316">
        <v>17.6898592149</v>
      </c>
      <c r="GN342" s="316">
        <v>17.845496401392008</v>
      </c>
      <c r="GO342" s="316">
        <v>17.28448116675051</v>
      </c>
      <c r="GP342" s="316">
        <v>17.937385359725457</v>
      </c>
      <c r="GQ342" s="316">
        <v>18.388605268396716</v>
      </c>
      <c r="GR342" s="316">
        <v>14.653189289850001</v>
      </c>
      <c r="GS342" s="316">
        <v>19.5043521843</v>
      </c>
      <c r="GT342" s="316">
        <v>19.236271389540001</v>
      </c>
      <c r="GU342" s="316">
        <v>16.109238721179999</v>
      </c>
      <c r="GV342" s="316">
        <v>16.080309593607428</v>
      </c>
      <c r="GW342" s="316">
        <v>15.752290386280876</v>
      </c>
      <c r="GX342" s="316">
        <v>14.5539997201</v>
      </c>
      <c r="GY342" s="316">
        <v>14.038801213699999</v>
      </c>
      <c r="GZ342" s="316">
        <v>15.968614914</v>
      </c>
      <c r="HA342" s="316">
        <v>16.682865285489999</v>
      </c>
      <c r="HB342" s="316">
        <v>14.36316860374</v>
      </c>
      <c r="HC342" s="316">
        <v>15.680942144125849</v>
      </c>
      <c r="HD342" s="316">
        <v>15.896774606989998</v>
      </c>
      <c r="HE342" s="316">
        <v>18.334208299580002</v>
      </c>
      <c r="HF342" s="316">
        <v>21.025106816680001</v>
      </c>
      <c r="HG342" s="316">
        <v>18.810523006650005</v>
      </c>
      <c r="HH342" s="316">
        <v>21.599772738509998</v>
      </c>
      <c r="HI342" s="316">
        <v>18.723085021669998</v>
      </c>
      <c r="HJ342" s="316">
        <v>20.84783622094</v>
      </c>
      <c r="HK342" s="316">
        <v>19.475042627266152</v>
      </c>
      <c r="HL342" s="316">
        <v>25.6619671952839</v>
      </c>
      <c r="HM342" s="316"/>
      <c r="KH342" s="303"/>
    </row>
    <row r="343" spans="1:294" outlineLevel="1">
      <c r="A343" s="117" t="s">
        <v>422</v>
      </c>
      <c r="B343" s="117" t="s">
        <v>361</v>
      </c>
      <c r="D343" s="344" t="s">
        <v>520</v>
      </c>
      <c r="E343" s="316"/>
      <c r="F343" s="316"/>
      <c r="G343" s="316"/>
      <c r="H343" s="316"/>
      <c r="I343" s="316"/>
      <c r="J343" s="316"/>
      <c r="K343" s="316"/>
      <c r="L343" s="316"/>
      <c r="M343" s="316"/>
      <c r="N343" s="316"/>
      <c r="O343" s="316"/>
      <c r="P343" s="316"/>
      <c r="Q343" s="316"/>
      <c r="R343" s="316"/>
      <c r="S343" s="316"/>
      <c r="T343" s="316"/>
      <c r="U343" s="316"/>
      <c r="V343" s="316"/>
      <c r="W343" s="316"/>
      <c r="X343" s="316"/>
      <c r="Y343" s="316"/>
      <c r="Z343" s="316"/>
      <c r="AA343" s="316"/>
      <c r="AB343" s="316"/>
      <c r="AC343" s="316"/>
      <c r="AD343" s="316"/>
      <c r="AE343" s="316"/>
      <c r="AF343" s="316"/>
      <c r="AG343" s="316"/>
      <c r="AH343" s="316"/>
      <c r="AI343" s="316"/>
      <c r="AJ343" s="316"/>
      <c r="AK343" s="316"/>
      <c r="AL343" s="316"/>
      <c r="AM343" s="316"/>
      <c r="AN343" s="316"/>
      <c r="AO343" s="316"/>
      <c r="AP343" s="316"/>
      <c r="AQ343" s="316"/>
      <c r="AR343" s="316"/>
      <c r="AS343" s="316"/>
      <c r="AT343" s="316"/>
      <c r="AU343" s="316"/>
      <c r="AV343" s="316"/>
      <c r="AW343" s="316"/>
      <c r="AX343" s="316"/>
      <c r="AY343" s="316"/>
      <c r="AZ343" s="316"/>
      <c r="BA343" s="316"/>
      <c r="BB343" s="316"/>
      <c r="BC343" s="316"/>
      <c r="BD343" s="316"/>
      <c r="BE343" s="316"/>
      <c r="BF343" s="316"/>
      <c r="BG343" s="316"/>
      <c r="BH343" s="316"/>
      <c r="BI343" s="316"/>
      <c r="BJ343" s="316"/>
      <c r="BK343" s="316"/>
      <c r="BL343" s="316"/>
      <c r="BM343" s="316"/>
      <c r="BN343" s="316"/>
      <c r="BO343" s="316"/>
      <c r="BP343" s="316"/>
      <c r="BQ343" s="316"/>
      <c r="BR343" s="316"/>
      <c r="BS343" s="316"/>
      <c r="BT343" s="316"/>
      <c r="BU343" s="316"/>
      <c r="BV343" s="316"/>
      <c r="BW343" s="316"/>
      <c r="BX343" s="316"/>
      <c r="BY343" s="316"/>
      <c r="BZ343" s="316"/>
      <c r="CA343" s="316"/>
      <c r="CB343" s="316"/>
      <c r="CC343" s="316"/>
      <c r="CD343" s="316"/>
      <c r="CE343" s="317">
        <v>3.7649300010000002</v>
      </c>
      <c r="CF343" s="316">
        <v>3.654463367</v>
      </c>
      <c r="CG343" s="316">
        <v>4.2003979640000004</v>
      </c>
      <c r="CH343" s="316">
        <v>4.7701381339999998</v>
      </c>
      <c r="CI343" s="316">
        <v>4.4225586779999997</v>
      </c>
      <c r="CJ343" s="316">
        <v>4.662408235</v>
      </c>
      <c r="CK343" s="316">
        <v>5.0886850260000003</v>
      </c>
      <c r="CL343" s="316">
        <v>4.4849622350000002</v>
      </c>
      <c r="CM343" s="316">
        <v>4.6669248640000003</v>
      </c>
      <c r="CN343" s="316">
        <v>4.4794063450000001</v>
      </c>
      <c r="CO343" s="316">
        <v>5.0232119920000002</v>
      </c>
      <c r="CP343" s="318">
        <v>4.5355961279999999</v>
      </c>
      <c r="CQ343" s="316">
        <v>4.4336139489999997</v>
      </c>
      <c r="CR343" s="316">
        <v>4.37160057</v>
      </c>
      <c r="CS343" s="316">
        <v>5.0647123540000001</v>
      </c>
      <c r="CT343" s="316">
        <v>4.6030556569999996</v>
      </c>
      <c r="CU343" s="316">
        <v>5.190752088</v>
      </c>
      <c r="CV343" s="316">
        <v>5.0590093649999996</v>
      </c>
      <c r="CW343" s="316">
        <v>5.779398284</v>
      </c>
      <c r="CX343" s="316">
        <v>5.1601387259999996</v>
      </c>
      <c r="CY343" s="316">
        <v>5.3850232470000003</v>
      </c>
      <c r="CZ343" s="316">
        <v>5.4852656059999996</v>
      </c>
      <c r="DA343" s="316">
        <v>6.3460526159999997</v>
      </c>
      <c r="DB343" s="1498">
        <v>6.6693261149999996</v>
      </c>
      <c r="DC343" s="316">
        <v>4.6211519734745101</v>
      </c>
      <c r="DD343" s="316">
        <v>4.9415221481915275</v>
      </c>
      <c r="DE343" s="316">
        <v>5.7931747312918791</v>
      </c>
      <c r="DF343" s="316">
        <v>6.1671343117798232</v>
      </c>
      <c r="DG343" s="316">
        <v>6.549681704796555</v>
      </c>
      <c r="DH343" s="316">
        <v>6.4035085774146765</v>
      </c>
      <c r="DI343" s="316">
        <v>6.1124778401467887</v>
      </c>
      <c r="DJ343" s="316">
        <v>6.6401554021999516</v>
      </c>
      <c r="DK343" s="316">
        <v>6.5604545160844632</v>
      </c>
      <c r="DL343" s="316">
        <v>6.3778043914593727</v>
      </c>
      <c r="DM343" s="316">
        <v>7.3255949161749987</v>
      </c>
      <c r="DN343" s="318">
        <v>7.4527377684728098</v>
      </c>
      <c r="DO343" s="316">
        <v>5.8731630538802673</v>
      </c>
      <c r="DP343" s="316">
        <v>6.8078431655664318</v>
      </c>
      <c r="DQ343" s="316">
        <v>6.4688609146038862</v>
      </c>
      <c r="DR343" s="316">
        <v>5.6332750131440354</v>
      </c>
      <c r="DS343" s="316">
        <v>6.2808248521408157</v>
      </c>
      <c r="DT343" s="316">
        <v>6.9785687391861932</v>
      </c>
      <c r="DU343" s="316">
        <v>6.4535900326504123</v>
      </c>
      <c r="DV343" s="316">
        <v>6.1666189870583787</v>
      </c>
      <c r="DW343" s="316">
        <v>7.4766078562602099</v>
      </c>
      <c r="DX343" s="316">
        <v>6.3795661551859313</v>
      </c>
      <c r="DY343" s="316">
        <v>8.32572093050379</v>
      </c>
      <c r="DZ343" s="318">
        <v>7.6946739900874261</v>
      </c>
      <c r="EA343" s="316">
        <v>5.9709157452946702</v>
      </c>
      <c r="EB343" s="316">
        <v>6.1930267862607513</v>
      </c>
      <c r="EC343" s="316">
        <v>6.8366706782345226</v>
      </c>
      <c r="ED343" s="316">
        <v>7.3996390542959301</v>
      </c>
      <c r="EE343" s="316">
        <v>6.6481701830412749</v>
      </c>
      <c r="EF343" s="316">
        <v>7.9097141246217415</v>
      </c>
      <c r="EG343" s="316">
        <v>7.7976141556567224</v>
      </c>
      <c r="EH343" s="316">
        <v>6.0899358810040418</v>
      </c>
      <c r="EI343" s="316">
        <v>7.2599918001110302</v>
      </c>
      <c r="EJ343" s="316">
        <v>6.09850100077443</v>
      </c>
      <c r="EK343" s="316">
        <v>7.3423507888719568</v>
      </c>
      <c r="EL343" s="318">
        <v>7.1986020821000141</v>
      </c>
      <c r="EM343" s="316">
        <v>8.0683065989999996</v>
      </c>
      <c r="EN343" s="316">
        <v>9.4906773229999999</v>
      </c>
      <c r="EO343" s="316">
        <v>7.7190137740000004</v>
      </c>
      <c r="EP343" s="316">
        <v>8.2399675400000003</v>
      </c>
      <c r="EQ343" s="316">
        <v>9.2015794169999996</v>
      </c>
      <c r="ER343" s="316">
        <v>10.894658637999999</v>
      </c>
      <c r="ES343" s="316">
        <v>10.052058144</v>
      </c>
      <c r="ET343" s="316">
        <v>9.3441168450000003</v>
      </c>
      <c r="EU343" s="316">
        <v>8.8959362710000001</v>
      </c>
      <c r="EV343" s="316">
        <v>10.422192985000001</v>
      </c>
      <c r="EW343" s="316">
        <v>10.007485909</v>
      </c>
      <c r="EX343" s="318">
        <v>9.4093752990000006</v>
      </c>
      <c r="EY343" s="316">
        <v>10.390131737999999</v>
      </c>
      <c r="EZ343" s="316">
        <v>11.890927289</v>
      </c>
      <c r="FA343" s="316">
        <v>8.7742525570000005</v>
      </c>
      <c r="FB343" s="316">
        <v>9.9941077699999994</v>
      </c>
      <c r="FC343" s="316">
        <v>10.75621766461</v>
      </c>
      <c r="FD343" s="316">
        <v>12.063946789479999</v>
      </c>
      <c r="FE343" s="316">
        <v>10.217109155700001</v>
      </c>
      <c r="FF343" s="316">
        <v>9.7985069233100006</v>
      </c>
      <c r="FG343" s="316">
        <v>10.521560971709999</v>
      </c>
      <c r="FH343" s="316">
        <v>5.7948877540200003</v>
      </c>
      <c r="FI343" s="316">
        <v>7.4764164659899999</v>
      </c>
      <c r="FJ343" s="318">
        <v>9.4979612185600022</v>
      </c>
      <c r="FK343" s="316">
        <v>9.2834013466618099</v>
      </c>
      <c r="FL343" s="316">
        <v>10.647164430312086</v>
      </c>
      <c r="FM343" s="316">
        <v>10.974569157896138</v>
      </c>
      <c r="FN343" s="316">
        <v>12.099828045799677</v>
      </c>
      <c r="FO343" s="316">
        <v>10.556424125698003</v>
      </c>
      <c r="FP343" s="316">
        <v>11.376889681862176</v>
      </c>
      <c r="FQ343" s="316">
        <v>7.8387063296804564</v>
      </c>
      <c r="FR343" s="316">
        <v>9.0959619742715212</v>
      </c>
      <c r="FS343" s="316">
        <v>10.724988879002872</v>
      </c>
      <c r="FT343" s="316">
        <v>10.397643512870836</v>
      </c>
      <c r="FU343" s="316">
        <v>9.4421136143409647</v>
      </c>
      <c r="FV343" s="316">
        <v>11.266880211771658</v>
      </c>
      <c r="FW343" s="316">
        <v>9.4809287640814972</v>
      </c>
      <c r="FX343" s="316">
        <v>10.044828791337999</v>
      </c>
      <c r="FY343" s="316">
        <v>10.422652361827392</v>
      </c>
      <c r="FZ343" s="316">
        <v>10.199248105446308</v>
      </c>
      <c r="GA343" s="316">
        <v>10.527990284408517</v>
      </c>
      <c r="GB343" s="316">
        <v>12.42368400400418</v>
      </c>
      <c r="GC343" s="316">
        <v>9.3664109229519799</v>
      </c>
      <c r="GD343" s="316">
        <v>10.436108789197581</v>
      </c>
      <c r="GE343" s="316">
        <v>11.125297359105671</v>
      </c>
      <c r="GF343" s="316">
        <v>11.180707859421489</v>
      </c>
      <c r="GG343" s="316">
        <v>12.441656344522334</v>
      </c>
      <c r="GH343" s="316">
        <v>15.360749506889384</v>
      </c>
      <c r="GI343" s="316">
        <v>16.38637118794</v>
      </c>
      <c r="GJ343" s="316">
        <v>18.870421394480001</v>
      </c>
      <c r="GK343" s="316">
        <v>17.902703465620004</v>
      </c>
      <c r="GL343" s="316">
        <v>15.911751761770001</v>
      </c>
      <c r="GM343" s="316">
        <v>17.6898592149</v>
      </c>
      <c r="GN343" s="316">
        <v>17.845496401392008</v>
      </c>
      <c r="GO343" s="316">
        <v>17.272801511078217</v>
      </c>
      <c r="GP343" s="316">
        <v>17.937385359725457</v>
      </c>
      <c r="GQ343" s="316">
        <v>18.388551817730875</v>
      </c>
      <c r="GR343" s="316">
        <v>14.653189289850001</v>
      </c>
      <c r="GS343" s="316">
        <v>19.5043521843</v>
      </c>
      <c r="GT343" s="316">
        <v>19.236271389540001</v>
      </c>
      <c r="GU343" s="316">
        <v>16.09821875718</v>
      </c>
      <c r="GV343" s="316">
        <v>16.080309593607428</v>
      </c>
      <c r="GW343" s="316">
        <v>15.752290386280876</v>
      </c>
      <c r="GX343" s="316">
        <v>14.5539440301</v>
      </c>
      <c r="GY343" s="316">
        <v>14.0387825207</v>
      </c>
      <c r="GZ343" s="316">
        <v>15.96860227</v>
      </c>
      <c r="HA343" s="316">
        <v>16.682865285489999</v>
      </c>
      <c r="HB343" s="316">
        <v>14.36313648374</v>
      </c>
      <c r="HC343" s="316">
        <v>15.680938436036636</v>
      </c>
      <c r="HD343" s="316">
        <v>15.896748486989999</v>
      </c>
      <c r="HE343" s="316">
        <v>18.334208299580002</v>
      </c>
      <c r="HF343" s="316">
        <v>21.025106816680001</v>
      </c>
      <c r="HG343" s="316">
        <v>18.628259372650003</v>
      </c>
      <c r="HH343" s="316">
        <v>21.175846789509997</v>
      </c>
      <c r="HI343" s="316">
        <v>18.10141797767</v>
      </c>
      <c r="HJ343" s="316">
        <v>20.43742023994</v>
      </c>
      <c r="HK343" s="316">
        <v>17.264602129266152</v>
      </c>
      <c r="HL343" s="316">
        <v>21.178159089283902</v>
      </c>
      <c r="HM343" s="316"/>
      <c r="KH343" s="303"/>
    </row>
    <row r="344" spans="1:294" outlineLevel="1">
      <c r="A344" s="117" t="s">
        <v>422</v>
      </c>
      <c r="B344" s="117" t="s">
        <v>361</v>
      </c>
      <c r="D344" s="344" t="s">
        <v>521</v>
      </c>
      <c r="E344" s="316"/>
      <c r="F344" s="316"/>
      <c r="G344" s="316"/>
      <c r="H344" s="316"/>
      <c r="I344" s="316"/>
      <c r="J344" s="316"/>
      <c r="K344" s="316"/>
      <c r="L344" s="316"/>
      <c r="M344" s="316"/>
      <c r="N344" s="316"/>
      <c r="O344" s="316"/>
      <c r="P344" s="316"/>
      <c r="Q344" s="316"/>
      <c r="R344" s="316"/>
      <c r="S344" s="316"/>
      <c r="T344" s="316"/>
      <c r="U344" s="316"/>
      <c r="V344" s="316"/>
      <c r="W344" s="316"/>
      <c r="X344" s="316"/>
      <c r="Y344" s="316"/>
      <c r="Z344" s="316"/>
      <c r="AA344" s="316"/>
      <c r="AB344" s="316"/>
      <c r="AC344" s="316"/>
      <c r="AD344" s="316"/>
      <c r="AE344" s="316"/>
      <c r="AF344" s="316"/>
      <c r="AG344" s="316"/>
      <c r="AH344" s="316"/>
      <c r="AI344" s="316"/>
      <c r="AJ344" s="316"/>
      <c r="AK344" s="316"/>
      <c r="AL344" s="316"/>
      <c r="AM344" s="316"/>
      <c r="AN344" s="316"/>
      <c r="AO344" s="316"/>
      <c r="AP344" s="316"/>
      <c r="AQ344" s="316"/>
      <c r="AR344" s="316"/>
      <c r="AS344" s="316"/>
      <c r="AT344" s="316"/>
      <c r="AU344" s="316"/>
      <c r="AV344" s="316"/>
      <c r="AW344" s="316"/>
      <c r="AX344" s="316"/>
      <c r="AY344" s="316"/>
      <c r="AZ344" s="316"/>
      <c r="BA344" s="316"/>
      <c r="BB344" s="316"/>
      <c r="BC344" s="316"/>
      <c r="BD344" s="316"/>
      <c r="BE344" s="316"/>
      <c r="BF344" s="316"/>
      <c r="BG344" s="316"/>
      <c r="BH344" s="316"/>
      <c r="BI344" s="316"/>
      <c r="BJ344" s="316"/>
      <c r="BK344" s="316"/>
      <c r="BL344" s="316"/>
      <c r="BM344" s="316"/>
      <c r="BN344" s="316"/>
      <c r="BO344" s="316"/>
      <c r="BP344" s="316"/>
      <c r="BQ344" s="316"/>
      <c r="BR344" s="316"/>
      <c r="BS344" s="316"/>
      <c r="BT344" s="316"/>
      <c r="BU344" s="316"/>
      <c r="BV344" s="316"/>
      <c r="BW344" s="316"/>
      <c r="BX344" s="316"/>
      <c r="BY344" s="316"/>
      <c r="BZ344" s="316"/>
      <c r="CA344" s="316"/>
      <c r="CB344" s="316"/>
      <c r="CC344" s="316"/>
      <c r="CD344" s="316"/>
      <c r="CE344" s="317">
        <v>0</v>
      </c>
      <c r="CF344" s="316">
        <v>0</v>
      </c>
      <c r="CG344" s="316">
        <v>0</v>
      </c>
      <c r="CH344" s="316">
        <v>0</v>
      </c>
      <c r="CI344" s="316">
        <v>0</v>
      </c>
      <c r="CJ344" s="316">
        <v>0</v>
      </c>
      <c r="CK344" s="316">
        <v>0</v>
      </c>
      <c r="CL344" s="316">
        <v>0</v>
      </c>
      <c r="CM344" s="316">
        <v>0</v>
      </c>
      <c r="CN344" s="316">
        <v>0</v>
      </c>
      <c r="CO344" s="316">
        <v>0</v>
      </c>
      <c r="CP344" s="318">
        <v>0</v>
      </c>
      <c r="CQ344" s="316">
        <v>0</v>
      </c>
      <c r="CR344" s="316">
        <v>0</v>
      </c>
      <c r="CS344" s="316">
        <v>0</v>
      </c>
      <c r="CT344" s="316">
        <v>0</v>
      </c>
      <c r="CU344" s="316">
        <v>0</v>
      </c>
      <c r="CV344" s="316">
        <v>0</v>
      </c>
      <c r="CW344" s="316">
        <v>0</v>
      </c>
      <c r="CX344" s="316">
        <v>0</v>
      </c>
      <c r="CY344" s="316">
        <v>0</v>
      </c>
      <c r="CZ344" s="316">
        <v>0</v>
      </c>
      <c r="DA344" s="316">
        <v>0</v>
      </c>
      <c r="DB344" s="1498">
        <v>0</v>
      </c>
      <c r="DC344" s="316">
        <v>0</v>
      </c>
      <c r="DD344" s="316">
        <v>0</v>
      </c>
      <c r="DE344" s="316">
        <v>0</v>
      </c>
      <c r="DF344" s="316">
        <v>0</v>
      </c>
      <c r="DG344" s="316">
        <v>0</v>
      </c>
      <c r="DH344" s="316">
        <v>0</v>
      </c>
      <c r="DI344" s="316">
        <v>0</v>
      </c>
      <c r="DJ344" s="316">
        <v>0</v>
      </c>
      <c r="DK344" s="316">
        <v>0</v>
      </c>
      <c r="DL344" s="316">
        <v>0</v>
      </c>
      <c r="DM344" s="316">
        <v>0</v>
      </c>
      <c r="DN344" s="318">
        <v>0</v>
      </c>
      <c r="DO344" s="316">
        <v>0</v>
      </c>
      <c r="DP344" s="316">
        <v>0</v>
      </c>
      <c r="DQ344" s="316">
        <v>0</v>
      </c>
      <c r="DR344" s="316">
        <v>0</v>
      </c>
      <c r="DS344" s="316">
        <v>0</v>
      </c>
      <c r="DT344" s="316">
        <v>0</v>
      </c>
      <c r="DU344" s="316">
        <v>0</v>
      </c>
      <c r="DV344" s="316">
        <v>0</v>
      </c>
      <c r="DW344" s="316">
        <v>0</v>
      </c>
      <c r="DX344" s="316">
        <v>0</v>
      </c>
      <c r="DY344" s="316">
        <v>0</v>
      </c>
      <c r="DZ344" s="318">
        <v>0</v>
      </c>
      <c r="EA344" s="316">
        <v>0</v>
      </c>
      <c r="EB344" s="316">
        <v>0</v>
      </c>
      <c r="EC344" s="316">
        <v>0</v>
      </c>
      <c r="ED344" s="316">
        <v>0</v>
      </c>
      <c r="EE344" s="316">
        <v>0</v>
      </c>
      <c r="EF344" s="316">
        <v>0</v>
      </c>
      <c r="EG344" s="316">
        <v>0</v>
      </c>
      <c r="EH344" s="316">
        <v>0</v>
      </c>
      <c r="EI344" s="316">
        <v>0</v>
      </c>
      <c r="EJ344" s="316">
        <v>0</v>
      </c>
      <c r="EK344" s="316">
        <v>0</v>
      </c>
      <c r="EL344" s="318">
        <v>0</v>
      </c>
      <c r="EM344" s="316">
        <v>0</v>
      </c>
      <c r="EN344" s="316">
        <v>0</v>
      </c>
      <c r="EO344" s="316">
        <v>0</v>
      </c>
      <c r="EP344" s="316">
        <v>0</v>
      </c>
      <c r="EQ344" s="316">
        <v>0</v>
      </c>
      <c r="ER344" s="316">
        <v>0</v>
      </c>
      <c r="ES344" s="316">
        <v>0</v>
      </c>
      <c r="ET344" s="316">
        <v>0</v>
      </c>
      <c r="EU344" s="316">
        <v>0</v>
      </c>
      <c r="EV344" s="316">
        <v>0</v>
      </c>
      <c r="EW344" s="316">
        <v>0</v>
      </c>
      <c r="EX344" s="318">
        <v>0</v>
      </c>
      <c r="EY344" s="316">
        <v>7.8897099999999994E-3</v>
      </c>
      <c r="EZ344" s="316">
        <v>9.0195910000000004E-3</v>
      </c>
      <c r="FA344" s="316">
        <v>7.2645829999999998E-3</v>
      </c>
      <c r="FB344" s="316">
        <v>7.3170809999999996E-3</v>
      </c>
      <c r="FC344" s="316">
        <v>7.4973629999999999E-3</v>
      </c>
      <c r="FD344" s="316">
        <v>9.0986139999999997E-3</v>
      </c>
      <c r="FE344" s="316">
        <v>1.0626261E-2</v>
      </c>
      <c r="FF344" s="316">
        <v>9.0073110000000005E-3</v>
      </c>
      <c r="FG344" s="316">
        <v>1.0519066000000001E-2</v>
      </c>
      <c r="FH344" s="316">
        <v>7.3130920000000002E-3</v>
      </c>
      <c r="FI344" s="316">
        <v>6.6362130000000002E-3</v>
      </c>
      <c r="FJ344" s="318">
        <v>1.3268939E-2</v>
      </c>
      <c r="FK344" s="316">
        <v>1.2672790202706292E-2</v>
      </c>
      <c r="FL344" s="316">
        <v>5.2266564490041443E-3</v>
      </c>
      <c r="FM344" s="316">
        <v>2.130802019112327E-3</v>
      </c>
      <c r="FN344" s="316">
        <v>2.8356193728027528E-3</v>
      </c>
      <c r="FO344" s="316">
        <v>1.7515441744158345E-3</v>
      </c>
      <c r="FP344" s="316">
        <v>1.2515329185041437E-3</v>
      </c>
      <c r="FQ344" s="316">
        <v>1.2031867215080677E-3</v>
      </c>
      <c r="FR344" s="316">
        <v>1.3010019018243793E-3</v>
      </c>
      <c r="FS344" s="316">
        <v>1.6369014297009372E-3</v>
      </c>
      <c r="FT344" s="316">
        <v>2.2096627157388712E-3</v>
      </c>
      <c r="FU344" s="316">
        <v>3.1105906443623559E-3</v>
      </c>
      <c r="FV344" s="316">
        <v>2.8782871932655487E-3</v>
      </c>
      <c r="FW344" s="316">
        <v>1.1996611506319809E-3</v>
      </c>
      <c r="FX344" s="316">
        <v>1.0632182625275946E-3</v>
      </c>
      <c r="FY344" s="316">
        <v>7.8062716893183607E-4</v>
      </c>
      <c r="FZ344" s="316">
        <v>1.2138180044963423E-3</v>
      </c>
      <c r="GA344" s="316">
        <v>1.1591991791016049E-3</v>
      </c>
      <c r="GB344" s="316">
        <v>1.1155727604234284E-3</v>
      </c>
      <c r="GC344" s="316">
        <v>1.1697200659900116E-3</v>
      </c>
      <c r="GD344" s="316">
        <v>7.8737958602049032E-4</v>
      </c>
      <c r="GE344" s="316">
        <v>1.186850158978668E-3</v>
      </c>
      <c r="GF344" s="316">
        <v>0</v>
      </c>
      <c r="GG344" s="316">
        <v>0</v>
      </c>
      <c r="GH344" s="316">
        <v>0</v>
      </c>
      <c r="GI344" s="316">
        <v>0</v>
      </c>
      <c r="GJ344" s="316">
        <v>0</v>
      </c>
      <c r="GK344" s="316">
        <v>0</v>
      </c>
      <c r="GL344" s="316">
        <v>0</v>
      </c>
      <c r="GM344" s="316">
        <v>0</v>
      </c>
      <c r="GN344" s="316">
        <v>0</v>
      </c>
      <c r="GO344" s="316">
        <v>0</v>
      </c>
      <c r="GP344" s="316">
        <v>0</v>
      </c>
      <c r="GQ344" s="316">
        <v>0</v>
      </c>
      <c r="GR344" s="316">
        <v>0</v>
      </c>
      <c r="GS344" s="316">
        <v>0</v>
      </c>
      <c r="GT344" s="316">
        <v>0</v>
      </c>
      <c r="GU344" s="316">
        <v>1.1019964E-2</v>
      </c>
      <c r="GV344" s="316">
        <v>0</v>
      </c>
      <c r="GW344" s="316">
        <v>0</v>
      </c>
      <c r="GX344" s="316">
        <v>5.5689999999999997E-5</v>
      </c>
      <c r="GY344" s="316">
        <v>1.8692999999999999E-5</v>
      </c>
      <c r="GZ344" s="316">
        <v>1.2644E-5</v>
      </c>
      <c r="HA344" s="316">
        <v>0</v>
      </c>
      <c r="HB344" s="316">
        <v>3.2119999999999997E-5</v>
      </c>
      <c r="HC344" s="316">
        <v>3.7080892141609686E-6</v>
      </c>
      <c r="HD344" s="316">
        <v>2.6120000000000001E-5</v>
      </c>
      <c r="HE344" s="316">
        <v>0</v>
      </c>
      <c r="HF344" s="316">
        <v>0</v>
      </c>
      <c r="HG344" s="316">
        <v>0.18226363400000001</v>
      </c>
      <c r="HH344" s="316">
        <v>0.42392594900000002</v>
      </c>
      <c r="HI344" s="316">
        <v>0.62166704399999995</v>
      </c>
      <c r="HJ344" s="316">
        <v>0.41041598099999999</v>
      </c>
      <c r="HK344" s="316">
        <v>2.2104404980000001</v>
      </c>
      <c r="HL344" s="316">
        <v>4.4838081059999997</v>
      </c>
      <c r="HM344" s="316"/>
      <c r="KH344" s="303"/>
    </row>
    <row r="345" spans="1:294" outlineLevel="1">
      <c r="A345" s="117" t="s">
        <v>422</v>
      </c>
      <c r="B345" s="117" t="s">
        <v>361</v>
      </c>
      <c r="D345" s="344" t="s">
        <v>522</v>
      </c>
      <c r="E345" s="316"/>
      <c r="F345" s="316"/>
      <c r="G345" s="316"/>
      <c r="H345" s="316"/>
      <c r="I345" s="316"/>
      <c r="J345" s="316"/>
      <c r="K345" s="316"/>
      <c r="L345" s="316"/>
      <c r="M345" s="316"/>
      <c r="N345" s="316"/>
      <c r="O345" s="316"/>
      <c r="P345" s="316"/>
      <c r="Q345" s="316"/>
      <c r="R345" s="316"/>
      <c r="S345" s="316"/>
      <c r="T345" s="316"/>
      <c r="U345" s="316"/>
      <c r="V345" s="316"/>
      <c r="W345" s="316"/>
      <c r="X345" s="316"/>
      <c r="Y345" s="316"/>
      <c r="Z345" s="316"/>
      <c r="AA345" s="316"/>
      <c r="AB345" s="316"/>
      <c r="AC345" s="316"/>
      <c r="AD345" s="316"/>
      <c r="AE345" s="316"/>
      <c r="AF345" s="316"/>
      <c r="AG345" s="316"/>
      <c r="AH345" s="316"/>
      <c r="AI345" s="316"/>
      <c r="AJ345" s="316"/>
      <c r="AK345" s="316"/>
      <c r="AL345" s="316"/>
      <c r="AM345" s="316"/>
      <c r="AN345" s="316"/>
      <c r="AO345" s="316"/>
      <c r="AP345" s="316"/>
      <c r="AQ345" s="316"/>
      <c r="AR345" s="316"/>
      <c r="AS345" s="316"/>
      <c r="AT345" s="316"/>
      <c r="AU345" s="316"/>
      <c r="AV345" s="316"/>
      <c r="AW345" s="316"/>
      <c r="AX345" s="316"/>
      <c r="AY345" s="316"/>
      <c r="AZ345" s="316"/>
      <c r="BA345" s="316"/>
      <c r="BB345" s="316"/>
      <c r="BC345" s="316"/>
      <c r="BD345" s="316"/>
      <c r="BE345" s="316"/>
      <c r="BF345" s="316"/>
      <c r="BG345" s="316"/>
      <c r="BH345" s="316"/>
      <c r="BI345" s="316"/>
      <c r="BJ345" s="316"/>
      <c r="BK345" s="316"/>
      <c r="BL345" s="316"/>
      <c r="BM345" s="316"/>
      <c r="BN345" s="316"/>
      <c r="BO345" s="316"/>
      <c r="BP345" s="316"/>
      <c r="BQ345" s="316"/>
      <c r="BR345" s="316"/>
      <c r="BS345" s="316"/>
      <c r="BT345" s="316"/>
      <c r="BU345" s="316"/>
      <c r="BV345" s="316"/>
      <c r="BW345" s="316"/>
      <c r="BX345" s="316"/>
      <c r="BY345" s="316"/>
      <c r="BZ345" s="316"/>
      <c r="CA345" s="316"/>
      <c r="CB345" s="316"/>
      <c r="CC345" s="316"/>
      <c r="CD345" s="316"/>
      <c r="CE345" s="317">
        <v>0</v>
      </c>
      <c r="CF345" s="316">
        <v>0</v>
      </c>
      <c r="CG345" s="316">
        <v>0</v>
      </c>
      <c r="CH345" s="316">
        <v>0</v>
      </c>
      <c r="CI345" s="316">
        <v>0</v>
      </c>
      <c r="CJ345" s="316">
        <v>0</v>
      </c>
      <c r="CK345" s="316">
        <v>0</v>
      </c>
      <c r="CL345" s="316">
        <v>0</v>
      </c>
      <c r="CM345" s="316">
        <v>0</v>
      </c>
      <c r="CN345" s="316">
        <v>0</v>
      </c>
      <c r="CO345" s="316">
        <v>0</v>
      </c>
      <c r="CP345" s="318">
        <v>0</v>
      </c>
      <c r="CQ345" s="316">
        <v>0</v>
      </c>
      <c r="CR345" s="316">
        <v>0</v>
      </c>
      <c r="CS345" s="316">
        <v>0</v>
      </c>
      <c r="CT345" s="316">
        <v>0</v>
      </c>
      <c r="CU345" s="316">
        <v>0</v>
      </c>
      <c r="CV345" s="316">
        <v>0</v>
      </c>
      <c r="CW345" s="316">
        <v>0</v>
      </c>
      <c r="CX345" s="316">
        <v>0</v>
      </c>
      <c r="CY345" s="316">
        <v>0</v>
      </c>
      <c r="CZ345" s="316">
        <v>0</v>
      </c>
      <c r="DA345" s="316">
        <v>0</v>
      </c>
      <c r="DB345" s="1498">
        <v>0</v>
      </c>
      <c r="DC345" s="316">
        <v>0</v>
      </c>
      <c r="DD345" s="316">
        <v>0</v>
      </c>
      <c r="DE345" s="316">
        <v>0</v>
      </c>
      <c r="DF345" s="316">
        <v>0</v>
      </c>
      <c r="DG345" s="316">
        <v>0</v>
      </c>
      <c r="DH345" s="316">
        <v>0</v>
      </c>
      <c r="DI345" s="316">
        <v>0</v>
      </c>
      <c r="DJ345" s="316">
        <v>0</v>
      </c>
      <c r="DK345" s="316">
        <v>0</v>
      </c>
      <c r="DL345" s="316">
        <v>0</v>
      </c>
      <c r="DM345" s="316">
        <v>0</v>
      </c>
      <c r="DN345" s="318">
        <v>0</v>
      </c>
      <c r="DO345" s="316">
        <v>0</v>
      </c>
      <c r="DP345" s="316">
        <v>0</v>
      </c>
      <c r="DQ345" s="316">
        <v>0</v>
      </c>
      <c r="DR345" s="316">
        <v>0</v>
      </c>
      <c r="DS345" s="316">
        <v>0</v>
      </c>
      <c r="DT345" s="316">
        <v>0</v>
      </c>
      <c r="DU345" s="316">
        <v>0</v>
      </c>
      <c r="DV345" s="316">
        <v>0</v>
      </c>
      <c r="DW345" s="316">
        <v>0</v>
      </c>
      <c r="DX345" s="316">
        <v>0</v>
      </c>
      <c r="DY345" s="316">
        <v>0</v>
      </c>
      <c r="DZ345" s="318">
        <v>0</v>
      </c>
      <c r="EA345" s="316">
        <v>0</v>
      </c>
      <c r="EB345" s="316">
        <v>0</v>
      </c>
      <c r="EC345" s="316">
        <v>0</v>
      </c>
      <c r="ED345" s="316">
        <v>0</v>
      </c>
      <c r="EE345" s="316">
        <v>0</v>
      </c>
      <c r="EF345" s="316">
        <v>0</v>
      </c>
      <c r="EG345" s="316">
        <v>0</v>
      </c>
      <c r="EH345" s="316">
        <v>0</v>
      </c>
      <c r="EI345" s="316">
        <v>0</v>
      </c>
      <c r="EJ345" s="316">
        <v>0</v>
      </c>
      <c r="EK345" s="316">
        <v>0</v>
      </c>
      <c r="EL345" s="318">
        <v>0</v>
      </c>
      <c r="EM345" s="316">
        <v>0</v>
      </c>
      <c r="EN345" s="316">
        <v>0</v>
      </c>
      <c r="EO345" s="316">
        <v>0</v>
      </c>
      <c r="EP345" s="316">
        <v>0</v>
      </c>
      <c r="EQ345" s="316">
        <v>0</v>
      </c>
      <c r="ER345" s="316">
        <v>0</v>
      </c>
      <c r="ES345" s="316">
        <v>0</v>
      </c>
      <c r="ET345" s="316">
        <v>0</v>
      </c>
      <c r="EU345" s="316">
        <v>0</v>
      </c>
      <c r="EV345" s="316">
        <v>0</v>
      </c>
      <c r="EW345" s="316">
        <v>0</v>
      </c>
      <c r="EX345" s="318">
        <v>0</v>
      </c>
      <c r="EY345" s="316">
        <v>0</v>
      </c>
      <c r="EZ345" s="316">
        <v>0</v>
      </c>
      <c r="FA345" s="316">
        <v>0</v>
      </c>
      <c r="FB345" s="316">
        <v>0</v>
      </c>
      <c r="FC345" s="316">
        <v>0</v>
      </c>
      <c r="FD345" s="316">
        <v>0</v>
      </c>
      <c r="FE345" s="316">
        <v>0</v>
      </c>
      <c r="FF345" s="316">
        <v>0</v>
      </c>
      <c r="FG345" s="316">
        <v>0</v>
      </c>
      <c r="FH345" s="316">
        <v>0</v>
      </c>
      <c r="FI345" s="316">
        <v>0</v>
      </c>
      <c r="FJ345" s="318">
        <v>0</v>
      </c>
      <c r="FK345" s="316">
        <v>0</v>
      </c>
      <c r="FL345" s="316">
        <v>0</v>
      </c>
      <c r="FM345" s="316">
        <v>0</v>
      </c>
      <c r="FN345" s="316">
        <v>0</v>
      </c>
      <c r="FO345" s="316">
        <v>0</v>
      </c>
      <c r="FP345" s="316">
        <v>0</v>
      </c>
      <c r="FQ345" s="316">
        <v>0</v>
      </c>
      <c r="FR345" s="316">
        <v>0</v>
      </c>
      <c r="FS345" s="316">
        <v>0</v>
      </c>
      <c r="FT345" s="316">
        <v>0</v>
      </c>
      <c r="FU345" s="316">
        <v>0</v>
      </c>
      <c r="FV345" s="316">
        <v>0</v>
      </c>
      <c r="FW345" s="316">
        <v>0</v>
      </c>
      <c r="FX345" s="316">
        <v>0</v>
      </c>
      <c r="FY345" s="316">
        <v>0</v>
      </c>
      <c r="FZ345" s="316">
        <v>0</v>
      </c>
      <c r="GA345" s="316">
        <v>0</v>
      </c>
      <c r="GB345" s="316">
        <v>0</v>
      </c>
      <c r="GC345" s="316">
        <v>0</v>
      </c>
      <c r="GD345" s="316">
        <v>0</v>
      </c>
      <c r="GE345" s="316">
        <v>0</v>
      </c>
      <c r="GF345" s="316">
        <v>0</v>
      </c>
      <c r="GG345" s="316">
        <v>0</v>
      </c>
      <c r="GH345" s="316">
        <v>0</v>
      </c>
      <c r="GI345" s="316">
        <v>0</v>
      </c>
      <c r="GJ345" s="316">
        <v>0</v>
      </c>
      <c r="GK345" s="316">
        <v>0</v>
      </c>
      <c r="GL345" s="316">
        <v>0</v>
      </c>
      <c r="GM345" s="316">
        <v>0</v>
      </c>
      <c r="GN345" s="316">
        <v>0</v>
      </c>
      <c r="GO345" s="316">
        <v>0</v>
      </c>
      <c r="GP345" s="316">
        <v>0</v>
      </c>
      <c r="GQ345" s="316">
        <v>0</v>
      </c>
      <c r="GR345" s="316">
        <v>0</v>
      </c>
      <c r="GS345" s="316">
        <v>0</v>
      </c>
      <c r="GT345" s="316">
        <v>0</v>
      </c>
      <c r="GU345" s="316">
        <v>0</v>
      </c>
      <c r="GV345" s="316">
        <v>0</v>
      </c>
      <c r="GW345" s="316">
        <v>0</v>
      </c>
      <c r="GX345" s="316">
        <v>0</v>
      </c>
      <c r="GY345" s="316">
        <v>0</v>
      </c>
      <c r="GZ345" s="316">
        <v>0</v>
      </c>
      <c r="HA345" s="316">
        <v>0</v>
      </c>
      <c r="HB345" s="316">
        <v>0</v>
      </c>
      <c r="HC345" s="316">
        <v>0</v>
      </c>
      <c r="HD345" s="316">
        <v>0</v>
      </c>
      <c r="HE345" s="316">
        <v>0</v>
      </c>
      <c r="HF345" s="316">
        <v>0</v>
      </c>
      <c r="HG345" s="316">
        <v>0</v>
      </c>
      <c r="HH345" s="316">
        <v>0</v>
      </c>
      <c r="HI345" s="316">
        <v>0</v>
      </c>
      <c r="HJ345" s="316">
        <v>0</v>
      </c>
      <c r="HK345" s="316">
        <v>0</v>
      </c>
      <c r="HL345" s="316">
        <v>0</v>
      </c>
      <c r="HM345" s="316"/>
      <c r="KH345" s="303"/>
    </row>
    <row r="346" spans="1:294" outlineLevel="1">
      <c r="A346" s="117" t="s">
        <v>422</v>
      </c>
      <c r="B346" s="117" t="s">
        <v>361</v>
      </c>
      <c r="D346" s="344" t="s">
        <v>523</v>
      </c>
      <c r="E346" s="316"/>
      <c r="F346" s="316"/>
      <c r="G346" s="316"/>
      <c r="H346" s="316"/>
      <c r="I346" s="316"/>
      <c r="J346" s="316"/>
      <c r="K346" s="316"/>
      <c r="L346" s="316"/>
      <c r="M346" s="316"/>
      <c r="N346" s="316"/>
      <c r="O346" s="316"/>
      <c r="P346" s="316"/>
      <c r="Q346" s="316"/>
      <c r="R346" s="316"/>
      <c r="S346" s="316"/>
      <c r="T346" s="316"/>
      <c r="U346" s="316"/>
      <c r="V346" s="316"/>
      <c r="W346" s="316"/>
      <c r="X346" s="316"/>
      <c r="Y346" s="316"/>
      <c r="Z346" s="316"/>
      <c r="AA346" s="316"/>
      <c r="AB346" s="316"/>
      <c r="AC346" s="316"/>
      <c r="AD346" s="316"/>
      <c r="AE346" s="316"/>
      <c r="AF346" s="316"/>
      <c r="AG346" s="316"/>
      <c r="AH346" s="316"/>
      <c r="AI346" s="316"/>
      <c r="AJ346" s="316"/>
      <c r="AK346" s="316"/>
      <c r="AL346" s="316"/>
      <c r="AM346" s="316"/>
      <c r="AN346" s="316"/>
      <c r="AO346" s="316"/>
      <c r="AP346" s="316"/>
      <c r="AQ346" s="316"/>
      <c r="AR346" s="316"/>
      <c r="AS346" s="316"/>
      <c r="AT346" s="316"/>
      <c r="AU346" s="316"/>
      <c r="AV346" s="316"/>
      <c r="AW346" s="316"/>
      <c r="AX346" s="316"/>
      <c r="AY346" s="316"/>
      <c r="AZ346" s="316"/>
      <c r="BA346" s="316"/>
      <c r="BB346" s="316"/>
      <c r="BC346" s="316"/>
      <c r="BD346" s="316"/>
      <c r="BE346" s="316"/>
      <c r="BF346" s="316"/>
      <c r="BG346" s="316"/>
      <c r="BH346" s="316"/>
      <c r="BI346" s="316"/>
      <c r="BJ346" s="316"/>
      <c r="BK346" s="316"/>
      <c r="BL346" s="316"/>
      <c r="BM346" s="316"/>
      <c r="BN346" s="316"/>
      <c r="BO346" s="316"/>
      <c r="BP346" s="316"/>
      <c r="BQ346" s="316"/>
      <c r="BR346" s="316"/>
      <c r="BS346" s="316"/>
      <c r="BT346" s="316"/>
      <c r="BU346" s="316"/>
      <c r="BV346" s="316"/>
      <c r="BW346" s="316"/>
      <c r="BX346" s="316"/>
      <c r="BY346" s="316"/>
      <c r="BZ346" s="316"/>
      <c r="CA346" s="316"/>
      <c r="CB346" s="316"/>
      <c r="CC346" s="316"/>
      <c r="CD346" s="316"/>
      <c r="CE346" s="317">
        <v>0</v>
      </c>
      <c r="CF346" s="316">
        <v>0</v>
      </c>
      <c r="CG346" s="316">
        <v>0</v>
      </c>
      <c r="CH346" s="316">
        <v>0</v>
      </c>
      <c r="CI346" s="316">
        <v>0</v>
      </c>
      <c r="CJ346" s="316">
        <v>0</v>
      </c>
      <c r="CK346" s="316">
        <v>0</v>
      </c>
      <c r="CL346" s="316">
        <v>0</v>
      </c>
      <c r="CM346" s="316">
        <v>0</v>
      </c>
      <c r="CN346" s="316">
        <v>0</v>
      </c>
      <c r="CO346" s="316">
        <v>0</v>
      </c>
      <c r="CP346" s="318">
        <v>0</v>
      </c>
      <c r="CQ346" s="316">
        <v>0</v>
      </c>
      <c r="CR346" s="316">
        <v>0</v>
      </c>
      <c r="CS346" s="316">
        <v>0</v>
      </c>
      <c r="CT346" s="316">
        <v>0</v>
      </c>
      <c r="CU346" s="316">
        <v>0</v>
      </c>
      <c r="CV346" s="316">
        <v>0</v>
      </c>
      <c r="CW346" s="316">
        <v>0</v>
      </c>
      <c r="CX346" s="316">
        <v>0</v>
      </c>
      <c r="CY346" s="316">
        <v>0</v>
      </c>
      <c r="CZ346" s="316">
        <v>0</v>
      </c>
      <c r="DA346" s="316">
        <v>0</v>
      </c>
      <c r="DB346" s="1498">
        <v>0</v>
      </c>
      <c r="DC346" s="316">
        <v>0</v>
      </c>
      <c r="DD346" s="316">
        <v>0</v>
      </c>
      <c r="DE346" s="316">
        <v>0</v>
      </c>
      <c r="DF346" s="316">
        <v>0</v>
      </c>
      <c r="DG346" s="316">
        <v>0</v>
      </c>
      <c r="DH346" s="316">
        <v>0</v>
      </c>
      <c r="DI346" s="316">
        <v>0</v>
      </c>
      <c r="DJ346" s="316">
        <v>0</v>
      </c>
      <c r="DK346" s="316">
        <v>0</v>
      </c>
      <c r="DL346" s="316">
        <v>0</v>
      </c>
      <c r="DM346" s="316">
        <v>0</v>
      </c>
      <c r="DN346" s="318">
        <v>0</v>
      </c>
      <c r="DO346" s="316">
        <v>0</v>
      </c>
      <c r="DP346" s="316">
        <v>0</v>
      </c>
      <c r="DQ346" s="316">
        <v>0</v>
      </c>
      <c r="DR346" s="316">
        <v>0</v>
      </c>
      <c r="DS346" s="316">
        <v>0</v>
      </c>
      <c r="DT346" s="316">
        <v>0</v>
      </c>
      <c r="DU346" s="316">
        <v>0</v>
      </c>
      <c r="DV346" s="316">
        <v>0</v>
      </c>
      <c r="DW346" s="316">
        <v>0</v>
      </c>
      <c r="DX346" s="316">
        <v>0</v>
      </c>
      <c r="DY346" s="316">
        <v>0</v>
      </c>
      <c r="DZ346" s="318">
        <v>0</v>
      </c>
      <c r="EA346" s="316">
        <v>0</v>
      </c>
      <c r="EB346" s="316">
        <v>0</v>
      </c>
      <c r="EC346" s="316">
        <v>0</v>
      </c>
      <c r="ED346" s="316">
        <v>0</v>
      </c>
      <c r="EE346" s="316">
        <v>0</v>
      </c>
      <c r="EF346" s="316">
        <v>0</v>
      </c>
      <c r="EG346" s="316">
        <v>0</v>
      </c>
      <c r="EH346" s="316">
        <v>0</v>
      </c>
      <c r="EI346" s="316">
        <v>0</v>
      </c>
      <c r="EJ346" s="316">
        <v>0</v>
      </c>
      <c r="EK346" s="316">
        <v>0</v>
      </c>
      <c r="EL346" s="318">
        <v>0</v>
      </c>
      <c r="EM346" s="316">
        <v>0</v>
      </c>
      <c r="EN346" s="316">
        <v>0</v>
      </c>
      <c r="EO346" s="316">
        <v>0</v>
      </c>
      <c r="EP346" s="316">
        <v>0</v>
      </c>
      <c r="EQ346" s="316">
        <v>0</v>
      </c>
      <c r="ER346" s="316">
        <v>0</v>
      </c>
      <c r="ES346" s="316">
        <v>0</v>
      </c>
      <c r="ET346" s="316">
        <v>0</v>
      </c>
      <c r="EU346" s="316">
        <v>0</v>
      </c>
      <c r="EV346" s="316">
        <v>0</v>
      </c>
      <c r="EW346" s="316">
        <v>0</v>
      </c>
      <c r="EX346" s="318">
        <v>0</v>
      </c>
      <c r="EY346" s="316">
        <v>0</v>
      </c>
      <c r="EZ346" s="316">
        <v>0</v>
      </c>
      <c r="FA346" s="316">
        <v>0</v>
      </c>
      <c r="FB346" s="316">
        <v>0</v>
      </c>
      <c r="FC346" s="316">
        <v>0</v>
      </c>
      <c r="FD346" s="316">
        <v>0</v>
      </c>
      <c r="FE346" s="316">
        <v>0</v>
      </c>
      <c r="FF346" s="316">
        <v>0</v>
      </c>
      <c r="FG346" s="316">
        <v>0</v>
      </c>
      <c r="FH346" s="316">
        <v>0</v>
      </c>
      <c r="FI346" s="316">
        <v>0</v>
      </c>
      <c r="FJ346" s="318">
        <v>0</v>
      </c>
      <c r="FK346" s="316">
        <v>0</v>
      </c>
      <c r="FL346" s="316">
        <v>0</v>
      </c>
      <c r="FM346" s="316">
        <v>0</v>
      </c>
      <c r="FN346" s="316">
        <v>0</v>
      </c>
      <c r="FO346" s="316">
        <v>0</v>
      </c>
      <c r="FP346" s="316">
        <v>0</v>
      </c>
      <c r="FQ346" s="316">
        <v>0</v>
      </c>
      <c r="FR346" s="316">
        <v>0</v>
      </c>
      <c r="FS346" s="316">
        <v>0</v>
      </c>
      <c r="FT346" s="316">
        <v>0</v>
      </c>
      <c r="FU346" s="316">
        <v>0</v>
      </c>
      <c r="FV346" s="316">
        <v>0</v>
      </c>
      <c r="FW346" s="316">
        <v>0</v>
      </c>
      <c r="FX346" s="316">
        <v>0</v>
      </c>
      <c r="FY346" s="316">
        <v>0</v>
      </c>
      <c r="FZ346" s="316">
        <v>0</v>
      </c>
      <c r="GA346" s="316">
        <v>0</v>
      </c>
      <c r="GB346" s="316">
        <v>0</v>
      </c>
      <c r="GC346" s="316">
        <v>0</v>
      </c>
      <c r="GD346" s="316">
        <v>0</v>
      </c>
      <c r="GE346" s="316">
        <v>0</v>
      </c>
      <c r="GF346" s="316">
        <v>0</v>
      </c>
      <c r="GG346" s="316">
        <v>0</v>
      </c>
      <c r="GH346" s="316">
        <v>0</v>
      </c>
      <c r="GI346" s="316">
        <v>0</v>
      </c>
      <c r="GJ346" s="316">
        <v>0</v>
      </c>
      <c r="GK346" s="316">
        <v>0</v>
      </c>
      <c r="GL346" s="316">
        <v>0</v>
      </c>
      <c r="GM346" s="316">
        <v>0</v>
      </c>
      <c r="GN346" s="316">
        <v>0</v>
      </c>
      <c r="GO346" s="316">
        <v>0</v>
      </c>
      <c r="GP346" s="316">
        <v>0</v>
      </c>
      <c r="GQ346" s="316">
        <v>0</v>
      </c>
      <c r="GR346" s="316">
        <v>0</v>
      </c>
      <c r="GS346" s="316">
        <v>0</v>
      </c>
      <c r="GT346" s="316">
        <v>0</v>
      </c>
      <c r="GU346" s="316">
        <v>0</v>
      </c>
      <c r="GV346" s="316">
        <v>0</v>
      </c>
      <c r="GW346" s="316">
        <v>0</v>
      </c>
      <c r="GX346" s="316">
        <v>0</v>
      </c>
      <c r="GY346" s="316">
        <v>0</v>
      </c>
      <c r="GZ346" s="316">
        <v>0</v>
      </c>
      <c r="HA346" s="316">
        <v>0</v>
      </c>
      <c r="HB346" s="316">
        <v>0</v>
      </c>
      <c r="HC346" s="316">
        <v>0</v>
      </c>
      <c r="HD346" s="316">
        <v>0</v>
      </c>
      <c r="HE346" s="316">
        <v>0</v>
      </c>
      <c r="HF346" s="316">
        <v>0</v>
      </c>
      <c r="HG346" s="316">
        <v>0</v>
      </c>
      <c r="HH346" s="316">
        <v>0</v>
      </c>
      <c r="HI346" s="316">
        <v>0</v>
      </c>
      <c r="HJ346" s="316">
        <v>0</v>
      </c>
      <c r="HK346" s="316">
        <v>0</v>
      </c>
      <c r="HL346" s="316">
        <v>0</v>
      </c>
      <c r="HM346" s="316"/>
      <c r="KH346" s="303"/>
    </row>
    <row r="347" spans="1:294" outlineLevel="1">
      <c r="A347" s="117" t="s">
        <v>422</v>
      </c>
      <c r="B347" s="117" t="s">
        <v>361</v>
      </c>
      <c r="D347" s="344" t="s">
        <v>524</v>
      </c>
      <c r="E347" s="316"/>
      <c r="F347" s="316"/>
      <c r="G347" s="316"/>
      <c r="H347" s="316"/>
      <c r="I347" s="316"/>
      <c r="J347" s="316"/>
      <c r="K347" s="316"/>
      <c r="L347" s="316"/>
      <c r="M347" s="316"/>
      <c r="N347" s="316"/>
      <c r="O347" s="316"/>
      <c r="P347" s="316"/>
      <c r="Q347" s="316"/>
      <c r="R347" s="316"/>
      <c r="S347" s="316"/>
      <c r="T347" s="316"/>
      <c r="U347" s="316"/>
      <c r="V347" s="316"/>
      <c r="W347" s="316"/>
      <c r="X347" s="316"/>
      <c r="Y347" s="316"/>
      <c r="Z347" s="316"/>
      <c r="AA347" s="316"/>
      <c r="AB347" s="316"/>
      <c r="AC347" s="316"/>
      <c r="AD347" s="316"/>
      <c r="AE347" s="316"/>
      <c r="AF347" s="316"/>
      <c r="AG347" s="316"/>
      <c r="AH347" s="316"/>
      <c r="AI347" s="316"/>
      <c r="AJ347" s="316"/>
      <c r="AK347" s="316"/>
      <c r="AL347" s="316"/>
      <c r="AM347" s="316"/>
      <c r="AN347" s="316"/>
      <c r="AO347" s="316"/>
      <c r="AP347" s="316"/>
      <c r="AQ347" s="316"/>
      <c r="AR347" s="316"/>
      <c r="AS347" s="316"/>
      <c r="AT347" s="316"/>
      <c r="AU347" s="316"/>
      <c r="AV347" s="316"/>
      <c r="AW347" s="316"/>
      <c r="AX347" s="316"/>
      <c r="AY347" s="316"/>
      <c r="AZ347" s="316"/>
      <c r="BA347" s="316"/>
      <c r="BB347" s="316"/>
      <c r="BC347" s="316"/>
      <c r="BD347" s="316"/>
      <c r="BE347" s="316"/>
      <c r="BF347" s="316"/>
      <c r="BG347" s="316"/>
      <c r="BH347" s="316"/>
      <c r="BI347" s="316"/>
      <c r="BJ347" s="316"/>
      <c r="BK347" s="316"/>
      <c r="BL347" s="316"/>
      <c r="BM347" s="316"/>
      <c r="BN347" s="316"/>
      <c r="BO347" s="316"/>
      <c r="BP347" s="316"/>
      <c r="BQ347" s="316"/>
      <c r="BR347" s="316"/>
      <c r="BS347" s="316"/>
      <c r="BT347" s="316"/>
      <c r="BU347" s="316"/>
      <c r="BV347" s="316"/>
      <c r="BW347" s="316"/>
      <c r="BX347" s="316"/>
      <c r="BY347" s="316"/>
      <c r="BZ347" s="316"/>
      <c r="CA347" s="316"/>
      <c r="CB347" s="316"/>
      <c r="CC347" s="316"/>
      <c r="CD347" s="316"/>
      <c r="CE347" s="317">
        <v>0</v>
      </c>
      <c r="CF347" s="316">
        <v>0</v>
      </c>
      <c r="CG347" s="316">
        <v>0</v>
      </c>
      <c r="CH347" s="316">
        <v>0</v>
      </c>
      <c r="CI347" s="316">
        <v>0</v>
      </c>
      <c r="CJ347" s="316">
        <v>0</v>
      </c>
      <c r="CK347" s="316">
        <v>0</v>
      </c>
      <c r="CL347" s="316">
        <v>0</v>
      </c>
      <c r="CM347" s="316">
        <v>0</v>
      </c>
      <c r="CN347" s="316">
        <v>0</v>
      </c>
      <c r="CO347" s="316">
        <v>0</v>
      </c>
      <c r="CP347" s="318">
        <v>0</v>
      </c>
      <c r="CQ347" s="316">
        <v>0</v>
      </c>
      <c r="CR347" s="316">
        <v>0</v>
      </c>
      <c r="CS347" s="316">
        <v>0</v>
      </c>
      <c r="CT347" s="316">
        <v>0</v>
      </c>
      <c r="CU347" s="316">
        <v>0</v>
      </c>
      <c r="CV347" s="316">
        <v>0</v>
      </c>
      <c r="CW347" s="316">
        <v>0</v>
      </c>
      <c r="CX347" s="316">
        <v>0</v>
      </c>
      <c r="CY347" s="316">
        <v>0</v>
      </c>
      <c r="CZ347" s="316">
        <v>0</v>
      </c>
      <c r="DA347" s="316">
        <v>0</v>
      </c>
      <c r="DB347" s="1498">
        <v>0</v>
      </c>
      <c r="DC347" s="316">
        <v>0</v>
      </c>
      <c r="DD347" s="316">
        <v>0</v>
      </c>
      <c r="DE347" s="316">
        <v>0</v>
      </c>
      <c r="DF347" s="316">
        <v>0</v>
      </c>
      <c r="DG347" s="316">
        <v>0</v>
      </c>
      <c r="DH347" s="316">
        <v>0</v>
      </c>
      <c r="DI347" s="316">
        <v>0</v>
      </c>
      <c r="DJ347" s="316">
        <v>0</v>
      </c>
      <c r="DK347" s="316">
        <v>0</v>
      </c>
      <c r="DL347" s="316">
        <v>0</v>
      </c>
      <c r="DM347" s="316">
        <v>0</v>
      </c>
      <c r="DN347" s="318">
        <v>0</v>
      </c>
      <c r="DO347" s="316">
        <v>0</v>
      </c>
      <c r="DP347" s="316">
        <v>0</v>
      </c>
      <c r="DQ347" s="316">
        <v>0</v>
      </c>
      <c r="DR347" s="316">
        <v>0</v>
      </c>
      <c r="DS347" s="316">
        <v>0</v>
      </c>
      <c r="DT347" s="316">
        <v>0</v>
      </c>
      <c r="DU347" s="316">
        <v>0</v>
      </c>
      <c r="DV347" s="316">
        <v>0</v>
      </c>
      <c r="DW347" s="316">
        <v>0</v>
      </c>
      <c r="DX347" s="316">
        <v>0</v>
      </c>
      <c r="DY347" s="316">
        <v>0</v>
      </c>
      <c r="DZ347" s="318">
        <v>0</v>
      </c>
      <c r="EA347" s="316">
        <v>0</v>
      </c>
      <c r="EB347" s="316">
        <v>0</v>
      </c>
      <c r="EC347" s="316">
        <v>0</v>
      </c>
      <c r="ED347" s="316">
        <v>0</v>
      </c>
      <c r="EE347" s="316">
        <v>0</v>
      </c>
      <c r="EF347" s="316">
        <v>0</v>
      </c>
      <c r="EG347" s="316">
        <v>0</v>
      </c>
      <c r="EH347" s="316">
        <v>0</v>
      </c>
      <c r="EI347" s="316">
        <v>0</v>
      </c>
      <c r="EJ347" s="316">
        <v>0</v>
      </c>
      <c r="EK347" s="316">
        <v>0</v>
      </c>
      <c r="EL347" s="318">
        <v>0</v>
      </c>
      <c r="EM347" s="316">
        <v>0</v>
      </c>
      <c r="EN347" s="316">
        <v>0</v>
      </c>
      <c r="EO347" s="316">
        <v>0</v>
      </c>
      <c r="EP347" s="316">
        <v>0</v>
      </c>
      <c r="EQ347" s="316">
        <v>0</v>
      </c>
      <c r="ER347" s="316">
        <v>0</v>
      </c>
      <c r="ES347" s="316">
        <v>0</v>
      </c>
      <c r="ET347" s="316">
        <v>0</v>
      </c>
      <c r="EU347" s="316">
        <v>0</v>
      </c>
      <c r="EV347" s="316">
        <v>0</v>
      </c>
      <c r="EW347" s="316">
        <v>0</v>
      </c>
      <c r="EX347" s="318">
        <v>0</v>
      </c>
      <c r="EY347" s="316">
        <v>0</v>
      </c>
      <c r="EZ347" s="316">
        <v>0</v>
      </c>
      <c r="FA347" s="316">
        <v>0</v>
      </c>
      <c r="FB347" s="316">
        <v>0</v>
      </c>
      <c r="FC347" s="316">
        <v>0</v>
      </c>
      <c r="FD347" s="316">
        <v>0</v>
      </c>
      <c r="FE347" s="316">
        <v>0</v>
      </c>
      <c r="FF347" s="316">
        <v>0</v>
      </c>
      <c r="FG347" s="316">
        <v>0</v>
      </c>
      <c r="FH347" s="316">
        <v>0</v>
      </c>
      <c r="FI347" s="316">
        <v>0</v>
      </c>
      <c r="FJ347" s="318">
        <v>0</v>
      </c>
      <c r="FK347" s="316">
        <v>0</v>
      </c>
      <c r="FL347" s="316">
        <v>0</v>
      </c>
      <c r="FM347" s="316">
        <v>0</v>
      </c>
      <c r="FN347" s="316">
        <v>0</v>
      </c>
      <c r="FO347" s="316">
        <v>0</v>
      </c>
      <c r="FP347" s="316">
        <v>0</v>
      </c>
      <c r="FQ347" s="316">
        <v>0</v>
      </c>
      <c r="FR347" s="316">
        <v>0</v>
      </c>
      <c r="FS347" s="316">
        <v>0</v>
      </c>
      <c r="FT347" s="316">
        <v>0</v>
      </c>
      <c r="FU347" s="316">
        <v>0</v>
      </c>
      <c r="FV347" s="316">
        <v>0</v>
      </c>
      <c r="FW347" s="316">
        <v>0</v>
      </c>
      <c r="FX347" s="316">
        <v>0</v>
      </c>
      <c r="FY347" s="316">
        <v>0</v>
      </c>
      <c r="FZ347" s="316">
        <v>0</v>
      </c>
      <c r="GA347" s="316">
        <v>0</v>
      </c>
      <c r="GB347" s="316">
        <v>0</v>
      </c>
      <c r="GC347" s="316">
        <v>0</v>
      </c>
      <c r="GD347" s="316">
        <v>0</v>
      </c>
      <c r="GE347" s="316">
        <v>0</v>
      </c>
      <c r="GF347" s="316">
        <v>0</v>
      </c>
      <c r="GG347" s="316">
        <v>0</v>
      </c>
      <c r="GH347" s="316">
        <v>0</v>
      </c>
      <c r="GI347" s="316">
        <v>0</v>
      </c>
      <c r="GJ347" s="316">
        <v>0</v>
      </c>
      <c r="GK347" s="316">
        <v>0</v>
      </c>
      <c r="GL347" s="316">
        <v>0</v>
      </c>
      <c r="GM347" s="316">
        <v>0</v>
      </c>
      <c r="GN347" s="316">
        <v>0</v>
      </c>
      <c r="GO347" s="316">
        <v>0</v>
      </c>
      <c r="GP347" s="316">
        <v>0</v>
      </c>
      <c r="GQ347" s="316">
        <v>0</v>
      </c>
      <c r="GR347" s="316">
        <v>0</v>
      </c>
      <c r="GS347" s="316">
        <v>0</v>
      </c>
      <c r="GT347" s="316">
        <v>0</v>
      </c>
      <c r="GU347" s="316">
        <v>0</v>
      </c>
      <c r="GV347" s="316">
        <v>0</v>
      </c>
      <c r="GW347" s="316">
        <v>0</v>
      </c>
      <c r="GX347" s="316">
        <v>0</v>
      </c>
      <c r="GY347" s="316">
        <v>0</v>
      </c>
      <c r="GZ347" s="316">
        <v>0</v>
      </c>
      <c r="HA347" s="316">
        <v>0</v>
      </c>
      <c r="HB347" s="316">
        <v>0</v>
      </c>
      <c r="HC347" s="316">
        <v>0</v>
      </c>
      <c r="HD347" s="316">
        <v>0</v>
      </c>
      <c r="HE347" s="316">
        <v>0</v>
      </c>
      <c r="HF347" s="316">
        <v>0</v>
      </c>
      <c r="HG347" s="316">
        <v>0</v>
      </c>
      <c r="HH347" s="316">
        <v>0</v>
      </c>
      <c r="HI347" s="316">
        <v>0</v>
      </c>
      <c r="HJ347" s="316">
        <v>0</v>
      </c>
      <c r="HK347" s="316">
        <v>0</v>
      </c>
      <c r="HL347" s="316">
        <v>0</v>
      </c>
      <c r="HM347" s="316"/>
      <c r="KH347" s="303"/>
    </row>
    <row r="348" spans="1:294" outlineLevel="1">
      <c r="A348" s="117" t="s">
        <v>422</v>
      </c>
      <c r="B348" s="117" t="s">
        <v>361</v>
      </c>
      <c r="D348" s="344" t="s">
        <v>525</v>
      </c>
      <c r="E348" s="316"/>
      <c r="F348" s="316"/>
      <c r="G348" s="316"/>
      <c r="H348" s="316"/>
      <c r="I348" s="316"/>
      <c r="J348" s="316"/>
      <c r="K348" s="316"/>
      <c r="L348" s="316"/>
      <c r="M348" s="316"/>
      <c r="N348" s="316"/>
      <c r="O348" s="316"/>
      <c r="P348" s="316"/>
      <c r="Q348" s="316"/>
      <c r="R348" s="316"/>
      <c r="S348" s="316"/>
      <c r="T348" s="316"/>
      <c r="U348" s="316"/>
      <c r="V348" s="316"/>
      <c r="W348" s="316"/>
      <c r="X348" s="316"/>
      <c r="Y348" s="316"/>
      <c r="Z348" s="316"/>
      <c r="AA348" s="316"/>
      <c r="AB348" s="316"/>
      <c r="AC348" s="316"/>
      <c r="AD348" s="316"/>
      <c r="AE348" s="316"/>
      <c r="AF348" s="316"/>
      <c r="AG348" s="316"/>
      <c r="AH348" s="316"/>
      <c r="AI348" s="316"/>
      <c r="AJ348" s="316"/>
      <c r="AK348" s="316"/>
      <c r="AL348" s="316"/>
      <c r="AM348" s="316"/>
      <c r="AN348" s="316"/>
      <c r="AO348" s="316"/>
      <c r="AP348" s="316"/>
      <c r="AQ348" s="316"/>
      <c r="AR348" s="316"/>
      <c r="AS348" s="316"/>
      <c r="AT348" s="316"/>
      <c r="AU348" s="316"/>
      <c r="AV348" s="316"/>
      <c r="AW348" s="316"/>
      <c r="AX348" s="316"/>
      <c r="AY348" s="316"/>
      <c r="AZ348" s="316"/>
      <c r="BA348" s="316"/>
      <c r="BB348" s="316"/>
      <c r="BC348" s="316"/>
      <c r="BD348" s="316"/>
      <c r="BE348" s="316"/>
      <c r="BF348" s="316"/>
      <c r="BG348" s="316"/>
      <c r="BH348" s="316"/>
      <c r="BI348" s="316"/>
      <c r="BJ348" s="316"/>
      <c r="BK348" s="316"/>
      <c r="BL348" s="316"/>
      <c r="BM348" s="316"/>
      <c r="BN348" s="316"/>
      <c r="BO348" s="316"/>
      <c r="BP348" s="316"/>
      <c r="BQ348" s="316"/>
      <c r="BR348" s="316"/>
      <c r="BS348" s="316"/>
      <c r="BT348" s="316"/>
      <c r="BU348" s="316"/>
      <c r="BV348" s="316"/>
      <c r="BW348" s="316"/>
      <c r="BX348" s="316"/>
      <c r="BY348" s="316"/>
      <c r="BZ348" s="316"/>
      <c r="CA348" s="316"/>
      <c r="CB348" s="316"/>
      <c r="CC348" s="316"/>
      <c r="CD348" s="316"/>
      <c r="CE348" s="317">
        <v>2.9019E-2</v>
      </c>
      <c r="CF348" s="316">
        <v>3.0443028E-2</v>
      </c>
      <c r="CG348" s="316">
        <v>2.9402956000000001E-2</v>
      </c>
      <c r="CH348" s="316">
        <v>2.5939E-2</v>
      </c>
      <c r="CI348" s="316">
        <v>2.1454615E-2</v>
      </c>
      <c r="CJ348" s="316">
        <v>2.7730419999999999E-2</v>
      </c>
      <c r="CK348" s="316">
        <v>3.0049919000000001E-2</v>
      </c>
      <c r="CL348" s="316">
        <v>3.3757825999999998E-2</v>
      </c>
      <c r="CM348" s="316">
        <v>4.5076725999999998E-2</v>
      </c>
      <c r="CN348" s="316">
        <v>4.9540202999999998E-2</v>
      </c>
      <c r="CO348" s="316">
        <v>5.3802061999999998E-2</v>
      </c>
      <c r="CP348" s="318">
        <v>2.0424985969999998</v>
      </c>
      <c r="CQ348" s="316">
        <v>9.2455625E-2</v>
      </c>
      <c r="CR348" s="316">
        <v>5.8016163000000003E-2</v>
      </c>
      <c r="CS348" s="316">
        <v>5.426475E-2</v>
      </c>
      <c r="CT348" s="316">
        <v>5.0637036000000003E-2</v>
      </c>
      <c r="CU348" s="316">
        <v>5.6333473000000002E-2</v>
      </c>
      <c r="CV348" s="316">
        <v>6.1871487000000003E-2</v>
      </c>
      <c r="CW348" s="316">
        <v>6.0470482999999998E-2</v>
      </c>
      <c r="CX348" s="316">
        <v>6.5419802999999999E-2</v>
      </c>
      <c r="CY348" s="316">
        <v>6.6502772000000002E-2</v>
      </c>
      <c r="CZ348" s="316">
        <v>5.6616418000000002E-2</v>
      </c>
      <c r="DA348" s="316">
        <v>5.7814781000000003E-2</v>
      </c>
      <c r="DB348" s="1498">
        <v>5.6000117000000002E-2</v>
      </c>
      <c r="DC348" s="316">
        <v>9.6366417744588609E-2</v>
      </c>
      <c r="DD348" s="316">
        <v>6.5579677243383164E-2</v>
      </c>
      <c r="DE348" s="316">
        <v>6.2069700414791013E-2</v>
      </c>
      <c r="DF348" s="316">
        <v>6.7843064571146069E-2</v>
      </c>
      <c r="DG348" s="316">
        <v>7.1081475520421863E-2</v>
      </c>
      <c r="DH348" s="316">
        <v>7.831465987054971E-2</v>
      </c>
      <c r="DI348" s="316">
        <v>6.3955531208804484E-2</v>
      </c>
      <c r="DJ348" s="316">
        <v>8.418332943502857E-2</v>
      </c>
      <c r="DK348" s="316">
        <v>8.1018853751948422E-2</v>
      </c>
      <c r="DL348" s="316">
        <v>6.5828797598082897E-2</v>
      </c>
      <c r="DM348" s="316">
        <v>6.7932009080562794E-2</v>
      </c>
      <c r="DN348" s="318">
        <v>6.2578164541410547E-2</v>
      </c>
      <c r="DO348" s="316">
        <v>0</v>
      </c>
      <c r="DP348" s="316">
        <v>0</v>
      </c>
      <c r="DQ348" s="316">
        <v>0</v>
      </c>
      <c r="DR348" s="316">
        <v>0</v>
      </c>
      <c r="DS348" s="316">
        <v>0</v>
      </c>
      <c r="DT348" s="316">
        <v>0</v>
      </c>
      <c r="DU348" s="316">
        <v>0</v>
      </c>
      <c r="DV348" s="316">
        <v>0</v>
      </c>
      <c r="DW348" s="316">
        <v>0</v>
      </c>
      <c r="DX348" s="316">
        <v>0</v>
      </c>
      <c r="DY348" s="316">
        <v>0</v>
      </c>
      <c r="DZ348" s="318">
        <v>0</v>
      </c>
      <c r="EA348" s="316">
        <v>0.17843176147015635</v>
      </c>
      <c r="EB348" s="316">
        <v>1.1068213785765339E-2</v>
      </c>
      <c r="EC348" s="316">
        <v>6.5593313143918724E-2</v>
      </c>
      <c r="ED348" s="316">
        <v>0.10688350416823514</v>
      </c>
      <c r="EE348" s="316">
        <v>0.13929436857888944</v>
      </c>
      <c r="EF348" s="316">
        <v>0.17936977612196442</v>
      </c>
      <c r="EG348" s="316">
        <v>1.9877427848863954E-2</v>
      </c>
      <c r="EH348" s="316">
        <v>2.304272104931706E-2</v>
      </c>
      <c r="EI348" s="316">
        <v>2.0406779143309947E-2</v>
      </c>
      <c r="EJ348" s="316">
        <v>1.7163095796810426E-2</v>
      </c>
      <c r="EK348" s="316">
        <v>1.544813681708251E-2</v>
      </c>
      <c r="EL348" s="318">
        <v>2.1309053801818231E-2</v>
      </c>
      <c r="EM348" s="316">
        <v>0</v>
      </c>
      <c r="EN348" s="316">
        <v>0</v>
      </c>
      <c r="EO348" s="316">
        <v>0</v>
      </c>
      <c r="EP348" s="316">
        <v>0</v>
      </c>
      <c r="EQ348" s="316">
        <v>0</v>
      </c>
      <c r="ER348" s="316">
        <v>0</v>
      </c>
      <c r="ES348" s="316">
        <v>0</v>
      </c>
      <c r="ET348" s="316">
        <v>0</v>
      </c>
      <c r="EU348" s="316">
        <v>0</v>
      </c>
      <c r="EV348" s="316">
        <v>0</v>
      </c>
      <c r="EW348" s="316">
        <v>0</v>
      </c>
      <c r="EX348" s="318">
        <v>0</v>
      </c>
      <c r="EY348" s="316">
        <v>0</v>
      </c>
      <c r="EZ348" s="316">
        <v>0</v>
      </c>
      <c r="FA348" s="316">
        <v>0</v>
      </c>
      <c r="FB348" s="316">
        <v>0</v>
      </c>
      <c r="FC348" s="316">
        <v>0</v>
      </c>
      <c r="FD348" s="316">
        <v>0</v>
      </c>
      <c r="FE348" s="316">
        <v>0</v>
      </c>
      <c r="FF348" s="316">
        <v>0</v>
      </c>
      <c r="FG348" s="316">
        <v>0</v>
      </c>
      <c r="FH348" s="316">
        <v>0</v>
      </c>
      <c r="FI348" s="316">
        <v>0</v>
      </c>
      <c r="FJ348" s="318">
        <v>0</v>
      </c>
      <c r="FK348" s="316">
        <v>0</v>
      </c>
      <c r="FL348" s="316">
        <v>0</v>
      </c>
      <c r="FM348" s="316">
        <v>0</v>
      </c>
      <c r="FN348" s="316">
        <v>0</v>
      </c>
      <c r="FO348" s="316">
        <v>0</v>
      </c>
      <c r="FP348" s="316">
        <v>0</v>
      </c>
      <c r="FQ348" s="316">
        <v>0</v>
      </c>
      <c r="FR348" s="316">
        <v>0</v>
      </c>
      <c r="FS348" s="316">
        <v>0</v>
      </c>
      <c r="FT348" s="316">
        <v>0</v>
      </c>
      <c r="FU348" s="316">
        <v>0</v>
      </c>
      <c r="FV348" s="316">
        <v>0</v>
      </c>
      <c r="FW348" s="316">
        <v>0</v>
      </c>
      <c r="FX348" s="316">
        <v>0</v>
      </c>
      <c r="FY348" s="316">
        <v>0</v>
      </c>
      <c r="FZ348" s="316">
        <v>0</v>
      </c>
      <c r="GA348" s="316">
        <v>0</v>
      </c>
      <c r="GB348" s="316">
        <v>0</v>
      </c>
      <c r="GC348" s="316">
        <v>0</v>
      </c>
      <c r="GD348" s="316">
        <v>0</v>
      </c>
      <c r="GE348" s="316">
        <v>0</v>
      </c>
      <c r="GF348" s="316">
        <v>0</v>
      </c>
      <c r="GG348" s="316">
        <v>0</v>
      </c>
      <c r="GH348" s="316">
        <v>0</v>
      </c>
      <c r="GI348" s="316">
        <v>0</v>
      </c>
      <c r="GJ348" s="316">
        <v>0</v>
      </c>
      <c r="GK348" s="316">
        <v>0</v>
      </c>
      <c r="GL348" s="316">
        <v>0</v>
      </c>
      <c r="GM348" s="316">
        <v>0</v>
      </c>
      <c r="GN348" s="316">
        <v>0</v>
      </c>
      <c r="GO348" s="316">
        <v>0</v>
      </c>
      <c r="GP348" s="316">
        <v>0</v>
      </c>
      <c r="GQ348" s="316">
        <v>0</v>
      </c>
      <c r="GR348" s="316">
        <v>0</v>
      </c>
      <c r="GS348" s="316">
        <v>0</v>
      </c>
      <c r="GT348" s="316">
        <v>0</v>
      </c>
      <c r="GU348" s="316">
        <v>0</v>
      </c>
      <c r="GV348" s="316">
        <v>0</v>
      </c>
      <c r="GW348" s="316">
        <v>0</v>
      </c>
      <c r="GX348" s="316">
        <v>0</v>
      </c>
      <c r="GY348" s="316">
        <v>0</v>
      </c>
      <c r="GZ348" s="316">
        <v>0</v>
      </c>
      <c r="HA348" s="316">
        <v>0</v>
      </c>
      <c r="HB348" s="316">
        <v>0</v>
      </c>
      <c r="HC348" s="316">
        <v>0</v>
      </c>
      <c r="HD348" s="316">
        <v>0</v>
      </c>
      <c r="HE348" s="316">
        <v>0</v>
      </c>
      <c r="HF348" s="316">
        <v>0</v>
      </c>
      <c r="HG348" s="316">
        <v>0</v>
      </c>
      <c r="HH348" s="316">
        <v>0</v>
      </c>
      <c r="HI348" s="316">
        <v>0</v>
      </c>
      <c r="HJ348" s="316">
        <v>0</v>
      </c>
      <c r="HK348" s="316">
        <v>0</v>
      </c>
      <c r="HL348" s="316">
        <v>0</v>
      </c>
      <c r="HM348" s="316"/>
      <c r="KH348" s="303"/>
    </row>
    <row r="349" spans="1:294" outlineLevel="1">
      <c r="A349" s="117" t="s">
        <v>422</v>
      </c>
      <c r="B349" s="117" t="s">
        <v>361</v>
      </c>
      <c r="D349" s="343" t="s">
        <v>526</v>
      </c>
      <c r="E349" s="316"/>
      <c r="F349" s="316"/>
      <c r="G349" s="316"/>
      <c r="H349" s="316"/>
      <c r="I349" s="316"/>
      <c r="J349" s="316"/>
      <c r="K349" s="316"/>
      <c r="L349" s="316"/>
      <c r="M349" s="316"/>
      <c r="N349" s="316"/>
      <c r="O349" s="316"/>
      <c r="P349" s="316"/>
      <c r="Q349" s="316"/>
      <c r="R349" s="316"/>
      <c r="S349" s="316"/>
      <c r="T349" s="316"/>
      <c r="U349" s="316"/>
      <c r="V349" s="316"/>
      <c r="W349" s="316"/>
      <c r="X349" s="316"/>
      <c r="Y349" s="316"/>
      <c r="Z349" s="316"/>
      <c r="AA349" s="316"/>
      <c r="AB349" s="316"/>
      <c r="AC349" s="316"/>
      <c r="AD349" s="316"/>
      <c r="AE349" s="316"/>
      <c r="AF349" s="316"/>
      <c r="AG349" s="316"/>
      <c r="AH349" s="316"/>
      <c r="AI349" s="316"/>
      <c r="AJ349" s="316"/>
      <c r="AK349" s="316"/>
      <c r="AL349" s="316"/>
      <c r="AM349" s="316"/>
      <c r="AN349" s="316"/>
      <c r="AO349" s="316"/>
      <c r="AP349" s="316"/>
      <c r="AQ349" s="316"/>
      <c r="AR349" s="316"/>
      <c r="AS349" s="316"/>
      <c r="AT349" s="316"/>
      <c r="AU349" s="316"/>
      <c r="AV349" s="316"/>
      <c r="AW349" s="316"/>
      <c r="AX349" s="316"/>
      <c r="AY349" s="316"/>
      <c r="AZ349" s="316"/>
      <c r="BA349" s="316"/>
      <c r="BB349" s="316"/>
      <c r="BC349" s="316"/>
      <c r="BD349" s="316"/>
      <c r="BE349" s="316"/>
      <c r="BF349" s="316"/>
      <c r="BG349" s="316"/>
      <c r="BH349" s="316"/>
      <c r="BI349" s="316"/>
      <c r="BJ349" s="316"/>
      <c r="BK349" s="316"/>
      <c r="BL349" s="316"/>
      <c r="BM349" s="316"/>
      <c r="BN349" s="316"/>
      <c r="BO349" s="316"/>
      <c r="BP349" s="316"/>
      <c r="BQ349" s="316"/>
      <c r="BR349" s="316"/>
      <c r="BS349" s="316"/>
      <c r="BT349" s="316"/>
      <c r="BU349" s="316"/>
      <c r="BV349" s="316"/>
      <c r="BW349" s="316"/>
      <c r="BX349" s="316"/>
      <c r="BY349" s="316"/>
      <c r="BZ349" s="316"/>
      <c r="CA349" s="316"/>
      <c r="CB349" s="316"/>
      <c r="CC349" s="316"/>
      <c r="CD349" s="316"/>
      <c r="CE349" s="317">
        <v>0</v>
      </c>
      <c r="CF349" s="316">
        <v>0</v>
      </c>
      <c r="CG349" s="316">
        <v>0</v>
      </c>
      <c r="CH349" s="316">
        <v>0</v>
      </c>
      <c r="CI349" s="316">
        <v>0</v>
      </c>
      <c r="CJ349" s="316">
        <v>0</v>
      </c>
      <c r="CK349" s="316">
        <v>0</v>
      </c>
      <c r="CL349" s="316">
        <v>0</v>
      </c>
      <c r="CM349" s="316">
        <v>0</v>
      </c>
      <c r="CN349" s="316">
        <v>0</v>
      </c>
      <c r="CO349" s="316">
        <v>0</v>
      </c>
      <c r="CP349" s="318">
        <v>0</v>
      </c>
      <c r="CQ349" s="316">
        <v>0</v>
      </c>
      <c r="CR349" s="316">
        <v>0</v>
      </c>
      <c r="CS349" s="316">
        <v>0</v>
      </c>
      <c r="CT349" s="316">
        <v>0</v>
      </c>
      <c r="CU349" s="316">
        <v>0</v>
      </c>
      <c r="CV349" s="316">
        <v>0</v>
      </c>
      <c r="CW349" s="316">
        <v>0</v>
      </c>
      <c r="CX349" s="316">
        <v>0</v>
      </c>
      <c r="CY349" s="316">
        <v>0</v>
      </c>
      <c r="CZ349" s="316">
        <v>0</v>
      </c>
      <c r="DA349" s="316">
        <v>0</v>
      </c>
      <c r="DB349" s="1498">
        <v>0</v>
      </c>
      <c r="DC349" s="316">
        <v>0</v>
      </c>
      <c r="DD349" s="316">
        <v>0</v>
      </c>
      <c r="DE349" s="316">
        <v>0</v>
      </c>
      <c r="DF349" s="316">
        <v>0</v>
      </c>
      <c r="DG349" s="316">
        <v>0</v>
      </c>
      <c r="DH349" s="316">
        <v>0</v>
      </c>
      <c r="DI349" s="316">
        <v>0</v>
      </c>
      <c r="DJ349" s="316">
        <v>0</v>
      </c>
      <c r="DK349" s="316">
        <v>0</v>
      </c>
      <c r="DL349" s="316">
        <v>0</v>
      </c>
      <c r="DM349" s="316">
        <v>0</v>
      </c>
      <c r="DN349" s="318">
        <v>0</v>
      </c>
      <c r="DO349" s="316">
        <v>1.4012196116278401</v>
      </c>
      <c r="DP349" s="316">
        <v>1.6494282220527039</v>
      </c>
      <c r="DQ349" s="316">
        <v>1.6889298647278099</v>
      </c>
      <c r="DR349" s="316">
        <v>1.4231696573650972</v>
      </c>
      <c r="DS349" s="316">
        <v>1.6544713914223328</v>
      </c>
      <c r="DT349" s="316">
        <v>1.932345019940918</v>
      </c>
      <c r="DU349" s="316">
        <v>1.8640574035777588</v>
      </c>
      <c r="DV349" s="316">
        <v>1.4360335330885925</v>
      </c>
      <c r="DW349" s="316">
        <v>1.7761069132149354</v>
      </c>
      <c r="DX349" s="316">
        <v>1.5111364337747801</v>
      </c>
      <c r="DY349" s="316">
        <v>1.70934394185147</v>
      </c>
      <c r="DZ349" s="318">
        <v>1.9651395078054199</v>
      </c>
      <c r="EA349" s="316">
        <v>1.9831582390338744</v>
      </c>
      <c r="EB349" s="316">
        <v>2.4947089151636046</v>
      </c>
      <c r="EC349" s="316">
        <v>2.9591955459501955</v>
      </c>
      <c r="ED349" s="316">
        <v>2.2754081149420622</v>
      </c>
      <c r="EE349" s="316">
        <v>3.8653326145914919</v>
      </c>
      <c r="EF349" s="316">
        <v>3.4743778774808045</v>
      </c>
      <c r="EG349" s="316">
        <v>3.3600276604696502</v>
      </c>
      <c r="EH349" s="316">
        <v>2.7860280269369659</v>
      </c>
      <c r="EI349" s="316">
        <v>5.6314320566001435</v>
      </c>
      <c r="EJ349" s="316">
        <v>3.3354232779817048</v>
      </c>
      <c r="EK349" s="316">
        <v>1.6795237250850219</v>
      </c>
      <c r="EL349" s="318">
        <v>5.0171640943863522</v>
      </c>
      <c r="EM349" s="316">
        <v>0</v>
      </c>
      <c r="EN349" s="316">
        <v>0</v>
      </c>
      <c r="EO349" s="316">
        <v>0</v>
      </c>
      <c r="EP349" s="316">
        <v>0</v>
      </c>
      <c r="EQ349" s="316">
        <v>0</v>
      </c>
      <c r="ER349" s="316">
        <v>0</v>
      </c>
      <c r="ES349" s="316">
        <v>0</v>
      </c>
      <c r="ET349" s="316">
        <v>0</v>
      </c>
      <c r="EU349" s="316">
        <v>0</v>
      </c>
      <c r="EV349" s="316">
        <v>0</v>
      </c>
      <c r="EW349" s="316">
        <v>0</v>
      </c>
      <c r="EX349" s="318">
        <v>0</v>
      </c>
      <c r="EY349" s="316">
        <v>0</v>
      </c>
      <c r="EZ349" s="316">
        <v>0</v>
      </c>
      <c r="FA349" s="316">
        <v>0</v>
      </c>
      <c r="FB349" s="316">
        <v>0</v>
      </c>
      <c r="FC349" s="316">
        <v>0</v>
      </c>
      <c r="FD349" s="316">
        <v>0</v>
      </c>
      <c r="FE349" s="316">
        <v>0</v>
      </c>
      <c r="FF349" s="316">
        <v>0</v>
      </c>
      <c r="FG349" s="316">
        <v>0</v>
      </c>
      <c r="FH349" s="316">
        <v>0</v>
      </c>
      <c r="FI349" s="316">
        <v>0</v>
      </c>
      <c r="FJ349" s="318">
        <v>0</v>
      </c>
      <c r="FK349" s="316">
        <v>0</v>
      </c>
      <c r="FL349" s="316">
        <v>0</v>
      </c>
      <c r="FM349" s="316">
        <v>0</v>
      </c>
      <c r="FN349" s="316">
        <v>0</v>
      </c>
      <c r="FO349" s="316">
        <v>0</v>
      </c>
      <c r="FP349" s="316">
        <v>0</v>
      </c>
      <c r="FQ349" s="316">
        <v>0</v>
      </c>
      <c r="FR349" s="316">
        <v>0</v>
      </c>
      <c r="FS349" s="316">
        <v>0</v>
      </c>
      <c r="FT349" s="316">
        <v>0</v>
      </c>
      <c r="FU349" s="316">
        <v>0</v>
      </c>
      <c r="FV349" s="316">
        <v>0</v>
      </c>
      <c r="FW349" s="316">
        <v>0</v>
      </c>
      <c r="FX349" s="316">
        <v>0</v>
      </c>
      <c r="FY349" s="316">
        <v>0</v>
      </c>
      <c r="FZ349" s="316">
        <v>0</v>
      </c>
      <c r="GA349" s="316">
        <v>0</v>
      </c>
      <c r="GB349" s="316">
        <v>0</v>
      </c>
      <c r="GC349" s="316">
        <v>0</v>
      </c>
      <c r="GD349" s="316">
        <v>0</v>
      </c>
      <c r="GE349" s="316">
        <v>0</v>
      </c>
      <c r="GF349" s="316">
        <v>0</v>
      </c>
      <c r="GG349" s="316">
        <v>0</v>
      </c>
      <c r="GH349" s="316">
        <v>0</v>
      </c>
      <c r="GI349" s="316">
        <v>0</v>
      </c>
      <c r="GJ349" s="316">
        <v>0</v>
      </c>
      <c r="GK349" s="316">
        <v>0</v>
      </c>
      <c r="GL349" s="316">
        <v>0</v>
      </c>
      <c r="GM349" s="316">
        <v>0</v>
      </c>
      <c r="GN349" s="316">
        <v>0</v>
      </c>
      <c r="GO349" s="316">
        <v>0</v>
      </c>
      <c r="GP349" s="316">
        <v>0</v>
      </c>
      <c r="GQ349" s="316">
        <v>0</v>
      </c>
      <c r="GR349" s="316">
        <v>0</v>
      </c>
      <c r="GS349" s="316">
        <v>0</v>
      </c>
      <c r="GT349" s="316">
        <v>0</v>
      </c>
      <c r="GU349" s="316">
        <v>0</v>
      </c>
      <c r="GV349" s="316">
        <v>0</v>
      </c>
      <c r="GW349" s="316">
        <v>0</v>
      </c>
      <c r="GX349" s="316">
        <v>0</v>
      </c>
      <c r="GY349" s="316">
        <v>0</v>
      </c>
      <c r="GZ349" s="316">
        <v>0</v>
      </c>
      <c r="HA349" s="316">
        <v>0</v>
      </c>
      <c r="HB349" s="316">
        <v>0</v>
      </c>
      <c r="HC349" s="316">
        <v>0</v>
      </c>
      <c r="HD349" s="316">
        <v>0</v>
      </c>
      <c r="HE349" s="316">
        <v>0</v>
      </c>
      <c r="HF349" s="316">
        <v>0</v>
      </c>
      <c r="HG349" s="316">
        <v>0</v>
      </c>
      <c r="HH349" s="316">
        <v>0</v>
      </c>
      <c r="HI349" s="316">
        <v>0</v>
      </c>
      <c r="HJ349" s="316">
        <v>0</v>
      </c>
      <c r="HK349" s="316">
        <v>0</v>
      </c>
      <c r="HL349" s="316">
        <v>0</v>
      </c>
      <c r="HM349" s="316"/>
      <c r="KH349" s="303"/>
    </row>
    <row r="350" spans="1:294" outlineLevel="1">
      <c r="A350" s="117" t="s">
        <v>527</v>
      </c>
      <c r="B350" s="117" t="s">
        <v>527</v>
      </c>
      <c r="D350" s="342" t="s">
        <v>528</v>
      </c>
      <c r="E350" s="316"/>
      <c r="F350" s="316"/>
      <c r="G350" s="316"/>
      <c r="H350" s="316"/>
      <c r="I350" s="316"/>
      <c r="J350" s="316"/>
      <c r="K350" s="316"/>
      <c r="L350" s="316"/>
      <c r="M350" s="316"/>
      <c r="N350" s="316"/>
      <c r="O350" s="316"/>
      <c r="P350" s="316"/>
      <c r="Q350" s="316"/>
      <c r="R350" s="316"/>
      <c r="S350" s="316"/>
      <c r="T350" s="316"/>
      <c r="U350" s="316"/>
      <c r="V350" s="316"/>
      <c r="W350" s="316"/>
      <c r="X350" s="316"/>
      <c r="Y350" s="316"/>
      <c r="Z350" s="316"/>
      <c r="AA350" s="316"/>
      <c r="AB350" s="316"/>
      <c r="AC350" s="316"/>
      <c r="AD350" s="316"/>
      <c r="AE350" s="316"/>
      <c r="AF350" s="316"/>
      <c r="AG350" s="316"/>
      <c r="AH350" s="316"/>
      <c r="AI350" s="316"/>
      <c r="AJ350" s="316"/>
      <c r="AK350" s="316"/>
      <c r="AL350" s="316"/>
      <c r="AM350" s="316"/>
      <c r="AN350" s="316"/>
      <c r="AO350" s="316"/>
      <c r="AP350" s="316"/>
      <c r="AQ350" s="316"/>
      <c r="AR350" s="316"/>
      <c r="AS350" s="316"/>
      <c r="AT350" s="316"/>
      <c r="AU350" s="316"/>
      <c r="AV350" s="316"/>
      <c r="AW350" s="316"/>
      <c r="AX350" s="316"/>
      <c r="AY350" s="316"/>
      <c r="AZ350" s="316"/>
      <c r="BA350" s="316"/>
      <c r="BB350" s="316"/>
      <c r="BC350" s="316"/>
      <c r="BD350" s="316"/>
      <c r="BE350" s="316"/>
      <c r="BF350" s="316"/>
      <c r="BG350" s="316"/>
      <c r="BH350" s="316"/>
      <c r="BI350" s="316"/>
      <c r="BJ350" s="316"/>
      <c r="BK350" s="316"/>
      <c r="BL350" s="316"/>
      <c r="BM350" s="316"/>
      <c r="BN350" s="316"/>
      <c r="BO350" s="316"/>
      <c r="BP350" s="316"/>
      <c r="BQ350" s="316"/>
      <c r="BR350" s="316"/>
      <c r="BS350" s="316"/>
      <c r="BT350" s="316"/>
      <c r="BU350" s="316"/>
      <c r="BV350" s="316"/>
      <c r="BW350" s="316"/>
      <c r="BX350" s="316"/>
      <c r="BY350" s="316"/>
      <c r="BZ350" s="316"/>
      <c r="CA350" s="316"/>
      <c r="CB350" s="316"/>
      <c r="CC350" s="316"/>
      <c r="CD350" s="316"/>
      <c r="CE350" s="317">
        <v>0</v>
      </c>
      <c r="CF350" s="316">
        <v>0</v>
      </c>
      <c r="CG350" s="316">
        <v>0</v>
      </c>
      <c r="CH350" s="316">
        <v>0</v>
      </c>
      <c r="CI350" s="316">
        <v>0</v>
      </c>
      <c r="CJ350" s="316">
        <v>0</v>
      </c>
      <c r="CK350" s="316">
        <v>0</v>
      </c>
      <c r="CL350" s="316">
        <v>0</v>
      </c>
      <c r="CM350" s="316">
        <v>0</v>
      </c>
      <c r="CN350" s="316">
        <v>0</v>
      </c>
      <c r="CO350" s="316">
        <v>0</v>
      </c>
      <c r="CP350" s="318">
        <v>0</v>
      </c>
      <c r="CQ350" s="316">
        <v>0</v>
      </c>
      <c r="CR350" s="316">
        <v>0</v>
      </c>
      <c r="CS350" s="316">
        <v>0</v>
      </c>
      <c r="CT350" s="316">
        <v>0</v>
      </c>
      <c r="CU350" s="316">
        <v>0</v>
      </c>
      <c r="CV350" s="316">
        <v>0</v>
      </c>
      <c r="CW350" s="316">
        <v>0</v>
      </c>
      <c r="CX350" s="316">
        <v>0</v>
      </c>
      <c r="CY350" s="316">
        <v>0</v>
      </c>
      <c r="CZ350" s="316">
        <v>0</v>
      </c>
      <c r="DA350" s="316">
        <v>0</v>
      </c>
      <c r="DB350" s="1498">
        <v>0</v>
      </c>
      <c r="DC350" s="316">
        <v>0</v>
      </c>
      <c r="DD350" s="316">
        <v>0</v>
      </c>
      <c r="DE350" s="316">
        <v>0</v>
      </c>
      <c r="DF350" s="316">
        <v>0</v>
      </c>
      <c r="DG350" s="316">
        <v>0</v>
      </c>
      <c r="DH350" s="316">
        <v>0</v>
      </c>
      <c r="DI350" s="316">
        <v>0</v>
      </c>
      <c r="DJ350" s="316">
        <v>0</v>
      </c>
      <c r="DK350" s="316">
        <v>0</v>
      </c>
      <c r="DL350" s="316">
        <v>0</v>
      </c>
      <c r="DM350" s="316">
        <v>0</v>
      </c>
      <c r="DN350" s="318">
        <v>0</v>
      </c>
      <c r="DO350" s="316">
        <v>0</v>
      </c>
      <c r="DP350" s="316">
        <v>0</v>
      </c>
      <c r="DQ350" s="316">
        <v>0</v>
      </c>
      <c r="DR350" s="316">
        <v>0</v>
      </c>
      <c r="DS350" s="316">
        <v>0</v>
      </c>
      <c r="DT350" s="316">
        <v>0</v>
      </c>
      <c r="DU350" s="316">
        <v>0</v>
      </c>
      <c r="DV350" s="316">
        <v>0</v>
      </c>
      <c r="DW350" s="316">
        <v>0</v>
      </c>
      <c r="DX350" s="316">
        <v>0</v>
      </c>
      <c r="DY350" s="316">
        <v>0</v>
      </c>
      <c r="DZ350" s="318">
        <v>0</v>
      </c>
      <c r="EA350" s="316">
        <v>0</v>
      </c>
      <c r="EB350" s="316">
        <v>0</v>
      </c>
      <c r="EC350" s="316">
        <v>0</v>
      </c>
      <c r="ED350" s="316">
        <v>0</v>
      </c>
      <c r="EE350" s="316">
        <v>0</v>
      </c>
      <c r="EF350" s="316">
        <v>0</v>
      </c>
      <c r="EG350" s="316">
        <v>0</v>
      </c>
      <c r="EH350" s="316">
        <v>0</v>
      </c>
      <c r="EI350" s="316">
        <v>0</v>
      </c>
      <c r="EJ350" s="316">
        <v>0</v>
      </c>
      <c r="EK350" s="316">
        <v>0</v>
      </c>
      <c r="EL350" s="318">
        <v>0</v>
      </c>
      <c r="EM350" s="316">
        <v>0</v>
      </c>
      <c r="EN350" s="316">
        <v>0</v>
      </c>
      <c r="EO350" s="316">
        <v>0</v>
      </c>
      <c r="EP350" s="316">
        <v>0</v>
      </c>
      <c r="EQ350" s="316">
        <v>0</v>
      </c>
      <c r="ER350" s="316">
        <v>0</v>
      </c>
      <c r="ES350" s="316">
        <v>0</v>
      </c>
      <c r="ET350" s="316">
        <v>0</v>
      </c>
      <c r="EU350" s="316">
        <v>0</v>
      </c>
      <c r="EV350" s="316">
        <v>0</v>
      </c>
      <c r="EW350" s="316">
        <v>0</v>
      </c>
      <c r="EX350" s="318">
        <v>0</v>
      </c>
      <c r="EY350" s="316">
        <v>0</v>
      </c>
      <c r="EZ350" s="316">
        <v>0</v>
      </c>
      <c r="FA350" s="316">
        <v>0</v>
      </c>
      <c r="FB350" s="316">
        <v>0</v>
      </c>
      <c r="FC350" s="316">
        <v>0</v>
      </c>
      <c r="FD350" s="316">
        <v>0</v>
      </c>
      <c r="FE350" s="316">
        <v>0</v>
      </c>
      <c r="FF350" s="316">
        <v>0</v>
      </c>
      <c r="FG350" s="316">
        <v>0</v>
      </c>
      <c r="FH350" s="316">
        <v>0</v>
      </c>
      <c r="FI350" s="316">
        <v>0</v>
      </c>
      <c r="FJ350" s="318">
        <v>0</v>
      </c>
      <c r="FK350" s="316">
        <v>0</v>
      </c>
      <c r="FL350" s="316">
        <v>0</v>
      </c>
      <c r="FM350" s="316">
        <v>0</v>
      </c>
      <c r="FN350" s="316">
        <v>0</v>
      </c>
      <c r="FO350" s="316">
        <v>0</v>
      </c>
      <c r="FP350" s="316">
        <v>0</v>
      </c>
      <c r="FQ350" s="316">
        <v>0</v>
      </c>
      <c r="FR350" s="316">
        <v>0</v>
      </c>
      <c r="FS350" s="316">
        <v>0</v>
      </c>
      <c r="FT350" s="316">
        <v>0</v>
      </c>
      <c r="FU350" s="316">
        <v>0</v>
      </c>
      <c r="FV350" s="316">
        <v>0</v>
      </c>
      <c r="FW350" s="316">
        <v>0</v>
      </c>
      <c r="FX350" s="316">
        <v>0</v>
      </c>
      <c r="FY350" s="316">
        <v>0</v>
      </c>
      <c r="FZ350" s="316">
        <v>0</v>
      </c>
      <c r="GA350" s="316">
        <v>0</v>
      </c>
      <c r="GB350" s="316">
        <v>0</v>
      </c>
      <c r="GC350" s="316">
        <v>0</v>
      </c>
      <c r="GD350" s="316">
        <v>0</v>
      </c>
      <c r="GE350" s="316">
        <v>0</v>
      </c>
      <c r="GF350" s="316">
        <v>0</v>
      </c>
      <c r="GG350" s="316">
        <v>0</v>
      </c>
      <c r="GH350" s="316">
        <v>0</v>
      </c>
      <c r="GI350" s="316">
        <v>0</v>
      </c>
      <c r="GJ350" s="316">
        <v>0</v>
      </c>
      <c r="GK350" s="316">
        <v>0</v>
      </c>
      <c r="GL350" s="316">
        <v>0</v>
      </c>
      <c r="GM350" s="316">
        <v>0</v>
      </c>
      <c r="GN350" s="316">
        <v>0</v>
      </c>
      <c r="GO350" s="316">
        <v>0</v>
      </c>
      <c r="GP350" s="316">
        <v>0</v>
      </c>
      <c r="GQ350" s="316">
        <v>0</v>
      </c>
      <c r="GR350" s="316">
        <v>0</v>
      </c>
      <c r="GS350" s="316">
        <v>0</v>
      </c>
      <c r="GT350" s="316">
        <v>0</v>
      </c>
      <c r="GU350" s="316">
        <v>0</v>
      </c>
      <c r="GV350" s="316">
        <v>0</v>
      </c>
      <c r="GW350" s="316">
        <v>0</v>
      </c>
      <c r="GX350" s="316">
        <v>0</v>
      </c>
      <c r="GY350" s="316">
        <v>0</v>
      </c>
      <c r="GZ350" s="316">
        <v>0</v>
      </c>
      <c r="HA350" s="316">
        <v>0</v>
      </c>
      <c r="HB350" s="316">
        <v>0</v>
      </c>
      <c r="HC350" s="316">
        <v>0</v>
      </c>
      <c r="HD350" s="316">
        <v>0</v>
      </c>
      <c r="HE350" s="316">
        <v>0</v>
      </c>
      <c r="HF350" s="316">
        <v>0</v>
      </c>
      <c r="HG350" s="316">
        <v>0</v>
      </c>
      <c r="HH350" s="316">
        <v>0</v>
      </c>
      <c r="HI350" s="316">
        <v>0</v>
      </c>
      <c r="HJ350" s="316">
        <v>0</v>
      </c>
      <c r="HK350" s="316">
        <v>0</v>
      </c>
      <c r="HL350" s="316">
        <v>0</v>
      </c>
      <c r="HM350" s="316"/>
      <c r="KH350" s="303"/>
    </row>
    <row r="351" spans="1:294" outlineLevel="1">
      <c r="A351" s="117" t="s">
        <v>527</v>
      </c>
      <c r="B351" s="117" t="s">
        <v>527</v>
      </c>
      <c r="D351" s="343" t="s">
        <v>529</v>
      </c>
      <c r="E351" s="316"/>
      <c r="F351" s="316"/>
      <c r="G351" s="316"/>
      <c r="H351" s="316"/>
      <c r="I351" s="316"/>
      <c r="J351" s="316"/>
      <c r="K351" s="316"/>
      <c r="L351" s="316"/>
      <c r="M351" s="316"/>
      <c r="N351" s="316"/>
      <c r="O351" s="316"/>
      <c r="P351" s="316"/>
      <c r="Q351" s="316"/>
      <c r="R351" s="316"/>
      <c r="S351" s="316"/>
      <c r="T351" s="316"/>
      <c r="U351" s="316"/>
      <c r="V351" s="316"/>
      <c r="W351" s="316"/>
      <c r="X351" s="316"/>
      <c r="Y351" s="316"/>
      <c r="Z351" s="316"/>
      <c r="AA351" s="316"/>
      <c r="AB351" s="316"/>
      <c r="AC351" s="316"/>
      <c r="AD351" s="316"/>
      <c r="AE351" s="316"/>
      <c r="AF351" s="316"/>
      <c r="AG351" s="316"/>
      <c r="AH351" s="316"/>
      <c r="AI351" s="316"/>
      <c r="AJ351" s="316"/>
      <c r="AK351" s="316"/>
      <c r="AL351" s="316"/>
      <c r="AM351" s="316"/>
      <c r="AN351" s="316"/>
      <c r="AO351" s="316"/>
      <c r="AP351" s="316"/>
      <c r="AQ351" s="316"/>
      <c r="AR351" s="316"/>
      <c r="AS351" s="316"/>
      <c r="AT351" s="316"/>
      <c r="AU351" s="316"/>
      <c r="AV351" s="316"/>
      <c r="AW351" s="316"/>
      <c r="AX351" s="316"/>
      <c r="AY351" s="316"/>
      <c r="AZ351" s="316"/>
      <c r="BA351" s="316"/>
      <c r="BB351" s="316"/>
      <c r="BC351" s="316"/>
      <c r="BD351" s="316"/>
      <c r="BE351" s="316"/>
      <c r="BF351" s="316"/>
      <c r="BG351" s="316"/>
      <c r="BH351" s="316"/>
      <c r="BI351" s="316"/>
      <c r="BJ351" s="316"/>
      <c r="BK351" s="316"/>
      <c r="BL351" s="316"/>
      <c r="BM351" s="316"/>
      <c r="BN351" s="316"/>
      <c r="BO351" s="316"/>
      <c r="BP351" s="316"/>
      <c r="BQ351" s="316"/>
      <c r="BR351" s="316"/>
      <c r="BS351" s="316"/>
      <c r="BT351" s="316"/>
      <c r="BU351" s="316"/>
      <c r="BV351" s="316"/>
      <c r="BW351" s="316"/>
      <c r="BX351" s="316"/>
      <c r="BY351" s="316"/>
      <c r="BZ351" s="316"/>
      <c r="CA351" s="316"/>
      <c r="CB351" s="316"/>
      <c r="CC351" s="316"/>
      <c r="CD351" s="316"/>
      <c r="CE351" s="316">
        <v>0</v>
      </c>
      <c r="CF351" s="316">
        <v>0</v>
      </c>
      <c r="CG351" s="316">
        <v>0</v>
      </c>
      <c r="CH351" s="316">
        <v>0</v>
      </c>
      <c r="CI351" s="316">
        <v>0</v>
      </c>
      <c r="CJ351" s="316">
        <v>0</v>
      </c>
      <c r="CK351" s="316">
        <v>0</v>
      </c>
      <c r="CL351" s="316">
        <v>0</v>
      </c>
      <c r="CM351" s="316">
        <v>0</v>
      </c>
      <c r="CN351" s="316">
        <v>0</v>
      </c>
      <c r="CO351" s="316">
        <v>0</v>
      </c>
      <c r="CP351" s="318">
        <v>0</v>
      </c>
      <c r="CQ351" s="316">
        <v>0</v>
      </c>
      <c r="CR351" s="316">
        <v>0</v>
      </c>
      <c r="CS351" s="316">
        <v>0</v>
      </c>
      <c r="CT351" s="316">
        <v>0</v>
      </c>
      <c r="CU351" s="316">
        <v>0</v>
      </c>
      <c r="CV351" s="316">
        <v>0</v>
      </c>
      <c r="CW351" s="316">
        <v>0</v>
      </c>
      <c r="CX351" s="316">
        <v>0</v>
      </c>
      <c r="CY351" s="316">
        <v>0</v>
      </c>
      <c r="CZ351" s="316">
        <v>0</v>
      </c>
      <c r="DA351" s="316">
        <v>0</v>
      </c>
      <c r="DB351" s="1498">
        <v>0</v>
      </c>
      <c r="DC351" s="316">
        <v>0</v>
      </c>
      <c r="DD351" s="316">
        <v>0</v>
      </c>
      <c r="DE351" s="316">
        <v>0</v>
      </c>
      <c r="DF351" s="316">
        <v>0</v>
      </c>
      <c r="DG351" s="316">
        <v>0</v>
      </c>
      <c r="DH351" s="316">
        <v>0</v>
      </c>
      <c r="DI351" s="316">
        <v>0</v>
      </c>
      <c r="DJ351" s="316">
        <v>0</v>
      </c>
      <c r="DK351" s="316">
        <v>0</v>
      </c>
      <c r="DL351" s="316">
        <v>0</v>
      </c>
      <c r="DM351" s="316">
        <v>0</v>
      </c>
      <c r="DN351" s="318">
        <v>0</v>
      </c>
      <c r="DO351" s="316">
        <v>0</v>
      </c>
      <c r="DP351" s="316">
        <v>0</v>
      </c>
      <c r="DQ351" s="316">
        <v>0</v>
      </c>
      <c r="DR351" s="316">
        <v>0</v>
      </c>
      <c r="DS351" s="316">
        <v>0</v>
      </c>
      <c r="DT351" s="316">
        <v>0</v>
      </c>
      <c r="DU351" s="316">
        <v>0</v>
      </c>
      <c r="DV351" s="316">
        <v>0</v>
      </c>
      <c r="DW351" s="316">
        <v>0</v>
      </c>
      <c r="DX351" s="316">
        <v>0</v>
      </c>
      <c r="DY351" s="316">
        <v>0</v>
      </c>
      <c r="DZ351" s="318">
        <v>0</v>
      </c>
      <c r="EA351" s="316">
        <v>0</v>
      </c>
      <c r="EB351" s="316">
        <v>0</v>
      </c>
      <c r="EC351" s="316">
        <v>0</v>
      </c>
      <c r="ED351" s="316">
        <v>0</v>
      </c>
      <c r="EE351" s="316">
        <v>0</v>
      </c>
      <c r="EF351" s="316">
        <v>0</v>
      </c>
      <c r="EG351" s="316">
        <v>0</v>
      </c>
      <c r="EH351" s="316">
        <v>0</v>
      </c>
      <c r="EI351" s="316">
        <v>0</v>
      </c>
      <c r="EJ351" s="316">
        <v>0</v>
      </c>
      <c r="EK351" s="316">
        <v>0</v>
      </c>
      <c r="EL351" s="318">
        <v>0</v>
      </c>
      <c r="EM351" s="316">
        <v>0</v>
      </c>
      <c r="EN351" s="316">
        <v>0</v>
      </c>
      <c r="EO351" s="316">
        <v>0</v>
      </c>
      <c r="EP351" s="316">
        <v>0</v>
      </c>
      <c r="EQ351" s="316">
        <v>0</v>
      </c>
      <c r="ER351" s="316">
        <v>0</v>
      </c>
      <c r="ES351" s="316">
        <v>0</v>
      </c>
      <c r="ET351" s="316">
        <v>0</v>
      </c>
      <c r="EU351" s="316">
        <v>0</v>
      </c>
      <c r="EV351" s="316">
        <v>0</v>
      </c>
      <c r="EW351" s="316">
        <v>0</v>
      </c>
      <c r="EX351" s="318">
        <v>0</v>
      </c>
      <c r="EY351" s="316">
        <v>0</v>
      </c>
      <c r="EZ351" s="316">
        <v>0</v>
      </c>
      <c r="FA351" s="316">
        <v>0</v>
      </c>
      <c r="FB351" s="316">
        <v>0</v>
      </c>
      <c r="FC351" s="316">
        <v>0</v>
      </c>
      <c r="FD351" s="316">
        <v>0</v>
      </c>
      <c r="FE351" s="316">
        <v>0</v>
      </c>
      <c r="FF351" s="316">
        <v>0</v>
      </c>
      <c r="FG351" s="316">
        <v>0</v>
      </c>
      <c r="FH351" s="316">
        <v>0</v>
      </c>
      <c r="FI351" s="316">
        <v>0</v>
      </c>
      <c r="FJ351" s="318">
        <v>0</v>
      </c>
      <c r="FK351" s="316">
        <v>0</v>
      </c>
      <c r="FL351" s="316">
        <v>0</v>
      </c>
      <c r="FM351" s="316">
        <v>0</v>
      </c>
      <c r="FN351" s="316">
        <v>0</v>
      </c>
      <c r="FO351" s="316">
        <v>0</v>
      </c>
      <c r="FP351" s="316">
        <v>0</v>
      </c>
      <c r="FQ351" s="316">
        <v>0</v>
      </c>
      <c r="FR351" s="316">
        <v>0</v>
      </c>
      <c r="FS351" s="316">
        <v>0</v>
      </c>
      <c r="FT351" s="316">
        <v>0</v>
      </c>
      <c r="FU351" s="316">
        <v>0</v>
      </c>
      <c r="FV351" s="316">
        <v>0</v>
      </c>
      <c r="FW351" s="316">
        <v>0</v>
      </c>
      <c r="FX351" s="316">
        <v>0</v>
      </c>
      <c r="FY351" s="316">
        <v>0</v>
      </c>
      <c r="FZ351" s="316">
        <v>0</v>
      </c>
      <c r="GA351" s="316">
        <v>0</v>
      </c>
      <c r="GB351" s="316">
        <v>0</v>
      </c>
      <c r="GC351" s="316">
        <v>0</v>
      </c>
      <c r="GD351" s="316">
        <v>0</v>
      </c>
      <c r="GE351" s="316">
        <v>0</v>
      </c>
      <c r="GF351" s="316">
        <v>0</v>
      </c>
      <c r="GG351" s="316">
        <v>0</v>
      </c>
      <c r="GH351" s="316">
        <v>0</v>
      </c>
      <c r="GI351" s="316">
        <v>0</v>
      </c>
      <c r="GJ351" s="316">
        <v>0</v>
      </c>
      <c r="GK351" s="316">
        <v>0</v>
      </c>
      <c r="GL351" s="316">
        <v>0</v>
      </c>
      <c r="GM351" s="316">
        <v>0</v>
      </c>
      <c r="GN351" s="316">
        <v>0</v>
      </c>
      <c r="GO351" s="316">
        <v>0</v>
      </c>
      <c r="GP351" s="316">
        <v>0</v>
      </c>
      <c r="GQ351" s="316">
        <v>0</v>
      </c>
      <c r="GR351" s="316">
        <v>0</v>
      </c>
      <c r="GS351" s="316">
        <v>0</v>
      </c>
      <c r="GT351" s="316">
        <v>0</v>
      </c>
      <c r="GU351" s="316">
        <v>0</v>
      </c>
      <c r="GV351" s="316">
        <v>0</v>
      </c>
      <c r="GW351" s="316">
        <v>0</v>
      </c>
      <c r="GX351" s="316">
        <v>0</v>
      </c>
      <c r="GY351" s="316">
        <v>0</v>
      </c>
      <c r="GZ351" s="316">
        <v>0</v>
      </c>
      <c r="HA351" s="316">
        <v>0</v>
      </c>
      <c r="HB351" s="316">
        <v>0</v>
      </c>
      <c r="HC351" s="316">
        <v>0</v>
      </c>
      <c r="HD351" s="316">
        <v>0</v>
      </c>
      <c r="HE351" s="316">
        <v>0</v>
      </c>
      <c r="HF351" s="316">
        <v>0</v>
      </c>
      <c r="HG351" s="316">
        <v>0</v>
      </c>
      <c r="HH351" s="316">
        <v>0</v>
      </c>
      <c r="HI351" s="316">
        <v>0</v>
      </c>
      <c r="HJ351" s="316">
        <v>0</v>
      </c>
      <c r="HK351" s="316">
        <v>0</v>
      </c>
      <c r="HL351" s="316">
        <v>0</v>
      </c>
      <c r="HM351" s="316"/>
      <c r="KH351" s="303"/>
    </row>
    <row r="352" spans="1:294" outlineLevel="1">
      <c r="A352" s="117" t="s">
        <v>527</v>
      </c>
      <c r="B352" s="117" t="s">
        <v>527</v>
      </c>
      <c r="D352" s="344" t="s">
        <v>530</v>
      </c>
      <c r="E352" s="316"/>
      <c r="F352" s="316"/>
      <c r="G352" s="316"/>
      <c r="H352" s="316"/>
      <c r="I352" s="316"/>
      <c r="J352" s="316"/>
      <c r="K352" s="316"/>
      <c r="L352" s="316"/>
      <c r="M352" s="316"/>
      <c r="N352" s="316"/>
      <c r="O352" s="316"/>
      <c r="P352" s="316"/>
      <c r="Q352" s="316"/>
      <c r="R352" s="316"/>
      <c r="S352" s="316"/>
      <c r="T352" s="316"/>
      <c r="U352" s="316"/>
      <c r="V352" s="316"/>
      <c r="W352" s="316"/>
      <c r="X352" s="316"/>
      <c r="Y352" s="316"/>
      <c r="Z352" s="316"/>
      <c r="AA352" s="316"/>
      <c r="AB352" s="316"/>
      <c r="AC352" s="316"/>
      <c r="AD352" s="316"/>
      <c r="AE352" s="316"/>
      <c r="AF352" s="316"/>
      <c r="AG352" s="316"/>
      <c r="AH352" s="316"/>
      <c r="AI352" s="316"/>
      <c r="AJ352" s="316"/>
      <c r="AK352" s="316"/>
      <c r="AL352" s="316"/>
      <c r="AM352" s="316"/>
      <c r="AN352" s="316"/>
      <c r="AO352" s="316"/>
      <c r="AP352" s="316"/>
      <c r="AQ352" s="316"/>
      <c r="AR352" s="316"/>
      <c r="AS352" s="316"/>
      <c r="AT352" s="316"/>
      <c r="AU352" s="316"/>
      <c r="AV352" s="316"/>
      <c r="AW352" s="316"/>
      <c r="AX352" s="316"/>
      <c r="AY352" s="316"/>
      <c r="AZ352" s="316"/>
      <c r="BA352" s="316"/>
      <c r="BB352" s="316"/>
      <c r="BC352" s="316"/>
      <c r="BD352" s="316"/>
      <c r="BE352" s="316"/>
      <c r="BF352" s="316"/>
      <c r="BG352" s="316"/>
      <c r="BH352" s="316"/>
      <c r="BI352" s="316"/>
      <c r="BJ352" s="316"/>
      <c r="BK352" s="316"/>
      <c r="BL352" s="316"/>
      <c r="BM352" s="316"/>
      <c r="BN352" s="316"/>
      <c r="BO352" s="316"/>
      <c r="BP352" s="316"/>
      <c r="BQ352" s="316"/>
      <c r="BR352" s="316"/>
      <c r="BS352" s="316"/>
      <c r="BT352" s="316"/>
      <c r="BU352" s="316"/>
      <c r="BV352" s="316"/>
      <c r="BW352" s="316"/>
      <c r="BX352" s="316"/>
      <c r="BY352" s="316"/>
      <c r="BZ352" s="316"/>
      <c r="CA352" s="316"/>
      <c r="CB352" s="316"/>
      <c r="CC352" s="316"/>
      <c r="CD352" s="316"/>
      <c r="CE352" s="316">
        <v>0</v>
      </c>
      <c r="CF352" s="316">
        <v>0</v>
      </c>
      <c r="CG352" s="316">
        <v>0</v>
      </c>
      <c r="CH352" s="316">
        <v>0</v>
      </c>
      <c r="CI352" s="316">
        <v>0</v>
      </c>
      <c r="CJ352" s="316">
        <v>0</v>
      </c>
      <c r="CK352" s="316">
        <v>0</v>
      </c>
      <c r="CL352" s="316">
        <v>0</v>
      </c>
      <c r="CM352" s="316">
        <v>0</v>
      </c>
      <c r="CN352" s="316">
        <v>0</v>
      </c>
      <c r="CO352" s="316">
        <v>0</v>
      </c>
      <c r="CP352" s="318">
        <v>0</v>
      </c>
      <c r="CQ352" s="316">
        <v>0</v>
      </c>
      <c r="CR352" s="316">
        <v>0</v>
      </c>
      <c r="CS352" s="316">
        <v>0</v>
      </c>
      <c r="CT352" s="316">
        <v>0</v>
      </c>
      <c r="CU352" s="316">
        <v>0</v>
      </c>
      <c r="CV352" s="316">
        <v>0</v>
      </c>
      <c r="CW352" s="316">
        <v>0</v>
      </c>
      <c r="CX352" s="316">
        <v>0</v>
      </c>
      <c r="CY352" s="316">
        <v>0</v>
      </c>
      <c r="CZ352" s="316">
        <v>0</v>
      </c>
      <c r="DA352" s="316">
        <v>0</v>
      </c>
      <c r="DB352" s="1498">
        <v>0</v>
      </c>
      <c r="DC352" s="316">
        <v>0</v>
      </c>
      <c r="DD352" s="316">
        <v>0</v>
      </c>
      <c r="DE352" s="316">
        <v>0</v>
      </c>
      <c r="DF352" s="316">
        <v>0</v>
      </c>
      <c r="DG352" s="316">
        <v>0</v>
      </c>
      <c r="DH352" s="316">
        <v>0</v>
      </c>
      <c r="DI352" s="316">
        <v>0</v>
      </c>
      <c r="DJ352" s="316">
        <v>0</v>
      </c>
      <c r="DK352" s="316">
        <v>0</v>
      </c>
      <c r="DL352" s="316">
        <v>0</v>
      </c>
      <c r="DM352" s="316">
        <v>0</v>
      </c>
      <c r="DN352" s="318">
        <v>0</v>
      </c>
      <c r="DO352" s="316">
        <v>0</v>
      </c>
      <c r="DP352" s="316">
        <v>0</v>
      </c>
      <c r="DQ352" s="316">
        <v>0</v>
      </c>
      <c r="DR352" s="316">
        <v>0</v>
      </c>
      <c r="DS352" s="316">
        <v>0</v>
      </c>
      <c r="DT352" s="316">
        <v>0</v>
      </c>
      <c r="DU352" s="316">
        <v>0</v>
      </c>
      <c r="DV352" s="316">
        <v>0</v>
      </c>
      <c r="DW352" s="316">
        <v>0</v>
      </c>
      <c r="DX352" s="316">
        <v>0</v>
      </c>
      <c r="DY352" s="316">
        <v>0</v>
      </c>
      <c r="DZ352" s="318">
        <v>0</v>
      </c>
      <c r="EA352" s="316">
        <v>0</v>
      </c>
      <c r="EB352" s="316">
        <v>0</v>
      </c>
      <c r="EC352" s="316">
        <v>0</v>
      </c>
      <c r="ED352" s="316">
        <v>0</v>
      </c>
      <c r="EE352" s="316">
        <v>0</v>
      </c>
      <c r="EF352" s="316">
        <v>0</v>
      </c>
      <c r="EG352" s="316">
        <v>0</v>
      </c>
      <c r="EH352" s="316">
        <v>0</v>
      </c>
      <c r="EI352" s="316">
        <v>0</v>
      </c>
      <c r="EJ352" s="316">
        <v>0</v>
      </c>
      <c r="EK352" s="316">
        <v>0</v>
      </c>
      <c r="EL352" s="318">
        <v>0</v>
      </c>
      <c r="EM352" s="316">
        <v>0</v>
      </c>
      <c r="EN352" s="316">
        <v>0</v>
      </c>
      <c r="EO352" s="316">
        <v>0</v>
      </c>
      <c r="EP352" s="316">
        <v>0</v>
      </c>
      <c r="EQ352" s="316">
        <v>0</v>
      </c>
      <c r="ER352" s="316">
        <v>0</v>
      </c>
      <c r="ES352" s="316">
        <v>0</v>
      </c>
      <c r="ET352" s="316">
        <v>0</v>
      </c>
      <c r="EU352" s="316">
        <v>0</v>
      </c>
      <c r="EV352" s="316">
        <v>0</v>
      </c>
      <c r="EW352" s="316">
        <v>0</v>
      </c>
      <c r="EX352" s="318">
        <v>0</v>
      </c>
      <c r="EY352" s="316">
        <v>0</v>
      </c>
      <c r="EZ352" s="316">
        <v>0</v>
      </c>
      <c r="FA352" s="316">
        <v>0</v>
      </c>
      <c r="FB352" s="316">
        <v>0</v>
      </c>
      <c r="FC352" s="316">
        <v>0</v>
      </c>
      <c r="FD352" s="316">
        <v>0</v>
      </c>
      <c r="FE352" s="316">
        <v>0</v>
      </c>
      <c r="FF352" s="316">
        <v>0</v>
      </c>
      <c r="FG352" s="316">
        <v>0</v>
      </c>
      <c r="FH352" s="316">
        <v>0</v>
      </c>
      <c r="FI352" s="316">
        <v>0</v>
      </c>
      <c r="FJ352" s="318">
        <v>0</v>
      </c>
      <c r="FK352" s="316">
        <v>0</v>
      </c>
      <c r="FL352" s="316">
        <v>0</v>
      </c>
      <c r="FM352" s="316">
        <v>0</v>
      </c>
      <c r="FN352" s="316">
        <v>0</v>
      </c>
      <c r="FO352" s="316">
        <v>0</v>
      </c>
      <c r="FP352" s="316">
        <v>0</v>
      </c>
      <c r="FQ352" s="316">
        <v>0</v>
      </c>
      <c r="FR352" s="316">
        <v>0</v>
      </c>
      <c r="FS352" s="316">
        <v>0</v>
      </c>
      <c r="FT352" s="316">
        <v>0</v>
      </c>
      <c r="FU352" s="316">
        <v>0</v>
      </c>
      <c r="FV352" s="316">
        <v>0</v>
      </c>
      <c r="FW352" s="316">
        <v>0</v>
      </c>
      <c r="FX352" s="316">
        <v>0</v>
      </c>
      <c r="FY352" s="316">
        <v>0</v>
      </c>
      <c r="FZ352" s="316">
        <v>0</v>
      </c>
      <c r="GA352" s="316">
        <v>0</v>
      </c>
      <c r="GB352" s="316">
        <v>0</v>
      </c>
      <c r="GC352" s="316">
        <v>0</v>
      </c>
      <c r="GD352" s="316">
        <v>0</v>
      </c>
      <c r="GE352" s="316">
        <v>0</v>
      </c>
      <c r="GF352" s="316">
        <v>0</v>
      </c>
      <c r="GG352" s="316">
        <v>0</v>
      </c>
      <c r="GH352" s="316">
        <v>0</v>
      </c>
      <c r="GI352" s="316">
        <v>0</v>
      </c>
      <c r="GJ352" s="316">
        <v>0</v>
      </c>
      <c r="GK352" s="316">
        <v>0</v>
      </c>
      <c r="GL352" s="316">
        <v>0</v>
      </c>
      <c r="GM352" s="316">
        <v>0</v>
      </c>
      <c r="GN352" s="316">
        <v>0</v>
      </c>
      <c r="GO352" s="316">
        <v>0</v>
      </c>
      <c r="GP352" s="316">
        <v>0</v>
      </c>
      <c r="GQ352" s="316">
        <v>0</v>
      </c>
      <c r="GR352" s="316">
        <v>0</v>
      </c>
      <c r="GS352" s="316">
        <v>0</v>
      </c>
      <c r="GT352" s="316">
        <v>0</v>
      </c>
      <c r="GU352" s="316">
        <v>0</v>
      </c>
      <c r="GV352" s="316">
        <v>0</v>
      </c>
      <c r="GW352" s="316">
        <v>0</v>
      </c>
      <c r="GX352" s="316">
        <v>0</v>
      </c>
      <c r="GY352" s="316">
        <v>0</v>
      </c>
      <c r="GZ352" s="316">
        <v>0</v>
      </c>
      <c r="HA352" s="316">
        <v>0</v>
      </c>
      <c r="HB352" s="316">
        <v>0</v>
      </c>
      <c r="HC352" s="316">
        <v>0</v>
      </c>
      <c r="HD352" s="316">
        <v>0</v>
      </c>
      <c r="HE352" s="316">
        <v>0</v>
      </c>
      <c r="HF352" s="316">
        <v>0</v>
      </c>
      <c r="HG352" s="316">
        <v>0</v>
      </c>
      <c r="HH352" s="316">
        <v>0</v>
      </c>
      <c r="HI352" s="316">
        <v>0</v>
      </c>
      <c r="HJ352" s="316">
        <v>0</v>
      </c>
      <c r="HK352" s="316">
        <v>0</v>
      </c>
      <c r="HL352" s="316">
        <v>0</v>
      </c>
      <c r="HM352" s="316"/>
      <c r="KH352" s="303"/>
    </row>
    <row r="353" spans="1:294" outlineLevel="1">
      <c r="A353" s="117" t="s">
        <v>527</v>
      </c>
      <c r="B353" s="117" t="s">
        <v>527</v>
      </c>
      <c r="D353" s="344" t="s">
        <v>531</v>
      </c>
      <c r="E353" s="316"/>
      <c r="F353" s="316"/>
      <c r="G353" s="316"/>
      <c r="H353" s="316"/>
      <c r="I353" s="316"/>
      <c r="J353" s="316"/>
      <c r="K353" s="316"/>
      <c r="L353" s="316"/>
      <c r="M353" s="316"/>
      <c r="N353" s="316"/>
      <c r="O353" s="316"/>
      <c r="P353" s="316"/>
      <c r="Q353" s="316"/>
      <c r="R353" s="316"/>
      <c r="S353" s="316"/>
      <c r="T353" s="316"/>
      <c r="U353" s="316"/>
      <c r="V353" s="316"/>
      <c r="W353" s="316"/>
      <c r="X353" s="316"/>
      <c r="Y353" s="316"/>
      <c r="Z353" s="316"/>
      <c r="AA353" s="316"/>
      <c r="AB353" s="316"/>
      <c r="AC353" s="316"/>
      <c r="AD353" s="316"/>
      <c r="AE353" s="316"/>
      <c r="AF353" s="316"/>
      <c r="AG353" s="316"/>
      <c r="AH353" s="316"/>
      <c r="AI353" s="316"/>
      <c r="AJ353" s="316"/>
      <c r="AK353" s="316"/>
      <c r="AL353" s="316"/>
      <c r="AM353" s="316"/>
      <c r="AN353" s="316"/>
      <c r="AO353" s="316"/>
      <c r="AP353" s="316"/>
      <c r="AQ353" s="316"/>
      <c r="AR353" s="316"/>
      <c r="AS353" s="316"/>
      <c r="AT353" s="316"/>
      <c r="AU353" s="316"/>
      <c r="AV353" s="316"/>
      <c r="AW353" s="316"/>
      <c r="AX353" s="316"/>
      <c r="AY353" s="316"/>
      <c r="AZ353" s="316"/>
      <c r="BA353" s="316"/>
      <c r="BB353" s="316"/>
      <c r="BC353" s="316"/>
      <c r="BD353" s="316"/>
      <c r="BE353" s="316"/>
      <c r="BF353" s="316"/>
      <c r="BG353" s="316"/>
      <c r="BH353" s="316"/>
      <c r="BI353" s="316"/>
      <c r="BJ353" s="316"/>
      <c r="BK353" s="316"/>
      <c r="BL353" s="316"/>
      <c r="BM353" s="316"/>
      <c r="BN353" s="316"/>
      <c r="BO353" s="316"/>
      <c r="BP353" s="316"/>
      <c r="BQ353" s="316"/>
      <c r="BR353" s="316"/>
      <c r="BS353" s="316"/>
      <c r="BT353" s="316"/>
      <c r="BU353" s="316"/>
      <c r="BV353" s="316"/>
      <c r="BW353" s="316"/>
      <c r="BX353" s="316"/>
      <c r="BY353" s="316"/>
      <c r="BZ353" s="316"/>
      <c r="CA353" s="316"/>
      <c r="CB353" s="316"/>
      <c r="CC353" s="316"/>
      <c r="CD353" s="316"/>
      <c r="CE353" s="316">
        <v>0</v>
      </c>
      <c r="CF353" s="316">
        <v>0</v>
      </c>
      <c r="CG353" s="316">
        <v>0</v>
      </c>
      <c r="CH353" s="316">
        <v>0</v>
      </c>
      <c r="CI353" s="316">
        <v>0</v>
      </c>
      <c r="CJ353" s="316">
        <v>0</v>
      </c>
      <c r="CK353" s="316">
        <v>0</v>
      </c>
      <c r="CL353" s="316">
        <v>0</v>
      </c>
      <c r="CM353" s="316">
        <v>0</v>
      </c>
      <c r="CN353" s="316">
        <v>0</v>
      </c>
      <c r="CO353" s="316">
        <v>0</v>
      </c>
      <c r="CP353" s="318">
        <v>0</v>
      </c>
      <c r="CQ353" s="316">
        <v>0</v>
      </c>
      <c r="CR353" s="316">
        <v>0</v>
      </c>
      <c r="CS353" s="316">
        <v>0</v>
      </c>
      <c r="CT353" s="316">
        <v>0</v>
      </c>
      <c r="CU353" s="316">
        <v>0</v>
      </c>
      <c r="CV353" s="316">
        <v>0</v>
      </c>
      <c r="CW353" s="316">
        <v>0</v>
      </c>
      <c r="CX353" s="316">
        <v>0</v>
      </c>
      <c r="CY353" s="316">
        <v>0</v>
      </c>
      <c r="CZ353" s="316">
        <v>0</v>
      </c>
      <c r="DA353" s="316">
        <v>0</v>
      </c>
      <c r="DB353" s="1498">
        <v>0</v>
      </c>
      <c r="DC353" s="316">
        <v>0</v>
      </c>
      <c r="DD353" s="316">
        <v>0</v>
      </c>
      <c r="DE353" s="316">
        <v>0</v>
      </c>
      <c r="DF353" s="316">
        <v>0</v>
      </c>
      <c r="DG353" s="316">
        <v>0</v>
      </c>
      <c r="DH353" s="316">
        <v>0</v>
      </c>
      <c r="DI353" s="316">
        <v>0</v>
      </c>
      <c r="DJ353" s="316">
        <v>0</v>
      </c>
      <c r="DK353" s="316">
        <v>0</v>
      </c>
      <c r="DL353" s="316">
        <v>0</v>
      </c>
      <c r="DM353" s="316">
        <v>0</v>
      </c>
      <c r="DN353" s="318">
        <v>0</v>
      </c>
      <c r="DO353" s="316">
        <v>0</v>
      </c>
      <c r="DP353" s="316">
        <v>0</v>
      </c>
      <c r="DQ353" s="316">
        <v>0</v>
      </c>
      <c r="DR353" s="316">
        <v>0</v>
      </c>
      <c r="DS353" s="316">
        <v>0</v>
      </c>
      <c r="DT353" s="316">
        <v>0</v>
      </c>
      <c r="DU353" s="316">
        <v>0</v>
      </c>
      <c r="DV353" s="316">
        <v>0</v>
      </c>
      <c r="DW353" s="316">
        <v>0</v>
      </c>
      <c r="DX353" s="316">
        <v>0</v>
      </c>
      <c r="DY353" s="316">
        <v>0</v>
      </c>
      <c r="DZ353" s="318">
        <v>0</v>
      </c>
      <c r="EA353" s="316">
        <v>0</v>
      </c>
      <c r="EB353" s="316">
        <v>0</v>
      </c>
      <c r="EC353" s="316">
        <v>0</v>
      </c>
      <c r="ED353" s="316">
        <v>0</v>
      </c>
      <c r="EE353" s="316">
        <v>0</v>
      </c>
      <c r="EF353" s="316">
        <v>0</v>
      </c>
      <c r="EG353" s="316">
        <v>0</v>
      </c>
      <c r="EH353" s="316">
        <v>0</v>
      </c>
      <c r="EI353" s="316">
        <v>0</v>
      </c>
      <c r="EJ353" s="316">
        <v>0</v>
      </c>
      <c r="EK353" s="316">
        <v>0</v>
      </c>
      <c r="EL353" s="318">
        <v>0</v>
      </c>
      <c r="EM353" s="316">
        <v>0</v>
      </c>
      <c r="EN353" s="316">
        <v>0</v>
      </c>
      <c r="EO353" s="316">
        <v>0</v>
      </c>
      <c r="EP353" s="316">
        <v>0</v>
      </c>
      <c r="EQ353" s="316">
        <v>0</v>
      </c>
      <c r="ER353" s="316">
        <v>0</v>
      </c>
      <c r="ES353" s="316">
        <v>0</v>
      </c>
      <c r="ET353" s="316">
        <v>0</v>
      </c>
      <c r="EU353" s="316">
        <v>0</v>
      </c>
      <c r="EV353" s="316">
        <v>0</v>
      </c>
      <c r="EW353" s="316">
        <v>0</v>
      </c>
      <c r="EX353" s="318">
        <v>0</v>
      </c>
      <c r="EY353" s="316">
        <v>0</v>
      </c>
      <c r="EZ353" s="316">
        <v>0</v>
      </c>
      <c r="FA353" s="316">
        <v>0</v>
      </c>
      <c r="FB353" s="316">
        <v>0</v>
      </c>
      <c r="FC353" s="316">
        <v>0</v>
      </c>
      <c r="FD353" s="316">
        <v>0</v>
      </c>
      <c r="FE353" s="316">
        <v>0</v>
      </c>
      <c r="FF353" s="316">
        <v>0</v>
      </c>
      <c r="FG353" s="316">
        <v>0</v>
      </c>
      <c r="FH353" s="316">
        <v>0</v>
      </c>
      <c r="FI353" s="316">
        <v>0</v>
      </c>
      <c r="FJ353" s="318">
        <v>0</v>
      </c>
      <c r="FK353" s="316">
        <v>0</v>
      </c>
      <c r="FL353" s="316">
        <v>0</v>
      </c>
      <c r="FM353" s="316">
        <v>0</v>
      </c>
      <c r="FN353" s="316">
        <v>0</v>
      </c>
      <c r="FO353" s="316">
        <v>0</v>
      </c>
      <c r="FP353" s="316">
        <v>0</v>
      </c>
      <c r="FQ353" s="316">
        <v>0</v>
      </c>
      <c r="FR353" s="316">
        <v>0</v>
      </c>
      <c r="FS353" s="316">
        <v>0</v>
      </c>
      <c r="FT353" s="316">
        <v>0</v>
      </c>
      <c r="FU353" s="316">
        <v>0</v>
      </c>
      <c r="FV353" s="316">
        <v>0</v>
      </c>
      <c r="FW353" s="316">
        <v>0</v>
      </c>
      <c r="FX353" s="316">
        <v>0</v>
      </c>
      <c r="FY353" s="316">
        <v>0</v>
      </c>
      <c r="FZ353" s="316">
        <v>0</v>
      </c>
      <c r="GA353" s="316">
        <v>0</v>
      </c>
      <c r="GB353" s="316">
        <v>0</v>
      </c>
      <c r="GC353" s="316">
        <v>0</v>
      </c>
      <c r="GD353" s="316">
        <v>0</v>
      </c>
      <c r="GE353" s="316">
        <v>0</v>
      </c>
      <c r="GF353" s="316">
        <v>0</v>
      </c>
      <c r="GG353" s="316">
        <v>0</v>
      </c>
      <c r="GH353" s="316">
        <v>0</v>
      </c>
      <c r="GI353" s="316">
        <v>0</v>
      </c>
      <c r="GJ353" s="316">
        <v>0</v>
      </c>
      <c r="GK353" s="316">
        <v>0</v>
      </c>
      <c r="GL353" s="316">
        <v>0</v>
      </c>
      <c r="GM353" s="316">
        <v>0</v>
      </c>
      <c r="GN353" s="316">
        <v>0</v>
      </c>
      <c r="GO353" s="316">
        <v>0</v>
      </c>
      <c r="GP353" s="316">
        <v>0</v>
      </c>
      <c r="GQ353" s="316">
        <v>0</v>
      </c>
      <c r="GR353" s="316">
        <v>0</v>
      </c>
      <c r="GS353" s="316">
        <v>0</v>
      </c>
      <c r="GT353" s="316">
        <v>0</v>
      </c>
      <c r="GU353" s="316">
        <v>0</v>
      </c>
      <c r="GV353" s="316">
        <v>0</v>
      </c>
      <c r="GW353" s="316">
        <v>0</v>
      </c>
      <c r="GX353" s="316">
        <v>0</v>
      </c>
      <c r="GY353" s="316">
        <v>0</v>
      </c>
      <c r="GZ353" s="316">
        <v>0</v>
      </c>
      <c r="HA353" s="316">
        <v>0</v>
      </c>
      <c r="HB353" s="316">
        <v>0</v>
      </c>
      <c r="HC353" s="316">
        <v>0</v>
      </c>
      <c r="HD353" s="316">
        <v>0</v>
      </c>
      <c r="HE353" s="316">
        <v>0</v>
      </c>
      <c r="HF353" s="316">
        <v>0</v>
      </c>
      <c r="HG353" s="316">
        <v>0</v>
      </c>
      <c r="HH353" s="316">
        <v>0</v>
      </c>
      <c r="HI353" s="316">
        <v>0</v>
      </c>
      <c r="HJ353" s="316">
        <v>0</v>
      </c>
      <c r="HK353" s="316">
        <v>0</v>
      </c>
      <c r="HL353" s="316">
        <v>0</v>
      </c>
      <c r="HM353" s="316"/>
      <c r="KH353" s="303"/>
    </row>
    <row r="354" spans="1:294" outlineLevel="1">
      <c r="A354" s="117" t="s">
        <v>527</v>
      </c>
      <c r="B354" s="117" t="s">
        <v>527</v>
      </c>
      <c r="D354" s="344" t="s">
        <v>532</v>
      </c>
      <c r="E354" s="316"/>
      <c r="F354" s="316"/>
      <c r="G354" s="316"/>
      <c r="H354" s="316"/>
      <c r="I354" s="316"/>
      <c r="J354" s="316"/>
      <c r="K354" s="316"/>
      <c r="L354" s="316"/>
      <c r="M354" s="316"/>
      <c r="N354" s="316"/>
      <c r="O354" s="316"/>
      <c r="P354" s="316"/>
      <c r="Q354" s="316"/>
      <c r="R354" s="316"/>
      <c r="S354" s="316"/>
      <c r="T354" s="316"/>
      <c r="U354" s="316"/>
      <c r="V354" s="316"/>
      <c r="W354" s="316"/>
      <c r="X354" s="316"/>
      <c r="Y354" s="316"/>
      <c r="Z354" s="316"/>
      <c r="AA354" s="316"/>
      <c r="AB354" s="316"/>
      <c r="AC354" s="316"/>
      <c r="AD354" s="316"/>
      <c r="AE354" s="316"/>
      <c r="AF354" s="316"/>
      <c r="AG354" s="316"/>
      <c r="AH354" s="316"/>
      <c r="AI354" s="316"/>
      <c r="AJ354" s="316"/>
      <c r="AK354" s="316"/>
      <c r="AL354" s="316"/>
      <c r="AM354" s="316"/>
      <c r="AN354" s="316"/>
      <c r="AO354" s="316"/>
      <c r="AP354" s="316"/>
      <c r="AQ354" s="316"/>
      <c r="AR354" s="316"/>
      <c r="AS354" s="316"/>
      <c r="AT354" s="316"/>
      <c r="AU354" s="316"/>
      <c r="AV354" s="316"/>
      <c r="AW354" s="316"/>
      <c r="AX354" s="316"/>
      <c r="AY354" s="316"/>
      <c r="AZ354" s="316"/>
      <c r="BA354" s="316"/>
      <c r="BB354" s="316"/>
      <c r="BC354" s="316"/>
      <c r="BD354" s="316"/>
      <c r="BE354" s="316"/>
      <c r="BF354" s="316"/>
      <c r="BG354" s="316"/>
      <c r="BH354" s="316"/>
      <c r="BI354" s="316"/>
      <c r="BJ354" s="316"/>
      <c r="BK354" s="316"/>
      <c r="BL354" s="316"/>
      <c r="BM354" s="316"/>
      <c r="BN354" s="316"/>
      <c r="BO354" s="316"/>
      <c r="BP354" s="316"/>
      <c r="BQ354" s="316"/>
      <c r="BR354" s="316"/>
      <c r="BS354" s="316"/>
      <c r="BT354" s="316"/>
      <c r="BU354" s="316"/>
      <c r="BV354" s="316"/>
      <c r="BW354" s="316"/>
      <c r="BX354" s="316"/>
      <c r="BY354" s="316"/>
      <c r="BZ354" s="316"/>
      <c r="CA354" s="316"/>
      <c r="CB354" s="316"/>
      <c r="CC354" s="316"/>
      <c r="CD354" s="316"/>
      <c r="CE354" s="316">
        <v>0</v>
      </c>
      <c r="CF354" s="316">
        <v>0</v>
      </c>
      <c r="CG354" s="316">
        <v>0</v>
      </c>
      <c r="CH354" s="316">
        <v>0</v>
      </c>
      <c r="CI354" s="316">
        <v>0</v>
      </c>
      <c r="CJ354" s="316">
        <v>0</v>
      </c>
      <c r="CK354" s="316">
        <v>0</v>
      </c>
      <c r="CL354" s="316">
        <v>0</v>
      </c>
      <c r="CM354" s="316">
        <v>0</v>
      </c>
      <c r="CN354" s="316">
        <v>0</v>
      </c>
      <c r="CO354" s="316">
        <v>0</v>
      </c>
      <c r="CP354" s="318">
        <v>0</v>
      </c>
      <c r="CQ354" s="316">
        <v>0</v>
      </c>
      <c r="CR354" s="316">
        <v>0</v>
      </c>
      <c r="CS354" s="316">
        <v>0</v>
      </c>
      <c r="CT354" s="316">
        <v>0</v>
      </c>
      <c r="CU354" s="316">
        <v>0</v>
      </c>
      <c r="CV354" s="316">
        <v>0</v>
      </c>
      <c r="CW354" s="316">
        <v>0</v>
      </c>
      <c r="CX354" s="316">
        <v>0</v>
      </c>
      <c r="CY354" s="316">
        <v>0</v>
      </c>
      <c r="CZ354" s="316">
        <v>0</v>
      </c>
      <c r="DA354" s="316">
        <v>0</v>
      </c>
      <c r="DB354" s="1498">
        <v>0</v>
      </c>
      <c r="DC354" s="316">
        <v>0</v>
      </c>
      <c r="DD354" s="316">
        <v>0</v>
      </c>
      <c r="DE354" s="316">
        <v>0</v>
      </c>
      <c r="DF354" s="316">
        <v>0</v>
      </c>
      <c r="DG354" s="316">
        <v>0</v>
      </c>
      <c r="DH354" s="316">
        <v>0</v>
      </c>
      <c r="DI354" s="316">
        <v>0</v>
      </c>
      <c r="DJ354" s="316">
        <v>0</v>
      </c>
      <c r="DK354" s="316">
        <v>0</v>
      </c>
      <c r="DL354" s="316">
        <v>0</v>
      </c>
      <c r="DM354" s="316">
        <v>0</v>
      </c>
      <c r="DN354" s="318">
        <v>0</v>
      </c>
      <c r="DO354" s="316">
        <v>0</v>
      </c>
      <c r="DP354" s="316">
        <v>0</v>
      </c>
      <c r="DQ354" s="316">
        <v>0</v>
      </c>
      <c r="DR354" s="316">
        <v>0</v>
      </c>
      <c r="DS354" s="316">
        <v>0</v>
      </c>
      <c r="DT354" s="316">
        <v>0</v>
      </c>
      <c r="DU354" s="316">
        <v>0</v>
      </c>
      <c r="DV354" s="316">
        <v>0</v>
      </c>
      <c r="DW354" s="316">
        <v>0</v>
      </c>
      <c r="DX354" s="316">
        <v>0</v>
      </c>
      <c r="DY354" s="316">
        <v>0</v>
      </c>
      <c r="DZ354" s="318">
        <v>0</v>
      </c>
      <c r="EA354" s="316">
        <v>0</v>
      </c>
      <c r="EB354" s="316">
        <v>0</v>
      </c>
      <c r="EC354" s="316">
        <v>0</v>
      </c>
      <c r="ED354" s="316">
        <v>0</v>
      </c>
      <c r="EE354" s="316">
        <v>0</v>
      </c>
      <c r="EF354" s="316">
        <v>0</v>
      </c>
      <c r="EG354" s="316">
        <v>0</v>
      </c>
      <c r="EH354" s="316">
        <v>0</v>
      </c>
      <c r="EI354" s="316">
        <v>0</v>
      </c>
      <c r="EJ354" s="316">
        <v>0</v>
      </c>
      <c r="EK354" s="316">
        <v>0</v>
      </c>
      <c r="EL354" s="318">
        <v>0</v>
      </c>
      <c r="EM354" s="316">
        <v>0</v>
      </c>
      <c r="EN354" s="316">
        <v>0</v>
      </c>
      <c r="EO354" s="316">
        <v>0</v>
      </c>
      <c r="EP354" s="316">
        <v>0</v>
      </c>
      <c r="EQ354" s="316">
        <v>0</v>
      </c>
      <c r="ER354" s="316">
        <v>0</v>
      </c>
      <c r="ES354" s="316">
        <v>0</v>
      </c>
      <c r="ET354" s="316">
        <v>0</v>
      </c>
      <c r="EU354" s="316">
        <v>0</v>
      </c>
      <c r="EV354" s="316">
        <v>0</v>
      </c>
      <c r="EW354" s="316">
        <v>0</v>
      </c>
      <c r="EX354" s="318">
        <v>0</v>
      </c>
      <c r="EY354" s="316">
        <v>0</v>
      </c>
      <c r="EZ354" s="316">
        <v>0</v>
      </c>
      <c r="FA354" s="316">
        <v>0</v>
      </c>
      <c r="FB354" s="316">
        <v>0</v>
      </c>
      <c r="FC354" s="316">
        <v>0</v>
      </c>
      <c r="FD354" s="316">
        <v>0</v>
      </c>
      <c r="FE354" s="316">
        <v>0</v>
      </c>
      <c r="FF354" s="316">
        <v>0</v>
      </c>
      <c r="FG354" s="316">
        <v>0</v>
      </c>
      <c r="FH354" s="316">
        <v>0</v>
      </c>
      <c r="FI354" s="316">
        <v>0</v>
      </c>
      <c r="FJ354" s="318">
        <v>0</v>
      </c>
      <c r="FK354" s="316">
        <v>0</v>
      </c>
      <c r="FL354" s="316">
        <v>0</v>
      </c>
      <c r="FM354" s="316">
        <v>0</v>
      </c>
      <c r="FN354" s="316">
        <v>0</v>
      </c>
      <c r="FO354" s="316">
        <v>0</v>
      </c>
      <c r="FP354" s="316">
        <v>0</v>
      </c>
      <c r="FQ354" s="316">
        <v>0</v>
      </c>
      <c r="FR354" s="316">
        <v>0</v>
      </c>
      <c r="FS354" s="316">
        <v>0</v>
      </c>
      <c r="FT354" s="316">
        <v>0</v>
      </c>
      <c r="FU354" s="316">
        <v>0</v>
      </c>
      <c r="FV354" s="316">
        <v>0</v>
      </c>
      <c r="FW354" s="316">
        <v>0</v>
      </c>
      <c r="FX354" s="316">
        <v>0</v>
      </c>
      <c r="FY354" s="316">
        <v>0</v>
      </c>
      <c r="FZ354" s="316">
        <v>0</v>
      </c>
      <c r="GA354" s="316">
        <v>0</v>
      </c>
      <c r="GB354" s="316">
        <v>0</v>
      </c>
      <c r="GC354" s="316">
        <v>0</v>
      </c>
      <c r="GD354" s="316">
        <v>0</v>
      </c>
      <c r="GE354" s="316">
        <v>0</v>
      </c>
      <c r="GF354" s="316">
        <v>0</v>
      </c>
      <c r="GG354" s="316">
        <v>0</v>
      </c>
      <c r="GH354" s="316">
        <v>0</v>
      </c>
      <c r="GI354" s="316">
        <v>0</v>
      </c>
      <c r="GJ354" s="316">
        <v>0</v>
      </c>
      <c r="GK354" s="316">
        <v>0</v>
      </c>
      <c r="GL354" s="316">
        <v>0</v>
      </c>
      <c r="GM354" s="316">
        <v>0</v>
      </c>
      <c r="GN354" s="316">
        <v>0</v>
      </c>
      <c r="GO354" s="316">
        <v>0</v>
      </c>
      <c r="GP354" s="316">
        <v>0</v>
      </c>
      <c r="GQ354" s="316">
        <v>0</v>
      </c>
      <c r="GR354" s="316">
        <v>0</v>
      </c>
      <c r="GS354" s="316">
        <v>0</v>
      </c>
      <c r="GT354" s="316">
        <v>0</v>
      </c>
      <c r="GU354" s="316">
        <v>0</v>
      </c>
      <c r="GV354" s="316">
        <v>0</v>
      </c>
      <c r="GW354" s="316">
        <v>0</v>
      </c>
      <c r="GX354" s="316">
        <v>0</v>
      </c>
      <c r="GY354" s="316">
        <v>0</v>
      </c>
      <c r="GZ354" s="316">
        <v>0</v>
      </c>
      <c r="HA354" s="316">
        <v>0</v>
      </c>
      <c r="HB354" s="316">
        <v>0</v>
      </c>
      <c r="HC354" s="316">
        <v>0</v>
      </c>
      <c r="HD354" s="316">
        <v>0</v>
      </c>
      <c r="HE354" s="316">
        <v>0</v>
      </c>
      <c r="HF354" s="316">
        <v>0</v>
      </c>
      <c r="HG354" s="316">
        <v>0</v>
      </c>
      <c r="HH354" s="316">
        <v>0</v>
      </c>
      <c r="HI354" s="316">
        <v>0</v>
      </c>
      <c r="HJ354" s="316">
        <v>0</v>
      </c>
      <c r="HK354" s="316">
        <v>0</v>
      </c>
      <c r="HL354" s="316">
        <v>0</v>
      </c>
      <c r="HM354" s="316"/>
      <c r="KH354" s="303"/>
    </row>
    <row r="355" spans="1:294" outlineLevel="1">
      <c r="A355" s="117" t="s">
        <v>527</v>
      </c>
      <c r="B355" s="117" t="s">
        <v>527</v>
      </c>
      <c r="D355" s="344" t="s">
        <v>533</v>
      </c>
      <c r="E355" s="316"/>
      <c r="F355" s="316"/>
      <c r="G355" s="316"/>
      <c r="H355" s="316"/>
      <c r="I355" s="316"/>
      <c r="J355" s="316"/>
      <c r="K355" s="316"/>
      <c r="L355" s="316"/>
      <c r="M355" s="316"/>
      <c r="N355" s="316"/>
      <c r="O355" s="316"/>
      <c r="P355" s="316"/>
      <c r="Q355" s="316"/>
      <c r="R355" s="316"/>
      <c r="S355" s="316"/>
      <c r="T355" s="316"/>
      <c r="U355" s="316"/>
      <c r="V355" s="316"/>
      <c r="W355" s="316"/>
      <c r="X355" s="316"/>
      <c r="Y355" s="316"/>
      <c r="Z355" s="316"/>
      <c r="AA355" s="316"/>
      <c r="AB355" s="316"/>
      <c r="AC355" s="316"/>
      <c r="AD355" s="316"/>
      <c r="AE355" s="316"/>
      <c r="AF355" s="316"/>
      <c r="AG355" s="316"/>
      <c r="AH355" s="316"/>
      <c r="AI355" s="316"/>
      <c r="AJ355" s="316"/>
      <c r="AK355" s="316"/>
      <c r="AL355" s="316"/>
      <c r="AM355" s="316"/>
      <c r="AN355" s="316"/>
      <c r="AO355" s="316"/>
      <c r="AP355" s="316"/>
      <c r="AQ355" s="316"/>
      <c r="AR355" s="316"/>
      <c r="AS355" s="316"/>
      <c r="AT355" s="316"/>
      <c r="AU355" s="316"/>
      <c r="AV355" s="316"/>
      <c r="AW355" s="316"/>
      <c r="AX355" s="316"/>
      <c r="AY355" s="316"/>
      <c r="AZ355" s="316"/>
      <c r="BA355" s="316"/>
      <c r="BB355" s="316"/>
      <c r="BC355" s="316"/>
      <c r="BD355" s="316"/>
      <c r="BE355" s="316"/>
      <c r="BF355" s="316"/>
      <c r="BG355" s="316"/>
      <c r="BH355" s="316"/>
      <c r="BI355" s="316"/>
      <c r="BJ355" s="316"/>
      <c r="BK355" s="316"/>
      <c r="BL355" s="316"/>
      <c r="BM355" s="316"/>
      <c r="BN355" s="316"/>
      <c r="BO355" s="316"/>
      <c r="BP355" s="316"/>
      <c r="BQ355" s="316"/>
      <c r="BR355" s="316"/>
      <c r="BS355" s="316"/>
      <c r="BT355" s="316"/>
      <c r="BU355" s="316"/>
      <c r="BV355" s="316"/>
      <c r="BW355" s="316"/>
      <c r="BX355" s="316"/>
      <c r="BY355" s="316"/>
      <c r="BZ355" s="316"/>
      <c r="CA355" s="316"/>
      <c r="CB355" s="316"/>
      <c r="CC355" s="316"/>
      <c r="CD355" s="316"/>
      <c r="CE355" s="316">
        <v>0</v>
      </c>
      <c r="CF355" s="316">
        <v>0</v>
      </c>
      <c r="CG355" s="316">
        <v>0</v>
      </c>
      <c r="CH355" s="316">
        <v>0</v>
      </c>
      <c r="CI355" s="316">
        <v>0</v>
      </c>
      <c r="CJ355" s="316">
        <v>0</v>
      </c>
      <c r="CK355" s="316">
        <v>0</v>
      </c>
      <c r="CL355" s="316">
        <v>0</v>
      </c>
      <c r="CM355" s="316">
        <v>0</v>
      </c>
      <c r="CN355" s="316">
        <v>0</v>
      </c>
      <c r="CO355" s="316">
        <v>0</v>
      </c>
      <c r="CP355" s="318">
        <v>0</v>
      </c>
      <c r="CQ355" s="316">
        <v>0</v>
      </c>
      <c r="CR355" s="316">
        <v>0</v>
      </c>
      <c r="CS355" s="316">
        <v>0</v>
      </c>
      <c r="CT355" s="316">
        <v>0</v>
      </c>
      <c r="CU355" s="316">
        <v>0</v>
      </c>
      <c r="CV355" s="316">
        <v>0</v>
      </c>
      <c r="CW355" s="316">
        <v>0</v>
      </c>
      <c r="CX355" s="316">
        <v>0</v>
      </c>
      <c r="CY355" s="316">
        <v>0</v>
      </c>
      <c r="CZ355" s="316">
        <v>0</v>
      </c>
      <c r="DA355" s="316">
        <v>0</v>
      </c>
      <c r="DB355" s="1498">
        <v>0</v>
      </c>
      <c r="DC355" s="316">
        <v>0</v>
      </c>
      <c r="DD355" s="316">
        <v>0</v>
      </c>
      <c r="DE355" s="316">
        <v>0</v>
      </c>
      <c r="DF355" s="316">
        <v>0</v>
      </c>
      <c r="DG355" s="316">
        <v>0</v>
      </c>
      <c r="DH355" s="316">
        <v>0</v>
      </c>
      <c r="DI355" s="316">
        <v>0</v>
      </c>
      <c r="DJ355" s="316">
        <v>0</v>
      </c>
      <c r="DK355" s="316">
        <v>0</v>
      </c>
      <c r="DL355" s="316">
        <v>0</v>
      </c>
      <c r="DM355" s="316">
        <v>0</v>
      </c>
      <c r="DN355" s="318">
        <v>0</v>
      </c>
      <c r="DO355" s="316">
        <v>0</v>
      </c>
      <c r="DP355" s="316">
        <v>0</v>
      </c>
      <c r="DQ355" s="316">
        <v>0</v>
      </c>
      <c r="DR355" s="316">
        <v>0</v>
      </c>
      <c r="DS355" s="316">
        <v>0</v>
      </c>
      <c r="DT355" s="316">
        <v>0</v>
      </c>
      <c r="DU355" s="316">
        <v>0</v>
      </c>
      <c r="DV355" s="316">
        <v>0</v>
      </c>
      <c r="DW355" s="316">
        <v>0</v>
      </c>
      <c r="DX355" s="316">
        <v>0</v>
      </c>
      <c r="DY355" s="316">
        <v>0</v>
      </c>
      <c r="DZ355" s="318">
        <v>0</v>
      </c>
      <c r="EA355" s="316">
        <v>0</v>
      </c>
      <c r="EB355" s="316">
        <v>0</v>
      </c>
      <c r="EC355" s="316">
        <v>0</v>
      </c>
      <c r="ED355" s="316">
        <v>0</v>
      </c>
      <c r="EE355" s="316">
        <v>0</v>
      </c>
      <c r="EF355" s="316">
        <v>0</v>
      </c>
      <c r="EG355" s="316">
        <v>0</v>
      </c>
      <c r="EH355" s="316">
        <v>0</v>
      </c>
      <c r="EI355" s="316">
        <v>0</v>
      </c>
      <c r="EJ355" s="316">
        <v>0</v>
      </c>
      <c r="EK355" s="316">
        <v>0</v>
      </c>
      <c r="EL355" s="318">
        <v>0</v>
      </c>
      <c r="EM355" s="316">
        <v>0</v>
      </c>
      <c r="EN355" s="316">
        <v>0</v>
      </c>
      <c r="EO355" s="316">
        <v>0</v>
      </c>
      <c r="EP355" s="316">
        <v>0</v>
      </c>
      <c r="EQ355" s="316">
        <v>0</v>
      </c>
      <c r="ER355" s="316">
        <v>0</v>
      </c>
      <c r="ES355" s="316">
        <v>0</v>
      </c>
      <c r="ET355" s="316">
        <v>0</v>
      </c>
      <c r="EU355" s="316">
        <v>0</v>
      </c>
      <c r="EV355" s="316">
        <v>0</v>
      </c>
      <c r="EW355" s="316">
        <v>0</v>
      </c>
      <c r="EX355" s="318">
        <v>0</v>
      </c>
      <c r="EY355" s="316">
        <v>0</v>
      </c>
      <c r="EZ355" s="316">
        <v>0</v>
      </c>
      <c r="FA355" s="316">
        <v>0</v>
      </c>
      <c r="FB355" s="316">
        <v>0</v>
      </c>
      <c r="FC355" s="316">
        <v>0</v>
      </c>
      <c r="FD355" s="316">
        <v>0</v>
      </c>
      <c r="FE355" s="316">
        <v>0</v>
      </c>
      <c r="FF355" s="316">
        <v>0</v>
      </c>
      <c r="FG355" s="316">
        <v>0</v>
      </c>
      <c r="FH355" s="316">
        <v>0</v>
      </c>
      <c r="FI355" s="316">
        <v>0</v>
      </c>
      <c r="FJ355" s="318">
        <v>0</v>
      </c>
      <c r="FK355" s="316">
        <v>0</v>
      </c>
      <c r="FL355" s="316">
        <v>0</v>
      </c>
      <c r="FM355" s="316">
        <v>0</v>
      </c>
      <c r="FN355" s="316">
        <v>0</v>
      </c>
      <c r="FO355" s="316">
        <v>0</v>
      </c>
      <c r="FP355" s="316">
        <v>0</v>
      </c>
      <c r="FQ355" s="316">
        <v>0</v>
      </c>
      <c r="FR355" s="316">
        <v>0</v>
      </c>
      <c r="FS355" s="316">
        <v>0</v>
      </c>
      <c r="FT355" s="316">
        <v>0</v>
      </c>
      <c r="FU355" s="316">
        <v>0</v>
      </c>
      <c r="FV355" s="316">
        <v>0</v>
      </c>
      <c r="FW355" s="316">
        <v>0</v>
      </c>
      <c r="FX355" s="316">
        <v>0</v>
      </c>
      <c r="FY355" s="316">
        <v>0</v>
      </c>
      <c r="FZ355" s="316">
        <v>0</v>
      </c>
      <c r="GA355" s="316">
        <v>0</v>
      </c>
      <c r="GB355" s="316">
        <v>0</v>
      </c>
      <c r="GC355" s="316">
        <v>0</v>
      </c>
      <c r="GD355" s="316">
        <v>0</v>
      </c>
      <c r="GE355" s="316">
        <v>0</v>
      </c>
      <c r="GF355" s="316">
        <v>0</v>
      </c>
      <c r="GG355" s="316">
        <v>0</v>
      </c>
      <c r="GH355" s="316">
        <v>0</v>
      </c>
      <c r="GI355" s="316">
        <v>0</v>
      </c>
      <c r="GJ355" s="316">
        <v>0</v>
      </c>
      <c r="GK355" s="316">
        <v>0</v>
      </c>
      <c r="GL355" s="316">
        <v>0</v>
      </c>
      <c r="GM355" s="316">
        <v>0</v>
      </c>
      <c r="GN355" s="316">
        <v>0</v>
      </c>
      <c r="GO355" s="316">
        <v>0</v>
      </c>
      <c r="GP355" s="316">
        <v>0</v>
      </c>
      <c r="GQ355" s="316">
        <v>0</v>
      </c>
      <c r="GR355" s="316">
        <v>0</v>
      </c>
      <c r="GS355" s="316">
        <v>0</v>
      </c>
      <c r="GT355" s="316">
        <v>0</v>
      </c>
      <c r="GU355" s="316">
        <v>0</v>
      </c>
      <c r="GV355" s="316">
        <v>0</v>
      </c>
      <c r="GW355" s="316">
        <v>0</v>
      </c>
      <c r="GX355" s="316">
        <v>0</v>
      </c>
      <c r="GY355" s="316">
        <v>0</v>
      </c>
      <c r="GZ355" s="316">
        <v>0</v>
      </c>
      <c r="HA355" s="316">
        <v>0</v>
      </c>
      <c r="HB355" s="316">
        <v>0</v>
      </c>
      <c r="HC355" s="316">
        <v>0</v>
      </c>
      <c r="HD355" s="316">
        <v>0</v>
      </c>
      <c r="HE355" s="316">
        <v>0</v>
      </c>
      <c r="HF355" s="316">
        <v>0</v>
      </c>
      <c r="HG355" s="316">
        <v>0</v>
      </c>
      <c r="HH355" s="316">
        <v>0</v>
      </c>
      <c r="HI355" s="316">
        <v>0</v>
      </c>
      <c r="HJ355" s="316">
        <v>0</v>
      </c>
      <c r="HK355" s="316">
        <v>0</v>
      </c>
      <c r="HL355" s="316">
        <v>0</v>
      </c>
      <c r="HM355" s="316"/>
      <c r="KH355" s="303"/>
    </row>
    <row r="356" spans="1:294" outlineLevel="1">
      <c r="A356" s="117" t="s">
        <v>527</v>
      </c>
      <c r="B356" s="117" t="s">
        <v>527</v>
      </c>
      <c r="D356" s="343" t="s">
        <v>534</v>
      </c>
      <c r="E356" s="316"/>
      <c r="F356" s="316"/>
      <c r="G356" s="316"/>
      <c r="H356" s="316"/>
      <c r="I356" s="316"/>
      <c r="J356" s="316"/>
      <c r="K356" s="316"/>
      <c r="L356" s="316"/>
      <c r="M356" s="316"/>
      <c r="N356" s="316"/>
      <c r="O356" s="316"/>
      <c r="P356" s="316"/>
      <c r="Q356" s="316"/>
      <c r="R356" s="316"/>
      <c r="S356" s="316"/>
      <c r="T356" s="316"/>
      <c r="U356" s="316"/>
      <c r="V356" s="316"/>
      <c r="W356" s="316"/>
      <c r="X356" s="316"/>
      <c r="Y356" s="316"/>
      <c r="Z356" s="316"/>
      <c r="AA356" s="316"/>
      <c r="AB356" s="316"/>
      <c r="AC356" s="316"/>
      <c r="AD356" s="316"/>
      <c r="AE356" s="316"/>
      <c r="AF356" s="316"/>
      <c r="AG356" s="316"/>
      <c r="AH356" s="316"/>
      <c r="AI356" s="316"/>
      <c r="AJ356" s="316"/>
      <c r="AK356" s="316"/>
      <c r="AL356" s="316"/>
      <c r="AM356" s="316"/>
      <c r="AN356" s="316"/>
      <c r="AO356" s="316"/>
      <c r="AP356" s="316"/>
      <c r="AQ356" s="316"/>
      <c r="AR356" s="316"/>
      <c r="AS356" s="316"/>
      <c r="AT356" s="316"/>
      <c r="AU356" s="316"/>
      <c r="AV356" s="316"/>
      <c r="AW356" s="316"/>
      <c r="AX356" s="316"/>
      <c r="AY356" s="316"/>
      <c r="AZ356" s="316"/>
      <c r="BA356" s="316"/>
      <c r="BB356" s="316"/>
      <c r="BC356" s="316"/>
      <c r="BD356" s="316"/>
      <c r="BE356" s="316"/>
      <c r="BF356" s="316"/>
      <c r="BG356" s="316"/>
      <c r="BH356" s="316"/>
      <c r="BI356" s="316"/>
      <c r="BJ356" s="316"/>
      <c r="BK356" s="316"/>
      <c r="BL356" s="316"/>
      <c r="BM356" s="316"/>
      <c r="BN356" s="316"/>
      <c r="BO356" s="316"/>
      <c r="BP356" s="316"/>
      <c r="BQ356" s="316"/>
      <c r="BR356" s="316"/>
      <c r="BS356" s="316"/>
      <c r="BT356" s="316"/>
      <c r="BU356" s="316"/>
      <c r="BV356" s="316"/>
      <c r="BW356" s="316"/>
      <c r="BX356" s="316"/>
      <c r="BY356" s="316"/>
      <c r="BZ356" s="316"/>
      <c r="CA356" s="316"/>
      <c r="CB356" s="316"/>
      <c r="CC356" s="316"/>
      <c r="CD356" s="316"/>
      <c r="CE356" s="317">
        <v>0</v>
      </c>
      <c r="CF356" s="316">
        <v>0</v>
      </c>
      <c r="CG356" s="316">
        <v>0</v>
      </c>
      <c r="CH356" s="316">
        <v>0</v>
      </c>
      <c r="CI356" s="316">
        <v>0</v>
      </c>
      <c r="CJ356" s="316">
        <v>0</v>
      </c>
      <c r="CK356" s="316">
        <v>0</v>
      </c>
      <c r="CL356" s="316">
        <v>0</v>
      </c>
      <c r="CM356" s="316">
        <v>0</v>
      </c>
      <c r="CN356" s="316">
        <v>0</v>
      </c>
      <c r="CO356" s="316">
        <v>0</v>
      </c>
      <c r="CP356" s="318">
        <v>0</v>
      </c>
      <c r="CQ356" s="316">
        <v>0</v>
      </c>
      <c r="CR356" s="316">
        <v>0</v>
      </c>
      <c r="CS356" s="316">
        <v>0</v>
      </c>
      <c r="CT356" s="316">
        <v>0</v>
      </c>
      <c r="CU356" s="316">
        <v>0</v>
      </c>
      <c r="CV356" s="316">
        <v>0</v>
      </c>
      <c r="CW356" s="316">
        <v>0</v>
      </c>
      <c r="CX356" s="316">
        <v>0</v>
      </c>
      <c r="CY356" s="316">
        <v>0</v>
      </c>
      <c r="CZ356" s="316">
        <v>0</v>
      </c>
      <c r="DA356" s="316">
        <v>0</v>
      </c>
      <c r="DB356" s="1498">
        <v>0</v>
      </c>
      <c r="DC356" s="316">
        <v>0</v>
      </c>
      <c r="DD356" s="316">
        <v>0</v>
      </c>
      <c r="DE356" s="316">
        <v>0</v>
      </c>
      <c r="DF356" s="316">
        <v>0</v>
      </c>
      <c r="DG356" s="316">
        <v>0</v>
      </c>
      <c r="DH356" s="316">
        <v>0</v>
      </c>
      <c r="DI356" s="316">
        <v>0</v>
      </c>
      <c r="DJ356" s="316">
        <v>0</v>
      </c>
      <c r="DK356" s="316">
        <v>0</v>
      </c>
      <c r="DL356" s="316">
        <v>0</v>
      </c>
      <c r="DM356" s="316">
        <v>0</v>
      </c>
      <c r="DN356" s="318">
        <v>0</v>
      </c>
      <c r="DO356" s="316">
        <v>0</v>
      </c>
      <c r="DP356" s="316">
        <v>0</v>
      </c>
      <c r="DQ356" s="316">
        <v>0</v>
      </c>
      <c r="DR356" s="316">
        <v>0</v>
      </c>
      <c r="DS356" s="316">
        <v>0</v>
      </c>
      <c r="DT356" s="316">
        <v>0</v>
      </c>
      <c r="DU356" s="316">
        <v>0</v>
      </c>
      <c r="DV356" s="316">
        <v>0</v>
      </c>
      <c r="DW356" s="316">
        <v>0</v>
      </c>
      <c r="DX356" s="316">
        <v>0</v>
      </c>
      <c r="DY356" s="316">
        <v>0</v>
      </c>
      <c r="DZ356" s="318">
        <v>0</v>
      </c>
      <c r="EA356" s="316">
        <v>0</v>
      </c>
      <c r="EB356" s="316">
        <v>0</v>
      </c>
      <c r="EC356" s="316">
        <v>0</v>
      </c>
      <c r="ED356" s="316">
        <v>0</v>
      </c>
      <c r="EE356" s="316">
        <v>0</v>
      </c>
      <c r="EF356" s="316">
        <v>0</v>
      </c>
      <c r="EG356" s="316">
        <v>0</v>
      </c>
      <c r="EH356" s="316">
        <v>0</v>
      </c>
      <c r="EI356" s="316">
        <v>0</v>
      </c>
      <c r="EJ356" s="316">
        <v>0</v>
      </c>
      <c r="EK356" s="316">
        <v>0</v>
      </c>
      <c r="EL356" s="318">
        <v>0</v>
      </c>
      <c r="EM356" s="316">
        <v>0</v>
      </c>
      <c r="EN356" s="316">
        <v>0</v>
      </c>
      <c r="EO356" s="316">
        <v>0</v>
      </c>
      <c r="EP356" s="316">
        <v>0</v>
      </c>
      <c r="EQ356" s="316">
        <v>0</v>
      </c>
      <c r="ER356" s="316">
        <v>0</v>
      </c>
      <c r="ES356" s="316">
        <v>0</v>
      </c>
      <c r="ET356" s="316">
        <v>0</v>
      </c>
      <c r="EU356" s="316">
        <v>0</v>
      </c>
      <c r="EV356" s="316">
        <v>0</v>
      </c>
      <c r="EW356" s="316">
        <v>0</v>
      </c>
      <c r="EX356" s="318">
        <v>0</v>
      </c>
      <c r="EY356" s="316">
        <v>0</v>
      </c>
      <c r="EZ356" s="316">
        <v>0</v>
      </c>
      <c r="FA356" s="316">
        <v>0</v>
      </c>
      <c r="FB356" s="316">
        <v>0</v>
      </c>
      <c r="FC356" s="316">
        <v>0</v>
      </c>
      <c r="FD356" s="316">
        <v>0</v>
      </c>
      <c r="FE356" s="316">
        <v>0</v>
      </c>
      <c r="FF356" s="316">
        <v>0</v>
      </c>
      <c r="FG356" s="316">
        <v>0</v>
      </c>
      <c r="FH356" s="316">
        <v>0</v>
      </c>
      <c r="FI356" s="316">
        <v>0</v>
      </c>
      <c r="FJ356" s="318">
        <v>0</v>
      </c>
      <c r="FK356" s="316">
        <v>0</v>
      </c>
      <c r="FL356" s="316">
        <v>0</v>
      </c>
      <c r="FM356" s="316">
        <v>0</v>
      </c>
      <c r="FN356" s="316">
        <v>0</v>
      </c>
      <c r="FO356" s="316">
        <v>0</v>
      </c>
      <c r="FP356" s="316">
        <v>0</v>
      </c>
      <c r="FQ356" s="316">
        <v>0</v>
      </c>
      <c r="FR356" s="316">
        <v>0</v>
      </c>
      <c r="FS356" s="316">
        <v>0</v>
      </c>
      <c r="FT356" s="316">
        <v>0</v>
      </c>
      <c r="FU356" s="316">
        <v>0</v>
      </c>
      <c r="FV356" s="316">
        <v>0</v>
      </c>
      <c r="FW356" s="316">
        <v>0</v>
      </c>
      <c r="FX356" s="316">
        <v>0</v>
      </c>
      <c r="FY356" s="316">
        <v>0</v>
      </c>
      <c r="FZ356" s="316">
        <v>0</v>
      </c>
      <c r="GA356" s="316">
        <v>0</v>
      </c>
      <c r="GB356" s="316">
        <v>0</v>
      </c>
      <c r="GC356" s="316">
        <v>0</v>
      </c>
      <c r="GD356" s="316">
        <v>0</v>
      </c>
      <c r="GE356" s="316">
        <v>0</v>
      </c>
      <c r="GF356" s="316">
        <v>0</v>
      </c>
      <c r="GG356" s="316">
        <v>0</v>
      </c>
      <c r="GH356" s="316">
        <v>0</v>
      </c>
      <c r="GI356" s="316">
        <v>0</v>
      </c>
      <c r="GJ356" s="316">
        <v>0</v>
      </c>
      <c r="GK356" s="316">
        <v>0</v>
      </c>
      <c r="GL356" s="316">
        <v>0</v>
      </c>
      <c r="GM356" s="316">
        <v>0</v>
      </c>
      <c r="GN356" s="316">
        <v>0</v>
      </c>
      <c r="GO356" s="316">
        <v>0</v>
      </c>
      <c r="GP356" s="316">
        <v>0</v>
      </c>
      <c r="GQ356" s="316">
        <v>0</v>
      </c>
      <c r="GR356" s="316">
        <v>0</v>
      </c>
      <c r="GS356" s="316">
        <v>0</v>
      </c>
      <c r="GT356" s="316">
        <v>0</v>
      </c>
      <c r="GU356" s="316">
        <v>0</v>
      </c>
      <c r="GV356" s="316">
        <v>0</v>
      </c>
      <c r="GW356" s="316">
        <v>0</v>
      </c>
      <c r="GX356" s="316">
        <v>0</v>
      </c>
      <c r="GY356" s="316">
        <v>0</v>
      </c>
      <c r="GZ356" s="316">
        <v>0</v>
      </c>
      <c r="HA356" s="316">
        <v>0</v>
      </c>
      <c r="HB356" s="316">
        <v>0</v>
      </c>
      <c r="HC356" s="316">
        <v>0</v>
      </c>
      <c r="HD356" s="316">
        <v>0</v>
      </c>
      <c r="HE356" s="316">
        <v>0</v>
      </c>
      <c r="HF356" s="316">
        <v>0</v>
      </c>
      <c r="HG356" s="316">
        <v>0</v>
      </c>
      <c r="HH356" s="316">
        <v>0</v>
      </c>
      <c r="HI356" s="316">
        <v>0</v>
      </c>
      <c r="HJ356" s="316">
        <v>0</v>
      </c>
      <c r="HK356" s="316">
        <v>0</v>
      </c>
      <c r="HL356" s="316">
        <v>0</v>
      </c>
      <c r="HM356" s="316"/>
      <c r="KH356" s="303"/>
    </row>
    <row r="357" spans="1:294" outlineLevel="1">
      <c r="A357" s="117" t="s">
        <v>527</v>
      </c>
      <c r="B357" s="117" t="s">
        <v>527</v>
      </c>
      <c r="D357" s="344" t="s">
        <v>530</v>
      </c>
      <c r="E357" s="316"/>
      <c r="F357" s="316"/>
      <c r="G357" s="316"/>
      <c r="H357" s="316"/>
      <c r="I357" s="316"/>
      <c r="J357" s="316"/>
      <c r="K357" s="316"/>
      <c r="L357" s="316"/>
      <c r="M357" s="316"/>
      <c r="N357" s="316"/>
      <c r="O357" s="316"/>
      <c r="P357" s="316"/>
      <c r="Q357" s="316"/>
      <c r="R357" s="316"/>
      <c r="S357" s="316"/>
      <c r="T357" s="316"/>
      <c r="U357" s="316"/>
      <c r="V357" s="316"/>
      <c r="W357" s="316"/>
      <c r="X357" s="316"/>
      <c r="Y357" s="316"/>
      <c r="Z357" s="316"/>
      <c r="AA357" s="316"/>
      <c r="AB357" s="316"/>
      <c r="AC357" s="316"/>
      <c r="AD357" s="316"/>
      <c r="AE357" s="316"/>
      <c r="AF357" s="316"/>
      <c r="AG357" s="316"/>
      <c r="AH357" s="316"/>
      <c r="AI357" s="316"/>
      <c r="AJ357" s="316"/>
      <c r="AK357" s="316"/>
      <c r="AL357" s="316"/>
      <c r="AM357" s="316"/>
      <c r="AN357" s="316"/>
      <c r="AO357" s="316"/>
      <c r="AP357" s="316"/>
      <c r="AQ357" s="316"/>
      <c r="AR357" s="316"/>
      <c r="AS357" s="316"/>
      <c r="AT357" s="316"/>
      <c r="AU357" s="316"/>
      <c r="AV357" s="316"/>
      <c r="AW357" s="316"/>
      <c r="AX357" s="316"/>
      <c r="AY357" s="316"/>
      <c r="AZ357" s="316"/>
      <c r="BA357" s="316"/>
      <c r="BB357" s="316"/>
      <c r="BC357" s="316"/>
      <c r="BD357" s="316"/>
      <c r="BE357" s="316"/>
      <c r="BF357" s="316"/>
      <c r="BG357" s="316"/>
      <c r="BH357" s="316"/>
      <c r="BI357" s="316"/>
      <c r="BJ357" s="316"/>
      <c r="BK357" s="316"/>
      <c r="BL357" s="316"/>
      <c r="BM357" s="316"/>
      <c r="BN357" s="316"/>
      <c r="BO357" s="316"/>
      <c r="BP357" s="316"/>
      <c r="BQ357" s="316"/>
      <c r="BR357" s="316"/>
      <c r="BS357" s="316"/>
      <c r="BT357" s="316"/>
      <c r="BU357" s="316"/>
      <c r="BV357" s="316"/>
      <c r="BW357" s="316"/>
      <c r="BX357" s="316"/>
      <c r="BY357" s="316"/>
      <c r="BZ357" s="316"/>
      <c r="CA357" s="316"/>
      <c r="CB357" s="316"/>
      <c r="CC357" s="316"/>
      <c r="CD357" s="316"/>
      <c r="CE357" s="317">
        <v>0</v>
      </c>
      <c r="CF357" s="316">
        <v>0</v>
      </c>
      <c r="CG357" s="316">
        <v>0</v>
      </c>
      <c r="CH357" s="316">
        <v>0</v>
      </c>
      <c r="CI357" s="316">
        <v>0</v>
      </c>
      <c r="CJ357" s="316">
        <v>0</v>
      </c>
      <c r="CK357" s="316">
        <v>0</v>
      </c>
      <c r="CL357" s="316">
        <v>0</v>
      </c>
      <c r="CM357" s="316">
        <v>0</v>
      </c>
      <c r="CN357" s="316">
        <v>0</v>
      </c>
      <c r="CO357" s="316">
        <v>0</v>
      </c>
      <c r="CP357" s="318">
        <v>0</v>
      </c>
      <c r="CQ357" s="316">
        <v>0</v>
      </c>
      <c r="CR357" s="316">
        <v>0</v>
      </c>
      <c r="CS357" s="316">
        <v>0</v>
      </c>
      <c r="CT357" s="316">
        <v>0</v>
      </c>
      <c r="CU357" s="316">
        <v>0</v>
      </c>
      <c r="CV357" s="316">
        <v>0</v>
      </c>
      <c r="CW357" s="316">
        <v>0</v>
      </c>
      <c r="CX357" s="316">
        <v>0</v>
      </c>
      <c r="CY357" s="316">
        <v>0</v>
      </c>
      <c r="CZ357" s="316">
        <v>0</v>
      </c>
      <c r="DA357" s="316">
        <v>0</v>
      </c>
      <c r="DB357" s="1498">
        <v>0</v>
      </c>
      <c r="DC357" s="316">
        <v>0</v>
      </c>
      <c r="DD357" s="316">
        <v>0</v>
      </c>
      <c r="DE357" s="316">
        <v>0</v>
      </c>
      <c r="DF357" s="316">
        <v>0</v>
      </c>
      <c r="DG357" s="316">
        <v>0</v>
      </c>
      <c r="DH357" s="316">
        <v>0</v>
      </c>
      <c r="DI357" s="316">
        <v>0</v>
      </c>
      <c r="DJ357" s="316">
        <v>0</v>
      </c>
      <c r="DK357" s="316">
        <v>0</v>
      </c>
      <c r="DL357" s="316">
        <v>0</v>
      </c>
      <c r="DM357" s="316">
        <v>0</v>
      </c>
      <c r="DN357" s="318">
        <v>0</v>
      </c>
      <c r="DO357" s="316">
        <v>0</v>
      </c>
      <c r="DP357" s="316">
        <v>0</v>
      </c>
      <c r="DQ357" s="316">
        <v>0</v>
      </c>
      <c r="DR357" s="316">
        <v>0</v>
      </c>
      <c r="DS357" s="316">
        <v>0</v>
      </c>
      <c r="DT357" s="316">
        <v>0</v>
      </c>
      <c r="DU357" s="316">
        <v>0</v>
      </c>
      <c r="DV357" s="316">
        <v>0</v>
      </c>
      <c r="DW357" s="316">
        <v>0</v>
      </c>
      <c r="DX357" s="316">
        <v>0</v>
      </c>
      <c r="DY357" s="316">
        <v>0</v>
      </c>
      <c r="DZ357" s="318">
        <v>0</v>
      </c>
      <c r="EA357" s="316">
        <v>0</v>
      </c>
      <c r="EB357" s="316">
        <v>0</v>
      </c>
      <c r="EC357" s="316">
        <v>0</v>
      </c>
      <c r="ED357" s="316">
        <v>0</v>
      </c>
      <c r="EE357" s="316">
        <v>0</v>
      </c>
      <c r="EF357" s="316">
        <v>0</v>
      </c>
      <c r="EG357" s="316">
        <v>0</v>
      </c>
      <c r="EH357" s="316">
        <v>0</v>
      </c>
      <c r="EI357" s="316">
        <v>0</v>
      </c>
      <c r="EJ357" s="316">
        <v>0</v>
      </c>
      <c r="EK357" s="316">
        <v>0</v>
      </c>
      <c r="EL357" s="318">
        <v>0</v>
      </c>
      <c r="EM357" s="316">
        <v>0</v>
      </c>
      <c r="EN357" s="316">
        <v>0</v>
      </c>
      <c r="EO357" s="316">
        <v>0</v>
      </c>
      <c r="EP357" s="316">
        <v>0</v>
      </c>
      <c r="EQ357" s="316">
        <v>0</v>
      </c>
      <c r="ER357" s="316">
        <v>0</v>
      </c>
      <c r="ES357" s="316">
        <v>0</v>
      </c>
      <c r="ET357" s="316">
        <v>0</v>
      </c>
      <c r="EU357" s="316">
        <v>0</v>
      </c>
      <c r="EV357" s="316">
        <v>0</v>
      </c>
      <c r="EW357" s="316">
        <v>0</v>
      </c>
      <c r="EX357" s="318">
        <v>0</v>
      </c>
      <c r="EY357" s="316">
        <v>0</v>
      </c>
      <c r="EZ357" s="316">
        <v>0</v>
      </c>
      <c r="FA357" s="316">
        <v>0</v>
      </c>
      <c r="FB357" s="316">
        <v>0</v>
      </c>
      <c r="FC357" s="316">
        <v>0</v>
      </c>
      <c r="FD357" s="316">
        <v>0</v>
      </c>
      <c r="FE357" s="316">
        <v>0</v>
      </c>
      <c r="FF357" s="316">
        <v>0</v>
      </c>
      <c r="FG357" s="316">
        <v>0</v>
      </c>
      <c r="FH357" s="316">
        <v>0</v>
      </c>
      <c r="FI357" s="316">
        <v>0</v>
      </c>
      <c r="FJ357" s="318">
        <v>0</v>
      </c>
      <c r="FK357" s="316">
        <v>0</v>
      </c>
      <c r="FL357" s="316">
        <v>0</v>
      </c>
      <c r="FM357" s="316">
        <v>0</v>
      </c>
      <c r="FN357" s="316">
        <v>0</v>
      </c>
      <c r="FO357" s="316">
        <v>0</v>
      </c>
      <c r="FP357" s="316">
        <v>0</v>
      </c>
      <c r="FQ357" s="316">
        <v>0</v>
      </c>
      <c r="FR357" s="316">
        <v>0</v>
      </c>
      <c r="FS357" s="316">
        <v>0</v>
      </c>
      <c r="FT357" s="316">
        <v>0</v>
      </c>
      <c r="FU357" s="316">
        <v>0</v>
      </c>
      <c r="FV357" s="316">
        <v>0</v>
      </c>
      <c r="FW357" s="316">
        <v>0</v>
      </c>
      <c r="FX357" s="316">
        <v>0</v>
      </c>
      <c r="FY357" s="316">
        <v>0</v>
      </c>
      <c r="FZ357" s="316">
        <v>0</v>
      </c>
      <c r="GA357" s="316">
        <v>0</v>
      </c>
      <c r="GB357" s="316">
        <v>0</v>
      </c>
      <c r="GC357" s="316">
        <v>0</v>
      </c>
      <c r="GD357" s="316">
        <v>0</v>
      </c>
      <c r="GE357" s="316">
        <v>0</v>
      </c>
      <c r="GF357" s="316">
        <v>0</v>
      </c>
      <c r="GG357" s="316">
        <v>0</v>
      </c>
      <c r="GH357" s="316">
        <v>0</v>
      </c>
      <c r="GI357" s="316">
        <v>0</v>
      </c>
      <c r="GJ357" s="316">
        <v>0</v>
      </c>
      <c r="GK357" s="316">
        <v>0</v>
      </c>
      <c r="GL357" s="316">
        <v>0</v>
      </c>
      <c r="GM357" s="316">
        <v>0</v>
      </c>
      <c r="GN357" s="316">
        <v>0</v>
      </c>
      <c r="GO357" s="316">
        <v>0</v>
      </c>
      <c r="GP357" s="316">
        <v>0</v>
      </c>
      <c r="GQ357" s="316">
        <v>0</v>
      </c>
      <c r="GR357" s="316">
        <v>0</v>
      </c>
      <c r="GS357" s="316">
        <v>0</v>
      </c>
      <c r="GT357" s="316">
        <v>0</v>
      </c>
      <c r="GU357" s="316">
        <v>0</v>
      </c>
      <c r="GV357" s="316">
        <v>0</v>
      </c>
      <c r="GW357" s="316">
        <v>0</v>
      </c>
      <c r="GX357" s="316">
        <v>0</v>
      </c>
      <c r="GY357" s="316">
        <v>0</v>
      </c>
      <c r="GZ357" s="316">
        <v>0</v>
      </c>
      <c r="HA357" s="316">
        <v>0</v>
      </c>
      <c r="HB357" s="316">
        <v>0</v>
      </c>
      <c r="HC357" s="316">
        <v>0</v>
      </c>
      <c r="HD357" s="316">
        <v>0</v>
      </c>
      <c r="HE357" s="316">
        <v>0</v>
      </c>
      <c r="HF357" s="316">
        <v>0</v>
      </c>
      <c r="HG357" s="316">
        <v>0</v>
      </c>
      <c r="HH357" s="316">
        <v>0</v>
      </c>
      <c r="HI357" s="316">
        <v>0</v>
      </c>
      <c r="HJ357" s="316">
        <v>0</v>
      </c>
      <c r="HK357" s="316">
        <v>0</v>
      </c>
      <c r="HL357" s="316">
        <v>0</v>
      </c>
      <c r="HM357" s="316"/>
      <c r="KH357" s="303"/>
    </row>
    <row r="358" spans="1:294" outlineLevel="1">
      <c r="A358" s="117" t="s">
        <v>527</v>
      </c>
      <c r="B358" s="117" t="s">
        <v>527</v>
      </c>
      <c r="D358" s="344" t="s">
        <v>531</v>
      </c>
      <c r="E358" s="316"/>
      <c r="F358" s="316"/>
      <c r="G358" s="316"/>
      <c r="H358" s="316"/>
      <c r="I358" s="316"/>
      <c r="J358" s="316"/>
      <c r="K358" s="316"/>
      <c r="L358" s="316"/>
      <c r="M358" s="316"/>
      <c r="N358" s="316"/>
      <c r="O358" s="316"/>
      <c r="P358" s="316"/>
      <c r="Q358" s="316"/>
      <c r="R358" s="316"/>
      <c r="S358" s="316"/>
      <c r="T358" s="316"/>
      <c r="U358" s="316"/>
      <c r="V358" s="316"/>
      <c r="W358" s="316"/>
      <c r="X358" s="316"/>
      <c r="Y358" s="316"/>
      <c r="Z358" s="316"/>
      <c r="AA358" s="316"/>
      <c r="AB358" s="316"/>
      <c r="AC358" s="316"/>
      <c r="AD358" s="316"/>
      <c r="AE358" s="316"/>
      <c r="AF358" s="316"/>
      <c r="AG358" s="316"/>
      <c r="AH358" s="316"/>
      <c r="AI358" s="316"/>
      <c r="AJ358" s="316"/>
      <c r="AK358" s="316"/>
      <c r="AL358" s="316"/>
      <c r="AM358" s="316"/>
      <c r="AN358" s="316"/>
      <c r="AO358" s="316"/>
      <c r="AP358" s="316"/>
      <c r="AQ358" s="316"/>
      <c r="AR358" s="316"/>
      <c r="AS358" s="316"/>
      <c r="AT358" s="316"/>
      <c r="AU358" s="316"/>
      <c r="AV358" s="316"/>
      <c r="AW358" s="316"/>
      <c r="AX358" s="316"/>
      <c r="AY358" s="316"/>
      <c r="AZ358" s="316"/>
      <c r="BA358" s="316"/>
      <c r="BB358" s="316"/>
      <c r="BC358" s="316"/>
      <c r="BD358" s="316"/>
      <c r="BE358" s="316"/>
      <c r="BF358" s="316"/>
      <c r="BG358" s="316"/>
      <c r="BH358" s="316"/>
      <c r="BI358" s="316"/>
      <c r="BJ358" s="316"/>
      <c r="BK358" s="316"/>
      <c r="BL358" s="316"/>
      <c r="BM358" s="316"/>
      <c r="BN358" s="316"/>
      <c r="BO358" s="316"/>
      <c r="BP358" s="316"/>
      <c r="BQ358" s="316"/>
      <c r="BR358" s="316"/>
      <c r="BS358" s="316"/>
      <c r="BT358" s="316"/>
      <c r="BU358" s="316"/>
      <c r="BV358" s="316"/>
      <c r="BW358" s="316"/>
      <c r="BX358" s="316"/>
      <c r="BY358" s="316"/>
      <c r="BZ358" s="316"/>
      <c r="CA358" s="316"/>
      <c r="CB358" s="316"/>
      <c r="CC358" s="316"/>
      <c r="CD358" s="316"/>
      <c r="CE358" s="317">
        <v>0</v>
      </c>
      <c r="CF358" s="316">
        <v>0</v>
      </c>
      <c r="CG358" s="316">
        <v>0</v>
      </c>
      <c r="CH358" s="316">
        <v>0</v>
      </c>
      <c r="CI358" s="316">
        <v>0</v>
      </c>
      <c r="CJ358" s="316">
        <v>0</v>
      </c>
      <c r="CK358" s="316">
        <v>0</v>
      </c>
      <c r="CL358" s="316">
        <v>0</v>
      </c>
      <c r="CM358" s="316">
        <v>0</v>
      </c>
      <c r="CN358" s="316">
        <v>0</v>
      </c>
      <c r="CO358" s="316">
        <v>0</v>
      </c>
      <c r="CP358" s="318">
        <v>0</v>
      </c>
      <c r="CQ358" s="316">
        <v>0</v>
      </c>
      <c r="CR358" s="316">
        <v>0</v>
      </c>
      <c r="CS358" s="316">
        <v>0</v>
      </c>
      <c r="CT358" s="316">
        <v>0</v>
      </c>
      <c r="CU358" s="316">
        <v>0</v>
      </c>
      <c r="CV358" s="316">
        <v>0</v>
      </c>
      <c r="CW358" s="316">
        <v>0</v>
      </c>
      <c r="CX358" s="316">
        <v>0</v>
      </c>
      <c r="CY358" s="316">
        <v>0</v>
      </c>
      <c r="CZ358" s="316">
        <v>0</v>
      </c>
      <c r="DA358" s="316">
        <v>0</v>
      </c>
      <c r="DB358" s="1498">
        <v>0</v>
      </c>
      <c r="DC358" s="316">
        <v>0</v>
      </c>
      <c r="DD358" s="316">
        <v>0</v>
      </c>
      <c r="DE358" s="316">
        <v>0</v>
      </c>
      <c r="DF358" s="316">
        <v>0</v>
      </c>
      <c r="DG358" s="316">
        <v>0</v>
      </c>
      <c r="DH358" s="316">
        <v>0</v>
      </c>
      <c r="DI358" s="316">
        <v>0</v>
      </c>
      <c r="DJ358" s="316">
        <v>0</v>
      </c>
      <c r="DK358" s="316">
        <v>0</v>
      </c>
      <c r="DL358" s="316">
        <v>0</v>
      </c>
      <c r="DM358" s="316">
        <v>0</v>
      </c>
      <c r="DN358" s="318">
        <v>0</v>
      </c>
      <c r="DO358" s="316">
        <v>0</v>
      </c>
      <c r="DP358" s="316">
        <v>0</v>
      </c>
      <c r="DQ358" s="316">
        <v>0</v>
      </c>
      <c r="DR358" s="316">
        <v>0</v>
      </c>
      <c r="DS358" s="316">
        <v>0</v>
      </c>
      <c r="DT358" s="316">
        <v>0</v>
      </c>
      <c r="DU358" s="316">
        <v>0</v>
      </c>
      <c r="DV358" s="316">
        <v>0</v>
      </c>
      <c r="DW358" s="316">
        <v>0</v>
      </c>
      <c r="DX358" s="316">
        <v>0</v>
      </c>
      <c r="DY358" s="316">
        <v>0</v>
      </c>
      <c r="DZ358" s="318">
        <v>0</v>
      </c>
      <c r="EA358" s="316">
        <v>0</v>
      </c>
      <c r="EB358" s="316">
        <v>0</v>
      </c>
      <c r="EC358" s="316">
        <v>0</v>
      </c>
      <c r="ED358" s="316">
        <v>0</v>
      </c>
      <c r="EE358" s="316">
        <v>0</v>
      </c>
      <c r="EF358" s="316">
        <v>0</v>
      </c>
      <c r="EG358" s="316">
        <v>0</v>
      </c>
      <c r="EH358" s="316">
        <v>0</v>
      </c>
      <c r="EI358" s="316">
        <v>0</v>
      </c>
      <c r="EJ358" s="316">
        <v>0</v>
      </c>
      <c r="EK358" s="316">
        <v>0</v>
      </c>
      <c r="EL358" s="318">
        <v>0</v>
      </c>
      <c r="EM358" s="316">
        <v>0</v>
      </c>
      <c r="EN358" s="316">
        <v>0</v>
      </c>
      <c r="EO358" s="316">
        <v>0</v>
      </c>
      <c r="EP358" s="316">
        <v>0</v>
      </c>
      <c r="EQ358" s="316">
        <v>0</v>
      </c>
      <c r="ER358" s="316">
        <v>0</v>
      </c>
      <c r="ES358" s="316">
        <v>0</v>
      </c>
      <c r="ET358" s="316">
        <v>0</v>
      </c>
      <c r="EU358" s="316">
        <v>0</v>
      </c>
      <c r="EV358" s="316">
        <v>0</v>
      </c>
      <c r="EW358" s="316">
        <v>0</v>
      </c>
      <c r="EX358" s="318">
        <v>0</v>
      </c>
      <c r="EY358" s="316">
        <v>0</v>
      </c>
      <c r="EZ358" s="316">
        <v>0</v>
      </c>
      <c r="FA358" s="316">
        <v>0</v>
      </c>
      <c r="FB358" s="316">
        <v>0</v>
      </c>
      <c r="FC358" s="316">
        <v>0</v>
      </c>
      <c r="FD358" s="316">
        <v>0</v>
      </c>
      <c r="FE358" s="316">
        <v>0</v>
      </c>
      <c r="FF358" s="316">
        <v>0</v>
      </c>
      <c r="FG358" s="316">
        <v>0</v>
      </c>
      <c r="FH358" s="316">
        <v>0</v>
      </c>
      <c r="FI358" s="316">
        <v>0</v>
      </c>
      <c r="FJ358" s="318">
        <v>0</v>
      </c>
      <c r="FK358" s="316">
        <v>0</v>
      </c>
      <c r="FL358" s="316">
        <v>0</v>
      </c>
      <c r="FM358" s="316">
        <v>0</v>
      </c>
      <c r="FN358" s="316">
        <v>0</v>
      </c>
      <c r="FO358" s="316">
        <v>0</v>
      </c>
      <c r="FP358" s="316">
        <v>0</v>
      </c>
      <c r="FQ358" s="316">
        <v>0</v>
      </c>
      <c r="FR358" s="316">
        <v>0</v>
      </c>
      <c r="FS358" s="316">
        <v>0</v>
      </c>
      <c r="FT358" s="316">
        <v>0</v>
      </c>
      <c r="FU358" s="316">
        <v>0</v>
      </c>
      <c r="FV358" s="316">
        <v>0</v>
      </c>
      <c r="FW358" s="316">
        <v>0</v>
      </c>
      <c r="FX358" s="316">
        <v>0</v>
      </c>
      <c r="FY358" s="316">
        <v>0</v>
      </c>
      <c r="FZ358" s="316">
        <v>0</v>
      </c>
      <c r="GA358" s="316">
        <v>0</v>
      </c>
      <c r="GB358" s="316">
        <v>0</v>
      </c>
      <c r="GC358" s="316">
        <v>0</v>
      </c>
      <c r="GD358" s="316">
        <v>0</v>
      </c>
      <c r="GE358" s="316">
        <v>0</v>
      </c>
      <c r="GF358" s="316">
        <v>0</v>
      </c>
      <c r="GG358" s="316">
        <v>0</v>
      </c>
      <c r="GH358" s="316">
        <v>0</v>
      </c>
      <c r="GI358" s="316">
        <v>0</v>
      </c>
      <c r="GJ358" s="316">
        <v>0</v>
      </c>
      <c r="GK358" s="316">
        <v>0</v>
      </c>
      <c r="GL358" s="316">
        <v>0</v>
      </c>
      <c r="GM358" s="316">
        <v>0</v>
      </c>
      <c r="GN358" s="316">
        <v>0</v>
      </c>
      <c r="GO358" s="316">
        <v>0</v>
      </c>
      <c r="GP358" s="316">
        <v>0</v>
      </c>
      <c r="GQ358" s="316">
        <v>0</v>
      </c>
      <c r="GR358" s="316">
        <v>0</v>
      </c>
      <c r="GS358" s="316">
        <v>0</v>
      </c>
      <c r="GT358" s="316">
        <v>0</v>
      </c>
      <c r="GU358" s="316">
        <v>0</v>
      </c>
      <c r="GV358" s="316">
        <v>0</v>
      </c>
      <c r="GW358" s="316">
        <v>0</v>
      </c>
      <c r="GX358" s="316">
        <v>0</v>
      </c>
      <c r="GY358" s="316">
        <v>0</v>
      </c>
      <c r="GZ358" s="316">
        <v>0</v>
      </c>
      <c r="HA358" s="316">
        <v>0</v>
      </c>
      <c r="HB358" s="316">
        <v>0</v>
      </c>
      <c r="HC358" s="316">
        <v>0</v>
      </c>
      <c r="HD358" s="316">
        <v>0</v>
      </c>
      <c r="HE358" s="316">
        <v>0</v>
      </c>
      <c r="HF358" s="316">
        <v>0</v>
      </c>
      <c r="HG358" s="316">
        <v>0</v>
      </c>
      <c r="HH358" s="316">
        <v>0</v>
      </c>
      <c r="HI358" s="316">
        <v>0</v>
      </c>
      <c r="HJ358" s="316">
        <v>0</v>
      </c>
      <c r="HK358" s="316">
        <v>0</v>
      </c>
      <c r="HL358" s="316">
        <v>0</v>
      </c>
      <c r="HM358" s="316"/>
      <c r="KH358" s="303"/>
    </row>
    <row r="359" spans="1:294" outlineLevel="1">
      <c r="A359" s="117" t="s">
        <v>527</v>
      </c>
      <c r="B359" s="117" t="s">
        <v>527</v>
      </c>
      <c r="D359" s="344" t="s">
        <v>535</v>
      </c>
      <c r="E359" s="316"/>
      <c r="F359" s="316"/>
      <c r="G359" s="316"/>
      <c r="H359" s="316"/>
      <c r="I359" s="316"/>
      <c r="J359" s="316"/>
      <c r="K359" s="316"/>
      <c r="L359" s="316"/>
      <c r="M359" s="316"/>
      <c r="N359" s="316"/>
      <c r="O359" s="316"/>
      <c r="P359" s="316"/>
      <c r="Q359" s="316"/>
      <c r="R359" s="316"/>
      <c r="S359" s="316"/>
      <c r="T359" s="316"/>
      <c r="U359" s="316"/>
      <c r="V359" s="316"/>
      <c r="W359" s="316"/>
      <c r="X359" s="316"/>
      <c r="Y359" s="316"/>
      <c r="Z359" s="316"/>
      <c r="AA359" s="316"/>
      <c r="AB359" s="316"/>
      <c r="AC359" s="316"/>
      <c r="AD359" s="316"/>
      <c r="AE359" s="316"/>
      <c r="AF359" s="316"/>
      <c r="AG359" s="316"/>
      <c r="AH359" s="316"/>
      <c r="AI359" s="316"/>
      <c r="AJ359" s="316"/>
      <c r="AK359" s="316"/>
      <c r="AL359" s="316"/>
      <c r="AM359" s="316"/>
      <c r="AN359" s="316"/>
      <c r="AO359" s="316"/>
      <c r="AP359" s="316"/>
      <c r="AQ359" s="316"/>
      <c r="AR359" s="316"/>
      <c r="AS359" s="316"/>
      <c r="AT359" s="316"/>
      <c r="AU359" s="316"/>
      <c r="AV359" s="316"/>
      <c r="AW359" s="316"/>
      <c r="AX359" s="316"/>
      <c r="AY359" s="316"/>
      <c r="AZ359" s="316"/>
      <c r="BA359" s="316"/>
      <c r="BB359" s="316"/>
      <c r="BC359" s="316"/>
      <c r="BD359" s="316"/>
      <c r="BE359" s="316"/>
      <c r="BF359" s="316"/>
      <c r="BG359" s="316"/>
      <c r="BH359" s="316"/>
      <c r="BI359" s="316"/>
      <c r="BJ359" s="316"/>
      <c r="BK359" s="316"/>
      <c r="BL359" s="316"/>
      <c r="BM359" s="316"/>
      <c r="BN359" s="316"/>
      <c r="BO359" s="316"/>
      <c r="BP359" s="316"/>
      <c r="BQ359" s="316"/>
      <c r="BR359" s="316"/>
      <c r="BS359" s="316"/>
      <c r="BT359" s="316"/>
      <c r="BU359" s="316"/>
      <c r="BV359" s="316"/>
      <c r="BW359" s="316"/>
      <c r="BX359" s="316"/>
      <c r="BY359" s="316"/>
      <c r="BZ359" s="316"/>
      <c r="CA359" s="316"/>
      <c r="CB359" s="316"/>
      <c r="CC359" s="316"/>
      <c r="CD359" s="316"/>
      <c r="CE359" s="317">
        <v>0</v>
      </c>
      <c r="CF359" s="316">
        <v>0</v>
      </c>
      <c r="CG359" s="316">
        <v>0</v>
      </c>
      <c r="CH359" s="316">
        <v>0</v>
      </c>
      <c r="CI359" s="316">
        <v>0</v>
      </c>
      <c r="CJ359" s="316">
        <v>0</v>
      </c>
      <c r="CK359" s="316">
        <v>0</v>
      </c>
      <c r="CL359" s="316">
        <v>0</v>
      </c>
      <c r="CM359" s="316">
        <v>0</v>
      </c>
      <c r="CN359" s="316">
        <v>0</v>
      </c>
      <c r="CO359" s="316">
        <v>0</v>
      </c>
      <c r="CP359" s="318">
        <v>0</v>
      </c>
      <c r="CQ359" s="316">
        <v>0</v>
      </c>
      <c r="CR359" s="316">
        <v>0</v>
      </c>
      <c r="CS359" s="316">
        <v>0</v>
      </c>
      <c r="CT359" s="316">
        <v>0</v>
      </c>
      <c r="CU359" s="316">
        <v>0</v>
      </c>
      <c r="CV359" s="316">
        <v>0</v>
      </c>
      <c r="CW359" s="316">
        <v>0</v>
      </c>
      <c r="CX359" s="316">
        <v>0</v>
      </c>
      <c r="CY359" s="316">
        <v>0</v>
      </c>
      <c r="CZ359" s="316">
        <v>0</v>
      </c>
      <c r="DA359" s="316">
        <v>0</v>
      </c>
      <c r="DB359" s="1498">
        <v>0</v>
      </c>
      <c r="DC359" s="316">
        <v>0</v>
      </c>
      <c r="DD359" s="316">
        <v>0</v>
      </c>
      <c r="DE359" s="316">
        <v>0</v>
      </c>
      <c r="DF359" s="316">
        <v>0</v>
      </c>
      <c r="DG359" s="316">
        <v>0</v>
      </c>
      <c r="DH359" s="316">
        <v>0</v>
      </c>
      <c r="DI359" s="316">
        <v>0</v>
      </c>
      <c r="DJ359" s="316">
        <v>0</v>
      </c>
      <c r="DK359" s="316">
        <v>0</v>
      </c>
      <c r="DL359" s="316">
        <v>0</v>
      </c>
      <c r="DM359" s="316">
        <v>0</v>
      </c>
      <c r="DN359" s="318">
        <v>0</v>
      </c>
      <c r="DO359" s="316">
        <v>0</v>
      </c>
      <c r="DP359" s="316">
        <v>0</v>
      </c>
      <c r="DQ359" s="316">
        <v>0</v>
      </c>
      <c r="DR359" s="316">
        <v>0</v>
      </c>
      <c r="DS359" s="316">
        <v>0</v>
      </c>
      <c r="DT359" s="316">
        <v>0</v>
      </c>
      <c r="DU359" s="316">
        <v>0</v>
      </c>
      <c r="DV359" s="316">
        <v>0</v>
      </c>
      <c r="DW359" s="316">
        <v>0</v>
      </c>
      <c r="DX359" s="316">
        <v>0</v>
      </c>
      <c r="DY359" s="316">
        <v>0</v>
      </c>
      <c r="DZ359" s="318">
        <v>0</v>
      </c>
      <c r="EA359" s="316">
        <v>0</v>
      </c>
      <c r="EB359" s="316">
        <v>0</v>
      </c>
      <c r="EC359" s="316">
        <v>0</v>
      </c>
      <c r="ED359" s="316">
        <v>0</v>
      </c>
      <c r="EE359" s="316">
        <v>0</v>
      </c>
      <c r="EF359" s="316">
        <v>0</v>
      </c>
      <c r="EG359" s="316">
        <v>0</v>
      </c>
      <c r="EH359" s="316">
        <v>0</v>
      </c>
      <c r="EI359" s="316">
        <v>0</v>
      </c>
      <c r="EJ359" s="316">
        <v>0</v>
      </c>
      <c r="EK359" s="316">
        <v>0</v>
      </c>
      <c r="EL359" s="318">
        <v>0</v>
      </c>
      <c r="EM359" s="316">
        <v>0</v>
      </c>
      <c r="EN359" s="316">
        <v>0</v>
      </c>
      <c r="EO359" s="316">
        <v>0</v>
      </c>
      <c r="EP359" s="316">
        <v>0</v>
      </c>
      <c r="EQ359" s="316">
        <v>0</v>
      </c>
      <c r="ER359" s="316">
        <v>0</v>
      </c>
      <c r="ES359" s="316">
        <v>0</v>
      </c>
      <c r="ET359" s="316">
        <v>0</v>
      </c>
      <c r="EU359" s="316">
        <v>0</v>
      </c>
      <c r="EV359" s="316">
        <v>0</v>
      </c>
      <c r="EW359" s="316">
        <v>0</v>
      </c>
      <c r="EX359" s="318">
        <v>0</v>
      </c>
      <c r="EY359" s="316">
        <v>0</v>
      </c>
      <c r="EZ359" s="316">
        <v>0</v>
      </c>
      <c r="FA359" s="316">
        <v>0</v>
      </c>
      <c r="FB359" s="316">
        <v>0</v>
      </c>
      <c r="FC359" s="316">
        <v>0</v>
      </c>
      <c r="FD359" s="316">
        <v>0</v>
      </c>
      <c r="FE359" s="316">
        <v>0</v>
      </c>
      <c r="FF359" s="316">
        <v>0</v>
      </c>
      <c r="FG359" s="316">
        <v>0</v>
      </c>
      <c r="FH359" s="316">
        <v>0</v>
      </c>
      <c r="FI359" s="316">
        <v>0</v>
      </c>
      <c r="FJ359" s="318">
        <v>0</v>
      </c>
      <c r="FK359" s="316">
        <v>0</v>
      </c>
      <c r="FL359" s="316">
        <v>0</v>
      </c>
      <c r="FM359" s="316">
        <v>0</v>
      </c>
      <c r="FN359" s="316">
        <v>0</v>
      </c>
      <c r="FO359" s="316">
        <v>0</v>
      </c>
      <c r="FP359" s="316">
        <v>0</v>
      </c>
      <c r="FQ359" s="316">
        <v>0</v>
      </c>
      <c r="FR359" s="316">
        <v>0</v>
      </c>
      <c r="FS359" s="316">
        <v>0</v>
      </c>
      <c r="FT359" s="316">
        <v>0</v>
      </c>
      <c r="FU359" s="316">
        <v>0</v>
      </c>
      <c r="FV359" s="316">
        <v>0</v>
      </c>
      <c r="FW359" s="316">
        <v>0</v>
      </c>
      <c r="FX359" s="316">
        <v>0</v>
      </c>
      <c r="FY359" s="316">
        <v>0</v>
      </c>
      <c r="FZ359" s="316">
        <v>0</v>
      </c>
      <c r="GA359" s="316">
        <v>0</v>
      </c>
      <c r="GB359" s="316">
        <v>0</v>
      </c>
      <c r="GC359" s="316">
        <v>0</v>
      </c>
      <c r="GD359" s="316">
        <v>0</v>
      </c>
      <c r="GE359" s="316">
        <v>0</v>
      </c>
      <c r="GF359" s="316">
        <v>0</v>
      </c>
      <c r="GG359" s="316">
        <v>0</v>
      </c>
      <c r="GH359" s="316">
        <v>0</v>
      </c>
      <c r="GI359" s="316">
        <v>0</v>
      </c>
      <c r="GJ359" s="316">
        <v>0</v>
      </c>
      <c r="GK359" s="316">
        <v>0</v>
      </c>
      <c r="GL359" s="316">
        <v>0</v>
      </c>
      <c r="GM359" s="316">
        <v>0</v>
      </c>
      <c r="GN359" s="316">
        <v>0</v>
      </c>
      <c r="GO359" s="316">
        <v>0</v>
      </c>
      <c r="GP359" s="316">
        <v>0</v>
      </c>
      <c r="GQ359" s="316">
        <v>0</v>
      </c>
      <c r="GR359" s="316">
        <v>0</v>
      </c>
      <c r="GS359" s="316">
        <v>0</v>
      </c>
      <c r="GT359" s="316">
        <v>0</v>
      </c>
      <c r="GU359" s="316">
        <v>0</v>
      </c>
      <c r="GV359" s="316">
        <v>0</v>
      </c>
      <c r="GW359" s="316">
        <v>0</v>
      </c>
      <c r="GX359" s="316">
        <v>0</v>
      </c>
      <c r="GY359" s="316">
        <v>0</v>
      </c>
      <c r="GZ359" s="316">
        <v>0</v>
      </c>
      <c r="HA359" s="316">
        <v>0</v>
      </c>
      <c r="HB359" s="316">
        <v>0</v>
      </c>
      <c r="HC359" s="316">
        <v>0</v>
      </c>
      <c r="HD359" s="316">
        <v>0</v>
      </c>
      <c r="HE359" s="316">
        <v>0</v>
      </c>
      <c r="HF359" s="316">
        <v>0</v>
      </c>
      <c r="HG359" s="316">
        <v>0</v>
      </c>
      <c r="HH359" s="316">
        <v>0</v>
      </c>
      <c r="HI359" s="316">
        <v>0</v>
      </c>
      <c r="HJ359" s="316">
        <v>0</v>
      </c>
      <c r="HK359" s="316">
        <v>0</v>
      </c>
      <c r="HL359" s="316">
        <v>0</v>
      </c>
      <c r="HM359" s="316"/>
      <c r="KH359" s="303"/>
    </row>
    <row r="360" spans="1:294" outlineLevel="1">
      <c r="A360" s="117" t="s">
        <v>395</v>
      </c>
      <c r="B360" s="117" t="s">
        <v>361</v>
      </c>
      <c r="D360" s="342" t="s">
        <v>536</v>
      </c>
      <c r="E360" s="316"/>
      <c r="F360" s="316"/>
      <c r="G360" s="316"/>
      <c r="H360" s="316"/>
      <c r="I360" s="316"/>
      <c r="J360" s="316"/>
      <c r="K360" s="316"/>
      <c r="L360" s="316"/>
      <c r="M360" s="316"/>
      <c r="N360" s="316"/>
      <c r="O360" s="316"/>
      <c r="P360" s="316"/>
      <c r="Q360" s="316"/>
      <c r="R360" s="316"/>
      <c r="S360" s="316"/>
      <c r="T360" s="316"/>
      <c r="U360" s="316"/>
      <c r="V360" s="316"/>
      <c r="W360" s="316"/>
      <c r="X360" s="316"/>
      <c r="Y360" s="316"/>
      <c r="Z360" s="316"/>
      <c r="AA360" s="316"/>
      <c r="AB360" s="316"/>
      <c r="AC360" s="316"/>
      <c r="AD360" s="316"/>
      <c r="AE360" s="316"/>
      <c r="AF360" s="316"/>
      <c r="AG360" s="316"/>
      <c r="AH360" s="316"/>
      <c r="AI360" s="316"/>
      <c r="AJ360" s="316"/>
      <c r="AK360" s="316"/>
      <c r="AL360" s="316"/>
      <c r="AM360" s="316"/>
      <c r="AN360" s="316"/>
      <c r="AO360" s="316"/>
      <c r="AP360" s="316"/>
      <c r="AQ360" s="316"/>
      <c r="AR360" s="316"/>
      <c r="AS360" s="316"/>
      <c r="AT360" s="316"/>
      <c r="AU360" s="316"/>
      <c r="AV360" s="316"/>
      <c r="AW360" s="316"/>
      <c r="AX360" s="316"/>
      <c r="AY360" s="316"/>
      <c r="AZ360" s="316"/>
      <c r="BA360" s="316"/>
      <c r="BB360" s="316"/>
      <c r="BC360" s="316"/>
      <c r="BD360" s="316"/>
      <c r="BE360" s="316"/>
      <c r="BF360" s="316"/>
      <c r="BG360" s="316"/>
      <c r="BH360" s="316"/>
      <c r="BI360" s="316"/>
      <c r="BJ360" s="316"/>
      <c r="BK360" s="316"/>
      <c r="BL360" s="316"/>
      <c r="BM360" s="316"/>
      <c r="BN360" s="316"/>
      <c r="BO360" s="316"/>
      <c r="BP360" s="316"/>
      <c r="BQ360" s="316"/>
      <c r="BR360" s="316"/>
      <c r="BS360" s="316"/>
      <c r="BT360" s="316"/>
      <c r="BU360" s="316"/>
      <c r="BV360" s="316"/>
      <c r="BW360" s="316"/>
      <c r="BX360" s="316"/>
      <c r="BY360" s="316"/>
      <c r="BZ360" s="316"/>
      <c r="CA360" s="316"/>
      <c r="CB360" s="316"/>
      <c r="CC360" s="316"/>
      <c r="CD360" s="316"/>
      <c r="CE360" s="317">
        <v>31.294496220706698</v>
      </c>
      <c r="CF360" s="316">
        <v>38.849477566021811</v>
      </c>
      <c r="CG360" s="316">
        <v>76.031701622894502</v>
      </c>
      <c r="CH360" s="316">
        <v>48.3828124680496</v>
      </c>
      <c r="CI360" s="316">
        <v>36.012732783613451</v>
      </c>
      <c r="CJ360" s="316">
        <v>62.84400919591495</v>
      </c>
      <c r="CK360" s="316">
        <v>22.369328398681304</v>
      </c>
      <c r="CL360" s="316">
        <v>15.370313869472696</v>
      </c>
      <c r="CM360" s="316">
        <v>15.260357731845993</v>
      </c>
      <c r="CN360" s="316">
        <v>60.223322623538365</v>
      </c>
      <c r="CO360" s="316">
        <v>36.611849603410164</v>
      </c>
      <c r="CP360" s="318">
        <v>31.066255138470598</v>
      </c>
      <c r="CQ360" s="316">
        <v>34.448433302576923</v>
      </c>
      <c r="CR360" s="316">
        <v>20.63533699242986</v>
      </c>
      <c r="CS360" s="316">
        <v>32.087946900292721</v>
      </c>
      <c r="CT360" s="316">
        <v>27.612034403931105</v>
      </c>
      <c r="CU360" s="316">
        <v>37.436683176818299</v>
      </c>
      <c r="CV360" s="316">
        <v>88.698945014422492</v>
      </c>
      <c r="CW360" s="316">
        <v>19.204165503062438</v>
      </c>
      <c r="CX360" s="316">
        <v>20.746947771968358</v>
      </c>
      <c r="CY360" s="316">
        <v>35.869115706465713</v>
      </c>
      <c r="CZ360" s="316">
        <v>25.985062782443698</v>
      </c>
      <c r="DA360" s="316">
        <v>51.924950351204735</v>
      </c>
      <c r="DB360" s="1498">
        <v>21.277785089683185</v>
      </c>
      <c r="DC360" s="316">
        <v>31.952444359087636</v>
      </c>
      <c r="DD360" s="316">
        <v>25.176932769502265</v>
      </c>
      <c r="DE360" s="316">
        <v>37.733474002093303</v>
      </c>
      <c r="DF360" s="316">
        <v>10.630564396348262</v>
      </c>
      <c r="DG360" s="316">
        <v>42.242365627815268</v>
      </c>
      <c r="DH360" s="316">
        <v>51.857928151955861</v>
      </c>
      <c r="DI360" s="316">
        <v>10.091643304932198</v>
      </c>
      <c r="DJ360" s="316">
        <v>14.552678703328509</v>
      </c>
      <c r="DK360" s="316">
        <v>15.303282783798712</v>
      </c>
      <c r="DL360" s="316">
        <v>65.287056068877121</v>
      </c>
      <c r="DM360" s="316">
        <v>19.525803094469907</v>
      </c>
      <c r="DN360" s="318">
        <v>49.359432531340339</v>
      </c>
      <c r="DO360" s="316">
        <v>33.422444226957452</v>
      </c>
      <c r="DP360" s="316">
        <v>18.29263575142069</v>
      </c>
      <c r="DQ360" s="316">
        <v>12.474113623446415</v>
      </c>
      <c r="DR360" s="316">
        <v>3.5377734003285308</v>
      </c>
      <c r="DS360" s="316">
        <v>31.35309165422964</v>
      </c>
      <c r="DT360" s="316">
        <v>66.135865509090536</v>
      </c>
      <c r="DU360" s="316">
        <v>26.913274467305172</v>
      </c>
      <c r="DV360" s="316">
        <v>15.756937633074747</v>
      </c>
      <c r="DW360" s="316">
        <v>20.479289792514571</v>
      </c>
      <c r="DX360" s="316">
        <v>18.128668872949451</v>
      </c>
      <c r="DY360" s="316">
        <v>11.651588312578538</v>
      </c>
      <c r="DZ360" s="318">
        <v>72.036400702622785</v>
      </c>
      <c r="EA360" s="316">
        <v>34.374027905691761</v>
      </c>
      <c r="EB360" s="316">
        <v>19.935162580397741</v>
      </c>
      <c r="EC360" s="316">
        <v>25.342666027910504</v>
      </c>
      <c r="ED360" s="316">
        <v>23.34687522806593</v>
      </c>
      <c r="EE360" s="316">
        <v>28.348180612750795</v>
      </c>
      <c r="EF360" s="316">
        <v>63.428379327498348</v>
      </c>
      <c r="EG360" s="316">
        <v>47.224657854775174</v>
      </c>
      <c r="EH360" s="316">
        <v>16.080746444490156</v>
      </c>
      <c r="EI360" s="316">
        <v>37.312599014628738</v>
      </c>
      <c r="EJ360" s="316">
        <v>24.48871988855079</v>
      </c>
      <c r="EK360" s="316">
        <v>8.1360103973705851</v>
      </c>
      <c r="EL360" s="318">
        <v>30.89065158657996</v>
      </c>
      <c r="EM360" s="316">
        <v>23.923055191511224</v>
      </c>
      <c r="EN360" s="316">
        <v>33.012554116012367</v>
      </c>
      <c r="EO360" s="316">
        <v>32.159939741700256</v>
      </c>
      <c r="EP360" s="316">
        <v>25.713574178749187</v>
      </c>
      <c r="EQ360" s="316">
        <v>8.589162902411001</v>
      </c>
      <c r="ER360" s="316">
        <v>111.15390138590099</v>
      </c>
      <c r="ES360" s="316">
        <v>25.804821157746737</v>
      </c>
      <c r="ET360" s="316">
        <v>40.261564226468217</v>
      </c>
      <c r="EU360" s="316">
        <v>26.416724477371513</v>
      </c>
      <c r="EV360" s="316">
        <v>31.9069752635531</v>
      </c>
      <c r="EW360" s="316">
        <v>9.2735813359162655</v>
      </c>
      <c r="EX360" s="318">
        <v>26.53420387887488</v>
      </c>
      <c r="EY360" s="316">
        <v>32.241833855093404</v>
      </c>
      <c r="EZ360" s="316">
        <v>19.120340874614172</v>
      </c>
      <c r="FA360" s="316">
        <v>42.084767594036236</v>
      </c>
      <c r="FB360" s="316">
        <v>17.141012261463228</v>
      </c>
      <c r="FC360" s="316">
        <v>28.591621457094867</v>
      </c>
      <c r="FD360" s="316">
        <v>81.29019426761478</v>
      </c>
      <c r="FE360" s="316">
        <v>18.57477772208745</v>
      </c>
      <c r="FF360" s="316">
        <v>40.829624657206764</v>
      </c>
      <c r="FG360" s="316">
        <v>23.485399915408056</v>
      </c>
      <c r="FH360" s="316">
        <v>43.434433253070914</v>
      </c>
      <c r="FI360" s="316">
        <v>25.711020665681996</v>
      </c>
      <c r="FJ360" s="318">
        <v>65.053378120495665</v>
      </c>
      <c r="FK360" s="316">
        <v>18.016468952481294</v>
      </c>
      <c r="FL360" s="316">
        <v>22.038160849417618</v>
      </c>
      <c r="FM360" s="316">
        <v>85.114840036842878</v>
      </c>
      <c r="FN360" s="316">
        <v>55.795753342564119</v>
      </c>
      <c r="FO360" s="316">
        <v>24.596989962932081</v>
      </c>
      <c r="FP360" s="316">
        <v>52.943284085381222</v>
      </c>
      <c r="FQ360" s="316">
        <v>26.0973223375467</v>
      </c>
      <c r="FR360" s="316">
        <v>26.0973223375467</v>
      </c>
      <c r="FS360" s="316">
        <v>101.97518335178538</v>
      </c>
      <c r="FT360" s="316">
        <v>40.092255082663847</v>
      </c>
      <c r="FU360" s="316">
        <v>26.540783368213397</v>
      </c>
      <c r="FV360" s="316">
        <v>81.779804093706915</v>
      </c>
      <c r="FW360" s="316">
        <v>25.536817192198459</v>
      </c>
      <c r="FX360" s="316">
        <v>68.769149023021257</v>
      </c>
      <c r="FY360" s="316">
        <v>34.1409768277097</v>
      </c>
      <c r="FZ360" s="316">
        <v>51.587092125766084</v>
      </c>
      <c r="GA360" s="316">
        <v>54.156510223755291</v>
      </c>
      <c r="GB360" s="316">
        <v>64.522391058925933</v>
      </c>
      <c r="GC360" s="316">
        <v>51.379938509455535</v>
      </c>
      <c r="GD360" s="316">
        <v>32.894609653005027</v>
      </c>
      <c r="GE360" s="316">
        <v>127.61318963777623</v>
      </c>
      <c r="GF360" s="316">
        <v>64.638842304396093</v>
      </c>
      <c r="GG360" s="316">
        <v>211.40135803759989</v>
      </c>
      <c r="GH360" s="316">
        <v>37.543484832671957</v>
      </c>
      <c r="GI360" s="316">
        <v>62.748726437076833</v>
      </c>
      <c r="GJ360" s="316">
        <v>33.99698954757698</v>
      </c>
      <c r="GK360" s="316">
        <v>31.0326441574929</v>
      </c>
      <c r="GL360" s="316">
        <v>54.975020401665994</v>
      </c>
      <c r="GM360" s="316">
        <v>31.0326441574929</v>
      </c>
      <c r="GN360" s="316">
        <v>58.862560093245818</v>
      </c>
      <c r="GO360" s="316">
        <v>36.823556696673975</v>
      </c>
      <c r="GP360" s="316">
        <v>35.848173299673974</v>
      </c>
      <c r="GQ360" s="316">
        <v>35.848173299673974</v>
      </c>
      <c r="GR360" s="316">
        <v>211.78476898054427</v>
      </c>
      <c r="GS360" s="316">
        <v>47.861229932689682</v>
      </c>
      <c r="GT360" s="316">
        <v>70.492758751144535</v>
      </c>
      <c r="GU360" s="316">
        <v>34.381813544500368</v>
      </c>
      <c r="GV360" s="316">
        <v>9.7639445017651276</v>
      </c>
      <c r="GW360" s="316">
        <v>127.49641382185916</v>
      </c>
      <c r="GX360" s="316">
        <v>14.899181219072448</v>
      </c>
      <c r="GY360" s="316">
        <v>22.534442006360759</v>
      </c>
      <c r="GZ360" s="316">
        <v>125.2904778409454</v>
      </c>
      <c r="HA360" s="316">
        <v>14.411668654781918</v>
      </c>
      <c r="HB360" s="316">
        <v>0</v>
      </c>
      <c r="HC360" s="316">
        <v>135.58406579948007</v>
      </c>
      <c r="HD360" s="316">
        <v>29.529508718633497</v>
      </c>
      <c r="HE360" s="316">
        <v>91.100709918904002</v>
      </c>
      <c r="HF360" s="316">
        <v>152.79918350532938</v>
      </c>
      <c r="HG360" s="316">
        <v>36.550565428489207</v>
      </c>
      <c r="HH360" s="316">
        <v>0</v>
      </c>
      <c r="HI360" s="316">
        <v>121.5161496827613</v>
      </c>
      <c r="HJ360" s="316">
        <v>34.237850121589396</v>
      </c>
      <c r="HK360" s="316">
        <v>6.9469754804080805</v>
      </c>
      <c r="HL360" s="316">
        <v>163.71812133269415</v>
      </c>
      <c r="HM360" s="316"/>
      <c r="KH360" s="303"/>
    </row>
    <row r="361" spans="1:294" outlineLevel="1">
      <c r="A361" s="117" t="s">
        <v>395</v>
      </c>
      <c r="B361" s="117" t="s">
        <v>361</v>
      </c>
      <c r="D361" s="343" t="s">
        <v>537</v>
      </c>
      <c r="E361" s="316"/>
      <c r="F361" s="316"/>
      <c r="G361" s="316"/>
      <c r="H361" s="316"/>
      <c r="I361" s="316"/>
      <c r="J361" s="316"/>
      <c r="K361" s="316"/>
      <c r="L361" s="316"/>
      <c r="M361" s="316"/>
      <c r="N361" s="316"/>
      <c r="O361" s="316"/>
      <c r="P361" s="316"/>
      <c r="Q361" s="316"/>
      <c r="R361" s="316"/>
      <c r="S361" s="316"/>
      <c r="T361" s="316"/>
      <c r="U361" s="316"/>
      <c r="V361" s="316"/>
      <c r="W361" s="316"/>
      <c r="X361" s="316"/>
      <c r="Y361" s="316"/>
      <c r="Z361" s="316"/>
      <c r="AA361" s="316"/>
      <c r="AB361" s="316"/>
      <c r="AC361" s="316"/>
      <c r="AD361" s="316"/>
      <c r="AE361" s="316"/>
      <c r="AF361" s="316"/>
      <c r="AG361" s="316"/>
      <c r="AH361" s="316"/>
      <c r="AI361" s="316"/>
      <c r="AJ361" s="316"/>
      <c r="AK361" s="316"/>
      <c r="AL361" s="316"/>
      <c r="AM361" s="316"/>
      <c r="AN361" s="316"/>
      <c r="AO361" s="316"/>
      <c r="AP361" s="316"/>
      <c r="AQ361" s="316"/>
      <c r="AR361" s="316"/>
      <c r="AS361" s="316"/>
      <c r="AT361" s="316"/>
      <c r="AU361" s="316"/>
      <c r="AV361" s="316"/>
      <c r="AW361" s="316"/>
      <c r="AX361" s="316"/>
      <c r="AY361" s="316"/>
      <c r="AZ361" s="316"/>
      <c r="BA361" s="316"/>
      <c r="BB361" s="316"/>
      <c r="BC361" s="316"/>
      <c r="BD361" s="316"/>
      <c r="BE361" s="316"/>
      <c r="BF361" s="316"/>
      <c r="BG361" s="316"/>
      <c r="BH361" s="316"/>
      <c r="BI361" s="316"/>
      <c r="BJ361" s="316"/>
      <c r="BK361" s="316"/>
      <c r="BL361" s="316"/>
      <c r="BM361" s="316"/>
      <c r="BN361" s="316"/>
      <c r="BO361" s="316"/>
      <c r="BP361" s="316"/>
      <c r="BQ361" s="316"/>
      <c r="BR361" s="316"/>
      <c r="BS361" s="316"/>
      <c r="BT361" s="316"/>
      <c r="BU361" s="316"/>
      <c r="BV361" s="316"/>
      <c r="BW361" s="316"/>
      <c r="BX361" s="316"/>
      <c r="BY361" s="316"/>
      <c r="BZ361" s="316"/>
      <c r="CA361" s="316"/>
      <c r="CB361" s="316"/>
      <c r="CC361" s="316"/>
      <c r="CD361" s="316"/>
      <c r="CE361" s="317">
        <v>0</v>
      </c>
      <c r="CF361" s="316">
        <v>0</v>
      </c>
      <c r="CG361" s="316">
        <v>0</v>
      </c>
      <c r="CH361" s="316">
        <v>0</v>
      </c>
      <c r="CI361" s="316">
        <v>0</v>
      </c>
      <c r="CJ361" s="316">
        <v>0</v>
      </c>
      <c r="CK361" s="316">
        <v>0</v>
      </c>
      <c r="CL361" s="316">
        <v>0</v>
      </c>
      <c r="CM361" s="316">
        <v>0</v>
      </c>
      <c r="CN361" s="316">
        <v>0</v>
      </c>
      <c r="CO361" s="316">
        <v>0</v>
      </c>
      <c r="CP361" s="318">
        <v>0</v>
      </c>
      <c r="CQ361" s="316">
        <v>0</v>
      </c>
      <c r="CR361" s="316">
        <v>0</v>
      </c>
      <c r="CS361" s="316">
        <v>0</v>
      </c>
      <c r="CT361" s="316">
        <v>0</v>
      </c>
      <c r="CU361" s="316">
        <v>0</v>
      </c>
      <c r="CV361" s="316">
        <v>0</v>
      </c>
      <c r="CW361" s="316">
        <v>0</v>
      </c>
      <c r="CX361" s="316">
        <v>0</v>
      </c>
      <c r="CY361" s="316">
        <v>0</v>
      </c>
      <c r="CZ361" s="316">
        <v>0</v>
      </c>
      <c r="DA361" s="316">
        <v>0</v>
      </c>
      <c r="DB361" s="1498">
        <v>0</v>
      </c>
      <c r="DC361" s="316">
        <v>0</v>
      </c>
      <c r="DD361" s="316">
        <v>0</v>
      </c>
      <c r="DE361" s="316">
        <v>0</v>
      </c>
      <c r="DF361" s="316">
        <v>0</v>
      </c>
      <c r="DG361" s="316">
        <v>0</v>
      </c>
      <c r="DH361" s="316">
        <v>0</v>
      </c>
      <c r="DI361" s="316">
        <v>0</v>
      </c>
      <c r="DJ361" s="316">
        <v>0</v>
      </c>
      <c r="DK361" s="316">
        <v>0</v>
      </c>
      <c r="DL361" s="316">
        <v>0</v>
      </c>
      <c r="DM361" s="316">
        <v>0</v>
      </c>
      <c r="DN361" s="318">
        <v>0</v>
      </c>
      <c r="DO361" s="316">
        <v>0</v>
      </c>
      <c r="DP361" s="316">
        <v>0</v>
      </c>
      <c r="DQ361" s="316">
        <v>0</v>
      </c>
      <c r="DR361" s="316">
        <v>0</v>
      </c>
      <c r="DS361" s="316">
        <v>0</v>
      </c>
      <c r="DT361" s="316">
        <v>0</v>
      </c>
      <c r="DU361" s="316">
        <v>0</v>
      </c>
      <c r="DV361" s="316">
        <v>0</v>
      </c>
      <c r="DW361" s="316">
        <v>0</v>
      </c>
      <c r="DX361" s="316">
        <v>0</v>
      </c>
      <c r="DY361" s="316">
        <v>0</v>
      </c>
      <c r="DZ361" s="318">
        <v>0</v>
      </c>
      <c r="EA361" s="316">
        <v>0</v>
      </c>
      <c r="EB361" s="316">
        <v>0</v>
      </c>
      <c r="EC361" s="316">
        <v>0</v>
      </c>
      <c r="ED361" s="316">
        <v>0</v>
      </c>
      <c r="EE361" s="316">
        <v>0</v>
      </c>
      <c r="EF361" s="316">
        <v>0</v>
      </c>
      <c r="EG361" s="316">
        <v>0</v>
      </c>
      <c r="EH361" s="316">
        <v>0</v>
      </c>
      <c r="EI361" s="316">
        <v>0</v>
      </c>
      <c r="EJ361" s="316">
        <v>0</v>
      </c>
      <c r="EK361" s="316">
        <v>0</v>
      </c>
      <c r="EL361" s="318">
        <v>0</v>
      </c>
      <c r="EM361" s="316">
        <v>0</v>
      </c>
      <c r="EN361" s="316">
        <v>0</v>
      </c>
      <c r="EO361" s="316">
        <v>0</v>
      </c>
      <c r="EP361" s="316">
        <v>0</v>
      </c>
      <c r="EQ361" s="316">
        <v>0</v>
      </c>
      <c r="ER361" s="316">
        <v>0</v>
      </c>
      <c r="ES361" s="316">
        <v>0</v>
      </c>
      <c r="ET361" s="316">
        <v>0</v>
      </c>
      <c r="EU361" s="316">
        <v>0</v>
      </c>
      <c r="EV361" s="316">
        <v>0</v>
      </c>
      <c r="EW361" s="316">
        <v>0</v>
      </c>
      <c r="EX361" s="318">
        <v>0</v>
      </c>
      <c r="EY361" s="316">
        <v>0</v>
      </c>
      <c r="EZ361" s="316">
        <v>0</v>
      </c>
      <c r="FA361" s="316">
        <v>0</v>
      </c>
      <c r="FB361" s="316">
        <v>0</v>
      </c>
      <c r="FC361" s="316">
        <v>0</v>
      </c>
      <c r="FD361" s="316">
        <v>0</v>
      </c>
      <c r="FE361" s="316">
        <v>0</v>
      </c>
      <c r="FF361" s="316">
        <v>0</v>
      </c>
      <c r="FG361" s="316">
        <v>0</v>
      </c>
      <c r="FH361" s="316">
        <v>0</v>
      </c>
      <c r="FI361" s="316">
        <v>0</v>
      </c>
      <c r="FJ361" s="318">
        <v>0</v>
      </c>
      <c r="FK361" s="316">
        <v>0</v>
      </c>
      <c r="FL361" s="316">
        <v>0</v>
      </c>
      <c r="FM361" s="316">
        <v>0</v>
      </c>
      <c r="FN361" s="316">
        <v>0</v>
      </c>
      <c r="FO361" s="316">
        <v>0</v>
      </c>
      <c r="FP361" s="316">
        <v>0</v>
      </c>
      <c r="FQ361" s="316">
        <v>0</v>
      </c>
      <c r="FR361" s="316">
        <v>0</v>
      </c>
      <c r="FS361" s="316">
        <v>0</v>
      </c>
      <c r="FT361" s="316">
        <v>4.0488905105571265</v>
      </c>
      <c r="FU361" s="316">
        <v>0</v>
      </c>
      <c r="FV361" s="316">
        <v>0</v>
      </c>
      <c r="FW361" s="316">
        <v>0</v>
      </c>
      <c r="FX361" s="316">
        <v>0</v>
      </c>
      <c r="FY361" s="316">
        <v>0</v>
      </c>
      <c r="FZ361" s="316">
        <v>0</v>
      </c>
      <c r="GA361" s="316">
        <v>6.18907129997271</v>
      </c>
      <c r="GB361" s="316">
        <v>29.757070639362848</v>
      </c>
      <c r="GC361" s="316">
        <v>0</v>
      </c>
      <c r="GD361" s="316">
        <v>0</v>
      </c>
      <c r="GE361" s="316">
        <v>0</v>
      </c>
      <c r="GF361" s="316">
        <v>0</v>
      </c>
      <c r="GG361" s="316">
        <v>178.58328382937401</v>
      </c>
      <c r="GH361" s="316">
        <v>0</v>
      </c>
      <c r="GI361" s="316">
        <v>14.81502815</v>
      </c>
      <c r="GJ361" s="316">
        <v>14.81502815</v>
      </c>
      <c r="GK361" s="316">
        <v>14.81502815</v>
      </c>
      <c r="GL361" s="316">
        <v>20.359520180055206</v>
      </c>
      <c r="GM361" s="316">
        <v>14.81502815</v>
      </c>
      <c r="GN361" s="316">
        <v>27.663576914</v>
      </c>
      <c r="GO361" s="316">
        <v>26.330020899520001</v>
      </c>
      <c r="GP361" s="316">
        <v>26.330020899520001</v>
      </c>
      <c r="GQ361" s="316">
        <v>26.330020899520001</v>
      </c>
      <c r="GR361" s="316">
        <v>164.87697557811998</v>
      </c>
      <c r="GS361" s="316">
        <v>28.136248942555714</v>
      </c>
      <c r="GT361" s="316">
        <v>26.330020899520001</v>
      </c>
      <c r="GU361" s="316">
        <v>0</v>
      </c>
      <c r="GV361" s="316">
        <v>0</v>
      </c>
      <c r="GW361" s="316">
        <v>74.85618628968507</v>
      </c>
      <c r="GX361" s="316">
        <v>0</v>
      </c>
      <c r="GY361" s="316">
        <v>20.479901550034139</v>
      </c>
      <c r="GZ361" s="316">
        <v>72.266987752008589</v>
      </c>
      <c r="HA361" s="316">
        <v>0</v>
      </c>
      <c r="HB361" s="316">
        <v>0</v>
      </c>
      <c r="HC361" s="316">
        <v>87.700392731184422</v>
      </c>
      <c r="HD361" s="316">
        <v>0</v>
      </c>
      <c r="HE361" s="316">
        <v>81.742566145485355</v>
      </c>
      <c r="HF361" s="316">
        <v>86.715186151799713</v>
      </c>
      <c r="HG361" s="316">
        <v>0</v>
      </c>
      <c r="HH361" s="316">
        <v>0</v>
      </c>
      <c r="HI361" s="316">
        <v>76.674013141162661</v>
      </c>
      <c r="HJ361" s="316">
        <v>0</v>
      </c>
      <c r="HK361" s="316">
        <v>6.9469754804080805</v>
      </c>
      <c r="HL361" s="316">
        <v>105.77887260819162</v>
      </c>
      <c r="HM361" s="316"/>
      <c r="KH361" s="303"/>
    </row>
    <row r="362" spans="1:294" outlineLevel="1">
      <c r="A362" s="117" t="s">
        <v>395</v>
      </c>
      <c r="B362" s="117" t="s">
        <v>361</v>
      </c>
      <c r="D362" s="344" t="s">
        <v>538</v>
      </c>
      <c r="E362" s="316"/>
      <c r="F362" s="316"/>
      <c r="G362" s="316"/>
      <c r="H362" s="316"/>
      <c r="I362" s="316"/>
      <c r="J362" s="316"/>
      <c r="K362" s="316"/>
      <c r="L362" s="316"/>
      <c r="M362" s="316"/>
      <c r="N362" s="316"/>
      <c r="O362" s="316"/>
      <c r="P362" s="316"/>
      <c r="Q362" s="316"/>
      <c r="R362" s="316"/>
      <c r="S362" s="316"/>
      <c r="T362" s="316"/>
      <c r="U362" s="316"/>
      <c r="V362" s="316"/>
      <c r="W362" s="316"/>
      <c r="X362" s="316"/>
      <c r="Y362" s="316"/>
      <c r="Z362" s="316"/>
      <c r="AA362" s="316"/>
      <c r="AB362" s="316"/>
      <c r="AC362" s="316"/>
      <c r="AD362" s="316"/>
      <c r="AE362" s="316"/>
      <c r="AF362" s="316"/>
      <c r="AG362" s="316"/>
      <c r="AH362" s="316"/>
      <c r="AI362" s="316"/>
      <c r="AJ362" s="316"/>
      <c r="AK362" s="316"/>
      <c r="AL362" s="316"/>
      <c r="AM362" s="316"/>
      <c r="AN362" s="316"/>
      <c r="AO362" s="316"/>
      <c r="AP362" s="316"/>
      <c r="AQ362" s="316"/>
      <c r="AR362" s="316"/>
      <c r="AS362" s="316"/>
      <c r="AT362" s="316"/>
      <c r="AU362" s="316"/>
      <c r="AV362" s="316"/>
      <c r="AW362" s="316"/>
      <c r="AX362" s="316"/>
      <c r="AY362" s="316"/>
      <c r="AZ362" s="316"/>
      <c r="BA362" s="316"/>
      <c r="BB362" s="316"/>
      <c r="BC362" s="316"/>
      <c r="BD362" s="316"/>
      <c r="BE362" s="316"/>
      <c r="BF362" s="316"/>
      <c r="BG362" s="316"/>
      <c r="BH362" s="316"/>
      <c r="BI362" s="316"/>
      <c r="BJ362" s="316"/>
      <c r="BK362" s="316"/>
      <c r="BL362" s="316"/>
      <c r="BM362" s="316"/>
      <c r="BN362" s="316"/>
      <c r="BO362" s="316"/>
      <c r="BP362" s="316"/>
      <c r="BQ362" s="316"/>
      <c r="BR362" s="316"/>
      <c r="BS362" s="316"/>
      <c r="BT362" s="316"/>
      <c r="BU362" s="316"/>
      <c r="BV362" s="316"/>
      <c r="BW362" s="316"/>
      <c r="BX362" s="316"/>
      <c r="BY362" s="316"/>
      <c r="BZ362" s="316"/>
      <c r="CA362" s="316"/>
      <c r="CB362" s="316"/>
      <c r="CC362" s="316"/>
      <c r="CD362" s="316"/>
      <c r="CE362" s="316">
        <v>0</v>
      </c>
      <c r="CF362" s="316">
        <v>0</v>
      </c>
      <c r="CG362" s="316">
        <v>0</v>
      </c>
      <c r="CH362" s="316">
        <v>0</v>
      </c>
      <c r="CI362" s="316">
        <v>0</v>
      </c>
      <c r="CJ362" s="316">
        <v>0</v>
      </c>
      <c r="CK362" s="316">
        <v>0</v>
      </c>
      <c r="CL362" s="316">
        <v>0</v>
      </c>
      <c r="CM362" s="316">
        <v>0</v>
      </c>
      <c r="CN362" s="316">
        <v>0</v>
      </c>
      <c r="CO362" s="316">
        <v>0</v>
      </c>
      <c r="CP362" s="318">
        <v>0</v>
      </c>
      <c r="CQ362" s="316">
        <v>0</v>
      </c>
      <c r="CR362" s="316">
        <v>0</v>
      </c>
      <c r="CS362" s="316">
        <v>0</v>
      </c>
      <c r="CT362" s="316">
        <v>0</v>
      </c>
      <c r="CU362" s="316">
        <v>0</v>
      </c>
      <c r="CV362" s="316">
        <v>0</v>
      </c>
      <c r="CW362" s="316">
        <v>0</v>
      </c>
      <c r="CX362" s="316">
        <v>0</v>
      </c>
      <c r="CY362" s="316">
        <v>0</v>
      </c>
      <c r="CZ362" s="316">
        <v>0</v>
      </c>
      <c r="DA362" s="316">
        <v>0</v>
      </c>
      <c r="DB362" s="1498">
        <v>0</v>
      </c>
      <c r="DC362" s="316">
        <v>0</v>
      </c>
      <c r="DD362" s="316">
        <v>0</v>
      </c>
      <c r="DE362" s="316">
        <v>0</v>
      </c>
      <c r="DF362" s="316">
        <v>0</v>
      </c>
      <c r="DG362" s="316">
        <v>0</v>
      </c>
      <c r="DH362" s="316">
        <v>0</v>
      </c>
      <c r="DI362" s="316">
        <v>0</v>
      </c>
      <c r="DJ362" s="316">
        <v>0</v>
      </c>
      <c r="DK362" s="316">
        <v>0</v>
      </c>
      <c r="DL362" s="316">
        <v>0</v>
      </c>
      <c r="DM362" s="316">
        <v>0</v>
      </c>
      <c r="DN362" s="318">
        <v>0</v>
      </c>
      <c r="DO362" s="316">
        <v>16.600601300289206</v>
      </c>
      <c r="DP362" s="316">
        <v>6.15912446300276</v>
      </c>
      <c r="DQ362" s="316">
        <v>0.36889618367652649</v>
      </c>
      <c r="DR362" s="316">
        <v>0.3018041686636207</v>
      </c>
      <c r="DS362" s="316">
        <v>7.0875698198049868</v>
      </c>
      <c r="DT362" s="316">
        <v>27.439521254223713</v>
      </c>
      <c r="DU362" s="316">
        <v>5.179773115333397E-2</v>
      </c>
      <c r="DV362" s="316">
        <v>5.8007764595570457E-2</v>
      </c>
      <c r="DW362" s="316">
        <v>10.541360405145587</v>
      </c>
      <c r="DX362" s="316">
        <v>2.0703769716469367E-2</v>
      </c>
      <c r="DY362" s="316">
        <v>4.4983689553372501E-2</v>
      </c>
      <c r="DZ362" s="318">
        <v>0.19766063222458286</v>
      </c>
      <c r="EA362" s="316">
        <v>5.89555870610981</v>
      </c>
      <c r="EB362" s="316">
        <v>6.4121414643872559</v>
      </c>
      <c r="EC362" s="316">
        <v>6.3896163980000003</v>
      </c>
      <c r="ED362" s="316">
        <v>4.8874335853238193E-2</v>
      </c>
      <c r="EE362" s="316">
        <v>5.1864803727297613</v>
      </c>
      <c r="EF362" s="316">
        <v>16.549897689864551</v>
      </c>
      <c r="EG362" s="316">
        <v>11.749718728585187</v>
      </c>
      <c r="EH362" s="316">
        <v>0.10086442254855665</v>
      </c>
      <c r="EI362" s="316">
        <v>2.681430422759524</v>
      </c>
      <c r="EJ362" s="316">
        <v>7.1357226622450884</v>
      </c>
      <c r="EK362" s="316">
        <v>5.0993692085567657E-2</v>
      </c>
      <c r="EL362" s="318">
        <v>0.7199081113879362</v>
      </c>
      <c r="EM362" s="316">
        <v>2.1782744436593422</v>
      </c>
      <c r="EN362" s="316">
        <v>4.4297227553648515</v>
      </c>
      <c r="EO362" s="316">
        <v>9.8563909410486317E-2</v>
      </c>
      <c r="EP362" s="316">
        <v>2.364907381854027E-2</v>
      </c>
      <c r="EQ362" s="316">
        <v>2.350520414</v>
      </c>
      <c r="ER362" s="316">
        <v>7.9641907069496227</v>
      </c>
      <c r="ES362" s="316">
        <v>1.0648808655175259E-2</v>
      </c>
      <c r="ET362" s="316">
        <v>6.6596087007049165E-2</v>
      </c>
      <c r="EU362" s="316">
        <v>9.7848614553610838E-2</v>
      </c>
      <c r="EV362" s="316">
        <v>1.442574663636075</v>
      </c>
      <c r="EW362" s="316">
        <v>0</v>
      </c>
      <c r="EX362" s="318">
        <v>0.21532801592438158</v>
      </c>
      <c r="EY362" s="316">
        <v>0</v>
      </c>
      <c r="EZ362" s="316">
        <v>0</v>
      </c>
      <c r="FA362" s="316">
        <v>9.608507644444737</v>
      </c>
      <c r="FB362" s="316">
        <v>0</v>
      </c>
      <c r="FC362" s="316">
        <v>0</v>
      </c>
      <c r="FD362" s="316">
        <v>6.3793097794931803</v>
      </c>
      <c r="FE362" s="316">
        <v>0</v>
      </c>
      <c r="FF362" s="316">
        <v>0</v>
      </c>
      <c r="FG362" s="316">
        <v>0</v>
      </c>
      <c r="FH362" s="316">
        <v>3.2316815069999998</v>
      </c>
      <c r="FI362" s="316">
        <v>0</v>
      </c>
      <c r="FJ362" s="318">
        <v>4.9663468379999998</v>
      </c>
      <c r="FK362" s="316">
        <v>0</v>
      </c>
      <c r="FL362" s="316">
        <v>0</v>
      </c>
      <c r="FM362" s="316">
        <v>0</v>
      </c>
      <c r="FN362" s="316">
        <v>0</v>
      </c>
      <c r="FO362" s="316">
        <v>0</v>
      </c>
      <c r="FP362" s="316">
        <v>0</v>
      </c>
      <c r="FQ362" s="316">
        <v>0</v>
      </c>
      <c r="FR362" s="316">
        <v>0</v>
      </c>
      <c r="FS362" s="316">
        <v>0</v>
      </c>
      <c r="FT362" s="316">
        <v>4.0488905105571265</v>
      </c>
      <c r="FU362" s="316">
        <v>0</v>
      </c>
      <c r="FV362" s="316">
        <v>0</v>
      </c>
      <c r="FW362" s="316">
        <v>0</v>
      </c>
      <c r="FX362" s="316">
        <v>0</v>
      </c>
      <c r="FY362" s="316">
        <v>0</v>
      </c>
      <c r="FZ362" s="316">
        <v>0</v>
      </c>
      <c r="GA362" s="316">
        <v>6.18907129997271</v>
      </c>
      <c r="GB362" s="316">
        <v>29.757070639362848</v>
      </c>
      <c r="GC362" s="316">
        <v>0</v>
      </c>
      <c r="GD362" s="316">
        <v>0</v>
      </c>
      <c r="GE362" s="316">
        <v>0</v>
      </c>
      <c r="GF362" s="316">
        <v>0</v>
      </c>
      <c r="GG362" s="316">
        <v>178.58328382937401</v>
      </c>
      <c r="GH362" s="316">
        <v>0</v>
      </c>
      <c r="GI362" s="316">
        <v>0</v>
      </c>
      <c r="GJ362" s="316">
        <v>0</v>
      </c>
      <c r="GK362" s="316">
        <v>0</v>
      </c>
      <c r="GL362" s="316">
        <v>5.5444920300552072</v>
      </c>
      <c r="GM362" s="316">
        <v>0</v>
      </c>
      <c r="GN362" s="316">
        <v>12.848548764</v>
      </c>
      <c r="GO362" s="316">
        <v>0</v>
      </c>
      <c r="GP362" s="316">
        <v>0</v>
      </c>
      <c r="GQ362" s="316">
        <v>0</v>
      </c>
      <c r="GR362" s="316">
        <v>138.5469546786</v>
      </c>
      <c r="GS362" s="316">
        <v>1.806228043035714</v>
      </c>
      <c r="GT362" s="316">
        <v>0</v>
      </c>
      <c r="GU362" s="316">
        <v>0</v>
      </c>
      <c r="GV362" s="316">
        <v>0</v>
      </c>
      <c r="GW362" s="316">
        <v>2.5891985376764812</v>
      </c>
      <c r="GX362" s="316">
        <v>0</v>
      </c>
      <c r="GY362" s="316">
        <v>20.479901550034139</v>
      </c>
      <c r="GZ362" s="316">
        <v>0</v>
      </c>
      <c r="HA362" s="316">
        <v>0</v>
      </c>
      <c r="HB362" s="316">
        <v>0</v>
      </c>
      <c r="HC362" s="316">
        <v>0.98520657938470313</v>
      </c>
      <c r="HD362" s="316">
        <v>0</v>
      </c>
      <c r="HE362" s="316">
        <v>81.742566145485355</v>
      </c>
      <c r="HF362" s="316">
        <v>0</v>
      </c>
      <c r="HG362" s="316">
        <v>0</v>
      </c>
      <c r="HH362" s="316">
        <v>0</v>
      </c>
      <c r="HI362" s="316">
        <v>0</v>
      </c>
      <c r="HJ362" s="316">
        <v>0</v>
      </c>
      <c r="HK362" s="316">
        <v>6.9469754804080805</v>
      </c>
      <c r="HL362" s="316">
        <v>29.104859467028962</v>
      </c>
      <c r="HM362" s="316"/>
      <c r="KH362" s="303"/>
    </row>
    <row r="363" spans="1:294" outlineLevel="1">
      <c r="A363" s="117" t="s">
        <v>395</v>
      </c>
      <c r="B363" s="117" t="s">
        <v>361</v>
      </c>
      <c r="D363" s="344" t="s">
        <v>539</v>
      </c>
      <c r="E363" s="316"/>
      <c r="F363" s="316"/>
      <c r="G363" s="316"/>
      <c r="H363" s="316"/>
      <c r="I363" s="316"/>
      <c r="J363" s="316"/>
      <c r="K363" s="316"/>
      <c r="L363" s="316"/>
      <c r="M363" s="316"/>
      <c r="N363" s="316"/>
      <c r="O363" s="316"/>
      <c r="P363" s="316"/>
      <c r="Q363" s="316"/>
      <c r="R363" s="316"/>
      <c r="S363" s="316"/>
      <c r="T363" s="316"/>
      <c r="U363" s="316"/>
      <c r="V363" s="316"/>
      <c r="W363" s="316"/>
      <c r="X363" s="316"/>
      <c r="Y363" s="316"/>
      <c r="Z363" s="316"/>
      <c r="AA363" s="316"/>
      <c r="AB363" s="316"/>
      <c r="AC363" s="316"/>
      <c r="AD363" s="316"/>
      <c r="AE363" s="316"/>
      <c r="AF363" s="316"/>
      <c r="AG363" s="316"/>
      <c r="AH363" s="316"/>
      <c r="AI363" s="316"/>
      <c r="AJ363" s="316"/>
      <c r="AK363" s="316"/>
      <c r="AL363" s="316"/>
      <c r="AM363" s="316"/>
      <c r="AN363" s="316"/>
      <c r="AO363" s="316"/>
      <c r="AP363" s="316"/>
      <c r="AQ363" s="316"/>
      <c r="AR363" s="316"/>
      <c r="AS363" s="316"/>
      <c r="AT363" s="316"/>
      <c r="AU363" s="316"/>
      <c r="AV363" s="316"/>
      <c r="AW363" s="316"/>
      <c r="AX363" s="316"/>
      <c r="AY363" s="316"/>
      <c r="AZ363" s="316"/>
      <c r="BA363" s="316"/>
      <c r="BB363" s="316"/>
      <c r="BC363" s="316"/>
      <c r="BD363" s="316"/>
      <c r="BE363" s="316"/>
      <c r="BF363" s="316"/>
      <c r="BG363" s="316"/>
      <c r="BH363" s="316"/>
      <c r="BI363" s="316"/>
      <c r="BJ363" s="316"/>
      <c r="BK363" s="316"/>
      <c r="BL363" s="316"/>
      <c r="BM363" s="316"/>
      <c r="BN363" s="316"/>
      <c r="BO363" s="316"/>
      <c r="BP363" s="316"/>
      <c r="BQ363" s="316"/>
      <c r="BR363" s="316"/>
      <c r="BS363" s="316"/>
      <c r="BT363" s="316"/>
      <c r="BU363" s="316"/>
      <c r="BV363" s="316"/>
      <c r="BW363" s="316"/>
      <c r="BX363" s="316"/>
      <c r="BY363" s="316"/>
      <c r="BZ363" s="316"/>
      <c r="CA363" s="316"/>
      <c r="CB363" s="316"/>
      <c r="CC363" s="316"/>
      <c r="CD363" s="316"/>
      <c r="CE363" s="316">
        <v>0</v>
      </c>
      <c r="CF363" s="316">
        <v>0</v>
      </c>
      <c r="CG363" s="316">
        <v>0</v>
      </c>
      <c r="CH363" s="316">
        <v>0</v>
      </c>
      <c r="CI363" s="316">
        <v>0</v>
      </c>
      <c r="CJ363" s="316">
        <v>0</v>
      </c>
      <c r="CK363" s="316">
        <v>0</v>
      </c>
      <c r="CL363" s="316">
        <v>0</v>
      </c>
      <c r="CM363" s="316">
        <v>0</v>
      </c>
      <c r="CN363" s="316">
        <v>0</v>
      </c>
      <c r="CO363" s="316">
        <v>0</v>
      </c>
      <c r="CP363" s="318">
        <v>0</v>
      </c>
      <c r="CQ363" s="316">
        <v>0</v>
      </c>
      <c r="CR363" s="316">
        <v>0</v>
      </c>
      <c r="CS363" s="316">
        <v>0</v>
      </c>
      <c r="CT363" s="316">
        <v>0</v>
      </c>
      <c r="CU363" s="316">
        <v>0</v>
      </c>
      <c r="CV363" s="316">
        <v>0</v>
      </c>
      <c r="CW363" s="316">
        <v>0</v>
      </c>
      <c r="CX363" s="316">
        <v>0</v>
      </c>
      <c r="CY363" s="316">
        <v>0</v>
      </c>
      <c r="CZ363" s="316">
        <v>0</v>
      </c>
      <c r="DA363" s="316">
        <v>0</v>
      </c>
      <c r="DB363" s="1498">
        <v>0</v>
      </c>
      <c r="DC363" s="316">
        <v>0</v>
      </c>
      <c r="DD363" s="316">
        <v>0</v>
      </c>
      <c r="DE363" s="316">
        <v>0</v>
      </c>
      <c r="DF363" s="316">
        <v>0</v>
      </c>
      <c r="DG363" s="316">
        <v>0</v>
      </c>
      <c r="DH363" s="316">
        <v>0</v>
      </c>
      <c r="DI363" s="316">
        <v>0</v>
      </c>
      <c r="DJ363" s="316">
        <v>0</v>
      </c>
      <c r="DK363" s="316">
        <v>0</v>
      </c>
      <c r="DL363" s="316">
        <v>0</v>
      </c>
      <c r="DM363" s="316">
        <v>0</v>
      </c>
      <c r="DN363" s="318">
        <v>0</v>
      </c>
      <c r="DO363" s="316">
        <v>0</v>
      </c>
      <c r="DP363" s="316">
        <v>0</v>
      </c>
      <c r="DQ363" s="316">
        <v>0</v>
      </c>
      <c r="DR363" s="316">
        <v>0</v>
      </c>
      <c r="DS363" s="316">
        <v>0</v>
      </c>
      <c r="DT363" s="316">
        <v>0</v>
      </c>
      <c r="DU363" s="316">
        <v>0</v>
      </c>
      <c r="DV363" s="316">
        <v>0</v>
      </c>
      <c r="DW363" s="316">
        <v>0</v>
      </c>
      <c r="DX363" s="316">
        <v>0</v>
      </c>
      <c r="DY363" s="316">
        <v>0</v>
      </c>
      <c r="DZ363" s="318">
        <v>0</v>
      </c>
      <c r="EA363" s="316">
        <v>0</v>
      </c>
      <c r="EB363" s="316">
        <v>0</v>
      </c>
      <c r="EC363" s="316">
        <v>0</v>
      </c>
      <c r="ED363" s="316">
        <v>0</v>
      </c>
      <c r="EE363" s="316">
        <v>0</v>
      </c>
      <c r="EF363" s="316">
        <v>0</v>
      </c>
      <c r="EG363" s="316">
        <v>0</v>
      </c>
      <c r="EH363" s="316">
        <v>0</v>
      </c>
      <c r="EI363" s="316">
        <v>0</v>
      </c>
      <c r="EJ363" s="316">
        <v>0</v>
      </c>
      <c r="EK363" s="316">
        <v>0</v>
      </c>
      <c r="EL363" s="318">
        <v>0</v>
      </c>
      <c r="EM363" s="316">
        <v>0</v>
      </c>
      <c r="EN363" s="316">
        <v>0</v>
      </c>
      <c r="EO363" s="316">
        <v>0</v>
      </c>
      <c r="EP363" s="316">
        <v>0</v>
      </c>
      <c r="EQ363" s="316">
        <v>0</v>
      </c>
      <c r="ER363" s="316">
        <v>0</v>
      </c>
      <c r="ES363" s="316">
        <v>0</v>
      </c>
      <c r="ET363" s="316">
        <v>0</v>
      </c>
      <c r="EU363" s="316">
        <v>0</v>
      </c>
      <c r="EV363" s="316">
        <v>0</v>
      </c>
      <c r="EW363" s="316">
        <v>0</v>
      </c>
      <c r="EX363" s="318">
        <v>0</v>
      </c>
      <c r="EY363" s="316">
        <v>0</v>
      </c>
      <c r="EZ363" s="316">
        <v>0</v>
      </c>
      <c r="FA363" s="316">
        <v>0</v>
      </c>
      <c r="FB363" s="316">
        <v>0</v>
      </c>
      <c r="FC363" s="316">
        <v>0</v>
      </c>
      <c r="FD363" s="316">
        <v>0</v>
      </c>
      <c r="FE363" s="316">
        <v>0</v>
      </c>
      <c r="FF363" s="316">
        <v>0</v>
      </c>
      <c r="FG363" s="316">
        <v>0</v>
      </c>
      <c r="FH363" s="316">
        <v>0</v>
      </c>
      <c r="FI363" s="316">
        <v>0</v>
      </c>
      <c r="FJ363" s="318">
        <v>0</v>
      </c>
      <c r="FK363" s="316">
        <v>0</v>
      </c>
      <c r="FL363" s="316">
        <v>0</v>
      </c>
      <c r="FM363" s="316">
        <v>0</v>
      </c>
      <c r="FN363" s="316">
        <v>0</v>
      </c>
      <c r="FO363" s="316">
        <v>0</v>
      </c>
      <c r="FP363" s="316">
        <v>0</v>
      </c>
      <c r="FQ363" s="316">
        <v>0</v>
      </c>
      <c r="FR363" s="316">
        <v>0</v>
      </c>
      <c r="FS363" s="316">
        <v>0</v>
      </c>
      <c r="FT363" s="316">
        <v>0</v>
      </c>
      <c r="FU363" s="316">
        <v>0</v>
      </c>
      <c r="FV363" s="316">
        <v>0</v>
      </c>
      <c r="FW363" s="316">
        <v>0</v>
      </c>
      <c r="FX363" s="316">
        <v>0</v>
      </c>
      <c r="FY363" s="316">
        <v>0</v>
      </c>
      <c r="FZ363" s="316">
        <v>0</v>
      </c>
      <c r="GA363" s="316">
        <v>0</v>
      </c>
      <c r="GB363" s="316">
        <v>0</v>
      </c>
      <c r="GC363" s="316">
        <v>0</v>
      </c>
      <c r="GD363" s="316">
        <v>0</v>
      </c>
      <c r="GE363" s="316">
        <v>0</v>
      </c>
      <c r="GF363" s="316">
        <v>0</v>
      </c>
      <c r="GG363" s="316">
        <v>0</v>
      </c>
      <c r="GH363" s="316">
        <v>0</v>
      </c>
      <c r="GI363" s="316">
        <v>14.81502815</v>
      </c>
      <c r="GJ363" s="316">
        <v>14.81502815</v>
      </c>
      <c r="GK363" s="316">
        <v>14.81502815</v>
      </c>
      <c r="GL363" s="316">
        <v>14.81502815</v>
      </c>
      <c r="GM363" s="316">
        <v>14.81502815</v>
      </c>
      <c r="GN363" s="316">
        <v>14.81502815</v>
      </c>
      <c r="GO363" s="316">
        <v>26.330020899520001</v>
      </c>
      <c r="GP363" s="316">
        <v>26.330020899520001</v>
      </c>
      <c r="GQ363" s="316">
        <v>26.330020899520001</v>
      </c>
      <c r="GR363" s="316">
        <v>26.330020899520001</v>
      </c>
      <c r="GS363" s="316">
        <v>26.330020899520001</v>
      </c>
      <c r="GT363" s="316">
        <v>26.330020899520001</v>
      </c>
      <c r="GU363" s="316">
        <v>0</v>
      </c>
      <c r="GV363" s="316">
        <v>0</v>
      </c>
      <c r="GW363" s="316">
        <v>72.266987752008589</v>
      </c>
      <c r="GX363" s="316">
        <v>0</v>
      </c>
      <c r="GY363" s="316">
        <v>0</v>
      </c>
      <c r="GZ363" s="316">
        <v>72.266987752008589</v>
      </c>
      <c r="HA363" s="316">
        <v>0</v>
      </c>
      <c r="HB363" s="316">
        <v>0</v>
      </c>
      <c r="HC363" s="316">
        <v>86.715186151799713</v>
      </c>
      <c r="HD363" s="316">
        <v>0</v>
      </c>
      <c r="HE363" s="316">
        <v>0</v>
      </c>
      <c r="HF363" s="316">
        <v>86.715186151799713</v>
      </c>
      <c r="HG363" s="316">
        <v>0</v>
      </c>
      <c r="HH363" s="316">
        <v>0</v>
      </c>
      <c r="HI363" s="316">
        <v>76.674013141162661</v>
      </c>
      <c r="HJ363" s="316">
        <v>0</v>
      </c>
      <c r="HK363" s="316">
        <v>0</v>
      </c>
      <c r="HL363" s="316">
        <v>76.674013141162661</v>
      </c>
      <c r="HM363" s="316"/>
      <c r="KH363" s="303"/>
    </row>
    <row r="364" spans="1:294" outlineLevel="1">
      <c r="A364" s="117" t="s">
        <v>395</v>
      </c>
      <c r="B364" s="117" t="s">
        <v>361</v>
      </c>
      <c r="D364" s="343" t="s">
        <v>540</v>
      </c>
      <c r="E364" s="316"/>
      <c r="F364" s="316"/>
      <c r="G364" s="316"/>
      <c r="H364" s="316"/>
      <c r="I364" s="316"/>
      <c r="J364" s="316"/>
      <c r="K364" s="316"/>
      <c r="L364" s="316"/>
      <c r="M364" s="316"/>
      <c r="N364" s="316"/>
      <c r="O364" s="316"/>
      <c r="P364" s="316"/>
      <c r="Q364" s="316"/>
      <c r="R364" s="316"/>
      <c r="S364" s="316"/>
      <c r="T364" s="316"/>
      <c r="U364" s="316"/>
      <c r="V364" s="316"/>
      <c r="W364" s="316"/>
      <c r="X364" s="316"/>
      <c r="Y364" s="316"/>
      <c r="Z364" s="316"/>
      <c r="AA364" s="316"/>
      <c r="AB364" s="316"/>
      <c r="AC364" s="316"/>
      <c r="AD364" s="316"/>
      <c r="AE364" s="316"/>
      <c r="AF364" s="316"/>
      <c r="AG364" s="316"/>
      <c r="AH364" s="316"/>
      <c r="AI364" s="316"/>
      <c r="AJ364" s="316"/>
      <c r="AK364" s="316"/>
      <c r="AL364" s="316"/>
      <c r="AM364" s="316"/>
      <c r="AN364" s="316"/>
      <c r="AO364" s="316"/>
      <c r="AP364" s="316"/>
      <c r="AQ364" s="316"/>
      <c r="AR364" s="316"/>
      <c r="AS364" s="316"/>
      <c r="AT364" s="316"/>
      <c r="AU364" s="316"/>
      <c r="AV364" s="316"/>
      <c r="AW364" s="316"/>
      <c r="AX364" s="316"/>
      <c r="AY364" s="316"/>
      <c r="AZ364" s="316"/>
      <c r="BA364" s="316"/>
      <c r="BB364" s="316"/>
      <c r="BC364" s="316"/>
      <c r="BD364" s="316"/>
      <c r="BE364" s="316"/>
      <c r="BF364" s="316"/>
      <c r="BG364" s="316"/>
      <c r="BH364" s="316"/>
      <c r="BI364" s="316"/>
      <c r="BJ364" s="316"/>
      <c r="BK364" s="316"/>
      <c r="BL364" s="316"/>
      <c r="BM364" s="316"/>
      <c r="BN364" s="316"/>
      <c r="BO364" s="316"/>
      <c r="BP364" s="316"/>
      <c r="BQ364" s="316"/>
      <c r="BR364" s="316"/>
      <c r="BS364" s="316"/>
      <c r="BT364" s="316"/>
      <c r="BU364" s="316"/>
      <c r="BV364" s="316"/>
      <c r="BW364" s="316"/>
      <c r="BX364" s="316"/>
      <c r="BY364" s="316"/>
      <c r="BZ364" s="316"/>
      <c r="CA364" s="316"/>
      <c r="CB364" s="316"/>
      <c r="CC364" s="316"/>
      <c r="CD364" s="316"/>
      <c r="CE364" s="317">
        <v>31.294496220706698</v>
      </c>
      <c r="CF364" s="316">
        <v>38.849477566021811</v>
      </c>
      <c r="CG364" s="316">
        <v>76.031701622894502</v>
      </c>
      <c r="CH364" s="316">
        <v>48.3828124680496</v>
      </c>
      <c r="CI364" s="316">
        <v>36.012732783613451</v>
      </c>
      <c r="CJ364" s="316">
        <v>62.84400919591495</v>
      </c>
      <c r="CK364" s="316">
        <v>22.369328398681304</v>
      </c>
      <c r="CL364" s="316">
        <v>15.370313869472696</v>
      </c>
      <c r="CM364" s="316">
        <v>15.260357731845993</v>
      </c>
      <c r="CN364" s="316">
        <v>60.223322623538365</v>
      </c>
      <c r="CO364" s="316">
        <v>36.611849603410164</v>
      </c>
      <c r="CP364" s="318">
        <v>31.066255138470598</v>
      </c>
      <c r="CQ364" s="316">
        <v>34.448433302576923</v>
      </c>
      <c r="CR364" s="316">
        <v>20.63533699242986</v>
      </c>
      <c r="CS364" s="316">
        <v>32.087946900292721</v>
      </c>
      <c r="CT364" s="316">
        <v>27.612034403931105</v>
      </c>
      <c r="CU364" s="316">
        <v>37.436683176818299</v>
      </c>
      <c r="CV364" s="316">
        <v>88.698945014422492</v>
      </c>
      <c r="CW364" s="316">
        <v>19.204165503062438</v>
      </c>
      <c r="CX364" s="316">
        <v>20.746947771968358</v>
      </c>
      <c r="CY364" s="316">
        <v>35.869115706465713</v>
      </c>
      <c r="CZ364" s="316">
        <v>25.985062782443698</v>
      </c>
      <c r="DA364" s="316">
        <v>51.924950351204735</v>
      </c>
      <c r="DB364" s="1498">
        <v>21.277785089683185</v>
      </c>
      <c r="DC364" s="316">
        <v>31.952444359087636</v>
      </c>
      <c r="DD364" s="316">
        <v>25.176932769502265</v>
      </c>
      <c r="DE364" s="316">
        <v>37.733474002093303</v>
      </c>
      <c r="DF364" s="316">
        <v>10.630564396348262</v>
      </c>
      <c r="DG364" s="316">
        <v>42.242365627815268</v>
      </c>
      <c r="DH364" s="316">
        <v>51.857928151955861</v>
      </c>
      <c r="DI364" s="316">
        <v>10.091643304932198</v>
      </c>
      <c r="DJ364" s="316">
        <v>14.552678703328509</v>
      </c>
      <c r="DK364" s="316">
        <v>15.303282783798712</v>
      </c>
      <c r="DL364" s="316">
        <v>65.287056068877121</v>
      </c>
      <c r="DM364" s="316">
        <v>19.525803094469907</v>
      </c>
      <c r="DN364" s="318">
        <v>49.359432531340339</v>
      </c>
      <c r="DO364" s="316">
        <v>16.821842926668246</v>
      </c>
      <c r="DP364" s="316">
        <v>12.133511288417928</v>
      </c>
      <c r="DQ364" s="316">
        <v>12.10521743976989</v>
      </c>
      <c r="DR364" s="316">
        <v>3.2359692316649102</v>
      </c>
      <c r="DS364" s="316">
        <v>24.265521834424653</v>
      </c>
      <c r="DT364" s="316">
        <v>38.69634425486683</v>
      </c>
      <c r="DU364" s="316">
        <v>26.861476736151836</v>
      </c>
      <c r="DV364" s="316">
        <v>15.698929868479176</v>
      </c>
      <c r="DW364" s="316">
        <v>9.9379293873689836</v>
      </c>
      <c r="DX364" s="316">
        <v>18.107965103232981</v>
      </c>
      <c r="DY364" s="316">
        <v>11.606604623025165</v>
      </c>
      <c r="DZ364" s="318">
        <v>71.838740070398202</v>
      </c>
      <c r="EA364" s="316">
        <v>28.478469199581948</v>
      </c>
      <c r="EB364" s="316">
        <v>13.523021116010485</v>
      </c>
      <c r="EC364" s="316">
        <v>18.953049629910502</v>
      </c>
      <c r="ED364" s="316">
        <v>23.298000892212691</v>
      </c>
      <c r="EE364" s="316">
        <v>23.161700240021034</v>
      </c>
      <c r="EF364" s="316">
        <v>46.878481637633797</v>
      </c>
      <c r="EG364" s="316">
        <v>35.474939126189987</v>
      </c>
      <c r="EH364" s="316">
        <v>15.9798820219416</v>
      </c>
      <c r="EI364" s="316">
        <v>34.631168591869212</v>
      </c>
      <c r="EJ364" s="316">
        <v>17.3529972263057</v>
      </c>
      <c r="EK364" s="316">
        <v>8.0850167052850175</v>
      </c>
      <c r="EL364" s="318">
        <v>30.170743475192022</v>
      </c>
      <c r="EM364" s="316">
        <v>21.744780747851884</v>
      </c>
      <c r="EN364" s="316">
        <v>28.582831360647518</v>
      </c>
      <c r="EO364" s="316">
        <v>32.06137583228977</v>
      </c>
      <c r="EP364" s="316">
        <v>25.689925104930648</v>
      </c>
      <c r="EQ364" s="316">
        <v>6.238642488411001</v>
      </c>
      <c r="ER364" s="316">
        <v>103.18971067895137</v>
      </c>
      <c r="ES364" s="316">
        <v>25.794172349091561</v>
      </c>
      <c r="ET364" s="316">
        <v>40.194968139461167</v>
      </c>
      <c r="EU364" s="316">
        <v>26.318875862817901</v>
      </c>
      <c r="EV364" s="316">
        <v>30.464400599917024</v>
      </c>
      <c r="EW364" s="316">
        <v>9.2735813359162655</v>
      </c>
      <c r="EX364" s="318">
        <v>26.318875862950499</v>
      </c>
      <c r="EY364" s="316">
        <v>32.241833855093404</v>
      </c>
      <c r="EZ364" s="316">
        <v>19.120340874614172</v>
      </c>
      <c r="FA364" s="316">
        <v>32.476259949591501</v>
      </c>
      <c r="FB364" s="316">
        <v>17.141012261463228</v>
      </c>
      <c r="FC364" s="316">
        <v>28.591621457094867</v>
      </c>
      <c r="FD364" s="316">
        <v>74.910884488121596</v>
      </c>
      <c r="FE364" s="316">
        <v>18.57477772208745</v>
      </c>
      <c r="FF364" s="316">
        <v>40.829624657206764</v>
      </c>
      <c r="FG364" s="316">
        <v>23.485399915408056</v>
      </c>
      <c r="FH364" s="316">
        <v>40.202751746070916</v>
      </c>
      <c r="FI364" s="316">
        <v>25.711020665681996</v>
      </c>
      <c r="FJ364" s="318">
        <v>60.087031282495659</v>
      </c>
      <c r="FK364" s="316">
        <v>18.016468952481294</v>
      </c>
      <c r="FL364" s="316">
        <v>22.038160849417618</v>
      </c>
      <c r="FM364" s="316">
        <v>85.114840036842878</v>
      </c>
      <c r="FN364" s="316">
        <v>55.795753342564119</v>
      </c>
      <c r="FO364" s="316">
        <v>24.596989962932081</v>
      </c>
      <c r="FP364" s="316">
        <v>52.943284085381222</v>
      </c>
      <c r="FQ364" s="316">
        <v>26.0973223375467</v>
      </c>
      <c r="FR364" s="316">
        <v>26.0973223375467</v>
      </c>
      <c r="FS364" s="316">
        <v>101.97518335178538</v>
      </c>
      <c r="FT364" s="316">
        <v>36.043364572106718</v>
      </c>
      <c r="FU364" s="316">
        <v>26.540783368213397</v>
      </c>
      <c r="FV364" s="316">
        <v>81.779804093706915</v>
      </c>
      <c r="FW364" s="316">
        <v>25.536817192198459</v>
      </c>
      <c r="FX364" s="316">
        <v>68.769149023021257</v>
      </c>
      <c r="FY364" s="316">
        <v>34.1409768277097</v>
      </c>
      <c r="FZ364" s="316">
        <v>51.587092125766084</v>
      </c>
      <c r="GA364" s="316">
        <v>47.967438923782581</v>
      </c>
      <c r="GB364" s="316">
        <v>34.765320419563082</v>
      </c>
      <c r="GC364" s="316">
        <v>51.379938509455535</v>
      </c>
      <c r="GD364" s="316">
        <v>32.894609653005027</v>
      </c>
      <c r="GE364" s="316">
        <v>127.61318963777623</v>
      </c>
      <c r="GF364" s="316">
        <v>64.638842304396093</v>
      </c>
      <c r="GG364" s="316">
        <v>32.818074208225894</v>
      </c>
      <c r="GH364" s="316">
        <v>37.543484832671957</v>
      </c>
      <c r="GI364" s="316">
        <v>47.933698287076837</v>
      </c>
      <c r="GJ364" s="316">
        <v>19.18196139757698</v>
      </c>
      <c r="GK364" s="316">
        <v>16.2176160074929</v>
      </c>
      <c r="GL364" s="316">
        <v>34.615500221610787</v>
      </c>
      <c r="GM364" s="316">
        <v>16.2176160074929</v>
      </c>
      <c r="GN364" s="316">
        <v>31.198983179245815</v>
      </c>
      <c r="GO364" s="316">
        <v>10.493535797153971</v>
      </c>
      <c r="GP364" s="316">
        <v>9.518152400153971</v>
      </c>
      <c r="GQ364" s="316">
        <v>9.518152400153971</v>
      </c>
      <c r="GR364" s="316">
        <v>46.907793402424289</v>
      </c>
      <c r="GS364" s="316">
        <v>19.724980990133972</v>
      </c>
      <c r="GT364" s="316">
        <v>44.162737851624527</v>
      </c>
      <c r="GU364" s="316">
        <v>34.381813544500368</v>
      </c>
      <c r="GV364" s="316">
        <v>9.7639445017651276</v>
      </c>
      <c r="GW364" s="316">
        <v>52.640227532174087</v>
      </c>
      <c r="GX364" s="316">
        <v>14.899181219072448</v>
      </c>
      <c r="GY364" s="316">
        <v>2.0545404563266199</v>
      </c>
      <c r="GZ364" s="316">
        <v>53.023490088936811</v>
      </c>
      <c r="HA364" s="316">
        <v>14.411668654781918</v>
      </c>
      <c r="HB364" s="316">
        <v>0</v>
      </c>
      <c r="HC364" s="316">
        <v>47.88367306829565</v>
      </c>
      <c r="HD364" s="316">
        <v>29.529508718633497</v>
      </c>
      <c r="HE364" s="316">
        <v>9.3581437734186519</v>
      </c>
      <c r="HF364" s="316">
        <v>66.083997353529654</v>
      </c>
      <c r="HG364" s="316">
        <v>36.550565428489207</v>
      </c>
      <c r="HH364" s="316">
        <v>0</v>
      </c>
      <c r="HI364" s="316">
        <v>44.842136541598634</v>
      </c>
      <c r="HJ364" s="316">
        <v>34.237850121589396</v>
      </c>
      <c r="HK364" s="316">
        <v>0</v>
      </c>
      <c r="HL364" s="316">
        <v>57.939248724502541</v>
      </c>
      <c r="HM364" s="316"/>
      <c r="KH364" s="303"/>
    </row>
    <row r="365" spans="1:294" outlineLevel="1">
      <c r="A365" s="117" t="s">
        <v>395</v>
      </c>
      <c r="B365" s="117" t="s">
        <v>361</v>
      </c>
      <c r="D365" s="344" t="s">
        <v>538</v>
      </c>
      <c r="E365" s="316"/>
      <c r="F365" s="316"/>
      <c r="G365" s="316"/>
      <c r="H365" s="316"/>
      <c r="I365" s="316"/>
      <c r="J365" s="316"/>
      <c r="K365" s="316"/>
      <c r="L365" s="316"/>
      <c r="M365" s="316"/>
      <c r="N365" s="316"/>
      <c r="O365" s="316"/>
      <c r="P365" s="316"/>
      <c r="Q365" s="316"/>
      <c r="R365" s="316"/>
      <c r="S365" s="316"/>
      <c r="T365" s="316"/>
      <c r="U365" s="316"/>
      <c r="V365" s="316"/>
      <c r="W365" s="316"/>
      <c r="X365" s="316"/>
      <c r="Y365" s="316"/>
      <c r="Z365" s="316"/>
      <c r="AA365" s="316"/>
      <c r="AB365" s="316"/>
      <c r="AC365" s="316"/>
      <c r="AD365" s="316"/>
      <c r="AE365" s="316"/>
      <c r="AF365" s="316"/>
      <c r="AG365" s="316"/>
      <c r="AH365" s="316"/>
      <c r="AI365" s="316"/>
      <c r="AJ365" s="316"/>
      <c r="AK365" s="316"/>
      <c r="AL365" s="316"/>
      <c r="AM365" s="316"/>
      <c r="AN365" s="316"/>
      <c r="AO365" s="316"/>
      <c r="AP365" s="316"/>
      <c r="AQ365" s="316"/>
      <c r="AR365" s="316"/>
      <c r="AS365" s="316"/>
      <c r="AT365" s="316"/>
      <c r="AU365" s="316"/>
      <c r="AV365" s="316"/>
      <c r="AW365" s="316"/>
      <c r="AX365" s="316"/>
      <c r="AY365" s="316"/>
      <c r="AZ365" s="316"/>
      <c r="BA365" s="316"/>
      <c r="BB365" s="316"/>
      <c r="BC365" s="316"/>
      <c r="BD365" s="316"/>
      <c r="BE365" s="316"/>
      <c r="BF365" s="316"/>
      <c r="BG365" s="316"/>
      <c r="BH365" s="316"/>
      <c r="BI365" s="316"/>
      <c r="BJ365" s="316"/>
      <c r="BK365" s="316"/>
      <c r="BL365" s="316"/>
      <c r="BM365" s="316"/>
      <c r="BN365" s="316"/>
      <c r="BO365" s="316"/>
      <c r="BP365" s="316"/>
      <c r="BQ365" s="316"/>
      <c r="BR365" s="316"/>
      <c r="BS365" s="316"/>
      <c r="BT365" s="316"/>
      <c r="BU365" s="316"/>
      <c r="BV365" s="316"/>
      <c r="BW365" s="316"/>
      <c r="BX365" s="316"/>
      <c r="BY365" s="316"/>
      <c r="BZ365" s="316"/>
      <c r="CA365" s="316"/>
      <c r="CB365" s="316"/>
      <c r="CC365" s="316"/>
      <c r="CD365" s="316"/>
      <c r="CE365" s="317">
        <v>10.649725516935002</v>
      </c>
      <c r="CF365" s="316">
        <v>32.642625870288001</v>
      </c>
      <c r="CG365" s="316">
        <v>42.376945760600009</v>
      </c>
      <c r="CH365" s="316">
        <v>8.2179470510999995</v>
      </c>
      <c r="CI365" s="316">
        <v>2.710436597478</v>
      </c>
      <c r="CJ365" s="316">
        <v>39.538582284914</v>
      </c>
      <c r="CK365" s="316">
        <v>0</v>
      </c>
      <c r="CL365" s="316">
        <v>0</v>
      </c>
      <c r="CM365" s="316">
        <v>0</v>
      </c>
      <c r="CN365" s="316">
        <v>5.1416973700781536</v>
      </c>
      <c r="CO365" s="316">
        <v>20.51012667949999</v>
      </c>
      <c r="CP365" s="318">
        <v>9.2667948451580067</v>
      </c>
      <c r="CQ365" s="316">
        <v>17.574926579780833</v>
      </c>
      <c r="CR365" s="316">
        <v>6.1004475483840262E-2</v>
      </c>
      <c r="CS365" s="316">
        <v>18.410786140034833</v>
      </c>
      <c r="CT365" s="316">
        <v>4.6459715500613363</v>
      </c>
      <c r="CU365" s="316">
        <v>11.644424817805957</v>
      </c>
      <c r="CV365" s="316">
        <v>63.104221270265896</v>
      </c>
      <c r="CW365" s="316">
        <v>0.36886337475031195</v>
      </c>
      <c r="CX365" s="316">
        <v>5.3526167373176399E-2</v>
      </c>
      <c r="CY365" s="316">
        <v>17.62001316069103</v>
      </c>
      <c r="CZ365" s="316">
        <v>13.437569677394109</v>
      </c>
      <c r="DA365" s="316">
        <v>27.297930233327257</v>
      </c>
      <c r="DB365" s="1498">
        <v>0.68446750797208367</v>
      </c>
      <c r="DC365" s="316">
        <v>18.500350525863201</v>
      </c>
      <c r="DD365" s="316">
        <v>6.1547591233999999</v>
      </c>
      <c r="DE365" s="316">
        <v>21.85774148142</v>
      </c>
      <c r="DF365" s="316">
        <v>0.27488678799999999</v>
      </c>
      <c r="DG365" s="316">
        <v>33.148919335843502</v>
      </c>
      <c r="DH365" s="316">
        <v>22.95045653645364</v>
      </c>
      <c r="DI365" s="316">
        <v>0.45384504142463566</v>
      </c>
      <c r="DJ365" s="316">
        <v>3.0471868759055294</v>
      </c>
      <c r="DK365" s="316">
        <v>0.34657287472925635</v>
      </c>
      <c r="DL365" s="316">
        <v>54.368579620764223</v>
      </c>
      <c r="DM365" s="316">
        <v>0.23876751243749914</v>
      </c>
      <c r="DN365" s="318">
        <v>43.464944561485638</v>
      </c>
      <c r="DO365" s="316">
        <v>4.6855716548560604</v>
      </c>
      <c r="DP365" s="316">
        <v>0</v>
      </c>
      <c r="DQ365" s="316">
        <v>0</v>
      </c>
      <c r="DR365" s="316">
        <v>0</v>
      </c>
      <c r="DS365" s="316">
        <v>9.1588665883095004</v>
      </c>
      <c r="DT365" s="316">
        <v>20.663968732646893</v>
      </c>
      <c r="DU365" s="316">
        <v>15.873335991999999</v>
      </c>
      <c r="DV365" s="316">
        <v>0</v>
      </c>
      <c r="DW365" s="316">
        <v>0</v>
      </c>
      <c r="DX365" s="316">
        <v>12.168713068197375</v>
      </c>
      <c r="DY365" s="316">
        <v>0</v>
      </c>
      <c r="DZ365" s="318">
        <v>52.75959672845898</v>
      </c>
      <c r="EA365" s="316">
        <v>16.435436212890188</v>
      </c>
      <c r="EB365" s="316">
        <v>1.9416037326127447</v>
      </c>
      <c r="EC365" s="316">
        <v>0</v>
      </c>
      <c r="ED365" s="316">
        <v>14.085088712740772</v>
      </c>
      <c r="EE365" s="316">
        <v>4.4952272066647154</v>
      </c>
      <c r="EF365" s="316">
        <v>32.180366850462036</v>
      </c>
      <c r="EG365" s="316">
        <v>27.740567568486426</v>
      </c>
      <c r="EH365" s="316">
        <v>3.4351810122460638</v>
      </c>
      <c r="EI365" s="316">
        <v>13.132741159268299</v>
      </c>
      <c r="EJ365" s="316">
        <v>13.831257406782735</v>
      </c>
      <c r="EK365" s="316">
        <v>0</v>
      </c>
      <c r="EL365" s="318">
        <v>0</v>
      </c>
      <c r="EM365" s="316">
        <v>6.0684036755970308</v>
      </c>
      <c r="EN365" s="316">
        <v>12.302054782967376</v>
      </c>
      <c r="EO365" s="316">
        <v>0.10422218235476999</v>
      </c>
      <c r="EP365" s="316">
        <v>0</v>
      </c>
      <c r="EQ365" s="316">
        <v>0</v>
      </c>
      <c r="ER365" s="316">
        <v>71.232557029016377</v>
      </c>
      <c r="ES365" s="316">
        <v>14.021816380000001</v>
      </c>
      <c r="ET365" s="316">
        <v>25.648448246000001</v>
      </c>
      <c r="EU365" s="316">
        <v>0</v>
      </c>
      <c r="EV365" s="316">
        <v>13.419106073131385</v>
      </c>
      <c r="EW365" s="316">
        <v>0</v>
      </c>
      <c r="EX365" s="318">
        <v>0</v>
      </c>
      <c r="EY365" s="316">
        <v>18.885914780479233</v>
      </c>
      <c r="EZ365" s="316">
        <v>0</v>
      </c>
      <c r="FA365" s="316">
        <v>0</v>
      </c>
      <c r="FB365" s="316">
        <v>0</v>
      </c>
      <c r="FC365" s="316">
        <v>9.2111639751582803</v>
      </c>
      <c r="FD365" s="316">
        <v>46.484624538530092</v>
      </c>
      <c r="FE365" s="316">
        <v>0</v>
      </c>
      <c r="FF365" s="316">
        <v>17.942072601710958</v>
      </c>
      <c r="FG365" s="316">
        <v>0</v>
      </c>
      <c r="FH365" s="316">
        <v>23.107773860801</v>
      </c>
      <c r="FI365" s="316">
        <v>0</v>
      </c>
      <c r="FJ365" s="318">
        <v>37.913166435999997</v>
      </c>
      <c r="FK365" s="316">
        <v>0</v>
      </c>
      <c r="FL365" s="316">
        <v>0</v>
      </c>
      <c r="FM365" s="316">
        <v>55.78206542418198</v>
      </c>
      <c r="FN365" s="316">
        <v>35.485712861354926</v>
      </c>
      <c r="FO365" s="316">
        <v>0</v>
      </c>
      <c r="FP365" s="316">
        <v>28.462910114962668</v>
      </c>
      <c r="FQ365" s="316">
        <v>0</v>
      </c>
      <c r="FR365" s="316">
        <v>0</v>
      </c>
      <c r="FS365" s="316">
        <v>74.49219628223868</v>
      </c>
      <c r="FT365" s="316">
        <v>11.165815152893289</v>
      </c>
      <c r="FU365" s="316">
        <v>0</v>
      </c>
      <c r="FV365" s="316">
        <v>56.902254674493491</v>
      </c>
      <c r="FW365" s="316">
        <v>1.2382475E-2</v>
      </c>
      <c r="FX365" s="316">
        <v>43.244714305822797</v>
      </c>
      <c r="FY365" s="316">
        <v>8.6165421105112401</v>
      </c>
      <c r="FZ365" s="316">
        <v>17.063186750203002</v>
      </c>
      <c r="GA365" s="316">
        <v>13.4435335482195</v>
      </c>
      <c r="GB365" s="316">
        <v>0.241415044</v>
      </c>
      <c r="GC365" s="316">
        <v>18.56186430122964</v>
      </c>
      <c r="GD365" s="316">
        <v>7.6535444779132003E-2</v>
      </c>
      <c r="GE365" s="316">
        <v>94.795115429550336</v>
      </c>
      <c r="GF365" s="316">
        <v>31.820768096170202</v>
      </c>
      <c r="GG365" s="316">
        <v>0</v>
      </c>
      <c r="GH365" s="316">
        <v>4.7254106244460603</v>
      </c>
      <c r="GI365" s="316">
        <v>31.716082279583937</v>
      </c>
      <c r="GJ365" s="316">
        <v>2.9643453900840777</v>
      </c>
      <c r="GK365" s="316">
        <v>0</v>
      </c>
      <c r="GL365" s="316">
        <v>18.397884214117887</v>
      </c>
      <c r="GM365" s="316">
        <v>0</v>
      </c>
      <c r="GN365" s="316">
        <v>14.981367171752915</v>
      </c>
      <c r="GO365" s="316">
        <v>0.9753833970000001</v>
      </c>
      <c r="GP365" s="316">
        <v>0</v>
      </c>
      <c r="GQ365" s="316">
        <v>0</v>
      </c>
      <c r="GR365" s="316">
        <v>37.389641002270317</v>
      </c>
      <c r="GS365" s="316">
        <v>10.206828589979999</v>
      </c>
      <c r="GT365" s="316">
        <v>34.644585451470562</v>
      </c>
      <c r="GU365" s="316">
        <v>34.381813544500368</v>
      </c>
      <c r="GV365" s="316">
        <v>9.7639445017651276</v>
      </c>
      <c r="GW365" s="316">
        <v>7.465749931508225</v>
      </c>
      <c r="GX365" s="316">
        <v>14.899181219072448</v>
      </c>
      <c r="GY365" s="316">
        <v>2.0545404563266199</v>
      </c>
      <c r="GZ365" s="316">
        <v>7.8490124882709535</v>
      </c>
      <c r="HA365" s="316">
        <v>14.411668654781918</v>
      </c>
      <c r="HB365" s="316">
        <v>0</v>
      </c>
      <c r="HC365" s="316">
        <v>0</v>
      </c>
      <c r="HD365" s="316">
        <v>29.529508718633497</v>
      </c>
      <c r="HE365" s="316">
        <v>9.3581437734186519</v>
      </c>
      <c r="HF365" s="316">
        <v>18.200324285234</v>
      </c>
      <c r="HG365" s="316">
        <v>36.550565428489207</v>
      </c>
      <c r="HH365" s="316">
        <v>0</v>
      </c>
      <c r="HI365" s="316">
        <v>0</v>
      </c>
      <c r="HJ365" s="316">
        <v>34.237850121589396</v>
      </c>
      <c r="HK365" s="316">
        <v>0</v>
      </c>
      <c r="HL365" s="316">
        <v>13.097112182903905</v>
      </c>
      <c r="HM365" s="316"/>
      <c r="KH365" s="303"/>
    </row>
    <row r="366" spans="1:294" outlineLevel="1">
      <c r="A366" s="117" t="s">
        <v>395</v>
      </c>
      <c r="B366" s="117" t="s">
        <v>361</v>
      </c>
      <c r="D366" s="344" t="s">
        <v>539</v>
      </c>
      <c r="E366" s="316"/>
      <c r="F366" s="316"/>
      <c r="G366" s="316"/>
      <c r="H366" s="316"/>
      <c r="I366" s="316"/>
      <c r="J366" s="316"/>
      <c r="K366" s="316"/>
      <c r="L366" s="316"/>
      <c r="M366" s="316"/>
      <c r="N366" s="316"/>
      <c r="O366" s="316"/>
      <c r="P366" s="316"/>
      <c r="Q366" s="316"/>
      <c r="R366" s="316"/>
      <c r="S366" s="316"/>
      <c r="T366" s="316"/>
      <c r="U366" s="316"/>
      <c r="V366" s="316"/>
      <c r="W366" s="316"/>
      <c r="X366" s="316"/>
      <c r="Y366" s="316"/>
      <c r="Z366" s="316"/>
      <c r="AA366" s="316"/>
      <c r="AB366" s="316"/>
      <c r="AC366" s="316"/>
      <c r="AD366" s="316"/>
      <c r="AE366" s="316"/>
      <c r="AF366" s="316"/>
      <c r="AG366" s="316"/>
      <c r="AH366" s="316"/>
      <c r="AI366" s="316"/>
      <c r="AJ366" s="316"/>
      <c r="AK366" s="316"/>
      <c r="AL366" s="316"/>
      <c r="AM366" s="316"/>
      <c r="AN366" s="316"/>
      <c r="AO366" s="316"/>
      <c r="AP366" s="316"/>
      <c r="AQ366" s="316"/>
      <c r="AR366" s="316"/>
      <c r="AS366" s="316"/>
      <c r="AT366" s="316"/>
      <c r="AU366" s="316"/>
      <c r="AV366" s="316"/>
      <c r="AW366" s="316"/>
      <c r="AX366" s="316"/>
      <c r="AY366" s="316"/>
      <c r="AZ366" s="316"/>
      <c r="BA366" s="316"/>
      <c r="BB366" s="316"/>
      <c r="BC366" s="316"/>
      <c r="BD366" s="316"/>
      <c r="BE366" s="316"/>
      <c r="BF366" s="316"/>
      <c r="BG366" s="316"/>
      <c r="BH366" s="316"/>
      <c r="BI366" s="316"/>
      <c r="BJ366" s="316"/>
      <c r="BK366" s="316"/>
      <c r="BL366" s="316"/>
      <c r="BM366" s="316"/>
      <c r="BN366" s="316"/>
      <c r="BO366" s="316"/>
      <c r="BP366" s="316"/>
      <c r="BQ366" s="316"/>
      <c r="BR366" s="316"/>
      <c r="BS366" s="316"/>
      <c r="BT366" s="316"/>
      <c r="BU366" s="316"/>
      <c r="BV366" s="316"/>
      <c r="BW366" s="316"/>
      <c r="BX366" s="316"/>
      <c r="BY366" s="316"/>
      <c r="BZ366" s="316"/>
      <c r="CA366" s="316"/>
      <c r="CB366" s="316"/>
      <c r="CC366" s="316"/>
      <c r="CD366" s="316"/>
      <c r="CE366" s="317">
        <v>20.644770703771695</v>
      </c>
      <c r="CF366" s="316">
        <v>6.2068516957338105</v>
      </c>
      <c r="CG366" s="316">
        <v>33.654755862294493</v>
      </c>
      <c r="CH366" s="316">
        <v>40.164865416949603</v>
      </c>
      <c r="CI366" s="316">
        <v>33.30229618613545</v>
      </c>
      <c r="CJ366" s="316">
        <v>23.305426911000946</v>
      </c>
      <c r="CK366" s="316">
        <v>22.369328398681304</v>
      </c>
      <c r="CL366" s="316">
        <v>15.370313869472696</v>
      </c>
      <c r="CM366" s="316">
        <v>15.260357731845993</v>
      </c>
      <c r="CN366" s="316">
        <v>55.08162525346021</v>
      </c>
      <c r="CO366" s="316">
        <v>16.101722923910174</v>
      </c>
      <c r="CP366" s="318">
        <v>21.799460293312592</v>
      </c>
      <c r="CQ366" s="316">
        <v>16.87350672279609</v>
      </c>
      <c r="CR366" s="316">
        <v>20.574332516946019</v>
      </c>
      <c r="CS366" s="316">
        <v>13.677160760257889</v>
      </c>
      <c r="CT366" s="316">
        <v>22.966062853869769</v>
      </c>
      <c r="CU366" s="316">
        <v>25.792258359012344</v>
      </c>
      <c r="CV366" s="316">
        <v>25.594723744156603</v>
      </c>
      <c r="CW366" s="316">
        <v>18.835302128312126</v>
      </c>
      <c r="CX366" s="316">
        <v>20.69342160459518</v>
      </c>
      <c r="CY366" s="316">
        <v>18.249102545774683</v>
      </c>
      <c r="CZ366" s="316">
        <v>12.54749310504959</v>
      </c>
      <c r="DA366" s="316">
        <v>24.627020117877478</v>
      </c>
      <c r="DB366" s="1498">
        <v>20.593317581711101</v>
      </c>
      <c r="DC366" s="316">
        <v>13.452093833224433</v>
      </c>
      <c r="DD366" s="316">
        <v>19.022173646102264</v>
      </c>
      <c r="DE366" s="316">
        <v>15.875732520673303</v>
      </c>
      <c r="DF366" s="316">
        <v>10.355677608348262</v>
      </c>
      <c r="DG366" s="316">
        <v>9.0934462919717642</v>
      </c>
      <c r="DH366" s="316">
        <v>28.907471615502221</v>
      </c>
      <c r="DI366" s="316">
        <v>9.6377982635075625</v>
      </c>
      <c r="DJ366" s="316">
        <v>11.505491827422979</v>
      </c>
      <c r="DK366" s="316">
        <v>14.956709909069456</v>
      </c>
      <c r="DL366" s="316">
        <v>10.918476448112893</v>
      </c>
      <c r="DM366" s="316">
        <v>19.287035582032409</v>
      </c>
      <c r="DN366" s="318">
        <v>5.8944879698547039</v>
      </c>
      <c r="DO366" s="316">
        <v>12.136271271812186</v>
      </c>
      <c r="DP366" s="316">
        <v>12.133511288417928</v>
      </c>
      <c r="DQ366" s="316">
        <v>12.10521743976989</v>
      </c>
      <c r="DR366" s="316">
        <v>3.2359692316649102</v>
      </c>
      <c r="DS366" s="316">
        <v>15.106655246115155</v>
      </c>
      <c r="DT366" s="316">
        <v>18.032375522219933</v>
      </c>
      <c r="DU366" s="316">
        <v>10.988140744151838</v>
      </c>
      <c r="DV366" s="316">
        <v>15.698929868479176</v>
      </c>
      <c r="DW366" s="316">
        <v>9.9379293873689836</v>
      </c>
      <c r="DX366" s="316">
        <v>5.9392520350356071</v>
      </c>
      <c r="DY366" s="316">
        <v>11.606604623025165</v>
      </c>
      <c r="DZ366" s="318">
        <v>19.079143341939226</v>
      </c>
      <c r="EA366" s="316">
        <v>12.04303298669176</v>
      </c>
      <c r="EB366" s="316">
        <v>11.58141738339774</v>
      </c>
      <c r="EC366" s="316">
        <v>18.953049629910502</v>
      </c>
      <c r="ED366" s="316">
        <v>9.2129121794719193</v>
      </c>
      <c r="EE366" s="316">
        <v>18.666473033356318</v>
      </c>
      <c r="EF366" s="316">
        <v>14.698114787171765</v>
      </c>
      <c r="EG366" s="316">
        <v>7.7343715577035592</v>
      </c>
      <c r="EH366" s="316">
        <v>12.544701009695537</v>
      </c>
      <c r="EI366" s="316">
        <v>21.498427432600909</v>
      </c>
      <c r="EJ366" s="316">
        <v>3.5217398195229666</v>
      </c>
      <c r="EK366" s="316">
        <v>8.0850167052850175</v>
      </c>
      <c r="EL366" s="318">
        <v>30.170743475192022</v>
      </c>
      <c r="EM366" s="316">
        <v>15.676377072254855</v>
      </c>
      <c r="EN366" s="316">
        <v>16.280776577680143</v>
      </c>
      <c r="EO366" s="316">
        <v>31.957153649935002</v>
      </c>
      <c r="EP366" s="316">
        <v>25.689925104930648</v>
      </c>
      <c r="EQ366" s="316">
        <v>6.238642488411001</v>
      </c>
      <c r="ER366" s="316">
        <v>31.957153649935002</v>
      </c>
      <c r="ES366" s="316">
        <v>11.77235596909156</v>
      </c>
      <c r="ET366" s="316">
        <v>14.546519893461165</v>
      </c>
      <c r="EU366" s="316">
        <v>26.318875862817901</v>
      </c>
      <c r="EV366" s="316">
        <v>17.045294526785639</v>
      </c>
      <c r="EW366" s="316">
        <v>9.2735813359162655</v>
      </c>
      <c r="EX366" s="318">
        <v>26.318875862950499</v>
      </c>
      <c r="EY366" s="316">
        <v>13.355919074614171</v>
      </c>
      <c r="EZ366" s="316">
        <v>19.120340874614172</v>
      </c>
      <c r="FA366" s="316">
        <v>32.476259949591501</v>
      </c>
      <c r="FB366" s="316">
        <v>17.141012261463228</v>
      </c>
      <c r="FC366" s="316">
        <v>19.380457481936588</v>
      </c>
      <c r="FD366" s="316">
        <v>28.4262599495915</v>
      </c>
      <c r="FE366" s="316">
        <v>18.57477772208745</v>
      </c>
      <c r="FF366" s="316">
        <v>22.887552055495807</v>
      </c>
      <c r="FG366" s="316">
        <v>23.485399915408056</v>
      </c>
      <c r="FH366" s="316">
        <v>17.094977885269913</v>
      </c>
      <c r="FI366" s="316">
        <v>25.711020665681996</v>
      </c>
      <c r="FJ366" s="318">
        <v>22.173864846495658</v>
      </c>
      <c r="FK366" s="316">
        <v>18.016468952481294</v>
      </c>
      <c r="FL366" s="316">
        <v>22.038160849417618</v>
      </c>
      <c r="FM366" s="316">
        <v>29.332774612660895</v>
      </c>
      <c r="FN366" s="316">
        <v>20.310040481209192</v>
      </c>
      <c r="FO366" s="316">
        <v>24.596989962932081</v>
      </c>
      <c r="FP366" s="316">
        <v>24.480373970418551</v>
      </c>
      <c r="FQ366" s="316">
        <v>26.0973223375467</v>
      </c>
      <c r="FR366" s="316">
        <v>26.0973223375467</v>
      </c>
      <c r="FS366" s="316">
        <v>27.482987069546699</v>
      </c>
      <c r="FT366" s="316">
        <v>24.877549419213427</v>
      </c>
      <c r="FU366" s="316">
        <v>26.540783368213397</v>
      </c>
      <c r="FV366" s="316">
        <v>24.877549419213427</v>
      </c>
      <c r="FW366" s="316">
        <v>25.52443471719846</v>
      </c>
      <c r="FX366" s="316">
        <v>25.52443471719846</v>
      </c>
      <c r="FY366" s="316">
        <v>25.52443471719846</v>
      </c>
      <c r="FZ366" s="316">
        <v>34.523905375563082</v>
      </c>
      <c r="GA366" s="316">
        <v>34.523905375563082</v>
      </c>
      <c r="GB366" s="316">
        <v>34.523905375563082</v>
      </c>
      <c r="GC366" s="316">
        <v>32.818074208225894</v>
      </c>
      <c r="GD366" s="316">
        <v>32.818074208225894</v>
      </c>
      <c r="GE366" s="316">
        <v>32.818074208225894</v>
      </c>
      <c r="GF366" s="316">
        <v>32.818074208225894</v>
      </c>
      <c r="GG366" s="316">
        <v>32.818074208225894</v>
      </c>
      <c r="GH366" s="316">
        <v>32.818074208225894</v>
      </c>
      <c r="GI366" s="316">
        <v>16.2176160074929</v>
      </c>
      <c r="GJ366" s="316">
        <v>16.2176160074929</v>
      </c>
      <c r="GK366" s="316">
        <v>16.2176160074929</v>
      </c>
      <c r="GL366" s="316">
        <v>16.2176160074929</v>
      </c>
      <c r="GM366" s="316">
        <v>16.2176160074929</v>
      </c>
      <c r="GN366" s="316">
        <v>16.2176160074929</v>
      </c>
      <c r="GO366" s="316">
        <v>9.518152400153971</v>
      </c>
      <c r="GP366" s="316">
        <v>9.518152400153971</v>
      </c>
      <c r="GQ366" s="316">
        <v>9.518152400153971</v>
      </c>
      <c r="GR366" s="316">
        <v>9.518152400153971</v>
      </c>
      <c r="GS366" s="316">
        <v>9.518152400153971</v>
      </c>
      <c r="GT366" s="316">
        <v>9.518152400153971</v>
      </c>
      <c r="GU366" s="316">
        <v>0</v>
      </c>
      <c r="GV366" s="316">
        <v>0</v>
      </c>
      <c r="GW366" s="316">
        <v>45.17447760066586</v>
      </c>
      <c r="GX366" s="316">
        <v>0</v>
      </c>
      <c r="GY366" s="316">
        <v>0</v>
      </c>
      <c r="GZ366" s="316">
        <v>45.17447760066586</v>
      </c>
      <c r="HA366" s="316">
        <v>0</v>
      </c>
      <c r="HB366" s="316">
        <v>0</v>
      </c>
      <c r="HC366" s="316">
        <v>47.88367306829565</v>
      </c>
      <c r="HD366" s="316">
        <v>0</v>
      </c>
      <c r="HE366" s="316">
        <v>0</v>
      </c>
      <c r="HF366" s="316">
        <v>47.88367306829565</v>
      </c>
      <c r="HG366" s="316">
        <v>0</v>
      </c>
      <c r="HH366" s="316">
        <v>0</v>
      </c>
      <c r="HI366" s="316">
        <v>44.842136541598634</v>
      </c>
      <c r="HJ366" s="316">
        <v>0</v>
      </c>
      <c r="HK366" s="316">
        <v>0</v>
      </c>
      <c r="HL366" s="316">
        <v>44.842136541598634</v>
      </c>
      <c r="HM366" s="316"/>
      <c r="KH366" s="303"/>
    </row>
    <row r="367" spans="1:294" outlineLevel="1">
      <c r="A367" s="117" t="s">
        <v>527</v>
      </c>
      <c r="B367" s="117" t="s">
        <v>527</v>
      </c>
      <c r="D367" s="343" t="s">
        <v>541</v>
      </c>
      <c r="E367" s="316"/>
      <c r="F367" s="316"/>
      <c r="G367" s="316"/>
      <c r="H367" s="316"/>
      <c r="I367" s="316"/>
      <c r="J367" s="316"/>
      <c r="K367" s="316"/>
      <c r="L367" s="316"/>
      <c r="M367" s="316"/>
      <c r="N367" s="316"/>
      <c r="O367" s="316"/>
      <c r="P367" s="316"/>
      <c r="Q367" s="316"/>
      <c r="R367" s="316"/>
      <c r="S367" s="316"/>
      <c r="T367" s="316"/>
      <c r="U367" s="316"/>
      <c r="V367" s="316"/>
      <c r="W367" s="316"/>
      <c r="X367" s="316"/>
      <c r="Y367" s="316"/>
      <c r="Z367" s="316"/>
      <c r="AA367" s="316"/>
      <c r="AB367" s="316"/>
      <c r="AC367" s="316"/>
      <c r="AD367" s="316"/>
      <c r="AE367" s="316"/>
      <c r="AF367" s="316"/>
      <c r="AG367" s="316"/>
      <c r="AH367" s="316"/>
      <c r="AI367" s="316"/>
      <c r="AJ367" s="316"/>
      <c r="AK367" s="316"/>
      <c r="AL367" s="316"/>
      <c r="AM367" s="316"/>
      <c r="AN367" s="316"/>
      <c r="AO367" s="316"/>
      <c r="AP367" s="316"/>
      <c r="AQ367" s="316"/>
      <c r="AR367" s="316"/>
      <c r="AS367" s="316"/>
      <c r="AT367" s="316"/>
      <c r="AU367" s="316"/>
      <c r="AV367" s="316"/>
      <c r="AW367" s="316"/>
      <c r="AX367" s="316"/>
      <c r="AY367" s="316"/>
      <c r="AZ367" s="316"/>
      <c r="BA367" s="316"/>
      <c r="BB367" s="316"/>
      <c r="BC367" s="316"/>
      <c r="BD367" s="316"/>
      <c r="BE367" s="316"/>
      <c r="BF367" s="316"/>
      <c r="BG367" s="316"/>
      <c r="BH367" s="316"/>
      <c r="BI367" s="316"/>
      <c r="BJ367" s="316"/>
      <c r="BK367" s="316"/>
      <c r="BL367" s="316"/>
      <c r="BM367" s="316"/>
      <c r="BN367" s="316"/>
      <c r="BO367" s="316"/>
      <c r="BP367" s="316"/>
      <c r="BQ367" s="316"/>
      <c r="BR367" s="316"/>
      <c r="BS367" s="316"/>
      <c r="BT367" s="316"/>
      <c r="BU367" s="316"/>
      <c r="BV367" s="316"/>
      <c r="BW367" s="316"/>
      <c r="BX367" s="316"/>
      <c r="BY367" s="316"/>
      <c r="BZ367" s="316"/>
      <c r="CA367" s="316"/>
      <c r="CB367" s="316"/>
      <c r="CC367" s="316"/>
      <c r="CD367" s="316"/>
      <c r="CE367" s="317">
        <v>0</v>
      </c>
      <c r="CF367" s="316">
        <v>0</v>
      </c>
      <c r="CG367" s="316">
        <v>0</v>
      </c>
      <c r="CH367" s="316">
        <v>0</v>
      </c>
      <c r="CI367" s="316">
        <v>0</v>
      </c>
      <c r="CJ367" s="316">
        <v>0</v>
      </c>
      <c r="CK367" s="316">
        <v>0</v>
      </c>
      <c r="CL367" s="316">
        <v>0</v>
      </c>
      <c r="CM367" s="316">
        <v>0</v>
      </c>
      <c r="CN367" s="316">
        <v>0</v>
      </c>
      <c r="CO367" s="316">
        <v>0</v>
      </c>
      <c r="CP367" s="318">
        <v>0</v>
      </c>
      <c r="CQ367" s="316">
        <v>0</v>
      </c>
      <c r="CR367" s="316">
        <v>0</v>
      </c>
      <c r="CS367" s="316">
        <v>0</v>
      </c>
      <c r="CT367" s="316">
        <v>0</v>
      </c>
      <c r="CU367" s="316">
        <v>0</v>
      </c>
      <c r="CV367" s="316">
        <v>0</v>
      </c>
      <c r="CW367" s="316">
        <v>0</v>
      </c>
      <c r="CX367" s="316">
        <v>0</v>
      </c>
      <c r="CY367" s="316">
        <v>0</v>
      </c>
      <c r="CZ367" s="316">
        <v>0</v>
      </c>
      <c r="DA367" s="316">
        <v>0</v>
      </c>
      <c r="DB367" s="1498">
        <v>0</v>
      </c>
      <c r="DC367" s="316">
        <v>0</v>
      </c>
      <c r="DD367" s="316">
        <v>0</v>
      </c>
      <c r="DE367" s="316">
        <v>0</v>
      </c>
      <c r="DF367" s="316">
        <v>0</v>
      </c>
      <c r="DG367" s="316">
        <v>0</v>
      </c>
      <c r="DH367" s="316">
        <v>0</v>
      </c>
      <c r="DI367" s="316">
        <v>0</v>
      </c>
      <c r="DJ367" s="316">
        <v>0</v>
      </c>
      <c r="DK367" s="316">
        <v>0</v>
      </c>
      <c r="DL367" s="316">
        <v>0</v>
      </c>
      <c r="DM367" s="316">
        <v>0</v>
      </c>
      <c r="DN367" s="318">
        <v>0</v>
      </c>
      <c r="DO367" s="316">
        <v>0</v>
      </c>
      <c r="DP367" s="316">
        <v>0</v>
      </c>
      <c r="DQ367" s="316">
        <v>0</v>
      </c>
      <c r="DR367" s="316">
        <v>0</v>
      </c>
      <c r="DS367" s="316">
        <v>0</v>
      </c>
      <c r="DT367" s="316">
        <v>0</v>
      </c>
      <c r="DU367" s="316">
        <v>0</v>
      </c>
      <c r="DV367" s="316">
        <v>0</v>
      </c>
      <c r="DW367" s="316">
        <v>0</v>
      </c>
      <c r="DX367" s="316">
        <v>0</v>
      </c>
      <c r="DY367" s="316">
        <v>0</v>
      </c>
      <c r="DZ367" s="318">
        <v>0</v>
      </c>
      <c r="EA367" s="316">
        <v>0</v>
      </c>
      <c r="EB367" s="316">
        <v>0</v>
      </c>
      <c r="EC367" s="316">
        <v>0</v>
      </c>
      <c r="ED367" s="316">
        <v>0</v>
      </c>
      <c r="EE367" s="316">
        <v>0</v>
      </c>
      <c r="EF367" s="316">
        <v>0</v>
      </c>
      <c r="EG367" s="316">
        <v>0</v>
      </c>
      <c r="EH367" s="316">
        <v>0</v>
      </c>
      <c r="EI367" s="316">
        <v>0</v>
      </c>
      <c r="EJ367" s="316">
        <v>0</v>
      </c>
      <c r="EK367" s="316">
        <v>0</v>
      </c>
      <c r="EL367" s="318">
        <v>0</v>
      </c>
      <c r="EM367" s="316">
        <v>0</v>
      </c>
      <c r="EN367" s="316">
        <v>0</v>
      </c>
      <c r="EO367" s="316">
        <v>0</v>
      </c>
      <c r="EP367" s="316">
        <v>0</v>
      </c>
      <c r="EQ367" s="316">
        <v>0</v>
      </c>
      <c r="ER367" s="316">
        <v>0</v>
      </c>
      <c r="ES367" s="316">
        <v>0</v>
      </c>
      <c r="ET367" s="316">
        <v>0</v>
      </c>
      <c r="EU367" s="316">
        <v>0</v>
      </c>
      <c r="EV367" s="316">
        <v>0</v>
      </c>
      <c r="EW367" s="316">
        <v>0</v>
      </c>
      <c r="EX367" s="318">
        <v>0</v>
      </c>
      <c r="EY367" s="316">
        <v>0</v>
      </c>
      <c r="EZ367" s="316">
        <v>0</v>
      </c>
      <c r="FA367" s="316">
        <v>0</v>
      </c>
      <c r="FB367" s="316">
        <v>0</v>
      </c>
      <c r="FC367" s="316">
        <v>0</v>
      </c>
      <c r="FD367" s="316">
        <v>0</v>
      </c>
      <c r="FE367" s="316">
        <v>0</v>
      </c>
      <c r="FF367" s="316">
        <v>0</v>
      </c>
      <c r="FG367" s="316">
        <v>0</v>
      </c>
      <c r="FH367" s="316">
        <v>0</v>
      </c>
      <c r="FI367" s="316">
        <v>0</v>
      </c>
      <c r="FJ367" s="318">
        <v>0</v>
      </c>
      <c r="FK367" s="316">
        <v>0</v>
      </c>
      <c r="FL367" s="316">
        <v>0</v>
      </c>
      <c r="FM367" s="316">
        <v>0</v>
      </c>
      <c r="FN367" s="316">
        <v>0</v>
      </c>
      <c r="FO367" s="316">
        <v>0</v>
      </c>
      <c r="FP367" s="316">
        <v>0</v>
      </c>
      <c r="FQ367" s="316">
        <v>0</v>
      </c>
      <c r="FR367" s="316">
        <v>0</v>
      </c>
      <c r="FS367" s="316">
        <v>0</v>
      </c>
      <c r="FT367" s="316">
        <v>0</v>
      </c>
      <c r="FU367" s="316">
        <v>0</v>
      </c>
      <c r="FV367" s="316">
        <v>0</v>
      </c>
      <c r="FW367" s="316">
        <v>0</v>
      </c>
      <c r="FX367" s="316">
        <v>0</v>
      </c>
      <c r="FY367" s="316">
        <v>0</v>
      </c>
      <c r="FZ367" s="316">
        <v>0</v>
      </c>
      <c r="GA367" s="316">
        <v>0</v>
      </c>
      <c r="GB367" s="316">
        <v>0</v>
      </c>
      <c r="GC367" s="316">
        <v>0</v>
      </c>
      <c r="GD367" s="316">
        <v>0</v>
      </c>
      <c r="GE367" s="316">
        <v>0</v>
      </c>
      <c r="GF367" s="316">
        <v>0</v>
      </c>
      <c r="GG367" s="316">
        <v>0</v>
      </c>
      <c r="GH367" s="316">
        <v>0</v>
      </c>
      <c r="GI367" s="316">
        <v>0</v>
      </c>
      <c r="GJ367" s="316">
        <v>0</v>
      </c>
      <c r="GK367" s="316">
        <v>0</v>
      </c>
      <c r="GL367" s="316">
        <v>0</v>
      </c>
      <c r="GM367" s="316">
        <v>0</v>
      </c>
      <c r="GN367" s="316">
        <v>0</v>
      </c>
      <c r="GO367" s="316">
        <v>0</v>
      </c>
      <c r="GP367" s="316">
        <v>0</v>
      </c>
      <c r="GQ367" s="316">
        <v>0</v>
      </c>
      <c r="GR367" s="316">
        <v>0</v>
      </c>
      <c r="GS367" s="316">
        <v>0</v>
      </c>
      <c r="GT367" s="316">
        <v>0</v>
      </c>
      <c r="GU367" s="316">
        <v>0</v>
      </c>
      <c r="GV367" s="316">
        <v>0</v>
      </c>
      <c r="GW367" s="316">
        <v>0</v>
      </c>
      <c r="GX367" s="316">
        <v>0</v>
      </c>
      <c r="GY367" s="316">
        <v>0</v>
      </c>
      <c r="GZ367" s="316">
        <v>0</v>
      </c>
      <c r="HA367" s="316">
        <v>0</v>
      </c>
      <c r="HB367" s="316">
        <v>0</v>
      </c>
      <c r="HC367" s="316">
        <v>0</v>
      </c>
      <c r="HD367" s="316">
        <v>0</v>
      </c>
      <c r="HE367" s="316">
        <v>0</v>
      </c>
      <c r="HF367" s="316">
        <v>0</v>
      </c>
      <c r="HG367" s="316">
        <v>0</v>
      </c>
      <c r="HH367" s="316">
        <v>0</v>
      </c>
      <c r="HI367" s="316">
        <v>0</v>
      </c>
      <c r="HJ367" s="316">
        <v>0</v>
      </c>
      <c r="HK367" s="316">
        <v>0</v>
      </c>
      <c r="HL367" s="316">
        <v>0</v>
      </c>
      <c r="HM367" s="316"/>
      <c r="KH367" s="303"/>
    </row>
    <row r="368" spans="1:294" outlineLevel="1">
      <c r="A368" s="117" t="s">
        <v>527</v>
      </c>
      <c r="B368" s="117" t="s">
        <v>527</v>
      </c>
      <c r="D368" s="344" t="s">
        <v>538</v>
      </c>
      <c r="E368" s="316"/>
      <c r="F368" s="316"/>
      <c r="G368" s="316"/>
      <c r="H368" s="316"/>
      <c r="I368" s="316"/>
      <c r="J368" s="316"/>
      <c r="K368" s="316"/>
      <c r="L368" s="316"/>
      <c r="M368" s="316"/>
      <c r="N368" s="316"/>
      <c r="O368" s="316"/>
      <c r="P368" s="316"/>
      <c r="Q368" s="316"/>
      <c r="R368" s="316"/>
      <c r="S368" s="316"/>
      <c r="T368" s="316"/>
      <c r="U368" s="316"/>
      <c r="V368" s="316"/>
      <c r="W368" s="316"/>
      <c r="X368" s="316"/>
      <c r="Y368" s="316"/>
      <c r="Z368" s="316"/>
      <c r="AA368" s="316"/>
      <c r="AB368" s="316"/>
      <c r="AC368" s="316"/>
      <c r="AD368" s="316"/>
      <c r="AE368" s="316"/>
      <c r="AF368" s="316"/>
      <c r="AG368" s="316"/>
      <c r="AH368" s="316"/>
      <c r="AI368" s="316"/>
      <c r="AJ368" s="316"/>
      <c r="AK368" s="316"/>
      <c r="AL368" s="316"/>
      <c r="AM368" s="316"/>
      <c r="AN368" s="316"/>
      <c r="AO368" s="316"/>
      <c r="AP368" s="316"/>
      <c r="AQ368" s="316"/>
      <c r="AR368" s="316"/>
      <c r="AS368" s="316"/>
      <c r="AT368" s="316"/>
      <c r="AU368" s="316"/>
      <c r="AV368" s="316"/>
      <c r="AW368" s="316"/>
      <c r="AX368" s="316"/>
      <c r="AY368" s="316"/>
      <c r="AZ368" s="316"/>
      <c r="BA368" s="316"/>
      <c r="BB368" s="316"/>
      <c r="BC368" s="316"/>
      <c r="BD368" s="316"/>
      <c r="BE368" s="316"/>
      <c r="BF368" s="316"/>
      <c r="BG368" s="316"/>
      <c r="BH368" s="316"/>
      <c r="BI368" s="316"/>
      <c r="BJ368" s="316"/>
      <c r="BK368" s="316"/>
      <c r="BL368" s="316"/>
      <c r="BM368" s="316"/>
      <c r="BN368" s="316"/>
      <c r="BO368" s="316"/>
      <c r="BP368" s="316"/>
      <c r="BQ368" s="316"/>
      <c r="BR368" s="316"/>
      <c r="BS368" s="316"/>
      <c r="BT368" s="316"/>
      <c r="BU368" s="316"/>
      <c r="BV368" s="316"/>
      <c r="BW368" s="316"/>
      <c r="BX368" s="316"/>
      <c r="BY368" s="316"/>
      <c r="BZ368" s="316"/>
      <c r="CA368" s="316"/>
      <c r="CB368" s="316"/>
      <c r="CC368" s="316"/>
      <c r="CD368" s="316"/>
      <c r="CE368" s="316">
        <v>0</v>
      </c>
      <c r="CF368" s="316">
        <v>0</v>
      </c>
      <c r="CG368" s="316">
        <v>0</v>
      </c>
      <c r="CH368" s="316">
        <v>0</v>
      </c>
      <c r="CI368" s="316">
        <v>0</v>
      </c>
      <c r="CJ368" s="316">
        <v>0</v>
      </c>
      <c r="CK368" s="316">
        <v>0</v>
      </c>
      <c r="CL368" s="316">
        <v>0</v>
      </c>
      <c r="CM368" s="316">
        <v>0</v>
      </c>
      <c r="CN368" s="316">
        <v>0</v>
      </c>
      <c r="CO368" s="316">
        <v>0</v>
      </c>
      <c r="CP368" s="318">
        <v>0</v>
      </c>
      <c r="CQ368" s="316">
        <v>0</v>
      </c>
      <c r="CR368" s="316">
        <v>0</v>
      </c>
      <c r="CS368" s="316">
        <v>0</v>
      </c>
      <c r="CT368" s="316">
        <v>0</v>
      </c>
      <c r="CU368" s="316">
        <v>0</v>
      </c>
      <c r="CV368" s="316">
        <v>0</v>
      </c>
      <c r="CW368" s="316">
        <v>0</v>
      </c>
      <c r="CX368" s="316">
        <v>0</v>
      </c>
      <c r="CY368" s="316">
        <v>0</v>
      </c>
      <c r="CZ368" s="316">
        <v>0</v>
      </c>
      <c r="DA368" s="316">
        <v>0</v>
      </c>
      <c r="DB368" s="1498">
        <v>0</v>
      </c>
      <c r="DC368" s="316">
        <v>0</v>
      </c>
      <c r="DD368" s="316">
        <v>0</v>
      </c>
      <c r="DE368" s="316">
        <v>0</v>
      </c>
      <c r="DF368" s="316">
        <v>0</v>
      </c>
      <c r="DG368" s="316">
        <v>0</v>
      </c>
      <c r="DH368" s="316">
        <v>0</v>
      </c>
      <c r="DI368" s="316">
        <v>0</v>
      </c>
      <c r="DJ368" s="316">
        <v>0</v>
      </c>
      <c r="DK368" s="316">
        <v>0</v>
      </c>
      <c r="DL368" s="316">
        <v>0</v>
      </c>
      <c r="DM368" s="316">
        <v>0</v>
      </c>
      <c r="DN368" s="318">
        <v>0</v>
      </c>
      <c r="DO368" s="316">
        <v>0</v>
      </c>
      <c r="DP368" s="316">
        <v>0</v>
      </c>
      <c r="DQ368" s="316">
        <v>0</v>
      </c>
      <c r="DR368" s="316">
        <v>0</v>
      </c>
      <c r="DS368" s="316">
        <v>0</v>
      </c>
      <c r="DT368" s="316">
        <v>0</v>
      </c>
      <c r="DU368" s="316">
        <v>0</v>
      </c>
      <c r="DV368" s="316">
        <v>0</v>
      </c>
      <c r="DW368" s="316">
        <v>0</v>
      </c>
      <c r="DX368" s="316">
        <v>0</v>
      </c>
      <c r="DY368" s="316">
        <v>0</v>
      </c>
      <c r="DZ368" s="318">
        <v>0</v>
      </c>
      <c r="EA368" s="316">
        <v>0</v>
      </c>
      <c r="EB368" s="316">
        <v>0</v>
      </c>
      <c r="EC368" s="316">
        <v>0</v>
      </c>
      <c r="ED368" s="316">
        <v>0</v>
      </c>
      <c r="EE368" s="316">
        <v>0</v>
      </c>
      <c r="EF368" s="316">
        <v>0</v>
      </c>
      <c r="EG368" s="316">
        <v>0</v>
      </c>
      <c r="EH368" s="316">
        <v>0</v>
      </c>
      <c r="EI368" s="316">
        <v>0</v>
      </c>
      <c r="EJ368" s="316">
        <v>0</v>
      </c>
      <c r="EK368" s="316">
        <v>0</v>
      </c>
      <c r="EL368" s="318">
        <v>0</v>
      </c>
      <c r="EM368" s="316">
        <v>0</v>
      </c>
      <c r="EN368" s="316">
        <v>0</v>
      </c>
      <c r="EO368" s="316">
        <v>0</v>
      </c>
      <c r="EP368" s="316">
        <v>0</v>
      </c>
      <c r="EQ368" s="316">
        <v>0</v>
      </c>
      <c r="ER368" s="316">
        <v>0</v>
      </c>
      <c r="ES368" s="316">
        <v>0</v>
      </c>
      <c r="ET368" s="316">
        <v>0</v>
      </c>
      <c r="EU368" s="316">
        <v>0</v>
      </c>
      <c r="EV368" s="316">
        <v>0</v>
      </c>
      <c r="EW368" s="316">
        <v>0</v>
      </c>
      <c r="EX368" s="318">
        <v>0</v>
      </c>
      <c r="EY368" s="316">
        <v>0</v>
      </c>
      <c r="EZ368" s="316">
        <v>0</v>
      </c>
      <c r="FA368" s="316">
        <v>0</v>
      </c>
      <c r="FB368" s="316">
        <v>0</v>
      </c>
      <c r="FC368" s="316">
        <v>0</v>
      </c>
      <c r="FD368" s="316">
        <v>0</v>
      </c>
      <c r="FE368" s="316">
        <v>0</v>
      </c>
      <c r="FF368" s="316">
        <v>0</v>
      </c>
      <c r="FG368" s="316">
        <v>0</v>
      </c>
      <c r="FH368" s="316">
        <v>0</v>
      </c>
      <c r="FI368" s="316">
        <v>0</v>
      </c>
      <c r="FJ368" s="318">
        <v>0</v>
      </c>
      <c r="FK368" s="316">
        <v>0</v>
      </c>
      <c r="FL368" s="316">
        <v>0</v>
      </c>
      <c r="FM368" s="316">
        <v>0</v>
      </c>
      <c r="FN368" s="316">
        <v>0</v>
      </c>
      <c r="FO368" s="316">
        <v>0</v>
      </c>
      <c r="FP368" s="316">
        <v>0</v>
      </c>
      <c r="FQ368" s="316">
        <v>0</v>
      </c>
      <c r="FR368" s="316">
        <v>0</v>
      </c>
      <c r="FS368" s="316">
        <v>0</v>
      </c>
      <c r="FT368" s="316">
        <v>0</v>
      </c>
      <c r="FU368" s="316">
        <v>0</v>
      </c>
      <c r="FV368" s="316">
        <v>0</v>
      </c>
      <c r="FW368" s="316">
        <v>0</v>
      </c>
      <c r="FX368" s="316">
        <v>0</v>
      </c>
      <c r="FY368" s="316">
        <v>0</v>
      </c>
      <c r="FZ368" s="316">
        <v>0</v>
      </c>
      <c r="GA368" s="316">
        <v>0</v>
      </c>
      <c r="GB368" s="316">
        <v>0</v>
      </c>
      <c r="GC368" s="316">
        <v>0</v>
      </c>
      <c r="GD368" s="316">
        <v>0</v>
      </c>
      <c r="GE368" s="316">
        <v>0</v>
      </c>
      <c r="GF368" s="316">
        <v>0</v>
      </c>
      <c r="GG368" s="316">
        <v>0</v>
      </c>
      <c r="GH368" s="316">
        <v>0</v>
      </c>
      <c r="GI368" s="316">
        <v>0</v>
      </c>
      <c r="GJ368" s="316">
        <v>0</v>
      </c>
      <c r="GK368" s="316">
        <v>0</v>
      </c>
      <c r="GL368" s="316">
        <v>0</v>
      </c>
      <c r="GM368" s="316">
        <v>0</v>
      </c>
      <c r="GN368" s="316">
        <v>0</v>
      </c>
      <c r="GO368" s="316">
        <v>0</v>
      </c>
      <c r="GP368" s="316">
        <v>0</v>
      </c>
      <c r="GQ368" s="316">
        <v>0</v>
      </c>
      <c r="GR368" s="316">
        <v>0</v>
      </c>
      <c r="GS368" s="316">
        <v>0</v>
      </c>
      <c r="GT368" s="316">
        <v>0</v>
      </c>
      <c r="GU368" s="316">
        <v>0</v>
      </c>
      <c r="GV368" s="316">
        <v>0</v>
      </c>
      <c r="GW368" s="316">
        <v>0</v>
      </c>
      <c r="GX368" s="316">
        <v>0</v>
      </c>
      <c r="GY368" s="316">
        <v>0</v>
      </c>
      <c r="GZ368" s="316">
        <v>0</v>
      </c>
      <c r="HA368" s="316">
        <v>0</v>
      </c>
      <c r="HB368" s="316">
        <v>0</v>
      </c>
      <c r="HC368" s="316">
        <v>0</v>
      </c>
      <c r="HD368" s="316">
        <v>0</v>
      </c>
      <c r="HE368" s="316">
        <v>0</v>
      </c>
      <c r="HF368" s="316">
        <v>0</v>
      </c>
      <c r="HG368" s="316">
        <v>0</v>
      </c>
      <c r="HH368" s="316">
        <v>0</v>
      </c>
      <c r="HI368" s="316">
        <v>0</v>
      </c>
      <c r="HJ368" s="316">
        <v>0</v>
      </c>
      <c r="HK368" s="316">
        <v>0</v>
      </c>
      <c r="HL368" s="316">
        <v>0</v>
      </c>
      <c r="HM368" s="316"/>
      <c r="KH368" s="303"/>
    </row>
    <row r="369" spans="1:294" outlineLevel="1">
      <c r="A369" s="117" t="s">
        <v>527</v>
      </c>
      <c r="B369" s="117" t="s">
        <v>527</v>
      </c>
      <c r="D369" s="344" t="s">
        <v>539</v>
      </c>
      <c r="E369" s="316"/>
      <c r="F369" s="316"/>
      <c r="G369" s="316"/>
      <c r="H369" s="316"/>
      <c r="I369" s="316"/>
      <c r="J369" s="316"/>
      <c r="K369" s="316"/>
      <c r="L369" s="316"/>
      <c r="M369" s="316"/>
      <c r="N369" s="316"/>
      <c r="O369" s="316"/>
      <c r="P369" s="316"/>
      <c r="Q369" s="316"/>
      <c r="R369" s="316"/>
      <c r="S369" s="316"/>
      <c r="T369" s="316"/>
      <c r="U369" s="316"/>
      <c r="V369" s="316"/>
      <c r="W369" s="316"/>
      <c r="X369" s="316"/>
      <c r="Y369" s="316"/>
      <c r="Z369" s="316"/>
      <c r="AA369" s="316"/>
      <c r="AB369" s="316"/>
      <c r="AC369" s="316"/>
      <c r="AD369" s="316"/>
      <c r="AE369" s="316"/>
      <c r="AF369" s="316"/>
      <c r="AG369" s="316"/>
      <c r="AH369" s="316"/>
      <c r="AI369" s="316"/>
      <c r="AJ369" s="316"/>
      <c r="AK369" s="316"/>
      <c r="AL369" s="316"/>
      <c r="AM369" s="316"/>
      <c r="AN369" s="316"/>
      <c r="AO369" s="316"/>
      <c r="AP369" s="316"/>
      <c r="AQ369" s="316"/>
      <c r="AR369" s="316"/>
      <c r="AS369" s="316"/>
      <c r="AT369" s="316"/>
      <c r="AU369" s="316"/>
      <c r="AV369" s="316"/>
      <c r="AW369" s="316"/>
      <c r="AX369" s="316"/>
      <c r="AY369" s="316"/>
      <c r="AZ369" s="316"/>
      <c r="BA369" s="316"/>
      <c r="BB369" s="316"/>
      <c r="BC369" s="316"/>
      <c r="BD369" s="316"/>
      <c r="BE369" s="316"/>
      <c r="BF369" s="316"/>
      <c r="BG369" s="316"/>
      <c r="BH369" s="316"/>
      <c r="BI369" s="316"/>
      <c r="BJ369" s="316"/>
      <c r="BK369" s="316"/>
      <c r="BL369" s="316"/>
      <c r="BM369" s="316"/>
      <c r="BN369" s="316"/>
      <c r="BO369" s="316"/>
      <c r="BP369" s="316"/>
      <c r="BQ369" s="316"/>
      <c r="BR369" s="316"/>
      <c r="BS369" s="316"/>
      <c r="BT369" s="316"/>
      <c r="BU369" s="316"/>
      <c r="BV369" s="316"/>
      <c r="BW369" s="316"/>
      <c r="BX369" s="316"/>
      <c r="BY369" s="316"/>
      <c r="BZ369" s="316"/>
      <c r="CA369" s="316"/>
      <c r="CB369" s="316"/>
      <c r="CC369" s="316"/>
      <c r="CD369" s="316"/>
      <c r="CE369" s="316">
        <v>0</v>
      </c>
      <c r="CF369" s="316">
        <v>0</v>
      </c>
      <c r="CG369" s="316">
        <v>0</v>
      </c>
      <c r="CH369" s="316">
        <v>0</v>
      </c>
      <c r="CI369" s="316">
        <v>0</v>
      </c>
      <c r="CJ369" s="316">
        <v>0</v>
      </c>
      <c r="CK369" s="316">
        <v>0</v>
      </c>
      <c r="CL369" s="316">
        <v>0</v>
      </c>
      <c r="CM369" s="316">
        <v>0</v>
      </c>
      <c r="CN369" s="316">
        <v>0</v>
      </c>
      <c r="CO369" s="316">
        <v>0</v>
      </c>
      <c r="CP369" s="318">
        <v>0</v>
      </c>
      <c r="CQ369" s="316">
        <v>0</v>
      </c>
      <c r="CR369" s="316">
        <v>0</v>
      </c>
      <c r="CS369" s="316">
        <v>0</v>
      </c>
      <c r="CT369" s="316">
        <v>0</v>
      </c>
      <c r="CU369" s="316">
        <v>0</v>
      </c>
      <c r="CV369" s="316">
        <v>0</v>
      </c>
      <c r="CW369" s="316">
        <v>0</v>
      </c>
      <c r="CX369" s="316">
        <v>0</v>
      </c>
      <c r="CY369" s="316">
        <v>0</v>
      </c>
      <c r="CZ369" s="316">
        <v>0</v>
      </c>
      <c r="DA369" s="316">
        <v>0</v>
      </c>
      <c r="DB369" s="1498">
        <v>0</v>
      </c>
      <c r="DC369" s="316">
        <v>0</v>
      </c>
      <c r="DD369" s="316">
        <v>0</v>
      </c>
      <c r="DE369" s="316">
        <v>0</v>
      </c>
      <c r="DF369" s="316">
        <v>0</v>
      </c>
      <c r="DG369" s="316">
        <v>0</v>
      </c>
      <c r="DH369" s="316">
        <v>0</v>
      </c>
      <c r="DI369" s="316">
        <v>0</v>
      </c>
      <c r="DJ369" s="316">
        <v>0</v>
      </c>
      <c r="DK369" s="316">
        <v>0</v>
      </c>
      <c r="DL369" s="316">
        <v>0</v>
      </c>
      <c r="DM369" s="316">
        <v>0</v>
      </c>
      <c r="DN369" s="318">
        <v>0</v>
      </c>
      <c r="DO369" s="316">
        <v>0</v>
      </c>
      <c r="DP369" s="316">
        <v>0</v>
      </c>
      <c r="DQ369" s="316">
        <v>0</v>
      </c>
      <c r="DR369" s="316">
        <v>0</v>
      </c>
      <c r="DS369" s="316">
        <v>0</v>
      </c>
      <c r="DT369" s="316">
        <v>0</v>
      </c>
      <c r="DU369" s="316">
        <v>0</v>
      </c>
      <c r="DV369" s="316">
        <v>0</v>
      </c>
      <c r="DW369" s="316">
        <v>0</v>
      </c>
      <c r="DX369" s="316">
        <v>0</v>
      </c>
      <c r="DY369" s="316">
        <v>0</v>
      </c>
      <c r="DZ369" s="318">
        <v>0</v>
      </c>
      <c r="EA369" s="316">
        <v>0</v>
      </c>
      <c r="EB369" s="316">
        <v>0</v>
      </c>
      <c r="EC369" s="316">
        <v>0</v>
      </c>
      <c r="ED369" s="316">
        <v>0</v>
      </c>
      <c r="EE369" s="316">
        <v>0</v>
      </c>
      <c r="EF369" s="316">
        <v>0</v>
      </c>
      <c r="EG369" s="316">
        <v>0</v>
      </c>
      <c r="EH369" s="316">
        <v>0</v>
      </c>
      <c r="EI369" s="316">
        <v>0</v>
      </c>
      <c r="EJ369" s="316">
        <v>0</v>
      </c>
      <c r="EK369" s="316">
        <v>0</v>
      </c>
      <c r="EL369" s="318">
        <v>0</v>
      </c>
      <c r="EM369" s="316">
        <v>0</v>
      </c>
      <c r="EN369" s="316">
        <v>0</v>
      </c>
      <c r="EO369" s="316">
        <v>0</v>
      </c>
      <c r="EP369" s="316">
        <v>0</v>
      </c>
      <c r="EQ369" s="316">
        <v>0</v>
      </c>
      <c r="ER369" s="316">
        <v>0</v>
      </c>
      <c r="ES369" s="316">
        <v>0</v>
      </c>
      <c r="ET369" s="316">
        <v>0</v>
      </c>
      <c r="EU369" s="316">
        <v>0</v>
      </c>
      <c r="EV369" s="316">
        <v>0</v>
      </c>
      <c r="EW369" s="316">
        <v>0</v>
      </c>
      <c r="EX369" s="318">
        <v>0</v>
      </c>
      <c r="EY369" s="316">
        <v>0</v>
      </c>
      <c r="EZ369" s="316">
        <v>0</v>
      </c>
      <c r="FA369" s="316">
        <v>0</v>
      </c>
      <c r="FB369" s="316">
        <v>0</v>
      </c>
      <c r="FC369" s="316">
        <v>0</v>
      </c>
      <c r="FD369" s="316">
        <v>0</v>
      </c>
      <c r="FE369" s="316">
        <v>0</v>
      </c>
      <c r="FF369" s="316">
        <v>0</v>
      </c>
      <c r="FG369" s="316">
        <v>0</v>
      </c>
      <c r="FH369" s="316">
        <v>0</v>
      </c>
      <c r="FI369" s="316">
        <v>0</v>
      </c>
      <c r="FJ369" s="318">
        <v>0</v>
      </c>
      <c r="FK369" s="316">
        <v>0</v>
      </c>
      <c r="FL369" s="316">
        <v>0</v>
      </c>
      <c r="FM369" s="316">
        <v>0</v>
      </c>
      <c r="FN369" s="316">
        <v>0</v>
      </c>
      <c r="FO369" s="316">
        <v>0</v>
      </c>
      <c r="FP369" s="316">
        <v>0</v>
      </c>
      <c r="FQ369" s="316">
        <v>0</v>
      </c>
      <c r="FR369" s="316">
        <v>0</v>
      </c>
      <c r="FS369" s="316">
        <v>0</v>
      </c>
      <c r="FT369" s="316">
        <v>0</v>
      </c>
      <c r="FU369" s="316">
        <v>0</v>
      </c>
      <c r="FV369" s="316">
        <v>0</v>
      </c>
      <c r="FW369" s="316">
        <v>0</v>
      </c>
      <c r="FX369" s="316">
        <v>0</v>
      </c>
      <c r="FY369" s="316">
        <v>0</v>
      </c>
      <c r="FZ369" s="316">
        <v>0</v>
      </c>
      <c r="GA369" s="316">
        <v>0</v>
      </c>
      <c r="GB369" s="316">
        <v>0</v>
      </c>
      <c r="GC369" s="316">
        <v>0</v>
      </c>
      <c r="GD369" s="316">
        <v>0</v>
      </c>
      <c r="GE369" s="316">
        <v>0</v>
      </c>
      <c r="GF369" s="316">
        <v>0</v>
      </c>
      <c r="GG369" s="316">
        <v>0</v>
      </c>
      <c r="GH369" s="316">
        <v>0</v>
      </c>
      <c r="GI369" s="316">
        <v>0</v>
      </c>
      <c r="GJ369" s="316">
        <v>0</v>
      </c>
      <c r="GK369" s="316">
        <v>0</v>
      </c>
      <c r="GL369" s="316">
        <v>0</v>
      </c>
      <c r="GM369" s="316">
        <v>0</v>
      </c>
      <c r="GN369" s="316">
        <v>0</v>
      </c>
      <c r="GO369" s="316">
        <v>0</v>
      </c>
      <c r="GP369" s="316">
        <v>0</v>
      </c>
      <c r="GQ369" s="316">
        <v>0</v>
      </c>
      <c r="GR369" s="316">
        <v>0</v>
      </c>
      <c r="GS369" s="316">
        <v>0</v>
      </c>
      <c r="GT369" s="316">
        <v>0</v>
      </c>
      <c r="GU369" s="316">
        <v>0</v>
      </c>
      <c r="GV369" s="316">
        <v>0</v>
      </c>
      <c r="GW369" s="316">
        <v>0</v>
      </c>
      <c r="GX369" s="316">
        <v>0</v>
      </c>
      <c r="GY369" s="316">
        <v>0</v>
      </c>
      <c r="GZ369" s="316">
        <v>0</v>
      </c>
      <c r="HA369" s="316">
        <v>0</v>
      </c>
      <c r="HB369" s="316">
        <v>0</v>
      </c>
      <c r="HC369" s="316">
        <v>0</v>
      </c>
      <c r="HD369" s="316">
        <v>0</v>
      </c>
      <c r="HE369" s="316">
        <v>0</v>
      </c>
      <c r="HF369" s="316">
        <v>0</v>
      </c>
      <c r="HG369" s="316">
        <v>0</v>
      </c>
      <c r="HH369" s="316">
        <v>0</v>
      </c>
      <c r="HI369" s="316">
        <v>0</v>
      </c>
      <c r="HJ369" s="316">
        <v>0</v>
      </c>
      <c r="HK369" s="316">
        <v>0</v>
      </c>
      <c r="HL369" s="316">
        <v>0</v>
      </c>
      <c r="HM369" s="316"/>
      <c r="KH369" s="303"/>
    </row>
    <row r="370" spans="1:294" outlineLevel="1">
      <c r="A370" s="117" t="s">
        <v>395</v>
      </c>
      <c r="B370" s="117" t="s">
        <v>361</v>
      </c>
      <c r="D370" s="342" t="s">
        <v>542</v>
      </c>
      <c r="E370" s="316"/>
      <c r="F370" s="316"/>
      <c r="G370" s="316"/>
      <c r="H370" s="316"/>
      <c r="I370" s="316"/>
      <c r="J370" s="316"/>
      <c r="K370" s="316"/>
      <c r="L370" s="316"/>
      <c r="M370" s="316"/>
      <c r="N370" s="316"/>
      <c r="O370" s="316"/>
      <c r="P370" s="316"/>
      <c r="Q370" s="316"/>
      <c r="R370" s="316"/>
      <c r="S370" s="316"/>
      <c r="T370" s="316"/>
      <c r="U370" s="316"/>
      <c r="V370" s="316"/>
      <c r="W370" s="316"/>
      <c r="X370" s="316"/>
      <c r="Y370" s="316"/>
      <c r="Z370" s="316"/>
      <c r="AA370" s="316"/>
      <c r="AB370" s="316"/>
      <c r="AC370" s="316"/>
      <c r="AD370" s="316"/>
      <c r="AE370" s="316"/>
      <c r="AF370" s="316"/>
      <c r="AG370" s="316"/>
      <c r="AH370" s="316"/>
      <c r="AI370" s="316"/>
      <c r="AJ370" s="316"/>
      <c r="AK370" s="316"/>
      <c r="AL370" s="316"/>
      <c r="AM370" s="316"/>
      <c r="AN370" s="316"/>
      <c r="AO370" s="316"/>
      <c r="AP370" s="316"/>
      <c r="AQ370" s="316"/>
      <c r="AR370" s="316"/>
      <c r="AS370" s="316"/>
      <c r="AT370" s="316"/>
      <c r="AU370" s="316"/>
      <c r="AV370" s="316"/>
      <c r="AW370" s="316"/>
      <c r="AX370" s="316"/>
      <c r="AY370" s="316"/>
      <c r="AZ370" s="316"/>
      <c r="BA370" s="316"/>
      <c r="BB370" s="316"/>
      <c r="BC370" s="316"/>
      <c r="BD370" s="316"/>
      <c r="BE370" s="316"/>
      <c r="BF370" s="316"/>
      <c r="BG370" s="316"/>
      <c r="BH370" s="316"/>
      <c r="BI370" s="316"/>
      <c r="BJ370" s="316"/>
      <c r="BK370" s="316"/>
      <c r="BL370" s="316"/>
      <c r="BM370" s="316"/>
      <c r="BN370" s="316"/>
      <c r="BO370" s="316"/>
      <c r="BP370" s="316"/>
      <c r="BQ370" s="316"/>
      <c r="BR370" s="316"/>
      <c r="BS370" s="316"/>
      <c r="BT370" s="316"/>
      <c r="BU370" s="316"/>
      <c r="BV370" s="316"/>
      <c r="BW370" s="316"/>
      <c r="BX370" s="316"/>
      <c r="BY370" s="316"/>
      <c r="BZ370" s="316"/>
      <c r="CA370" s="316"/>
      <c r="CB370" s="316"/>
      <c r="CC370" s="316"/>
      <c r="CD370" s="316"/>
      <c r="CE370" s="317">
        <v>3.773602833097268</v>
      </c>
      <c r="CF370" s="316">
        <v>7.8182821325727847</v>
      </c>
      <c r="CG370" s="316">
        <v>3.6104804731934399</v>
      </c>
      <c r="CH370" s="316">
        <v>28.03934679175023</v>
      </c>
      <c r="CI370" s="316">
        <v>4.8661733910247236</v>
      </c>
      <c r="CJ370" s="316">
        <v>18.075482076032799</v>
      </c>
      <c r="CK370" s="316">
        <v>3.7769396770250454</v>
      </c>
      <c r="CL370" s="316">
        <v>6.7874119777830728</v>
      </c>
      <c r="CM370" s="316">
        <v>23.460303531456216</v>
      </c>
      <c r="CN370" s="316">
        <v>4.2418208646173605</v>
      </c>
      <c r="CO370" s="316">
        <v>5.9256209439995917</v>
      </c>
      <c r="CP370" s="318">
        <v>26.10459214491987</v>
      </c>
      <c r="CQ370" s="316">
        <v>3.3418364696999996</v>
      </c>
      <c r="CR370" s="316">
        <v>6.5449263030962497</v>
      </c>
      <c r="CS370" s="316">
        <v>7.5501068364899995</v>
      </c>
      <c r="CT370" s="316">
        <v>16.261565968536868</v>
      </c>
      <c r="CU370" s="316">
        <v>4.6290882605947905</v>
      </c>
      <c r="CV370" s="316">
        <v>21.655439408825746</v>
      </c>
      <c r="CW370" s="316">
        <v>6.7834283947911951</v>
      </c>
      <c r="CX370" s="316">
        <v>4.1981558905599998</v>
      </c>
      <c r="CY370" s="316">
        <v>43.364985725967856</v>
      </c>
      <c r="CZ370" s="316">
        <v>23.622884144488452</v>
      </c>
      <c r="DA370" s="316">
        <v>7.0054394432192941</v>
      </c>
      <c r="DB370" s="1498">
        <v>27.583656393924237</v>
      </c>
      <c r="DC370" s="316">
        <v>3.2357062895308499</v>
      </c>
      <c r="DD370" s="316">
        <v>2.2745306210000003</v>
      </c>
      <c r="DE370" s="316">
        <v>13.5381693911893</v>
      </c>
      <c r="DF370" s="316">
        <v>25.970255474577602</v>
      </c>
      <c r="DG370" s="316">
        <v>2.9217145879999999</v>
      </c>
      <c r="DH370" s="316">
        <v>28.899659217306301</v>
      </c>
      <c r="DI370" s="316">
        <v>4.8783868162208996</v>
      </c>
      <c r="DJ370" s="316">
        <v>5.1171349970333297</v>
      </c>
      <c r="DK370" s="316">
        <v>39.4584405782579</v>
      </c>
      <c r="DL370" s="316">
        <v>5.5982327768414804</v>
      </c>
      <c r="DM370" s="316">
        <v>5.6733429452304396</v>
      </c>
      <c r="DN370" s="318">
        <v>30.030674571258427</v>
      </c>
      <c r="DO370" s="316">
        <v>5.864405474916901</v>
      </c>
      <c r="DP370" s="316">
        <v>6.8378481926238717</v>
      </c>
      <c r="DQ370" s="316">
        <v>37.116546520512699</v>
      </c>
      <c r="DR370" s="316">
        <v>12.081748573901143</v>
      </c>
      <c r="DS370" s="316">
        <v>7.3360024290356769</v>
      </c>
      <c r="DT370" s="316">
        <v>43.014089080394044</v>
      </c>
      <c r="DU370" s="316">
        <v>8.1547782268997402</v>
      </c>
      <c r="DV370" s="316">
        <v>7.0820522524339884</v>
      </c>
      <c r="DW370" s="316">
        <v>40.098563240539136</v>
      </c>
      <c r="DX370" s="316">
        <v>8.3576268002064005</v>
      </c>
      <c r="DY370" s="316">
        <v>9.8554637964104632</v>
      </c>
      <c r="DZ370" s="318">
        <v>47.360164741347774</v>
      </c>
      <c r="EA370" s="316">
        <v>7.2527547036434381</v>
      </c>
      <c r="EB370" s="316">
        <v>6.5318750234620744</v>
      </c>
      <c r="EC370" s="316">
        <v>26.858247887388359</v>
      </c>
      <c r="ED370" s="316">
        <v>28.721351107820574</v>
      </c>
      <c r="EE370" s="316">
        <v>8.5077782517982019</v>
      </c>
      <c r="EF370" s="316">
        <v>53.531702429578104</v>
      </c>
      <c r="EG370" s="316">
        <v>11.12780800442701</v>
      </c>
      <c r="EH370" s="316">
        <v>7.7831734905389149</v>
      </c>
      <c r="EI370" s="316">
        <v>23.500836516834458</v>
      </c>
      <c r="EJ370" s="316">
        <v>36.536083130647825</v>
      </c>
      <c r="EK370" s="316">
        <v>17.833473760482146</v>
      </c>
      <c r="EL370" s="318">
        <v>34.345229155187425</v>
      </c>
      <c r="EM370" s="316">
        <v>7.4888774369999993</v>
      </c>
      <c r="EN370" s="316">
        <v>40.843009521381404</v>
      </c>
      <c r="EO370" s="316">
        <v>46.785923167361609</v>
      </c>
      <c r="EP370" s="316">
        <v>18.55738308921201</v>
      </c>
      <c r="EQ370" s="316">
        <v>9.6110066193090482</v>
      </c>
      <c r="ER370" s="316">
        <v>35.266688025447394</v>
      </c>
      <c r="ES370" s="316">
        <v>10.346748043999991</v>
      </c>
      <c r="ET370" s="316">
        <v>5.8391709211</v>
      </c>
      <c r="EU370" s="316">
        <v>43.662565787999995</v>
      </c>
      <c r="EV370" s="316">
        <v>16.099511322836889</v>
      </c>
      <c r="EW370" s="316">
        <v>7.045610838</v>
      </c>
      <c r="EX370" s="318">
        <v>26.208560388999999</v>
      </c>
      <c r="EY370" s="316">
        <v>9.1750337620104041</v>
      </c>
      <c r="EZ370" s="316">
        <v>21.679448522001998</v>
      </c>
      <c r="FA370" s="316">
        <v>48.108473449067887</v>
      </c>
      <c r="FB370" s="316">
        <v>41.303309647297183</v>
      </c>
      <c r="FC370" s="316">
        <v>11.81657427103638</v>
      </c>
      <c r="FD370" s="316">
        <v>41.641741794899325</v>
      </c>
      <c r="FE370" s="316">
        <v>14.735024890960016</v>
      </c>
      <c r="FF370" s="316">
        <v>9.3852508562531689</v>
      </c>
      <c r="FG370" s="316">
        <v>12.538681632529986</v>
      </c>
      <c r="FH370" s="316">
        <v>18.712704155814109</v>
      </c>
      <c r="FI370" s="316">
        <v>37.976299437211026</v>
      </c>
      <c r="FJ370" s="318">
        <v>12.722002488007465</v>
      </c>
      <c r="FK370" s="316">
        <v>8.0981259595561923</v>
      </c>
      <c r="FL370" s="316">
        <v>8.6108858428315358</v>
      </c>
      <c r="FM370" s="316">
        <v>86.909853386565914</v>
      </c>
      <c r="FN370" s="316">
        <v>27.54278671824477</v>
      </c>
      <c r="FO370" s="316">
        <v>11.169055637366844</v>
      </c>
      <c r="FP370" s="316">
        <v>67.230759273435282</v>
      </c>
      <c r="FQ370" s="316">
        <v>10.174064402360132</v>
      </c>
      <c r="FR370" s="316">
        <v>9.5004950430328599</v>
      </c>
      <c r="FS370" s="316">
        <v>16.75108791575078</v>
      </c>
      <c r="FT370" s="316">
        <v>58.472400077390581</v>
      </c>
      <c r="FU370" s="316">
        <v>9.7849742606808618</v>
      </c>
      <c r="FV370" s="316">
        <v>52.07429201195486</v>
      </c>
      <c r="FW370" s="316">
        <v>8.3976877939031542</v>
      </c>
      <c r="FX370" s="316">
        <v>8.441170142468966</v>
      </c>
      <c r="FY370" s="316">
        <v>65.554970758750216</v>
      </c>
      <c r="FZ370" s="316">
        <v>27.739173847568807</v>
      </c>
      <c r="GA370" s="316">
        <v>57.842734102384561</v>
      </c>
      <c r="GB370" s="316">
        <v>30.421683713950962</v>
      </c>
      <c r="GC370" s="316">
        <v>15.110415030851957</v>
      </c>
      <c r="GD370" s="316">
        <v>46.384958962221042</v>
      </c>
      <c r="GE370" s="316">
        <v>23.136475927755605</v>
      </c>
      <c r="GF370" s="316">
        <v>29.472443897830001</v>
      </c>
      <c r="GG370" s="316">
        <v>10.466326267348695</v>
      </c>
      <c r="GH370" s="316">
        <v>67.187691652926262</v>
      </c>
      <c r="GI370" s="316"/>
      <c r="GJ370" s="316"/>
      <c r="GK370" s="316"/>
      <c r="GL370" s="316"/>
      <c r="GM370" s="316"/>
      <c r="GN370" s="316"/>
      <c r="GO370" s="316"/>
      <c r="GP370" s="316"/>
      <c r="GQ370" s="316"/>
      <c r="GR370" s="316"/>
      <c r="GS370" s="316"/>
      <c r="GT370" s="316"/>
      <c r="GU370" s="316"/>
      <c r="GV370" s="316"/>
      <c r="GW370" s="316"/>
      <c r="GX370" s="316"/>
      <c r="GY370" s="316"/>
      <c r="GZ370" s="316"/>
      <c r="HA370" s="316"/>
      <c r="HB370" s="316"/>
      <c r="HC370" s="316"/>
      <c r="HD370" s="316"/>
      <c r="HE370" s="316"/>
      <c r="HF370" s="316"/>
      <c r="HG370" s="316"/>
      <c r="HH370" s="316"/>
      <c r="HI370" s="316"/>
      <c r="HJ370" s="316"/>
      <c r="HK370" s="316"/>
      <c r="HL370" s="316"/>
      <c r="HM370" s="316"/>
      <c r="KH370" s="303"/>
    </row>
    <row r="371" spans="1:294" outlineLevel="1">
      <c r="A371" s="117" t="s">
        <v>395</v>
      </c>
      <c r="B371" s="117" t="s">
        <v>361</v>
      </c>
      <c r="D371" s="343" t="s">
        <v>543</v>
      </c>
      <c r="E371" s="316"/>
      <c r="F371" s="316"/>
      <c r="G371" s="316"/>
      <c r="H371" s="316"/>
      <c r="I371" s="316"/>
      <c r="J371" s="316"/>
      <c r="K371" s="316"/>
      <c r="L371" s="316"/>
      <c r="M371" s="316"/>
      <c r="N371" s="316"/>
      <c r="O371" s="316"/>
      <c r="P371" s="316"/>
      <c r="Q371" s="316"/>
      <c r="R371" s="316"/>
      <c r="S371" s="316"/>
      <c r="T371" s="316"/>
      <c r="U371" s="316"/>
      <c r="V371" s="316"/>
      <c r="W371" s="316"/>
      <c r="X371" s="316"/>
      <c r="Y371" s="316"/>
      <c r="Z371" s="316"/>
      <c r="AA371" s="316"/>
      <c r="AB371" s="316"/>
      <c r="AC371" s="316"/>
      <c r="AD371" s="316"/>
      <c r="AE371" s="316"/>
      <c r="AF371" s="316"/>
      <c r="AG371" s="316"/>
      <c r="AH371" s="316"/>
      <c r="AI371" s="316"/>
      <c r="AJ371" s="316"/>
      <c r="AK371" s="316"/>
      <c r="AL371" s="316"/>
      <c r="AM371" s="316"/>
      <c r="AN371" s="316"/>
      <c r="AO371" s="316"/>
      <c r="AP371" s="316"/>
      <c r="AQ371" s="316"/>
      <c r="AR371" s="316"/>
      <c r="AS371" s="316"/>
      <c r="AT371" s="316"/>
      <c r="AU371" s="316"/>
      <c r="AV371" s="316"/>
      <c r="AW371" s="316"/>
      <c r="AX371" s="316"/>
      <c r="AY371" s="316"/>
      <c r="AZ371" s="316"/>
      <c r="BA371" s="316"/>
      <c r="BB371" s="316"/>
      <c r="BC371" s="316"/>
      <c r="BD371" s="316"/>
      <c r="BE371" s="316"/>
      <c r="BF371" s="316"/>
      <c r="BG371" s="316"/>
      <c r="BH371" s="316"/>
      <c r="BI371" s="316"/>
      <c r="BJ371" s="316"/>
      <c r="BK371" s="316"/>
      <c r="BL371" s="316"/>
      <c r="BM371" s="316"/>
      <c r="BN371" s="316"/>
      <c r="BO371" s="316"/>
      <c r="BP371" s="316"/>
      <c r="BQ371" s="316"/>
      <c r="BR371" s="316"/>
      <c r="BS371" s="316"/>
      <c r="BT371" s="316"/>
      <c r="BU371" s="316"/>
      <c r="BV371" s="316"/>
      <c r="BW371" s="316"/>
      <c r="BX371" s="316"/>
      <c r="BY371" s="316"/>
      <c r="BZ371" s="316"/>
      <c r="CA371" s="316"/>
      <c r="CB371" s="316"/>
      <c r="CC371" s="316"/>
      <c r="CD371" s="316"/>
      <c r="CE371" s="317">
        <v>0.42411765699999998</v>
      </c>
      <c r="CF371" s="316">
        <v>2.5073829549999997</v>
      </c>
      <c r="CG371" s="316">
        <v>0.49407995200000004</v>
      </c>
      <c r="CH371" s="316">
        <v>0.39170781799999999</v>
      </c>
      <c r="CI371" s="316">
        <v>0.53165609300000005</v>
      </c>
      <c r="CJ371" s="316">
        <v>0.34950223200000002</v>
      </c>
      <c r="CK371" s="316">
        <v>0.273336464</v>
      </c>
      <c r="CL371" s="316">
        <v>0.37588870600000002</v>
      </c>
      <c r="CM371" s="316">
        <v>0.27494637999999999</v>
      </c>
      <c r="CN371" s="316">
        <v>0.50402692500000001</v>
      </c>
      <c r="CO371" s="316">
        <v>0.42779299499999995</v>
      </c>
      <c r="CP371" s="318">
        <v>0.20996990900000001</v>
      </c>
      <c r="CQ371" s="316">
        <v>0.25210226200000002</v>
      </c>
      <c r="CR371" s="316">
        <v>2.6261131999999998</v>
      </c>
      <c r="CS371" s="316">
        <v>1.899018369</v>
      </c>
      <c r="CT371" s="316">
        <v>0.22562015299999999</v>
      </c>
      <c r="CU371" s="316">
        <v>0.19519945999999999</v>
      </c>
      <c r="CV371" s="316">
        <v>5.6464017999999998E-2</v>
      </c>
      <c r="CW371" s="316">
        <v>0.109400867</v>
      </c>
      <c r="CX371" s="316">
        <v>0.17085389600000001</v>
      </c>
      <c r="CY371" s="316">
        <v>0.201691177</v>
      </c>
      <c r="CZ371" s="316">
        <v>0.348341079</v>
      </c>
      <c r="DA371" s="316">
        <v>0.25666332400000003</v>
      </c>
      <c r="DB371" s="1498">
        <v>3.3604609779999999</v>
      </c>
      <c r="DC371" s="316">
        <v>0</v>
      </c>
      <c r="DD371" s="316">
        <v>0</v>
      </c>
      <c r="DE371" s="316">
        <v>0.311</v>
      </c>
      <c r="DF371" s="316">
        <v>8.0000000000000002E-3</v>
      </c>
      <c r="DG371" s="316">
        <v>0</v>
      </c>
      <c r="DH371" s="316">
        <v>0.15</v>
      </c>
      <c r="DI371" s="316">
        <v>0</v>
      </c>
      <c r="DJ371" s="316">
        <v>4.0000000000000001E-3</v>
      </c>
      <c r="DK371" s="316">
        <v>0</v>
      </c>
      <c r="DL371" s="316">
        <v>0.33400000000000002</v>
      </c>
      <c r="DM371" s="316">
        <v>0</v>
      </c>
      <c r="DN371" s="318">
        <v>4.093</v>
      </c>
      <c r="DO371" s="316">
        <v>0.27275503595865902</v>
      </c>
      <c r="DP371" s="316">
        <v>0.13691573476460012</v>
      </c>
      <c r="DQ371" s="316">
        <v>0.29403610878610426</v>
      </c>
      <c r="DR371" s="316">
        <v>0.37726801619882</v>
      </c>
      <c r="DS371" s="316">
        <v>0.19325706514218965</v>
      </c>
      <c r="DT371" s="316">
        <v>0.38170584152654141</v>
      </c>
      <c r="DU371" s="316">
        <v>0.17927338428701151</v>
      </c>
      <c r="DV371" s="316">
        <v>0.3562400584501112</v>
      </c>
      <c r="DW371" s="316">
        <v>0.60798901617621515</v>
      </c>
      <c r="DX371" s="316">
        <v>0.17125279287636225</v>
      </c>
      <c r="DY371" s="316">
        <v>0.47455601938920611</v>
      </c>
      <c r="DZ371" s="318">
        <v>4.1264848004812089</v>
      </c>
      <c r="EA371" s="316">
        <v>0.99990214406361466</v>
      </c>
      <c r="EB371" s="316">
        <v>0.27852339059275361</v>
      </c>
      <c r="EC371" s="316">
        <v>0.20422662926574031</v>
      </c>
      <c r="ED371" s="316">
        <v>0.74494557809681083</v>
      </c>
      <c r="EE371" s="316">
        <v>0.63782926969350562</v>
      </c>
      <c r="EF371" s="316">
        <v>1.972298738839442</v>
      </c>
      <c r="EG371" s="316">
        <v>0.73811955136459251</v>
      </c>
      <c r="EH371" s="316">
        <v>0.38431697922910513</v>
      </c>
      <c r="EI371" s="316">
        <v>0.40575158412395818</v>
      </c>
      <c r="EJ371" s="316">
        <v>0.38080934176827952</v>
      </c>
      <c r="EK371" s="316">
        <v>0.12208876173982063</v>
      </c>
      <c r="EL371" s="318">
        <v>2.7741284554356915</v>
      </c>
      <c r="EM371" s="316">
        <v>0.446381417</v>
      </c>
      <c r="EN371" s="316">
        <v>0.37882296199999999</v>
      </c>
      <c r="EO371" s="316">
        <v>0.43899298399999997</v>
      </c>
      <c r="EP371" s="316">
        <v>0.41913514200000002</v>
      </c>
      <c r="EQ371" s="316">
        <v>0.37956826100000002</v>
      </c>
      <c r="ER371" s="316">
        <v>0.46952987499999999</v>
      </c>
      <c r="ES371" s="316">
        <v>0.37303118600000001</v>
      </c>
      <c r="ET371" s="316">
        <v>0.39464575600000001</v>
      </c>
      <c r="EU371" s="316">
        <v>0.38522885299999998</v>
      </c>
      <c r="EV371" s="316">
        <v>0.31141468500000002</v>
      </c>
      <c r="EW371" s="316">
        <v>0.36140069600000002</v>
      </c>
      <c r="EX371" s="318">
        <v>0.37888442500000002</v>
      </c>
      <c r="EY371" s="316">
        <v>1.5790409411999997</v>
      </c>
      <c r="EZ371" s="316">
        <v>2.5435839422800002</v>
      </c>
      <c r="FA371" s="316">
        <v>2.2017863289999999</v>
      </c>
      <c r="FB371" s="316">
        <v>1.5297826892399999</v>
      </c>
      <c r="FC371" s="316">
        <v>2.7402879711199999</v>
      </c>
      <c r="FD371" s="316">
        <v>1.9113574153999999</v>
      </c>
      <c r="FE371" s="316">
        <v>1.24339174502</v>
      </c>
      <c r="FF371" s="316">
        <v>1.59248714214</v>
      </c>
      <c r="FG371" s="316">
        <v>1.7139272865199999</v>
      </c>
      <c r="FH371" s="316">
        <v>1.19660034264</v>
      </c>
      <c r="FI371" s="316">
        <v>0.80393395703999992</v>
      </c>
      <c r="FJ371" s="318">
        <v>1.2714591299400004</v>
      </c>
      <c r="FK371" s="316">
        <v>1.5928214432000001</v>
      </c>
      <c r="FL371" s="316">
        <v>1.24998923837</v>
      </c>
      <c r="FM371" s="316">
        <v>1.518097074715266</v>
      </c>
      <c r="FN371" s="316">
        <v>1.7416583268114421</v>
      </c>
      <c r="FO371" s="316">
        <v>1.1670106619498282</v>
      </c>
      <c r="FP371" s="316">
        <v>1.770644669555832</v>
      </c>
      <c r="FQ371" s="316">
        <v>1.8155118051784016</v>
      </c>
      <c r="FR371" s="316">
        <v>2.0569109538487074</v>
      </c>
      <c r="FS371" s="316">
        <v>1.4406132151087707</v>
      </c>
      <c r="FT371" s="316">
        <v>1.4564551837749273</v>
      </c>
      <c r="FU371" s="316">
        <v>1.4431878242198071</v>
      </c>
      <c r="FV371" s="316">
        <v>2.3315102905560745</v>
      </c>
      <c r="FW371" s="316">
        <v>1.9413417945431548</v>
      </c>
      <c r="FX371" s="316">
        <v>0.93562625923935228</v>
      </c>
      <c r="FY371" s="316">
        <v>1.3737111405424205</v>
      </c>
      <c r="FZ371" s="316">
        <v>0.8299057456765998</v>
      </c>
      <c r="GA371" s="316">
        <v>0.82019962607456109</v>
      </c>
      <c r="GB371" s="316">
        <v>1.1932862675797971</v>
      </c>
      <c r="GC371" s="316">
        <v>1.0970836272819584</v>
      </c>
      <c r="GD371" s="316">
        <v>0.8630207143460058</v>
      </c>
      <c r="GE371" s="316">
        <v>0.83827016145915012</v>
      </c>
      <c r="GF371" s="316">
        <v>0.59219634099999996</v>
      </c>
      <c r="GG371" s="316">
        <v>1.279616879</v>
      </c>
      <c r="GH371" s="316">
        <v>1.585185066</v>
      </c>
      <c r="GI371" s="316">
        <v>1.394870656698409</v>
      </c>
      <c r="GJ371" s="316">
        <v>1.5214866952370725</v>
      </c>
      <c r="GK371" s="316">
        <v>1.3287745824178832</v>
      </c>
      <c r="GL371" s="316">
        <v>1.1531979933135186</v>
      </c>
      <c r="GM371" s="316">
        <v>0.89835558173760088</v>
      </c>
      <c r="GN371" s="316">
        <v>1.7016470251771298</v>
      </c>
      <c r="GO371" s="316">
        <v>1.1333693422496438</v>
      </c>
      <c r="GP371" s="316">
        <v>0.74823814801286437</v>
      </c>
      <c r="GQ371" s="316">
        <v>1.2292553834790385</v>
      </c>
      <c r="GR371" s="316">
        <v>1.41419585798</v>
      </c>
      <c r="GS371" s="316">
        <v>0.96602921900000005</v>
      </c>
      <c r="GT371" s="316">
        <v>1.1407991200000001</v>
      </c>
      <c r="GU371" s="316">
        <v>1.3015250044</v>
      </c>
      <c r="GV371" s="316">
        <v>1.1709209948000001</v>
      </c>
      <c r="GW371" s="316">
        <v>1.293057557</v>
      </c>
      <c r="GX371" s="316">
        <v>1.0839306975</v>
      </c>
      <c r="GY371" s="316">
        <v>1.12674518615</v>
      </c>
      <c r="GZ371" s="316">
        <v>1.0460221473</v>
      </c>
      <c r="HA371" s="316">
        <v>1.159986167</v>
      </c>
      <c r="HB371" s="316">
        <v>1.3487452909890718</v>
      </c>
      <c r="HC371" s="316">
        <v>1.1820561762499999</v>
      </c>
      <c r="HD371" s="316">
        <v>1.6419433128000001</v>
      </c>
      <c r="HE371" s="316">
        <v>10.665542854</v>
      </c>
      <c r="HF371" s="316">
        <v>1.4559923667500001</v>
      </c>
      <c r="HG371" s="316">
        <v>1.6216983287</v>
      </c>
      <c r="HH371" s="316">
        <v>1.0662832596</v>
      </c>
      <c r="HI371" s="316">
        <v>0.22232799119999999</v>
      </c>
      <c r="HJ371" s="316">
        <v>0.25443477785000002</v>
      </c>
      <c r="HK371" s="316">
        <v>0.19089202594999999</v>
      </c>
      <c r="HL371" s="316">
        <v>0.28605253489999999</v>
      </c>
      <c r="HM371" s="316"/>
      <c r="KH371" s="303"/>
    </row>
    <row r="372" spans="1:294" outlineLevel="1">
      <c r="A372" s="117" t="s">
        <v>395</v>
      </c>
      <c r="B372" s="117" t="s">
        <v>361</v>
      </c>
      <c r="D372" s="344" t="s">
        <v>544</v>
      </c>
      <c r="E372" s="316"/>
      <c r="F372" s="316"/>
      <c r="G372" s="316"/>
      <c r="H372" s="316"/>
      <c r="I372" s="316"/>
      <c r="J372" s="316"/>
      <c r="K372" s="316"/>
      <c r="L372" s="316"/>
      <c r="M372" s="316"/>
      <c r="N372" s="316"/>
      <c r="O372" s="316"/>
      <c r="P372" s="316"/>
      <c r="Q372" s="316"/>
      <c r="R372" s="316"/>
      <c r="S372" s="316"/>
      <c r="T372" s="316"/>
      <c r="U372" s="316"/>
      <c r="V372" s="316"/>
      <c r="W372" s="316"/>
      <c r="X372" s="316"/>
      <c r="Y372" s="316"/>
      <c r="Z372" s="316"/>
      <c r="AA372" s="316"/>
      <c r="AB372" s="316"/>
      <c r="AC372" s="316"/>
      <c r="AD372" s="316"/>
      <c r="AE372" s="316"/>
      <c r="AF372" s="316"/>
      <c r="AG372" s="316"/>
      <c r="AH372" s="316"/>
      <c r="AI372" s="316"/>
      <c r="AJ372" s="316"/>
      <c r="AK372" s="316"/>
      <c r="AL372" s="316"/>
      <c r="AM372" s="316"/>
      <c r="AN372" s="316"/>
      <c r="AO372" s="316"/>
      <c r="AP372" s="316"/>
      <c r="AQ372" s="316"/>
      <c r="AR372" s="316"/>
      <c r="AS372" s="316"/>
      <c r="AT372" s="316"/>
      <c r="AU372" s="316"/>
      <c r="AV372" s="316"/>
      <c r="AW372" s="316"/>
      <c r="AX372" s="316"/>
      <c r="AY372" s="316"/>
      <c r="AZ372" s="316"/>
      <c r="BA372" s="316"/>
      <c r="BB372" s="316"/>
      <c r="BC372" s="316"/>
      <c r="BD372" s="316"/>
      <c r="BE372" s="316"/>
      <c r="BF372" s="316"/>
      <c r="BG372" s="316"/>
      <c r="BH372" s="316"/>
      <c r="BI372" s="316"/>
      <c r="BJ372" s="316"/>
      <c r="BK372" s="316"/>
      <c r="BL372" s="316"/>
      <c r="BM372" s="316"/>
      <c r="BN372" s="316"/>
      <c r="BO372" s="316"/>
      <c r="BP372" s="316"/>
      <c r="BQ372" s="316"/>
      <c r="BR372" s="316"/>
      <c r="BS372" s="316"/>
      <c r="BT372" s="316"/>
      <c r="BU372" s="316"/>
      <c r="BV372" s="316"/>
      <c r="BW372" s="316"/>
      <c r="BX372" s="316"/>
      <c r="BY372" s="316"/>
      <c r="BZ372" s="316"/>
      <c r="CA372" s="316"/>
      <c r="CB372" s="316"/>
      <c r="CC372" s="316"/>
      <c r="CD372" s="316"/>
      <c r="CE372" s="317">
        <v>0.31953783099999999</v>
      </c>
      <c r="CF372" s="316">
        <v>1.2531272</v>
      </c>
      <c r="CG372" s="316">
        <v>0.41102835000000004</v>
      </c>
      <c r="CH372" s="316">
        <v>0.34850524399999999</v>
      </c>
      <c r="CI372" s="316">
        <v>0.53165609300000005</v>
      </c>
      <c r="CJ372" s="316">
        <v>0.34950223200000002</v>
      </c>
      <c r="CK372" s="316">
        <v>0.23318187400000001</v>
      </c>
      <c r="CL372" s="316">
        <v>0.37588870600000002</v>
      </c>
      <c r="CM372" s="316">
        <v>0.27494637999999999</v>
      </c>
      <c r="CN372" s="316">
        <v>9.0026925000000008E-2</v>
      </c>
      <c r="CO372" s="316">
        <v>0.38279299499999997</v>
      </c>
      <c r="CP372" s="318">
        <v>0.20996990900000001</v>
      </c>
      <c r="CQ372" s="316">
        <v>0.25210226200000002</v>
      </c>
      <c r="CR372" s="316">
        <v>2.3781132</v>
      </c>
      <c r="CS372" s="316">
        <v>1.899018369</v>
      </c>
      <c r="CT372" s="316">
        <v>0.22562015299999999</v>
      </c>
      <c r="CU372" s="316">
        <v>0.19519945999999999</v>
      </c>
      <c r="CV372" s="316">
        <v>5.6464017999999998E-2</v>
      </c>
      <c r="CW372" s="316">
        <v>0.109400867</v>
      </c>
      <c r="CX372" s="316">
        <v>0.17085389600000001</v>
      </c>
      <c r="CY372" s="316">
        <v>0.201691177</v>
      </c>
      <c r="CZ372" s="316">
        <v>0.288341079</v>
      </c>
      <c r="DA372" s="316">
        <v>0.25666332400000003</v>
      </c>
      <c r="DB372" s="1498">
        <v>0.27646097800000002</v>
      </c>
      <c r="DC372" s="316">
        <v>0</v>
      </c>
      <c r="DD372" s="316">
        <v>0</v>
      </c>
      <c r="DE372" s="316">
        <v>0</v>
      </c>
      <c r="DF372" s="316">
        <v>0</v>
      </c>
      <c r="DG372" s="316">
        <v>0</v>
      </c>
      <c r="DH372" s="316">
        <v>0</v>
      </c>
      <c r="DI372" s="316">
        <v>0</v>
      </c>
      <c r="DJ372" s="316">
        <v>4.0000000000000001E-3</v>
      </c>
      <c r="DK372" s="316">
        <v>0</v>
      </c>
      <c r="DL372" s="316">
        <v>2E-3</v>
      </c>
      <c r="DM372" s="316">
        <v>0</v>
      </c>
      <c r="DN372" s="318">
        <v>1.548</v>
      </c>
      <c r="DO372" s="316">
        <v>0.27275503595865902</v>
      </c>
      <c r="DP372" s="316">
        <v>0.13691573476460012</v>
      </c>
      <c r="DQ372" s="316">
        <v>0.29403610878610426</v>
      </c>
      <c r="DR372" s="316">
        <v>0.37726801619882</v>
      </c>
      <c r="DS372" s="316">
        <v>0.19325706514218965</v>
      </c>
      <c r="DT372" s="316">
        <v>0.38170584152654141</v>
      </c>
      <c r="DU372" s="316">
        <v>0.17927338428701151</v>
      </c>
      <c r="DV372" s="316">
        <v>0.3562400584501112</v>
      </c>
      <c r="DW372" s="316">
        <v>0.60798901617621515</v>
      </c>
      <c r="DX372" s="316">
        <v>0.17125279287636225</v>
      </c>
      <c r="DY372" s="316">
        <v>0.47455601938920611</v>
      </c>
      <c r="DZ372" s="318">
        <v>0.86503258648120851</v>
      </c>
      <c r="EA372" s="316">
        <v>0.99990214406361466</v>
      </c>
      <c r="EB372" s="316">
        <v>0.27852339059275361</v>
      </c>
      <c r="EC372" s="316">
        <v>0.20422662926574031</v>
      </c>
      <c r="ED372" s="316">
        <v>0.23100134709681086</v>
      </c>
      <c r="EE372" s="316">
        <v>0.63782926969350562</v>
      </c>
      <c r="EF372" s="316">
        <v>1.972298738839442</v>
      </c>
      <c r="EG372" s="316">
        <v>0.73811955136459251</v>
      </c>
      <c r="EH372" s="316">
        <v>0.38431697922910513</v>
      </c>
      <c r="EI372" s="316">
        <v>0.40575158412395818</v>
      </c>
      <c r="EJ372" s="316">
        <v>0.17080934176827953</v>
      </c>
      <c r="EK372" s="316">
        <v>0.10608876173982063</v>
      </c>
      <c r="EL372" s="318">
        <v>0.16210954043569137</v>
      </c>
      <c r="EM372" s="316">
        <v>0</v>
      </c>
      <c r="EN372" s="316">
        <v>0</v>
      </c>
      <c r="EO372" s="316">
        <v>0</v>
      </c>
      <c r="EP372" s="316">
        <v>0</v>
      </c>
      <c r="EQ372" s="316">
        <v>0</v>
      </c>
      <c r="ER372" s="316">
        <v>0</v>
      </c>
      <c r="ES372" s="316">
        <v>0</v>
      </c>
      <c r="ET372" s="316">
        <v>0</v>
      </c>
      <c r="EU372" s="316">
        <v>0</v>
      </c>
      <c r="EV372" s="316">
        <v>0</v>
      </c>
      <c r="EW372" s="316">
        <v>0</v>
      </c>
      <c r="EX372" s="318">
        <v>0</v>
      </c>
      <c r="EY372" s="316">
        <v>1.0603227551999999</v>
      </c>
      <c r="EZ372" s="316">
        <v>2.3138055242800002</v>
      </c>
      <c r="FA372" s="316">
        <v>1.9311447209999999</v>
      </c>
      <c r="FB372" s="316">
        <v>1.2681437422399999</v>
      </c>
      <c r="FC372" s="316">
        <v>2.46918483912</v>
      </c>
      <c r="FD372" s="316">
        <v>1.5401608593999998</v>
      </c>
      <c r="FE372" s="316">
        <v>0.95148537501999997</v>
      </c>
      <c r="FF372" s="316">
        <v>1.3194295061399999</v>
      </c>
      <c r="FG372" s="316">
        <v>1.46625427952</v>
      </c>
      <c r="FH372" s="316">
        <v>0.97736562364000013</v>
      </c>
      <c r="FI372" s="316">
        <v>0.54316732103999998</v>
      </c>
      <c r="FJ372" s="318">
        <v>1.1830160649400003</v>
      </c>
      <c r="FK372" s="316">
        <v>0.93103091020000006</v>
      </c>
      <c r="FL372" s="316">
        <v>0.96139398136999998</v>
      </c>
      <c r="FM372" s="316">
        <v>1.2506923210400001</v>
      </c>
      <c r="FN372" s="316">
        <v>1.1685909724609986</v>
      </c>
      <c r="FO372" s="316">
        <v>0.91123084888249695</v>
      </c>
      <c r="FP372" s="316">
        <v>1.4607784838678952</v>
      </c>
      <c r="FQ372" s="316">
        <v>1.4595349277567042</v>
      </c>
      <c r="FR372" s="316">
        <v>1.8308382841322961</v>
      </c>
      <c r="FS372" s="316">
        <v>1.0249331411440332</v>
      </c>
      <c r="FT372" s="316">
        <v>0.90877478960336411</v>
      </c>
      <c r="FU372" s="316">
        <v>1.0316682406701274</v>
      </c>
      <c r="FV372" s="316">
        <v>1.6524999792397439</v>
      </c>
      <c r="FW372" s="316">
        <v>1.7007960426910091</v>
      </c>
      <c r="FX372" s="316">
        <v>0.79959669542324818</v>
      </c>
      <c r="FY372" s="316">
        <v>1.2455452996862408</v>
      </c>
      <c r="FZ372" s="316">
        <v>0.81583218204676855</v>
      </c>
      <c r="GA372" s="316">
        <v>0.82018315040790779</v>
      </c>
      <c r="GB372" s="316">
        <v>1.141135206401904</v>
      </c>
      <c r="GC372" s="316">
        <v>1.0970836272819584</v>
      </c>
      <c r="GD372" s="316">
        <v>0.83797054894602541</v>
      </c>
      <c r="GE372" s="316">
        <v>0.83827016145915012</v>
      </c>
      <c r="GF372" s="316">
        <v>0.59219634099999996</v>
      </c>
      <c r="GG372" s="316">
        <v>1.279616879</v>
      </c>
      <c r="GH372" s="316">
        <v>1.585185066</v>
      </c>
      <c r="GI372" s="316">
        <v>0.53065387711361145</v>
      </c>
      <c r="GJ372" s="316">
        <v>0.80185078515701469</v>
      </c>
      <c r="GK372" s="316">
        <v>0.53416604367341647</v>
      </c>
      <c r="GL372" s="316">
        <v>0.57592804931351838</v>
      </c>
      <c r="GM372" s="316">
        <v>0.24123587277145539</v>
      </c>
      <c r="GN372" s="316">
        <v>0.75691242965084937</v>
      </c>
      <c r="GO372" s="316">
        <v>0.21224006759173406</v>
      </c>
      <c r="GP372" s="316">
        <v>0.1624172070128643</v>
      </c>
      <c r="GQ372" s="316">
        <v>0.48718092297107868</v>
      </c>
      <c r="GR372" s="316">
        <v>0.54503668098000002</v>
      </c>
      <c r="GS372" s="316">
        <v>0.29089334500000003</v>
      </c>
      <c r="GT372" s="316">
        <v>0.33836328300000001</v>
      </c>
      <c r="GU372" s="316">
        <v>0.28986165739999997</v>
      </c>
      <c r="GV372" s="316">
        <v>0.38619191680000009</v>
      </c>
      <c r="GW372" s="316">
        <v>0.54144656599999996</v>
      </c>
      <c r="GX372" s="316">
        <v>0.2007817415</v>
      </c>
      <c r="GY372" s="316">
        <v>0.31793908015</v>
      </c>
      <c r="GZ372" s="316">
        <v>0.33982641530000002</v>
      </c>
      <c r="HA372" s="316">
        <v>0.18146204899999999</v>
      </c>
      <c r="HB372" s="316">
        <v>0.35237570398907175</v>
      </c>
      <c r="HC372" s="316">
        <v>0.45324221125000003</v>
      </c>
      <c r="HD372" s="316">
        <v>0.40902524880000002</v>
      </c>
      <c r="HE372" s="316">
        <v>0.36810757999999999</v>
      </c>
      <c r="HF372" s="316">
        <v>0.41576074974999999</v>
      </c>
      <c r="HG372" s="316">
        <v>0.2952884717</v>
      </c>
      <c r="HH372" s="316">
        <v>0.30457031560000003</v>
      </c>
      <c r="HI372" s="316">
        <v>0.19902697019999999</v>
      </c>
      <c r="HJ372" s="316">
        <v>0.25352194385000004</v>
      </c>
      <c r="HK372" s="316">
        <v>0.17668310194999998</v>
      </c>
      <c r="HL372" s="316">
        <v>0.27235725389999998</v>
      </c>
      <c r="HM372" s="316"/>
      <c r="KH372" s="303"/>
    </row>
    <row r="373" spans="1:294" outlineLevel="1">
      <c r="A373" s="117" t="s">
        <v>395</v>
      </c>
      <c r="B373" s="117" t="s">
        <v>361</v>
      </c>
      <c r="D373" s="344" t="s">
        <v>545</v>
      </c>
      <c r="E373" s="316"/>
      <c r="F373" s="316"/>
      <c r="G373" s="316"/>
      <c r="H373" s="316"/>
      <c r="I373" s="316"/>
      <c r="J373" s="316"/>
      <c r="K373" s="316"/>
      <c r="L373" s="316"/>
      <c r="M373" s="316"/>
      <c r="N373" s="316"/>
      <c r="O373" s="316"/>
      <c r="P373" s="316"/>
      <c r="Q373" s="316"/>
      <c r="R373" s="316"/>
      <c r="S373" s="316"/>
      <c r="T373" s="316"/>
      <c r="U373" s="316"/>
      <c r="V373" s="316"/>
      <c r="W373" s="316"/>
      <c r="X373" s="316"/>
      <c r="Y373" s="316"/>
      <c r="Z373" s="316"/>
      <c r="AA373" s="316"/>
      <c r="AB373" s="316"/>
      <c r="AC373" s="316"/>
      <c r="AD373" s="316"/>
      <c r="AE373" s="316"/>
      <c r="AF373" s="316"/>
      <c r="AG373" s="316"/>
      <c r="AH373" s="316"/>
      <c r="AI373" s="316"/>
      <c r="AJ373" s="316"/>
      <c r="AK373" s="316"/>
      <c r="AL373" s="316"/>
      <c r="AM373" s="316"/>
      <c r="AN373" s="316"/>
      <c r="AO373" s="316"/>
      <c r="AP373" s="316"/>
      <c r="AQ373" s="316"/>
      <c r="AR373" s="316"/>
      <c r="AS373" s="316"/>
      <c r="AT373" s="316"/>
      <c r="AU373" s="316"/>
      <c r="AV373" s="316"/>
      <c r="AW373" s="316"/>
      <c r="AX373" s="316"/>
      <c r="AY373" s="316"/>
      <c r="AZ373" s="316"/>
      <c r="BA373" s="316"/>
      <c r="BB373" s="316"/>
      <c r="BC373" s="316"/>
      <c r="BD373" s="316"/>
      <c r="BE373" s="316"/>
      <c r="BF373" s="316"/>
      <c r="BG373" s="316"/>
      <c r="BH373" s="316"/>
      <c r="BI373" s="316"/>
      <c r="BJ373" s="316"/>
      <c r="BK373" s="316"/>
      <c r="BL373" s="316"/>
      <c r="BM373" s="316"/>
      <c r="BN373" s="316"/>
      <c r="BO373" s="316"/>
      <c r="BP373" s="316"/>
      <c r="BQ373" s="316"/>
      <c r="BR373" s="316"/>
      <c r="BS373" s="316"/>
      <c r="BT373" s="316"/>
      <c r="BU373" s="316"/>
      <c r="BV373" s="316"/>
      <c r="BW373" s="316"/>
      <c r="BX373" s="316"/>
      <c r="BY373" s="316"/>
      <c r="BZ373" s="316"/>
      <c r="CA373" s="316"/>
      <c r="CB373" s="316"/>
      <c r="CC373" s="316"/>
      <c r="CD373" s="316"/>
      <c r="CE373" s="317">
        <v>0.104579826</v>
      </c>
      <c r="CF373" s="316">
        <v>1.254255755</v>
      </c>
      <c r="CG373" s="316">
        <v>8.3051602000000002E-2</v>
      </c>
      <c r="CH373" s="316">
        <v>4.3202574000000001E-2</v>
      </c>
      <c r="CI373" s="316">
        <v>0</v>
      </c>
      <c r="CJ373" s="316">
        <v>0</v>
      </c>
      <c r="CK373" s="316">
        <v>4.0154589999999997E-2</v>
      </c>
      <c r="CL373" s="316">
        <v>0</v>
      </c>
      <c r="CM373" s="316">
        <v>0</v>
      </c>
      <c r="CN373" s="316">
        <v>0.41399999999999998</v>
      </c>
      <c r="CO373" s="316">
        <v>4.4999999999999998E-2</v>
      </c>
      <c r="CP373" s="318">
        <v>0</v>
      </c>
      <c r="CQ373" s="316">
        <v>0</v>
      </c>
      <c r="CR373" s="316">
        <v>0.248</v>
      </c>
      <c r="CS373" s="316">
        <v>0</v>
      </c>
      <c r="CT373" s="316">
        <v>0</v>
      </c>
      <c r="CU373" s="316">
        <v>0</v>
      </c>
      <c r="CV373" s="316">
        <v>0</v>
      </c>
      <c r="CW373" s="316">
        <v>0</v>
      </c>
      <c r="CX373" s="316">
        <v>0</v>
      </c>
      <c r="CY373" s="316">
        <v>0</v>
      </c>
      <c r="CZ373" s="316">
        <v>0.06</v>
      </c>
      <c r="DA373" s="316">
        <v>0</v>
      </c>
      <c r="DB373" s="1498">
        <v>3.0840000000000001</v>
      </c>
      <c r="DC373" s="316">
        <v>0</v>
      </c>
      <c r="DD373" s="316">
        <v>0</v>
      </c>
      <c r="DE373" s="316">
        <v>0.311</v>
      </c>
      <c r="DF373" s="316">
        <v>8.0000000000000002E-3</v>
      </c>
      <c r="DG373" s="316">
        <v>0</v>
      </c>
      <c r="DH373" s="316">
        <v>0.15</v>
      </c>
      <c r="DI373" s="316">
        <v>0</v>
      </c>
      <c r="DJ373" s="316">
        <v>0</v>
      </c>
      <c r="DK373" s="316">
        <v>0</v>
      </c>
      <c r="DL373" s="316">
        <v>0.33200000000000002</v>
      </c>
      <c r="DM373" s="316">
        <v>0</v>
      </c>
      <c r="DN373" s="318">
        <v>2.5449999999999999</v>
      </c>
      <c r="DO373" s="316">
        <v>0</v>
      </c>
      <c r="DP373" s="316">
        <v>0</v>
      </c>
      <c r="DQ373" s="316">
        <v>0</v>
      </c>
      <c r="DR373" s="316">
        <v>0</v>
      </c>
      <c r="DS373" s="316">
        <v>0</v>
      </c>
      <c r="DT373" s="316">
        <v>0</v>
      </c>
      <c r="DU373" s="316">
        <v>0</v>
      </c>
      <c r="DV373" s="316">
        <v>0</v>
      </c>
      <c r="DW373" s="316">
        <v>0</v>
      </c>
      <c r="DX373" s="316">
        <v>0</v>
      </c>
      <c r="DY373" s="316">
        <v>0</v>
      </c>
      <c r="DZ373" s="318">
        <v>3.2614522140000002</v>
      </c>
      <c r="EA373" s="316">
        <v>0</v>
      </c>
      <c r="EB373" s="316">
        <v>0</v>
      </c>
      <c r="EC373" s="316">
        <v>0</v>
      </c>
      <c r="ED373" s="316">
        <v>0.51394423099999997</v>
      </c>
      <c r="EE373" s="316">
        <v>0</v>
      </c>
      <c r="EF373" s="316">
        <v>0</v>
      </c>
      <c r="EG373" s="316">
        <v>0</v>
      </c>
      <c r="EH373" s="316">
        <v>0</v>
      </c>
      <c r="EI373" s="316">
        <v>0</v>
      </c>
      <c r="EJ373" s="316">
        <v>0.21</v>
      </c>
      <c r="EK373" s="316">
        <v>1.6E-2</v>
      </c>
      <c r="EL373" s="318">
        <v>2.6120189150000002</v>
      </c>
      <c r="EM373" s="316">
        <v>0</v>
      </c>
      <c r="EN373" s="316">
        <v>0</v>
      </c>
      <c r="EO373" s="316">
        <v>0</v>
      </c>
      <c r="EP373" s="316">
        <v>0</v>
      </c>
      <c r="EQ373" s="316">
        <v>0</v>
      </c>
      <c r="ER373" s="316">
        <v>0</v>
      </c>
      <c r="ES373" s="316">
        <v>0</v>
      </c>
      <c r="ET373" s="316">
        <v>0</v>
      </c>
      <c r="EU373" s="316">
        <v>0</v>
      </c>
      <c r="EV373" s="316">
        <v>0</v>
      </c>
      <c r="EW373" s="316">
        <v>0</v>
      </c>
      <c r="EX373" s="318">
        <v>0</v>
      </c>
      <c r="EY373" s="316">
        <v>0</v>
      </c>
      <c r="EZ373" s="316">
        <v>0</v>
      </c>
      <c r="FA373" s="316">
        <v>0</v>
      </c>
      <c r="FB373" s="316">
        <v>0</v>
      </c>
      <c r="FC373" s="316">
        <v>0</v>
      </c>
      <c r="FD373" s="316">
        <v>0</v>
      </c>
      <c r="FE373" s="316">
        <v>0</v>
      </c>
      <c r="FF373" s="316">
        <v>0</v>
      </c>
      <c r="FG373" s="316">
        <v>0</v>
      </c>
      <c r="FH373" s="316">
        <v>0</v>
      </c>
      <c r="FI373" s="316">
        <v>0</v>
      </c>
      <c r="FJ373" s="318">
        <v>0</v>
      </c>
      <c r="FK373" s="316">
        <v>0</v>
      </c>
      <c r="FL373" s="316">
        <v>0</v>
      </c>
      <c r="FM373" s="316">
        <v>0</v>
      </c>
      <c r="FN373" s="316">
        <v>0</v>
      </c>
      <c r="FO373" s="316">
        <v>0</v>
      </c>
      <c r="FP373" s="316">
        <v>0</v>
      </c>
      <c r="FQ373" s="316">
        <v>0</v>
      </c>
      <c r="FR373" s="316">
        <v>0</v>
      </c>
      <c r="FS373" s="316">
        <v>0</v>
      </c>
      <c r="FT373" s="316">
        <v>0</v>
      </c>
      <c r="FU373" s="316">
        <v>0</v>
      </c>
      <c r="FV373" s="316">
        <v>0</v>
      </c>
      <c r="FW373" s="316">
        <v>0</v>
      </c>
      <c r="FX373" s="316">
        <v>0</v>
      </c>
      <c r="FY373" s="316">
        <v>0</v>
      </c>
      <c r="FZ373" s="316">
        <v>0</v>
      </c>
      <c r="GA373" s="316">
        <v>0</v>
      </c>
      <c r="GB373" s="316">
        <v>0</v>
      </c>
      <c r="GC373" s="316">
        <v>0</v>
      </c>
      <c r="GD373" s="316">
        <v>0</v>
      </c>
      <c r="GE373" s="316">
        <v>0</v>
      </c>
      <c r="GF373" s="316">
        <v>0</v>
      </c>
      <c r="GG373" s="316">
        <v>0</v>
      </c>
      <c r="GH373" s="316">
        <v>0</v>
      </c>
      <c r="GI373" s="316">
        <v>0</v>
      </c>
      <c r="GJ373" s="316">
        <v>0</v>
      </c>
      <c r="GK373" s="316">
        <v>0</v>
      </c>
      <c r="GL373" s="316">
        <v>0</v>
      </c>
      <c r="GM373" s="316">
        <v>0</v>
      </c>
      <c r="GN373" s="316">
        <v>0</v>
      </c>
      <c r="GO373" s="316">
        <v>0</v>
      </c>
      <c r="GP373" s="316">
        <v>0</v>
      </c>
      <c r="GQ373" s="316">
        <v>0</v>
      </c>
      <c r="GR373" s="316">
        <v>0</v>
      </c>
      <c r="GS373" s="316">
        <v>0</v>
      </c>
      <c r="GT373" s="316">
        <v>0</v>
      </c>
      <c r="GU373" s="316">
        <v>0</v>
      </c>
      <c r="GV373" s="316">
        <v>0</v>
      </c>
      <c r="GW373" s="316">
        <v>0</v>
      </c>
      <c r="GX373" s="316">
        <v>0</v>
      </c>
      <c r="GY373" s="316">
        <v>0</v>
      </c>
      <c r="GZ373" s="316">
        <v>0</v>
      </c>
      <c r="HA373" s="316">
        <v>0</v>
      </c>
      <c r="HB373" s="316">
        <v>0</v>
      </c>
      <c r="HC373" s="316">
        <v>0</v>
      </c>
      <c r="HD373" s="316">
        <v>0</v>
      </c>
      <c r="HE373" s="316">
        <v>9.3539999999999992</v>
      </c>
      <c r="HF373" s="316">
        <v>0</v>
      </c>
      <c r="HG373" s="316">
        <v>0</v>
      </c>
      <c r="HH373" s="316">
        <v>0</v>
      </c>
      <c r="HI373" s="316">
        <v>0</v>
      </c>
      <c r="HJ373" s="316">
        <v>0</v>
      </c>
      <c r="HK373" s="316">
        <v>0</v>
      </c>
      <c r="HL373" s="316">
        <v>0</v>
      </c>
      <c r="HM373" s="316"/>
      <c r="KH373" s="303"/>
    </row>
    <row r="374" spans="1:294" outlineLevel="1">
      <c r="A374" s="117" t="s">
        <v>395</v>
      </c>
      <c r="B374" s="117" t="s">
        <v>361</v>
      </c>
      <c r="D374" s="344" t="s">
        <v>546</v>
      </c>
      <c r="E374" s="316"/>
      <c r="F374" s="316"/>
      <c r="G374" s="316"/>
      <c r="H374" s="316"/>
      <c r="I374" s="316"/>
      <c r="J374" s="316"/>
      <c r="K374" s="316"/>
      <c r="L374" s="316"/>
      <c r="M374" s="316"/>
      <c r="N374" s="316"/>
      <c r="O374" s="316"/>
      <c r="P374" s="316"/>
      <c r="Q374" s="316"/>
      <c r="R374" s="316"/>
      <c r="S374" s="316"/>
      <c r="T374" s="316"/>
      <c r="U374" s="316"/>
      <c r="V374" s="316"/>
      <c r="W374" s="316"/>
      <c r="X374" s="316"/>
      <c r="Y374" s="316"/>
      <c r="Z374" s="316"/>
      <c r="AA374" s="316"/>
      <c r="AB374" s="316"/>
      <c r="AC374" s="316"/>
      <c r="AD374" s="316"/>
      <c r="AE374" s="316"/>
      <c r="AF374" s="316"/>
      <c r="AG374" s="316"/>
      <c r="AH374" s="316"/>
      <c r="AI374" s="316"/>
      <c r="AJ374" s="316"/>
      <c r="AK374" s="316"/>
      <c r="AL374" s="316"/>
      <c r="AM374" s="316"/>
      <c r="AN374" s="316"/>
      <c r="AO374" s="316"/>
      <c r="AP374" s="316"/>
      <c r="AQ374" s="316"/>
      <c r="AR374" s="316"/>
      <c r="AS374" s="316"/>
      <c r="AT374" s="316"/>
      <c r="AU374" s="316"/>
      <c r="AV374" s="316"/>
      <c r="AW374" s="316"/>
      <c r="AX374" s="316"/>
      <c r="AY374" s="316"/>
      <c r="AZ374" s="316"/>
      <c r="BA374" s="316"/>
      <c r="BB374" s="316"/>
      <c r="BC374" s="316"/>
      <c r="BD374" s="316"/>
      <c r="BE374" s="316"/>
      <c r="BF374" s="316"/>
      <c r="BG374" s="316"/>
      <c r="BH374" s="316"/>
      <c r="BI374" s="316"/>
      <c r="BJ374" s="316"/>
      <c r="BK374" s="316"/>
      <c r="BL374" s="316"/>
      <c r="BM374" s="316"/>
      <c r="BN374" s="316"/>
      <c r="BO374" s="316"/>
      <c r="BP374" s="316"/>
      <c r="BQ374" s="316"/>
      <c r="BR374" s="316"/>
      <c r="BS374" s="316"/>
      <c r="BT374" s="316"/>
      <c r="BU374" s="316"/>
      <c r="BV374" s="316"/>
      <c r="BW374" s="316"/>
      <c r="BX374" s="316"/>
      <c r="BY374" s="316"/>
      <c r="BZ374" s="316"/>
      <c r="CA374" s="316"/>
      <c r="CB374" s="316"/>
      <c r="CC374" s="316"/>
      <c r="CD374" s="316"/>
      <c r="CE374" s="317">
        <v>0</v>
      </c>
      <c r="CF374" s="316">
        <v>0</v>
      </c>
      <c r="CG374" s="316">
        <v>0</v>
      </c>
      <c r="CH374" s="316">
        <v>0</v>
      </c>
      <c r="CI374" s="316">
        <v>0</v>
      </c>
      <c r="CJ374" s="316">
        <v>0</v>
      </c>
      <c r="CK374" s="316">
        <v>0</v>
      </c>
      <c r="CL374" s="316">
        <v>0</v>
      </c>
      <c r="CM374" s="316">
        <v>0</v>
      </c>
      <c r="CN374" s="316">
        <v>0</v>
      </c>
      <c r="CO374" s="316">
        <v>0</v>
      </c>
      <c r="CP374" s="318">
        <v>0</v>
      </c>
      <c r="CQ374" s="316">
        <v>0</v>
      </c>
      <c r="CR374" s="316">
        <v>0</v>
      </c>
      <c r="CS374" s="316">
        <v>0</v>
      </c>
      <c r="CT374" s="316">
        <v>0</v>
      </c>
      <c r="CU374" s="316">
        <v>0</v>
      </c>
      <c r="CV374" s="316">
        <v>0</v>
      </c>
      <c r="CW374" s="316">
        <v>0</v>
      </c>
      <c r="CX374" s="316">
        <v>0</v>
      </c>
      <c r="CY374" s="316">
        <v>0</v>
      </c>
      <c r="CZ374" s="316">
        <v>0</v>
      </c>
      <c r="DA374" s="316">
        <v>0</v>
      </c>
      <c r="DB374" s="1498">
        <v>0</v>
      </c>
      <c r="DC374" s="316">
        <v>0</v>
      </c>
      <c r="DD374" s="316">
        <v>0</v>
      </c>
      <c r="DE374" s="316">
        <v>0</v>
      </c>
      <c r="DF374" s="316">
        <v>0</v>
      </c>
      <c r="DG374" s="316">
        <v>0</v>
      </c>
      <c r="DH374" s="316">
        <v>0</v>
      </c>
      <c r="DI374" s="316">
        <v>0</v>
      </c>
      <c r="DJ374" s="316">
        <v>0</v>
      </c>
      <c r="DK374" s="316">
        <v>0</v>
      </c>
      <c r="DL374" s="316">
        <v>0</v>
      </c>
      <c r="DM374" s="316">
        <v>0</v>
      </c>
      <c r="DN374" s="318">
        <v>0</v>
      </c>
      <c r="DO374" s="316">
        <v>0</v>
      </c>
      <c r="DP374" s="316">
        <v>0</v>
      </c>
      <c r="DQ374" s="316">
        <v>0</v>
      </c>
      <c r="DR374" s="316">
        <v>0</v>
      </c>
      <c r="DS374" s="316">
        <v>0</v>
      </c>
      <c r="DT374" s="316">
        <v>0</v>
      </c>
      <c r="DU374" s="316">
        <v>0</v>
      </c>
      <c r="DV374" s="316">
        <v>0</v>
      </c>
      <c r="DW374" s="316">
        <v>0</v>
      </c>
      <c r="DX374" s="316">
        <v>0</v>
      </c>
      <c r="DY374" s="316">
        <v>0</v>
      </c>
      <c r="DZ374" s="318">
        <v>0</v>
      </c>
      <c r="EA374" s="316">
        <v>0</v>
      </c>
      <c r="EB374" s="316">
        <v>0</v>
      </c>
      <c r="EC374" s="316">
        <v>0</v>
      </c>
      <c r="ED374" s="316">
        <v>0</v>
      </c>
      <c r="EE374" s="316">
        <v>0</v>
      </c>
      <c r="EF374" s="316">
        <v>0</v>
      </c>
      <c r="EG374" s="316">
        <v>0</v>
      </c>
      <c r="EH374" s="316">
        <v>0</v>
      </c>
      <c r="EI374" s="316">
        <v>0</v>
      </c>
      <c r="EJ374" s="316">
        <v>0</v>
      </c>
      <c r="EK374" s="316">
        <v>0</v>
      </c>
      <c r="EL374" s="318">
        <v>0</v>
      </c>
      <c r="EM374" s="316">
        <v>0</v>
      </c>
      <c r="EN374" s="316">
        <v>0</v>
      </c>
      <c r="EO374" s="316">
        <v>0</v>
      </c>
      <c r="EP374" s="316">
        <v>0</v>
      </c>
      <c r="EQ374" s="316">
        <v>0</v>
      </c>
      <c r="ER374" s="316">
        <v>0</v>
      </c>
      <c r="ES374" s="316">
        <v>0</v>
      </c>
      <c r="ET374" s="316">
        <v>0</v>
      </c>
      <c r="EU374" s="316">
        <v>0</v>
      </c>
      <c r="EV374" s="316">
        <v>0</v>
      </c>
      <c r="EW374" s="316">
        <v>0</v>
      </c>
      <c r="EX374" s="318">
        <v>0</v>
      </c>
      <c r="EY374" s="316">
        <v>0</v>
      </c>
      <c r="EZ374" s="316">
        <v>0</v>
      </c>
      <c r="FA374" s="316">
        <v>0</v>
      </c>
      <c r="FB374" s="316">
        <v>0</v>
      </c>
      <c r="FC374" s="316">
        <v>0</v>
      </c>
      <c r="FD374" s="316">
        <v>0</v>
      </c>
      <c r="FE374" s="316">
        <v>0</v>
      </c>
      <c r="FF374" s="316">
        <v>0</v>
      </c>
      <c r="FG374" s="316">
        <v>0</v>
      </c>
      <c r="FH374" s="316">
        <v>0</v>
      </c>
      <c r="FI374" s="316">
        <v>0</v>
      </c>
      <c r="FJ374" s="318">
        <v>0</v>
      </c>
      <c r="FK374" s="316">
        <v>0</v>
      </c>
      <c r="FL374" s="316">
        <v>0</v>
      </c>
      <c r="FM374" s="316">
        <v>0</v>
      </c>
      <c r="FN374" s="316">
        <v>0</v>
      </c>
      <c r="FO374" s="316">
        <v>0</v>
      </c>
      <c r="FP374" s="316">
        <v>0</v>
      </c>
      <c r="FQ374" s="316">
        <v>0</v>
      </c>
      <c r="FR374" s="316">
        <v>0</v>
      </c>
      <c r="FS374" s="316">
        <v>0</v>
      </c>
      <c r="FT374" s="316">
        <v>0</v>
      </c>
      <c r="FU374" s="316">
        <v>0</v>
      </c>
      <c r="FV374" s="316">
        <v>0</v>
      </c>
      <c r="FW374" s="316">
        <v>0</v>
      </c>
      <c r="FX374" s="316">
        <v>0</v>
      </c>
      <c r="FY374" s="316">
        <v>0</v>
      </c>
      <c r="FZ374" s="316">
        <v>0</v>
      </c>
      <c r="GA374" s="316">
        <v>0</v>
      </c>
      <c r="GB374" s="316">
        <v>0</v>
      </c>
      <c r="GC374" s="316">
        <v>0</v>
      </c>
      <c r="GD374" s="316">
        <v>0</v>
      </c>
      <c r="GE374" s="316">
        <v>0</v>
      </c>
      <c r="GF374" s="316">
        <v>0</v>
      </c>
      <c r="GG374" s="316">
        <v>0</v>
      </c>
      <c r="GH374" s="316">
        <v>0</v>
      </c>
      <c r="GI374" s="316">
        <v>0</v>
      </c>
      <c r="GJ374" s="316">
        <v>0</v>
      </c>
      <c r="GK374" s="316">
        <v>0</v>
      </c>
      <c r="GL374" s="316">
        <v>0</v>
      </c>
      <c r="GM374" s="316">
        <v>0</v>
      </c>
      <c r="GN374" s="316">
        <v>0</v>
      </c>
      <c r="GO374" s="316">
        <v>0</v>
      </c>
      <c r="GP374" s="316">
        <v>0</v>
      </c>
      <c r="GQ374" s="316">
        <v>0</v>
      </c>
      <c r="GR374" s="316">
        <v>0</v>
      </c>
      <c r="GS374" s="316">
        <v>0</v>
      </c>
      <c r="GT374" s="316">
        <v>0</v>
      </c>
      <c r="GU374" s="316">
        <v>0</v>
      </c>
      <c r="GV374" s="316">
        <v>0</v>
      </c>
      <c r="GW374" s="316">
        <v>0</v>
      </c>
      <c r="GX374" s="316">
        <v>0</v>
      </c>
      <c r="GY374" s="316">
        <v>0</v>
      </c>
      <c r="GZ374" s="316">
        <v>0</v>
      </c>
      <c r="HA374" s="316">
        <v>0</v>
      </c>
      <c r="HB374" s="316">
        <v>0</v>
      </c>
      <c r="HC374" s="316">
        <v>0</v>
      </c>
      <c r="HD374" s="316">
        <v>0</v>
      </c>
      <c r="HE374" s="316">
        <v>0</v>
      </c>
      <c r="HF374" s="316">
        <v>0</v>
      </c>
      <c r="HG374" s="316">
        <v>0</v>
      </c>
      <c r="HH374" s="316">
        <v>0</v>
      </c>
      <c r="HI374" s="316">
        <v>0</v>
      </c>
      <c r="HJ374" s="316">
        <v>0</v>
      </c>
      <c r="HK374" s="316">
        <v>0</v>
      </c>
      <c r="HL374" s="316">
        <v>0</v>
      </c>
      <c r="HM374" s="316"/>
      <c r="KH374" s="303"/>
    </row>
    <row r="375" spans="1:294" outlineLevel="1">
      <c r="A375" s="117" t="s">
        <v>395</v>
      </c>
      <c r="B375" s="117" t="s">
        <v>361</v>
      </c>
      <c r="D375" s="344" t="s">
        <v>547</v>
      </c>
      <c r="E375" s="316"/>
      <c r="F375" s="316"/>
      <c r="G375" s="316"/>
      <c r="H375" s="316"/>
      <c r="I375" s="316"/>
      <c r="J375" s="316"/>
      <c r="K375" s="316"/>
      <c r="L375" s="316"/>
      <c r="M375" s="316"/>
      <c r="N375" s="316"/>
      <c r="O375" s="316"/>
      <c r="P375" s="316"/>
      <c r="Q375" s="316"/>
      <c r="R375" s="316"/>
      <c r="S375" s="316"/>
      <c r="T375" s="316"/>
      <c r="U375" s="316"/>
      <c r="V375" s="316"/>
      <c r="W375" s="316"/>
      <c r="X375" s="316"/>
      <c r="Y375" s="316"/>
      <c r="Z375" s="316"/>
      <c r="AA375" s="316"/>
      <c r="AB375" s="316"/>
      <c r="AC375" s="316"/>
      <c r="AD375" s="316"/>
      <c r="AE375" s="316"/>
      <c r="AF375" s="316"/>
      <c r="AG375" s="316"/>
      <c r="AH375" s="316"/>
      <c r="AI375" s="316"/>
      <c r="AJ375" s="316"/>
      <c r="AK375" s="316"/>
      <c r="AL375" s="316"/>
      <c r="AM375" s="316"/>
      <c r="AN375" s="316"/>
      <c r="AO375" s="316"/>
      <c r="AP375" s="316"/>
      <c r="AQ375" s="316"/>
      <c r="AR375" s="316"/>
      <c r="AS375" s="316"/>
      <c r="AT375" s="316"/>
      <c r="AU375" s="316"/>
      <c r="AV375" s="316"/>
      <c r="AW375" s="316"/>
      <c r="AX375" s="316"/>
      <c r="AY375" s="316"/>
      <c r="AZ375" s="316"/>
      <c r="BA375" s="316"/>
      <c r="BB375" s="316"/>
      <c r="BC375" s="316"/>
      <c r="BD375" s="316"/>
      <c r="BE375" s="316"/>
      <c r="BF375" s="316"/>
      <c r="BG375" s="316"/>
      <c r="BH375" s="316"/>
      <c r="BI375" s="316"/>
      <c r="BJ375" s="316"/>
      <c r="BK375" s="316"/>
      <c r="BL375" s="316"/>
      <c r="BM375" s="316"/>
      <c r="BN375" s="316"/>
      <c r="BO375" s="316"/>
      <c r="BP375" s="316"/>
      <c r="BQ375" s="316"/>
      <c r="BR375" s="316"/>
      <c r="BS375" s="316"/>
      <c r="BT375" s="316"/>
      <c r="BU375" s="316"/>
      <c r="BV375" s="316"/>
      <c r="BW375" s="316"/>
      <c r="BX375" s="316"/>
      <c r="BY375" s="316"/>
      <c r="BZ375" s="316"/>
      <c r="CA375" s="316"/>
      <c r="CB375" s="316"/>
      <c r="CC375" s="316"/>
      <c r="CD375" s="316"/>
      <c r="CE375" s="317">
        <v>0</v>
      </c>
      <c r="CF375" s="316">
        <v>0</v>
      </c>
      <c r="CG375" s="316">
        <v>0</v>
      </c>
      <c r="CH375" s="316">
        <v>0</v>
      </c>
      <c r="CI375" s="316">
        <v>0</v>
      </c>
      <c r="CJ375" s="316">
        <v>0</v>
      </c>
      <c r="CK375" s="316">
        <v>0</v>
      </c>
      <c r="CL375" s="316">
        <v>0</v>
      </c>
      <c r="CM375" s="316">
        <v>0</v>
      </c>
      <c r="CN375" s="316">
        <v>0</v>
      </c>
      <c r="CO375" s="316">
        <v>0</v>
      </c>
      <c r="CP375" s="318">
        <v>0</v>
      </c>
      <c r="CQ375" s="316">
        <v>0</v>
      </c>
      <c r="CR375" s="316">
        <v>0</v>
      </c>
      <c r="CS375" s="316">
        <v>0</v>
      </c>
      <c r="CT375" s="316">
        <v>0</v>
      </c>
      <c r="CU375" s="316">
        <v>0</v>
      </c>
      <c r="CV375" s="316">
        <v>0</v>
      </c>
      <c r="CW375" s="316">
        <v>0</v>
      </c>
      <c r="CX375" s="316">
        <v>0</v>
      </c>
      <c r="CY375" s="316">
        <v>0</v>
      </c>
      <c r="CZ375" s="316">
        <v>0</v>
      </c>
      <c r="DA375" s="316">
        <v>0</v>
      </c>
      <c r="DB375" s="1498">
        <v>0</v>
      </c>
      <c r="DC375" s="316">
        <v>0</v>
      </c>
      <c r="DD375" s="316">
        <v>0</v>
      </c>
      <c r="DE375" s="316">
        <v>0</v>
      </c>
      <c r="DF375" s="316">
        <v>0</v>
      </c>
      <c r="DG375" s="316">
        <v>0</v>
      </c>
      <c r="DH375" s="316">
        <v>0</v>
      </c>
      <c r="DI375" s="316">
        <v>0</v>
      </c>
      <c r="DJ375" s="316">
        <v>0</v>
      </c>
      <c r="DK375" s="316">
        <v>0</v>
      </c>
      <c r="DL375" s="316">
        <v>0</v>
      </c>
      <c r="DM375" s="316">
        <v>0</v>
      </c>
      <c r="DN375" s="318">
        <v>0</v>
      </c>
      <c r="DO375" s="316">
        <v>0</v>
      </c>
      <c r="DP375" s="316">
        <v>0</v>
      </c>
      <c r="DQ375" s="316">
        <v>0</v>
      </c>
      <c r="DR375" s="316">
        <v>0</v>
      </c>
      <c r="DS375" s="316">
        <v>0</v>
      </c>
      <c r="DT375" s="316">
        <v>0</v>
      </c>
      <c r="DU375" s="316">
        <v>0</v>
      </c>
      <c r="DV375" s="316">
        <v>0</v>
      </c>
      <c r="DW375" s="316">
        <v>0</v>
      </c>
      <c r="DX375" s="316">
        <v>0</v>
      </c>
      <c r="DY375" s="316">
        <v>0</v>
      </c>
      <c r="DZ375" s="318">
        <v>0</v>
      </c>
      <c r="EA375" s="316">
        <v>0</v>
      </c>
      <c r="EB375" s="316">
        <v>0</v>
      </c>
      <c r="EC375" s="316">
        <v>0</v>
      </c>
      <c r="ED375" s="316">
        <v>0</v>
      </c>
      <c r="EE375" s="316">
        <v>0</v>
      </c>
      <c r="EF375" s="316">
        <v>0</v>
      </c>
      <c r="EG375" s="316">
        <v>0</v>
      </c>
      <c r="EH375" s="316">
        <v>0</v>
      </c>
      <c r="EI375" s="316">
        <v>0</v>
      </c>
      <c r="EJ375" s="316">
        <v>0</v>
      </c>
      <c r="EK375" s="316">
        <v>0</v>
      </c>
      <c r="EL375" s="318">
        <v>0</v>
      </c>
      <c r="EM375" s="316">
        <v>0</v>
      </c>
      <c r="EN375" s="316">
        <v>0</v>
      </c>
      <c r="EO375" s="316">
        <v>0</v>
      </c>
      <c r="EP375" s="316">
        <v>0</v>
      </c>
      <c r="EQ375" s="316">
        <v>0</v>
      </c>
      <c r="ER375" s="316">
        <v>0</v>
      </c>
      <c r="ES375" s="316">
        <v>0</v>
      </c>
      <c r="ET375" s="316">
        <v>0</v>
      </c>
      <c r="EU375" s="316">
        <v>0</v>
      </c>
      <c r="EV375" s="316">
        <v>0</v>
      </c>
      <c r="EW375" s="316">
        <v>0</v>
      </c>
      <c r="EX375" s="318">
        <v>0</v>
      </c>
      <c r="EY375" s="316">
        <v>0</v>
      </c>
      <c r="EZ375" s="316">
        <v>0</v>
      </c>
      <c r="FA375" s="316">
        <v>0</v>
      </c>
      <c r="FB375" s="316">
        <v>0</v>
      </c>
      <c r="FC375" s="316">
        <v>0</v>
      </c>
      <c r="FD375" s="316">
        <v>0</v>
      </c>
      <c r="FE375" s="316">
        <v>0</v>
      </c>
      <c r="FF375" s="316">
        <v>0</v>
      </c>
      <c r="FG375" s="316">
        <v>0</v>
      </c>
      <c r="FH375" s="316">
        <v>0</v>
      </c>
      <c r="FI375" s="316">
        <v>0</v>
      </c>
      <c r="FJ375" s="318">
        <v>0</v>
      </c>
      <c r="FK375" s="316">
        <v>0</v>
      </c>
      <c r="FL375" s="316">
        <v>0</v>
      </c>
      <c r="FM375" s="316">
        <v>0</v>
      </c>
      <c r="FN375" s="316">
        <v>0</v>
      </c>
      <c r="FO375" s="316">
        <v>0</v>
      </c>
      <c r="FP375" s="316">
        <v>0</v>
      </c>
      <c r="FQ375" s="316">
        <v>0</v>
      </c>
      <c r="FR375" s="316">
        <v>0</v>
      </c>
      <c r="FS375" s="316">
        <v>0</v>
      </c>
      <c r="FT375" s="316">
        <v>0</v>
      </c>
      <c r="FU375" s="316">
        <v>0</v>
      </c>
      <c r="FV375" s="316">
        <v>0</v>
      </c>
      <c r="FW375" s="316">
        <v>0</v>
      </c>
      <c r="FX375" s="316">
        <v>0</v>
      </c>
      <c r="FY375" s="316">
        <v>0</v>
      </c>
      <c r="FZ375" s="316">
        <v>0</v>
      </c>
      <c r="GA375" s="316">
        <v>0</v>
      </c>
      <c r="GB375" s="316">
        <v>0</v>
      </c>
      <c r="GC375" s="316">
        <v>0</v>
      </c>
      <c r="GD375" s="316">
        <v>0</v>
      </c>
      <c r="GE375" s="316">
        <v>0</v>
      </c>
      <c r="GF375" s="316">
        <v>0</v>
      </c>
      <c r="GG375" s="316">
        <v>0</v>
      </c>
      <c r="GH375" s="316">
        <v>0</v>
      </c>
      <c r="GI375" s="316">
        <v>0</v>
      </c>
      <c r="GJ375" s="316">
        <v>0</v>
      </c>
      <c r="GK375" s="316">
        <v>0</v>
      </c>
      <c r="GL375" s="316">
        <v>0</v>
      </c>
      <c r="GM375" s="316">
        <v>0</v>
      </c>
      <c r="GN375" s="316">
        <v>0</v>
      </c>
      <c r="GO375" s="316">
        <v>0</v>
      </c>
      <c r="GP375" s="316">
        <v>0</v>
      </c>
      <c r="GQ375" s="316">
        <v>0</v>
      </c>
      <c r="GR375" s="316">
        <v>0</v>
      </c>
      <c r="GS375" s="316">
        <v>0</v>
      </c>
      <c r="GT375" s="316">
        <v>0</v>
      </c>
      <c r="GU375" s="316">
        <v>0</v>
      </c>
      <c r="GV375" s="316">
        <v>0</v>
      </c>
      <c r="GW375" s="316">
        <v>0</v>
      </c>
      <c r="GX375" s="316">
        <v>0</v>
      </c>
      <c r="GY375" s="316">
        <v>0</v>
      </c>
      <c r="GZ375" s="316">
        <v>0</v>
      </c>
      <c r="HA375" s="316">
        <v>0</v>
      </c>
      <c r="HB375" s="316">
        <v>0</v>
      </c>
      <c r="HC375" s="316">
        <v>0</v>
      </c>
      <c r="HD375" s="316">
        <v>0</v>
      </c>
      <c r="HE375" s="316">
        <v>0</v>
      </c>
      <c r="HF375" s="316">
        <v>0</v>
      </c>
      <c r="HG375" s="316">
        <v>0</v>
      </c>
      <c r="HH375" s="316">
        <v>0</v>
      </c>
      <c r="HI375" s="316">
        <v>0</v>
      </c>
      <c r="HJ375" s="316">
        <v>0</v>
      </c>
      <c r="HK375" s="316">
        <v>0</v>
      </c>
      <c r="HL375" s="316">
        <v>0</v>
      </c>
      <c r="HM375" s="316"/>
      <c r="KH375" s="303"/>
    </row>
    <row r="376" spans="1:294" outlineLevel="1">
      <c r="A376" s="117" t="s">
        <v>395</v>
      </c>
      <c r="B376" s="117" t="s">
        <v>361</v>
      </c>
      <c r="D376" s="344" t="s">
        <v>548</v>
      </c>
      <c r="E376" s="316"/>
      <c r="F376" s="316"/>
      <c r="G376" s="316"/>
      <c r="H376" s="316"/>
      <c r="I376" s="316"/>
      <c r="J376" s="316"/>
      <c r="K376" s="316"/>
      <c r="L376" s="316"/>
      <c r="M376" s="316"/>
      <c r="N376" s="316"/>
      <c r="O376" s="316"/>
      <c r="P376" s="316"/>
      <c r="Q376" s="316"/>
      <c r="R376" s="316"/>
      <c r="S376" s="316"/>
      <c r="T376" s="316"/>
      <c r="U376" s="316"/>
      <c r="V376" s="316"/>
      <c r="W376" s="316"/>
      <c r="X376" s="316"/>
      <c r="Y376" s="316"/>
      <c r="Z376" s="316"/>
      <c r="AA376" s="316"/>
      <c r="AB376" s="316"/>
      <c r="AC376" s="316"/>
      <c r="AD376" s="316"/>
      <c r="AE376" s="316"/>
      <c r="AF376" s="316"/>
      <c r="AG376" s="316"/>
      <c r="AH376" s="316"/>
      <c r="AI376" s="316"/>
      <c r="AJ376" s="316"/>
      <c r="AK376" s="316"/>
      <c r="AL376" s="316"/>
      <c r="AM376" s="316"/>
      <c r="AN376" s="316"/>
      <c r="AO376" s="316"/>
      <c r="AP376" s="316"/>
      <c r="AQ376" s="316"/>
      <c r="AR376" s="316"/>
      <c r="AS376" s="316"/>
      <c r="AT376" s="316"/>
      <c r="AU376" s="316"/>
      <c r="AV376" s="316"/>
      <c r="AW376" s="316"/>
      <c r="AX376" s="316"/>
      <c r="AY376" s="316"/>
      <c r="AZ376" s="316"/>
      <c r="BA376" s="316"/>
      <c r="BB376" s="316"/>
      <c r="BC376" s="316"/>
      <c r="BD376" s="316"/>
      <c r="BE376" s="316"/>
      <c r="BF376" s="316"/>
      <c r="BG376" s="316"/>
      <c r="BH376" s="316"/>
      <c r="BI376" s="316"/>
      <c r="BJ376" s="316"/>
      <c r="BK376" s="316"/>
      <c r="BL376" s="316"/>
      <c r="BM376" s="316"/>
      <c r="BN376" s="316"/>
      <c r="BO376" s="316"/>
      <c r="BP376" s="316"/>
      <c r="BQ376" s="316"/>
      <c r="BR376" s="316"/>
      <c r="BS376" s="316"/>
      <c r="BT376" s="316"/>
      <c r="BU376" s="316"/>
      <c r="BV376" s="316"/>
      <c r="BW376" s="316"/>
      <c r="BX376" s="316"/>
      <c r="BY376" s="316"/>
      <c r="BZ376" s="316"/>
      <c r="CA376" s="316"/>
      <c r="CB376" s="316"/>
      <c r="CC376" s="316"/>
      <c r="CD376" s="316"/>
      <c r="CE376" s="317">
        <v>0</v>
      </c>
      <c r="CF376" s="316">
        <v>0</v>
      </c>
      <c r="CG376" s="316">
        <v>0</v>
      </c>
      <c r="CH376" s="316">
        <v>0</v>
      </c>
      <c r="CI376" s="316">
        <v>0</v>
      </c>
      <c r="CJ376" s="316">
        <v>0</v>
      </c>
      <c r="CK376" s="316">
        <v>0</v>
      </c>
      <c r="CL376" s="316">
        <v>0</v>
      </c>
      <c r="CM376" s="316">
        <v>0</v>
      </c>
      <c r="CN376" s="316">
        <v>0</v>
      </c>
      <c r="CO376" s="316">
        <v>0</v>
      </c>
      <c r="CP376" s="318">
        <v>0</v>
      </c>
      <c r="CQ376" s="316">
        <v>0</v>
      </c>
      <c r="CR376" s="316">
        <v>0</v>
      </c>
      <c r="CS376" s="316">
        <v>0</v>
      </c>
      <c r="CT376" s="316">
        <v>0</v>
      </c>
      <c r="CU376" s="316">
        <v>0</v>
      </c>
      <c r="CV376" s="316">
        <v>0</v>
      </c>
      <c r="CW376" s="316">
        <v>0</v>
      </c>
      <c r="CX376" s="316">
        <v>0</v>
      </c>
      <c r="CY376" s="316">
        <v>0</v>
      </c>
      <c r="CZ376" s="316">
        <v>0</v>
      </c>
      <c r="DA376" s="316">
        <v>0</v>
      </c>
      <c r="DB376" s="1498">
        <v>0</v>
      </c>
      <c r="DC376" s="316">
        <v>0</v>
      </c>
      <c r="DD376" s="316">
        <v>0</v>
      </c>
      <c r="DE376" s="316">
        <v>0</v>
      </c>
      <c r="DF376" s="316">
        <v>0</v>
      </c>
      <c r="DG376" s="316">
        <v>0</v>
      </c>
      <c r="DH376" s="316">
        <v>0</v>
      </c>
      <c r="DI376" s="316">
        <v>0</v>
      </c>
      <c r="DJ376" s="316">
        <v>0</v>
      </c>
      <c r="DK376" s="316">
        <v>0</v>
      </c>
      <c r="DL376" s="316">
        <v>0</v>
      </c>
      <c r="DM376" s="316">
        <v>0</v>
      </c>
      <c r="DN376" s="318">
        <v>0</v>
      </c>
      <c r="DO376" s="316">
        <v>0</v>
      </c>
      <c r="DP376" s="316">
        <v>0</v>
      </c>
      <c r="DQ376" s="316">
        <v>0</v>
      </c>
      <c r="DR376" s="316">
        <v>0</v>
      </c>
      <c r="DS376" s="316">
        <v>0</v>
      </c>
      <c r="DT376" s="316">
        <v>0</v>
      </c>
      <c r="DU376" s="316">
        <v>0</v>
      </c>
      <c r="DV376" s="316">
        <v>0</v>
      </c>
      <c r="DW376" s="316">
        <v>0</v>
      </c>
      <c r="DX376" s="316">
        <v>0</v>
      </c>
      <c r="DY376" s="316">
        <v>0</v>
      </c>
      <c r="DZ376" s="318">
        <v>0</v>
      </c>
      <c r="EA376" s="316">
        <v>0</v>
      </c>
      <c r="EB376" s="316">
        <v>0</v>
      </c>
      <c r="EC376" s="316">
        <v>0</v>
      </c>
      <c r="ED376" s="316">
        <v>0</v>
      </c>
      <c r="EE376" s="316">
        <v>0</v>
      </c>
      <c r="EF376" s="316">
        <v>0</v>
      </c>
      <c r="EG376" s="316">
        <v>0</v>
      </c>
      <c r="EH376" s="316">
        <v>0</v>
      </c>
      <c r="EI376" s="316">
        <v>0</v>
      </c>
      <c r="EJ376" s="316">
        <v>0</v>
      </c>
      <c r="EK376" s="316">
        <v>0</v>
      </c>
      <c r="EL376" s="318">
        <v>0</v>
      </c>
      <c r="EM376" s="316">
        <v>0.446381417</v>
      </c>
      <c r="EN376" s="316">
        <v>0.37882296199999999</v>
      </c>
      <c r="EO376" s="316">
        <v>0.43899298399999997</v>
      </c>
      <c r="EP376" s="316">
        <v>0.41913514200000002</v>
      </c>
      <c r="EQ376" s="316">
        <v>0.37956826100000002</v>
      </c>
      <c r="ER376" s="316">
        <v>0.46952987499999999</v>
      </c>
      <c r="ES376" s="316">
        <v>0.37303118600000001</v>
      </c>
      <c r="ET376" s="316">
        <v>0.39464575600000001</v>
      </c>
      <c r="EU376" s="316">
        <v>0.38522885299999998</v>
      </c>
      <c r="EV376" s="316">
        <v>0.31141468500000002</v>
      </c>
      <c r="EW376" s="316">
        <v>0.36140069600000002</v>
      </c>
      <c r="EX376" s="318">
        <v>0.37888442500000002</v>
      </c>
      <c r="EY376" s="316">
        <v>0.51871818599999997</v>
      </c>
      <c r="EZ376" s="316">
        <v>0.22977841800000001</v>
      </c>
      <c r="FA376" s="316">
        <v>0.27064160799999998</v>
      </c>
      <c r="FB376" s="316">
        <v>0.26163894700000001</v>
      </c>
      <c r="FC376" s="316">
        <v>0.27110313200000002</v>
      </c>
      <c r="FD376" s="316">
        <v>0.37119655600000001</v>
      </c>
      <c r="FE376" s="316">
        <v>0.29190637000000003</v>
      </c>
      <c r="FF376" s="316">
        <v>0.27305763599999999</v>
      </c>
      <c r="FG376" s="316">
        <v>0.247673007</v>
      </c>
      <c r="FH376" s="316">
        <v>0.21923471899999999</v>
      </c>
      <c r="FI376" s="316">
        <v>0.260766636</v>
      </c>
      <c r="FJ376" s="318">
        <v>8.8443065000000001E-2</v>
      </c>
      <c r="FK376" s="316">
        <v>0.66179053300000001</v>
      </c>
      <c r="FL376" s="316">
        <v>0.28859525699999999</v>
      </c>
      <c r="FM376" s="316">
        <v>0.26740475367526595</v>
      </c>
      <c r="FN376" s="316">
        <v>0.57306735435044331</v>
      </c>
      <c r="FO376" s="316">
        <v>0.25577981306733133</v>
      </c>
      <c r="FP376" s="316">
        <v>0.30986618568793678</v>
      </c>
      <c r="FQ376" s="316">
        <v>0.35597687742169737</v>
      </c>
      <c r="FR376" s="316">
        <v>0.22607266971641143</v>
      </c>
      <c r="FS376" s="316">
        <v>0.41568007396473755</v>
      </c>
      <c r="FT376" s="316">
        <v>0.54768039417156322</v>
      </c>
      <c r="FU376" s="316">
        <v>0.41151958354967971</v>
      </c>
      <c r="FV376" s="316">
        <v>0.67901031131633072</v>
      </c>
      <c r="FW376" s="316">
        <v>0.24054575185214569</v>
      </c>
      <c r="FX376" s="316">
        <v>0.13602956381610412</v>
      </c>
      <c r="FY376" s="316">
        <v>0.1281658408561796</v>
      </c>
      <c r="FZ376" s="316">
        <v>1.394870656698409</v>
      </c>
      <c r="GA376" s="316">
        <v>1.5214866952370725</v>
      </c>
      <c r="GB376" s="316">
        <v>1.3287745824178832</v>
      </c>
      <c r="GC376" s="316">
        <v>1.1531979933135186</v>
      </c>
      <c r="GD376" s="316">
        <v>0.89835558173760088</v>
      </c>
      <c r="GE376" s="316">
        <v>1.7016470251771298</v>
      </c>
      <c r="GF376" s="316">
        <v>0</v>
      </c>
      <c r="GG376" s="316">
        <v>0</v>
      </c>
      <c r="GH376" s="316">
        <v>0</v>
      </c>
      <c r="GI376" s="316">
        <v>0.8642167795847977</v>
      </c>
      <c r="GJ376" s="316">
        <v>0.71963591008005778</v>
      </c>
      <c r="GK376" s="316">
        <v>0.79460853874446669</v>
      </c>
      <c r="GL376" s="316">
        <v>0.57726994399999998</v>
      </c>
      <c r="GM376" s="316">
        <v>0.65711970896614547</v>
      </c>
      <c r="GN376" s="316">
        <v>0.94473459552628036</v>
      </c>
      <c r="GO376" s="316">
        <v>0.92112927465790972</v>
      </c>
      <c r="GP376" s="316">
        <v>0.58582094100000004</v>
      </c>
      <c r="GQ376" s="316">
        <v>0.74207446050795989</v>
      </c>
      <c r="GR376" s="316">
        <v>0.86915917700000001</v>
      </c>
      <c r="GS376" s="316">
        <v>0.67513587399999997</v>
      </c>
      <c r="GT376" s="316">
        <v>0.80243583699999999</v>
      </c>
      <c r="GU376" s="316">
        <v>1.011663347</v>
      </c>
      <c r="GV376" s="316">
        <v>0.78472907800000002</v>
      </c>
      <c r="GW376" s="316">
        <v>0.75161099099999995</v>
      </c>
      <c r="GX376" s="316">
        <v>0.88314895599999998</v>
      </c>
      <c r="GY376" s="316">
        <v>0.80880610600000002</v>
      </c>
      <c r="GZ376" s="316">
        <v>0.70619573199999996</v>
      </c>
      <c r="HA376" s="316">
        <v>0.97852411800000005</v>
      </c>
      <c r="HB376" s="316">
        <v>0.996369587</v>
      </c>
      <c r="HC376" s="316">
        <v>0.72881396499999995</v>
      </c>
      <c r="HD376" s="316">
        <v>1.2329180639999999</v>
      </c>
      <c r="HE376" s="316">
        <v>0.94343527400000005</v>
      </c>
      <c r="HF376" s="316">
        <v>1.0402316170000001</v>
      </c>
      <c r="HG376" s="316">
        <v>1.326409857</v>
      </c>
      <c r="HH376" s="316">
        <v>0.761712944</v>
      </c>
      <c r="HI376" s="316">
        <v>2.3301021000000002E-2</v>
      </c>
      <c r="HJ376" s="316">
        <v>9.1283399999999995E-4</v>
      </c>
      <c r="HK376" s="316">
        <v>1.4208924E-2</v>
      </c>
      <c r="HL376" s="316">
        <v>1.3695281E-2</v>
      </c>
      <c r="HM376" s="316"/>
      <c r="KH376" s="303"/>
    </row>
    <row r="377" spans="1:294" outlineLevel="1">
      <c r="A377" s="117" t="s">
        <v>395</v>
      </c>
      <c r="B377" s="117" t="s">
        <v>361</v>
      </c>
      <c r="D377" s="343" t="s">
        <v>549</v>
      </c>
      <c r="E377" s="316"/>
      <c r="F377" s="316"/>
      <c r="G377" s="316"/>
      <c r="H377" s="316"/>
      <c r="I377" s="316"/>
      <c r="J377" s="316"/>
      <c r="K377" s="316"/>
      <c r="L377" s="316"/>
      <c r="M377" s="316"/>
      <c r="N377" s="316"/>
      <c r="O377" s="316"/>
      <c r="P377" s="316"/>
      <c r="Q377" s="316"/>
      <c r="R377" s="316"/>
      <c r="S377" s="316"/>
      <c r="T377" s="316"/>
      <c r="U377" s="316"/>
      <c r="V377" s="316"/>
      <c r="W377" s="316"/>
      <c r="X377" s="316"/>
      <c r="Y377" s="316"/>
      <c r="Z377" s="316"/>
      <c r="AA377" s="316"/>
      <c r="AB377" s="316"/>
      <c r="AC377" s="316"/>
      <c r="AD377" s="316"/>
      <c r="AE377" s="316"/>
      <c r="AF377" s="316"/>
      <c r="AG377" s="316"/>
      <c r="AH377" s="316"/>
      <c r="AI377" s="316"/>
      <c r="AJ377" s="316"/>
      <c r="AK377" s="316"/>
      <c r="AL377" s="316"/>
      <c r="AM377" s="316"/>
      <c r="AN377" s="316"/>
      <c r="AO377" s="316"/>
      <c r="AP377" s="316"/>
      <c r="AQ377" s="316"/>
      <c r="AR377" s="316"/>
      <c r="AS377" s="316"/>
      <c r="AT377" s="316"/>
      <c r="AU377" s="316"/>
      <c r="AV377" s="316"/>
      <c r="AW377" s="316"/>
      <c r="AX377" s="316"/>
      <c r="AY377" s="316"/>
      <c r="AZ377" s="316"/>
      <c r="BA377" s="316"/>
      <c r="BB377" s="316"/>
      <c r="BC377" s="316"/>
      <c r="BD377" s="316"/>
      <c r="BE377" s="316"/>
      <c r="BF377" s="316"/>
      <c r="BG377" s="316"/>
      <c r="BH377" s="316"/>
      <c r="BI377" s="316"/>
      <c r="BJ377" s="316"/>
      <c r="BK377" s="316"/>
      <c r="BL377" s="316"/>
      <c r="BM377" s="316"/>
      <c r="BN377" s="316"/>
      <c r="BO377" s="316"/>
      <c r="BP377" s="316"/>
      <c r="BQ377" s="316"/>
      <c r="BR377" s="316"/>
      <c r="BS377" s="316"/>
      <c r="BT377" s="316"/>
      <c r="BU377" s="316"/>
      <c r="BV377" s="316"/>
      <c r="BW377" s="316"/>
      <c r="BX377" s="316"/>
      <c r="BY377" s="316"/>
      <c r="BZ377" s="316"/>
      <c r="CA377" s="316"/>
      <c r="CB377" s="316"/>
      <c r="CC377" s="316"/>
      <c r="CD377" s="316"/>
      <c r="CE377" s="317">
        <v>1.6167831411972675</v>
      </c>
      <c r="CF377" s="316">
        <v>3.6882050805727848</v>
      </c>
      <c r="CG377" s="316">
        <v>1.5499662068934397</v>
      </c>
      <c r="CH377" s="316">
        <v>26.117188124450227</v>
      </c>
      <c r="CI377" s="316">
        <v>1.7346709986247237</v>
      </c>
      <c r="CJ377" s="316">
        <v>14.8250584171328</v>
      </c>
      <c r="CK377" s="316">
        <v>1.5574821470250453</v>
      </c>
      <c r="CL377" s="316">
        <v>4.5251111390830721</v>
      </c>
      <c r="CM377" s="316">
        <v>20.497836527856215</v>
      </c>
      <c r="CN377" s="316">
        <v>1.5607754299173602</v>
      </c>
      <c r="CO377" s="316">
        <v>2.9002088036995914</v>
      </c>
      <c r="CP377" s="318">
        <v>21.072294191219871</v>
      </c>
      <c r="CQ377" s="316">
        <v>1.3976488369</v>
      </c>
      <c r="CR377" s="316">
        <v>2.1886302990962498</v>
      </c>
      <c r="CS377" s="316">
        <v>1.7718507181900001</v>
      </c>
      <c r="CT377" s="316">
        <v>13.24638598783687</v>
      </c>
      <c r="CU377" s="316">
        <v>2.15872342799479</v>
      </c>
      <c r="CV377" s="316">
        <v>18.838668766725746</v>
      </c>
      <c r="CW377" s="316">
        <v>4.431410708191196</v>
      </c>
      <c r="CX377" s="316">
        <v>2.0922114548600002</v>
      </c>
      <c r="CY377" s="316">
        <v>40.092281139967852</v>
      </c>
      <c r="CZ377" s="316">
        <v>20.010567568988449</v>
      </c>
      <c r="DA377" s="316">
        <v>3.7238746661192943</v>
      </c>
      <c r="DB377" s="1498">
        <v>18.278076595324237</v>
      </c>
      <c r="DC377" s="316">
        <v>3.1417062895308541</v>
      </c>
      <c r="DD377" s="316">
        <v>1.9695306210000001</v>
      </c>
      <c r="DE377" s="316">
        <v>12.773169391189322</v>
      </c>
      <c r="DF377" s="316">
        <v>25.440255474577558</v>
      </c>
      <c r="DG377" s="316">
        <v>2.3677145880000001</v>
      </c>
      <c r="DH377" s="316">
        <v>28.26765921730631</v>
      </c>
      <c r="DI377" s="316">
        <v>4.4783868162208949</v>
      </c>
      <c r="DJ377" s="316">
        <v>2.8081349970333327</v>
      </c>
      <c r="DK377" s="316">
        <v>39.258440578257918</v>
      </c>
      <c r="DL377" s="316">
        <v>5.1262327768414773</v>
      </c>
      <c r="DM377" s="316">
        <v>5.6073429452304433</v>
      </c>
      <c r="DN377" s="318">
        <v>25.829674571258462</v>
      </c>
      <c r="DO377" s="316">
        <v>4.0942054783773099</v>
      </c>
      <c r="DP377" s="316">
        <v>5.4135775290166368</v>
      </c>
      <c r="DQ377" s="316">
        <v>35.250741832944399</v>
      </c>
      <c r="DR377" s="316">
        <v>9.504193312803924</v>
      </c>
      <c r="DS377" s="316">
        <v>5.3330825097904846</v>
      </c>
      <c r="DT377" s="316">
        <v>37.063371463442813</v>
      </c>
      <c r="DU377" s="316">
        <v>5.6997514422082549</v>
      </c>
      <c r="DV377" s="316">
        <v>4.9474619458595495</v>
      </c>
      <c r="DW377" s="316">
        <v>36.400695935424416</v>
      </c>
      <c r="DX377" s="316">
        <v>5.5610277849819187</v>
      </c>
      <c r="DY377" s="316">
        <v>5.4410584619438662</v>
      </c>
      <c r="DZ377" s="318">
        <v>35.784775285212312</v>
      </c>
      <c r="EA377" s="316">
        <v>4.7554075989988913</v>
      </c>
      <c r="EB377" s="316">
        <v>4.9659967040266864</v>
      </c>
      <c r="EC377" s="316">
        <v>25.082252679340424</v>
      </c>
      <c r="ED377" s="316">
        <v>25.776118284825365</v>
      </c>
      <c r="EE377" s="316">
        <v>6.0602861280016933</v>
      </c>
      <c r="EF377" s="316">
        <v>45.990391915313971</v>
      </c>
      <c r="EG377" s="316">
        <v>8.1139350526579435</v>
      </c>
      <c r="EH377" s="316">
        <v>5.6205062631854821</v>
      </c>
      <c r="EI377" s="316">
        <v>20.005206643771992</v>
      </c>
      <c r="EJ377" s="316">
        <v>33.529927566531427</v>
      </c>
      <c r="EK377" s="316">
        <v>13.771535683664935</v>
      </c>
      <c r="EL377" s="318">
        <v>24.122196044097482</v>
      </c>
      <c r="EM377" s="316">
        <v>7.0424960199999997</v>
      </c>
      <c r="EN377" s="316">
        <v>40.464186559381403</v>
      </c>
      <c r="EO377" s="316">
        <v>44.179945981361605</v>
      </c>
      <c r="EP377" s="316">
        <v>18.138247947212012</v>
      </c>
      <c r="EQ377" s="316">
        <v>9.2314383583090489</v>
      </c>
      <c r="ER377" s="316">
        <v>32.580119317447398</v>
      </c>
      <c r="ES377" s="316">
        <v>9.9737168579999906</v>
      </c>
      <c r="ET377" s="316">
        <v>5.4445251651</v>
      </c>
      <c r="EU377" s="316">
        <v>41.373921715999998</v>
      </c>
      <c r="EV377" s="316">
        <v>15.78809663783689</v>
      </c>
      <c r="EW377" s="316">
        <v>6.6842101419999995</v>
      </c>
      <c r="EX377" s="318">
        <v>23.707248927999999</v>
      </c>
      <c r="EY377" s="316">
        <v>6.6932532325704042</v>
      </c>
      <c r="EZ377" s="316">
        <v>18.554647278281998</v>
      </c>
      <c r="FA377" s="316">
        <v>41.627558053227887</v>
      </c>
      <c r="FB377" s="316">
        <v>38.38300759809718</v>
      </c>
      <c r="FC377" s="316">
        <v>6.8850920704863805</v>
      </c>
      <c r="FD377" s="316">
        <v>36.049170045379327</v>
      </c>
      <c r="FE377" s="316">
        <v>12.075919238000001</v>
      </c>
      <c r="FF377" s="316">
        <v>6.7709654623431845</v>
      </c>
      <c r="FG377" s="316">
        <v>10.011704121280001</v>
      </c>
      <c r="FH377" s="316">
        <v>17.026678205514109</v>
      </c>
      <c r="FI377" s="316">
        <v>36.479603600361024</v>
      </c>
      <c r="FJ377" s="318">
        <v>8.9335278420674644</v>
      </c>
      <c r="FK377" s="316">
        <v>5.4905550594923902</v>
      </c>
      <c r="FL377" s="316">
        <v>6.2787814167982532</v>
      </c>
      <c r="FM377" s="316">
        <v>83.458812788193399</v>
      </c>
      <c r="FN377" s="316">
        <v>8.3265681001028167</v>
      </c>
      <c r="FO377" s="316">
        <v>8.8591909554926929</v>
      </c>
      <c r="FP377" s="316">
        <v>58.91475530991125</v>
      </c>
      <c r="FQ377" s="316">
        <v>5.8595706443440356</v>
      </c>
      <c r="FR377" s="316">
        <v>6.2599139299738091</v>
      </c>
      <c r="FS377" s="316">
        <v>9.4871765382705071</v>
      </c>
      <c r="FT377" s="316">
        <v>55.644611207796316</v>
      </c>
      <c r="FU377" s="316">
        <v>7.1824640136957143</v>
      </c>
      <c r="FV377" s="316">
        <v>45.591714286455286</v>
      </c>
      <c r="FW377" s="316">
        <v>5.6655055174853022</v>
      </c>
      <c r="FX377" s="316">
        <v>6.2887759753053363</v>
      </c>
      <c r="FY377" s="316">
        <v>58.373979038208603</v>
      </c>
      <c r="FZ377" s="316">
        <v>14.239249687379989</v>
      </c>
      <c r="GA377" s="316">
        <v>55.523537706356599</v>
      </c>
      <c r="GB377" s="316">
        <v>21.796173973252806</v>
      </c>
      <c r="GC377" s="316">
        <v>12.081231768389062</v>
      </c>
      <c r="GD377" s="316">
        <v>44.661561328771228</v>
      </c>
      <c r="GE377" s="316">
        <v>16.396063073699835</v>
      </c>
      <c r="GF377" s="316">
        <v>27.358875574197342</v>
      </c>
      <c r="GG377" s="316">
        <v>7.9164675246468104</v>
      </c>
      <c r="GH377" s="316">
        <v>58.361683088513075</v>
      </c>
      <c r="GI377" s="316">
        <v>9.8596502289075616</v>
      </c>
      <c r="GJ377" s="316">
        <v>9.9968046967865281</v>
      </c>
      <c r="GK377" s="316">
        <v>53.533450637127352</v>
      </c>
      <c r="GL377" s="316">
        <v>14.333028802406302</v>
      </c>
      <c r="GM377" s="316">
        <v>15.093809356477131</v>
      </c>
      <c r="GN377" s="316">
        <v>56.873159462766402</v>
      </c>
      <c r="GO377" s="316">
        <v>17.250100366304356</v>
      </c>
      <c r="GP377" s="316">
        <v>14.793392160612864</v>
      </c>
      <c r="GQ377" s="316">
        <v>59.605681422716977</v>
      </c>
      <c r="GR377" s="316">
        <v>12.331705050066665</v>
      </c>
      <c r="GS377" s="316">
        <v>13.634477371386666</v>
      </c>
      <c r="GT377" s="316">
        <v>44.025331526085537</v>
      </c>
      <c r="GU377" s="316">
        <v>10.725449950520662</v>
      </c>
      <c r="GV377" s="316">
        <v>18.292511232904008</v>
      </c>
      <c r="GW377" s="316">
        <v>98.30599488412571</v>
      </c>
      <c r="GX377" s="316">
        <v>9.93325176912</v>
      </c>
      <c r="GY377" s="316">
        <v>11.446578424230001</v>
      </c>
      <c r="GZ377" s="316">
        <v>86.049504158581627</v>
      </c>
      <c r="HA377" s="316">
        <v>10.54084457327</v>
      </c>
      <c r="HB377" s="316">
        <v>17.166397923217019</v>
      </c>
      <c r="HC377" s="316">
        <v>42.109037957926915</v>
      </c>
      <c r="HD377" s="316">
        <v>43.848020775653893</v>
      </c>
      <c r="HE377" s="316">
        <v>13.317024965192294</v>
      </c>
      <c r="HF377" s="316">
        <v>33.61055604821896</v>
      </c>
      <c r="HG377" s="316">
        <v>35.068585017825903</v>
      </c>
      <c r="HH377" s="316">
        <v>9.9394322954332726</v>
      </c>
      <c r="HI377" s="316">
        <v>83.885068981852783</v>
      </c>
      <c r="HJ377" s="316">
        <v>10.554418169950001</v>
      </c>
      <c r="HK377" s="316">
        <v>9.5265210894300001</v>
      </c>
      <c r="HL377" s="316">
        <v>80.824137047996999</v>
      </c>
      <c r="HM377" s="316"/>
      <c r="KH377" s="303"/>
    </row>
    <row r="378" spans="1:294" outlineLevel="1">
      <c r="A378" s="117" t="s">
        <v>395</v>
      </c>
      <c r="B378" s="117" t="s">
        <v>361</v>
      </c>
      <c r="D378" s="344" t="s">
        <v>550</v>
      </c>
      <c r="E378" s="316"/>
      <c r="F378" s="316"/>
      <c r="G378" s="316"/>
      <c r="H378" s="316"/>
      <c r="I378" s="316"/>
      <c r="J378" s="316"/>
      <c r="K378" s="316"/>
      <c r="L378" s="316"/>
      <c r="M378" s="316"/>
      <c r="N378" s="316"/>
      <c r="O378" s="316"/>
      <c r="P378" s="316"/>
      <c r="Q378" s="316"/>
      <c r="R378" s="316"/>
      <c r="S378" s="316"/>
      <c r="T378" s="316"/>
      <c r="U378" s="316"/>
      <c r="V378" s="316"/>
      <c r="W378" s="316"/>
      <c r="X378" s="316"/>
      <c r="Y378" s="316"/>
      <c r="Z378" s="316"/>
      <c r="AA378" s="316"/>
      <c r="AB378" s="316"/>
      <c r="AC378" s="316"/>
      <c r="AD378" s="316"/>
      <c r="AE378" s="316"/>
      <c r="AF378" s="316"/>
      <c r="AG378" s="316"/>
      <c r="AH378" s="316"/>
      <c r="AI378" s="316"/>
      <c r="AJ378" s="316"/>
      <c r="AK378" s="316"/>
      <c r="AL378" s="316"/>
      <c r="AM378" s="316"/>
      <c r="AN378" s="316"/>
      <c r="AO378" s="316"/>
      <c r="AP378" s="316"/>
      <c r="AQ378" s="316"/>
      <c r="AR378" s="316"/>
      <c r="AS378" s="316"/>
      <c r="AT378" s="316"/>
      <c r="AU378" s="316"/>
      <c r="AV378" s="316"/>
      <c r="AW378" s="316"/>
      <c r="AX378" s="316"/>
      <c r="AY378" s="316"/>
      <c r="AZ378" s="316"/>
      <c r="BA378" s="316"/>
      <c r="BB378" s="316"/>
      <c r="BC378" s="316"/>
      <c r="BD378" s="316"/>
      <c r="BE378" s="316"/>
      <c r="BF378" s="316"/>
      <c r="BG378" s="316"/>
      <c r="BH378" s="316"/>
      <c r="BI378" s="316"/>
      <c r="BJ378" s="316"/>
      <c r="BK378" s="316"/>
      <c r="BL378" s="316"/>
      <c r="BM378" s="316"/>
      <c r="BN378" s="316"/>
      <c r="BO378" s="316"/>
      <c r="BP378" s="316"/>
      <c r="BQ378" s="316"/>
      <c r="BR378" s="316"/>
      <c r="BS378" s="316"/>
      <c r="BT378" s="316"/>
      <c r="BU378" s="316"/>
      <c r="BV378" s="316"/>
      <c r="BW378" s="316"/>
      <c r="BX378" s="316"/>
      <c r="BY378" s="316"/>
      <c r="BZ378" s="316"/>
      <c r="CA378" s="316"/>
      <c r="CB378" s="316"/>
      <c r="CC378" s="316"/>
      <c r="CD378" s="316"/>
      <c r="CE378" s="317">
        <v>0</v>
      </c>
      <c r="CF378" s="316">
        <v>0</v>
      </c>
      <c r="CG378" s="316">
        <v>0</v>
      </c>
      <c r="CH378" s="316">
        <v>0</v>
      </c>
      <c r="CI378" s="316">
        <v>0</v>
      </c>
      <c r="CJ378" s="316">
        <v>0</v>
      </c>
      <c r="CK378" s="316">
        <v>0</v>
      </c>
      <c r="CL378" s="316">
        <v>0</v>
      </c>
      <c r="CM378" s="316">
        <v>0</v>
      </c>
      <c r="CN378" s="316">
        <v>0</v>
      </c>
      <c r="CO378" s="316">
        <v>0</v>
      </c>
      <c r="CP378" s="318">
        <v>0</v>
      </c>
      <c r="CQ378" s="316">
        <v>0</v>
      </c>
      <c r="CR378" s="316">
        <v>0</v>
      </c>
      <c r="CS378" s="316">
        <v>0</v>
      </c>
      <c r="CT378" s="316">
        <v>0</v>
      </c>
      <c r="CU378" s="316">
        <v>0</v>
      </c>
      <c r="CV378" s="316">
        <v>0</v>
      </c>
      <c r="CW378" s="316">
        <v>0</v>
      </c>
      <c r="CX378" s="316">
        <v>0</v>
      </c>
      <c r="CY378" s="316">
        <v>0</v>
      </c>
      <c r="CZ378" s="316">
        <v>0</v>
      </c>
      <c r="DA378" s="316">
        <v>0</v>
      </c>
      <c r="DB378" s="1498">
        <v>0</v>
      </c>
      <c r="DC378" s="316">
        <v>0</v>
      </c>
      <c r="DD378" s="316">
        <v>0</v>
      </c>
      <c r="DE378" s="316">
        <v>0</v>
      </c>
      <c r="DF378" s="316">
        <v>0</v>
      </c>
      <c r="DG378" s="316">
        <v>0</v>
      </c>
      <c r="DH378" s="316">
        <v>0</v>
      </c>
      <c r="DI378" s="316">
        <v>0</v>
      </c>
      <c r="DJ378" s="316">
        <v>0</v>
      </c>
      <c r="DK378" s="316">
        <v>0</v>
      </c>
      <c r="DL378" s="316">
        <v>0</v>
      </c>
      <c r="DM378" s="316">
        <v>0</v>
      </c>
      <c r="DN378" s="318">
        <v>0</v>
      </c>
      <c r="DO378" s="316">
        <v>0</v>
      </c>
      <c r="DP378" s="316">
        <v>0</v>
      </c>
      <c r="DQ378" s="316">
        <v>0</v>
      </c>
      <c r="DR378" s="316">
        <v>0</v>
      </c>
      <c r="DS378" s="316">
        <v>0</v>
      </c>
      <c r="DT378" s="316">
        <v>0</v>
      </c>
      <c r="DU378" s="316">
        <v>0</v>
      </c>
      <c r="DV378" s="316">
        <v>0</v>
      </c>
      <c r="DW378" s="316">
        <v>0</v>
      </c>
      <c r="DX378" s="316">
        <v>0</v>
      </c>
      <c r="DY378" s="316">
        <v>0</v>
      </c>
      <c r="DZ378" s="318">
        <v>0</v>
      </c>
      <c r="EA378" s="316">
        <v>0</v>
      </c>
      <c r="EB378" s="316">
        <v>0</v>
      </c>
      <c r="EC378" s="316">
        <v>0</v>
      </c>
      <c r="ED378" s="316">
        <v>0</v>
      </c>
      <c r="EE378" s="316">
        <v>0</v>
      </c>
      <c r="EF378" s="316">
        <v>0</v>
      </c>
      <c r="EG378" s="316">
        <v>0</v>
      </c>
      <c r="EH378" s="316">
        <v>0</v>
      </c>
      <c r="EI378" s="316">
        <v>0</v>
      </c>
      <c r="EJ378" s="316">
        <v>0</v>
      </c>
      <c r="EK378" s="316">
        <v>0</v>
      </c>
      <c r="EL378" s="318">
        <v>0</v>
      </c>
      <c r="EM378" s="316">
        <v>0</v>
      </c>
      <c r="EN378" s="316">
        <v>0</v>
      </c>
      <c r="EO378" s="316">
        <v>0</v>
      </c>
      <c r="EP378" s="316">
        <v>0</v>
      </c>
      <c r="EQ378" s="316">
        <v>0</v>
      </c>
      <c r="ER378" s="316">
        <v>0</v>
      </c>
      <c r="ES378" s="316">
        <v>0</v>
      </c>
      <c r="ET378" s="316">
        <v>0</v>
      </c>
      <c r="EU378" s="316">
        <v>0</v>
      </c>
      <c r="EV378" s="316">
        <v>0</v>
      </c>
      <c r="EW378" s="316">
        <v>0</v>
      </c>
      <c r="EX378" s="318">
        <v>0</v>
      </c>
      <c r="EY378" s="316">
        <v>0</v>
      </c>
      <c r="EZ378" s="316">
        <v>0</v>
      </c>
      <c r="FA378" s="316">
        <v>0</v>
      </c>
      <c r="FB378" s="316">
        <v>0</v>
      </c>
      <c r="FC378" s="316">
        <v>0</v>
      </c>
      <c r="FD378" s="316">
        <v>0</v>
      </c>
      <c r="FE378" s="316">
        <v>0</v>
      </c>
      <c r="FF378" s="316">
        <v>0</v>
      </c>
      <c r="FG378" s="316">
        <v>0</v>
      </c>
      <c r="FH378" s="316">
        <v>0</v>
      </c>
      <c r="FI378" s="316">
        <v>0</v>
      </c>
      <c r="FJ378" s="318">
        <v>0</v>
      </c>
      <c r="FK378" s="316">
        <v>0</v>
      </c>
      <c r="FL378" s="316">
        <v>0</v>
      </c>
      <c r="FM378" s="316">
        <v>0</v>
      </c>
      <c r="FN378" s="316">
        <v>0</v>
      </c>
      <c r="FO378" s="316">
        <v>0</v>
      </c>
      <c r="FP378" s="316">
        <v>0</v>
      </c>
      <c r="FQ378" s="316">
        <v>0</v>
      </c>
      <c r="FR378" s="316">
        <v>0</v>
      </c>
      <c r="FS378" s="316">
        <v>0</v>
      </c>
      <c r="FT378" s="316">
        <v>0</v>
      </c>
      <c r="FU378" s="316">
        <v>0</v>
      </c>
      <c r="FV378" s="316">
        <v>0</v>
      </c>
      <c r="FW378" s="316">
        <v>0</v>
      </c>
      <c r="FX378" s="316">
        <v>0</v>
      </c>
      <c r="FY378" s="316">
        <v>0</v>
      </c>
      <c r="FZ378" s="316">
        <v>0</v>
      </c>
      <c r="GA378" s="316">
        <v>0</v>
      </c>
      <c r="GB378" s="316">
        <v>0</v>
      </c>
      <c r="GC378" s="316">
        <v>0</v>
      </c>
      <c r="GD378" s="316">
        <v>0</v>
      </c>
      <c r="GE378" s="316">
        <v>0</v>
      </c>
      <c r="GF378" s="316">
        <v>0</v>
      </c>
      <c r="GG378" s="316">
        <v>0</v>
      </c>
      <c r="GH378" s="316">
        <v>0</v>
      </c>
      <c r="GI378" s="316">
        <v>0</v>
      </c>
      <c r="GJ378" s="316">
        <v>0</v>
      </c>
      <c r="GK378" s="316">
        <v>0</v>
      </c>
      <c r="GL378" s="316">
        <v>0</v>
      </c>
      <c r="GM378" s="316">
        <v>0</v>
      </c>
      <c r="GN378" s="316">
        <v>0</v>
      </c>
      <c r="GO378" s="316">
        <v>0</v>
      </c>
      <c r="GP378" s="316">
        <v>0</v>
      </c>
      <c r="GQ378" s="316">
        <v>0</v>
      </c>
      <c r="GR378" s="316">
        <v>0</v>
      </c>
      <c r="GS378" s="316">
        <v>0</v>
      </c>
      <c r="GT378" s="316">
        <v>0</v>
      </c>
      <c r="GU378" s="316">
        <v>0</v>
      </c>
      <c r="GV378" s="316">
        <v>0</v>
      </c>
      <c r="GW378" s="316">
        <v>0</v>
      </c>
      <c r="GX378" s="316">
        <v>0</v>
      </c>
      <c r="GY378" s="316">
        <v>0</v>
      </c>
      <c r="GZ378" s="316">
        <v>0</v>
      </c>
      <c r="HA378" s="316">
        <v>0</v>
      </c>
      <c r="HB378" s="316">
        <v>0</v>
      </c>
      <c r="HC378" s="316">
        <v>0</v>
      </c>
      <c r="HD378" s="316">
        <v>0</v>
      </c>
      <c r="HE378" s="316">
        <v>0</v>
      </c>
      <c r="HF378" s="316">
        <v>0</v>
      </c>
      <c r="HG378" s="316">
        <v>0</v>
      </c>
      <c r="HH378" s="316">
        <v>0</v>
      </c>
      <c r="HI378" s="316">
        <v>0</v>
      </c>
      <c r="HJ378" s="316">
        <v>0</v>
      </c>
      <c r="HK378" s="316">
        <v>0</v>
      </c>
      <c r="HL378" s="316">
        <v>0</v>
      </c>
      <c r="HM378" s="316"/>
      <c r="KH378" s="303"/>
    </row>
    <row r="379" spans="1:294" outlineLevel="1">
      <c r="A379" s="117" t="s">
        <v>395</v>
      </c>
      <c r="B379" s="117" t="s">
        <v>361</v>
      </c>
      <c r="D379" s="344" t="s">
        <v>551</v>
      </c>
      <c r="E379" s="316"/>
      <c r="F379" s="316"/>
      <c r="G379" s="316"/>
      <c r="H379" s="316"/>
      <c r="I379" s="316"/>
      <c r="J379" s="316"/>
      <c r="K379" s="316"/>
      <c r="L379" s="316"/>
      <c r="M379" s="316"/>
      <c r="N379" s="316"/>
      <c r="O379" s="316"/>
      <c r="P379" s="316"/>
      <c r="Q379" s="316"/>
      <c r="R379" s="316"/>
      <c r="S379" s="316"/>
      <c r="T379" s="316"/>
      <c r="U379" s="316"/>
      <c r="V379" s="316"/>
      <c r="W379" s="316"/>
      <c r="X379" s="316"/>
      <c r="Y379" s="316"/>
      <c r="Z379" s="316"/>
      <c r="AA379" s="316"/>
      <c r="AB379" s="316"/>
      <c r="AC379" s="316"/>
      <c r="AD379" s="316"/>
      <c r="AE379" s="316"/>
      <c r="AF379" s="316"/>
      <c r="AG379" s="316"/>
      <c r="AH379" s="316"/>
      <c r="AI379" s="316"/>
      <c r="AJ379" s="316"/>
      <c r="AK379" s="316"/>
      <c r="AL379" s="316"/>
      <c r="AM379" s="316"/>
      <c r="AN379" s="316"/>
      <c r="AO379" s="316"/>
      <c r="AP379" s="316"/>
      <c r="AQ379" s="316"/>
      <c r="AR379" s="316"/>
      <c r="AS379" s="316"/>
      <c r="AT379" s="316"/>
      <c r="AU379" s="316"/>
      <c r="AV379" s="316"/>
      <c r="AW379" s="316"/>
      <c r="AX379" s="316"/>
      <c r="AY379" s="316"/>
      <c r="AZ379" s="316"/>
      <c r="BA379" s="316"/>
      <c r="BB379" s="316"/>
      <c r="BC379" s="316"/>
      <c r="BD379" s="316"/>
      <c r="BE379" s="316"/>
      <c r="BF379" s="316"/>
      <c r="BG379" s="316"/>
      <c r="BH379" s="316"/>
      <c r="BI379" s="316"/>
      <c r="BJ379" s="316"/>
      <c r="BK379" s="316"/>
      <c r="BL379" s="316"/>
      <c r="BM379" s="316"/>
      <c r="BN379" s="316"/>
      <c r="BO379" s="316"/>
      <c r="BP379" s="316"/>
      <c r="BQ379" s="316"/>
      <c r="BR379" s="316"/>
      <c r="BS379" s="316"/>
      <c r="BT379" s="316"/>
      <c r="BU379" s="316"/>
      <c r="BV379" s="316"/>
      <c r="BW379" s="316"/>
      <c r="BX379" s="316"/>
      <c r="BY379" s="316"/>
      <c r="BZ379" s="316"/>
      <c r="CA379" s="316"/>
      <c r="CB379" s="316"/>
      <c r="CC379" s="316"/>
      <c r="CD379" s="316"/>
      <c r="CE379" s="317">
        <v>0.84612021500000001</v>
      </c>
      <c r="CF379" s="316">
        <v>1.239917706</v>
      </c>
      <c r="CG379" s="316">
        <v>0.81163455799999995</v>
      </c>
      <c r="CH379" s="316">
        <v>1.1469411650000001</v>
      </c>
      <c r="CI379" s="316">
        <v>1.0924245699999999</v>
      </c>
      <c r="CJ379" s="316">
        <v>0.91695716599999999</v>
      </c>
      <c r="CK379" s="316">
        <v>0.88386281799999999</v>
      </c>
      <c r="CL379" s="316">
        <v>0.79949821899999995</v>
      </c>
      <c r="CM379" s="316">
        <v>1.094622336</v>
      </c>
      <c r="CN379" s="316">
        <v>0.66101670800000001</v>
      </c>
      <c r="CO379" s="316">
        <v>1.37028259</v>
      </c>
      <c r="CP379" s="318">
        <v>1.239677871</v>
      </c>
      <c r="CQ379" s="316">
        <v>0.75713307200000002</v>
      </c>
      <c r="CR379" s="316">
        <v>0.86384865900000007</v>
      </c>
      <c r="CS379" s="316">
        <v>1.0818581519999999</v>
      </c>
      <c r="CT379" s="316">
        <v>0.94316988899999998</v>
      </c>
      <c r="CU379" s="316">
        <v>1.1399535000000001</v>
      </c>
      <c r="CV379" s="316">
        <v>0.869352397</v>
      </c>
      <c r="CW379" s="316">
        <v>1.0327421210000001</v>
      </c>
      <c r="CX379" s="316">
        <v>0.80614112999999998</v>
      </c>
      <c r="CY379" s="316">
        <v>0.80478576099999999</v>
      </c>
      <c r="CZ379" s="316">
        <v>1.25552967</v>
      </c>
      <c r="DA379" s="316">
        <v>1.2630899390000001</v>
      </c>
      <c r="DB379" s="1498">
        <v>1.595495163</v>
      </c>
      <c r="DC379" s="316">
        <v>2.7323422260000001</v>
      </c>
      <c r="DD379" s="316">
        <v>1.9695306210000001</v>
      </c>
      <c r="DE379" s="316">
        <v>2.9419112730000001</v>
      </c>
      <c r="DF379" s="316">
        <v>2.210264118</v>
      </c>
      <c r="DG379" s="316">
        <v>2.3677145880000001</v>
      </c>
      <c r="DH379" s="316">
        <v>4.6395279880000002</v>
      </c>
      <c r="DI379" s="316">
        <v>3.299215857333333</v>
      </c>
      <c r="DJ379" s="316">
        <v>2.3583743803333328</v>
      </c>
      <c r="DK379" s="316">
        <v>4.6481581993333325</v>
      </c>
      <c r="DL379" s="316">
        <v>2.216913984333333</v>
      </c>
      <c r="DM379" s="316">
        <v>2.4478672073333327</v>
      </c>
      <c r="DN379" s="318">
        <v>0.55133333333333301</v>
      </c>
      <c r="DO379" s="316">
        <v>3.2524888553773099</v>
      </c>
      <c r="DP379" s="316">
        <v>3.446459883927349</v>
      </c>
      <c r="DQ379" s="316">
        <v>3.5689261370808989</v>
      </c>
      <c r="DR379" s="316">
        <v>3.3435633859533533</v>
      </c>
      <c r="DS379" s="316">
        <v>3.5286734867164888</v>
      </c>
      <c r="DT379" s="316">
        <v>7.0173774340976163</v>
      </c>
      <c r="DU379" s="316">
        <v>4.229113230208255</v>
      </c>
      <c r="DV379" s="316">
        <v>4.1098691158595493</v>
      </c>
      <c r="DW379" s="316">
        <v>4.6729895104244159</v>
      </c>
      <c r="DX379" s="316">
        <v>3.8017053499615452</v>
      </c>
      <c r="DY379" s="316">
        <v>4.477257558041666</v>
      </c>
      <c r="DZ379" s="318">
        <v>5.698768663492813</v>
      </c>
      <c r="EA379" s="316">
        <v>3.9136909759988914</v>
      </c>
      <c r="EB379" s="316">
        <v>3.8151139260266862</v>
      </c>
      <c r="EC379" s="316">
        <v>4.1558004443404251</v>
      </c>
      <c r="ED379" s="316">
        <v>4.7867844218253621</v>
      </c>
      <c r="EE379" s="316">
        <v>5.183299164001693</v>
      </c>
      <c r="EF379" s="316">
        <v>7.8901812493139687</v>
      </c>
      <c r="EG379" s="316">
        <v>4.2537307356579444</v>
      </c>
      <c r="EH379" s="316">
        <v>4.018994933185482</v>
      </c>
      <c r="EI379" s="316">
        <v>4.9306483567719921</v>
      </c>
      <c r="EJ379" s="316">
        <v>4.5815354485314277</v>
      </c>
      <c r="EK379" s="316">
        <v>4.032344568664934</v>
      </c>
      <c r="EL379" s="318">
        <v>5.3981107900974807</v>
      </c>
      <c r="EM379" s="316">
        <v>4.9193208039999998</v>
      </c>
      <c r="EN379" s="316">
        <v>4.1769152370000002</v>
      </c>
      <c r="EO379" s="316">
        <v>9.3931258549999992</v>
      </c>
      <c r="EP379" s="316">
        <v>7.2205925710000001</v>
      </c>
      <c r="EQ379" s="316">
        <v>8.1619172199999994</v>
      </c>
      <c r="ER379" s="316">
        <v>12.602468755</v>
      </c>
      <c r="ES379" s="316">
        <v>6.4096278329999903</v>
      </c>
      <c r="ET379" s="316">
        <v>4.5777012901000003</v>
      </c>
      <c r="EU379" s="316">
        <v>10.178172785999999</v>
      </c>
      <c r="EV379" s="316">
        <v>5.7319480469999995</v>
      </c>
      <c r="EW379" s="316">
        <v>5.753748055</v>
      </c>
      <c r="EX379" s="318">
        <v>12.849049871</v>
      </c>
      <c r="EY379" s="316">
        <v>5.262664585000004</v>
      </c>
      <c r="EZ379" s="316">
        <v>4.9105104329999971</v>
      </c>
      <c r="FA379" s="316">
        <v>10.614566404999994</v>
      </c>
      <c r="FB379" s="316">
        <v>5.982973087666668</v>
      </c>
      <c r="FC379" s="316">
        <v>5.0321488136666686</v>
      </c>
      <c r="FD379" s="316">
        <v>13.741639270186663</v>
      </c>
      <c r="FE379" s="316">
        <v>10.973276706</v>
      </c>
      <c r="FF379" s="316">
        <v>5.2036532519400005</v>
      </c>
      <c r="FG379" s="316">
        <v>8.8470259482800007</v>
      </c>
      <c r="FH379" s="316">
        <v>2.0223138180000007</v>
      </c>
      <c r="FI379" s="316">
        <v>4.7078686879999996</v>
      </c>
      <c r="FJ379" s="318">
        <v>8.2387352850674649</v>
      </c>
      <c r="FK379" s="316">
        <v>4.1809635077728302</v>
      </c>
      <c r="FL379" s="316">
        <v>4.344070762522632</v>
      </c>
      <c r="FM379" s="316">
        <v>7.7392183635863887</v>
      </c>
      <c r="FN379" s="316">
        <v>7.1681718182082301</v>
      </c>
      <c r="FO379" s="316">
        <v>4.4930568851904198</v>
      </c>
      <c r="FP379" s="316">
        <v>13.26570507691347</v>
      </c>
      <c r="FQ379" s="316">
        <v>4.775869532086837</v>
      </c>
      <c r="FR379" s="316">
        <v>5.2003298556468467</v>
      </c>
      <c r="FS379" s="316">
        <v>8.2771314033253613</v>
      </c>
      <c r="FT379" s="316">
        <v>1.7569701169257621</v>
      </c>
      <c r="FU379" s="316">
        <v>5.9387130385604241</v>
      </c>
      <c r="FV379" s="316">
        <v>9.8571338504248942</v>
      </c>
      <c r="FW379" s="316">
        <v>4.5564002029239381</v>
      </c>
      <c r="FX379" s="316">
        <v>5.0377439437933438</v>
      </c>
      <c r="FY379" s="316">
        <v>17.27022690215097</v>
      </c>
      <c r="FZ379" s="316">
        <v>13.138111052309924</v>
      </c>
      <c r="GA379" s="316">
        <v>12.167709325778533</v>
      </c>
      <c r="GB379" s="316">
        <v>16.18517118848273</v>
      </c>
      <c r="GC379" s="316">
        <v>10.914465227937068</v>
      </c>
      <c r="GD379" s="316">
        <v>43.632295053877669</v>
      </c>
      <c r="GE379" s="316">
        <v>15.13273897558325</v>
      </c>
      <c r="GF379" s="316">
        <v>2.6328494555600752</v>
      </c>
      <c r="GG379" s="316">
        <v>6.6875427071732885</v>
      </c>
      <c r="GH379" s="316">
        <v>18.959289332746017</v>
      </c>
      <c r="GI379" s="316">
        <v>5.9181546022953997</v>
      </c>
      <c r="GJ379" s="316">
        <v>6.1299909303831379</v>
      </c>
      <c r="GK379" s="316">
        <v>11.704692125427322</v>
      </c>
      <c r="GL379" s="316">
        <v>10.205421723916889</v>
      </c>
      <c r="GM379" s="316">
        <v>10.072698733208821</v>
      </c>
      <c r="GN379" s="316">
        <v>12.930866568233451</v>
      </c>
      <c r="GO379" s="316">
        <v>11.890697832311565</v>
      </c>
      <c r="GP379" s="316">
        <v>10.619063331474727</v>
      </c>
      <c r="GQ379" s="316">
        <v>11.799154777326669</v>
      </c>
      <c r="GR379" s="316">
        <v>7.9459349121666669</v>
      </c>
      <c r="GS379" s="316">
        <v>8.132609364166667</v>
      </c>
      <c r="GT379" s="316">
        <v>8.9813491721666683</v>
      </c>
      <c r="GU379" s="316">
        <v>8.5854644437892578</v>
      </c>
      <c r="GV379" s="316">
        <v>7.426674227940719</v>
      </c>
      <c r="GW379" s="316">
        <v>26.038505397220156</v>
      </c>
      <c r="GX379" s="316">
        <v>7.2679998719099999</v>
      </c>
      <c r="GY379" s="316">
        <v>7.1623864173899996</v>
      </c>
      <c r="GZ379" s="316">
        <v>18.713971455980001</v>
      </c>
      <c r="HA379" s="316">
        <v>7.9620785439800006</v>
      </c>
      <c r="HB379" s="316">
        <v>6.9139648996799998</v>
      </c>
      <c r="HC379" s="316">
        <v>20.125925459074047</v>
      </c>
      <c r="HD379" s="316">
        <v>5.78453051376</v>
      </c>
      <c r="HE379" s="316">
        <v>6.7625461797399993</v>
      </c>
      <c r="HF379" s="316">
        <v>30.974578281569183</v>
      </c>
      <c r="HG379" s="316">
        <v>7.3758758163199989</v>
      </c>
      <c r="HH379" s="316">
        <v>7.096768563569972</v>
      </c>
      <c r="HI379" s="316">
        <v>23.531517947129998</v>
      </c>
      <c r="HJ379" s="316">
        <v>7.2577778196400011</v>
      </c>
      <c r="HK379" s="316">
        <v>6.8773916845333005</v>
      </c>
      <c r="HL379" s="316">
        <v>25.861054325533701</v>
      </c>
      <c r="HM379" s="316"/>
      <c r="KH379" s="303"/>
    </row>
    <row r="380" spans="1:294" outlineLevel="1">
      <c r="A380" s="117" t="s">
        <v>395</v>
      </c>
      <c r="B380" s="117" t="s">
        <v>361</v>
      </c>
      <c r="D380" s="344" t="s">
        <v>552</v>
      </c>
      <c r="E380" s="316"/>
      <c r="F380" s="316"/>
      <c r="G380" s="316"/>
      <c r="H380" s="316"/>
      <c r="I380" s="316"/>
      <c r="J380" s="316"/>
      <c r="K380" s="316"/>
      <c r="L380" s="316"/>
      <c r="M380" s="316"/>
      <c r="N380" s="316"/>
      <c r="O380" s="316"/>
      <c r="P380" s="316"/>
      <c r="Q380" s="316"/>
      <c r="R380" s="316"/>
      <c r="S380" s="316"/>
      <c r="T380" s="316"/>
      <c r="U380" s="316"/>
      <c r="V380" s="316"/>
      <c r="W380" s="316"/>
      <c r="X380" s="316"/>
      <c r="Y380" s="316"/>
      <c r="Z380" s="316"/>
      <c r="AA380" s="316"/>
      <c r="AB380" s="316"/>
      <c r="AC380" s="316"/>
      <c r="AD380" s="316"/>
      <c r="AE380" s="316"/>
      <c r="AF380" s="316"/>
      <c r="AG380" s="316"/>
      <c r="AH380" s="316"/>
      <c r="AI380" s="316"/>
      <c r="AJ380" s="316"/>
      <c r="AK380" s="316"/>
      <c r="AL380" s="316"/>
      <c r="AM380" s="316"/>
      <c r="AN380" s="316"/>
      <c r="AO380" s="316"/>
      <c r="AP380" s="316"/>
      <c r="AQ380" s="316"/>
      <c r="AR380" s="316"/>
      <c r="AS380" s="316"/>
      <c r="AT380" s="316"/>
      <c r="AU380" s="316"/>
      <c r="AV380" s="316"/>
      <c r="AW380" s="316"/>
      <c r="AX380" s="316"/>
      <c r="AY380" s="316"/>
      <c r="AZ380" s="316"/>
      <c r="BA380" s="316"/>
      <c r="BB380" s="316"/>
      <c r="BC380" s="316"/>
      <c r="BD380" s="316"/>
      <c r="BE380" s="316"/>
      <c r="BF380" s="316"/>
      <c r="BG380" s="316"/>
      <c r="BH380" s="316"/>
      <c r="BI380" s="316"/>
      <c r="BJ380" s="316"/>
      <c r="BK380" s="316"/>
      <c r="BL380" s="316"/>
      <c r="BM380" s="316"/>
      <c r="BN380" s="316"/>
      <c r="BO380" s="316"/>
      <c r="BP380" s="316"/>
      <c r="BQ380" s="316"/>
      <c r="BR380" s="316"/>
      <c r="BS380" s="316"/>
      <c r="BT380" s="316"/>
      <c r="BU380" s="316"/>
      <c r="BV380" s="316"/>
      <c r="BW380" s="316"/>
      <c r="BX380" s="316"/>
      <c r="BY380" s="316"/>
      <c r="BZ380" s="316"/>
      <c r="CA380" s="316"/>
      <c r="CB380" s="316"/>
      <c r="CC380" s="316"/>
      <c r="CD380" s="316"/>
      <c r="CE380" s="317">
        <v>0.77066292619726762</v>
      </c>
      <c r="CF380" s="316">
        <v>2.4482873745727849</v>
      </c>
      <c r="CG380" s="316">
        <v>0.73833164889343972</v>
      </c>
      <c r="CH380" s="316">
        <v>24.970246959450225</v>
      </c>
      <c r="CI380" s="316">
        <v>0.64224642862472392</v>
      </c>
      <c r="CJ380" s="316">
        <v>13.9081012511328</v>
      </c>
      <c r="CK380" s="316">
        <v>0.67361932902504518</v>
      </c>
      <c r="CL380" s="316">
        <v>3.7256129200830719</v>
      </c>
      <c r="CM380" s="316">
        <v>19.403214191856215</v>
      </c>
      <c r="CN380" s="316">
        <v>0.89975872191736017</v>
      </c>
      <c r="CO380" s="316">
        <v>1.5299262136995913</v>
      </c>
      <c r="CP380" s="318">
        <v>19.83261632021987</v>
      </c>
      <c r="CQ380" s="316">
        <v>0.64051576489999995</v>
      </c>
      <c r="CR380" s="316">
        <v>1.3247816400962495</v>
      </c>
      <c r="CS380" s="316">
        <v>0.68999256619000005</v>
      </c>
      <c r="CT380" s="316">
        <v>12.30321609883687</v>
      </c>
      <c r="CU380" s="316">
        <v>1.0187699279947897</v>
      </c>
      <c r="CV380" s="316">
        <v>17.969316369725746</v>
      </c>
      <c r="CW380" s="316">
        <v>3.3986685871911959</v>
      </c>
      <c r="CX380" s="316">
        <v>1.2860703248600001</v>
      </c>
      <c r="CY380" s="316">
        <v>39.287495378967854</v>
      </c>
      <c r="CZ380" s="316">
        <v>18.755037898988448</v>
      </c>
      <c r="DA380" s="316">
        <v>2.4607847271192944</v>
      </c>
      <c r="DB380" s="1498">
        <v>16.682581432324238</v>
      </c>
      <c r="DC380" s="316">
        <v>0.40936406353085403</v>
      </c>
      <c r="DD380" s="316">
        <v>0</v>
      </c>
      <c r="DE380" s="316">
        <v>9.8312581181893215</v>
      </c>
      <c r="DF380" s="316">
        <v>23.229991356577557</v>
      </c>
      <c r="DG380" s="316">
        <v>0</v>
      </c>
      <c r="DH380" s="316">
        <v>23.628131229306309</v>
      </c>
      <c r="DI380" s="316">
        <v>1.1791709588875621</v>
      </c>
      <c r="DJ380" s="316">
        <v>0.4497606167</v>
      </c>
      <c r="DK380" s="316">
        <v>34.610282378924587</v>
      </c>
      <c r="DL380" s="316">
        <v>2.9093187925081443</v>
      </c>
      <c r="DM380" s="316">
        <v>3.1594757378971106</v>
      </c>
      <c r="DN380" s="318">
        <v>25.27834123792513</v>
      </c>
      <c r="DO380" s="316">
        <v>0.84171662300000005</v>
      </c>
      <c r="DP380" s="316">
        <v>1.967117645089288</v>
      </c>
      <c r="DQ380" s="316">
        <v>31.681815695863499</v>
      </c>
      <c r="DR380" s="316">
        <v>6.1606299268505698</v>
      </c>
      <c r="DS380" s="316">
        <v>1.804409023073996</v>
      </c>
      <c r="DT380" s="316">
        <v>30.045994029345199</v>
      </c>
      <c r="DU380" s="316">
        <v>1.4706382119999999</v>
      </c>
      <c r="DV380" s="316">
        <v>0.83759282999999995</v>
      </c>
      <c r="DW380" s="316">
        <v>31.727706425000001</v>
      </c>
      <c r="DX380" s="316">
        <v>1.759322435020374</v>
      </c>
      <c r="DY380" s="316">
        <v>0.96380090390219997</v>
      </c>
      <c r="DZ380" s="318">
        <v>30.086006621719498</v>
      </c>
      <c r="EA380" s="316">
        <v>0.84171662300000005</v>
      </c>
      <c r="EB380" s="316">
        <v>1.1508827779999999</v>
      </c>
      <c r="EC380" s="316">
        <v>20.926452234999999</v>
      </c>
      <c r="ED380" s="316">
        <v>20.989333863000002</v>
      </c>
      <c r="EE380" s="316">
        <v>0.87698696399999998</v>
      </c>
      <c r="EF380" s="316">
        <v>38.100210666000002</v>
      </c>
      <c r="EG380" s="316">
        <v>3.860204317</v>
      </c>
      <c r="EH380" s="316">
        <v>1.6015113299999999</v>
      </c>
      <c r="EI380" s="316">
        <v>15.074558287</v>
      </c>
      <c r="EJ380" s="316">
        <v>28.948392117999997</v>
      </c>
      <c r="EK380" s="316">
        <v>9.7391911150000006</v>
      </c>
      <c r="EL380" s="318">
        <v>18.724085254000002</v>
      </c>
      <c r="EM380" s="316">
        <v>2.1231752159999999</v>
      </c>
      <c r="EN380" s="316">
        <v>36.2872713223814</v>
      </c>
      <c r="EO380" s="316">
        <v>34.786820126361604</v>
      </c>
      <c r="EP380" s="316">
        <v>10.917655376212011</v>
      </c>
      <c r="EQ380" s="316">
        <v>1.0695211383090499</v>
      </c>
      <c r="ER380" s="316">
        <v>19.977650562447401</v>
      </c>
      <c r="ES380" s="316">
        <v>3.5640890249999999</v>
      </c>
      <c r="ET380" s="316">
        <v>0.86682387499999991</v>
      </c>
      <c r="EU380" s="316">
        <v>31.195748930000001</v>
      </c>
      <c r="EV380" s="316">
        <v>10.056148590836891</v>
      </c>
      <c r="EW380" s="316">
        <v>0.93046208699999999</v>
      </c>
      <c r="EX380" s="318">
        <v>10.858199057</v>
      </c>
      <c r="EY380" s="316">
        <v>1.4305886475704002</v>
      </c>
      <c r="EZ380" s="316">
        <v>13.644136845282</v>
      </c>
      <c r="FA380" s="316">
        <v>31.012991648227889</v>
      </c>
      <c r="FB380" s="316">
        <v>32.400034510430515</v>
      </c>
      <c r="FC380" s="316">
        <v>1.8529432568197119</v>
      </c>
      <c r="FD380" s="316">
        <v>22.307530775192664</v>
      </c>
      <c r="FE380" s="316">
        <v>1.102642532</v>
      </c>
      <c r="FF380" s="316">
        <v>1.5673122104031836</v>
      </c>
      <c r="FG380" s="316">
        <v>1.164678173</v>
      </c>
      <c r="FH380" s="316">
        <v>15.00436438751411</v>
      </c>
      <c r="FI380" s="316">
        <v>31.771734912361026</v>
      </c>
      <c r="FJ380" s="318">
        <v>0.69479255699999998</v>
      </c>
      <c r="FK380" s="316">
        <v>1.30959155171956</v>
      </c>
      <c r="FL380" s="316">
        <v>1.9347106542756209</v>
      </c>
      <c r="FM380" s="316">
        <v>75.71959442460701</v>
      </c>
      <c r="FN380" s="316">
        <v>1.1583962818945865</v>
      </c>
      <c r="FO380" s="316">
        <v>4.366134070302274</v>
      </c>
      <c r="FP380" s="316">
        <v>45.64905023299778</v>
      </c>
      <c r="FQ380" s="316">
        <v>1.0837011122571989</v>
      </c>
      <c r="FR380" s="316">
        <v>1.059584074326962</v>
      </c>
      <c r="FS380" s="316">
        <v>1.2100451349451466</v>
      </c>
      <c r="FT380" s="316">
        <v>53.887641090870552</v>
      </c>
      <c r="FU380" s="316">
        <v>1.24375097513529</v>
      </c>
      <c r="FV380" s="316">
        <v>35.734580436030392</v>
      </c>
      <c r="FW380" s="316">
        <v>1.1091053145613641</v>
      </c>
      <c r="FX380" s="316">
        <v>1.251032031511992</v>
      </c>
      <c r="FY380" s="316">
        <v>41.103752136057629</v>
      </c>
      <c r="FZ380" s="316">
        <v>1.1011386350700656</v>
      </c>
      <c r="GA380" s="316">
        <v>43.355828380578068</v>
      </c>
      <c r="GB380" s="316">
        <v>5.6110027847700756</v>
      </c>
      <c r="GC380" s="316">
        <v>1.1667665404519934</v>
      </c>
      <c r="GD380" s="316">
        <v>1.0292662748935573</v>
      </c>
      <c r="GE380" s="316">
        <v>1.2633240981165843</v>
      </c>
      <c r="GF380" s="316">
        <v>24.726026118637265</v>
      </c>
      <c r="GG380" s="316">
        <v>1.2289248174735214</v>
      </c>
      <c r="GH380" s="316">
        <v>39.402393755767058</v>
      </c>
      <c r="GI380" s="316">
        <v>0</v>
      </c>
      <c r="GJ380" s="316">
        <v>0</v>
      </c>
      <c r="GK380" s="316">
        <v>37.830943720766165</v>
      </c>
      <c r="GL380" s="316">
        <v>0</v>
      </c>
      <c r="GM380" s="316">
        <v>0</v>
      </c>
      <c r="GN380" s="316">
        <v>39.097062721909495</v>
      </c>
      <c r="GO380" s="316">
        <v>0</v>
      </c>
      <c r="GP380" s="316">
        <v>0</v>
      </c>
      <c r="GQ380" s="316">
        <v>42.755879130666671</v>
      </c>
      <c r="GR380" s="316">
        <v>0</v>
      </c>
      <c r="GS380" s="316">
        <v>0</v>
      </c>
      <c r="GT380" s="316">
        <v>26.769587676048875</v>
      </c>
      <c r="GU380" s="316">
        <v>2.1399855067314051</v>
      </c>
      <c r="GV380" s="316">
        <v>10.865837004963289</v>
      </c>
      <c r="GW380" s="316">
        <v>72.267489486905546</v>
      </c>
      <c r="GX380" s="316">
        <v>2.6652518972100006</v>
      </c>
      <c r="GY380" s="316">
        <v>4.2841920068400006</v>
      </c>
      <c r="GZ380" s="316">
        <v>67.335532702601625</v>
      </c>
      <c r="HA380" s="316">
        <v>2.5787660292899997</v>
      </c>
      <c r="HB380" s="316">
        <v>10.252433023537021</v>
      </c>
      <c r="HC380" s="316">
        <v>21.983112498852869</v>
      </c>
      <c r="HD380" s="316">
        <v>38.063490261893897</v>
      </c>
      <c r="HE380" s="316">
        <v>6.5544787854522948</v>
      </c>
      <c r="HF380" s="316">
        <v>2.6359777666497743</v>
      </c>
      <c r="HG380" s="316">
        <v>27.692709201505902</v>
      </c>
      <c r="HH380" s="316">
        <v>2.8426637318633006</v>
      </c>
      <c r="HI380" s="316">
        <v>60.353551034722791</v>
      </c>
      <c r="HJ380" s="316">
        <v>3.2966403503099988</v>
      </c>
      <c r="HK380" s="316">
        <v>2.6491294048966991</v>
      </c>
      <c r="HL380" s="316">
        <v>54.963082722463305</v>
      </c>
      <c r="HM380" s="316"/>
      <c r="KH380" s="303"/>
    </row>
    <row r="381" spans="1:294" outlineLevel="1">
      <c r="A381" s="117" t="s">
        <v>395</v>
      </c>
      <c r="B381" s="117" t="s">
        <v>361</v>
      </c>
      <c r="D381" s="344" t="s">
        <v>553</v>
      </c>
      <c r="E381" s="316"/>
      <c r="F381" s="316"/>
      <c r="G381" s="316"/>
      <c r="H381" s="316"/>
      <c r="I381" s="316"/>
      <c r="J381" s="316"/>
      <c r="K381" s="316"/>
      <c r="L381" s="316"/>
      <c r="M381" s="316"/>
      <c r="N381" s="316"/>
      <c r="O381" s="316"/>
      <c r="P381" s="316"/>
      <c r="Q381" s="316"/>
      <c r="R381" s="316"/>
      <c r="S381" s="316"/>
      <c r="T381" s="316"/>
      <c r="U381" s="316"/>
      <c r="V381" s="316"/>
      <c r="W381" s="316"/>
      <c r="X381" s="316"/>
      <c r="Y381" s="316"/>
      <c r="Z381" s="316"/>
      <c r="AA381" s="316"/>
      <c r="AB381" s="316"/>
      <c r="AC381" s="316"/>
      <c r="AD381" s="316"/>
      <c r="AE381" s="316"/>
      <c r="AF381" s="316"/>
      <c r="AG381" s="316"/>
      <c r="AH381" s="316"/>
      <c r="AI381" s="316"/>
      <c r="AJ381" s="316"/>
      <c r="AK381" s="316"/>
      <c r="AL381" s="316"/>
      <c r="AM381" s="316"/>
      <c r="AN381" s="316"/>
      <c r="AO381" s="316"/>
      <c r="AP381" s="316"/>
      <c r="AQ381" s="316"/>
      <c r="AR381" s="316"/>
      <c r="AS381" s="316"/>
      <c r="AT381" s="316"/>
      <c r="AU381" s="316"/>
      <c r="AV381" s="316"/>
      <c r="AW381" s="316"/>
      <c r="AX381" s="316"/>
      <c r="AY381" s="316"/>
      <c r="AZ381" s="316"/>
      <c r="BA381" s="316"/>
      <c r="BB381" s="316"/>
      <c r="BC381" s="316"/>
      <c r="BD381" s="316"/>
      <c r="BE381" s="316"/>
      <c r="BF381" s="316"/>
      <c r="BG381" s="316"/>
      <c r="BH381" s="316"/>
      <c r="BI381" s="316"/>
      <c r="BJ381" s="316"/>
      <c r="BK381" s="316"/>
      <c r="BL381" s="316"/>
      <c r="BM381" s="316"/>
      <c r="BN381" s="316"/>
      <c r="BO381" s="316"/>
      <c r="BP381" s="316"/>
      <c r="BQ381" s="316"/>
      <c r="BR381" s="316"/>
      <c r="BS381" s="316"/>
      <c r="BT381" s="316"/>
      <c r="BU381" s="316"/>
      <c r="BV381" s="316"/>
      <c r="BW381" s="316"/>
      <c r="BX381" s="316"/>
      <c r="BY381" s="316"/>
      <c r="BZ381" s="316"/>
      <c r="CA381" s="316"/>
      <c r="CB381" s="316"/>
      <c r="CC381" s="316"/>
      <c r="CD381" s="316"/>
      <c r="CE381" s="317">
        <v>0</v>
      </c>
      <c r="CF381" s="316">
        <v>0</v>
      </c>
      <c r="CG381" s="316">
        <v>0</v>
      </c>
      <c r="CH381" s="316">
        <v>0</v>
      </c>
      <c r="CI381" s="316">
        <v>0</v>
      </c>
      <c r="CJ381" s="316">
        <v>0</v>
      </c>
      <c r="CK381" s="316">
        <v>0</v>
      </c>
      <c r="CL381" s="316">
        <v>0</v>
      </c>
      <c r="CM381" s="316">
        <v>0</v>
      </c>
      <c r="CN381" s="316">
        <v>0</v>
      </c>
      <c r="CO381" s="316">
        <v>0</v>
      </c>
      <c r="CP381" s="318">
        <v>0</v>
      </c>
      <c r="CQ381" s="316">
        <v>0</v>
      </c>
      <c r="CR381" s="316">
        <v>0</v>
      </c>
      <c r="CS381" s="316">
        <v>0</v>
      </c>
      <c r="CT381" s="316">
        <v>0</v>
      </c>
      <c r="CU381" s="316">
        <v>0</v>
      </c>
      <c r="CV381" s="316">
        <v>0</v>
      </c>
      <c r="CW381" s="316">
        <v>0</v>
      </c>
      <c r="CX381" s="316">
        <v>0</v>
      </c>
      <c r="CY381" s="316">
        <v>0</v>
      </c>
      <c r="CZ381" s="316">
        <v>0</v>
      </c>
      <c r="DA381" s="316">
        <v>0</v>
      </c>
      <c r="DB381" s="1498">
        <v>0</v>
      </c>
      <c r="DC381" s="316">
        <v>0</v>
      </c>
      <c r="DD381" s="316">
        <v>0</v>
      </c>
      <c r="DE381" s="316">
        <v>0</v>
      </c>
      <c r="DF381" s="316">
        <v>0</v>
      </c>
      <c r="DG381" s="316">
        <v>0</v>
      </c>
      <c r="DH381" s="316">
        <v>0</v>
      </c>
      <c r="DI381" s="316">
        <v>0</v>
      </c>
      <c r="DJ381" s="316">
        <v>0</v>
      </c>
      <c r="DK381" s="316">
        <v>0</v>
      </c>
      <c r="DL381" s="316">
        <v>0</v>
      </c>
      <c r="DM381" s="316">
        <v>0</v>
      </c>
      <c r="DN381" s="318">
        <v>0</v>
      </c>
      <c r="DO381" s="316">
        <v>0</v>
      </c>
      <c r="DP381" s="316">
        <v>0</v>
      </c>
      <c r="DQ381" s="316">
        <v>0</v>
      </c>
      <c r="DR381" s="316">
        <v>0</v>
      </c>
      <c r="DS381" s="316">
        <v>0</v>
      </c>
      <c r="DT381" s="316">
        <v>0</v>
      </c>
      <c r="DU381" s="316">
        <v>0</v>
      </c>
      <c r="DV381" s="316">
        <v>0</v>
      </c>
      <c r="DW381" s="316">
        <v>0</v>
      </c>
      <c r="DX381" s="316">
        <v>0</v>
      </c>
      <c r="DY381" s="316">
        <v>0</v>
      </c>
      <c r="DZ381" s="318">
        <v>0</v>
      </c>
      <c r="EA381" s="316">
        <v>0</v>
      </c>
      <c r="EB381" s="316">
        <v>0</v>
      </c>
      <c r="EC381" s="316">
        <v>0</v>
      </c>
      <c r="ED381" s="316">
        <v>0</v>
      </c>
      <c r="EE381" s="316">
        <v>0</v>
      </c>
      <c r="EF381" s="316">
        <v>0</v>
      </c>
      <c r="EG381" s="316">
        <v>0</v>
      </c>
      <c r="EH381" s="316">
        <v>0</v>
      </c>
      <c r="EI381" s="316">
        <v>0</v>
      </c>
      <c r="EJ381" s="316">
        <v>0</v>
      </c>
      <c r="EK381" s="316">
        <v>0</v>
      </c>
      <c r="EL381" s="318">
        <v>0</v>
      </c>
      <c r="EM381" s="316">
        <v>0</v>
      </c>
      <c r="EN381" s="316">
        <v>0</v>
      </c>
      <c r="EO381" s="316">
        <v>0</v>
      </c>
      <c r="EP381" s="316">
        <v>0</v>
      </c>
      <c r="EQ381" s="316">
        <v>0</v>
      </c>
      <c r="ER381" s="316">
        <v>0</v>
      </c>
      <c r="ES381" s="316">
        <v>0</v>
      </c>
      <c r="ET381" s="316">
        <v>0</v>
      </c>
      <c r="EU381" s="316">
        <v>0</v>
      </c>
      <c r="EV381" s="316">
        <v>0</v>
      </c>
      <c r="EW381" s="316">
        <v>0</v>
      </c>
      <c r="EX381" s="318">
        <v>0</v>
      </c>
      <c r="EY381" s="316">
        <v>0</v>
      </c>
      <c r="EZ381" s="316">
        <v>0</v>
      </c>
      <c r="FA381" s="316">
        <v>0</v>
      </c>
      <c r="FB381" s="316">
        <v>0</v>
      </c>
      <c r="FC381" s="316">
        <v>0</v>
      </c>
      <c r="FD381" s="316">
        <v>0</v>
      </c>
      <c r="FE381" s="316">
        <v>0</v>
      </c>
      <c r="FF381" s="316">
        <v>0</v>
      </c>
      <c r="FG381" s="316">
        <v>0</v>
      </c>
      <c r="FH381" s="316">
        <v>0</v>
      </c>
      <c r="FI381" s="316">
        <v>0</v>
      </c>
      <c r="FJ381" s="318">
        <v>0</v>
      </c>
      <c r="FK381" s="316">
        <v>0</v>
      </c>
      <c r="FL381" s="316">
        <v>0</v>
      </c>
      <c r="FM381" s="316">
        <v>0</v>
      </c>
      <c r="FN381" s="316">
        <v>0</v>
      </c>
      <c r="FO381" s="316">
        <v>0</v>
      </c>
      <c r="FP381" s="316">
        <v>0</v>
      </c>
      <c r="FQ381" s="316">
        <v>0</v>
      </c>
      <c r="FR381" s="316">
        <v>0</v>
      </c>
      <c r="FS381" s="316">
        <v>0</v>
      </c>
      <c r="FT381" s="316">
        <v>0</v>
      </c>
      <c r="FU381" s="316">
        <v>0</v>
      </c>
      <c r="FV381" s="316">
        <v>0</v>
      </c>
      <c r="FW381" s="316">
        <v>0</v>
      </c>
      <c r="FX381" s="316">
        <v>0</v>
      </c>
      <c r="FY381" s="316">
        <v>0</v>
      </c>
      <c r="FZ381" s="316">
        <v>0</v>
      </c>
      <c r="GA381" s="316">
        <v>0</v>
      </c>
      <c r="GB381" s="316">
        <v>0</v>
      </c>
      <c r="GC381" s="316">
        <v>0</v>
      </c>
      <c r="GD381" s="316">
        <v>0</v>
      </c>
      <c r="GE381" s="316">
        <v>0</v>
      </c>
      <c r="GF381" s="316">
        <v>0</v>
      </c>
      <c r="GG381" s="316">
        <v>0</v>
      </c>
      <c r="GH381" s="316">
        <v>0</v>
      </c>
      <c r="GI381" s="316">
        <v>0</v>
      </c>
      <c r="GJ381" s="316">
        <v>0</v>
      </c>
      <c r="GK381" s="316">
        <v>0</v>
      </c>
      <c r="GL381" s="316">
        <v>0</v>
      </c>
      <c r="GM381" s="316">
        <v>0</v>
      </c>
      <c r="GN381" s="316">
        <v>0</v>
      </c>
      <c r="GO381" s="316">
        <v>0</v>
      </c>
      <c r="GP381" s="316">
        <v>0</v>
      </c>
      <c r="GQ381" s="316">
        <v>0</v>
      </c>
      <c r="GR381" s="316">
        <v>0</v>
      </c>
      <c r="GS381" s="316">
        <v>0</v>
      </c>
      <c r="GT381" s="316">
        <v>0</v>
      </c>
      <c r="GU381" s="316">
        <v>0</v>
      </c>
      <c r="GV381" s="316">
        <v>0</v>
      </c>
      <c r="GW381" s="316">
        <v>0</v>
      </c>
      <c r="GX381" s="316">
        <v>0</v>
      </c>
      <c r="GY381" s="316">
        <v>0</v>
      </c>
      <c r="GZ381" s="316">
        <v>0</v>
      </c>
      <c r="HA381" s="316">
        <v>0</v>
      </c>
      <c r="HB381" s="316">
        <v>0</v>
      </c>
      <c r="HC381" s="316">
        <v>0</v>
      </c>
      <c r="HD381" s="316">
        <v>0</v>
      </c>
      <c r="HE381" s="316">
        <v>0</v>
      </c>
      <c r="HF381" s="316">
        <v>0</v>
      </c>
      <c r="HG381" s="316">
        <v>0</v>
      </c>
      <c r="HH381" s="316">
        <v>0</v>
      </c>
      <c r="HI381" s="316">
        <v>0</v>
      </c>
      <c r="HJ381" s="316">
        <v>0</v>
      </c>
      <c r="HK381" s="316">
        <v>0</v>
      </c>
      <c r="HL381" s="316">
        <v>0</v>
      </c>
      <c r="HM381" s="316"/>
      <c r="KH381" s="303"/>
    </row>
    <row r="382" spans="1:294" outlineLevel="1">
      <c r="A382" s="117" t="s">
        <v>395</v>
      </c>
      <c r="B382" s="117" t="s">
        <v>361</v>
      </c>
      <c r="D382" s="343" t="s">
        <v>554</v>
      </c>
      <c r="E382" s="316"/>
      <c r="F382" s="316"/>
      <c r="G382" s="316"/>
      <c r="H382" s="316"/>
      <c r="I382" s="316"/>
      <c r="J382" s="316"/>
      <c r="K382" s="316"/>
      <c r="L382" s="316"/>
      <c r="M382" s="316"/>
      <c r="N382" s="316"/>
      <c r="O382" s="316"/>
      <c r="P382" s="316"/>
      <c r="Q382" s="316"/>
      <c r="R382" s="316"/>
      <c r="S382" s="316"/>
      <c r="T382" s="316"/>
      <c r="U382" s="316"/>
      <c r="V382" s="316"/>
      <c r="W382" s="316"/>
      <c r="X382" s="316"/>
      <c r="Y382" s="316"/>
      <c r="Z382" s="316"/>
      <c r="AA382" s="316"/>
      <c r="AB382" s="316"/>
      <c r="AC382" s="316"/>
      <c r="AD382" s="316"/>
      <c r="AE382" s="316"/>
      <c r="AF382" s="316"/>
      <c r="AG382" s="316"/>
      <c r="AH382" s="316"/>
      <c r="AI382" s="316"/>
      <c r="AJ382" s="316"/>
      <c r="AK382" s="316"/>
      <c r="AL382" s="316"/>
      <c r="AM382" s="316"/>
      <c r="AN382" s="316"/>
      <c r="AO382" s="316"/>
      <c r="AP382" s="316"/>
      <c r="AQ382" s="316"/>
      <c r="AR382" s="316"/>
      <c r="AS382" s="316"/>
      <c r="AT382" s="316"/>
      <c r="AU382" s="316"/>
      <c r="AV382" s="316"/>
      <c r="AW382" s="316"/>
      <c r="AX382" s="316"/>
      <c r="AY382" s="316"/>
      <c r="AZ382" s="316"/>
      <c r="BA382" s="316"/>
      <c r="BB382" s="316"/>
      <c r="BC382" s="316"/>
      <c r="BD382" s="316"/>
      <c r="BE382" s="316"/>
      <c r="BF382" s="316"/>
      <c r="BG382" s="316"/>
      <c r="BH382" s="316"/>
      <c r="BI382" s="316"/>
      <c r="BJ382" s="316"/>
      <c r="BK382" s="316"/>
      <c r="BL382" s="316"/>
      <c r="BM382" s="316"/>
      <c r="BN382" s="316"/>
      <c r="BO382" s="316"/>
      <c r="BP382" s="316"/>
      <c r="BQ382" s="316"/>
      <c r="BR382" s="316"/>
      <c r="BS382" s="316"/>
      <c r="BT382" s="316"/>
      <c r="BU382" s="316"/>
      <c r="BV382" s="316"/>
      <c r="BW382" s="316"/>
      <c r="BX382" s="316"/>
      <c r="BY382" s="316"/>
      <c r="BZ382" s="316"/>
      <c r="CA382" s="316"/>
      <c r="CB382" s="316"/>
      <c r="CC382" s="316"/>
      <c r="CD382" s="316"/>
      <c r="CE382" s="317">
        <v>1.6134028819000001</v>
      </c>
      <c r="CF382" s="316">
        <v>1.50922179</v>
      </c>
      <c r="CG382" s="316">
        <v>1.4936350092999999</v>
      </c>
      <c r="CH382" s="316">
        <v>1.4227659573</v>
      </c>
      <c r="CI382" s="316">
        <v>1.9368911554000001</v>
      </c>
      <c r="CJ382" s="316">
        <v>2.5915063589000003</v>
      </c>
      <c r="CK382" s="316">
        <v>1.883544903</v>
      </c>
      <c r="CL382" s="316">
        <v>1.5830303257</v>
      </c>
      <c r="CM382" s="316">
        <v>2.3257963326</v>
      </c>
      <c r="CN382" s="316">
        <v>1.7250185097000001</v>
      </c>
      <c r="CO382" s="316">
        <v>2.1126191453000001</v>
      </c>
      <c r="CP382" s="318">
        <v>3.6523280446999999</v>
      </c>
      <c r="CQ382" s="316">
        <v>1.6340853708</v>
      </c>
      <c r="CR382" s="316">
        <v>1.688182804</v>
      </c>
      <c r="CS382" s="316">
        <v>2.7012377493000002</v>
      </c>
      <c r="CT382" s="316">
        <v>2.6915598276999999</v>
      </c>
      <c r="CU382" s="316">
        <v>2.1741653726000001</v>
      </c>
      <c r="CV382" s="316">
        <v>2.3883066240999997</v>
      </c>
      <c r="CW382" s="316">
        <v>1.8756168195999998</v>
      </c>
      <c r="CX382" s="316">
        <v>1.9300905397000001</v>
      </c>
      <c r="CY382" s="316">
        <v>2.6670134089999999</v>
      </c>
      <c r="CZ382" s="316">
        <v>3.2249754964999999</v>
      </c>
      <c r="DA382" s="316">
        <v>2.5619014530999999</v>
      </c>
      <c r="DB382" s="1498">
        <v>4.0061188206000002</v>
      </c>
      <c r="DC382" s="316">
        <v>0</v>
      </c>
      <c r="DD382" s="316">
        <v>0</v>
      </c>
      <c r="DE382" s="316">
        <v>0</v>
      </c>
      <c r="DF382" s="316">
        <v>0</v>
      </c>
      <c r="DG382" s="316">
        <v>0</v>
      </c>
      <c r="DH382" s="316">
        <v>0</v>
      </c>
      <c r="DI382" s="316">
        <v>0</v>
      </c>
      <c r="DJ382" s="316">
        <v>0</v>
      </c>
      <c r="DK382" s="316">
        <v>0</v>
      </c>
      <c r="DL382" s="316">
        <v>0</v>
      </c>
      <c r="DM382" s="316">
        <v>0</v>
      </c>
      <c r="DN382" s="318">
        <v>0</v>
      </c>
      <c r="DO382" s="316">
        <v>1.4974449605809317</v>
      </c>
      <c r="DP382" s="316">
        <v>1.2873549288426345</v>
      </c>
      <c r="DQ382" s="316">
        <v>1.571768578782196</v>
      </c>
      <c r="DR382" s="316">
        <v>2.2002872448983992</v>
      </c>
      <c r="DS382" s="316">
        <v>1.8096628541030026</v>
      </c>
      <c r="DT382" s="316">
        <v>5.5690117754246877</v>
      </c>
      <c r="DU382" s="316">
        <v>2.2757534004044748</v>
      </c>
      <c r="DV382" s="316">
        <v>1.7783502481243276</v>
      </c>
      <c r="DW382" s="316">
        <v>3.0898782889385061</v>
      </c>
      <c r="DX382" s="316">
        <v>2.6253462223481199</v>
      </c>
      <c r="DY382" s="316">
        <v>3.939849315077391</v>
      </c>
      <c r="DZ382" s="318">
        <v>7.4489046556542498</v>
      </c>
      <c r="EA382" s="316">
        <v>1.4974449605809317</v>
      </c>
      <c r="EB382" s="316">
        <v>1.2873549288426345</v>
      </c>
      <c r="EC382" s="316">
        <v>1.571768578782196</v>
      </c>
      <c r="ED382" s="316">
        <v>2.2002872448983992</v>
      </c>
      <c r="EE382" s="316">
        <v>1.8096628541030026</v>
      </c>
      <c r="EF382" s="316">
        <v>5.5690117754246877</v>
      </c>
      <c r="EG382" s="316">
        <v>2.2757534004044748</v>
      </c>
      <c r="EH382" s="316">
        <v>1.7783502481243276</v>
      </c>
      <c r="EI382" s="316">
        <v>3.0898782889385061</v>
      </c>
      <c r="EJ382" s="316">
        <v>2.6253462223481199</v>
      </c>
      <c r="EK382" s="316">
        <v>3.939849315077391</v>
      </c>
      <c r="EL382" s="318">
        <v>7.4489046556542498</v>
      </c>
      <c r="EM382" s="316">
        <v>0</v>
      </c>
      <c r="EN382" s="316">
        <v>0</v>
      </c>
      <c r="EO382" s="316">
        <v>2.1669842020000001</v>
      </c>
      <c r="EP382" s="316">
        <v>0</v>
      </c>
      <c r="EQ382" s="316">
        <v>0</v>
      </c>
      <c r="ER382" s="316">
        <v>2.2170388330000002</v>
      </c>
      <c r="ES382" s="316">
        <v>0</v>
      </c>
      <c r="ET382" s="316">
        <v>0</v>
      </c>
      <c r="EU382" s="316">
        <v>1.9034152189999993</v>
      </c>
      <c r="EV382" s="316">
        <v>0</v>
      </c>
      <c r="EW382" s="316">
        <v>0</v>
      </c>
      <c r="EX382" s="318">
        <v>2.1224270360000013</v>
      </c>
      <c r="EY382" s="316">
        <v>0.90273958824</v>
      </c>
      <c r="EZ382" s="316">
        <v>0.58121730144000006</v>
      </c>
      <c r="FA382" s="316">
        <v>4.2791290668400004</v>
      </c>
      <c r="FB382" s="316">
        <v>1.3905193599600001</v>
      </c>
      <c r="FC382" s="316">
        <v>2.1911942294299998</v>
      </c>
      <c r="FD382" s="316">
        <v>3.6812143341199994</v>
      </c>
      <c r="FE382" s="316">
        <v>1.4157139079400154</v>
      </c>
      <c r="FF382" s="316">
        <v>1.0217982517699848</v>
      </c>
      <c r="FG382" s="316">
        <v>0.813050224729985</v>
      </c>
      <c r="FH382" s="316">
        <v>0.48942560766000004</v>
      </c>
      <c r="FI382" s="316">
        <v>0.69276187980999993</v>
      </c>
      <c r="FJ382" s="318">
        <v>2.5170155160000003</v>
      </c>
      <c r="FK382" s="316">
        <v>1.0147494568638025</v>
      </c>
      <c r="FL382" s="316">
        <v>1.0821151876632829</v>
      </c>
      <c r="FM382" s="316">
        <v>1.9329435236572441</v>
      </c>
      <c r="FN382" s="316">
        <v>1.2647023778557429</v>
      </c>
      <c r="FO382" s="316">
        <v>1.1428540199243229</v>
      </c>
      <c r="FP382" s="316">
        <v>6.5453592939681995</v>
      </c>
      <c r="FQ382" s="316">
        <v>2.498981952837696</v>
      </c>
      <c r="FR382" s="316">
        <v>1.1836701592103434</v>
      </c>
      <c r="FS382" s="316">
        <v>5.8232981623715014</v>
      </c>
      <c r="FT382" s="316">
        <v>1.3713336858193401</v>
      </c>
      <c r="FU382" s="316">
        <v>1.15932242276534</v>
      </c>
      <c r="FV382" s="316">
        <v>4.1510674349435019</v>
      </c>
      <c r="FW382" s="316">
        <v>0.79084048187469802</v>
      </c>
      <c r="FX382" s="316">
        <v>1.2167679079242772</v>
      </c>
      <c r="FY382" s="316">
        <v>5.8072805799991887</v>
      </c>
      <c r="FZ382" s="316">
        <v>1.2534786565122167</v>
      </c>
      <c r="GA382" s="316">
        <v>1.498996769953403</v>
      </c>
      <c r="GB382" s="316">
        <v>7.4322234731183601</v>
      </c>
      <c r="GC382" s="316">
        <v>1.9320996351809372</v>
      </c>
      <c r="GD382" s="316">
        <v>0.86037691910380965</v>
      </c>
      <c r="GE382" s="316">
        <v>5.9021426925966187</v>
      </c>
      <c r="GF382" s="316">
        <v>1.5213719826326582</v>
      </c>
      <c r="GG382" s="316">
        <v>1.2702418637018846</v>
      </c>
      <c r="GH382" s="316">
        <v>7.2408234984131798</v>
      </c>
      <c r="GI382" s="316">
        <v>1.3360051175858887</v>
      </c>
      <c r="GJ382" s="316">
        <v>1.1627659858627004</v>
      </c>
      <c r="GK382" s="316">
        <v>5.3012288965514101</v>
      </c>
      <c r="GL382" s="316">
        <v>1.4735850456273876</v>
      </c>
      <c r="GM382" s="316">
        <v>0.77156123763571494</v>
      </c>
      <c r="GN382" s="316">
        <v>9.2245563813662628</v>
      </c>
      <c r="GO382" s="316">
        <v>0.82242563026443727</v>
      </c>
      <c r="GP382" s="316">
        <v>0.58920832898054376</v>
      </c>
      <c r="GQ382" s="316">
        <v>5.8458780842840969</v>
      </c>
      <c r="GR382" s="316">
        <v>1.20451273825</v>
      </c>
      <c r="GS382" s="316">
        <v>1.0640684041900001</v>
      </c>
      <c r="GT382" s="316">
        <v>36.131534361100002</v>
      </c>
      <c r="GU382" s="316">
        <v>1.1870369302259087</v>
      </c>
      <c r="GV382" s="316">
        <v>0.93243852672851468</v>
      </c>
      <c r="GW382" s="316">
        <v>7.8152820447152225</v>
      </c>
      <c r="GX382" s="316">
        <v>0.88009872154999991</v>
      </c>
      <c r="GY382" s="316">
        <v>0.93499323604999995</v>
      </c>
      <c r="GZ382" s="316">
        <v>7.2852950412500004</v>
      </c>
      <c r="HA382" s="316">
        <v>0.75537497644999996</v>
      </c>
      <c r="HB382" s="316">
        <v>0.93382628329358708</v>
      </c>
      <c r="HC382" s="316">
        <v>8.2277585838709957</v>
      </c>
      <c r="HD382" s="316">
        <v>1.6132916945</v>
      </c>
      <c r="HE382" s="316">
        <v>1.4759069171999999</v>
      </c>
      <c r="HF382" s="316">
        <v>8.1524843603499999</v>
      </c>
      <c r="HG382" s="316">
        <v>1.4338250452999999</v>
      </c>
      <c r="HH382" s="316">
        <v>1.51306030485</v>
      </c>
      <c r="HI382" s="316">
        <v>8.1107458804500006</v>
      </c>
      <c r="HJ382" s="316">
        <v>2.0256640131000001</v>
      </c>
      <c r="HK382" s="316">
        <v>1.3099890509000001</v>
      </c>
      <c r="HL382" s="316">
        <v>9.0393039854499992</v>
      </c>
      <c r="HM382" s="316"/>
      <c r="KH382" s="303"/>
    </row>
    <row r="383" spans="1:294" outlineLevel="1">
      <c r="A383" s="117" t="s">
        <v>527</v>
      </c>
      <c r="B383" s="117" t="s">
        <v>527</v>
      </c>
      <c r="D383" s="343" t="s">
        <v>555</v>
      </c>
      <c r="E383" s="316"/>
      <c r="F383" s="316"/>
      <c r="G383" s="316"/>
      <c r="H383" s="316"/>
      <c r="I383" s="316"/>
      <c r="J383" s="316"/>
      <c r="K383" s="316"/>
      <c r="L383" s="316"/>
      <c r="M383" s="316"/>
      <c r="N383" s="316"/>
      <c r="O383" s="316"/>
      <c r="P383" s="316"/>
      <c r="Q383" s="316"/>
      <c r="R383" s="316"/>
      <c r="S383" s="316"/>
      <c r="T383" s="316"/>
      <c r="U383" s="316"/>
      <c r="V383" s="316"/>
      <c r="W383" s="316"/>
      <c r="X383" s="316"/>
      <c r="Y383" s="316"/>
      <c r="Z383" s="316"/>
      <c r="AA383" s="316"/>
      <c r="AB383" s="316"/>
      <c r="AC383" s="316"/>
      <c r="AD383" s="316"/>
      <c r="AE383" s="316"/>
      <c r="AF383" s="316"/>
      <c r="AG383" s="316"/>
      <c r="AH383" s="316"/>
      <c r="AI383" s="316"/>
      <c r="AJ383" s="316"/>
      <c r="AK383" s="316"/>
      <c r="AL383" s="316"/>
      <c r="AM383" s="316"/>
      <c r="AN383" s="316"/>
      <c r="AO383" s="316"/>
      <c r="AP383" s="316"/>
      <c r="AQ383" s="316"/>
      <c r="AR383" s="316"/>
      <c r="AS383" s="316"/>
      <c r="AT383" s="316"/>
      <c r="AU383" s="316"/>
      <c r="AV383" s="316"/>
      <c r="AW383" s="316"/>
      <c r="AX383" s="316"/>
      <c r="AY383" s="316"/>
      <c r="AZ383" s="316"/>
      <c r="BA383" s="316"/>
      <c r="BB383" s="316"/>
      <c r="BC383" s="316"/>
      <c r="BD383" s="316"/>
      <c r="BE383" s="316"/>
      <c r="BF383" s="316"/>
      <c r="BG383" s="316"/>
      <c r="BH383" s="316"/>
      <c r="BI383" s="316"/>
      <c r="BJ383" s="316"/>
      <c r="BK383" s="316"/>
      <c r="BL383" s="316"/>
      <c r="BM383" s="316"/>
      <c r="BN383" s="316"/>
      <c r="BO383" s="316"/>
      <c r="BP383" s="316"/>
      <c r="BQ383" s="316"/>
      <c r="BR383" s="316"/>
      <c r="BS383" s="316"/>
      <c r="BT383" s="316"/>
      <c r="BU383" s="316"/>
      <c r="BV383" s="316"/>
      <c r="BW383" s="316"/>
      <c r="BX383" s="316"/>
      <c r="BY383" s="316"/>
      <c r="BZ383" s="316"/>
      <c r="CA383" s="316"/>
      <c r="CB383" s="316"/>
      <c r="CC383" s="316"/>
      <c r="CD383" s="316"/>
      <c r="CE383" s="317">
        <v>0</v>
      </c>
      <c r="CF383" s="316">
        <v>0</v>
      </c>
      <c r="CG383" s="316">
        <v>0</v>
      </c>
      <c r="CH383" s="316">
        <v>0</v>
      </c>
      <c r="CI383" s="316">
        <v>0</v>
      </c>
      <c r="CJ383" s="316">
        <v>0</v>
      </c>
      <c r="CK383" s="316">
        <v>0</v>
      </c>
      <c r="CL383" s="316">
        <v>0</v>
      </c>
      <c r="CM383" s="316">
        <v>0</v>
      </c>
      <c r="CN383" s="316">
        <v>0</v>
      </c>
      <c r="CO383" s="316">
        <v>0</v>
      </c>
      <c r="CP383" s="318">
        <v>0</v>
      </c>
      <c r="CQ383" s="316">
        <v>0</v>
      </c>
      <c r="CR383" s="316">
        <v>0</v>
      </c>
      <c r="CS383" s="316">
        <v>0</v>
      </c>
      <c r="CT383" s="316">
        <v>0</v>
      </c>
      <c r="CU383" s="316">
        <v>0</v>
      </c>
      <c r="CV383" s="316">
        <v>0</v>
      </c>
      <c r="CW383" s="316">
        <v>0</v>
      </c>
      <c r="CX383" s="316">
        <v>0</v>
      </c>
      <c r="CY383" s="316">
        <v>0</v>
      </c>
      <c r="CZ383" s="316">
        <v>0</v>
      </c>
      <c r="DA383" s="316">
        <v>0</v>
      </c>
      <c r="DB383" s="1498">
        <v>0</v>
      </c>
      <c r="DC383" s="316">
        <v>0</v>
      </c>
      <c r="DD383" s="316">
        <v>0</v>
      </c>
      <c r="DE383" s="316">
        <v>0</v>
      </c>
      <c r="DF383" s="316">
        <v>0</v>
      </c>
      <c r="DG383" s="316">
        <v>0</v>
      </c>
      <c r="DH383" s="316">
        <v>0</v>
      </c>
      <c r="DI383" s="316">
        <v>0</v>
      </c>
      <c r="DJ383" s="316">
        <v>0</v>
      </c>
      <c r="DK383" s="316">
        <v>0</v>
      </c>
      <c r="DL383" s="316">
        <v>0</v>
      </c>
      <c r="DM383" s="316">
        <v>0</v>
      </c>
      <c r="DN383" s="318">
        <v>0</v>
      </c>
      <c r="DO383" s="316">
        <v>0</v>
      </c>
      <c r="DP383" s="316">
        <v>0</v>
      </c>
      <c r="DQ383" s="316">
        <v>0</v>
      </c>
      <c r="DR383" s="316">
        <v>0</v>
      </c>
      <c r="DS383" s="316">
        <v>0</v>
      </c>
      <c r="DT383" s="316">
        <v>0</v>
      </c>
      <c r="DU383" s="316">
        <v>0</v>
      </c>
      <c r="DV383" s="316">
        <v>0</v>
      </c>
      <c r="DW383" s="316">
        <v>0</v>
      </c>
      <c r="DX383" s="316">
        <v>0</v>
      </c>
      <c r="DY383" s="316">
        <v>0</v>
      </c>
      <c r="DZ383" s="318">
        <v>0</v>
      </c>
      <c r="EA383" s="316">
        <v>0</v>
      </c>
      <c r="EB383" s="316">
        <v>0</v>
      </c>
      <c r="EC383" s="316">
        <v>0</v>
      </c>
      <c r="ED383" s="316">
        <v>0</v>
      </c>
      <c r="EE383" s="316">
        <v>0</v>
      </c>
      <c r="EF383" s="316">
        <v>0</v>
      </c>
      <c r="EG383" s="316">
        <v>0</v>
      </c>
      <c r="EH383" s="316">
        <v>0</v>
      </c>
      <c r="EI383" s="316">
        <v>0</v>
      </c>
      <c r="EJ383" s="316">
        <v>0</v>
      </c>
      <c r="EK383" s="316">
        <v>0</v>
      </c>
      <c r="EL383" s="318">
        <v>0</v>
      </c>
      <c r="EM383" s="316">
        <v>0</v>
      </c>
      <c r="EN383" s="316">
        <v>0</v>
      </c>
      <c r="EO383" s="316">
        <v>0</v>
      </c>
      <c r="EP383" s="316">
        <v>0</v>
      </c>
      <c r="EQ383" s="316">
        <v>0</v>
      </c>
      <c r="ER383" s="316">
        <v>0</v>
      </c>
      <c r="ES383" s="316">
        <v>0</v>
      </c>
      <c r="ET383" s="316">
        <v>0</v>
      </c>
      <c r="EU383" s="316">
        <v>0</v>
      </c>
      <c r="EV383" s="316">
        <v>0</v>
      </c>
      <c r="EW383" s="316">
        <v>0</v>
      </c>
      <c r="EX383" s="318">
        <v>0</v>
      </c>
      <c r="EY383" s="316">
        <v>0</v>
      </c>
      <c r="EZ383" s="316">
        <v>0</v>
      </c>
      <c r="FA383" s="316">
        <v>0</v>
      </c>
      <c r="FB383" s="316">
        <v>0</v>
      </c>
      <c r="FC383" s="316">
        <v>0</v>
      </c>
      <c r="FD383" s="316">
        <v>0</v>
      </c>
      <c r="FE383" s="316">
        <v>0</v>
      </c>
      <c r="FF383" s="316">
        <v>0</v>
      </c>
      <c r="FG383" s="316">
        <v>0</v>
      </c>
      <c r="FH383" s="316">
        <v>0</v>
      </c>
      <c r="FI383" s="316">
        <v>0</v>
      </c>
      <c r="FJ383" s="318">
        <v>0</v>
      </c>
      <c r="FK383" s="316">
        <v>0</v>
      </c>
      <c r="FL383" s="316">
        <v>0</v>
      </c>
      <c r="FM383" s="316">
        <v>0</v>
      </c>
      <c r="FN383" s="316">
        <v>16.209857913474771</v>
      </c>
      <c r="FO383" s="316">
        <v>0</v>
      </c>
      <c r="FP383" s="316">
        <v>0</v>
      </c>
      <c r="FQ383" s="316">
        <v>0</v>
      </c>
      <c r="FR383" s="316">
        <v>0</v>
      </c>
      <c r="FS383" s="316">
        <v>0</v>
      </c>
      <c r="FT383" s="316">
        <v>19.094966261</v>
      </c>
      <c r="FU383" s="316">
        <v>0</v>
      </c>
      <c r="FV383" s="316">
        <v>0</v>
      </c>
      <c r="FW383" s="316">
        <v>0</v>
      </c>
      <c r="FX383" s="316">
        <v>0</v>
      </c>
      <c r="FY383" s="316">
        <v>0</v>
      </c>
      <c r="FZ383" s="316">
        <v>11.416539758000001</v>
      </c>
      <c r="GA383" s="316">
        <v>0</v>
      </c>
      <c r="GB383" s="316">
        <v>0</v>
      </c>
      <c r="GC383" s="316">
        <v>0</v>
      </c>
      <c r="GD383" s="316">
        <v>0</v>
      </c>
      <c r="GE383" s="316">
        <v>0</v>
      </c>
      <c r="GF383" s="316">
        <v>0</v>
      </c>
      <c r="GG383" s="316">
        <v>0</v>
      </c>
      <c r="GH383" s="316">
        <v>0</v>
      </c>
      <c r="GI383" s="316">
        <v>0</v>
      </c>
      <c r="GJ383" s="316">
        <v>0</v>
      </c>
      <c r="GK383" s="316">
        <v>0</v>
      </c>
      <c r="GL383" s="316">
        <v>0</v>
      </c>
      <c r="GM383" s="316">
        <v>0</v>
      </c>
      <c r="GN383" s="316">
        <v>0</v>
      </c>
      <c r="GO383" s="316">
        <v>0</v>
      </c>
      <c r="GP383" s="316">
        <v>0</v>
      </c>
      <c r="GQ383" s="316">
        <v>0</v>
      </c>
      <c r="GR383" s="316">
        <v>0</v>
      </c>
      <c r="GS383" s="316">
        <v>0</v>
      </c>
      <c r="GT383" s="316">
        <v>0</v>
      </c>
      <c r="GU383" s="316">
        <v>0</v>
      </c>
      <c r="GV383" s="316">
        <v>0</v>
      </c>
      <c r="GW383" s="316">
        <v>0</v>
      </c>
      <c r="GX383" s="316">
        <v>0</v>
      </c>
      <c r="GY383" s="316">
        <v>0</v>
      </c>
      <c r="GZ383" s="316">
        <v>0</v>
      </c>
      <c r="HA383" s="316">
        <v>0</v>
      </c>
      <c r="HB383" s="316">
        <v>0</v>
      </c>
      <c r="HC383" s="316">
        <v>0</v>
      </c>
      <c r="HD383" s="316">
        <v>0</v>
      </c>
      <c r="HE383" s="316">
        <v>0</v>
      </c>
      <c r="HF383" s="316">
        <v>0</v>
      </c>
      <c r="HG383" s="316">
        <v>52.070578646999998</v>
      </c>
      <c r="HH383" s="316">
        <v>0</v>
      </c>
      <c r="HI383" s="316">
        <v>0</v>
      </c>
      <c r="HJ383" s="316">
        <v>0</v>
      </c>
      <c r="HK383" s="316">
        <v>0</v>
      </c>
      <c r="HL383" s="316">
        <v>0</v>
      </c>
      <c r="HM383" s="316"/>
      <c r="KH383" s="303"/>
    </row>
    <row r="384" spans="1:294" outlineLevel="1">
      <c r="A384" s="117" t="s">
        <v>527</v>
      </c>
      <c r="B384" s="117" t="s">
        <v>527</v>
      </c>
      <c r="D384" s="344" t="s">
        <v>538</v>
      </c>
      <c r="E384" s="316"/>
      <c r="F384" s="316"/>
      <c r="G384" s="316"/>
      <c r="H384" s="316"/>
      <c r="I384" s="316"/>
      <c r="J384" s="316"/>
      <c r="K384" s="316"/>
      <c r="L384" s="316"/>
      <c r="M384" s="316"/>
      <c r="N384" s="316"/>
      <c r="O384" s="316"/>
      <c r="P384" s="316"/>
      <c r="Q384" s="316"/>
      <c r="R384" s="316"/>
      <c r="S384" s="316"/>
      <c r="T384" s="316"/>
      <c r="U384" s="316"/>
      <c r="V384" s="316"/>
      <c r="W384" s="316"/>
      <c r="X384" s="316"/>
      <c r="Y384" s="316"/>
      <c r="Z384" s="316"/>
      <c r="AA384" s="316"/>
      <c r="AB384" s="316"/>
      <c r="AC384" s="316"/>
      <c r="AD384" s="316"/>
      <c r="AE384" s="316"/>
      <c r="AF384" s="316"/>
      <c r="AG384" s="316"/>
      <c r="AH384" s="316"/>
      <c r="AI384" s="316"/>
      <c r="AJ384" s="316"/>
      <c r="AK384" s="316"/>
      <c r="AL384" s="316"/>
      <c r="AM384" s="316"/>
      <c r="AN384" s="316"/>
      <c r="AO384" s="316"/>
      <c r="AP384" s="316"/>
      <c r="AQ384" s="316"/>
      <c r="AR384" s="316"/>
      <c r="AS384" s="316"/>
      <c r="AT384" s="316"/>
      <c r="AU384" s="316"/>
      <c r="AV384" s="316"/>
      <c r="AW384" s="316"/>
      <c r="AX384" s="316"/>
      <c r="AY384" s="316"/>
      <c r="AZ384" s="316"/>
      <c r="BA384" s="316"/>
      <c r="BB384" s="316"/>
      <c r="BC384" s="316"/>
      <c r="BD384" s="316"/>
      <c r="BE384" s="316"/>
      <c r="BF384" s="316"/>
      <c r="BG384" s="316"/>
      <c r="BH384" s="316"/>
      <c r="BI384" s="316"/>
      <c r="BJ384" s="316"/>
      <c r="BK384" s="316"/>
      <c r="BL384" s="316"/>
      <c r="BM384" s="316"/>
      <c r="BN384" s="316"/>
      <c r="BO384" s="316"/>
      <c r="BP384" s="316"/>
      <c r="BQ384" s="316"/>
      <c r="BR384" s="316"/>
      <c r="BS384" s="316"/>
      <c r="BT384" s="316"/>
      <c r="BU384" s="316"/>
      <c r="BV384" s="316"/>
      <c r="BW384" s="316"/>
      <c r="BX384" s="316"/>
      <c r="BY384" s="316"/>
      <c r="BZ384" s="316"/>
      <c r="CA384" s="316"/>
      <c r="CB384" s="316"/>
      <c r="CC384" s="316"/>
      <c r="CD384" s="316"/>
      <c r="CE384" s="317">
        <v>0</v>
      </c>
      <c r="CF384" s="316">
        <v>0</v>
      </c>
      <c r="CG384" s="316">
        <v>0</v>
      </c>
      <c r="CH384" s="316">
        <v>0</v>
      </c>
      <c r="CI384" s="316">
        <v>0</v>
      </c>
      <c r="CJ384" s="316">
        <v>0</v>
      </c>
      <c r="CK384" s="316">
        <v>0</v>
      </c>
      <c r="CL384" s="316">
        <v>0</v>
      </c>
      <c r="CM384" s="316">
        <v>0</v>
      </c>
      <c r="CN384" s="316">
        <v>0</v>
      </c>
      <c r="CO384" s="316">
        <v>0</v>
      </c>
      <c r="CP384" s="318">
        <v>0</v>
      </c>
      <c r="CQ384" s="316">
        <v>0</v>
      </c>
      <c r="CR384" s="316">
        <v>0</v>
      </c>
      <c r="CS384" s="316">
        <v>0</v>
      </c>
      <c r="CT384" s="316">
        <v>0</v>
      </c>
      <c r="CU384" s="316">
        <v>0</v>
      </c>
      <c r="CV384" s="316">
        <v>0</v>
      </c>
      <c r="CW384" s="316">
        <v>0</v>
      </c>
      <c r="CX384" s="316">
        <v>0</v>
      </c>
      <c r="CY384" s="316">
        <v>0</v>
      </c>
      <c r="CZ384" s="316">
        <v>0</v>
      </c>
      <c r="DA384" s="316">
        <v>0</v>
      </c>
      <c r="DB384" s="1498">
        <v>0</v>
      </c>
      <c r="DC384" s="316">
        <v>0</v>
      </c>
      <c r="DD384" s="316">
        <v>0</v>
      </c>
      <c r="DE384" s="316">
        <v>0</v>
      </c>
      <c r="DF384" s="316">
        <v>0</v>
      </c>
      <c r="DG384" s="316">
        <v>0</v>
      </c>
      <c r="DH384" s="316">
        <v>0</v>
      </c>
      <c r="DI384" s="316">
        <v>0</v>
      </c>
      <c r="DJ384" s="316">
        <v>0</v>
      </c>
      <c r="DK384" s="316">
        <v>0</v>
      </c>
      <c r="DL384" s="316">
        <v>0</v>
      </c>
      <c r="DM384" s="316">
        <v>0</v>
      </c>
      <c r="DN384" s="318">
        <v>0</v>
      </c>
      <c r="DO384" s="316">
        <v>0</v>
      </c>
      <c r="DP384" s="316">
        <v>0</v>
      </c>
      <c r="DQ384" s="316">
        <v>0</v>
      </c>
      <c r="DR384" s="316">
        <v>0</v>
      </c>
      <c r="DS384" s="316">
        <v>0</v>
      </c>
      <c r="DT384" s="316">
        <v>0</v>
      </c>
      <c r="DU384" s="316">
        <v>0</v>
      </c>
      <c r="DV384" s="316">
        <v>0</v>
      </c>
      <c r="DW384" s="316">
        <v>0</v>
      </c>
      <c r="DX384" s="316">
        <v>0</v>
      </c>
      <c r="DY384" s="316">
        <v>0</v>
      </c>
      <c r="DZ384" s="318">
        <v>0</v>
      </c>
      <c r="EA384" s="316">
        <v>0</v>
      </c>
      <c r="EB384" s="316">
        <v>0</v>
      </c>
      <c r="EC384" s="316">
        <v>0</v>
      </c>
      <c r="ED384" s="316">
        <v>0</v>
      </c>
      <c r="EE384" s="316">
        <v>0</v>
      </c>
      <c r="EF384" s="316">
        <v>0</v>
      </c>
      <c r="EG384" s="316">
        <v>0</v>
      </c>
      <c r="EH384" s="316">
        <v>0</v>
      </c>
      <c r="EI384" s="316">
        <v>0</v>
      </c>
      <c r="EJ384" s="316">
        <v>0</v>
      </c>
      <c r="EK384" s="316">
        <v>0</v>
      </c>
      <c r="EL384" s="318">
        <v>0</v>
      </c>
      <c r="EM384" s="316">
        <v>0</v>
      </c>
      <c r="EN384" s="316">
        <v>0</v>
      </c>
      <c r="EO384" s="316">
        <v>0</v>
      </c>
      <c r="EP384" s="316">
        <v>0</v>
      </c>
      <c r="EQ384" s="316">
        <v>0</v>
      </c>
      <c r="ER384" s="316">
        <v>0</v>
      </c>
      <c r="ES384" s="316">
        <v>0</v>
      </c>
      <c r="ET384" s="316">
        <v>0</v>
      </c>
      <c r="EU384" s="316">
        <v>0</v>
      </c>
      <c r="EV384" s="316">
        <v>0</v>
      </c>
      <c r="EW384" s="316">
        <v>0</v>
      </c>
      <c r="EX384" s="318">
        <v>0</v>
      </c>
      <c r="EY384" s="316">
        <v>0</v>
      </c>
      <c r="EZ384" s="316">
        <v>0</v>
      </c>
      <c r="FA384" s="316">
        <v>0</v>
      </c>
      <c r="FB384" s="316">
        <v>0</v>
      </c>
      <c r="FC384" s="316">
        <v>0</v>
      </c>
      <c r="FD384" s="316">
        <v>0</v>
      </c>
      <c r="FE384" s="316">
        <v>0</v>
      </c>
      <c r="FF384" s="316">
        <v>0</v>
      </c>
      <c r="FG384" s="316">
        <v>0</v>
      </c>
      <c r="FH384" s="316">
        <v>0</v>
      </c>
      <c r="FI384" s="316">
        <v>0</v>
      </c>
      <c r="FJ384" s="318">
        <v>0</v>
      </c>
      <c r="FK384" s="316">
        <v>0</v>
      </c>
      <c r="FL384" s="316">
        <v>0</v>
      </c>
      <c r="FM384" s="316">
        <v>0</v>
      </c>
      <c r="FN384" s="316">
        <v>0</v>
      </c>
      <c r="FO384" s="316">
        <v>0</v>
      </c>
      <c r="FP384" s="316">
        <v>0</v>
      </c>
      <c r="FQ384" s="316">
        <v>0</v>
      </c>
      <c r="FR384" s="316">
        <v>0</v>
      </c>
      <c r="FS384" s="316">
        <v>0</v>
      </c>
      <c r="FT384" s="316">
        <v>0</v>
      </c>
      <c r="FU384" s="316">
        <v>0</v>
      </c>
      <c r="FV384" s="316">
        <v>0</v>
      </c>
      <c r="FW384" s="316">
        <v>0</v>
      </c>
      <c r="FX384" s="316">
        <v>0</v>
      </c>
      <c r="FY384" s="316">
        <v>0</v>
      </c>
      <c r="FZ384" s="316">
        <v>0</v>
      </c>
      <c r="GA384" s="316">
        <v>0</v>
      </c>
      <c r="GB384" s="316">
        <v>0</v>
      </c>
      <c r="GC384" s="316">
        <v>0</v>
      </c>
      <c r="GD384" s="316">
        <v>0</v>
      </c>
      <c r="GE384" s="316">
        <v>0</v>
      </c>
      <c r="GF384" s="316">
        <v>0</v>
      </c>
      <c r="GG384" s="316">
        <v>0</v>
      </c>
      <c r="GH384" s="316">
        <v>0</v>
      </c>
      <c r="GI384" s="316">
        <v>0</v>
      </c>
      <c r="GJ384" s="316">
        <v>0</v>
      </c>
      <c r="GK384" s="316">
        <v>0</v>
      </c>
      <c r="GL384" s="316">
        <v>0</v>
      </c>
      <c r="GM384" s="316">
        <v>0</v>
      </c>
      <c r="GN384" s="316">
        <v>0</v>
      </c>
      <c r="GO384" s="316">
        <v>0</v>
      </c>
      <c r="GP384" s="316">
        <v>0</v>
      </c>
      <c r="GQ384" s="316">
        <v>0</v>
      </c>
      <c r="GR384" s="316">
        <v>0</v>
      </c>
      <c r="GS384" s="316">
        <v>0</v>
      </c>
      <c r="GT384" s="316">
        <v>0</v>
      </c>
      <c r="GU384" s="316">
        <v>0</v>
      </c>
      <c r="GV384" s="316">
        <v>0</v>
      </c>
      <c r="GW384" s="316">
        <v>0</v>
      </c>
      <c r="GX384" s="316">
        <v>0</v>
      </c>
      <c r="GY384" s="316">
        <v>0</v>
      </c>
      <c r="GZ384" s="316">
        <v>0</v>
      </c>
      <c r="HA384" s="316">
        <v>0</v>
      </c>
      <c r="HB384" s="316">
        <v>0</v>
      </c>
      <c r="HC384" s="316">
        <v>0</v>
      </c>
      <c r="HD384" s="316">
        <v>0</v>
      </c>
      <c r="HE384" s="316">
        <v>0</v>
      </c>
      <c r="HF384" s="316">
        <v>0</v>
      </c>
      <c r="HG384" s="316">
        <v>52.070578646999998</v>
      </c>
      <c r="HH384" s="316">
        <v>0</v>
      </c>
      <c r="HI384" s="316">
        <v>0</v>
      </c>
      <c r="HJ384" s="316">
        <v>0</v>
      </c>
      <c r="HK384" s="316">
        <v>0</v>
      </c>
      <c r="HL384" s="316">
        <v>0</v>
      </c>
      <c r="HM384" s="316"/>
      <c r="KH384" s="303"/>
    </row>
    <row r="385" spans="1:295" outlineLevel="1">
      <c r="A385" s="117" t="s">
        <v>527</v>
      </c>
      <c r="B385" s="117" t="s">
        <v>527</v>
      </c>
      <c r="D385" s="344" t="s">
        <v>539</v>
      </c>
      <c r="E385" s="316"/>
      <c r="F385" s="316"/>
      <c r="G385" s="316"/>
      <c r="H385" s="316"/>
      <c r="I385" s="316"/>
      <c r="J385" s="316"/>
      <c r="K385" s="316"/>
      <c r="L385" s="316"/>
      <c r="M385" s="316"/>
      <c r="N385" s="316"/>
      <c r="O385" s="316"/>
      <c r="P385" s="316"/>
      <c r="Q385" s="316"/>
      <c r="R385" s="316"/>
      <c r="S385" s="316"/>
      <c r="T385" s="316"/>
      <c r="U385" s="316"/>
      <c r="V385" s="316"/>
      <c r="W385" s="316"/>
      <c r="X385" s="316"/>
      <c r="Y385" s="316"/>
      <c r="Z385" s="316"/>
      <c r="AA385" s="316"/>
      <c r="AB385" s="316"/>
      <c r="AC385" s="316"/>
      <c r="AD385" s="316"/>
      <c r="AE385" s="316"/>
      <c r="AF385" s="316"/>
      <c r="AG385" s="316"/>
      <c r="AH385" s="316"/>
      <c r="AI385" s="316"/>
      <c r="AJ385" s="316"/>
      <c r="AK385" s="316"/>
      <c r="AL385" s="316"/>
      <c r="AM385" s="316"/>
      <c r="AN385" s="316"/>
      <c r="AO385" s="316"/>
      <c r="AP385" s="316"/>
      <c r="AQ385" s="316"/>
      <c r="AR385" s="316"/>
      <c r="AS385" s="316"/>
      <c r="AT385" s="316"/>
      <c r="AU385" s="316"/>
      <c r="AV385" s="316"/>
      <c r="AW385" s="316"/>
      <c r="AX385" s="316"/>
      <c r="AY385" s="316"/>
      <c r="AZ385" s="316"/>
      <c r="BA385" s="316"/>
      <c r="BB385" s="316"/>
      <c r="BC385" s="316"/>
      <c r="BD385" s="316"/>
      <c r="BE385" s="316"/>
      <c r="BF385" s="316"/>
      <c r="BG385" s="316"/>
      <c r="BH385" s="316"/>
      <c r="BI385" s="316"/>
      <c r="BJ385" s="316"/>
      <c r="BK385" s="316"/>
      <c r="BL385" s="316"/>
      <c r="BM385" s="316"/>
      <c r="BN385" s="316"/>
      <c r="BO385" s="316"/>
      <c r="BP385" s="316"/>
      <c r="BQ385" s="316"/>
      <c r="BR385" s="316"/>
      <c r="BS385" s="316"/>
      <c r="BT385" s="316"/>
      <c r="BU385" s="316"/>
      <c r="BV385" s="316"/>
      <c r="BW385" s="316"/>
      <c r="BX385" s="316"/>
      <c r="BY385" s="316"/>
      <c r="BZ385" s="316"/>
      <c r="CA385" s="316"/>
      <c r="CB385" s="316"/>
      <c r="CC385" s="316"/>
      <c r="CD385" s="316"/>
      <c r="CE385" s="317">
        <v>0</v>
      </c>
      <c r="CF385" s="316">
        <v>0</v>
      </c>
      <c r="CG385" s="316">
        <v>0</v>
      </c>
      <c r="CH385" s="316">
        <v>0</v>
      </c>
      <c r="CI385" s="316">
        <v>0</v>
      </c>
      <c r="CJ385" s="316">
        <v>0</v>
      </c>
      <c r="CK385" s="316">
        <v>0</v>
      </c>
      <c r="CL385" s="316">
        <v>0</v>
      </c>
      <c r="CM385" s="316">
        <v>0</v>
      </c>
      <c r="CN385" s="316">
        <v>0</v>
      </c>
      <c r="CO385" s="316">
        <v>0</v>
      </c>
      <c r="CP385" s="318">
        <v>0</v>
      </c>
      <c r="CQ385" s="316">
        <v>0</v>
      </c>
      <c r="CR385" s="316">
        <v>0</v>
      </c>
      <c r="CS385" s="316">
        <v>0</v>
      </c>
      <c r="CT385" s="316">
        <v>0</v>
      </c>
      <c r="CU385" s="316">
        <v>0</v>
      </c>
      <c r="CV385" s="316">
        <v>0</v>
      </c>
      <c r="CW385" s="316">
        <v>0</v>
      </c>
      <c r="CX385" s="316">
        <v>0</v>
      </c>
      <c r="CY385" s="316">
        <v>0</v>
      </c>
      <c r="CZ385" s="316">
        <v>0</v>
      </c>
      <c r="DA385" s="316">
        <v>0</v>
      </c>
      <c r="DB385" s="1498">
        <v>0</v>
      </c>
      <c r="DC385" s="316">
        <v>0</v>
      </c>
      <c r="DD385" s="316">
        <v>0</v>
      </c>
      <c r="DE385" s="316">
        <v>0</v>
      </c>
      <c r="DF385" s="316">
        <v>0</v>
      </c>
      <c r="DG385" s="316">
        <v>0</v>
      </c>
      <c r="DH385" s="316">
        <v>0</v>
      </c>
      <c r="DI385" s="316">
        <v>0</v>
      </c>
      <c r="DJ385" s="316">
        <v>0</v>
      </c>
      <c r="DK385" s="316">
        <v>0</v>
      </c>
      <c r="DL385" s="316">
        <v>0</v>
      </c>
      <c r="DM385" s="316">
        <v>0</v>
      </c>
      <c r="DN385" s="318">
        <v>0</v>
      </c>
      <c r="DO385" s="316">
        <v>0</v>
      </c>
      <c r="DP385" s="316">
        <v>0</v>
      </c>
      <c r="DQ385" s="316">
        <v>0</v>
      </c>
      <c r="DR385" s="316">
        <v>0</v>
      </c>
      <c r="DS385" s="316">
        <v>0</v>
      </c>
      <c r="DT385" s="316">
        <v>0</v>
      </c>
      <c r="DU385" s="316">
        <v>0</v>
      </c>
      <c r="DV385" s="316">
        <v>0</v>
      </c>
      <c r="DW385" s="316">
        <v>0</v>
      </c>
      <c r="DX385" s="316">
        <v>0</v>
      </c>
      <c r="DY385" s="316">
        <v>0</v>
      </c>
      <c r="DZ385" s="318">
        <v>0</v>
      </c>
      <c r="EA385" s="316">
        <v>0</v>
      </c>
      <c r="EB385" s="316">
        <v>0</v>
      </c>
      <c r="EC385" s="316">
        <v>0</v>
      </c>
      <c r="ED385" s="316">
        <v>0</v>
      </c>
      <c r="EE385" s="316">
        <v>0</v>
      </c>
      <c r="EF385" s="316">
        <v>0</v>
      </c>
      <c r="EG385" s="316">
        <v>0</v>
      </c>
      <c r="EH385" s="316">
        <v>0</v>
      </c>
      <c r="EI385" s="316">
        <v>0</v>
      </c>
      <c r="EJ385" s="316">
        <v>0</v>
      </c>
      <c r="EK385" s="316">
        <v>0</v>
      </c>
      <c r="EL385" s="318">
        <v>0</v>
      </c>
      <c r="EM385" s="316">
        <v>0</v>
      </c>
      <c r="EN385" s="316">
        <v>0</v>
      </c>
      <c r="EO385" s="316">
        <v>0</v>
      </c>
      <c r="EP385" s="316">
        <v>0</v>
      </c>
      <c r="EQ385" s="316">
        <v>0</v>
      </c>
      <c r="ER385" s="316">
        <v>0</v>
      </c>
      <c r="ES385" s="316">
        <v>0</v>
      </c>
      <c r="ET385" s="316">
        <v>0</v>
      </c>
      <c r="EU385" s="316">
        <v>0</v>
      </c>
      <c r="EV385" s="316">
        <v>0</v>
      </c>
      <c r="EW385" s="316">
        <v>0</v>
      </c>
      <c r="EX385" s="318">
        <v>0</v>
      </c>
      <c r="EY385" s="316">
        <v>0</v>
      </c>
      <c r="EZ385" s="316">
        <v>0</v>
      </c>
      <c r="FA385" s="316">
        <v>0</v>
      </c>
      <c r="FB385" s="316">
        <v>0</v>
      </c>
      <c r="FC385" s="316">
        <v>0</v>
      </c>
      <c r="FD385" s="316">
        <v>0</v>
      </c>
      <c r="FE385" s="316">
        <v>0</v>
      </c>
      <c r="FF385" s="316">
        <v>0</v>
      </c>
      <c r="FG385" s="316">
        <v>0</v>
      </c>
      <c r="FH385" s="316">
        <v>0</v>
      </c>
      <c r="FI385" s="316">
        <v>0</v>
      </c>
      <c r="FJ385" s="318">
        <v>0</v>
      </c>
      <c r="FK385" s="316">
        <v>0</v>
      </c>
      <c r="FL385" s="316">
        <v>0</v>
      </c>
      <c r="FM385" s="316">
        <v>0</v>
      </c>
      <c r="FN385" s="316">
        <v>16.209857913474771</v>
      </c>
      <c r="FO385" s="316">
        <v>0</v>
      </c>
      <c r="FP385" s="316">
        <v>0</v>
      </c>
      <c r="FQ385" s="316">
        <v>0</v>
      </c>
      <c r="FR385" s="316">
        <v>0</v>
      </c>
      <c r="FS385" s="316">
        <v>0</v>
      </c>
      <c r="FT385" s="316">
        <v>19.094966261</v>
      </c>
      <c r="FU385" s="316">
        <v>0</v>
      </c>
      <c r="FV385" s="316">
        <v>0</v>
      </c>
      <c r="FW385" s="316">
        <v>0</v>
      </c>
      <c r="FX385" s="316">
        <v>0</v>
      </c>
      <c r="FY385" s="316">
        <v>0</v>
      </c>
      <c r="FZ385" s="316">
        <v>11.416539758000001</v>
      </c>
      <c r="GA385" s="316">
        <v>0</v>
      </c>
      <c r="GB385" s="316">
        <v>0</v>
      </c>
      <c r="GC385" s="316">
        <v>0</v>
      </c>
      <c r="GD385" s="316">
        <v>0</v>
      </c>
      <c r="GE385" s="316">
        <v>0</v>
      </c>
      <c r="GF385" s="316">
        <v>0</v>
      </c>
      <c r="GG385" s="316">
        <v>0</v>
      </c>
      <c r="GH385" s="316">
        <v>0</v>
      </c>
      <c r="GI385" s="316">
        <v>0</v>
      </c>
      <c r="GJ385" s="316">
        <v>0</v>
      </c>
      <c r="GK385" s="316">
        <v>0</v>
      </c>
      <c r="GL385" s="316">
        <v>0</v>
      </c>
      <c r="GM385" s="316">
        <v>0</v>
      </c>
      <c r="GN385" s="316">
        <v>0</v>
      </c>
      <c r="GO385" s="316">
        <v>0</v>
      </c>
      <c r="GP385" s="316">
        <v>0</v>
      </c>
      <c r="GQ385" s="316">
        <v>0</v>
      </c>
      <c r="GR385" s="316">
        <v>0</v>
      </c>
      <c r="GS385" s="316">
        <v>0</v>
      </c>
      <c r="GT385" s="316">
        <v>0</v>
      </c>
      <c r="GU385" s="316">
        <v>0</v>
      </c>
      <c r="GV385" s="316">
        <v>0</v>
      </c>
      <c r="GW385" s="316">
        <v>0</v>
      </c>
      <c r="GX385" s="316">
        <v>0</v>
      </c>
      <c r="GY385" s="316">
        <v>0</v>
      </c>
      <c r="GZ385" s="316">
        <v>0</v>
      </c>
      <c r="HA385" s="316">
        <v>0</v>
      </c>
      <c r="HB385" s="316">
        <v>0</v>
      </c>
      <c r="HC385" s="316">
        <v>0</v>
      </c>
      <c r="HD385" s="316">
        <v>0</v>
      </c>
      <c r="HE385" s="316">
        <v>0</v>
      </c>
      <c r="HF385" s="316">
        <v>0</v>
      </c>
      <c r="HG385" s="316">
        <v>0</v>
      </c>
      <c r="HH385" s="316">
        <v>0</v>
      </c>
      <c r="HI385" s="316">
        <v>0</v>
      </c>
      <c r="HJ385" s="316">
        <v>0</v>
      </c>
      <c r="HK385" s="316">
        <v>0</v>
      </c>
      <c r="HL385" s="316">
        <v>0</v>
      </c>
      <c r="HM385" s="316"/>
      <c r="KH385" s="303"/>
    </row>
    <row r="386" spans="1:295" outlineLevel="1">
      <c r="A386" s="117" t="s">
        <v>395</v>
      </c>
      <c r="B386" s="117" t="s">
        <v>361</v>
      </c>
      <c r="D386" s="343" t="s">
        <v>556</v>
      </c>
      <c r="E386" s="316"/>
      <c r="F386" s="316"/>
      <c r="G386" s="316"/>
      <c r="H386" s="316"/>
      <c r="I386" s="316"/>
      <c r="J386" s="316"/>
      <c r="K386" s="316"/>
      <c r="L386" s="316"/>
      <c r="M386" s="316"/>
      <c r="N386" s="316"/>
      <c r="O386" s="316"/>
      <c r="P386" s="316"/>
      <c r="Q386" s="316"/>
      <c r="R386" s="316"/>
      <c r="S386" s="316"/>
      <c r="T386" s="316"/>
      <c r="U386" s="316"/>
      <c r="V386" s="316"/>
      <c r="W386" s="316"/>
      <c r="X386" s="316"/>
      <c r="Y386" s="316"/>
      <c r="Z386" s="316"/>
      <c r="AA386" s="316"/>
      <c r="AB386" s="316"/>
      <c r="AC386" s="316"/>
      <c r="AD386" s="316"/>
      <c r="AE386" s="316"/>
      <c r="AF386" s="316"/>
      <c r="AG386" s="316"/>
      <c r="AH386" s="316"/>
      <c r="AI386" s="316"/>
      <c r="AJ386" s="316"/>
      <c r="AK386" s="316"/>
      <c r="AL386" s="316"/>
      <c r="AM386" s="316"/>
      <c r="AN386" s="316"/>
      <c r="AO386" s="316"/>
      <c r="AP386" s="316"/>
      <c r="AQ386" s="316"/>
      <c r="AR386" s="316"/>
      <c r="AS386" s="316"/>
      <c r="AT386" s="316"/>
      <c r="AU386" s="316"/>
      <c r="AV386" s="316"/>
      <c r="AW386" s="316"/>
      <c r="AX386" s="316"/>
      <c r="AY386" s="316"/>
      <c r="AZ386" s="316"/>
      <c r="BA386" s="316"/>
      <c r="BB386" s="316"/>
      <c r="BC386" s="316"/>
      <c r="BD386" s="316"/>
      <c r="BE386" s="316"/>
      <c r="BF386" s="316"/>
      <c r="BG386" s="316"/>
      <c r="BH386" s="316"/>
      <c r="BI386" s="316"/>
      <c r="BJ386" s="316"/>
      <c r="BK386" s="316"/>
      <c r="BL386" s="316"/>
      <c r="BM386" s="316"/>
      <c r="BN386" s="316"/>
      <c r="BO386" s="316"/>
      <c r="BP386" s="316"/>
      <c r="BQ386" s="316"/>
      <c r="BR386" s="316"/>
      <c r="BS386" s="316"/>
      <c r="BT386" s="316"/>
      <c r="BU386" s="316"/>
      <c r="BV386" s="316"/>
      <c r="BW386" s="316"/>
      <c r="BX386" s="316"/>
      <c r="BY386" s="316"/>
      <c r="BZ386" s="316"/>
      <c r="CA386" s="316"/>
      <c r="CB386" s="316"/>
      <c r="CC386" s="316"/>
      <c r="CD386" s="316"/>
      <c r="CE386" s="317">
        <v>0.119299153</v>
      </c>
      <c r="CF386" s="316">
        <v>0.11347230699999999</v>
      </c>
      <c r="CG386" s="316">
        <v>7.2799304999999995E-2</v>
      </c>
      <c r="CH386" s="316">
        <v>0.107684892</v>
      </c>
      <c r="CI386" s="316">
        <v>0.662955144</v>
      </c>
      <c r="CJ386" s="316">
        <v>0.30941506800000002</v>
      </c>
      <c r="CK386" s="316">
        <v>6.2576163000000004E-2</v>
      </c>
      <c r="CL386" s="316">
        <v>0.303381807</v>
      </c>
      <c r="CM386" s="316">
        <v>0.36172429099999998</v>
      </c>
      <c r="CN386" s="316">
        <v>0.45200000000000001</v>
      </c>
      <c r="CO386" s="316">
        <v>0.48499999999999999</v>
      </c>
      <c r="CP386" s="318">
        <v>1.17</v>
      </c>
      <c r="CQ386" s="316">
        <v>5.8000000000000003E-2</v>
      </c>
      <c r="CR386" s="316">
        <v>4.2000000000000003E-2</v>
      </c>
      <c r="CS386" s="316">
        <v>1.1779999999999999</v>
      </c>
      <c r="CT386" s="316">
        <v>9.8000000000000004E-2</v>
      </c>
      <c r="CU386" s="316">
        <v>0.10100000000000001</v>
      </c>
      <c r="CV386" s="316">
        <v>0.372</v>
      </c>
      <c r="CW386" s="316">
        <v>0.36699999999999999</v>
      </c>
      <c r="CX386" s="316">
        <v>5.0000000000000001E-3</v>
      </c>
      <c r="CY386" s="316">
        <v>0.40400000000000003</v>
      </c>
      <c r="CZ386" s="316">
        <v>3.9E-2</v>
      </c>
      <c r="DA386" s="316">
        <v>0.46300000000000002</v>
      </c>
      <c r="DB386" s="1498">
        <v>1.9390000000000001</v>
      </c>
      <c r="DC386" s="316">
        <v>9.4E-2</v>
      </c>
      <c r="DD386" s="316">
        <v>0.30499999999999999</v>
      </c>
      <c r="DE386" s="316">
        <v>0.45400000000000001</v>
      </c>
      <c r="DF386" s="316">
        <v>0.52200000000000002</v>
      </c>
      <c r="DG386" s="316">
        <v>0.55400000000000005</v>
      </c>
      <c r="DH386" s="316">
        <v>0.48199999999999998</v>
      </c>
      <c r="DI386" s="316">
        <v>0.4</v>
      </c>
      <c r="DJ386" s="316">
        <v>2.3050000000000002</v>
      </c>
      <c r="DK386" s="316">
        <v>0.2</v>
      </c>
      <c r="DL386" s="316">
        <v>0.13800000000000001</v>
      </c>
      <c r="DM386" s="316">
        <v>6.6000000000000003E-2</v>
      </c>
      <c r="DN386" s="318">
        <v>0.108</v>
      </c>
      <c r="DO386" s="316">
        <v>0</v>
      </c>
      <c r="DP386" s="316">
        <v>0</v>
      </c>
      <c r="DQ386" s="316">
        <v>0</v>
      </c>
      <c r="DR386" s="316">
        <v>0</v>
      </c>
      <c r="DS386" s="316">
        <v>0</v>
      </c>
      <c r="DT386" s="316">
        <v>0</v>
      </c>
      <c r="DU386" s="316">
        <v>0</v>
      </c>
      <c r="DV386" s="316">
        <v>0</v>
      </c>
      <c r="DW386" s="316">
        <v>0</v>
      </c>
      <c r="DX386" s="316">
        <v>0</v>
      </c>
      <c r="DY386" s="316">
        <v>0</v>
      </c>
      <c r="DZ386" s="318">
        <v>0</v>
      </c>
      <c r="EA386" s="316">
        <v>0</v>
      </c>
      <c r="EB386" s="316">
        <v>0</v>
      </c>
      <c r="EC386" s="316">
        <v>0</v>
      </c>
      <c r="ED386" s="316">
        <v>0</v>
      </c>
      <c r="EE386" s="316">
        <v>0</v>
      </c>
      <c r="EF386" s="316">
        <v>0</v>
      </c>
      <c r="EG386" s="316">
        <v>0</v>
      </c>
      <c r="EH386" s="316">
        <v>0</v>
      </c>
      <c r="EI386" s="316">
        <v>0</v>
      </c>
      <c r="EJ386" s="316">
        <v>0</v>
      </c>
      <c r="EK386" s="316">
        <v>0</v>
      </c>
      <c r="EL386" s="318">
        <v>0</v>
      </c>
      <c r="EM386" s="316">
        <v>0</v>
      </c>
      <c r="EN386" s="316">
        <v>0</v>
      </c>
      <c r="EO386" s="316">
        <v>0</v>
      </c>
      <c r="EP386" s="316">
        <v>0</v>
      </c>
      <c r="EQ386" s="316">
        <v>0</v>
      </c>
      <c r="ER386" s="316">
        <v>0</v>
      </c>
      <c r="ES386" s="316">
        <v>0</v>
      </c>
      <c r="ET386" s="316">
        <v>0</v>
      </c>
      <c r="EU386" s="316">
        <v>0</v>
      </c>
      <c r="EV386" s="316">
        <v>0</v>
      </c>
      <c r="EW386" s="316">
        <v>0</v>
      </c>
      <c r="EX386" s="318">
        <v>0</v>
      </c>
      <c r="EY386" s="316">
        <v>0</v>
      </c>
      <c r="EZ386" s="316">
        <v>0</v>
      </c>
      <c r="FA386" s="316">
        <v>0</v>
      </c>
      <c r="FB386" s="316">
        <v>0</v>
      </c>
      <c r="FC386" s="316">
        <v>0</v>
      </c>
      <c r="FD386" s="316">
        <v>0</v>
      </c>
      <c r="FE386" s="316">
        <v>0</v>
      </c>
      <c r="FF386" s="316">
        <v>0</v>
      </c>
      <c r="FG386" s="316">
        <v>0</v>
      </c>
      <c r="FH386" s="316">
        <v>0</v>
      </c>
      <c r="FI386" s="316">
        <v>0</v>
      </c>
      <c r="FJ386" s="318">
        <v>0</v>
      </c>
      <c r="FK386" s="316">
        <v>0</v>
      </c>
      <c r="FL386" s="316">
        <v>0</v>
      </c>
      <c r="FM386" s="316">
        <v>0</v>
      </c>
      <c r="FN386" s="316">
        <v>0</v>
      </c>
      <c r="FO386" s="316">
        <v>0</v>
      </c>
      <c r="FP386" s="316">
        <v>0</v>
      </c>
      <c r="FQ386" s="316">
        <v>0</v>
      </c>
      <c r="FR386" s="316">
        <v>0</v>
      </c>
      <c r="FS386" s="316">
        <v>0</v>
      </c>
      <c r="FT386" s="316">
        <v>0</v>
      </c>
      <c r="FU386" s="316">
        <v>0</v>
      </c>
      <c r="FV386" s="316">
        <v>0</v>
      </c>
      <c r="FW386" s="316">
        <v>0</v>
      </c>
      <c r="FX386" s="316">
        <v>0</v>
      </c>
      <c r="FY386" s="316">
        <v>0</v>
      </c>
      <c r="FZ386" s="316">
        <v>0</v>
      </c>
      <c r="GA386" s="316">
        <v>0</v>
      </c>
      <c r="GB386" s="316">
        <v>0</v>
      </c>
      <c r="GC386" s="316">
        <v>0</v>
      </c>
      <c r="GD386" s="316">
        <v>0</v>
      </c>
      <c r="GE386" s="316">
        <v>0</v>
      </c>
      <c r="GF386" s="316">
        <v>0</v>
      </c>
      <c r="GG386" s="316">
        <v>0</v>
      </c>
      <c r="GH386" s="316">
        <v>0</v>
      </c>
      <c r="GI386" s="316">
        <v>0</v>
      </c>
      <c r="GJ386" s="316">
        <v>0</v>
      </c>
      <c r="GK386" s="316">
        <v>0</v>
      </c>
      <c r="GL386" s="316">
        <v>0</v>
      </c>
      <c r="GM386" s="316">
        <v>0</v>
      </c>
      <c r="GN386" s="316">
        <v>0</v>
      </c>
      <c r="GO386" s="316">
        <v>0</v>
      </c>
      <c r="GP386" s="316">
        <v>0</v>
      </c>
      <c r="GQ386" s="316">
        <v>0</v>
      </c>
      <c r="GR386" s="316">
        <v>0</v>
      </c>
      <c r="GS386" s="316">
        <v>0</v>
      </c>
      <c r="GT386" s="316">
        <v>0</v>
      </c>
      <c r="GU386" s="316">
        <v>0</v>
      </c>
      <c r="GV386" s="316">
        <v>0</v>
      </c>
      <c r="GW386" s="316">
        <v>0</v>
      </c>
      <c r="GX386" s="316">
        <v>0</v>
      </c>
      <c r="GY386" s="316">
        <v>0</v>
      </c>
      <c r="GZ386" s="316">
        <v>0</v>
      </c>
      <c r="HA386" s="316">
        <v>0</v>
      </c>
      <c r="HB386" s="316">
        <v>0</v>
      </c>
      <c r="HC386" s="316">
        <v>0</v>
      </c>
      <c r="HD386" s="316">
        <v>0</v>
      </c>
      <c r="HE386" s="316">
        <v>0</v>
      </c>
      <c r="HF386" s="316">
        <v>0</v>
      </c>
      <c r="HG386" s="316">
        <v>0</v>
      </c>
      <c r="HH386" s="316">
        <v>0</v>
      </c>
      <c r="HI386" s="316">
        <v>0</v>
      </c>
      <c r="HJ386" s="316">
        <v>0</v>
      </c>
      <c r="HK386" s="316">
        <v>0</v>
      </c>
      <c r="HL386" s="316">
        <v>0</v>
      </c>
      <c r="HM386" s="316"/>
      <c r="KH386" s="303"/>
    </row>
    <row r="387" spans="1:295" outlineLevel="1">
      <c r="CE387" s="840"/>
      <c r="CP387" s="303"/>
      <c r="DN387" s="1478"/>
      <c r="DO387" s="938"/>
      <c r="DP387" s="938"/>
      <c r="DQ387" s="938"/>
      <c r="DR387" s="938"/>
      <c r="DS387" s="938"/>
      <c r="DT387" s="938"/>
      <c r="DU387" s="938"/>
      <c r="DV387" s="938"/>
      <c r="DW387" s="938"/>
      <c r="DX387" s="938"/>
      <c r="DY387" s="938"/>
      <c r="DZ387" s="1478"/>
      <c r="EA387" s="938"/>
      <c r="EB387" s="938"/>
      <c r="EC387" s="938"/>
      <c r="ED387" s="938"/>
      <c r="EE387" s="302"/>
      <c r="EF387" s="302"/>
      <c r="EG387" s="302"/>
      <c r="EH387" s="302"/>
      <c r="EI387" s="302"/>
      <c r="EJ387" s="302"/>
      <c r="EK387" s="302"/>
      <c r="EL387" s="1478"/>
      <c r="EM387" s="938"/>
      <c r="EN387" s="302"/>
      <c r="EO387" s="302"/>
      <c r="EP387" s="302"/>
      <c r="EQ387" s="302"/>
      <c r="ER387" s="302"/>
      <c r="ES387" s="302"/>
      <c r="ET387" s="302"/>
      <c r="EU387" s="302"/>
      <c r="EV387" s="302"/>
      <c r="EW387" s="302"/>
      <c r="EX387" s="1478"/>
      <c r="EY387" s="302"/>
      <c r="EZ387" s="302"/>
      <c r="FA387" s="302"/>
      <c r="FB387" s="302"/>
      <c r="FC387" s="302"/>
      <c r="FD387" s="302"/>
      <c r="FE387" s="302"/>
      <c r="FF387" s="302"/>
      <c r="FG387" s="302"/>
      <c r="FH387" s="302"/>
      <c r="FI387" s="302"/>
      <c r="FJ387" s="1478"/>
      <c r="FK387" s="302"/>
      <c r="FL387" s="302"/>
      <c r="FM387" s="302"/>
      <c r="FN387" s="302"/>
      <c r="FO387" s="302"/>
      <c r="FP387" s="302"/>
      <c r="FQ387" s="302"/>
      <c r="FR387" s="302"/>
      <c r="FS387" s="302"/>
      <c r="FT387" s="302"/>
      <c r="FU387" s="302"/>
      <c r="FV387" s="302"/>
      <c r="FW387" s="302"/>
      <c r="FX387" s="302"/>
      <c r="FY387" s="302"/>
      <c r="FZ387" s="302"/>
      <c r="GA387" s="302"/>
      <c r="GB387" s="302"/>
      <c r="GC387" s="302"/>
      <c r="GD387" s="302"/>
      <c r="GE387" s="302"/>
      <c r="GF387" s="302"/>
      <c r="GG387" s="302"/>
      <c r="GH387" s="302"/>
      <c r="GI387" s="302"/>
      <c r="GJ387" s="302"/>
      <c r="GK387" s="302"/>
      <c r="GL387" s="302"/>
      <c r="GM387" s="302"/>
      <c r="GN387" s="302"/>
      <c r="GO387" s="302"/>
      <c r="GP387" s="302"/>
      <c r="GQ387" s="302"/>
      <c r="GR387" s="302"/>
      <c r="GS387" s="302"/>
      <c r="GT387" s="302"/>
      <c r="GU387" s="302"/>
      <c r="GV387" s="302"/>
      <c r="GW387" s="302"/>
      <c r="GX387" s="302"/>
      <c r="GY387" s="302"/>
      <c r="GZ387" s="302"/>
      <c r="HA387" s="302"/>
      <c r="HB387" s="302"/>
      <c r="HC387" s="302"/>
      <c r="HD387" s="302"/>
      <c r="HE387" s="302"/>
      <c r="HF387" s="302"/>
      <c r="HG387" s="302"/>
      <c r="HH387" s="302"/>
      <c r="HI387" s="302"/>
      <c r="HJ387" s="302"/>
      <c r="HK387" s="302"/>
      <c r="HL387" s="302"/>
      <c r="HM387" s="302"/>
      <c r="KH387" s="303"/>
    </row>
    <row r="388" spans="1:295" outlineLevel="1">
      <c r="A388" s="314" t="s">
        <v>1093</v>
      </c>
      <c r="CE388" s="840"/>
      <c r="CP388" s="303"/>
      <c r="DN388" s="1478"/>
      <c r="DO388" s="938"/>
      <c r="DP388" s="938"/>
      <c r="DQ388" s="938"/>
      <c r="DR388" s="938"/>
      <c r="DS388" s="938"/>
      <c r="DT388" s="938"/>
      <c r="DU388" s="938"/>
      <c r="DV388" s="938"/>
      <c r="DW388" s="938"/>
      <c r="DX388" s="938"/>
      <c r="DY388" s="938"/>
      <c r="DZ388" s="1478"/>
      <c r="EA388" s="938"/>
      <c r="EB388" s="938"/>
      <c r="EC388" s="938"/>
      <c r="ED388" s="938"/>
      <c r="EE388" s="302"/>
      <c r="EF388" s="302"/>
      <c r="EG388" s="302"/>
      <c r="EH388" s="302"/>
      <c r="EI388" s="302"/>
      <c r="EJ388" s="302"/>
      <c r="EK388" s="302"/>
      <c r="EL388" s="1478"/>
      <c r="EM388" s="938"/>
      <c r="EN388" s="302"/>
      <c r="EO388" s="302"/>
      <c r="EP388" s="302"/>
      <c r="EQ388" s="302"/>
      <c r="ER388" s="302"/>
      <c r="ES388" s="302"/>
      <c r="ET388" s="302"/>
      <c r="EU388" s="302"/>
      <c r="EV388" s="302"/>
      <c r="EW388" s="302"/>
      <c r="EX388" s="1478"/>
      <c r="EY388" s="302"/>
      <c r="EZ388" s="302"/>
      <c r="FA388" s="302"/>
      <c r="FB388" s="302"/>
      <c r="FC388" s="302"/>
      <c r="FD388" s="302"/>
      <c r="FE388" s="302"/>
      <c r="FF388" s="302"/>
      <c r="FG388" s="302"/>
      <c r="FH388" s="302"/>
      <c r="FI388" s="302"/>
      <c r="FJ388" s="1478"/>
      <c r="FK388" s="302"/>
      <c r="FL388" s="302"/>
      <c r="FM388" s="302"/>
      <c r="FN388" s="302"/>
      <c r="FO388" s="302"/>
      <c r="FP388" s="302"/>
      <c r="FQ388" s="302"/>
      <c r="FR388" s="302"/>
      <c r="FS388" s="302"/>
      <c r="FT388" s="302"/>
      <c r="FU388" s="302"/>
      <c r="FV388" s="302"/>
      <c r="FW388" s="302"/>
      <c r="FX388" s="302"/>
      <c r="FY388" s="302"/>
      <c r="FZ388" s="302"/>
      <c r="GA388" s="302"/>
      <c r="GB388" s="302"/>
      <c r="GC388" s="302"/>
      <c r="GD388" s="302"/>
      <c r="GE388" s="302"/>
      <c r="GF388" s="302"/>
      <c r="GG388" s="302"/>
      <c r="GH388" s="302"/>
      <c r="GI388" s="302"/>
      <c r="GJ388" s="302"/>
      <c r="GK388" s="302"/>
      <c r="GL388" s="302"/>
      <c r="GM388" s="302"/>
      <c r="GN388" s="302"/>
      <c r="GO388" s="302"/>
      <c r="GP388" s="302"/>
      <c r="GQ388" s="302"/>
      <c r="GR388" s="302"/>
      <c r="GS388" s="302"/>
      <c r="GT388" s="302"/>
      <c r="GU388" s="302"/>
      <c r="GV388" s="302"/>
      <c r="GW388" s="302"/>
      <c r="GX388" s="302"/>
      <c r="GY388" s="302"/>
      <c r="GZ388" s="302"/>
      <c r="HA388" s="302"/>
      <c r="HB388" s="302"/>
      <c r="HC388" s="302"/>
      <c r="HD388" s="302"/>
      <c r="HE388" s="302"/>
      <c r="HF388" s="302"/>
      <c r="HG388" s="302"/>
      <c r="HH388" s="302"/>
      <c r="HI388" s="302"/>
      <c r="HJ388" s="302"/>
      <c r="HK388" s="302"/>
      <c r="HL388" s="302"/>
      <c r="HM388" s="302"/>
      <c r="KH388" s="303"/>
    </row>
    <row r="389" spans="1:295" s="681" customFormat="1" outlineLevel="1">
      <c r="A389" s="675" t="s">
        <v>557</v>
      </c>
      <c r="B389" s="675"/>
      <c r="C389" s="675"/>
      <c r="D389" s="1464" t="s">
        <v>558</v>
      </c>
      <c r="E389" s="677"/>
      <c r="F389" s="677"/>
      <c r="G389" s="677"/>
      <c r="H389" s="677"/>
      <c r="I389" s="677"/>
      <c r="J389" s="677"/>
      <c r="K389" s="677"/>
      <c r="L389" s="677"/>
      <c r="M389" s="677"/>
      <c r="N389" s="677"/>
      <c r="O389" s="677"/>
      <c r="P389" s="677"/>
      <c r="Q389" s="677"/>
      <c r="R389" s="677"/>
      <c r="S389" s="677"/>
      <c r="T389" s="677"/>
      <c r="U389" s="677"/>
      <c r="V389" s="677"/>
      <c r="W389" s="677"/>
      <c r="X389" s="677"/>
      <c r="Y389" s="677"/>
      <c r="Z389" s="677"/>
      <c r="AA389" s="677"/>
      <c r="AB389" s="677"/>
      <c r="AC389" s="677"/>
      <c r="AD389" s="677"/>
      <c r="AE389" s="677"/>
      <c r="AF389" s="677"/>
      <c r="AG389" s="677"/>
      <c r="AH389" s="677"/>
      <c r="AI389" s="677"/>
      <c r="AJ389" s="677"/>
      <c r="AK389" s="677"/>
      <c r="AL389" s="677"/>
      <c r="AM389" s="677"/>
      <c r="AN389" s="677"/>
      <c r="AO389" s="677"/>
      <c r="AP389" s="677"/>
      <c r="AQ389" s="677"/>
      <c r="AR389" s="677"/>
      <c r="AS389" s="677"/>
      <c r="AT389" s="677"/>
      <c r="AU389" s="677"/>
      <c r="AV389" s="677"/>
      <c r="AW389" s="677"/>
      <c r="AX389" s="677"/>
      <c r="AY389" s="677"/>
      <c r="AZ389" s="677"/>
      <c r="BA389" s="677"/>
      <c r="BB389" s="677"/>
      <c r="BC389" s="677"/>
      <c r="BD389" s="677"/>
      <c r="BE389" s="677"/>
      <c r="BF389" s="677"/>
      <c r="BG389" s="677"/>
      <c r="BH389" s="677"/>
      <c r="BI389" s="677"/>
      <c r="BJ389" s="677"/>
      <c r="BK389" s="677"/>
      <c r="BL389" s="677"/>
      <c r="BM389" s="677"/>
      <c r="BN389" s="677"/>
      <c r="BO389" s="677"/>
      <c r="BP389" s="677"/>
      <c r="BQ389" s="677"/>
      <c r="BR389" s="677"/>
      <c r="BS389" s="677"/>
      <c r="BT389" s="677"/>
      <c r="BU389" s="677"/>
      <c r="BV389" s="677"/>
      <c r="BW389" s="677"/>
      <c r="BX389" s="677"/>
      <c r="BY389" s="677"/>
      <c r="BZ389" s="677"/>
      <c r="CA389" s="677"/>
      <c r="CB389" s="677"/>
      <c r="CC389" s="677"/>
      <c r="CD389" s="677"/>
      <c r="CE389" s="677">
        <v>71.458612352207666</v>
      </c>
      <c r="CF389" s="677">
        <v>80.614230169444525</v>
      </c>
      <c r="CG389" s="677">
        <v>56.53873985673652</v>
      </c>
      <c r="CH389" s="677">
        <v>112.84926202137515</v>
      </c>
      <c r="CI389" s="677">
        <v>58.41319784896168</v>
      </c>
      <c r="CJ389" s="677">
        <v>58.648621584906493</v>
      </c>
      <c r="CK389" s="677">
        <v>95.979081952908501</v>
      </c>
      <c r="CL389" s="677">
        <v>62.087554476596175</v>
      </c>
      <c r="CM389" s="677">
        <v>59.108390563097089</v>
      </c>
      <c r="CN389" s="677">
        <v>114.98262093264997</v>
      </c>
      <c r="CO389" s="677">
        <v>84.451621389061472</v>
      </c>
      <c r="CP389" s="679">
        <v>47.933403958317456</v>
      </c>
      <c r="CQ389" s="677">
        <v>100.17957960570411</v>
      </c>
      <c r="CR389" s="677">
        <v>76.755145306457905</v>
      </c>
      <c r="CS389" s="677">
        <v>78.99562305287499</v>
      </c>
      <c r="CT389" s="677">
        <v>90.375015269121633</v>
      </c>
      <c r="CU389" s="677">
        <v>74.556325616232883</v>
      </c>
      <c r="CV389" s="677">
        <v>74.798320147405676</v>
      </c>
      <c r="CW389" s="677">
        <v>83.594369939108489</v>
      </c>
      <c r="CX389" s="677">
        <v>55.364763503715224</v>
      </c>
      <c r="CY389" s="677">
        <v>102.5462955264567</v>
      </c>
      <c r="CZ389" s="677">
        <v>137.93081720125494</v>
      </c>
      <c r="DA389" s="677">
        <v>75.620315410053152</v>
      </c>
      <c r="DB389" s="1507">
        <v>36.487652212698229</v>
      </c>
      <c r="DC389" s="677">
        <v>115.07450532287467</v>
      </c>
      <c r="DD389" s="677">
        <v>88.600249235000007</v>
      </c>
      <c r="DE389" s="677">
        <v>75.262546940399986</v>
      </c>
      <c r="DF389" s="677">
        <v>152.2468426775811</v>
      </c>
      <c r="DG389" s="677">
        <v>83.222383627999989</v>
      </c>
      <c r="DH389" s="677">
        <v>76.716107223000009</v>
      </c>
      <c r="DI389" s="677">
        <v>124.87842583198848</v>
      </c>
      <c r="DJ389" s="677">
        <v>78.511082680869407</v>
      </c>
      <c r="DK389" s="677">
        <v>90.745945551081348</v>
      </c>
      <c r="DL389" s="677">
        <v>125.2924094857818</v>
      </c>
      <c r="DM389" s="677">
        <v>74.90322348545844</v>
      </c>
      <c r="DN389" s="679">
        <v>61.502820190708533</v>
      </c>
      <c r="DO389" s="677">
        <v>144.07550871509005</v>
      </c>
      <c r="DP389" s="677">
        <v>113.07770425551797</v>
      </c>
      <c r="DQ389" s="677">
        <v>76.082356122777597</v>
      </c>
      <c r="DR389" s="677">
        <v>156.06651094656246</v>
      </c>
      <c r="DS389" s="677">
        <v>104.26100455498974</v>
      </c>
      <c r="DT389" s="677">
        <v>111.50208148811539</v>
      </c>
      <c r="DU389" s="677">
        <v>132.61847265266206</v>
      </c>
      <c r="DV389" s="677">
        <v>104.58270080807941</v>
      </c>
      <c r="DW389" s="677">
        <v>79.563794331681549</v>
      </c>
      <c r="DX389" s="677">
        <v>153.83782506362562</v>
      </c>
      <c r="DY389" s="677">
        <v>100.9167906141913</v>
      </c>
      <c r="DZ389" s="679">
        <v>46.872684568321155</v>
      </c>
      <c r="EA389" s="677">
        <v>145.30212676947173</v>
      </c>
      <c r="EB389" s="677">
        <v>130.68953977944261</v>
      </c>
      <c r="EC389" s="677">
        <v>141.10338209713646</v>
      </c>
      <c r="ED389" s="677">
        <v>140.02275301199998</v>
      </c>
      <c r="EE389" s="677">
        <v>96.151639869999997</v>
      </c>
      <c r="EF389" s="677">
        <v>90.247179783000007</v>
      </c>
      <c r="EG389" s="677">
        <v>156.25003193032137</v>
      </c>
      <c r="EH389" s="677">
        <v>94.812955786241616</v>
      </c>
      <c r="EI389" s="677">
        <v>124.76817025059032</v>
      </c>
      <c r="EJ389" s="677">
        <v>119.00127803696546</v>
      </c>
      <c r="EK389" s="677">
        <v>120.87081263640491</v>
      </c>
      <c r="EL389" s="679">
        <v>77.702326093316088</v>
      </c>
      <c r="EM389" s="677">
        <v>109.85451754499697</v>
      </c>
      <c r="EN389" s="677">
        <v>125.79905447463875</v>
      </c>
      <c r="EO389" s="677">
        <v>102.91453615671431</v>
      </c>
      <c r="EP389" s="677">
        <v>157.58331419881409</v>
      </c>
      <c r="EQ389" s="677">
        <v>145.96961350311793</v>
      </c>
      <c r="ER389" s="677">
        <v>106.89384576221238</v>
      </c>
      <c r="ES389" s="677">
        <v>135.51409806396794</v>
      </c>
      <c r="ET389" s="677">
        <v>117.00239800372515</v>
      </c>
      <c r="EU389" s="677">
        <v>138.66612055156887</v>
      </c>
      <c r="EV389" s="677">
        <v>276.39451889608108</v>
      </c>
      <c r="EW389" s="677">
        <v>169.57482779654237</v>
      </c>
      <c r="EX389" s="679">
        <v>80.696747638226839</v>
      </c>
      <c r="EY389" s="677">
        <v>135.54473385247792</v>
      </c>
      <c r="EZ389" s="677">
        <v>150.91730850391738</v>
      </c>
      <c r="FA389" s="677">
        <v>150.34048970330511</v>
      </c>
      <c r="FB389" s="677">
        <v>152.86264558400836</v>
      </c>
      <c r="FC389" s="677">
        <v>167.49266295468342</v>
      </c>
      <c r="FD389" s="677">
        <v>153.30630701289576</v>
      </c>
      <c r="FE389" s="677">
        <v>141.90985569054118</v>
      </c>
      <c r="FF389" s="677">
        <v>166.06225588561682</v>
      </c>
      <c r="FG389" s="677">
        <v>169.20589458029306</v>
      </c>
      <c r="FH389" s="677">
        <v>147.73294296268554</v>
      </c>
      <c r="FI389" s="677">
        <v>252.83473571944506</v>
      </c>
      <c r="FJ389" s="679">
        <v>112.92171774518997</v>
      </c>
      <c r="FK389" s="677">
        <f t="shared" ref="FK389:FP389" si="53">FK390+FK391+FK392+FK393+FK396+FK397+FK398+FK399</f>
        <v>219.1918465372174</v>
      </c>
      <c r="FL389" s="677">
        <f t="shared" si="53"/>
        <v>155.82205387646056</v>
      </c>
      <c r="FM389" s="677">
        <f t="shared" si="53"/>
        <v>167.81463236436889</v>
      </c>
      <c r="FN389" s="677">
        <f t="shared" si="53"/>
        <v>142.24071716064336</v>
      </c>
      <c r="FO389" s="677">
        <f t="shared" si="53"/>
        <v>198.30870370624206</v>
      </c>
      <c r="FP389" s="677">
        <f t="shared" si="53"/>
        <v>160.83325130389358</v>
      </c>
      <c r="FQ389" s="677">
        <v>119.74511789993736</v>
      </c>
      <c r="FR389" s="677">
        <v>161.14429667342094</v>
      </c>
      <c r="FS389" s="677">
        <v>182.70007181548141</v>
      </c>
      <c r="FT389" s="677">
        <v>170.5411933862847</v>
      </c>
      <c r="FU389" s="677">
        <v>289.50421094387059</v>
      </c>
      <c r="FV389" s="677">
        <v>121.51134231148433</v>
      </c>
      <c r="FW389" s="677">
        <v>151.80794224983575</v>
      </c>
      <c r="FX389" s="677">
        <v>182.72433729046381</v>
      </c>
      <c r="FY389" s="677">
        <v>288.38844737599351</v>
      </c>
      <c r="FZ389" s="677">
        <v>177.82332819536788</v>
      </c>
      <c r="GA389" s="677">
        <v>179.01943237914801</v>
      </c>
      <c r="GB389" s="677">
        <v>164.6325557816927</v>
      </c>
      <c r="GC389" s="677">
        <v>197.80811904856702</v>
      </c>
      <c r="GD389" s="677">
        <v>250.93833467570244</v>
      </c>
      <c r="GE389" s="677">
        <v>208.77223398815104</v>
      </c>
      <c r="GF389" s="677">
        <v>230.91735339860341</v>
      </c>
      <c r="GG389" s="677">
        <v>262.55063902730666</v>
      </c>
      <c r="GH389" s="677">
        <v>172.5182399804556</v>
      </c>
      <c r="GI389" s="677">
        <f>GI390+GI391+GI393+GI396+GI397+GI398+GI399</f>
        <v>257.5454968214832</v>
      </c>
      <c r="GJ389" s="677">
        <f t="shared" ref="GJ389:GT389" si="54">GJ390+GJ391+GJ393+GJ396+GJ397+GJ398+GJ399</f>
        <v>281.09502307627758</v>
      </c>
      <c r="GK389" s="677">
        <f t="shared" si="54"/>
        <v>241.58285759185569</v>
      </c>
      <c r="GL389" s="677">
        <f t="shared" si="54"/>
        <v>205.05214757106037</v>
      </c>
      <c r="GM389" s="677">
        <f t="shared" si="54"/>
        <v>216.49314831084266</v>
      </c>
      <c r="GN389" s="677">
        <f t="shared" si="54"/>
        <v>159.05253265239878</v>
      </c>
      <c r="GO389" s="677">
        <f t="shared" si="54"/>
        <v>225.1136218782292</v>
      </c>
      <c r="GP389" s="677">
        <f t="shared" si="54"/>
        <v>212.3992348710471</v>
      </c>
      <c r="GQ389" s="677">
        <f t="shared" si="54"/>
        <v>207.33054668257515</v>
      </c>
      <c r="GR389" s="677">
        <f t="shared" si="54"/>
        <v>304.74168630998582</v>
      </c>
      <c r="GS389" s="677">
        <f t="shared" si="54"/>
        <v>380.85325936667687</v>
      </c>
      <c r="GT389" s="677">
        <f t="shared" si="54"/>
        <v>165.43507792166898</v>
      </c>
      <c r="GU389" s="677">
        <v>184.67336250382041</v>
      </c>
      <c r="GV389" s="677">
        <v>277.40657337020019</v>
      </c>
      <c r="GW389" s="677">
        <v>265.32312881129747</v>
      </c>
      <c r="GX389" s="677">
        <v>215.34851151694906</v>
      </c>
      <c r="GY389" s="677">
        <v>246.89019660525443</v>
      </c>
      <c r="GZ389" s="677">
        <v>224.44205997715068</v>
      </c>
      <c r="HA389" s="677">
        <v>260.7184256565896</v>
      </c>
      <c r="HB389" s="677">
        <v>306.47656616645116</v>
      </c>
      <c r="HC389" s="677">
        <v>204.06977351211842</v>
      </c>
      <c r="HD389" s="677">
        <v>268.19963427527472</v>
      </c>
      <c r="HE389" s="677">
        <v>382.08929568552065</v>
      </c>
      <c r="HF389" s="677">
        <v>337.30442969236077</v>
      </c>
      <c r="HG389" s="677"/>
      <c r="HH389" s="677"/>
      <c r="HI389" s="677"/>
      <c r="HJ389" s="677"/>
      <c r="HK389" s="677"/>
      <c r="HL389" s="677"/>
      <c r="HM389" s="677"/>
      <c r="HN389" s="680"/>
      <c r="KH389" s="682"/>
      <c r="KI389" s="680"/>
    </row>
    <row r="390" spans="1:295" s="681" customFormat="1" outlineLevel="1">
      <c r="A390" s="675" t="s">
        <v>923</v>
      </c>
      <c r="B390" s="675" t="s">
        <v>361</v>
      </c>
      <c r="C390" s="675"/>
      <c r="D390" s="1467" t="s">
        <v>559</v>
      </c>
      <c r="E390" s="677"/>
      <c r="F390" s="677"/>
      <c r="G390" s="677"/>
      <c r="H390" s="677"/>
      <c r="I390" s="677"/>
      <c r="J390" s="677"/>
      <c r="K390" s="677"/>
      <c r="L390" s="677"/>
      <c r="M390" s="677"/>
      <c r="N390" s="677"/>
      <c r="O390" s="677"/>
      <c r="P390" s="677"/>
      <c r="Q390" s="677"/>
      <c r="R390" s="677"/>
      <c r="S390" s="677"/>
      <c r="T390" s="677"/>
      <c r="U390" s="677"/>
      <c r="V390" s="677"/>
      <c r="W390" s="677"/>
      <c r="X390" s="677"/>
      <c r="Y390" s="677"/>
      <c r="Z390" s="677"/>
      <c r="AA390" s="677"/>
      <c r="AB390" s="677"/>
      <c r="AC390" s="677"/>
      <c r="AD390" s="677"/>
      <c r="AE390" s="677"/>
      <c r="AF390" s="677"/>
      <c r="AG390" s="677"/>
      <c r="AH390" s="677"/>
      <c r="AI390" s="677"/>
      <c r="AJ390" s="677"/>
      <c r="AK390" s="677"/>
      <c r="AL390" s="677"/>
      <c r="AM390" s="677"/>
      <c r="AN390" s="677"/>
      <c r="AO390" s="677"/>
      <c r="AP390" s="677"/>
      <c r="AQ390" s="677"/>
      <c r="AR390" s="677"/>
      <c r="AS390" s="677"/>
      <c r="AT390" s="677"/>
      <c r="AU390" s="677"/>
      <c r="AV390" s="677"/>
      <c r="AW390" s="677"/>
      <c r="AX390" s="677"/>
      <c r="AY390" s="677"/>
      <c r="AZ390" s="677"/>
      <c r="BA390" s="677"/>
      <c r="BB390" s="677"/>
      <c r="BC390" s="677"/>
      <c r="BD390" s="677"/>
      <c r="BE390" s="677"/>
      <c r="BF390" s="677"/>
      <c r="BG390" s="677">
        <v>15.095381744879999</v>
      </c>
      <c r="BH390" s="677">
        <v>20.234721632060001</v>
      </c>
      <c r="BI390" s="677">
        <v>14.452226852000001</v>
      </c>
      <c r="BJ390" s="677">
        <v>23.318940307999998</v>
      </c>
      <c r="BK390" s="677">
        <v>14.50986174</v>
      </c>
      <c r="BL390" s="677">
        <v>13.045122568</v>
      </c>
      <c r="BM390" s="677">
        <v>21.147525022</v>
      </c>
      <c r="BN390" s="677">
        <v>14.770075467</v>
      </c>
      <c r="BO390" s="677">
        <v>15.294659724000001</v>
      </c>
      <c r="BP390" s="677">
        <v>27.17590221307</v>
      </c>
      <c r="BQ390" s="677">
        <v>20.518297496999999</v>
      </c>
      <c r="BR390" s="677">
        <v>14.395791967999999</v>
      </c>
      <c r="BS390" s="677">
        <v>21.803452902</v>
      </c>
      <c r="BT390" s="677">
        <v>23.410404086</v>
      </c>
      <c r="BU390" s="677">
        <v>15.341779162</v>
      </c>
      <c r="BV390" s="677">
        <v>30.313546311</v>
      </c>
      <c r="BW390" s="677">
        <v>18.581134969000001</v>
      </c>
      <c r="BX390" s="677">
        <v>17.695401184000001</v>
      </c>
      <c r="BY390" s="677">
        <v>22.579168789000001</v>
      </c>
      <c r="BZ390" s="677">
        <v>22.708549825999999</v>
      </c>
      <c r="CA390" s="677">
        <v>19.934396320000001</v>
      </c>
      <c r="CB390" s="677">
        <v>28.639394724999999</v>
      </c>
      <c r="CC390" s="677">
        <v>20.336807159999999</v>
      </c>
      <c r="CD390" s="677">
        <v>17.158938525</v>
      </c>
      <c r="CE390" s="678">
        <v>12.084946429</v>
      </c>
      <c r="CF390" s="677">
        <v>16.641337970999999</v>
      </c>
      <c r="CG390" s="677">
        <v>11.535242481999999</v>
      </c>
      <c r="CH390" s="677">
        <v>13.446777431999999</v>
      </c>
      <c r="CI390" s="677">
        <v>11.549069116</v>
      </c>
      <c r="CJ390" s="677">
        <v>21.617347962</v>
      </c>
      <c r="CK390" s="677">
        <v>18.68057962</v>
      </c>
      <c r="CL390" s="677">
        <v>12.042587356</v>
      </c>
      <c r="CM390" s="677">
        <v>11.203913953000001</v>
      </c>
      <c r="CN390" s="677">
        <v>20.462549265</v>
      </c>
      <c r="CO390" s="677">
        <v>14.246940855</v>
      </c>
      <c r="CP390" s="679">
        <v>13.797846104</v>
      </c>
      <c r="CQ390" s="677">
        <v>22.125224177</v>
      </c>
      <c r="CR390" s="677">
        <v>11.680938012999999</v>
      </c>
      <c r="CS390" s="677">
        <v>10.632267025000001</v>
      </c>
      <c r="CT390" s="677">
        <v>14.917411334000001</v>
      </c>
      <c r="CU390" s="677">
        <v>17.665506487000002</v>
      </c>
      <c r="CV390" s="677">
        <v>16.019195677999999</v>
      </c>
      <c r="CW390" s="677">
        <v>14.803298207000001</v>
      </c>
      <c r="CX390" s="677">
        <v>10.862487550000001</v>
      </c>
      <c r="CY390" s="677">
        <v>13.994371896000001</v>
      </c>
      <c r="CZ390" s="677">
        <v>29.684601096999998</v>
      </c>
      <c r="DA390" s="677">
        <v>12.741810667999999</v>
      </c>
      <c r="DB390" s="1507">
        <v>12.381021744</v>
      </c>
      <c r="DC390" s="677">
        <v>21.025343853999999</v>
      </c>
      <c r="DD390" s="677">
        <v>17.064450883999999</v>
      </c>
      <c r="DE390" s="677">
        <v>12.503224723000001</v>
      </c>
      <c r="DF390" s="677">
        <v>26.648569129999998</v>
      </c>
      <c r="DG390" s="677">
        <v>12.589854769</v>
      </c>
      <c r="DH390" s="677">
        <v>12.981874009</v>
      </c>
      <c r="DI390" s="677">
        <v>24.570269512000003</v>
      </c>
      <c r="DJ390" s="677">
        <v>14.147599534999999</v>
      </c>
      <c r="DK390" s="677">
        <v>17.980855743999999</v>
      </c>
      <c r="DL390" s="677">
        <v>25.03187844</v>
      </c>
      <c r="DM390" s="677">
        <v>14.284373578</v>
      </c>
      <c r="DN390" s="679">
        <v>15.932570696999999</v>
      </c>
      <c r="DO390" s="677">
        <v>29.167450424999998</v>
      </c>
      <c r="DP390" s="677">
        <v>19.129080138999999</v>
      </c>
      <c r="DQ390" s="677">
        <v>14.161995213999999</v>
      </c>
      <c r="DR390" s="677">
        <v>24.304254657000001</v>
      </c>
      <c r="DS390" s="677">
        <v>22.521776881000001</v>
      </c>
      <c r="DT390" s="677">
        <v>28.084439060000001</v>
      </c>
      <c r="DU390" s="677">
        <v>17.621245055999999</v>
      </c>
      <c r="DV390" s="677">
        <v>14.694104893</v>
      </c>
      <c r="DW390" s="677">
        <v>15.788266745</v>
      </c>
      <c r="DX390" s="677">
        <v>18.858721238000001</v>
      </c>
      <c r="DY390" s="677">
        <v>20.154612772</v>
      </c>
      <c r="DZ390" s="679">
        <v>12.514045055</v>
      </c>
      <c r="EA390" s="677">
        <v>19.792766867000001</v>
      </c>
      <c r="EB390" s="677">
        <v>29.107965469</v>
      </c>
      <c r="EC390" s="677">
        <v>17.851015699000001</v>
      </c>
      <c r="ED390" s="677">
        <v>25.050136369999997</v>
      </c>
      <c r="EE390" s="677">
        <v>16.03047767</v>
      </c>
      <c r="EF390" s="677">
        <v>17.075456347999999</v>
      </c>
      <c r="EG390" s="677">
        <v>29.697801458000001</v>
      </c>
      <c r="EH390" s="677">
        <v>17.353562953000001</v>
      </c>
      <c r="EI390" s="677">
        <v>19.302877180999999</v>
      </c>
      <c r="EJ390" s="677">
        <v>16.074630841000001</v>
      </c>
      <c r="EK390" s="677">
        <v>17.364053209000001</v>
      </c>
      <c r="EL390" s="679">
        <v>27.018982661999999</v>
      </c>
      <c r="EM390" s="677">
        <v>22.357965588999999</v>
      </c>
      <c r="EN390" s="677">
        <v>16.751667105999999</v>
      </c>
      <c r="EO390" s="677">
        <v>21.494867534000001</v>
      </c>
      <c r="EP390" s="677">
        <v>19.897867833999999</v>
      </c>
      <c r="EQ390" s="677">
        <v>20.456608388999999</v>
      </c>
      <c r="ER390" s="677">
        <v>19.093174125000001</v>
      </c>
      <c r="ES390" s="677">
        <v>18.326633822000002</v>
      </c>
      <c r="ET390" s="677">
        <v>16.340402107999999</v>
      </c>
      <c r="EU390" s="677">
        <v>19.299630279999999</v>
      </c>
      <c r="EV390" s="677">
        <v>30.557929358999999</v>
      </c>
      <c r="EW390" s="677">
        <v>18.860687762000001</v>
      </c>
      <c r="EX390" s="679">
        <v>18.451488112</v>
      </c>
      <c r="EY390" s="677">
        <v>24.239414982</v>
      </c>
      <c r="EZ390" s="677">
        <v>22.120656127</v>
      </c>
      <c r="FA390" s="677">
        <v>24.752837227000001</v>
      </c>
      <c r="FB390" s="677">
        <v>21.791038657000001</v>
      </c>
      <c r="FC390" s="677">
        <v>20.659359716000001</v>
      </c>
      <c r="FD390" s="677">
        <v>20.369496972</v>
      </c>
      <c r="FE390" s="677">
        <v>23.644461118999999</v>
      </c>
      <c r="FF390" s="677">
        <v>23.365711551</v>
      </c>
      <c r="FG390" s="677">
        <v>23.756543451999999</v>
      </c>
      <c r="FH390" s="677">
        <v>21.769161843999999</v>
      </c>
      <c r="FI390" s="677">
        <v>20.625322347000001</v>
      </c>
      <c r="FJ390" s="679">
        <v>19.233060912999999</v>
      </c>
      <c r="FK390" s="677">
        <v>29.570546665999998</v>
      </c>
      <c r="FL390" s="677">
        <v>22.137874499999999</v>
      </c>
      <c r="FM390" s="677">
        <v>27.730051836000001</v>
      </c>
      <c r="FN390" s="677">
        <v>21.882148518000001</v>
      </c>
      <c r="FO390" s="677">
        <v>23.733691864000001</v>
      </c>
      <c r="FP390" s="677">
        <v>24.722198594999998</v>
      </c>
      <c r="FQ390" s="677">
        <v>24.172258857999999</v>
      </c>
      <c r="FR390" s="677">
        <v>23.306203089</v>
      </c>
      <c r="FS390" s="677">
        <v>27.001394251000001</v>
      </c>
      <c r="FT390" s="677">
        <v>27.925303683999999</v>
      </c>
      <c r="FU390" s="677">
        <v>22.811686567999999</v>
      </c>
      <c r="FV390" s="677">
        <v>27.270000856999999</v>
      </c>
      <c r="FW390" s="677">
        <v>27.985889607000001</v>
      </c>
      <c r="FX390" s="677">
        <v>25.470386143999999</v>
      </c>
      <c r="FY390" s="677">
        <v>27.882268113999999</v>
      </c>
      <c r="FZ390" s="677">
        <v>23.928393582000002</v>
      </c>
      <c r="GA390" s="677">
        <v>23.051851422999999</v>
      </c>
      <c r="GB390" s="677">
        <v>27.792378003</v>
      </c>
      <c r="GC390" s="677">
        <v>27.425837423000001</v>
      </c>
      <c r="GD390" s="677">
        <v>23.265284333</v>
      </c>
      <c r="GE390" s="677">
        <v>31.804743653999999</v>
      </c>
      <c r="GF390" s="677">
        <v>28.850202827</v>
      </c>
      <c r="GG390" s="677">
        <v>24.292558516</v>
      </c>
      <c r="GH390" s="677">
        <v>25.983635314000001</v>
      </c>
      <c r="GI390" s="677">
        <v>30.113241413643486</v>
      </c>
      <c r="GJ390" s="677">
        <v>35.679176520696799</v>
      </c>
      <c r="GK390" s="677">
        <v>31.007582065659722</v>
      </c>
      <c r="GL390" s="677">
        <v>28.178557720533593</v>
      </c>
      <c r="GM390" s="677">
        <v>27.095698616651859</v>
      </c>
      <c r="GN390" s="677">
        <v>31.791908731814541</v>
      </c>
      <c r="GO390" s="677">
        <v>29.058697854856561</v>
      </c>
      <c r="GP390" s="677">
        <v>26.849872090047256</v>
      </c>
      <c r="GQ390" s="677">
        <v>29.84603631209621</v>
      </c>
      <c r="GR390" s="677">
        <v>32.732846604310609</v>
      </c>
      <c r="GS390" s="677">
        <v>31.472732499674731</v>
      </c>
      <c r="GT390" s="677">
        <v>33.887481956014653</v>
      </c>
      <c r="GU390" s="677">
        <v>33.482240844000003</v>
      </c>
      <c r="GV390" s="677">
        <v>39.155358345000003</v>
      </c>
      <c r="GW390" s="677">
        <v>32.590146595999997</v>
      </c>
      <c r="GX390" s="677">
        <v>45.176959107999998</v>
      </c>
      <c r="GY390" s="677">
        <v>41.296475426999997</v>
      </c>
      <c r="GZ390" s="677">
        <v>41.820793868999999</v>
      </c>
      <c r="HA390" s="677">
        <v>37.895347049999998</v>
      </c>
      <c r="HB390" s="677">
        <v>32.708509130000003</v>
      </c>
      <c r="HC390" s="677">
        <v>36.492180198</v>
      </c>
      <c r="HD390" s="677">
        <v>40.309171553999995</v>
      </c>
      <c r="HE390" s="677">
        <v>42.03648329</v>
      </c>
      <c r="HF390" s="677">
        <v>44.443864097999999</v>
      </c>
      <c r="HG390" s="677">
        <v>44.858994987000003</v>
      </c>
      <c r="HH390" s="677">
        <v>58.406326470000003</v>
      </c>
      <c r="HI390" s="677">
        <v>34.531688420999998</v>
      </c>
      <c r="HJ390" s="677">
        <v>41.914696309999997</v>
      </c>
      <c r="HK390" s="677">
        <v>36.137116851999998</v>
      </c>
      <c r="HL390" s="677">
        <v>59.012358837000001</v>
      </c>
      <c r="HM390" s="677"/>
      <c r="HN390" s="680"/>
      <c r="KH390" s="682"/>
      <c r="KI390" s="680"/>
    </row>
    <row r="391" spans="1:295" s="681" customFormat="1" outlineLevel="1">
      <c r="A391" s="675" t="s">
        <v>923</v>
      </c>
      <c r="B391" s="675" t="s">
        <v>361</v>
      </c>
      <c r="C391" s="675"/>
      <c r="D391" s="1467" t="s">
        <v>560</v>
      </c>
      <c r="E391" s="677"/>
      <c r="F391" s="677"/>
      <c r="G391" s="677"/>
      <c r="H391" s="677"/>
      <c r="I391" s="677"/>
      <c r="J391" s="677"/>
      <c r="K391" s="677"/>
      <c r="L391" s="677"/>
      <c r="M391" s="677"/>
      <c r="N391" s="677"/>
      <c r="O391" s="677"/>
      <c r="P391" s="677"/>
      <c r="Q391" s="677"/>
      <c r="R391" s="677"/>
      <c r="S391" s="677"/>
      <c r="T391" s="677"/>
      <c r="U391" s="677"/>
      <c r="V391" s="677"/>
      <c r="W391" s="677"/>
      <c r="X391" s="677"/>
      <c r="Y391" s="677"/>
      <c r="Z391" s="677"/>
      <c r="AA391" s="677"/>
      <c r="AB391" s="677"/>
      <c r="AC391" s="677"/>
      <c r="AD391" s="677"/>
      <c r="AE391" s="677"/>
      <c r="AF391" s="677"/>
      <c r="AG391" s="677"/>
      <c r="AH391" s="677"/>
      <c r="AI391" s="677"/>
      <c r="AJ391" s="677"/>
      <c r="AK391" s="677"/>
      <c r="AL391" s="677"/>
      <c r="AM391" s="677"/>
      <c r="AN391" s="677"/>
      <c r="AO391" s="677"/>
      <c r="AP391" s="677"/>
      <c r="AQ391" s="677"/>
      <c r="AR391" s="677"/>
      <c r="AS391" s="677"/>
      <c r="AT391" s="677"/>
      <c r="AU391" s="677"/>
      <c r="AV391" s="677"/>
      <c r="AW391" s="677"/>
      <c r="AX391" s="677"/>
      <c r="AY391" s="677"/>
      <c r="AZ391" s="677"/>
      <c r="BA391" s="677"/>
      <c r="BB391" s="677"/>
      <c r="BC391" s="677"/>
      <c r="BD391" s="677"/>
      <c r="BE391" s="677"/>
      <c r="BF391" s="677"/>
      <c r="BG391" s="677">
        <v>20.688596970159999</v>
      </c>
      <c r="BH391" s="677">
        <v>40.874441569289999</v>
      </c>
      <c r="BI391" s="677">
        <v>20.520046135729999</v>
      </c>
      <c r="BJ391" s="677">
        <v>37.145521713000001</v>
      </c>
      <c r="BK391" s="677">
        <v>26.691796255</v>
      </c>
      <c r="BL391" s="677">
        <v>15.134125903999999</v>
      </c>
      <c r="BM391" s="677">
        <v>30.254810819999999</v>
      </c>
      <c r="BN391" s="677">
        <v>23.314049823000001</v>
      </c>
      <c r="BO391" s="677">
        <v>20.342163519269999</v>
      </c>
      <c r="BP391" s="677">
        <v>34.491371984129998</v>
      </c>
      <c r="BQ391" s="677">
        <v>36.223673911790002</v>
      </c>
      <c r="BR391" s="677">
        <v>8.2638545402499997</v>
      </c>
      <c r="BS391" s="677">
        <v>21.700445538</v>
      </c>
      <c r="BT391" s="677">
        <v>18.251936741130002</v>
      </c>
      <c r="BU391" s="677">
        <v>12.904327297</v>
      </c>
      <c r="BV391" s="677">
        <v>32.799223348159998</v>
      </c>
      <c r="BW391" s="677">
        <v>17.501554906999999</v>
      </c>
      <c r="BX391" s="677">
        <v>10.529887762</v>
      </c>
      <c r="BY391" s="677">
        <v>23.578153191999998</v>
      </c>
      <c r="BZ391" s="677">
        <v>16.604365275299998</v>
      </c>
      <c r="CA391" s="677">
        <v>13.98110791561</v>
      </c>
      <c r="CB391" s="677">
        <v>28.17318181141</v>
      </c>
      <c r="CC391" s="677">
        <v>27.699043616179999</v>
      </c>
      <c r="CD391" s="677">
        <v>10.53953322998</v>
      </c>
      <c r="CE391" s="678">
        <v>15.731054242000001</v>
      </c>
      <c r="CF391" s="677">
        <v>16.405483981</v>
      </c>
      <c r="CG391" s="677">
        <v>21.585533810000001</v>
      </c>
      <c r="CH391" s="677">
        <v>27.350314616999999</v>
      </c>
      <c r="CI391" s="677">
        <v>13.658730389</v>
      </c>
      <c r="CJ391" s="677">
        <v>18.427161891000001</v>
      </c>
      <c r="CK391" s="677">
        <v>39.833826203000001</v>
      </c>
      <c r="CL391" s="677">
        <v>18.251172755999999</v>
      </c>
      <c r="CM391" s="677">
        <v>14.671889995000001</v>
      </c>
      <c r="CN391" s="677">
        <v>50.69286614</v>
      </c>
      <c r="CO391" s="677">
        <v>25.034705138</v>
      </c>
      <c r="CP391" s="679">
        <v>16.970877212000001</v>
      </c>
      <c r="CQ391" s="677">
        <v>20.994125008000001</v>
      </c>
      <c r="CR391" s="677">
        <v>20.283407453999999</v>
      </c>
      <c r="CS391" s="677">
        <v>31.619234175999999</v>
      </c>
      <c r="CT391" s="677">
        <v>19.26378047</v>
      </c>
      <c r="CU391" s="677">
        <v>24.645373439</v>
      </c>
      <c r="CV391" s="677">
        <v>18.372023926000001</v>
      </c>
      <c r="CW391" s="677">
        <v>21.650760910999999</v>
      </c>
      <c r="CX391" s="677">
        <v>15.237479366000001</v>
      </c>
      <c r="CY391" s="677">
        <v>34.053341205000002</v>
      </c>
      <c r="CZ391" s="677">
        <v>26.004351462999999</v>
      </c>
      <c r="DA391" s="677">
        <v>18.784718505000001</v>
      </c>
      <c r="DB391" s="1507">
        <v>6.0589450539999996</v>
      </c>
      <c r="DC391" s="677">
        <v>38.149480719000003</v>
      </c>
      <c r="DD391" s="677">
        <v>23.557425863999999</v>
      </c>
      <c r="DE391" s="677">
        <v>30.633589646000001</v>
      </c>
      <c r="DF391" s="677">
        <v>49.601166610999996</v>
      </c>
      <c r="DG391" s="677">
        <v>20.703508348</v>
      </c>
      <c r="DH391" s="677">
        <v>22.386334601000001</v>
      </c>
      <c r="DI391" s="677">
        <v>42.277166563999998</v>
      </c>
      <c r="DJ391" s="677">
        <v>21.631391396000001</v>
      </c>
      <c r="DK391" s="677">
        <v>23.819228024000001</v>
      </c>
      <c r="DL391" s="677">
        <v>14.698335522000001</v>
      </c>
      <c r="DM391" s="677">
        <v>27.17271002</v>
      </c>
      <c r="DN391" s="679">
        <v>15.134866927999999</v>
      </c>
      <c r="DO391" s="677">
        <v>47.374549019</v>
      </c>
      <c r="DP391" s="677">
        <v>45.593146375000003</v>
      </c>
      <c r="DQ391" s="677">
        <v>28.136756302999999</v>
      </c>
      <c r="DR391" s="677">
        <v>45.042658940000003</v>
      </c>
      <c r="DS391" s="677">
        <v>30.61220647</v>
      </c>
      <c r="DT391" s="677">
        <v>46.316157398999998</v>
      </c>
      <c r="DU391" s="677">
        <v>50.922013946</v>
      </c>
      <c r="DV391" s="677">
        <v>23.300554481999999</v>
      </c>
      <c r="DW391" s="677">
        <v>24.161431893</v>
      </c>
      <c r="DX391" s="677">
        <v>52.569274215999997</v>
      </c>
      <c r="DY391" s="677">
        <v>24.781575438000001</v>
      </c>
      <c r="DZ391" s="679">
        <v>8.3918777309999992</v>
      </c>
      <c r="EA391" s="677">
        <v>69.744524425999998</v>
      </c>
      <c r="EB391" s="677">
        <v>29.526782001000001</v>
      </c>
      <c r="EC391" s="677">
        <v>51.114499516999999</v>
      </c>
      <c r="ED391" s="677">
        <v>48.703344149000003</v>
      </c>
      <c r="EE391" s="677">
        <v>29.01836788</v>
      </c>
      <c r="EF391" s="677">
        <v>31.611046483999999</v>
      </c>
      <c r="EG391" s="677">
        <v>41.164901991000001</v>
      </c>
      <c r="EH391" s="677">
        <v>17.915828225999999</v>
      </c>
      <c r="EI391" s="677">
        <v>33.183104206000003</v>
      </c>
      <c r="EJ391" s="677">
        <v>25.228070025000001</v>
      </c>
      <c r="EK391" s="677">
        <v>43.216112066999997</v>
      </c>
      <c r="EL391" s="679">
        <v>22.027895014999999</v>
      </c>
      <c r="EM391" s="677">
        <v>27.052861472453998</v>
      </c>
      <c r="EN391" s="677">
        <v>56.237058191454004</v>
      </c>
      <c r="EO391" s="677">
        <v>23.925407272453999</v>
      </c>
      <c r="EP391" s="677">
        <v>41.124411655454004</v>
      </c>
      <c r="EQ391" s="677">
        <v>33.319237932454001</v>
      </c>
      <c r="ER391" s="677">
        <v>19.377736530453998</v>
      </c>
      <c r="ES391" s="677">
        <v>36.394684280454001</v>
      </c>
      <c r="ET391" s="677">
        <v>27.574568909453998</v>
      </c>
      <c r="EU391" s="677">
        <v>34.076756706453999</v>
      </c>
      <c r="EV391" s="677">
        <v>110.485519330454</v>
      </c>
      <c r="EW391" s="677">
        <v>54.780842942454001</v>
      </c>
      <c r="EX391" s="679">
        <v>17.718438524454001</v>
      </c>
      <c r="EY391" s="677">
        <v>34.066597782166703</v>
      </c>
      <c r="EZ391" s="677">
        <v>32.383621068166704</v>
      </c>
      <c r="FA391" s="677">
        <v>45.417365403166706</v>
      </c>
      <c r="FB391" s="677">
        <v>27.211199387166602</v>
      </c>
      <c r="FC391" s="677">
        <v>47.7747409241667</v>
      </c>
      <c r="FD391" s="677">
        <v>36.368678084166703</v>
      </c>
      <c r="FE391" s="677">
        <v>53.806526589999997</v>
      </c>
      <c r="FF391" s="677">
        <v>52.605987659</v>
      </c>
      <c r="FG391" s="677">
        <v>69.132440504000002</v>
      </c>
      <c r="FH391" s="677">
        <v>55.429907583999999</v>
      </c>
      <c r="FI391" s="677">
        <v>65.508302673000003</v>
      </c>
      <c r="FJ391" s="679">
        <v>52.641321752000003</v>
      </c>
      <c r="FK391" s="677">
        <v>54.894438030000003</v>
      </c>
      <c r="FL391" s="677">
        <v>54.930171158999997</v>
      </c>
      <c r="FM391" s="677">
        <v>51.826503940000002</v>
      </c>
      <c r="FN391" s="677">
        <f>40.378240762-4.1003</f>
        <v>36.277940762</v>
      </c>
      <c r="FO391" s="677">
        <v>35.521056952000002</v>
      </c>
      <c r="FP391" s="677">
        <v>55.347619846999997</v>
      </c>
      <c r="FQ391" s="677">
        <v>23.825312903</v>
      </c>
      <c r="FR391" s="677">
        <v>28.573352698000001</v>
      </c>
      <c r="FS391" s="677">
        <v>57.081974254000002</v>
      </c>
      <c r="FT391" s="677">
        <v>49.100866228000001</v>
      </c>
      <c r="FU391" s="677">
        <v>127.31638301700001</v>
      </c>
      <c r="FV391" s="677">
        <v>49.280792273000003</v>
      </c>
      <c r="FW391" s="677">
        <v>33.126714421999999</v>
      </c>
      <c r="FX391" s="677">
        <v>33.956093015999997</v>
      </c>
      <c r="FY391" s="677">
        <v>56.031679732000001</v>
      </c>
      <c r="FZ391" s="677">
        <v>67.436981486999997</v>
      </c>
      <c r="GA391" s="677">
        <v>43.402174666999997</v>
      </c>
      <c r="GB391" s="677">
        <v>48.40213387</v>
      </c>
      <c r="GC391" s="677">
        <v>60.231999448000003</v>
      </c>
      <c r="GD391" s="677">
        <v>59.949230440999997</v>
      </c>
      <c r="GE391" s="677">
        <v>65.633617379</v>
      </c>
      <c r="GF391" s="677">
        <v>82.122683185</v>
      </c>
      <c r="GG391" s="677">
        <v>68.668458121000015</v>
      </c>
      <c r="GH391" s="677">
        <v>69.451322118999997</v>
      </c>
      <c r="GI391" s="677">
        <v>86.392535342069294</v>
      </c>
      <c r="GJ391" s="677">
        <v>69.968808116422721</v>
      </c>
      <c r="GK391" s="677">
        <v>70.838656541507945</v>
      </c>
      <c r="GL391" s="677">
        <v>61.869439425874084</v>
      </c>
      <c r="GM391" s="677">
        <v>54.37241176452406</v>
      </c>
      <c r="GN391" s="677">
        <v>40.239489522601893</v>
      </c>
      <c r="GO391" s="677">
        <v>50.573129334638331</v>
      </c>
      <c r="GP391" s="677">
        <v>44.460187846740155</v>
      </c>
      <c r="GQ391" s="677">
        <v>63.04187707262151</v>
      </c>
      <c r="GR391" s="677">
        <v>68.459258315378122</v>
      </c>
      <c r="GS391" s="677">
        <v>108.7472268109677</v>
      </c>
      <c r="GT391" s="677">
        <v>24.236979906654174</v>
      </c>
      <c r="GU391" s="677">
        <v>46.042977123999997</v>
      </c>
      <c r="GV391" s="677">
        <v>42.101963419</v>
      </c>
      <c r="GW391" s="677">
        <v>100.174835649</v>
      </c>
      <c r="GX391" s="677">
        <v>59.234085694000001</v>
      </c>
      <c r="GY391" s="677">
        <v>44.001146071999997</v>
      </c>
      <c r="GZ391" s="677">
        <v>65.571522169999994</v>
      </c>
      <c r="HA391" s="677">
        <v>68.671740002999996</v>
      </c>
      <c r="HB391" s="677">
        <v>69.454597501999999</v>
      </c>
      <c r="HC391" s="677">
        <v>38.842915599000001</v>
      </c>
      <c r="HD391" s="677">
        <v>71.721038477999997</v>
      </c>
      <c r="HE391" s="677">
        <v>120.50202976200001</v>
      </c>
      <c r="HF391" s="677">
        <v>72.381148528000097</v>
      </c>
      <c r="HG391" s="677">
        <v>126.526735375</v>
      </c>
      <c r="HH391" s="677">
        <v>48.773793664000003</v>
      </c>
      <c r="HI391" s="677">
        <v>62.230954531000002</v>
      </c>
      <c r="HJ391" s="677">
        <v>84.179196735999994</v>
      </c>
      <c r="HK391" s="677">
        <v>87.520883905000005</v>
      </c>
      <c r="HL391" s="677">
        <v>45.030092752000002</v>
      </c>
      <c r="HM391" s="677"/>
      <c r="HN391" s="680"/>
      <c r="KH391" s="682"/>
      <c r="KI391" s="680"/>
    </row>
    <row r="392" spans="1:295" s="681" customFormat="1" outlineLevel="1">
      <c r="A392" s="675" t="s">
        <v>923</v>
      </c>
      <c r="B392" s="675" t="s">
        <v>361</v>
      </c>
      <c r="C392" s="675"/>
      <c r="D392" s="1467" t="s">
        <v>561</v>
      </c>
      <c r="E392" s="677"/>
      <c r="F392" s="677"/>
      <c r="G392" s="677"/>
      <c r="H392" s="677"/>
      <c r="I392" s="677"/>
      <c r="J392" s="677"/>
      <c r="K392" s="677"/>
      <c r="L392" s="677"/>
      <c r="M392" s="677"/>
      <c r="N392" s="677"/>
      <c r="O392" s="677"/>
      <c r="P392" s="677"/>
      <c r="Q392" s="677"/>
      <c r="R392" s="677"/>
      <c r="S392" s="677"/>
      <c r="T392" s="677"/>
      <c r="U392" s="677"/>
      <c r="V392" s="677"/>
      <c r="W392" s="677"/>
      <c r="X392" s="677"/>
      <c r="Y392" s="677"/>
      <c r="Z392" s="677"/>
      <c r="AA392" s="677"/>
      <c r="AB392" s="677"/>
      <c r="AC392" s="677"/>
      <c r="AD392" s="677"/>
      <c r="AE392" s="677"/>
      <c r="AF392" s="677"/>
      <c r="AG392" s="677"/>
      <c r="AH392" s="677"/>
      <c r="AI392" s="677"/>
      <c r="AJ392" s="677"/>
      <c r="AK392" s="677"/>
      <c r="AL392" s="677"/>
      <c r="AM392" s="677"/>
      <c r="AN392" s="677"/>
      <c r="AO392" s="677"/>
      <c r="AP392" s="677"/>
      <c r="AQ392" s="677"/>
      <c r="AR392" s="677"/>
      <c r="AS392" s="677"/>
      <c r="AT392" s="677"/>
      <c r="AU392" s="677"/>
      <c r="AV392" s="677"/>
      <c r="AW392" s="677"/>
      <c r="AX392" s="677"/>
      <c r="AY392" s="677"/>
      <c r="AZ392" s="677"/>
      <c r="BA392" s="677"/>
      <c r="BB392" s="677"/>
      <c r="BC392" s="677"/>
      <c r="BD392" s="677"/>
      <c r="BE392" s="677"/>
      <c r="BF392" s="677"/>
      <c r="BG392" s="677">
        <v>0</v>
      </c>
      <c r="BH392" s="677">
        <v>0</v>
      </c>
      <c r="BI392" s="677">
        <v>0</v>
      </c>
      <c r="BJ392" s="677">
        <v>0</v>
      </c>
      <c r="BK392" s="677">
        <v>0</v>
      </c>
      <c r="BL392" s="677">
        <v>0</v>
      </c>
      <c r="BM392" s="677">
        <v>0</v>
      </c>
      <c r="BN392" s="677">
        <v>0</v>
      </c>
      <c r="BO392" s="677">
        <v>0</v>
      </c>
      <c r="BP392" s="677">
        <v>0</v>
      </c>
      <c r="BQ392" s="677">
        <v>0</v>
      </c>
      <c r="BR392" s="677">
        <v>0</v>
      </c>
      <c r="BS392" s="677">
        <v>0</v>
      </c>
      <c r="BT392" s="677">
        <v>0</v>
      </c>
      <c r="BU392" s="677">
        <v>0</v>
      </c>
      <c r="BV392" s="677">
        <v>0</v>
      </c>
      <c r="BW392" s="677">
        <v>0</v>
      </c>
      <c r="BX392" s="677">
        <v>0</v>
      </c>
      <c r="BY392" s="677">
        <v>0</v>
      </c>
      <c r="BZ392" s="677">
        <v>0</v>
      </c>
      <c r="CA392" s="677">
        <v>0</v>
      </c>
      <c r="CB392" s="677">
        <v>0</v>
      </c>
      <c r="CC392" s="677">
        <v>0</v>
      </c>
      <c r="CD392" s="677">
        <v>0</v>
      </c>
      <c r="CE392" s="678">
        <v>0</v>
      </c>
      <c r="CF392" s="677">
        <v>0</v>
      </c>
      <c r="CG392" s="677">
        <v>0</v>
      </c>
      <c r="CH392" s="677">
        <v>0</v>
      </c>
      <c r="CI392" s="677">
        <v>0</v>
      </c>
      <c r="CJ392" s="677">
        <v>0</v>
      </c>
      <c r="CK392" s="677">
        <v>0</v>
      </c>
      <c r="CL392" s="677">
        <v>0</v>
      </c>
      <c r="CM392" s="677">
        <v>0</v>
      </c>
      <c r="CN392" s="677">
        <v>0</v>
      </c>
      <c r="CO392" s="677">
        <v>0</v>
      </c>
      <c r="CP392" s="679">
        <v>0</v>
      </c>
      <c r="CQ392" s="677">
        <v>0</v>
      </c>
      <c r="CR392" s="677">
        <v>0</v>
      </c>
      <c r="CS392" s="677">
        <v>0</v>
      </c>
      <c r="CT392" s="677">
        <v>0</v>
      </c>
      <c r="CU392" s="677">
        <v>0</v>
      </c>
      <c r="CV392" s="677">
        <v>0</v>
      </c>
      <c r="CW392" s="677">
        <v>0</v>
      </c>
      <c r="CX392" s="677">
        <v>0</v>
      </c>
      <c r="CY392" s="677">
        <v>0</v>
      </c>
      <c r="CZ392" s="677">
        <v>0</v>
      </c>
      <c r="DA392" s="677">
        <v>0</v>
      </c>
      <c r="DB392" s="1507">
        <v>0</v>
      </c>
      <c r="DC392" s="677">
        <v>0</v>
      </c>
      <c r="DD392" s="677">
        <v>0</v>
      </c>
      <c r="DE392" s="677">
        <v>0</v>
      </c>
      <c r="DF392" s="677">
        <v>0</v>
      </c>
      <c r="DG392" s="677">
        <v>0</v>
      </c>
      <c r="DH392" s="677">
        <v>0</v>
      </c>
      <c r="DI392" s="677">
        <v>0</v>
      </c>
      <c r="DJ392" s="677">
        <v>0</v>
      </c>
      <c r="DK392" s="677">
        <v>0</v>
      </c>
      <c r="DL392" s="677">
        <v>0</v>
      </c>
      <c r="DM392" s="677">
        <v>0</v>
      </c>
      <c r="DN392" s="679">
        <v>0</v>
      </c>
      <c r="DO392" s="677">
        <v>0</v>
      </c>
      <c r="DP392" s="677">
        <v>0</v>
      </c>
      <c r="DQ392" s="677">
        <v>0</v>
      </c>
      <c r="DR392" s="677">
        <v>0</v>
      </c>
      <c r="DS392" s="677">
        <v>0</v>
      </c>
      <c r="DT392" s="677">
        <v>0</v>
      </c>
      <c r="DU392" s="677">
        <v>0</v>
      </c>
      <c r="DV392" s="677">
        <v>0</v>
      </c>
      <c r="DW392" s="677">
        <v>0</v>
      </c>
      <c r="DX392" s="677">
        <v>0</v>
      </c>
      <c r="DY392" s="677">
        <v>0</v>
      </c>
      <c r="DZ392" s="679">
        <v>0</v>
      </c>
      <c r="EA392" s="677">
        <v>0</v>
      </c>
      <c r="EB392" s="677">
        <v>0</v>
      </c>
      <c r="EC392" s="677">
        <v>0</v>
      </c>
      <c r="ED392" s="677">
        <v>0</v>
      </c>
      <c r="EE392" s="677">
        <v>0</v>
      </c>
      <c r="EF392" s="677">
        <v>0</v>
      </c>
      <c r="EG392" s="677">
        <v>0</v>
      </c>
      <c r="EH392" s="677">
        <v>0</v>
      </c>
      <c r="EI392" s="677">
        <v>0</v>
      </c>
      <c r="EJ392" s="677">
        <v>0</v>
      </c>
      <c r="EK392" s="677">
        <v>0</v>
      </c>
      <c r="EL392" s="679">
        <v>0</v>
      </c>
      <c r="EM392" s="677">
        <v>0</v>
      </c>
      <c r="EN392" s="677">
        <v>0</v>
      </c>
      <c r="EO392" s="677">
        <v>0</v>
      </c>
      <c r="EP392" s="677">
        <v>0</v>
      </c>
      <c r="EQ392" s="677">
        <v>0</v>
      </c>
      <c r="ER392" s="677">
        <v>0</v>
      </c>
      <c r="ES392" s="677">
        <v>0</v>
      </c>
      <c r="ET392" s="677">
        <v>0</v>
      </c>
      <c r="EU392" s="677">
        <v>0</v>
      </c>
      <c r="EV392" s="677">
        <v>0</v>
      </c>
      <c r="EW392" s="677">
        <v>0</v>
      </c>
      <c r="EX392" s="679">
        <v>0</v>
      </c>
      <c r="EY392" s="677">
        <v>0</v>
      </c>
      <c r="EZ392" s="677">
        <v>0</v>
      </c>
      <c r="FA392" s="677">
        <v>0</v>
      </c>
      <c r="FB392" s="677">
        <v>0</v>
      </c>
      <c r="FC392" s="677">
        <v>0</v>
      </c>
      <c r="FD392" s="677">
        <v>0</v>
      </c>
      <c r="FE392" s="677">
        <v>0</v>
      </c>
      <c r="FF392" s="677">
        <v>0</v>
      </c>
      <c r="FG392" s="677">
        <v>0</v>
      </c>
      <c r="FH392" s="677">
        <v>0</v>
      </c>
      <c r="FI392" s="677">
        <v>0</v>
      </c>
      <c r="FJ392" s="679">
        <v>0</v>
      </c>
      <c r="FK392" s="677">
        <v>0</v>
      </c>
      <c r="FL392" s="677">
        <v>0</v>
      </c>
      <c r="FM392" s="677">
        <v>0</v>
      </c>
      <c r="FN392" s="677">
        <v>0</v>
      </c>
      <c r="FO392" s="677">
        <v>0</v>
      </c>
      <c r="FP392" s="677">
        <v>0</v>
      </c>
      <c r="FQ392" s="677">
        <v>0</v>
      </c>
      <c r="FR392" s="677">
        <v>0</v>
      </c>
      <c r="FS392" s="677">
        <v>0</v>
      </c>
      <c r="FT392" s="677">
        <v>0</v>
      </c>
      <c r="FU392" s="677">
        <v>0</v>
      </c>
      <c r="FV392" s="677">
        <v>0</v>
      </c>
      <c r="FW392" s="677">
        <v>0</v>
      </c>
      <c r="FX392" s="677">
        <v>0</v>
      </c>
      <c r="FY392" s="677">
        <v>0</v>
      </c>
      <c r="FZ392" s="677">
        <v>0</v>
      </c>
      <c r="GA392" s="677">
        <v>0</v>
      </c>
      <c r="GB392" s="677">
        <v>0</v>
      </c>
      <c r="GC392" s="677">
        <v>0</v>
      </c>
      <c r="GD392" s="677">
        <v>0</v>
      </c>
      <c r="GE392" s="677">
        <v>0</v>
      </c>
      <c r="GF392" s="677">
        <v>0</v>
      </c>
      <c r="GG392" s="677">
        <v>0</v>
      </c>
      <c r="GH392" s="677">
        <v>0</v>
      </c>
      <c r="GI392" s="677">
        <v>0</v>
      </c>
      <c r="GJ392" s="677">
        <v>0</v>
      </c>
      <c r="GK392" s="677">
        <v>0</v>
      </c>
      <c r="GL392" s="677">
        <v>0</v>
      </c>
      <c r="GM392" s="677">
        <v>0</v>
      </c>
      <c r="GN392" s="677">
        <v>0</v>
      </c>
      <c r="GO392" s="677">
        <v>0</v>
      </c>
      <c r="GP392" s="677">
        <v>0</v>
      </c>
      <c r="GQ392" s="677">
        <v>0</v>
      </c>
      <c r="GR392" s="677">
        <v>0</v>
      </c>
      <c r="GS392" s="677">
        <v>0</v>
      </c>
      <c r="GT392" s="677">
        <v>0</v>
      </c>
      <c r="GU392" s="677">
        <v>0</v>
      </c>
      <c r="GV392" s="677">
        <v>0</v>
      </c>
      <c r="GW392" s="677">
        <v>0</v>
      </c>
      <c r="GX392" s="677">
        <v>0</v>
      </c>
      <c r="GY392" s="677">
        <v>0</v>
      </c>
      <c r="GZ392" s="677">
        <v>0</v>
      </c>
      <c r="HA392" s="677">
        <v>0</v>
      </c>
      <c r="HB392" s="677">
        <v>0</v>
      </c>
      <c r="HC392" s="677">
        <v>0</v>
      </c>
      <c r="HD392" s="677">
        <v>0</v>
      </c>
      <c r="HE392" s="677">
        <v>0</v>
      </c>
      <c r="HF392" s="677">
        <v>0</v>
      </c>
      <c r="HG392" s="677">
        <v>0</v>
      </c>
      <c r="HH392" s="677">
        <v>0</v>
      </c>
      <c r="HI392" s="677">
        <v>0</v>
      </c>
      <c r="HJ392" s="677">
        <v>0</v>
      </c>
      <c r="HK392" s="677">
        <v>0</v>
      </c>
      <c r="HL392" s="677">
        <v>0</v>
      </c>
      <c r="HM392" s="677"/>
      <c r="HN392" s="680"/>
      <c r="KH392" s="682"/>
      <c r="KI392" s="680"/>
    </row>
    <row r="393" spans="1:295" s="681" customFormat="1" outlineLevel="1">
      <c r="A393" s="675" t="s">
        <v>923</v>
      </c>
      <c r="B393" s="675" t="s">
        <v>361</v>
      </c>
      <c r="C393" s="675"/>
      <c r="D393" s="1467" t="s">
        <v>544</v>
      </c>
      <c r="E393" s="677"/>
      <c r="F393" s="677"/>
      <c r="G393" s="677"/>
      <c r="H393" s="677"/>
      <c r="I393" s="677"/>
      <c r="J393" s="677"/>
      <c r="K393" s="677"/>
      <c r="L393" s="677"/>
      <c r="M393" s="677"/>
      <c r="N393" s="677"/>
      <c r="O393" s="677"/>
      <c r="P393" s="677"/>
      <c r="Q393" s="677"/>
      <c r="R393" s="677"/>
      <c r="S393" s="677"/>
      <c r="T393" s="677"/>
      <c r="U393" s="677"/>
      <c r="V393" s="677"/>
      <c r="W393" s="677"/>
      <c r="X393" s="677"/>
      <c r="Y393" s="677"/>
      <c r="Z393" s="677"/>
      <c r="AA393" s="677"/>
      <c r="AB393" s="677"/>
      <c r="AC393" s="677"/>
      <c r="AD393" s="677"/>
      <c r="AE393" s="677"/>
      <c r="AF393" s="677"/>
      <c r="AG393" s="677"/>
      <c r="AH393" s="677"/>
      <c r="AI393" s="677"/>
      <c r="AJ393" s="677"/>
      <c r="AK393" s="677"/>
      <c r="AL393" s="677"/>
      <c r="AM393" s="677"/>
      <c r="AN393" s="677"/>
      <c r="AO393" s="677"/>
      <c r="AP393" s="677"/>
      <c r="AQ393" s="677"/>
      <c r="AR393" s="677"/>
      <c r="AS393" s="677"/>
      <c r="AT393" s="677"/>
      <c r="AU393" s="677"/>
      <c r="AV393" s="677"/>
      <c r="AW393" s="677"/>
      <c r="AX393" s="677"/>
      <c r="AY393" s="677"/>
      <c r="AZ393" s="677"/>
      <c r="BA393" s="677"/>
      <c r="BB393" s="677"/>
      <c r="BC393" s="677"/>
      <c r="BD393" s="677"/>
      <c r="BE393" s="677"/>
      <c r="BF393" s="677"/>
      <c r="BG393" s="677">
        <v>0.64442542420000004</v>
      </c>
      <c r="BH393" s="677">
        <v>0.74000402574000002</v>
      </c>
      <c r="BI393" s="677">
        <v>3.1333673398599999</v>
      </c>
      <c r="BJ393" s="677">
        <v>0.55994236499999994</v>
      </c>
      <c r="BK393" s="677">
        <v>2.0145336340000002</v>
      </c>
      <c r="BL393" s="677">
        <v>1.919866251</v>
      </c>
      <c r="BM393" s="677">
        <v>1.219471161</v>
      </c>
      <c r="BN393" s="677">
        <v>1.4851347100000001</v>
      </c>
      <c r="BO393" s="677">
        <v>2.7905668549999998</v>
      </c>
      <c r="BP393" s="677">
        <v>1.004922359</v>
      </c>
      <c r="BQ393" s="677">
        <v>0.64335790100000001</v>
      </c>
      <c r="BR393" s="677">
        <v>2.353185335</v>
      </c>
      <c r="BS393" s="677">
        <v>0.29478044799999997</v>
      </c>
      <c r="BT393" s="677">
        <v>1.198582636</v>
      </c>
      <c r="BU393" s="677">
        <v>1.159378325</v>
      </c>
      <c r="BV393" s="677">
        <v>2.6299444830000001</v>
      </c>
      <c r="BW393" s="677">
        <v>2.2229761640000003</v>
      </c>
      <c r="BX393" s="677">
        <v>1.3665123440000002</v>
      </c>
      <c r="BY393" s="677">
        <v>2.1331117160000002</v>
      </c>
      <c r="BZ393" s="677">
        <v>1.8207399930000001</v>
      </c>
      <c r="CA393" s="677">
        <v>1.914010945</v>
      </c>
      <c r="CB393" s="677">
        <v>2.5145817840000002</v>
      </c>
      <c r="CC393" s="677">
        <v>8.8502698479999999</v>
      </c>
      <c r="CD393" s="677">
        <v>3.8778661080000001</v>
      </c>
      <c r="CE393" s="678">
        <v>1.609796041207662</v>
      </c>
      <c r="CF393" s="677">
        <v>2.8524102618245348</v>
      </c>
      <c r="CG393" s="677">
        <v>2.7971942746565119</v>
      </c>
      <c r="CH393" s="677">
        <v>10.859034179375151</v>
      </c>
      <c r="CI393" s="677">
        <v>2.3939403119616838</v>
      </c>
      <c r="CJ393" s="677">
        <v>1.6320062209064963</v>
      </c>
      <c r="CK393" s="677">
        <v>1.8258375629085111</v>
      </c>
      <c r="CL393" s="677">
        <v>1.2099095125961763</v>
      </c>
      <c r="CM393" s="677">
        <v>2.958625179097079</v>
      </c>
      <c r="CN393" s="677">
        <v>11.505393079649982</v>
      </c>
      <c r="CO393" s="677">
        <v>1.6941676820614811</v>
      </c>
      <c r="CP393" s="679">
        <v>2.2384904943174666</v>
      </c>
      <c r="CQ393" s="677">
        <v>1.6860845587041022</v>
      </c>
      <c r="CR393" s="677">
        <v>2.4916075424579196</v>
      </c>
      <c r="CS393" s="677">
        <v>2.3814895858749945</v>
      </c>
      <c r="CT393" s="677">
        <v>11.364908252121625</v>
      </c>
      <c r="CU393" s="677">
        <v>2.9515366672328889</v>
      </c>
      <c r="CV393" s="677">
        <v>1.1844693454056754</v>
      </c>
      <c r="CW393" s="677">
        <v>1.2312581831084859</v>
      </c>
      <c r="CX393" s="677">
        <v>3.0364179947152299</v>
      </c>
      <c r="CY393" s="677">
        <v>2.4927100474566961</v>
      </c>
      <c r="CZ393" s="677">
        <v>12.010492029254976</v>
      </c>
      <c r="DA393" s="677">
        <v>3.1357305790531549</v>
      </c>
      <c r="DB393" s="1507">
        <v>1.9055707876982277</v>
      </c>
      <c r="DC393" s="677">
        <v>1.319552671874697</v>
      </c>
      <c r="DD393" s="677">
        <v>5.1373690910000001</v>
      </c>
      <c r="DE393" s="677">
        <v>2.9720018613999999</v>
      </c>
      <c r="DF393" s="677">
        <v>12.247483175581106</v>
      </c>
      <c r="DG393" s="677">
        <v>4.4292552779999994</v>
      </c>
      <c r="DH393" s="677">
        <v>1.487965363</v>
      </c>
      <c r="DI393" s="677">
        <v>2.1749165699884609</v>
      </c>
      <c r="DJ393" s="677">
        <v>5.4458020928694051</v>
      </c>
      <c r="DK393" s="677">
        <v>2.7054398880813491</v>
      </c>
      <c r="DL393" s="677">
        <v>12.417007610781795</v>
      </c>
      <c r="DM393" s="677">
        <v>4.7381492344584499</v>
      </c>
      <c r="DN393" s="679">
        <v>1.7671193954611395</v>
      </c>
      <c r="DO393" s="677">
        <v>1.5624071460900535</v>
      </c>
      <c r="DP393" s="677">
        <v>2.5781712165179771</v>
      </c>
      <c r="DQ393" s="677">
        <v>10.308560738777594</v>
      </c>
      <c r="DR393" s="677">
        <v>12.804770040562477</v>
      </c>
      <c r="DS393" s="677">
        <v>6.9211153639897427</v>
      </c>
      <c r="DT393" s="677">
        <v>2.8734650891153914</v>
      </c>
      <c r="DU393" s="677">
        <v>3.1088051856620535</v>
      </c>
      <c r="DV393" s="677">
        <v>8.2619049010794026</v>
      </c>
      <c r="DW393" s="677">
        <v>3.466102372681549</v>
      </c>
      <c r="DX393" s="677">
        <v>15.094986895292301</v>
      </c>
      <c r="DY393" s="677">
        <v>1.9753938718579782</v>
      </c>
      <c r="DZ393" s="679">
        <v>3.2361918775691323</v>
      </c>
      <c r="EA393" s="677">
        <v>3.5015318324717364</v>
      </c>
      <c r="EB393" s="677">
        <v>9.8382652614426149</v>
      </c>
      <c r="EC393" s="677">
        <v>6.3399289731364812</v>
      </c>
      <c r="ED393" s="677">
        <v>13.964768911</v>
      </c>
      <c r="EE393" s="677">
        <v>8.0898960740000003</v>
      </c>
      <c r="EF393" s="677">
        <v>2.7822407029999998</v>
      </c>
      <c r="EG393" s="677">
        <v>3.3499686910857536</v>
      </c>
      <c r="EH393" s="677">
        <v>11.022596140739683</v>
      </c>
      <c r="EI393" s="677">
        <v>2.3467054732964439</v>
      </c>
      <c r="EJ393" s="677">
        <v>18.03617356978901</v>
      </c>
      <c r="EK393" s="677">
        <v>7.0078950868328036</v>
      </c>
      <c r="EL393" s="679">
        <v>5.2986119352560879</v>
      </c>
      <c r="EM393" s="677">
        <v>3.8486211165429598</v>
      </c>
      <c r="EN393" s="677">
        <v>10.700859893184743</v>
      </c>
      <c r="EO393" s="677">
        <v>4.6521633732603025</v>
      </c>
      <c r="EP393" s="677">
        <v>16.309403906360082</v>
      </c>
      <c r="EQ393" s="677">
        <v>3.6079288626639343</v>
      </c>
      <c r="ER393" s="677">
        <v>11.427364020758388</v>
      </c>
      <c r="ES393" s="677">
        <v>4.599654032513925</v>
      </c>
      <c r="ET393" s="677">
        <v>11.417378753271166</v>
      </c>
      <c r="EU393" s="677">
        <v>6.4693827281148817</v>
      </c>
      <c r="EV393" s="677">
        <v>14.166945028627095</v>
      </c>
      <c r="EW393" s="677">
        <v>12.389836306088334</v>
      </c>
      <c r="EX393" s="679">
        <v>2.9029321177728376</v>
      </c>
      <c r="EY393" s="677">
        <v>4.2582108953112154</v>
      </c>
      <c r="EZ393" s="677">
        <v>15.021419806750689</v>
      </c>
      <c r="FA393" s="677">
        <v>5.9664849941384102</v>
      </c>
      <c r="FB393" s="677">
        <v>19.494149095841749</v>
      </c>
      <c r="FC393" s="677">
        <v>16.49008988651671</v>
      </c>
      <c r="FD393" s="677">
        <v>6.2893872257290457</v>
      </c>
      <c r="FE393" s="677">
        <v>6.7110417965411377</v>
      </c>
      <c r="FF393" s="677">
        <v>15.967883407616835</v>
      </c>
      <c r="FG393" s="677">
        <v>9.0334709392930357</v>
      </c>
      <c r="FH393" s="677">
        <v>21.409498307685546</v>
      </c>
      <c r="FI393" s="677">
        <v>9.427931472445044</v>
      </c>
      <c r="FJ393" s="679">
        <v>9.0492364981899645</v>
      </c>
      <c r="FK393" s="677">
        <v>6.5947894472174173</v>
      </c>
      <c r="FL393" s="677">
        <v>20.565895935460542</v>
      </c>
      <c r="FM393" s="677">
        <v>12.429435277368885</v>
      </c>
      <c r="FN393" s="677">
        <v>16.620546338643344</v>
      </c>
      <c r="FO393" s="677">
        <v>21.72806158524206</v>
      </c>
      <c r="FP393" s="677">
        <v>5.9063976818935888</v>
      </c>
      <c r="FQ393" s="677">
        <v>7.7234116519373588</v>
      </c>
      <c r="FR393" s="677">
        <v>25.884777593420942</v>
      </c>
      <c r="FS393" s="677">
        <v>13.113680258481391</v>
      </c>
      <c r="FT393" s="677">
        <v>18.082788732618027</v>
      </c>
      <c r="FU393" s="677">
        <v>24.841553885203947</v>
      </c>
      <c r="FV393" s="677">
        <v>7.1945375148176671</v>
      </c>
      <c r="FW393" s="677">
        <v>10.295539063835768</v>
      </c>
      <c r="FX393" s="677">
        <v>39.167970075463799</v>
      </c>
      <c r="FY393" s="677">
        <v>11.62923901199345</v>
      </c>
      <c r="FZ393" s="677">
        <v>4.5180598263678782</v>
      </c>
      <c r="GA393" s="677">
        <v>29.225468595148026</v>
      </c>
      <c r="GB393" s="677">
        <v>7.3349480486927394</v>
      </c>
      <c r="GC393" s="677">
        <v>8.8797004205670298</v>
      </c>
      <c r="GD393" s="677">
        <v>51.884085011702439</v>
      </c>
      <c r="GE393" s="677">
        <v>12.065713394151027</v>
      </c>
      <c r="GF393" s="677">
        <v>5.2082692012701033</v>
      </c>
      <c r="GG393" s="677">
        <v>34.678660724973334</v>
      </c>
      <c r="GH393" s="677">
        <v>5.4473070258898044</v>
      </c>
      <c r="GI393" s="677">
        <f>GI394+GI395</f>
        <v>9.9897070448089718</v>
      </c>
      <c r="GJ393" s="677">
        <f t="shared" ref="GJ393:GN393" si="55">GJ394+GJ395</f>
        <v>59.010171550458026</v>
      </c>
      <c r="GK393" s="677">
        <f t="shared" si="55"/>
        <v>15.037356993349603</v>
      </c>
      <c r="GL393" s="677">
        <f t="shared" si="55"/>
        <v>4.8984271749860095</v>
      </c>
      <c r="GM393" s="677">
        <f t="shared" si="55"/>
        <v>42.644514433000012</v>
      </c>
      <c r="GN393" s="677">
        <f t="shared" si="55"/>
        <v>5.7326379243156538</v>
      </c>
      <c r="GO393" s="677">
        <v>12.737969542313675</v>
      </c>
      <c r="GP393" s="677">
        <v>65.092827532489011</v>
      </c>
      <c r="GQ393" s="677">
        <v>16.970537585874933</v>
      </c>
      <c r="GR393" s="677">
        <v>9.8890309096020115</v>
      </c>
      <c r="GS393" s="677">
        <v>54.600416828589402</v>
      </c>
      <c r="GT393" s="677">
        <v>6.8992594013140653</v>
      </c>
      <c r="GU393" s="677">
        <v>15.022112417820438</v>
      </c>
      <c r="GV393" s="677">
        <v>70.298226307200196</v>
      </c>
      <c r="GW393" s="677">
        <v>15.436662169297446</v>
      </c>
      <c r="GX393" s="677">
        <v>9.0332611239490976</v>
      </c>
      <c r="GY393" s="677">
        <v>62.140814393254452</v>
      </c>
      <c r="GZ393" s="677">
        <v>20.142187697150661</v>
      </c>
      <c r="HA393" s="677">
        <v>20.40374766858961</v>
      </c>
      <c r="HB393" s="677">
        <v>78.486753669451161</v>
      </c>
      <c r="HC393" s="677">
        <v>16.46431260011844</v>
      </c>
      <c r="HD393" s="677">
        <v>10.767929105274723</v>
      </c>
      <c r="HE393" s="677">
        <v>65.730429704520603</v>
      </c>
      <c r="HF393" s="677">
        <v>33.794247993360699</v>
      </c>
      <c r="HG393" s="677">
        <v>21.67188593179101</v>
      </c>
      <c r="HH393" s="677">
        <v>84.382055637342688</v>
      </c>
      <c r="HI393" s="677">
        <v>17.086074993220311</v>
      </c>
      <c r="HJ393" s="677">
        <v>12.926356922355417</v>
      </c>
      <c r="HK393" s="677">
        <v>69.18838194771098</v>
      </c>
      <c r="HL393" s="677">
        <v>19.114210311865982</v>
      </c>
      <c r="HM393" s="677"/>
      <c r="HN393" s="680"/>
      <c r="KH393" s="682"/>
      <c r="KI393" s="680"/>
    </row>
    <row r="394" spans="1:295" s="681" customFormat="1" outlineLevel="1">
      <c r="A394" s="675" t="s">
        <v>923</v>
      </c>
      <c r="B394" s="675" t="s">
        <v>361</v>
      </c>
      <c r="C394" s="675"/>
      <c r="D394" s="1468" t="s">
        <v>562</v>
      </c>
      <c r="E394" s="677"/>
      <c r="F394" s="677"/>
      <c r="G394" s="677"/>
      <c r="H394" s="677"/>
      <c r="I394" s="677"/>
      <c r="J394" s="677"/>
      <c r="K394" s="677"/>
      <c r="L394" s="677"/>
      <c r="M394" s="677"/>
      <c r="N394" s="677"/>
      <c r="O394" s="677"/>
      <c r="P394" s="677"/>
      <c r="Q394" s="677"/>
      <c r="R394" s="677"/>
      <c r="S394" s="677"/>
      <c r="T394" s="677"/>
      <c r="U394" s="677"/>
      <c r="V394" s="677"/>
      <c r="W394" s="677"/>
      <c r="X394" s="677"/>
      <c r="Y394" s="677"/>
      <c r="Z394" s="677"/>
      <c r="AA394" s="677"/>
      <c r="AB394" s="677"/>
      <c r="AC394" s="677"/>
      <c r="AD394" s="677"/>
      <c r="AE394" s="677"/>
      <c r="AF394" s="677"/>
      <c r="AG394" s="677"/>
      <c r="AH394" s="677"/>
      <c r="AI394" s="677"/>
      <c r="AJ394" s="677"/>
      <c r="AK394" s="677"/>
      <c r="AL394" s="677"/>
      <c r="AM394" s="677"/>
      <c r="AN394" s="677"/>
      <c r="AO394" s="677"/>
      <c r="AP394" s="677"/>
      <c r="AQ394" s="677"/>
      <c r="AR394" s="677"/>
      <c r="AS394" s="677"/>
      <c r="AT394" s="677"/>
      <c r="AU394" s="677"/>
      <c r="AV394" s="677"/>
      <c r="AW394" s="677"/>
      <c r="AX394" s="677"/>
      <c r="AY394" s="677"/>
      <c r="AZ394" s="677"/>
      <c r="BA394" s="677"/>
      <c r="BB394" s="677"/>
      <c r="BC394" s="677"/>
      <c r="BD394" s="677"/>
      <c r="BE394" s="677"/>
      <c r="BF394" s="677"/>
      <c r="BG394" s="677">
        <v>0.64442542420000004</v>
      </c>
      <c r="BH394" s="677">
        <v>0.44419389174000001</v>
      </c>
      <c r="BI394" s="677">
        <v>0.98519447386000003</v>
      </c>
      <c r="BJ394" s="677">
        <v>0.29351833300000002</v>
      </c>
      <c r="BK394" s="677">
        <v>0.25040739400000001</v>
      </c>
      <c r="BL394" s="677">
        <v>0.45723261700000001</v>
      </c>
      <c r="BM394" s="677">
        <v>0.399195407</v>
      </c>
      <c r="BN394" s="677">
        <v>0.23484860199999999</v>
      </c>
      <c r="BO394" s="677">
        <v>0.98848117199999996</v>
      </c>
      <c r="BP394" s="677">
        <v>0.53694283300000001</v>
      </c>
      <c r="BQ394" s="677">
        <v>0.34211329600000001</v>
      </c>
      <c r="BR394" s="677">
        <v>0.21152100099999999</v>
      </c>
      <c r="BS394" s="677">
        <v>0.29478044799999997</v>
      </c>
      <c r="BT394" s="677">
        <v>0.26295763599999999</v>
      </c>
      <c r="BU394" s="677">
        <v>1.159378325</v>
      </c>
      <c r="BV394" s="677">
        <v>0.25431436299999999</v>
      </c>
      <c r="BW394" s="677">
        <v>0.35681724500000001</v>
      </c>
      <c r="BX394" s="677">
        <v>0.26304086100000001</v>
      </c>
      <c r="BY394" s="677">
        <v>0.47239882799999999</v>
      </c>
      <c r="BZ394" s="677">
        <v>1.014155605</v>
      </c>
      <c r="CA394" s="677">
        <v>1.276291265</v>
      </c>
      <c r="CB394" s="677">
        <v>0.29127051199999998</v>
      </c>
      <c r="CC394" s="677">
        <v>7.670850798</v>
      </c>
      <c r="CD394" s="677">
        <v>0.242850555</v>
      </c>
      <c r="CE394" s="678">
        <v>0.6969246684296645</v>
      </c>
      <c r="CF394" s="677">
        <v>0.20840830560696241</v>
      </c>
      <c r="CG394" s="677">
        <v>0.97392462447706141</v>
      </c>
      <c r="CH394" s="677">
        <v>9.8554909258991508</v>
      </c>
      <c r="CI394" s="677">
        <v>0.32145879232868413</v>
      </c>
      <c r="CJ394" s="677">
        <v>0.19237510966634239</v>
      </c>
      <c r="CK394" s="677">
        <v>0.71346271088450908</v>
      </c>
      <c r="CL394" s="677">
        <v>0.21600343383900905</v>
      </c>
      <c r="CM394" s="677">
        <v>1.1769884505048114</v>
      </c>
      <c r="CN394" s="677">
        <v>10.349296616037982</v>
      </c>
      <c r="CO394" s="677">
        <v>0.49532113773663172</v>
      </c>
      <c r="CP394" s="679">
        <v>0.33179743428691255</v>
      </c>
      <c r="CQ394" s="677">
        <v>0.79099153748848061</v>
      </c>
      <c r="CR394" s="677">
        <v>0.11403729645791975</v>
      </c>
      <c r="CS394" s="677">
        <v>1.4733748898749943</v>
      </c>
      <c r="CT394" s="677">
        <v>10.366451704121625</v>
      </c>
      <c r="CU394" s="677">
        <v>0.50758294923288882</v>
      </c>
      <c r="CV394" s="677">
        <v>0.35534728540567539</v>
      </c>
      <c r="CW394" s="677">
        <v>0.24830707547233477</v>
      </c>
      <c r="CX394" s="677">
        <v>0.74359800471522997</v>
      </c>
      <c r="CY394" s="677">
        <v>1.1104098504566957</v>
      </c>
      <c r="CZ394" s="677">
        <v>11.084422587891101</v>
      </c>
      <c r="DA394" s="677">
        <v>0.40285186905315495</v>
      </c>
      <c r="DB394" s="1507">
        <v>0.41327722969822789</v>
      </c>
      <c r="DC394" s="677">
        <v>0.30581300002400003</v>
      </c>
      <c r="DD394" s="677">
        <v>1.3218321449999999</v>
      </c>
      <c r="DE394" s="677">
        <v>1.7112772300000001</v>
      </c>
      <c r="DF394" s="677">
        <v>10.920185254000002</v>
      </c>
      <c r="DG394" s="677">
        <v>0.41516584300000003</v>
      </c>
      <c r="DH394" s="677">
        <v>0.48394333900000003</v>
      </c>
      <c r="DI394" s="677">
        <v>1.017606302988461</v>
      </c>
      <c r="DJ394" s="677">
        <v>1.3759804558694051</v>
      </c>
      <c r="DK394" s="677">
        <v>1.4788225950813481</v>
      </c>
      <c r="DL394" s="677">
        <v>11.335465838468624</v>
      </c>
      <c r="DM394" s="677">
        <v>0.57451591380627609</v>
      </c>
      <c r="DN394" s="679">
        <v>0.40663164738113922</v>
      </c>
      <c r="DO394" s="677">
        <v>0.32722966209005344</v>
      </c>
      <c r="DP394" s="677">
        <v>1.9954767715179773</v>
      </c>
      <c r="DQ394" s="677">
        <v>2.9979238477775936</v>
      </c>
      <c r="DR394" s="677">
        <v>11.535534062562478</v>
      </c>
      <c r="DS394" s="677">
        <v>1.269771634989743</v>
      </c>
      <c r="DT394" s="677">
        <v>0.36580835911539161</v>
      </c>
      <c r="DU394" s="677">
        <v>1.2244464356620535</v>
      </c>
      <c r="DV394" s="677">
        <v>1.4120260280794017</v>
      </c>
      <c r="DW394" s="677">
        <v>3.1098523726815488</v>
      </c>
      <c r="DX394" s="677">
        <v>11.528777302292301</v>
      </c>
      <c r="DY394" s="677">
        <v>0.82126644185797826</v>
      </c>
      <c r="DZ394" s="679">
        <v>0.35050648456913208</v>
      </c>
      <c r="EA394" s="677">
        <v>1.3678306704717365</v>
      </c>
      <c r="EB394" s="677">
        <v>2.772290399442614</v>
      </c>
      <c r="EC394" s="677">
        <v>3.5298521251364812</v>
      </c>
      <c r="ED394" s="677">
        <v>11.962555195</v>
      </c>
      <c r="EE394" s="677">
        <v>0.92720009700000006</v>
      </c>
      <c r="EF394" s="677">
        <v>0.30176913599999999</v>
      </c>
      <c r="EG394" s="677">
        <v>1.1161334320857534</v>
      </c>
      <c r="EH394" s="677">
        <v>3.0604763937396848</v>
      </c>
      <c r="EI394" s="677">
        <v>2.0036299772964439</v>
      </c>
      <c r="EJ394" s="677">
        <v>13.871885997789011</v>
      </c>
      <c r="EK394" s="677">
        <v>0.75602008683280353</v>
      </c>
      <c r="EL394" s="679">
        <v>1.0089266132560877</v>
      </c>
      <c r="EM394" s="677">
        <v>1.6198623873765028</v>
      </c>
      <c r="EN394" s="677">
        <v>2.7373024249772246</v>
      </c>
      <c r="EO394" s="677">
        <v>2.0123866936801722</v>
      </c>
      <c r="EP394" s="677">
        <v>14.22283591316187</v>
      </c>
      <c r="EQ394" s="677">
        <v>1.4073944976639343</v>
      </c>
      <c r="ER394" s="677">
        <v>1.0850148726375077</v>
      </c>
      <c r="ES394" s="677">
        <v>1.7520355385139252</v>
      </c>
      <c r="ET394" s="677">
        <v>2.5448483032711651</v>
      </c>
      <c r="EU394" s="677">
        <v>4.4114107411148815</v>
      </c>
      <c r="EV394" s="677">
        <v>12.708406492627095</v>
      </c>
      <c r="EW394" s="677">
        <v>2.0007631160883328</v>
      </c>
      <c r="EX394" s="679">
        <v>1.3867201917728373</v>
      </c>
      <c r="EY394" s="677">
        <v>2.2628124293112153</v>
      </c>
      <c r="EZ394" s="677">
        <v>3.0044166297506907</v>
      </c>
      <c r="FA394" s="677">
        <v>4.6224758041384097</v>
      </c>
      <c r="FB394" s="677">
        <v>15.064061914841748</v>
      </c>
      <c r="FC394" s="677">
        <v>2.678425054516711</v>
      </c>
      <c r="FD394" s="677">
        <v>0.80721773972904587</v>
      </c>
      <c r="FE394" s="677">
        <v>3.5610480045411377</v>
      </c>
      <c r="FF394" s="677">
        <v>3.2167937696168343</v>
      </c>
      <c r="FG394" s="677">
        <v>5.2020126962930346</v>
      </c>
      <c r="FH394" s="677">
        <v>14.917319584685547</v>
      </c>
      <c r="FI394" s="677">
        <v>3.1411812884450443</v>
      </c>
      <c r="FJ394" s="679">
        <v>2.3392490061899642</v>
      </c>
      <c r="FK394" s="677">
        <v>2.1311138522174171</v>
      </c>
      <c r="FL394" s="677">
        <v>3.6659391624605435</v>
      </c>
      <c r="FM394" s="677">
        <v>6.6097783233688849</v>
      </c>
      <c r="FN394" s="677">
        <v>14.472022977643345</v>
      </c>
      <c r="FO394" s="677">
        <v>3.8616398652420614</v>
      </c>
      <c r="FP394" s="677">
        <v>2.0407557288935885</v>
      </c>
      <c r="FQ394" s="677">
        <v>3.018595064937359</v>
      </c>
      <c r="FR394" s="677">
        <v>4.1255898384212824</v>
      </c>
      <c r="FS394" s="677">
        <v>7.0408369434813904</v>
      </c>
      <c r="FT394" s="677">
        <v>14.877754502618028</v>
      </c>
      <c r="FU394" s="677">
        <v>3.4291717512039499</v>
      </c>
      <c r="FV394" s="677">
        <v>1.9037964901119899</v>
      </c>
      <c r="FW394" s="677">
        <v>3.0111710048357687</v>
      </c>
      <c r="FX394" s="677">
        <v>10.635850491463801</v>
      </c>
      <c r="FY394" s="677">
        <v>6.8643131069934498</v>
      </c>
      <c r="FZ394" s="677">
        <v>1.3540609383678777</v>
      </c>
      <c r="GA394" s="677">
        <v>4.381167408148027</v>
      </c>
      <c r="GB394" s="677">
        <v>1.55055324269274</v>
      </c>
      <c r="GC394" s="677">
        <v>4.1413609305670294</v>
      </c>
      <c r="GD394" s="677">
        <v>21.884791707702441</v>
      </c>
      <c r="GE394" s="677">
        <v>7.526577834151027</v>
      </c>
      <c r="GF394" s="677">
        <v>3.4334906522701032</v>
      </c>
      <c r="GG394" s="677">
        <v>4.0878705869733327</v>
      </c>
      <c r="GH394" s="677">
        <v>1.0963131248898048</v>
      </c>
      <c r="GI394" s="677">
        <v>3.3092056958089713</v>
      </c>
      <c r="GJ394" s="677">
        <v>22.650780052458025</v>
      </c>
      <c r="GK394" s="677">
        <v>7.5170681773496026</v>
      </c>
      <c r="GL394" s="677">
        <v>2.3543160589860102</v>
      </c>
      <c r="GM394" s="677">
        <v>6.4630748740000126</v>
      </c>
      <c r="GN394" s="677">
        <v>1.0409838473156541</v>
      </c>
      <c r="GO394" s="677">
        <v>4.8511278593136762</v>
      </c>
      <c r="GP394" s="677">
        <v>24.788084443489012</v>
      </c>
      <c r="GQ394" s="677">
        <v>7.2483733268749315</v>
      </c>
      <c r="GR394" s="677">
        <v>7.5574463796020108</v>
      </c>
      <c r="GS394" s="677">
        <v>11.596701611589399</v>
      </c>
      <c r="GT394" s="677">
        <v>1.4719005173140647</v>
      </c>
      <c r="GU394" s="677">
        <v>6.7227833908204371</v>
      </c>
      <c r="GV394" s="677">
        <v>28.717426718200194</v>
      </c>
      <c r="GW394" s="677">
        <v>9.5612216072974459</v>
      </c>
      <c r="GX394" s="677">
        <v>5.5347149109490976</v>
      </c>
      <c r="GY394" s="677">
        <v>17.935308096254452</v>
      </c>
      <c r="GZ394" s="677">
        <v>9.6507458941506616</v>
      </c>
      <c r="HA394" s="677">
        <v>7.4258548075896105</v>
      </c>
      <c r="HB394" s="677">
        <v>33.340351213451157</v>
      </c>
      <c r="HC394" s="677">
        <v>10.396354616118439</v>
      </c>
      <c r="HD394" s="677">
        <v>6.8946206912747234</v>
      </c>
      <c r="HE394" s="677">
        <v>20.578426141520598</v>
      </c>
      <c r="HF394" s="677">
        <v>26.494068693360703</v>
      </c>
      <c r="HG394" s="677">
        <v>10.205643385021778</v>
      </c>
      <c r="HH394" s="677">
        <v>34.923771469304235</v>
      </c>
      <c r="HI394" s="677">
        <v>11.380694865912622</v>
      </c>
      <c r="HJ394" s="677">
        <v>8.9568610229708039</v>
      </c>
      <c r="HK394" s="677">
        <v>22.883165412710976</v>
      </c>
      <c r="HL394" s="677">
        <v>10.657852581327523</v>
      </c>
      <c r="HM394" s="677"/>
      <c r="HN394" s="680"/>
      <c r="KH394" s="682"/>
      <c r="KI394" s="680"/>
    </row>
    <row r="395" spans="1:295" s="681" customFormat="1" outlineLevel="1">
      <c r="A395" s="675"/>
      <c r="B395" s="675"/>
      <c r="C395" s="675"/>
      <c r="D395" s="1468" t="s">
        <v>563</v>
      </c>
      <c r="E395" s="677"/>
      <c r="F395" s="677"/>
      <c r="G395" s="677"/>
      <c r="H395" s="677"/>
      <c r="I395" s="677"/>
      <c r="J395" s="677"/>
      <c r="K395" s="677"/>
      <c r="L395" s="677"/>
      <c r="M395" s="677"/>
      <c r="N395" s="677"/>
      <c r="O395" s="677"/>
      <c r="P395" s="677"/>
      <c r="Q395" s="677"/>
      <c r="R395" s="677"/>
      <c r="S395" s="677"/>
      <c r="T395" s="677"/>
      <c r="U395" s="677"/>
      <c r="V395" s="677"/>
      <c r="W395" s="677"/>
      <c r="X395" s="677"/>
      <c r="Y395" s="677"/>
      <c r="Z395" s="677"/>
      <c r="AA395" s="677"/>
      <c r="AB395" s="677"/>
      <c r="AC395" s="677"/>
      <c r="AD395" s="677"/>
      <c r="AE395" s="677"/>
      <c r="AF395" s="677"/>
      <c r="AG395" s="677"/>
      <c r="AH395" s="677"/>
      <c r="AI395" s="677"/>
      <c r="AJ395" s="677"/>
      <c r="AK395" s="677"/>
      <c r="AL395" s="677"/>
      <c r="AM395" s="677"/>
      <c r="AN395" s="677"/>
      <c r="AO395" s="677"/>
      <c r="AP395" s="677"/>
      <c r="AQ395" s="677"/>
      <c r="AR395" s="677"/>
      <c r="AS395" s="677"/>
      <c r="AT395" s="677"/>
      <c r="AU395" s="677"/>
      <c r="AV395" s="677"/>
      <c r="AW395" s="677"/>
      <c r="AX395" s="677"/>
      <c r="AY395" s="677"/>
      <c r="AZ395" s="677"/>
      <c r="BA395" s="677"/>
      <c r="BB395" s="677"/>
      <c r="BC395" s="677"/>
      <c r="BD395" s="677"/>
      <c r="BE395" s="677"/>
      <c r="BF395" s="677"/>
      <c r="BG395" s="677"/>
      <c r="BH395" s="677"/>
      <c r="BI395" s="677"/>
      <c r="BJ395" s="677"/>
      <c r="BK395" s="677"/>
      <c r="BL395" s="677"/>
      <c r="BM395" s="677"/>
      <c r="BN395" s="677"/>
      <c r="BO395" s="677"/>
      <c r="BP395" s="677"/>
      <c r="BQ395" s="677"/>
      <c r="BR395" s="677"/>
      <c r="BS395" s="677"/>
      <c r="BT395" s="677"/>
      <c r="BU395" s="677"/>
      <c r="BV395" s="677"/>
      <c r="BW395" s="677"/>
      <c r="BX395" s="677"/>
      <c r="BY395" s="677"/>
      <c r="BZ395" s="677"/>
      <c r="CA395" s="677"/>
      <c r="CB395" s="677"/>
      <c r="CC395" s="677"/>
      <c r="CD395" s="677"/>
      <c r="CE395" s="678">
        <v>0.91287137277799746</v>
      </c>
      <c r="CF395" s="677">
        <v>2.6440019562175725</v>
      </c>
      <c r="CG395" s="677">
        <v>1.8232696501794503</v>
      </c>
      <c r="CH395" s="677">
        <v>1.003543253476</v>
      </c>
      <c r="CI395" s="677">
        <v>2.0724815196329995</v>
      </c>
      <c r="CJ395" s="677">
        <v>1.4396311112401539</v>
      </c>
      <c r="CK395" s="677">
        <v>1.112374852024002</v>
      </c>
      <c r="CL395" s="677">
        <v>0.9939060787571673</v>
      </c>
      <c r="CM395" s="677">
        <v>1.7816367285922678</v>
      </c>
      <c r="CN395" s="677">
        <v>1.1560964636119997</v>
      </c>
      <c r="CO395" s="677">
        <v>1.1988465443248493</v>
      </c>
      <c r="CP395" s="679">
        <v>1.9066930600305543</v>
      </c>
      <c r="CQ395" s="677">
        <v>0.89509302121562162</v>
      </c>
      <c r="CR395" s="677">
        <v>2.3775702459999999</v>
      </c>
      <c r="CS395" s="677">
        <v>0.90811469600000005</v>
      </c>
      <c r="CT395" s="677">
        <v>0.99845654799999994</v>
      </c>
      <c r="CU395" s="677">
        <v>2.4439537179999999</v>
      </c>
      <c r="CV395" s="677">
        <v>0.82912205999999999</v>
      </c>
      <c r="CW395" s="677">
        <v>0.98295110763615112</v>
      </c>
      <c r="CX395" s="677">
        <v>2.2928199899999999</v>
      </c>
      <c r="CY395" s="677">
        <v>1.3823001970000002</v>
      </c>
      <c r="CZ395" s="677">
        <v>0.9260694413638757</v>
      </c>
      <c r="DA395" s="677">
        <v>2.73287871</v>
      </c>
      <c r="DB395" s="1507">
        <v>1.4922935579999999</v>
      </c>
      <c r="DC395" s="677">
        <v>1.013739671850697</v>
      </c>
      <c r="DD395" s="677">
        <v>3.8155369459999999</v>
      </c>
      <c r="DE395" s="677">
        <v>1.2607246313999998</v>
      </c>
      <c r="DF395" s="677">
        <v>1.327297921581104</v>
      </c>
      <c r="DG395" s="677">
        <v>4.0140894349999998</v>
      </c>
      <c r="DH395" s="677">
        <v>1.004022024</v>
      </c>
      <c r="DI395" s="677">
        <v>1.1573102669999999</v>
      </c>
      <c r="DJ395" s="677">
        <v>4.0698216370000004</v>
      </c>
      <c r="DK395" s="677">
        <v>1.2266172930000008</v>
      </c>
      <c r="DL395" s="677">
        <v>1.0815417723131717</v>
      </c>
      <c r="DM395" s="677">
        <v>4.1636333206521741</v>
      </c>
      <c r="DN395" s="679">
        <v>1.3604877480800004</v>
      </c>
      <c r="DO395" s="677">
        <v>1.235177484</v>
      </c>
      <c r="DP395" s="677">
        <v>0.58269444500000001</v>
      </c>
      <c r="DQ395" s="677">
        <v>7.3106368909999997</v>
      </c>
      <c r="DR395" s="677">
        <v>1.269235978</v>
      </c>
      <c r="DS395" s="677">
        <v>5.6513437289999997</v>
      </c>
      <c r="DT395" s="677">
        <v>2.5076567299999999</v>
      </c>
      <c r="DU395" s="677">
        <v>1.8843587500000001</v>
      </c>
      <c r="DV395" s="677">
        <v>6.8498788730000006</v>
      </c>
      <c r="DW395" s="677">
        <v>0.35625000000000001</v>
      </c>
      <c r="DX395" s="677">
        <v>3.566209593</v>
      </c>
      <c r="DY395" s="677">
        <v>1.15412743</v>
      </c>
      <c r="DZ395" s="679">
        <v>2.8856853930000002</v>
      </c>
      <c r="EA395" s="677">
        <v>2.1337011619999999</v>
      </c>
      <c r="EB395" s="677">
        <v>7.065974862</v>
      </c>
      <c r="EC395" s="677">
        <v>2.810076848</v>
      </c>
      <c r="ED395" s="677">
        <v>2.002213716</v>
      </c>
      <c r="EE395" s="677">
        <v>7.1626959770000003</v>
      </c>
      <c r="EF395" s="677">
        <v>2.4804715669999999</v>
      </c>
      <c r="EG395" s="677">
        <v>2.2338352590000001</v>
      </c>
      <c r="EH395" s="677">
        <v>7.9621197469999991</v>
      </c>
      <c r="EI395" s="677">
        <v>0.34307549599999998</v>
      </c>
      <c r="EJ395" s="677">
        <v>4.1642875720000001</v>
      </c>
      <c r="EK395" s="677">
        <v>6.2518750000000001</v>
      </c>
      <c r="EL395" s="679">
        <v>4.2896853220000004</v>
      </c>
      <c r="EM395" s="677">
        <v>2.228758729166457</v>
      </c>
      <c r="EN395" s="677">
        <v>7.9635574682075188</v>
      </c>
      <c r="EO395" s="677">
        <v>2.6397766795801307</v>
      </c>
      <c r="EP395" s="677">
        <v>2.0865679931982122</v>
      </c>
      <c r="EQ395" s="677">
        <v>2.2005343650000002</v>
      </c>
      <c r="ER395" s="677">
        <v>10.34234914812088</v>
      </c>
      <c r="ES395" s="677">
        <v>2.8476184939999998</v>
      </c>
      <c r="ET395" s="677">
        <v>8.8725304500000011</v>
      </c>
      <c r="EU395" s="677">
        <v>2.0579719870000002</v>
      </c>
      <c r="EV395" s="677">
        <v>1.4585385360000001</v>
      </c>
      <c r="EW395" s="677">
        <v>10.389073190000001</v>
      </c>
      <c r="EX395" s="679">
        <v>1.516211926</v>
      </c>
      <c r="EY395" s="677">
        <v>1.9953984659999999</v>
      </c>
      <c r="EZ395" s="677">
        <v>12.017003176999999</v>
      </c>
      <c r="FA395" s="677">
        <v>1.34400919</v>
      </c>
      <c r="FB395" s="677">
        <v>4.4300871810000002</v>
      </c>
      <c r="FC395" s="677">
        <v>13.811664832</v>
      </c>
      <c r="FD395" s="677">
        <v>5.4821694860000001</v>
      </c>
      <c r="FE395" s="677">
        <v>3.1499937920000001</v>
      </c>
      <c r="FF395" s="677">
        <v>12.751089638</v>
      </c>
      <c r="FG395" s="677">
        <v>3.8314582430000002</v>
      </c>
      <c r="FH395" s="677">
        <v>6.4921787229999994</v>
      </c>
      <c r="FI395" s="677">
        <v>6.2867501839999997</v>
      </c>
      <c r="FJ395" s="679">
        <v>6.7099874919999998</v>
      </c>
      <c r="FK395" s="677">
        <v>4.4636755949999998</v>
      </c>
      <c r="FL395" s="677">
        <v>16.899956773</v>
      </c>
      <c r="FM395" s="677">
        <v>5.819656954</v>
      </c>
      <c r="FN395" s="677">
        <v>2.1485233610000001</v>
      </c>
      <c r="FO395" s="677">
        <v>17.866421719999998</v>
      </c>
      <c r="FP395" s="677">
        <v>3.8656419530000004</v>
      </c>
      <c r="FQ395" s="677">
        <v>4.7048165869999998</v>
      </c>
      <c r="FR395" s="677">
        <v>21.759187754999658</v>
      </c>
      <c r="FS395" s="677">
        <v>6.0728433150000001</v>
      </c>
      <c r="FT395" s="677">
        <v>3.2050342299999999</v>
      </c>
      <c r="FU395" s="677">
        <v>21.412382133999998</v>
      </c>
      <c r="FV395" s="677">
        <v>5.2907410247056772</v>
      </c>
      <c r="FW395" s="677">
        <v>7.2843680590000002</v>
      </c>
      <c r="FX395" s="677">
        <v>28.532119584</v>
      </c>
      <c r="FY395" s="677">
        <v>4.7649259050000001</v>
      </c>
      <c r="FZ395" s="677">
        <v>3.1639988880000001</v>
      </c>
      <c r="GA395" s="677">
        <v>24.844301186999999</v>
      </c>
      <c r="GB395" s="677">
        <v>5.7843948059999999</v>
      </c>
      <c r="GC395" s="677">
        <v>4.7383394899999995</v>
      </c>
      <c r="GD395" s="677">
        <v>29.999293304000002</v>
      </c>
      <c r="GE395" s="677">
        <v>4.5391355600000001</v>
      </c>
      <c r="GF395" s="677">
        <v>1.7747785490000001</v>
      </c>
      <c r="GG395" s="677">
        <v>30.590790138000003</v>
      </c>
      <c r="GH395" s="677">
        <v>4.3509939009999998</v>
      </c>
      <c r="GI395" s="677">
        <v>6.680501349</v>
      </c>
      <c r="GJ395" s="677">
        <v>36.359391498000001</v>
      </c>
      <c r="GK395" s="677">
        <v>7.5202888159999999</v>
      </c>
      <c r="GL395" s="677">
        <v>2.5441111159999998</v>
      </c>
      <c r="GM395" s="677">
        <v>36.181439558999998</v>
      </c>
      <c r="GN395" s="677">
        <v>4.6916540769999999</v>
      </c>
      <c r="GO395" s="677">
        <v>7.8868416830000001</v>
      </c>
      <c r="GP395" s="677">
        <v>40.304743088999999</v>
      </c>
      <c r="GQ395" s="677">
        <v>9.7221642589999995</v>
      </c>
      <c r="GR395" s="677">
        <v>2.3315845300000002</v>
      </c>
      <c r="GS395" s="677">
        <v>43.003715217</v>
      </c>
      <c r="GT395" s="677">
        <v>5.4273588840000002</v>
      </c>
      <c r="GU395" s="677">
        <v>8.2993290270000006</v>
      </c>
      <c r="GV395" s="677">
        <v>41.580799589000002</v>
      </c>
      <c r="GW395" s="677">
        <v>5.8754405619999996</v>
      </c>
      <c r="GX395" s="677">
        <v>3.498546213</v>
      </c>
      <c r="GY395" s="677">
        <v>44.205506296999999</v>
      </c>
      <c r="GZ395" s="677">
        <v>10.491441803000001</v>
      </c>
      <c r="HA395" s="677">
        <v>12.977892861000001</v>
      </c>
      <c r="HB395" s="677">
        <v>45.146402455999997</v>
      </c>
      <c r="HC395" s="677">
        <v>6.0679579840000004</v>
      </c>
      <c r="HD395" s="677">
        <v>3.8733084139999998</v>
      </c>
      <c r="HE395" s="677">
        <v>45.152003563000001</v>
      </c>
      <c r="HF395" s="677">
        <v>7.3001792999999999</v>
      </c>
      <c r="HG395" s="677">
        <v>11.46624254676923</v>
      </c>
      <c r="HH395" s="677">
        <v>49.45828416803846</v>
      </c>
      <c r="HI395" s="677">
        <v>5.7053801273076896</v>
      </c>
      <c r="HJ395" s="677">
        <v>3.9694958993846128</v>
      </c>
      <c r="HK395" s="677">
        <v>46.305216535</v>
      </c>
      <c r="HL395" s="677">
        <v>8.4563577305384605</v>
      </c>
      <c r="HM395" s="677"/>
      <c r="HN395" s="680"/>
      <c r="KH395" s="682"/>
      <c r="KI395" s="680"/>
    </row>
    <row r="396" spans="1:295" s="681" customFormat="1" outlineLevel="1">
      <c r="A396" s="675"/>
      <c r="B396" s="675"/>
      <c r="C396" s="675"/>
      <c r="D396" s="1467" t="s">
        <v>564</v>
      </c>
      <c r="E396" s="677"/>
      <c r="F396" s="677"/>
      <c r="G396" s="677"/>
      <c r="H396" s="677"/>
      <c r="I396" s="677"/>
      <c r="J396" s="677"/>
      <c r="K396" s="677"/>
      <c r="L396" s="677"/>
      <c r="M396" s="677"/>
      <c r="N396" s="677"/>
      <c r="O396" s="677"/>
      <c r="P396" s="677"/>
      <c r="Q396" s="677"/>
      <c r="R396" s="677"/>
      <c r="S396" s="677"/>
      <c r="T396" s="677"/>
      <c r="U396" s="677"/>
      <c r="V396" s="677"/>
      <c r="W396" s="677"/>
      <c r="X396" s="677"/>
      <c r="Y396" s="677"/>
      <c r="Z396" s="677"/>
      <c r="AA396" s="677"/>
      <c r="AB396" s="677"/>
      <c r="AC396" s="677"/>
      <c r="AD396" s="677"/>
      <c r="AE396" s="677"/>
      <c r="AF396" s="677"/>
      <c r="AG396" s="677"/>
      <c r="AH396" s="677"/>
      <c r="AI396" s="677"/>
      <c r="AJ396" s="677"/>
      <c r="AK396" s="677"/>
      <c r="AL396" s="677"/>
      <c r="AM396" s="677"/>
      <c r="AN396" s="677"/>
      <c r="AO396" s="677"/>
      <c r="AP396" s="677"/>
      <c r="AQ396" s="677"/>
      <c r="AR396" s="677"/>
      <c r="AS396" s="677"/>
      <c r="AT396" s="677"/>
      <c r="AU396" s="677"/>
      <c r="AV396" s="677"/>
      <c r="AW396" s="677"/>
      <c r="AX396" s="677"/>
      <c r="AY396" s="677"/>
      <c r="AZ396" s="677"/>
      <c r="BA396" s="677"/>
      <c r="BB396" s="677"/>
      <c r="BC396" s="677"/>
      <c r="BD396" s="677"/>
      <c r="BE396" s="677"/>
      <c r="BF396" s="677"/>
      <c r="BG396" s="677"/>
      <c r="BH396" s="677"/>
      <c r="BI396" s="677"/>
      <c r="BJ396" s="677"/>
      <c r="BK396" s="677"/>
      <c r="BL396" s="677"/>
      <c r="BM396" s="677"/>
      <c r="BN396" s="677"/>
      <c r="BO396" s="677"/>
      <c r="BP396" s="677"/>
      <c r="BQ396" s="677"/>
      <c r="BR396" s="677"/>
      <c r="BS396" s="677"/>
      <c r="BT396" s="677"/>
      <c r="BU396" s="677"/>
      <c r="BV396" s="677"/>
      <c r="BW396" s="677"/>
      <c r="BX396" s="677"/>
      <c r="BY396" s="677"/>
      <c r="BZ396" s="677"/>
      <c r="CA396" s="677"/>
      <c r="CB396" s="677"/>
      <c r="CC396" s="677"/>
      <c r="CD396" s="677"/>
      <c r="CE396" s="678">
        <v>6.6679294430000002</v>
      </c>
      <c r="CF396" s="677">
        <v>12.098923981</v>
      </c>
      <c r="CG396" s="677">
        <v>5.2774683080000004</v>
      </c>
      <c r="CH396" s="677">
        <v>8.405649017</v>
      </c>
      <c r="CI396" s="677">
        <v>5.4065421210000002</v>
      </c>
      <c r="CJ396" s="677">
        <v>3.7144937200000001</v>
      </c>
      <c r="CK396" s="677">
        <v>7.775769103</v>
      </c>
      <c r="CL396" s="677">
        <v>3.7131871599999999</v>
      </c>
      <c r="CM396" s="677">
        <v>2.2626719899999999</v>
      </c>
      <c r="CN396" s="677">
        <v>1.1571859680000001</v>
      </c>
      <c r="CO396" s="677">
        <v>4.4389136469999997</v>
      </c>
      <c r="CP396" s="679">
        <v>2.08324423</v>
      </c>
      <c r="CQ396" s="677">
        <v>8.2475725890000007</v>
      </c>
      <c r="CR396" s="677">
        <v>9.9187609339999998</v>
      </c>
      <c r="CS396" s="677">
        <v>8.5722125560000002</v>
      </c>
      <c r="CT396" s="677">
        <v>6.32988368</v>
      </c>
      <c r="CU396" s="677">
        <v>5.6792275099999996</v>
      </c>
      <c r="CV396" s="677">
        <v>5.3217766769999999</v>
      </c>
      <c r="CW396" s="677">
        <v>4.4623873239999998</v>
      </c>
      <c r="CX396" s="677">
        <v>3.4693421350000002</v>
      </c>
      <c r="CY396" s="677">
        <v>8.36510277</v>
      </c>
      <c r="CZ396" s="677">
        <v>0.69293743799999996</v>
      </c>
      <c r="DA396" s="677">
        <v>6.0929688799999999</v>
      </c>
      <c r="DB396" s="1507">
        <v>3.5319322839999998</v>
      </c>
      <c r="DC396" s="677">
        <v>6.475683912</v>
      </c>
      <c r="DD396" s="677">
        <v>5.6815871610000004</v>
      </c>
      <c r="DE396" s="677">
        <v>6.1174112559999996</v>
      </c>
      <c r="DF396" s="677">
        <v>7.8252532439999998</v>
      </c>
      <c r="DG396" s="677">
        <v>8.2094107090000001</v>
      </c>
      <c r="DH396" s="677">
        <v>17.117251670999998</v>
      </c>
      <c r="DI396" s="677">
        <v>5.8424231969999996</v>
      </c>
      <c r="DJ396" s="677">
        <v>4.5755028119999999</v>
      </c>
      <c r="DK396" s="677">
        <v>6.3702584880000002</v>
      </c>
      <c r="DL396" s="677">
        <v>6.0890114610000001</v>
      </c>
      <c r="DM396" s="677">
        <v>4.2403280079999996</v>
      </c>
      <c r="DN396" s="679">
        <v>5.8292554430000001</v>
      </c>
      <c r="DO396" s="677">
        <v>5.416907331</v>
      </c>
      <c r="DP396" s="677">
        <v>7.213350685</v>
      </c>
      <c r="DQ396" s="677">
        <v>7.0325999880000003</v>
      </c>
      <c r="DR396" s="677">
        <v>7.1949629220000002</v>
      </c>
      <c r="DS396" s="677">
        <v>7.6855553429999999</v>
      </c>
      <c r="DT396" s="677">
        <v>6.0765222530000003</v>
      </c>
      <c r="DU396" s="677">
        <v>7.4745157129999997</v>
      </c>
      <c r="DV396" s="677">
        <v>7.5177942230000001</v>
      </c>
      <c r="DW396" s="677">
        <v>7.1178850169999999</v>
      </c>
      <c r="DX396" s="677">
        <v>7.1008529359999999</v>
      </c>
      <c r="DY396" s="677">
        <v>8.1943856339999996</v>
      </c>
      <c r="DZ396" s="679">
        <v>8.2006891339999992</v>
      </c>
      <c r="EA396" s="677">
        <v>9.965989532</v>
      </c>
      <c r="EB396" s="677">
        <v>4.13940047</v>
      </c>
      <c r="EC396" s="677">
        <v>22.010918264000001</v>
      </c>
      <c r="ED396" s="677">
        <v>7.5019909370000004</v>
      </c>
      <c r="EE396" s="677">
        <v>6.9683450159999998</v>
      </c>
      <c r="EF396" s="677">
        <v>8.2763239150000008</v>
      </c>
      <c r="EG396" s="677">
        <v>7.0859523250000001</v>
      </c>
      <c r="EH396" s="677">
        <v>6.9871453910000003</v>
      </c>
      <c r="EI396" s="677">
        <v>12.972594826</v>
      </c>
      <c r="EJ396" s="677">
        <v>4.3793459710000002</v>
      </c>
      <c r="EK396" s="677">
        <v>9.0947721230000003</v>
      </c>
      <c r="EL396" s="679">
        <v>0.14426433599999999</v>
      </c>
      <c r="EM396" s="677">
        <v>18.047042097999999</v>
      </c>
      <c r="EN396" s="677">
        <v>5.1734300920000003</v>
      </c>
      <c r="EO396" s="677">
        <v>19.373641127999999</v>
      </c>
      <c r="EP396" s="677">
        <v>15.147041689</v>
      </c>
      <c r="EQ396" s="677">
        <v>20.341753901000001</v>
      </c>
      <c r="ER396" s="677">
        <v>3.115334458</v>
      </c>
      <c r="ES396" s="677">
        <v>19.644847804000001</v>
      </c>
      <c r="ET396" s="677">
        <v>9.7095882860000007</v>
      </c>
      <c r="EU396" s="677">
        <v>19.394544584999998</v>
      </c>
      <c r="EV396" s="677">
        <v>10.761032169</v>
      </c>
      <c r="EW396" s="677">
        <v>14.622692425</v>
      </c>
      <c r="EX396" s="679">
        <v>16.695182059</v>
      </c>
      <c r="EY396" s="677">
        <v>21.712690575</v>
      </c>
      <c r="EZ396" s="677">
        <v>11.114351987999999</v>
      </c>
      <c r="FA396" s="677">
        <v>11.900032509000001</v>
      </c>
      <c r="FB396" s="677">
        <v>14.591524823</v>
      </c>
      <c r="FC396" s="677">
        <v>11.329730545</v>
      </c>
      <c r="FD396" s="677">
        <v>24.254430887000002</v>
      </c>
      <c r="FE396" s="677">
        <v>8.2005321450000004</v>
      </c>
      <c r="FF396" s="677">
        <v>15.204791503999999</v>
      </c>
      <c r="FG396" s="677">
        <v>16.483069240999999</v>
      </c>
      <c r="FH396" s="677">
        <v>14.577293595</v>
      </c>
      <c r="FI396" s="677">
        <v>102.28117342</v>
      </c>
      <c r="FJ396" s="679">
        <v>0.29768140900000001</v>
      </c>
      <c r="FK396" s="677">
        <v>27.811291294</v>
      </c>
      <c r="FL396" s="677">
        <v>11.225479156</v>
      </c>
      <c r="FM396" s="677">
        <v>13.472792721999999</v>
      </c>
      <c r="FN396" s="677">
        <v>20.684093917999999</v>
      </c>
      <c r="FO396" s="677">
        <v>61.666165581000001</v>
      </c>
      <c r="FP396" s="677">
        <v>17.208988356999999</v>
      </c>
      <c r="FQ396" s="677">
        <v>11.890612138</v>
      </c>
      <c r="FR396" s="677">
        <v>18.955776752999999</v>
      </c>
      <c r="FS396" s="677">
        <v>39.958805716999997</v>
      </c>
      <c r="FT396" s="677">
        <v>11.446025357</v>
      </c>
      <c r="FU396" s="677">
        <v>25.094716684000002</v>
      </c>
      <c r="FV396" s="677">
        <v>0.74752762899998404</v>
      </c>
      <c r="FW396" s="677">
        <v>19.459869106999999</v>
      </c>
      <c r="FX396" s="677">
        <v>21.798099390000001</v>
      </c>
      <c r="FY396" s="677">
        <v>121.53742553799999</v>
      </c>
      <c r="FZ396" s="677">
        <v>13.339598613</v>
      </c>
      <c r="GA396" s="677">
        <v>12.817958090999999</v>
      </c>
      <c r="GB396" s="677">
        <v>13.872035842000001</v>
      </c>
      <c r="GC396" s="677">
        <v>24.110871527</v>
      </c>
      <c r="GD396" s="677">
        <v>25.281675928999999</v>
      </c>
      <c r="GE396" s="677">
        <v>14.967056428999999</v>
      </c>
      <c r="GF396" s="677">
        <v>46.727591418999999</v>
      </c>
      <c r="GG396" s="677">
        <v>44.496763434999998</v>
      </c>
      <c r="GH396" s="677">
        <v>23.764900379</v>
      </c>
      <c r="GI396" s="677">
        <v>48.572632648943184</v>
      </c>
      <c r="GJ396" s="677">
        <v>20.202051609109375</v>
      </c>
      <c r="GK396" s="677">
        <v>19.825315741947424</v>
      </c>
      <c r="GL396" s="677">
        <v>23.652918717333343</v>
      </c>
      <c r="GM396" s="677">
        <v>22.167689045333344</v>
      </c>
      <c r="GN396" s="677">
        <v>19.389259348333344</v>
      </c>
      <c r="GO396" s="677">
        <v>20.759894925980809</v>
      </c>
      <c r="GP396" s="677">
        <v>12.191398810348149</v>
      </c>
      <c r="GQ396" s="677">
        <v>33.126157733671022</v>
      </c>
      <c r="GR396" s="677">
        <v>17.087662801262233</v>
      </c>
      <c r="GS396" s="677">
        <v>44.173862473216531</v>
      </c>
      <c r="GT396" s="677">
        <v>17.729099891521237</v>
      </c>
      <c r="GU396" s="677">
        <v>7.2778571059999999</v>
      </c>
      <c r="GV396" s="677">
        <v>24.224672508000001</v>
      </c>
      <c r="GW396" s="677">
        <v>22.873544955</v>
      </c>
      <c r="GX396" s="677">
        <v>26.666355211999999</v>
      </c>
      <c r="GY396" s="677">
        <v>26.187000513999998</v>
      </c>
      <c r="GZ396" s="677">
        <v>22.596829109000002</v>
      </c>
      <c r="HA396" s="677">
        <v>35.653566965000003</v>
      </c>
      <c r="HB396" s="677">
        <v>32.817662089999999</v>
      </c>
      <c r="HC396" s="677">
        <v>32.060185777000001</v>
      </c>
      <c r="HD396" s="677">
        <v>23.181013326999999</v>
      </c>
      <c r="HE396" s="677">
        <v>24.577714099000001</v>
      </c>
      <c r="HF396" s="677">
        <v>29.304074536000002</v>
      </c>
      <c r="HG396" s="677">
        <v>18.472463404999999</v>
      </c>
      <c r="HH396" s="677">
        <v>18.661090970000011</v>
      </c>
      <c r="HI396" s="677">
        <v>43.132407661999999</v>
      </c>
      <c r="HJ396" s="677">
        <v>14.141613391</v>
      </c>
      <c r="HK396" s="677">
        <v>29.299425105000001</v>
      </c>
      <c r="HL396" s="677">
        <v>29.410570914999994</v>
      </c>
      <c r="HM396" s="677"/>
      <c r="HN396" s="680"/>
      <c r="KH396" s="682"/>
      <c r="KI396" s="680"/>
    </row>
    <row r="397" spans="1:295" s="681" customFormat="1" outlineLevel="1">
      <c r="A397" s="675"/>
      <c r="B397" s="675"/>
      <c r="C397" s="675"/>
      <c r="D397" s="1467" t="s">
        <v>536</v>
      </c>
      <c r="E397" s="677"/>
      <c r="F397" s="677"/>
      <c r="G397" s="677"/>
      <c r="H397" s="677"/>
      <c r="I397" s="677"/>
      <c r="J397" s="677"/>
      <c r="K397" s="677"/>
      <c r="L397" s="677"/>
      <c r="M397" s="677"/>
      <c r="N397" s="677"/>
      <c r="O397" s="677"/>
      <c r="P397" s="677"/>
      <c r="Q397" s="677"/>
      <c r="R397" s="677"/>
      <c r="S397" s="677"/>
      <c r="T397" s="677"/>
      <c r="U397" s="677"/>
      <c r="V397" s="677"/>
      <c r="W397" s="677"/>
      <c r="X397" s="677"/>
      <c r="Y397" s="677"/>
      <c r="Z397" s="677"/>
      <c r="AA397" s="677"/>
      <c r="AB397" s="677"/>
      <c r="AC397" s="677"/>
      <c r="AD397" s="677"/>
      <c r="AE397" s="677"/>
      <c r="AF397" s="677"/>
      <c r="AG397" s="677"/>
      <c r="AH397" s="677"/>
      <c r="AI397" s="677"/>
      <c r="AJ397" s="677"/>
      <c r="AK397" s="677"/>
      <c r="AL397" s="677"/>
      <c r="AM397" s="677"/>
      <c r="AN397" s="677"/>
      <c r="AO397" s="677"/>
      <c r="AP397" s="677"/>
      <c r="AQ397" s="677"/>
      <c r="AR397" s="677"/>
      <c r="AS397" s="677"/>
      <c r="AT397" s="677"/>
      <c r="AU397" s="677"/>
      <c r="AV397" s="677"/>
      <c r="AW397" s="677"/>
      <c r="AX397" s="677"/>
      <c r="AY397" s="677"/>
      <c r="AZ397" s="677"/>
      <c r="BA397" s="677"/>
      <c r="BB397" s="677"/>
      <c r="BC397" s="677"/>
      <c r="BD397" s="677"/>
      <c r="BE397" s="677"/>
      <c r="BF397" s="677"/>
      <c r="BG397" s="677"/>
      <c r="BH397" s="677"/>
      <c r="BI397" s="677"/>
      <c r="BJ397" s="677"/>
      <c r="BK397" s="677"/>
      <c r="BL397" s="677"/>
      <c r="BM397" s="677"/>
      <c r="BN397" s="677"/>
      <c r="BO397" s="677"/>
      <c r="BP397" s="677"/>
      <c r="BQ397" s="677"/>
      <c r="BR397" s="677"/>
      <c r="BS397" s="677"/>
      <c r="BT397" s="677"/>
      <c r="BU397" s="677"/>
      <c r="BV397" s="677"/>
      <c r="BW397" s="677"/>
      <c r="BX397" s="677"/>
      <c r="BY397" s="677"/>
      <c r="BZ397" s="677"/>
      <c r="CA397" s="677"/>
      <c r="CB397" s="677"/>
      <c r="CC397" s="677"/>
      <c r="CD397" s="677"/>
      <c r="CE397" s="678">
        <v>31.008725541</v>
      </c>
      <c r="CF397" s="677">
        <v>30.273590683999998</v>
      </c>
      <c r="CG397" s="677">
        <v>10.388528758</v>
      </c>
      <c r="CH397" s="677">
        <v>45.974676111000001</v>
      </c>
      <c r="CI397" s="677">
        <v>19.159041667</v>
      </c>
      <c r="CJ397" s="677">
        <v>11.326817985</v>
      </c>
      <c r="CK397" s="677">
        <v>22.656131712000001</v>
      </c>
      <c r="CL397" s="677">
        <v>22.451381885</v>
      </c>
      <c r="CM397" s="677">
        <v>24.544405571999999</v>
      </c>
      <c r="CN397" s="677">
        <v>24.582048647000001</v>
      </c>
      <c r="CO397" s="677">
        <v>33.096296940999999</v>
      </c>
      <c r="CP397" s="679">
        <v>10.013272434999999</v>
      </c>
      <c r="CQ397" s="677">
        <v>40.197981695000003</v>
      </c>
      <c r="CR397" s="677">
        <v>26.933200114000002</v>
      </c>
      <c r="CS397" s="677">
        <v>19.441149207000002</v>
      </c>
      <c r="CT397" s="677">
        <v>31.297604437</v>
      </c>
      <c r="CU397" s="677">
        <v>18.023438837999997</v>
      </c>
      <c r="CV397" s="677">
        <v>15.158096090000001</v>
      </c>
      <c r="CW397" s="677">
        <v>32.060133296000004</v>
      </c>
      <c r="CX397" s="677">
        <v>17.047897988999999</v>
      </c>
      <c r="CY397" s="677">
        <v>36.135962094999996</v>
      </c>
      <c r="CZ397" s="677">
        <v>63.817836987</v>
      </c>
      <c r="DA397" s="677">
        <v>27.188026968999999</v>
      </c>
      <c r="DB397" s="1507">
        <v>8.63308608</v>
      </c>
      <c r="DC397" s="677">
        <v>40.971297198999999</v>
      </c>
      <c r="DD397" s="677">
        <v>28.142253245999999</v>
      </c>
      <c r="DE397" s="677">
        <v>17.836921271999998</v>
      </c>
      <c r="DF397" s="677">
        <v>45.278462911000005</v>
      </c>
      <c r="DG397" s="677">
        <v>25.677184793999999</v>
      </c>
      <c r="DH397" s="677">
        <v>16.894015403000001</v>
      </c>
      <c r="DI397" s="677">
        <v>44.115917728999996</v>
      </c>
      <c r="DJ397" s="677">
        <v>25.669929577000001</v>
      </c>
      <c r="DK397" s="677">
        <v>27.229701075999998</v>
      </c>
      <c r="DL397" s="677">
        <v>55.300866290000002</v>
      </c>
      <c r="DM397" s="677">
        <v>18.793402807</v>
      </c>
      <c r="DN397" s="679">
        <v>19.262689222247403</v>
      </c>
      <c r="DO397" s="677">
        <v>46.197484413999995</v>
      </c>
      <c r="DP397" s="677">
        <v>24.385606298999999</v>
      </c>
      <c r="DQ397" s="677">
        <v>13.644596873000001</v>
      </c>
      <c r="DR397" s="677">
        <v>50.457270012999999</v>
      </c>
      <c r="DS397" s="677">
        <v>31.662977454999996</v>
      </c>
      <c r="DT397" s="677">
        <v>21.938369661000003</v>
      </c>
      <c r="DU397" s="677">
        <v>38.391949325999995</v>
      </c>
      <c r="DV397" s="677">
        <v>43.113182641000002</v>
      </c>
      <c r="DW397" s="677">
        <v>25.743103059999999</v>
      </c>
      <c r="DX397" s="677">
        <v>46.866339303333334</v>
      </c>
      <c r="DY397" s="677">
        <v>34.434867947333331</v>
      </c>
      <c r="DZ397" s="679">
        <v>12.80126987175203</v>
      </c>
      <c r="EA397" s="677">
        <v>28.923093293999997</v>
      </c>
      <c r="EB397" s="677">
        <v>50.393107370999999</v>
      </c>
      <c r="EC397" s="677">
        <v>32.933496165000001</v>
      </c>
      <c r="ED397" s="677">
        <v>35.124546735999999</v>
      </c>
      <c r="EE397" s="677">
        <v>22.884346067000003</v>
      </c>
      <c r="EF397" s="677">
        <v>22.275510945000001</v>
      </c>
      <c r="EG397" s="677">
        <v>64.550786417235614</v>
      </c>
      <c r="EH397" s="677">
        <v>29.359093324501938</v>
      </c>
      <c r="EI397" s="677">
        <v>37.523301943293859</v>
      </c>
      <c r="EJ397" s="677">
        <v>43.275898819176454</v>
      </c>
      <c r="EK397" s="677">
        <v>33.662990266572109</v>
      </c>
      <c r="EL397" s="679">
        <v>17.761979595060005</v>
      </c>
      <c r="EM397" s="677">
        <v>29.030877602</v>
      </c>
      <c r="EN397" s="677">
        <v>25.655147072999998</v>
      </c>
      <c r="EO397" s="677">
        <v>23.792101198999998</v>
      </c>
      <c r="EP397" s="677">
        <v>50.102805647000004</v>
      </c>
      <c r="EQ397" s="677">
        <v>41.398202655000006</v>
      </c>
      <c r="ER397" s="677">
        <v>46.237368814</v>
      </c>
      <c r="ES397" s="677">
        <v>40.012950528000005</v>
      </c>
      <c r="ET397" s="677">
        <v>40.463490118000003</v>
      </c>
      <c r="EU397" s="677">
        <v>46.847186884999999</v>
      </c>
      <c r="EV397" s="677">
        <v>75.076510902999999</v>
      </c>
      <c r="EW397" s="677">
        <v>35.338310145000001</v>
      </c>
      <c r="EX397" s="679">
        <v>17.990818781000002</v>
      </c>
      <c r="EY397" s="677">
        <v>27.701123551999999</v>
      </c>
      <c r="EZ397" s="677">
        <v>49.266670255999998</v>
      </c>
      <c r="FA397" s="677">
        <v>53.066344902000004</v>
      </c>
      <c r="FB397" s="677">
        <v>52.420088438000001</v>
      </c>
      <c r="FC397" s="677">
        <v>49.256024263</v>
      </c>
      <c r="FD397" s="677">
        <v>54.089250282000002</v>
      </c>
      <c r="FE397" s="677">
        <v>43.509716311000005</v>
      </c>
      <c r="FF397" s="677">
        <v>39.572331683000002</v>
      </c>
      <c r="FG397" s="677">
        <v>34.260734192000001</v>
      </c>
      <c r="FH397" s="677">
        <v>26.601249519</v>
      </c>
      <c r="FI397" s="677">
        <v>41.101621154</v>
      </c>
      <c r="FJ397" s="679">
        <v>29.527389233000001</v>
      </c>
      <c r="FK397" s="677">
        <v>84.098326310999994</v>
      </c>
      <c r="FL397" s="677">
        <v>35.121430478000001</v>
      </c>
      <c r="FM397" s="677">
        <v>40.145696149000003</v>
      </c>
      <c r="FN397" s="677">
        <v>38.326486105000001</v>
      </c>
      <c r="FO397" s="677">
        <v>45.336893605</v>
      </c>
      <c r="FP397" s="677">
        <v>48.220412689</v>
      </c>
      <c r="FQ397" s="677">
        <v>34.066299086000001</v>
      </c>
      <c r="FR397" s="677">
        <v>54.421940470999999</v>
      </c>
      <c r="FS397" s="677">
        <v>35.178569396999997</v>
      </c>
      <c r="FT397" s="677">
        <v>45.794808373666662</v>
      </c>
      <c r="FU397" s="677">
        <v>56.330775904666666</v>
      </c>
      <c r="FV397" s="677">
        <v>31.932306715666666</v>
      </c>
      <c r="FW397" s="677">
        <v>49.644555738999998</v>
      </c>
      <c r="FX397" s="677">
        <v>51.787573881999997</v>
      </c>
      <c r="FY397" s="677">
        <v>49.700702286000002</v>
      </c>
      <c r="FZ397" s="677">
        <v>45.945355274000001</v>
      </c>
      <c r="GA397" s="677">
        <v>42.378368439999996</v>
      </c>
      <c r="GB397" s="677">
        <v>59.465739681999999</v>
      </c>
      <c r="GC397" s="677">
        <v>64.698303151000005</v>
      </c>
      <c r="GD397" s="677">
        <v>64.279214105000008</v>
      </c>
      <c r="GE397" s="677">
        <v>64.141880111000006</v>
      </c>
      <c r="GF397" s="677">
        <v>54.639908537333326</v>
      </c>
      <c r="GG397" s="677">
        <v>70.65288782333333</v>
      </c>
      <c r="GH397" s="677">
        <v>38.226623678565829</v>
      </c>
      <c r="GI397" s="677">
        <v>68.357943656699163</v>
      </c>
      <c r="GJ397" s="677">
        <v>66.716042902865539</v>
      </c>
      <c r="GK397" s="677">
        <v>73.92601344043527</v>
      </c>
      <c r="GL397" s="677">
        <v>84.116058985333353</v>
      </c>
      <c r="GM397" s="677">
        <v>68.072882353333355</v>
      </c>
      <c r="GN397" s="677">
        <v>56.77643928833335</v>
      </c>
      <c r="GO397" s="677">
        <v>82.723558430967941</v>
      </c>
      <c r="GP397" s="677">
        <v>55.129834198301069</v>
      </c>
      <c r="GQ397" s="677">
        <v>59.004763408730994</v>
      </c>
      <c r="GR397" s="677">
        <v>149.54675498597339</v>
      </c>
      <c r="GS397" s="677">
        <v>128.7977703820456</v>
      </c>
      <c r="GT397" s="677">
        <v>76.431937966981039</v>
      </c>
      <c r="GU397" s="677">
        <v>72.147118411000008</v>
      </c>
      <c r="GV397" s="677">
        <v>82.529984952999996</v>
      </c>
      <c r="GW397" s="677">
        <v>74.879853226999998</v>
      </c>
      <c r="GX397" s="677">
        <v>58.730634465999998</v>
      </c>
      <c r="GY397" s="677">
        <v>60.138067425999992</v>
      </c>
      <c r="GZ397" s="677">
        <v>59.501611813000004</v>
      </c>
      <c r="HA397" s="677">
        <v>86.615461240000002</v>
      </c>
      <c r="HB397" s="677">
        <v>81.329232770999994</v>
      </c>
      <c r="HC397" s="677">
        <v>68.96629579399999</v>
      </c>
      <c r="HD397" s="677">
        <v>99.96426489800001</v>
      </c>
      <c r="HE397" s="677">
        <v>101.97527852</v>
      </c>
      <c r="HF397" s="677">
        <v>146.862624471</v>
      </c>
      <c r="HG397" s="677">
        <v>83.062962446</v>
      </c>
      <c r="HH397" s="677">
        <v>87.773137496999993</v>
      </c>
      <c r="HI397" s="677">
        <v>88.919496663000004</v>
      </c>
      <c r="HJ397" s="677">
        <v>93.989719910000005</v>
      </c>
      <c r="HK397" s="677">
        <v>80.270886625000003</v>
      </c>
      <c r="HL397" s="677">
        <v>66.450143421999996</v>
      </c>
      <c r="HM397" s="677"/>
      <c r="HN397" s="680"/>
      <c r="KH397" s="682"/>
      <c r="KI397" s="680"/>
    </row>
    <row r="398" spans="1:295" s="681" customFormat="1" outlineLevel="1">
      <c r="A398" s="675"/>
      <c r="B398" s="675"/>
      <c r="C398" s="675"/>
      <c r="D398" s="1467" t="s">
        <v>565</v>
      </c>
      <c r="E398" s="677"/>
      <c r="F398" s="677"/>
      <c r="G398" s="677"/>
      <c r="H398" s="677"/>
      <c r="I398" s="677"/>
      <c r="J398" s="677"/>
      <c r="K398" s="677"/>
      <c r="L398" s="677"/>
      <c r="M398" s="677"/>
      <c r="N398" s="677"/>
      <c r="O398" s="677"/>
      <c r="P398" s="677"/>
      <c r="Q398" s="677"/>
      <c r="R398" s="677"/>
      <c r="S398" s="677"/>
      <c r="T398" s="677"/>
      <c r="U398" s="677"/>
      <c r="V398" s="677"/>
      <c r="W398" s="677"/>
      <c r="X398" s="677"/>
      <c r="Y398" s="677"/>
      <c r="Z398" s="677"/>
      <c r="AA398" s="677"/>
      <c r="AB398" s="677"/>
      <c r="AC398" s="677"/>
      <c r="AD398" s="677"/>
      <c r="AE398" s="677"/>
      <c r="AF398" s="677"/>
      <c r="AG398" s="677"/>
      <c r="AH398" s="677"/>
      <c r="AI398" s="677"/>
      <c r="AJ398" s="677"/>
      <c r="AK398" s="677"/>
      <c r="AL398" s="677"/>
      <c r="AM398" s="677"/>
      <c r="AN398" s="677"/>
      <c r="AO398" s="677"/>
      <c r="AP398" s="677"/>
      <c r="AQ398" s="677"/>
      <c r="AR398" s="677"/>
      <c r="AS398" s="677"/>
      <c r="AT398" s="677"/>
      <c r="AU398" s="677"/>
      <c r="AV398" s="677"/>
      <c r="AW398" s="677"/>
      <c r="AX398" s="677"/>
      <c r="AY398" s="677"/>
      <c r="AZ398" s="677"/>
      <c r="BA398" s="677"/>
      <c r="BB398" s="677"/>
      <c r="BC398" s="677"/>
      <c r="BD398" s="677"/>
      <c r="BE398" s="677"/>
      <c r="BF398" s="677"/>
      <c r="BG398" s="677"/>
      <c r="BH398" s="677"/>
      <c r="BI398" s="677"/>
      <c r="BJ398" s="677"/>
      <c r="BK398" s="677"/>
      <c r="BL398" s="677"/>
      <c r="BM398" s="677"/>
      <c r="BN398" s="677"/>
      <c r="BO398" s="677"/>
      <c r="BP398" s="677"/>
      <c r="BQ398" s="677"/>
      <c r="BR398" s="677"/>
      <c r="BS398" s="677"/>
      <c r="BT398" s="677"/>
      <c r="BU398" s="677"/>
      <c r="BV398" s="677"/>
      <c r="BW398" s="677"/>
      <c r="BX398" s="677"/>
      <c r="BY398" s="677"/>
      <c r="BZ398" s="677"/>
      <c r="CA398" s="677"/>
      <c r="CB398" s="677"/>
      <c r="CC398" s="677"/>
      <c r="CD398" s="677"/>
      <c r="CE398" s="678">
        <v>1.694336734</v>
      </c>
      <c r="CF398" s="677">
        <v>0.34213592300000001</v>
      </c>
      <c r="CG398" s="677">
        <v>2.0015177820000001</v>
      </c>
      <c r="CH398" s="677">
        <v>2.643980714</v>
      </c>
      <c r="CI398" s="677">
        <v>1.9010356150000001</v>
      </c>
      <c r="CJ398" s="677">
        <v>0.37540928699999998</v>
      </c>
      <c r="CK398" s="677">
        <v>1.9275458009999999</v>
      </c>
      <c r="CL398" s="677">
        <v>2.3708177899999998</v>
      </c>
      <c r="CM398" s="677">
        <v>1.4137448189999999</v>
      </c>
      <c r="CN398" s="677">
        <v>4.0224860720000004</v>
      </c>
      <c r="CO398" s="677">
        <v>3.435584135</v>
      </c>
      <c r="CP398" s="679">
        <v>0.75093030500000002</v>
      </c>
      <c r="CQ398" s="677">
        <v>2.3906111839999999</v>
      </c>
      <c r="CR398" s="677">
        <v>1.0183012629999999</v>
      </c>
      <c r="CS398" s="677">
        <v>0.82287460700000004</v>
      </c>
      <c r="CT398" s="677">
        <v>1.3026442389999999</v>
      </c>
      <c r="CU398" s="677">
        <v>0.97001537400000004</v>
      </c>
      <c r="CV398" s="677">
        <v>1.7521545860000001</v>
      </c>
      <c r="CW398" s="677">
        <v>1.165955109</v>
      </c>
      <c r="CX398" s="677">
        <v>0.74236926700000005</v>
      </c>
      <c r="CY398" s="677">
        <v>4.8269116089999997</v>
      </c>
      <c r="CZ398" s="677">
        <v>3.0675081569999998</v>
      </c>
      <c r="DA398" s="677">
        <v>3.6386895080000001</v>
      </c>
      <c r="DB398" s="1507">
        <v>0.86262805399999998</v>
      </c>
      <c r="DC398" s="677">
        <v>1.5044696980000001</v>
      </c>
      <c r="DD398" s="677">
        <v>0.627667647</v>
      </c>
      <c r="DE398" s="677">
        <v>1.7528183930000001</v>
      </c>
      <c r="DF398" s="677">
        <v>2.3458812569999998</v>
      </c>
      <c r="DG398" s="677">
        <v>2.1914482510000002</v>
      </c>
      <c r="DH398" s="677">
        <v>1.343832125</v>
      </c>
      <c r="DI398" s="677">
        <v>1.9781937430000001</v>
      </c>
      <c r="DJ398" s="677">
        <v>2.1640983980000001</v>
      </c>
      <c r="DK398" s="677">
        <v>3.3052532179999998</v>
      </c>
      <c r="DL398" s="677">
        <v>4.0667894770000004</v>
      </c>
      <c r="DM398" s="677">
        <v>2.0382407599999999</v>
      </c>
      <c r="DN398" s="679">
        <v>1.288448796</v>
      </c>
      <c r="DO398" s="677">
        <v>0.95087065599999998</v>
      </c>
      <c r="DP398" s="677">
        <v>1.4591613000000001</v>
      </c>
      <c r="DQ398" s="677">
        <v>0.74290474699999998</v>
      </c>
      <c r="DR398" s="677">
        <v>1.5319065089999999</v>
      </c>
      <c r="DS398" s="677">
        <v>1.4276739469999999</v>
      </c>
      <c r="DT398" s="677">
        <v>2.712064518</v>
      </c>
      <c r="DU398" s="677">
        <v>0.98750042400000004</v>
      </c>
      <c r="DV398" s="677">
        <v>2.4017155840000002</v>
      </c>
      <c r="DW398" s="677">
        <v>0.82440291700000001</v>
      </c>
      <c r="DX398" s="677">
        <v>5.6141318489999996</v>
      </c>
      <c r="DY398" s="677">
        <v>4.3962038139999997</v>
      </c>
      <c r="DZ398" s="679">
        <v>0.62810827400000002</v>
      </c>
      <c r="EA398" s="677">
        <v>1.1708866120000001</v>
      </c>
      <c r="EB398" s="677">
        <v>0.75580043500000005</v>
      </c>
      <c r="EC398" s="677">
        <v>1.755143793</v>
      </c>
      <c r="ED398" s="677">
        <v>1.0557142559999999</v>
      </c>
      <c r="EE398" s="677">
        <v>2.0397238419999999</v>
      </c>
      <c r="EF398" s="677">
        <v>0.916798157</v>
      </c>
      <c r="EG398" s="677">
        <v>2.5546144399999999</v>
      </c>
      <c r="EH398" s="677">
        <v>1.889572751</v>
      </c>
      <c r="EI398" s="677">
        <v>4.6231627990000002</v>
      </c>
      <c r="EJ398" s="677">
        <v>4.7630311250000004</v>
      </c>
      <c r="EK398" s="677">
        <v>2.7607849450000002</v>
      </c>
      <c r="EL398" s="679">
        <v>0.89356759299999999</v>
      </c>
      <c r="EM398" s="677">
        <v>1.6142200179999999</v>
      </c>
      <c r="EN398" s="677">
        <v>0.89031991200000005</v>
      </c>
      <c r="EO398" s="677">
        <v>2.108782589</v>
      </c>
      <c r="EP398" s="677">
        <v>0.73936070499999995</v>
      </c>
      <c r="EQ398" s="677">
        <v>1.3657821000000001</v>
      </c>
      <c r="ER398" s="677">
        <v>3.3043372020000001</v>
      </c>
      <c r="ES398" s="677">
        <v>5.9037791310000003</v>
      </c>
      <c r="ET398" s="677">
        <v>1.060348689</v>
      </c>
      <c r="EU398" s="677">
        <v>2.140259023</v>
      </c>
      <c r="EV398" s="677">
        <v>3.6435456049999999</v>
      </c>
      <c r="EW398" s="677">
        <v>2.2992679119999999</v>
      </c>
      <c r="EX398" s="679">
        <v>0.75024441600000003</v>
      </c>
      <c r="EY398" s="677">
        <v>3.9453585000000002</v>
      </c>
      <c r="EZ398" s="677">
        <v>1.031143436</v>
      </c>
      <c r="FA398" s="677">
        <v>1.4299499920000001</v>
      </c>
      <c r="FB398" s="677">
        <v>5.3039082369999999</v>
      </c>
      <c r="FC398" s="677">
        <v>1.616856469</v>
      </c>
      <c r="FD398" s="677">
        <v>2.4091368800000001</v>
      </c>
      <c r="FE398" s="677">
        <v>1.6777123009999999</v>
      </c>
      <c r="FF398" s="677">
        <v>2.5551396369999999</v>
      </c>
      <c r="FG398" s="677">
        <v>2.2302403979999998</v>
      </c>
      <c r="FH398" s="677">
        <v>1.916184654</v>
      </c>
      <c r="FI398" s="677">
        <v>1.855069549</v>
      </c>
      <c r="FJ398" s="679">
        <v>0.69850705300000004</v>
      </c>
      <c r="FK398" s="677">
        <v>3.4627875640000001</v>
      </c>
      <c r="FL398" s="677">
        <v>1.783247966</v>
      </c>
      <c r="FM398" s="677">
        <v>7.2172518590000001</v>
      </c>
      <c r="FN398" s="677">
        <v>0</v>
      </c>
      <c r="FO398" s="677">
        <v>0</v>
      </c>
      <c r="FP398" s="677">
        <v>0</v>
      </c>
      <c r="FQ398" s="677">
        <v>4.233397504</v>
      </c>
      <c r="FR398" s="677">
        <v>3.3493163429999999</v>
      </c>
      <c r="FS398" s="677">
        <v>6.1376404510000002</v>
      </c>
      <c r="FT398" s="677">
        <v>5.3130471799999999</v>
      </c>
      <c r="FU398" s="677">
        <v>9.2502008829999998</v>
      </c>
      <c r="FV398" s="677">
        <v>0.28717848899999998</v>
      </c>
      <c r="FW398" s="677">
        <v>1.868332189</v>
      </c>
      <c r="FX398" s="677">
        <v>2.2561689999999999</v>
      </c>
      <c r="FY398" s="677">
        <v>13.465075816000001</v>
      </c>
      <c r="FZ398" s="677">
        <v>2.3868783750000002</v>
      </c>
      <c r="GA398" s="677">
        <v>6.4579859539999998</v>
      </c>
      <c r="GB398" s="677">
        <v>1.634244764</v>
      </c>
      <c r="GC398" s="677">
        <v>3.0913987989999998</v>
      </c>
      <c r="GD398" s="677">
        <v>5.1632155390000003</v>
      </c>
      <c r="GE398" s="677">
        <v>6.6170545709999997</v>
      </c>
      <c r="GF398" s="677">
        <v>5.464931773</v>
      </c>
      <c r="GG398" s="677">
        <v>4.6208750360000002</v>
      </c>
      <c r="GH398" s="677">
        <v>3.6398171860000001</v>
      </c>
      <c r="GI398" s="677">
        <v>1.884030804</v>
      </c>
      <c r="GJ398" s="677">
        <v>1.591270019</v>
      </c>
      <c r="GK398" s="677">
        <v>8.5108410780000003</v>
      </c>
      <c r="GL398" s="677">
        <v>1.336745547</v>
      </c>
      <c r="GM398" s="677">
        <v>1.139952098</v>
      </c>
      <c r="GN398" s="677">
        <v>4.0227978369999997</v>
      </c>
      <c r="GO398" s="677">
        <v>12.752151707736497</v>
      </c>
      <c r="GP398" s="677">
        <v>1.1273628969109135</v>
      </c>
      <c r="GQ398" s="677">
        <v>1.8703137062264028</v>
      </c>
      <c r="GR398" s="677">
        <v>6.6646715061964157</v>
      </c>
      <c r="GS398" s="677">
        <v>4.9855332177363447</v>
      </c>
      <c r="GT398" s="677">
        <v>0.21432958219342954</v>
      </c>
      <c r="GU398" s="677">
        <v>2.7584634480000001</v>
      </c>
      <c r="GV398" s="677">
        <v>1.152133259</v>
      </c>
      <c r="GW398" s="677">
        <v>2.0849256779999998</v>
      </c>
      <c r="GX398" s="677">
        <v>5.7714527889999996</v>
      </c>
      <c r="GY398" s="677">
        <v>4.8026612540000002</v>
      </c>
      <c r="GZ398" s="677">
        <v>8.135307353</v>
      </c>
      <c r="HA398" s="677">
        <v>2.6660588619999999</v>
      </c>
      <c r="HB398" s="677">
        <v>2.4553271940000001</v>
      </c>
      <c r="HC398" s="677">
        <v>4.1038805089999997</v>
      </c>
      <c r="HD398" s="677">
        <v>4.0130978170000002</v>
      </c>
      <c r="HE398" s="677">
        <v>5.5731137390000001</v>
      </c>
      <c r="HF398" s="677">
        <v>5.4151836590000002</v>
      </c>
      <c r="HG398" s="677">
        <v>13.034583842</v>
      </c>
      <c r="HH398" s="677">
        <v>0.74528712800000307</v>
      </c>
      <c r="HI398" s="677">
        <v>2.7222285589999999</v>
      </c>
      <c r="HJ398" s="677">
        <v>1.1841009360000001</v>
      </c>
      <c r="HK398" s="677">
        <v>1.6721358390000001</v>
      </c>
      <c r="HL398" s="677">
        <v>13.050935793999997</v>
      </c>
      <c r="HM398" s="677"/>
      <c r="HN398" s="680"/>
      <c r="KH398" s="682"/>
      <c r="KI398" s="680"/>
    </row>
    <row r="399" spans="1:295" s="681" customFormat="1" outlineLevel="1">
      <c r="A399" s="675"/>
      <c r="B399" s="675"/>
      <c r="C399" s="675"/>
      <c r="D399" s="1467" t="s">
        <v>566</v>
      </c>
      <c r="E399" s="677"/>
      <c r="F399" s="677"/>
      <c r="G399" s="677"/>
      <c r="H399" s="677"/>
      <c r="I399" s="677"/>
      <c r="J399" s="677"/>
      <c r="K399" s="677"/>
      <c r="L399" s="677"/>
      <c r="M399" s="677"/>
      <c r="N399" s="677"/>
      <c r="O399" s="677"/>
      <c r="P399" s="677"/>
      <c r="Q399" s="677"/>
      <c r="R399" s="677"/>
      <c r="S399" s="677"/>
      <c r="T399" s="677"/>
      <c r="U399" s="677"/>
      <c r="V399" s="677"/>
      <c r="W399" s="677"/>
      <c r="X399" s="677"/>
      <c r="Y399" s="677"/>
      <c r="Z399" s="677"/>
      <c r="AA399" s="677"/>
      <c r="AB399" s="677"/>
      <c r="AC399" s="677"/>
      <c r="AD399" s="677"/>
      <c r="AE399" s="677"/>
      <c r="AF399" s="677"/>
      <c r="AG399" s="677"/>
      <c r="AH399" s="677"/>
      <c r="AI399" s="677"/>
      <c r="AJ399" s="677"/>
      <c r="AK399" s="677"/>
      <c r="AL399" s="677"/>
      <c r="AM399" s="677"/>
      <c r="AN399" s="677"/>
      <c r="AO399" s="677"/>
      <c r="AP399" s="677"/>
      <c r="AQ399" s="677"/>
      <c r="AR399" s="677"/>
      <c r="AS399" s="677"/>
      <c r="AT399" s="677"/>
      <c r="AU399" s="677"/>
      <c r="AV399" s="677"/>
      <c r="AW399" s="677"/>
      <c r="AX399" s="677"/>
      <c r="AY399" s="677"/>
      <c r="AZ399" s="677"/>
      <c r="BA399" s="677"/>
      <c r="BB399" s="677"/>
      <c r="BC399" s="677"/>
      <c r="BD399" s="677"/>
      <c r="BE399" s="677"/>
      <c r="BF399" s="677"/>
      <c r="BG399" s="677"/>
      <c r="BH399" s="677"/>
      <c r="BI399" s="677"/>
      <c r="BJ399" s="677"/>
      <c r="BK399" s="677"/>
      <c r="BL399" s="677"/>
      <c r="BM399" s="677"/>
      <c r="BN399" s="677"/>
      <c r="BO399" s="677"/>
      <c r="BP399" s="677"/>
      <c r="BQ399" s="677"/>
      <c r="BR399" s="677"/>
      <c r="BS399" s="677"/>
      <c r="BT399" s="677"/>
      <c r="BU399" s="677"/>
      <c r="BV399" s="677"/>
      <c r="BW399" s="677"/>
      <c r="BX399" s="677"/>
      <c r="BY399" s="677"/>
      <c r="BZ399" s="677"/>
      <c r="CA399" s="677"/>
      <c r="CB399" s="677"/>
      <c r="CC399" s="677"/>
      <c r="CD399" s="677"/>
      <c r="CE399" s="678">
        <v>2.661823922</v>
      </c>
      <c r="CF399" s="677">
        <v>2.0003473676199999</v>
      </c>
      <c r="CG399" s="677">
        <v>2.95325444208</v>
      </c>
      <c r="CH399" s="677">
        <v>4.1688299510000002</v>
      </c>
      <c r="CI399" s="677">
        <v>4.3448386289999998</v>
      </c>
      <c r="CJ399" s="677">
        <v>1.555384519</v>
      </c>
      <c r="CK399" s="677">
        <v>3.279391951</v>
      </c>
      <c r="CL399" s="677">
        <v>2.048498017</v>
      </c>
      <c r="CM399" s="677">
        <v>2.0531390549999999</v>
      </c>
      <c r="CN399" s="677">
        <v>2.5600917609999998</v>
      </c>
      <c r="CO399" s="677">
        <v>2.5050129910000001</v>
      </c>
      <c r="CP399" s="679">
        <v>2.0787431779999999</v>
      </c>
      <c r="CQ399" s="677">
        <v>4.5379803939999999</v>
      </c>
      <c r="CR399" s="677">
        <v>4.428929986</v>
      </c>
      <c r="CS399" s="677">
        <v>5.5263958960000004</v>
      </c>
      <c r="CT399" s="677">
        <v>5.8987828569999996</v>
      </c>
      <c r="CU399" s="677">
        <v>4.6212273010000002</v>
      </c>
      <c r="CV399" s="677">
        <v>16.990603844999999</v>
      </c>
      <c r="CW399" s="677">
        <v>8.220576909</v>
      </c>
      <c r="CX399" s="677">
        <v>4.9687692019999998</v>
      </c>
      <c r="CY399" s="677">
        <v>2.6778959040000001</v>
      </c>
      <c r="CZ399" s="677">
        <v>2.65309003</v>
      </c>
      <c r="DA399" s="677">
        <v>4.0383703009999996</v>
      </c>
      <c r="DB399" s="1507">
        <v>3.114468209</v>
      </c>
      <c r="DC399" s="677">
        <v>5.6286772689999998</v>
      </c>
      <c r="DD399" s="677">
        <v>8.389495342</v>
      </c>
      <c r="DE399" s="677">
        <v>3.4465797889999998</v>
      </c>
      <c r="DF399" s="677">
        <v>8.3000263489999995</v>
      </c>
      <c r="DG399" s="677">
        <v>9.4217214790000003</v>
      </c>
      <c r="DH399" s="677">
        <v>4.5048340509999996</v>
      </c>
      <c r="DI399" s="677">
        <v>3.9195385169999999</v>
      </c>
      <c r="DJ399" s="677">
        <v>4.8767588699999997</v>
      </c>
      <c r="DK399" s="677">
        <v>9.3352091129999994</v>
      </c>
      <c r="DL399" s="677">
        <v>7.6885206850000003</v>
      </c>
      <c r="DM399" s="677">
        <v>3.6360190779999999</v>
      </c>
      <c r="DN399" s="679">
        <v>2.2878697090000002</v>
      </c>
      <c r="DO399" s="677">
        <v>13.405839724</v>
      </c>
      <c r="DP399" s="677">
        <v>12.719188240999999</v>
      </c>
      <c r="DQ399" s="677">
        <v>2.0549422590000002</v>
      </c>
      <c r="DR399" s="677">
        <v>14.730687865</v>
      </c>
      <c r="DS399" s="677">
        <v>3.4296990950000001</v>
      </c>
      <c r="DT399" s="677">
        <v>3.5010635080000001</v>
      </c>
      <c r="DU399" s="677">
        <v>14.112443001999999</v>
      </c>
      <c r="DV399" s="677">
        <v>5.2934440839999999</v>
      </c>
      <c r="DW399" s="677">
        <v>2.4626023269999999</v>
      </c>
      <c r="DX399" s="677">
        <v>7.7335186260000004</v>
      </c>
      <c r="DY399" s="677">
        <v>6.979751137</v>
      </c>
      <c r="DZ399" s="679">
        <v>1.1005026250000001</v>
      </c>
      <c r="EA399" s="677">
        <v>12.203334205999999</v>
      </c>
      <c r="EB399" s="677">
        <v>6.9282187720000001</v>
      </c>
      <c r="EC399" s="677">
        <v>9.0983796859999995</v>
      </c>
      <c r="ED399" s="677">
        <v>8.6222516529999993</v>
      </c>
      <c r="EE399" s="677">
        <v>11.120483321</v>
      </c>
      <c r="EF399" s="677">
        <v>7.3098032310000001</v>
      </c>
      <c r="EG399" s="677">
        <v>7.8460066079999997</v>
      </c>
      <c r="EH399" s="677">
        <v>10.285157</v>
      </c>
      <c r="EI399" s="677">
        <v>14.816423822000001</v>
      </c>
      <c r="EJ399" s="677">
        <v>7.2441276859999997</v>
      </c>
      <c r="EK399" s="677">
        <v>7.7642049389999999</v>
      </c>
      <c r="EL399" s="679">
        <v>4.5570249570000003</v>
      </c>
      <c r="EM399" s="677">
        <v>7.9029296489999998</v>
      </c>
      <c r="EN399" s="677">
        <v>10.390572207</v>
      </c>
      <c r="EO399" s="677">
        <v>7.567573061</v>
      </c>
      <c r="EP399" s="677">
        <v>14.262422762</v>
      </c>
      <c r="EQ399" s="677">
        <v>25.480099663000001</v>
      </c>
      <c r="ER399" s="677">
        <v>4.3385306119999996</v>
      </c>
      <c r="ES399" s="677">
        <v>10.631548466</v>
      </c>
      <c r="ET399" s="677">
        <v>10.43662114</v>
      </c>
      <c r="EU399" s="677">
        <v>10.438360343999999</v>
      </c>
      <c r="EV399" s="677">
        <v>31.703036501</v>
      </c>
      <c r="EW399" s="677">
        <v>31.283190304000001</v>
      </c>
      <c r="EX399" s="679">
        <v>6.187643628</v>
      </c>
      <c r="EY399" s="677">
        <v>19.621337566000001</v>
      </c>
      <c r="EZ399" s="677">
        <v>19.979445821999999</v>
      </c>
      <c r="FA399" s="677">
        <v>7.807474676</v>
      </c>
      <c r="FB399" s="677">
        <v>12.050736946000001</v>
      </c>
      <c r="FC399" s="677">
        <v>20.365861151000001</v>
      </c>
      <c r="FD399" s="677">
        <v>9.5259266819999997</v>
      </c>
      <c r="FE399" s="677">
        <v>4.359865428</v>
      </c>
      <c r="FF399" s="677">
        <v>16.790410443999999</v>
      </c>
      <c r="FG399" s="677">
        <v>14.309395854</v>
      </c>
      <c r="FH399" s="677">
        <v>6.0296474590000004</v>
      </c>
      <c r="FI399" s="677">
        <v>12.035315104</v>
      </c>
      <c r="FJ399" s="679">
        <v>1.4745208869999999</v>
      </c>
      <c r="FK399" s="677">
        <v>12.759667224999999</v>
      </c>
      <c r="FL399" s="677">
        <v>10.057954682</v>
      </c>
      <c r="FM399" s="677">
        <v>14.992900581000001</v>
      </c>
      <c r="FN399" s="677">
        <v>8.449501519</v>
      </c>
      <c r="FO399" s="677">
        <v>10.322834118999999</v>
      </c>
      <c r="FP399" s="677">
        <v>9.4276341339999998</v>
      </c>
      <c r="FQ399" s="677">
        <v>13.833825759</v>
      </c>
      <c r="FR399" s="677">
        <v>6.652929726</v>
      </c>
      <c r="FS399" s="677">
        <v>4.2280074870000002</v>
      </c>
      <c r="FT399" s="677">
        <v>12.878353831</v>
      </c>
      <c r="FU399" s="677">
        <v>23.858894002</v>
      </c>
      <c r="FV399" s="677">
        <v>4.7989988329999997</v>
      </c>
      <c r="FW399" s="677">
        <v>9.4270421219999996</v>
      </c>
      <c r="FX399" s="677">
        <v>8.2880457829999994</v>
      </c>
      <c r="FY399" s="677">
        <v>8.142056878</v>
      </c>
      <c r="FZ399" s="677">
        <v>20.268061037999999</v>
      </c>
      <c r="GA399" s="677">
        <v>21.685625209000001</v>
      </c>
      <c r="GB399" s="677">
        <v>6.1310755720000003</v>
      </c>
      <c r="GC399" s="677">
        <v>9.3700082800000004</v>
      </c>
      <c r="GD399" s="677">
        <v>21.115629317</v>
      </c>
      <c r="GE399" s="677">
        <v>13.54216845</v>
      </c>
      <c r="GF399" s="677">
        <v>7.9037664559999996</v>
      </c>
      <c r="GG399" s="677">
        <v>15.140435371000001</v>
      </c>
      <c r="GH399" s="677">
        <v>6.0046342780000002</v>
      </c>
      <c r="GI399" s="677">
        <v>12.235405911319145</v>
      </c>
      <c r="GJ399" s="677">
        <v>27.927502357725132</v>
      </c>
      <c r="GK399" s="677">
        <v>22.437091730955725</v>
      </c>
      <c r="GL399" s="677">
        <v>1</v>
      </c>
      <c r="GM399" s="677">
        <v>1</v>
      </c>
      <c r="GN399" s="677">
        <v>1.0999999999999943</v>
      </c>
      <c r="GO399" s="677">
        <v>16.508220081735399</v>
      </c>
      <c r="GP399" s="677">
        <v>7.5477514962105259</v>
      </c>
      <c r="GQ399" s="677">
        <v>3.4708608633540838</v>
      </c>
      <c r="GR399" s="677">
        <v>20.36146118726305</v>
      </c>
      <c r="GS399" s="677">
        <v>8.0757171544465809</v>
      </c>
      <c r="GT399" s="677">
        <v>6.0359892169903651</v>
      </c>
      <c r="GU399" s="677">
        <v>7.9425931529999998</v>
      </c>
      <c r="GV399" s="677">
        <v>17.944234579</v>
      </c>
      <c r="GW399" s="677">
        <v>17.283160537000001</v>
      </c>
      <c r="GX399" s="677">
        <v>10.735763124</v>
      </c>
      <c r="GY399" s="677">
        <v>8.324031519</v>
      </c>
      <c r="GZ399" s="677">
        <v>6.673807966</v>
      </c>
      <c r="HA399" s="677">
        <v>8.8125038680000003</v>
      </c>
      <c r="HB399" s="677">
        <v>9.2244838100000006</v>
      </c>
      <c r="HC399" s="677">
        <v>7.1400030350000003</v>
      </c>
      <c r="HD399" s="677">
        <v>18.243119096000001</v>
      </c>
      <c r="HE399" s="677">
        <v>21.694246570999997</v>
      </c>
      <c r="HF399" s="677">
        <v>5.1032864070000006</v>
      </c>
      <c r="HG399" s="677">
        <v>14.070388789000001</v>
      </c>
      <c r="HH399" s="677">
        <v>8.7907085459999994</v>
      </c>
      <c r="HI399" s="677">
        <v>21.161437204999999</v>
      </c>
      <c r="HJ399" s="677">
        <v>22.156916267</v>
      </c>
      <c r="HK399" s="677">
        <v>4.3281103570000017</v>
      </c>
      <c r="HL399" s="677">
        <v>2.2898348520000003</v>
      </c>
      <c r="HM399" s="677"/>
      <c r="HN399" s="680"/>
      <c r="KH399" s="682"/>
      <c r="KI399" s="680"/>
    </row>
    <row r="400" spans="1:295" s="681" customFormat="1" outlineLevel="1">
      <c r="A400" s="675" t="s">
        <v>923</v>
      </c>
      <c r="B400" s="675" t="s">
        <v>361</v>
      </c>
      <c r="C400" s="675"/>
      <c r="D400" s="1465" t="s">
        <v>2467</v>
      </c>
      <c r="E400" s="677"/>
      <c r="F400" s="677"/>
      <c r="G400" s="677"/>
      <c r="H400" s="677"/>
      <c r="I400" s="677"/>
      <c r="J400" s="677"/>
      <c r="K400" s="677"/>
      <c r="L400" s="677"/>
      <c r="M400" s="677"/>
      <c r="N400" s="677"/>
      <c r="O400" s="677"/>
      <c r="P400" s="677"/>
      <c r="Q400" s="677"/>
      <c r="R400" s="677"/>
      <c r="S400" s="677"/>
      <c r="T400" s="677"/>
      <c r="U400" s="677"/>
      <c r="V400" s="677"/>
      <c r="W400" s="677"/>
      <c r="X400" s="677"/>
      <c r="Y400" s="677"/>
      <c r="Z400" s="677"/>
      <c r="AA400" s="677"/>
      <c r="AB400" s="677"/>
      <c r="AC400" s="677"/>
      <c r="AD400" s="677"/>
      <c r="AE400" s="677"/>
      <c r="AF400" s="677"/>
      <c r="AG400" s="677"/>
      <c r="AH400" s="677"/>
      <c r="AI400" s="677"/>
      <c r="AJ400" s="677"/>
      <c r="AK400" s="677"/>
      <c r="AL400" s="677"/>
      <c r="AM400" s="677"/>
      <c r="AN400" s="677"/>
      <c r="AO400" s="677"/>
      <c r="AP400" s="677"/>
      <c r="AQ400" s="677"/>
      <c r="AR400" s="677"/>
      <c r="AS400" s="677"/>
      <c r="AT400" s="677"/>
      <c r="AU400" s="677"/>
      <c r="AV400" s="677"/>
      <c r="AW400" s="677"/>
      <c r="AX400" s="677"/>
      <c r="AY400" s="677"/>
      <c r="AZ400" s="677"/>
      <c r="BA400" s="677"/>
      <c r="BB400" s="677"/>
      <c r="BC400" s="677"/>
      <c r="BD400" s="677"/>
      <c r="BE400" s="677"/>
      <c r="BF400" s="677"/>
      <c r="BG400" s="677">
        <v>0</v>
      </c>
      <c r="BH400" s="677">
        <v>0.295810134</v>
      </c>
      <c r="BI400" s="677">
        <v>2.1481728659999999</v>
      </c>
      <c r="BJ400" s="677">
        <v>0.26642403199999998</v>
      </c>
      <c r="BK400" s="677">
        <v>1.76412624</v>
      </c>
      <c r="BL400" s="677">
        <v>1.4626336339999999</v>
      </c>
      <c r="BM400" s="677">
        <v>0.82027575399999997</v>
      </c>
      <c r="BN400" s="677">
        <v>1.2502861080000001</v>
      </c>
      <c r="BO400" s="677">
        <v>1.802085683</v>
      </c>
      <c r="BP400" s="677">
        <v>0.46797952599999998</v>
      </c>
      <c r="BQ400" s="677">
        <v>0.301244605</v>
      </c>
      <c r="BR400" s="677">
        <v>2.1416643340000001</v>
      </c>
      <c r="BS400" s="677">
        <v>0</v>
      </c>
      <c r="BT400" s="677">
        <v>0.93562500000000004</v>
      </c>
      <c r="BU400" s="677">
        <v>0</v>
      </c>
      <c r="BV400" s="677">
        <v>2.3756301199999998</v>
      </c>
      <c r="BW400" s="677">
        <v>1.8661589190000001</v>
      </c>
      <c r="BX400" s="677">
        <v>1.1034714830000001</v>
      </c>
      <c r="BY400" s="677">
        <v>1.6607128879999999</v>
      </c>
      <c r="BZ400" s="677">
        <v>0.80658438799999999</v>
      </c>
      <c r="CA400" s="677">
        <v>0.63771968000000001</v>
      </c>
      <c r="CB400" s="677">
        <v>2.2233112720000001</v>
      </c>
      <c r="CC400" s="677">
        <v>1.1794190499999999</v>
      </c>
      <c r="CD400" s="677">
        <v>3.6350155530000001</v>
      </c>
      <c r="CE400" s="678">
        <v>10.526452686000001</v>
      </c>
      <c r="CF400" s="677">
        <v>15.109569805</v>
      </c>
      <c r="CG400" s="677">
        <v>15.141310662</v>
      </c>
      <c r="CH400" s="677">
        <v>24.206214788</v>
      </c>
      <c r="CI400" s="677">
        <v>17.467736775000002</v>
      </c>
      <c r="CJ400" s="677">
        <v>11.073881504999999</v>
      </c>
      <c r="CK400" s="677">
        <v>21.884380947</v>
      </c>
      <c r="CL400" s="677">
        <v>18.32118797</v>
      </c>
      <c r="CM400" s="677">
        <v>23.854194408000001</v>
      </c>
      <c r="CN400" s="677">
        <v>28.932555223999998</v>
      </c>
      <c r="CO400" s="677">
        <v>51.464723008</v>
      </c>
      <c r="CP400" s="679">
        <v>35.421020681000002</v>
      </c>
      <c r="CQ400" s="677">
        <v>11.76803075493056</v>
      </c>
      <c r="CR400" s="677">
        <v>18.361679120999998</v>
      </c>
      <c r="CS400" s="677">
        <v>22.843350313999998</v>
      </c>
      <c r="CT400" s="677">
        <v>16.358613350000002</v>
      </c>
      <c r="CU400" s="677">
        <v>15.843995942999999</v>
      </c>
      <c r="CV400" s="677">
        <v>14.463915152</v>
      </c>
      <c r="CW400" s="677">
        <v>27.784603081</v>
      </c>
      <c r="CX400" s="677">
        <v>21.432819065</v>
      </c>
      <c r="CY400" s="677">
        <v>30.363084206</v>
      </c>
      <c r="CZ400" s="677">
        <v>47.542389496000006</v>
      </c>
      <c r="DA400" s="677">
        <v>36.940702246376965</v>
      </c>
      <c r="DB400" s="1507">
        <v>32.153853196</v>
      </c>
      <c r="DC400" s="677">
        <v>7.699206792</v>
      </c>
      <c r="DD400" s="677">
        <v>16.413068342999999</v>
      </c>
      <c r="DE400" s="677">
        <v>35.627985338000009</v>
      </c>
      <c r="DF400" s="677">
        <v>36.570868179999998</v>
      </c>
      <c r="DG400" s="677">
        <v>16.263246383000002</v>
      </c>
      <c r="DH400" s="677">
        <v>11.049905589</v>
      </c>
      <c r="DI400" s="677">
        <v>46.698605737000001</v>
      </c>
      <c r="DJ400" s="677">
        <v>25.370697211</v>
      </c>
      <c r="DK400" s="677">
        <v>23.205804473999997</v>
      </c>
      <c r="DL400" s="677">
        <v>40.797149785000002</v>
      </c>
      <c r="DM400" s="677">
        <v>59.219738081000003</v>
      </c>
      <c r="DN400" s="679">
        <v>26.74629178</v>
      </c>
      <c r="DO400" s="677">
        <v>13.413084467999999</v>
      </c>
      <c r="DP400" s="677">
        <v>21.419977733</v>
      </c>
      <c r="DQ400" s="677">
        <v>17.814269811999999</v>
      </c>
      <c r="DR400" s="677">
        <v>24.8299138</v>
      </c>
      <c r="DS400" s="677">
        <v>27.434504454000002</v>
      </c>
      <c r="DT400" s="677">
        <v>16.106640577</v>
      </c>
      <c r="DU400" s="677">
        <v>40.220250265000004</v>
      </c>
      <c r="DV400" s="677">
        <v>20.301798274999999</v>
      </c>
      <c r="DW400" s="677">
        <v>16.703672267000002</v>
      </c>
      <c r="DX400" s="677">
        <v>34.381703754</v>
      </c>
      <c r="DY400" s="677">
        <v>43.791754669999996</v>
      </c>
      <c r="DZ400" s="679">
        <v>23.698941349999998</v>
      </c>
      <c r="EA400" s="677">
        <v>7.0390087609999998</v>
      </c>
      <c r="EB400" s="677">
        <v>29.930735841999997</v>
      </c>
      <c r="EC400" s="677">
        <v>28.334890032000001</v>
      </c>
      <c r="ED400" s="677">
        <v>27.536695631999997</v>
      </c>
      <c r="EE400" s="677">
        <v>22.374099096999998</v>
      </c>
      <c r="EF400" s="677">
        <v>16.740895622</v>
      </c>
      <c r="EG400" s="677">
        <v>55.057142225</v>
      </c>
      <c r="EH400" s="677">
        <v>21.274305705</v>
      </c>
      <c r="EI400" s="677">
        <v>26.485121561</v>
      </c>
      <c r="EJ400" s="677">
        <v>29.823325992000001</v>
      </c>
      <c r="EK400" s="677">
        <v>58.054600934999996</v>
      </c>
      <c r="EL400" s="679">
        <v>19.057433251999999</v>
      </c>
      <c r="EM400" s="679">
        <v>25.460867822000001</v>
      </c>
      <c r="EN400" s="677">
        <v>25.384496069000001</v>
      </c>
      <c r="EO400" s="677">
        <v>27.454722879999998</v>
      </c>
      <c r="EP400" s="677">
        <v>37.240783912000005</v>
      </c>
      <c r="EQ400" s="677">
        <v>26.761320949000002</v>
      </c>
      <c r="ER400" s="677">
        <v>37.710009473999996</v>
      </c>
      <c r="ES400" s="677">
        <v>42.990286253000001</v>
      </c>
      <c r="ET400" s="677">
        <v>45.763296858000004</v>
      </c>
      <c r="EU400" s="677">
        <v>35.748736557000001</v>
      </c>
      <c r="EV400" s="677">
        <v>54.869003861000003</v>
      </c>
      <c r="EW400" s="677">
        <v>78.276147252000001</v>
      </c>
      <c r="EX400" s="679">
        <v>29.014297797000001</v>
      </c>
      <c r="EY400" s="677">
        <v>37.467885670999998</v>
      </c>
      <c r="EZ400" s="677">
        <v>39.451502786000006</v>
      </c>
      <c r="FA400" s="677">
        <v>48.433684837999998</v>
      </c>
      <c r="FB400" s="677">
        <v>42.281539246999998</v>
      </c>
      <c r="FC400" s="677">
        <v>41.602428701999997</v>
      </c>
      <c r="FD400" s="677">
        <v>31.945720539</v>
      </c>
      <c r="FE400" s="677">
        <v>35.485007250999999</v>
      </c>
      <c r="FF400" s="677">
        <v>40.073490468000003</v>
      </c>
      <c r="FG400" s="677">
        <v>29.438954741</v>
      </c>
      <c r="FH400" s="677">
        <v>39.993022592000003</v>
      </c>
      <c r="FI400" s="677">
        <v>64.253409435999998</v>
      </c>
      <c r="FJ400" s="679">
        <v>34.872384849999996</v>
      </c>
      <c r="FK400" s="677">
        <v>36.244246215000004</v>
      </c>
      <c r="FL400" s="677">
        <v>30.388938072999998</v>
      </c>
      <c r="FM400" s="677">
        <v>32.798715348999998</v>
      </c>
      <c r="FN400" s="677">
        <v>42.276793343999998</v>
      </c>
      <c r="FO400" s="677">
        <v>38.236603162999998</v>
      </c>
      <c r="FP400" s="677">
        <v>85.751569892999996</v>
      </c>
      <c r="FQ400" s="677">
        <v>80.119229920999999</v>
      </c>
      <c r="FR400" s="677">
        <v>48.986533313999999</v>
      </c>
      <c r="FS400" s="677">
        <v>38.835669125500004</v>
      </c>
      <c r="FT400" s="677">
        <v>47.047556499999999</v>
      </c>
      <c r="FU400" s="677">
        <v>74.043017501499989</v>
      </c>
      <c r="FV400" s="677">
        <v>14.809122674999999</v>
      </c>
      <c r="FW400" s="677">
        <v>21.499991579</v>
      </c>
      <c r="FX400" s="677">
        <v>26.040309391000001</v>
      </c>
      <c r="FY400" s="677">
        <v>60.757177644999999</v>
      </c>
      <c r="FZ400" s="677">
        <v>85.854329884999999</v>
      </c>
      <c r="GA400" s="677">
        <v>45.169855757999997</v>
      </c>
      <c r="GB400" s="677">
        <v>118.78286667399999</v>
      </c>
      <c r="GC400" s="677">
        <v>105.848004573</v>
      </c>
      <c r="GD400" s="677">
        <v>58.604432637000002</v>
      </c>
      <c r="GE400" s="677">
        <v>92.421183310000004</v>
      </c>
      <c r="GF400" s="677">
        <v>75.868959872000005</v>
      </c>
      <c r="GG400" s="677">
        <v>64.692209547999994</v>
      </c>
      <c r="GH400" s="677">
        <v>47.373694473</v>
      </c>
      <c r="GI400" s="677">
        <f>GI401</f>
        <v>37.559882838189708</v>
      </c>
      <c r="GJ400" s="677">
        <f t="shared" ref="GJ400:GO400" si="56">GJ401</f>
        <v>99.400044857186941</v>
      </c>
      <c r="GK400" s="677">
        <f t="shared" si="56"/>
        <v>85.940072304623357</v>
      </c>
      <c r="GL400" s="677">
        <f t="shared" si="56"/>
        <v>41.014640372293314</v>
      </c>
      <c r="GM400" s="677">
        <f t="shared" si="56"/>
        <v>44.784218966293324</v>
      </c>
      <c r="GN400" s="677">
        <f t="shared" si="56"/>
        <v>11.333778128293314</v>
      </c>
      <c r="GO400" s="677">
        <f t="shared" si="56"/>
        <v>98.7583319798009</v>
      </c>
      <c r="GP400" s="677">
        <f>GP401</f>
        <v>24.197892101491309</v>
      </c>
      <c r="GQ400" s="677">
        <f t="shared" ref="GQ400:GT400" si="57">GQ401</f>
        <v>45.123040253739575</v>
      </c>
      <c r="GR400" s="677">
        <f t="shared" si="57"/>
        <v>147.32418630337381</v>
      </c>
      <c r="GS400" s="677">
        <f t="shared" si="57"/>
        <v>77.892570207755526</v>
      </c>
      <c r="GT400" s="677">
        <f t="shared" si="57"/>
        <v>33.624900862422102</v>
      </c>
      <c r="GU400" s="677">
        <v>36.576551907000002</v>
      </c>
      <c r="GV400" s="677">
        <v>35.305396328</v>
      </c>
      <c r="GW400" s="677">
        <v>47.563737848999999</v>
      </c>
      <c r="GX400" s="677">
        <v>48.569047284</v>
      </c>
      <c r="GY400" s="677">
        <v>35.389751359999998</v>
      </c>
      <c r="GZ400" s="677">
        <v>22.782992631999999</v>
      </c>
      <c r="HA400" s="677">
        <v>104.73686457700001</v>
      </c>
      <c r="HB400" s="677">
        <v>104.506769373</v>
      </c>
      <c r="HC400" s="677">
        <v>55.870180664999999</v>
      </c>
      <c r="HD400" s="677">
        <v>55.033536943000001</v>
      </c>
      <c r="HE400" s="677">
        <v>55.544366477000011</v>
      </c>
      <c r="HF400" s="677">
        <v>55.319894487999989</v>
      </c>
      <c r="HG400" s="677">
        <v>43.695700043999999</v>
      </c>
      <c r="HH400" s="677">
        <v>67.604808276000014</v>
      </c>
      <c r="HI400" s="677">
        <v>41.524662079000002</v>
      </c>
      <c r="HJ400" s="677">
        <v>32.891966196999988</v>
      </c>
      <c r="HK400" s="677">
        <v>57.744617599000001</v>
      </c>
      <c r="HL400" s="677">
        <v>93.515291848999993</v>
      </c>
      <c r="HM400" s="677"/>
      <c r="HN400" s="680"/>
      <c r="KH400" s="682"/>
      <c r="KI400" s="680"/>
    </row>
    <row r="401" spans="1:295" s="681" customFormat="1" outlineLevel="1">
      <c r="A401" s="675" t="s">
        <v>923</v>
      </c>
      <c r="B401" s="675" t="s">
        <v>361</v>
      </c>
      <c r="C401" s="675"/>
      <c r="D401" s="1468" t="s">
        <v>568</v>
      </c>
      <c r="E401" s="677"/>
      <c r="F401" s="677"/>
      <c r="G401" s="677"/>
      <c r="H401" s="677"/>
      <c r="I401" s="677"/>
      <c r="J401" s="677"/>
      <c r="K401" s="677"/>
      <c r="L401" s="677"/>
      <c r="M401" s="677"/>
      <c r="N401" s="677"/>
      <c r="O401" s="677"/>
      <c r="P401" s="677"/>
      <c r="Q401" s="677"/>
      <c r="R401" s="677"/>
      <c r="S401" s="677"/>
      <c r="T401" s="677"/>
      <c r="U401" s="677"/>
      <c r="V401" s="677"/>
      <c r="W401" s="677"/>
      <c r="X401" s="677"/>
      <c r="Y401" s="677"/>
      <c r="Z401" s="677"/>
      <c r="AA401" s="677"/>
      <c r="AB401" s="677"/>
      <c r="AC401" s="677"/>
      <c r="AD401" s="677"/>
      <c r="AE401" s="677"/>
      <c r="AF401" s="677"/>
      <c r="AG401" s="677"/>
      <c r="AH401" s="677"/>
      <c r="AI401" s="677"/>
      <c r="AJ401" s="677"/>
      <c r="AK401" s="677"/>
      <c r="AL401" s="677"/>
      <c r="AM401" s="677"/>
      <c r="AN401" s="677"/>
      <c r="AO401" s="677"/>
      <c r="AP401" s="677"/>
      <c r="AQ401" s="677"/>
      <c r="AR401" s="677"/>
      <c r="AS401" s="677"/>
      <c r="AT401" s="677"/>
      <c r="AU401" s="677"/>
      <c r="AV401" s="677"/>
      <c r="AW401" s="677"/>
      <c r="AX401" s="677"/>
      <c r="AY401" s="677"/>
      <c r="AZ401" s="677"/>
      <c r="BA401" s="677"/>
      <c r="BB401" s="677"/>
      <c r="BC401" s="677"/>
      <c r="BD401" s="677"/>
      <c r="BE401" s="677"/>
      <c r="BF401" s="677"/>
      <c r="BG401" s="677">
        <v>6.3785177499200003</v>
      </c>
      <c r="BH401" s="677">
        <v>4.0654800229900001</v>
      </c>
      <c r="BI401" s="677">
        <v>2.80533423313</v>
      </c>
      <c r="BJ401" s="677">
        <v>4.9663082563299996</v>
      </c>
      <c r="BK401" s="677">
        <v>3.2685378679699997</v>
      </c>
      <c r="BL401" s="677">
        <v>3.8206991270000001</v>
      </c>
      <c r="BM401" s="677">
        <v>8.1645339809999999</v>
      </c>
      <c r="BN401" s="677">
        <v>3.0150156429099999</v>
      </c>
      <c r="BO401" s="677">
        <v>4.44633409369</v>
      </c>
      <c r="BP401" s="677">
        <v>7.2452022508400002</v>
      </c>
      <c r="BQ401" s="677">
        <v>4.9420447697899998</v>
      </c>
      <c r="BR401" s="677">
        <v>1.063222133</v>
      </c>
      <c r="BS401" s="677">
        <v>3.6043933539999999</v>
      </c>
      <c r="BT401" s="677">
        <v>3.4133628570000001</v>
      </c>
      <c r="BU401" s="677">
        <v>1.6095153980000001</v>
      </c>
      <c r="BV401" s="677">
        <v>2.581814445</v>
      </c>
      <c r="BW401" s="677">
        <v>2.516736039</v>
      </c>
      <c r="BX401" s="677">
        <v>0.79334064199999998</v>
      </c>
      <c r="BY401" s="677">
        <v>2.3627638649999998</v>
      </c>
      <c r="BZ401" s="677">
        <v>4.5791276439999997</v>
      </c>
      <c r="CA401" s="677">
        <v>0.95770923699999999</v>
      </c>
      <c r="CB401" s="677">
        <v>3.7198677249599998</v>
      </c>
      <c r="CC401" s="677">
        <v>1.06401749881</v>
      </c>
      <c r="CD401" s="677">
        <v>1.631561432</v>
      </c>
      <c r="CE401" s="678">
        <v>10.526452686000001</v>
      </c>
      <c r="CF401" s="677">
        <v>14.788687463</v>
      </c>
      <c r="CG401" s="677">
        <v>15.141310662</v>
      </c>
      <c r="CH401" s="677">
        <v>23.906214788</v>
      </c>
      <c r="CI401" s="677">
        <v>17.150936775000002</v>
      </c>
      <c r="CJ401" s="677">
        <v>11.073881504999999</v>
      </c>
      <c r="CK401" s="677">
        <v>21.884380947</v>
      </c>
      <c r="CL401" s="677">
        <v>18.32118797</v>
      </c>
      <c r="CM401" s="677">
        <v>23.373190814000001</v>
      </c>
      <c r="CN401" s="677">
        <v>27.952275332999999</v>
      </c>
      <c r="CO401" s="677">
        <v>51.030099032000003</v>
      </c>
      <c r="CP401" s="679">
        <v>34.385280105</v>
      </c>
      <c r="CQ401" s="677">
        <v>11.71803075493056</v>
      </c>
      <c r="CR401" s="677">
        <v>14.296176774999999</v>
      </c>
      <c r="CS401" s="677">
        <v>22.625164313999999</v>
      </c>
      <c r="CT401" s="677">
        <v>16.358613350000002</v>
      </c>
      <c r="CU401" s="677">
        <v>15.643995943</v>
      </c>
      <c r="CV401" s="677">
        <v>14.454799152</v>
      </c>
      <c r="CW401" s="677">
        <v>27.779478081000001</v>
      </c>
      <c r="CX401" s="677">
        <v>21.432819065</v>
      </c>
      <c r="CY401" s="677">
        <v>30.063084205999999</v>
      </c>
      <c r="CZ401" s="677">
        <v>46.928807496000005</v>
      </c>
      <c r="DA401" s="677">
        <v>36.640702246376968</v>
      </c>
      <c r="DB401" s="1507">
        <v>32.153853196</v>
      </c>
      <c r="DC401" s="677">
        <v>7.699206792</v>
      </c>
      <c r="DD401" s="677">
        <v>15.615804453999999</v>
      </c>
      <c r="DE401" s="677">
        <v>34.553283314000005</v>
      </c>
      <c r="DF401" s="677">
        <v>35.766758748999997</v>
      </c>
      <c r="DG401" s="677">
        <v>14.505710753000001</v>
      </c>
      <c r="DH401" s="677">
        <v>9.6282044520000003</v>
      </c>
      <c r="DI401" s="677">
        <v>45.308410111000001</v>
      </c>
      <c r="DJ401" s="677">
        <v>24.575965203999999</v>
      </c>
      <c r="DK401" s="677">
        <v>20.724792952999998</v>
      </c>
      <c r="DL401" s="677">
        <v>40.700034496000001</v>
      </c>
      <c r="DM401" s="677">
        <v>57.556615731000001</v>
      </c>
      <c r="DN401" s="679">
        <v>26.028251037</v>
      </c>
      <c r="DO401" s="677">
        <v>13.413084467999999</v>
      </c>
      <c r="DP401" s="677">
        <v>20.513162054999999</v>
      </c>
      <c r="DQ401" s="677">
        <v>17.430781947</v>
      </c>
      <c r="DR401" s="677">
        <v>24.498937213000001</v>
      </c>
      <c r="DS401" s="677">
        <v>26.308812109000002</v>
      </c>
      <c r="DT401" s="677">
        <v>15.421166871</v>
      </c>
      <c r="DU401" s="677">
        <v>38.146938749</v>
      </c>
      <c r="DV401" s="677">
        <v>19.405948199000001</v>
      </c>
      <c r="DW401" s="677">
        <v>16.027426585000001</v>
      </c>
      <c r="DX401" s="677">
        <v>34.381703754</v>
      </c>
      <c r="DY401" s="677">
        <v>43.061038738000001</v>
      </c>
      <c r="DZ401" s="679">
        <v>23.303213546999999</v>
      </c>
      <c r="EA401" s="677">
        <v>7.0390087609999998</v>
      </c>
      <c r="EB401" s="677">
        <v>27.880420234999999</v>
      </c>
      <c r="EC401" s="677">
        <v>27.983209404</v>
      </c>
      <c r="ED401" s="677">
        <v>26.463758969999997</v>
      </c>
      <c r="EE401" s="677">
        <v>22.189802706999998</v>
      </c>
      <c r="EF401" s="677">
        <v>16.484109042</v>
      </c>
      <c r="EG401" s="677">
        <v>53.879159250000001</v>
      </c>
      <c r="EH401" s="677">
        <v>20.661667502</v>
      </c>
      <c r="EI401" s="677">
        <v>25.803920057999999</v>
      </c>
      <c r="EJ401" s="677">
        <v>29.208660017</v>
      </c>
      <c r="EK401" s="677">
        <v>56.536960389999997</v>
      </c>
      <c r="EL401" s="679">
        <v>18.840317065000001</v>
      </c>
      <c r="EM401" s="677">
        <v>25.460867822000001</v>
      </c>
      <c r="EN401" s="677">
        <v>23.237070240000001</v>
      </c>
      <c r="EO401" s="677">
        <v>26.156810261999997</v>
      </c>
      <c r="EP401" s="677">
        <v>35.459373626000001</v>
      </c>
      <c r="EQ401" s="677">
        <v>25.850891169000001</v>
      </c>
      <c r="ER401" s="677">
        <v>37.452469549999996</v>
      </c>
      <c r="ES401" s="677">
        <v>41.463536611000002</v>
      </c>
      <c r="ET401" s="677">
        <v>44.353644627000001</v>
      </c>
      <c r="EU401" s="677">
        <v>34.999554809999999</v>
      </c>
      <c r="EV401" s="677">
        <v>52.172713250000001</v>
      </c>
      <c r="EW401" s="677">
        <v>74.941448680999997</v>
      </c>
      <c r="EX401" s="679">
        <v>28.824252475000002</v>
      </c>
      <c r="EY401" s="677">
        <v>37.467885670999998</v>
      </c>
      <c r="EZ401" s="677">
        <v>38.294529799000003</v>
      </c>
      <c r="FA401" s="677">
        <v>47.459462975999998</v>
      </c>
      <c r="FB401" s="677">
        <v>38.939648501999997</v>
      </c>
      <c r="FC401" s="677">
        <v>38.777168355999997</v>
      </c>
      <c r="FD401" s="677">
        <v>31.242091212999998</v>
      </c>
      <c r="FE401" s="677">
        <v>34.734893370000002</v>
      </c>
      <c r="FF401" s="677">
        <v>39.839215345</v>
      </c>
      <c r="FG401" s="677">
        <v>29.231937251000002</v>
      </c>
      <c r="FH401" s="677">
        <v>39.648290052</v>
      </c>
      <c r="FI401" s="677">
        <v>62.089244090000001</v>
      </c>
      <c r="FJ401" s="679">
        <v>27.429325165000002</v>
      </c>
      <c r="FK401" s="677">
        <v>34.855069626000002</v>
      </c>
      <c r="FL401" s="677">
        <v>30.3539335</v>
      </c>
      <c r="FM401" s="677">
        <v>32.166852878</v>
      </c>
      <c r="FN401" s="677">
        <v>40.761681717999998</v>
      </c>
      <c r="FO401" s="677">
        <v>35.703419597</v>
      </c>
      <c r="FP401" s="677">
        <v>84.823746598</v>
      </c>
      <c r="FQ401" s="677">
        <v>80.119229920999999</v>
      </c>
      <c r="FR401" s="677">
        <v>48.986533313999999</v>
      </c>
      <c r="FS401" s="677">
        <v>35.909699193000002</v>
      </c>
      <c r="FT401" s="677">
        <v>47.047556499999999</v>
      </c>
      <c r="FU401" s="677">
        <v>71.117047568999993</v>
      </c>
      <c r="FV401" s="677">
        <v>14.809122674999999</v>
      </c>
      <c r="FW401" s="677">
        <v>21.499991579</v>
      </c>
      <c r="FX401" s="677">
        <v>26.040309391000001</v>
      </c>
      <c r="FY401" s="677">
        <v>59.389177644999997</v>
      </c>
      <c r="FZ401" s="677">
        <v>85.854329884999999</v>
      </c>
      <c r="GA401" s="677">
        <v>45.169855757999997</v>
      </c>
      <c r="GB401" s="677">
        <v>117.414866674</v>
      </c>
      <c r="GC401" s="677">
        <v>105.848004573</v>
      </c>
      <c r="GD401" s="677">
        <v>58.604432637000002</v>
      </c>
      <c r="GE401" s="677">
        <v>92.421183310000004</v>
      </c>
      <c r="GF401" s="677">
        <v>75.868959872000005</v>
      </c>
      <c r="GG401" s="677">
        <v>64.692209547999994</v>
      </c>
      <c r="GH401" s="677">
        <v>47.373694473</v>
      </c>
      <c r="GI401" s="677">
        <v>37.559882838189708</v>
      </c>
      <c r="GJ401" s="677">
        <v>99.400044857186941</v>
      </c>
      <c r="GK401" s="677">
        <v>85.940072304623357</v>
      </c>
      <c r="GL401" s="677">
        <v>41.014640372293314</v>
      </c>
      <c r="GM401" s="677">
        <v>44.784218966293324</v>
      </c>
      <c r="GN401" s="677">
        <v>11.333778128293314</v>
      </c>
      <c r="GO401" s="677">
        <v>98.7583319798009</v>
      </c>
      <c r="GP401" s="677">
        <v>24.197892101491309</v>
      </c>
      <c r="GQ401" s="677">
        <v>45.123040253739575</v>
      </c>
      <c r="GR401" s="677">
        <v>147.32418630337381</v>
      </c>
      <c r="GS401" s="677">
        <v>77.892570207755526</v>
      </c>
      <c r="GT401" s="677">
        <v>33.624900862422102</v>
      </c>
      <c r="GU401" s="677">
        <v>36.576551907000002</v>
      </c>
      <c r="GV401" s="677">
        <v>35.305396328</v>
      </c>
      <c r="GW401" s="677">
        <v>47.563737848999999</v>
      </c>
      <c r="GX401" s="677">
        <v>48.569047284</v>
      </c>
      <c r="GY401" s="677">
        <v>35.389751359999998</v>
      </c>
      <c r="GZ401" s="677">
        <v>22.782992631999999</v>
      </c>
      <c r="HA401" s="677">
        <v>104.73686457700001</v>
      </c>
      <c r="HB401" s="677">
        <v>104.506769373</v>
      </c>
      <c r="HC401" s="677">
        <v>55.870180664999999</v>
      </c>
      <c r="HD401" s="677">
        <v>55.033536943000001</v>
      </c>
      <c r="HE401" s="677">
        <v>55.544366477000011</v>
      </c>
      <c r="HF401" s="677">
        <v>55.319894487999989</v>
      </c>
      <c r="HG401" s="677">
        <v>43.695700043999999</v>
      </c>
      <c r="HH401" s="677">
        <v>67.604808276000014</v>
      </c>
      <c r="HI401" s="677">
        <v>41.524662079000002</v>
      </c>
      <c r="HJ401" s="677">
        <v>32.891966196999988</v>
      </c>
      <c r="HK401" s="677">
        <v>57.744617599000001</v>
      </c>
      <c r="HL401" s="677">
        <v>93.515291848999993</v>
      </c>
      <c r="HM401" s="677"/>
      <c r="HN401" s="680"/>
      <c r="KH401" s="682"/>
      <c r="KI401" s="680"/>
    </row>
    <row r="402" spans="1:295" s="681" customFormat="1" outlineLevel="1">
      <c r="A402" s="675" t="s">
        <v>923</v>
      </c>
      <c r="B402" s="675" t="s">
        <v>361</v>
      </c>
      <c r="C402" s="675"/>
      <c r="D402" s="1468" t="s">
        <v>569</v>
      </c>
      <c r="E402" s="677"/>
      <c r="F402" s="677"/>
      <c r="G402" s="677"/>
      <c r="H402" s="677"/>
      <c r="I402" s="677"/>
      <c r="J402" s="677"/>
      <c r="K402" s="677"/>
      <c r="L402" s="677"/>
      <c r="M402" s="677"/>
      <c r="N402" s="677"/>
      <c r="O402" s="677"/>
      <c r="P402" s="677"/>
      <c r="Q402" s="677"/>
      <c r="R402" s="677"/>
      <c r="S402" s="677"/>
      <c r="T402" s="677"/>
      <c r="U402" s="677"/>
      <c r="V402" s="677"/>
      <c r="W402" s="677"/>
      <c r="X402" s="677"/>
      <c r="Y402" s="677"/>
      <c r="Z402" s="677"/>
      <c r="AA402" s="677"/>
      <c r="AB402" s="677"/>
      <c r="AC402" s="677"/>
      <c r="AD402" s="677"/>
      <c r="AE402" s="677"/>
      <c r="AF402" s="677"/>
      <c r="AG402" s="677"/>
      <c r="AH402" s="677"/>
      <c r="AI402" s="677"/>
      <c r="AJ402" s="677"/>
      <c r="AK402" s="677"/>
      <c r="AL402" s="677"/>
      <c r="AM402" s="677"/>
      <c r="AN402" s="677"/>
      <c r="AO402" s="677"/>
      <c r="AP402" s="677"/>
      <c r="AQ402" s="677"/>
      <c r="AR402" s="677"/>
      <c r="AS402" s="677"/>
      <c r="AT402" s="677"/>
      <c r="AU402" s="677"/>
      <c r="AV402" s="677"/>
      <c r="AW402" s="677"/>
      <c r="AX402" s="677"/>
      <c r="AY402" s="677"/>
      <c r="AZ402" s="677"/>
      <c r="BA402" s="677"/>
      <c r="BB402" s="677"/>
      <c r="BC402" s="677"/>
      <c r="BD402" s="677"/>
      <c r="BE402" s="677"/>
      <c r="BF402" s="677"/>
      <c r="BG402" s="677">
        <v>3.1646682589999999</v>
      </c>
      <c r="BH402" s="677">
        <v>2.1216136630000002</v>
      </c>
      <c r="BI402" s="677">
        <v>2.3155693419999999</v>
      </c>
      <c r="BJ402" s="677">
        <v>2.5309561120000001</v>
      </c>
      <c r="BK402" s="677">
        <v>2.7737807399999999</v>
      </c>
      <c r="BL402" s="677">
        <v>1.5672233330000001</v>
      </c>
      <c r="BM402" s="677">
        <v>3.3278472560000001</v>
      </c>
      <c r="BN402" s="677">
        <v>2.5370519859999998</v>
      </c>
      <c r="BO402" s="677">
        <v>2.1932652959999999</v>
      </c>
      <c r="BP402" s="677">
        <v>3.4204437099999998</v>
      </c>
      <c r="BQ402" s="677">
        <v>2.7780433250000001</v>
      </c>
      <c r="BR402" s="677">
        <v>0.61276477799999995</v>
      </c>
      <c r="BS402" s="677">
        <v>5.1194473450000002</v>
      </c>
      <c r="BT402" s="677">
        <v>3.0308389149999999</v>
      </c>
      <c r="BU402" s="677">
        <v>2.544931402</v>
      </c>
      <c r="BV402" s="677">
        <v>5.5550273419999998</v>
      </c>
      <c r="BW402" s="677">
        <v>4.5210786729999999</v>
      </c>
      <c r="BX402" s="677">
        <v>2.167588388</v>
      </c>
      <c r="BY402" s="677">
        <v>3.5910185179999998</v>
      </c>
      <c r="BZ402" s="677">
        <v>5.9705719950000002</v>
      </c>
      <c r="CA402" s="677">
        <v>2.6081275690000001</v>
      </c>
      <c r="CB402" s="677">
        <v>8.3581914560000001</v>
      </c>
      <c r="CC402" s="677">
        <v>4.2095795059999999</v>
      </c>
      <c r="CD402" s="677">
        <v>0.76434555999999998</v>
      </c>
      <c r="CE402" s="678">
        <v>0</v>
      </c>
      <c r="CF402" s="677">
        <v>0.32088234199999999</v>
      </c>
      <c r="CG402" s="677">
        <v>0</v>
      </c>
      <c r="CH402" s="677">
        <v>0.3</v>
      </c>
      <c r="CI402" s="677">
        <v>0.31680000000000003</v>
      </c>
      <c r="CJ402" s="677">
        <v>0</v>
      </c>
      <c r="CK402" s="677">
        <v>0</v>
      </c>
      <c r="CL402" s="677">
        <v>0</v>
      </c>
      <c r="CM402" s="677">
        <v>0.226708194</v>
      </c>
      <c r="CN402" s="677">
        <v>0.71366432300000004</v>
      </c>
      <c r="CO402" s="677">
        <v>0.21346294199999999</v>
      </c>
      <c r="CP402" s="679">
        <v>0</v>
      </c>
      <c r="CQ402" s="677">
        <v>0.05</v>
      </c>
      <c r="CR402" s="677">
        <v>0</v>
      </c>
      <c r="CS402" s="677">
        <v>0.21818599999999999</v>
      </c>
      <c r="CT402" s="677">
        <v>0</v>
      </c>
      <c r="CU402" s="677">
        <v>0.2</v>
      </c>
      <c r="CV402" s="677">
        <v>9.1160000000000008E-3</v>
      </c>
      <c r="CW402" s="677">
        <v>5.1250000000000002E-3</v>
      </c>
      <c r="CX402" s="677">
        <v>0</v>
      </c>
      <c r="CY402" s="677">
        <v>0.3</v>
      </c>
      <c r="CZ402" s="677">
        <v>0.61358199999999996</v>
      </c>
      <c r="DA402" s="677">
        <v>0.3</v>
      </c>
      <c r="DB402" s="1507">
        <v>0</v>
      </c>
      <c r="DC402" s="677">
        <v>0</v>
      </c>
      <c r="DD402" s="677">
        <v>0</v>
      </c>
      <c r="DE402" s="677">
        <v>0.6</v>
      </c>
      <c r="DF402" s="677">
        <v>0.3</v>
      </c>
      <c r="DG402" s="677">
        <v>0</v>
      </c>
      <c r="DH402" s="677">
        <v>0</v>
      </c>
      <c r="DI402" s="677">
        <v>0</v>
      </c>
      <c r="DJ402" s="677">
        <v>0.3</v>
      </c>
      <c r="DK402" s="677">
        <v>0.3</v>
      </c>
      <c r="DL402" s="677">
        <v>0</v>
      </c>
      <c r="DM402" s="677">
        <v>0.74068397699999999</v>
      </c>
      <c r="DN402" s="679">
        <v>0</v>
      </c>
      <c r="DO402" s="677">
        <v>0</v>
      </c>
      <c r="DP402" s="677">
        <v>0</v>
      </c>
      <c r="DQ402" s="677">
        <v>0</v>
      </c>
      <c r="DR402" s="677">
        <v>0</v>
      </c>
      <c r="DS402" s="677">
        <v>0</v>
      </c>
      <c r="DT402" s="677">
        <v>0</v>
      </c>
      <c r="DU402" s="677">
        <v>0</v>
      </c>
      <c r="DV402" s="677">
        <v>0</v>
      </c>
      <c r="DW402" s="677">
        <v>0</v>
      </c>
      <c r="DX402" s="677">
        <v>0</v>
      </c>
      <c r="DY402" s="677">
        <v>0</v>
      </c>
      <c r="DZ402" s="679">
        <v>0</v>
      </c>
      <c r="EA402" s="677">
        <v>0</v>
      </c>
      <c r="EB402" s="677">
        <v>0</v>
      </c>
      <c r="EC402" s="677">
        <v>0</v>
      </c>
      <c r="ED402" s="677">
        <v>0</v>
      </c>
      <c r="EE402" s="677">
        <v>0</v>
      </c>
      <c r="EF402" s="677">
        <v>0</v>
      </c>
      <c r="EG402" s="677">
        <v>0</v>
      </c>
      <c r="EH402" s="677">
        <v>0</v>
      </c>
      <c r="EI402" s="677">
        <v>0</v>
      </c>
      <c r="EJ402" s="677">
        <v>0</v>
      </c>
      <c r="EK402" s="677">
        <v>0</v>
      </c>
      <c r="EL402" s="679">
        <v>0</v>
      </c>
      <c r="EM402" s="677">
        <v>0</v>
      </c>
      <c r="EN402" s="677">
        <v>0</v>
      </c>
      <c r="EO402" s="677">
        <v>0</v>
      </c>
      <c r="EP402" s="677">
        <v>0</v>
      </c>
      <c r="EQ402" s="677">
        <v>0</v>
      </c>
      <c r="ER402" s="677">
        <v>0</v>
      </c>
      <c r="ES402" s="677">
        <v>0</v>
      </c>
      <c r="ET402" s="677">
        <v>0</v>
      </c>
      <c r="EU402" s="677">
        <v>0</v>
      </c>
      <c r="EV402" s="677">
        <v>0</v>
      </c>
      <c r="EW402" s="677">
        <v>0</v>
      </c>
      <c r="EX402" s="679">
        <v>0</v>
      </c>
      <c r="EY402" s="677">
        <v>0</v>
      </c>
      <c r="EZ402" s="677">
        <v>0</v>
      </c>
      <c r="FA402" s="677">
        <v>0</v>
      </c>
      <c r="FB402" s="677">
        <v>0</v>
      </c>
      <c r="FC402" s="677">
        <v>0</v>
      </c>
      <c r="FD402" s="677">
        <v>0</v>
      </c>
      <c r="FE402" s="677">
        <v>0</v>
      </c>
      <c r="FF402" s="677">
        <v>0</v>
      </c>
      <c r="FG402" s="677">
        <v>0</v>
      </c>
      <c r="FH402" s="677">
        <v>0</v>
      </c>
      <c r="FI402" s="677">
        <v>0</v>
      </c>
      <c r="FJ402" s="679">
        <v>6.978548</v>
      </c>
      <c r="FK402" s="677">
        <v>0</v>
      </c>
      <c r="FL402" s="677">
        <v>0</v>
      </c>
      <c r="FM402" s="677">
        <v>0</v>
      </c>
      <c r="FN402" s="677">
        <v>0</v>
      </c>
      <c r="FO402" s="677">
        <v>0</v>
      </c>
      <c r="FP402" s="677">
        <v>0</v>
      </c>
      <c r="FQ402" s="677">
        <v>0</v>
      </c>
      <c r="FR402" s="677">
        <v>0</v>
      </c>
      <c r="FS402" s="677">
        <v>2.9259699325000001</v>
      </c>
      <c r="FT402" s="677">
        <v>0</v>
      </c>
      <c r="FU402" s="677">
        <v>2.9259699325000001</v>
      </c>
      <c r="FV402" s="677">
        <v>0</v>
      </c>
      <c r="FW402" s="677">
        <v>0</v>
      </c>
      <c r="FX402" s="677">
        <v>0</v>
      </c>
      <c r="FY402" s="677">
        <v>1.3680000000000001</v>
      </c>
      <c r="FZ402" s="677">
        <v>0</v>
      </c>
      <c r="GA402" s="677">
        <v>0</v>
      </c>
      <c r="GB402" s="677">
        <v>1.3680000000000001</v>
      </c>
      <c r="GC402" s="677">
        <v>0</v>
      </c>
      <c r="GD402" s="677">
        <v>0</v>
      </c>
      <c r="GE402" s="677">
        <v>0</v>
      </c>
      <c r="GF402" s="677">
        <v>0</v>
      </c>
      <c r="GG402" s="677">
        <v>0</v>
      </c>
      <c r="GH402" s="677">
        <v>0</v>
      </c>
      <c r="GI402" s="677">
        <v>0</v>
      </c>
      <c r="GJ402" s="677">
        <v>0</v>
      </c>
      <c r="GK402" s="677">
        <v>0</v>
      </c>
      <c r="GL402" s="677">
        <v>0</v>
      </c>
      <c r="GM402" s="677">
        <v>0</v>
      </c>
      <c r="GN402" s="677">
        <v>0</v>
      </c>
      <c r="GO402" s="677">
        <v>0</v>
      </c>
      <c r="GP402" s="677">
        <v>0</v>
      </c>
      <c r="GQ402" s="677">
        <v>0</v>
      </c>
      <c r="GR402" s="677">
        <v>0</v>
      </c>
      <c r="GS402" s="677">
        <v>0</v>
      </c>
      <c r="GT402" s="677">
        <v>0</v>
      </c>
      <c r="GU402" s="677">
        <v>0</v>
      </c>
      <c r="GV402" s="677">
        <v>0</v>
      </c>
      <c r="GW402" s="677">
        <v>0</v>
      </c>
      <c r="GX402" s="677">
        <v>0</v>
      </c>
      <c r="GY402" s="677">
        <v>0</v>
      </c>
      <c r="GZ402" s="677">
        <v>0</v>
      </c>
      <c r="HA402" s="677">
        <v>0</v>
      </c>
      <c r="HB402" s="677">
        <v>0</v>
      </c>
      <c r="HC402" s="677">
        <v>0</v>
      </c>
      <c r="HD402" s="677">
        <v>0</v>
      </c>
      <c r="HE402" s="677">
        <v>0</v>
      </c>
      <c r="HF402" s="677">
        <v>0</v>
      </c>
      <c r="HG402" s="677">
        <v>0</v>
      </c>
      <c r="HH402" s="677">
        <v>0</v>
      </c>
      <c r="HI402" s="677">
        <v>0</v>
      </c>
      <c r="HJ402" s="677">
        <v>0</v>
      </c>
      <c r="HK402" s="677">
        <v>0</v>
      </c>
      <c r="HL402" s="677">
        <v>0</v>
      </c>
      <c r="HM402" s="677"/>
      <c r="HN402" s="680"/>
      <c r="KH402" s="682"/>
      <c r="KI402" s="680"/>
    </row>
    <row r="403" spans="1:295" s="681" customFormat="1" outlineLevel="1">
      <c r="A403" s="675" t="s">
        <v>923</v>
      </c>
      <c r="B403" s="675" t="s">
        <v>361</v>
      </c>
      <c r="C403" s="675"/>
      <c r="D403" s="1468" t="s">
        <v>570</v>
      </c>
      <c r="E403" s="677"/>
      <c r="F403" s="677"/>
      <c r="G403" s="677"/>
      <c r="H403" s="677"/>
      <c r="I403" s="677"/>
      <c r="J403" s="677"/>
      <c r="K403" s="677"/>
      <c r="L403" s="677"/>
      <c r="M403" s="677"/>
      <c r="N403" s="677"/>
      <c r="O403" s="677"/>
      <c r="P403" s="677"/>
      <c r="Q403" s="677"/>
      <c r="R403" s="677"/>
      <c r="S403" s="677"/>
      <c r="T403" s="677"/>
      <c r="U403" s="677"/>
      <c r="V403" s="677"/>
      <c r="W403" s="677"/>
      <c r="X403" s="677"/>
      <c r="Y403" s="677"/>
      <c r="Z403" s="677"/>
      <c r="AA403" s="677"/>
      <c r="AB403" s="677"/>
      <c r="AC403" s="677"/>
      <c r="AD403" s="677"/>
      <c r="AE403" s="677"/>
      <c r="AF403" s="677"/>
      <c r="AG403" s="677"/>
      <c r="AH403" s="677"/>
      <c r="AI403" s="677"/>
      <c r="AJ403" s="677"/>
      <c r="AK403" s="677"/>
      <c r="AL403" s="677"/>
      <c r="AM403" s="677"/>
      <c r="AN403" s="677"/>
      <c r="AO403" s="677"/>
      <c r="AP403" s="677"/>
      <c r="AQ403" s="677"/>
      <c r="AR403" s="677"/>
      <c r="AS403" s="677"/>
      <c r="AT403" s="677"/>
      <c r="AU403" s="677"/>
      <c r="AV403" s="677"/>
      <c r="AW403" s="677"/>
      <c r="AX403" s="677"/>
      <c r="AY403" s="677"/>
      <c r="AZ403" s="677"/>
      <c r="BA403" s="677"/>
      <c r="BB403" s="677"/>
      <c r="BC403" s="677"/>
      <c r="BD403" s="677"/>
      <c r="BE403" s="677"/>
      <c r="BF403" s="677"/>
      <c r="BG403" s="677">
        <v>0.72797558612000002</v>
      </c>
      <c r="BH403" s="677">
        <v>3.9888344401999998</v>
      </c>
      <c r="BI403" s="677">
        <v>1.166327176</v>
      </c>
      <c r="BJ403" s="677">
        <v>4.5365377540000003</v>
      </c>
      <c r="BK403" s="677">
        <v>2.5838418239999998</v>
      </c>
      <c r="BL403" s="677">
        <v>2.7104474930000002</v>
      </c>
      <c r="BM403" s="677">
        <v>3.7477305379999999</v>
      </c>
      <c r="BN403" s="677">
        <v>3.0145003730000002</v>
      </c>
      <c r="BO403" s="677">
        <v>1.9164415459999999</v>
      </c>
      <c r="BP403" s="677">
        <v>4.6199256719499999</v>
      </c>
      <c r="BQ403" s="677">
        <v>1.9218507739999999</v>
      </c>
      <c r="BR403" s="677">
        <v>0.36023317574000002</v>
      </c>
      <c r="BS403" s="677">
        <v>2.9701385550000001</v>
      </c>
      <c r="BT403" s="677">
        <v>3.0417317160000001</v>
      </c>
      <c r="BU403" s="677">
        <v>0.88294982399999999</v>
      </c>
      <c r="BV403" s="677">
        <v>4.5379594660000002</v>
      </c>
      <c r="BW403" s="677">
        <v>2.1944629180000002</v>
      </c>
      <c r="BX403" s="677">
        <v>3.2697257560000001</v>
      </c>
      <c r="BY403" s="677">
        <v>1.815874443</v>
      </c>
      <c r="BZ403" s="677">
        <v>3.0689477100000002</v>
      </c>
      <c r="CA403" s="677">
        <v>2.213082714</v>
      </c>
      <c r="CB403" s="677">
        <v>4.3015471639999996</v>
      </c>
      <c r="CC403" s="677">
        <v>2.2333725969999998</v>
      </c>
      <c r="CD403" s="677">
        <v>0.85199352900000003</v>
      </c>
      <c r="CE403" s="678">
        <v>0</v>
      </c>
      <c r="CF403" s="677">
        <v>0</v>
      </c>
      <c r="CG403" s="677">
        <v>0</v>
      </c>
      <c r="CH403" s="677">
        <v>0</v>
      </c>
      <c r="CI403" s="677">
        <v>0</v>
      </c>
      <c r="CJ403" s="677">
        <v>0</v>
      </c>
      <c r="CK403" s="677">
        <v>0</v>
      </c>
      <c r="CL403" s="677">
        <v>0</v>
      </c>
      <c r="CM403" s="677">
        <v>0</v>
      </c>
      <c r="CN403" s="677">
        <v>0</v>
      </c>
      <c r="CO403" s="677">
        <v>0</v>
      </c>
      <c r="CP403" s="679">
        <v>0</v>
      </c>
      <c r="CQ403" s="677">
        <v>0</v>
      </c>
      <c r="CR403" s="677">
        <v>0</v>
      </c>
      <c r="CS403" s="677">
        <v>0</v>
      </c>
      <c r="CT403" s="677">
        <v>0</v>
      </c>
      <c r="CU403" s="677">
        <v>0</v>
      </c>
      <c r="CV403" s="677">
        <v>0</v>
      </c>
      <c r="CW403" s="677">
        <v>0</v>
      </c>
      <c r="CX403" s="677">
        <v>0</v>
      </c>
      <c r="CY403" s="677">
        <v>0</v>
      </c>
      <c r="CZ403" s="677">
        <v>0</v>
      </c>
      <c r="DA403" s="677">
        <v>0</v>
      </c>
      <c r="DB403" s="1507">
        <v>0</v>
      </c>
      <c r="DC403" s="677">
        <v>0</v>
      </c>
      <c r="DD403" s="677">
        <v>0</v>
      </c>
      <c r="DE403" s="677">
        <v>0</v>
      </c>
      <c r="DF403" s="677">
        <v>0</v>
      </c>
      <c r="DG403" s="677">
        <v>0</v>
      </c>
      <c r="DH403" s="677">
        <v>0</v>
      </c>
      <c r="DI403" s="677">
        <v>0</v>
      </c>
      <c r="DJ403" s="677">
        <v>0</v>
      </c>
      <c r="DK403" s="677">
        <v>0</v>
      </c>
      <c r="DL403" s="677">
        <v>0</v>
      </c>
      <c r="DM403" s="677">
        <v>0</v>
      </c>
      <c r="DN403" s="679">
        <v>0</v>
      </c>
      <c r="DO403" s="677">
        <v>0</v>
      </c>
      <c r="DP403" s="677">
        <v>0.90681567799999996</v>
      </c>
      <c r="DQ403" s="677">
        <v>0.38348786499999998</v>
      </c>
      <c r="DR403" s="677">
        <v>0.33097658699999999</v>
      </c>
      <c r="DS403" s="677">
        <v>1.125692345</v>
      </c>
      <c r="DT403" s="677">
        <v>0.68547370600000002</v>
      </c>
      <c r="DU403" s="677">
        <v>1.83866822</v>
      </c>
      <c r="DV403" s="677">
        <v>0.895850076</v>
      </c>
      <c r="DW403" s="677">
        <v>0.67624568200000001</v>
      </c>
      <c r="DX403" s="677">
        <v>0</v>
      </c>
      <c r="DY403" s="677">
        <v>0.69160871599999996</v>
      </c>
      <c r="DZ403" s="679">
        <v>0.39572780299999999</v>
      </c>
      <c r="EA403" s="677">
        <v>0</v>
      </c>
      <c r="EB403" s="677">
        <v>2.0503156069999999</v>
      </c>
      <c r="EC403" s="677">
        <v>0.351680628</v>
      </c>
      <c r="ED403" s="677">
        <v>1.0221471120000001</v>
      </c>
      <c r="EE403" s="677">
        <v>0.18429639</v>
      </c>
      <c r="EF403" s="677">
        <v>0.25678657999999999</v>
      </c>
      <c r="EG403" s="677">
        <v>1.1779829749999999</v>
      </c>
      <c r="EH403" s="677">
        <v>0.61263820300000005</v>
      </c>
      <c r="EI403" s="677">
        <v>0.68120150300000004</v>
      </c>
      <c r="EJ403" s="677">
        <v>0.61466597499999998</v>
      </c>
      <c r="EK403" s="677">
        <v>1.5176405449999999</v>
      </c>
      <c r="EL403" s="679">
        <v>0.21711618699999999</v>
      </c>
      <c r="EM403" s="677">
        <v>0</v>
      </c>
      <c r="EN403" s="677">
        <v>0</v>
      </c>
      <c r="EO403" s="677">
        <v>0</v>
      </c>
      <c r="EP403" s="677">
        <v>0</v>
      </c>
      <c r="EQ403" s="677">
        <v>0</v>
      </c>
      <c r="ER403" s="677">
        <v>0</v>
      </c>
      <c r="ES403" s="677">
        <v>0</v>
      </c>
      <c r="ET403" s="677">
        <v>0</v>
      </c>
      <c r="EU403" s="677">
        <v>0</v>
      </c>
      <c r="EV403" s="677">
        <v>0</v>
      </c>
      <c r="EW403" s="677">
        <v>0</v>
      </c>
      <c r="EX403" s="679">
        <v>0</v>
      </c>
      <c r="EY403" s="677">
        <v>0</v>
      </c>
      <c r="EZ403" s="677">
        <v>0</v>
      </c>
      <c r="FA403" s="677">
        <v>0</v>
      </c>
      <c r="FB403" s="677">
        <v>0</v>
      </c>
      <c r="FC403" s="677">
        <v>0</v>
      </c>
      <c r="FD403" s="677">
        <v>0</v>
      </c>
      <c r="FE403" s="677">
        <v>0</v>
      </c>
      <c r="FF403" s="677">
        <v>0</v>
      </c>
      <c r="FG403" s="677">
        <v>0</v>
      </c>
      <c r="FH403" s="677">
        <v>0</v>
      </c>
      <c r="FI403" s="677">
        <v>0</v>
      </c>
      <c r="FJ403" s="679">
        <v>0</v>
      </c>
      <c r="FK403" s="677">
        <v>0</v>
      </c>
      <c r="FL403" s="677">
        <v>0</v>
      </c>
      <c r="FM403" s="677">
        <v>0</v>
      </c>
      <c r="FN403" s="677">
        <v>0</v>
      </c>
      <c r="FO403" s="677">
        <v>0</v>
      </c>
      <c r="FP403" s="677">
        <v>0</v>
      </c>
      <c r="FQ403" s="677">
        <v>0</v>
      </c>
      <c r="FR403" s="677">
        <v>0</v>
      </c>
      <c r="FS403" s="677">
        <v>0</v>
      </c>
      <c r="FT403" s="677">
        <v>0</v>
      </c>
      <c r="FU403" s="677">
        <v>0</v>
      </c>
      <c r="FV403" s="677">
        <v>0</v>
      </c>
      <c r="FW403" s="677">
        <v>0</v>
      </c>
      <c r="FX403" s="677">
        <v>0</v>
      </c>
      <c r="FY403" s="677">
        <v>0</v>
      </c>
      <c r="FZ403" s="677">
        <v>0</v>
      </c>
      <c r="GA403" s="677">
        <v>0</v>
      </c>
      <c r="GB403" s="677">
        <v>0</v>
      </c>
      <c r="GC403" s="677">
        <v>0</v>
      </c>
      <c r="GD403" s="677">
        <v>0</v>
      </c>
      <c r="GE403" s="677">
        <v>0</v>
      </c>
      <c r="GF403" s="677">
        <v>0</v>
      </c>
      <c r="GG403" s="677">
        <v>0</v>
      </c>
      <c r="GH403" s="677">
        <v>0</v>
      </c>
      <c r="GI403" s="677">
        <v>0</v>
      </c>
      <c r="GJ403" s="677">
        <v>0</v>
      </c>
      <c r="GK403" s="677">
        <v>0</v>
      </c>
      <c r="GL403" s="677">
        <v>0</v>
      </c>
      <c r="GM403" s="677">
        <v>0</v>
      </c>
      <c r="GN403" s="677">
        <v>0</v>
      </c>
      <c r="GO403" s="677">
        <v>0</v>
      </c>
      <c r="GP403" s="677">
        <v>0</v>
      </c>
      <c r="GQ403" s="677">
        <v>0</v>
      </c>
      <c r="GR403" s="677">
        <v>0</v>
      </c>
      <c r="GS403" s="677">
        <v>0</v>
      </c>
      <c r="GT403" s="677">
        <v>0</v>
      </c>
      <c r="GU403" s="677">
        <v>0</v>
      </c>
      <c r="GV403" s="677">
        <v>0</v>
      </c>
      <c r="GW403" s="677">
        <v>0</v>
      </c>
      <c r="GX403" s="677">
        <v>0</v>
      </c>
      <c r="GY403" s="677">
        <v>0</v>
      </c>
      <c r="GZ403" s="677">
        <v>0</v>
      </c>
      <c r="HA403" s="677">
        <v>0</v>
      </c>
      <c r="HB403" s="677">
        <v>0</v>
      </c>
      <c r="HC403" s="677">
        <v>0</v>
      </c>
      <c r="HD403" s="677">
        <v>0</v>
      </c>
      <c r="HE403" s="677">
        <v>0</v>
      </c>
      <c r="HF403" s="677">
        <v>0</v>
      </c>
      <c r="HG403" s="677">
        <v>0</v>
      </c>
      <c r="HH403" s="677">
        <v>0</v>
      </c>
      <c r="HI403" s="677">
        <v>0</v>
      </c>
      <c r="HJ403" s="677">
        <v>0</v>
      </c>
      <c r="HK403" s="677">
        <v>0</v>
      </c>
      <c r="HL403" s="677">
        <v>0</v>
      </c>
      <c r="HM403" s="677"/>
      <c r="HN403" s="680"/>
      <c r="KH403" s="682"/>
      <c r="KI403" s="680"/>
    </row>
    <row r="404" spans="1:295" s="681" customFormat="1" outlineLevel="1">
      <c r="A404" s="675" t="s">
        <v>923</v>
      </c>
      <c r="B404" s="675" t="s">
        <v>361</v>
      </c>
      <c r="C404" s="675"/>
      <c r="D404" s="1468" t="s">
        <v>571</v>
      </c>
      <c r="E404" s="677"/>
      <c r="F404" s="677"/>
      <c r="G404" s="677"/>
      <c r="H404" s="677"/>
      <c r="I404" s="677"/>
      <c r="J404" s="677"/>
      <c r="K404" s="677"/>
      <c r="L404" s="677"/>
      <c r="M404" s="677"/>
      <c r="N404" s="677"/>
      <c r="O404" s="677"/>
      <c r="P404" s="677"/>
      <c r="Q404" s="677"/>
      <c r="R404" s="677"/>
      <c r="S404" s="677"/>
      <c r="T404" s="677"/>
      <c r="U404" s="677"/>
      <c r="V404" s="677"/>
      <c r="W404" s="677"/>
      <c r="X404" s="677"/>
      <c r="Y404" s="677"/>
      <c r="Z404" s="677"/>
      <c r="AA404" s="677"/>
      <c r="AB404" s="677"/>
      <c r="AC404" s="677"/>
      <c r="AD404" s="677"/>
      <c r="AE404" s="677"/>
      <c r="AF404" s="677"/>
      <c r="AG404" s="677"/>
      <c r="AH404" s="677"/>
      <c r="AI404" s="677"/>
      <c r="AJ404" s="677"/>
      <c r="AK404" s="677"/>
      <c r="AL404" s="677"/>
      <c r="AM404" s="677"/>
      <c r="AN404" s="677"/>
      <c r="AO404" s="677"/>
      <c r="AP404" s="677"/>
      <c r="AQ404" s="677"/>
      <c r="AR404" s="677"/>
      <c r="AS404" s="677"/>
      <c r="AT404" s="677"/>
      <c r="AU404" s="677"/>
      <c r="AV404" s="677"/>
      <c r="AW404" s="677"/>
      <c r="AX404" s="677"/>
      <c r="AY404" s="677"/>
      <c r="AZ404" s="677"/>
      <c r="BA404" s="677"/>
      <c r="BB404" s="677"/>
      <c r="BC404" s="677"/>
      <c r="BD404" s="677"/>
      <c r="BE404" s="677"/>
      <c r="BF404" s="677"/>
      <c r="BG404" s="677">
        <v>0.81184859872000004</v>
      </c>
      <c r="BH404" s="677">
        <v>2.8676003086799997</v>
      </c>
      <c r="BI404" s="677">
        <v>0.91248093966999999</v>
      </c>
      <c r="BJ404" s="677">
        <v>2.400164277</v>
      </c>
      <c r="BK404" s="677">
        <v>1.188430484</v>
      </c>
      <c r="BL404" s="677">
        <v>0.67420349700000004</v>
      </c>
      <c r="BM404" s="677">
        <v>2.1732266076999998</v>
      </c>
      <c r="BN404" s="677">
        <v>1.29983316577</v>
      </c>
      <c r="BO404" s="677">
        <v>1.43837181542</v>
      </c>
      <c r="BP404" s="677">
        <v>5.7028014735100001</v>
      </c>
      <c r="BQ404" s="677">
        <v>3.2707650922</v>
      </c>
      <c r="BR404" s="677">
        <v>1.12417286513</v>
      </c>
      <c r="BS404" s="677">
        <v>3.0876783936999996</v>
      </c>
      <c r="BT404" s="677">
        <v>1.88009708381</v>
      </c>
      <c r="BU404" s="677">
        <v>1.70990795505</v>
      </c>
      <c r="BV404" s="677">
        <v>2.55588468396</v>
      </c>
      <c r="BW404" s="677">
        <v>2.4350349049000002</v>
      </c>
      <c r="BX404" s="677">
        <v>1.5272170220899999</v>
      </c>
      <c r="BY404" s="677">
        <v>2.9031365064000001</v>
      </c>
      <c r="BZ404" s="677">
        <v>6.4055732796899996</v>
      </c>
      <c r="CA404" s="677">
        <v>1.88694791103</v>
      </c>
      <c r="CB404" s="677">
        <v>3.2695313711700003</v>
      </c>
      <c r="CC404" s="677">
        <v>5.2475765770000002</v>
      </c>
      <c r="CD404" s="677">
        <v>1.71546534868</v>
      </c>
      <c r="CE404" s="678">
        <v>0</v>
      </c>
      <c r="CF404" s="677">
        <v>0</v>
      </c>
      <c r="CG404" s="677">
        <v>0</v>
      </c>
      <c r="CH404" s="677">
        <v>0</v>
      </c>
      <c r="CI404" s="677">
        <v>0</v>
      </c>
      <c r="CJ404" s="677">
        <v>0</v>
      </c>
      <c r="CK404" s="677">
        <v>0</v>
      </c>
      <c r="CL404" s="677">
        <v>0</v>
      </c>
      <c r="CM404" s="677">
        <v>0.2542954</v>
      </c>
      <c r="CN404" s="677">
        <v>0.26661556800000002</v>
      </c>
      <c r="CO404" s="677">
        <v>0.22116103400000001</v>
      </c>
      <c r="CP404" s="679">
        <v>1.035740576</v>
      </c>
      <c r="CQ404" s="677">
        <v>0</v>
      </c>
      <c r="CR404" s="677">
        <v>4.0655023459999997</v>
      </c>
      <c r="CS404" s="677">
        <v>0</v>
      </c>
      <c r="CT404" s="677">
        <v>0</v>
      </c>
      <c r="CU404" s="677">
        <v>0</v>
      </c>
      <c r="CV404" s="677">
        <v>0</v>
      </c>
      <c r="CW404" s="677">
        <v>0</v>
      </c>
      <c r="CX404" s="677">
        <v>0</v>
      </c>
      <c r="CY404" s="677">
        <v>0</v>
      </c>
      <c r="CZ404" s="677">
        <v>0</v>
      </c>
      <c r="DA404" s="677">
        <v>0</v>
      </c>
      <c r="DB404" s="1507">
        <v>0</v>
      </c>
      <c r="DC404" s="677">
        <v>0</v>
      </c>
      <c r="DD404" s="677">
        <v>0.797263889</v>
      </c>
      <c r="DE404" s="677">
        <v>0.474702024</v>
      </c>
      <c r="DF404" s="677">
        <v>0.50410943100000005</v>
      </c>
      <c r="DG404" s="677">
        <v>1.75753563</v>
      </c>
      <c r="DH404" s="677">
        <v>1.4217011369999999</v>
      </c>
      <c r="DI404" s="677">
        <v>1.3901956259999999</v>
      </c>
      <c r="DJ404" s="677">
        <v>0.49473200699999997</v>
      </c>
      <c r="DK404" s="677">
        <v>2.1810115209999998</v>
      </c>
      <c r="DL404" s="677">
        <v>9.7115288999999994E-2</v>
      </c>
      <c r="DM404" s="677">
        <v>0.92243837299999998</v>
      </c>
      <c r="DN404" s="679">
        <v>0.71804074299999998</v>
      </c>
      <c r="DO404" s="677">
        <v>0</v>
      </c>
      <c r="DP404" s="677">
        <v>0</v>
      </c>
      <c r="DQ404" s="677">
        <v>0</v>
      </c>
      <c r="DR404" s="677">
        <v>0</v>
      </c>
      <c r="DS404" s="677">
        <v>0</v>
      </c>
      <c r="DT404" s="677">
        <v>0</v>
      </c>
      <c r="DU404" s="677">
        <v>0.234643296</v>
      </c>
      <c r="DV404" s="677">
        <v>0</v>
      </c>
      <c r="DW404" s="677">
        <v>0</v>
      </c>
      <c r="DX404" s="677">
        <v>0</v>
      </c>
      <c r="DY404" s="677">
        <v>3.9107216E-2</v>
      </c>
      <c r="DZ404" s="679">
        <v>0</v>
      </c>
      <c r="EA404" s="677">
        <v>0</v>
      </c>
      <c r="EB404" s="677">
        <v>0</v>
      </c>
      <c r="EC404" s="677">
        <v>0</v>
      </c>
      <c r="ED404" s="677">
        <v>5.0789550000000003E-2</v>
      </c>
      <c r="EE404" s="677">
        <v>0</v>
      </c>
      <c r="EF404" s="677">
        <v>0</v>
      </c>
      <c r="EG404" s="677">
        <v>0</v>
      </c>
      <c r="EH404" s="677">
        <v>0</v>
      </c>
      <c r="EI404" s="677">
        <v>0</v>
      </c>
      <c r="EJ404" s="677">
        <v>0</v>
      </c>
      <c r="EK404" s="677">
        <v>0</v>
      </c>
      <c r="EL404" s="679">
        <v>0</v>
      </c>
      <c r="EM404" s="677">
        <v>0</v>
      </c>
      <c r="EN404" s="677">
        <v>2.1474258289999999</v>
      </c>
      <c r="EO404" s="677">
        <v>1.297912618</v>
      </c>
      <c r="EP404" s="677">
        <v>1.7814102860000001</v>
      </c>
      <c r="EQ404" s="677">
        <v>0.91042977999999997</v>
      </c>
      <c r="ER404" s="677">
        <v>0.25753992399999998</v>
      </c>
      <c r="ES404" s="677">
        <v>1.526749642</v>
      </c>
      <c r="ET404" s="677">
        <v>1.4096522309999999</v>
      </c>
      <c r="EU404" s="677">
        <v>0.74918174699999995</v>
      </c>
      <c r="EV404" s="677">
        <v>2.6962906109999998</v>
      </c>
      <c r="EW404" s="677">
        <v>3.3346985710000001</v>
      </c>
      <c r="EX404" s="679">
        <v>0.19004532199999999</v>
      </c>
      <c r="EY404" s="677">
        <v>0</v>
      </c>
      <c r="EZ404" s="677">
        <v>1.1569729870000001</v>
      </c>
      <c r="FA404" s="677">
        <v>0.97422186200000005</v>
      </c>
      <c r="FB404" s="677">
        <v>3.3418907450000002</v>
      </c>
      <c r="FC404" s="677">
        <v>2.8252603459999999</v>
      </c>
      <c r="FD404" s="677">
        <v>0.70362932600000005</v>
      </c>
      <c r="FE404" s="677">
        <v>0.75011388099999998</v>
      </c>
      <c r="FF404" s="677">
        <v>0.234275123</v>
      </c>
      <c r="FG404" s="677">
        <v>0.20701749</v>
      </c>
      <c r="FH404" s="677">
        <v>0.34473253999999998</v>
      </c>
      <c r="FI404" s="677">
        <v>2.1641653459999999</v>
      </c>
      <c r="FJ404" s="679">
        <v>0.46451168500000001</v>
      </c>
      <c r="FK404" s="677">
        <v>1.3891765890000001</v>
      </c>
      <c r="FL404" s="677">
        <v>3.5004572999999997E-2</v>
      </c>
      <c r="FM404" s="677">
        <v>0.63186247100000004</v>
      </c>
      <c r="FN404" s="677">
        <v>1.5151116259999999</v>
      </c>
      <c r="FO404" s="677">
        <v>2.5331835659999999</v>
      </c>
      <c r="FP404" s="677">
        <v>0.92782329500000005</v>
      </c>
      <c r="FQ404" s="677">
        <v>0</v>
      </c>
      <c r="FR404" s="677">
        <v>0</v>
      </c>
      <c r="FS404" s="677">
        <v>0</v>
      </c>
      <c r="FT404" s="677">
        <v>0</v>
      </c>
      <c r="FU404" s="677">
        <v>0</v>
      </c>
      <c r="FV404" s="677">
        <v>0</v>
      </c>
      <c r="FW404" s="677">
        <v>0</v>
      </c>
      <c r="FX404" s="677">
        <v>0</v>
      </c>
      <c r="FY404" s="677">
        <v>0</v>
      </c>
      <c r="FZ404" s="677">
        <v>0</v>
      </c>
      <c r="GA404" s="677">
        <v>0</v>
      </c>
      <c r="GB404" s="677">
        <v>0</v>
      </c>
      <c r="GC404" s="677">
        <v>0</v>
      </c>
      <c r="GD404" s="677">
        <v>0</v>
      </c>
      <c r="GE404" s="677">
        <v>0</v>
      </c>
      <c r="GF404" s="677">
        <v>0</v>
      </c>
      <c r="GG404" s="677">
        <v>0</v>
      </c>
      <c r="GH404" s="677">
        <v>0</v>
      </c>
      <c r="GI404" s="677">
        <v>0</v>
      </c>
      <c r="GJ404" s="677">
        <v>0</v>
      </c>
      <c r="GK404" s="677">
        <v>0</v>
      </c>
      <c r="GL404" s="677">
        <v>0</v>
      </c>
      <c r="GM404" s="677">
        <v>0</v>
      </c>
      <c r="GN404" s="677">
        <v>0</v>
      </c>
      <c r="GO404" s="677">
        <v>0</v>
      </c>
      <c r="GP404" s="677">
        <v>0</v>
      </c>
      <c r="GQ404" s="677">
        <v>0</v>
      </c>
      <c r="GR404" s="677">
        <v>0</v>
      </c>
      <c r="GS404" s="677">
        <v>0</v>
      </c>
      <c r="GT404" s="677">
        <v>0</v>
      </c>
      <c r="GU404" s="677">
        <v>0</v>
      </c>
      <c r="GV404" s="677">
        <v>0</v>
      </c>
      <c r="GW404" s="677">
        <v>0</v>
      </c>
      <c r="GX404" s="677">
        <v>0</v>
      </c>
      <c r="GY404" s="677">
        <v>0</v>
      </c>
      <c r="GZ404" s="677">
        <v>0</v>
      </c>
      <c r="HA404" s="677">
        <v>0</v>
      </c>
      <c r="HB404" s="677">
        <v>0</v>
      </c>
      <c r="HC404" s="677">
        <v>0</v>
      </c>
      <c r="HD404" s="677">
        <v>0</v>
      </c>
      <c r="HE404" s="677">
        <v>0</v>
      </c>
      <c r="HF404" s="677">
        <v>0</v>
      </c>
      <c r="HG404" s="677">
        <v>0</v>
      </c>
      <c r="HH404" s="677">
        <v>0</v>
      </c>
      <c r="HI404" s="677">
        <v>0</v>
      </c>
      <c r="HJ404" s="677">
        <v>0</v>
      </c>
      <c r="HK404" s="677">
        <v>0</v>
      </c>
      <c r="HL404" s="677">
        <v>0</v>
      </c>
      <c r="HM404" s="677"/>
      <c r="HN404" s="680"/>
      <c r="KH404" s="682"/>
      <c r="KI404" s="680"/>
    </row>
    <row r="405" spans="1:295" s="681" customFormat="1" outlineLevel="1">
      <c r="A405" s="675"/>
      <c r="B405" s="675"/>
      <c r="C405" s="675"/>
      <c r="D405" s="1466"/>
      <c r="E405" s="677"/>
      <c r="F405" s="677"/>
      <c r="G405" s="677"/>
      <c r="H405" s="677"/>
      <c r="I405" s="677"/>
      <c r="J405" s="677"/>
      <c r="K405" s="677"/>
      <c r="L405" s="677"/>
      <c r="M405" s="677"/>
      <c r="N405" s="677"/>
      <c r="O405" s="677"/>
      <c r="P405" s="677"/>
      <c r="Q405" s="677"/>
      <c r="R405" s="677"/>
      <c r="S405" s="677"/>
      <c r="T405" s="677"/>
      <c r="U405" s="677"/>
      <c r="V405" s="677"/>
      <c r="W405" s="677"/>
      <c r="X405" s="677"/>
      <c r="Y405" s="677"/>
      <c r="Z405" s="677"/>
      <c r="AA405" s="677"/>
      <c r="AB405" s="677"/>
      <c r="AC405" s="677"/>
      <c r="AD405" s="677"/>
      <c r="AE405" s="677"/>
      <c r="AF405" s="677"/>
      <c r="AG405" s="677"/>
      <c r="AH405" s="677"/>
      <c r="AI405" s="677"/>
      <c r="AJ405" s="677"/>
      <c r="AK405" s="677"/>
      <c r="AL405" s="677"/>
      <c r="AM405" s="677"/>
      <c r="AN405" s="677"/>
      <c r="AO405" s="677"/>
      <c r="AP405" s="677"/>
      <c r="AQ405" s="677"/>
      <c r="AR405" s="677"/>
      <c r="AS405" s="677"/>
      <c r="AT405" s="677"/>
      <c r="AU405" s="677"/>
      <c r="AV405" s="677"/>
      <c r="AW405" s="677"/>
      <c r="AX405" s="677"/>
      <c r="AY405" s="677"/>
      <c r="AZ405" s="677"/>
      <c r="BA405" s="677"/>
      <c r="BB405" s="677"/>
      <c r="BC405" s="677"/>
      <c r="BD405" s="677"/>
      <c r="BE405" s="677"/>
      <c r="BF405" s="677"/>
      <c r="BG405" s="677"/>
      <c r="BH405" s="677"/>
      <c r="BI405" s="677"/>
      <c r="BJ405" s="677"/>
      <c r="BK405" s="677"/>
      <c r="BL405" s="677"/>
      <c r="BM405" s="677"/>
      <c r="BN405" s="677"/>
      <c r="BO405" s="677"/>
      <c r="BP405" s="677"/>
      <c r="BQ405" s="677"/>
      <c r="BR405" s="677"/>
      <c r="BS405" s="677"/>
      <c r="BT405" s="677"/>
      <c r="BU405" s="677"/>
      <c r="BV405" s="677"/>
      <c r="BW405" s="677"/>
      <c r="BX405" s="677"/>
      <c r="BY405" s="677"/>
      <c r="BZ405" s="677"/>
      <c r="CA405" s="677"/>
      <c r="CB405" s="677"/>
      <c r="CC405" s="677"/>
      <c r="CD405" s="677"/>
      <c r="CE405" s="678"/>
      <c r="CF405" s="677"/>
      <c r="CG405" s="677"/>
      <c r="CH405" s="677"/>
      <c r="CI405" s="677"/>
      <c r="CJ405" s="677"/>
      <c r="CK405" s="677"/>
      <c r="CL405" s="677"/>
      <c r="CM405" s="677"/>
      <c r="CN405" s="677"/>
      <c r="CO405" s="677"/>
      <c r="CP405" s="679"/>
      <c r="CQ405" s="677"/>
      <c r="CR405" s="677"/>
      <c r="CS405" s="677"/>
      <c r="CT405" s="677"/>
      <c r="CU405" s="677"/>
      <c r="CV405" s="677"/>
      <c r="CW405" s="677"/>
      <c r="CX405" s="677"/>
      <c r="CY405" s="677"/>
      <c r="CZ405" s="677"/>
      <c r="DA405" s="677"/>
      <c r="DB405" s="1507"/>
      <c r="DC405" s="677"/>
      <c r="DD405" s="677"/>
      <c r="DE405" s="677"/>
      <c r="DF405" s="677"/>
      <c r="DG405" s="677"/>
      <c r="DH405" s="677"/>
      <c r="DI405" s="677"/>
      <c r="DJ405" s="677"/>
      <c r="DK405" s="677"/>
      <c r="DL405" s="677"/>
      <c r="DM405" s="677"/>
      <c r="DN405" s="679"/>
      <c r="DO405" s="677"/>
      <c r="DP405" s="677"/>
      <c r="DQ405" s="677"/>
      <c r="DR405" s="677"/>
      <c r="DS405" s="677"/>
      <c r="DT405" s="677"/>
      <c r="DU405" s="677"/>
      <c r="DV405" s="677"/>
      <c r="DW405" s="677"/>
      <c r="DX405" s="677"/>
      <c r="DY405" s="677"/>
      <c r="DZ405" s="679"/>
      <c r="EA405" s="677"/>
      <c r="EB405" s="677"/>
      <c r="EC405" s="677"/>
      <c r="ED405" s="677"/>
      <c r="EE405" s="677"/>
      <c r="EF405" s="677"/>
      <c r="EG405" s="677"/>
      <c r="EH405" s="677"/>
      <c r="EI405" s="677"/>
      <c r="EJ405" s="677"/>
      <c r="EK405" s="677"/>
      <c r="EL405" s="679"/>
      <c r="EM405" s="677"/>
      <c r="EN405" s="677"/>
      <c r="EO405" s="677"/>
      <c r="EP405" s="677"/>
      <c r="EQ405" s="677"/>
      <c r="ER405" s="677"/>
      <c r="ES405" s="677"/>
      <c r="ET405" s="677"/>
      <c r="EU405" s="677"/>
      <c r="EV405" s="677"/>
      <c r="EW405" s="677"/>
      <c r="EX405" s="679"/>
      <c r="EY405" s="677"/>
      <c r="EZ405" s="677"/>
      <c r="FA405" s="677"/>
      <c r="FB405" s="677"/>
      <c r="FC405" s="677"/>
      <c r="FD405" s="677"/>
      <c r="FE405" s="677"/>
      <c r="FF405" s="677"/>
      <c r="FG405" s="677"/>
      <c r="FH405" s="677"/>
      <c r="FI405" s="677"/>
      <c r="FJ405" s="679"/>
      <c r="FK405" s="677"/>
      <c r="FL405" s="677"/>
      <c r="FM405" s="677"/>
      <c r="FN405" s="677"/>
      <c r="FO405" s="677"/>
      <c r="FP405" s="677"/>
      <c r="FQ405" s="677"/>
      <c r="FR405" s="677"/>
      <c r="FS405" s="677"/>
      <c r="FT405" s="677"/>
      <c r="FU405" s="677"/>
      <c r="FV405" s="677"/>
      <c r="FW405" s="677"/>
      <c r="FX405" s="677"/>
      <c r="FY405" s="677"/>
      <c r="FZ405" s="677"/>
      <c r="GA405" s="677"/>
      <c r="GB405" s="677"/>
      <c r="GC405" s="677"/>
      <c r="GD405" s="677"/>
      <c r="GE405" s="677"/>
      <c r="GF405" s="677"/>
      <c r="GG405" s="677"/>
      <c r="GH405" s="677"/>
      <c r="GI405" s="677"/>
      <c r="GJ405" s="677"/>
      <c r="GK405" s="677"/>
      <c r="GL405" s="677"/>
      <c r="GM405" s="677"/>
      <c r="GN405" s="677"/>
      <c r="GO405" s="677"/>
      <c r="GP405" s="677"/>
      <c r="GQ405" s="677"/>
      <c r="GR405" s="677"/>
      <c r="GS405" s="677"/>
      <c r="GT405" s="677"/>
      <c r="GU405" s="677"/>
      <c r="GV405" s="677"/>
      <c r="GW405" s="677"/>
      <c r="GX405" s="677"/>
      <c r="GY405" s="677"/>
      <c r="GZ405" s="677"/>
      <c r="HA405" s="677"/>
      <c r="HB405" s="677"/>
      <c r="HC405" s="677"/>
      <c r="HD405" s="677"/>
      <c r="HE405" s="677"/>
      <c r="HF405" s="677"/>
      <c r="HG405" s="677"/>
      <c r="HH405" s="677"/>
      <c r="HI405" s="677"/>
      <c r="HJ405" s="677"/>
      <c r="HK405" s="677"/>
      <c r="HL405" s="677"/>
      <c r="HM405" s="677"/>
      <c r="HN405" s="680"/>
      <c r="KH405" s="682"/>
      <c r="KI405" s="680"/>
    </row>
    <row r="406" spans="1:295" s="681" customFormat="1" outlineLevel="1">
      <c r="A406" s="675"/>
      <c r="B406" s="675"/>
      <c r="C406" s="675"/>
      <c r="D406" s="1465"/>
      <c r="E406" s="677"/>
      <c r="F406" s="677"/>
      <c r="G406" s="677"/>
      <c r="H406" s="677"/>
      <c r="I406" s="677"/>
      <c r="J406" s="677"/>
      <c r="K406" s="677"/>
      <c r="L406" s="677"/>
      <c r="M406" s="677"/>
      <c r="N406" s="677"/>
      <c r="O406" s="677"/>
      <c r="P406" s="677"/>
      <c r="Q406" s="677"/>
      <c r="R406" s="677"/>
      <c r="S406" s="677"/>
      <c r="T406" s="677"/>
      <c r="U406" s="677"/>
      <c r="V406" s="677"/>
      <c r="W406" s="677"/>
      <c r="X406" s="677"/>
      <c r="Y406" s="677"/>
      <c r="Z406" s="677"/>
      <c r="AA406" s="677"/>
      <c r="AB406" s="677"/>
      <c r="AC406" s="677"/>
      <c r="AD406" s="677"/>
      <c r="AE406" s="677"/>
      <c r="AF406" s="677"/>
      <c r="AG406" s="677"/>
      <c r="AH406" s="677"/>
      <c r="AI406" s="677"/>
      <c r="AJ406" s="677"/>
      <c r="AK406" s="677"/>
      <c r="AL406" s="677"/>
      <c r="AM406" s="677"/>
      <c r="AN406" s="677"/>
      <c r="AO406" s="677"/>
      <c r="AP406" s="677"/>
      <c r="AQ406" s="677"/>
      <c r="AR406" s="677"/>
      <c r="AS406" s="677"/>
      <c r="AT406" s="677"/>
      <c r="AU406" s="677"/>
      <c r="AV406" s="677"/>
      <c r="AW406" s="677"/>
      <c r="AX406" s="677"/>
      <c r="AY406" s="677"/>
      <c r="AZ406" s="677"/>
      <c r="BA406" s="677"/>
      <c r="BB406" s="677"/>
      <c r="BC406" s="677"/>
      <c r="BD406" s="677"/>
      <c r="BE406" s="677"/>
      <c r="BF406" s="677"/>
      <c r="BG406" s="677"/>
      <c r="BH406" s="677"/>
      <c r="BI406" s="677"/>
      <c r="BJ406" s="677"/>
      <c r="BK406" s="677"/>
      <c r="BL406" s="677"/>
      <c r="BM406" s="677"/>
      <c r="BN406" s="677"/>
      <c r="BO406" s="677"/>
      <c r="BP406" s="677"/>
      <c r="BQ406" s="677"/>
      <c r="BR406" s="677"/>
      <c r="BS406" s="677"/>
      <c r="BT406" s="677"/>
      <c r="BU406" s="677"/>
      <c r="BV406" s="677"/>
      <c r="BW406" s="677"/>
      <c r="BX406" s="677"/>
      <c r="BY406" s="677"/>
      <c r="BZ406" s="677"/>
      <c r="CA406" s="677"/>
      <c r="CB406" s="677"/>
      <c r="CC406" s="677"/>
      <c r="CD406" s="677"/>
      <c r="CE406" s="678"/>
      <c r="CF406" s="677"/>
      <c r="CG406" s="677"/>
      <c r="CH406" s="677"/>
      <c r="CI406" s="677"/>
      <c r="CJ406" s="677"/>
      <c r="CK406" s="677"/>
      <c r="CL406" s="677"/>
      <c r="CM406" s="677"/>
      <c r="CN406" s="677"/>
      <c r="CO406" s="677"/>
      <c r="CP406" s="679"/>
      <c r="CQ406" s="677"/>
      <c r="CR406" s="677"/>
      <c r="CS406" s="677"/>
      <c r="CT406" s="677"/>
      <c r="CU406" s="677"/>
      <c r="CV406" s="677"/>
      <c r="CW406" s="677"/>
      <c r="CX406" s="677"/>
      <c r="CY406" s="677"/>
      <c r="CZ406" s="677"/>
      <c r="DA406" s="677"/>
      <c r="DB406" s="1507"/>
      <c r="DC406" s="677"/>
      <c r="DD406" s="677"/>
      <c r="DE406" s="677"/>
      <c r="DF406" s="677"/>
      <c r="DG406" s="677"/>
      <c r="DH406" s="677"/>
      <c r="DI406" s="677"/>
      <c r="DJ406" s="677"/>
      <c r="DK406" s="677"/>
      <c r="DL406" s="677"/>
      <c r="DM406" s="677"/>
      <c r="DN406" s="679"/>
      <c r="DO406" s="677"/>
      <c r="DP406" s="677"/>
      <c r="DQ406" s="677"/>
      <c r="DR406" s="677"/>
      <c r="DS406" s="677"/>
      <c r="DT406" s="677"/>
      <c r="DU406" s="677"/>
      <c r="DV406" s="677"/>
      <c r="DW406" s="677"/>
      <c r="DX406" s="677"/>
      <c r="DY406" s="677"/>
      <c r="DZ406" s="679"/>
      <c r="EA406" s="677"/>
      <c r="EB406" s="677"/>
      <c r="EC406" s="677"/>
      <c r="ED406" s="677"/>
      <c r="EE406" s="677"/>
      <c r="EF406" s="677"/>
      <c r="EG406" s="677"/>
      <c r="EH406" s="677"/>
      <c r="EI406" s="677"/>
      <c r="EJ406" s="677"/>
      <c r="EK406" s="677"/>
      <c r="EL406" s="679"/>
      <c r="EM406" s="677"/>
      <c r="EN406" s="677"/>
      <c r="EO406" s="677"/>
      <c r="EP406" s="677"/>
      <c r="EQ406" s="677"/>
      <c r="ER406" s="677"/>
      <c r="ES406" s="677"/>
      <c r="ET406" s="677"/>
      <c r="EU406" s="677"/>
      <c r="EV406" s="677"/>
      <c r="EW406" s="677"/>
      <c r="EX406" s="679"/>
      <c r="EY406" s="677"/>
      <c r="EZ406" s="677"/>
      <c r="FA406" s="677"/>
      <c r="FB406" s="677"/>
      <c r="FC406" s="677"/>
      <c r="FD406" s="677"/>
      <c r="FE406" s="677"/>
      <c r="FF406" s="677"/>
      <c r="FG406" s="677"/>
      <c r="FH406" s="677"/>
      <c r="FI406" s="677"/>
      <c r="FJ406" s="679"/>
      <c r="FK406" s="677"/>
      <c r="FL406" s="677"/>
      <c r="FM406" s="677"/>
      <c r="FN406" s="677"/>
      <c r="FO406" s="677"/>
      <c r="FP406" s="677"/>
      <c r="FQ406" s="677"/>
      <c r="FR406" s="677"/>
      <c r="FS406" s="677"/>
      <c r="FT406" s="677"/>
      <c r="FU406" s="677"/>
      <c r="FV406" s="677"/>
      <c r="FW406" s="677"/>
      <c r="FX406" s="677"/>
      <c r="FY406" s="677"/>
      <c r="FZ406" s="677"/>
      <c r="GA406" s="677"/>
      <c r="GB406" s="677"/>
      <c r="GC406" s="677"/>
      <c r="GD406" s="677"/>
      <c r="GE406" s="677"/>
      <c r="GF406" s="677"/>
      <c r="GG406" s="677"/>
      <c r="GH406" s="677"/>
      <c r="GI406" s="677"/>
      <c r="GJ406" s="677"/>
      <c r="GK406" s="677"/>
      <c r="GL406" s="677"/>
      <c r="GM406" s="677"/>
      <c r="GN406" s="677"/>
      <c r="GO406" s="677"/>
      <c r="GP406" s="677"/>
      <c r="GQ406" s="677"/>
      <c r="GR406" s="677"/>
      <c r="GS406" s="677"/>
      <c r="GT406" s="677"/>
      <c r="GU406" s="677"/>
      <c r="GV406" s="677"/>
      <c r="GW406" s="677"/>
      <c r="GX406" s="677"/>
      <c r="GY406" s="677"/>
      <c r="GZ406" s="677"/>
      <c r="HA406" s="677"/>
      <c r="HB406" s="677"/>
      <c r="HC406" s="677"/>
      <c r="HD406" s="677"/>
      <c r="HE406" s="677"/>
      <c r="HF406" s="677"/>
      <c r="HG406" s="677"/>
      <c r="HH406" s="677"/>
      <c r="HI406" s="677"/>
      <c r="HJ406" s="677"/>
      <c r="HK406" s="677"/>
      <c r="HL406" s="677"/>
      <c r="HM406" s="677"/>
      <c r="HN406" s="680"/>
      <c r="KH406" s="682"/>
      <c r="KI406" s="680"/>
    </row>
    <row r="407" spans="1:295" s="681" customFormat="1" outlineLevel="1">
      <c r="A407" s="675"/>
      <c r="B407" s="675"/>
      <c r="C407" s="675"/>
      <c r="D407" s="1465"/>
      <c r="E407" s="677"/>
      <c r="F407" s="677"/>
      <c r="G407" s="677"/>
      <c r="H407" s="677"/>
      <c r="I407" s="677"/>
      <c r="J407" s="677"/>
      <c r="K407" s="677"/>
      <c r="L407" s="677"/>
      <c r="M407" s="677"/>
      <c r="N407" s="677"/>
      <c r="O407" s="677"/>
      <c r="P407" s="677"/>
      <c r="Q407" s="677"/>
      <c r="R407" s="677"/>
      <c r="S407" s="677"/>
      <c r="T407" s="677"/>
      <c r="U407" s="677"/>
      <c r="V407" s="677"/>
      <c r="W407" s="677"/>
      <c r="X407" s="677"/>
      <c r="Y407" s="677"/>
      <c r="Z407" s="677"/>
      <c r="AA407" s="677"/>
      <c r="AB407" s="677"/>
      <c r="AC407" s="677"/>
      <c r="AD407" s="677"/>
      <c r="AE407" s="677"/>
      <c r="AF407" s="677"/>
      <c r="AG407" s="677"/>
      <c r="AH407" s="677"/>
      <c r="AI407" s="677"/>
      <c r="AJ407" s="677"/>
      <c r="AK407" s="677"/>
      <c r="AL407" s="677"/>
      <c r="AM407" s="677"/>
      <c r="AN407" s="677"/>
      <c r="AO407" s="677"/>
      <c r="AP407" s="677"/>
      <c r="AQ407" s="677"/>
      <c r="AR407" s="677"/>
      <c r="AS407" s="677"/>
      <c r="AT407" s="677"/>
      <c r="AU407" s="677"/>
      <c r="AV407" s="677"/>
      <c r="AW407" s="677"/>
      <c r="AX407" s="677"/>
      <c r="AY407" s="677"/>
      <c r="AZ407" s="677"/>
      <c r="BA407" s="677"/>
      <c r="BB407" s="677"/>
      <c r="BC407" s="677"/>
      <c r="BD407" s="677"/>
      <c r="BE407" s="677"/>
      <c r="BF407" s="677"/>
      <c r="BG407" s="677"/>
      <c r="BH407" s="677"/>
      <c r="BI407" s="677"/>
      <c r="BJ407" s="677"/>
      <c r="BK407" s="677"/>
      <c r="BL407" s="677"/>
      <c r="BM407" s="677"/>
      <c r="BN407" s="677"/>
      <c r="BO407" s="677"/>
      <c r="BP407" s="677"/>
      <c r="BQ407" s="677"/>
      <c r="BR407" s="677"/>
      <c r="BS407" s="677"/>
      <c r="BT407" s="677"/>
      <c r="BU407" s="677"/>
      <c r="BV407" s="677"/>
      <c r="BW407" s="677"/>
      <c r="BX407" s="677"/>
      <c r="BY407" s="677"/>
      <c r="BZ407" s="677"/>
      <c r="CA407" s="677"/>
      <c r="CB407" s="677"/>
      <c r="CC407" s="677"/>
      <c r="CD407" s="677"/>
      <c r="CE407" s="678"/>
      <c r="CF407" s="677"/>
      <c r="CG407" s="677"/>
      <c r="CH407" s="677"/>
      <c r="CI407" s="677"/>
      <c r="CJ407" s="677"/>
      <c r="CK407" s="677"/>
      <c r="CL407" s="677"/>
      <c r="CM407" s="677"/>
      <c r="CN407" s="677"/>
      <c r="CO407" s="677"/>
      <c r="CP407" s="679"/>
      <c r="CQ407" s="677"/>
      <c r="CR407" s="677"/>
      <c r="CS407" s="677"/>
      <c r="CT407" s="677"/>
      <c r="CU407" s="677"/>
      <c r="CV407" s="677"/>
      <c r="CW407" s="677"/>
      <c r="CX407" s="677"/>
      <c r="CY407" s="677"/>
      <c r="CZ407" s="677"/>
      <c r="DA407" s="677"/>
      <c r="DB407" s="1507"/>
      <c r="DC407" s="677"/>
      <c r="DD407" s="677"/>
      <c r="DE407" s="677"/>
      <c r="DF407" s="677"/>
      <c r="DG407" s="677"/>
      <c r="DH407" s="677"/>
      <c r="DI407" s="677"/>
      <c r="DJ407" s="677"/>
      <c r="DK407" s="677"/>
      <c r="DL407" s="677"/>
      <c r="DM407" s="677"/>
      <c r="DN407" s="679"/>
      <c r="DO407" s="677"/>
      <c r="DP407" s="677"/>
      <c r="DQ407" s="677"/>
      <c r="DR407" s="677"/>
      <c r="DS407" s="677"/>
      <c r="DT407" s="677"/>
      <c r="DU407" s="677"/>
      <c r="DV407" s="677"/>
      <c r="DW407" s="677"/>
      <c r="DX407" s="677"/>
      <c r="DY407" s="677"/>
      <c r="DZ407" s="679"/>
      <c r="EA407" s="677"/>
      <c r="EB407" s="677"/>
      <c r="EC407" s="677"/>
      <c r="ED407" s="677"/>
      <c r="EE407" s="677"/>
      <c r="EF407" s="677"/>
      <c r="EG407" s="677"/>
      <c r="EH407" s="677"/>
      <c r="EI407" s="677"/>
      <c r="EJ407" s="677"/>
      <c r="EK407" s="677"/>
      <c r="EL407" s="679"/>
      <c r="EM407" s="677"/>
      <c r="EN407" s="677"/>
      <c r="EO407" s="677"/>
      <c r="EP407" s="677"/>
      <c r="EQ407" s="677"/>
      <c r="ER407" s="677"/>
      <c r="ES407" s="677"/>
      <c r="ET407" s="677"/>
      <c r="EU407" s="677"/>
      <c r="EV407" s="677"/>
      <c r="EW407" s="677"/>
      <c r="EX407" s="679"/>
      <c r="EY407" s="677"/>
      <c r="EZ407" s="677"/>
      <c r="FA407" s="677"/>
      <c r="FB407" s="677"/>
      <c r="FC407" s="677"/>
      <c r="FD407" s="677"/>
      <c r="FE407" s="677"/>
      <c r="FF407" s="677"/>
      <c r="FG407" s="677"/>
      <c r="FH407" s="677"/>
      <c r="FI407" s="677"/>
      <c r="FJ407" s="679"/>
      <c r="FK407" s="677"/>
      <c r="FL407" s="677"/>
      <c r="FM407" s="677"/>
      <c r="FN407" s="677"/>
      <c r="FO407" s="677"/>
      <c r="FP407" s="677"/>
      <c r="FQ407" s="677"/>
      <c r="FR407" s="677"/>
      <c r="FS407" s="677"/>
      <c r="FT407" s="677"/>
      <c r="FU407" s="677"/>
      <c r="FV407" s="677"/>
      <c r="FW407" s="677"/>
      <c r="FX407" s="677"/>
      <c r="FY407" s="677"/>
      <c r="FZ407" s="677"/>
      <c r="GA407" s="677"/>
      <c r="GB407" s="677"/>
      <c r="GC407" s="677"/>
      <c r="GD407" s="677"/>
      <c r="GE407" s="677"/>
      <c r="GF407" s="677"/>
      <c r="GG407" s="677"/>
      <c r="GH407" s="677"/>
      <c r="GI407" s="677"/>
      <c r="GJ407" s="677"/>
      <c r="GK407" s="677"/>
      <c r="GL407" s="677"/>
      <c r="GM407" s="677"/>
      <c r="GN407" s="677"/>
      <c r="GO407" s="677"/>
      <c r="GP407" s="677"/>
      <c r="GQ407" s="677"/>
      <c r="GR407" s="677"/>
      <c r="GS407" s="677"/>
      <c r="GT407" s="677"/>
      <c r="GU407" s="677"/>
      <c r="GV407" s="677"/>
      <c r="GW407" s="677"/>
      <c r="GX407" s="677"/>
      <c r="GY407" s="677"/>
      <c r="GZ407" s="677"/>
      <c r="HA407" s="677"/>
      <c r="HB407" s="677"/>
      <c r="HC407" s="677"/>
      <c r="HD407" s="677"/>
      <c r="HE407" s="677"/>
      <c r="HF407" s="677"/>
      <c r="HG407" s="677"/>
      <c r="HH407" s="677"/>
      <c r="HI407" s="677"/>
      <c r="HJ407" s="677"/>
      <c r="HK407" s="677"/>
      <c r="HL407" s="677"/>
      <c r="HM407" s="677"/>
      <c r="HN407" s="680"/>
      <c r="KH407" s="682"/>
      <c r="KI407" s="680"/>
    </row>
    <row r="408" spans="1:295" s="681" customFormat="1" outlineLevel="1">
      <c r="A408" s="675"/>
      <c r="B408" s="675"/>
      <c r="C408" s="675"/>
      <c r="D408" s="1465"/>
      <c r="E408" s="677"/>
      <c r="F408" s="677"/>
      <c r="G408" s="677"/>
      <c r="H408" s="677"/>
      <c r="I408" s="677"/>
      <c r="J408" s="677"/>
      <c r="K408" s="677"/>
      <c r="L408" s="677"/>
      <c r="M408" s="677"/>
      <c r="N408" s="677"/>
      <c r="O408" s="677"/>
      <c r="P408" s="677"/>
      <c r="Q408" s="677"/>
      <c r="R408" s="677"/>
      <c r="S408" s="677"/>
      <c r="T408" s="677"/>
      <c r="U408" s="677"/>
      <c r="V408" s="677"/>
      <c r="W408" s="677"/>
      <c r="X408" s="677"/>
      <c r="Y408" s="677"/>
      <c r="Z408" s="677"/>
      <c r="AA408" s="677"/>
      <c r="AB408" s="677"/>
      <c r="AC408" s="677"/>
      <c r="AD408" s="677"/>
      <c r="AE408" s="677"/>
      <c r="AF408" s="677"/>
      <c r="AG408" s="677"/>
      <c r="AH408" s="677"/>
      <c r="AI408" s="677"/>
      <c r="AJ408" s="677"/>
      <c r="AK408" s="677"/>
      <c r="AL408" s="677"/>
      <c r="AM408" s="677"/>
      <c r="AN408" s="677"/>
      <c r="AO408" s="677"/>
      <c r="AP408" s="677"/>
      <c r="AQ408" s="677"/>
      <c r="AR408" s="677"/>
      <c r="AS408" s="677"/>
      <c r="AT408" s="677"/>
      <c r="AU408" s="677"/>
      <c r="AV408" s="677"/>
      <c r="AW408" s="677"/>
      <c r="AX408" s="677"/>
      <c r="AY408" s="677"/>
      <c r="AZ408" s="677"/>
      <c r="BA408" s="677"/>
      <c r="BB408" s="677"/>
      <c r="BC408" s="677"/>
      <c r="BD408" s="677"/>
      <c r="BE408" s="677"/>
      <c r="BF408" s="677"/>
      <c r="BG408" s="677"/>
      <c r="BH408" s="677"/>
      <c r="BI408" s="677"/>
      <c r="BJ408" s="677"/>
      <c r="BK408" s="677"/>
      <c r="BL408" s="677"/>
      <c r="BM408" s="677"/>
      <c r="BN408" s="677"/>
      <c r="BO408" s="677"/>
      <c r="BP408" s="677"/>
      <c r="BQ408" s="677"/>
      <c r="BR408" s="677"/>
      <c r="BS408" s="677"/>
      <c r="BT408" s="677"/>
      <c r="BU408" s="677"/>
      <c r="BV408" s="677"/>
      <c r="BW408" s="677"/>
      <c r="BX408" s="677"/>
      <c r="BY408" s="677"/>
      <c r="BZ408" s="677"/>
      <c r="CA408" s="677"/>
      <c r="CB408" s="677"/>
      <c r="CC408" s="677"/>
      <c r="CD408" s="677"/>
      <c r="CE408" s="678"/>
      <c r="CF408" s="677"/>
      <c r="CG408" s="677"/>
      <c r="CH408" s="677"/>
      <c r="CI408" s="677"/>
      <c r="CJ408" s="677"/>
      <c r="CK408" s="677"/>
      <c r="CL408" s="677"/>
      <c r="CM408" s="677"/>
      <c r="CN408" s="677"/>
      <c r="CO408" s="677"/>
      <c r="CP408" s="679"/>
      <c r="CQ408" s="677"/>
      <c r="CR408" s="677"/>
      <c r="CS408" s="677"/>
      <c r="CT408" s="677"/>
      <c r="CU408" s="677"/>
      <c r="CV408" s="677"/>
      <c r="CW408" s="677"/>
      <c r="CX408" s="677"/>
      <c r="CY408" s="677"/>
      <c r="CZ408" s="677"/>
      <c r="DA408" s="677"/>
      <c r="DB408" s="1507"/>
      <c r="DC408" s="677"/>
      <c r="DD408" s="677"/>
      <c r="DE408" s="677"/>
      <c r="DF408" s="677"/>
      <c r="DG408" s="677"/>
      <c r="DH408" s="677"/>
      <c r="DI408" s="677"/>
      <c r="DJ408" s="677"/>
      <c r="DK408" s="677"/>
      <c r="DL408" s="677"/>
      <c r="DM408" s="677"/>
      <c r="DN408" s="679"/>
      <c r="DO408" s="677"/>
      <c r="DP408" s="677"/>
      <c r="DQ408" s="677"/>
      <c r="DR408" s="677"/>
      <c r="DS408" s="677"/>
      <c r="DT408" s="677"/>
      <c r="DU408" s="677"/>
      <c r="DV408" s="677"/>
      <c r="DW408" s="677"/>
      <c r="DX408" s="677"/>
      <c r="DY408" s="677"/>
      <c r="DZ408" s="679"/>
      <c r="EA408" s="677"/>
      <c r="EB408" s="677"/>
      <c r="EC408" s="677"/>
      <c r="ED408" s="677"/>
      <c r="EE408" s="677"/>
      <c r="EF408" s="677"/>
      <c r="EG408" s="677"/>
      <c r="EH408" s="677"/>
      <c r="EI408" s="677"/>
      <c r="EJ408" s="677"/>
      <c r="EK408" s="677"/>
      <c r="EL408" s="679"/>
      <c r="EM408" s="677"/>
      <c r="EN408" s="677"/>
      <c r="EO408" s="677"/>
      <c r="EP408" s="677"/>
      <c r="EQ408" s="677"/>
      <c r="ER408" s="677"/>
      <c r="ES408" s="677"/>
      <c r="ET408" s="677"/>
      <c r="EU408" s="677"/>
      <c r="EV408" s="677"/>
      <c r="EW408" s="677"/>
      <c r="EX408" s="679"/>
      <c r="EY408" s="677"/>
      <c r="EZ408" s="677"/>
      <c r="FA408" s="677"/>
      <c r="FB408" s="677"/>
      <c r="FC408" s="677"/>
      <c r="FD408" s="677"/>
      <c r="FE408" s="677"/>
      <c r="FF408" s="677"/>
      <c r="FG408" s="677"/>
      <c r="FH408" s="677"/>
      <c r="FI408" s="677"/>
      <c r="FJ408" s="679"/>
      <c r="FK408" s="677"/>
      <c r="FL408" s="677"/>
      <c r="FM408" s="677"/>
      <c r="FN408" s="677"/>
      <c r="FO408" s="677"/>
      <c r="FP408" s="677"/>
      <c r="FQ408" s="677"/>
      <c r="FR408" s="677"/>
      <c r="FS408" s="677"/>
      <c r="FT408" s="677"/>
      <c r="FU408" s="677"/>
      <c r="FV408" s="677"/>
      <c r="FW408" s="677"/>
      <c r="FX408" s="677"/>
      <c r="FY408" s="677"/>
      <c r="FZ408" s="677"/>
      <c r="GA408" s="677"/>
      <c r="GB408" s="677"/>
      <c r="GC408" s="677"/>
      <c r="GD408" s="677"/>
      <c r="GE408" s="677"/>
      <c r="GF408" s="677"/>
      <c r="GG408" s="677"/>
      <c r="GH408" s="677"/>
      <c r="GI408" s="677"/>
      <c r="GJ408" s="677"/>
      <c r="GK408" s="677"/>
      <c r="GL408" s="677"/>
      <c r="GM408" s="677"/>
      <c r="GN408" s="677"/>
      <c r="GO408" s="677"/>
      <c r="GP408" s="677"/>
      <c r="GQ408" s="677"/>
      <c r="GR408" s="677"/>
      <c r="GS408" s="677"/>
      <c r="GT408" s="677"/>
      <c r="GU408" s="677"/>
      <c r="GV408" s="677"/>
      <c r="GW408" s="677"/>
      <c r="GX408" s="677"/>
      <c r="GY408" s="677"/>
      <c r="GZ408" s="677"/>
      <c r="HA408" s="677"/>
      <c r="HB408" s="677"/>
      <c r="HC408" s="677"/>
      <c r="HD408" s="677"/>
      <c r="HE408" s="677"/>
      <c r="HF408" s="677"/>
      <c r="HG408" s="677"/>
      <c r="HH408" s="677"/>
      <c r="HI408" s="677"/>
      <c r="HJ408" s="677"/>
      <c r="HK408" s="677"/>
      <c r="HL408" s="677"/>
      <c r="HM408" s="677"/>
      <c r="HN408" s="680"/>
      <c r="KH408" s="682"/>
      <c r="KI408" s="680"/>
    </row>
    <row r="409" spans="1:295" s="681" customFormat="1" outlineLevel="1">
      <c r="A409" s="675"/>
      <c r="B409" s="675"/>
      <c r="C409" s="675"/>
      <c r="D409" s="1465"/>
      <c r="E409" s="677"/>
      <c r="F409" s="677"/>
      <c r="G409" s="677"/>
      <c r="H409" s="677"/>
      <c r="I409" s="677"/>
      <c r="J409" s="677"/>
      <c r="K409" s="677"/>
      <c r="L409" s="677"/>
      <c r="M409" s="677"/>
      <c r="N409" s="677"/>
      <c r="O409" s="677"/>
      <c r="P409" s="677"/>
      <c r="Q409" s="677"/>
      <c r="R409" s="677"/>
      <c r="S409" s="677"/>
      <c r="T409" s="677"/>
      <c r="U409" s="677"/>
      <c r="V409" s="677"/>
      <c r="W409" s="677"/>
      <c r="X409" s="677"/>
      <c r="Y409" s="677"/>
      <c r="Z409" s="677"/>
      <c r="AA409" s="677"/>
      <c r="AB409" s="677"/>
      <c r="AC409" s="677"/>
      <c r="AD409" s="677"/>
      <c r="AE409" s="677"/>
      <c r="AF409" s="677"/>
      <c r="AG409" s="677"/>
      <c r="AH409" s="677"/>
      <c r="AI409" s="677"/>
      <c r="AJ409" s="677"/>
      <c r="AK409" s="677"/>
      <c r="AL409" s="677"/>
      <c r="AM409" s="677"/>
      <c r="AN409" s="677"/>
      <c r="AO409" s="677"/>
      <c r="AP409" s="677"/>
      <c r="AQ409" s="677"/>
      <c r="AR409" s="677"/>
      <c r="AS409" s="677"/>
      <c r="AT409" s="677"/>
      <c r="AU409" s="677"/>
      <c r="AV409" s="677"/>
      <c r="AW409" s="677"/>
      <c r="AX409" s="677"/>
      <c r="AY409" s="677"/>
      <c r="AZ409" s="677"/>
      <c r="BA409" s="677"/>
      <c r="BB409" s="677"/>
      <c r="BC409" s="677"/>
      <c r="BD409" s="677"/>
      <c r="BE409" s="677"/>
      <c r="BF409" s="677"/>
      <c r="BG409" s="677"/>
      <c r="BH409" s="677"/>
      <c r="BI409" s="677"/>
      <c r="BJ409" s="677"/>
      <c r="BK409" s="677"/>
      <c r="BL409" s="677"/>
      <c r="BM409" s="677"/>
      <c r="BN409" s="677"/>
      <c r="BO409" s="677"/>
      <c r="BP409" s="677"/>
      <c r="BQ409" s="677"/>
      <c r="BR409" s="677"/>
      <c r="BS409" s="677"/>
      <c r="BT409" s="677"/>
      <c r="BU409" s="677"/>
      <c r="BV409" s="677"/>
      <c r="BW409" s="677"/>
      <c r="BX409" s="677"/>
      <c r="BY409" s="677"/>
      <c r="BZ409" s="677"/>
      <c r="CA409" s="677"/>
      <c r="CB409" s="677"/>
      <c r="CC409" s="677"/>
      <c r="CD409" s="677"/>
      <c r="CE409" s="1470"/>
      <c r="CF409" s="677"/>
      <c r="CG409" s="677"/>
      <c r="CH409" s="677"/>
      <c r="CI409" s="677"/>
      <c r="CJ409" s="677"/>
      <c r="CK409" s="677"/>
      <c r="CL409" s="677"/>
      <c r="CM409" s="677"/>
      <c r="CN409" s="677"/>
      <c r="CO409" s="677"/>
      <c r="CP409" s="679"/>
      <c r="CQ409" s="677"/>
      <c r="CR409" s="677"/>
      <c r="CS409" s="677"/>
      <c r="CT409" s="677"/>
      <c r="CU409" s="677"/>
      <c r="CV409" s="677"/>
      <c r="CW409" s="677"/>
      <c r="CX409" s="677"/>
      <c r="CY409" s="677"/>
      <c r="CZ409" s="677"/>
      <c r="DA409" s="677"/>
      <c r="DB409" s="1507"/>
      <c r="DC409" s="677"/>
      <c r="DD409" s="677"/>
      <c r="DE409" s="677"/>
      <c r="DF409" s="677"/>
      <c r="DG409" s="677"/>
      <c r="DH409" s="677"/>
      <c r="DI409" s="677"/>
      <c r="DJ409" s="677"/>
      <c r="DK409" s="677"/>
      <c r="DL409" s="677"/>
      <c r="DM409" s="677"/>
      <c r="DN409" s="679"/>
      <c r="DO409" s="677"/>
      <c r="DP409" s="677"/>
      <c r="DQ409" s="677"/>
      <c r="DR409" s="677"/>
      <c r="DS409" s="677"/>
      <c r="DT409" s="677"/>
      <c r="DU409" s="677"/>
      <c r="DV409" s="677"/>
      <c r="DW409" s="677"/>
      <c r="DX409" s="677"/>
      <c r="DY409" s="677"/>
      <c r="DZ409" s="679"/>
      <c r="EA409" s="677"/>
      <c r="EB409" s="677"/>
      <c r="EC409" s="677"/>
      <c r="ED409" s="677"/>
      <c r="EE409" s="677"/>
      <c r="EF409" s="677"/>
      <c r="EG409" s="677"/>
      <c r="EH409" s="677"/>
      <c r="EI409" s="677"/>
      <c r="EJ409" s="677"/>
      <c r="EK409" s="677"/>
      <c r="EL409" s="679"/>
      <c r="EM409" s="677"/>
      <c r="EN409" s="677"/>
      <c r="EO409" s="677"/>
      <c r="EP409" s="677"/>
      <c r="EQ409" s="677"/>
      <c r="ER409" s="677"/>
      <c r="ES409" s="677"/>
      <c r="ET409" s="677"/>
      <c r="EU409" s="677"/>
      <c r="EV409" s="677"/>
      <c r="EW409" s="677"/>
      <c r="EX409" s="679"/>
      <c r="EY409" s="677"/>
      <c r="EZ409" s="677"/>
      <c r="FA409" s="677"/>
      <c r="FB409" s="677"/>
      <c r="FC409" s="677"/>
      <c r="FD409" s="677"/>
      <c r="FE409" s="677"/>
      <c r="FF409" s="677"/>
      <c r="FG409" s="677"/>
      <c r="FH409" s="677"/>
      <c r="FI409" s="677"/>
      <c r="FJ409" s="679"/>
      <c r="FK409" s="677"/>
      <c r="FL409" s="677"/>
      <c r="FM409" s="677"/>
      <c r="FN409" s="677"/>
      <c r="FO409" s="677"/>
      <c r="FP409" s="677"/>
      <c r="FQ409" s="677"/>
      <c r="FR409" s="677"/>
      <c r="FS409" s="677"/>
      <c r="FT409" s="677"/>
      <c r="FU409" s="677"/>
      <c r="FV409" s="677"/>
      <c r="FW409" s="677"/>
      <c r="FX409" s="677"/>
      <c r="FY409" s="677"/>
      <c r="FZ409" s="677"/>
      <c r="GA409" s="677"/>
      <c r="GB409" s="677"/>
      <c r="GC409" s="677"/>
      <c r="GD409" s="677"/>
      <c r="GE409" s="677"/>
      <c r="GF409" s="677"/>
      <c r="GG409" s="677"/>
      <c r="GH409" s="677"/>
      <c r="GI409" s="677"/>
      <c r="GJ409" s="677"/>
      <c r="GK409" s="677"/>
      <c r="GL409" s="677"/>
      <c r="GM409" s="677"/>
      <c r="GN409" s="677"/>
      <c r="GO409" s="677"/>
      <c r="GP409" s="677"/>
      <c r="GQ409" s="677"/>
      <c r="GR409" s="677"/>
      <c r="GS409" s="677"/>
      <c r="GT409" s="677"/>
      <c r="GU409" s="677"/>
      <c r="GV409" s="677"/>
      <c r="GW409" s="677"/>
      <c r="GX409" s="677"/>
      <c r="GY409" s="677"/>
      <c r="GZ409" s="677"/>
      <c r="HA409" s="677"/>
      <c r="HB409" s="677"/>
      <c r="HC409" s="677"/>
      <c r="HD409" s="677"/>
      <c r="HE409" s="677"/>
      <c r="HF409" s="677"/>
      <c r="HG409" s="677"/>
      <c r="HH409" s="677"/>
      <c r="HI409" s="677"/>
      <c r="HJ409" s="677"/>
      <c r="HK409" s="677"/>
      <c r="HL409" s="677"/>
      <c r="HM409" s="677"/>
      <c r="HN409" s="680"/>
      <c r="KH409" s="682"/>
      <c r="KI409" s="680"/>
    </row>
    <row r="410" spans="1:295" s="681" customFormat="1" outlineLevel="1">
      <c r="A410" s="675" t="s">
        <v>923</v>
      </c>
      <c r="B410" s="675" t="s">
        <v>361</v>
      </c>
      <c r="C410" s="675"/>
      <c r="D410" s="1464" t="s">
        <v>572</v>
      </c>
      <c r="E410" s="677"/>
      <c r="F410" s="677"/>
      <c r="G410" s="677"/>
      <c r="H410" s="677"/>
      <c r="I410" s="677"/>
      <c r="J410" s="677"/>
      <c r="K410" s="677"/>
      <c r="L410" s="677"/>
      <c r="M410" s="677"/>
      <c r="N410" s="677"/>
      <c r="O410" s="677"/>
      <c r="P410" s="677"/>
      <c r="Q410" s="677"/>
      <c r="R410" s="677"/>
      <c r="S410" s="677"/>
      <c r="T410" s="677"/>
      <c r="U410" s="677"/>
      <c r="V410" s="677"/>
      <c r="W410" s="677"/>
      <c r="X410" s="677"/>
      <c r="Y410" s="677"/>
      <c r="Z410" s="677"/>
      <c r="AA410" s="677"/>
      <c r="AB410" s="677"/>
      <c r="AC410" s="677"/>
      <c r="AD410" s="677"/>
      <c r="AE410" s="677"/>
      <c r="AF410" s="677"/>
      <c r="AG410" s="677"/>
      <c r="AH410" s="677"/>
      <c r="AI410" s="677"/>
      <c r="AJ410" s="677"/>
      <c r="AK410" s="677"/>
      <c r="AL410" s="677"/>
      <c r="AM410" s="677"/>
      <c r="AN410" s="677"/>
      <c r="AO410" s="677"/>
      <c r="AP410" s="677"/>
      <c r="AQ410" s="677"/>
      <c r="AR410" s="677"/>
      <c r="AS410" s="677"/>
      <c r="AT410" s="677"/>
      <c r="AU410" s="677"/>
      <c r="AV410" s="677"/>
      <c r="AW410" s="677"/>
      <c r="AX410" s="677"/>
      <c r="AY410" s="677"/>
      <c r="AZ410" s="677"/>
      <c r="BA410" s="677"/>
      <c r="BB410" s="677"/>
      <c r="BC410" s="677"/>
      <c r="BD410" s="677"/>
      <c r="BE410" s="677"/>
      <c r="BF410" s="677"/>
      <c r="BG410" s="677"/>
      <c r="BH410" s="677"/>
      <c r="BI410" s="677"/>
      <c r="BJ410" s="677"/>
      <c r="BK410" s="677"/>
      <c r="BL410" s="677"/>
      <c r="BM410" s="677"/>
      <c r="BN410" s="677"/>
      <c r="BO410" s="677"/>
      <c r="BP410" s="677"/>
      <c r="BQ410" s="677"/>
      <c r="BR410" s="677"/>
      <c r="BS410" s="677"/>
      <c r="BT410" s="677"/>
      <c r="BU410" s="677"/>
      <c r="BV410" s="677"/>
      <c r="BW410" s="677"/>
      <c r="BX410" s="677"/>
      <c r="BY410" s="677"/>
      <c r="BZ410" s="677"/>
      <c r="CA410" s="677"/>
      <c r="CB410" s="677"/>
      <c r="CC410" s="677"/>
      <c r="CD410" s="677"/>
      <c r="CE410" s="678"/>
      <c r="CF410" s="677"/>
      <c r="CG410" s="677"/>
      <c r="CH410" s="677"/>
      <c r="CI410" s="677"/>
      <c r="CJ410" s="677"/>
      <c r="CK410" s="677"/>
      <c r="CL410" s="677"/>
      <c r="CM410" s="677"/>
      <c r="CN410" s="677"/>
      <c r="CO410" s="677"/>
      <c r="CP410" s="679"/>
      <c r="CQ410" s="677"/>
      <c r="CR410" s="677"/>
      <c r="CS410" s="677"/>
      <c r="CT410" s="677"/>
      <c r="CU410" s="677"/>
      <c r="CV410" s="677"/>
      <c r="CW410" s="677"/>
      <c r="CX410" s="677"/>
      <c r="CY410" s="677"/>
      <c r="CZ410" s="677"/>
      <c r="DA410" s="677"/>
      <c r="DB410" s="1507"/>
      <c r="DC410" s="677"/>
      <c r="DD410" s="677"/>
      <c r="DE410" s="677"/>
      <c r="DF410" s="677"/>
      <c r="DG410" s="677"/>
      <c r="DH410" s="677"/>
      <c r="DI410" s="677"/>
      <c r="DJ410" s="677"/>
      <c r="DK410" s="677"/>
      <c r="DL410" s="677"/>
      <c r="DM410" s="677"/>
      <c r="DN410" s="679"/>
      <c r="DO410" s="677"/>
      <c r="DP410" s="677"/>
      <c r="DQ410" s="677"/>
      <c r="DR410" s="677"/>
      <c r="DS410" s="677"/>
      <c r="DT410" s="677"/>
      <c r="DU410" s="677"/>
      <c r="DV410" s="677"/>
      <c r="DW410" s="677"/>
      <c r="DX410" s="677"/>
      <c r="DY410" s="677"/>
      <c r="DZ410" s="679"/>
      <c r="EA410" s="677"/>
      <c r="EB410" s="677"/>
      <c r="EC410" s="677"/>
      <c r="ED410" s="677"/>
      <c r="EE410" s="677"/>
      <c r="EF410" s="677"/>
      <c r="EG410" s="677"/>
      <c r="EH410" s="677"/>
      <c r="EI410" s="677"/>
      <c r="EJ410" s="677"/>
      <c r="EK410" s="677"/>
      <c r="EL410" s="679"/>
      <c r="EM410" s="677"/>
      <c r="EN410" s="677"/>
      <c r="EO410" s="677"/>
      <c r="EP410" s="677"/>
      <c r="EQ410" s="677"/>
      <c r="ER410" s="677"/>
      <c r="ES410" s="677"/>
      <c r="ET410" s="677"/>
      <c r="EU410" s="677"/>
      <c r="EV410" s="677"/>
      <c r="EW410" s="677"/>
      <c r="EX410" s="679"/>
      <c r="EY410" s="677"/>
      <c r="EZ410" s="677"/>
      <c r="FA410" s="677"/>
      <c r="FB410" s="677"/>
      <c r="FC410" s="677"/>
      <c r="FD410" s="677"/>
      <c r="FE410" s="677"/>
      <c r="FF410" s="677"/>
      <c r="FG410" s="677"/>
      <c r="FH410" s="677"/>
      <c r="FI410" s="677"/>
      <c r="FJ410" s="679"/>
      <c r="FK410" s="677"/>
      <c r="FL410" s="677"/>
      <c r="FM410" s="677"/>
      <c r="FN410" s="677"/>
      <c r="FO410" s="677"/>
      <c r="FP410" s="677"/>
      <c r="FQ410" s="677"/>
      <c r="FR410" s="677"/>
      <c r="FS410" s="677"/>
      <c r="FT410" s="677"/>
      <c r="FU410" s="677"/>
      <c r="FV410" s="677"/>
      <c r="FW410" s="677"/>
      <c r="FX410" s="677"/>
      <c r="FY410" s="677"/>
      <c r="FZ410" s="677"/>
      <c r="GA410" s="677"/>
      <c r="GB410" s="677"/>
      <c r="GC410" s="677"/>
      <c r="GD410" s="677"/>
      <c r="GE410" s="677"/>
      <c r="GF410" s="677"/>
      <c r="GG410" s="677"/>
      <c r="GH410" s="677"/>
      <c r="GI410" s="677"/>
      <c r="GJ410" s="677"/>
      <c r="GK410" s="677"/>
      <c r="GL410" s="677"/>
      <c r="GM410" s="677"/>
      <c r="GN410" s="677"/>
      <c r="GO410" s="677"/>
      <c r="GP410" s="677"/>
      <c r="GQ410" s="677"/>
      <c r="GR410" s="677"/>
      <c r="GS410" s="677"/>
      <c r="GT410" s="677"/>
      <c r="GU410" s="677"/>
      <c r="GV410" s="677"/>
      <c r="GW410" s="677"/>
      <c r="GX410" s="677"/>
      <c r="GY410" s="677"/>
      <c r="GZ410" s="677"/>
      <c r="HA410" s="677"/>
      <c r="HB410" s="677"/>
      <c r="HC410" s="677"/>
      <c r="HD410" s="677"/>
      <c r="HE410" s="677"/>
      <c r="HF410" s="677"/>
      <c r="HG410" s="677"/>
      <c r="HH410" s="677"/>
      <c r="HI410" s="677"/>
      <c r="HJ410" s="677"/>
      <c r="HK410" s="677"/>
      <c r="HL410" s="677"/>
      <c r="HM410" s="677"/>
      <c r="HN410" s="680"/>
      <c r="KH410" s="682"/>
      <c r="KI410" s="680"/>
    </row>
    <row r="411" spans="1:295" s="681" customFormat="1" outlineLevel="1">
      <c r="A411" s="675" t="s">
        <v>923</v>
      </c>
      <c r="B411" s="675" t="s">
        <v>361</v>
      </c>
      <c r="C411" s="675"/>
      <c r="D411" s="1467" t="s">
        <v>559</v>
      </c>
      <c r="E411" s="677"/>
      <c r="F411" s="677"/>
      <c r="G411" s="677"/>
      <c r="H411" s="677"/>
      <c r="I411" s="677"/>
      <c r="J411" s="677"/>
      <c r="K411" s="677"/>
      <c r="L411" s="677"/>
      <c r="M411" s="677"/>
      <c r="N411" s="677"/>
      <c r="O411" s="677"/>
      <c r="P411" s="677"/>
      <c r="Q411" s="677"/>
      <c r="R411" s="677"/>
      <c r="S411" s="677"/>
      <c r="T411" s="677"/>
      <c r="U411" s="677"/>
      <c r="V411" s="677"/>
      <c r="W411" s="677"/>
      <c r="X411" s="677"/>
      <c r="Y411" s="677"/>
      <c r="Z411" s="677"/>
      <c r="AA411" s="677"/>
      <c r="AB411" s="677"/>
      <c r="AC411" s="677"/>
      <c r="AD411" s="677"/>
      <c r="AE411" s="677"/>
      <c r="AF411" s="677"/>
      <c r="AG411" s="677"/>
      <c r="AH411" s="677"/>
      <c r="AI411" s="677"/>
      <c r="AJ411" s="677"/>
      <c r="AK411" s="677"/>
      <c r="AL411" s="677"/>
      <c r="AM411" s="677"/>
      <c r="AN411" s="677"/>
      <c r="AO411" s="677"/>
      <c r="AP411" s="677"/>
      <c r="AQ411" s="677"/>
      <c r="AR411" s="677"/>
      <c r="AS411" s="677"/>
      <c r="AT411" s="677"/>
      <c r="AU411" s="677"/>
      <c r="AV411" s="677"/>
      <c r="AW411" s="677"/>
      <c r="AX411" s="677"/>
      <c r="AY411" s="677"/>
      <c r="AZ411" s="677"/>
      <c r="BA411" s="677"/>
      <c r="BB411" s="677"/>
      <c r="BC411" s="677"/>
      <c r="BD411" s="677"/>
      <c r="BE411" s="677"/>
      <c r="BF411" s="677"/>
      <c r="BG411" s="677">
        <v>14.62590968388</v>
      </c>
      <c r="BH411" s="677">
        <v>14.03864079593</v>
      </c>
      <c r="BI411" s="677">
        <v>18.87100924013</v>
      </c>
      <c r="BJ411" s="677">
        <v>17.771158655000001</v>
      </c>
      <c r="BK411" s="677">
        <v>19.700443692</v>
      </c>
      <c r="BL411" s="677">
        <v>15.514381792</v>
      </c>
      <c r="BM411" s="677">
        <v>16.369848270999999</v>
      </c>
      <c r="BN411" s="677">
        <v>16.660671881999999</v>
      </c>
      <c r="BO411" s="677">
        <v>16.004246637000001</v>
      </c>
      <c r="BP411" s="677">
        <v>24.379458758070001</v>
      </c>
      <c r="BQ411" s="677">
        <v>21.475592388999999</v>
      </c>
      <c r="BR411" s="677">
        <v>18.249319561</v>
      </c>
      <c r="BS411" s="677">
        <v>10.548941826</v>
      </c>
      <c r="BT411" s="677">
        <v>31.285726334</v>
      </c>
      <c r="BU411" s="677">
        <v>14.244170955</v>
      </c>
      <c r="BV411" s="677">
        <v>27.791734954999999</v>
      </c>
      <c r="BW411" s="677">
        <v>22.881689232999999</v>
      </c>
      <c r="BX411" s="677">
        <v>18.474235342</v>
      </c>
      <c r="BY411" s="677">
        <v>16.284453805999998</v>
      </c>
      <c r="BZ411" s="677">
        <v>26.042551673999998</v>
      </c>
      <c r="CA411" s="677">
        <v>22.194640643</v>
      </c>
      <c r="CB411" s="677">
        <v>25.408312093999999</v>
      </c>
      <c r="CC411" s="677">
        <v>20.357460507999999</v>
      </c>
      <c r="CD411" s="677">
        <v>22.728604220000001</v>
      </c>
      <c r="CE411" s="677">
        <v>10.600290362000001</v>
      </c>
      <c r="CF411" s="677">
        <v>11.774248847000001</v>
      </c>
      <c r="CG411" s="677">
        <v>11.600561285</v>
      </c>
      <c r="CH411" s="677">
        <v>14.039605471</v>
      </c>
      <c r="CI411" s="677">
        <v>10.686533522</v>
      </c>
      <c r="CJ411" s="677">
        <v>15.149421133000001</v>
      </c>
      <c r="CK411" s="677">
        <v>12.385945779</v>
      </c>
      <c r="CL411" s="677">
        <v>11.936395204</v>
      </c>
      <c r="CM411" s="677">
        <v>11.567820128999999</v>
      </c>
      <c r="CN411" s="677">
        <v>13.507764916999999</v>
      </c>
      <c r="CO411" s="677">
        <v>14.019439759000001</v>
      </c>
      <c r="CP411" s="679">
        <v>16.102348479</v>
      </c>
      <c r="CQ411" s="677">
        <v>15.467234088</v>
      </c>
      <c r="CR411" s="677">
        <v>10.358958889</v>
      </c>
      <c r="CS411" s="677">
        <v>10.004640609000001</v>
      </c>
      <c r="CT411" s="677">
        <v>14.405648848</v>
      </c>
      <c r="CU411" s="677">
        <v>11.663632537</v>
      </c>
      <c r="CV411" s="677">
        <v>14.647925974</v>
      </c>
      <c r="CW411" s="677">
        <v>13.423721248</v>
      </c>
      <c r="CX411" s="677">
        <v>11.987386473999999</v>
      </c>
      <c r="CY411" s="677">
        <v>12.883290507</v>
      </c>
      <c r="CZ411" s="677">
        <v>15.114993569999999</v>
      </c>
      <c r="DA411" s="677">
        <v>11.761072367000001</v>
      </c>
      <c r="DB411" s="1507">
        <v>13.466941565000001</v>
      </c>
      <c r="DC411" s="677">
        <v>12.239318647999999</v>
      </c>
      <c r="DD411" s="677">
        <v>13.488008574</v>
      </c>
      <c r="DE411" s="677">
        <v>11.95808439</v>
      </c>
      <c r="DF411" s="677">
        <v>14.510838178</v>
      </c>
      <c r="DG411" s="677">
        <v>12.593660348</v>
      </c>
      <c r="DH411" s="677">
        <v>13.701158100000001</v>
      </c>
      <c r="DI411" s="677">
        <v>16.002786588999999</v>
      </c>
      <c r="DJ411" s="677">
        <v>12.430528170000001</v>
      </c>
      <c r="DK411" s="677">
        <v>16.154417076000001</v>
      </c>
      <c r="DL411" s="677">
        <v>17.028560666000001</v>
      </c>
      <c r="DM411" s="677">
        <v>13.634244376</v>
      </c>
      <c r="DN411" s="679">
        <v>16.972300560000001</v>
      </c>
      <c r="DO411" s="677">
        <v>16.923922286</v>
      </c>
      <c r="DP411" s="677">
        <v>18.370964908000001</v>
      </c>
      <c r="DQ411" s="677">
        <v>14.47914632</v>
      </c>
      <c r="DR411" s="677">
        <v>19.300726233999999</v>
      </c>
      <c r="DS411" s="677">
        <v>14.494829777</v>
      </c>
      <c r="DT411" s="677">
        <v>16.458223964999998</v>
      </c>
      <c r="DU411" s="677">
        <v>15.610991277</v>
      </c>
      <c r="DV411" s="677">
        <v>14.129246851</v>
      </c>
      <c r="DW411" s="677">
        <v>15.728514418</v>
      </c>
      <c r="DX411" s="677">
        <v>17.193896963</v>
      </c>
      <c r="DY411" s="677">
        <v>19.004412841000001</v>
      </c>
      <c r="DZ411" s="679">
        <v>14.164835503000001</v>
      </c>
      <c r="EA411" s="677">
        <v>18.602292814999998</v>
      </c>
      <c r="EB411" s="677">
        <v>15.725975245000001</v>
      </c>
      <c r="EC411" s="677">
        <v>15.221540017000001</v>
      </c>
      <c r="ED411" s="677">
        <v>17.367720284000001</v>
      </c>
      <c r="EE411" s="677">
        <v>15.080013159</v>
      </c>
      <c r="EF411" s="677">
        <v>16.045038577</v>
      </c>
      <c r="EG411" s="677">
        <v>17.282996335</v>
      </c>
      <c r="EH411" s="677">
        <v>18.562356222999998</v>
      </c>
      <c r="EI411" s="677">
        <v>16.039276530999999</v>
      </c>
      <c r="EJ411" s="677">
        <v>18.452956517000001</v>
      </c>
      <c r="EK411" s="677">
        <v>16.945249711999999</v>
      </c>
      <c r="EL411" s="679">
        <v>18.832687613000001</v>
      </c>
      <c r="EM411" s="677">
        <v>20.206206688000002</v>
      </c>
      <c r="EN411" s="677">
        <v>18.957123085999999</v>
      </c>
      <c r="EO411" s="677">
        <v>19.319275108999999</v>
      </c>
      <c r="EP411" s="677">
        <v>20.976938834999999</v>
      </c>
      <c r="EQ411" s="677">
        <v>19.586635001000001</v>
      </c>
      <c r="ER411" s="677">
        <v>18.913190072999999</v>
      </c>
      <c r="ES411" s="677">
        <v>22.008169992999999</v>
      </c>
      <c r="ET411" s="677">
        <v>18.122683423000002</v>
      </c>
      <c r="EU411" s="677">
        <v>18.542580771000001</v>
      </c>
      <c r="EV411" s="677">
        <v>20.580964764000001</v>
      </c>
      <c r="EW411" s="677">
        <v>17.991540906000001</v>
      </c>
      <c r="EX411" s="679">
        <v>19.847844457000001</v>
      </c>
      <c r="EY411" s="677">
        <v>23.791433258000001</v>
      </c>
      <c r="EZ411" s="677">
        <v>21.904816350000001</v>
      </c>
      <c r="FA411" s="677">
        <v>23.515724288000001</v>
      </c>
      <c r="FB411" s="677">
        <v>23.272851534000001</v>
      </c>
      <c r="FC411" s="677">
        <v>20.579032688000002</v>
      </c>
      <c r="FD411" s="677">
        <v>19.776624564999999</v>
      </c>
      <c r="FE411" s="677">
        <v>24.278543467999999</v>
      </c>
      <c r="FF411" s="677">
        <v>23.630671035999999</v>
      </c>
      <c r="FG411" s="677">
        <v>21.840324984999999</v>
      </c>
      <c r="FH411" s="677">
        <v>19.762142462</v>
      </c>
      <c r="FI411" s="677">
        <v>23.556205521999999</v>
      </c>
      <c r="FJ411" s="679">
        <v>21.428788091000001</v>
      </c>
      <c r="FK411" s="677">
        <f t="shared" ref="FK411:FP411" si="58">FK412+FK413+FK414+FK417+FK418+FK419+FK420</f>
        <v>70.908677852000011</v>
      </c>
      <c r="FL411" s="677">
        <f t="shared" si="58"/>
        <v>92.769312039000013</v>
      </c>
      <c r="FM411" s="677">
        <f t="shared" si="58"/>
        <v>96.222877413000006</v>
      </c>
      <c r="FN411" s="677">
        <f t="shared" si="58"/>
        <v>89.429642293000015</v>
      </c>
      <c r="FO411" s="677">
        <f t="shared" si="58"/>
        <v>74.665784549999998</v>
      </c>
      <c r="FP411" s="677">
        <f t="shared" si="58"/>
        <v>68.350447251999995</v>
      </c>
      <c r="FQ411" s="677">
        <v>25.432940793</v>
      </c>
      <c r="FR411" s="677">
        <v>20.807125568</v>
      </c>
      <c r="FS411" s="677">
        <v>27.525131234</v>
      </c>
      <c r="FT411" s="677">
        <v>29.644086839</v>
      </c>
      <c r="FU411" s="677">
        <v>22.936111258</v>
      </c>
      <c r="FV411" s="677">
        <v>23.333794927</v>
      </c>
      <c r="FW411" s="677">
        <v>30.395615617000001</v>
      </c>
      <c r="FX411" s="677">
        <v>25.778055366</v>
      </c>
      <c r="FY411" s="677">
        <v>23.356521104999999</v>
      </c>
      <c r="FZ411" s="677">
        <v>27.150783051000001</v>
      </c>
      <c r="GA411" s="677">
        <v>23.098409287999999</v>
      </c>
      <c r="GB411" s="677">
        <v>26.393514230000001</v>
      </c>
      <c r="GC411" s="677">
        <v>27.283003291</v>
      </c>
      <c r="GD411" s="677">
        <v>24.359624257</v>
      </c>
      <c r="GE411" s="677">
        <v>31.083989044999999</v>
      </c>
      <c r="GF411" s="677">
        <v>29.203881161000002</v>
      </c>
      <c r="GG411" s="677">
        <v>25.425635191000001</v>
      </c>
      <c r="GH411" s="677">
        <v>26.442965687000001</v>
      </c>
      <c r="GI411" s="677"/>
      <c r="GJ411" s="677"/>
      <c r="GK411" s="677"/>
      <c r="GL411" s="677"/>
      <c r="GM411" s="677"/>
      <c r="GN411" s="677"/>
      <c r="GO411" s="677"/>
      <c r="GP411" s="677"/>
      <c r="GQ411" s="677"/>
      <c r="GR411" s="677"/>
      <c r="GS411" s="677"/>
      <c r="GT411" s="677"/>
      <c r="GU411" s="677"/>
      <c r="GV411" s="677"/>
      <c r="GW411" s="677"/>
      <c r="GX411" s="677"/>
      <c r="GY411" s="677"/>
      <c r="GZ411" s="677"/>
      <c r="HA411" s="677"/>
      <c r="HB411" s="677"/>
      <c r="HC411" s="677"/>
      <c r="HD411" s="677"/>
      <c r="HE411" s="677"/>
      <c r="HF411" s="677"/>
      <c r="HG411" s="677"/>
      <c r="HH411" s="677"/>
      <c r="HI411" s="677"/>
      <c r="HJ411" s="677"/>
      <c r="HK411" s="677"/>
      <c r="HL411" s="677"/>
      <c r="HM411" s="677"/>
      <c r="HN411" s="680"/>
      <c r="KH411" s="682"/>
      <c r="KI411" s="680"/>
    </row>
    <row r="412" spans="1:295" s="681" customFormat="1" outlineLevel="1">
      <c r="A412" s="675" t="s">
        <v>923</v>
      </c>
      <c r="B412" s="675" t="s">
        <v>361</v>
      </c>
      <c r="C412" s="675"/>
      <c r="D412" s="1467" t="s">
        <v>560</v>
      </c>
      <c r="E412" s="677"/>
      <c r="F412" s="677"/>
      <c r="G412" s="677"/>
      <c r="H412" s="677"/>
      <c r="I412" s="677"/>
      <c r="J412" s="677"/>
      <c r="K412" s="677"/>
      <c r="L412" s="677"/>
      <c r="M412" s="677"/>
      <c r="N412" s="677"/>
      <c r="O412" s="677"/>
      <c r="P412" s="677"/>
      <c r="Q412" s="677"/>
      <c r="R412" s="677"/>
      <c r="S412" s="677"/>
      <c r="T412" s="677"/>
      <c r="U412" s="677"/>
      <c r="V412" s="677"/>
      <c r="W412" s="677"/>
      <c r="X412" s="677"/>
      <c r="Y412" s="677"/>
      <c r="Z412" s="677"/>
      <c r="AA412" s="677"/>
      <c r="AB412" s="677"/>
      <c r="AC412" s="677"/>
      <c r="AD412" s="677"/>
      <c r="AE412" s="677"/>
      <c r="AF412" s="677"/>
      <c r="AG412" s="677"/>
      <c r="AH412" s="677"/>
      <c r="AI412" s="677"/>
      <c r="AJ412" s="677"/>
      <c r="AK412" s="677"/>
      <c r="AL412" s="677"/>
      <c r="AM412" s="677"/>
      <c r="AN412" s="677"/>
      <c r="AO412" s="677"/>
      <c r="AP412" s="677"/>
      <c r="AQ412" s="677"/>
      <c r="AR412" s="677"/>
      <c r="AS412" s="677"/>
      <c r="AT412" s="677"/>
      <c r="AU412" s="677"/>
      <c r="AV412" s="677"/>
      <c r="AW412" s="677"/>
      <c r="AX412" s="677"/>
      <c r="AY412" s="677"/>
      <c r="AZ412" s="677"/>
      <c r="BA412" s="677"/>
      <c r="BB412" s="677"/>
      <c r="BC412" s="677"/>
      <c r="BD412" s="677"/>
      <c r="BE412" s="677"/>
      <c r="BF412" s="677"/>
      <c r="BG412" s="677">
        <v>20.528992816159999</v>
      </c>
      <c r="BH412" s="677">
        <v>18.844713566720003</v>
      </c>
      <c r="BI412" s="677">
        <v>37.914903915480004</v>
      </c>
      <c r="BJ412" s="677">
        <v>21.414184939929999</v>
      </c>
      <c r="BK412" s="677">
        <v>31.413771525889999</v>
      </c>
      <c r="BL412" s="677">
        <v>30.115560418000001</v>
      </c>
      <c r="BM412" s="677">
        <v>21.91964441</v>
      </c>
      <c r="BN412" s="677">
        <v>22.129163281</v>
      </c>
      <c r="BO412" s="677">
        <v>28.995896608270002</v>
      </c>
      <c r="BP412" s="677">
        <v>24.458359547130001</v>
      </c>
      <c r="BQ412" s="677">
        <v>23.64728012418</v>
      </c>
      <c r="BR412" s="677">
        <v>32.351800751859997</v>
      </c>
      <c r="BS412" s="677">
        <v>13.830679476</v>
      </c>
      <c r="BT412" s="677">
        <v>19.535356230130002</v>
      </c>
      <c r="BU412" s="677">
        <v>15.431633991</v>
      </c>
      <c r="BV412" s="677">
        <v>28.425404217160001</v>
      </c>
      <c r="BW412" s="677">
        <v>16.920606030999998</v>
      </c>
      <c r="BX412" s="677">
        <v>14.407255295000001</v>
      </c>
      <c r="BY412" s="677">
        <v>17.286754762000001</v>
      </c>
      <c r="BZ412" s="677">
        <v>16.70906683238</v>
      </c>
      <c r="CA412" s="677">
        <v>16.76494754518</v>
      </c>
      <c r="CB412" s="677">
        <v>19.185532136860001</v>
      </c>
      <c r="CC412" s="677">
        <v>27.891112250080003</v>
      </c>
      <c r="CD412" s="677">
        <v>27.383090149979999</v>
      </c>
      <c r="CE412" s="677">
        <v>11.715701344999999</v>
      </c>
      <c r="CF412" s="677">
        <v>13.830558664</v>
      </c>
      <c r="CG412" s="677">
        <v>20.331124741</v>
      </c>
      <c r="CH412" s="677">
        <v>28.512476630999998</v>
      </c>
      <c r="CI412" s="677">
        <v>14.364100268</v>
      </c>
      <c r="CJ412" s="677">
        <v>22.822822944999999</v>
      </c>
      <c r="CK412" s="677">
        <v>32.479202454999999</v>
      </c>
      <c r="CL412" s="677">
        <v>17.769050507999999</v>
      </c>
      <c r="CM412" s="677">
        <v>15.811155536999999</v>
      </c>
      <c r="CN412" s="677">
        <v>34.875116196999997</v>
      </c>
      <c r="CO412" s="677">
        <v>35.867647708</v>
      </c>
      <c r="CP412" s="679">
        <v>29.996274437</v>
      </c>
      <c r="CQ412" s="677">
        <v>15.822172659</v>
      </c>
      <c r="CR412" s="677">
        <v>17.538953532000001</v>
      </c>
      <c r="CS412" s="677">
        <v>32.594615249999997</v>
      </c>
      <c r="CT412" s="677">
        <v>14.340636915999999</v>
      </c>
      <c r="CU412" s="677">
        <v>21.040214732999999</v>
      </c>
      <c r="CV412" s="677">
        <v>21.321606855999999</v>
      </c>
      <c r="CW412" s="677">
        <v>29.643261021000001</v>
      </c>
      <c r="CX412" s="677">
        <v>23.725117392000001</v>
      </c>
      <c r="CY412" s="677">
        <v>46.194208240000002</v>
      </c>
      <c r="CZ412" s="677">
        <v>29.335479638999999</v>
      </c>
      <c r="DA412" s="677">
        <v>23.591707502999999</v>
      </c>
      <c r="DB412" s="1507">
        <v>34.467191733</v>
      </c>
      <c r="DC412" s="677">
        <v>9.5935996279999998</v>
      </c>
      <c r="DD412" s="677">
        <v>38.308645026000001</v>
      </c>
      <c r="DE412" s="677">
        <v>31.745554103</v>
      </c>
      <c r="DF412" s="677">
        <v>38.361971920000002</v>
      </c>
      <c r="DG412" s="677">
        <v>28.845644836000002</v>
      </c>
      <c r="DH412" s="677">
        <v>28.132022410000001</v>
      </c>
      <c r="DI412" s="677">
        <v>34.817320479999999</v>
      </c>
      <c r="DJ412" s="677">
        <v>24.496214258999998</v>
      </c>
      <c r="DK412" s="677">
        <v>18.395891233</v>
      </c>
      <c r="DL412" s="677">
        <v>25.421872676</v>
      </c>
      <c r="DM412" s="677">
        <v>19.580571594999999</v>
      </c>
      <c r="DN412" s="679">
        <v>28.693596080999999</v>
      </c>
      <c r="DO412" s="677">
        <v>40.357375599999997</v>
      </c>
      <c r="DP412" s="677">
        <v>13.172266681</v>
      </c>
      <c r="DQ412" s="677">
        <v>28.189540178000001</v>
      </c>
      <c r="DR412" s="677">
        <v>43.759985229000002</v>
      </c>
      <c r="DS412" s="677">
        <v>30.74947474</v>
      </c>
      <c r="DT412" s="677">
        <v>80.671065489</v>
      </c>
      <c r="DU412" s="677">
        <v>35.446676588000003</v>
      </c>
      <c r="DV412" s="677">
        <v>25.006081950999999</v>
      </c>
      <c r="DW412" s="677">
        <v>37.056219311</v>
      </c>
      <c r="DX412" s="677">
        <v>18.625754405999999</v>
      </c>
      <c r="DY412" s="677">
        <v>30.469799921</v>
      </c>
      <c r="DZ412" s="679">
        <v>39.921327126999998</v>
      </c>
      <c r="EA412" s="677">
        <v>37.837994876000003</v>
      </c>
      <c r="EB412" s="677">
        <v>30.935260658000001</v>
      </c>
      <c r="EC412" s="677">
        <v>49.365783643</v>
      </c>
      <c r="ED412" s="677">
        <v>36.852817137000002</v>
      </c>
      <c r="EE412" s="677">
        <v>23.569324802000001</v>
      </c>
      <c r="EF412" s="677">
        <v>76.978995648999998</v>
      </c>
      <c r="EG412" s="677">
        <v>46.873780355000001</v>
      </c>
      <c r="EH412" s="677">
        <v>17.322330422</v>
      </c>
      <c r="EI412" s="677">
        <v>33.664711830000002</v>
      </c>
      <c r="EJ412" s="677">
        <v>21.934208405</v>
      </c>
      <c r="EK412" s="677">
        <v>29.532252908</v>
      </c>
      <c r="EL412" s="679">
        <v>48.474061882999997</v>
      </c>
      <c r="EM412" s="677">
        <v>18.121855246454004</v>
      </c>
      <c r="EN412" s="677">
        <v>21.522143592676223</v>
      </c>
      <c r="EO412" s="677">
        <v>24.004938986676219</v>
      </c>
      <c r="EP412" s="677">
        <v>35.41258814245397</v>
      </c>
      <c r="EQ412" s="677">
        <v>20.713317243676169</v>
      </c>
      <c r="ER412" s="677">
        <v>47.872531201453995</v>
      </c>
      <c r="ES412" s="677">
        <v>49.238433504454001</v>
      </c>
      <c r="ET412" s="677">
        <v>41.377946347453971</v>
      </c>
      <c r="EU412" s="677">
        <v>22.374091854120675</v>
      </c>
      <c r="EV412" s="677">
        <v>40.960395760454006</v>
      </c>
      <c r="EW412" s="677">
        <v>49.991169588120677</v>
      </c>
      <c r="EX412" s="679">
        <v>79.280163480454036</v>
      </c>
      <c r="EY412" s="677">
        <v>34.531596964000002</v>
      </c>
      <c r="EZ412" s="677">
        <v>38.288390571999997</v>
      </c>
      <c r="FA412" s="677">
        <v>28.846663866</v>
      </c>
      <c r="FB412" s="677">
        <v>34.924225841000002</v>
      </c>
      <c r="FC412" s="677">
        <v>25.523264829999899</v>
      </c>
      <c r="FD412" s="677">
        <v>42.545557563999999</v>
      </c>
      <c r="FE412" s="677">
        <v>65.201118535000006</v>
      </c>
      <c r="FF412" s="677">
        <v>44.083862019999998</v>
      </c>
      <c r="FG412" s="677">
        <v>76.006519507999997</v>
      </c>
      <c r="FH412" s="677">
        <v>41.274952679999998</v>
      </c>
      <c r="FI412" s="677">
        <v>32.559550250999997</v>
      </c>
      <c r="FJ412" s="679">
        <v>28.622868473</v>
      </c>
      <c r="FK412" s="677">
        <v>53.981299043</v>
      </c>
      <c r="FL412" s="677">
        <v>56.796103371000001</v>
      </c>
      <c r="FM412" s="677">
        <v>70.395244955999999</v>
      </c>
      <c r="FN412" s="677">
        <f>56.422314685-4.1003</f>
        <v>52.322014685000006</v>
      </c>
      <c r="FO412" s="677">
        <v>42.060478861999997</v>
      </c>
      <c r="FP412" s="677">
        <v>49.002725881000003</v>
      </c>
      <c r="FQ412" s="677">
        <v>24.268816294000001</v>
      </c>
      <c r="FR412" s="677">
        <v>31.235147418</v>
      </c>
      <c r="FS412" s="677">
        <v>51.188465700000002</v>
      </c>
      <c r="FT412" s="677">
        <v>45.198818729000003</v>
      </c>
      <c r="FU412" s="677">
        <v>35.454920231999999</v>
      </c>
      <c r="FV412" s="677">
        <v>135.61421624600001</v>
      </c>
      <c r="FW412" s="677">
        <v>38.383365242000004</v>
      </c>
      <c r="FX412" s="677">
        <v>72.684272066999995</v>
      </c>
      <c r="FY412" s="677">
        <v>49.164446503000001</v>
      </c>
      <c r="FZ412" s="677">
        <v>44.738776856999998</v>
      </c>
      <c r="GA412" s="677">
        <v>107.54056507</v>
      </c>
      <c r="GB412" s="677">
        <v>18.820083379</v>
      </c>
      <c r="GC412" s="677">
        <v>61.071967622999999</v>
      </c>
      <c r="GD412" s="677">
        <v>39.822583874999999</v>
      </c>
      <c r="GE412" s="677">
        <v>42.437742342</v>
      </c>
      <c r="GF412" s="677">
        <v>51.500498561000001</v>
      </c>
      <c r="GG412" s="677">
        <v>61.788963383000002</v>
      </c>
      <c r="GH412" s="677">
        <v>63.260699911000003</v>
      </c>
      <c r="GI412" s="677"/>
      <c r="GJ412" s="677"/>
      <c r="GK412" s="677"/>
      <c r="GL412" s="677"/>
      <c r="GM412" s="677"/>
      <c r="GN412" s="677"/>
      <c r="GO412" s="677"/>
      <c r="GP412" s="677"/>
      <c r="GQ412" s="677"/>
      <c r="GR412" s="677"/>
      <c r="GS412" s="677"/>
      <c r="GT412" s="677"/>
      <c r="GU412" s="677"/>
      <c r="GV412" s="677"/>
      <c r="GW412" s="677"/>
      <c r="GX412" s="677"/>
      <c r="GY412" s="677"/>
      <c r="GZ412" s="677"/>
      <c r="HA412" s="677"/>
      <c r="HB412" s="677"/>
      <c r="HC412" s="677"/>
      <c r="HD412" s="677"/>
      <c r="HE412" s="677"/>
      <c r="HF412" s="677"/>
      <c r="HG412" s="677"/>
      <c r="HH412" s="677"/>
      <c r="HI412" s="677"/>
      <c r="HJ412" s="677"/>
      <c r="HK412" s="677"/>
      <c r="HL412" s="677"/>
      <c r="HM412" s="677"/>
      <c r="HN412" s="680"/>
      <c r="KH412" s="682"/>
      <c r="KI412" s="680"/>
    </row>
    <row r="413" spans="1:295" s="681" customFormat="1" outlineLevel="1">
      <c r="A413" s="675" t="s">
        <v>923</v>
      </c>
      <c r="B413" s="675" t="s">
        <v>361</v>
      </c>
      <c r="C413" s="675"/>
      <c r="D413" s="1467" t="s">
        <v>561</v>
      </c>
      <c r="E413" s="677"/>
      <c r="F413" s="677"/>
      <c r="G413" s="677"/>
      <c r="H413" s="677"/>
      <c r="I413" s="677"/>
      <c r="J413" s="677"/>
      <c r="K413" s="677"/>
      <c r="L413" s="677"/>
      <c r="M413" s="677"/>
      <c r="N413" s="677"/>
      <c r="O413" s="677"/>
      <c r="P413" s="677"/>
      <c r="Q413" s="677"/>
      <c r="R413" s="677"/>
      <c r="S413" s="677"/>
      <c r="T413" s="677"/>
      <c r="U413" s="677"/>
      <c r="V413" s="677"/>
      <c r="W413" s="677"/>
      <c r="X413" s="677"/>
      <c r="Y413" s="677"/>
      <c r="Z413" s="677"/>
      <c r="AA413" s="677"/>
      <c r="AB413" s="677"/>
      <c r="AC413" s="677"/>
      <c r="AD413" s="677"/>
      <c r="AE413" s="677"/>
      <c r="AF413" s="677"/>
      <c r="AG413" s="677"/>
      <c r="AH413" s="677"/>
      <c r="AI413" s="677"/>
      <c r="AJ413" s="677"/>
      <c r="AK413" s="677"/>
      <c r="AL413" s="677"/>
      <c r="AM413" s="677"/>
      <c r="AN413" s="677"/>
      <c r="AO413" s="677"/>
      <c r="AP413" s="677"/>
      <c r="AQ413" s="677"/>
      <c r="AR413" s="677"/>
      <c r="AS413" s="677"/>
      <c r="AT413" s="677"/>
      <c r="AU413" s="677"/>
      <c r="AV413" s="677"/>
      <c r="AW413" s="677"/>
      <c r="AX413" s="677"/>
      <c r="AY413" s="677"/>
      <c r="AZ413" s="677"/>
      <c r="BA413" s="677"/>
      <c r="BB413" s="677"/>
      <c r="BC413" s="677"/>
      <c r="BD413" s="677"/>
      <c r="BE413" s="677"/>
      <c r="BF413" s="677"/>
      <c r="BG413" s="677">
        <v>0</v>
      </c>
      <c r="BH413" s="677">
        <v>0</v>
      </c>
      <c r="BI413" s="677">
        <v>0</v>
      </c>
      <c r="BJ413" s="677">
        <v>0</v>
      </c>
      <c r="BK413" s="677">
        <v>0</v>
      </c>
      <c r="BL413" s="677">
        <v>0</v>
      </c>
      <c r="BM413" s="677">
        <v>0</v>
      </c>
      <c r="BN413" s="677">
        <v>0</v>
      </c>
      <c r="BO413" s="677">
        <v>0</v>
      </c>
      <c r="BP413" s="677">
        <v>0</v>
      </c>
      <c r="BQ413" s="677">
        <v>0</v>
      </c>
      <c r="BR413" s="677">
        <v>0</v>
      </c>
      <c r="BS413" s="677">
        <v>0</v>
      </c>
      <c r="BT413" s="677">
        <v>0</v>
      </c>
      <c r="BU413" s="677">
        <v>0</v>
      </c>
      <c r="BV413" s="677">
        <v>0</v>
      </c>
      <c r="BW413" s="677">
        <v>0</v>
      </c>
      <c r="BX413" s="677">
        <v>0</v>
      </c>
      <c r="BY413" s="677">
        <v>0</v>
      </c>
      <c r="BZ413" s="677">
        <v>0</v>
      </c>
      <c r="CA413" s="677">
        <v>0</v>
      </c>
      <c r="CB413" s="677">
        <v>0</v>
      </c>
      <c r="CC413" s="677">
        <v>0</v>
      </c>
      <c r="CD413" s="677">
        <v>0</v>
      </c>
      <c r="CE413" s="677">
        <v>0</v>
      </c>
      <c r="CF413" s="677">
        <v>0</v>
      </c>
      <c r="CG413" s="677">
        <v>0</v>
      </c>
      <c r="CH413" s="677">
        <v>0</v>
      </c>
      <c r="CI413" s="677">
        <v>0</v>
      </c>
      <c r="CJ413" s="677">
        <v>0</v>
      </c>
      <c r="CK413" s="677">
        <v>0</v>
      </c>
      <c r="CL413" s="677">
        <v>0</v>
      </c>
      <c r="CM413" s="677">
        <v>0</v>
      </c>
      <c r="CN413" s="677">
        <v>0</v>
      </c>
      <c r="CO413" s="677">
        <v>0</v>
      </c>
      <c r="CP413" s="679">
        <v>0</v>
      </c>
      <c r="CQ413" s="677">
        <v>0</v>
      </c>
      <c r="CR413" s="677">
        <v>0</v>
      </c>
      <c r="CS413" s="677">
        <v>0</v>
      </c>
      <c r="CT413" s="677">
        <v>0</v>
      </c>
      <c r="CU413" s="677">
        <v>0</v>
      </c>
      <c r="CV413" s="677">
        <v>0</v>
      </c>
      <c r="CW413" s="677">
        <v>0</v>
      </c>
      <c r="CX413" s="677">
        <v>0</v>
      </c>
      <c r="CY413" s="677">
        <v>0</v>
      </c>
      <c r="CZ413" s="677">
        <v>0</v>
      </c>
      <c r="DA413" s="677">
        <v>0</v>
      </c>
      <c r="DB413" s="1507">
        <v>0</v>
      </c>
      <c r="DC413" s="677">
        <v>0</v>
      </c>
      <c r="DD413" s="677">
        <v>0</v>
      </c>
      <c r="DE413" s="677">
        <v>0</v>
      </c>
      <c r="DF413" s="677">
        <v>0</v>
      </c>
      <c r="DG413" s="677">
        <v>0</v>
      </c>
      <c r="DH413" s="677">
        <v>0</v>
      </c>
      <c r="DI413" s="677">
        <v>0</v>
      </c>
      <c r="DJ413" s="677">
        <v>0</v>
      </c>
      <c r="DK413" s="677">
        <v>0</v>
      </c>
      <c r="DL413" s="677">
        <v>0</v>
      </c>
      <c r="DM413" s="677">
        <v>0</v>
      </c>
      <c r="DN413" s="679">
        <v>0</v>
      </c>
      <c r="DO413" s="677">
        <v>0</v>
      </c>
      <c r="DP413" s="677">
        <v>0</v>
      </c>
      <c r="DQ413" s="677">
        <v>0</v>
      </c>
      <c r="DR413" s="677">
        <v>0</v>
      </c>
      <c r="DS413" s="677">
        <v>0</v>
      </c>
      <c r="DT413" s="677">
        <v>0</v>
      </c>
      <c r="DU413" s="677">
        <v>0</v>
      </c>
      <c r="DV413" s="677">
        <v>0</v>
      </c>
      <c r="DW413" s="677">
        <v>0</v>
      </c>
      <c r="DX413" s="677">
        <v>0</v>
      </c>
      <c r="DY413" s="677">
        <v>0</v>
      </c>
      <c r="DZ413" s="679">
        <v>0</v>
      </c>
      <c r="EA413" s="677">
        <v>0</v>
      </c>
      <c r="EB413" s="677">
        <v>0</v>
      </c>
      <c r="EC413" s="677">
        <v>0</v>
      </c>
      <c r="ED413" s="677">
        <v>0</v>
      </c>
      <c r="EE413" s="677">
        <v>0</v>
      </c>
      <c r="EF413" s="677">
        <v>0</v>
      </c>
      <c r="EG413" s="677">
        <v>0</v>
      </c>
      <c r="EH413" s="677">
        <v>0</v>
      </c>
      <c r="EI413" s="677">
        <v>0</v>
      </c>
      <c r="EJ413" s="677">
        <v>0</v>
      </c>
      <c r="EK413" s="677">
        <v>0</v>
      </c>
      <c r="EL413" s="679">
        <v>0</v>
      </c>
      <c r="EM413" s="677">
        <v>0</v>
      </c>
      <c r="EN413" s="677">
        <v>0</v>
      </c>
      <c r="EO413" s="677">
        <v>0</v>
      </c>
      <c r="EP413" s="677">
        <v>0</v>
      </c>
      <c r="EQ413" s="677">
        <v>0</v>
      </c>
      <c r="ER413" s="677">
        <v>0</v>
      </c>
      <c r="ES413" s="677">
        <v>0</v>
      </c>
      <c r="ET413" s="677">
        <v>0</v>
      </c>
      <c r="EU413" s="677">
        <v>0</v>
      </c>
      <c r="EV413" s="677">
        <v>0</v>
      </c>
      <c r="EW413" s="677">
        <v>0</v>
      </c>
      <c r="EX413" s="679">
        <v>0</v>
      </c>
      <c r="EY413" s="677">
        <v>0</v>
      </c>
      <c r="EZ413" s="677">
        <v>0</v>
      </c>
      <c r="FA413" s="677">
        <v>0</v>
      </c>
      <c r="FB413" s="677">
        <v>0</v>
      </c>
      <c r="FC413" s="677">
        <v>0</v>
      </c>
      <c r="FD413" s="677">
        <v>0</v>
      </c>
      <c r="FE413" s="677">
        <v>0</v>
      </c>
      <c r="FF413" s="677">
        <v>0</v>
      </c>
      <c r="FG413" s="677">
        <v>0</v>
      </c>
      <c r="FH413" s="677">
        <v>0</v>
      </c>
      <c r="FI413" s="677">
        <v>0</v>
      </c>
      <c r="FJ413" s="679">
        <v>0</v>
      </c>
      <c r="FK413" s="677">
        <v>0</v>
      </c>
      <c r="FL413" s="677">
        <v>0</v>
      </c>
      <c r="FM413" s="677">
        <v>0</v>
      </c>
      <c r="FN413" s="677">
        <v>0</v>
      </c>
      <c r="FO413" s="677">
        <v>0</v>
      </c>
      <c r="FP413" s="677">
        <v>0</v>
      </c>
      <c r="FQ413" s="677">
        <v>0</v>
      </c>
      <c r="FR413" s="677">
        <v>0</v>
      </c>
      <c r="FS413" s="677">
        <v>0</v>
      </c>
      <c r="FT413" s="677">
        <v>0</v>
      </c>
      <c r="FU413" s="677">
        <v>0</v>
      </c>
      <c r="FV413" s="677">
        <v>0</v>
      </c>
      <c r="FW413" s="677">
        <v>0</v>
      </c>
      <c r="FX413" s="677">
        <v>0</v>
      </c>
      <c r="FY413" s="677">
        <v>0</v>
      </c>
      <c r="FZ413" s="677">
        <v>0</v>
      </c>
      <c r="GA413" s="677">
        <v>0</v>
      </c>
      <c r="GB413" s="677">
        <v>0</v>
      </c>
      <c r="GC413" s="677">
        <v>0</v>
      </c>
      <c r="GD413" s="677">
        <v>0</v>
      </c>
      <c r="GE413" s="677">
        <v>0</v>
      </c>
      <c r="GF413" s="677">
        <v>0</v>
      </c>
      <c r="GG413" s="677">
        <v>0</v>
      </c>
      <c r="GH413" s="677">
        <v>0</v>
      </c>
      <c r="GI413" s="677"/>
      <c r="GJ413" s="677"/>
      <c r="GK413" s="677"/>
      <c r="GL413" s="677"/>
      <c r="GM413" s="677"/>
      <c r="GN413" s="677"/>
      <c r="GO413" s="677"/>
      <c r="GP413" s="677"/>
      <c r="GQ413" s="677"/>
      <c r="GR413" s="677"/>
      <c r="GS413" s="677"/>
      <c r="GT413" s="677"/>
      <c r="GU413" s="677"/>
      <c r="GV413" s="677"/>
      <c r="GW413" s="677"/>
      <c r="GX413" s="677"/>
      <c r="GY413" s="677"/>
      <c r="GZ413" s="677"/>
      <c r="HA413" s="677"/>
      <c r="HB413" s="677"/>
      <c r="HC413" s="677"/>
      <c r="HD413" s="677"/>
      <c r="HE413" s="677"/>
      <c r="HF413" s="677"/>
      <c r="HG413" s="677"/>
      <c r="HH413" s="677"/>
      <c r="HI413" s="677"/>
      <c r="HJ413" s="677"/>
      <c r="HK413" s="677"/>
      <c r="HL413" s="677"/>
      <c r="HM413" s="677"/>
      <c r="HN413" s="680"/>
      <c r="KH413" s="682"/>
      <c r="KI413" s="680"/>
    </row>
    <row r="414" spans="1:295" s="681" customFormat="1" outlineLevel="1">
      <c r="A414" s="675" t="s">
        <v>923</v>
      </c>
      <c r="B414" s="675" t="s">
        <v>361</v>
      </c>
      <c r="C414" s="675"/>
      <c r="D414" s="1467" t="s">
        <v>544</v>
      </c>
      <c r="E414" s="677"/>
      <c r="F414" s="677"/>
      <c r="G414" s="677"/>
      <c r="H414" s="677"/>
      <c r="I414" s="677"/>
      <c r="J414" s="677"/>
      <c r="K414" s="677"/>
      <c r="L414" s="677"/>
      <c r="M414" s="677"/>
      <c r="N414" s="677"/>
      <c r="O414" s="677"/>
      <c r="P414" s="677"/>
      <c r="Q414" s="677"/>
      <c r="R414" s="677"/>
      <c r="S414" s="677"/>
      <c r="T414" s="677"/>
      <c r="U414" s="677"/>
      <c r="V414" s="677"/>
      <c r="W414" s="677"/>
      <c r="X414" s="677"/>
      <c r="Y414" s="677"/>
      <c r="Z414" s="677"/>
      <c r="AA414" s="677"/>
      <c r="AB414" s="677"/>
      <c r="AC414" s="677"/>
      <c r="AD414" s="677"/>
      <c r="AE414" s="677"/>
      <c r="AF414" s="677"/>
      <c r="AG414" s="677"/>
      <c r="AH414" s="677"/>
      <c r="AI414" s="677"/>
      <c r="AJ414" s="677"/>
      <c r="AK414" s="677"/>
      <c r="AL414" s="677"/>
      <c r="AM414" s="677"/>
      <c r="AN414" s="677"/>
      <c r="AO414" s="677"/>
      <c r="AP414" s="677"/>
      <c r="AQ414" s="677"/>
      <c r="AR414" s="677"/>
      <c r="AS414" s="677"/>
      <c r="AT414" s="677"/>
      <c r="AU414" s="677"/>
      <c r="AV414" s="677"/>
      <c r="AW414" s="677"/>
      <c r="AX414" s="677"/>
      <c r="AY414" s="677"/>
      <c r="AZ414" s="677"/>
      <c r="BA414" s="677"/>
      <c r="BB414" s="677"/>
      <c r="BC414" s="677"/>
      <c r="BD414" s="677"/>
      <c r="BE414" s="677"/>
      <c r="BF414" s="677"/>
      <c r="BG414" s="677">
        <v>0.47136276519999998</v>
      </c>
      <c r="BH414" s="677">
        <v>0.56855719612</v>
      </c>
      <c r="BI414" s="677">
        <v>3.3048141694800002</v>
      </c>
      <c r="BJ414" s="677">
        <v>0.55994236499999994</v>
      </c>
      <c r="BK414" s="677">
        <v>2.0145336340000002</v>
      </c>
      <c r="BL414" s="677">
        <v>1.919866251</v>
      </c>
      <c r="BM414" s="677">
        <v>1.219471161</v>
      </c>
      <c r="BN414" s="677">
        <v>1.316947208</v>
      </c>
      <c r="BO414" s="677">
        <v>2.9587543570000001</v>
      </c>
      <c r="BP414" s="677">
        <v>1.177985018</v>
      </c>
      <c r="BQ414" s="677">
        <v>0.61349426200000001</v>
      </c>
      <c r="BR414" s="677">
        <v>2.3830489740000003</v>
      </c>
      <c r="BS414" s="677">
        <v>0.29478044799999997</v>
      </c>
      <c r="BT414" s="677">
        <v>1.198582636</v>
      </c>
      <c r="BU414" s="677">
        <v>1.159378325</v>
      </c>
      <c r="BV414" s="677">
        <v>2.6299444830000001</v>
      </c>
      <c r="BW414" s="677">
        <v>2.2229761640000003</v>
      </c>
      <c r="BX414" s="677">
        <v>1.3665123440000002</v>
      </c>
      <c r="BY414" s="677">
        <v>2.1331117160000002</v>
      </c>
      <c r="BZ414" s="677">
        <v>1.8207399930000001</v>
      </c>
      <c r="CA414" s="677">
        <v>1.905523869</v>
      </c>
      <c r="CB414" s="677">
        <v>2.52306886</v>
      </c>
      <c r="CC414" s="677">
        <v>8.8502698479999999</v>
      </c>
      <c r="CD414" s="677">
        <v>3.8778661080000001</v>
      </c>
      <c r="CE414" s="677">
        <v>7.3648541114296648</v>
      </c>
      <c r="CF414" s="677">
        <v>12.307332286606963</v>
      </c>
      <c r="CG414" s="677">
        <v>6.2513929324770618</v>
      </c>
      <c r="CH414" s="677">
        <v>18.261139942899149</v>
      </c>
      <c r="CI414" s="677">
        <v>5.7280009133286844</v>
      </c>
      <c r="CJ414" s="677">
        <v>3.9068688296663425</v>
      </c>
      <c r="CK414" s="677">
        <v>8.4892318138845084</v>
      </c>
      <c r="CL414" s="677">
        <v>3.9291905938390088</v>
      </c>
      <c r="CM414" s="677">
        <v>3.4396604405048112</v>
      </c>
      <c r="CN414" s="677">
        <v>11.506482584037983</v>
      </c>
      <c r="CO414" s="677">
        <v>4.9342347847366312</v>
      </c>
      <c r="CP414" s="679">
        <v>2.2384904943174666</v>
      </c>
      <c r="CQ414" s="677">
        <v>1.6147822810000001</v>
      </c>
      <c r="CR414" s="677">
        <v>2.690494191</v>
      </c>
      <c r="CS414" s="677">
        <v>2.7286537719999999</v>
      </c>
      <c r="CT414" s="677">
        <v>10.742280388999999</v>
      </c>
      <c r="CU414" s="677">
        <v>2.926404845</v>
      </c>
      <c r="CV414" s="677">
        <v>1.2423336410000001</v>
      </c>
      <c r="CW414" s="677">
        <v>1.720635634</v>
      </c>
      <c r="CX414" s="677">
        <v>1.0965883030000001</v>
      </c>
      <c r="CY414" s="677">
        <v>4.4167458179999999</v>
      </c>
      <c r="CZ414" s="677">
        <v>11.485379681</v>
      </c>
      <c r="DA414" s="677">
        <v>3.1392284250000002</v>
      </c>
      <c r="DB414" s="1507">
        <v>1.8150281640000001</v>
      </c>
      <c r="DC414" s="677">
        <v>1.8949841599999999</v>
      </c>
      <c r="DD414" s="677">
        <v>4.491078076</v>
      </c>
      <c r="DE414" s="677">
        <v>3.3863045870000001</v>
      </c>
      <c r="DF414" s="677">
        <v>11.642573114999999</v>
      </c>
      <c r="DG414" s="677">
        <v>4.4688542629999999</v>
      </c>
      <c r="DH414" s="677">
        <v>1.3725996439999999</v>
      </c>
      <c r="DI414" s="677">
        <v>2.0589334090000002</v>
      </c>
      <c r="DJ414" s="677">
        <v>4.9357321399999998</v>
      </c>
      <c r="DK414" s="677">
        <v>3.4511521900000002</v>
      </c>
      <c r="DL414" s="677">
        <v>12.688350985</v>
      </c>
      <c r="DM414" s="677">
        <v>5.6211685109999996</v>
      </c>
      <c r="DN414" s="679">
        <v>1.665370115</v>
      </c>
      <c r="DO414" s="677">
        <v>2.3167633840000001</v>
      </c>
      <c r="DP414" s="677">
        <v>1.9027358080000001</v>
      </c>
      <c r="DQ414" s="677">
        <v>4.092302611</v>
      </c>
      <c r="DR414" s="677">
        <v>11.526879399</v>
      </c>
      <c r="DS414" s="677">
        <v>9.4295556719999993</v>
      </c>
      <c r="DT414" s="677">
        <v>5.4837887470000002</v>
      </c>
      <c r="DU414" s="677">
        <v>3.605935997</v>
      </c>
      <c r="DV414" s="677">
        <v>8.3153343970000009</v>
      </c>
      <c r="DW414" s="677">
        <v>3.6566513139999999</v>
      </c>
      <c r="DX414" s="677">
        <v>15.735724341999999</v>
      </c>
      <c r="DY414" s="677">
        <v>5.9448669609999998</v>
      </c>
      <c r="DZ414" s="679">
        <v>7.1660838580000004</v>
      </c>
      <c r="EA414" s="677">
        <v>3.5461118319999998</v>
      </c>
      <c r="EB414" s="677">
        <v>9.1508729009999996</v>
      </c>
      <c r="EC414" s="677">
        <v>6.4711025400000004</v>
      </c>
      <c r="ED414" s="677">
        <v>14.627930660000001</v>
      </c>
      <c r="EE414" s="677">
        <v>7.7414311839999996</v>
      </c>
      <c r="EF414" s="677">
        <v>3.4162961630000002</v>
      </c>
      <c r="EG414" s="677">
        <v>3.7387656589999998</v>
      </c>
      <c r="EH414" s="677">
        <v>11.551069546000001</v>
      </c>
      <c r="EI414" s="677">
        <v>5.7762329860000001</v>
      </c>
      <c r="EJ414" s="677">
        <v>16.824690671999999</v>
      </c>
      <c r="EK414" s="677">
        <v>7.6464931549999999</v>
      </c>
      <c r="EL414" s="679">
        <v>4.6746366530000003</v>
      </c>
      <c r="EM414" s="677">
        <v>3.816679057</v>
      </c>
      <c r="EN414" s="677">
        <v>10.486365338000001</v>
      </c>
      <c r="EO414" s="677">
        <v>6.3748220890000002</v>
      </c>
      <c r="EP414" s="677">
        <v>14.542099840000001</v>
      </c>
      <c r="EQ414" s="677">
        <v>11.854197691</v>
      </c>
      <c r="ER414" s="677">
        <v>2.9836837780000001</v>
      </c>
      <c r="ES414" s="677">
        <v>4.597397645</v>
      </c>
      <c r="ET414" s="677">
        <v>11.637998302</v>
      </c>
      <c r="EU414" s="677">
        <v>6.4636354840000001</v>
      </c>
      <c r="EV414" s="677">
        <v>13.977150341</v>
      </c>
      <c r="EW414" s="677">
        <v>12.882842942</v>
      </c>
      <c r="EX414" s="679">
        <v>2.3569134960000002</v>
      </c>
      <c r="EY414" s="677">
        <v>4.256094364</v>
      </c>
      <c r="EZ414" s="677">
        <v>15.040706532</v>
      </c>
      <c r="FA414" s="677">
        <v>5.9650410970000003</v>
      </c>
      <c r="FB414" s="677">
        <v>17.796604900999998</v>
      </c>
      <c r="FC414" s="677">
        <v>16.230708064000002</v>
      </c>
      <c r="FD414" s="677">
        <v>4.2815713789999998</v>
      </c>
      <c r="FE414" s="677">
        <v>2.1055967619999998</v>
      </c>
      <c r="FF414" s="677">
        <v>3.4102348579999999</v>
      </c>
      <c r="FG414" s="677">
        <v>5.0214268710000001</v>
      </c>
      <c r="FH414" s="677">
        <v>36.298597192999999</v>
      </c>
      <c r="FI414" s="677">
        <v>23.813126035</v>
      </c>
      <c r="FJ414" s="679">
        <v>8.3842474459999998</v>
      </c>
      <c r="FK414" s="677">
        <v>6.6017138879999999</v>
      </c>
      <c r="FL414" s="677">
        <v>20.585024864000001</v>
      </c>
      <c r="FM414" s="677">
        <v>11.906033674</v>
      </c>
      <c r="FN414" s="677">
        <v>16.153937051</v>
      </c>
      <c r="FO414" s="677">
        <v>21.821031329</v>
      </c>
      <c r="FP414" s="677">
        <v>5.2804806219999998</v>
      </c>
      <c r="FQ414" s="677">
        <v>5.6125476230000002</v>
      </c>
      <c r="FR414" s="677">
        <v>29.157037155000001</v>
      </c>
      <c r="FS414" s="677">
        <v>10.448763252999999</v>
      </c>
      <c r="FT414" s="677">
        <v>18.074449777000002</v>
      </c>
      <c r="FU414" s="677">
        <v>5.2933192409999998</v>
      </c>
      <c r="FV414" s="677">
        <v>28.523109587</v>
      </c>
      <c r="FW414" s="677">
        <v>11.151010874000001</v>
      </c>
      <c r="FX414" s="677">
        <v>8.5787114130000006</v>
      </c>
      <c r="FY414" s="677">
        <v>37.328038411999998</v>
      </c>
      <c r="FZ414" s="677">
        <v>7.7185855539999997</v>
      </c>
      <c r="GA414" s="677">
        <v>29.487857193</v>
      </c>
      <c r="GB414" s="677">
        <v>6.2606071390000002</v>
      </c>
      <c r="GC414" s="677">
        <v>25.450051139999999</v>
      </c>
      <c r="GD414" s="677">
        <v>34.450936476000003</v>
      </c>
      <c r="GE414" s="677">
        <v>12.762269906</v>
      </c>
      <c r="GF414" s="677">
        <v>3.6692705980000002</v>
      </c>
      <c r="GG414" s="677">
        <v>36.592728929000003</v>
      </c>
      <c r="GH414" s="677">
        <v>4.6747351909999999</v>
      </c>
      <c r="GI414" s="677"/>
      <c r="GJ414" s="677"/>
      <c r="GK414" s="677"/>
      <c r="GL414" s="677"/>
      <c r="GM414" s="677"/>
      <c r="GN414" s="677"/>
      <c r="GO414" s="677"/>
      <c r="GP414" s="677"/>
      <c r="GQ414" s="677"/>
      <c r="GR414" s="677"/>
      <c r="GS414" s="677"/>
      <c r="GT414" s="677"/>
      <c r="GU414" s="677"/>
      <c r="GV414" s="677"/>
      <c r="GW414" s="677"/>
      <c r="GX414" s="677"/>
      <c r="GY414" s="677"/>
      <c r="GZ414" s="677"/>
      <c r="HA414" s="677"/>
      <c r="HB414" s="677"/>
      <c r="HC414" s="677"/>
      <c r="HD414" s="677"/>
      <c r="HE414" s="677"/>
      <c r="HF414" s="677"/>
      <c r="HG414" s="677"/>
      <c r="HH414" s="677"/>
      <c r="HI414" s="677"/>
      <c r="HJ414" s="677"/>
      <c r="HK414" s="677"/>
      <c r="HL414" s="677"/>
      <c r="HM414" s="677"/>
      <c r="HN414" s="680"/>
      <c r="KH414" s="682"/>
      <c r="KI414" s="680"/>
    </row>
    <row r="415" spans="1:295" s="681" customFormat="1" outlineLevel="1">
      <c r="A415" s="675" t="s">
        <v>923</v>
      </c>
      <c r="B415" s="675" t="s">
        <v>361</v>
      </c>
      <c r="C415" s="675"/>
      <c r="D415" s="1468" t="s">
        <v>562</v>
      </c>
      <c r="E415" s="677"/>
      <c r="F415" s="677"/>
      <c r="G415" s="677"/>
      <c r="H415" s="677"/>
      <c r="I415" s="677"/>
      <c r="J415" s="677"/>
      <c r="K415" s="677"/>
      <c r="L415" s="677"/>
      <c r="M415" s="677"/>
      <c r="N415" s="677"/>
      <c r="O415" s="677"/>
      <c r="P415" s="677"/>
      <c r="Q415" s="677"/>
      <c r="R415" s="677"/>
      <c r="S415" s="677"/>
      <c r="T415" s="677"/>
      <c r="U415" s="677"/>
      <c r="V415" s="677"/>
      <c r="W415" s="677"/>
      <c r="X415" s="677"/>
      <c r="Y415" s="677"/>
      <c r="Z415" s="677"/>
      <c r="AA415" s="677"/>
      <c r="AB415" s="677"/>
      <c r="AC415" s="677"/>
      <c r="AD415" s="677"/>
      <c r="AE415" s="677"/>
      <c r="AF415" s="677"/>
      <c r="AG415" s="677"/>
      <c r="AH415" s="677"/>
      <c r="AI415" s="677"/>
      <c r="AJ415" s="677"/>
      <c r="AK415" s="677"/>
      <c r="AL415" s="677"/>
      <c r="AM415" s="677"/>
      <c r="AN415" s="677"/>
      <c r="AO415" s="677"/>
      <c r="AP415" s="677"/>
      <c r="AQ415" s="677"/>
      <c r="AR415" s="677"/>
      <c r="AS415" s="677"/>
      <c r="AT415" s="677"/>
      <c r="AU415" s="677"/>
      <c r="AV415" s="677"/>
      <c r="AW415" s="677"/>
      <c r="AX415" s="677"/>
      <c r="AY415" s="677"/>
      <c r="AZ415" s="677"/>
      <c r="BA415" s="677"/>
      <c r="BB415" s="677"/>
      <c r="BC415" s="677"/>
      <c r="BD415" s="677"/>
      <c r="BE415" s="677"/>
      <c r="BF415" s="677"/>
      <c r="BG415" s="677">
        <v>0.47136276519999998</v>
      </c>
      <c r="BH415" s="677">
        <v>0.27274706211999999</v>
      </c>
      <c r="BI415" s="677">
        <v>1.15664130348</v>
      </c>
      <c r="BJ415" s="677">
        <v>0.29351833300000002</v>
      </c>
      <c r="BK415" s="677">
        <v>0.25040739400000001</v>
      </c>
      <c r="BL415" s="677">
        <v>0.45723261700000001</v>
      </c>
      <c r="BM415" s="677">
        <v>0.399195407</v>
      </c>
      <c r="BN415" s="677">
        <v>6.6661100000000001E-2</v>
      </c>
      <c r="BO415" s="677">
        <v>1.1566686740000001</v>
      </c>
      <c r="BP415" s="677">
        <v>0.71000549199999996</v>
      </c>
      <c r="BQ415" s="677">
        <v>0.31224965700000001</v>
      </c>
      <c r="BR415" s="677">
        <v>0.24138464000000001</v>
      </c>
      <c r="BS415" s="677">
        <v>0.29478044799999997</v>
      </c>
      <c r="BT415" s="677">
        <v>0.26295763599999999</v>
      </c>
      <c r="BU415" s="677">
        <v>1.159378325</v>
      </c>
      <c r="BV415" s="677">
        <v>0.25431436299999999</v>
      </c>
      <c r="BW415" s="677">
        <v>0.35681724500000001</v>
      </c>
      <c r="BX415" s="677">
        <v>0.26304086100000001</v>
      </c>
      <c r="BY415" s="677">
        <v>0.47239882799999999</v>
      </c>
      <c r="BZ415" s="677">
        <v>1.014155605</v>
      </c>
      <c r="CA415" s="677">
        <v>1.267804189</v>
      </c>
      <c r="CB415" s="677">
        <v>0.29975758800000002</v>
      </c>
      <c r="CC415" s="677">
        <v>7.670850798</v>
      </c>
      <c r="CD415" s="677">
        <v>0.242850555</v>
      </c>
      <c r="CE415" s="677">
        <v>0.6969246684296645</v>
      </c>
      <c r="CF415" s="677">
        <v>0.20840830560696241</v>
      </c>
      <c r="CG415" s="677">
        <v>0.97392462447706141</v>
      </c>
      <c r="CH415" s="677">
        <v>9.8554909258991508</v>
      </c>
      <c r="CI415" s="677">
        <v>0.32145879232868413</v>
      </c>
      <c r="CJ415" s="677">
        <v>0.19237510966634239</v>
      </c>
      <c r="CK415" s="677">
        <v>0.71346271088450908</v>
      </c>
      <c r="CL415" s="677">
        <v>0.21600343383900905</v>
      </c>
      <c r="CM415" s="677">
        <v>1.1769884505048114</v>
      </c>
      <c r="CN415" s="677">
        <v>10.349296616037982</v>
      </c>
      <c r="CO415" s="677">
        <v>0.49532113773663172</v>
      </c>
      <c r="CP415" s="679">
        <v>0.33179743428691255</v>
      </c>
      <c r="CQ415" s="677">
        <v>0.71878676200000002</v>
      </c>
      <c r="CR415" s="677">
        <v>0.29884553600000002</v>
      </c>
      <c r="CS415" s="677">
        <v>1.805917292</v>
      </c>
      <c r="CT415" s="677">
        <v>9.7326048410000006</v>
      </c>
      <c r="CU415" s="677">
        <v>0.46882611800000001</v>
      </c>
      <c r="CV415" s="677">
        <v>0.28060508200000001</v>
      </c>
      <c r="CW415" s="677">
        <v>0.78783252699999995</v>
      </c>
      <c r="CX415" s="677">
        <v>0.41301081299999998</v>
      </c>
      <c r="CY415" s="677">
        <v>1.425080576</v>
      </c>
      <c r="CZ415" s="677">
        <v>10.55931024</v>
      </c>
      <c r="DA415" s="677">
        <v>0.406349715</v>
      </c>
      <c r="DB415" s="1507">
        <v>0.31310058899999998</v>
      </c>
      <c r="DC415" s="677">
        <v>0.88124448899999996</v>
      </c>
      <c r="DD415" s="677">
        <v>0.67554113000000005</v>
      </c>
      <c r="DE415" s="677">
        <v>2.1526617080000001</v>
      </c>
      <c r="DF415" s="677">
        <v>10.315275193</v>
      </c>
      <c r="DG415" s="677">
        <v>0.45481288199999997</v>
      </c>
      <c r="DH415" s="677">
        <v>0.319691008</v>
      </c>
      <c r="DI415" s="677">
        <v>0.90162314200000004</v>
      </c>
      <c r="DJ415" s="677">
        <v>0.86559799599999998</v>
      </c>
      <c r="DK415" s="677">
        <v>2.5805420059999999</v>
      </c>
      <c r="DL415" s="677">
        <v>10.819309213</v>
      </c>
      <c r="DM415" s="677">
        <v>0.55753518999999996</v>
      </c>
      <c r="DN415" s="679">
        <v>0.28747601299999997</v>
      </c>
      <c r="DO415" s="677">
        <v>1.393725895</v>
      </c>
      <c r="DP415" s="677">
        <v>1.2066371229999999</v>
      </c>
      <c r="DQ415" s="677">
        <v>2.9542493329999999</v>
      </c>
      <c r="DR415" s="677">
        <v>11.468598423</v>
      </c>
      <c r="DS415" s="677">
        <v>3.0916288770000002</v>
      </c>
      <c r="DT415" s="677">
        <v>5.4832322490000003</v>
      </c>
      <c r="DU415" s="677">
        <v>2.001038265</v>
      </c>
      <c r="DV415" s="677">
        <v>2.823913406</v>
      </c>
      <c r="DW415" s="677">
        <v>2.0885248189999999</v>
      </c>
      <c r="DX415" s="677">
        <v>14.952792633</v>
      </c>
      <c r="DY415" s="677">
        <v>1.6970184109999999</v>
      </c>
      <c r="DZ415" s="679">
        <v>5.1292232750000002</v>
      </c>
      <c r="EA415" s="677">
        <v>2.6473932470000001</v>
      </c>
      <c r="EB415" s="677">
        <v>3.4973608820000002</v>
      </c>
      <c r="EC415" s="677">
        <v>4.5550383129999998</v>
      </c>
      <c r="ED415" s="677">
        <v>13.904118070000001</v>
      </c>
      <c r="EE415" s="677">
        <v>1.802860197</v>
      </c>
      <c r="EF415" s="677">
        <v>2.4033611239999999</v>
      </c>
      <c r="EG415" s="677">
        <v>2.8824428279999998</v>
      </c>
      <c r="EH415" s="677">
        <v>4.8117608870000002</v>
      </c>
      <c r="EI415" s="677">
        <v>4.6841101329999999</v>
      </c>
      <c r="EJ415" s="677">
        <v>14.142680024000001</v>
      </c>
      <c r="EK415" s="677">
        <v>1.2108538820000001</v>
      </c>
      <c r="EL415" s="679">
        <v>3.9869962079999999</v>
      </c>
      <c r="EM415" s="677">
        <v>3.0091818429999999</v>
      </c>
      <c r="EN415" s="677">
        <v>4.5573169550000001</v>
      </c>
      <c r="EO415" s="677">
        <v>5.3981225640000003</v>
      </c>
      <c r="EP415" s="677">
        <v>14.456209823</v>
      </c>
      <c r="EQ415" s="677">
        <v>3.2707480119999999</v>
      </c>
      <c r="ER415" s="677">
        <v>2.9836837780000001</v>
      </c>
      <c r="ES415" s="677">
        <v>2.8858004209999999</v>
      </c>
      <c r="ET415" s="677">
        <v>4.7274645030000002</v>
      </c>
      <c r="EU415" s="677">
        <v>6.1804956950000003</v>
      </c>
      <c r="EV415" s="677">
        <v>13.935556629000001</v>
      </c>
      <c r="EW415" s="677">
        <v>3.6501831560000002</v>
      </c>
      <c r="EX415" s="679">
        <v>2.177151528</v>
      </c>
      <c r="EY415" s="677">
        <v>3.3662574260000002</v>
      </c>
      <c r="EZ415" s="677">
        <v>4.5529266130000003</v>
      </c>
      <c r="FA415" s="677">
        <v>4.1780476249999996</v>
      </c>
      <c r="FB415" s="677">
        <v>14.961240265000001</v>
      </c>
      <c r="FC415" s="677">
        <v>4.9232981770000004</v>
      </c>
      <c r="FD415" s="677">
        <v>4.1223030859999996</v>
      </c>
      <c r="FE415" s="677">
        <v>1.1154224779999999</v>
      </c>
      <c r="FF415" s="677">
        <v>3.168919152</v>
      </c>
      <c r="FG415" s="677">
        <v>3.1144872079999999</v>
      </c>
      <c r="FH415" s="677">
        <v>21.792364152000001</v>
      </c>
      <c r="FI415" s="677">
        <v>8.9862828379999993</v>
      </c>
      <c r="FJ415" s="679">
        <v>3.922431097</v>
      </c>
      <c r="FK415" s="677">
        <v>3.3376135520000001</v>
      </c>
      <c r="FL415" s="677">
        <v>5.8283110919999999</v>
      </c>
      <c r="FM415" s="677">
        <v>6.6107949880000003</v>
      </c>
      <c r="FN415" s="677">
        <v>15.938432674</v>
      </c>
      <c r="FO415" s="677">
        <v>4.7089655949999996</v>
      </c>
      <c r="FP415" s="677">
        <v>4.0933872769999997</v>
      </c>
      <c r="FQ415" s="677">
        <v>2.203601065</v>
      </c>
      <c r="FR415" s="677">
        <v>8.195824472</v>
      </c>
      <c r="FS415" s="677">
        <v>5.7240437100000001</v>
      </c>
      <c r="FT415" s="677">
        <v>17.824587964999999</v>
      </c>
      <c r="FU415" s="677">
        <v>3.3611040860000001</v>
      </c>
      <c r="FV415" s="677">
        <v>8.4281089819999995</v>
      </c>
      <c r="FW415" s="677">
        <v>7.9557223129999999</v>
      </c>
      <c r="FX415" s="677">
        <v>8.3125928659999992</v>
      </c>
      <c r="FY415" s="677">
        <v>7.1214515890000003</v>
      </c>
      <c r="FZ415" s="677">
        <v>7.0866075369999999</v>
      </c>
      <c r="GA415" s="677">
        <v>6.4331817009999996</v>
      </c>
      <c r="GB415" s="677">
        <v>5.2675287800000001</v>
      </c>
      <c r="GC415" s="677">
        <v>22.270019085000001</v>
      </c>
      <c r="GD415" s="677">
        <v>6.0312182200000004</v>
      </c>
      <c r="GE415" s="677">
        <v>6.2156036820000002</v>
      </c>
      <c r="GF415" s="677">
        <v>3.245726152</v>
      </c>
      <c r="GG415" s="677">
        <v>7.6029098270000004</v>
      </c>
      <c r="GH415" s="677">
        <v>3.9933554920000001</v>
      </c>
      <c r="GI415" s="677"/>
      <c r="GJ415" s="677"/>
      <c r="GK415" s="677"/>
      <c r="GL415" s="677"/>
      <c r="GM415" s="677"/>
      <c r="GN415" s="677"/>
      <c r="GO415" s="677"/>
      <c r="GP415" s="677"/>
      <c r="GQ415" s="677"/>
      <c r="GR415" s="677"/>
      <c r="GS415" s="677"/>
      <c r="GT415" s="677"/>
      <c r="GU415" s="677"/>
      <c r="GV415" s="677"/>
      <c r="GW415" s="677"/>
      <c r="GX415" s="677"/>
      <c r="GY415" s="677"/>
      <c r="GZ415" s="677"/>
      <c r="HA415" s="677"/>
      <c r="HB415" s="677"/>
      <c r="HC415" s="677"/>
      <c r="HD415" s="677"/>
      <c r="HE415" s="677"/>
      <c r="HF415" s="677"/>
      <c r="HG415" s="677"/>
      <c r="HH415" s="677"/>
      <c r="HI415" s="677"/>
      <c r="HJ415" s="677"/>
      <c r="HK415" s="677"/>
      <c r="HL415" s="677"/>
      <c r="HM415" s="677"/>
      <c r="HN415" s="680"/>
      <c r="KH415" s="682"/>
      <c r="KI415" s="680"/>
    </row>
    <row r="416" spans="1:295" s="681" customFormat="1" outlineLevel="1">
      <c r="A416" s="675" t="s">
        <v>923</v>
      </c>
      <c r="B416" s="675" t="s">
        <v>361</v>
      </c>
      <c r="C416" s="675"/>
      <c r="D416" s="1468" t="s">
        <v>563</v>
      </c>
      <c r="E416" s="677"/>
      <c r="F416" s="677"/>
      <c r="G416" s="677"/>
      <c r="H416" s="677"/>
      <c r="I416" s="677"/>
      <c r="J416" s="677"/>
      <c r="K416" s="677"/>
      <c r="L416" s="677"/>
      <c r="M416" s="677"/>
      <c r="N416" s="677"/>
      <c r="O416" s="677"/>
      <c r="P416" s="677"/>
      <c r="Q416" s="677"/>
      <c r="R416" s="677"/>
      <c r="S416" s="677"/>
      <c r="T416" s="677"/>
      <c r="U416" s="677"/>
      <c r="V416" s="677"/>
      <c r="W416" s="677"/>
      <c r="X416" s="677"/>
      <c r="Y416" s="677"/>
      <c r="Z416" s="677"/>
      <c r="AA416" s="677"/>
      <c r="AB416" s="677"/>
      <c r="AC416" s="677"/>
      <c r="AD416" s="677"/>
      <c r="AE416" s="677"/>
      <c r="AF416" s="677"/>
      <c r="AG416" s="677"/>
      <c r="AH416" s="677"/>
      <c r="AI416" s="677"/>
      <c r="AJ416" s="677"/>
      <c r="AK416" s="677"/>
      <c r="AL416" s="677"/>
      <c r="AM416" s="677"/>
      <c r="AN416" s="677"/>
      <c r="AO416" s="677"/>
      <c r="AP416" s="677"/>
      <c r="AQ416" s="677"/>
      <c r="AR416" s="677"/>
      <c r="AS416" s="677"/>
      <c r="AT416" s="677"/>
      <c r="AU416" s="677"/>
      <c r="AV416" s="677"/>
      <c r="AW416" s="677"/>
      <c r="AX416" s="677"/>
      <c r="AY416" s="677"/>
      <c r="AZ416" s="677"/>
      <c r="BA416" s="677"/>
      <c r="BB416" s="677"/>
      <c r="BC416" s="677"/>
      <c r="BD416" s="677"/>
      <c r="BE416" s="677"/>
      <c r="BF416" s="677"/>
      <c r="BG416" s="677">
        <v>0</v>
      </c>
      <c r="BH416" s="677">
        <v>0.295810134</v>
      </c>
      <c r="BI416" s="677">
        <v>2.1481728659999999</v>
      </c>
      <c r="BJ416" s="677">
        <v>0.26642403199999998</v>
      </c>
      <c r="BK416" s="677">
        <v>1.76412624</v>
      </c>
      <c r="BL416" s="677">
        <v>1.4626336339999999</v>
      </c>
      <c r="BM416" s="677">
        <v>0.82027575399999997</v>
      </c>
      <c r="BN416" s="677">
        <v>1.2502861080000001</v>
      </c>
      <c r="BO416" s="677">
        <v>1.802085683</v>
      </c>
      <c r="BP416" s="677">
        <v>0.46797952599999998</v>
      </c>
      <c r="BQ416" s="677">
        <v>0.301244605</v>
      </c>
      <c r="BR416" s="677">
        <v>2.1416643340000001</v>
      </c>
      <c r="BS416" s="677">
        <v>0</v>
      </c>
      <c r="BT416" s="677">
        <v>0.93562500000000004</v>
      </c>
      <c r="BU416" s="677">
        <v>0</v>
      </c>
      <c r="BV416" s="677">
        <v>2.3756301199999998</v>
      </c>
      <c r="BW416" s="677">
        <v>1.8661589190000001</v>
      </c>
      <c r="BX416" s="677">
        <v>1.1034714830000001</v>
      </c>
      <c r="BY416" s="677">
        <v>1.6607128879999999</v>
      </c>
      <c r="BZ416" s="677">
        <v>0.80658438799999999</v>
      </c>
      <c r="CA416" s="677">
        <v>0.63771968000000001</v>
      </c>
      <c r="CB416" s="677">
        <v>2.2233112720000001</v>
      </c>
      <c r="CC416" s="677">
        <v>1.1794190499999999</v>
      </c>
      <c r="CD416" s="677">
        <v>3.6350155530000001</v>
      </c>
      <c r="CE416" s="677">
        <v>0.91287137277799746</v>
      </c>
      <c r="CF416" s="677">
        <v>2.6440019562175725</v>
      </c>
      <c r="CG416" s="677">
        <v>1.8232696501794503</v>
      </c>
      <c r="CH416" s="677">
        <v>1.003543253476</v>
      </c>
      <c r="CI416" s="677">
        <v>2.0724815196329995</v>
      </c>
      <c r="CJ416" s="677">
        <v>1.4396311112401539</v>
      </c>
      <c r="CK416" s="677">
        <v>1.112374852024002</v>
      </c>
      <c r="CL416" s="677">
        <v>0.9939060787571673</v>
      </c>
      <c r="CM416" s="677">
        <v>1.7816367285922678</v>
      </c>
      <c r="CN416" s="677">
        <v>1.1560964636119997</v>
      </c>
      <c r="CO416" s="677">
        <v>1.1988465443248493</v>
      </c>
      <c r="CP416" s="679">
        <v>1.9066930600305543</v>
      </c>
      <c r="CQ416" s="677">
        <v>0.89599551899999996</v>
      </c>
      <c r="CR416" s="677">
        <v>2.391648655</v>
      </c>
      <c r="CS416" s="677">
        <v>0.92273647999999997</v>
      </c>
      <c r="CT416" s="677">
        <v>1.0096755479999999</v>
      </c>
      <c r="CU416" s="677">
        <v>2.457578727</v>
      </c>
      <c r="CV416" s="677">
        <v>0.96172855899999998</v>
      </c>
      <c r="CW416" s="677">
        <v>0.93280310700000002</v>
      </c>
      <c r="CX416" s="677">
        <v>0.68357749000000001</v>
      </c>
      <c r="CY416" s="677">
        <v>2.9916652419999998</v>
      </c>
      <c r="CZ416" s="677">
        <v>0.92606944099999999</v>
      </c>
      <c r="DA416" s="677">
        <v>2.73287871</v>
      </c>
      <c r="DB416" s="1507">
        <v>1.5019275750000001</v>
      </c>
      <c r="DC416" s="677">
        <v>1.013739671</v>
      </c>
      <c r="DD416" s="677">
        <v>3.8155369459999999</v>
      </c>
      <c r="DE416" s="677">
        <v>1.233642879</v>
      </c>
      <c r="DF416" s="677">
        <v>1.3272979220000001</v>
      </c>
      <c r="DG416" s="677">
        <v>4.0140413810000002</v>
      </c>
      <c r="DH416" s="677">
        <v>1.052908636</v>
      </c>
      <c r="DI416" s="677">
        <v>1.1573102669999999</v>
      </c>
      <c r="DJ416" s="677">
        <v>4.0701341439999998</v>
      </c>
      <c r="DK416" s="677">
        <v>0.87061018400000001</v>
      </c>
      <c r="DL416" s="677">
        <v>1.8690417720000001</v>
      </c>
      <c r="DM416" s="677">
        <v>5.0636333210000002</v>
      </c>
      <c r="DN416" s="679">
        <v>1.377894102</v>
      </c>
      <c r="DO416" s="677">
        <v>0.92303748900000004</v>
      </c>
      <c r="DP416" s="677">
        <v>0.69609868500000005</v>
      </c>
      <c r="DQ416" s="677">
        <v>1.1380532779999999</v>
      </c>
      <c r="DR416" s="677">
        <v>5.8280975999999998E-2</v>
      </c>
      <c r="DS416" s="677">
        <v>6.3379267949999996</v>
      </c>
      <c r="DT416" s="677">
        <v>5.56498E-4</v>
      </c>
      <c r="DU416" s="677">
        <v>1.604897732</v>
      </c>
      <c r="DV416" s="677">
        <v>5.491420991</v>
      </c>
      <c r="DW416" s="677">
        <v>1.568126495</v>
      </c>
      <c r="DX416" s="677">
        <v>0.78293170899999998</v>
      </c>
      <c r="DY416" s="677">
        <v>4.2478485499999996</v>
      </c>
      <c r="DZ416" s="679">
        <v>2.0368605830000002</v>
      </c>
      <c r="EA416" s="677">
        <v>0.89871858500000001</v>
      </c>
      <c r="EB416" s="677">
        <v>5.6535120189999999</v>
      </c>
      <c r="EC416" s="677">
        <v>1.9160642269999999</v>
      </c>
      <c r="ED416" s="677">
        <v>0.72381258999999998</v>
      </c>
      <c r="EE416" s="677">
        <v>5.9385709870000003</v>
      </c>
      <c r="EF416" s="677">
        <v>1.012935039</v>
      </c>
      <c r="EG416" s="677">
        <v>0.85632283099999995</v>
      </c>
      <c r="EH416" s="677">
        <v>6.7393086589999998</v>
      </c>
      <c r="EI416" s="677">
        <v>1.092122853</v>
      </c>
      <c r="EJ416" s="677">
        <v>2.6820106479999999</v>
      </c>
      <c r="EK416" s="677">
        <v>6.4356392729999996</v>
      </c>
      <c r="EL416" s="679">
        <v>0.68764044499999999</v>
      </c>
      <c r="EM416" s="677">
        <v>0.80749721399999996</v>
      </c>
      <c r="EN416" s="677">
        <v>5.9290483829999996</v>
      </c>
      <c r="EO416" s="677">
        <v>0.97669952500000001</v>
      </c>
      <c r="EP416" s="677">
        <v>8.5890016999999999E-2</v>
      </c>
      <c r="EQ416" s="677">
        <v>8.5834496789999992</v>
      </c>
      <c r="ER416" s="677">
        <v>0</v>
      </c>
      <c r="ES416" s="677">
        <v>1.7115972239999999</v>
      </c>
      <c r="ET416" s="677">
        <v>6.9105337990000004</v>
      </c>
      <c r="EU416" s="677">
        <v>0.28313978899999998</v>
      </c>
      <c r="EV416" s="677">
        <v>4.1593711999999998E-2</v>
      </c>
      <c r="EW416" s="677">
        <v>9.2326597859999993</v>
      </c>
      <c r="EX416" s="679">
        <v>0.17976196799999999</v>
      </c>
      <c r="EY416" s="677">
        <v>0.88983693799999997</v>
      </c>
      <c r="EZ416" s="677">
        <v>10.487779918999999</v>
      </c>
      <c r="FA416" s="677">
        <v>1.786993472</v>
      </c>
      <c r="FB416" s="677">
        <v>2.835364636</v>
      </c>
      <c r="FC416" s="677">
        <v>11.307409887</v>
      </c>
      <c r="FD416" s="677">
        <v>0.15926829300000001</v>
      </c>
      <c r="FE416" s="677">
        <v>0.99017428399999996</v>
      </c>
      <c r="FF416" s="677">
        <v>0.24131570599999999</v>
      </c>
      <c r="FG416" s="677">
        <v>1.906939663</v>
      </c>
      <c r="FH416" s="677">
        <v>14.506233041</v>
      </c>
      <c r="FI416" s="677">
        <v>14.826843197000001</v>
      </c>
      <c r="FJ416" s="679">
        <v>4.4618163490000002</v>
      </c>
      <c r="FK416" s="677">
        <v>3.2641003359999998</v>
      </c>
      <c r="FL416" s="677">
        <v>14.756713771999999</v>
      </c>
      <c r="FM416" s="677">
        <v>5.2952386860000002</v>
      </c>
      <c r="FN416" s="677">
        <v>0.215504377</v>
      </c>
      <c r="FO416" s="677">
        <v>17.112065734000002</v>
      </c>
      <c r="FP416" s="677">
        <v>1.1870933450000001</v>
      </c>
      <c r="FQ416" s="677">
        <v>3.4089465579999998</v>
      </c>
      <c r="FR416" s="677">
        <v>20.961212682999999</v>
      </c>
      <c r="FS416" s="677">
        <v>4.724719543</v>
      </c>
      <c r="FT416" s="677">
        <v>0.24986181199999999</v>
      </c>
      <c r="FU416" s="677">
        <v>1.932215155</v>
      </c>
      <c r="FV416" s="677">
        <v>20.095000604999999</v>
      </c>
      <c r="FW416" s="677">
        <v>3.1952885609999999</v>
      </c>
      <c r="FX416" s="677">
        <v>0.26611854699999998</v>
      </c>
      <c r="FY416" s="677">
        <v>30.206586822999999</v>
      </c>
      <c r="FZ416" s="677">
        <v>0.631978017</v>
      </c>
      <c r="GA416" s="677">
        <v>23.054675492000001</v>
      </c>
      <c r="GB416" s="677">
        <v>0.99307835899999997</v>
      </c>
      <c r="GC416" s="677">
        <v>3.1800320549999999</v>
      </c>
      <c r="GD416" s="677">
        <v>28.419718255999999</v>
      </c>
      <c r="GE416" s="677">
        <v>6.546666224</v>
      </c>
      <c r="GF416" s="677">
        <v>0.42354444600000002</v>
      </c>
      <c r="GG416" s="677">
        <v>28.989819101999998</v>
      </c>
      <c r="GH416" s="677">
        <v>0.68137969899999995</v>
      </c>
      <c r="GI416" s="677"/>
      <c r="GJ416" s="677"/>
      <c r="GK416" s="677"/>
      <c r="GL416" s="677"/>
      <c r="GM416" s="677"/>
      <c r="GN416" s="677"/>
      <c r="GO416" s="677"/>
      <c r="GP416" s="677"/>
      <c r="GQ416" s="677"/>
      <c r="GR416" s="677"/>
      <c r="GS416" s="677"/>
      <c r="GT416" s="677"/>
      <c r="GU416" s="677"/>
      <c r="GV416" s="677"/>
      <c r="GW416" s="677"/>
      <c r="GX416" s="677"/>
      <c r="GY416" s="677"/>
      <c r="GZ416" s="677"/>
      <c r="HA416" s="677"/>
      <c r="HB416" s="677"/>
      <c r="HC416" s="677"/>
      <c r="HD416" s="677"/>
      <c r="HE416" s="677"/>
      <c r="HF416" s="677"/>
      <c r="HG416" s="677"/>
      <c r="HH416" s="677"/>
      <c r="HI416" s="677"/>
      <c r="HJ416" s="677"/>
      <c r="HK416" s="677"/>
      <c r="HL416" s="677"/>
      <c r="HM416" s="677"/>
      <c r="HN416" s="680"/>
      <c r="KH416" s="682"/>
      <c r="KI416" s="680"/>
    </row>
    <row r="417" spans="1:295" s="681" customFormat="1" outlineLevel="1">
      <c r="A417" s="675" t="s">
        <v>923</v>
      </c>
      <c r="B417" s="675" t="s">
        <v>361</v>
      </c>
      <c r="C417" s="675"/>
      <c r="D417" s="1467" t="s">
        <v>564</v>
      </c>
      <c r="E417" s="677"/>
      <c r="F417" s="677"/>
      <c r="G417" s="677"/>
      <c r="H417" s="677"/>
      <c r="I417" s="677"/>
      <c r="J417" s="677"/>
      <c r="K417" s="677"/>
      <c r="L417" s="677"/>
      <c r="M417" s="677"/>
      <c r="N417" s="677"/>
      <c r="O417" s="677"/>
      <c r="P417" s="677"/>
      <c r="Q417" s="677"/>
      <c r="R417" s="677"/>
      <c r="S417" s="677"/>
      <c r="T417" s="677"/>
      <c r="U417" s="677"/>
      <c r="V417" s="677"/>
      <c r="W417" s="677"/>
      <c r="X417" s="677"/>
      <c r="Y417" s="677"/>
      <c r="Z417" s="677"/>
      <c r="AA417" s="677"/>
      <c r="AB417" s="677"/>
      <c r="AC417" s="677"/>
      <c r="AD417" s="677"/>
      <c r="AE417" s="677"/>
      <c r="AF417" s="677"/>
      <c r="AG417" s="677"/>
      <c r="AH417" s="677"/>
      <c r="AI417" s="677"/>
      <c r="AJ417" s="677"/>
      <c r="AK417" s="677"/>
      <c r="AL417" s="677"/>
      <c r="AM417" s="677"/>
      <c r="AN417" s="677"/>
      <c r="AO417" s="677"/>
      <c r="AP417" s="677"/>
      <c r="AQ417" s="677"/>
      <c r="AR417" s="677"/>
      <c r="AS417" s="677"/>
      <c r="AT417" s="677"/>
      <c r="AU417" s="677"/>
      <c r="AV417" s="677"/>
      <c r="AW417" s="677"/>
      <c r="AX417" s="677"/>
      <c r="AY417" s="677"/>
      <c r="AZ417" s="677"/>
      <c r="BA417" s="677"/>
      <c r="BB417" s="677"/>
      <c r="BC417" s="677"/>
      <c r="BD417" s="677"/>
      <c r="BE417" s="677"/>
      <c r="BF417" s="677"/>
      <c r="BG417" s="677">
        <v>6.1982621679200003</v>
      </c>
      <c r="BH417" s="677">
        <v>2.3172893822499998</v>
      </c>
      <c r="BI417" s="677">
        <v>4.55325541764</v>
      </c>
      <c r="BJ417" s="677">
        <v>3.9788268659999999</v>
      </c>
      <c r="BK417" s="677">
        <v>3.3614540133299999</v>
      </c>
      <c r="BL417" s="677">
        <v>4.71526437197</v>
      </c>
      <c r="BM417" s="677">
        <v>8.0694542249999994</v>
      </c>
      <c r="BN417" s="677">
        <v>2.8974127469400002</v>
      </c>
      <c r="BO417" s="677">
        <v>4.5639369896600002</v>
      </c>
      <c r="BP417" s="677">
        <v>5.9901098092899998</v>
      </c>
      <c r="BQ417" s="677">
        <v>2.7216932311999997</v>
      </c>
      <c r="BR417" s="677">
        <v>4.62507574314</v>
      </c>
      <c r="BS417" s="677">
        <v>2.7225717600000001</v>
      </c>
      <c r="BT417" s="677">
        <v>3.496477294</v>
      </c>
      <c r="BU417" s="677">
        <v>1.683756926</v>
      </c>
      <c r="BV417" s="677">
        <v>3.1472072720000002</v>
      </c>
      <c r="BW417" s="677">
        <v>1.8774877750000001</v>
      </c>
      <c r="BX417" s="677">
        <v>1.195469165</v>
      </c>
      <c r="BY417" s="677">
        <v>2.1548902239999999</v>
      </c>
      <c r="BZ417" s="677">
        <v>2.4980055989999999</v>
      </c>
      <c r="CA417" s="677">
        <v>2.801132038</v>
      </c>
      <c r="CB417" s="677">
        <v>3.84197076896</v>
      </c>
      <c r="CC417" s="677">
        <v>0.63717534099999995</v>
      </c>
      <c r="CD417" s="677">
        <v>2.6695091998099998</v>
      </c>
      <c r="CE417" s="677">
        <v>6.6679294430000002</v>
      </c>
      <c r="CF417" s="677">
        <v>12.098923981</v>
      </c>
      <c r="CG417" s="677">
        <v>5.2774683080000004</v>
      </c>
      <c r="CH417" s="677">
        <v>8.405649017</v>
      </c>
      <c r="CI417" s="677">
        <v>5.4065421210000002</v>
      </c>
      <c r="CJ417" s="677">
        <v>3.7144937200000001</v>
      </c>
      <c r="CK417" s="677">
        <v>7.775769103</v>
      </c>
      <c r="CL417" s="677">
        <v>3.7131871599999999</v>
      </c>
      <c r="CM417" s="677">
        <v>2.2626719899999999</v>
      </c>
      <c r="CN417" s="677">
        <v>1.1571859680000001</v>
      </c>
      <c r="CO417" s="677">
        <v>4.4389136469999997</v>
      </c>
      <c r="CP417" s="679">
        <v>2.08324423</v>
      </c>
      <c r="CQ417" s="677">
        <v>4.2403246030000004</v>
      </c>
      <c r="CR417" s="677">
        <v>4.8235567220000002</v>
      </c>
      <c r="CS417" s="677">
        <v>1.732728042</v>
      </c>
      <c r="CT417" s="677">
        <v>2.8115148680000002</v>
      </c>
      <c r="CU417" s="677">
        <v>0.96393463700000004</v>
      </c>
      <c r="CV417" s="677">
        <v>2.8106982120000001</v>
      </c>
      <c r="CW417" s="677">
        <v>1.584600834</v>
      </c>
      <c r="CX417" s="677">
        <v>0.37169211000000002</v>
      </c>
      <c r="CY417" s="677">
        <v>1.6383408479999999</v>
      </c>
      <c r="CZ417" s="677">
        <v>0.61694936</v>
      </c>
      <c r="DA417" s="677">
        <v>1.0896020259999999</v>
      </c>
      <c r="DB417" s="1507">
        <v>1.938049138</v>
      </c>
      <c r="DC417" s="677">
        <v>3.1756839120000002</v>
      </c>
      <c r="DD417" s="677">
        <v>0.99490045999999999</v>
      </c>
      <c r="DE417" s="677">
        <v>2.7725164580000001</v>
      </c>
      <c r="DF417" s="677">
        <v>3.071973549</v>
      </c>
      <c r="DG417" s="677">
        <v>3.2872346019999998</v>
      </c>
      <c r="DH417" s="677">
        <v>6.6100269269999998</v>
      </c>
      <c r="DI417" s="677">
        <v>11.099708001</v>
      </c>
      <c r="DJ417" s="677">
        <v>1.611369772</v>
      </c>
      <c r="DK417" s="677">
        <v>0.85772986500000004</v>
      </c>
      <c r="DL417" s="677">
        <v>3.7949422309999998</v>
      </c>
      <c r="DM417" s="677">
        <v>1.939711542</v>
      </c>
      <c r="DN417" s="679">
        <v>5.0393419870000002</v>
      </c>
      <c r="DO417" s="677">
        <v>0.51889647699999997</v>
      </c>
      <c r="DP417" s="677">
        <v>0.61335068599999998</v>
      </c>
      <c r="DQ417" s="677">
        <v>0.19486178300000001</v>
      </c>
      <c r="DR417" s="677">
        <v>0.35033108699999999</v>
      </c>
      <c r="DS417" s="677">
        <v>5.1482691999999997E-2</v>
      </c>
      <c r="DT417" s="677">
        <v>0.114824037</v>
      </c>
      <c r="DU417" s="677">
        <v>0.65498069299999995</v>
      </c>
      <c r="DV417" s="677">
        <v>0.69825920299999999</v>
      </c>
      <c r="DW417" s="677">
        <v>0.29834999699999998</v>
      </c>
      <c r="DX417" s="677">
        <v>0.17731813199999999</v>
      </c>
      <c r="DY417" s="677">
        <v>0.169011678</v>
      </c>
      <c r="DZ417" s="679">
        <v>1.5226156609999999</v>
      </c>
      <c r="EA417" s="677">
        <v>0.165989532</v>
      </c>
      <c r="EB417" s="677">
        <v>0.31986545</v>
      </c>
      <c r="EC417" s="677">
        <v>0.19138324400000001</v>
      </c>
      <c r="ED417" s="677">
        <v>4.6177976000000003E-2</v>
      </c>
      <c r="EE417" s="677">
        <v>0.240924631</v>
      </c>
      <c r="EF417" s="677">
        <v>2.0009522089999998</v>
      </c>
      <c r="EG417" s="677">
        <v>0.12</v>
      </c>
      <c r="EH417" s="677">
        <v>0.177035577</v>
      </c>
      <c r="EI417" s="677">
        <v>0.38772671199999997</v>
      </c>
      <c r="EJ417" s="677">
        <v>2.5000000000000001E-2</v>
      </c>
      <c r="EK417" s="677">
        <v>0.41566647400000001</v>
      </c>
      <c r="EL417" s="679">
        <v>0.154264336</v>
      </c>
      <c r="EM417" s="677">
        <v>0.44793341199999998</v>
      </c>
      <c r="EN417" s="677">
        <v>0.86507012900000002</v>
      </c>
      <c r="EO417" s="677">
        <v>2.544851016</v>
      </c>
      <c r="EP417" s="677">
        <v>0.72411441700000001</v>
      </c>
      <c r="EQ417" s="677">
        <v>0.27346327599999998</v>
      </c>
      <c r="ER417" s="677">
        <v>1.011371145</v>
      </c>
      <c r="ES417" s="677">
        <v>4.5776601140000004</v>
      </c>
      <c r="ET417" s="677">
        <v>0.40798184999999998</v>
      </c>
      <c r="EU417" s="677">
        <v>0.32322192500000002</v>
      </c>
      <c r="EV417" s="677">
        <v>0.527324927</v>
      </c>
      <c r="EW417" s="677">
        <v>0.29059120799999999</v>
      </c>
      <c r="EX417" s="679">
        <v>1.142747468</v>
      </c>
      <c r="EY417" s="677">
        <v>1.8416246629999999</v>
      </c>
      <c r="EZ417" s="677">
        <v>0.49561306500000002</v>
      </c>
      <c r="FA417" s="677">
        <v>0.90879372599999997</v>
      </c>
      <c r="FB417" s="677">
        <v>0.95036036899999998</v>
      </c>
      <c r="FC417" s="677">
        <v>0.901138408</v>
      </c>
      <c r="FD417" s="677">
        <v>0.77216232699999998</v>
      </c>
      <c r="FE417" s="677">
        <v>2.6948866950000001</v>
      </c>
      <c r="FF417" s="677">
        <v>1.17581296</v>
      </c>
      <c r="FG417" s="677">
        <v>2.1178176E-2</v>
      </c>
      <c r="FH417" s="677">
        <v>2.3307604099999999</v>
      </c>
      <c r="FI417" s="677">
        <v>0.111077497</v>
      </c>
      <c r="FJ417" s="679">
        <v>2.1213536770000001</v>
      </c>
      <c r="FK417" s="677">
        <v>0.39144773199999999</v>
      </c>
      <c r="FL417" s="677">
        <v>1.3826002749999999</v>
      </c>
      <c r="FM417" s="677">
        <v>0.27264172800000003</v>
      </c>
      <c r="FN417" s="677">
        <v>1.0339546660000001</v>
      </c>
      <c r="FO417" s="677">
        <v>0.69265465299999995</v>
      </c>
      <c r="FP417" s="677">
        <v>7.2559501999999998E-2</v>
      </c>
      <c r="FQ417" s="677">
        <v>1.0103349450000001</v>
      </c>
      <c r="FR417" s="677">
        <v>1.1123965680000001</v>
      </c>
      <c r="FS417" s="677">
        <v>0.91120962599999999</v>
      </c>
      <c r="FT417" s="677">
        <v>1.3279819429999999</v>
      </c>
      <c r="FU417" s="677">
        <v>0.684350181</v>
      </c>
      <c r="FV417" s="677">
        <v>3.142473947</v>
      </c>
      <c r="FW417" s="677">
        <v>0.98251094900000002</v>
      </c>
      <c r="FX417" s="677">
        <v>3.7187520279999999</v>
      </c>
      <c r="FY417" s="677">
        <v>3.305942462</v>
      </c>
      <c r="FZ417" s="677">
        <v>0.89891585399999996</v>
      </c>
      <c r="GA417" s="677">
        <v>0.80850952399999998</v>
      </c>
      <c r="GB417" s="677">
        <v>0.87957102899999995</v>
      </c>
      <c r="GC417" s="677">
        <v>0.24068999999999999</v>
      </c>
      <c r="GD417" s="677">
        <v>2.5171355379999998</v>
      </c>
      <c r="GE417" s="677">
        <v>2.5387966949999998</v>
      </c>
      <c r="GF417" s="677">
        <v>3.077552061</v>
      </c>
      <c r="GG417" s="677">
        <v>0.62431673399999998</v>
      </c>
      <c r="GH417" s="677">
        <v>1.470393074</v>
      </c>
      <c r="GI417" s="677"/>
      <c r="GJ417" s="677"/>
      <c r="GK417" s="677"/>
      <c r="GL417" s="677"/>
      <c r="GM417" s="677"/>
      <c r="GN417" s="677"/>
      <c r="GO417" s="677"/>
      <c r="GP417" s="677"/>
      <c r="GQ417" s="677"/>
      <c r="GR417" s="677"/>
      <c r="GS417" s="677"/>
      <c r="GT417" s="677"/>
      <c r="GU417" s="677"/>
      <c r="GV417" s="677"/>
      <c r="GW417" s="677"/>
      <c r="GX417" s="677"/>
      <c r="GY417" s="677"/>
      <c r="GZ417" s="677"/>
      <c r="HA417" s="677"/>
      <c r="HB417" s="677"/>
      <c r="HC417" s="677"/>
      <c r="HD417" s="677"/>
      <c r="HE417" s="677"/>
      <c r="HF417" s="677"/>
      <c r="HG417" s="677"/>
      <c r="HH417" s="677"/>
      <c r="HI417" s="677"/>
      <c r="HJ417" s="677"/>
      <c r="HK417" s="677"/>
      <c r="HL417" s="677"/>
      <c r="HM417" s="677"/>
      <c r="HN417" s="680"/>
      <c r="KH417" s="682"/>
      <c r="KI417" s="680"/>
    </row>
    <row r="418" spans="1:295" s="681" customFormat="1" outlineLevel="1">
      <c r="A418" s="675" t="s">
        <v>923</v>
      </c>
      <c r="B418" s="675" t="s">
        <v>361</v>
      </c>
      <c r="C418" s="675"/>
      <c r="D418" s="1467" t="s">
        <v>536</v>
      </c>
      <c r="E418" s="677"/>
      <c r="F418" s="677"/>
      <c r="G418" s="677"/>
      <c r="H418" s="677"/>
      <c r="I418" s="677"/>
      <c r="J418" s="677"/>
      <c r="K418" s="677"/>
      <c r="L418" s="677"/>
      <c r="M418" s="677"/>
      <c r="N418" s="677"/>
      <c r="O418" s="677"/>
      <c r="P418" s="677"/>
      <c r="Q418" s="677"/>
      <c r="R418" s="677"/>
      <c r="S418" s="677"/>
      <c r="T418" s="677"/>
      <c r="U418" s="677"/>
      <c r="V418" s="677"/>
      <c r="W418" s="677"/>
      <c r="X418" s="677"/>
      <c r="Y418" s="677"/>
      <c r="Z418" s="677"/>
      <c r="AA418" s="677"/>
      <c r="AB418" s="677"/>
      <c r="AC418" s="677"/>
      <c r="AD418" s="677"/>
      <c r="AE418" s="677"/>
      <c r="AF418" s="677"/>
      <c r="AG418" s="677"/>
      <c r="AH418" s="677"/>
      <c r="AI418" s="677"/>
      <c r="AJ418" s="677"/>
      <c r="AK418" s="677"/>
      <c r="AL418" s="677"/>
      <c r="AM418" s="677"/>
      <c r="AN418" s="677"/>
      <c r="AO418" s="677"/>
      <c r="AP418" s="677"/>
      <c r="AQ418" s="677"/>
      <c r="AR418" s="677"/>
      <c r="AS418" s="677"/>
      <c r="AT418" s="677"/>
      <c r="AU418" s="677"/>
      <c r="AV418" s="677"/>
      <c r="AW418" s="677"/>
      <c r="AX418" s="677"/>
      <c r="AY418" s="677"/>
      <c r="AZ418" s="677"/>
      <c r="BA418" s="677"/>
      <c r="BB418" s="677"/>
      <c r="BC418" s="677"/>
      <c r="BD418" s="677"/>
      <c r="BE418" s="677"/>
      <c r="BF418" s="677"/>
      <c r="BG418" s="677">
        <v>3.1646682589999999</v>
      </c>
      <c r="BH418" s="677">
        <v>1.3566893929999999</v>
      </c>
      <c r="BI418" s="677">
        <v>2.0636460130000001</v>
      </c>
      <c r="BJ418" s="677">
        <v>2.3895531349999999</v>
      </c>
      <c r="BK418" s="677">
        <v>3.0317940349999999</v>
      </c>
      <c r="BL418" s="677">
        <v>2.4434910809999999</v>
      </c>
      <c r="BM418" s="677">
        <v>1.3939219519999999</v>
      </c>
      <c r="BN418" s="677">
        <v>4.0298943740000004</v>
      </c>
      <c r="BO418" s="677">
        <v>2.5753890340000001</v>
      </c>
      <c r="BP418" s="677">
        <v>2.8863408150000001</v>
      </c>
      <c r="BQ418" s="677">
        <v>2.6532086229999998</v>
      </c>
      <c r="BR418" s="677">
        <v>1.3546310859999999</v>
      </c>
      <c r="BS418" s="677">
        <v>2.6831947860000001</v>
      </c>
      <c r="BT418" s="677">
        <v>3.7394094349999998</v>
      </c>
      <c r="BU418" s="677">
        <v>3.4956713399999999</v>
      </c>
      <c r="BV418" s="677">
        <v>3.359413081</v>
      </c>
      <c r="BW418" s="677">
        <v>3.8054348729999998</v>
      </c>
      <c r="BX418" s="677">
        <v>4.7830929710000003</v>
      </c>
      <c r="BY418" s="677">
        <v>3.9654185709999998</v>
      </c>
      <c r="BZ418" s="677">
        <v>2.494919576</v>
      </c>
      <c r="CA418" s="677">
        <v>3.4454467019999999</v>
      </c>
      <c r="CB418" s="677">
        <v>4.9126383039999997</v>
      </c>
      <c r="CC418" s="677">
        <v>7.5040574529999997</v>
      </c>
      <c r="CD418" s="677">
        <v>4.2479624960000004</v>
      </c>
      <c r="CE418" s="677">
        <v>31.008725541</v>
      </c>
      <c r="CF418" s="677">
        <v>30.273590683999998</v>
      </c>
      <c r="CG418" s="677">
        <v>10.388528758</v>
      </c>
      <c r="CH418" s="677">
        <v>45.974676111000001</v>
      </c>
      <c r="CI418" s="677">
        <v>19.159041667</v>
      </c>
      <c r="CJ418" s="677">
        <v>11.326817985</v>
      </c>
      <c r="CK418" s="677">
        <v>22.656131712000001</v>
      </c>
      <c r="CL418" s="677">
        <v>22.451381885</v>
      </c>
      <c r="CM418" s="677">
        <v>24.544405571999999</v>
      </c>
      <c r="CN418" s="677">
        <v>24.582048647000001</v>
      </c>
      <c r="CO418" s="677">
        <v>33.096296940999999</v>
      </c>
      <c r="CP418" s="679">
        <v>10.013272434999999</v>
      </c>
      <c r="CQ418" s="677">
        <v>3.2737760790000001</v>
      </c>
      <c r="CR418" s="677">
        <v>2.1063853410000002</v>
      </c>
      <c r="CS418" s="677">
        <v>9.8478279999999994E-3</v>
      </c>
      <c r="CT418" s="677">
        <v>5.5514005759999998</v>
      </c>
      <c r="CU418" s="677">
        <v>3.368202615</v>
      </c>
      <c r="CV418" s="677">
        <v>2.5698883029999999</v>
      </c>
      <c r="CW418" s="677">
        <v>3.6677484379999998</v>
      </c>
      <c r="CX418" s="677">
        <v>2.7081737029999999</v>
      </c>
      <c r="CY418" s="677">
        <v>5.3794600839999998</v>
      </c>
      <c r="CZ418" s="677">
        <v>2.4799077779999998</v>
      </c>
      <c r="DA418" s="677">
        <v>2.0898549869999998</v>
      </c>
      <c r="DB418" s="1507">
        <v>2.5039361520000001</v>
      </c>
      <c r="DC418" s="677">
        <v>0.10249999999999999</v>
      </c>
      <c r="DD418" s="677">
        <v>0</v>
      </c>
      <c r="DE418" s="677">
        <v>0.33151885399999997</v>
      </c>
      <c r="DF418" s="677">
        <v>1.375E-2</v>
      </c>
      <c r="DG418" s="677">
        <v>0.14828867200000001</v>
      </c>
      <c r="DH418" s="677">
        <v>1.4992111939999999</v>
      </c>
      <c r="DI418" s="677">
        <v>1.7026857520000001</v>
      </c>
      <c r="DJ418" s="677">
        <v>1.370977986</v>
      </c>
      <c r="DK418" s="677">
        <v>1.2500000000000001E-2</v>
      </c>
      <c r="DL418" s="677">
        <v>0.21033405999999999</v>
      </c>
      <c r="DM418" s="677">
        <v>6.3427700000000004E-2</v>
      </c>
      <c r="DN418" s="679">
        <v>0.324530068</v>
      </c>
      <c r="DO418" s="677">
        <v>0.36628772599999998</v>
      </c>
      <c r="DP418" s="677">
        <v>0.50115074599999998</v>
      </c>
      <c r="DQ418" s="677">
        <v>0</v>
      </c>
      <c r="DR418" s="677">
        <v>0.45309356899999997</v>
      </c>
      <c r="DS418" s="677">
        <v>0.48926210599999997</v>
      </c>
      <c r="DT418" s="677">
        <v>1.272384746</v>
      </c>
      <c r="DU418" s="677">
        <v>0.1002</v>
      </c>
      <c r="DV418" s="677">
        <v>0.17677923100000001</v>
      </c>
      <c r="DW418" s="677">
        <v>0.145394988</v>
      </c>
      <c r="DX418" s="677">
        <v>1.4653583109999999</v>
      </c>
      <c r="DY418" s="677">
        <v>0.139283134</v>
      </c>
      <c r="DZ418" s="679">
        <v>7.5544352999999995E-2</v>
      </c>
      <c r="EA418" s="677">
        <v>0.58303547200000005</v>
      </c>
      <c r="EB418" s="677">
        <v>0.44929999999999998</v>
      </c>
      <c r="EC418" s="677">
        <v>1.117690525</v>
      </c>
      <c r="ED418" s="677">
        <v>1.051054776</v>
      </c>
      <c r="EE418" s="677">
        <v>0.14128006200000001</v>
      </c>
      <c r="EF418" s="677">
        <v>7.4303200939999998</v>
      </c>
      <c r="EG418" s="677">
        <v>0.73992173800000005</v>
      </c>
      <c r="EH418" s="677">
        <v>1.7762697780000001</v>
      </c>
      <c r="EI418" s="677">
        <v>6.5622729890000002</v>
      </c>
      <c r="EJ418" s="677">
        <v>1.0418898299999999</v>
      </c>
      <c r="EK418" s="677">
        <v>0.17832784400000001</v>
      </c>
      <c r="EL418" s="679">
        <v>1.432735348</v>
      </c>
      <c r="EM418" s="677">
        <v>1.7329764409999999</v>
      </c>
      <c r="EN418" s="677">
        <v>0.68302094499999999</v>
      </c>
      <c r="EO418" s="677">
        <v>1.5416784100000001</v>
      </c>
      <c r="EP418" s="677">
        <v>1.3910209499999999</v>
      </c>
      <c r="EQ418" s="677">
        <v>0.64931336799999995</v>
      </c>
      <c r="ER418" s="677">
        <v>3.8323235219999998</v>
      </c>
      <c r="ES418" s="677">
        <v>2.4469729550000001</v>
      </c>
      <c r="ET418" s="677">
        <v>3.2471084010000002</v>
      </c>
      <c r="EU418" s="677">
        <v>1.68825219</v>
      </c>
      <c r="EV418" s="677">
        <v>1.433911267</v>
      </c>
      <c r="EW418" s="677">
        <v>2.4417357430000002</v>
      </c>
      <c r="EX418" s="679">
        <v>1.2854957970000001</v>
      </c>
      <c r="EY418" s="677">
        <v>2.6580538499999999</v>
      </c>
      <c r="EZ418" s="677">
        <v>0.45479207399999999</v>
      </c>
      <c r="FA418" s="677">
        <v>3.4824536589999999</v>
      </c>
      <c r="FB418" s="677">
        <v>5.6208463699999998</v>
      </c>
      <c r="FC418" s="677">
        <v>2.257191293</v>
      </c>
      <c r="FD418" s="677">
        <v>4.1512521629999997</v>
      </c>
      <c r="FE418" s="677">
        <v>3.9496199590000001</v>
      </c>
      <c r="FF418" s="677">
        <v>1.7501725130000001</v>
      </c>
      <c r="FG418" s="677">
        <v>1.8623476450000001</v>
      </c>
      <c r="FH418" s="677">
        <v>3.9241229049999999</v>
      </c>
      <c r="FI418" s="677">
        <v>1.194909478</v>
      </c>
      <c r="FJ418" s="679">
        <v>7.8571947809999996</v>
      </c>
      <c r="FK418" s="677">
        <v>1.338012945</v>
      </c>
      <c r="FL418" s="677">
        <v>3.9417069950000001</v>
      </c>
      <c r="FM418" s="677">
        <v>3.5286607550000002</v>
      </c>
      <c r="FN418" s="677">
        <v>3.0823356660000001</v>
      </c>
      <c r="FO418" s="677">
        <v>0.87254746500000002</v>
      </c>
      <c r="FP418" s="677">
        <v>2.3428555219999998</v>
      </c>
      <c r="FQ418" s="677">
        <v>2.6917550979999998</v>
      </c>
      <c r="FR418" s="677">
        <v>3.0630478929999998</v>
      </c>
      <c r="FS418" s="677">
        <v>3.147909812</v>
      </c>
      <c r="FT418" s="677">
        <v>1.7708496570000001</v>
      </c>
      <c r="FU418" s="677">
        <v>7.9080206200000003</v>
      </c>
      <c r="FV418" s="677">
        <v>8.3932184210000003</v>
      </c>
      <c r="FW418" s="677">
        <v>1.780001256</v>
      </c>
      <c r="FX418" s="677">
        <v>2.6123140309999999</v>
      </c>
      <c r="FY418" s="677">
        <v>1.2681587969999999</v>
      </c>
      <c r="FZ418" s="677">
        <v>10.771795549</v>
      </c>
      <c r="GA418" s="677">
        <v>4.0033937069999999</v>
      </c>
      <c r="GB418" s="677">
        <v>3.8106890729999998</v>
      </c>
      <c r="GC418" s="677">
        <v>2.194997082</v>
      </c>
      <c r="GD418" s="677">
        <v>2.5186666820000001</v>
      </c>
      <c r="GE418" s="677">
        <v>4.8433499739999997</v>
      </c>
      <c r="GF418" s="677">
        <v>3.0094967869999998</v>
      </c>
      <c r="GG418" s="677">
        <v>2.9871485629999999</v>
      </c>
      <c r="GH418" s="677">
        <v>4.9747553709999996</v>
      </c>
      <c r="GI418" s="677"/>
      <c r="GJ418" s="677"/>
      <c r="GK418" s="677"/>
      <c r="GL418" s="677"/>
      <c r="GM418" s="677"/>
      <c r="GN418" s="677"/>
      <c r="GO418" s="677"/>
      <c r="GP418" s="677"/>
      <c r="GQ418" s="677"/>
      <c r="GR418" s="677"/>
      <c r="GS418" s="677"/>
      <c r="GT418" s="677"/>
      <c r="GU418" s="677"/>
      <c r="GV418" s="677"/>
      <c r="GW418" s="677"/>
      <c r="GX418" s="677"/>
      <c r="GY418" s="677"/>
      <c r="GZ418" s="677"/>
      <c r="HA418" s="677"/>
      <c r="HB418" s="677"/>
      <c r="HC418" s="677"/>
      <c r="HD418" s="677"/>
      <c r="HE418" s="677"/>
      <c r="HF418" s="677"/>
      <c r="HG418" s="677"/>
      <c r="HH418" s="677"/>
      <c r="HI418" s="677"/>
      <c r="HJ418" s="677"/>
      <c r="HK418" s="677"/>
      <c r="HL418" s="677"/>
      <c r="HM418" s="677"/>
      <c r="HN418" s="680"/>
      <c r="KH418" s="682"/>
      <c r="KI418" s="680"/>
    </row>
    <row r="419" spans="1:295" s="681" customFormat="1" outlineLevel="1">
      <c r="A419" s="675" t="s">
        <v>923</v>
      </c>
      <c r="B419" s="675" t="s">
        <v>361</v>
      </c>
      <c r="C419" s="675"/>
      <c r="D419" s="1467" t="s">
        <v>565</v>
      </c>
      <c r="E419" s="677"/>
      <c r="F419" s="677"/>
      <c r="G419" s="677"/>
      <c r="H419" s="677"/>
      <c r="I419" s="677"/>
      <c r="J419" s="677"/>
      <c r="K419" s="677"/>
      <c r="L419" s="677"/>
      <c r="M419" s="677"/>
      <c r="N419" s="677"/>
      <c r="O419" s="677"/>
      <c r="P419" s="677"/>
      <c r="Q419" s="677"/>
      <c r="R419" s="677"/>
      <c r="S419" s="677"/>
      <c r="T419" s="677"/>
      <c r="U419" s="677"/>
      <c r="V419" s="677"/>
      <c r="W419" s="677"/>
      <c r="X419" s="677"/>
      <c r="Y419" s="677"/>
      <c r="Z419" s="677"/>
      <c r="AA419" s="677"/>
      <c r="AB419" s="677"/>
      <c r="AC419" s="677"/>
      <c r="AD419" s="677"/>
      <c r="AE419" s="677"/>
      <c r="AF419" s="677"/>
      <c r="AG419" s="677"/>
      <c r="AH419" s="677"/>
      <c r="AI419" s="677"/>
      <c r="AJ419" s="677"/>
      <c r="AK419" s="677"/>
      <c r="AL419" s="677"/>
      <c r="AM419" s="677"/>
      <c r="AN419" s="677"/>
      <c r="AO419" s="677"/>
      <c r="AP419" s="677"/>
      <c r="AQ419" s="677"/>
      <c r="AR419" s="677"/>
      <c r="AS419" s="677"/>
      <c r="AT419" s="677"/>
      <c r="AU419" s="677"/>
      <c r="AV419" s="677"/>
      <c r="AW419" s="677"/>
      <c r="AX419" s="677"/>
      <c r="AY419" s="677"/>
      <c r="AZ419" s="677"/>
      <c r="BA419" s="677"/>
      <c r="BB419" s="677"/>
      <c r="BC419" s="677"/>
      <c r="BD419" s="677"/>
      <c r="BE419" s="677"/>
      <c r="BF419" s="677"/>
      <c r="BG419" s="677">
        <v>0.72092558612000002</v>
      </c>
      <c r="BH419" s="677">
        <v>1.1557089222000001</v>
      </c>
      <c r="BI419" s="677">
        <v>3.7613172000000001</v>
      </c>
      <c r="BJ419" s="677">
        <v>2.253621114</v>
      </c>
      <c r="BK419" s="677">
        <v>3.4752615040000001</v>
      </c>
      <c r="BL419" s="677">
        <v>4.3458839969999996</v>
      </c>
      <c r="BM419" s="677">
        <v>2.6554208510000001</v>
      </c>
      <c r="BN419" s="677">
        <v>3.5675928649999999</v>
      </c>
      <c r="BO419" s="677">
        <v>1.6689395950000001</v>
      </c>
      <c r="BP419" s="677">
        <v>3.7599610939999999</v>
      </c>
      <c r="BQ419" s="677">
        <v>3.1416852239499997</v>
      </c>
      <c r="BR419" s="677">
        <v>0.78832839974000002</v>
      </c>
      <c r="BS419" s="677">
        <v>1.149059217</v>
      </c>
      <c r="BT419" s="677">
        <v>3.710186427</v>
      </c>
      <c r="BU419" s="677">
        <v>1.9730006680000001</v>
      </c>
      <c r="BV419" s="677">
        <v>1.7153026920000001</v>
      </c>
      <c r="BW419" s="677">
        <v>3.6668107210000001</v>
      </c>
      <c r="BX419" s="677">
        <v>1.4669279289999999</v>
      </c>
      <c r="BY419" s="677">
        <v>3.8628478300000002</v>
      </c>
      <c r="BZ419" s="677">
        <v>2.8251077429999998</v>
      </c>
      <c r="CA419" s="677">
        <v>2.251913499</v>
      </c>
      <c r="CB419" s="677">
        <v>3.109607343</v>
      </c>
      <c r="CC419" s="677">
        <v>3.1506330949999999</v>
      </c>
      <c r="CD419" s="677">
        <v>2.499109228</v>
      </c>
      <c r="CE419" s="677">
        <v>1.694336734</v>
      </c>
      <c r="CF419" s="677">
        <v>0.34213592300000001</v>
      </c>
      <c r="CG419" s="677">
        <v>2.0015177820000001</v>
      </c>
      <c r="CH419" s="677">
        <v>2.643980714</v>
      </c>
      <c r="CI419" s="677">
        <v>1.9010356150000001</v>
      </c>
      <c r="CJ419" s="677">
        <v>0.37540928699999998</v>
      </c>
      <c r="CK419" s="677">
        <v>1.9275458009999999</v>
      </c>
      <c r="CL419" s="677">
        <v>2.3708177899999998</v>
      </c>
      <c r="CM419" s="677">
        <v>1.4137448189999999</v>
      </c>
      <c r="CN419" s="677">
        <v>4.0224860720000004</v>
      </c>
      <c r="CO419" s="677">
        <v>3.435584135</v>
      </c>
      <c r="CP419" s="679">
        <v>0.75093030500000002</v>
      </c>
      <c r="CQ419" s="677">
        <v>0.50108198000000004</v>
      </c>
      <c r="CR419" s="677">
        <v>0.70579498600000001</v>
      </c>
      <c r="CS419" s="677">
        <v>2.627728168</v>
      </c>
      <c r="CT419" s="677">
        <v>1.149640464</v>
      </c>
      <c r="CU419" s="677">
        <v>0.69042511900000003</v>
      </c>
      <c r="CV419" s="677">
        <v>1.893058057</v>
      </c>
      <c r="CW419" s="677">
        <v>1.0723429840000001</v>
      </c>
      <c r="CX419" s="677">
        <v>0.74411250299999998</v>
      </c>
      <c r="CY419" s="677">
        <v>3.7730261289999998</v>
      </c>
      <c r="CZ419" s="677">
        <v>6.5021727220000001</v>
      </c>
      <c r="DA419" s="677">
        <v>2.1174950319999999</v>
      </c>
      <c r="DB419" s="1507">
        <v>2.565135953</v>
      </c>
      <c r="DC419" s="677">
        <v>0.37143426499999999</v>
      </c>
      <c r="DD419" s="677">
        <v>1.600259259</v>
      </c>
      <c r="DE419" s="677">
        <v>1.436558215</v>
      </c>
      <c r="DF419" s="677">
        <v>1.9210594670000001</v>
      </c>
      <c r="DG419" s="677">
        <v>1.0480488889999999</v>
      </c>
      <c r="DH419" s="677">
        <v>3.1597996909999999</v>
      </c>
      <c r="DI419" s="677">
        <v>1.1024899800000001</v>
      </c>
      <c r="DJ419" s="677">
        <v>1.678943812</v>
      </c>
      <c r="DK419" s="677">
        <v>2.9707525380000002</v>
      </c>
      <c r="DL419" s="677">
        <v>3.008948212</v>
      </c>
      <c r="DM419" s="677">
        <v>4.4700092710000003</v>
      </c>
      <c r="DN419" s="679">
        <v>1.838838164</v>
      </c>
      <c r="DO419" s="677">
        <v>0.87087565600000005</v>
      </c>
      <c r="DP419" s="677">
        <v>0.66531726000000002</v>
      </c>
      <c r="DQ419" s="677">
        <v>0.54345032999999998</v>
      </c>
      <c r="DR419" s="677">
        <v>1.2810399640000001</v>
      </c>
      <c r="DS419" s="677">
        <v>1.2076118220000001</v>
      </c>
      <c r="DT419" s="677">
        <v>4.1225960490000002</v>
      </c>
      <c r="DU419" s="677">
        <v>0.84651094800000004</v>
      </c>
      <c r="DV419" s="677">
        <v>1.89094009</v>
      </c>
      <c r="DW419" s="677">
        <v>1.0876682769999999</v>
      </c>
      <c r="DX419" s="677">
        <v>3.7440458140000001</v>
      </c>
      <c r="DY419" s="677">
        <v>1.713749974</v>
      </c>
      <c r="DZ419" s="679">
        <v>5.6512367709999998</v>
      </c>
      <c r="EA419" s="677">
        <v>0.85050358599999998</v>
      </c>
      <c r="EB419" s="677">
        <v>0.63764182300000005</v>
      </c>
      <c r="EC419" s="677">
        <v>0.53647527699999997</v>
      </c>
      <c r="ED419" s="677">
        <v>1.79366256</v>
      </c>
      <c r="EE419" s="677">
        <v>0.81351116199999995</v>
      </c>
      <c r="EF419" s="677">
        <v>2.2337285859999998</v>
      </c>
      <c r="EG419" s="677">
        <v>2.8243930490000002</v>
      </c>
      <c r="EH419" s="677">
        <v>1.2821542500000001</v>
      </c>
      <c r="EI419" s="677">
        <v>2.4796532349999998</v>
      </c>
      <c r="EJ419" s="677">
        <v>3.2190159610000002</v>
      </c>
      <c r="EK419" s="677">
        <v>4.925123363</v>
      </c>
      <c r="EL419" s="679">
        <v>2.0753277240000001</v>
      </c>
      <c r="EM419" s="677">
        <v>2.345374633</v>
      </c>
      <c r="EN419" s="677">
        <v>0.98179181299999996</v>
      </c>
      <c r="EO419" s="677">
        <v>1.5982857269999999</v>
      </c>
      <c r="EP419" s="677">
        <v>1.2728774199999999</v>
      </c>
      <c r="EQ419" s="677">
        <v>0.97708624600000005</v>
      </c>
      <c r="ER419" s="677">
        <v>1.7401375649999999</v>
      </c>
      <c r="ES419" s="677">
        <v>4.7282624929999999</v>
      </c>
      <c r="ET419" s="677">
        <v>1.709512978</v>
      </c>
      <c r="EU419" s="677">
        <v>3.3584305620000001</v>
      </c>
      <c r="EV419" s="677">
        <v>2.4272571979999999</v>
      </c>
      <c r="EW419" s="677">
        <v>0.84860154499999996</v>
      </c>
      <c r="EX419" s="679">
        <v>4.4730507380000004</v>
      </c>
      <c r="EY419" s="677">
        <v>2.6154207399999998</v>
      </c>
      <c r="EZ419" s="677">
        <v>1.727881193</v>
      </c>
      <c r="FA419" s="677">
        <v>1.630442041</v>
      </c>
      <c r="FB419" s="677">
        <v>2.286890036</v>
      </c>
      <c r="FC419" s="677">
        <v>4.1411718070000001</v>
      </c>
      <c r="FD419" s="677">
        <v>2.7893007660000002</v>
      </c>
      <c r="FE419" s="677">
        <v>2.4074809830000001</v>
      </c>
      <c r="FF419" s="677">
        <v>1.4637679349999999</v>
      </c>
      <c r="FG419" s="677">
        <v>3.715644003</v>
      </c>
      <c r="FH419" s="677">
        <v>0.80581367100000001</v>
      </c>
      <c r="FI419" s="677">
        <v>2.2990952550000001</v>
      </c>
      <c r="FJ419" s="679">
        <v>1.7970573430000001</v>
      </c>
      <c r="FK419" s="677">
        <v>2.3341029029999998</v>
      </c>
      <c r="FL419" s="677">
        <v>2.187241524</v>
      </c>
      <c r="FM419" s="677">
        <v>1.8688188160000001</v>
      </c>
      <c r="FN419" s="677">
        <v>6.5542663169999997</v>
      </c>
      <c r="FO419" s="677">
        <v>1.1561294639999999</v>
      </c>
      <c r="FP419" s="677">
        <v>3.0157475480000002</v>
      </c>
      <c r="FQ419" s="677">
        <v>2.6207938190000002</v>
      </c>
      <c r="FR419" s="677">
        <v>1.26348327</v>
      </c>
      <c r="FS419" s="677">
        <v>2.9192468520000001</v>
      </c>
      <c r="FT419" s="677">
        <v>3.6616974990000002</v>
      </c>
      <c r="FU419" s="677">
        <v>4.5999152849999998</v>
      </c>
      <c r="FV419" s="677">
        <v>5.8436004739999996</v>
      </c>
      <c r="FW419" s="677">
        <v>1.744094158</v>
      </c>
      <c r="FX419" s="677">
        <v>1.617404702</v>
      </c>
      <c r="FY419" s="677">
        <v>3.5822497910000002</v>
      </c>
      <c r="FZ419" s="677">
        <v>6.7828623139999999</v>
      </c>
      <c r="GA419" s="677">
        <v>5.6447457170000002</v>
      </c>
      <c r="GB419" s="677">
        <v>0.28065633600000001</v>
      </c>
      <c r="GC419" s="677">
        <v>1.2545506879999999</v>
      </c>
      <c r="GD419" s="677">
        <v>0.94783183699999995</v>
      </c>
      <c r="GE419" s="677">
        <v>2.1551079569999998</v>
      </c>
      <c r="GF419" s="677">
        <v>4.6651712910000001</v>
      </c>
      <c r="GG419" s="677">
        <v>0.25423407999999997</v>
      </c>
      <c r="GH419" s="677">
        <v>3.4388899409999998</v>
      </c>
      <c r="GI419" s="677"/>
      <c r="GJ419" s="677"/>
      <c r="GK419" s="677"/>
      <c r="GL419" s="677"/>
      <c r="GM419" s="677"/>
      <c r="GN419" s="677"/>
      <c r="GO419" s="677"/>
      <c r="GP419" s="677"/>
      <c r="GQ419" s="677"/>
      <c r="GR419" s="677"/>
      <c r="GS419" s="677"/>
      <c r="GT419" s="677"/>
      <c r="GU419" s="677"/>
      <c r="GV419" s="677"/>
      <c r="GW419" s="677"/>
      <c r="GX419" s="677"/>
      <c r="GY419" s="677"/>
      <c r="GZ419" s="677"/>
      <c r="HA419" s="677"/>
      <c r="HB419" s="677"/>
      <c r="HC419" s="677"/>
      <c r="HD419" s="677"/>
      <c r="HE419" s="677"/>
      <c r="HF419" s="677"/>
      <c r="HG419" s="677"/>
      <c r="HH419" s="677"/>
      <c r="HI419" s="677"/>
      <c r="HJ419" s="677"/>
      <c r="HK419" s="677"/>
      <c r="HL419" s="677"/>
      <c r="HM419" s="677"/>
      <c r="HN419" s="680"/>
      <c r="KH419" s="682"/>
      <c r="KI419" s="680"/>
    </row>
    <row r="420" spans="1:295" s="681" customFormat="1" outlineLevel="1">
      <c r="A420" s="675" t="s">
        <v>923</v>
      </c>
      <c r="B420" s="675" t="s">
        <v>361</v>
      </c>
      <c r="C420" s="675"/>
      <c r="D420" s="1467" t="s">
        <v>566</v>
      </c>
      <c r="E420" s="677"/>
      <c r="F420" s="677"/>
      <c r="G420" s="677"/>
      <c r="H420" s="677"/>
      <c r="I420" s="677"/>
      <c r="J420" s="677"/>
      <c r="K420" s="677"/>
      <c r="L420" s="677"/>
      <c r="M420" s="677"/>
      <c r="N420" s="677"/>
      <c r="O420" s="677"/>
      <c r="P420" s="677"/>
      <c r="Q420" s="677"/>
      <c r="R420" s="677"/>
      <c r="S420" s="677"/>
      <c r="T420" s="677"/>
      <c r="U420" s="677"/>
      <c r="V420" s="677"/>
      <c r="W420" s="677"/>
      <c r="X420" s="677"/>
      <c r="Y420" s="677"/>
      <c r="Z420" s="677"/>
      <c r="AA420" s="677"/>
      <c r="AB420" s="677"/>
      <c r="AC420" s="677"/>
      <c r="AD420" s="677"/>
      <c r="AE420" s="677"/>
      <c r="AF420" s="677"/>
      <c r="AG420" s="677"/>
      <c r="AH420" s="677"/>
      <c r="AI420" s="677"/>
      <c r="AJ420" s="677"/>
      <c r="AK420" s="677"/>
      <c r="AL420" s="677"/>
      <c r="AM420" s="677"/>
      <c r="AN420" s="677"/>
      <c r="AO420" s="677"/>
      <c r="AP420" s="677"/>
      <c r="AQ420" s="677"/>
      <c r="AR420" s="677"/>
      <c r="AS420" s="677"/>
      <c r="AT420" s="677"/>
      <c r="AU420" s="677"/>
      <c r="AV420" s="677"/>
      <c r="AW420" s="677"/>
      <c r="AX420" s="677"/>
      <c r="AY420" s="677"/>
      <c r="AZ420" s="677"/>
      <c r="BA420" s="677"/>
      <c r="BB420" s="677"/>
      <c r="BC420" s="677"/>
      <c r="BD420" s="677"/>
      <c r="BE420" s="677"/>
      <c r="BF420" s="677"/>
      <c r="BG420" s="677">
        <v>0.81184859872000004</v>
      </c>
      <c r="BH420" s="677">
        <v>1.17598098428</v>
      </c>
      <c r="BI420" s="677">
        <v>2.3291960990700002</v>
      </c>
      <c r="BJ420" s="677">
        <v>1.6366400430000001</v>
      </c>
      <c r="BK420" s="677">
        <v>1.449842842</v>
      </c>
      <c r="BL420" s="677">
        <v>1.439797228</v>
      </c>
      <c r="BM420" s="677">
        <v>1.9852411667000001</v>
      </c>
      <c r="BN420" s="677">
        <v>0.84269931476999993</v>
      </c>
      <c r="BO420" s="677">
        <v>2.0045152934199999</v>
      </c>
      <c r="BP420" s="677">
        <v>4.7703482305099998</v>
      </c>
      <c r="BQ420" s="677">
        <v>2.9444524203099998</v>
      </c>
      <c r="BR420" s="677">
        <v>2.4733369040199999</v>
      </c>
      <c r="BS420" s="677">
        <v>2.5219034206999997</v>
      </c>
      <c r="BT420" s="677">
        <v>1.8501141088099999</v>
      </c>
      <c r="BU420" s="677">
        <v>2.1688910320500003</v>
      </c>
      <c r="BV420" s="677">
        <v>2.4951452679599999</v>
      </c>
      <c r="BW420" s="677">
        <v>2.2792512069000002</v>
      </c>
      <c r="BX420" s="677">
        <v>1.60637620609</v>
      </c>
      <c r="BY420" s="677">
        <v>2.1500561264</v>
      </c>
      <c r="BZ420" s="677">
        <v>6.9489243146899993</v>
      </c>
      <c r="CA420" s="677">
        <v>1.96036256203</v>
      </c>
      <c r="CB420" s="677">
        <v>2.9628005661699999</v>
      </c>
      <c r="CC420" s="677">
        <v>5.2905923140299995</v>
      </c>
      <c r="CD420" s="677">
        <v>2.3896339116500003</v>
      </c>
      <c r="CE420" s="677">
        <v>2.661823922</v>
      </c>
      <c r="CF420" s="677">
        <v>2.0003473676199999</v>
      </c>
      <c r="CG420" s="677">
        <v>2.95325444208</v>
      </c>
      <c r="CH420" s="677">
        <v>4.1688299510000002</v>
      </c>
      <c r="CI420" s="677">
        <v>4.3448386289999998</v>
      </c>
      <c r="CJ420" s="677">
        <v>1.555384519</v>
      </c>
      <c r="CK420" s="677">
        <v>3.279391951</v>
      </c>
      <c r="CL420" s="677">
        <v>2.048498017</v>
      </c>
      <c r="CM420" s="677">
        <v>2.0531390549999999</v>
      </c>
      <c r="CN420" s="677">
        <v>2.5600917609999998</v>
      </c>
      <c r="CO420" s="677">
        <v>2.5050129910000001</v>
      </c>
      <c r="CP420" s="679">
        <v>2.0787431779999999</v>
      </c>
      <c r="CQ420" s="677">
        <v>2.591699465</v>
      </c>
      <c r="CR420" s="677">
        <v>3.8147410989999999</v>
      </c>
      <c r="CS420" s="677">
        <v>5.4951883099999996</v>
      </c>
      <c r="CT420" s="677">
        <v>4.1188711549999999</v>
      </c>
      <c r="CU420" s="677">
        <v>2.9689722710000002</v>
      </c>
      <c r="CV420" s="677">
        <v>16.395028993</v>
      </c>
      <c r="CW420" s="677">
        <v>6.823189824</v>
      </c>
      <c r="CX420" s="677">
        <v>2.801362567</v>
      </c>
      <c r="CY420" s="677">
        <v>3.51420887</v>
      </c>
      <c r="CZ420" s="677">
        <v>3.8036469500000001</v>
      </c>
      <c r="DA420" s="677">
        <v>3.9843903549999999</v>
      </c>
      <c r="DB420" s="1507">
        <v>4.1771338709999997</v>
      </c>
      <c r="DC420" s="677">
        <v>4.1966714039999999</v>
      </c>
      <c r="DD420" s="677">
        <v>7.7054440729999998</v>
      </c>
      <c r="DE420" s="677">
        <v>4.1790612710000001</v>
      </c>
      <c r="DF420" s="677">
        <v>8.0403178759999996</v>
      </c>
      <c r="DG420" s="677">
        <v>3.6849840629999999</v>
      </c>
      <c r="DH420" s="677">
        <v>7.2033337050000004</v>
      </c>
      <c r="DI420" s="677">
        <v>2.910443511</v>
      </c>
      <c r="DJ420" s="677">
        <v>3.8112871460000002</v>
      </c>
      <c r="DK420" s="677">
        <v>5.7473695759999996</v>
      </c>
      <c r="DL420" s="677">
        <v>11.977945494</v>
      </c>
      <c r="DM420" s="677">
        <v>3.2821433560000002</v>
      </c>
      <c r="DN420" s="679">
        <v>2.752270921</v>
      </c>
      <c r="DO420" s="677">
        <v>12.861098198000001</v>
      </c>
      <c r="DP420" s="677">
        <v>5.9909393719999997</v>
      </c>
      <c r="DQ420" s="677">
        <v>3.7492118620000001</v>
      </c>
      <c r="DR420" s="677">
        <v>16.892191369999999</v>
      </c>
      <c r="DS420" s="677">
        <v>2.499739892</v>
      </c>
      <c r="DT420" s="677">
        <v>4.7418633379999999</v>
      </c>
      <c r="DU420" s="677">
        <v>10.286713181</v>
      </c>
      <c r="DV420" s="677">
        <v>5.803558131</v>
      </c>
      <c r="DW420" s="677">
        <v>5.0595315259999998</v>
      </c>
      <c r="DX420" s="677">
        <v>4.1044846670000004</v>
      </c>
      <c r="DY420" s="677">
        <v>5.6021774840000003</v>
      </c>
      <c r="DZ420" s="679">
        <v>4.7474345619999996</v>
      </c>
      <c r="EA420" s="677">
        <v>6.4679982230000004</v>
      </c>
      <c r="EB420" s="677">
        <v>6.8325371070000003</v>
      </c>
      <c r="EC420" s="677">
        <v>6.8369028439999999</v>
      </c>
      <c r="ED420" s="677">
        <v>7.9939127660000002</v>
      </c>
      <c r="EE420" s="677">
        <v>5.7412410960000004</v>
      </c>
      <c r="EF420" s="677">
        <v>7.8295061930000003</v>
      </c>
      <c r="EG420" s="677">
        <v>7.8306514140000001</v>
      </c>
      <c r="EH420" s="677">
        <v>8.4975644839999998</v>
      </c>
      <c r="EI420" s="677">
        <v>5.0665644680000002</v>
      </c>
      <c r="EJ420" s="677">
        <v>5.6811614529999996</v>
      </c>
      <c r="EK420" s="677">
        <v>5.501480806</v>
      </c>
      <c r="EL420" s="679">
        <v>5.1325595259999997</v>
      </c>
      <c r="EM420" s="677">
        <v>6.7796482989999998</v>
      </c>
      <c r="EN420" s="677">
        <v>7.6507532467777803</v>
      </c>
      <c r="EO420" s="677">
        <v>7.9406496387777805</v>
      </c>
      <c r="EP420" s="677">
        <v>13.087179517999999</v>
      </c>
      <c r="EQ420" s="677">
        <v>10.144406527777781</v>
      </c>
      <c r="ER420" s="677">
        <v>17.962402991000001</v>
      </c>
      <c r="ES420" s="677">
        <v>13.804651252999999</v>
      </c>
      <c r="ET420" s="677">
        <v>4.7007677599999997</v>
      </c>
      <c r="EU420" s="677">
        <v>13.712212498333329</v>
      </c>
      <c r="EV420" s="677">
        <v>10.037500047</v>
      </c>
      <c r="EW420" s="677">
        <v>14.87784929433333</v>
      </c>
      <c r="EX420" s="679">
        <v>14.215811215</v>
      </c>
      <c r="EY420" s="677">
        <v>17.372936586000002</v>
      </c>
      <c r="EZ420" s="677">
        <v>8.2966082700000001</v>
      </c>
      <c r="FA420" s="677">
        <v>10.65785339</v>
      </c>
      <c r="FB420" s="677">
        <v>7.5657378980000001</v>
      </c>
      <c r="FC420" s="677">
        <v>7.9791308389999998</v>
      </c>
      <c r="FD420" s="677">
        <v>15.311801300999999</v>
      </c>
      <c r="FE420" s="677">
        <v>12.187246658999999</v>
      </c>
      <c r="FF420" s="677">
        <v>18.384998164999999</v>
      </c>
      <c r="FG420" s="677">
        <v>10.166058993</v>
      </c>
      <c r="FH420" s="677">
        <v>7.6384915619999996</v>
      </c>
      <c r="FI420" s="677">
        <v>3.6729320300000001</v>
      </c>
      <c r="FJ420" s="679">
        <v>7.9310596689999997</v>
      </c>
      <c r="FK420" s="677">
        <v>6.2621013410000002</v>
      </c>
      <c r="FL420" s="677">
        <v>7.8766350100000002</v>
      </c>
      <c r="FM420" s="677">
        <v>8.2514774840000005</v>
      </c>
      <c r="FN420" s="677">
        <v>10.283133908</v>
      </c>
      <c r="FO420" s="677">
        <v>8.0629427769999999</v>
      </c>
      <c r="FP420" s="677">
        <v>8.6360781769999999</v>
      </c>
      <c r="FQ420" s="677">
        <v>15.359512964</v>
      </c>
      <c r="FR420" s="677">
        <v>9.4167009329999996</v>
      </c>
      <c r="FS420" s="677">
        <v>4.679258677</v>
      </c>
      <c r="FT420" s="677">
        <v>14.710902853</v>
      </c>
      <c r="FU420" s="677">
        <v>17.360620360999999</v>
      </c>
      <c r="FV420" s="677">
        <v>10.130549576</v>
      </c>
      <c r="FW420" s="677">
        <v>6.6956008130000004</v>
      </c>
      <c r="FX420" s="677">
        <v>12.398858428</v>
      </c>
      <c r="FY420" s="677">
        <v>12.059231357</v>
      </c>
      <c r="FZ420" s="677">
        <v>11.712960528</v>
      </c>
      <c r="GA420" s="677">
        <v>9.2436129759999996</v>
      </c>
      <c r="GB420" s="677">
        <v>16.606232940999998</v>
      </c>
      <c r="GC420" s="677">
        <v>9.9348255860000005</v>
      </c>
      <c r="GD420" s="677">
        <v>10.520450714000001</v>
      </c>
      <c r="GE420" s="677">
        <v>19.144651583000002</v>
      </c>
      <c r="GF420" s="677">
        <v>6.9010833380000003</v>
      </c>
      <c r="GG420" s="677">
        <v>12.405606430000001</v>
      </c>
      <c r="GH420" s="677">
        <v>15.284754016000001</v>
      </c>
      <c r="GI420" s="677"/>
      <c r="GJ420" s="677"/>
      <c r="GK420" s="677"/>
      <c r="GL420" s="677"/>
      <c r="GM420" s="677"/>
      <c r="GN420" s="677"/>
      <c r="GO420" s="677"/>
      <c r="GP420" s="677"/>
      <c r="GQ420" s="677"/>
      <c r="GR420" s="677"/>
      <c r="GS420" s="677"/>
      <c r="GT420" s="677"/>
      <c r="GU420" s="677"/>
      <c r="GV420" s="677"/>
      <c r="GW420" s="677"/>
      <c r="GX420" s="677"/>
      <c r="GY420" s="677"/>
      <c r="GZ420" s="677"/>
      <c r="HA420" s="677"/>
      <c r="HB420" s="677"/>
      <c r="HC420" s="677"/>
      <c r="HD420" s="677"/>
      <c r="HE420" s="677"/>
      <c r="HF420" s="677"/>
      <c r="HG420" s="677"/>
      <c r="HH420" s="677"/>
      <c r="HI420" s="677"/>
      <c r="HJ420" s="677"/>
      <c r="HK420" s="677"/>
      <c r="HL420" s="677"/>
      <c r="HM420" s="677"/>
      <c r="HN420" s="680"/>
      <c r="KH420" s="682"/>
      <c r="KI420" s="680"/>
    </row>
    <row r="421" spans="1:295" s="681" customFormat="1" outlineLevel="1">
      <c r="A421" s="675" t="s">
        <v>923</v>
      </c>
      <c r="B421" s="675" t="s">
        <v>361</v>
      </c>
      <c r="C421" s="675"/>
      <c r="D421" s="1465" t="s">
        <v>2467</v>
      </c>
      <c r="E421" s="677"/>
      <c r="F421" s="677"/>
      <c r="G421" s="677"/>
      <c r="H421" s="677"/>
      <c r="I421" s="677"/>
      <c r="J421" s="677"/>
      <c r="K421" s="677"/>
      <c r="L421" s="677"/>
      <c r="M421" s="677"/>
      <c r="N421" s="677"/>
      <c r="O421" s="677"/>
      <c r="P421" s="677"/>
      <c r="Q421" s="677"/>
      <c r="R421" s="677"/>
      <c r="S421" s="677"/>
      <c r="T421" s="677"/>
      <c r="U421" s="677"/>
      <c r="V421" s="677"/>
      <c r="W421" s="677"/>
      <c r="X421" s="677"/>
      <c r="Y421" s="677"/>
      <c r="Z421" s="677"/>
      <c r="AA421" s="677"/>
      <c r="AB421" s="677"/>
      <c r="AC421" s="677"/>
      <c r="AD421" s="677"/>
      <c r="AE421" s="677"/>
      <c r="AF421" s="677"/>
      <c r="AG421" s="677"/>
      <c r="AH421" s="677"/>
      <c r="AI421" s="677"/>
      <c r="AJ421" s="677"/>
      <c r="AK421" s="677"/>
      <c r="AL421" s="677"/>
      <c r="AM421" s="677"/>
      <c r="AN421" s="677"/>
      <c r="AO421" s="677"/>
      <c r="AP421" s="677"/>
      <c r="AQ421" s="677"/>
      <c r="AR421" s="677"/>
      <c r="AS421" s="677"/>
      <c r="AT421" s="677"/>
      <c r="AU421" s="677"/>
      <c r="AV421" s="677"/>
      <c r="AW421" s="677"/>
      <c r="AX421" s="677"/>
      <c r="AY421" s="677"/>
      <c r="AZ421" s="677"/>
      <c r="BA421" s="677"/>
      <c r="BB421" s="677"/>
      <c r="BC421" s="677"/>
      <c r="BD421" s="677"/>
      <c r="BE421" s="677"/>
      <c r="BF421" s="677"/>
      <c r="BG421" s="677">
        <v>4.6850892548000003</v>
      </c>
      <c r="BH421" s="677">
        <v>3.5396899638000003</v>
      </c>
      <c r="BI421" s="677">
        <v>14.984362418110001</v>
      </c>
      <c r="BJ421" s="677">
        <v>20.896043595200002</v>
      </c>
      <c r="BK421" s="677">
        <v>17.102425867000001</v>
      </c>
      <c r="BL421" s="677">
        <v>19.110375611999999</v>
      </c>
      <c r="BM421" s="677">
        <v>10.727401914</v>
      </c>
      <c r="BN421" s="677">
        <v>11.791031952999999</v>
      </c>
      <c r="BO421" s="677">
        <v>16.44639864933</v>
      </c>
      <c r="BP421" s="677">
        <v>6.6658269798400003</v>
      </c>
      <c r="BQ421" s="677">
        <v>38.241485769400001</v>
      </c>
      <c r="BR421" s="677">
        <v>27.956197618990004</v>
      </c>
      <c r="BS421" s="677">
        <v>0.41126810400000002</v>
      </c>
      <c r="BT421" s="677">
        <v>8.3845906289999999</v>
      </c>
      <c r="BU421" s="677">
        <v>23.825367590000003</v>
      </c>
      <c r="BV421" s="677">
        <v>25.132688155</v>
      </c>
      <c r="BW421" s="677">
        <v>17.068305255850003</v>
      </c>
      <c r="BX421" s="677">
        <v>7.5719078160000004</v>
      </c>
      <c r="BY421" s="677">
        <v>20.401845422379999</v>
      </c>
      <c r="BZ421" s="677">
        <v>14.882104697760001</v>
      </c>
      <c r="CA421" s="677">
        <v>19.228526802119998</v>
      </c>
      <c r="CB421" s="677">
        <v>20.502972712999998</v>
      </c>
      <c r="CC421" s="677">
        <v>41.335120702689998</v>
      </c>
      <c r="CD421" s="677">
        <v>50.099825130089997</v>
      </c>
      <c r="CE421" s="677">
        <v>0.44604900600000003</v>
      </c>
      <c r="CF421" s="677">
        <v>14.557620572999999</v>
      </c>
      <c r="CG421" s="677">
        <v>10.759392524000001</v>
      </c>
      <c r="CH421" s="677">
        <v>14.446184479999999</v>
      </c>
      <c r="CI421" s="677">
        <v>27.134588074</v>
      </c>
      <c r="CJ421" s="677">
        <v>27.889136381</v>
      </c>
      <c r="CK421" s="677">
        <v>11.412169047000001</v>
      </c>
      <c r="CL421" s="677">
        <v>15.977541886999999</v>
      </c>
      <c r="CM421" s="677">
        <v>23.084264866000002</v>
      </c>
      <c r="CN421" s="677">
        <v>14.980184170999999</v>
      </c>
      <c r="CO421" s="677">
        <v>34.498019962000001</v>
      </c>
      <c r="CP421" s="679">
        <v>81.895516267999994</v>
      </c>
      <c r="CQ421" s="677">
        <v>1.6310072929999999</v>
      </c>
      <c r="CR421" s="677">
        <v>7.602798215</v>
      </c>
      <c r="CS421" s="677">
        <v>29.167359199</v>
      </c>
      <c r="CT421" s="677">
        <v>15.848975742</v>
      </c>
      <c r="CU421" s="677">
        <v>9.8325243269999998</v>
      </c>
      <c r="CV421" s="677">
        <v>21.673307762</v>
      </c>
      <c r="CW421" s="677">
        <v>16.906566338000001</v>
      </c>
      <c r="CX421" s="677">
        <v>11.10295028</v>
      </c>
      <c r="CY421" s="677">
        <v>32.110825253000002</v>
      </c>
      <c r="CZ421" s="677">
        <v>30.679141774000001</v>
      </c>
      <c r="DA421" s="677">
        <v>32.989214988999997</v>
      </c>
      <c r="DB421" s="1507">
        <v>73.963600792999998</v>
      </c>
      <c r="DC421" s="677">
        <v>3.6373215139999999</v>
      </c>
      <c r="DD421" s="677">
        <v>5.2153847659999997</v>
      </c>
      <c r="DE421" s="677">
        <v>27.825319954000001</v>
      </c>
      <c r="DF421" s="677">
        <v>27.169982095999998</v>
      </c>
      <c r="DG421" s="677">
        <v>15.009490921999999</v>
      </c>
      <c r="DH421" s="677">
        <v>40.272931358000001</v>
      </c>
      <c r="DI421" s="677">
        <v>20.541267917999999</v>
      </c>
      <c r="DJ421" s="677">
        <v>29.850061142000001</v>
      </c>
      <c r="DK421" s="677">
        <v>20.860901262999999</v>
      </c>
      <c r="DL421" s="677">
        <v>24.609312913</v>
      </c>
      <c r="DM421" s="677">
        <v>31.748695616999999</v>
      </c>
      <c r="DN421" s="679">
        <v>85.769032062999997</v>
      </c>
      <c r="DO421" s="677">
        <v>5.0727484379999996</v>
      </c>
      <c r="DP421" s="677">
        <v>4.8513779349999995</v>
      </c>
      <c r="DQ421" s="677">
        <v>0.97017369600000003</v>
      </c>
      <c r="DR421" s="677">
        <v>4.9201951029999993</v>
      </c>
      <c r="DS421" s="677">
        <v>1.1289838649999999</v>
      </c>
      <c r="DT421" s="677">
        <v>9.3005260310000004</v>
      </c>
      <c r="DU421" s="677">
        <v>3.1075889829999999</v>
      </c>
      <c r="DV421" s="677">
        <v>1.9181877970000001</v>
      </c>
      <c r="DW421" s="677">
        <v>3.167219045</v>
      </c>
      <c r="DX421" s="677">
        <v>4.6850214289999998</v>
      </c>
      <c r="DY421" s="677">
        <v>2.9231902080000003</v>
      </c>
      <c r="DZ421" s="679">
        <v>5.9539795129999993</v>
      </c>
      <c r="EA421" s="677">
        <v>7.2999999999999995E-2</v>
      </c>
      <c r="EB421" s="677">
        <v>4.8593561200000003E-2</v>
      </c>
      <c r="EC421" s="677">
        <v>0.24510168409999999</v>
      </c>
      <c r="ED421" s="677">
        <v>0.31179585949999999</v>
      </c>
      <c r="EE421" s="677">
        <v>6.9229274199999996E-2</v>
      </c>
      <c r="EF421" s="677">
        <v>0.34472130180000005</v>
      </c>
      <c r="EG421" s="677">
        <v>0.2879623382</v>
      </c>
      <c r="EH421" s="677">
        <v>0.4646436846</v>
      </c>
      <c r="EI421" s="677">
        <v>0.3985941381</v>
      </c>
      <c r="EJ421" s="677">
        <v>0.38311908690000002</v>
      </c>
      <c r="EK421" s="677">
        <v>7.8221705900000008E-2</v>
      </c>
      <c r="EL421" s="679">
        <v>0.39343018930000001</v>
      </c>
      <c r="EM421" s="677">
        <v>16.950958521</v>
      </c>
      <c r="EN421" s="677">
        <v>23.914637976999998</v>
      </c>
      <c r="EO421" s="677">
        <v>25.160454091000002</v>
      </c>
      <c r="EP421" s="677">
        <v>28.558832124000002</v>
      </c>
      <c r="EQ421" s="677">
        <v>20.076154351</v>
      </c>
      <c r="ER421" s="677">
        <v>66.820887443999993</v>
      </c>
      <c r="ES421" s="677">
        <v>48.920980843999999</v>
      </c>
      <c r="ET421" s="677">
        <v>31.148686434999998</v>
      </c>
      <c r="EU421" s="677">
        <v>33.380394058</v>
      </c>
      <c r="EV421" s="677">
        <v>35.815576378000003</v>
      </c>
      <c r="EW421" s="677">
        <v>34.225087301999999</v>
      </c>
      <c r="EX421" s="679">
        <v>97.016465150000002</v>
      </c>
      <c r="EY421" s="677">
        <v>17.746425795</v>
      </c>
      <c r="EZ421" s="677">
        <v>32.617294085000005</v>
      </c>
      <c r="FA421" s="677">
        <v>29.385705352999999</v>
      </c>
      <c r="FB421" s="677">
        <v>51.625387167</v>
      </c>
      <c r="FC421" s="677">
        <v>36.066536865000003</v>
      </c>
      <c r="FD421" s="677">
        <v>60.998675044000002</v>
      </c>
      <c r="FE421" s="677">
        <v>44.946953505000003</v>
      </c>
      <c r="FF421" s="677">
        <v>40.658971270999999</v>
      </c>
      <c r="FG421" s="677">
        <v>33.257529392000002</v>
      </c>
      <c r="FH421" s="677">
        <v>15.933017722000001</v>
      </c>
      <c r="FI421" s="677">
        <v>36.180398213999993</v>
      </c>
      <c r="FJ421" s="679">
        <v>103.51510762700001</v>
      </c>
      <c r="FK421" s="677">
        <v>14.088492812</v>
      </c>
      <c r="FL421" s="677">
        <v>13.282699363000001</v>
      </c>
      <c r="FM421" s="677">
        <v>12.035185643</v>
      </c>
      <c r="FN421" s="677">
        <v>20.659912942999998</v>
      </c>
      <c r="FO421" s="677">
        <v>21.364731975000002</v>
      </c>
      <c r="FP421" s="677">
        <v>22.337518750000001</v>
      </c>
      <c r="FQ421" s="677">
        <v>47.242508796999999</v>
      </c>
      <c r="FR421" s="677">
        <v>59.851508193999997</v>
      </c>
      <c r="FS421" s="677">
        <v>96.556650220999998</v>
      </c>
      <c r="FT421" s="677">
        <v>28.496043082</v>
      </c>
      <c r="FU421" s="677">
        <v>66.622779985999998</v>
      </c>
      <c r="FV421" s="677">
        <v>102.989037772</v>
      </c>
      <c r="FW421" s="677">
        <v>6.8687319530000002</v>
      </c>
      <c r="FX421" s="677">
        <v>15.812906365</v>
      </c>
      <c r="FY421" s="677">
        <v>19.908345156999999</v>
      </c>
      <c r="FZ421" s="677">
        <v>53.192144355000003</v>
      </c>
      <c r="GA421" s="677">
        <v>78.012973647999999</v>
      </c>
      <c r="GB421" s="677">
        <v>94.398664237000006</v>
      </c>
      <c r="GC421" s="677">
        <v>94.228657702999996</v>
      </c>
      <c r="GD421" s="677">
        <v>62.290836996000003</v>
      </c>
      <c r="GE421" s="677">
        <v>142.52157338500001</v>
      </c>
      <c r="GF421" s="677">
        <v>91.527151167</v>
      </c>
      <c r="GG421" s="677">
        <v>78.863354920999996</v>
      </c>
      <c r="GH421" s="677">
        <v>63.181473207000003</v>
      </c>
      <c r="GI421" s="677"/>
      <c r="GJ421" s="677"/>
      <c r="GK421" s="677"/>
      <c r="GL421" s="677"/>
      <c r="GM421" s="677"/>
      <c r="GN421" s="677"/>
      <c r="GO421" s="677"/>
      <c r="GP421" s="677"/>
      <c r="GQ421" s="677"/>
      <c r="GR421" s="677"/>
      <c r="GS421" s="677"/>
      <c r="GT421" s="677"/>
      <c r="GU421" s="677"/>
      <c r="GV421" s="677"/>
      <c r="GW421" s="677"/>
      <c r="GX421" s="677"/>
      <c r="GY421" s="677"/>
      <c r="GZ421" s="677"/>
      <c r="HA421" s="677"/>
      <c r="HB421" s="677"/>
      <c r="HC421" s="677"/>
      <c r="HD421" s="677"/>
      <c r="HE421" s="677"/>
      <c r="HF421" s="677"/>
      <c r="HG421" s="677"/>
      <c r="HH421" s="677"/>
      <c r="HI421" s="677"/>
      <c r="HJ421" s="677"/>
      <c r="HK421" s="677"/>
      <c r="HL421" s="677"/>
      <c r="HM421" s="677"/>
      <c r="HN421" s="680"/>
      <c r="KH421" s="682"/>
      <c r="KI421" s="680"/>
    </row>
    <row r="422" spans="1:295" s="681" customFormat="1" outlineLevel="1">
      <c r="A422" s="675" t="s">
        <v>923</v>
      </c>
      <c r="B422" s="675" t="s">
        <v>361</v>
      </c>
      <c r="C422" s="675"/>
      <c r="D422" s="1468" t="s">
        <v>568</v>
      </c>
      <c r="E422" s="677"/>
      <c r="F422" s="677"/>
      <c r="G422" s="677"/>
      <c r="H422" s="677"/>
      <c r="I422" s="677"/>
      <c r="J422" s="677"/>
      <c r="K422" s="677"/>
      <c r="L422" s="677"/>
      <c r="M422" s="677"/>
      <c r="N422" s="677"/>
      <c r="O422" s="677"/>
      <c r="P422" s="677"/>
      <c r="Q422" s="677"/>
      <c r="R422" s="677"/>
      <c r="S422" s="677"/>
      <c r="T422" s="677"/>
      <c r="U422" s="677"/>
      <c r="V422" s="677"/>
      <c r="W422" s="677"/>
      <c r="X422" s="677"/>
      <c r="Y422" s="677"/>
      <c r="Z422" s="677"/>
      <c r="AA422" s="677"/>
      <c r="AB422" s="677"/>
      <c r="AC422" s="677"/>
      <c r="AD422" s="677"/>
      <c r="AE422" s="677"/>
      <c r="AF422" s="677"/>
      <c r="AG422" s="677"/>
      <c r="AH422" s="677"/>
      <c r="AI422" s="677"/>
      <c r="AJ422" s="677"/>
      <c r="AK422" s="677"/>
      <c r="AL422" s="677"/>
      <c r="AM422" s="677"/>
      <c r="AN422" s="677"/>
      <c r="AO422" s="677"/>
      <c r="AP422" s="677"/>
      <c r="AQ422" s="677"/>
      <c r="AR422" s="677"/>
      <c r="AS422" s="677"/>
      <c r="AT422" s="677"/>
      <c r="AU422" s="677"/>
      <c r="AV422" s="677"/>
      <c r="AW422" s="677"/>
      <c r="AX422" s="677"/>
      <c r="AY422" s="677"/>
      <c r="AZ422" s="677"/>
      <c r="BA422" s="677"/>
      <c r="BB422" s="677"/>
      <c r="BC422" s="677"/>
      <c r="BD422" s="677"/>
      <c r="BE422" s="677"/>
      <c r="BF422" s="677"/>
      <c r="BG422" s="677">
        <v>4.6850892548000003</v>
      </c>
      <c r="BH422" s="677">
        <v>3.5396899638000003</v>
      </c>
      <c r="BI422" s="677">
        <v>14.984362418110001</v>
      </c>
      <c r="BJ422" s="677">
        <v>20.896043595200002</v>
      </c>
      <c r="BK422" s="677">
        <v>17.102425867000001</v>
      </c>
      <c r="BL422" s="677">
        <v>19.032906411999999</v>
      </c>
      <c r="BM422" s="677">
        <v>10.727401914</v>
      </c>
      <c r="BN422" s="677">
        <v>11.791031952999999</v>
      </c>
      <c r="BO422" s="677">
        <v>16.44639864933</v>
      </c>
      <c r="BP422" s="677">
        <v>6.6658269798400003</v>
      </c>
      <c r="BQ422" s="677">
        <v>38.233481569399999</v>
      </c>
      <c r="BR422" s="677">
        <v>27.941240250990003</v>
      </c>
      <c r="BS422" s="677">
        <v>0.41126810400000002</v>
      </c>
      <c r="BT422" s="677">
        <v>8.3845906289999999</v>
      </c>
      <c r="BU422" s="677">
        <v>23.690834656</v>
      </c>
      <c r="BV422" s="677">
        <v>25.132688155</v>
      </c>
      <c r="BW422" s="677">
        <v>16.45830525585</v>
      </c>
      <c r="BX422" s="677">
        <v>7.5719078160000004</v>
      </c>
      <c r="BY422" s="677">
        <v>20.18464193538</v>
      </c>
      <c r="BZ422" s="677">
        <v>14.882104697760001</v>
      </c>
      <c r="CA422" s="677">
        <v>19.196012102119997</v>
      </c>
      <c r="CB422" s="677">
        <v>20.482314299999999</v>
      </c>
      <c r="CC422" s="677">
        <v>39.784927303690004</v>
      </c>
      <c r="CD422" s="677">
        <v>50.088964890089997</v>
      </c>
      <c r="CE422" s="677">
        <v>10.526452686000001</v>
      </c>
      <c r="CF422" s="677">
        <v>14.788687463</v>
      </c>
      <c r="CG422" s="677">
        <v>15.141310662</v>
      </c>
      <c r="CH422" s="677">
        <v>23.906214788</v>
      </c>
      <c r="CI422" s="677">
        <v>17.150936775000002</v>
      </c>
      <c r="CJ422" s="677">
        <v>11.073881504999999</v>
      </c>
      <c r="CK422" s="677">
        <v>21.884380947</v>
      </c>
      <c r="CL422" s="677">
        <v>18.32118797</v>
      </c>
      <c r="CM422" s="677">
        <v>23.373190814000001</v>
      </c>
      <c r="CN422" s="677">
        <v>27.952275332999999</v>
      </c>
      <c r="CO422" s="677">
        <v>51.030099032000003</v>
      </c>
      <c r="CP422" s="679">
        <v>34.385280105</v>
      </c>
      <c r="CQ422" s="677">
        <v>1.6310072929999999</v>
      </c>
      <c r="CR422" s="677">
        <v>7.602798215</v>
      </c>
      <c r="CS422" s="677">
        <v>25.101856853000001</v>
      </c>
      <c r="CT422" s="677">
        <v>14.123975742000001</v>
      </c>
      <c r="CU422" s="677">
        <v>9.7893383269999994</v>
      </c>
      <c r="CV422" s="677">
        <v>21.473307762000001</v>
      </c>
      <c r="CW422" s="677">
        <v>16.906566338000001</v>
      </c>
      <c r="CX422" s="677">
        <v>10.408908952999999</v>
      </c>
      <c r="CY422" s="677">
        <v>31.805700253000001</v>
      </c>
      <c r="CZ422" s="677">
        <v>30.670025773999999</v>
      </c>
      <c r="DA422" s="677">
        <v>32.375632989000003</v>
      </c>
      <c r="DB422" s="1507">
        <v>73.663600793000001</v>
      </c>
      <c r="DC422" s="677">
        <v>3.6373215139999999</v>
      </c>
      <c r="DD422" s="677">
        <v>5.2109607550000003</v>
      </c>
      <c r="DE422" s="677">
        <v>27.461544456999999</v>
      </c>
      <c r="DF422" s="677">
        <v>26.107990024999999</v>
      </c>
      <c r="DG422" s="677">
        <v>13.770402904999999</v>
      </c>
      <c r="DH422" s="677">
        <v>37.324433313</v>
      </c>
      <c r="DI422" s="677">
        <v>20.264262713000001</v>
      </c>
      <c r="DJ422" s="677">
        <v>28.256189130999999</v>
      </c>
      <c r="DK422" s="677">
        <v>20.152594377</v>
      </c>
      <c r="DL422" s="677">
        <v>24.512805493999998</v>
      </c>
      <c r="DM422" s="677">
        <v>31.482509322999999</v>
      </c>
      <c r="DN422" s="679">
        <v>83.412426097999997</v>
      </c>
      <c r="DO422" s="677">
        <v>5.0727484379999996</v>
      </c>
      <c r="DP422" s="677">
        <v>4.7252419569999997</v>
      </c>
      <c r="DQ422" s="677">
        <v>0.50251411999999995</v>
      </c>
      <c r="DR422" s="677">
        <v>4.7662840419999997</v>
      </c>
      <c r="DS422" s="677">
        <v>0.16179064300000001</v>
      </c>
      <c r="DT422" s="677">
        <v>7.5829796869999999</v>
      </c>
      <c r="DU422" s="677">
        <v>2.132260112</v>
      </c>
      <c r="DV422" s="677">
        <v>0.91940471700000004</v>
      </c>
      <c r="DW422" s="677">
        <v>2.4067167220000001</v>
      </c>
      <c r="DX422" s="677">
        <v>4.0927273550000001</v>
      </c>
      <c r="DY422" s="677">
        <v>2.044399002</v>
      </c>
      <c r="DZ422" s="679">
        <v>4.7010034789999997</v>
      </c>
      <c r="EA422" s="677">
        <v>7.2999999999999995E-2</v>
      </c>
      <c r="EB422" s="677">
        <v>4.8240101000000001E-2</v>
      </c>
      <c r="EC422" s="677">
        <v>0.2388319237</v>
      </c>
      <c r="ED422" s="677">
        <v>8.5763174799999994E-2</v>
      </c>
      <c r="EE422" s="677">
        <v>1.4193771000000001E-2</v>
      </c>
      <c r="EF422" s="677">
        <v>0.26682989070000002</v>
      </c>
      <c r="EG422" s="677">
        <v>0.21534243850000001</v>
      </c>
      <c r="EH422" s="677">
        <v>0.41247638599999997</v>
      </c>
      <c r="EI422" s="677">
        <v>0.33070972599999998</v>
      </c>
      <c r="EJ422" s="677">
        <v>0.34896725610000001</v>
      </c>
      <c r="EK422" s="677">
        <v>7.3247569900000004E-2</v>
      </c>
      <c r="EL422" s="679">
        <v>0.2572472267</v>
      </c>
      <c r="EM422" s="677">
        <v>16.452885023</v>
      </c>
      <c r="EN422" s="677">
        <v>23.793613057999998</v>
      </c>
      <c r="EO422" s="677">
        <v>23.747437555000001</v>
      </c>
      <c r="EP422" s="677">
        <v>26.960785636000001</v>
      </c>
      <c r="EQ422" s="677">
        <v>19.653327188999999</v>
      </c>
      <c r="ER422" s="677">
        <v>63.311268587999997</v>
      </c>
      <c r="ES422" s="677">
        <v>48.263376252999997</v>
      </c>
      <c r="ET422" s="677">
        <v>28.388932278999999</v>
      </c>
      <c r="EU422" s="677">
        <v>32.258542865000003</v>
      </c>
      <c r="EV422" s="677">
        <v>34.652859804000002</v>
      </c>
      <c r="EW422" s="677">
        <v>31.472249638000001</v>
      </c>
      <c r="EX422" s="679">
        <v>92.996541280000002</v>
      </c>
      <c r="EY422" s="677">
        <v>17.456981047999999</v>
      </c>
      <c r="EZ422" s="677">
        <v>32.601636671000001</v>
      </c>
      <c r="FA422" s="677">
        <v>29.385705352999999</v>
      </c>
      <c r="FB422" s="677">
        <v>51.025387166999998</v>
      </c>
      <c r="FC422" s="677">
        <v>34.641814052999997</v>
      </c>
      <c r="FD422" s="677">
        <v>60.998675044000002</v>
      </c>
      <c r="FE422" s="677">
        <v>42.749598431000003</v>
      </c>
      <c r="FF422" s="677">
        <v>39.758971271</v>
      </c>
      <c r="FG422" s="677">
        <v>31.655084991999999</v>
      </c>
      <c r="FH422" s="677">
        <v>15.905069041999999</v>
      </c>
      <c r="FI422" s="677">
        <v>28.991135581999998</v>
      </c>
      <c r="FJ422" s="679">
        <v>100.952503913</v>
      </c>
      <c r="FK422" s="677">
        <v>8.2856941650000007</v>
      </c>
      <c r="FL422" s="677">
        <v>11.333873564999999</v>
      </c>
      <c r="FM422" s="677">
        <v>10.182595805</v>
      </c>
      <c r="FN422" s="677">
        <v>28.553840231999999</v>
      </c>
      <c r="FO422" s="677">
        <v>15.481086116</v>
      </c>
      <c r="FP422" s="677">
        <v>14.248660313</v>
      </c>
      <c r="FQ422" s="677">
        <v>14.718118255</v>
      </c>
      <c r="FR422" s="677">
        <v>15.314649355</v>
      </c>
      <c r="FS422" s="677">
        <v>27.028382050000001</v>
      </c>
      <c r="FT422" s="677">
        <v>12.155606046000001</v>
      </c>
      <c r="FU422" s="677">
        <v>34.786607390999997</v>
      </c>
      <c r="FV422" s="677">
        <v>55.421529739</v>
      </c>
      <c r="FW422" s="677">
        <v>3.8419995400000002</v>
      </c>
      <c r="FX422" s="677">
        <v>3.8052269070000002</v>
      </c>
      <c r="FY422" s="677">
        <v>9.6655565340000003</v>
      </c>
      <c r="FZ422" s="677">
        <v>25.242260773000002</v>
      </c>
      <c r="GA422" s="677">
        <v>25.802067166</v>
      </c>
      <c r="GB422" s="677">
        <v>38.642622775</v>
      </c>
      <c r="GC422" s="677">
        <v>94.228657702999996</v>
      </c>
      <c r="GD422" s="677">
        <v>62.290836996000003</v>
      </c>
      <c r="GE422" s="677">
        <v>142.52157338500001</v>
      </c>
      <c r="GF422" s="677">
        <v>91.527151167</v>
      </c>
      <c r="GG422" s="677">
        <v>78.863354920999996</v>
      </c>
      <c r="GH422" s="677">
        <v>63.181473207000003</v>
      </c>
      <c r="GI422" s="677"/>
      <c r="GJ422" s="677"/>
      <c r="GK422" s="677"/>
      <c r="GL422" s="677"/>
      <c r="GM422" s="677"/>
      <c r="GN422" s="677"/>
      <c r="GO422" s="677"/>
      <c r="GP422" s="677"/>
      <c r="GQ422" s="677"/>
      <c r="GR422" s="677"/>
      <c r="GS422" s="677"/>
      <c r="GT422" s="677"/>
      <c r="GU422" s="677"/>
      <c r="GV422" s="677"/>
      <c r="GW422" s="677"/>
      <c r="GX422" s="677"/>
      <c r="GY422" s="677"/>
      <c r="GZ422" s="677"/>
      <c r="HA422" s="677"/>
      <c r="HB422" s="677"/>
      <c r="HC422" s="677"/>
      <c r="HD422" s="677"/>
      <c r="HE422" s="677"/>
      <c r="HF422" s="677"/>
      <c r="HG422" s="677"/>
      <c r="HH422" s="677"/>
      <c r="HI422" s="677"/>
      <c r="HJ422" s="677"/>
      <c r="HK422" s="677"/>
      <c r="HL422" s="677"/>
      <c r="HM422" s="677"/>
      <c r="HN422" s="680"/>
      <c r="KH422" s="682"/>
      <c r="KI422" s="680"/>
    </row>
    <row r="423" spans="1:295" s="681" customFormat="1" outlineLevel="1">
      <c r="A423" s="675" t="s">
        <v>923</v>
      </c>
      <c r="B423" s="675" t="s">
        <v>361</v>
      </c>
      <c r="C423" s="675"/>
      <c r="D423" s="1468" t="s">
        <v>569</v>
      </c>
      <c r="E423" s="677"/>
      <c r="F423" s="677"/>
      <c r="G423" s="677"/>
      <c r="H423" s="677"/>
      <c r="I423" s="677"/>
      <c r="J423" s="677"/>
      <c r="K423" s="677"/>
      <c r="L423" s="677"/>
      <c r="M423" s="677"/>
      <c r="N423" s="677"/>
      <c r="O423" s="677"/>
      <c r="P423" s="677"/>
      <c r="Q423" s="677"/>
      <c r="R423" s="677"/>
      <c r="S423" s="677"/>
      <c r="T423" s="677"/>
      <c r="U423" s="677"/>
      <c r="V423" s="677"/>
      <c r="W423" s="677"/>
      <c r="X423" s="677"/>
      <c r="Y423" s="677"/>
      <c r="Z423" s="677"/>
      <c r="AA423" s="677"/>
      <c r="AB423" s="677"/>
      <c r="AC423" s="677"/>
      <c r="AD423" s="677"/>
      <c r="AE423" s="677"/>
      <c r="AF423" s="677"/>
      <c r="AG423" s="677"/>
      <c r="AH423" s="677"/>
      <c r="AI423" s="677"/>
      <c r="AJ423" s="677"/>
      <c r="AK423" s="677"/>
      <c r="AL423" s="677"/>
      <c r="AM423" s="677"/>
      <c r="AN423" s="677"/>
      <c r="AO423" s="677"/>
      <c r="AP423" s="677"/>
      <c r="AQ423" s="677"/>
      <c r="AR423" s="677"/>
      <c r="AS423" s="677"/>
      <c r="AT423" s="677"/>
      <c r="AU423" s="677"/>
      <c r="AV423" s="677"/>
      <c r="AW423" s="677"/>
      <c r="AX423" s="677"/>
      <c r="AY423" s="677"/>
      <c r="AZ423" s="677"/>
      <c r="BA423" s="677"/>
      <c r="BB423" s="677"/>
      <c r="BC423" s="677"/>
      <c r="BD423" s="677"/>
      <c r="BE423" s="677"/>
      <c r="BF423" s="677"/>
      <c r="BG423" s="677">
        <v>0</v>
      </c>
      <c r="BH423" s="677">
        <v>0</v>
      </c>
      <c r="BI423" s="677">
        <v>0</v>
      </c>
      <c r="BJ423" s="677">
        <v>0</v>
      </c>
      <c r="BK423" s="677">
        <v>0</v>
      </c>
      <c r="BL423" s="677">
        <v>0</v>
      </c>
      <c r="BM423" s="677">
        <v>0</v>
      </c>
      <c r="BN423" s="677">
        <v>0</v>
      </c>
      <c r="BO423" s="677">
        <v>0</v>
      </c>
      <c r="BP423" s="677">
        <v>0</v>
      </c>
      <c r="BQ423" s="677">
        <v>0</v>
      </c>
      <c r="BR423" s="677">
        <v>0</v>
      </c>
      <c r="BS423" s="677">
        <v>0</v>
      </c>
      <c r="BT423" s="677">
        <v>0</v>
      </c>
      <c r="BU423" s="677">
        <v>0.10882</v>
      </c>
      <c r="BV423" s="677">
        <v>0</v>
      </c>
      <c r="BW423" s="677">
        <v>0.6</v>
      </c>
      <c r="BX423" s="677">
        <v>0</v>
      </c>
      <c r="BY423" s="677">
        <v>0.2</v>
      </c>
      <c r="BZ423" s="677">
        <v>0</v>
      </c>
      <c r="CA423" s="677">
        <v>2.3514699999999999E-2</v>
      </c>
      <c r="CB423" s="677">
        <v>3.6584130000000001E-3</v>
      </c>
      <c r="CC423" s="677">
        <v>1.4044872230000001</v>
      </c>
      <c r="CD423" s="677">
        <v>0</v>
      </c>
      <c r="CE423" s="677">
        <v>0</v>
      </c>
      <c r="CF423" s="677">
        <v>0.32088234199999999</v>
      </c>
      <c r="CG423" s="677">
        <v>0</v>
      </c>
      <c r="CH423" s="677">
        <v>0.3</v>
      </c>
      <c r="CI423" s="677">
        <v>0.31680000000000003</v>
      </c>
      <c r="CJ423" s="677">
        <v>0</v>
      </c>
      <c r="CK423" s="677">
        <v>0</v>
      </c>
      <c r="CL423" s="677">
        <v>0</v>
      </c>
      <c r="CM423" s="677">
        <v>0.226708194</v>
      </c>
      <c r="CN423" s="677">
        <v>0.71366432300000004</v>
      </c>
      <c r="CO423" s="677">
        <v>0.21346294199999999</v>
      </c>
      <c r="CP423" s="679">
        <v>0</v>
      </c>
      <c r="CQ423" s="677">
        <v>0</v>
      </c>
      <c r="CR423" s="677">
        <v>0</v>
      </c>
      <c r="CS423" s="677">
        <v>0</v>
      </c>
      <c r="CT423" s="677">
        <v>0.22500000000000001</v>
      </c>
      <c r="CU423" s="677">
        <v>4.3186000000000002E-2</v>
      </c>
      <c r="CV423" s="677">
        <v>0.2</v>
      </c>
      <c r="CW423" s="677">
        <v>0</v>
      </c>
      <c r="CX423" s="677">
        <v>0</v>
      </c>
      <c r="CY423" s="677">
        <v>0.30512499999999998</v>
      </c>
      <c r="CZ423" s="677">
        <v>9.1160000000000008E-3</v>
      </c>
      <c r="DA423" s="677">
        <v>0.61358199999999996</v>
      </c>
      <c r="DB423" s="1507">
        <v>0.3</v>
      </c>
      <c r="DC423" s="677">
        <v>0</v>
      </c>
      <c r="DD423" s="677">
        <v>0</v>
      </c>
      <c r="DE423" s="677">
        <v>0.3</v>
      </c>
      <c r="DF423" s="677">
        <v>0.3</v>
      </c>
      <c r="DG423" s="677">
        <v>0.3</v>
      </c>
      <c r="DH423" s="677">
        <v>0</v>
      </c>
      <c r="DI423" s="677">
        <v>0</v>
      </c>
      <c r="DJ423" s="677">
        <v>0</v>
      </c>
      <c r="DK423" s="677">
        <v>0.3</v>
      </c>
      <c r="DL423" s="677">
        <v>0</v>
      </c>
      <c r="DM423" s="677">
        <v>0</v>
      </c>
      <c r="DN423" s="679">
        <v>0.93556195099999995</v>
      </c>
      <c r="DO423" s="677">
        <v>0</v>
      </c>
      <c r="DP423" s="677">
        <v>0</v>
      </c>
      <c r="DQ423" s="677">
        <v>0</v>
      </c>
      <c r="DR423" s="677">
        <v>0</v>
      </c>
      <c r="DS423" s="677">
        <v>0</v>
      </c>
      <c r="DT423" s="677">
        <v>0</v>
      </c>
      <c r="DU423" s="677">
        <v>0</v>
      </c>
      <c r="DV423" s="677">
        <v>0</v>
      </c>
      <c r="DW423" s="677">
        <v>0</v>
      </c>
      <c r="DX423" s="677">
        <v>0</v>
      </c>
      <c r="DY423" s="677">
        <v>0</v>
      </c>
      <c r="DZ423" s="679">
        <v>0</v>
      </c>
      <c r="EA423" s="677">
        <v>0</v>
      </c>
      <c r="EB423" s="677">
        <v>0</v>
      </c>
      <c r="EC423" s="677">
        <v>0</v>
      </c>
      <c r="ED423" s="677">
        <v>0</v>
      </c>
      <c r="EE423" s="677">
        <v>0</v>
      </c>
      <c r="EF423" s="677">
        <v>0</v>
      </c>
      <c r="EG423" s="677">
        <v>0</v>
      </c>
      <c r="EH423" s="677">
        <v>0</v>
      </c>
      <c r="EI423" s="677">
        <v>0</v>
      </c>
      <c r="EJ423" s="677">
        <v>0</v>
      </c>
      <c r="EK423" s="677">
        <v>0</v>
      </c>
      <c r="EL423" s="679">
        <v>0</v>
      </c>
      <c r="EM423" s="677">
        <v>0</v>
      </c>
      <c r="EN423" s="677">
        <v>0</v>
      </c>
      <c r="EO423" s="677">
        <v>0</v>
      </c>
      <c r="EP423" s="677">
        <v>0</v>
      </c>
      <c r="EQ423" s="677">
        <v>0</v>
      </c>
      <c r="ER423" s="677">
        <v>0</v>
      </c>
      <c r="ES423" s="677">
        <v>0</v>
      </c>
      <c r="ET423" s="677">
        <v>0</v>
      </c>
      <c r="EU423" s="677">
        <v>0</v>
      </c>
      <c r="EV423" s="677">
        <v>0</v>
      </c>
      <c r="EW423" s="677">
        <v>0</v>
      </c>
      <c r="EX423" s="679">
        <v>0</v>
      </c>
      <c r="EY423" s="677"/>
      <c r="EZ423" s="677"/>
      <c r="FA423" s="677"/>
      <c r="FB423" s="677"/>
      <c r="FC423" s="677"/>
      <c r="FD423" s="677"/>
      <c r="FE423" s="677"/>
      <c r="FF423" s="677"/>
      <c r="FG423" s="677"/>
      <c r="FH423" s="677"/>
      <c r="FI423" s="677"/>
      <c r="FJ423" s="679"/>
      <c r="FK423" s="677">
        <v>0</v>
      </c>
      <c r="FL423" s="677">
        <v>0</v>
      </c>
      <c r="FM423" s="677">
        <v>0</v>
      </c>
      <c r="FN423" s="677">
        <v>0</v>
      </c>
      <c r="FO423" s="677">
        <v>0</v>
      </c>
      <c r="FP423" s="677">
        <v>0</v>
      </c>
      <c r="FQ423" s="677">
        <v>0</v>
      </c>
      <c r="FR423" s="677">
        <v>0</v>
      </c>
      <c r="FS423" s="677">
        <v>0</v>
      </c>
      <c r="FT423" s="677">
        <v>0</v>
      </c>
      <c r="FU423" s="677">
        <v>0</v>
      </c>
      <c r="FV423" s="677">
        <v>0</v>
      </c>
      <c r="FW423" s="677">
        <v>0</v>
      </c>
      <c r="FX423" s="677">
        <v>0</v>
      </c>
      <c r="FY423" s="677">
        <v>0</v>
      </c>
      <c r="FZ423" s="677">
        <v>0</v>
      </c>
      <c r="GA423" s="677">
        <v>0</v>
      </c>
      <c r="GB423" s="677">
        <v>0</v>
      </c>
      <c r="GC423" s="677">
        <v>0</v>
      </c>
      <c r="GD423" s="677">
        <v>0</v>
      </c>
      <c r="GE423" s="677">
        <v>0</v>
      </c>
      <c r="GF423" s="677">
        <v>0</v>
      </c>
      <c r="GG423" s="677">
        <v>0</v>
      </c>
      <c r="GH423" s="677">
        <v>0</v>
      </c>
      <c r="GI423" s="677"/>
      <c r="GJ423" s="677"/>
      <c r="GK423" s="677"/>
      <c r="GL423" s="677"/>
      <c r="GM423" s="677"/>
      <c r="GN423" s="677"/>
      <c r="GO423" s="677"/>
      <c r="GP423" s="677"/>
      <c r="GQ423" s="677"/>
      <c r="GR423" s="677"/>
      <c r="GS423" s="677"/>
      <c r="GT423" s="677"/>
      <c r="GU423" s="677"/>
      <c r="GV423" s="677"/>
      <c r="GW423" s="677"/>
      <c r="GX423" s="677"/>
      <c r="GY423" s="677"/>
      <c r="GZ423" s="677"/>
      <c r="HA423" s="677"/>
      <c r="HB423" s="677"/>
      <c r="HC423" s="677"/>
      <c r="HD423" s="677"/>
      <c r="HE423" s="677"/>
      <c r="HF423" s="677"/>
      <c r="HG423" s="677"/>
      <c r="HH423" s="677"/>
      <c r="HI423" s="677"/>
      <c r="HJ423" s="677"/>
      <c r="HK423" s="677"/>
      <c r="HL423" s="677"/>
      <c r="HM423" s="677"/>
      <c r="HN423" s="680"/>
      <c r="KH423" s="682"/>
      <c r="KI423" s="680"/>
    </row>
    <row r="424" spans="1:295" s="681" customFormat="1" outlineLevel="1">
      <c r="A424" s="675" t="s">
        <v>923</v>
      </c>
      <c r="B424" s="675" t="s">
        <v>361</v>
      </c>
      <c r="C424" s="675"/>
      <c r="D424" s="1468" t="s">
        <v>570</v>
      </c>
      <c r="E424" s="677"/>
      <c r="F424" s="677"/>
      <c r="G424" s="677"/>
      <c r="H424" s="677"/>
      <c r="I424" s="677"/>
      <c r="J424" s="677"/>
      <c r="K424" s="677"/>
      <c r="L424" s="677"/>
      <c r="M424" s="677"/>
      <c r="N424" s="677"/>
      <c r="O424" s="677"/>
      <c r="P424" s="677"/>
      <c r="Q424" s="677"/>
      <c r="R424" s="677"/>
      <c r="S424" s="677"/>
      <c r="T424" s="677"/>
      <c r="U424" s="677"/>
      <c r="V424" s="677"/>
      <c r="W424" s="677"/>
      <c r="X424" s="677"/>
      <c r="Y424" s="677"/>
      <c r="Z424" s="677"/>
      <c r="AA424" s="677"/>
      <c r="AB424" s="677"/>
      <c r="AC424" s="677"/>
      <c r="AD424" s="677"/>
      <c r="AE424" s="677"/>
      <c r="AF424" s="677"/>
      <c r="AG424" s="677"/>
      <c r="AH424" s="677"/>
      <c r="AI424" s="677"/>
      <c r="AJ424" s="677"/>
      <c r="AK424" s="677"/>
      <c r="AL424" s="677"/>
      <c r="AM424" s="677"/>
      <c r="AN424" s="677"/>
      <c r="AO424" s="677"/>
      <c r="AP424" s="677"/>
      <c r="AQ424" s="677"/>
      <c r="AR424" s="677"/>
      <c r="AS424" s="677"/>
      <c r="AT424" s="677"/>
      <c r="AU424" s="677"/>
      <c r="AV424" s="677"/>
      <c r="AW424" s="677"/>
      <c r="AX424" s="677"/>
      <c r="AY424" s="677"/>
      <c r="AZ424" s="677"/>
      <c r="BA424" s="677"/>
      <c r="BB424" s="677"/>
      <c r="BC424" s="677"/>
      <c r="BD424" s="677"/>
      <c r="BE424" s="677"/>
      <c r="BF424" s="677"/>
      <c r="BG424" s="677">
        <v>0</v>
      </c>
      <c r="BH424" s="677">
        <v>0</v>
      </c>
      <c r="BI424" s="677">
        <v>0</v>
      </c>
      <c r="BJ424" s="677">
        <v>0</v>
      </c>
      <c r="BK424" s="677">
        <v>0</v>
      </c>
      <c r="BL424" s="677">
        <v>0</v>
      </c>
      <c r="BM424" s="677">
        <v>0</v>
      </c>
      <c r="BN424" s="677">
        <v>0</v>
      </c>
      <c r="BO424" s="677">
        <v>0</v>
      </c>
      <c r="BP424" s="677">
        <v>0</v>
      </c>
      <c r="BQ424" s="677">
        <v>0</v>
      </c>
      <c r="BR424" s="677">
        <v>0</v>
      </c>
      <c r="BS424" s="677">
        <v>0</v>
      </c>
      <c r="BT424" s="677">
        <v>0</v>
      </c>
      <c r="BU424" s="677">
        <v>0</v>
      </c>
      <c r="BV424" s="677">
        <v>0</v>
      </c>
      <c r="BW424" s="677">
        <v>0</v>
      </c>
      <c r="BX424" s="677">
        <v>0</v>
      </c>
      <c r="BY424" s="677">
        <v>0</v>
      </c>
      <c r="BZ424" s="677">
        <v>0</v>
      </c>
      <c r="CA424" s="677">
        <v>0</v>
      </c>
      <c r="CB424" s="677">
        <v>0</v>
      </c>
      <c r="CC424" s="677">
        <v>0</v>
      </c>
      <c r="CD424" s="677">
        <v>0</v>
      </c>
      <c r="CE424" s="677">
        <v>0</v>
      </c>
      <c r="CF424" s="677">
        <v>0</v>
      </c>
      <c r="CG424" s="677">
        <v>0</v>
      </c>
      <c r="CH424" s="677">
        <v>0</v>
      </c>
      <c r="CI424" s="677">
        <v>0</v>
      </c>
      <c r="CJ424" s="677">
        <v>0</v>
      </c>
      <c r="CK424" s="677">
        <v>0</v>
      </c>
      <c r="CL424" s="677">
        <v>0</v>
      </c>
      <c r="CM424" s="677">
        <v>0</v>
      </c>
      <c r="CN424" s="677">
        <v>0</v>
      </c>
      <c r="CO424" s="677">
        <v>0</v>
      </c>
      <c r="CP424" s="679">
        <v>0</v>
      </c>
      <c r="CQ424" s="677">
        <v>0</v>
      </c>
      <c r="CR424" s="677">
        <v>0</v>
      </c>
      <c r="CS424" s="677">
        <v>0</v>
      </c>
      <c r="CT424" s="677">
        <v>0</v>
      </c>
      <c r="CU424" s="677">
        <v>0</v>
      </c>
      <c r="CV424" s="677">
        <v>0</v>
      </c>
      <c r="CW424" s="677">
        <v>0</v>
      </c>
      <c r="CX424" s="677">
        <v>0</v>
      </c>
      <c r="CY424" s="677">
        <v>0</v>
      </c>
      <c r="CZ424" s="677">
        <v>0</v>
      </c>
      <c r="DA424" s="677">
        <v>0</v>
      </c>
      <c r="DB424" s="1507">
        <v>0</v>
      </c>
      <c r="DC424" s="677">
        <v>0</v>
      </c>
      <c r="DD424" s="677">
        <v>0</v>
      </c>
      <c r="DE424" s="677">
        <v>0</v>
      </c>
      <c r="DF424" s="677">
        <v>0</v>
      </c>
      <c r="DG424" s="677">
        <v>0</v>
      </c>
      <c r="DH424" s="677">
        <v>0</v>
      </c>
      <c r="DI424" s="677">
        <v>0</v>
      </c>
      <c r="DJ424" s="677">
        <v>0</v>
      </c>
      <c r="DK424" s="677">
        <v>0</v>
      </c>
      <c r="DL424" s="677">
        <v>0</v>
      </c>
      <c r="DM424" s="677">
        <v>0</v>
      </c>
      <c r="DN424" s="679">
        <v>0</v>
      </c>
      <c r="DO424" s="677">
        <v>0</v>
      </c>
      <c r="DP424" s="677">
        <v>0.12613597800000001</v>
      </c>
      <c r="DQ424" s="677">
        <v>0.46765957600000002</v>
      </c>
      <c r="DR424" s="677">
        <v>0.15391106099999999</v>
      </c>
      <c r="DS424" s="677">
        <v>0.96719322200000002</v>
      </c>
      <c r="DT424" s="677">
        <v>1.7175463440000001</v>
      </c>
      <c r="DU424" s="677">
        <v>0.97532887099999999</v>
      </c>
      <c r="DV424" s="677">
        <v>0.76413978400000004</v>
      </c>
      <c r="DW424" s="677">
        <v>0.76050232299999998</v>
      </c>
      <c r="DX424" s="677">
        <v>0.592294074</v>
      </c>
      <c r="DY424" s="677">
        <v>0.87879120600000005</v>
      </c>
      <c r="DZ424" s="679">
        <v>1.2138688179999999</v>
      </c>
      <c r="EA424" s="677">
        <v>0</v>
      </c>
      <c r="EB424" s="677">
        <v>3.5346020000000001E-4</v>
      </c>
      <c r="EC424" s="677">
        <v>6.2697604000000002E-3</v>
      </c>
      <c r="ED424" s="677">
        <v>0.22603268469999999</v>
      </c>
      <c r="EE424" s="677">
        <v>4.9956548199999999E-2</v>
      </c>
      <c r="EF424" s="677">
        <v>7.7891411100000002E-2</v>
      </c>
      <c r="EG424" s="677">
        <v>7.2619899700000004E-2</v>
      </c>
      <c r="EH424" s="677">
        <v>5.2167298600000002E-2</v>
      </c>
      <c r="EI424" s="677">
        <v>6.7884412099999999E-2</v>
      </c>
      <c r="EJ424" s="677">
        <v>3.4151830799999998E-2</v>
      </c>
      <c r="EK424" s="677">
        <v>4.9741359999999997E-3</v>
      </c>
      <c r="EL424" s="679">
        <v>0.13618296260000001</v>
      </c>
      <c r="EM424" s="677">
        <v>0</v>
      </c>
      <c r="EN424" s="677">
        <v>0</v>
      </c>
      <c r="EO424" s="677">
        <v>0</v>
      </c>
      <c r="EP424" s="677">
        <v>0</v>
      </c>
      <c r="EQ424" s="677">
        <v>0</v>
      </c>
      <c r="ER424" s="677">
        <v>0.77428875100000005</v>
      </c>
      <c r="ES424" s="677">
        <v>0</v>
      </c>
      <c r="ET424" s="677">
        <v>0.85118382599999998</v>
      </c>
      <c r="EU424" s="677">
        <v>0</v>
      </c>
      <c r="EV424" s="677">
        <v>0.33916903500000001</v>
      </c>
      <c r="EW424" s="677">
        <v>0</v>
      </c>
      <c r="EX424" s="679">
        <v>0.74698232099999995</v>
      </c>
      <c r="EY424" s="677">
        <v>0</v>
      </c>
      <c r="EZ424" s="677">
        <v>7.8287070000000007E-3</v>
      </c>
      <c r="FA424" s="677">
        <v>0</v>
      </c>
      <c r="FB424" s="677">
        <v>0</v>
      </c>
      <c r="FC424" s="677">
        <v>0.17411517400000953</v>
      </c>
      <c r="FD424" s="677">
        <v>0</v>
      </c>
      <c r="FE424" s="677">
        <v>0</v>
      </c>
      <c r="FF424" s="677">
        <v>0.57814471500000253</v>
      </c>
      <c r="FG424" s="677">
        <v>1.4957033800000001</v>
      </c>
      <c r="FH424" s="677">
        <v>1.397434E-2</v>
      </c>
      <c r="FI424" s="677">
        <v>6.4551826399999985</v>
      </c>
      <c r="FJ424" s="679">
        <v>0</v>
      </c>
      <c r="FK424" s="677">
        <v>0</v>
      </c>
      <c r="FL424" s="677">
        <v>0</v>
      </c>
      <c r="FM424" s="677">
        <v>0</v>
      </c>
      <c r="FN424" s="677">
        <v>0</v>
      </c>
      <c r="FO424" s="677">
        <v>0</v>
      </c>
      <c r="FP424" s="677">
        <v>0</v>
      </c>
      <c r="FQ424" s="677">
        <v>0</v>
      </c>
      <c r="FR424" s="677">
        <v>0</v>
      </c>
      <c r="FS424" s="677">
        <v>0</v>
      </c>
      <c r="FT424" s="677">
        <v>0</v>
      </c>
      <c r="FU424" s="677">
        <v>0</v>
      </c>
      <c r="FV424" s="677">
        <v>0</v>
      </c>
      <c r="FW424" s="677">
        <v>0</v>
      </c>
      <c r="FX424" s="677">
        <v>0</v>
      </c>
      <c r="FY424" s="677">
        <v>0</v>
      </c>
      <c r="FZ424" s="677">
        <v>0</v>
      </c>
      <c r="GA424" s="677">
        <v>0</v>
      </c>
      <c r="GB424" s="677">
        <v>0</v>
      </c>
      <c r="GC424" s="677">
        <v>0</v>
      </c>
      <c r="GD424" s="677">
        <v>0</v>
      </c>
      <c r="GE424" s="677">
        <v>0</v>
      </c>
      <c r="GF424" s="677">
        <v>0</v>
      </c>
      <c r="GG424" s="677">
        <v>0</v>
      </c>
      <c r="GH424" s="677">
        <v>0</v>
      </c>
      <c r="GI424" s="677"/>
      <c r="GJ424" s="677"/>
      <c r="GK424" s="677"/>
      <c r="GL424" s="677"/>
      <c r="GM424" s="677"/>
      <c r="GN424" s="677"/>
      <c r="GO424" s="677"/>
      <c r="GP424" s="677"/>
      <c r="GQ424" s="677"/>
      <c r="GR424" s="677"/>
      <c r="GS424" s="677"/>
      <c r="GT424" s="677"/>
      <c r="GU424" s="677"/>
      <c r="GV424" s="677"/>
      <c r="GW424" s="677"/>
      <c r="GX424" s="677"/>
      <c r="GY424" s="677"/>
      <c r="GZ424" s="677"/>
      <c r="HA424" s="677"/>
      <c r="HB424" s="677"/>
      <c r="HC424" s="677"/>
      <c r="HD424" s="677"/>
      <c r="HE424" s="677"/>
      <c r="HF424" s="677"/>
      <c r="HG424" s="677"/>
      <c r="HH424" s="677"/>
      <c r="HI424" s="677"/>
      <c r="HJ424" s="677"/>
      <c r="HK424" s="677"/>
      <c r="HL424" s="677"/>
      <c r="HM424" s="677"/>
      <c r="HN424" s="680"/>
      <c r="KH424" s="682"/>
      <c r="KI424" s="680"/>
    </row>
    <row r="425" spans="1:295" s="681" customFormat="1" outlineLevel="1">
      <c r="A425" s="675" t="s">
        <v>923</v>
      </c>
      <c r="B425" s="675" t="s">
        <v>361</v>
      </c>
      <c r="C425" s="675"/>
      <c r="D425" s="1468" t="s">
        <v>571</v>
      </c>
      <c r="E425" s="677"/>
      <c r="F425" s="677"/>
      <c r="G425" s="677"/>
      <c r="H425" s="677"/>
      <c r="I425" s="677"/>
      <c r="J425" s="677"/>
      <c r="K425" s="677"/>
      <c r="L425" s="677"/>
      <c r="M425" s="677"/>
      <c r="N425" s="677"/>
      <c r="O425" s="677"/>
      <c r="P425" s="677"/>
      <c r="Q425" s="677"/>
      <c r="R425" s="677"/>
      <c r="S425" s="677"/>
      <c r="T425" s="677"/>
      <c r="U425" s="677"/>
      <c r="V425" s="677"/>
      <c r="W425" s="677"/>
      <c r="X425" s="677"/>
      <c r="Y425" s="677"/>
      <c r="Z425" s="677"/>
      <c r="AA425" s="677"/>
      <c r="AB425" s="677"/>
      <c r="AC425" s="677"/>
      <c r="AD425" s="677"/>
      <c r="AE425" s="677"/>
      <c r="AF425" s="677"/>
      <c r="AG425" s="677"/>
      <c r="AH425" s="677"/>
      <c r="AI425" s="677"/>
      <c r="AJ425" s="677"/>
      <c r="AK425" s="677"/>
      <c r="AL425" s="677"/>
      <c r="AM425" s="677"/>
      <c r="AN425" s="677"/>
      <c r="AO425" s="677"/>
      <c r="AP425" s="677"/>
      <c r="AQ425" s="677"/>
      <c r="AR425" s="677"/>
      <c r="AS425" s="677"/>
      <c r="AT425" s="677"/>
      <c r="AU425" s="677"/>
      <c r="AV425" s="677"/>
      <c r="AW425" s="677"/>
      <c r="AX425" s="677"/>
      <c r="AY425" s="677"/>
      <c r="AZ425" s="677"/>
      <c r="BA425" s="677"/>
      <c r="BB425" s="677"/>
      <c r="BC425" s="677"/>
      <c r="BD425" s="677"/>
      <c r="BE425" s="677"/>
      <c r="BF425" s="677"/>
      <c r="BG425" s="677">
        <v>0</v>
      </c>
      <c r="BH425" s="677">
        <v>0</v>
      </c>
      <c r="BI425" s="677">
        <v>0</v>
      </c>
      <c r="BJ425" s="677">
        <v>0</v>
      </c>
      <c r="BK425" s="677">
        <v>0</v>
      </c>
      <c r="BL425" s="677">
        <v>7.7469200000000002E-2</v>
      </c>
      <c r="BM425" s="677">
        <v>0</v>
      </c>
      <c r="BN425" s="677">
        <v>0</v>
      </c>
      <c r="BO425" s="677">
        <v>0</v>
      </c>
      <c r="BP425" s="677">
        <v>0</v>
      </c>
      <c r="BQ425" s="677">
        <v>8.0041999999999995E-3</v>
      </c>
      <c r="BR425" s="677">
        <v>1.4957368E-2</v>
      </c>
      <c r="BS425" s="677">
        <v>0</v>
      </c>
      <c r="BT425" s="677">
        <v>0</v>
      </c>
      <c r="BU425" s="677">
        <v>2.5712934E-2</v>
      </c>
      <c r="BV425" s="677">
        <v>0</v>
      </c>
      <c r="BW425" s="677">
        <v>0.01</v>
      </c>
      <c r="BX425" s="677">
        <v>0</v>
      </c>
      <c r="BY425" s="677">
        <v>1.7203487E-2</v>
      </c>
      <c r="BZ425" s="677">
        <v>0</v>
      </c>
      <c r="CA425" s="677">
        <v>8.9999999999999993E-3</v>
      </c>
      <c r="CB425" s="677">
        <v>1.7000000000000001E-2</v>
      </c>
      <c r="CC425" s="677">
        <v>0.14570617599999999</v>
      </c>
      <c r="CD425" s="677">
        <v>1.086024E-2</v>
      </c>
      <c r="CE425" s="677">
        <v>0</v>
      </c>
      <c r="CF425" s="677">
        <v>0</v>
      </c>
      <c r="CG425" s="677">
        <v>0</v>
      </c>
      <c r="CH425" s="677">
        <v>0</v>
      </c>
      <c r="CI425" s="677">
        <v>0</v>
      </c>
      <c r="CJ425" s="677">
        <v>0</v>
      </c>
      <c r="CK425" s="677">
        <v>0</v>
      </c>
      <c r="CL425" s="677">
        <v>0</v>
      </c>
      <c r="CM425" s="677">
        <v>0.2542954</v>
      </c>
      <c r="CN425" s="677">
        <v>0.26661556800000002</v>
      </c>
      <c r="CO425" s="677">
        <v>0.22116103400000001</v>
      </c>
      <c r="CP425" s="679">
        <v>1.035740576</v>
      </c>
      <c r="CQ425" s="677">
        <v>0</v>
      </c>
      <c r="CR425" s="677">
        <v>0</v>
      </c>
      <c r="CS425" s="677">
        <v>4.0655023459999997</v>
      </c>
      <c r="CT425" s="677">
        <v>0</v>
      </c>
      <c r="CU425" s="677">
        <v>0</v>
      </c>
      <c r="CV425" s="677">
        <v>0</v>
      </c>
      <c r="CW425" s="677">
        <v>0</v>
      </c>
      <c r="CX425" s="677">
        <v>0</v>
      </c>
      <c r="CY425" s="677">
        <v>0</v>
      </c>
      <c r="CZ425" s="677">
        <v>0</v>
      </c>
      <c r="DA425" s="677">
        <v>0</v>
      </c>
      <c r="DB425" s="1507">
        <v>0</v>
      </c>
      <c r="DC425" s="677">
        <v>0</v>
      </c>
      <c r="DD425" s="677">
        <v>4.4240110000000003E-3</v>
      </c>
      <c r="DE425" s="677">
        <v>6.3775497E-2</v>
      </c>
      <c r="DF425" s="677">
        <v>0.76199207099999999</v>
      </c>
      <c r="DG425" s="677">
        <v>0.939088017</v>
      </c>
      <c r="DH425" s="677">
        <v>2.948498045</v>
      </c>
      <c r="DI425" s="677">
        <v>0.27700520499999998</v>
      </c>
      <c r="DJ425" s="677">
        <v>1.593872011</v>
      </c>
      <c r="DK425" s="677">
        <v>0.40830688599999998</v>
      </c>
      <c r="DL425" s="677">
        <v>9.6507418999999997E-2</v>
      </c>
      <c r="DM425" s="677">
        <v>0.26618629399999999</v>
      </c>
      <c r="DN425" s="679">
        <v>1.421044014</v>
      </c>
      <c r="DO425" s="677">
        <v>0</v>
      </c>
      <c r="DP425" s="677">
        <v>0</v>
      </c>
      <c r="DQ425" s="677">
        <v>0</v>
      </c>
      <c r="DR425" s="677">
        <v>0</v>
      </c>
      <c r="DS425" s="677">
        <v>0</v>
      </c>
      <c r="DT425" s="677">
        <v>0</v>
      </c>
      <c r="DU425" s="677">
        <v>0</v>
      </c>
      <c r="DV425" s="677">
        <v>0.234643296</v>
      </c>
      <c r="DW425" s="677">
        <v>0</v>
      </c>
      <c r="DX425" s="677">
        <v>0</v>
      </c>
      <c r="DY425" s="677">
        <v>0</v>
      </c>
      <c r="DZ425" s="679">
        <v>3.9107216E-2</v>
      </c>
      <c r="EA425" s="677">
        <v>0</v>
      </c>
      <c r="EB425" s="677">
        <v>0</v>
      </c>
      <c r="EC425" s="677">
        <v>0</v>
      </c>
      <c r="ED425" s="677">
        <v>0</v>
      </c>
      <c r="EE425" s="677">
        <v>5.0789549999999996E-3</v>
      </c>
      <c r="EF425" s="677">
        <v>0</v>
      </c>
      <c r="EG425" s="677">
        <v>0</v>
      </c>
      <c r="EH425" s="677">
        <v>0</v>
      </c>
      <c r="EI425" s="677">
        <v>0</v>
      </c>
      <c r="EJ425" s="677">
        <v>0</v>
      </c>
      <c r="EK425" s="677">
        <v>0</v>
      </c>
      <c r="EL425" s="679">
        <v>0</v>
      </c>
      <c r="EM425" s="677">
        <v>0.498073498</v>
      </c>
      <c r="EN425" s="677">
        <v>0.12102491899999999</v>
      </c>
      <c r="EO425" s="677">
        <v>1.413016536</v>
      </c>
      <c r="EP425" s="677">
        <v>1.598046488</v>
      </c>
      <c r="EQ425" s="677">
        <v>0.42282716199999998</v>
      </c>
      <c r="ER425" s="677">
        <v>2.7353301050000001</v>
      </c>
      <c r="ES425" s="677">
        <v>0.65760459100000002</v>
      </c>
      <c r="ET425" s="677">
        <v>1.9085703300000001</v>
      </c>
      <c r="EU425" s="677">
        <v>1.1218511929999999</v>
      </c>
      <c r="EV425" s="677">
        <v>0.823547539</v>
      </c>
      <c r="EW425" s="677">
        <v>2.7528376639999999</v>
      </c>
      <c r="EX425" s="679">
        <v>3.272941549</v>
      </c>
      <c r="EY425" s="677">
        <v>0.289444747</v>
      </c>
      <c r="EZ425" s="677">
        <v>7.8287070000000007E-3</v>
      </c>
      <c r="FA425" s="677">
        <v>0</v>
      </c>
      <c r="FB425" s="677">
        <v>0.60000000000000298</v>
      </c>
      <c r="FC425" s="677">
        <v>1.250607638</v>
      </c>
      <c r="FD425" s="677">
        <v>0</v>
      </c>
      <c r="FE425" s="677">
        <v>2.1973550739999999</v>
      </c>
      <c r="FF425" s="677">
        <v>0.32185528499999999</v>
      </c>
      <c r="FG425" s="677">
        <v>0.10674102000000001</v>
      </c>
      <c r="FH425" s="677">
        <v>1.397434E-2</v>
      </c>
      <c r="FI425" s="677">
        <v>0.73407999199999996</v>
      </c>
      <c r="FJ425" s="679">
        <v>2.5626037140000006</v>
      </c>
      <c r="FK425" s="677">
        <v>0</v>
      </c>
      <c r="FL425" s="677">
        <v>0.28917658899999998</v>
      </c>
      <c r="FM425" s="677">
        <v>4.3342897999999998E-2</v>
      </c>
      <c r="FN425" s="677">
        <v>1.702114538</v>
      </c>
      <c r="FO425" s="677">
        <v>1.4329310049999999</v>
      </c>
      <c r="FP425" s="677">
        <v>2.9026420439999998</v>
      </c>
      <c r="FQ425" s="677">
        <v>0.33007075800000002</v>
      </c>
      <c r="FR425" s="677">
        <v>0.80335246699999996</v>
      </c>
      <c r="FS425" s="677">
        <v>1.3875609870000001</v>
      </c>
      <c r="FT425" s="677">
        <v>0.30457173300000001</v>
      </c>
      <c r="FU425" s="677">
        <v>1.8677781529999999</v>
      </c>
      <c r="FV425" s="677">
        <v>0.417610333</v>
      </c>
      <c r="FW425" s="677">
        <v>0</v>
      </c>
      <c r="FX425" s="677">
        <v>1.243190749</v>
      </c>
      <c r="FY425" s="677">
        <v>0.53486736599999996</v>
      </c>
      <c r="FZ425" s="677">
        <v>1.06</v>
      </c>
      <c r="GA425" s="677">
        <v>5.2894456999999999</v>
      </c>
      <c r="GB425" s="677">
        <v>5.3605543000000004</v>
      </c>
      <c r="GC425" s="677">
        <v>0</v>
      </c>
      <c r="GD425" s="677">
        <v>0</v>
      </c>
      <c r="GE425" s="677">
        <v>0</v>
      </c>
      <c r="GF425" s="677">
        <v>0</v>
      </c>
      <c r="GG425" s="677">
        <v>0</v>
      </c>
      <c r="GH425" s="677">
        <v>0</v>
      </c>
      <c r="GI425" s="677"/>
      <c r="GJ425" s="677"/>
      <c r="GK425" s="677"/>
      <c r="GL425" s="677"/>
      <c r="GM425" s="677"/>
      <c r="GN425" s="677"/>
      <c r="GO425" s="677"/>
      <c r="GP425" s="677"/>
      <c r="GQ425" s="677"/>
      <c r="GR425" s="677"/>
      <c r="GS425" s="677"/>
      <c r="GT425" s="677"/>
      <c r="GU425" s="677"/>
      <c r="GV425" s="677"/>
      <c r="GW425" s="677"/>
      <c r="GX425" s="677"/>
      <c r="GY425" s="677"/>
      <c r="GZ425" s="677"/>
      <c r="HA425" s="677"/>
      <c r="HB425" s="677"/>
      <c r="HC425" s="677"/>
      <c r="HD425" s="677"/>
      <c r="HE425" s="677"/>
      <c r="HF425" s="677"/>
      <c r="HG425" s="677"/>
      <c r="HH425" s="677"/>
      <c r="HI425" s="677"/>
      <c r="HJ425" s="677"/>
      <c r="HK425" s="677"/>
      <c r="HL425" s="677"/>
      <c r="HM425" s="677"/>
      <c r="HN425" s="680"/>
      <c r="KH425" s="682"/>
      <c r="KI425" s="680"/>
    </row>
    <row r="426" spans="1:295" s="681" customFormat="1" outlineLevel="1">
      <c r="A426" s="675" t="s">
        <v>923</v>
      </c>
      <c r="B426" s="675" t="s">
        <v>361</v>
      </c>
      <c r="C426" s="675"/>
      <c r="D426" s="1464" t="s">
        <v>573</v>
      </c>
      <c r="E426" s="677"/>
      <c r="F426" s="677"/>
      <c r="G426" s="677"/>
      <c r="H426" s="677"/>
      <c r="I426" s="677"/>
      <c r="J426" s="677"/>
      <c r="K426" s="677"/>
      <c r="L426" s="677"/>
      <c r="M426" s="677"/>
      <c r="N426" s="677"/>
      <c r="O426" s="677"/>
      <c r="P426" s="677"/>
      <c r="Q426" s="677"/>
      <c r="R426" s="677"/>
      <c r="S426" s="677"/>
      <c r="T426" s="677"/>
      <c r="U426" s="677"/>
      <c r="V426" s="677"/>
      <c r="W426" s="677"/>
      <c r="X426" s="677"/>
      <c r="Y426" s="677"/>
      <c r="Z426" s="677"/>
      <c r="AA426" s="677"/>
      <c r="AB426" s="677"/>
      <c r="AC426" s="677"/>
      <c r="AD426" s="677"/>
      <c r="AE426" s="677"/>
      <c r="AF426" s="677"/>
      <c r="AG426" s="677"/>
      <c r="AH426" s="677"/>
      <c r="AI426" s="677"/>
      <c r="AJ426" s="677"/>
      <c r="AK426" s="677"/>
      <c r="AL426" s="677"/>
      <c r="AM426" s="677"/>
      <c r="AN426" s="677"/>
      <c r="AO426" s="677"/>
      <c r="AP426" s="677"/>
      <c r="AQ426" s="677"/>
      <c r="AR426" s="677"/>
      <c r="AS426" s="677"/>
      <c r="AT426" s="677"/>
      <c r="AU426" s="677"/>
      <c r="AV426" s="677"/>
      <c r="AW426" s="677"/>
      <c r="AX426" s="677"/>
      <c r="AY426" s="677"/>
      <c r="AZ426" s="677"/>
      <c r="BA426" s="677"/>
      <c r="BB426" s="677"/>
      <c r="BC426" s="677"/>
      <c r="BD426" s="677"/>
      <c r="BE426" s="677"/>
      <c r="BF426" s="677"/>
      <c r="BG426" s="677">
        <v>0.94371822399999994</v>
      </c>
      <c r="BH426" s="677">
        <v>43.329043797110003</v>
      </c>
      <c r="BI426" s="677">
        <v>-27.327052015860001</v>
      </c>
      <c r="BJ426" s="677">
        <v>31.589133218199997</v>
      </c>
      <c r="BK426" s="677">
        <v>-13.378060800249999</v>
      </c>
      <c r="BL426" s="677">
        <v>-33.29622597897</v>
      </c>
      <c r="BM426" s="677">
        <v>24.068314014000002</v>
      </c>
      <c r="BN426" s="677">
        <v>-3.1167669670299976</v>
      </c>
      <c r="BO426" s="677">
        <v>-17.091095405080004</v>
      </c>
      <c r="BP426" s="677">
        <v>37.075812703499992</v>
      </c>
      <c r="BQ426" s="677">
        <v>17.133586539680007</v>
      </c>
      <c r="BR426" s="677">
        <v>-55.626131062070002</v>
      </c>
      <c r="BS426" s="677">
        <v>33.644861710999997</v>
      </c>
      <c r="BT426" s="677">
        <v>-3.4076732229999998</v>
      </c>
      <c r="BU426" s="677">
        <v>-16.813617949000001</v>
      </c>
      <c r="BV426" s="677">
        <v>24.98034817085</v>
      </c>
      <c r="BW426" s="677">
        <v>-0.63893541885000005</v>
      </c>
      <c r="BX426" s="677">
        <v>-9.7159265319999992</v>
      </c>
      <c r="BY426" s="677">
        <v>9.8256760740399969</v>
      </c>
      <c r="BZ426" s="677">
        <v>5.0603803001199985</v>
      </c>
      <c r="CA426" s="677">
        <v>-11.917289328689996</v>
      </c>
      <c r="CB426" s="677">
        <v>42.514982727940001</v>
      </c>
      <c r="CC426" s="677">
        <v>-13.616059480640006</v>
      </c>
      <c r="CD426" s="677">
        <v>-56.914421077519997</v>
      </c>
      <c r="CE426" s="677">
        <v>31.808639599999999</v>
      </c>
      <c r="CF426" s="677">
        <v>-8.1269907109999995</v>
      </c>
      <c r="CG426" s="677">
        <v>6.6859770689999998</v>
      </c>
      <c r="CH426" s="677">
        <v>21.824550973000001</v>
      </c>
      <c r="CI426" s="677">
        <v>-7.7382346240000004</v>
      </c>
      <c r="CJ426" s="677">
        <v>-41.174593983000001</v>
      </c>
      <c r="CK426" s="677">
        <v>35.364857600000001</v>
      </c>
      <c r="CL426" s="677">
        <v>2.1360851240000001</v>
      </c>
      <c r="CM426" s="677">
        <v>-2.0618663549999998</v>
      </c>
      <c r="CN426" s="677">
        <v>25.426471167999999</v>
      </c>
      <c r="CO426" s="677">
        <v>16.747803172000001</v>
      </c>
      <c r="CP426" s="679">
        <v>-79.881917555000001</v>
      </c>
      <c r="CQ426" s="677">
        <v>21.284880143999999</v>
      </c>
      <c r="CR426" s="677">
        <v>15.006292824000001</v>
      </c>
      <c r="CS426" s="677">
        <v>-2.1616755670000001</v>
      </c>
      <c r="CT426" s="677">
        <v>8.2902747340000005</v>
      </c>
      <c r="CU426" s="677">
        <v>14.067638216000001</v>
      </c>
      <c r="CV426" s="677">
        <v>-13.939712251</v>
      </c>
      <c r="CW426" s="677">
        <v>7.2815398059999996</v>
      </c>
      <c r="CX426" s="677">
        <v>17.75406121</v>
      </c>
      <c r="CY426" s="677">
        <v>-8.8636818710000007</v>
      </c>
      <c r="CZ426" s="677">
        <v>12.141147432</v>
      </c>
      <c r="DA426" s="677">
        <v>15.717157070000001</v>
      </c>
      <c r="DB426" s="1507">
        <v>-76.454366909000001</v>
      </c>
      <c r="DC426" s="677">
        <v>37.636702925000002</v>
      </c>
      <c r="DD426" s="677">
        <v>-3.7503312680000001</v>
      </c>
      <c r="DE426" s="677">
        <v>8.4308130559999999</v>
      </c>
      <c r="DF426" s="677">
        <v>21.529509368999999</v>
      </c>
      <c r="DG426" s="677">
        <v>0.76183760700000003</v>
      </c>
      <c r="DH426" s="677">
        <v>-34.708503962000002</v>
      </c>
      <c r="DI426" s="677">
        <v>29.328402982</v>
      </c>
      <c r="DJ426" s="677">
        <v>-5.4833340650000002</v>
      </c>
      <c r="DK426" s="677">
        <v>14.938295030000001</v>
      </c>
      <c r="DL426" s="677">
        <v>-2.7388450029999998</v>
      </c>
      <c r="DM426" s="677">
        <v>32.997606068000003</v>
      </c>
      <c r="DN426" s="679">
        <v>-80.737361011999994</v>
      </c>
      <c r="DO426" s="677">
        <v>9.6132284469999991</v>
      </c>
      <c r="DP426" s="677">
        <v>51.353971930999997</v>
      </c>
      <c r="DQ426" s="677">
        <v>2.2106296799999998</v>
      </c>
      <c r="DR426" s="677">
        <v>5.9088543060000003</v>
      </c>
      <c r="DS426" s="677">
        <v>9.6801277339999992</v>
      </c>
      <c r="DT426" s="677">
        <v>-70.734507523000005</v>
      </c>
      <c r="DU426" s="677">
        <v>50.939858530999999</v>
      </c>
      <c r="DV426" s="677">
        <v>-5.2782235499999999</v>
      </c>
      <c r="DW426" s="677">
        <v>-27.574826075000001</v>
      </c>
      <c r="DX426" s="677">
        <v>59.288729955000001</v>
      </c>
      <c r="DY426" s="677">
        <v>17.518485098999999</v>
      </c>
      <c r="DZ426" s="679">
        <v>-93.281594581999997</v>
      </c>
      <c r="EA426" s="677">
        <v>47.21555936</v>
      </c>
      <c r="EB426" s="677">
        <v>21.202175148999999</v>
      </c>
      <c r="EC426" s="677">
        <v>18.482069285000001</v>
      </c>
      <c r="ED426" s="677">
        <v>1.1225844479999962</v>
      </c>
      <c r="EE426" s="677">
        <v>7.6922014360000004</v>
      </c>
      <c r="EF426" s="677">
        <v>-75.861489285000005</v>
      </c>
      <c r="EG426" s="677">
        <v>4.9656702519999998</v>
      </c>
      <c r="EH426" s="677">
        <v>-0.16435275599999999</v>
      </c>
      <c r="EI426" s="677">
        <v>17.983570476000001</v>
      </c>
      <c r="EJ426" s="677">
        <v>21.250397036999999</v>
      </c>
      <c r="EK426" s="677">
        <v>46.389073705000001</v>
      </c>
      <c r="EL426" s="679">
        <v>-75.403993608999997</v>
      </c>
      <c r="EM426" s="677">
        <v>25.837880049999995</v>
      </c>
      <c r="EN426" s="677">
        <v>36.248566873999998</v>
      </c>
      <c r="EO426" s="677">
        <v>0.44080309799999812</v>
      </c>
      <c r="EP426" s="677">
        <v>33.570550891000082</v>
      </c>
      <c r="EQ426" s="677">
        <v>48.574986181000057</v>
      </c>
      <c r="ER426" s="677">
        <v>-92.413272835000001</v>
      </c>
      <c r="ES426" s="677">
        <v>-30.782850932999999</v>
      </c>
      <c r="ET426" s="677">
        <v>9.7400734640000266</v>
      </c>
      <c r="EU426" s="677">
        <v>11.986744914999997</v>
      </c>
      <c r="EV426" s="677">
        <v>147.276351898</v>
      </c>
      <c r="EW426" s="677">
        <v>62.231566880000003</v>
      </c>
      <c r="EX426" s="679">
        <v>-197.58878029100003</v>
      </c>
      <c r="EY426" s="677">
        <v>26.632126699166701</v>
      </c>
      <c r="EZ426" s="677">
        <v>29.299668134166701</v>
      </c>
      <c r="FA426" s="677">
        <v>40.303694945166704</v>
      </c>
      <c r="FB426" s="677">
        <v>-30.529431193833396</v>
      </c>
      <c r="FC426" s="677">
        <v>55.655963521166804</v>
      </c>
      <c r="FD426" s="677">
        <v>-55.130105226833301</v>
      </c>
      <c r="FE426" s="677">
        <v>-32.025499902</v>
      </c>
      <c r="FF426" s="677">
        <v>-2.960942395</v>
      </c>
      <c r="FG426" s="677">
        <v>-8.9043976540000003</v>
      </c>
      <c r="FH426" s="677">
        <v>2.107157188</v>
      </c>
      <c r="FI426" s="677">
        <v>59.248881259999997</v>
      </c>
      <c r="FJ426" s="679">
        <v>-110.55986481399999</v>
      </c>
      <c r="FK426" s="677">
        <v>86.432213680000004</v>
      </c>
      <c r="FL426" s="677">
        <v>13.579289406999999</v>
      </c>
      <c r="FM426" s="677">
        <v>2.3488274950000001</v>
      </c>
      <c r="FN426" s="677">
        <v>-10.703466624000001</v>
      </c>
      <c r="FO426" s="677">
        <v>12.851430151000001</v>
      </c>
      <c r="FP426" s="677">
        <v>53.273304389000003</v>
      </c>
      <c r="FQ426" s="677">
        <v>0</v>
      </c>
      <c r="FR426" s="677">
        <v>0</v>
      </c>
      <c r="FS426" s="677">
        <v>0</v>
      </c>
      <c r="FT426" s="677">
        <v>0</v>
      </c>
      <c r="FU426" s="677">
        <v>0</v>
      </c>
      <c r="FV426" s="677">
        <v>0</v>
      </c>
      <c r="FW426" s="677">
        <v>22.090584243999999</v>
      </c>
      <c r="FX426" s="677">
        <v>-21.442330771999998</v>
      </c>
      <c r="FY426" s="677">
        <v>47.756068955000003</v>
      </c>
      <c r="FZ426" s="677">
        <v>53.548558104999998</v>
      </c>
      <c r="GA426" s="677">
        <v>4.1963563730000004</v>
      </c>
      <c r="GB426" s="677">
        <v>33.844588815999998</v>
      </c>
      <c r="GC426" s="677">
        <v>18.019215185</v>
      </c>
      <c r="GD426" s="677">
        <v>27.795084486</v>
      </c>
      <c r="GE426" s="677">
        <v>-62.382185071000002</v>
      </c>
      <c r="GF426" s="677">
        <v>17.260068576333328</v>
      </c>
      <c r="GG426" s="677">
        <v>-20.990807772666656</v>
      </c>
      <c r="GH426" s="677">
        <v>-41.478239438094171</v>
      </c>
      <c r="GI426" s="677"/>
      <c r="GJ426" s="677"/>
      <c r="GK426" s="677"/>
      <c r="GL426" s="677"/>
      <c r="GM426" s="677"/>
      <c r="GN426" s="677"/>
      <c r="GO426" s="677"/>
      <c r="GP426" s="677"/>
      <c r="GQ426" s="677"/>
      <c r="GR426" s="677"/>
      <c r="GS426" s="677"/>
      <c r="GT426" s="677"/>
      <c r="GU426" s="677"/>
      <c r="GV426" s="677"/>
      <c r="GW426" s="677"/>
      <c r="GX426" s="677"/>
      <c r="GY426" s="677"/>
      <c r="GZ426" s="677"/>
      <c r="HA426" s="677"/>
      <c r="HB426" s="677"/>
      <c r="HC426" s="677"/>
      <c r="HD426" s="677"/>
      <c r="HE426" s="677"/>
      <c r="HF426" s="677"/>
      <c r="HG426" s="677"/>
      <c r="HH426" s="677"/>
      <c r="HI426" s="677"/>
      <c r="HJ426" s="677"/>
      <c r="HK426" s="677"/>
      <c r="HL426" s="677"/>
      <c r="HM426" s="677"/>
      <c r="HN426" s="680"/>
      <c r="KH426" s="682"/>
      <c r="KI426" s="680"/>
    </row>
    <row r="427" spans="1:295" s="681" customFormat="1" outlineLevel="1">
      <c r="A427" s="675" t="s">
        <v>923</v>
      </c>
      <c r="B427" s="675" t="s">
        <v>361</v>
      </c>
      <c r="C427" s="675"/>
      <c r="D427" s="1467" t="s">
        <v>559</v>
      </c>
      <c r="E427" s="677"/>
      <c r="F427" s="677"/>
      <c r="G427" s="677"/>
      <c r="H427" s="677"/>
      <c r="I427" s="677">
        <v>1484656067</v>
      </c>
      <c r="J427" s="677">
        <v>228069025</v>
      </c>
      <c r="K427" s="677">
        <v>-65318803</v>
      </c>
      <c r="L427" s="677">
        <v>-592828039</v>
      </c>
      <c r="M427" s="677">
        <v>862535594</v>
      </c>
      <c r="N427" s="677">
        <v>-1789446409</v>
      </c>
      <c r="O427" s="677">
        <v>1924882442</v>
      </c>
      <c r="P427" s="677">
        <v>-190686357</v>
      </c>
      <c r="Q427" s="677">
        <v>-592921953</v>
      </c>
      <c r="R427" s="677">
        <v>1272072054</v>
      </c>
      <c r="S427" s="677">
        <v>-102206258</v>
      </c>
      <c r="T427" s="677">
        <v>-2304502375</v>
      </c>
      <c r="U427" s="677"/>
      <c r="V427" s="677"/>
      <c r="W427" s="677"/>
      <c r="X427" s="677"/>
      <c r="Y427" s="677"/>
      <c r="Z427" s="677"/>
      <c r="AA427" s="677"/>
      <c r="AB427" s="677"/>
      <c r="AC427" s="677"/>
      <c r="AD427" s="677"/>
      <c r="AE427" s="677"/>
      <c r="AF427" s="677"/>
      <c r="AG427" s="677"/>
      <c r="AH427" s="677"/>
      <c r="AI427" s="677"/>
      <c r="AJ427" s="677"/>
      <c r="AK427" s="677"/>
      <c r="AL427" s="677"/>
      <c r="AM427" s="677"/>
      <c r="AN427" s="677"/>
      <c r="AO427" s="677"/>
      <c r="AP427" s="677"/>
      <c r="AQ427" s="677"/>
      <c r="AR427" s="677"/>
      <c r="AS427" s="677"/>
      <c r="AT427" s="677"/>
      <c r="AU427" s="677"/>
      <c r="AV427" s="677"/>
      <c r="AW427" s="677"/>
      <c r="AX427" s="677"/>
      <c r="AY427" s="677"/>
      <c r="AZ427" s="677"/>
      <c r="BA427" s="677"/>
      <c r="BB427" s="677"/>
      <c r="BC427" s="677"/>
      <c r="BD427" s="677"/>
      <c r="BE427" s="677"/>
      <c r="BF427" s="677"/>
      <c r="BG427" s="677">
        <v>0.46947206099999939</v>
      </c>
      <c r="BH427" s="677">
        <v>6.196080836130001</v>
      </c>
      <c r="BI427" s="677">
        <v>-4.4187823881299995</v>
      </c>
      <c r="BJ427" s="677">
        <v>5.5477816529999977</v>
      </c>
      <c r="BK427" s="677">
        <v>-5.1905819520000005</v>
      </c>
      <c r="BL427" s="677">
        <v>-2.469259224</v>
      </c>
      <c r="BM427" s="677">
        <v>4.7776767510000013</v>
      </c>
      <c r="BN427" s="677">
        <v>-1.8905964149999992</v>
      </c>
      <c r="BO427" s="677">
        <v>-0.70958691300000076</v>
      </c>
      <c r="BP427" s="677">
        <v>2.7964434549999986</v>
      </c>
      <c r="BQ427" s="677">
        <v>-0.95729489200000017</v>
      </c>
      <c r="BR427" s="677">
        <v>-3.8535275930000008</v>
      </c>
      <c r="BS427" s="677">
        <v>11.254511076</v>
      </c>
      <c r="BT427" s="677">
        <v>-7.8753222479999998</v>
      </c>
      <c r="BU427" s="677">
        <v>1.0976082070000004</v>
      </c>
      <c r="BV427" s="677">
        <v>2.5218113560000006</v>
      </c>
      <c r="BW427" s="677">
        <v>-4.3005542639999987</v>
      </c>
      <c r="BX427" s="677">
        <v>-0.77883415799999867</v>
      </c>
      <c r="BY427" s="677">
        <v>6.2947149830000022</v>
      </c>
      <c r="BZ427" s="677">
        <v>-3.3340018479999998</v>
      </c>
      <c r="CA427" s="677">
        <v>-2.2602443229999984</v>
      </c>
      <c r="CB427" s="677">
        <v>3.2310826309999996</v>
      </c>
      <c r="CC427" s="677">
        <v>-2.0653347999999738E-2</v>
      </c>
      <c r="CD427" s="677">
        <v>-5.5696656950000012</v>
      </c>
      <c r="CE427" s="677">
        <v>1.484656067</v>
      </c>
      <c r="CF427" s="677">
        <v>0.22806902500000001</v>
      </c>
      <c r="CG427" s="677">
        <v>-6.5318802999999995E-2</v>
      </c>
      <c r="CH427" s="677">
        <v>-0.59282803900000003</v>
      </c>
      <c r="CI427" s="677">
        <v>0.86253559400000002</v>
      </c>
      <c r="CJ427" s="677">
        <v>-1.789446409</v>
      </c>
      <c r="CK427" s="677">
        <v>1.9248824419999999</v>
      </c>
      <c r="CL427" s="677">
        <v>-0.190686357</v>
      </c>
      <c r="CM427" s="677">
        <v>-0.59292195299999995</v>
      </c>
      <c r="CN427" s="677">
        <v>1.2720720539999999</v>
      </c>
      <c r="CO427" s="677">
        <v>-0.10220625799999999</v>
      </c>
      <c r="CP427" s="679">
        <v>-2.3045023750000002</v>
      </c>
      <c r="CQ427" s="677">
        <v>0.48462025399999997</v>
      </c>
      <c r="CR427" s="677">
        <v>1.339414833</v>
      </c>
      <c r="CS427" s="677">
        <v>0.67551548500000003</v>
      </c>
      <c r="CT427" s="677">
        <v>1.0213641440000001</v>
      </c>
      <c r="CU427" s="677">
        <v>0.33140508800000001</v>
      </c>
      <c r="CV427" s="677">
        <v>-2.9736852900000001</v>
      </c>
      <c r="CW427" s="677">
        <v>1.729368883</v>
      </c>
      <c r="CX427" s="677">
        <v>-0.59187271900000005</v>
      </c>
      <c r="CY427" s="677">
        <v>1.675161557</v>
      </c>
      <c r="CZ427" s="677">
        <v>-2.5341216389999999</v>
      </c>
      <c r="DA427" s="677">
        <v>1.052426986</v>
      </c>
      <c r="DB427" s="1507">
        <v>-1.108783332</v>
      </c>
      <c r="DC427" s="677">
        <v>2.5563952579999998</v>
      </c>
      <c r="DD427" s="677">
        <v>-1.2949420410000001</v>
      </c>
      <c r="DE427" s="677">
        <v>0.54514033299999998</v>
      </c>
      <c r="DF427" s="677">
        <v>-4.1132686000000002E-2</v>
      </c>
      <c r="DG427" s="677">
        <v>-3.8055789999999999E-3</v>
      </c>
      <c r="DH427" s="677">
        <v>-0.71928409100000001</v>
      </c>
      <c r="DI427" s="677">
        <v>1.0863908659999999</v>
      </c>
      <c r="DJ427" s="677">
        <v>1.717071365</v>
      </c>
      <c r="DK427" s="677">
        <v>0.89079727500000006</v>
      </c>
      <c r="DL427" s="677">
        <v>-2.7322038659999999</v>
      </c>
      <c r="DM427" s="677">
        <v>0.65012920200000002</v>
      </c>
      <c r="DN427" s="679">
        <v>-2.6402624280000002</v>
      </c>
      <c r="DO427" s="677">
        <v>9.2170900000000007E-3</v>
      </c>
      <c r="DP427" s="677">
        <v>0.758115231</v>
      </c>
      <c r="DQ427" s="677">
        <v>-0.31715110600000002</v>
      </c>
      <c r="DR427" s="677">
        <v>-0.32364421100000001</v>
      </c>
      <c r="DS427" s="677">
        <v>7.4102460999999994E-2</v>
      </c>
      <c r="DT427" s="677">
        <v>-3.0716634999999999E-2</v>
      </c>
      <c r="DU427" s="677">
        <v>0.15104010000000001</v>
      </c>
      <c r="DV427" s="677">
        <v>0.564858042</v>
      </c>
      <c r="DW427" s="677">
        <v>5.9752327000000001E-2</v>
      </c>
      <c r="DX427" s="677">
        <v>-0.33186059600000001</v>
      </c>
      <c r="DY427" s="677">
        <v>1.150199931</v>
      </c>
      <c r="DZ427" s="679">
        <v>-1.650790448</v>
      </c>
      <c r="EA427" s="677">
        <v>1.1904740519999999</v>
      </c>
      <c r="EB427" s="677">
        <v>-0.25641458</v>
      </c>
      <c r="EC427" s="677">
        <v>2.6294756819999998</v>
      </c>
      <c r="ED427" s="677">
        <v>-2.4216858960000001</v>
      </c>
      <c r="EE427" s="677">
        <v>0.89694469399999999</v>
      </c>
      <c r="EF427" s="677">
        <v>-0.76587780100000002</v>
      </c>
      <c r="EG427" s="677">
        <v>0.56320419799999999</v>
      </c>
      <c r="EH427" s="677">
        <v>-1.272953649</v>
      </c>
      <c r="EI427" s="677">
        <v>3.2515884310000001</v>
      </c>
      <c r="EJ427" s="677">
        <v>-2.4429479449999998</v>
      </c>
      <c r="EK427" s="677">
        <v>0.41880349700000002</v>
      </c>
      <c r="EL427" s="679">
        <v>-0.22620009999999999</v>
      </c>
      <c r="EM427" s="677">
        <v>2.151758901</v>
      </c>
      <c r="EN427" s="677">
        <v>-2.20545598</v>
      </c>
      <c r="EO427" s="677">
        <v>2.1755924250000001</v>
      </c>
      <c r="EP427" s="677">
        <v>-1.079071001</v>
      </c>
      <c r="EQ427" s="677">
        <v>0.86997338800000001</v>
      </c>
      <c r="ER427" s="677">
        <v>0.17998405200000001</v>
      </c>
      <c r="ES427" s="677">
        <v>-3.6815361709999999</v>
      </c>
      <c r="ET427" s="677">
        <v>-1.7822813150000001</v>
      </c>
      <c r="EU427" s="677">
        <v>0.75704950900000001</v>
      </c>
      <c r="EV427" s="677">
        <v>9.9769645950000001</v>
      </c>
      <c r="EW427" s="677">
        <v>0.86914685599999997</v>
      </c>
      <c r="EX427" s="679">
        <v>-1.3963563450000001</v>
      </c>
      <c r="EY427" s="677">
        <v>0.44798172400000003</v>
      </c>
      <c r="EZ427" s="677">
        <v>0.21583977700000001</v>
      </c>
      <c r="FA427" s="677">
        <v>1.237112939</v>
      </c>
      <c r="FB427" s="677">
        <v>-1.4818128770000001</v>
      </c>
      <c r="FC427" s="677">
        <v>8.0327027999999995E-2</v>
      </c>
      <c r="FD427" s="677">
        <v>0.59287240699999999</v>
      </c>
      <c r="FE427" s="677">
        <v>-0.63408234900000005</v>
      </c>
      <c r="FF427" s="677">
        <v>-0.26495948499999999</v>
      </c>
      <c r="FG427" s="677">
        <v>1.916218467</v>
      </c>
      <c r="FH427" s="677">
        <v>2.0070193820000002</v>
      </c>
      <c r="FI427" s="677">
        <v>-2.930883175</v>
      </c>
      <c r="FJ427" s="679">
        <v>-2.1957271779999998</v>
      </c>
      <c r="FK427" s="677">
        <v>0.92708052900000004</v>
      </c>
      <c r="FL427" s="677">
        <v>3.7824493979999998</v>
      </c>
      <c r="FM427" s="677">
        <v>9.1539306000000001E-2</v>
      </c>
      <c r="FN427" s="677">
        <v>-3.5705451450000001</v>
      </c>
      <c r="FO427" s="677">
        <v>-6.0003304E-2</v>
      </c>
      <c r="FP427" s="677">
        <v>0.73536371</v>
      </c>
      <c r="FQ427" s="677">
        <v>-1.260681935</v>
      </c>
      <c r="FR427" s="677">
        <v>2.4990775209999998</v>
      </c>
      <c r="FS427" s="677">
        <v>-0.52373698300000004</v>
      </c>
      <c r="FT427" s="677">
        <v>-1.7187831549999999</v>
      </c>
      <c r="FU427" s="677">
        <v>-0.12442469</v>
      </c>
      <c r="FV427" s="677">
        <v>3.9362059299999999</v>
      </c>
      <c r="FW427" s="677">
        <v>-2.40972601</v>
      </c>
      <c r="FX427" s="677">
        <v>-0.30766922200000002</v>
      </c>
      <c r="FY427" s="677">
        <v>4.5257470089999998</v>
      </c>
      <c r="FZ427" s="677">
        <v>-3.2223894689999999</v>
      </c>
      <c r="GA427" s="677">
        <v>-4.6557864999999997E-2</v>
      </c>
      <c r="GB427" s="677">
        <v>1.398863773</v>
      </c>
      <c r="GC427" s="677">
        <v>0.142834132</v>
      </c>
      <c r="GD427" s="677">
        <v>-1.094339924</v>
      </c>
      <c r="GE427" s="677">
        <v>0.72075460899999999</v>
      </c>
      <c r="GF427" s="677">
        <v>-0.35367833399999998</v>
      </c>
      <c r="GG427" s="677">
        <v>-1.1330766750000001</v>
      </c>
      <c r="GH427" s="677">
        <v>-0.45933037300000001</v>
      </c>
      <c r="GI427" s="677"/>
      <c r="GJ427" s="677"/>
      <c r="GK427" s="677"/>
      <c r="GL427" s="677"/>
      <c r="GM427" s="677"/>
      <c r="GN427" s="677"/>
      <c r="GO427" s="677"/>
      <c r="GP427" s="677"/>
      <c r="GQ427" s="677"/>
      <c r="GR427" s="677"/>
      <c r="GS427" s="677"/>
      <c r="GT427" s="677"/>
      <c r="GU427" s="677"/>
      <c r="GV427" s="677"/>
      <c r="GW427" s="677"/>
      <c r="GX427" s="677"/>
      <c r="GY427" s="677"/>
      <c r="GZ427" s="677"/>
      <c r="HA427" s="677"/>
      <c r="HB427" s="677"/>
      <c r="HC427" s="677"/>
      <c r="HD427" s="677"/>
      <c r="HE427" s="677"/>
      <c r="HF427" s="677"/>
      <c r="HG427" s="677"/>
      <c r="HH427" s="677"/>
      <c r="HI427" s="677"/>
      <c r="HJ427" s="677"/>
      <c r="HK427" s="677"/>
      <c r="HL427" s="677"/>
      <c r="HM427" s="677"/>
      <c r="HN427" s="680"/>
      <c r="KH427" s="682"/>
      <c r="KI427" s="680"/>
    </row>
    <row r="428" spans="1:295" s="681" customFormat="1" outlineLevel="1">
      <c r="A428" s="675" t="s">
        <v>923</v>
      </c>
      <c r="B428" s="675" t="s">
        <v>361</v>
      </c>
      <c r="C428" s="675"/>
      <c r="D428" s="1467" t="s">
        <v>560</v>
      </c>
      <c r="E428" s="677"/>
      <c r="F428" s="677"/>
      <c r="G428" s="677"/>
      <c r="H428" s="677"/>
      <c r="I428" s="677">
        <v>4015352897</v>
      </c>
      <c r="J428" s="677">
        <v>2574925317</v>
      </c>
      <c r="K428" s="677">
        <v>1254409069</v>
      </c>
      <c r="L428" s="677">
        <v>-1162162014</v>
      </c>
      <c r="M428" s="677">
        <v>-705369879</v>
      </c>
      <c r="N428" s="677">
        <v>-4395661054</v>
      </c>
      <c r="O428" s="677">
        <v>7354623748</v>
      </c>
      <c r="P428" s="677">
        <v>482122248</v>
      </c>
      <c r="Q428" s="677">
        <v>-1139265542</v>
      </c>
      <c r="R428" s="677">
        <v>15817749943</v>
      </c>
      <c r="S428" s="677">
        <v>-10832942570</v>
      </c>
      <c r="T428" s="677">
        <v>-13025397225</v>
      </c>
      <c r="U428" s="677"/>
      <c r="V428" s="677"/>
      <c r="W428" s="677"/>
      <c r="X428" s="677"/>
      <c r="Y428" s="677"/>
      <c r="Z428" s="677"/>
      <c r="AA428" s="677"/>
      <c r="AB428" s="677"/>
      <c r="AC428" s="677"/>
      <c r="AD428" s="677"/>
      <c r="AE428" s="677"/>
      <c r="AF428" s="677"/>
      <c r="AG428" s="677"/>
      <c r="AH428" s="677"/>
      <c r="AI428" s="677"/>
      <c r="AJ428" s="677"/>
      <c r="AK428" s="677"/>
      <c r="AL428" s="677"/>
      <c r="AM428" s="677"/>
      <c r="AN428" s="677"/>
      <c r="AO428" s="677"/>
      <c r="AP428" s="677"/>
      <c r="AQ428" s="677"/>
      <c r="AR428" s="677"/>
      <c r="AS428" s="677"/>
      <c r="AT428" s="677"/>
      <c r="AU428" s="677"/>
      <c r="AV428" s="677"/>
      <c r="AW428" s="677"/>
      <c r="AX428" s="677"/>
      <c r="AY428" s="677"/>
      <c r="AZ428" s="677"/>
      <c r="BA428" s="677"/>
      <c r="BB428" s="677"/>
      <c r="BC428" s="677"/>
      <c r="BD428" s="677"/>
      <c r="BE428" s="677"/>
      <c r="BF428" s="677"/>
      <c r="BG428" s="677">
        <v>0.15960415400000016</v>
      </c>
      <c r="BH428" s="677">
        <v>22.029728002569996</v>
      </c>
      <c r="BI428" s="677">
        <v>-17.394857779750005</v>
      </c>
      <c r="BJ428" s="677">
        <v>15.731336773070002</v>
      </c>
      <c r="BK428" s="677">
        <v>-4.7219752708899989</v>
      </c>
      <c r="BL428" s="677">
        <v>-14.981434514000002</v>
      </c>
      <c r="BM428" s="677">
        <v>8.3351664099999994</v>
      </c>
      <c r="BN428" s="677">
        <v>1.184886542000001</v>
      </c>
      <c r="BO428" s="677">
        <v>-8.6537330890000028</v>
      </c>
      <c r="BP428" s="677">
        <v>10.033012436999996</v>
      </c>
      <c r="BQ428" s="677">
        <v>12.576393787610002</v>
      </c>
      <c r="BR428" s="677">
        <v>-24.087946211609996</v>
      </c>
      <c r="BS428" s="677">
        <v>7.8697660620000001</v>
      </c>
      <c r="BT428" s="677">
        <v>-1.2834194889999999</v>
      </c>
      <c r="BU428" s="677">
        <v>-2.527306694</v>
      </c>
      <c r="BV428" s="677">
        <v>4.3738191309999976</v>
      </c>
      <c r="BW428" s="677">
        <v>0.58094887600000078</v>
      </c>
      <c r="BX428" s="677">
        <v>-3.877367533000001</v>
      </c>
      <c r="BY428" s="677">
        <v>6.2913984299999974</v>
      </c>
      <c r="BZ428" s="677">
        <v>-0.10470155708000206</v>
      </c>
      <c r="CA428" s="677">
        <v>-2.7838396295700001</v>
      </c>
      <c r="CB428" s="677">
        <v>8.9876496745499992</v>
      </c>
      <c r="CC428" s="677">
        <v>-0.1920686339000035</v>
      </c>
      <c r="CD428" s="677">
        <v>-16.843556919999997</v>
      </c>
      <c r="CE428" s="677">
        <v>4.0153528969999996</v>
      </c>
      <c r="CF428" s="677">
        <v>2.5749253169999999</v>
      </c>
      <c r="CG428" s="677">
        <v>1.254409069</v>
      </c>
      <c r="CH428" s="677">
        <v>-1.162162014</v>
      </c>
      <c r="CI428" s="677">
        <v>-0.70536987900000003</v>
      </c>
      <c r="CJ428" s="677">
        <v>-4.3956610539999996</v>
      </c>
      <c r="CK428" s="677">
        <v>7.3546237479999998</v>
      </c>
      <c r="CL428" s="677">
        <v>0.48212224799999998</v>
      </c>
      <c r="CM428" s="677">
        <v>-1.139265542</v>
      </c>
      <c r="CN428" s="677">
        <v>15.817749943000001</v>
      </c>
      <c r="CO428" s="677">
        <v>-10.83294257</v>
      </c>
      <c r="CP428" s="679">
        <v>-13.025397225000001</v>
      </c>
      <c r="CQ428" s="677">
        <v>5.5477273970000001</v>
      </c>
      <c r="CR428" s="677">
        <v>3.3227367889999999</v>
      </c>
      <c r="CS428" s="677">
        <v>-0.114080757</v>
      </c>
      <c r="CT428" s="677">
        <v>5.6751364999999998</v>
      </c>
      <c r="CU428" s="677">
        <v>3.9549416530000001</v>
      </c>
      <c r="CV428" s="677">
        <v>-2.5009228010000002</v>
      </c>
      <c r="CW428" s="677">
        <v>-3.8636968880000002</v>
      </c>
      <c r="CX428" s="677">
        <v>3.2032417519999998</v>
      </c>
      <c r="CY428" s="677">
        <v>-5.4448732160000004</v>
      </c>
      <c r="CZ428" s="677">
        <v>11.804418145</v>
      </c>
      <c r="DA428" s="677">
        <v>3.7905243190000002</v>
      </c>
      <c r="DB428" s="1507">
        <v>-24.543369866999999</v>
      </c>
      <c r="DC428" s="677">
        <v>28.555881091</v>
      </c>
      <c r="DD428" s="677">
        <v>-14.751219162</v>
      </c>
      <c r="DE428" s="677">
        <v>-1.111964457</v>
      </c>
      <c r="DF428" s="677">
        <v>11.239194691</v>
      </c>
      <c r="DG428" s="677">
        <v>-8.1421364880000002</v>
      </c>
      <c r="DH428" s="677">
        <v>-5.7456878089999996</v>
      </c>
      <c r="DI428" s="677">
        <v>7.4598460839999996</v>
      </c>
      <c r="DJ428" s="677">
        <v>-2.8648228630000001</v>
      </c>
      <c r="DK428" s="677">
        <v>5.4233367909999997</v>
      </c>
      <c r="DL428" s="677">
        <v>-10.723537154000001</v>
      </c>
      <c r="DM428" s="677">
        <v>7.5921384249999999</v>
      </c>
      <c r="DN428" s="679">
        <v>-13.558729153</v>
      </c>
      <c r="DO428" s="677">
        <v>7.0171734189999997</v>
      </c>
      <c r="DP428" s="677">
        <v>32.420879694</v>
      </c>
      <c r="DQ428" s="677">
        <v>-5.2783875000000001E-2</v>
      </c>
      <c r="DR428" s="677">
        <v>1.2826737109999999</v>
      </c>
      <c r="DS428" s="677">
        <v>-0.13726827</v>
      </c>
      <c r="DT428" s="677">
        <v>-34.354908090000002</v>
      </c>
      <c r="DU428" s="677">
        <v>15.475337358000001</v>
      </c>
      <c r="DV428" s="677">
        <v>-1.705527469</v>
      </c>
      <c r="DW428" s="677">
        <v>-12.894787418</v>
      </c>
      <c r="DX428" s="677">
        <v>33.943519809999998</v>
      </c>
      <c r="DY428" s="677">
        <v>-5.6882244829999999</v>
      </c>
      <c r="DZ428" s="679">
        <v>-31.529449396</v>
      </c>
      <c r="EA428" s="677">
        <v>31.906529549999998</v>
      </c>
      <c r="EB428" s="677">
        <v>-1.4084786570000001</v>
      </c>
      <c r="EC428" s="677">
        <v>1.7487158739999999</v>
      </c>
      <c r="ED428" s="677">
        <v>11.850527012000001</v>
      </c>
      <c r="EE428" s="677">
        <v>5.4490430779999999</v>
      </c>
      <c r="EF428" s="677">
        <v>-45.367949164999999</v>
      </c>
      <c r="EG428" s="677">
        <v>-5.7088783640000003</v>
      </c>
      <c r="EH428" s="677">
        <v>0.59349780399999996</v>
      </c>
      <c r="EI428" s="677">
        <v>-0.48160762400000001</v>
      </c>
      <c r="EJ428" s="677">
        <v>3.2938616199999999</v>
      </c>
      <c r="EK428" s="677">
        <v>13.683859159000001</v>
      </c>
      <c r="EL428" s="679">
        <v>-26.446166867999999</v>
      </c>
      <c r="EM428" s="677">
        <v>8.9310062259999956</v>
      </c>
      <c r="EN428" s="677">
        <v>34.714914598777781</v>
      </c>
      <c r="EO428" s="677">
        <v>-7.953171422222137E-2</v>
      </c>
      <c r="EP428" s="677">
        <v>5.7118235130000308</v>
      </c>
      <c r="EQ428" s="677">
        <v>12.605920688777832</v>
      </c>
      <c r="ER428" s="677">
        <v>-28.494794670999998</v>
      </c>
      <c r="ES428" s="677">
        <v>-12.843749224</v>
      </c>
      <c r="ET428" s="677">
        <v>-13.803377437999973</v>
      </c>
      <c r="EU428" s="677">
        <v>11.702664852333328</v>
      </c>
      <c r="EV428" s="677">
        <v>69.525123570000005</v>
      </c>
      <c r="EW428" s="677">
        <v>4.7896733543333285</v>
      </c>
      <c r="EX428" s="679">
        <v>-61.561724956000042</v>
      </c>
      <c r="EY428" s="677">
        <v>-0.46499918183329775</v>
      </c>
      <c r="EZ428" s="677">
        <v>-5.9047695038332977</v>
      </c>
      <c r="FA428" s="677">
        <v>16.570701537166702</v>
      </c>
      <c r="FB428" s="677">
        <v>-7.7130264538333968</v>
      </c>
      <c r="FC428" s="677">
        <v>22.251476094166801</v>
      </c>
      <c r="FD428" s="677">
        <v>-6.176879479833298</v>
      </c>
      <c r="FE428" s="677">
        <v>-11.394591945</v>
      </c>
      <c r="FF428" s="677">
        <v>8.5221256390000004</v>
      </c>
      <c r="FG428" s="677">
        <v>-6.8740790040000004</v>
      </c>
      <c r="FH428" s="677">
        <v>14.154954904</v>
      </c>
      <c r="FI428" s="677">
        <v>32.948752421999998</v>
      </c>
      <c r="FJ428" s="679">
        <v>24.018453278999999</v>
      </c>
      <c r="FK428" s="677">
        <v>0.91313898699999996</v>
      </c>
      <c r="FL428" s="677">
        <v>-1.8659322119999999</v>
      </c>
      <c r="FM428" s="677">
        <v>-18.568741016000001</v>
      </c>
      <c r="FN428" s="677">
        <v>-16.044073922999999</v>
      </c>
      <c r="FO428" s="677">
        <v>-6.5394219099999997</v>
      </c>
      <c r="FP428" s="677">
        <v>6.3448939659999999</v>
      </c>
      <c r="FQ428" s="677">
        <v>-0.44350339100000002</v>
      </c>
      <c r="FR428" s="677">
        <v>-2.6617947200000001</v>
      </c>
      <c r="FS428" s="677">
        <v>5.8935085540000003</v>
      </c>
      <c r="FT428" s="677">
        <v>3.902047499</v>
      </c>
      <c r="FU428" s="677">
        <v>91.861462785000001</v>
      </c>
      <c r="FV428" s="677">
        <v>-86.333423972999995</v>
      </c>
      <c r="FW428" s="677">
        <v>-5.2566508199999999</v>
      </c>
      <c r="FX428" s="677">
        <v>-38.728179050999998</v>
      </c>
      <c r="FY428" s="677">
        <v>6.867233229</v>
      </c>
      <c r="FZ428" s="677">
        <v>22.698204629999999</v>
      </c>
      <c r="GA428" s="677">
        <v>32.648118160000003</v>
      </c>
      <c r="GB428" s="677">
        <v>24.493759735000001</v>
      </c>
      <c r="GC428" s="677">
        <v>-0.83996817499999998</v>
      </c>
      <c r="GD428" s="677">
        <v>20.126646566000002</v>
      </c>
      <c r="GE428" s="677">
        <v>23.195875037</v>
      </c>
      <c r="GF428" s="677">
        <v>30.622184623999999</v>
      </c>
      <c r="GG428" s="677">
        <v>6.8794947380000151</v>
      </c>
      <c r="GH428" s="677">
        <v>6.1906222079999997</v>
      </c>
      <c r="GI428" s="677"/>
      <c r="GJ428" s="677"/>
      <c r="GK428" s="677"/>
      <c r="GL428" s="677"/>
      <c r="GM428" s="677"/>
      <c r="GN428" s="677"/>
      <c r="GO428" s="677"/>
      <c r="GP428" s="677"/>
      <c r="GQ428" s="677"/>
      <c r="GR428" s="677"/>
      <c r="GS428" s="677"/>
      <c r="GT428" s="677"/>
      <c r="GU428" s="677"/>
      <c r="GV428" s="677"/>
      <c r="GW428" s="677"/>
      <c r="GX428" s="677"/>
      <c r="GY428" s="677"/>
      <c r="GZ428" s="677"/>
      <c r="HA428" s="677"/>
      <c r="HB428" s="677"/>
      <c r="HC428" s="677"/>
      <c r="HD428" s="677"/>
      <c r="HE428" s="677"/>
      <c r="HF428" s="677"/>
      <c r="HG428" s="677"/>
      <c r="HH428" s="677"/>
      <c r="HI428" s="677"/>
      <c r="HJ428" s="677"/>
      <c r="HK428" s="677"/>
      <c r="HL428" s="677"/>
      <c r="HM428" s="677"/>
      <c r="HN428" s="680"/>
      <c r="KH428" s="682"/>
      <c r="KI428" s="680"/>
    </row>
    <row r="429" spans="1:295" s="681" customFormat="1" outlineLevel="1">
      <c r="A429" s="675" t="s">
        <v>923</v>
      </c>
      <c r="B429" s="675" t="s">
        <v>361</v>
      </c>
      <c r="C429" s="675"/>
      <c r="D429" s="1467" t="s">
        <v>564</v>
      </c>
      <c r="E429" s="677"/>
      <c r="F429" s="677"/>
      <c r="G429" s="677"/>
      <c r="H429" s="677"/>
      <c r="I429" s="677">
        <v>2302475608</v>
      </c>
      <c r="J429" s="677">
        <v>-718747116</v>
      </c>
      <c r="K429" s="677">
        <v>359853875</v>
      </c>
      <c r="L429" s="677">
        <v>986813689</v>
      </c>
      <c r="M429" s="677">
        <v>-1129720182</v>
      </c>
      <c r="N429" s="677">
        <v>-1783639080</v>
      </c>
      <c r="O429" s="677">
        <v>2448368956</v>
      </c>
      <c r="P429" s="677">
        <v>-2055840249</v>
      </c>
      <c r="Q429" s="677">
        <v>381684355</v>
      </c>
      <c r="R429" s="677">
        <v>-357862101</v>
      </c>
      <c r="S429" s="677">
        <v>537821801</v>
      </c>
      <c r="T429" s="677">
        <v>-971209556</v>
      </c>
      <c r="U429" s="677"/>
      <c r="V429" s="677"/>
      <c r="W429" s="677"/>
      <c r="X429" s="677"/>
      <c r="Y429" s="677"/>
      <c r="Z429" s="677"/>
      <c r="AA429" s="677"/>
      <c r="AB429" s="677"/>
      <c r="AC429" s="677"/>
      <c r="AD429" s="677"/>
      <c r="AE429" s="677"/>
      <c r="AF429" s="677"/>
      <c r="AG429" s="677"/>
      <c r="AH429" s="677"/>
      <c r="AI429" s="677"/>
      <c r="AJ429" s="677"/>
      <c r="AK429" s="677"/>
      <c r="AL429" s="677"/>
      <c r="AM429" s="677"/>
      <c r="AN429" s="677"/>
      <c r="AO429" s="677"/>
      <c r="AP429" s="677"/>
      <c r="AQ429" s="677"/>
      <c r="AR429" s="677"/>
      <c r="AS429" s="677"/>
      <c r="AT429" s="677"/>
      <c r="AU429" s="677"/>
      <c r="AV429" s="677"/>
      <c r="AW429" s="677"/>
      <c r="AX429" s="677"/>
      <c r="AY429" s="677"/>
      <c r="AZ429" s="677"/>
      <c r="BA429" s="677"/>
      <c r="BB429" s="677"/>
      <c r="BC429" s="677"/>
      <c r="BD429" s="677"/>
      <c r="BE429" s="677"/>
      <c r="BF429" s="677"/>
      <c r="BG429" s="677">
        <v>0.18025558200000003</v>
      </c>
      <c r="BH429" s="677">
        <v>1.7481906407400003</v>
      </c>
      <c r="BI429" s="677">
        <v>-1.74792118451</v>
      </c>
      <c r="BJ429" s="677">
        <v>0.98748139032999971</v>
      </c>
      <c r="BK429" s="677">
        <v>-9.2916145360000257E-2</v>
      </c>
      <c r="BL429" s="677">
        <v>-0.8945652449699999</v>
      </c>
      <c r="BM429" s="677">
        <v>9.5079756000000515E-2</v>
      </c>
      <c r="BN429" s="677">
        <v>0.11760289596999973</v>
      </c>
      <c r="BO429" s="677">
        <v>-0.11760289597000018</v>
      </c>
      <c r="BP429" s="677">
        <v>1.2550924415500004</v>
      </c>
      <c r="BQ429" s="677">
        <v>2.2203515385900001</v>
      </c>
      <c r="BR429" s="677">
        <v>-3.56185361014</v>
      </c>
      <c r="BS429" s="677">
        <v>0.88182159399999982</v>
      </c>
      <c r="BT429" s="677">
        <v>-8.3114436999999874E-2</v>
      </c>
      <c r="BU429" s="677">
        <v>-7.4241527999999946E-2</v>
      </c>
      <c r="BV429" s="677">
        <v>-0.56539282700000015</v>
      </c>
      <c r="BW429" s="677">
        <v>0.6392482639999999</v>
      </c>
      <c r="BX429" s="677">
        <v>-0.40212852300000002</v>
      </c>
      <c r="BY429" s="677">
        <v>0.20787364099999994</v>
      </c>
      <c r="BZ429" s="677">
        <v>2.0811220449999999</v>
      </c>
      <c r="CA429" s="677">
        <v>-1.843422801</v>
      </c>
      <c r="CB429" s="677">
        <v>-0.12210304400000016</v>
      </c>
      <c r="CC429" s="677">
        <v>0.42684215781000001</v>
      </c>
      <c r="CD429" s="677">
        <v>-1.0379477678099998</v>
      </c>
      <c r="CE429" s="677">
        <v>2.302475608</v>
      </c>
      <c r="CF429" s="677">
        <v>-0.71874711599999996</v>
      </c>
      <c r="CG429" s="677">
        <v>0.35985387499999999</v>
      </c>
      <c r="CH429" s="677">
        <v>0.98681368899999999</v>
      </c>
      <c r="CI429" s="677">
        <v>-1.129720182</v>
      </c>
      <c r="CJ429" s="677">
        <v>-1.7836390799999999</v>
      </c>
      <c r="CK429" s="677">
        <v>2.4483689559999999</v>
      </c>
      <c r="CL429" s="677">
        <v>-2.0558402490000001</v>
      </c>
      <c r="CM429" s="677">
        <v>0.38168435499999998</v>
      </c>
      <c r="CN429" s="677">
        <v>-0.35786210099999999</v>
      </c>
      <c r="CO429" s="677">
        <v>0.53782180099999999</v>
      </c>
      <c r="CP429" s="679">
        <v>-0.97120955600000003</v>
      </c>
      <c r="CQ429" s="677">
        <v>0.62342758799999998</v>
      </c>
      <c r="CR429" s="677">
        <v>-0.62342758799999998</v>
      </c>
      <c r="CS429" s="677">
        <v>0.70440946199999999</v>
      </c>
      <c r="CT429" s="677">
        <v>0.64342932200000003</v>
      </c>
      <c r="CU429" s="677">
        <v>0.49029287300000002</v>
      </c>
      <c r="CV429" s="677">
        <v>-0.78892153499999995</v>
      </c>
      <c r="CW429" s="677">
        <v>-0.82661062799999996</v>
      </c>
      <c r="CX429" s="677">
        <v>-0.20234997499999999</v>
      </c>
      <c r="CY429" s="677">
        <v>2.6761922E-2</v>
      </c>
      <c r="CZ429" s="677">
        <v>7.5988078000000001E-2</v>
      </c>
      <c r="DA429" s="677">
        <v>1.6033668539999999</v>
      </c>
      <c r="DB429" s="1507">
        <v>-1.706116854</v>
      </c>
      <c r="DC429" s="677">
        <v>0</v>
      </c>
      <c r="DD429" s="677">
        <v>1.3866867009999999</v>
      </c>
      <c r="DE429" s="677">
        <v>4.4894798E-2</v>
      </c>
      <c r="DF429" s="677">
        <v>1.453279695</v>
      </c>
      <c r="DG429" s="677">
        <v>0.92217610699999997</v>
      </c>
      <c r="DH429" s="677">
        <v>6.5072247440000002</v>
      </c>
      <c r="DI429" s="677">
        <v>-8.557284804</v>
      </c>
      <c r="DJ429" s="677">
        <v>-1.0358669599999999</v>
      </c>
      <c r="DK429" s="677">
        <v>2.6375286230000001</v>
      </c>
      <c r="DL429" s="677">
        <v>-0.58093077000000004</v>
      </c>
      <c r="DM429" s="677">
        <v>-0.57438353399999997</v>
      </c>
      <c r="DN429" s="679">
        <v>-2.1763085000000002</v>
      </c>
      <c r="DO429" s="677">
        <v>0</v>
      </c>
      <c r="DP429" s="677">
        <v>0</v>
      </c>
      <c r="DQ429" s="677">
        <v>1.8203185E-2</v>
      </c>
      <c r="DR429" s="677">
        <v>2.5096815000000001E-2</v>
      </c>
      <c r="DS429" s="677">
        <v>-0.01</v>
      </c>
      <c r="DT429" s="677">
        <v>-3.3300000000000003E-2</v>
      </c>
      <c r="DU429" s="677">
        <v>0</v>
      </c>
      <c r="DV429" s="677">
        <v>0</v>
      </c>
      <c r="DW429" s="677">
        <v>0</v>
      </c>
      <c r="DX429" s="677">
        <v>0.104</v>
      </c>
      <c r="DY429" s="677">
        <v>3.7461539000000002E-2</v>
      </c>
      <c r="DZ429" s="679">
        <v>-0.141461539</v>
      </c>
      <c r="EA429" s="677">
        <v>0</v>
      </c>
      <c r="EB429" s="677">
        <v>0</v>
      </c>
      <c r="EC429" s="677">
        <v>0</v>
      </c>
      <c r="ED429" s="677">
        <v>0.63627795700000001</v>
      </c>
      <c r="EE429" s="677">
        <v>-9.2114635E-2</v>
      </c>
      <c r="EF429" s="677">
        <v>-0.54416332199999995</v>
      </c>
      <c r="EG429" s="677">
        <v>0.146417305</v>
      </c>
      <c r="EH429" s="677">
        <v>-9.4252060000000002E-3</v>
      </c>
      <c r="EI429" s="677">
        <v>-0.13699209900000001</v>
      </c>
      <c r="EJ429" s="677">
        <v>1.3195431000000001E-2</v>
      </c>
      <c r="EK429" s="677">
        <v>-3.1954309999999999E-3</v>
      </c>
      <c r="EL429" s="679">
        <v>-0.01</v>
      </c>
      <c r="EM429" s="677">
        <v>1.778659754</v>
      </c>
      <c r="EN429" s="677">
        <v>-0.57382034699999995</v>
      </c>
      <c r="EO429" s="677">
        <v>-1.143855208</v>
      </c>
      <c r="EP429" s="677">
        <v>2.593542088</v>
      </c>
      <c r="EQ429" s="677">
        <v>1.081968</v>
      </c>
      <c r="ER429" s="677">
        <v>-0.19603668699999999</v>
      </c>
      <c r="ES429" s="677">
        <v>-3.5054576000000002</v>
      </c>
      <c r="ET429" s="677">
        <v>0.31528379099999998</v>
      </c>
      <c r="EU429" s="677">
        <v>8.5000000000000006E-2</v>
      </c>
      <c r="EV429" s="677">
        <v>1.2473845969999999</v>
      </c>
      <c r="EW429" s="677">
        <v>0.56173798399999997</v>
      </c>
      <c r="EX429" s="679">
        <v>-0.74756540900000001</v>
      </c>
      <c r="EY429" s="677">
        <v>-0.29470773500000003</v>
      </c>
      <c r="EZ429" s="677">
        <v>0.63540558300000005</v>
      </c>
      <c r="FA429" s="677">
        <v>0.36741633400000001</v>
      </c>
      <c r="FB429" s="677">
        <v>1.8153174030000001</v>
      </c>
      <c r="FC429" s="677">
        <v>-0.52867840799999999</v>
      </c>
      <c r="FD429" s="677">
        <v>0.498935305</v>
      </c>
      <c r="FE429" s="677">
        <v>-0.78183704399999998</v>
      </c>
      <c r="FF429" s="677">
        <v>1.2311872999999999E-2</v>
      </c>
      <c r="FG429" s="677">
        <v>0.96189106199999996</v>
      </c>
      <c r="FH429" s="677">
        <v>-1.945193145</v>
      </c>
      <c r="FI429" s="677">
        <v>1.584105503</v>
      </c>
      <c r="FJ429" s="679">
        <v>-1.8236722679999999</v>
      </c>
      <c r="FK429" s="677">
        <v>1.218390131</v>
      </c>
      <c r="FL429" s="677">
        <v>-1.011248403</v>
      </c>
      <c r="FM429" s="677">
        <v>-0.108558561</v>
      </c>
      <c r="FN429" s="677">
        <v>2.108993E-2</v>
      </c>
      <c r="FO429" s="677">
        <v>-0.11660796900000001</v>
      </c>
      <c r="FP429" s="677">
        <v>0.26944000000000001</v>
      </c>
      <c r="FQ429" s="677">
        <v>0.57198484400000005</v>
      </c>
      <c r="FR429" s="677">
        <v>-0.22567034899999999</v>
      </c>
      <c r="FS429" s="677">
        <v>-0.25463129499999998</v>
      </c>
      <c r="FT429" s="677">
        <v>-9.1758215000000004E-2</v>
      </c>
      <c r="FU429" s="677">
        <v>2.3879104390000001</v>
      </c>
      <c r="FV429" s="677">
        <v>-2.6603405520000001</v>
      </c>
      <c r="FW429" s="677">
        <v>4.58</v>
      </c>
      <c r="FX429" s="677">
        <v>-1.5603875380000001</v>
      </c>
      <c r="FY429" s="677">
        <v>-2.3905713460000002</v>
      </c>
      <c r="FZ429" s="677">
        <v>-0.54282085400000002</v>
      </c>
      <c r="GA429" s="677">
        <v>-1.7802619999999999E-3</v>
      </c>
      <c r="GB429" s="677">
        <v>-5.3160794999999997E-2</v>
      </c>
      <c r="GC429" s="677">
        <v>1.17227785</v>
      </c>
      <c r="GD429" s="677">
        <v>0.15382949700000001</v>
      </c>
      <c r="GE429" s="677">
        <v>5.2114615000000003E-2</v>
      </c>
      <c r="GF429" s="677">
        <v>-1.9171278620000001</v>
      </c>
      <c r="GG429" s="677">
        <v>0.37350508100000002</v>
      </c>
      <c r="GH429" s="677">
        <v>-1.1801735149999999</v>
      </c>
      <c r="GI429" s="677"/>
      <c r="GJ429" s="677"/>
      <c r="GK429" s="677"/>
      <c r="GL429" s="677"/>
      <c r="GM429" s="677"/>
      <c r="GN429" s="677"/>
      <c r="GO429" s="677"/>
      <c r="GP429" s="677"/>
      <c r="GQ429" s="677"/>
      <c r="GR429" s="677"/>
      <c r="GS429" s="677"/>
      <c r="GT429" s="677"/>
      <c r="GU429" s="677"/>
      <c r="GV429" s="677"/>
      <c r="GW429" s="677"/>
      <c r="GX429" s="677"/>
      <c r="GY429" s="677"/>
      <c r="GZ429" s="677"/>
      <c r="HA429" s="677"/>
      <c r="HB429" s="677"/>
      <c r="HC429" s="677"/>
      <c r="HD429" s="677"/>
      <c r="HE429" s="677"/>
      <c r="HF429" s="677"/>
      <c r="HG429" s="677"/>
      <c r="HH429" s="677"/>
      <c r="HI429" s="677"/>
      <c r="HJ429" s="677"/>
      <c r="HK429" s="677"/>
      <c r="HL429" s="677"/>
      <c r="HM429" s="677"/>
      <c r="HN429" s="680"/>
      <c r="KH429" s="682"/>
      <c r="KI429" s="680"/>
    </row>
    <row r="430" spans="1:295" s="681" customFormat="1" outlineLevel="1">
      <c r="A430" s="675" t="s">
        <v>923</v>
      </c>
      <c r="B430" s="675" t="s">
        <v>361</v>
      </c>
      <c r="C430" s="675"/>
      <c r="D430" s="1467" t="s">
        <v>536</v>
      </c>
      <c r="E430" s="677"/>
      <c r="F430" s="677"/>
      <c r="G430" s="677"/>
      <c r="H430" s="677"/>
      <c r="I430" s="677">
        <v>12543756551</v>
      </c>
      <c r="J430" s="677">
        <v>-10079711448</v>
      </c>
      <c r="K430" s="677">
        <v>119467722</v>
      </c>
      <c r="L430" s="677">
        <v>10308136697</v>
      </c>
      <c r="M430" s="677">
        <v>3873634525</v>
      </c>
      <c r="N430" s="677">
        <v>-16589207829</v>
      </c>
      <c r="O430" s="677">
        <v>12686293164</v>
      </c>
      <c r="P430" s="677">
        <v>-1737136420</v>
      </c>
      <c r="Q430" s="677">
        <v>1106199208</v>
      </c>
      <c r="R430" s="677">
        <v>-6232099133</v>
      </c>
      <c r="S430" s="677">
        <v>8375223599</v>
      </c>
      <c r="T430" s="677">
        <v>-14300354485</v>
      </c>
      <c r="U430" s="677"/>
      <c r="V430" s="677"/>
      <c r="W430" s="677"/>
      <c r="X430" s="677"/>
      <c r="Y430" s="677"/>
      <c r="Z430" s="677"/>
      <c r="AA430" s="677"/>
      <c r="AB430" s="677"/>
      <c r="AC430" s="677"/>
      <c r="AD430" s="677"/>
      <c r="AE430" s="677"/>
      <c r="AF430" s="677"/>
      <c r="AG430" s="677"/>
      <c r="AH430" s="677"/>
      <c r="AI430" s="677"/>
      <c r="AJ430" s="677"/>
      <c r="AK430" s="677"/>
      <c r="AL430" s="677"/>
      <c r="AM430" s="677"/>
      <c r="AN430" s="677"/>
      <c r="AO430" s="677"/>
      <c r="AP430" s="677"/>
      <c r="AQ430" s="677"/>
      <c r="AR430" s="677"/>
      <c r="AS430" s="677"/>
      <c r="AT430" s="677"/>
      <c r="AU430" s="677"/>
      <c r="AV430" s="677"/>
      <c r="AW430" s="677"/>
      <c r="AX430" s="677"/>
      <c r="AY430" s="677"/>
      <c r="AZ430" s="677"/>
      <c r="BA430" s="677"/>
      <c r="BB430" s="677"/>
      <c r="BC430" s="677"/>
      <c r="BD430" s="677"/>
      <c r="BE430" s="677"/>
      <c r="BF430" s="677"/>
      <c r="BG430" s="677">
        <v>0</v>
      </c>
      <c r="BH430" s="677">
        <v>0.76492427000000029</v>
      </c>
      <c r="BI430" s="677">
        <v>0.25192332899999981</v>
      </c>
      <c r="BJ430" s="677">
        <v>0.14140297700000026</v>
      </c>
      <c r="BK430" s="677">
        <v>-0.25801329500000003</v>
      </c>
      <c r="BL430" s="677">
        <v>-0.87626774799999985</v>
      </c>
      <c r="BM430" s="677">
        <v>1.9339253040000002</v>
      </c>
      <c r="BN430" s="677">
        <v>-1.4928423880000006</v>
      </c>
      <c r="BO430" s="677">
        <v>-0.38212373800000021</v>
      </c>
      <c r="BP430" s="677">
        <v>0.53410289499999974</v>
      </c>
      <c r="BQ430" s="677">
        <v>0.12483470200000024</v>
      </c>
      <c r="BR430" s="677">
        <v>-0.74186630799999997</v>
      </c>
      <c r="BS430" s="677">
        <v>2.4362525590000002</v>
      </c>
      <c r="BT430" s="677">
        <v>-0.70857051999999987</v>
      </c>
      <c r="BU430" s="677">
        <v>-0.9507399379999999</v>
      </c>
      <c r="BV430" s="677">
        <v>2.1956142609999998</v>
      </c>
      <c r="BW430" s="677">
        <v>0.71564380000000005</v>
      </c>
      <c r="BX430" s="677">
        <v>-2.6155045830000003</v>
      </c>
      <c r="BY430" s="677">
        <v>-0.37440005300000001</v>
      </c>
      <c r="BZ430" s="677">
        <v>3.4756524190000002</v>
      </c>
      <c r="CA430" s="677">
        <v>-0.83731913299999983</v>
      </c>
      <c r="CB430" s="677">
        <v>3.4455531520000005</v>
      </c>
      <c r="CC430" s="677">
        <v>-3.2944779469999999</v>
      </c>
      <c r="CD430" s="677">
        <v>-3.4836169360000007</v>
      </c>
      <c r="CE430" s="677">
        <v>12.543756551</v>
      </c>
      <c r="CF430" s="677">
        <v>-10.079711447999999</v>
      </c>
      <c r="CG430" s="677">
        <v>0.119467722</v>
      </c>
      <c r="CH430" s="677">
        <v>10.308136697</v>
      </c>
      <c r="CI430" s="677">
        <v>3.8736345249999999</v>
      </c>
      <c r="CJ430" s="677">
        <v>-16.589207828999999</v>
      </c>
      <c r="CK430" s="677">
        <v>12.686293164</v>
      </c>
      <c r="CL430" s="677">
        <v>-1.7371364199999999</v>
      </c>
      <c r="CM430" s="677">
        <v>1.106199208</v>
      </c>
      <c r="CN430" s="677">
        <v>-6.2320991330000002</v>
      </c>
      <c r="CO430" s="677">
        <v>8.3752235989999999</v>
      </c>
      <c r="CP430" s="679">
        <v>-14.300354485</v>
      </c>
      <c r="CQ430" s="677">
        <v>3.1609261E-2</v>
      </c>
      <c r="CR430" s="677">
        <v>-3.0416512999999999E-2</v>
      </c>
      <c r="CS430" s="677">
        <v>2.1242390009999998</v>
      </c>
      <c r="CT430" s="677">
        <v>-1.6341817489999999</v>
      </c>
      <c r="CU430" s="677">
        <v>3.484146E-3</v>
      </c>
      <c r="CV430" s="677">
        <v>0.65188679699999996</v>
      </c>
      <c r="CW430" s="677">
        <v>0.55348901299999997</v>
      </c>
      <c r="CX430" s="677">
        <v>0.82374757200000004</v>
      </c>
      <c r="CY430" s="677">
        <v>-2.3476994289999999</v>
      </c>
      <c r="CZ430" s="677">
        <v>0.115947207</v>
      </c>
      <c r="DA430" s="677">
        <v>2.2048039130000001</v>
      </c>
      <c r="DB430" s="1507">
        <v>-2.496909219</v>
      </c>
      <c r="DC430" s="677">
        <v>0</v>
      </c>
      <c r="DD430" s="677">
        <v>0.01</v>
      </c>
      <c r="DE430" s="677">
        <v>4.2538672E-2</v>
      </c>
      <c r="DF430" s="677">
        <v>9.5750000000000002E-2</v>
      </c>
      <c r="DG430" s="677">
        <v>3.2847408140000001</v>
      </c>
      <c r="DH430" s="677">
        <v>-1.478349194</v>
      </c>
      <c r="DI430" s="677">
        <v>-0.576663704</v>
      </c>
      <c r="DJ430" s="677">
        <v>-1.355073126</v>
      </c>
      <c r="DK430" s="677">
        <v>3.6829199999999999E-2</v>
      </c>
      <c r="DL430" s="677">
        <v>-5.1089922000000003E-2</v>
      </c>
      <c r="DM430" s="677">
        <v>0.29516903</v>
      </c>
      <c r="DN430" s="679">
        <v>-0.29370166800000003</v>
      </c>
      <c r="DO430" s="677">
        <v>0</v>
      </c>
      <c r="DP430" s="677">
        <v>0</v>
      </c>
      <c r="DQ430" s="677">
        <v>0</v>
      </c>
      <c r="DR430" s="677">
        <v>0.38419924999999999</v>
      </c>
      <c r="DS430" s="677">
        <v>0.69401464599999996</v>
      </c>
      <c r="DT430" s="677">
        <v>-1.0782138960000001</v>
      </c>
      <c r="DU430" s="677">
        <v>0.17637923</v>
      </c>
      <c r="DV430" s="677">
        <v>-3.3056082000000001E-2</v>
      </c>
      <c r="DW430" s="677">
        <v>-0.14054001399999999</v>
      </c>
      <c r="DX430" s="677">
        <v>0.202125</v>
      </c>
      <c r="DY430" s="677">
        <v>-0.13305978099999999</v>
      </c>
      <c r="DZ430" s="679">
        <v>-7.1848353000000004E-2</v>
      </c>
      <c r="EA430" s="677">
        <v>4.0609999999999999</v>
      </c>
      <c r="EB430" s="677">
        <v>-5.8999999999999997E-2</v>
      </c>
      <c r="EC430" s="677">
        <v>0.92343052599999997</v>
      </c>
      <c r="ED430" s="677">
        <v>-0.53753052499999998</v>
      </c>
      <c r="EE430" s="677">
        <v>3.6689475809999998</v>
      </c>
      <c r="EF430" s="677">
        <v>-7.4177958439999996</v>
      </c>
      <c r="EG430" s="677">
        <v>-0.41256108600000002</v>
      </c>
      <c r="EH430" s="677">
        <v>3.1283811450000001</v>
      </c>
      <c r="EI430" s="677">
        <v>-0.25886268200000001</v>
      </c>
      <c r="EJ430" s="677">
        <v>0.10895822099999999</v>
      </c>
      <c r="EK430" s="677">
        <v>2.9207922929999999</v>
      </c>
      <c r="EL430" s="679">
        <v>-1.025618803</v>
      </c>
      <c r="EM430" s="677">
        <v>-0.60969509099999997</v>
      </c>
      <c r="EN430" s="677">
        <v>1.3722780910000001</v>
      </c>
      <c r="EO430" s="677">
        <v>-1.0193778040000001</v>
      </c>
      <c r="EP430" s="677">
        <v>-0.21577770600000001</v>
      </c>
      <c r="EQ430" s="677">
        <v>0.97081344000000003</v>
      </c>
      <c r="ER430" s="677">
        <v>-2.1888924510000001</v>
      </c>
      <c r="ES430" s="677">
        <v>-1.4123241479999999</v>
      </c>
      <c r="ET430" s="677">
        <v>2.4887449789999998</v>
      </c>
      <c r="EU430" s="677">
        <v>-0.28443316099999999</v>
      </c>
      <c r="EV430" s="677">
        <v>2.9838653399999999</v>
      </c>
      <c r="EW430" s="677">
        <v>0.99691513399999998</v>
      </c>
      <c r="EX430" s="679">
        <v>-1.2849607970000001</v>
      </c>
      <c r="EY430" s="677">
        <v>-0.969664317</v>
      </c>
      <c r="EZ430" s="677">
        <v>1.2432132899999999</v>
      </c>
      <c r="FA430" s="677">
        <v>-1.450112531</v>
      </c>
      <c r="FB430" s="677">
        <v>-2.8075161519999998</v>
      </c>
      <c r="FC430" s="677">
        <v>1.486672743</v>
      </c>
      <c r="FD430" s="677">
        <v>-0.676093795</v>
      </c>
      <c r="FE430" s="677">
        <v>-1.7714029849999999</v>
      </c>
      <c r="FF430" s="677">
        <v>0.114605239</v>
      </c>
      <c r="FG430" s="677">
        <v>3.9531726109999998</v>
      </c>
      <c r="FH430" s="677">
        <v>-1.8555630540000001</v>
      </c>
      <c r="FI430" s="677">
        <v>2.6030791990000002</v>
      </c>
      <c r="FJ430" s="679">
        <v>-7.4909174739999997</v>
      </c>
      <c r="FK430" s="677">
        <v>3.799298716</v>
      </c>
      <c r="FL430" s="677">
        <v>-1.0311738349999999</v>
      </c>
      <c r="FM430" s="677">
        <v>-0.77608235299999995</v>
      </c>
      <c r="FN430" s="677">
        <v>-1.722648298</v>
      </c>
      <c r="FO430" s="677">
        <v>0.71867722300000003</v>
      </c>
      <c r="FP430" s="677">
        <v>8.2472532000000001E-2</v>
      </c>
      <c r="FQ430" s="677">
        <v>0.83646387700000002</v>
      </c>
      <c r="FR430" s="677">
        <v>-1.185186292</v>
      </c>
      <c r="FS430" s="677">
        <v>-0.29457178000000001</v>
      </c>
      <c r="FT430" s="677">
        <v>2.0655515289999999</v>
      </c>
      <c r="FU430" s="677">
        <v>5.4716430120000004</v>
      </c>
      <c r="FV430" s="677">
        <v>-7.8377061379999997</v>
      </c>
      <c r="FW430" s="677">
        <v>1.181530725</v>
      </c>
      <c r="FX430" s="677">
        <v>-1.1732915310000001</v>
      </c>
      <c r="FY430" s="677">
        <v>4.4740035430000002</v>
      </c>
      <c r="FZ430" s="677">
        <v>-4.1285716790000002</v>
      </c>
      <c r="GA430" s="677">
        <v>-1.6340922179999999</v>
      </c>
      <c r="GB430" s="677">
        <v>-3.7458691430000002</v>
      </c>
      <c r="GC430" s="677">
        <v>9.2481655999999995E-2</v>
      </c>
      <c r="GD430" s="677">
        <v>0.615814207</v>
      </c>
      <c r="GE430" s="677">
        <v>-1.6791582329999999</v>
      </c>
      <c r="GF430" s="677">
        <v>-1.4182342429999999</v>
      </c>
      <c r="GG430" s="677">
        <v>-0.24572571000000001</v>
      </c>
      <c r="GH430" s="677">
        <v>-3.2908551240000001</v>
      </c>
      <c r="GI430" s="677"/>
      <c r="GJ430" s="677"/>
      <c r="GK430" s="677"/>
      <c r="GL430" s="677"/>
      <c r="GM430" s="677"/>
      <c r="GN430" s="677"/>
      <c r="GO430" s="677"/>
      <c r="GP430" s="677"/>
      <c r="GQ430" s="677"/>
      <c r="GR430" s="677"/>
      <c r="GS430" s="677"/>
      <c r="GT430" s="677"/>
      <c r="GU430" s="677"/>
      <c r="GV430" s="677"/>
      <c r="GW430" s="677"/>
      <c r="GX430" s="677"/>
      <c r="GY430" s="677"/>
      <c r="GZ430" s="677"/>
      <c r="HA430" s="677"/>
      <c r="HB430" s="677"/>
      <c r="HC430" s="677"/>
      <c r="HD430" s="677"/>
      <c r="HE430" s="677"/>
      <c r="HF430" s="677"/>
      <c r="HG430" s="677"/>
      <c r="HH430" s="677"/>
      <c r="HI430" s="677"/>
      <c r="HJ430" s="677"/>
      <c r="HK430" s="677"/>
      <c r="HL430" s="677"/>
      <c r="HM430" s="677"/>
      <c r="HN430" s="680"/>
      <c r="KH430" s="682"/>
      <c r="KI430" s="680"/>
    </row>
    <row r="431" spans="1:295" s="681" customFormat="1" outlineLevel="1">
      <c r="A431" s="675" t="s">
        <v>923</v>
      </c>
      <c r="B431" s="675" t="s">
        <v>361</v>
      </c>
      <c r="C431" s="675"/>
      <c r="D431" s="1467" t="s">
        <v>565</v>
      </c>
      <c r="E431" s="677"/>
      <c r="F431" s="677"/>
      <c r="G431" s="677"/>
      <c r="H431" s="677"/>
      <c r="I431" s="677">
        <v>76546266</v>
      </c>
      <c r="J431" s="677">
        <v>-76546266</v>
      </c>
      <c r="K431" s="677">
        <v>352862066</v>
      </c>
      <c r="L431" s="677">
        <v>1798431214</v>
      </c>
      <c r="M431" s="677">
        <v>-944828303</v>
      </c>
      <c r="N431" s="677">
        <v>-1098027063</v>
      </c>
      <c r="O431" s="677">
        <v>355463903</v>
      </c>
      <c r="P431" s="677">
        <v>1375830918</v>
      </c>
      <c r="Q431" s="677">
        <v>-551627874</v>
      </c>
      <c r="R431" s="677">
        <v>-398900537</v>
      </c>
      <c r="S431" s="677">
        <v>255481516</v>
      </c>
      <c r="T431" s="677">
        <v>-1144685840</v>
      </c>
      <c r="U431" s="677"/>
      <c r="V431" s="677"/>
      <c r="W431" s="677"/>
      <c r="X431" s="677"/>
      <c r="Y431" s="677"/>
      <c r="Z431" s="677"/>
      <c r="AA431" s="677"/>
      <c r="AB431" s="677"/>
      <c r="AC431" s="677"/>
      <c r="AD431" s="677"/>
      <c r="AE431" s="677"/>
      <c r="AF431" s="677"/>
      <c r="AG431" s="677"/>
      <c r="AH431" s="677"/>
      <c r="AI431" s="677"/>
      <c r="AJ431" s="677"/>
      <c r="AK431" s="677"/>
      <c r="AL431" s="677"/>
      <c r="AM431" s="677"/>
      <c r="AN431" s="677"/>
      <c r="AO431" s="677"/>
      <c r="AP431" s="677"/>
      <c r="AQ431" s="677"/>
      <c r="AR431" s="677"/>
      <c r="AS431" s="677"/>
      <c r="AT431" s="677"/>
      <c r="AU431" s="677"/>
      <c r="AV431" s="677"/>
      <c r="AW431" s="677"/>
      <c r="AX431" s="677"/>
      <c r="AY431" s="677"/>
      <c r="AZ431" s="677"/>
      <c r="BA431" s="677"/>
      <c r="BB431" s="677"/>
      <c r="BC431" s="677"/>
      <c r="BD431" s="677"/>
      <c r="BE431" s="677"/>
      <c r="BF431" s="677"/>
      <c r="BG431" s="677">
        <v>7.0500000000000007E-3</v>
      </c>
      <c r="BH431" s="677">
        <v>2.8331255179999997</v>
      </c>
      <c r="BI431" s="677">
        <v>-2.5949900240000003</v>
      </c>
      <c r="BJ431" s="677">
        <v>2.2829166400000003</v>
      </c>
      <c r="BK431" s="677">
        <v>-0.89141968000000027</v>
      </c>
      <c r="BL431" s="677">
        <v>-1.6354365039999994</v>
      </c>
      <c r="BM431" s="677">
        <v>1.0923096869999998</v>
      </c>
      <c r="BN431" s="677">
        <v>-0.55309249199999977</v>
      </c>
      <c r="BO431" s="677">
        <v>0.24750195099999983</v>
      </c>
      <c r="BP431" s="677">
        <v>0.85996457795000003</v>
      </c>
      <c r="BQ431" s="677">
        <v>-1.2198344499499998</v>
      </c>
      <c r="BR431" s="677">
        <v>-0.428095224</v>
      </c>
      <c r="BS431" s="677">
        <v>1.8210793380000001</v>
      </c>
      <c r="BT431" s="677">
        <v>-0.66845471099999987</v>
      </c>
      <c r="BU431" s="677">
        <v>-1.0900508440000001</v>
      </c>
      <c r="BV431" s="677">
        <v>2.8226567740000004</v>
      </c>
      <c r="BW431" s="677">
        <v>-1.4723478029999999</v>
      </c>
      <c r="BX431" s="677">
        <v>1.8027978270000002</v>
      </c>
      <c r="BY431" s="677">
        <v>-2.0469733870000004</v>
      </c>
      <c r="BZ431" s="677">
        <v>0.24383996700000043</v>
      </c>
      <c r="CA431" s="677">
        <v>-3.8830785000000034E-2</v>
      </c>
      <c r="CB431" s="677">
        <v>1.1919398209999996</v>
      </c>
      <c r="CC431" s="677">
        <v>-0.91726049800000009</v>
      </c>
      <c r="CD431" s="677">
        <v>-1.647115699</v>
      </c>
      <c r="CE431" s="677">
        <v>7.6546266000000002E-2</v>
      </c>
      <c r="CF431" s="677">
        <v>-7.6546266000000002E-2</v>
      </c>
      <c r="CG431" s="677">
        <v>0.35286206599999997</v>
      </c>
      <c r="CH431" s="677">
        <v>1.7984312140000001</v>
      </c>
      <c r="CI431" s="677">
        <v>-0.94482830299999998</v>
      </c>
      <c r="CJ431" s="677">
        <v>-1.098027063</v>
      </c>
      <c r="CK431" s="677">
        <v>0.35546390300000003</v>
      </c>
      <c r="CL431" s="677">
        <v>1.3758309179999999</v>
      </c>
      <c r="CM431" s="677">
        <v>-0.55162787400000002</v>
      </c>
      <c r="CN431" s="677">
        <v>-0.398900537</v>
      </c>
      <c r="CO431" s="677">
        <v>0.25548151600000002</v>
      </c>
      <c r="CP431" s="679">
        <v>-1.14468584</v>
      </c>
      <c r="CQ431" s="677">
        <v>1.889529204</v>
      </c>
      <c r="CR431" s="677">
        <v>0.312506277</v>
      </c>
      <c r="CS431" s="677">
        <v>-1.8048535610000001</v>
      </c>
      <c r="CT431" s="677">
        <v>0.15600377500000001</v>
      </c>
      <c r="CU431" s="677">
        <v>0.27959025500000001</v>
      </c>
      <c r="CV431" s="677">
        <v>-0.139903471</v>
      </c>
      <c r="CW431" s="677">
        <v>9.3612125000000004E-2</v>
      </c>
      <c r="CX431" s="677">
        <v>-1.743236E-3</v>
      </c>
      <c r="CY431" s="677">
        <v>2.8260083059999999</v>
      </c>
      <c r="CZ431" s="677">
        <v>-3.4346645649999998</v>
      </c>
      <c r="DA431" s="677">
        <v>1.52642279</v>
      </c>
      <c r="DB431" s="1507">
        <v>-1.702507899</v>
      </c>
      <c r="DC431" s="677">
        <v>1.1330354330000001</v>
      </c>
      <c r="DD431" s="677">
        <v>-0.97259161199999999</v>
      </c>
      <c r="DE431" s="677">
        <v>0.316260178</v>
      </c>
      <c r="DF431" s="677">
        <v>0.42482178999999998</v>
      </c>
      <c r="DG431" s="677">
        <v>1.143399362</v>
      </c>
      <c r="DH431" s="677">
        <v>-1.8159675660000001</v>
      </c>
      <c r="DI431" s="677">
        <v>0.87570376299999997</v>
      </c>
      <c r="DJ431" s="677">
        <v>0.485154586</v>
      </c>
      <c r="DK431" s="677">
        <v>0.33450067999999999</v>
      </c>
      <c r="DL431" s="677">
        <v>1.057841265</v>
      </c>
      <c r="DM431" s="677">
        <v>-2.431768511</v>
      </c>
      <c r="DN431" s="679">
        <v>-0.55038936800000005</v>
      </c>
      <c r="DO431" s="677">
        <v>7.9994999999999997E-2</v>
      </c>
      <c r="DP431" s="677">
        <v>0.79384403999999997</v>
      </c>
      <c r="DQ431" s="677">
        <v>0.19945441699999999</v>
      </c>
      <c r="DR431" s="677">
        <v>0.250866545</v>
      </c>
      <c r="DS431" s="677">
        <v>0.220062125</v>
      </c>
      <c r="DT431" s="677">
        <v>-1.4105315309999999</v>
      </c>
      <c r="DU431" s="677">
        <v>0.140989476</v>
      </c>
      <c r="DV431" s="677">
        <v>0.510775494</v>
      </c>
      <c r="DW431" s="677">
        <v>-0.26326536</v>
      </c>
      <c r="DX431" s="677">
        <v>1.8700860349999999</v>
      </c>
      <c r="DY431" s="677">
        <v>2.68245384</v>
      </c>
      <c r="DZ431" s="679">
        <v>-5.0231284970000001</v>
      </c>
      <c r="EA431" s="677">
        <v>0.32038302600000002</v>
      </c>
      <c r="EB431" s="677">
        <v>0.118158612</v>
      </c>
      <c r="EC431" s="677">
        <v>1.2186685159999999</v>
      </c>
      <c r="ED431" s="677">
        <v>-0.737948304</v>
      </c>
      <c r="EE431" s="677">
        <v>1.2262126799999999</v>
      </c>
      <c r="EF431" s="677">
        <v>-1.3169304289999999</v>
      </c>
      <c r="EG431" s="677">
        <v>-0.269778609</v>
      </c>
      <c r="EH431" s="677">
        <v>0.60741850100000006</v>
      </c>
      <c r="EI431" s="677">
        <v>2.1435095639999999</v>
      </c>
      <c r="EJ431" s="677">
        <v>1.5440151639999999</v>
      </c>
      <c r="EK431" s="677">
        <v>-2.1643384179999998</v>
      </c>
      <c r="EL431" s="679">
        <v>-1.1817601310000001</v>
      </c>
      <c r="EM431" s="677">
        <v>1.2002414699999999</v>
      </c>
      <c r="EN431" s="677">
        <v>0.85758087900000002</v>
      </c>
      <c r="EO431" s="677">
        <v>1.747688071</v>
      </c>
      <c r="EP431" s="677">
        <v>-0.32751185999999999</v>
      </c>
      <c r="EQ431" s="677">
        <v>0.64759031700000003</v>
      </c>
      <c r="ER431" s="677">
        <v>0.61723966799999996</v>
      </c>
      <c r="ES431" s="677">
        <v>4.5886312199999999</v>
      </c>
      <c r="ET431" s="677">
        <v>0.10578379</v>
      </c>
      <c r="EU431" s="677">
        <v>0.88774534800000005</v>
      </c>
      <c r="EV431" s="677">
        <v>1.474755018</v>
      </c>
      <c r="EW431" s="677">
        <v>1.5542824710000001</v>
      </c>
      <c r="EX431" s="679">
        <v>-2.3473772579999999</v>
      </c>
      <c r="EY431" s="677">
        <v>3.4601389239999998</v>
      </c>
      <c r="EZ431" s="677">
        <v>0.99222185399999996</v>
      </c>
      <c r="FA431" s="677">
        <v>0.28147016200000002</v>
      </c>
      <c r="FB431" s="677">
        <v>2.8454002109999998</v>
      </c>
      <c r="FC431" s="677">
        <v>1.267607189</v>
      </c>
      <c r="FD431" s="677">
        <v>1.2623466640000001</v>
      </c>
      <c r="FE431" s="677">
        <v>0.36669284299999999</v>
      </c>
      <c r="FF431" s="677">
        <v>1.8685089560000001</v>
      </c>
      <c r="FG431" s="677">
        <v>1.5470947269999999</v>
      </c>
      <c r="FH431" s="677">
        <v>-0.72729513199999996</v>
      </c>
      <c r="FI431" s="677">
        <v>-0.90613497300000001</v>
      </c>
      <c r="FJ431" s="679">
        <v>-1.809345312</v>
      </c>
      <c r="FK431" s="677">
        <v>3.148135629</v>
      </c>
      <c r="FL431" s="677">
        <v>0.77605259100000001</v>
      </c>
      <c r="FM431" s="677">
        <v>6.7718618350000002</v>
      </c>
      <c r="FN431" s="677">
        <v>-1.0124109130000001</v>
      </c>
      <c r="FO431" s="677">
        <v>-1.252474893</v>
      </c>
      <c r="FP431" s="677">
        <v>-1.0946868599999999</v>
      </c>
      <c r="FQ431" s="677">
        <v>3.3948243649999998</v>
      </c>
      <c r="FR431" s="677">
        <v>2.9795618660000001</v>
      </c>
      <c r="FS431" s="677">
        <v>3.4303241230000001</v>
      </c>
      <c r="FT431" s="677">
        <v>3.398936843</v>
      </c>
      <c r="FU431" s="677">
        <v>7.793452555</v>
      </c>
      <c r="FV431" s="677">
        <v>-0.89607277100000005</v>
      </c>
      <c r="FW431" s="677">
        <v>0.28807087399999998</v>
      </c>
      <c r="FX431" s="677">
        <v>1.742555179</v>
      </c>
      <c r="FY431" s="677">
        <v>11.849814856</v>
      </c>
      <c r="FZ431" s="677">
        <v>1.446922753</v>
      </c>
      <c r="GA431" s="677">
        <v>4.2384848860000002</v>
      </c>
      <c r="GB431" s="677">
        <v>0.480339391</v>
      </c>
      <c r="GC431" s="677">
        <v>-2.852296044</v>
      </c>
      <c r="GD431" s="677">
        <v>7.4606977140000001</v>
      </c>
      <c r="GE431" s="677">
        <v>-8.7666748739999996</v>
      </c>
      <c r="GF431" s="677">
        <v>-0.58857942600000002</v>
      </c>
      <c r="GG431" s="677">
        <v>-6.5939120000000004E-3</v>
      </c>
      <c r="GH431" s="677">
        <v>-10.964019985</v>
      </c>
      <c r="GI431" s="677"/>
      <c r="GJ431" s="677"/>
      <c r="GK431" s="677"/>
      <c r="GL431" s="677"/>
      <c r="GM431" s="677"/>
      <c r="GN431" s="677"/>
      <c r="GO431" s="677"/>
      <c r="GP431" s="677"/>
      <c r="GQ431" s="677"/>
      <c r="GR431" s="677"/>
      <c r="GS431" s="677"/>
      <c r="GT431" s="677"/>
      <c r="GU431" s="677"/>
      <c r="GV431" s="677"/>
      <c r="GW431" s="677"/>
      <c r="GX431" s="677"/>
      <c r="GY431" s="677"/>
      <c r="GZ431" s="677"/>
      <c r="HA431" s="677"/>
      <c r="HB431" s="677"/>
      <c r="HC431" s="677"/>
      <c r="HD431" s="677"/>
      <c r="HE431" s="677"/>
      <c r="HF431" s="677"/>
      <c r="HG431" s="677"/>
      <c r="HH431" s="677"/>
      <c r="HI431" s="677"/>
      <c r="HJ431" s="677"/>
      <c r="HK431" s="677"/>
      <c r="HL431" s="677"/>
      <c r="HM431" s="677"/>
      <c r="HN431" s="680"/>
      <c r="KH431" s="682"/>
      <c r="KI431" s="680"/>
    </row>
    <row r="432" spans="1:295" s="681" customFormat="1" outlineLevel="1">
      <c r="A432" s="675" t="s">
        <v>923</v>
      </c>
      <c r="B432" s="675" t="s">
        <v>361</v>
      </c>
      <c r="C432" s="675"/>
      <c r="D432" s="1467" t="s">
        <v>566</v>
      </c>
      <c r="E432" s="677"/>
      <c r="F432" s="677"/>
      <c r="G432" s="677"/>
      <c r="H432" s="677"/>
      <c r="I432" s="677">
        <v>1195348880</v>
      </c>
      <c r="J432" s="677">
        <v>-732715365</v>
      </c>
      <c r="K432" s="677">
        <v>418196616</v>
      </c>
      <c r="L432" s="677">
        <v>236589028</v>
      </c>
      <c r="M432" s="677">
        <v>-267468677</v>
      </c>
      <c r="N432" s="677">
        <v>-833975934</v>
      </c>
      <c r="O432" s="677">
        <v>79814484</v>
      </c>
      <c r="P432" s="677">
        <v>51331016</v>
      </c>
      <c r="Q432" s="677">
        <v>-56390201</v>
      </c>
      <c r="R432" s="677">
        <v>335302795</v>
      </c>
      <c r="S432" s="677">
        <v>-190566767</v>
      </c>
      <c r="T432" s="677">
        <v>-234818113</v>
      </c>
      <c r="U432" s="677"/>
      <c r="V432" s="677"/>
      <c r="W432" s="677"/>
      <c r="X432" s="677"/>
      <c r="Y432" s="677"/>
      <c r="Z432" s="677"/>
      <c r="AA432" s="677"/>
      <c r="AB432" s="677"/>
      <c r="AC432" s="677"/>
      <c r="AD432" s="677"/>
      <c r="AE432" s="677"/>
      <c r="AF432" s="677"/>
      <c r="AG432" s="677"/>
      <c r="AH432" s="677"/>
      <c r="AI432" s="677"/>
      <c r="AJ432" s="677"/>
      <c r="AK432" s="677"/>
      <c r="AL432" s="677"/>
      <c r="AM432" s="677"/>
      <c r="AN432" s="677"/>
      <c r="AO432" s="677"/>
      <c r="AP432" s="677"/>
      <c r="AQ432" s="677"/>
      <c r="AR432" s="677"/>
      <c r="AS432" s="677"/>
      <c r="AT432" s="677"/>
      <c r="AU432" s="677"/>
      <c r="AV432" s="677"/>
      <c r="AW432" s="677"/>
      <c r="AX432" s="677"/>
      <c r="AY432" s="677"/>
      <c r="AZ432" s="677"/>
      <c r="BA432" s="677"/>
      <c r="BB432" s="677"/>
      <c r="BC432" s="677"/>
      <c r="BD432" s="677"/>
      <c r="BE432" s="677"/>
      <c r="BF432" s="677"/>
      <c r="BG432" s="677">
        <v>0</v>
      </c>
      <c r="BH432" s="677">
        <v>1.6916193243999997</v>
      </c>
      <c r="BI432" s="677">
        <v>-1.4167151594000003</v>
      </c>
      <c r="BJ432" s="677">
        <v>0.76352423399999991</v>
      </c>
      <c r="BK432" s="677">
        <v>-0.26141235800000007</v>
      </c>
      <c r="BL432" s="677">
        <v>-0.76559373099999994</v>
      </c>
      <c r="BM432" s="677">
        <v>0.1879854409999997</v>
      </c>
      <c r="BN432" s="677">
        <v>0.45713385100000004</v>
      </c>
      <c r="BO432" s="677">
        <v>-0.56614347799999987</v>
      </c>
      <c r="BP432" s="677">
        <v>0.93245324300000032</v>
      </c>
      <c r="BQ432" s="677">
        <v>0.32631267189000024</v>
      </c>
      <c r="BR432" s="677">
        <v>-1.3491640388899999</v>
      </c>
      <c r="BS432" s="677">
        <v>0.5657749729999999</v>
      </c>
      <c r="BT432" s="677">
        <v>2.9982975000000023E-2</v>
      </c>
      <c r="BU432" s="677">
        <v>-0.45898307700000029</v>
      </c>
      <c r="BV432" s="677">
        <v>6.0739416000000102E-2</v>
      </c>
      <c r="BW432" s="677">
        <v>0.15578369800000003</v>
      </c>
      <c r="BX432" s="677">
        <v>-7.9159184000000105E-2</v>
      </c>
      <c r="BY432" s="677">
        <v>0.7530803800000001</v>
      </c>
      <c r="BZ432" s="677">
        <v>-0.5433510349999997</v>
      </c>
      <c r="CA432" s="677">
        <v>-7.3414650999999997E-2</v>
      </c>
      <c r="CB432" s="677">
        <v>0.30673080500000038</v>
      </c>
      <c r="CC432" s="677">
        <v>-4.3015737029999279E-2</v>
      </c>
      <c r="CD432" s="677">
        <v>-0.67416856297000027</v>
      </c>
      <c r="CE432" s="677">
        <v>1.1953488800000001</v>
      </c>
      <c r="CF432" s="677">
        <v>-0.73271536500000001</v>
      </c>
      <c r="CG432" s="677">
        <v>0.41819661600000002</v>
      </c>
      <c r="CH432" s="677">
        <v>0.23658902800000001</v>
      </c>
      <c r="CI432" s="677">
        <v>-0.26746867699999999</v>
      </c>
      <c r="CJ432" s="677">
        <v>-0.83397593400000003</v>
      </c>
      <c r="CK432" s="677">
        <v>7.9814484000000005E-2</v>
      </c>
      <c r="CL432" s="677">
        <v>5.1331016E-2</v>
      </c>
      <c r="CM432" s="677">
        <v>-5.6390201000000001E-2</v>
      </c>
      <c r="CN432" s="677">
        <v>0.33530279499999999</v>
      </c>
      <c r="CO432" s="677">
        <v>-0.190566767</v>
      </c>
      <c r="CP432" s="679">
        <v>-0.23481811299999999</v>
      </c>
      <c r="CQ432" s="677">
        <v>0.70820933600000002</v>
      </c>
      <c r="CR432" s="677">
        <v>0.60553380700000004</v>
      </c>
      <c r="CS432" s="677">
        <v>-3.5565494000000003E-2</v>
      </c>
      <c r="CT432" s="677">
        <v>-6.5565399999999996E-2</v>
      </c>
      <c r="CU432" s="677">
        <v>0.34788201000000002</v>
      </c>
      <c r="CV432" s="677">
        <v>-0.55888651</v>
      </c>
      <c r="CW432" s="677">
        <v>-0.75653661900000002</v>
      </c>
      <c r="CX432" s="677">
        <v>0.70585537700000001</v>
      </c>
      <c r="CY432" s="677">
        <v>-0.59524889599999997</v>
      </c>
      <c r="CZ432" s="677">
        <v>-0.22194238699999999</v>
      </c>
      <c r="DA432" s="677">
        <v>0.94057700499999997</v>
      </c>
      <c r="DB432" s="1507">
        <v>-1.069692595</v>
      </c>
      <c r="DC432" s="677">
        <v>1.329505865</v>
      </c>
      <c r="DD432" s="677">
        <v>0.67405126900000001</v>
      </c>
      <c r="DE432" s="677">
        <v>-1.1065390079999999</v>
      </c>
      <c r="DF432" s="677">
        <v>0.15020847300000001</v>
      </c>
      <c r="DG432" s="677">
        <v>2.3037079299999998</v>
      </c>
      <c r="DH432" s="677">
        <v>-2.7193616540000001</v>
      </c>
      <c r="DI432" s="677">
        <v>-0.11692704199999999</v>
      </c>
      <c r="DJ432" s="677">
        <v>1.049566864</v>
      </c>
      <c r="DK432" s="677">
        <v>3.538510337</v>
      </c>
      <c r="DL432" s="677">
        <v>-4.4486689469999998</v>
      </c>
      <c r="DM432" s="677">
        <v>-4.7210079999999996E-3</v>
      </c>
      <c r="DN432" s="679">
        <v>-0.49522961199999999</v>
      </c>
      <c r="DO432" s="677">
        <v>0.1784538</v>
      </c>
      <c r="DP432" s="677">
        <v>6.2270981230000002</v>
      </c>
      <c r="DQ432" s="677">
        <v>-1.694269603</v>
      </c>
      <c r="DR432" s="677">
        <v>-2.9987963240000002</v>
      </c>
      <c r="DS432" s="677">
        <v>-0.25331754899999998</v>
      </c>
      <c r="DT432" s="677">
        <v>-1.4349706799999999</v>
      </c>
      <c r="DU432" s="677">
        <v>3.5491505910000001</v>
      </c>
      <c r="DV432" s="677">
        <v>-0.65383719600000001</v>
      </c>
      <c r="DW432" s="677">
        <v>-2.601784173</v>
      </c>
      <c r="DX432" s="677">
        <v>1.961550648</v>
      </c>
      <c r="DY432" s="677">
        <v>1.3713503</v>
      </c>
      <c r="DZ432" s="679">
        <v>-3.6506279369999999</v>
      </c>
      <c r="EA432" s="677">
        <v>1.091300511</v>
      </c>
      <c r="EB432" s="677">
        <v>-0.29461833500000001</v>
      </c>
      <c r="EC432" s="677">
        <v>0.220355791</v>
      </c>
      <c r="ED432" s="677">
        <v>0.114814636</v>
      </c>
      <c r="EE432" s="677">
        <v>1.5690145820000001</v>
      </c>
      <c r="EF432" s="677">
        <v>-0.53222721200000001</v>
      </c>
      <c r="EG432" s="677">
        <v>-0.31200545800000001</v>
      </c>
      <c r="EH432" s="677">
        <v>-3.117058407</v>
      </c>
      <c r="EI432" s="677">
        <v>3.4464490470000002</v>
      </c>
      <c r="EJ432" s="677">
        <v>0.412118182</v>
      </c>
      <c r="EK432" s="677">
        <v>-0.83639600400000003</v>
      </c>
      <c r="EL432" s="679">
        <v>-0.98265111400000005</v>
      </c>
      <c r="EM432" s="677">
        <v>0</v>
      </c>
      <c r="EN432" s="677">
        <v>0.68451992422221952</v>
      </c>
      <c r="EO432" s="677">
        <v>-0.89537718377778053</v>
      </c>
      <c r="EP432" s="677">
        <v>0</v>
      </c>
      <c r="EQ432" s="677">
        <v>13.71556632722222</v>
      </c>
      <c r="ER432" s="677">
        <v>-15.26730345</v>
      </c>
      <c r="ES432" s="677">
        <v>-4.2077515940000003</v>
      </c>
      <c r="ET432" s="677">
        <v>0</v>
      </c>
      <c r="EU432" s="677">
        <v>-4.67767118333333</v>
      </c>
      <c r="EV432" s="677">
        <v>17.247759847000001</v>
      </c>
      <c r="EW432" s="677">
        <v>12.96669013266667</v>
      </c>
      <c r="EX432" s="679">
        <v>-8.0287025869999997</v>
      </c>
      <c r="EY432" s="677">
        <v>0.56001144700000005</v>
      </c>
      <c r="EZ432" s="677">
        <v>9.9848321880000004</v>
      </c>
      <c r="FA432" s="677">
        <v>-4.8827198420000002</v>
      </c>
      <c r="FB432" s="677">
        <v>1.67166883</v>
      </c>
      <c r="FC432" s="677">
        <v>8.6428662759999995</v>
      </c>
      <c r="FD432" s="677">
        <v>-9.2610329870000001</v>
      </c>
      <c r="FE432" s="677">
        <v>-10.005598205</v>
      </c>
      <c r="FF432" s="677">
        <v>-3.4593654730000001</v>
      </c>
      <c r="FG432" s="677">
        <v>-1.672183395</v>
      </c>
      <c r="FH432" s="677">
        <v>-3.6774039539999999</v>
      </c>
      <c r="FI432" s="677">
        <v>4.564394397</v>
      </c>
      <c r="FJ432" s="679">
        <v>-6.8228160889999998</v>
      </c>
      <c r="FK432" s="677">
        <v>1.3602542230000001</v>
      </c>
      <c r="FL432" s="677">
        <v>-0.72921348799999997</v>
      </c>
      <c r="FM432" s="677">
        <v>3.9888446950000001</v>
      </c>
      <c r="FN432" s="677">
        <v>-3.1933197569999998</v>
      </c>
      <c r="FO432" s="677">
        <v>0.66866665400000003</v>
      </c>
      <c r="FP432" s="677">
        <v>-1.633772097</v>
      </c>
      <c r="FQ432" s="677">
        <v>-5.0539061800000002</v>
      </c>
      <c r="FR432" s="677">
        <v>-4.6416328079999998</v>
      </c>
      <c r="FS432" s="677">
        <v>-3.3045892220000002</v>
      </c>
      <c r="FT432" s="677">
        <v>-5.668950208</v>
      </c>
      <c r="FU432" s="677">
        <v>-6.8813899909999998</v>
      </c>
      <c r="FV432" s="677">
        <v>-5.8870630259999999</v>
      </c>
      <c r="FW432" s="677">
        <v>-0.230090672</v>
      </c>
      <c r="FX432" s="677">
        <v>-5.5498351450000003</v>
      </c>
      <c r="FY432" s="677">
        <v>-9.659336819</v>
      </c>
      <c r="FZ432" s="677">
        <v>1.91187664</v>
      </c>
      <c r="GA432" s="677">
        <v>10.072710744</v>
      </c>
      <c r="GB432" s="677">
        <v>-10.539977299</v>
      </c>
      <c r="GC432" s="677">
        <v>-2.852296044</v>
      </c>
      <c r="GD432" s="677">
        <v>7.4606977140000001</v>
      </c>
      <c r="GE432" s="677">
        <v>-8.7666748739999996</v>
      </c>
      <c r="GF432" s="677">
        <v>-0.58857942600000002</v>
      </c>
      <c r="GG432" s="677">
        <v>-6.5939120000000004E-3</v>
      </c>
      <c r="GH432" s="677">
        <v>-10.964019985</v>
      </c>
      <c r="GI432" s="677"/>
      <c r="GJ432" s="677"/>
      <c r="GK432" s="677"/>
      <c r="GL432" s="677"/>
      <c r="GM432" s="677"/>
      <c r="GN432" s="677"/>
      <c r="GO432" s="677"/>
      <c r="GP432" s="677"/>
      <c r="GQ432" s="677"/>
      <c r="GR432" s="677"/>
      <c r="GS432" s="677"/>
      <c r="GT432" s="677"/>
      <c r="GU432" s="677"/>
      <c r="GV432" s="677"/>
      <c r="GW432" s="677"/>
      <c r="GX432" s="677"/>
      <c r="GY432" s="677"/>
      <c r="GZ432" s="677"/>
      <c r="HA432" s="677"/>
      <c r="HB432" s="677"/>
      <c r="HC432" s="677"/>
      <c r="HD432" s="677"/>
      <c r="HE432" s="677"/>
      <c r="HF432" s="677"/>
      <c r="HG432" s="677"/>
      <c r="HH432" s="677"/>
      <c r="HI432" s="677"/>
      <c r="HJ432" s="677"/>
      <c r="HK432" s="677"/>
      <c r="HL432" s="677"/>
      <c r="HM432" s="677"/>
      <c r="HN432" s="680"/>
      <c r="KH432" s="682"/>
      <c r="KI432" s="680"/>
    </row>
    <row r="433" spans="1:295" s="681" customFormat="1" outlineLevel="1">
      <c r="A433" s="675" t="s">
        <v>923</v>
      </c>
      <c r="B433" s="675" t="s">
        <v>361</v>
      </c>
      <c r="C433" s="675"/>
      <c r="D433" s="1465" t="s">
        <v>567</v>
      </c>
      <c r="E433" s="677"/>
      <c r="F433" s="677"/>
      <c r="G433" s="677"/>
      <c r="H433" s="677"/>
      <c r="I433" s="677">
        <v>10080403680</v>
      </c>
      <c r="J433" s="677">
        <v>551949232</v>
      </c>
      <c r="K433" s="677">
        <v>4381918138</v>
      </c>
      <c r="L433" s="677">
        <v>9760030308</v>
      </c>
      <c r="M433" s="677">
        <v>-9666851299</v>
      </c>
      <c r="N433" s="677">
        <v>-13925658426</v>
      </c>
      <c r="O433" s="677">
        <v>10472211900</v>
      </c>
      <c r="P433" s="677">
        <v>2343646083</v>
      </c>
      <c r="Q433" s="677">
        <v>769929542</v>
      </c>
      <c r="R433" s="677">
        <v>13952371053</v>
      </c>
      <c r="S433" s="677">
        <v>18316374571</v>
      </c>
      <c r="T433" s="677">
        <v>-46474495587</v>
      </c>
      <c r="U433" s="677"/>
      <c r="V433" s="677"/>
      <c r="W433" s="677"/>
      <c r="X433" s="677"/>
      <c r="Y433" s="677"/>
      <c r="Z433" s="677"/>
      <c r="AA433" s="677"/>
      <c r="AB433" s="677"/>
      <c r="AC433" s="677"/>
      <c r="AD433" s="677"/>
      <c r="AE433" s="677"/>
      <c r="AF433" s="677"/>
      <c r="AG433" s="677"/>
      <c r="AH433" s="677"/>
      <c r="AI433" s="677"/>
      <c r="AJ433" s="677"/>
      <c r="AK433" s="677"/>
      <c r="AL433" s="677"/>
      <c r="AM433" s="677"/>
      <c r="AN433" s="677"/>
      <c r="AO433" s="677"/>
      <c r="AP433" s="677"/>
      <c r="AQ433" s="677"/>
      <c r="AR433" s="677"/>
      <c r="AS433" s="677"/>
      <c r="AT433" s="677"/>
      <c r="AU433" s="677"/>
      <c r="AV433" s="677"/>
      <c r="AW433" s="677"/>
      <c r="AX433" s="677"/>
      <c r="AY433" s="677"/>
      <c r="AZ433" s="677"/>
      <c r="BA433" s="677"/>
      <c r="BB433" s="677"/>
      <c r="BC433" s="677"/>
      <c r="BD433" s="677"/>
      <c r="BE433" s="677"/>
      <c r="BF433" s="677"/>
      <c r="BG433" s="677">
        <v>0.12733642700000036</v>
      </c>
      <c r="BH433" s="677">
        <v>8.0653752052699996</v>
      </c>
      <c r="BI433" s="677">
        <v>-5.7088090700005978E-3</v>
      </c>
      <c r="BJ433" s="677">
        <v>6.1346895507999974</v>
      </c>
      <c r="BK433" s="677">
        <v>-1.9617420990000003</v>
      </c>
      <c r="BL433" s="677">
        <v>-11.673669012999998</v>
      </c>
      <c r="BM433" s="677">
        <v>7.6461706650000014</v>
      </c>
      <c r="BN433" s="677">
        <v>-0.93985896099999877</v>
      </c>
      <c r="BO433" s="677">
        <v>-6.9094072421100012</v>
      </c>
      <c r="BP433" s="677">
        <v>20.664743653999999</v>
      </c>
      <c r="BQ433" s="677">
        <v>4.0628231815400042</v>
      </c>
      <c r="BR433" s="677">
        <v>-21.603678076430004</v>
      </c>
      <c r="BS433" s="677">
        <v>8.8156561090000007</v>
      </c>
      <c r="BT433" s="677">
        <v>7.1812252070000007</v>
      </c>
      <c r="BU433" s="677">
        <v>-12.809904075000002</v>
      </c>
      <c r="BV433" s="677">
        <v>13.57110005985</v>
      </c>
      <c r="BW433" s="677">
        <v>3.0423420101499978</v>
      </c>
      <c r="BX433" s="677">
        <v>-3.7657303780000002</v>
      </c>
      <c r="BY433" s="677">
        <v>-1.3000179199600019</v>
      </c>
      <c r="BZ433" s="677">
        <v>3.2418203091999995</v>
      </c>
      <c r="CA433" s="677">
        <v>-4.0802180061199973</v>
      </c>
      <c r="CB433" s="677">
        <v>25.474129688390001</v>
      </c>
      <c r="CC433" s="677">
        <v>-9.5754254745200029</v>
      </c>
      <c r="CD433" s="677">
        <v>-27.658349496739998</v>
      </c>
      <c r="CE433" s="677">
        <v>10.08040368</v>
      </c>
      <c r="CF433" s="677">
        <v>0.55194923200000001</v>
      </c>
      <c r="CG433" s="677">
        <v>4.3819181379999996</v>
      </c>
      <c r="CH433" s="677">
        <v>9.7600303079999993</v>
      </c>
      <c r="CI433" s="677">
        <v>-9.6668512989999993</v>
      </c>
      <c r="CJ433" s="677">
        <v>-13.925658426</v>
      </c>
      <c r="CK433" s="677">
        <v>10.4722119</v>
      </c>
      <c r="CL433" s="677">
        <v>2.3436460829999999</v>
      </c>
      <c r="CM433" s="677">
        <v>0.76992954199999997</v>
      </c>
      <c r="CN433" s="677">
        <v>13.952371053</v>
      </c>
      <c r="CO433" s="677">
        <v>18.316374571000001</v>
      </c>
      <c r="CP433" s="679">
        <v>-46.474495587</v>
      </c>
      <c r="CQ433" s="677">
        <v>10.172392841000001</v>
      </c>
      <c r="CR433" s="677">
        <v>11.528962736</v>
      </c>
      <c r="CS433" s="677">
        <v>-5.6343631199999997</v>
      </c>
      <c r="CT433" s="677">
        <v>3.44319664</v>
      </c>
      <c r="CU433" s="677">
        <v>7.4961220949999996</v>
      </c>
      <c r="CV433" s="677">
        <v>-6.6715759060000002</v>
      </c>
      <c r="CW433" s="677">
        <v>11.069074771</v>
      </c>
      <c r="CX433" s="677">
        <v>12.43232735</v>
      </c>
      <c r="CY433" s="677">
        <v>-2.7798826509999999</v>
      </c>
      <c r="CZ433" s="677">
        <v>6.3377855930000004</v>
      </c>
      <c r="DA433" s="677">
        <v>3.3894786149999998</v>
      </c>
      <c r="DB433" s="1507">
        <v>-42.628185819000002</v>
      </c>
      <c r="DC433" s="677">
        <v>4.0618852780000001</v>
      </c>
      <c r="DD433" s="677">
        <v>11.197683576999999</v>
      </c>
      <c r="DE433" s="677">
        <v>8.5069838620000002</v>
      </c>
      <c r="DF433" s="677">
        <v>9.4008860839999997</v>
      </c>
      <c r="DG433" s="677">
        <v>1.2537554609999999</v>
      </c>
      <c r="DH433" s="677">
        <v>-28.737078392000001</v>
      </c>
      <c r="DI433" s="677">
        <v>26.157337818999999</v>
      </c>
      <c r="DJ433" s="677">
        <v>-4.479363931</v>
      </c>
      <c r="DK433" s="677">
        <v>2.4072808860000001</v>
      </c>
      <c r="DL433" s="677">
        <v>16.409255629</v>
      </c>
      <c r="DM433" s="677">
        <v>27.471042464</v>
      </c>
      <c r="DN433" s="679">
        <v>-59.022740282999997</v>
      </c>
      <c r="DO433" s="677">
        <v>2.1589295860000002</v>
      </c>
      <c r="DP433" s="677">
        <v>11.259156869</v>
      </c>
      <c r="DQ433" s="677">
        <v>4.1215141879999999</v>
      </c>
      <c r="DR433" s="677">
        <v>6.6884585200000002</v>
      </c>
      <c r="DS433" s="677">
        <v>9.0925343210000005</v>
      </c>
      <c r="DT433" s="677">
        <v>-31.791866690999999</v>
      </c>
      <c r="DU433" s="677">
        <v>23.860370542999998</v>
      </c>
      <c r="DV433" s="677">
        <v>-3.0461111079999998</v>
      </c>
      <c r="DW433" s="677">
        <v>-5.3907089990000001</v>
      </c>
      <c r="DX433" s="677">
        <v>17.071603006</v>
      </c>
      <c r="DY433" s="677">
        <v>17.385140692</v>
      </c>
      <c r="DZ433" s="679">
        <v>-47.318220916000001</v>
      </c>
      <c r="EA433" s="677">
        <v>5.5827596780000004</v>
      </c>
      <c r="EB433" s="677">
        <v>24.093453785000001</v>
      </c>
      <c r="EC433" s="677">
        <v>8.3490965950000007</v>
      </c>
      <c r="ED433" s="677">
        <v>-4.7064379200000035</v>
      </c>
      <c r="EE433" s="677">
        <v>-7.0957296860000003</v>
      </c>
      <c r="EF433" s="677">
        <v>-21.452250733</v>
      </c>
      <c r="EG433" s="677">
        <v>14.361985344000001</v>
      </c>
      <c r="EH433" s="677">
        <v>0.45246139699999999</v>
      </c>
      <c r="EI433" s="677">
        <v>7.0331484389999996</v>
      </c>
      <c r="EJ433" s="677">
        <v>11.683070217999999</v>
      </c>
      <c r="EK433" s="677">
        <v>34.412715022</v>
      </c>
      <c r="EL433" s="679">
        <v>-35.905017860000001</v>
      </c>
      <c r="EM433" s="677">
        <v>8.5095493009999998</v>
      </c>
      <c r="EN433" s="677">
        <v>1.4696640919999999</v>
      </c>
      <c r="EO433" s="677">
        <v>2.2934717889999998</v>
      </c>
      <c r="EP433" s="677">
        <v>8.9554376540000007</v>
      </c>
      <c r="EQ433" s="677">
        <v>6.6825695979999997</v>
      </c>
      <c r="ER433" s="677">
        <v>-29.11127497</v>
      </c>
      <c r="ES433" s="677">
        <v>-5.930694591</v>
      </c>
      <c r="ET433" s="677">
        <v>14.614610423</v>
      </c>
      <c r="EU433" s="677">
        <v>2.3683424990000002</v>
      </c>
      <c r="EV433" s="677">
        <v>19.053427483</v>
      </c>
      <c r="EW433" s="677">
        <v>44.051059950000003</v>
      </c>
      <c r="EX433" s="679">
        <v>-68.002167353000004</v>
      </c>
      <c r="EY433" s="677">
        <v>19.770598197000002</v>
      </c>
      <c r="EZ433" s="677">
        <v>6.8498661150000002</v>
      </c>
      <c r="FA433" s="677">
        <v>19.047979484999999</v>
      </c>
      <c r="FB433" s="677">
        <v>-9.34384792</v>
      </c>
      <c r="FC433" s="677">
        <v>5.5358918370000003</v>
      </c>
      <c r="FD433" s="677">
        <v>-29.052954504999999</v>
      </c>
      <c r="FE433" s="677">
        <v>-9.4619462540000008</v>
      </c>
      <c r="FF433" s="677">
        <v>-0.58548080300000005</v>
      </c>
      <c r="FG433" s="677">
        <v>-3.818574651</v>
      </c>
      <c r="FH433" s="677">
        <v>24.087953550000002</v>
      </c>
      <c r="FI433" s="677">
        <v>28.073011222000002</v>
      </c>
      <c r="FJ433" s="679">
        <v>-75.621270777000007</v>
      </c>
      <c r="FK433" s="677">
        <v>22.155753402999999</v>
      </c>
      <c r="FL433" s="677">
        <v>17.10623871</v>
      </c>
      <c r="FM433" s="677">
        <v>20.763529706</v>
      </c>
      <c r="FN433" s="677">
        <v>21.616880401</v>
      </c>
      <c r="FO433" s="677">
        <v>16.871871188</v>
      </c>
      <c r="FP433" s="677">
        <v>63.414051143000002</v>
      </c>
      <c r="FQ433" s="677">
        <v>32.876721123999999</v>
      </c>
      <c r="FR433" s="677">
        <v>-10.86497488</v>
      </c>
      <c r="FS433" s="677">
        <v>-57.720981095500001</v>
      </c>
      <c r="FT433" s="677">
        <v>18.551513417999999</v>
      </c>
      <c r="FU433" s="677">
        <v>7.4202375155000002</v>
      </c>
      <c r="FV433" s="677">
        <v>-88.179915097000006</v>
      </c>
      <c r="FW433" s="677">
        <v>14.631259626</v>
      </c>
      <c r="FX433" s="677">
        <v>10.227403025999999</v>
      </c>
      <c r="FY433" s="677">
        <v>39.480832487999997</v>
      </c>
      <c r="FZ433" s="677">
        <v>32.662185530000002</v>
      </c>
      <c r="GA433" s="677">
        <v>-32.843117890000002</v>
      </c>
      <c r="GB433" s="677">
        <v>23.016202437</v>
      </c>
      <c r="GC433" s="677">
        <v>11.619346869999999</v>
      </c>
      <c r="GD433" s="677">
        <v>-3.686404359</v>
      </c>
      <c r="GE433" s="677">
        <v>-46.800390075000003</v>
      </c>
      <c r="GF433" s="677">
        <v>-12.988042169</v>
      </c>
      <c r="GG433" s="677">
        <v>-14.171145373</v>
      </c>
      <c r="GH433" s="677">
        <v>-12.007778734</v>
      </c>
      <c r="GI433" s="677"/>
      <c r="GJ433" s="677"/>
      <c r="GK433" s="677"/>
      <c r="GL433" s="677"/>
      <c r="GM433" s="677"/>
      <c r="GN433" s="677"/>
      <c r="GO433" s="677"/>
      <c r="GP433" s="677"/>
      <c r="GQ433" s="677"/>
      <c r="GR433" s="677"/>
      <c r="GS433" s="677"/>
      <c r="GT433" s="677"/>
      <c r="GU433" s="677"/>
      <c r="GV433" s="677"/>
      <c r="GW433" s="677"/>
      <c r="GX433" s="677"/>
      <c r="GY433" s="677"/>
      <c r="GZ433" s="677"/>
      <c r="HA433" s="677"/>
      <c r="HB433" s="677"/>
      <c r="HC433" s="677"/>
      <c r="HD433" s="677"/>
      <c r="HE433" s="677"/>
      <c r="HF433" s="677"/>
      <c r="HG433" s="677"/>
      <c r="HH433" s="677"/>
      <c r="HI433" s="677"/>
      <c r="HJ433" s="677"/>
      <c r="HK433" s="677"/>
      <c r="HL433" s="677"/>
      <c r="HM433" s="677"/>
      <c r="HN433" s="680"/>
      <c r="KH433" s="682"/>
      <c r="KI433" s="680"/>
    </row>
    <row r="434" spans="1:295" s="681" customFormat="1" outlineLevel="1">
      <c r="A434" s="675"/>
      <c r="B434" s="675"/>
      <c r="C434" s="675"/>
      <c r="D434" s="1465" t="s">
        <v>3101</v>
      </c>
      <c r="E434" s="677"/>
      <c r="F434" s="677"/>
      <c r="G434" s="677"/>
      <c r="H434" s="677"/>
      <c r="I434" s="677">
        <v>110099651</v>
      </c>
      <c r="J434" s="677">
        <v>125785910</v>
      </c>
      <c r="K434" s="677">
        <v>-135411614</v>
      </c>
      <c r="L434" s="677">
        <v>489540090</v>
      </c>
      <c r="M434" s="677">
        <v>239833597</v>
      </c>
      <c r="N434" s="677">
        <v>-758978188</v>
      </c>
      <c r="O434" s="677">
        <v>43199003</v>
      </c>
      <c r="P434" s="677">
        <v>1866817885</v>
      </c>
      <c r="Q434" s="677">
        <v>-1979473890</v>
      </c>
      <c r="R434" s="677">
        <v>1037837094</v>
      </c>
      <c r="S434" s="677">
        <v>388617280</v>
      </c>
      <c r="T434" s="677">
        <v>-1426454374</v>
      </c>
      <c r="U434" s="677"/>
      <c r="V434" s="677"/>
      <c r="W434" s="677"/>
      <c r="X434" s="677"/>
      <c r="Y434" s="677"/>
      <c r="Z434" s="677"/>
      <c r="AA434" s="677"/>
      <c r="AB434" s="677"/>
      <c r="AC434" s="677"/>
      <c r="AD434" s="677"/>
      <c r="AE434" s="677"/>
      <c r="AF434" s="677"/>
      <c r="AG434" s="677"/>
      <c r="AH434" s="677"/>
      <c r="AI434" s="677"/>
      <c r="AJ434" s="677"/>
      <c r="AK434" s="677"/>
      <c r="AL434" s="677"/>
      <c r="AM434" s="677"/>
      <c r="AN434" s="677"/>
      <c r="AO434" s="677"/>
      <c r="AP434" s="677"/>
      <c r="AQ434" s="677"/>
      <c r="AR434" s="677"/>
      <c r="AS434" s="677"/>
      <c r="AT434" s="677"/>
      <c r="AU434" s="677"/>
      <c r="AV434" s="677"/>
      <c r="AW434" s="677"/>
      <c r="AX434" s="677"/>
      <c r="AY434" s="677"/>
      <c r="AZ434" s="677"/>
      <c r="BA434" s="677"/>
      <c r="BB434" s="677"/>
      <c r="BC434" s="677"/>
      <c r="BD434" s="677"/>
      <c r="BE434" s="677"/>
      <c r="BF434" s="677"/>
      <c r="BG434" s="677"/>
      <c r="BH434" s="677"/>
      <c r="BI434" s="677"/>
      <c r="BJ434" s="677"/>
      <c r="BK434" s="677"/>
      <c r="BL434" s="677"/>
      <c r="BM434" s="677"/>
      <c r="BN434" s="677"/>
      <c r="BO434" s="677"/>
      <c r="BP434" s="677"/>
      <c r="BQ434" s="677"/>
      <c r="BR434" s="677"/>
      <c r="BS434" s="677"/>
      <c r="BT434" s="677"/>
      <c r="BU434" s="677"/>
      <c r="BV434" s="677"/>
      <c r="BW434" s="677"/>
      <c r="BX434" s="677"/>
      <c r="BY434" s="677"/>
      <c r="BZ434" s="677"/>
      <c r="CA434" s="677"/>
      <c r="CB434" s="677"/>
      <c r="CC434" s="677"/>
      <c r="CD434" s="677"/>
      <c r="CE434" s="677">
        <v>0.11009965100000001</v>
      </c>
      <c r="CF434" s="677">
        <v>0.12578591</v>
      </c>
      <c r="CG434" s="677">
        <v>-0.13541161400000001</v>
      </c>
      <c r="CH434" s="677">
        <v>0.48954008999999998</v>
      </c>
      <c r="CI434" s="677">
        <v>0.23983359700000001</v>
      </c>
      <c r="CJ434" s="677">
        <v>-0.75897818800000005</v>
      </c>
      <c r="CK434" s="677">
        <v>4.3199003E-2</v>
      </c>
      <c r="CL434" s="677">
        <v>1.8668178849999999</v>
      </c>
      <c r="CM434" s="677">
        <v>-1.97947389</v>
      </c>
      <c r="CN434" s="677">
        <v>1.0378370939999999</v>
      </c>
      <c r="CO434" s="677">
        <v>0.38861728000000001</v>
      </c>
      <c r="CP434" s="679">
        <v>-1.426454374</v>
      </c>
      <c r="CQ434" s="677">
        <v>1.827364263</v>
      </c>
      <c r="CR434" s="677">
        <v>-1.4490175169999999</v>
      </c>
      <c r="CS434" s="677">
        <v>1.923023417</v>
      </c>
      <c r="CT434" s="677">
        <v>-0.94910849799999997</v>
      </c>
      <c r="CU434" s="677">
        <v>1.163920096</v>
      </c>
      <c r="CV434" s="677">
        <v>-0.95770353500000005</v>
      </c>
      <c r="CW434" s="677">
        <v>-0.71716085100000004</v>
      </c>
      <c r="CX434" s="677">
        <v>1.384855089</v>
      </c>
      <c r="CY434" s="677">
        <v>-2.2239094640000001</v>
      </c>
      <c r="CZ434" s="677">
        <v>-2.2629999999999998E-3</v>
      </c>
      <c r="DA434" s="677">
        <v>1.2095565880000001</v>
      </c>
      <c r="DB434" s="1507">
        <v>-1.1988013239999999</v>
      </c>
      <c r="DC434" s="677">
        <v>0</v>
      </c>
      <c r="DD434" s="677">
        <v>0</v>
      </c>
      <c r="DE434" s="677">
        <v>1.1934986780000001</v>
      </c>
      <c r="DF434" s="677">
        <v>-1.1934986780000001</v>
      </c>
      <c r="DG434" s="677">
        <v>0</v>
      </c>
      <c r="DH434" s="677">
        <v>0</v>
      </c>
      <c r="DI434" s="677">
        <v>3</v>
      </c>
      <c r="DJ434" s="677">
        <v>1</v>
      </c>
      <c r="DK434" s="677">
        <v>-0.33048876199999999</v>
      </c>
      <c r="DL434" s="677">
        <v>-1.6695112379999999</v>
      </c>
      <c r="DM434" s="677">
        <v>0</v>
      </c>
      <c r="DN434" s="679">
        <v>-2</v>
      </c>
      <c r="DO434" s="677">
        <v>0.16945955200000001</v>
      </c>
      <c r="DP434" s="677">
        <v>-0.10512202599999999</v>
      </c>
      <c r="DQ434" s="677">
        <v>-6.4337526000000006E-2</v>
      </c>
      <c r="DR434" s="677">
        <v>0.6</v>
      </c>
      <c r="DS434" s="677">
        <v>0</v>
      </c>
      <c r="DT434" s="677">
        <v>-0.6</v>
      </c>
      <c r="DU434" s="677">
        <v>7.586591233</v>
      </c>
      <c r="DV434" s="677">
        <v>-0.91532523099999996</v>
      </c>
      <c r="DW434" s="677">
        <v>-6.3434924380000002</v>
      </c>
      <c r="DX434" s="677">
        <v>4.4677060519999996</v>
      </c>
      <c r="DY434" s="677">
        <v>0.71316306100000004</v>
      </c>
      <c r="DZ434" s="679">
        <v>-3.8960674960000001</v>
      </c>
      <c r="EA434" s="677">
        <v>3.0631125429999999</v>
      </c>
      <c r="EB434" s="677">
        <v>-0.99092567600000003</v>
      </c>
      <c r="EC434" s="677">
        <v>3.3923263010000002</v>
      </c>
      <c r="ED434" s="677">
        <v>-3.0754325119999999</v>
      </c>
      <c r="EE434" s="677">
        <v>2.0698831420000001</v>
      </c>
      <c r="EF434" s="677">
        <v>1.535705221</v>
      </c>
      <c r="EG434" s="677">
        <v>-3.4027130780000001</v>
      </c>
      <c r="EH434" s="677">
        <v>-0.54667434100000001</v>
      </c>
      <c r="EI434" s="677">
        <v>2.9863374</v>
      </c>
      <c r="EJ434" s="677">
        <v>6.6381261460000003</v>
      </c>
      <c r="EK434" s="677">
        <v>-2.0431664129999998</v>
      </c>
      <c r="EL434" s="679">
        <v>-9.6265787330000006</v>
      </c>
      <c r="EM434" s="677">
        <v>3.8763594889999999</v>
      </c>
      <c r="EN434" s="677">
        <v>-7.1114384000000003E-2</v>
      </c>
      <c r="EO434" s="677">
        <v>-2.6378072769999998</v>
      </c>
      <c r="EP434" s="677">
        <v>17.932108203000048</v>
      </c>
      <c r="EQ434" s="677">
        <v>12.000584421999999</v>
      </c>
      <c r="ER434" s="677">
        <v>-17.952194326000001</v>
      </c>
      <c r="ES434" s="677">
        <v>-3.7899688249999999</v>
      </c>
      <c r="ET434" s="677">
        <v>7.8013092339999996</v>
      </c>
      <c r="EU434" s="677">
        <v>1.148047051</v>
      </c>
      <c r="EV434" s="677">
        <v>25.767071447999999</v>
      </c>
      <c r="EW434" s="677">
        <v>-3.5579390019999999</v>
      </c>
      <c r="EX434" s="679">
        <v>-54.219925586000002</v>
      </c>
      <c r="EY434" s="677">
        <v>4.1227676410000003</v>
      </c>
      <c r="EZ434" s="677">
        <v>15.283058831</v>
      </c>
      <c r="FA434" s="677">
        <v>9.1318468609999996</v>
      </c>
      <c r="FB434" s="677">
        <v>-15.515614234999999</v>
      </c>
      <c r="FC434" s="677">
        <v>16.919800762000001</v>
      </c>
      <c r="FD434" s="677">
        <v>-12.317298836000001</v>
      </c>
      <c r="FE434" s="677">
        <v>1.6572660370000001</v>
      </c>
      <c r="FF434" s="677">
        <v>-9.1686883409999993</v>
      </c>
      <c r="FG434" s="677">
        <v>-4.9179374710000001</v>
      </c>
      <c r="FH434" s="677">
        <v>-29.937315363</v>
      </c>
      <c r="FI434" s="677">
        <v>-6.6874433350000002</v>
      </c>
      <c r="FJ434" s="679">
        <v>-38.814568995000002</v>
      </c>
      <c r="FK434" s="677">
        <v>52.910162061999998</v>
      </c>
      <c r="FL434" s="677">
        <v>-3.447883354</v>
      </c>
      <c r="FM434" s="677">
        <v>-9.8135661170000006</v>
      </c>
      <c r="FN434" s="677">
        <v>-6.7984389189999996</v>
      </c>
      <c r="FO434" s="677">
        <v>2.5607231619999999</v>
      </c>
      <c r="FP434" s="677">
        <v>-14.844458005</v>
      </c>
      <c r="FQ434" s="677">
        <v>0.55290800399999995</v>
      </c>
      <c r="FR434" s="677">
        <v>8.5617777260000008</v>
      </c>
      <c r="FS434" s="677">
        <v>-21.529847774</v>
      </c>
      <c r="FT434" s="677">
        <v>-10.498111439000001</v>
      </c>
      <c r="FU434" s="677">
        <v>-0.27429986699999998</v>
      </c>
      <c r="FV434" s="677">
        <v>-16.246488996</v>
      </c>
      <c r="FW434" s="677">
        <v>9.3061905209999995</v>
      </c>
      <c r="FX434" s="677">
        <v>13.90707351</v>
      </c>
      <c r="FY434" s="677">
        <v>-7.3916540050000004</v>
      </c>
      <c r="FZ434" s="677">
        <v>2.7231505540000001</v>
      </c>
      <c r="GA434" s="677">
        <v>-8.2374091820000004</v>
      </c>
      <c r="GB434" s="677">
        <v>-1.205569283</v>
      </c>
      <c r="GC434" s="677">
        <v>7.6403502850000002</v>
      </c>
      <c r="GD434" s="677">
        <v>1.7455720699999999</v>
      </c>
      <c r="GE434" s="677">
        <v>-32.683987813000002</v>
      </c>
      <c r="GF434" s="677">
        <v>1.7280862873333283</v>
      </c>
      <c r="GG434" s="677">
        <v>-12.582587571666672</v>
      </c>
      <c r="GH434" s="677">
        <v>-20.301013466094169</v>
      </c>
      <c r="GI434" s="677"/>
      <c r="GJ434" s="677"/>
      <c r="GK434" s="677"/>
      <c r="GL434" s="677"/>
      <c r="GM434" s="677"/>
      <c r="GN434" s="677"/>
      <c r="GO434" s="677"/>
      <c r="GP434" s="677"/>
      <c r="GQ434" s="677"/>
      <c r="GR434" s="677"/>
      <c r="GS434" s="677"/>
      <c r="GT434" s="677"/>
      <c r="GU434" s="677"/>
      <c r="GV434" s="677"/>
      <c r="GW434" s="677"/>
      <c r="GX434" s="677"/>
      <c r="GY434" s="677"/>
      <c r="GZ434" s="677"/>
      <c r="HA434" s="677"/>
      <c r="HB434" s="677"/>
      <c r="HC434" s="677"/>
      <c r="HD434" s="677"/>
      <c r="HE434" s="677"/>
      <c r="HF434" s="677"/>
      <c r="HG434" s="677"/>
      <c r="HH434" s="677"/>
      <c r="HI434" s="677"/>
      <c r="HJ434" s="677"/>
      <c r="HK434" s="677"/>
      <c r="HL434" s="677"/>
      <c r="HM434" s="677"/>
      <c r="HN434" s="680"/>
      <c r="KH434" s="682"/>
      <c r="KI434" s="680"/>
    </row>
    <row r="435" spans="1:295" s="1100" customFormat="1" outlineLevel="1">
      <c r="A435" s="1469"/>
      <c r="B435" s="1469"/>
      <c r="C435" s="1469"/>
      <c r="D435" s="1471" t="s">
        <v>574</v>
      </c>
      <c r="CE435" s="1472"/>
      <c r="CP435" s="1473"/>
      <c r="DB435" s="1512"/>
      <c r="DN435" s="1473"/>
      <c r="DZ435" s="1473"/>
      <c r="EL435" s="1473"/>
      <c r="EX435" s="1473"/>
      <c r="FJ435" s="1473"/>
      <c r="KH435" s="1473"/>
    </row>
    <row r="436" spans="1:295" s="1100" customFormat="1" outlineLevel="1">
      <c r="A436" s="1469" t="s">
        <v>923</v>
      </c>
      <c r="B436" s="1469" t="s">
        <v>361</v>
      </c>
      <c r="C436" s="1469"/>
      <c r="D436" s="1469" t="s">
        <v>544</v>
      </c>
      <c r="BG436" s="1100">
        <v>0.64442542420000004</v>
      </c>
      <c r="BH436" s="1100">
        <v>0.74000402574000002</v>
      </c>
      <c r="BI436" s="1100">
        <v>3.1333673398599999</v>
      </c>
      <c r="BJ436" s="1100">
        <v>0.55994236499999994</v>
      </c>
      <c r="BK436" s="1100">
        <v>2.0145336340000002</v>
      </c>
      <c r="BL436" s="1100">
        <v>1.919866251</v>
      </c>
      <c r="BM436" s="1100">
        <v>1.219471161</v>
      </c>
      <c r="BN436" s="1100">
        <v>1.4851347100000001</v>
      </c>
      <c r="BO436" s="1100">
        <v>2.7905668549999998</v>
      </c>
      <c r="BP436" s="1100">
        <v>1.004922359</v>
      </c>
      <c r="BQ436" s="1100">
        <v>0.64335790100000001</v>
      </c>
      <c r="BR436" s="1100">
        <v>2.353185335</v>
      </c>
      <c r="BS436" s="1100">
        <v>0.29478044799999997</v>
      </c>
      <c r="BT436" s="1100">
        <v>1.198582636</v>
      </c>
      <c r="BU436" s="1100">
        <v>1.159378325</v>
      </c>
      <c r="BV436" s="1100">
        <v>2.6299444830000001</v>
      </c>
      <c r="BW436" s="1100">
        <v>2.2229761640000003</v>
      </c>
      <c r="BX436" s="1100">
        <v>1.3665123440000002</v>
      </c>
      <c r="BY436" s="1100">
        <v>2.1331117160000002</v>
      </c>
      <c r="BZ436" s="1100">
        <v>1.8207399930000001</v>
      </c>
      <c r="CA436" s="1100">
        <v>1.914010945</v>
      </c>
      <c r="CB436" s="1100">
        <v>2.5145817840000002</v>
      </c>
      <c r="CC436" s="1100">
        <v>8.8502698479999999</v>
      </c>
      <c r="CD436" s="1100">
        <v>3.8778661080000001</v>
      </c>
      <c r="CE436" s="1472">
        <v>0.62834436900000001</v>
      </c>
      <c r="CF436" s="1100">
        <v>1.958956323</v>
      </c>
      <c r="CG436" s="1100">
        <v>1.451404065</v>
      </c>
      <c r="CH436" s="1100">
        <v>13.086894258999999</v>
      </c>
      <c r="CI436" s="1100">
        <v>2.0303838279999997</v>
      </c>
      <c r="CJ436" s="1100">
        <v>1.4082085129999999</v>
      </c>
      <c r="CK436" s="1100">
        <v>2.1825454769999997</v>
      </c>
      <c r="CL436" s="1100">
        <v>0.47200763899999998</v>
      </c>
      <c r="CM436" s="1100">
        <v>1.926717977</v>
      </c>
      <c r="CN436" s="1100">
        <v>13.369324688000001</v>
      </c>
      <c r="CO436" s="1100">
        <v>1.572467031</v>
      </c>
      <c r="CP436" s="1473">
        <v>2.2171769869999998</v>
      </c>
      <c r="CQ436" s="1100">
        <v>1.6139140250000001</v>
      </c>
      <c r="CR436" s="1100">
        <v>2.690494191</v>
      </c>
      <c r="CS436" s="1100">
        <v>2.7286537709999998</v>
      </c>
      <c r="CT436" s="1100">
        <v>10.742280389000001</v>
      </c>
      <c r="CU436" s="1100">
        <v>2.926404845</v>
      </c>
      <c r="CV436" s="1100">
        <v>1.2423336410000001</v>
      </c>
      <c r="CW436" s="1100">
        <v>1.720635634</v>
      </c>
      <c r="CX436" s="1100">
        <v>1.0965883029999999</v>
      </c>
      <c r="CY436" s="1100">
        <v>4.4167458179999999</v>
      </c>
      <c r="CZ436" s="1100">
        <v>11.485379681</v>
      </c>
      <c r="DA436" s="1100">
        <v>3.205517172</v>
      </c>
      <c r="DB436" s="1512">
        <v>1.856683648</v>
      </c>
      <c r="DN436" s="1473"/>
      <c r="DZ436" s="1473"/>
      <c r="EL436" s="1473"/>
      <c r="EX436" s="1473"/>
      <c r="FJ436" s="1473"/>
      <c r="KH436" s="1473"/>
    </row>
    <row r="437" spans="1:295" s="1100" customFormat="1" outlineLevel="1">
      <c r="A437" s="1469" t="s">
        <v>462</v>
      </c>
      <c r="B437" s="1469" t="s">
        <v>361</v>
      </c>
      <c r="C437" s="1469"/>
      <c r="D437" s="1474" t="s">
        <v>562</v>
      </c>
      <c r="BG437" s="1100">
        <v>0.64442542420000004</v>
      </c>
      <c r="BH437" s="1100">
        <v>0.44419389174000001</v>
      </c>
      <c r="BI437" s="1100">
        <v>0.98519447386000003</v>
      </c>
      <c r="BJ437" s="1100">
        <v>0.29351833300000002</v>
      </c>
      <c r="BK437" s="1100">
        <v>0.25040739400000001</v>
      </c>
      <c r="BL437" s="1100">
        <v>0.45723261700000001</v>
      </c>
      <c r="BM437" s="1100">
        <v>0.399195407</v>
      </c>
      <c r="BN437" s="1100">
        <v>0.23484860199999999</v>
      </c>
      <c r="BO437" s="1100">
        <v>0.98848117199999996</v>
      </c>
      <c r="BP437" s="1100">
        <v>0.53694283300000001</v>
      </c>
      <c r="BQ437" s="1100">
        <v>0.34211329600000001</v>
      </c>
      <c r="BR437" s="1100">
        <v>0.21152100099999999</v>
      </c>
      <c r="BS437" s="1100">
        <v>0.29478044799999997</v>
      </c>
      <c r="BT437" s="1100">
        <v>0.26295763599999999</v>
      </c>
      <c r="BU437" s="1100">
        <v>1.159378325</v>
      </c>
      <c r="BV437" s="1100">
        <v>0.25431436299999999</v>
      </c>
      <c r="BW437" s="1100">
        <v>0.35681724500000001</v>
      </c>
      <c r="BX437" s="1100">
        <v>0.26304086100000001</v>
      </c>
      <c r="BY437" s="1100">
        <v>0.47239882799999999</v>
      </c>
      <c r="BZ437" s="1100">
        <v>1.014155605</v>
      </c>
      <c r="CA437" s="1100">
        <v>1.276291265</v>
      </c>
      <c r="CB437" s="1100">
        <v>0.29127051199999998</v>
      </c>
      <c r="CC437" s="1100">
        <v>7.670850798</v>
      </c>
      <c r="CD437" s="1100">
        <v>0.242850555</v>
      </c>
      <c r="CE437" s="1472">
        <v>0.62834436900000001</v>
      </c>
      <c r="CF437" s="1100">
        <v>0.20233494899999999</v>
      </c>
      <c r="CG437" s="1100">
        <v>1.451404065</v>
      </c>
      <c r="CH437" s="1100">
        <v>9.2698339379999997</v>
      </c>
      <c r="CI437" s="1100">
        <v>0.375954605</v>
      </c>
      <c r="CJ437" s="1100">
        <v>0.280524826</v>
      </c>
      <c r="CK437" s="1100">
        <v>0.64144391999999995</v>
      </c>
      <c r="CL437" s="1100">
        <v>0.205787158</v>
      </c>
      <c r="CM437" s="1100">
        <v>1.1252329720000001</v>
      </c>
      <c r="CN437" s="1100">
        <v>10.294691029000001</v>
      </c>
      <c r="CO437" s="1100">
        <v>0.47829205299999999</v>
      </c>
      <c r="CP437" s="1473">
        <v>0.24168825399999999</v>
      </c>
      <c r="CQ437" s="1100">
        <v>0.71878676200000002</v>
      </c>
      <c r="CR437" s="1100">
        <v>0.29884553600000002</v>
      </c>
      <c r="CS437" s="1100">
        <v>1.805917292</v>
      </c>
      <c r="CT437" s="1100">
        <v>9.7326048410000006</v>
      </c>
      <c r="CU437" s="1100">
        <v>0.46882611800000001</v>
      </c>
      <c r="CV437" s="1100">
        <v>0.28060508200000001</v>
      </c>
      <c r="CW437" s="1100">
        <v>0.78783252699999995</v>
      </c>
      <c r="CX437" s="1100">
        <v>0.41301081299999998</v>
      </c>
      <c r="CY437" s="1100">
        <v>1.425080576</v>
      </c>
      <c r="CZ437" s="1100">
        <v>10.55931024</v>
      </c>
      <c r="DA437" s="1100">
        <v>0.47163846199999998</v>
      </c>
      <c r="DB437" s="1512">
        <v>0.247811842</v>
      </c>
      <c r="DN437" s="1473"/>
      <c r="DZ437" s="1473"/>
      <c r="EL437" s="1473"/>
      <c r="EX437" s="1473"/>
      <c r="FJ437" s="1473"/>
      <c r="KH437" s="1473"/>
    </row>
    <row r="438" spans="1:295" s="1100" customFormat="1" outlineLevel="1">
      <c r="A438" s="1469" t="s">
        <v>462</v>
      </c>
      <c r="B438" s="1469" t="s">
        <v>361</v>
      </c>
      <c r="C438" s="1469"/>
      <c r="D438" s="1475" t="s">
        <v>575</v>
      </c>
      <c r="BG438" s="1100">
        <v>0</v>
      </c>
      <c r="BH438" s="1100">
        <v>0</v>
      </c>
      <c r="BI438" s="1100">
        <v>0</v>
      </c>
      <c r="BJ438" s="1100">
        <v>0</v>
      </c>
      <c r="BK438" s="1100">
        <v>0</v>
      </c>
      <c r="BL438" s="1100">
        <v>0</v>
      </c>
      <c r="BM438" s="1100">
        <v>0</v>
      </c>
      <c r="BN438" s="1100">
        <v>0</v>
      </c>
      <c r="BO438" s="1100">
        <v>0</v>
      </c>
      <c r="BP438" s="1100">
        <v>0</v>
      </c>
      <c r="BQ438" s="1100">
        <v>0</v>
      </c>
      <c r="BR438" s="1100">
        <v>0</v>
      </c>
      <c r="BS438" s="1100">
        <v>0</v>
      </c>
      <c r="BT438" s="1100">
        <v>0</v>
      </c>
      <c r="BU438" s="1100">
        <v>0</v>
      </c>
      <c r="BV438" s="1100">
        <v>0</v>
      </c>
      <c r="BW438" s="1100">
        <v>0</v>
      </c>
      <c r="BX438" s="1100">
        <v>0</v>
      </c>
      <c r="BY438" s="1100">
        <v>0</v>
      </c>
      <c r="BZ438" s="1100">
        <v>0</v>
      </c>
      <c r="CA438" s="1100">
        <v>0</v>
      </c>
      <c r="CB438" s="1100">
        <v>0</v>
      </c>
      <c r="CC438" s="1100">
        <v>0</v>
      </c>
      <c r="CD438" s="1100">
        <v>0</v>
      </c>
      <c r="CE438" s="1472">
        <v>0</v>
      </c>
      <c r="CF438" s="1100">
        <v>0</v>
      </c>
      <c r="CG438" s="1100">
        <v>0</v>
      </c>
      <c r="CH438" s="1100">
        <v>8.8462357239999996</v>
      </c>
      <c r="CI438" s="1100">
        <v>0</v>
      </c>
      <c r="CJ438" s="1100">
        <v>0</v>
      </c>
      <c r="CK438" s="1100">
        <v>0</v>
      </c>
      <c r="CL438" s="1100">
        <v>0</v>
      </c>
      <c r="CM438" s="1100">
        <v>0</v>
      </c>
      <c r="CN438" s="1100">
        <v>9.0818789049999999</v>
      </c>
      <c r="CO438" s="1100">
        <v>0</v>
      </c>
      <c r="CP438" s="1473">
        <v>0</v>
      </c>
      <c r="CQ438" s="1100">
        <v>0</v>
      </c>
      <c r="CR438" s="1100">
        <v>0</v>
      </c>
      <c r="CS438" s="1100">
        <v>0</v>
      </c>
      <c r="CT438" s="1100">
        <v>9.2230173749999995</v>
      </c>
      <c r="CU438" s="1100">
        <v>0</v>
      </c>
      <c r="CV438" s="1100">
        <v>0</v>
      </c>
      <c r="CW438" s="1100">
        <v>0</v>
      </c>
      <c r="CX438" s="1100">
        <v>0</v>
      </c>
      <c r="CY438" s="1100">
        <v>0</v>
      </c>
      <c r="CZ438" s="1100">
        <v>9.5019107290000004</v>
      </c>
      <c r="DA438" s="1100">
        <v>0</v>
      </c>
      <c r="DB438" s="1512">
        <v>0</v>
      </c>
      <c r="DN438" s="1473"/>
      <c r="DZ438" s="1473"/>
      <c r="EL438" s="1473"/>
      <c r="EX438" s="1473"/>
      <c r="FJ438" s="1473"/>
      <c r="KH438" s="1473"/>
    </row>
    <row r="439" spans="1:295" s="1100" customFormat="1" outlineLevel="1">
      <c r="A439" s="1469" t="s">
        <v>462</v>
      </c>
      <c r="B439" s="1469" t="s">
        <v>361</v>
      </c>
      <c r="C439" s="1469"/>
      <c r="D439" s="1474" t="s">
        <v>563</v>
      </c>
      <c r="BG439" s="1100">
        <v>0</v>
      </c>
      <c r="BH439" s="1100">
        <v>0.295810134</v>
      </c>
      <c r="BI439" s="1100">
        <v>2.1481728659999999</v>
      </c>
      <c r="BJ439" s="1100">
        <v>0.26642403199999998</v>
      </c>
      <c r="BK439" s="1100">
        <v>1.76412624</v>
      </c>
      <c r="BL439" s="1100">
        <v>1.4626336339999999</v>
      </c>
      <c r="BM439" s="1100">
        <v>0.82027575399999997</v>
      </c>
      <c r="BN439" s="1100">
        <v>1.2502861080000001</v>
      </c>
      <c r="BO439" s="1100">
        <v>1.802085683</v>
      </c>
      <c r="BP439" s="1100">
        <v>0.46797952599999998</v>
      </c>
      <c r="BQ439" s="1100">
        <v>0.301244605</v>
      </c>
      <c r="BR439" s="1100">
        <v>2.1416643340000001</v>
      </c>
      <c r="BS439" s="1100">
        <v>0</v>
      </c>
      <c r="BT439" s="1100">
        <v>0.93562500000000004</v>
      </c>
      <c r="BU439" s="1100">
        <v>0</v>
      </c>
      <c r="BV439" s="1100">
        <v>2.3756301199999998</v>
      </c>
      <c r="BW439" s="1100">
        <v>1.8661589190000001</v>
      </c>
      <c r="BX439" s="1100">
        <v>1.1034714830000001</v>
      </c>
      <c r="BY439" s="1100">
        <v>1.6607128879999999</v>
      </c>
      <c r="BZ439" s="1100">
        <v>0.80658438799999999</v>
      </c>
      <c r="CA439" s="1100">
        <v>0.63771968000000001</v>
      </c>
      <c r="CB439" s="1100">
        <v>2.2233112720000001</v>
      </c>
      <c r="CC439" s="1100">
        <v>1.1794190499999999</v>
      </c>
      <c r="CD439" s="1100">
        <v>3.6350155530000001</v>
      </c>
      <c r="CE439" s="1472">
        <v>0</v>
      </c>
      <c r="CF439" s="1100">
        <v>1.7566213740000001</v>
      </c>
      <c r="CG439" s="1100">
        <v>0</v>
      </c>
      <c r="CH439" s="1100">
        <v>3.817060321</v>
      </c>
      <c r="CI439" s="1100">
        <v>1.6544292229999999</v>
      </c>
      <c r="CJ439" s="1100">
        <v>1.127683687</v>
      </c>
      <c r="CK439" s="1100">
        <v>1.541101557</v>
      </c>
      <c r="CL439" s="1100">
        <v>0.26622048100000001</v>
      </c>
      <c r="CM439" s="1100">
        <v>0.80148500499999997</v>
      </c>
      <c r="CN439" s="1100">
        <v>3.0746336589999999</v>
      </c>
      <c r="CO439" s="1100">
        <v>1.0941749780000001</v>
      </c>
      <c r="CP439" s="1473">
        <v>1.9754887329999999</v>
      </c>
      <c r="CQ439" s="1100">
        <v>0.89512726300000001</v>
      </c>
      <c r="CR439" s="1100">
        <v>2.391648655</v>
      </c>
      <c r="CS439" s="1100">
        <v>0.922736479</v>
      </c>
      <c r="CT439" s="1100">
        <v>1.0096755479999999</v>
      </c>
      <c r="CU439" s="1100">
        <v>2.457578727</v>
      </c>
      <c r="CV439" s="1100">
        <v>0.96172855899999998</v>
      </c>
      <c r="CW439" s="1100">
        <v>0.93280310700000002</v>
      </c>
      <c r="CX439" s="1100">
        <v>0.68357749000000001</v>
      </c>
      <c r="CY439" s="1100">
        <v>2.9916652419999998</v>
      </c>
      <c r="CZ439" s="1100">
        <v>0.92606944099999999</v>
      </c>
      <c r="DA439" s="1100">
        <v>2.7338787099999999</v>
      </c>
      <c r="DB439" s="1512">
        <v>1.608871806</v>
      </c>
      <c r="DN439" s="1473"/>
      <c r="DZ439" s="1473"/>
      <c r="EL439" s="1473"/>
      <c r="EX439" s="1473"/>
      <c r="FJ439" s="1473"/>
      <c r="KH439" s="1473"/>
    </row>
    <row r="440" spans="1:295" s="1100" customFormat="1" outlineLevel="1">
      <c r="A440" s="1469" t="s">
        <v>462</v>
      </c>
      <c r="B440" s="1469" t="s">
        <v>361</v>
      </c>
      <c r="C440" s="1469"/>
      <c r="D440" s="1469" t="s">
        <v>576</v>
      </c>
      <c r="BG440" s="1100">
        <v>1.9831728930100003</v>
      </c>
      <c r="BH440" s="1100">
        <v>1.3296544529499998</v>
      </c>
      <c r="BI440" s="1100">
        <v>1.93187784137</v>
      </c>
      <c r="BJ440" s="1100">
        <v>0.479169018</v>
      </c>
      <c r="BK440" s="1100">
        <v>1.166195206</v>
      </c>
      <c r="BL440" s="1100">
        <v>3.7011558459999998</v>
      </c>
      <c r="BM440" s="1100">
        <v>4.1174743620000003</v>
      </c>
      <c r="BN440" s="1100">
        <v>2.2541261890700004</v>
      </c>
      <c r="BO440" s="1100">
        <v>2.7890214819999999</v>
      </c>
      <c r="BP440" s="1100">
        <v>3.567708095</v>
      </c>
      <c r="BQ440" s="1100">
        <v>3.3951889450900001</v>
      </c>
      <c r="BR440" s="1100">
        <v>6.62245356743</v>
      </c>
      <c r="BS440" s="1100">
        <v>0.96557876300000001</v>
      </c>
      <c r="BT440" s="1100">
        <v>7.2424847000000001E-2</v>
      </c>
      <c r="BU440" s="1100">
        <v>0.67611396800000001</v>
      </c>
      <c r="BV440" s="1100">
        <v>3.2317306859999997</v>
      </c>
      <c r="BW440" s="1100">
        <v>1.3253601000000002</v>
      </c>
      <c r="BX440" s="1100">
        <v>0.83295369200000002</v>
      </c>
      <c r="BY440" s="1100">
        <v>1.1392456129999999</v>
      </c>
      <c r="BZ440" s="1100">
        <v>0.46771389600000002</v>
      </c>
      <c r="CA440" s="1100">
        <v>0.69489980600000001</v>
      </c>
      <c r="CB440" s="1100">
        <v>0.71632456600000005</v>
      </c>
      <c r="CC440" s="1100">
        <v>2.854530499</v>
      </c>
      <c r="CD440" s="1100">
        <v>6.0947944080000003</v>
      </c>
      <c r="CE440" s="1472">
        <v>0.39586318599999998</v>
      </c>
      <c r="CF440" s="1100">
        <v>0.42736229799999997</v>
      </c>
      <c r="CG440" s="1100">
        <v>0.703602968</v>
      </c>
      <c r="CH440" s="1100">
        <v>2.4406560769999999</v>
      </c>
      <c r="CI440" s="1100">
        <v>1.580804755</v>
      </c>
      <c r="CJ440" s="1100">
        <v>0.87157223399999995</v>
      </c>
      <c r="CK440" s="1100">
        <v>2.2065311749999998</v>
      </c>
      <c r="CL440" s="1100">
        <v>1.0281840710000001</v>
      </c>
      <c r="CM440" s="1100">
        <v>2.360836929</v>
      </c>
      <c r="CN440" s="1100">
        <v>4.9935879760000006</v>
      </c>
      <c r="CO440" s="1100">
        <v>8.219803069000001</v>
      </c>
      <c r="CP440" s="1473">
        <v>0.86198469600000005</v>
      </c>
      <c r="CQ440" s="1100">
        <v>9.8490963990000004</v>
      </c>
      <c r="CR440" s="1100">
        <v>0.102537352</v>
      </c>
      <c r="CS440" s="1100">
        <v>1.3600541789999998</v>
      </c>
      <c r="CT440" s="1100">
        <v>2.0463993569999999</v>
      </c>
      <c r="CU440" s="1100">
        <v>1.4408561609999999</v>
      </c>
      <c r="CV440" s="1100">
        <v>1.1275184149999999</v>
      </c>
      <c r="CW440" s="1100">
        <v>1.1873878469999999</v>
      </c>
      <c r="CX440" s="1100">
        <v>0.103676817</v>
      </c>
      <c r="CY440" s="1100">
        <v>1.763604411</v>
      </c>
      <c r="CZ440" s="1100">
        <v>2.1634711850000001</v>
      </c>
      <c r="DA440" s="1100">
        <v>2.3130289560000001</v>
      </c>
      <c r="DB440" s="1512">
        <v>1.0637032870000001</v>
      </c>
      <c r="DN440" s="1473"/>
      <c r="DZ440" s="1473"/>
      <c r="EL440" s="1473"/>
      <c r="EX440" s="1473"/>
      <c r="FJ440" s="1473"/>
      <c r="KH440" s="1473"/>
    </row>
    <row r="441" spans="1:295" s="1100" customFormat="1" outlineLevel="1">
      <c r="A441" s="1469" t="s">
        <v>462</v>
      </c>
      <c r="B441" s="1469" t="s">
        <v>361</v>
      </c>
      <c r="C441" s="1469"/>
      <c r="D441" s="1474" t="s">
        <v>577</v>
      </c>
      <c r="BG441" s="1100">
        <v>1.4339092611400002</v>
      </c>
      <c r="BH441" s="1100">
        <v>1.2588599307799999</v>
      </c>
      <c r="BI441" s="1100">
        <v>1.2832658589999999</v>
      </c>
      <c r="BJ441" s="1100">
        <v>0.11158718300000001</v>
      </c>
      <c r="BK441" s="1100">
        <v>0.35890675100000002</v>
      </c>
      <c r="BL441" s="1100">
        <v>2.9096855509999999</v>
      </c>
      <c r="BM441" s="1100">
        <v>3.5135724719999999</v>
      </c>
      <c r="BN441" s="1100">
        <v>2.1827400040700002</v>
      </c>
      <c r="BO441" s="1100">
        <v>2.1112751959999998</v>
      </c>
      <c r="BP441" s="1100">
        <v>3.2053881049999999</v>
      </c>
      <c r="BQ441" s="1100">
        <v>1.71587691809</v>
      </c>
      <c r="BR441" s="1100">
        <v>5.9508474074300004</v>
      </c>
      <c r="BS441" s="1100">
        <v>0</v>
      </c>
      <c r="BT441" s="1100">
        <v>0</v>
      </c>
      <c r="BU441" s="1100">
        <v>0</v>
      </c>
      <c r="BV441" s="1100">
        <v>2.8422858259999999</v>
      </c>
      <c r="BW441" s="1100">
        <v>0.348430935</v>
      </c>
      <c r="BX441" s="1100">
        <v>0</v>
      </c>
      <c r="BY441" s="1100">
        <v>0.42237032600000002</v>
      </c>
      <c r="BZ441" s="1100">
        <v>0.39297610399999999</v>
      </c>
      <c r="CA441" s="1100">
        <v>0</v>
      </c>
      <c r="CB441" s="1100">
        <v>0</v>
      </c>
      <c r="CC441" s="1100">
        <v>1.8626618290000001</v>
      </c>
      <c r="CD441" s="1100">
        <v>4.5772406180000003</v>
      </c>
      <c r="CE441" s="1472">
        <v>0</v>
      </c>
      <c r="CF441" s="1100">
        <v>0.36952295899999998</v>
      </c>
      <c r="CG441" s="1100">
        <v>0</v>
      </c>
      <c r="CH441" s="1100">
        <v>1.724909799</v>
      </c>
      <c r="CI441" s="1100">
        <v>0.26947505700000002</v>
      </c>
      <c r="CJ441" s="1100">
        <v>0</v>
      </c>
      <c r="CK441" s="1100">
        <v>1.9293396279999999</v>
      </c>
      <c r="CL441" s="1100">
        <v>0.94391963800000001</v>
      </c>
      <c r="CM441" s="1100">
        <v>1.716166812</v>
      </c>
      <c r="CN441" s="1100">
        <v>3.5629766150000002</v>
      </c>
      <c r="CO441" s="1100">
        <v>6</v>
      </c>
      <c r="CP441" s="1473">
        <v>0.107257982</v>
      </c>
      <c r="CQ441" s="1100">
        <v>9.4241119429999998</v>
      </c>
      <c r="CR441" s="1100">
        <v>0</v>
      </c>
      <c r="CS441" s="1100">
        <v>0.107257982</v>
      </c>
      <c r="CT441" s="1100">
        <v>0.97976092999999997</v>
      </c>
      <c r="CU441" s="1100">
        <v>0</v>
      </c>
      <c r="CV441" s="1100">
        <v>0.27485077800000002</v>
      </c>
      <c r="CW441" s="1100">
        <v>0.99200794199999998</v>
      </c>
      <c r="CX441" s="1100">
        <v>0</v>
      </c>
      <c r="CY441" s="1100">
        <v>0.107257982</v>
      </c>
      <c r="CZ441" s="1100">
        <v>1.004408041</v>
      </c>
      <c r="DA441" s="1100">
        <v>0</v>
      </c>
      <c r="DB441" s="1512">
        <v>0.107257982</v>
      </c>
      <c r="DN441" s="1473"/>
      <c r="DZ441" s="1473"/>
      <c r="EL441" s="1473"/>
      <c r="EX441" s="1473"/>
      <c r="FJ441" s="1473"/>
      <c r="KH441" s="1473"/>
    </row>
    <row r="442" spans="1:295" s="1100" customFormat="1" outlineLevel="1">
      <c r="A442" s="1469" t="s">
        <v>462</v>
      </c>
      <c r="B442" s="1469" t="s">
        <v>361</v>
      </c>
      <c r="C442" s="1469"/>
      <c r="D442" s="1474" t="s">
        <v>578</v>
      </c>
      <c r="BG442" s="1100">
        <v>0.54926363187000005</v>
      </c>
      <c r="BH442" s="1100">
        <v>7.0794522169999999E-2</v>
      </c>
      <c r="BI442" s="1100">
        <v>0.64861198236999995</v>
      </c>
      <c r="BJ442" s="1100">
        <v>0.36758183500000002</v>
      </c>
      <c r="BK442" s="1100">
        <v>0.80728845500000002</v>
      </c>
      <c r="BL442" s="1100">
        <v>0.79147029499999999</v>
      </c>
      <c r="BM442" s="1100">
        <v>0.60390189000000005</v>
      </c>
      <c r="BN442" s="1100">
        <v>7.1386185000000005E-2</v>
      </c>
      <c r="BO442" s="1100">
        <v>0.67774628599999998</v>
      </c>
      <c r="BP442" s="1100">
        <v>0.36231998999999998</v>
      </c>
      <c r="BQ442" s="1100">
        <v>1.6793120269999999</v>
      </c>
      <c r="BR442" s="1100">
        <v>0.67160615999999995</v>
      </c>
      <c r="BS442" s="1100">
        <v>0.96557876300000001</v>
      </c>
      <c r="BT442" s="1100">
        <v>7.2424847000000001E-2</v>
      </c>
      <c r="BU442" s="1100">
        <v>0.67611396800000001</v>
      </c>
      <c r="BV442" s="1100">
        <v>0.38944486</v>
      </c>
      <c r="BW442" s="1100">
        <v>0.97692916500000004</v>
      </c>
      <c r="BX442" s="1100">
        <v>0.83295369200000002</v>
      </c>
      <c r="BY442" s="1100">
        <v>0.71687528700000003</v>
      </c>
      <c r="BZ442" s="1100">
        <v>7.4737791999999997E-2</v>
      </c>
      <c r="CA442" s="1100">
        <v>0.69489980600000001</v>
      </c>
      <c r="CB442" s="1100">
        <v>0.71632456600000005</v>
      </c>
      <c r="CC442" s="1100">
        <v>0.99186867000000001</v>
      </c>
      <c r="CD442" s="1100">
        <v>1.51755379</v>
      </c>
      <c r="CE442" s="1472">
        <v>0.39586318599999998</v>
      </c>
      <c r="CF442" s="1100">
        <v>5.7839338999999997E-2</v>
      </c>
      <c r="CG442" s="1100">
        <v>0.703602968</v>
      </c>
      <c r="CH442" s="1100">
        <v>0.71574627800000001</v>
      </c>
      <c r="CI442" s="1100">
        <v>1.311329698</v>
      </c>
      <c r="CJ442" s="1100">
        <v>0.87157223399999995</v>
      </c>
      <c r="CK442" s="1100">
        <v>0.27719154699999998</v>
      </c>
      <c r="CL442" s="1100">
        <v>8.4264433E-2</v>
      </c>
      <c r="CM442" s="1100">
        <v>0.64467011699999999</v>
      </c>
      <c r="CN442" s="1100">
        <v>1.430611361</v>
      </c>
      <c r="CO442" s="1100">
        <v>2.2198030690000001</v>
      </c>
      <c r="CP442" s="1473">
        <v>0.75472671400000002</v>
      </c>
      <c r="CQ442" s="1100">
        <v>0.42498445600000001</v>
      </c>
      <c r="CR442" s="1100">
        <v>0.102537352</v>
      </c>
      <c r="CS442" s="1100">
        <v>1.2527961969999999</v>
      </c>
      <c r="CT442" s="1100">
        <v>1.066638427</v>
      </c>
      <c r="CU442" s="1100">
        <v>1.4408561609999999</v>
      </c>
      <c r="CV442" s="1100">
        <v>0.85266763700000003</v>
      </c>
      <c r="CW442" s="1100">
        <v>0.19537990499999999</v>
      </c>
      <c r="CX442" s="1100">
        <v>0.103676817</v>
      </c>
      <c r="CY442" s="1100">
        <v>1.6563464290000001</v>
      </c>
      <c r="CZ442" s="1100">
        <v>1.1590631440000001</v>
      </c>
      <c r="DA442" s="1100">
        <v>2.3130289560000001</v>
      </c>
      <c r="DB442" s="1512">
        <v>0.95644530500000002</v>
      </c>
      <c r="DN442" s="1473"/>
      <c r="DZ442" s="1473"/>
      <c r="EL442" s="1473"/>
      <c r="EX442" s="1473"/>
      <c r="FJ442" s="1473"/>
      <c r="KH442" s="1473"/>
    </row>
    <row r="443" spans="1:295" s="1100" customFormat="1" outlineLevel="1">
      <c r="A443" s="1469"/>
      <c r="B443" s="1469"/>
      <c r="C443" s="1469"/>
      <c r="D443" s="1471" t="s">
        <v>579</v>
      </c>
      <c r="CE443" s="1472"/>
      <c r="CP443" s="1473"/>
      <c r="DB443" s="1512"/>
      <c r="DN443" s="1473"/>
      <c r="DZ443" s="1473"/>
      <c r="EL443" s="1473"/>
      <c r="EX443" s="1473"/>
      <c r="FJ443" s="1473"/>
      <c r="KH443" s="1473"/>
    </row>
    <row r="444" spans="1:295" s="1100" customFormat="1" outlineLevel="1">
      <c r="A444" s="1469" t="s">
        <v>462</v>
      </c>
      <c r="B444" s="1469" t="s">
        <v>361</v>
      </c>
      <c r="C444" s="1469"/>
      <c r="D444" s="1469" t="s">
        <v>580</v>
      </c>
      <c r="BG444" s="1100">
        <v>4.7578330498000003</v>
      </c>
      <c r="BH444" s="1100">
        <v>11.45864749607</v>
      </c>
      <c r="BI444" s="1100">
        <v>12.475904995040001</v>
      </c>
      <c r="BJ444" s="1100">
        <v>25.778723608</v>
      </c>
      <c r="BK444" s="1100">
        <v>14.932810646</v>
      </c>
      <c r="BL444" s="1100">
        <v>7.098328027</v>
      </c>
      <c r="BM444" s="1100">
        <v>16.509557811000001</v>
      </c>
      <c r="BN444" s="1100">
        <v>10.664857952</v>
      </c>
      <c r="BO444" s="1100">
        <v>8.8322591798899985</v>
      </c>
      <c r="BP444" s="1100">
        <v>26.824496795999998</v>
      </c>
      <c r="BQ444" s="1100">
        <v>39.864305332000001</v>
      </c>
      <c r="BR444" s="1100">
        <v>6.00734740556</v>
      </c>
      <c r="BS444" s="1100">
        <v>8.9979059390000007</v>
      </c>
      <c r="BT444" s="1100">
        <v>15.238155254</v>
      </c>
      <c r="BU444" s="1100">
        <v>10.731943847</v>
      </c>
      <c r="BV444" s="1100">
        <v>38.587528871849997</v>
      </c>
      <c r="BW444" s="1100">
        <v>19.531544925999999</v>
      </c>
      <c r="BX444" s="1100">
        <v>3.5905330520000001</v>
      </c>
      <c r="BY444" s="1100">
        <v>18.874454923419997</v>
      </c>
      <c r="BZ444" s="1100">
        <v>17.799812767959999</v>
      </c>
      <c r="CA444" s="1100">
        <v>14.722461224</v>
      </c>
      <c r="CB444" s="1100">
        <v>44.764328656389999</v>
      </c>
      <c r="CC444" s="1100">
        <v>29.369257379169998</v>
      </c>
      <c r="CD444" s="1100">
        <v>21.752590538349999</v>
      </c>
      <c r="CE444" s="1472">
        <v>13.799762782</v>
      </c>
      <c r="CF444" s="1100">
        <v>27.064540614999999</v>
      </c>
      <c r="CG444" s="1100">
        <v>15.903013340999999</v>
      </c>
      <c r="CH444" s="1100">
        <v>35.997782364000003</v>
      </c>
      <c r="CI444" s="1100">
        <v>24.043516798000002</v>
      </c>
      <c r="CJ444" s="1100">
        <v>12.525031431999999</v>
      </c>
      <c r="CK444" s="1100">
        <v>23.406772897</v>
      </c>
      <c r="CL444" s="1100">
        <v>23.781451985</v>
      </c>
      <c r="CM444" s="1100">
        <v>32.734545326000003</v>
      </c>
      <c r="CN444" s="1100">
        <v>30.981341113999999</v>
      </c>
      <c r="CO444" s="1100">
        <v>63.496856667000003</v>
      </c>
      <c r="CP444" s="1473">
        <v>36.792410846999999</v>
      </c>
      <c r="CQ444" s="1100">
        <v>18.269008048</v>
      </c>
      <c r="CR444" s="1100">
        <v>30.811436336</v>
      </c>
      <c r="CS444" s="1100">
        <v>27.929224511999998</v>
      </c>
      <c r="CT444" s="1100">
        <v>19.250368125000001</v>
      </c>
      <c r="CU444" s="1100">
        <v>19.007677317000002</v>
      </c>
      <c r="CV444" s="1100">
        <v>17.399030760999999</v>
      </c>
      <c r="CW444" s="1100">
        <v>29.492269812</v>
      </c>
      <c r="CX444" s="1100">
        <v>26.040648584000003</v>
      </c>
      <c r="CY444" s="1100">
        <v>42.811430579000003</v>
      </c>
      <c r="CZ444" s="1100">
        <v>70.815177319</v>
      </c>
      <c r="DA444" s="1100">
        <v>41.969846082000004</v>
      </c>
      <c r="DB444" s="1512">
        <v>32.373713420000001</v>
      </c>
      <c r="DN444" s="1473"/>
      <c r="DZ444" s="1473"/>
      <c r="EL444" s="1473"/>
      <c r="EX444" s="1473"/>
      <c r="FJ444" s="1473"/>
      <c r="KH444" s="1473"/>
    </row>
    <row r="445" spans="1:295" s="1100" customFormat="1" outlineLevel="1">
      <c r="A445" s="1469" t="s">
        <v>462</v>
      </c>
      <c r="B445" s="1469" t="s">
        <v>361</v>
      </c>
      <c r="C445" s="1469"/>
      <c r="D445" s="1474" t="s">
        <v>581</v>
      </c>
      <c r="BG445" s="1100">
        <v>4.7578330498000003</v>
      </c>
      <c r="BH445" s="1100">
        <v>11.45864749607</v>
      </c>
      <c r="BI445" s="1100">
        <v>12.475904995040001</v>
      </c>
      <c r="BJ445" s="1100">
        <v>25.778723608</v>
      </c>
      <c r="BK445" s="1100">
        <v>14.932810646</v>
      </c>
      <c r="BL445" s="1100">
        <v>7.098328027</v>
      </c>
      <c r="BM445" s="1100">
        <v>16.509557811000001</v>
      </c>
      <c r="BN445" s="1100">
        <v>10.664857952</v>
      </c>
      <c r="BO445" s="1100">
        <v>8.8322591798899985</v>
      </c>
      <c r="BP445" s="1100">
        <v>26.824496795999998</v>
      </c>
      <c r="BQ445" s="1100">
        <v>39.864305332000001</v>
      </c>
      <c r="BR445" s="1100">
        <v>6.00734740556</v>
      </c>
      <c r="BS445" s="1100">
        <v>8.9979059390000007</v>
      </c>
      <c r="BT445" s="1100">
        <v>15.238155254</v>
      </c>
      <c r="BU445" s="1100">
        <v>10.731943847</v>
      </c>
      <c r="BV445" s="1100">
        <v>38.587528871849997</v>
      </c>
      <c r="BW445" s="1100">
        <v>19.531544925999999</v>
      </c>
      <c r="BX445" s="1100">
        <v>3.5905330520000001</v>
      </c>
      <c r="BY445" s="1100">
        <v>18.874454923419997</v>
      </c>
      <c r="BZ445" s="1100">
        <v>17.799812767959999</v>
      </c>
      <c r="CA445" s="1100">
        <v>14.722461224</v>
      </c>
      <c r="CB445" s="1100">
        <v>44.764328656389999</v>
      </c>
      <c r="CC445" s="1100">
        <v>29.369257379169998</v>
      </c>
      <c r="CD445" s="1100">
        <v>21.752590538349999</v>
      </c>
      <c r="CE445" s="1472">
        <v>7.8191067849999998</v>
      </c>
      <c r="CF445" s="1100">
        <v>27.064540614999999</v>
      </c>
      <c r="CG445" s="1100">
        <v>13.416189155</v>
      </c>
      <c r="CH445" s="1100">
        <v>30.291457128000001</v>
      </c>
      <c r="CI445" s="1100">
        <v>23.937314263000001</v>
      </c>
      <c r="CJ445" s="1100">
        <v>12.362992740999999</v>
      </c>
      <c r="CK445" s="1100">
        <v>21.517392606000001</v>
      </c>
      <c r="CL445" s="1100">
        <v>23.644731281999999</v>
      </c>
      <c r="CM445" s="1100">
        <v>31.943586910000001</v>
      </c>
      <c r="CN445" s="1100">
        <v>26.759737411</v>
      </c>
      <c r="CO445" s="1100">
        <v>62.665904216000001</v>
      </c>
      <c r="CP445" s="1473">
        <v>36.776267578000002</v>
      </c>
      <c r="CQ445" s="1100">
        <v>13.814400286</v>
      </c>
      <c r="CR445" s="1100">
        <v>23.833238537</v>
      </c>
      <c r="CS445" s="1100">
        <v>14.923852677999999</v>
      </c>
      <c r="CT445" s="1100">
        <v>13.973978846</v>
      </c>
      <c r="CU445" s="1100">
        <v>13.488816606</v>
      </c>
      <c r="CV445" s="1100">
        <v>14.592119589999999</v>
      </c>
      <c r="CW445" s="1100">
        <v>22.848072107</v>
      </c>
      <c r="CX445" s="1100">
        <v>20.316693501</v>
      </c>
      <c r="CY445" s="1100">
        <v>34.550758168000002</v>
      </c>
      <c r="CZ445" s="1100">
        <v>62.439092528000003</v>
      </c>
      <c r="DA445" s="1100">
        <v>30.415454227000001</v>
      </c>
      <c r="DB445" s="1512">
        <v>17.402008678000001</v>
      </c>
      <c r="DN445" s="1473"/>
      <c r="DZ445" s="1473"/>
      <c r="EL445" s="1473"/>
      <c r="EX445" s="1473"/>
      <c r="FJ445" s="1473"/>
      <c r="KH445" s="1473"/>
    </row>
    <row r="446" spans="1:295" s="1100" customFormat="1" outlineLevel="1">
      <c r="A446" s="1469" t="s">
        <v>462</v>
      </c>
      <c r="B446" s="1469" t="s">
        <v>361</v>
      </c>
      <c r="C446" s="1469"/>
      <c r="D446" s="1474" t="s">
        <v>582</v>
      </c>
      <c r="BG446" s="1100">
        <v>0</v>
      </c>
      <c r="BH446" s="1100">
        <v>0</v>
      </c>
      <c r="BI446" s="1100">
        <v>0</v>
      </c>
      <c r="BJ446" s="1100">
        <v>0</v>
      </c>
      <c r="BK446" s="1100">
        <v>0</v>
      </c>
      <c r="BL446" s="1100">
        <v>0</v>
      </c>
      <c r="BM446" s="1100">
        <v>0</v>
      </c>
      <c r="BN446" s="1100">
        <v>0</v>
      </c>
      <c r="BO446" s="1100">
        <v>0</v>
      </c>
      <c r="BP446" s="1100">
        <v>0</v>
      </c>
      <c r="BQ446" s="1100">
        <v>0</v>
      </c>
      <c r="BR446" s="1100">
        <v>0</v>
      </c>
      <c r="BS446" s="1100">
        <v>0</v>
      </c>
      <c r="BT446" s="1100">
        <v>0</v>
      </c>
      <c r="BU446" s="1100">
        <v>0</v>
      </c>
      <c r="BV446" s="1100">
        <v>0</v>
      </c>
      <c r="BW446" s="1100">
        <v>0</v>
      </c>
      <c r="BX446" s="1100">
        <v>0</v>
      </c>
      <c r="BY446" s="1100">
        <v>0</v>
      </c>
      <c r="BZ446" s="1100">
        <v>0</v>
      </c>
      <c r="CA446" s="1100">
        <v>0</v>
      </c>
      <c r="CB446" s="1100">
        <v>0</v>
      </c>
      <c r="CC446" s="1100">
        <v>0</v>
      </c>
      <c r="CD446" s="1100">
        <v>0</v>
      </c>
      <c r="CE446" s="1472">
        <v>5.9806559970000004</v>
      </c>
      <c r="CF446" s="1100">
        <v>0</v>
      </c>
      <c r="CG446" s="1100">
        <v>2.4868241860000002</v>
      </c>
      <c r="CH446" s="1100">
        <v>5.7063252359999996</v>
      </c>
      <c r="CI446" s="1100">
        <v>0.106202535</v>
      </c>
      <c r="CJ446" s="1100">
        <v>0.16203869100000001</v>
      </c>
      <c r="CK446" s="1100">
        <v>1.8893802909999999</v>
      </c>
      <c r="CL446" s="1100">
        <v>0.136720703</v>
      </c>
      <c r="CM446" s="1100">
        <v>0.79095841600000005</v>
      </c>
      <c r="CN446" s="1100">
        <v>4.2216037030000004</v>
      </c>
      <c r="CO446" s="1100">
        <v>0.83095245100000004</v>
      </c>
      <c r="CP446" s="1473">
        <v>1.6143268999999998E-2</v>
      </c>
      <c r="CQ446" s="1100">
        <v>4.3384599399999999</v>
      </c>
      <c r="CR446" s="1100">
        <v>2.8334494619999999</v>
      </c>
      <c r="CS446" s="1100">
        <v>5.5940669710000002</v>
      </c>
      <c r="CT446" s="1100">
        <v>2.7899434000000001E-2</v>
      </c>
      <c r="CU446" s="1100">
        <v>0</v>
      </c>
      <c r="CV446" s="1100">
        <v>0</v>
      </c>
      <c r="CW446" s="1100">
        <v>3.0288072960000001</v>
      </c>
      <c r="CX446" s="1100">
        <v>0.14963575000000001</v>
      </c>
      <c r="CY446" s="1100">
        <v>4.3652265970000004</v>
      </c>
      <c r="CZ446" s="1100">
        <v>3.8180877049999999</v>
      </c>
      <c r="DA446" s="1100">
        <v>0.87516175500000004</v>
      </c>
      <c r="DB446" s="1512">
        <v>4.3699023690000001</v>
      </c>
      <c r="DN446" s="1473"/>
      <c r="DZ446" s="1473"/>
      <c r="EL446" s="1473"/>
      <c r="EX446" s="1473"/>
      <c r="FJ446" s="1473"/>
      <c r="KH446" s="1473"/>
    </row>
    <row r="447" spans="1:295" s="1100" customFormat="1" outlineLevel="1">
      <c r="A447" s="1469" t="s">
        <v>462</v>
      </c>
      <c r="B447" s="1469" t="s">
        <v>361</v>
      </c>
      <c r="C447" s="1469"/>
      <c r="D447" s="1474" t="s">
        <v>150</v>
      </c>
      <c r="BG447" s="1100">
        <v>0</v>
      </c>
      <c r="BH447" s="1100">
        <v>0</v>
      </c>
      <c r="BI447" s="1100">
        <v>0</v>
      </c>
      <c r="BJ447" s="1100">
        <v>0</v>
      </c>
      <c r="BK447" s="1100">
        <v>0</v>
      </c>
      <c r="BL447" s="1100">
        <v>0</v>
      </c>
      <c r="BM447" s="1100">
        <v>0</v>
      </c>
      <c r="BN447" s="1100">
        <v>0</v>
      </c>
      <c r="BO447" s="1100">
        <v>0</v>
      </c>
      <c r="BP447" s="1100">
        <v>0</v>
      </c>
      <c r="BQ447" s="1100">
        <v>0</v>
      </c>
      <c r="BR447" s="1100">
        <v>0</v>
      </c>
      <c r="BS447" s="1100">
        <v>0</v>
      </c>
      <c r="BT447" s="1100">
        <v>0</v>
      </c>
      <c r="BU447" s="1100">
        <v>0</v>
      </c>
      <c r="BV447" s="1100">
        <v>0</v>
      </c>
      <c r="BW447" s="1100">
        <v>0</v>
      </c>
      <c r="BX447" s="1100">
        <v>0</v>
      </c>
      <c r="BY447" s="1100">
        <v>0</v>
      </c>
      <c r="BZ447" s="1100">
        <v>0</v>
      </c>
      <c r="CA447" s="1100">
        <v>0</v>
      </c>
      <c r="CB447" s="1100">
        <v>0</v>
      </c>
      <c r="CC447" s="1100">
        <v>0</v>
      </c>
      <c r="CD447" s="1100">
        <v>0</v>
      </c>
      <c r="CE447" s="1472">
        <v>0</v>
      </c>
      <c r="CF447" s="1100">
        <v>0</v>
      </c>
      <c r="CG447" s="1100">
        <v>0</v>
      </c>
      <c r="CH447" s="1100">
        <v>0</v>
      </c>
      <c r="CI447" s="1100">
        <v>0</v>
      </c>
      <c r="CJ447" s="1100">
        <v>0</v>
      </c>
      <c r="CK447" s="1100">
        <v>0</v>
      </c>
      <c r="CL447" s="1100">
        <v>0</v>
      </c>
      <c r="CM447" s="1100">
        <v>0</v>
      </c>
      <c r="CN447" s="1100">
        <v>0</v>
      </c>
      <c r="CO447" s="1100">
        <v>0</v>
      </c>
      <c r="CP447" s="1473">
        <v>0</v>
      </c>
      <c r="CQ447" s="1100">
        <v>0.116147822</v>
      </c>
      <c r="CR447" s="1100">
        <v>4.1447483370000002</v>
      </c>
      <c r="CS447" s="1100">
        <v>7.4113048629999998</v>
      </c>
      <c r="CT447" s="1100">
        <v>5.2484898449999999</v>
      </c>
      <c r="CU447" s="1100">
        <v>5.5188607110000003</v>
      </c>
      <c r="CV447" s="1100">
        <v>2.8069111709999999</v>
      </c>
      <c r="CW447" s="1100">
        <v>3.6153904090000002</v>
      </c>
      <c r="CX447" s="1100">
        <v>5.574319333</v>
      </c>
      <c r="CY447" s="1100">
        <v>3.8954458139999999</v>
      </c>
      <c r="CZ447" s="1100">
        <v>4.5579970860000003</v>
      </c>
      <c r="DA447" s="1100">
        <v>10.6792301</v>
      </c>
      <c r="DB447" s="1512">
        <v>10.601802373</v>
      </c>
      <c r="DN447" s="1473"/>
      <c r="DZ447" s="1473"/>
      <c r="EL447" s="1473"/>
      <c r="EX447" s="1473"/>
      <c r="FJ447" s="1473"/>
      <c r="KH447" s="1473"/>
    </row>
    <row r="448" spans="1:295" s="1100" customFormat="1" outlineLevel="1">
      <c r="A448" s="1469" t="s">
        <v>462</v>
      </c>
      <c r="B448" s="1469" t="s">
        <v>361</v>
      </c>
      <c r="C448" s="1469"/>
      <c r="D448" s="1469" t="s">
        <v>583</v>
      </c>
      <c r="BG448" s="1100">
        <v>0</v>
      </c>
      <c r="BH448" s="1100">
        <v>0</v>
      </c>
      <c r="BI448" s="1100">
        <v>2</v>
      </c>
      <c r="BJ448" s="1100">
        <v>0.88721219299999998</v>
      </c>
      <c r="BK448" s="1100">
        <v>0</v>
      </c>
      <c r="BL448" s="1100">
        <v>0</v>
      </c>
      <c r="BM448" s="1100">
        <v>1.5</v>
      </c>
      <c r="BN448" s="1100">
        <v>0</v>
      </c>
      <c r="BO448" s="1100">
        <v>0.27379796232999998</v>
      </c>
      <c r="BP448" s="1100">
        <v>0.22910804384</v>
      </c>
      <c r="BQ448" s="1100">
        <v>2.0193961689400002</v>
      </c>
      <c r="BR448" s="1100">
        <v>0</v>
      </c>
      <c r="BS448" s="1100">
        <v>0</v>
      </c>
      <c r="BT448" s="1100">
        <v>0</v>
      </c>
      <c r="BU448" s="1100">
        <v>0</v>
      </c>
      <c r="BV448" s="1100">
        <v>0</v>
      </c>
      <c r="BW448" s="1100">
        <v>0</v>
      </c>
      <c r="BX448" s="1100">
        <v>0</v>
      </c>
      <c r="BY448" s="1100">
        <v>0</v>
      </c>
      <c r="BZ448" s="1100">
        <v>0</v>
      </c>
      <c r="CA448" s="1100">
        <v>0</v>
      </c>
      <c r="CB448" s="1100">
        <v>1</v>
      </c>
      <c r="CC448" s="1100">
        <v>2.2000000000000002</v>
      </c>
      <c r="CD448" s="1100">
        <v>0</v>
      </c>
      <c r="CE448" s="1472">
        <v>0</v>
      </c>
      <c r="CF448" s="1100">
        <v>0</v>
      </c>
      <c r="CG448" s="1100">
        <v>0</v>
      </c>
      <c r="CH448" s="1100">
        <v>0</v>
      </c>
      <c r="CI448" s="1100">
        <v>0.01</v>
      </c>
      <c r="CJ448" s="1100">
        <v>2.88959645</v>
      </c>
      <c r="CK448" s="1100">
        <v>0</v>
      </c>
      <c r="CL448" s="1100">
        <v>3.8018000000000003E-2</v>
      </c>
      <c r="CM448" s="1100">
        <v>0</v>
      </c>
      <c r="CN448" s="1100">
        <v>0</v>
      </c>
      <c r="CO448" s="1100">
        <v>1.3681535250000001</v>
      </c>
      <c r="CP448" s="1473">
        <v>0</v>
      </c>
      <c r="CQ448" s="1100">
        <v>0.4</v>
      </c>
      <c r="CR448" s="1100">
        <v>0.6</v>
      </c>
      <c r="CS448" s="1100">
        <v>0</v>
      </c>
      <c r="CT448" s="1100">
        <v>1.5</v>
      </c>
      <c r="CU448" s="1100">
        <v>0</v>
      </c>
      <c r="CV448" s="1100">
        <v>0</v>
      </c>
      <c r="CW448" s="1100">
        <v>0.69404132699999999</v>
      </c>
      <c r="CX448" s="1100">
        <v>0</v>
      </c>
      <c r="CY448" s="1100">
        <v>0</v>
      </c>
      <c r="CZ448" s="1100">
        <v>0.225371662</v>
      </c>
      <c r="DA448" s="1100">
        <v>0</v>
      </c>
      <c r="DB448" s="1512">
        <v>0</v>
      </c>
      <c r="DN448" s="1473"/>
      <c r="DZ448" s="1473"/>
      <c r="EL448" s="1473"/>
      <c r="EX448" s="1473"/>
      <c r="FJ448" s="1473"/>
      <c r="KH448" s="1473"/>
    </row>
    <row r="449" spans="1:302" s="1100" customFormat="1" outlineLevel="1">
      <c r="A449" s="1476" t="s">
        <v>2468</v>
      </c>
      <c r="B449" s="1469"/>
      <c r="C449" s="1469"/>
      <c r="D449" s="1471" t="s">
        <v>584</v>
      </c>
      <c r="CE449" s="1472"/>
      <c r="CP449" s="1473"/>
      <c r="DB449" s="1512"/>
      <c r="DN449" s="1473"/>
      <c r="DZ449" s="1473"/>
      <c r="EL449" s="1473"/>
      <c r="EX449" s="1473"/>
      <c r="FJ449" s="1473"/>
      <c r="KH449" s="1473"/>
    </row>
    <row r="450" spans="1:302" s="1100" customFormat="1" outlineLevel="1">
      <c r="A450" s="1469" t="s">
        <v>462</v>
      </c>
      <c r="B450" s="1469" t="s">
        <v>361</v>
      </c>
      <c r="C450" s="1469"/>
      <c r="D450" s="1469" t="s">
        <v>585</v>
      </c>
      <c r="BG450" s="1100">
        <v>6.3785177499200003</v>
      </c>
      <c r="BH450" s="1100">
        <v>4.0654800229900001</v>
      </c>
      <c r="BI450" s="1100">
        <v>2.80533423313</v>
      </c>
      <c r="BJ450" s="1100">
        <v>4.7663082563300003</v>
      </c>
      <c r="BK450" s="1100">
        <v>3.3105378679699995</v>
      </c>
      <c r="BL450" s="1100">
        <v>3.862699127</v>
      </c>
      <c r="BM450" s="1100">
        <v>8.0645339810000003</v>
      </c>
      <c r="BN450" s="1100">
        <v>3.0150156429099999</v>
      </c>
      <c r="BO450" s="1100">
        <v>4.3883340936899993</v>
      </c>
      <c r="BP450" s="1100">
        <v>7.2452022508400002</v>
      </c>
      <c r="BQ450" s="1100">
        <v>4.9840447697899997</v>
      </c>
      <c r="BR450" s="1100">
        <v>1.063222133</v>
      </c>
      <c r="BS450" s="1100">
        <v>6.6829778989999999</v>
      </c>
      <c r="BT450" s="1100">
        <v>3.7495323539999998</v>
      </c>
      <c r="BU450" s="1100">
        <v>3.509515398</v>
      </c>
      <c r="BV450" s="1100">
        <v>6.24033952</v>
      </c>
      <c r="BW450" s="1100">
        <v>5.4651647109999999</v>
      </c>
      <c r="BX450" s="1100">
        <v>1.2915165689999999</v>
      </c>
      <c r="BY450" s="1100">
        <v>5.3627638649999998</v>
      </c>
      <c r="BZ450" s="1100">
        <v>7.7077092819999997</v>
      </c>
      <c r="CA450" s="1100">
        <v>2.15723574</v>
      </c>
      <c r="CB450" s="1100">
        <v>6.4913424829600004</v>
      </c>
      <c r="CC450" s="1100">
        <v>48.576090605809995</v>
      </c>
      <c r="CD450" s="1100">
        <v>9.6607053659999984</v>
      </c>
      <c r="CE450" s="1472">
        <v>6.6679294430000002</v>
      </c>
      <c r="CF450" s="1100">
        <v>12.098923981</v>
      </c>
      <c r="CG450" s="1100">
        <v>5.2774683080000004</v>
      </c>
      <c r="CH450" s="1100">
        <v>8.405649017</v>
      </c>
      <c r="CI450" s="1100">
        <v>5.4065421210000002</v>
      </c>
      <c r="CJ450" s="1100">
        <v>3.7144937200000001</v>
      </c>
      <c r="CK450" s="1100">
        <v>7.8029867929999996</v>
      </c>
      <c r="CL450" s="1100">
        <v>3.7131871599999999</v>
      </c>
      <c r="CM450" s="1100">
        <v>2.2626719899999999</v>
      </c>
      <c r="CN450" s="1100">
        <v>1.1571859680000001</v>
      </c>
      <c r="CO450" s="1100">
        <v>4.4658892809999999</v>
      </c>
      <c r="CP450" s="1473">
        <v>2.08324423</v>
      </c>
      <c r="CQ450" s="1100">
        <v>8.2413225889999993</v>
      </c>
      <c r="CR450" s="1100">
        <v>9.9125109340000002</v>
      </c>
      <c r="CS450" s="1100">
        <v>8.5659625560000006</v>
      </c>
      <c r="CT450" s="1100">
        <v>6.3736336800000002</v>
      </c>
      <c r="CU450" s="1100">
        <v>5.6729775099999999</v>
      </c>
      <c r="CV450" s="1100">
        <v>5.3217766769999999</v>
      </c>
      <c r="CW450" s="1100">
        <v>4.4744329769999993</v>
      </c>
      <c r="CX450" s="1100">
        <v>3.4873274420000002</v>
      </c>
      <c r="CY450" s="1100">
        <v>8.36510277</v>
      </c>
      <c r="CZ450" s="1100">
        <v>0.67418743800000003</v>
      </c>
      <c r="DA450" s="1100">
        <v>6.1973580349999997</v>
      </c>
      <c r="DB450" s="1512">
        <v>3.5319322839999998</v>
      </c>
      <c r="DN450" s="1473"/>
      <c r="DZ450" s="1473"/>
      <c r="EL450" s="1473"/>
      <c r="EX450" s="1473"/>
      <c r="FJ450" s="1473"/>
      <c r="KH450" s="1473"/>
    </row>
    <row r="451" spans="1:302" s="1100" customFormat="1" outlineLevel="1">
      <c r="A451" s="1469" t="s">
        <v>462</v>
      </c>
      <c r="B451" s="1469" t="s">
        <v>361</v>
      </c>
      <c r="C451" s="1469"/>
      <c r="D451" s="1474" t="s">
        <v>586</v>
      </c>
      <c r="BG451" s="1100">
        <v>6.3785177499200003</v>
      </c>
      <c r="BH451" s="1100">
        <v>4.0654800229900001</v>
      </c>
      <c r="BI451" s="1100">
        <v>2.80533423313</v>
      </c>
      <c r="BJ451" s="1100">
        <v>4.7663082563300003</v>
      </c>
      <c r="BK451" s="1100">
        <v>3.2685378679699997</v>
      </c>
      <c r="BL451" s="1100">
        <v>3.8206991270000001</v>
      </c>
      <c r="BM451" s="1100">
        <v>8.0645339810000003</v>
      </c>
      <c r="BN451" s="1100">
        <v>3.0150156429099999</v>
      </c>
      <c r="BO451" s="1100">
        <v>4.3463340936899995</v>
      </c>
      <c r="BP451" s="1100">
        <v>7.2452022508400002</v>
      </c>
      <c r="BQ451" s="1100">
        <v>4.9420447697899998</v>
      </c>
      <c r="BR451" s="1100">
        <v>1.063222133</v>
      </c>
      <c r="BS451" s="1100">
        <v>6.6829778989999999</v>
      </c>
      <c r="BT451" s="1100">
        <v>3.7495323539999998</v>
      </c>
      <c r="BU451" s="1100">
        <v>3.509515398</v>
      </c>
      <c r="BV451" s="1100">
        <v>6.1784874490000004</v>
      </c>
      <c r="BW451" s="1100">
        <v>5.453476276</v>
      </c>
      <c r="BX451" s="1100">
        <v>1.2915165689999999</v>
      </c>
      <c r="BY451" s="1100">
        <v>5.3627638649999998</v>
      </c>
      <c r="BZ451" s="1100">
        <v>7.7077092819999997</v>
      </c>
      <c r="CA451" s="1100">
        <v>2.15723574</v>
      </c>
      <c r="CB451" s="1100">
        <v>6.4913424829600004</v>
      </c>
      <c r="CC451" s="1100">
        <v>48.523234726809996</v>
      </c>
      <c r="CD451" s="1100">
        <v>9.2677013269999993</v>
      </c>
      <c r="CE451" s="1472">
        <v>6.6679294430000002</v>
      </c>
      <c r="CF451" s="1100">
        <v>12.098923981</v>
      </c>
      <c r="CG451" s="1100">
        <v>5.2774683080000004</v>
      </c>
      <c r="CH451" s="1100">
        <v>8.405649017</v>
      </c>
      <c r="CI451" s="1100">
        <v>5.4065421210000002</v>
      </c>
      <c r="CJ451" s="1100">
        <v>3.7144937200000001</v>
      </c>
      <c r="CK451" s="1100">
        <v>7.775769103</v>
      </c>
      <c r="CL451" s="1100">
        <v>3.7131871599999999</v>
      </c>
      <c r="CM451" s="1100">
        <v>2.2626719899999999</v>
      </c>
      <c r="CN451" s="1100">
        <v>1.1571859680000001</v>
      </c>
      <c r="CO451" s="1100">
        <v>4.4389136469999997</v>
      </c>
      <c r="CP451" s="1473">
        <v>2.08324423</v>
      </c>
      <c r="CQ451" s="1100">
        <v>8.2413225889999993</v>
      </c>
      <c r="CR451" s="1100">
        <v>9.9125109340000002</v>
      </c>
      <c r="CS451" s="1100">
        <v>8.5659625560000006</v>
      </c>
      <c r="CT451" s="1100">
        <v>6.3236336800000004</v>
      </c>
      <c r="CU451" s="1100">
        <v>5.6729775099999999</v>
      </c>
      <c r="CV451" s="1100">
        <v>5.3217766769999999</v>
      </c>
      <c r="CW451" s="1100">
        <v>4.4221878749999997</v>
      </c>
      <c r="CX451" s="1100">
        <v>3.456842135</v>
      </c>
      <c r="CY451" s="1100">
        <v>8.36510277</v>
      </c>
      <c r="CZ451" s="1100">
        <v>0.67418743800000003</v>
      </c>
      <c r="DA451" s="1100">
        <v>6.0929688799999999</v>
      </c>
      <c r="DB451" s="1512">
        <v>3.5319322839999998</v>
      </c>
      <c r="DN451" s="1473"/>
      <c r="DZ451" s="1473"/>
      <c r="EL451" s="1473"/>
      <c r="EX451" s="1473"/>
      <c r="FJ451" s="1473"/>
      <c r="KH451" s="1473"/>
    </row>
    <row r="452" spans="1:302" s="1100" customFormat="1" outlineLevel="1">
      <c r="A452" s="1469" t="s">
        <v>462</v>
      </c>
      <c r="B452" s="1469" t="s">
        <v>361</v>
      </c>
      <c r="C452" s="1469"/>
      <c r="D452" s="1474" t="s">
        <v>587</v>
      </c>
      <c r="BG452" s="1100">
        <v>0</v>
      </c>
      <c r="BH452" s="1100">
        <v>0</v>
      </c>
      <c r="BI452" s="1100">
        <v>0</v>
      </c>
      <c r="BJ452" s="1100">
        <v>0</v>
      </c>
      <c r="BK452" s="1100">
        <v>4.2000000000000003E-2</v>
      </c>
      <c r="BL452" s="1100">
        <v>4.2000000000000003E-2</v>
      </c>
      <c r="BM452" s="1100">
        <v>0</v>
      </c>
      <c r="BN452" s="1100">
        <v>0</v>
      </c>
      <c r="BO452" s="1100">
        <v>4.2000000000000003E-2</v>
      </c>
      <c r="BP452" s="1100">
        <v>0</v>
      </c>
      <c r="BQ452" s="1100">
        <v>4.2000000000000003E-2</v>
      </c>
      <c r="BR452" s="1100">
        <v>0</v>
      </c>
      <c r="BS452" s="1100">
        <v>0</v>
      </c>
      <c r="BT452" s="1100">
        <v>0</v>
      </c>
      <c r="BU452" s="1100">
        <v>0</v>
      </c>
      <c r="BV452" s="1100">
        <v>6.1852071000000002E-2</v>
      </c>
      <c r="BW452" s="1100">
        <v>1.1688435E-2</v>
      </c>
      <c r="BX452" s="1100">
        <v>0</v>
      </c>
      <c r="BY452" s="1100">
        <v>0</v>
      </c>
      <c r="BZ452" s="1100">
        <v>0</v>
      </c>
      <c r="CA452" s="1100">
        <v>0</v>
      </c>
      <c r="CB452" s="1100">
        <v>0</v>
      </c>
      <c r="CC452" s="1100">
        <v>5.2855879000000001E-2</v>
      </c>
      <c r="CD452" s="1100">
        <v>0.39300403900000003</v>
      </c>
      <c r="CE452" s="1472">
        <v>0</v>
      </c>
      <c r="CF452" s="1100">
        <v>0</v>
      </c>
      <c r="CG452" s="1100">
        <v>0</v>
      </c>
      <c r="CH452" s="1100">
        <v>0</v>
      </c>
      <c r="CI452" s="1100">
        <v>0</v>
      </c>
      <c r="CJ452" s="1100">
        <v>0</v>
      </c>
      <c r="CK452" s="1100">
        <v>2.7217689999999999E-2</v>
      </c>
      <c r="CL452" s="1100">
        <v>0</v>
      </c>
      <c r="CM452" s="1100">
        <v>0</v>
      </c>
      <c r="CN452" s="1100">
        <v>0</v>
      </c>
      <c r="CO452" s="1100">
        <v>2.6975633999999998E-2</v>
      </c>
      <c r="CP452" s="1473">
        <v>0</v>
      </c>
      <c r="CQ452" s="1100">
        <v>0</v>
      </c>
      <c r="CR452" s="1100">
        <v>0</v>
      </c>
      <c r="CS452" s="1100">
        <v>0</v>
      </c>
      <c r="CT452" s="1100">
        <v>0.05</v>
      </c>
      <c r="CU452" s="1100">
        <v>0</v>
      </c>
      <c r="CV452" s="1100">
        <v>0</v>
      </c>
      <c r="CW452" s="1100">
        <v>5.2245102000000002E-2</v>
      </c>
      <c r="CX452" s="1100">
        <v>3.0485307E-2</v>
      </c>
      <c r="CY452" s="1100">
        <v>0</v>
      </c>
      <c r="CZ452" s="1100">
        <v>0</v>
      </c>
      <c r="DA452" s="1100">
        <v>0.104389155</v>
      </c>
      <c r="DB452" s="1512">
        <v>0</v>
      </c>
      <c r="DN452" s="1473"/>
      <c r="DZ452" s="1473"/>
      <c r="EL452" s="1473"/>
      <c r="EX452" s="1473"/>
      <c r="FJ452" s="1473"/>
      <c r="KH452" s="1473"/>
    </row>
    <row r="453" spans="1:302" s="1100" customFormat="1" outlineLevel="1">
      <c r="A453" s="1469" t="s">
        <v>462</v>
      </c>
      <c r="B453" s="1469" t="s">
        <v>361</v>
      </c>
      <c r="C453" s="1469"/>
      <c r="D453" s="1469" t="s">
        <v>588</v>
      </c>
      <c r="BG453" s="1100">
        <v>0</v>
      </c>
      <c r="BH453" s="1100">
        <v>9.1972862530000005E-2</v>
      </c>
      <c r="BI453" s="1100">
        <v>2.04254840233</v>
      </c>
      <c r="BJ453" s="1100">
        <v>0.88721219299999998</v>
      </c>
      <c r="BK453" s="1100">
        <v>0</v>
      </c>
      <c r="BL453" s="1100">
        <v>6.9936800000000004E-3</v>
      </c>
      <c r="BM453" s="1100">
        <v>1.5173583209999999</v>
      </c>
      <c r="BN453" s="1100">
        <v>0</v>
      </c>
      <c r="BO453" s="1100">
        <v>0.27379796232999998</v>
      </c>
      <c r="BP453" s="1100">
        <v>0.22910804384</v>
      </c>
      <c r="BQ453" s="1100">
        <v>2.0193961689400002</v>
      </c>
      <c r="BR453" s="1100">
        <v>0</v>
      </c>
      <c r="BS453" s="1100">
        <v>1</v>
      </c>
      <c r="BT453" s="1100">
        <v>0</v>
      </c>
      <c r="BU453" s="1100">
        <v>3.2307500000000003E-2</v>
      </c>
      <c r="BV453" s="1100">
        <v>1.0005605</v>
      </c>
      <c r="BW453" s="1100">
        <v>1.0812499999999999E-2</v>
      </c>
      <c r="BX453" s="1100">
        <v>0</v>
      </c>
      <c r="BY453" s="1100">
        <v>1.1115559690000001</v>
      </c>
      <c r="BZ453" s="1100">
        <v>0</v>
      </c>
      <c r="CA453" s="1100">
        <v>0</v>
      </c>
      <c r="CB453" s="1100">
        <v>1.003479112</v>
      </c>
      <c r="CC453" s="1100">
        <v>64.223598554999995</v>
      </c>
      <c r="CD453" s="1100">
        <v>0.47973121000000002</v>
      </c>
      <c r="CE453" s="1100">
        <v>0</v>
      </c>
      <c r="CF453" s="1100">
        <v>14.183386008999999</v>
      </c>
      <c r="CG453" s="1100">
        <v>1.3150049660000001</v>
      </c>
      <c r="CH453" s="1100">
        <v>0</v>
      </c>
      <c r="CI453" s="1100">
        <v>0.02</v>
      </c>
      <c r="CJ453" s="1100">
        <v>5.7791929</v>
      </c>
      <c r="CK453" s="1100">
        <v>6.9380982900000001</v>
      </c>
      <c r="CL453" s="1100">
        <v>7.6036000000000006E-2</v>
      </c>
      <c r="CM453" s="1100">
        <v>13.871248</v>
      </c>
      <c r="CN453" s="1100">
        <v>1</v>
      </c>
      <c r="CO453" s="1100">
        <v>5.7363070500000006</v>
      </c>
      <c r="CP453" s="1473">
        <v>13.974804199999999</v>
      </c>
      <c r="CQ453" s="1100">
        <v>2.0446890510000002</v>
      </c>
      <c r="CR453" s="1100">
        <v>1.1764951930000001</v>
      </c>
      <c r="CS453" s="1100">
        <v>2.529250207</v>
      </c>
      <c r="CT453" s="1100">
        <v>2.502500334</v>
      </c>
      <c r="CU453" s="1100">
        <v>0.44875757999999999</v>
      </c>
      <c r="CV453" s="1100">
        <v>1.4449781960000001</v>
      </c>
      <c r="CW453" s="1100">
        <v>2.3012383519999999</v>
      </c>
      <c r="CX453" s="1100">
        <v>15.372919039999999</v>
      </c>
      <c r="CY453" s="1100">
        <v>5.6441678419999999</v>
      </c>
      <c r="CZ453" s="1100">
        <v>2.6801831049999998</v>
      </c>
      <c r="DA453" s="1100">
        <v>1.84513269</v>
      </c>
      <c r="DB453" s="1512">
        <v>25.690791000000001</v>
      </c>
      <c r="DC453" s="1100">
        <v>0</v>
      </c>
      <c r="DD453" s="1100">
        <v>0</v>
      </c>
      <c r="DE453" s="1100">
        <v>0</v>
      </c>
      <c r="DF453" s="1100">
        <v>0</v>
      </c>
      <c r="DG453" s="1100">
        <v>0</v>
      </c>
      <c r="DH453" s="1100">
        <v>0</v>
      </c>
      <c r="DI453" s="1100">
        <v>0</v>
      </c>
      <c r="DJ453" s="1100">
        <v>0</v>
      </c>
      <c r="DK453" s="1100">
        <v>0</v>
      </c>
      <c r="DL453" s="1100">
        <v>0</v>
      </c>
      <c r="DM453" s="1100">
        <v>0</v>
      </c>
      <c r="DN453" s="1473">
        <v>0</v>
      </c>
      <c r="DO453" s="1100">
        <v>0.79557091000000002</v>
      </c>
      <c r="DP453" s="1100">
        <v>0.30663901399999999</v>
      </c>
      <c r="DQ453" s="1100">
        <v>0</v>
      </c>
      <c r="DR453" s="1100">
        <v>1.461633175</v>
      </c>
      <c r="DS453" s="1100">
        <v>0</v>
      </c>
      <c r="DT453" s="1100">
        <v>0</v>
      </c>
      <c r="DU453" s="1100">
        <v>1.5806744720000001</v>
      </c>
      <c r="DV453" s="1100">
        <v>0</v>
      </c>
      <c r="DW453" s="1100">
        <v>0</v>
      </c>
      <c r="DX453" s="1100">
        <v>5.229410208</v>
      </c>
      <c r="DY453" s="1100">
        <v>6.7838984839999998</v>
      </c>
      <c r="DZ453" s="1473">
        <v>10.280307347000001</v>
      </c>
      <c r="EA453" s="1100">
        <v>0</v>
      </c>
      <c r="EB453" s="1100">
        <v>0</v>
      </c>
      <c r="EC453" s="1100">
        <v>0</v>
      </c>
      <c r="ED453" s="1100">
        <v>0</v>
      </c>
      <c r="EE453" s="1100">
        <v>0</v>
      </c>
      <c r="EF453" s="1100">
        <v>0</v>
      </c>
      <c r="EG453" s="1100">
        <v>0</v>
      </c>
      <c r="EH453" s="1100">
        <v>0</v>
      </c>
      <c r="EI453" s="1100">
        <v>0</v>
      </c>
      <c r="EJ453" s="1100">
        <v>0</v>
      </c>
      <c r="EK453" s="1100">
        <v>0</v>
      </c>
      <c r="EL453" s="1473">
        <v>0</v>
      </c>
      <c r="EM453" s="1100">
        <v>0</v>
      </c>
      <c r="EN453" s="1100">
        <v>0</v>
      </c>
      <c r="EO453" s="1100">
        <v>0</v>
      </c>
      <c r="EP453" s="1100">
        <v>0</v>
      </c>
      <c r="EQ453" s="1100">
        <v>0</v>
      </c>
      <c r="ER453" s="1100">
        <v>0</v>
      </c>
      <c r="ES453" s="1100">
        <v>0</v>
      </c>
      <c r="ET453" s="1100">
        <v>0</v>
      </c>
      <c r="EU453" s="1100">
        <v>0</v>
      </c>
      <c r="EV453" s="1100">
        <v>0</v>
      </c>
      <c r="EW453" s="1100">
        <v>0</v>
      </c>
      <c r="EX453" s="1473">
        <v>0</v>
      </c>
      <c r="FJ453" s="1473"/>
      <c r="KH453" s="1473"/>
    </row>
    <row r="454" spans="1:302" s="1100" customFormat="1" outlineLevel="1">
      <c r="A454" s="1469" t="s">
        <v>462</v>
      </c>
      <c r="B454" s="1469" t="s">
        <v>361</v>
      </c>
      <c r="C454" s="1469"/>
      <c r="D454" s="1474" t="s">
        <v>586</v>
      </c>
      <c r="BG454" s="1100">
        <v>0</v>
      </c>
      <c r="BH454" s="1100">
        <v>9.1972862530000005E-2</v>
      </c>
      <c r="BI454" s="1100">
        <v>4.2548402329999999E-2</v>
      </c>
      <c r="BJ454" s="1100">
        <v>0</v>
      </c>
      <c r="BK454" s="1100">
        <v>0</v>
      </c>
      <c r="BL454" s="1100">
        <v>6.9936800000000004E-3</v>
      </c>
      <c r="BM454" s="1100">
        <v>1.7358320999999999E-2</v>
      </c>
      <c r="BN454" s="1100">
        <v>0</v>
      </c>
      <c r="BO454" s="1100">
        <v>0</v>
      </c>
      <c r="BP454" s="1100">
        <v>0</v>
      </c>
      <c r="BQ454" s="1100">
        <v>0</v>
      </c>
      <c r="BR454" s="1100">
        <v>0</v>
      </c>
      <c r="BS454" s="1100">
        <v>1</v>
      </c>
      <c r="BT454" s="1100">
        <v>0</v>
      </c>
      <c r="BU454" s="1100">
        <v>3.2307500000000003E-2</v>
      </c>
      <c r="BV454" s="1100">
        <v>1.0005605</v>
      </c>
      <c r="BW454" s="1100">
        <v>1.0812499999999999E-2</v>
      </c>
      <c r="BX454" s="1100">
        <v>0</v>
      </c>
      <c r="BY454" s="1100">
        <v>1.1115559690000001</v>
      </c>
      <c r="BZ454" s="1100">
        <v>0</v>
      </c>
      <c r="CA454" s="1100">
        <v>0</v>
      </c>
      <c r="CB454" s="1100">
        <v>3.4791119999999999E-3</v>
      </c>
      <c r="CC454" s="1100">
        <v>62.023598555</v>
      </c>
      <c r="CD454" s="1100">
        <v>0.47973121000000002</v>
      </c>
      <c r="CE454" s="1472">
        <v>0</v>
      </c>
      <c r="CF454" s="1100">
        <v>14.183386008999999</v>
      </c>
      <c r="CG454" s="1100">
        <v>1.3150049660000001</v>
      </c>
      <c r="CH454" s="1100">
        <v>0</v>
      </c>
      <c r="CI454" s="1100">
        <v>0.01</v>
      </c>
      <c r="CJ454" s="1100">
        <v>2.88959645</v>
      </c>
      <c r="CK454" s="1100">
        <v>6.9380982900000001</v>
      </c>
      <c r="CL454" s="1100">
        <v>3.8018000000000003E-2</v>
      </c>
      <c r="CM454" s="1100">
        <v>13.871248</v>
      </c>
      <c r="CN454" s="1100">
        <v>1</v>
      </c>
      <c r="CO454" s="1100">
        <v>4.3681535250000003</v>
      </c>
      <c r="CP454" s="1473">
        <v>13.974804199999999</v>
      </c>
      <c r="CQ454" s="1100">
        <v>2.0446890510000002</v>
      </c>
      <c r="CR454" s="1100">
        <v>1.1764951930000001</v>
      </c>
      <c r="CS454" s="1100">
        <v>2.529250207</v>
      </c>
      <c r="CT454" s="1100">
        <v>2.502500334</v>
      </c>
      <c r="CU454" s="1100">
        <v>0.44875757999999999</v>
      </c>
      <c r="CV454" s="1100">
        <v>1.4449781960000001</v>
      </c>
      <c r="CW454" s="1100">
        <v>2.3012383519999999</v>
      </c>
      <c r="CX454" s="1100">
        <v>15.372919039999999</v>
      </c>
      <c r="CY454" s="1100">
        <v>5.6441678419999999</v>
      </c>
      <c r="CZ454" s="1100">
        <v>2.6801831049999998</v>
      </c>
      <c r="DA454" s="1100">
        <v>1.84513269</v>
      </c>
      <c r="DB454" s="1512">
        <v>25.690791000000001</v>
      </c>
      <c r="DN454" s="1473"/>
      <c r="DO454" s="1100">
        <v>0.79557091000000002</v>
      </c>
      <c r="DP454" s="1100">
        <v>0.30663901399999999</v>
      </c>
      <c r="DQ454" s="1100">
        <v>0</v>
      </c>
      <c r="DR454" s="1100">
        <v>1.461633175</v>
      </c>
      <c r="DS454" s="1100">
        <v>0</v>
      </c>
      <c r="DT454" s="1100">
        <v>0</v>
      </c>
      <c r="DU454" s="1100">
        <v>1.5806744720000001</v>
      </c>
      <c r="DV454" s="1100">
        <v>0</v>
      </c>
      <c r="DW454" s="1100">
        <v>0</v>
      </c>
      <c r="DX454" s="1100">
        <v>5.229410208</v>
      </c>
      <c r="DY454" s="1100">
        <v>6.7838984839999998</v>
      </c>
      <c r="DZ454" s="1473">
        <v>10.280307347000001</v>
      </c>
      <c r="EL454" s="1473"/>
      <c r="EX454" s="1473"/>
      <c r="FJ454" s="1473"/>
      <c r="KH454" s="1473"/>
    </row>
    <row r="455" spans="1:302" s="1100" customFormat="1" outlineLevel="1">
      <c r="A455" s="1469" t="s">
        <v>462</v>
      </c>
      <c r="B455" s="1469" t="s">
        <v>361</v>
      </c>
      <c r="C455" s="1469"/>
      <c r="D455" s="1474" t="s">
        <v>587</v>
      </c>
      <c r="BG455" s="1100">
        <v>0</v>
      </c>
      <c r="BH455" s="1100">
        <v>0</v>
      </c>
      <c r="BI455" s="1100">
        <v>2</v>
      </c>
      <c r="BJ455" s="1100">
        <v>0.88721219299999998</v>
      </c>
      <c r="BK455" s="1100">
        <v>0</v>
      </c>
      <c r="BL455" s="1100">
        <v>0</v>
      </c>
      <c r="BM455" s="1100">
        <v>1.5</v>
      </c>
      <c r="BN455" s="1100">
        <v>0</v>
      </c>
      <c r="BO455" s="1100">
        <v>0.27379796232999998</v>
      </c>
      <c r="BP455" s="1100">
        <v>0.22910804384</v>
      </c>
      <c r="BQ455" s="1100">
        <v>2.0193961689400002</v>
      </c>
      <c r="BR455" s="1100">
        <v>0</v>
      </c>
      <c r="BS455" s="1100">
        <v>0</v>
      </c>
      <c r="BT455" s="1100">
        <v>0</v>
      </c>
      <c r="BU455" s="1100">
        <v>0</v>
      </c>
      <c r="BV455" s="1100">
        <v>0</v>
      </c>
      <c r="BW455" s="1100">
        <v>0</v>
      </c>
      <c r="BX455" s="1100">
        <v>0</v>
      </c>
      <c r="BY455" s="1100">
        <v>0</v>
      </c>
      <c r="BZ455" s="1100">
        <v>0</v>
      </c>
      <c r="CA455" s="1100">
        <v>0</v>
      </c>
      <c r="CB455" s="1100">
        <v>1</v>
      </c>
      <c r="CC455" s="1100">
        <v>2.2000000000000002</v>
      </c>
      <c r="CD455" s="1100">
        <v>0</v>
      </c>
      <c r="CE455" s="1472">
        <v>0</v>
      </c>
      <c r="CF455" s="1100">
        <v>0</v>
      </c>
      <c r="CG455" s="1100">
        <v>0</v>
      </c>
      <c r="CH455" s="1100">
        <v>0</v>
      </c>
      <c r="CI455" s="1100">
        <v>0.01</v>
      </c>
      <c r="CJ455" s="1100">
        <v>2.88959645</v>
      </c>
      <c r="CK455" s="1100">
        <v>0</v>
      </c>
      <c r="CL455" s="1100">
        <v>3.8018000000000003E-2</v>
      </c>
      <c r="CM455" s="1100">
        <v>0</v>
      </c>
      <c r="CN455" s="1100">
        <v>0</v>
      </c>
      <c r="CO455" s="1100">
        <v>1.3681535250000001</v>
      </c>
      <c r="CP455" s="1473">
        <v>0</v>
      </c>
      <c r="CQ455" s="1100">
        <v>0</v>
      </c>
      <c r="CR455" s="1100">
        <v>0</v>
      </c>
      <c r="CS455" s="1100">
        <v>0</v>
      </c>
      <c r="CT455" s="1100">
        <v>0</v>
      </c>
      <c r="CU455" s="1100">
        <v>0</v>
      </c>
      <c r="CV455" s="1100">
        <v>0</v>
      </c>
      <c r="CW455" s="1100">
        <v>0</v>
      </c>
      <c r="CX455" s="1100">
        <v>0</v>
      </c>
      <c r="CY455" s="1100">
        <v>0</v>
      </c>
      <c r="CZ455" s="1100">
        <v>0</v>
      </c>
      <c r="DA455" s="1100">
        <v>0</v>
      </c>
      <c r="DB455" s="1512">
        <v>0</v>
      </c>
      <c r="DN455" s="1473"/>
      <c r="DZ455" s="1473"/>
      <c r="EL455" s="1473"/>
      <c r="EX455" s="1473"/>
      <c r="FJ455" s="1473"/>
      <c r="KH455" s="1473"/>
    </row>
    <row r="456" spans="1:302" s="1100" customFormat="1" outlineLevel="1">
      <c r="A456" s="1469" t="s">
        <v>462</v>
      </c>
      <c r="B456" s="1469" t="s">
        <v>361</v>
      </c>
      <c r="C456" s="1469"/>
      <c r="D456" s="1469" t="s">
        <v>589</v>
      </c>
      <c r="BG456" s="1100">
        <v>0</v>
      </c>
      <c r="BH456" s="1100">
        <v>0</v>
      </c>
      <c r="BI456" s="1100">
        <v>0</v>
      </c>
      <c r="BJ456" s="1100">
        <v>0</v>
      </c>
      <c r="BK456" s="1100">
        <v>0</v>
      </c>
      <c r="BL456" s="1100">
        <v>0</v>
      </c>
      <c r="BM456" s="1100">
        <v>0</v>
      </c>
      <c r="BN456" s="1100">
        <v>0</v>
      </c>
      <c r="BO456" s="1100">
        <v>0</v>
      </c>
      <c r="BP456" s="1100">
        <v>0</v>
      </c>
      <c r="BQ456" s="1100">
        <v>0</v>
      </c>
      <c r="BR456" s="1100">
        <v>0</v>
      </c>
      <c r="BS456" s="1100">
        <v>4.1666700000000001E-4</v>
      </c>
      <c r="BT456" s="1100">
        <v>4.1666700000000001E-4</v>
      </c>
      <c r="BU456" s="1100">
        <v>0</v>
      </c>
      <c r="BV456" s="1100">
        <v>4.1666700000000001E-4</v>
      </c>
      <c r="BW456" s="1100">
        <v>1.2500009999999999E-3</v>
      </c>
      <c r="BX456" s="1100">
        <v>4.1666700000000001E-4</v>
      </c>
      <c r="BY456" s="1100">
        <v>0</v>
      </c>
      <c r="BZ456" s="1100">
        <v>0</v>
      </c>
      <c r="CA456" s="1100">
        <v>0</v>
      </c>
      <c r="CB456" s="1100">
        <v>0</v>
      </c>
      <c r="CC456" s="1100">
        <v>0</v>
      </c>
      <c r="CD456" s="1100">
        <v>0</v>
      </c>
      <c r="CE456" s="1472">
        <v>0</v>
      </c>
      <c r="CF456" s="1100">
        <v>0</v>
      </c>
      <c r="CG456" s="1100">
        <v>0</v>
      </c>
      <c r="CH456" s="1100">
        <v>0</v>
      </c>
      <c r="CI456" s="1100">
        <v>0</v>
      </c>
      <c r="CJ456" s="1100">
        <v>0</v>
      </c>
      <c r="CK456" s="1100">
        <v>0</v>
      </c>
      <c r="CL456" s="1100">
        <v>0</v>
      </c>
      <c r="CM456" s="1100">
        <v>0</v>
      </c>
      <c r="CN456" s="1100">
        <v>0</v>
      </c>
      <c r="CO456" s="1100">
        <v>0</v>
      </c>
      <c r="CP456" s="1473">
        <v>0</v>
      </c>
      <c r="CQ456" s="1100">
        <v>0</v>
      </c>
      <c r="CR456" s="1100">
        <v>0</v>
      </c>
      <c r="CS456" s="1100">
        <v>0</v>
      </c>
      <c r="CT456" s="1100">
        <v>0</v>
      </c>
      <c r="CU456" s="1100">
        <v>0</v>
      </c>
      <c r="CV456" s="1100">
        <v>0</v>
      </c>
      <c r="CW456" s="1100">
        <v>0</v>
      </c>
      <c r="CX456" s="1100">
        <v>0</v>
      </c>
      <c r="CY456" s="1100">
        <v>0</v>
      </c>
      <c r="CZ456" s="1100">
        <v>0</v>
      </c>
      <c r="DA456" s="1100">
        <v>0</v>
      </c>
      <c r="DB456" s="1512">
        <v>0</v>
      </c>
      <c r="DN456" s="1473"/>
      <c r="DZ456" s="1473"/>
      <c r="EL456" s="1473"/>
      <c r="EX456" s="1473"/>
      <c r="FJ456" s="1473"/>
      <c r="KH456" s="1473"/>
    </row>
    <row r="457" spans="1:302" s="1100" customFormat="1" outlineLevel="1">
      <c r="A457" s="1469" t="s">
        <v>462</v>
      </c>
      <c r="B457" s="1469" t="s">
        <v>361</v>
      </c>
      <c r="C457" s="1469"/>
      <c r="D457" s="1474" t="s">
        <v>586</v>
      </c>
      <c r="BG457" s="1100">
        <v>0</v>
      </c>
      <c r="BH457" s="1100">
        <v>0</v>
      </c>
      <c r="BI457" s="1100">
        <v>0</v>
      </c>
      <c r="BJ457" s="1100">
        <v>0</v>
      </c>
      <c r="BK457" s="1100">
        <v>0</v>
      </c>
      <c r="BL457" s="1100">
        <v>0</v>
      </c>
      <c r="BM457" s="1100">
        <v>0</v>
      </c>
      <c r="BN457" s="1100">
        <v>0</v>
      </c>
      <c r="BO457" s="1100">
        <v>0</v>
      </c>
      <c r="BP457" s="1100">
        <v>0</v>
      </c>
      <c r="BQ457" s="1100">
        <v>0</v>
      </c>
      <c r="BR457" s="1100">
        <v>0</v>
      </c>
      <c r="BS457" s="1100">
        <v>4.1666700000000001E-4</v>
      </c>
      <c r="BT457" s="1100">
        <v>4.1666700000000001E-4</v>
      </c>
      <c r="BU457" s="1100">
        <v>0</v>
      </c>
      <c r="BV457" s="1100">
        <v>4.1666700000000001E-4</v>
      </c>
      <c r="BW457" s="1100">
        <v>1.2500009999999999E-3</v>
      </c>
      <c r="BX457" s="1100">
        <v>4.1666700000000001E-4</v>
      </c>
      <c r="BY457" s="1100">
        <v>0</v>
      </c>
      <c r="BZ457" s="1100">
        <v>0</v>
      </c>
      <c r="CA457" s="1100">
        <v>0</v>
      </c>
      <c r="CB457" s="1100">
        <v>0</v>
      </c>
      <c r="CC457" s="1100">
        <v>0</v>
      </c>
      <c r="CD457" s="1100">
        <v>0</v>
      </c>
      <c r="CE457" s="1472">
        <v>0</v>
      </c>
      <c r="CF457" s="1100">
        <v>0</v>
      </c>
      <c r="CG457" s="1100">
        <v>0</v>
      </c>
      <c r="CH457" s="1100">
        <v>0</v>
      </c>
      <c r="CI457" s="1100">
        <v>0</v>
      </c>
      <c r="CJ457" s="1100">
        <v>0</v>
      </c>
      <c r="CK457" s="1100">
        <v>0</v>
      </c>
      <c r="CL457" s="1100">
        <v>0</v>
      </c>
      <c r="CM457" s="1100">
        <v>0</v>
      </c>
      <c r="CN457" s="1100">
        <v>0</v>
      </c>
      <c r="CO457" s="1100">
        <v>0</v>
      </c>
      <c r="CP457" s="1473">
        <v>0</v>
      </c>
      <c r="CQ457" s="1100">
        <v>0</v>
      </c>
      <c r="CR457" s="1100">
        <v>0</v>
      </c>
      <c r="CS457" s="1100">
        <v>0</v>
      </c>
      <c r="CT457" s="1100">
        <v>0</v>
      </c>
      <c r="CU457" s="1100">
        <v>0</v>
      </c>
      <c r="CV457" s="1100">
        <v>0</v>
      </c>
      <c r="CW457" s="1100">
        <v>0</v>
      </c>
      <c r="CX457" s="1100">
        <v>0</v>
      </c>
      <c r="CY457" s="1100">
        <v>0</v>
      </c>
      <c r="CZ457" s="1100">
        <v>0</v>
      </c>
      <c r="DA457" s="1100">
        <v>0</v>
      </c>
      <c r="DB457" s="1512">
        <v>0</v>
      </c>
      <c r="DN457" s="1473"/>
      <c r="DZ457" s="1473"/>
      <c r="EL457" s="1473"/>
      <c r="EX457" s="1473"/>
      <c r="FJ457" s="1473"/>
      <c r="KH457" s="1473"/>
    </row>
    <row r="458" spans="1:302" s="1100" customFormat="1" outlineLevel="1">
      <c r="A458" s="1469" t="s">
        <v>462</v>
      </c>
      <c r="B458" s="1469" t="s">
        <v>361</v>
      </c>
      <c r="C458" s="1469"/>
      <c r="D458" s="1474" t="s">
        <v>587</v>
      </c>
      <c r="BG458" s="1100">
        <v>0</v>
      </c>
      <c r="BH458" s="1100">
        <v>0</v>
      </c>
      <c r="BI458" s="1100">
        <v>0</v>
      </c>
      <c r="BJ458" s="1100">
        <v>0</v>
      </c>
      <c r="BK458" s="1100">
        <v>0</v>
      </c>
      <c r="BL458" s="1100">
        <v>0</v>
      </c>
      <c r="BM458" s="1100">
        <v>0</v>
      </c>
      <c r="BN458" s="1100">
        <v>0</v>
      </c>
      <c r="BO458" s="1100">
        <v>0</v>
      </c>
      <c r="BP458" s="1100">
        <v>0</v>
      </c>
      <c r="BQ458" s="1100">
        <v>0</v>
      </c>
      <c r="BR458" s="1100">
        <v>0</v>
      </c>
      <c r="BS458" s="1100">
        <v>0</v>
      </c>
      <c r="BT458" s="1100">
        <v>0</v>
      </c>
      <c r="BU458" s="1100">
        <v>0</v>
      </c>
      <c r="BV458" s="1100">
        <v>0</v>
      </c>
      <c r="BW458" s="1100">
        <v>0</v>
      </c>
      <c r="BX458" s="1100">
        <v>0</v>
      </c>
      <c r="BY458" s="1100">
        <v>0</v>
      </c>
      <c r="BZ458" s="1100">
        <v>0</v>
      </c>
      <c r="CA458" s="1100">
        <v>0</v>
      </c>
      <c r="CB458" s="1100">
        <v>0</v>
      </c>
      <c r="CC458" s="1100">
        <v>0</v>
      </c>
      <c r="CD458" s="1100">
        <v>0</v>
      </c>
      <c r="CE458" s="1472">
        <v>0</v>
      </c>
      <c r="CF458" s="1100">
        <v>0</v>
      </c>
      <c r="CG458" s="1100">
        <v>0</v>
      </c>
      <c r="CH458" s="1100">
        <v>0</v>
      </c>
      <c r="CI458" s="1100">
        <v>0</v>
      </c>
      <c r="CJ458" s="1100">
        <v>0</v>
      </c>
      <c r="CK458" s="1100">
        <v>0</v>
      </c>
      <c r="CL458" s="1100">
        <v>0</v>
      </c>
      <c r="CM458" s="1100">
        <v>0</v>
      </c>
      <c r="CN458" s="1100">
        <v>0</v>
      </c>
      <c r="CO458" s="1100">
        <v>0</v>
      </c>
      <c r="CP458" s="1473">
        <v>0</v>
      </c>
      <c r="CQ458" s="1100">
        <v>0</v>
      </c>
      <c r="CR458" s="1100">
        <v>0</v>
      </c>
      <c r="CS458" s="1100">
        <v>0</v>
      </c>
      <c r="CT458" s="1100">
        <v>0</v>
      </c>
      <c r="CU458" s="1100">
        <v>0</v>
      </c>
      <c r="CV458" s="1100">
        <v>0</v>
      </c>
      <c r="CW458" s="1100">
        <v>0</v>
      </c>
      <c r="CX458" s="1100">
        <v>0</v>
      </c>
      <c r="CY458" s="1100">
        <v>0</v>
      </c>
      <c r="CZ458" s="1100">
        <v>0</v>
      </c>
      <c r="DA458" s="1100">
        <v>0</v>
      </c>
      <c r="DB458" s="1512">
        <v>0</v>
      </c>
      <c r="DN458" s="1473"/>
      <c r="DZ458" s="1473"/>
      <c r="EL458" s="1473"/>
      <c r="EX458" s="1473"/>
      <c r="FJ458" s="1473"/>
      <c r="KH458" s="1473"/>
    </row>
    <row r="459" spans="1:302" s="1100" customFormat="1" outlineLevel="1">
      <c r="A459" s="1469"/>
      <c r="B459" s="1469"/>
      <c r="C459" s="1469"/>
      <c r="D459" s="1100" t="s">
        <v>608</v>
      </c>
      <c r="CP459" s="1473"/>
      <c r="DB459" s="1512"/>
      <c r="DN459" s="1473"/>
      <c r="DZ459" s="1473"/>
      <c r="EL459" s="1473"/>
      <c r="EX459" s="1473"/>
      <c r="FJ459" s="1473"/>
      <c r="KH459" s="1473"/>
    </row>
    <row r="460" spans="1:302">
      <c r="CP460" s="303"/>
      <c r="DZ460" s="1473"/>
      <c r="EA460" s="1100"/>
      <c r="EB460" s="302"/>
      <c r="EC460" s="302"/>
      <c r="ED460" s="302"/>
      <c r="EE460" s="302"/>
      <c r="EF460" s="302"/>
      <c r="EG460" s="302"/>
      <c r="EH460" s="302"/>
      <c r="EI460" s="302"/>
      <c r="EJ460" s="302"/>
      <c r="EK460" s="302"/>
      <c r="EL460" s="303"/>
      <c r="EM460" s="302"/>
      <c r="EN460" s="302"/>
      <c r="EO460" s="302"/>
      <c r="EP460" s="302"/>
      <c r="EQ460" s="302"/>
      <c r="ER460" s="302"/>
      <c r="ES460" s="302"/>
      <c r="ET460" s="302"/>
      <c r="EU460" s="302"/>
      <c r="EV460" s="302"/>
      <c r="EW460" s="302"/>
      <c r="EX460" s="303"/>
      <c r="EY460" s="302"/>
      <c r="EZ460" s="302"/>
      <c r="FA460" s="302"/>
      <c r="FB460" s="302"/>
      <c r="FC460" s="302"/>
      <c r="FD460" s="302"/>
      <c r="FE460" s="302"/>
      <c r="FF460" s="302"/>
      <c r="FG460" s="302"/>
      <c r="FH460" s="302"/>
      <c r="FI460" s="302"/>
      <c r="FJ460" s="303"/>
      <c r="FK460" s="302"/>
      <c r="FL460" s="302"/>
      <c r="FM460" s="302"/>
      <c r="FN460" s="302"/>
      <c r="FO460" s="302"/>
      <c r="FP460" s="302"/>
      <c r="FQ460" s="302"/>
      <c r="FR460" s="302"/>
      <c r="FS460" s="302"/>
      <c r="FT460" s="302"/>
      <c r="FU460" s="302"/>
      <c r="FV460" s="302"/>
      <c r="FW460" s="302"/>
      <c r="FX460" s="302"/>
      <c r="FY460" s="302"/>
      <c r="FZ460" s="302"/>
      <c r="GA460" s="302"/>
      <c r="GB460" s="302"/>
      <c r="GC460" s="302"/>
      <c r="GD460" s="302"/>
      <c r="GE460" s="302"/>
      <c r="GF460" s="302"/>
      <c r="GG460" s="302"/>
      <c r="GH460" s="302"/>
      <c r="GI460" s="302"/>
      <c r="GJ460" s="302"/>
      <c r="GK460" s="302"/>
      <c r="GL460" s="302"/>
      <c r="GM460" s="302"/>
      <c r="GN460" s="302"/>
      <c r="GO460" s="302"/>
      <c r="GP460" s="302"/>
      <c r="GQ460" s="302"/>
      <c r="GR460" s="302"/>
      <c r="GS460" s="302"/>
      <c r="GT460" s="302"/>
      <c r="GU460" s="302"/>
      <c r="GV460" s="302"/>
      <c r="GW460" s="302"/>
      <c r="GX460" s="302"/>
      <c r="GY460" s="302"/>
      <c r="GZ460" s="302"/>
      <c r="HA460" s="302"/>
      <c r="HB460" s="302"/>
      <c r="HC460" s="302"/>
      <c r="HD460" s="302"/>
      <c r="HE460" s="302"/>
      <c r="HF460" s="302"/>
      <c r="HG460" s="302"/>
      <c r="HH460" s="302"/>
      <c r="HI460" s="302"/>
      <c r="HJ460" s="302"/>
      <c r="HK460" s="302"/>
      <c r="HL460" s="302"/>
      <c r="HM460" s="302"/>
      <c r="HR460" s="589"/>
      <c r="HU460" s="589"/>
      <c r="HV460" s="589"/>
      <c r="HX460" s="589" t="s">
        <v>841</v>
      </c>
      <c r="IA460" s="589" t="s">
        <v>841</v>
      </c>
      <c r="ID460" s="589" t="s">
        <v>824</v>
      </c>
      <c r="IG460" s="589" t="s">
        <v>824</v>
      </c>
      <c r="IJ460" s="589" t="s">
        <v>824</v>
      </c>
      <c r="KH460" s="720"/>
    </row>
    <row r="461" spans="1:302">
      <c r="D461" s="117" t="s">
        <v>1015</v>
      </c>
      <c r="CP461" s="303"/>
      <c r="DN461" s="656"/>
      <c r="DO461" s="934"/>
      <c r="EA461" s="302"/>
      <c r="EB461" s="302"/>
      <c r="EC461" s="302"/>
      <c r="ED461" s="302"/>
      <c r="EE461" s="302"/>
      <c r="EF461" s="302"/>
      <c r="EG461" s="302"/>
      <c r="EH461" s="302"/>
      <c r="EI461" s="302"/>
      <c r="EJ461" s="302"/>
      <c r="EK461" s="302"/>
      <c r="EL461" s="303"/>
      <c r="EM461" s="302"/>
      <c r="EN461" s="302"/>
      <c r="EO461" s="302"/>
      <c r="EP461" s="302"/>
      <c r="EQ461" s="302"/>
      <c r="ER461" s="302"/>
      <c r="ES461" s="302"/>
      <c r="ET461" s="302"/>
      <c r="EU461" s="302"/>
      <c r="EV461" s="302"/>
      <c r="EW461" s="302"/>
      <c r="EX461" s="303"/>
      <c r="EY461" s="302"/>
      <c r="EZ461" s="302"/>
      <c r="FA461" s="302"/>
      <c r="FB461" s="302"/>
      <c r="FC461" s="302"/>
      <c r="FD461" s="302"/>
      <c r="FE461" s="302"/>
      <c r="FF461" s="302"/>
      <c r="FG461" s="302"/>
      <c r="FH461" s="302"/>
      <c r="FI461" s="302"/>
      <c r="FJ461" s="303"/>
      <c r="FK461" s="302"/>
      <c r="FL461" s="302"/>
      <c r="FM461" s="302"/>
      <c r="FN461" s="302"/>
      <c r="FO461" s="302"/>
      <c r="FP461" s="302"/>
      <c r="FQ461" s="302"/>
      <c r="FR461" s="302"/>
      <c r="FS461" s="302"/>
      <c r="FT461" s="302"/>
      <c r="FU461" s="302"/>
      <c r="FV461" s="302"/>
      <c r="FW461" s="302"/>
      <c r="FX461" s="302"/>
      <c r="FY461" s="302"/>
      <c r="FZ461" s="302"/>
      <c r="GA461" s="302"/>
      <c r="GB461" s="302"/>
      <c r="GC461" s="302"/>
      <c r="GD461" s="302"/>
      <c r="GE461" s="302"/>
      <c r="GF461" s="302"/>
      <c r="GG461" s="302"/>
      <c r="GH461" s="302"/>
      <c r="GI461" s="302"/>
      <c r="GJ461" s="302"/>
      <c r="GK461" s="302"/>
      <c r="GL461" s="302"/>
      <c r="GM461" s="302"/>
      <c r="GN461" s="302"/>
      <c r="GO461" s="302"/>
      <c r="GP461" s="302"/>
      <c r="GQ461" s="302"/>
      <c r="GR461" s="302"/>
      <c r="GS461" s="302"/>
      <c r="GT461" s="302"/>
      <c r="GU461" s="302"/>
      <c r="GV461" s="302"/>
      <c r="GW461" s="302"/>
      <c r="GX461" s="302"/>
      <c r="GY461" s="302"/>
      <c r="GZ461" s="302"/>
      <c r="HA461" s="302"/>
      <c r="HB461" s="302"/>
      <c r="HC461" s="302"/>
      <c r="HD461" s="302"/>
      <c r="HE461" s="302"/>
      <c r="HF461" s="302"/>
      <c r="HG461" s="302"/>
      <c r="HH461" s="302"/>
      <c r="HI461" s="302"/>
      <c r="HJ461" s="302"/>
      <c r="HK461" s="302"/>
      <c r="HL461" s="302"/>
      <c r="HM461" s="302"/>
      <c r="HR461" s="466">
        <f t="shared" ref="HR461:II461" si="59">+HR1</f>
        <v>2015</v>
      </c>
      <c r="HS461" s="466">
        <f t="shared" si="59"/>
        <v>2014</v>
      </c>
      <c r="HT461" s="466">
        <f t="shared" si="59"/>
        <v>2015</v>
      </c>
      <c r="HU461" s="466">
        <f t="shared" si="59"/>
        <v>2015</v>
      </c>
      <c r="HV461" s="466">
        <f t="shared" si="59"/>
        <v>2015</v>
      </c>
      <c r="HW461" s="466">
        <f t="shared" si="59"/>
        <v>2016</v>
      </c>
      <c r="HX461" s="466">
        <f t="shared" si="59"/>
        <v>2016</v>
      </c>
      <c r="HY461" s="466">
        <f t="shared" si="59"/>
        <v>2016</v>
      </c>
      <c r="HZ461" s="466">
        <f t="shared" si="59"/>
        <v>2017</v>
      </c>
      <c r="IA461" s="466">
        <f t="shared" si="59"/>
        <v>2017</v>
      </c>
      <c r="IB461" s="466">
        <f t="shared" si="59"/>
        <v>2017</v>
      </c>
      <c r="IC461" s="466">
        <f t="shared" si="59"/>
        <v>2018</v>
      </c>
      <c r="ID461" s="466">
        <f t="shared" si="59"/>
        <v>2018</v>
      </c>
      <c r="IE461" s="466">
        <f t="shared" si="59"/>
        <v>2018</v>
      </c>
      <c r="IF461" s="466">
        <f t="shared" si="59"/>
        <v>2019</v>
      </c>
      <c r="IG461" s="466">
        <f t="shared" si="59"/>
        <v>2019</v>
      </c>
      <c r="IH461" s="466">
        <f t="shared" si="59"/>
        <v>2019</v>
      </c>
      <c r="II461" s="466">
        <f t="shared" si="59"/>
        <v>2020</v>
      </c>
      <c r="IJ461" s="466">
        <f>+IK1</f>
        <v>2020</v>
      </c>
      <c r="IK461" s="466">
        <f t="shared" ref="IK461:JN461" si="60">+IK1</f>
        <v>2020</v>
      </c>
      <c r="IL461" s="466">
        <f t="shared" si="60"/>
        <v>2021</v>
      </c>
      <c r="IM461" s="466">
        <f t="shared" si="60"/>
        <v>0</v>
      </c>
      <c r="IN461" s="466">
        <f t="shared" si="60"/>
        <v>2021</v>
      </c>
      <c r="IO461" s="466">
        <f t="shared" si="60"/>
        <v>2022</v>
      </c>
      <c r="IP461" s="466">
        <f t="shared" si="60"/>
        <v>0</v>
      </c>
      <c r="IQ461" s="466">
        <f t="shared" si="60"/>
        <v>2022</v>
      </c>
      <c r="IR461" s="466">
        <f t="shared" si="60"/>
        <v>2023</v>
      </c>
      <c r="IS461" s="466">
        <f t="shared" si="60"/>
        <v>0</v>
      </c>
      <c r="IT461" s="466">
        <f t="shared" si="60"/>
        <v>2023</v>
      </c>
      <c r="IU461" s="466">
        <f t="shared" si="60"/>
        <v>2024</v>
      </c>
      <c r="IV461" s="466">
        <f t="shared" si="60"/>
        <v>0</v>
      </c>
      <c r="IW461" s="466">
        <f t="shared" si="60"/>
        <v>2024</v>
      </c>
      <c r="IX461" s="466">
        <f t="shared" si="60"/>
        <v>2025</v>
      </c>
      <c r="IY461" s="466">
        <f t="shared" si="60"/>
        <v>0</v>
      </c>
      <c r="IZ461" s="466">
        <f t="shared" si="60"/>
        <v>2025</v>
      </c>
      <c r="JA461" s="466">
        <f t="shared" si="60"/>
        <v>2026</v>
      </c>
      <c r="JB461" s="466">
        <f t="shared" si="60"/>
        <v>0</v>
      </c>
      <c r="JC461" s="466">
        <f t="shared" si="60"/>
        <v>2026</v>
      </c>
      <c r="JD461" s="466">
        <f t="shared" si="60"/>
        <v>2027</v>
      </c>
      <c r="JE461" s="466">
        <f t="shared" si="60"/>
        <v>0</v>
      </c>
      <c r="JF461" s="466">
        <f t="shared" si="60"/>
        <v>2027</v>
      </c>
      <c r="JG461" s="466">
        <f t="shared" si="60"/>
        <v>2028</v>
      </c>
      <c r="JH461" s="466">
        <f t="shared" si="60"/>
        <v>0</v>
      </c>
      <c r="JI461" s="466">
        <f t="shared" si="60"/>
        <v>2028</v>
      </c>
      <c r="JJ461" s="466">
        <f t="shared" si="60"/>
        <v>2029</v>
      </c>
      <c r="JK461" s="466">
        <f t="shared" si="60"/>
        <v>0</v>
      </c>
      <c r="JL461" s="466">
        <f t="shared" si="60"/>
        <v>2029</v>
      </c>
      <c r="JM461" s="466">
        <f t="shared" si="60"/>
        <v>2030</v>
      </c>
      <c r="JN461" s="466">
        <f t="shared" si="60"/>
        <v>0</v>
      </c>
      <c r="JO461" s="466"/>
      <c r="JP461" s="466"/>
      <c r="JQ461" s="466"/>
      <c r="JR461" s="466"/>
      <c r="JS461" s="466"/>
      <c r="JT461" s="466"/>
      <c r="JU461" s="466"/>
      <c r="JV461" s="466"/>
      <c r="JW461" s="466"/>
      <c r="JX461" s="466"/>
      <c r="JY461" s="466"/>
      <c r="JZ461" s="466"/>
      <c r="KA461" s="466"/>
      <c r="KB461" s="466"/>
      <c r="KC461" s="466"/>
      <c r="KD461" s="466"/>
      <c r="KE461" s="466"/>
      <c r="KF461" s="466"/>
      <c r="KG461" s="466"/>
      <c r="KH461" s="466"/>
    </row>
    <row r="462" spans="1:302">
      <c r="D462" s="870" t="s">
        <v>655</v>
      </c>
      <c r="E462" s="871"/>
      <c r="F462" s="871"/>
      <c r="G462" s="871"/>
      <c r="H462" s="871"/>
      <c r="I462" s="871"/>
      <c r="J462" s="871"/>
      <c r="K462" s="871"/>
      <c r="L462" s="871"/>
      <c r="M462" s="871"/>
      <c r="N462" s="871"/>
      <c r="O462" s="871"/>
      <c r="P462" s="871"/>
      <c r="Q462" s="871"/>
      <c r="R462" s="871"/>
      <c r="S462" s="871"/>
      <c r="T462" s="871"/>
      <c r="U462" s="871"/>
      <c r="V462" s="871"/>
      <c r="W462" s="871"/>
      <c r="X462" s="871"/>
      <c r="Y462" s="871"/>
      <c r="Z462" s="871"/>
      <c r="AA462" s="871"/>
      <c r="AB462" s="871"/>
      <c r="AC462" s="871"/>
      <c r="AD462" s="871"/>
      <c r="AE462" s="871"/>
      <c r="AF462" s="871"/>
      <c r="AG462" s="871"/>
      <c r="AH462" s="871"/>
      <c r="AI462" s="871"/>
      <c r="AJ462" s="871"/>
      <c r="AK462" s="871"/>
      <c r="AL462" s="871"/>
      <c r="AM462" s="871"/>
      <c r="AN462" s="871"/>
      <c r="AO462" s="871"/>
      <c r="AP462" s="871"/>
      <c r="AQ462" s="871"/>
      <c r="AR462" s="871"/>
      <c r="AS462" s="871"/>
      <c r="AT462" s="871"/>
      <c r="AU462" s="871"/>
      <c r="AV462" s="871"/>
      <c r="AW462" s="871"/>
      <c r="AX462" s="871"/>
      <c r="AY462" s="871"/>
      <c r="AZ462" s="871"/>
      <c r="BA462" s="871"/>
      <c r="BB462" s="871"/>
      <c r="BC462" s="871"/>
      <c r="BD462" s="871"/>
      <c r="BE462" s="871"/>
      <c r="BF462" s="871"/>
      <c r="BG462" s="871"/>
      <c r="BH462" s="871"/>
      <c r="BI462" s="871"/>
      <c r="BJ462" s="871"/>
      <c r="BK462" s="871"/>
      <c r="BL462" s="871"/>
      <c r="BM462" s="871"/>
      <c r="BN462" s="871"/>
      <c r="BO462" s="871"/>
      <c r="BP462" s="871"/>
      <c r="BQ462" s="871"/>
      <c r="BR462" s="871"/>
      <c r="BS462" s="871"/>
      <c r="BT462" s="871"/>
      <c r="BU462" s="871"/>
      <c r="BV462" s="871"/>
      <c r="BW462" s="871"/>
      <c r="BX462" s="871"/>
      <c r="BY462" s="871"/>
      <c r="BZ462" s="871"/>
      <c r="CA462" s="871"/>
      <c r="CB462" s="871"/>
      <c r="CC462" s="871"/>
      <c r="CD462" s="871"/>
      <c r="CE462" s="871"/>
      <c r="CF462" s="871"/>
      <c r="CG462" s="871"/>
      <c r="CH462" s="871"/>
      <c r="CI462" s="871"/>
      <c r="CJ462" s="871"/>
      <c r="CK462" s="871"/>
      <c r="CL462" s="871"/>
      <c r="CM462" s="871"/>
      <c r="CN462" s="871"/>
      <c r="CO462" s="871"/>
      <c r="CP462" s="1491"/>
      <c r="CQ462" s="871"/>
      <c r="CR462" s="871"/>
      <c r="CS462" s="871"/>
      <c r="CT462" s="871"/>
      <c r="CU462" s="871"/>
      <c r="CV462" s="871"/>
      <c r="CW462" s="871"/>
      <c r="CX462" s="871"/>
      <c r="CY462" s="871"/>
      <c r="CZ462" s="871"/>
      <c r="DA462" s="871"/>
      <c r="DB462" s="1513"/>
      <c r="DC462" s="871"/>
      <c r="DD462" s="871"/>
      <c r="DE462" s="871"/>
      <c r="DF462" s="871"/>
      <c r="DG462" s="871"/>
      <c r="DH462" s="871"/>
      <c r="DI462" s="871"/>
      <c r="DJ462" s="871"/>
      <c r="DK462" s="871"/>
      <c r="DL462" s="871"/>
      <c r="DM462" s="871"/>
      <c r="DN462" s="935"/>
      <c r="DO462" s="936"/>
      <c r="DP462" s="871"/>
      <c r="DQ462" s="871"/>
      <c r="DR462" s="871"/>
      <c r="DS462" s="871"/>
      <c r="DT462" s="871"/>
      <c r="DU462" s="871"/>
      <c r="DV462" s="871"/>
      <c r="DW462" s="871"/>
      <c r="DX462" s="871"/>
      <c r="DY462" s="871"/>
      <c r="DZ462" s="656"/>
      <c r="EA462" s="934"/>
      <c r="EB462" s="871"/>
      <c r="EC462" s="871"/>
      <c r="ED462" s="871"/>
      <c r="EE462" s="871"/>
      <c r="EF462" s="871"/>
      <c r="EG462" s="871"/>
      <c r="EH462" s="871"/>
      <c r="EI462" s="871"/>
      <c r="EJ462" s="871"/>
      <c r="EK462" s="871"/>
      <c r="EL462" s="1491"/>
      <c r="EM462" s="871"/>
      <c r="EN462" s="871"/>
      <c r="EO462" s="871"/>
      <c r="EP462" s="871"/>
      <c r="EQ462" s="871"/>
      <c r="ER462" s="871"/>
      <c r="ES462" s="871"/>
      <c r="ET462" s="871"/>
      <c r="EU462" s="871"/>
      <c r="EV462" s="871"/>
      <c r="EW462" s="871"/>
      <c r="EX462" s="1491"/>
      <c r="EY462" s="871"/>
      <c r="EZ462" s="871"/>
      <c r="FA462" s="871"/>
      <c r="FB462" s="871"/>
      <c r="FC462" s="871"/>
      <c r="FD462" s="871"/>
      <c r="FE462" s="871"/>
      <c r="FF462" s="871"/>
      <c r="FG462" s="871"/>
      <c r="FH462" s="871"/>
      <c r="FI462" s="871"/>
      <c r="FJ462" s="1491"/>
      <c r="FK462" s="871"/>
      <c r="FL462" s="871"/>
      <c r="FM462" s="871"/>
      <c r="FN462" s="871"/>
      <c r="FO462" s="871"/>
      <c r="FP462" s="871"/>
      <c r="FQ462" s="871"/>
      <c r="FR462" s="871"/>
      <c r="FS462" s="871"/>
      <c r="FT462" s="871"/>
      <c r="FU462" s="871"/>
      <c r="FV462" s="871"/>
      <c r="FW462" s="871"/>
      <c r="FX462" s="871"/>
      <c r="FY462" s="871"/>
      <c r="FZ462" s="871"/>
      <c r="GA462" s="871"/>
      <c r="GB462" s="871"/>
      <c r="GC462" s="871"/>
      <c r="GD462" s="871"/>
      <c r="GE462" s="871"/>
      <c r="GF462" s="871"/>
      <c r="GG462" s="871"/>
      <c r="GH462" s="871"/>
      <c r="GI462" s="871"/>
      <c r="GJ462" s="871"/>
      <c r="GK462" s="871"/>
      <c r="GL462" s="871"/>
      <c r="GM462" s="871"/>
      <c r="GN462" s="871"/>
      <c r="GO462" s="871"/>
      <c r="GP462" s="871"/>
      <c r="GQ462" s="871"/>
      <c r="GR462" s="871"/>
      <c r="GS462" s="871"/>
      <c r="GT462" s="871"/>
      <c r="GU462" s="871"/>
      <c r="GV462" s="871"/>
      <c r="GW462" s="871"/>
      <c r="GX462" s="871"/>
      <c r="GY462" s="871"/>
      <c r="GZ462" s="871"/>
      <c r="HA462" s="871"/>
      <c r="HB462" s="871"/>
      <c r="HC462" s="871"/>
      <c r="HD462" s="871"/>
      <c r="HE462" s="871"/>
      <c r="HF462" s="871"/>
      <c r="HG462" s="871"/>
      <c r="HH462" s="871"/>
      <c r="HI462" s="871"/>
      <c r="HJ462" s="871"/>
      <c r="HK462" s="871"/>
      <c r="HL462" s="871"/>
      <c r="HM462" s="871"/>
      <c r="HN462" s="312"/>
      <c r="HO462" s="2351" t="s">
        <v>1172</v>
      </c>
      <c r="HP462" s="1591"/>
      <c r="HQ462" s="1591"/>
      <c r="HR462" s="941" t="str">
        <f>+HR2</f>
        <v>2013/14</v>
      </c>
      <c r="HS462" s="941"/>
      <c r="HT462" s="941"/>
      <c r="HU462" s="941" t="str">
        <f>+HU2</f>
        <v>2014/15</v>
      </c>
      <c r="HV462" s="941"/>
      <c r="HW462" s="941"/>
      <c r="HX462" s="467" t="str">
        <f>+HX2</f>
        <v>2015/16</v>
      </c>
      <c r="HY462" s="467"/>
      <c r="HZ462" s="467"/>
      <c r="IA462" s="467" t="str">
        <f>+IA2</f>
        <v>2016/17</v>
      </c>
      <c r="IB462" s="1035"/>
      <c r="IC462" s="467"/>
      <c r="ID462" s="467" t="str">
        <f>+ID2</f>
        <v>2017/18</v>
      </c>
      <c r="IE462" s="1035"/>
      <c r="IF462" s="467"/>
      <c r="IG462" s="467" t="str">
        <f>+IG2</f>
        <v>2018/19</v>
      </c>
      <c r="IH462" s="1035"/>
      <c r="II462" s="467"/>
      <c r="IJ462" s="467" t="str">
        <f>+IJ2</f>
        <v>2019/20</v>
      </c>
      <c r="IK462" s="1035"/>
      <c r="IL462" s="467"/>
      <c r="IM462" s="467" t="str">
        <f>+KH2</f>
        <v>2020/2021</v>
      </c>
      <c r="IN462" s="1035"/>
      <c r="IO462" s="467"/>
      <c r="IP462" s="460" t="str">
        <f>+IP2</f>
        <v>2021/2022</v>
      </c>
      <c r="IQ462" s="1035"/>
      <c r="IR462" s="467"/>
      <c r="IS462" s="460" t="str">
        <f>+IS2</f>
        <v>2022/2023</v>
      </c>
      <c r="IT462" s="1035"/>
      <c r="IU462" s="467"/>
      <c r="IV462" s="460" t="str">
        <f>+IV2</f>
        <v>2023/2024</v>
      </c>
      <c r="IW462" s="1035"/>
      <c r="IX462" s="467"/>
      <c r="IY462" s="460" t="str">
        <f>+IY2</f>
        <v>2024/2025</v>
      </c>
      <c r="IZ462" s="1035"/>
      <c r="JA462" s="467"/>
      <c r="JB462" s="460" t="str">
        <f>+JB2</f>
        <v>2025/2026</v>
      </c>
      <c r="JC462" s="1035"/>
      <c r="JD462" s="467"/>
      <c r="JE462" s="460" t="str">
        <f>+JE2</f>
        <v>2026/2027</v>
      </c>
      <c r="JF462" s="1035"/>
      <c r="JG462" s="467"/>
      <c r="JH462" s="460" t="str">
        <f>+JH2</f>
        <v>2027/2028</v>
      </c>
      <c r="JI462" s="1035"/>
      <c r="JJ462" s="467"/>
      <c r="JK462" s="460" t="str">
        <f>+JK2</f>
        <v>2028/2029</v>
      </c>
      <c r="JL462" s="1035"/>
      <c r="JM462" s="467"/>
      <c r="JN462" s="460" t="str">
        <f>+JN2</f>
        <v>2029/2030</v>
      </c>
      <c r="JO462" s="1035"/>
      <c r="JP462" s="467"/>
      <c r="JQ462" s="467"/>
      <c r="JR462" s="1035"/>
      <c r="JS462" s="467"/>
      <c r="JT462" s="467"/>
      <c r="JU462" s="1035"/>
      <c r="JV462" s="467"/>
      <c r="JW462" s="467"/>
      <c r="JX462" s="1035"/>
      <c r="JY462" s="467"/>
      <c r="JZ462" s="467"/>
      <c r="KA462" s="1035"/>
      <c r="KB462" s="467"/>
      <c r="KC462" s="467"/>
      <c r="KD462" s="1035"/>
      <c r="KE462" s="467"/>
      <c r="KF462" s="467"/>
      <c r="KG462" s="1035"/>
      <c r="KH462" s="467"/>
      <c r="KO462" s="299">
        <f t="shared" ref="KO462:KP464" si="61">+KO1</f>
        <v>2018</v>
      </c>
      <c r="KP462" s="299">
        <f t="shared" si="61"/>
        <v>2018</v>
      </c>
    </row>
    <row r="463" spans="1:302">
      <c r="D463" s="351"/>
      <c r="E463" s="872"/>
      <c r="F463" s="872"/>
      <c r="G463" s="872"/>
      <c r="H463" s="872"/>
      <c r="I463" s="872"/>
      <c r="J463" s="872"/>
      <c r="K463" s="872"/>
      <c r="L463" s="872"/>
      <c r="M463" s="872"/>
      <c r="N463" s="872"/>
      <c r="O463" s="872"/>
      <c r="P463" s="872"/>
      <c r="Q463" s="872"/>
      <c r="R463" s="872"/>
      <c r="S463" s="872"/>
      <c r="T463" s="872"/>
      <c r="U463" s="872"/>
      <c r="V463" s="872"/>
      <c r="W463" s="872"/>
      <c r="X463" s="872"/>
      <c r="Y463" s="872"/>
      <c r="Z463" s="872"/>
      <c r="AA463" s="872"/>
      <c r="AB463" s="872"/>
      <c r="AC463" s="872"/>
      <c r="AD463" s="872"/>
      <c r="AE463" s="872"/>
      <c r="AF463" s="872"/>
      <c r="AG463" s="872"/>
      <c r="AH463" s="872"/>
      <c r="AI463" s="872"/>
      <c r="AJ463" s="872"/>
      <c r="AK463" s="872"/>
      <c r="AL463" s="872"/>
      <c r="AM463" s="872"/>
      <c r="AN463" s="872"/>
      <c r="AO463" s="872"/>
      <c r="AP463" s="872"/>
      <c r="AQ463" s="872"/>
      <c r="AR463" s="872"/>
      <c r="AS463" s="872"/>
      <c r="AT463" s="872"/>
      <c r="AU463" s="872"/>
      <c r="AV463" s="872"/>
      <c r="AW463" s="872"/>
      <c r="AX463" s="872"/>
      <c r="AY463" s="872"/>
      <c r="AZ463" s="872"/>
      <c r="BA463" s="872"/>
      <c r="BB463" s="872"/>
      <c r="BC463" s="872"/>
      <c r="BD463" s="872"/>
      <c r="BE463" s="872"/>
      <c r="BF463" s="872"/>
      <c r="BG463" s="872"/>
      <c r="BH463" s="872"/>
      <c r="BI463" s="872"/>
      <c r="BJ463" s="872"/>
      <c r="BK463" s="872"/>
      <c r="BL463" s="872"/>
      <c r="BM463" s="872"/>
      <c r="BN463" s="872"/>
      <c r="BO463" s="872"/>
      <c r="BP463" s="872"/>
      <c r="BQ463" s="872"/>
      <c r="BR463" s="872"/>
      <c r="BS463" s="872"/>
      <c r="BT463" s="872"/>
      <c r="BU463" s="872"/>
      <c r="BV463" s="872"/>
      <c r="BW463" s="872"/>
      <c r="BX463" s="872"/>
      <c r="BY463" s="872"/>
      <c r="BZ463" s="872"/>
      <c r="CA463" s="872"/>
      <c r="CB463" s="872"/>
      <c r="CC463" s="872"/>
      <c r="CD463" s="872"/>
      <c r="CE463" s="872"/>
      <c r="CF463" s="872"/>
      <c r="CG463" s="872"/>
      <c r="CH463" s="872"/>
      <c r="CI463" s="872"/>
      <c r="CJ463" s="872"/>
      <c r="CK463" s="872"/>
      <c r="CL463" s="872"/>
      <c r="CM463" s="872"/>
      <c r="CN463" s="872"/>
      <c r="CO463" s="872"/>
      <c r="CP463" s="873"/>
      <c r="CQ463" s="872"/>
      <c r="CR463" s="872"/>
      <c r="CS463" s="872"/>
      <c r="CT463" s="872"/>
      <c r="CU463" s="872"/>
      <c r="CV463" s="872"/>
      <c r="CW463" s="872"/>
      <c r="CX463" s="872"/>
      <c r="CY463" s="872"/>
      <c r="CZ463" s="872"/>
      <c r="DA463" s="872"/>
      <c r="DB463" s="1514"/>
      <c r="DC463" s="872"/>
      <c r="DD463" s="872"/>
      <c r="DE463" s="872"/>
      <c r="DF463" s="872"/>
      <c r="DG463" s="872"/>
      <c r="DH463" s="872"/>
      <c r="DI463" s="872"/>
      <c r="DJ463" s="872"/>
      <c r="DK463" s="872"/>
      <c r="DL463" s="872"/>
      <c r="DM463" s="872"/>
      <c r="DN463" s="873"/>
      <c r="DO463" s="872"/>
      <c r="DP463" s="872"/>
      <c r="DQ463" s="872"/>
      <c r="DR463" s="872"/>
      <c r="DS463" s="872"/>
      <c r="DT463" s="872"/>
      <c r="DU463" s="872"/>
      <c r="DV463" s="872"/>
      <c r="DW463" s="872"/>
      <c r="DX463" s="872"/>
      <c r="DY463" s="872"/>
      <c r="DZ463" s="935"/>
      <c r="EA463" s="936"/>
      <c r="EB463" s="872"/>
      <c r="EC463" s="872"/>
      <c r="ED463" s="872"/>
      <c r="EE463" s="872"/>
      <c r="EF463" s="872"/>
      <c r="EG463" s="872"/>
      <c r="EH463" s="872"/>
      <c r="EI463" s="872"/>
      <c r="EJ463" s="872"/>
      <c r="EK463" s="872"/>
      <c r="EL463" s="873"/>
      <c r="EM463" s="872"/>
      <c r="EN463" s="872"/>
      <c r="EO463" s="872"/>
      <c r="EP463" s="872"/>
      <c r="EQ463" s="872"/>
      <c r="ER463" s="872"/>
      <c r="ES463" s="872"/>
      <c r="ET463" s="872"/>
      <c r="EU463" s="872"/>
      <c r="EV463" s="872"/>
      <c r="EW463" s="872"/>
      <c r="EX463" s="873"/>
      <c r="EY463" s="872"/>
      <c r="EZ463" s="872"/>
      <c r="FA463" s="872"/>
      <c r="FB463" s="872"/>
      <c r="FC463" s="872"/>
      <c r="FD463" s="872"/>
      <c r="FE463" s="872"/>
      <c r="FF463" s="872"/>
      <c r="FG463" s="872"/>
      <c r="FH463" s="872"/>
      <c r="FI463" s="872"/>
      <c r="FJ463" s="873"/>
      <c r="FK463" s="872"/>
      <c r="FL463" s="872"/>
      <c r="FM463" s="872"/>
      <c r="FN463" s="872"/>
      <c r="FO463" s="872"/>
      <c r="FP463" s="872"/>
      <c r="FQ463" s="872"/>
      <c r="FR463" s="872"/>
      <c r="FS463" s="872"/>
      <c r="FT463" s="872"/>
      <c r="FU463" s="872"/>
      <c r="FV463" s="872"/>
      <c r="FW463" s="872"/>
      <c r="FX463" s="872"/>
      <c r="FY463" s="872"/>
      <c r="FZ463" s="872"/>
      <c r="GA463" s="872"/>
      <c r="GB463" s="872"/>
      <c r="GC463" s="872"/>
      <c r="GD463" s="872"/>
      <c r="GE463" s="872"/>
      <c r="GF463" s="872"/>
      <c r="GG463" s="872"/>
      <c r="GH463" s="872"/>
      <c r="GI463" s="872"/>
      <c r="GJ463" s="872"/>
      <c r="GK463" s="872"/>
      <c r="GL463" s="872"/>
      <c r="GM463" s="872"/>
      <c r="GN463" s="872"/>
      <c r="GO463" s="872"/>
      <c r="GP463" s="872"/>
      <c r="GQ463" s="872"/>
      <c r="GR463" s="872"/>
      <c r="GS463" s="872"/>
      <c r="GT463" s="872"/>
      <c r="GU463" s="872"/>
      <c r="GV463" s="872"/>
      <c r="GW463" s="872"/>
      <c r="GX463" s="872"/>
      <c r="GY463" s="872"/>
      <c r="GZ463" s="872"/>
      <c r="HA463" s="872"/>
      <c r="HB463" s="872"/>
      <c r="HC463" s="872"/>
      <c r="HD463" s="872"/>
      <c r="HE463" s="872"/>
      <c r="HF463" s="872"/>
      <c r="HG463" s="872"/>
      <c r="HH463" s="872"/>
      <c r="HI463" s="872"/>
      <c r="HJ463" s="872"/>
      <c r="HK463" s="872"/>
      <c r="HL463" s="872"/>
      <c r="HM463" s="872"/>
      <c r="HO463" s="2352"/>
      <c r="HP463" s="1592"/>
      <c r="HQ463" s="1592"/>
      <c r="HR463" s="942" t="s">
        <v>1104</v>
      </c>
      <c r="HS463" s="942" t="str">
        <f>+HS3</f>
        <v>Jul-Dec</v>
      </c>
      <c r="HT463" s="942" t="str">
        <f>+HT3</f>
        <v>Jan-Jun</v>
      </c>
      <c r="HU463" s="769" t="s">
        <v>904</v>
      </c>
      <c r="HV463" s="942" t="str">
        <f>+HV3</f>
        <v>July-Dec</v>
      </c>
      <c r="HW463" s="942" t="str">
        <f>+HW3</f>
        <v>Jan-June</v>
      </c>
      <c r="HX463" s="769" t="s">
        <v>904</v>
      </c>
      <c r="HY463" s="460" t="str">
        <f>+HY3</f>
        <v>Jul-Dec</v>
      </c>
      <c r="HZ463" s="460" t="str">
        <f>+HZ3</f>
        <v>Jan-Jun</v>
      </c>
      <c r="IA463" s="460" t="str">
        <f>+IA3</f>
        <v>Proj.</v>
      </c>
      <c r="IB463" s="460" t="str">
        <f>+IB3</f>
        <v>Jul-Dec</v>
      </c>
      <c r="IC463" s="460" t="str">
        <f>+IC3</f>
        <v>Jan-Jun</v>
      </c>
      <c r="ID463" s="460" t="str">
        <f>+ID3</f>
        <v>Proj.</v>
      </c>
      <c r="IE463" s="460" t="str">
        <f>+IE3</f>
        <v>Jul-Dec</v>
      </c>
      <c r="IF463" s="460" t="str">
        <f>+IF3</f>
        <v>Jan-Jun</v>
      </c>
      <c r="IG463" s="460" t="str">
        <f>+IG3</f>
        <v>Proj.</v>
      </c>
      <c r="IH463" s="460" t="str">
        <f>+IH3</f>
        <v>Jul-Dec</v>
      </c>
      <c r="II463" s="460" t="str">
        <f>+II3</f>
        <v>Jan-Jun</v>
      </c>
      <c r="IJ463" s="460" t="str">
        <f>+IJ3</f>
        <v>Proj.</v>
      </c>
      <c r="IK463" s="460" t="str">
        <f>+IK3</f>
        <v>Jul-Dec</v>
      </c>
      <c r="IL463" s="460" t="str">
        <f>+IL3</f>
        <v>Jan-Jun</v>
      </c>
      <c r="IM463" s="460" t="str">
        <f>+KH3</f>
        <v>Proj.</v>
      </c>
      <c r="IN463" s="460" t="str">
        <f>+IN3</f>
        <v>Jul-Dec</v>
      </c>
      <c r="IO463" s="460" t="str">
        <f>+IO3</f>
        <v>Jan-Jun</v>
      </c>
      <c r="IP463" s="460" t="str">
        <f>+IP3</f>
        <v>Proj.</v>
      </c>
      <c r="IQ463" s="460" t="str">
        <f>+IQ3</f>
        <v>Jul-Dec</v>
      </c>
      <c r="IR463" s="460" t="str">
        <f>+IR3</f>
        <v>Jan-Jun</v>
      </c>
      <c r="IS463" s="460" t="str">
        <f>+IS3</f>
        <v>Proj.</v>
      </c>
      <c r="IT463" s="460" t="str">
        <f>+IT3</f>
        <v>Jul-Dec</v>
      </c>
      <c r="IU463" s="460" t="str">
        <f>+IU3</f>
        <v>Jan-Jun</v>
      </c>
      <c r="IV463" s="460" t="str">
        <f>+IV3</f>
        <v>Proj.</v>
      </c>
      <c r="IW463" s="460" t="str">
        <f>+IW3</f>
        <v>Jul-Dec</v>
      </c>
      <c r="IX463" s="460" t="str">
        <f>+IX3</f>
        <v>Jan-Jun</v>
      </c>
      <c r="IY463" s="460" t="str">
        <f>+IY3</f>
        <v>Proj.</v>
      </c>
      <c r="IZ463" s="460" t="str">
        <f>+IZ3</f>
        <v>Jul-Dec</v>
      </c>
      <c r="JA463" s="460" t="str">
        <f>+JA3</f>
        <v>Jan-Jun</v>
      </c>
      <c r="JB463" s="460" t="str">
        <f>+JB3</f>
        <v>Proj.</v>
      </c>
      <c r="JC463" s="460" t="str">
        <f>+JC3</f>
        <v>Jul-Dec</v>
      </c>
      <c r="JD463" s="460" t="str">
        <f>+JD3</f>
        <v>Jan-Jun</v>
      </c>
      <c r="JE463" s="460" t="str">
        <f>+JE3</f>
        <v>Proj.</v>
      </c>
      <c r="JF463" s="460" t="str">
        <f>+JF3</f>
        <v>Jul-Dec</v>
      </c>
      <c r="JG463" s="460" t="str">
        <f>+JG3</f>
        <v>Jan-Jun</v>
      </c>
      <c r="JH463" s="460" t="str">
        <f>+JH3</f>
        <v>Proj.</v>
      </c>
      <c r="JI463" s="460" t="str">
        <f>+JI3</f>
        <v>Jul-Dec</v>
      </c>
      <c r="JJ463" s="460" t="str">
        <f>+JJ3</f>
        <v>Jan-Jun</v>
      </c>
      <c r="JK463" s="460" t="str">
        <f>+JK3</f>
        <v>Proj.</v>
      </c>
      <c r="JL463" s="460" t="str">
        <f>+JL3</f>
        <v>Jul-Dec</v>
      </c>
      <c r="JM463" s="460" t="str">
        <f>+JM3</f>
        <v>Jan-Jun</v>
      </c>
      <c r="JN463" s="460" t="str">
        <f>+JN3</f>
        <v>Proj.</v>
      </c>
      <c r="JO463" s="460"/>
      <c r="JP463" s="460"/>
      <c r="JQ463" s="460"/>
      <c r="JR463" s="460"/>
      <c r="JS463" s="460"/>
      <c r="JT463" s="460"/>
      <c r="JU463" s="460"/>
      <c r="JV463" s="460"/>
      <c r="JW463" s="460"/>
      <c r="JX463" s="460"/>
      <c r="JY463" s="460"/>
      <c r="JZ463" s="460"/>
      <c r="KA463" s="460"/>
      <c r="KB463" s="460"/>
      <c r="KC463" s="460"/>
      <c r="KD463" s="460"/>
      <c r="KE463" s="460"/>
      <c r="KF463" s="460"/>
      <c r="KG463" s="460"/>
      <c r="KH463" s="460"/>
      <c r="KO463" s="305" t="str">
        <f t="shared" si="61"/>
        <v>2017/18</v>
      </c>
      <c r="KP463" s="305" t="str">
        <f t="shared" si="61"/>
        <v>2017/18</v>
      </c>
    </row>
    <row r="464" spans="1:302">
      <c r="D464" s="351"/>
      <c r="CD464" s="375">
        <f t="shared" ref="CD464:DI464" si="62">+CD1</f>
        <v>41426</v>
      </c>
      <c r="CE464" s="375">
        <f t="shared" si="62"/>
        <v>41456</v>
      </c>
      <c r="CF464" s="375">
        <f t="shared" si="62"/>
        <v>41487</v>
      </c>
      <c r="CG464" s="375">
        <f t="shared" si="62"/>
        <v>41518</v>
      </c>
      <c r="CH464" s="375">
        <f t="shared" si="62"/>
        <v>41548</v>
      </c>
      <c r="CI464" s="375">
        <f t="shared" si="62"/>
        <v>41579</v>
      </c>
      <c r="CJ464" s="375">
        <f t="shared" si="62"/>
        <v>41609</v>
      </c>
      <c r="CK464" s="375">
        <f t="shared" si="62"/>
        <v>41640</v>
      </c>
      <c r="CL464" s="375">
        <f t="shared" si="62"/>
        <v>41671</v>
      </c>
      <c r="CM464" s="375">
        <f t="shared" si="62"/>
        <v>41699</v>
      </c>
      <c r="CN464" s="375">
        <f t="shared" si="62"/>
        <v>41730</v>
      </c>
      <c r="CO464" s="375">
        <f t="shared" si="62"/>
        <v>41760</v>
      </c>
      <c r="CP464" s="1492">
        <f t="shared" si="62"/>
        <v>41791</v>
      </c>
      <c r="CQ464" s="375">
        <f t="shared" si="62"/>
        <v>41821</v>
      </c>
      <c r="CR464" s="375">
        <f t="shared" si="62"/>
        <v>41852</v>
      </c>
      <c r="CS464" s="375">
        <f t="shared" si="62"/>
        <v>41883</v>
      </c>
      <c r="CT464" s="375">
        <f t="shared" si="62"/>
        <v>41913</v>
      </c>
      <c r="CU464" s="375">
        <f t="shared" si="62"/>
        <v>41944</v>
      </c>
      <c r="CV464" s="375">
        <f t="shared" si="62"/>
        <v>41974</v>
      </c>
      <c r="CW464" s="375">
        <f t="shared" si="62"/>
        <v>42005</v>
      </c>
      <c r="CX464" s="375">
        <f t="shared" si="62"/>
        <v>42036</v>
      </c>
      <c r="CY464" s="375">
        <f t="shared" si="62"/>
        <v>42064</v>
      </c>
      <c r="CZ464" s="375">
        <f t="shared" si="62"/>
        <v>42095</v>
      </c>
      <c r="DA464" s="375">
        <f t="shared" si="62"/>
        <v>42125</v>
      </c>
      <c r="DB464" s="1515">
        <f t="shared" si="62"/>
        <v>42156</v>
      </c>
      <c r="DC464" s="375">
        <f t="shared" si="62"/>
        <v>42186</v>
      </c>
      <c r="DD464" s="375">
        <f t="shared" si="62"/>
        <v>42217</v>
      </c>
      <c r="DE464" s="375">
        <f t="shared" si="62"/>
        <v>42248</v>
      </c>
      <c r="DF464" s="375">
        <f t="shared" si="62"/>
        <v>42278</v>
      </c>
      <c r="DG464" s="375">
        <f t="shared" si="62"/>
        <v>42309</v>
      </c>
      <c r="DH464" s="375">
        <f t="shared" si="62"/>
        <v>42339</v>
      </c>
      <c r="DI464" s="375">
        <f t="shared" si="62"/>
        <v>42370</v>
      </c>
      <c r="DJ464" s="375">
        <f t="shared" ref="DJ464:EO464" si="63">+DJ1</f>
        <v>42401</v>
      </c>
      <c r="DK464" s="375">
        <f t="shared" si="63"/>
        <v>42430</v>
      </c>
      <c r="DL464" s="375">
        <f t="shared" si="63"/>
        <v>42461</v>
      </c>
      <c r="DM464" s="375">
        <f t="shared" si="63"/>
        <v>42491</v>
      </c>
      <c r="DN464" s="1492">
        <f t="shared" si="63"/>
        <v>42522</v>
      </c>
      <c r="DO464" s="375">
        <f t="shared" si="63"/>
        <v>42552</v>
      </c>
      <c r="DP464" s="375">
        <f t="shared" si="63"/>
        <v>42583</v>
      </c>
      <c r="DQ464" s="375">
        <f t="shared" si="63"/>
        <v>42615</v>
      </c>
      <c r="DR464" s="375">
        <f t="shared" si="63"/>
        <v>42646</v>
      </c>
      <c r="DS464" s="375">
        <f t="shared" si="63"/>
        <v>42678</v>
      </c>
      <c r="DT464" s="375">
        <f t="shared" si="63"/>
        <v>42709</v>
      </c>
      <c r="DU464" s="375">
        <f t="shared" si="63"/>
        <v>42736</v>
      </c>
      <c r="DV464" s="375">
        <f t="shared" si="63"/>
        <v>42767</v>
      </c>
      <c r="DW464" s="375">
        <f t="shared" si="63"/>
        <v>42795</v>
      </c>
      <c r="DX464" s="375">
        <f t="shared" si="63"/>
        <v>42826</v>
      </c>
      <c r="DY464" s="375">
        <f t="shared" si="63"/>
        <v>42856</v>
      </c>
      <c r="DZ464" s="873">
        <f t="shared" si="63"/>
        <v>42887</v>
      </c>
      <c r="EA464" s="872">
        <f t="shared" si="63"/>
        <v>42917</v>
      </c>
      <c r="EB464" s="375">
        <f t="shared" si="63"/>
        <v>42948</v>
      </c>
      <c r="EC464" s="375">
        <f t="shared" si="63"/>
        <v>42979</v>
      </c>
      <c r="ED464" s="375">
        <f t="shared" si="63"/>
        <v>43009</v>
      </c>
      <c r="EE464" s="375">
        <f t="shared" si="63"/>
        <v>43040</v>
      </c>
      <c r="EF464" s="375">
        <f t="shared" si="63"/>
        <v>43070</v>
      </c>
      <c r="EG464" s="375">
        <f t="shared" si="63"/>
        <v>43101</v>
      </c>
      <c r="EH464" s="375">
        <f t="shared" si="63"/>
        <v>43132</v>
      </c>
      <c r="EI464" s="375">
        <f t="shared" si="63"/>
        <v>43160</v>
      </c>
      <c r="EJ464" s="375">
        <f t="shared" si="63"/>
        <v>43191</v>
      </c>
      <c r="EK464" s="375">
        <f t="shared" si="63"/>
        <v>43221</v>
      </c>
      <c r="EL464" s="1492">
        <f t="shared" si="63"/>
        <v>43252</v>
      </c>
      <c r="EM464" s="375">
        <f t="shared" si="63"/>
        <v>43282</v>
      </c>
      <c r="EN464" s="375">
        <f t="shared" si="63"/>
        <v>43313</v>
      </c>
      <c r="EO464" s="375">
        <f t="shared" si="63"/>
        <v>43344</v>
      </c>
      <c r="EP464" s="375">
        <f t="shared" ref="EP464:FI464" si="64">+EP1</f>
        <v>43374</v>
      </c>
      <c r="EQ464" s="375">
        <f t="shared" si="64"/>
        <v>43405</v>
      </c>
      <c r="ER464" s="375">
        <f t="shared" si="64"/>
        <v>43435</v>
      </c>
      <c r="ES464" s="375">
        <f t="shared" si="64"/>
        <v>43466</v>
      </c>
      <c r="ET464" s="375">
        <f t="shared" si="64"/>
        <v>43497</v>
      </c>
      <c r="EU464" s="375">
        <f t="shared" si="64"/>
        <v>43525</v>
      </c>
      <c r="EV464" s="375">
        <f t="shared" si="64"/>
        <v>43556</v>
      </c>
      <c r="EW464" s="375">
        <f t="shared" si="64"/>
        <v>43586</v>
      </c>
      <c r="EX464" s="1492">
        <f t="shared" si="64"/>
        <v>43617</v>
      </c>
      <c r="EY464" s="375">
        <f t="shared" si="64"/>
        <v>43647</v>
      </c>
      <c r="EZ464" s="375">
        <f t="shared" si="64"/>
        <v>43678</v>
      </c>
      <c r="FA464" s="375">
        <f t="shared" si="64"/>
        <v>43709</v>
      </c>
      <c r="FB464" s="375">
        <f t="shared" si="64"/>
        <v>43739</v>
      </c>
      <c r="FC464" s="375">
        <f t="shared" si="64"/>
        <v>43770</v>
      </c>
      <c r="FD464" s="375">
        <f t="shared" si="64"/>
        <v>43800</v>
      </c>
      <c r="FE464" s="375">
        <f t="shared" si="64"/>
        <v>43831</v>
      </c>
      <c r="FF464" s="375">
        <f t="shared" si="64"/>
        <v>43862</v>
      </c>
      <c r="FG464" s="375">
        <f t="shared" si="64"/>
        <v>43891</v>
      </c>
      <c r="FH464" s="375">
        <f t="shared" si="64"/>
        <v>43922</v>
      </c>
      <c r="FI464" s="375">
        <f t="shared" si="64"/>
        <v>43952</v>
      </c>
      <c r="FJ464" s="1492"/>
      <c r="FK464" s="375"/>
      <c r="FL464" s="375"/>
      <c r="FM464" s="375"/>
      <c r="FN464" s="375"/>
      <c r="FO464" s="375"/>
      <c r="FP464" s="375"/>
      <c r="FQ464" s="375"/>
      <c r="FR464" s="375"/>
      <c r="FS464" s="375"/>
      <c r="FT464" s="375"/>
      <c r="FU464" s="375"/>
      <c r="FV464" s="375"/>
      <c r="FW464" s="375"/>
      <c r="FX464" s="375"/>
      <c r="FY464" s="375"/>
      <c r="FZ464" s="375"/>
      <c r="GA464" s="375"/>
      <c r="GB464" s="375"/>
      <c r="GC464" s="375"/>
      <c r="GD464" s="375"/>
      <c r="GE464" s="375"/>
      <c r="GF464" s="375"/>
      <c r="GG464" s="375"/>
      <c r="GH464" s="375"/>
      <c r="GI464" s="375"/>
      <c r="GJ464" s="375"/>
      <c r="GK464" s="375"/>
      <c r="GL464" s="375"/>
      <c r="GM464" s="375"/>
      <c r="GN464" s="375"/>
      <c r="GO464" s="375"/>
      <c r="GP464" s="375"/>
      <c r="GQ464" s="375"/>
      <c r="GR464" s="375"/>
      <c r="GS464" s="375"/>
      <c r="GT464" s="375"/>
      <c r="GU464" s="375"/>
      <c r="GV464" s="375"/>
      <c r="GW464" s="375"/>
      <c r="GX464" s="375"/>
      <c r="GY464" s="375"/>
      <c r="GZ464" s="375"/>
      <c r="HA464" s="375"/>
      <c r="HB464" s="375"/>
      <c r="HC464" s="375"/>
      <c r="HD464" s="375"/>
      <c r="HE464" s="375"/>
      <c r="HF464" s="375"/>
      <c r="HG464" s="375"/>
      <c r="HH464" s="375"/>
      <c r="HI464" s="375"/>
      <c r="HJ464" s="375"/>
      <c r="HK464" s="375"/>
      <c r="HL464" s="375"/>
      <c r="HM464" s="375"/>
      <c r="HR464" s="346"/>
      <c r="HU464" s="346"/>
      <c r="HX464" s="346"/>
      <c r="HY464" s="302" t="s">
        <v>1049</v>
      </c>
      <c r="IA464" s="346"/>
      <c r="IB464" s="350"/>
      <c r="IC464" s="350"/>
      <c r="ID464" s="346"/>
      <c r="IE464" s="350"/>
      <c r="IF464" s="350"/>
      <c r="IG464" s="346"/>
      <c r="IH464" s="350"/>
      <c r="II464" s="350"/>
      <c r="IJ464" s="346"/>
      <c r="IK464" s="350"/>
      <c r="IL464" s="350"/>
      <c r="IM464" s="346"/>
      <c r="IN464" s="350"/>
      <c r="IO464" s="350"/>
      <c r="IP464" s="346"/>
      <c r="IQ464" s="350" t="str">
        <f>+IQ3</f>
        <v>Jul-Dec</v>
      </c>
      <c r="IR464" s="350" t="str">
        <f>+IR3</f>
        <v>Jan-Jun</v>
      </c>
      <c r="IS464" s="346"/>
      <c r="IT464" s="350"/>
      <c r="IU464" s="350"/>
      <c r="IV464" s="346"/>
      <c r="IW464" s="350"/>
      <c r="IX464" s="350"/>
      <c r="IY464" s="346"/>
      <c r="KO464" s="307" t="str">
        <f t="shared" si="61"/>
        <v>Jul-Dec</v>
      </c>
      <c r="KP464" s="307" t="str">
        <f t="shared" si="61"/>
        <v>Jan-Jun</v>
      </c>
    </row>
    <row r="465" spans="2:302">
      <c r="B465" s="117" t="s">
        <v>361</v>
      </c>
      <c r="D465" s="345" t="str">
        <f>+FISC!D671</f>
        <v>Revenue and grants</v>
      </c>
      <c r="E465" s="346">
        <f t="shared" ref="E465:AJ465" si="65">E467+E491</f>
        <v>17.567921312999999</v>
      </c>
      <c r="F465" s="346">
        <f t="shared" si="65"/>
        <v>18.817342955000001</v>
      </c>
      <c r="G465" s="346">
        <f t="shared" si="65"/>
        <v>44.459580340000002</v>
      </c>
      <c r="H465" s="346">
        <f t="shared" si="65"/>
        <v>24.441848096000001</v>
      </c>
      <c r="I465" s="346">
        <f t="shared" si="65"/>
        <v>51.516113346000004</v>
      </c>
      <c r="J465" s="346">
        <f t="shared" si="65"/>
        <v>97.216453211000015</v>
      </c>
      <c r="K465" s="346">
        <f t="shared" si="65"/>
        <v>19.786233704999997</v>
      </c>
      <c r="L465" s="346">
        <f t="shared" si="65"/>
        <v>28.826024725</v>
      </c>
      <c r="M465" s="346">
        <f t="shared" si="65"/>
        <v>44.354562829000002</v>
      </c>
      <c r="N465" s="346">
        <f t="shared" si="65"/>
        <v>30.151426880999999</v>
      </c>
      <c r="O465" s="346">
        <f t="shared" si="65"/>
        <v>23.413298776000001</v>
      </c>
      <c r="P465" s="346">
        <f t="shared" si="65"/>
        <v>59.678926500000003</v>
      </c>
      <c r="Q465" s="346">
        <f t="shared" si="65"/>
        <v>29.251193269999998</v>
      </c>
      <c r="R465" s="346">
        <f t="shared" si="65"/>
        <v>21.164371927000001</v>
      </c>
      <c r="S465" s="346">
        <f t="shared" si="65"/>
        <v>88.816242031999991</v>
      </c>
      <c r="T465" s="346">
        <f t="shared" si="65"/>
        <v>25.994996380000003</v>
      </c>
      <c r="U465" s="346">
        <f t="shared" si="65"/>
        <v>61.182207654000003</v>
      </c>
      <c r="V465" s="346">
        <f t="shared" si="65"/>
        <v>92.412830514000007</v>
      </c>
      <c r="W465" s="346">
        <f t="shared" si="65"/>
        <v>26.935916471999999</v>
      </c>
      <c r="X465" s="346">
        <f t="shared" si="65"/>
        <v>35.083569790999995</v>
      </c>
      <c r="Y465" s="346">
        <f t="shared" si="65"/>
        <v>67.762742703000001</v>
      </c>
      <c r="Z465" s="346">
        <f t="shared" si="65"/>
        <v>49.776869621000003</v>
      </c>
      <c r="AA465" s="346">
        <f t="shared" si="65"/>
        <v>29.930646900999996</v>
      </c>
      <c r="AB465" s="346">
        <f t="shared" si="65"/>
        <v>132.44269054199998</v>
      </c>
      <c r="AC465" s="346">
        <f t="shared" si="65"/>
        <v>29.319654589999999</v>
      </c>
      <c r="AD465" s="346">
        <f t="shared" si="65"/>
        <v>37.497062631000006</v>
      </c>
      <c r="AE465" s="346">
        <f t="shared" si="65"/>
        <v>65.882136634999995</v>
      </c>
      <c r="AF465" s="346">
        <f t="shared" si="65"/>
        <v>80.300595043999991</v>
      </c>
      <c r="AG465" s="346">
        <f t="shared" si="65"/>
        <v>31.634799859000001</v>
      </c>
      <c r="AH465" s="346">
        <f t="shared" si="65"/>
        <v>92.535884168999985</v>
      </c>
      <c r="AI465" s="346">
        <f t="shared" si="65"/>
        <v>40.661176794999996</v>
      </c>
      <c r="AJ465" s="346">
        <f t="shared" si="65"/>
        <v>31.365358114000003</v>
      </c>
      <c r="AK465" s="346">
        <f t="shared" ref="AK465:BP465" si="66">AK467+AK491</f>
        <v>110.58222992</v>
      </c>
      <c r="AL465" s="346">
        <f t="shared" si="66"/>
        <v>80.469577517999994</v>
      </c>
      <c r="AM465" s="346">
        <f t="shared" si="66"/>
        <v>38.042655173999997</v>
      </c>
      <c r="AN465" s="346">
        <f t="shared" si="66"/>
        <v>88.467466396999981</v>
      </c>
      <c r="AO465" s="346">
        <f t="shared" si="66"/>
        <v>51.414137945999997</v>
      </c>
      <c r="AP465" s="346">
        <f t="shared" si="66"/>
        <v>28.208919395999999</v>
      </c>
      <c r="AQ465" s="346">
        <f t="shared" si="66"/>
        <v>81.923191242999991</v>
      </c>
      <c r="AR465" s="346">
        <f t="shared" si="66"/>
        <v>43.457104891</v>
      </c>
      <c r="AS465" s="346">
        <f t="shared" si="66"/>
        <v>40.239970697000004</v>
      </c>
      <c r="AT465" s="346">
        <f t="shared" si="66"/>
        <v>162.241365312</v>
      </c>
      <c r="AU465" s="346">
        <f t="shared" si="66"/>
        <v>38.026135392</v>
      </c>
      <c r="AV465" s="346">
        <f t="shared" si="66"/>
        <v>41.030005124999995</v>
      </c>
      <c r="AW465" s="346">
        <f t="shared" si="66"/>
        <v>133.22447170499998</v>
      </c>
      <c r="AX465" s="346">
        <f t="shared" si="66"/>
        <v>60.783805940000001</v>
      </c>
      <c r="AY465" s="346">
        <f t="shared" si="66"/>
        <v>44.310152950000003</v>
      </c>
      <c r="AZ465" s="346">
        <f t="shared" si="66"/>
        <v>150.604230194</v>
      </c>
      <c r="BA465" s="346">
        <f t="shared" si="66"/>
        <v>40.903606083</v>
      </c>
      <c r="BB465" s="346">
        <f t="shared" si="66"/>
        <v>37.697012786000002</v>
      </c>
      <c r="BC465" s="346">
        <f t="shared" si="66"/>
        <v>78.152326082000002</v>
      </c>
      <c r="BD465" s="346">
        <f t="shared" si="66"/>
        <v>105.66912261376</v>
      </c>
      <c r="BE465" s="346">
        <f t="shared" si="66"/>
        <v>43.306229338230004</v>
      </c>
      <c r="BF465" s="346">
        <f t="shared" si="66"/>
        <v>90.784551812999993</v>
      </c>
      <c r="BG465" s="346">
        <f t="shared" si="66"/>
        <v>77.180308651800004</v>
      </c>
      <c r="BH465" s="346">
        <f t="shared" si="66"/>
        <v>80.865502152200008</v>
      </c>
      <c r="BI465" s="346">
        <f t="shared" si="66"/>
        <v>123.79901238390001</v>
      </c>
      <c r="BJ465" s="346">
        <f t="shared" si="66"/>
        <v>117.794734113</v>
      </c>
      <c r="BK465" s="346">
        <f t="shared" si="66"/>
        <v>48.266520284999999</v>
      </c>
      <c r="BL465" s="346">
        <f t="shared" si="66"/>
        <v>155.04342448400001</v>
      </c>
      <c r="BM465" s="346">
        <f t="shared" si="66"/>
        <v>46.396559704999994</v>
      </c>
      <c r="BN465" s="346">
        <f t="shared" si="66"/>
        <v>48.426343994999996</v>
      </c>
      <c r="BO465" s="346">
        <f t="shared" si="66"/>
        <v>99.923344535999988</v>
      </c>
      <c r="BP465" s="346">
        <f t="shared" si="66"/>
        <v>44.821710919999994</v>
      </c>
      <c r="BQ465" s="346">
        <f t="shared" ref="BQ465:CV465" si="67">BQ467+BQ491</f>
        <v>56.859600789000005</v>
      </c>
      <c r="BR465" s="346">
        <f t="shared" si="67"/>
        <v>157.40981045162576</v>
      </c>
      <c r="BS465" s="346">
        <f t="shared" si="67"/>
        <v>91.514599451901631</v>
      </c>
      <c r="BT465" s="346">
        <f t="shared" si="67"/>
        <v>66.031509459931115</v>
      </c>
      <c r="BU465" s="346">
        <f t="shared" si="67"/>
        <v>80.967502676272119</v>
      </c>
      <c r="BV465" s="346">
        <f t="shared" si="67"/>
        <v>116.00640018889051</v>
      </c>
      <c r="BW465" s="346">
        <f t="shared" si="67"/>
        <v>90.734610517433723</v>
      </c>
      <c r="BX465" s="346">
        <f t="shared" si="67"/>
        <v>102.06086856069035</v>
      </c>
      <c r="BY465" s="346">
        <f t="shared" si="67"/>
        <v>53.00960789090707</v>
      </c>
      <c r="BZ465" s="346">
        <f t="shared" si="67"/>
        <v>56.690963510925009</v>
      </c>
      <c r="CA465" s="346">
        <f t="shared" si="67"/>
        <v>110.13507579811498</v>
      </c>
      <c r="CB465" s="346">
        <f t="shared" si="67"/>
        <v>91.61277264487812</v>
      </c>
      <c r="CC465" s="346">
        <f t="shared" si="67"/>
        <v>106.22123967949275</v>
      </c>
      <c r="CD465" s="346">
        <f t="shared" si="67"/>
        <v>128.45273046759502</v>
      </c>
      <c r="CE465" s="347">
        <f t="shared" si="67"/>
        <v>92.549278820603035</v>
      </c>
      <c r="CF465" s="346">
        <f t="shared" si="67"/>
        <v>99.938945574972621</v>
      </c>
      <c r="CG465" s="346">
        <f t="shared" si="67"/>
        <v>145.21032672111141</v>
      </c>
      <c r="CH465" s="346">
        <f t="shared" si="67"/>
        <v>130.78878670856406</v>
      </c>
      <c r="CI465" s="346">
        <f t="shared" si="67"/>
        <v>94.950408696585725</v>
      </c>
      <c r="CJ465" s="346">
        <f t="shared" si="67"/>
        <v>149.48953430005673</v>
      </c>
      <c r="CK465" s="346">
        <f t="shared" si="67"/>
        <v>86.393434501087185</v>
      </c>
      <c r="CL465" s="346">
        <f t="shared" si="67"/>
        <v>78.682708284346262</v>
      </c>
      <c r="CM465" s="346">
        <f t="shared" si="67"/>
        <v>103.60083830312736</v>
      </c>
      <c r="CN465" s="346">
        <f t="shared" si="67"/>
        <v>120.535313220023</v>
      </c>
      <c r="CO465" s="346">
        <f t="shared" si="67"/>
        <v>104.27172801772727</v>
      </c>
      <c r="CP465" s="348">
        <f t="shared" si="67"/>
        <v>145.54508084441341</v>
      </c>
      <c r="CQ465" s="346">
        <f t="shared" si="67"/>
        <v>97.444454177000253</v>
      </c>
      <c r="CR465" s="346">
        <f t="shared" si="67"/>
        <v>85.969450701141326</v>
      </c>
      <c r="CS465" s="346">
        <f t="shared" si="67"/>
        <v>117.18117262901525</v>
      </c>
      <c r="CT465" s="346">
        <f t="shared" si="67"/>
        <v>100.7405313627702</v>
      </c>
      <c r="CU465" s="346">
        <f t="shared" si="67"/>
        <v>97.125174263967466</v>
      </c>
      <c r="CV465" s="346">
        <f t="shared" si="67"/>
        <v>189.61397173250339</v>
      </c>
      <c r="CW465" s="346">
        <f t="shared" ref="CW465:EB465" si="68">CW467+CW491</f>
        <v>104.38635464507948</v>
      </c>
      <c r="CX465" s="346">
        <f t="shared" si="68"/>
        <v>88.103058839231437</v>
      </c>
      <c r="CY465" s="346">
        <f t="shared" si="68"/>
        <v>166.29605454271535</v>
      </c>
      <c r="CZ465" s="346">
        <f t="shared" si="68"/>
        <v>92.532683637132237</v>
      </c>
      <c r="DA465" s="346">
        <f t="shared" si="68"/>
        <v>124.11159501935053</v>
      </c>
      <c r="DB465" s="1479">
        <f t="shared" si="68"/>
        <v>141.81188324721271</v>
      </c>
      <c r="DC465" s="346">
        <f t="shared" si="68"/>
        <v>101.86321793019081</v>
      </c>
      <c r="DD465" s="346">
        <f t="shared" si="68"/>
        <v>95.689750483962627</v>
      </c>
      <c r="DE465" s="346">
        <f t="shared" si="68"/>
        <v>138.18217431660059</v>
      </c>
      <c r="DF465" s="346">
        <f t="shared" si="68"/>
        <v>106.78077978713375</v>
      </c>
      <c r="DG465" s="346">
        <f t="shared" si="68"/>
        <v>135.21825395790682</v>
      </c>
      <c r="DH465" s="346">
        <f t="shared" si="68"/>
        <v>163.03360807208975</v>
      </c>
      <c r="DI465" s="346">
        <f t="shared" si="68"/>
        <v>91.863323715402089</v>
      </c>
      <c r="DJ465" s="346">
        <f t="shared" si="68"/>
        <v>92.444946682369817</v>
      </c>
      <c r="DK465" s="346">
        <f t="shared" si="68"/>
        <v>168.57032349691218</v>
      </c>
      <c r="DL465" s="346">
        <f t="shared" si="68"/>
        <v>149.27739043231779</v>
      </c>
      <c r="DM465" s="346">
        <f t="shared" si="68"/>
        <v>103.64606440587504</v>
      </c>
      <c r="DN465" s="348">
        <f t="shared" si="68"/>
        <v>195.08737509552151</v>
      </c>
      <c r="DO465" s="346">
        <f t="shared" si="68"/>
        <v>98.9957490220945</v>
      </c>
      <c r="DP465" s="346">
        <f t="shared" si="68"/>
        <v>95.018024768350983</v>
      </c>
      <c r="DQ465" s="346">
        <f t="shared" si="68"/>
        <v>150.70467332625046</v>
      </c>
      <c r="DR465" s="346">
        <f t="shared" si="68"/>
        <v>86.980250273503628</v>
      </c>
      <c r="DS465" s="346">
        <f t="shared" si="68"/>
        <v>98.099403332868491</v>
      </c>
      <c r="DT465" s="346">
        <f t="shared" si="68"/>
        <v>191.17310866466309</v>
      </c>
      <c r="DU465" s="346">
        <f t="shared" si="68"/>
        <v>123.84515065225334</v>
      </c>
      <c r="DV465" s="346">
        <f t="shared" si="68"/>
        <v>84.405835023695573</v>
      </c>
      <c r="DW465" s="346">
        <f t="shared" si="68"/>
        <v>176.7172126856556</v>
      </c>
      <c r="DX465" s="346">
        <f t="shared" si="68"/>
        <v>108.83754864268492</v>
      </c>
      <c r="DY465" s="346">
        <f t="shared" si="68"/>
        <v>93.684714298684526</v>
      </c>
      <c r="DZ465" s="1492">
        <f t="shared" si="68"/>
        <v>218.79224338945636</v>
      </c>
      <c r="EA465" s="375">
        <f t="shared" si="68"/>
        <v>118.80068731294176</v>
      </c>
      <c r="EB465" s="346">
        <f t="shared" si="68"/>
        <v>111.53047961893775</v>
      </c>
      <c r="EC465" s="346">
        <f t="shared" ref="EC465:EL465" si="69">EC467+EC491</f>
        <v>157.93575165298049</v>
      </c>
      <c r="ED465" s="346">
        <f t="shared" si="69"/>
        <v>141.9346046446164</v>
      </c>
      <c r="EE465" s="346">
        <f t="shared" si="69"/>
        <v>123.51707166911035</v>
      </c>
      <c r="EF465" s="346">
        <f t="shared" si="69"/>
        <v>231.75638460469625</v>
      </c>
      <c r="EG465" s="346">
        <f t="shared" si="69"/>
        <v>157.58379168818499</v>
      </c>
      <c r="EH465" s="346">
        <f t="shared" si="69"/>
        <v>108.15125762557307</v>
      </c>
      <c r="EI465" s="346">
        <f t="shared" si="69"/>
        <v>194.13150207953075</v>
      </c>
      <c r="EJ465" s="346">
        <f t="shared" si="69"/>
        <v>164.10517563517249</v>
      </c>
      <c r="EK465" s="346">
        <f t="shared" si="69"/>
        <v>116.15851874447057</v>
      </c>
      <c r="EL465" s="348">
        <f t="shared" si="69"/>
        <v>194.80548337542845</v>
      </c>
      <c r="EM465" s="346">
        <f t="shared" ref="EM465:ER465" si="70">EM467+EM491</f>
        <v>120.38478829835121</v>
      </c>
      <c r="EN465" s="346">
        <f t="shared" si="70"/>
        <v>177.00508353616374</v>
      </c>
      <c r="EO465" s="346">
        <f t="shared" si="70"/>
        <v>195.07450685982189</v>
      </c>
      <c r="EP465" s="346">
        <f t="shared" si="70"/>
        <v>145.86926634653787</v>
      </c>
      <c r="EQ465" s="346">
        <f t="shared" si="70"/>
        <v>117.38035679055673</v>
      </c>
      <c r="ER465" s="346">
        <f t="shared" si="70"/>
        <v>284.71255700889509</v>
      </c>
      <c r="ES465" s="346">
        <f t="shared" ref="ES465:EX465" si="71">ES467+ES491</f>
        <v>153.46053874431939</v>
      </c>
      <c r="ET465" s="346">
        <f t="shared" si="71"/>
        <v>152.15785626601814</v>
      </c>
      <c r="EU465" s="346">
        <f t="shared" si="71"/>
        <v>198.77553167169154</v>
      </c>
      <c r="EV465" s="346">
        <f t="shared" si="71"/>
        <v>176.45538054698383</v>
      </c>
      <c r="EW465" s="346">
        <f t="shared" si="71"/>
        <v>130.47565852169629</v>
      </c>
      <c r="EX465" s="348">
        <f t="shared" si="71"/>
        <v>213.22514069120308</v>
      </c>
      <c r="EY465" s="346"/>
      <c r="EZ465" s="346"/>
      <c r="FA465" s="346"/>
      <c r="FB465" s="346"/>
      <c r="FC465" s="346"/>
      <c r="FD465" s="346"/>
      <c r="FE465" s="346"/>
      <c r="FF465" s="346"/>
      <c r="FG465" s="346"/>
      <c r="FH465" s="346"/>
      <c r="FI465" s="346"/>
      <c r="FJ465" s="348"/>
      <c r="FK465" s="346"/>
      <c r="FL465" s="346"/>
      <c r="FM465" s="346"/>
      <c r="FN465" s="346"/>
      <c r="FO465" s="346"/>
      <c r="FP465" s="346"/>
      <c r="FQ465" s="346"/>
      <c r="FR465" s="346"/>
      <c r="FS465" s="346"/>
      <c r="FT465" s="346"/>
      <c r="FU465" s="346"/>
      <c r="FV465" s="346"/>
      <c r="FW465" s="346"/>
      <c r="FX465" s="346"/>
      <c r="FY465" s="346"/>
      <c r="FZ465" s="346"/>
      <c r="GA465" s="346"/>
      <c r="GB465" s="346"/>
      <c r="GC465" s="346"/>
      <c r="GD465" s="346"/>
      <c r="GE465" s="346"/>
      <c r="GF465" s="346"/>
      <c r="GG465" s="346"/>
      <c r="GH465" s="346"/>
      <c r="GI465" s="346"/>
      <c r="GJ465" s="346"/>
      <c r="GK465" s="346"/>
      <c r="GL465" s="346"/>
      <c r="GM465" s="346"/>
      <c r="GN465" s="346"/>
      <c r="GO465" s="346"/>
      <c r="GP465" s="346"/>
      <c r="GQ465" s="346"/>
      <c r="GR465" s="346"/>
      <c r="GS465" s="346"/>
      <c r="GT465" s="346"/>
      <c r="GU465" s="346"/>
      <c r="GV465" s="346"/>
      <c r="GW465" s="346"/>
      <c r="GX465" s="346"/>
      <c r="GY465" s="346"/>
      <c r="GZ465" s="346"/>
      <c r="HA465" s="346"/>
      <c r="HB465" s="346"/>
      <c r="HC465" s="346"/>
      <c r="HD465" s="346"/>
      <c r="HE465" s="346"/>
      <c r="HF465" s="346"/>
      <c r="HG465" s="346"/>
      <c r="HH465" s="346"/>
      <c r="HI465" s="346"/>
      <c r="HJ465" s="346"/>
      <c r="HK465" s="346"/>
      <c r="HL465" s="346"/>
      <c r="HM465" s="346"/>
      <c r="HN465" s="349"/>
      <c r="HO465" s="345" t="s">
        <v>135</v>
      </c>
      <c r="HP465" s="345"/>
      <c r="HQ465" s="345"/>
      <c r="HR465" s="346">
        <f>+FISC!Z671</f>
        <v>1418.6704994724025</v>
      </c>
      <c r="HS465" s="302">
        <f t="shared" ref="HS465:IC465" si="72">HS467+HS491</f>
        <v>688.07475486639794</v>
      </c>
      <c r="HT465" s="302">
        <f t="shared" si="72"/>
        <v>717.24162993072173</v>
      </c>
      <c r="HU465" s="346">
        <f t="shared" si="72"/>
        <v>1405.3163847971196</v>
      </c>
      <c r="HV465" s="302">
        <f t="shared" si="72"/>
        <v>740.76778454788428</v>
      </c>
      <c r="HW465" s="302">
        <f t="shared" si="72"/>
        <v>800.88942382839832</v>
      </c>
      <c r="HX465" s="346">
        <f t="shared" si="72"/>
        <v>1541.6572083762826</v>
      </c>
      <c r="HY465" s="302">
        <f t="shared" si="72"/>
        <v>720.97120938773105</v>
      </c>
      <c r="HZ465" s="302">
        <f t="shared" si="72"/>
        <v>806.28270469243023</v>
      </c>
      <c r="IA465" s="346">
        <f t="shared" si="72"/>
        <v>1527.2539140801612</v>
      </c>
      <c r="IB465" s="302">
        <f t="shared" si="72"/>
        <v>885.45202754865852</v>
      </c>
      <c r="IC465" s="302">
        <f t="shared" si="72"/>
        <v>934.96040524238811</v>
      </c>
      <c r="ID465" s="346">
        <f>FISC!AC671</f>
        <v>1820.4124327910465</v>
      </c>
      <c r="IE465" s="302">
        <f>SUM(EM465:ER465)</f>
        <v>1040.4265588403266</v>
      </c>
      <c r="IF465" s="302">
        <f>SUM(ES465:EX465)</f>
        <v>1024.5501064419122</v>
      </c>
      <c r="IG465" s="346">
        <f>IE465+IF465</f>
        <v>2064.9766652822391</v>
      </c>
      <c r="IH465" s="302" t="e">
        <f>(IH467+IH491)*0+1127.74842668651</f>
        <v>#REF!</v>
      </c>
      <c r="II465" s="302" t="e">
        <f>IJ465-IH465</f>
        <v>#REF!</v>
      </c>
      <c r="IJ465" s="346">
        <f>+FISC!AE671</f>
        <v>2082.0309719952802</v>
      </c>
      <c r="IK465" s="302">
        <f>IK467+IK491</f>
        <v>1020.845015068115</v>
      </c>
      <c r="IL465" s="302">
        <f>IM465-IK465</f>
        <v>1150.6901107311451</v>
      </c>
      <c r="IM465" s="346">
        <f>+FISC!AF671</f>
        <v>2171.5351257992602</v>
      </c>
      <c r="IN465" s="302">
        <f>IN467+IN491</f>
        <v>3904.2146399144203</v>
      </c>
      <c r="IO465" s="302">
        <f>IP465-IN465</f>
        <v>4748.4741557023408</v>
      </c>
      <c r="IP465" s="346">
        <f>+FISC!AG671</f>
        <v>8652.6887956167611</v>
      </c>
      <c r="IQ465" s="302">
        <f>IQ467+IQ491</f>
        <v>5562.4794638844014</v>
      </c>
      <c r="IR465" s="302">
        <f>IS465-IQ465</f>
        <v>6522.1576302448575</v>
      </c>
      <c r="IS465" s="346">
        <f>+FISC!AH671</f>
        <v>12084.637094129259</v>
      </c>
      <c r="IT465" s="302">
        <f>IT467+IT491</f>
        <v>6349.5672001658677</v>
      </c>
      <c r="IU465" s="302">
        <f>IV465-IT465</f>
        <v>7297.4639334253188</v>
      </c>
      <c r="IV465" s="346">
        <f>+FISC!AI671</f>
        <v>13647.031133591187</v>
      </c>
      <c r="IW465" s="302">
        <f>IW467+IW491</f>
        <v>362.25086272272898</v>
      </c>
      <c r="IX465" s="302">
        <f>IY465-IW465</f>
        <v>263.51787651138415</v>
      </c>
      <c r="IY465" s="346">
        <f>+FISC!AJ671</f>
        <v>625.76873923411313</v>
      </c>
      <c r="IZ465" s="302" t="e">
        <f>IZ467+IZ491</f>
        <v>#DIV/0!</v>
      </c>
      <c r="JA465" s="302" t="e">
        <f>JB465-IZ465</f>
        <v>#DIV/0!</v>
      </c>
      <c r="JB465" s="346" t="e">
        <f>+FISC!AK671</f>
        <v>#DIV/0!</v>
      </c>
      <c r="JC465" s="346"/>
      <c r="KI465" s="349"/>
      <c r="KJ465" s="350"/>
      <c r="KM465" s="302">
        <f>KM467+KM491</f>
        <v>0</v>
      </c>
      <c r="KN465" s="302">
        <f>KN467+KN491</f>
        <v>0</v>
      </c>
      <c r="KO465" s="302">
        <f>KO467+KO491</f>
        <v>0</v>
      </c>
      <c r="KP465" s="302">
        <f>KP467+KP491</f>
        <v>0</v>
      </c>
    </row>
    <row r="466" spans="2:302">
      <c r="D466" s="351"/>
      <c r="E466" s="346"/>
      <c r="F466" s="346"/>
      <c r="G466" s="346"/>
      <c r="H466" s="346"/>
      <c r="I466" s="346"/>
      <c r="J466" s="346"/>
      <c r="K466" s="346"/>
      <c r="L466" s="346"/>
      <c r="M466" s="346"/>
      <c r="N466" s="346"/>
      <c r="O466" s="346"/>
      <c r="P466" s="346"/>
      <c r="Q466" s="346"/>
      <c r="R466" s="346"/>
      <c r="S466" s="346"/>
      <c r="T466" s="346"/>
      <c r="U466" s="346"/>
      <c r="V466" s="346"/>
      <c r="W466" s="346"/>
      <c r="X466" s="346"/>
      <c r="Y466" s="346"/>
      <c r="Z466" s="346"/>
      <c r="AA466" s="346"/>
      <c r="AB466" s="346"/>
      <c r="AC466" s="346"/>
      <c r="AD466" s="346"/>
      <c r="AE466" s="346"/>
      <c r="AF466" s="346"/>
      <c r="AG466" s="346"/>
      <c r="AH466" s="346"/>
      <c r="AI466" s="346"/>
      <c r="AJ466" s="346"/>
      <c r="AK466" s="346"/>
      <c r="AL466" s="346"/>
      <c r="AM466" s="346"/>
      <c r="AN466" s="346"/>
      <c r="AO466" s="346"/>
      <c r="AP466" s="346"/>
      <c r="AQ466" s="346"/>
      <c r="AR466" s="346"/>
      <c r="AS466" s="346"/>
      <c r="AT466" s="346"/>
      <c r="AU466" s="346"/>
      <c r="AV466" s="346"/>
      <c r="AW466" s="346"/>
      <c r="AX466" s="346"/>
      <c r="AY466" s="346"/>
      <c r="AZ466" s="346"/>
      <c r="BA466" s="346"/>
      <c r="BB466" s="346"/>
      <c r="BC466" s="346"/>
      <c r="BD466" s="346"/>
      <c r="BE466" s="346"/>
      <c r="BF466" s="346"/>
      <c r="BG466" s="346"/>
      <c r="BH466" s="346"/>
      <c r="BI466" s="346"/>
      <c r="BJ466" s="346"/>
      <c r="BK466" s="346"/>
      <c r="BL466" s="346"/>
      <c r="BM466" s="346"/>
      <c r="BN466" s="346"/>
      <c r="BO466" s="346"/>
      <c r="BP466" s="346"/>
      <c r="BQ466" s="346"/>
      <c r="BR466" s="346"/>
      <c r="BS466" s="346"/>
      <c r="BT466" s="346"/>
      <c r="BU466" s="346"/>
      <c r="BV466" s="346"/>
      <c r="BW466" s="346"/>
      <c r="BX466" s="346"/>
      <c r="BY466" s="346"/>
      <c r="BZ466" s="346"/>
      <c r="CA466" s="346"/>
      <c r="CB466" s="346"/>
      <c r="CC466" s="346"/>
      <c r="CD466" s="346"/>
      <c r="CE466" s="347"/>
      <c r="CF466" s="346"/>
      <c r="CG466" s="346"/>
      <c r="CH466" s="346"/>
      <c r="CI466" s="346"/>
      <c r="CJ466" s="346"/>
      <c r="CK466" s="346"/>
      <c r="CL466" s="346"/>
      <c r="CM466" s="346"/>
      <c r="CN466" s="346"/>
      <c r="CO466" s="346"/>
      <c r="CP466" s="348"/>
      <c r="CQ466" s="346"/>
      <c r="CR466" s="346"/>
      <c r="CS466" s="346"/>
      <c r="CT466" s="346"/>
      <c r="CU466" s="346"/>
      <c r="CV466" s="346"/>
      <c r="CW466" s="346"/>
      <c r="CX466" s="346"/>
      <c r="CY466" s="346"/>
      <c r="CZ466" s="346"/>
      <c r="DA466" s="346"/>
      <c r="DB466" s="1479"/>
      <c r="DC466" s="346"/>
      <c r="DD466" s="346"/>
      <c r="DE466" s="346"/>
      <c r="DF466" s="346"/>
      <c r="DG466" s="346"/>
      <c r="DH466" s="346"/>
      <c r="DI466" s="346"/>
      <c r="DJ466" s="346"/>
      <c r="DK466" s="346"/>
      <c r="DL466" s="346"/>
      <c r="DM466" s="346"/>
      <c r="DN466" s="348"/>
      <c r="DO466" s="346"/>
      <c r="DP466" s="346"/>
      <c r="DQ466" s="346"/>
      <c r="DR466" s="346"/>
      <c r="DS466" s="346"/>
      <c r="DT466" s="346"/>
      <c r="DU466" s="346"/>
      <c r="DV466" s="346"/>
      <c r="DW466" s="346"/>
      <c r="DX466" s="346"/>
      <c r="DY466" s="346"/>
      <c r="DZ466" s="348"/>
      <c r="EA466" s="346"/>
      <c r="EB466" s="346"/>
      <c r="EC466" s="346"/>
      <c r="ED466" s="346"/>
      <c r="EE466" s="346"/>
      <c r="EF466" s="346"/>
      <c r="EG466" s="346"/>
      <c r="EH466" s="346"/>
      <c r="EI466" s="346"/>
      <c r="EJ466" s="346"/>
      <c r="EK466" s="346"/>
      <c r="EL466" s="348"/>
      <c r="EM466" s="346"/>
      <c r="EN466" s="346"/>
      <c r="EO466" s="346"/>
      <c r="EP466" s="346"/>
      <c r="EQ466" s="346"/>
      <c r="ER466" s="346"/>
      <c r="ES466" s="346"/>
      <c r="ET466" s="346"/>
      <c r="EU466" s="346"/>
      <c r="EV466" s="346"/>
      <c r="EW466" s="346"/>
      <c r="EX466" s="348"/>
      <c r="EY466" s="346"/>
      <c r="EZ466" s="346"/>
      <c r="FA466" s="346"/>
      <c r="FB466" s="346"/>
      <c r="FC466" s="346"/>
      <c r="FD466" s="346"/>
      <c r="FE466" s="346"/>
      <c r="FF466" s="346"/>
      <c r="FG466" s="346"/>
      <c r="FH466" s="346"/>
      <c r="FI466" s="346"/>
      <c r="FJ466" s="348"/>
      <c r="FK466" s="346"/>
      <c r="FL466" s="346"/>
      <c r="FM466" s="346"/>
      <c r="FN466" s="346"/>
      <c r="FO466" s="346"/>
      <c r="FP466" s="346"/>
      <c r="FQ466" s="346"/>
      <c r="FR466" s="346"/>
      <c r="FS466" s="346"/>
      <c r="FT466" s="346"/>
      <c r="FU466" s="346"/>
      <c r="FV466" s="346"/>
      <c r="FW466" s="346"/>
      <c r="FX466" s="346"/>
      <c r="FY466" s="346"/>
      <c r="FZ466" s="346"/>
      <c r="GA466" s="346"/>
      <c r="GB466" s="346"/>
      <c r="GC466" s="346"/>
      <c r="GD466" s="346"/>
      <c r="GE466" s="346"/>
      <c r="GF466" s="346"/>
      <c r="GG466" s="346"/>
      <c r="GH466" s="346"/>
      <c r="GI466" s="346"/>
      <c r="GJ466" s="346"/>
      <c r="GK466" s="346"/>
      <c r="GL466" s="346"/>
      <c r="GM466" s="346"/>
      <c r="GN466" s="346"/>
      <c r="GO466" s="346"/>
      <c r="GP466" s="346"/>
      <c r="GQ466" s="346"/>
      <c r="GR466" s="346"/>
      <c r="GS466" s="346"/>
      <c r="GT466" s="346"/>
      <c r="GU466" s="346"/>
      <c r="GV466" s="346"/>
      <c r="GW466" s="346"/>
      <c r="GX466" s="346"/>
      <c r="GY466" s="346"/>
      <c r="GZ466" s="346"/>
      <c r="HA466" s="346"/>
      <c r="HB466" s="346"/>
      <c r="HC466" s="346"/>
      <c r="HD466" s="346"/>
      <c r="HE466" s="346"/>
      <c r="HF466" s="346"/>
      <c r="HG466" s="346"/>
      <c r="HH466" s="346"/>
      <c r="HI466" s="346"/>
      <c r="HJ466" s="346"/>
      <c r="HK466" s="346"/>
      <c r="HL466" s="346"/>
      <c r="HM466" s="346"/>
      <c r="HN466" s="349"/>
      <c r="HO466" s="351"/>
      <c r="HP466" s="351"/>
      <c r="HQ466" s="351"/>
      <c r="HR466" s="346"/>
      <c r="HU466" s="346"/>
      <c r="HX466" s="346"/>
      <c r="IA466" s="346"/>
      <c r="IC466" s="350"/>
      <c r="ID466" s="346"/>
      <c r="IE466" s="302">
        <f>SUM(EM466:ER466)</f>
        <v>0</v>
      </c>
      <c r="IF466" s="302">
        <f>SUM(ES466:EX466)</f>
        <v>0</v>
      </c>
      <c r="IG466" s="346"/>
      <c r="IH466" s="350"/>
      <c r="II466" s="350"/>
      <c r="IJ466" s="346"/>
      <c r="IM466" s="346"/>
      <c r="IN466" s="302">
        <f>IP466*JI466</f>
        <v>0</v>
      </c>
      <c r="IO466" s="302">
        <f t="shared" ref="IO466:IO484" si="73">IP466-IN466</f>
        <v>0</v>
      </c>
      <c r="IP466" s="346"/>
      <c r="IQ466" s="302">
        <f>IS466*JI466</f>
        <v>0</v>
      </c>
      <c r="IR466" s="302">
        <f t="shared" ref="IR466:IR535" si="74">IS466-IQ466</f>
        <v>0</v>
      </c>
      <c r="IS466" s="346"/>
      <c r="IT466" s="302">
        <f>IV466*JI466</f>
        <v>0</v>
      </c>
      <c r="IU466" s="302">
        <f t="shared" ref="IU466:IU535" si="75">IV466-IT466</f>
        <v>0</v>
      </c>
      <c r="IV466" s="346"/>
      <c r="IW466" s="302">
        <f>IY466*JL466</f>
        <v>0</v>
      </c>
      <c r="IX466" s="302">
        <f t="shared" ref="IX466:IX535" si="76">IY466-IW466</f>
        <v>0</v>
      </c>
      <c r="IY466" s="346"/>
      <c r="IZ466" s="302">
        <f>JB466*JO466</f>
        <v>0</v>
      </c>
      <c r="JA466" s="302">
        <f t="shared" ref="JA466:JA535" si="77">JB466-IZ466</f>
        <v>0</v>
      </c>
      <c r="JB466" s="346"/>
      <c r="JC466" s="346"/>
      <c r="KI466" s="349"/>
      <c r="KJ466" s="350"/>
    </row>
    <row r="467" spans="2:302">
      <c r="B467" s="117" t="s">
        <v>361</v>
      </c>
      <c r="D467" s="345" t="str">
        <f>+FISC!D673</f>
        <v>Total revenue</v>
      </c>
      <c r="E467" s="346">
        <f t="shared" ref="E467:BP467" si="78">E468+E485</f>
        <v>16.5383</v>
      </c>
      <c r="F467" s="346">
        <f t="shared" si="78"/>
        <v>15.875399999999999</v>
      </c>
      <c r="G467" s="346">
        <f t="shared" si="78"/>
        <v>24.213000000000001</v>
      </c>
      <c r="H467" s="346">
        <f t="shared" si="78"/>
        <v>20.4634</v>
      </c>
      <c r="I467" s="346">
        <f t="shared" si="78"/>
        <v>20.900200000000002</v>
      </c>
      <c r="J467" s="346">
        <f t="shared" si="78"/>
        <v>26.330902116000001</v>
      </c>
      <c r="K467" s="346">
        <f t="shared" si="78"/>
        <v>18.669034962999998</v>
      </c>
      <c r="L467" s="346">
        <f t="shared" si="78"/>
        <v>20.163478661999999</v>
      </c>
      <c r="M467" s="346">
        <f t="shared" si="78"/>
        <v>23.201122285</v>
      </c>
      <c r="N467" s="346">
        <f t="shared" si="78"/>
        <v>19.877401225</v>
      </c>
      <c r="O467" s="346">
        <f t="shared" si="78"/>
        <v>21.377868437</v>
      </c>
      <c r="P467" s="346">
        <f t="shared" si="78"/>
        <v>25.326898893999999</v>
      </c>
      <c r="Q467" s="346">
        <f t="shared" si="78"/>
        <v>22.179866305999997</v>
      </c>
      <c r="R467" s="346">
        <f t="shared" si="78"/>
        <v>21.164371927000001</v>
      </c>
      <c r="S467" s="346">
        <f t="shared" si="78"/>
        <v>27.234012576000001</v>
      </c>
      <c r="T467" s="346">
        <f t="shared" si="78"/>
        <v>25.754677922000003</v>
      </c>
      <c r="U467" s="346">
        <f t="shared" si="78"/>
        <v>24.531161763</v>
      </c>
      <c r="V467" s="346">
        <f t="shared" si="78"/>
        <v>40.780660499</v>
      </c>
      <c r="W467" s="346">
        <f t="shared" si="78"/>
        <v>25.122907194</v>
      </c>
      <c r="X467" s="346">
        <f t="shared" si="78"/>
        <v>26.188947629999998</v>
      </c>
      <c r="Y467" s="346">
        <f t="shared" si="78"/>
        <v>36.555613293</v>
      </c>
      <c r="Z467" s="346">
        <f t="shared" si="78"/>
        <v>30.925497113999999</v>
      </c>
      <c r="AA467" s="346">
        <f t="shared" si="78"/>
        <v>27.185696262999997</v>
      </c>
      <c r="AB467" s="346">
        <f t="shared" si="78"/>
        <v>73.355484633000003</v>
      </c>
      <c r="AC467" s="346">
        <f t="shared" si="78"/>
        <v>29.319654589999999</v>
      </c>
      <c r="AD467" s="346">
        <f t="shared" si="78"/>
        <v>29.951000631000003</v>
      </c>
      <c r="AE467" s="346">
        <f t="shared" si="78"/>
        <v>34.806349091999998</v>
      </c>
      <c r="AF467" s="346">
        <f t="shared" si="78"/>
        <v>29.167745937999999</v>
      </c>
      <c r="AG467" s="346">
        <f t="shared" si="78"/>
        <v>29.712147304000002</v>
      </c>
      <c r="AH467" s="346">
        <f t="shared" si="78"/>
        <v>40.743024720999991</v>
      </c>
      <c r="AI467" s="346">
        <f t="shared" si="78"/>
        <v>27.257941557999995</v>
      </c>
      <c r="AJ467" s="346">
        <f t="shared" si="78"/>
        <v>27.793590137000002</v>
      </c>
      <c r="AK467" s="346">
        <f t="shared" si="78"/>
        <v>34.524928839000005</v>
      </c>
      <c r="AL467" s="346">
        <f t="shared" si="78"/>
        <v>27.274276262000001</v>
      </c>
      <c r="AM467" s="346">
        <f t="shared" si="78"/>
        <v>30.466199999999997</v>
      </c>
      <c r="AN467" s="346">
        <f t="shared" si="78"/>
        <v>38.3446</v>
      </c>
      <c r="AO467" s="346">
        <f t="shared" si="78"/>
        <v>29.764936359</v>
      </c>
      <c r="AP467" s="346">
        <f t="shared" si="78"/>
        <v>28.208919395999999</v>
      </c>
      <c r="AQ467" s="346">
        <f t="shared" si="78"/>
        <v>46.601846963</v>
      </c>
      <c r="AR467" s="346">
        <f t="shared" si="78"/>
        <v>30.875261329000001</v>
      </c>
      <c r="AS467" s="346">
        <f t="shared" si="78"/>
        <v>31.183278000000001</v>
      </c>
      <c r="AT467" s="346">
        <f t="shared" si="78"/>
        <v>37.676075787000002</v>
      </c>
      <c r="AU467" s="346">
        <f t="shared" si="78"/>
        <v>31.866403909999999</v>
      </c>
      <c r="AV467" s="346">
        <f t="shared" si="78"/>
        <v>36.252635124999998</v>
      </c>
      <c r="AW467" s="346">
        <f t="shared" si="78"/>
        <v>40.302209705000003</v>
      </c>
      <c r="AX467" s="346">
        <f t="shared" si="78"/>
        <v>34.389034735999999</v>
      </c>
      <c r="AY467" s="346">
        <f t="shared" si="78"/>
        <v>37.329067059000003</v>
      </c>
      <c r="AZ467" s="346">
        <f t="shared" si="78"/>
        <v>46.461917195000005</v>
      </c>
      <c r="BA467" s="346">
        <f t="shared" si="78"/>
        <v>40.372282581</v>
      </c>
      <c r="BB467" s="346">
        <f t="shared" si="78"/>
        <v>32.462750329000002</v>
      </c>
      <c r="BC467" s="346">
        <f t="shared" si="78"/>
        <v>51.692223890000001</v>
      </c>
      <c r="BD467" s="346">
        <f t="shared" si="78"/>
        <v>37.733015287000001</v>
      </c>
      <c r="BE467" s="346">
        <f t="shared" si="78"/>
        <v>42.271061997000004</v>
      </c>
      <c r="BF467" s="346">
        <f t="shared" si="78"/>
        <v>52.966000926999996</v>
      </c>
      <c r="BG467" s="346">
        <f t="shared" si="78"/>
        <v>36.168595312799994</v>
      </c>
      <c r="BH467" s="346">
        <f t="shared" si="78"/>
        <v>43.234283078200001</v>
      </c>
      <c r="BI467" s="346">
        <f t="shared" si="78"/>
        <v>65.594706880900006</v>
      </c>
      <c r="BJ467" s="346">
        <f t="shared" si="78"/>
        <v>41.211862676999999</v>
      </c>
      <c r="BK467" s="346">
        <f t="shared" si="78"/>
        <v>43.569539720999998</v>
      </c>
      <c r="BL467" s="346">
        <f t="shared" si="78"/>
        <v>54.424474300999997</v>
      </c>
      <c r="BM467" s="346">
        <f t="shared" si="78"/>
        <v>44.105241053999997</v>
      </c>
      <c r="BN467" s="346">
        <f t="shared" si="78"/>
        <v>44.312992412999996</v>
      </c>
      <c r="BO467" s="346">
        <f t="shared" si="78"/>
        <v>60.043170514999993</v>
      </c>
      <c r="BP467" s="346">
        <f t="shared" si="78"/>
        <v>44.577221414999997</v>
      </c>
      <c r="BQ467" s="346">
        <f t="shared" ref="BQ467:DN467" si="79">BQ468+BQ485</f>
        <v>56.649560364000003</v>
      </c>
      <c r="BR467" s="346">
        <f t="shared" si="79"/>
        <v>57.936586860999995</v>
      </c>
      <c r="BS467" s="346">
        <f t="shared" si="79"/>
        <v>50.174999999999997</v>
      </c>
      <c r="BT467" s="346">
        <f t="shared" si="79"/>
        <v>51.167600000000007</v>
      </c>
      <c r="BU467" s="346">
        <f t="shared" si="79"/>
        <v>58.022500000000001</v>
      </c>
      <c r="BV467" s="346">
        <f t="shared" si="79"/>
        <v>67.65402367063237</v>
      </c>
      <c r="BW467" s="346">
        <f t="shared" si="79"/>
        <v>49.19572033965882</v>
      </c>
      <c r="BX467" s="346">
        <f t="shared" si="79"/>
        <v>69.986593628505176</v>
      </c>
      <c r="BY467" s="346">
        <f t="shared" si="79"/>
        <v>53.009075458916328</v>
      </c>
      <c r="BZ467" s="346">
        <f t="shared" si="79"/>
        <v>52.648868041803432</v>
      </c>
      <c r="CA467" s="346">
        <f t="shared" si="79"/>
        <v>88.217625266590289</v>
      </c>
      <c r="CB467" s="346">
        <f t="shared" si="79"/>
        <v>53.706899125880469</v>
      </c>
      <c r="CC467" s="346">
        <f t="shared" si="79"/>
        <v>55.896236535222947</v>
      </c>
      <c r="CD467" s="346">
        <f t="shared" si="79"/>
        <v>85.3276152868808</v>
      </c>
      <c r="CE467" s="347">
        <f t="shared" si="79"/>
        <v>60.830473264697275</v>
      </c>
      <c r="CF467" s="346">
        <f t="shared" si="79"/>
        <v>61.031943501572783</v>
      </c>
      <c r="CG467" s="346">
        <f t="shared" si="79"/>
        <v>68.846531850293431</v>
      </c>
      <c r="CH467" s="346">
        <f t="shared" si="79"/>
        <v>82.132439465750224</v>
      </c>
      <c r="CI467" s="346">
        <f t="shared" si="79"/>
        <v>58.711358355824714</v>
      </c>
      <c r="CJ467" s="346">
        <f t="shared" si="79"/>
        <v>86.316598820932796</v>
      </c>
      <c r="CK467" s="346">
        <f t="shared" si="79"/>
        <v>63.573570289825042</v>
      </c>
      <c r="CL467" s="346">
        <f t="shared" si="79"/>
        <v>63.250821485083073</v>
      </c>
      <c r="CM467" s="346">
        <f t="shared" si="79"/>
        <v>87.988916234456212</v>
      </c>
      <c r="CN467" s="346">
        <f t="shared" si="79"/>
        <v>60.020681533917354</v>
      </c>
      <c r="CO467" s="346">
        <f t="shared" si="79"/>
        <v>67.4479192841996</v>
      </c>
      <c r="CP467" s="348">
        <f t="shared" si="79"/>
        <v>113.71838556811986</v>
      </c>
      <c r="CQ467" s="346">
        <f t="shared" si="79"/>
        <v>62.99602087442333</v>
      </c>
      <c r="CR467" s="346">
        <f t="shared" si="79"/>
        <v>65.33411370871147</v>
      </c>
      <c r="CS467" s="346">
        <f t="shared" si="79"/>
        <v>85.09322572872253</v>
      </c>
      <c r="CT467" s="346">
        <f t="shared" si="79"/>
        <v>73.128496958839094</v>
      </c>
      <c r="CU467" s="346">
        <f t="shared" si="79"/>
        <v>59.68849108714916</v>
      </c>
      <c r="CV467" s="346">
        <f t="shared" si="79"/>
        <v>100.91502671808088</v>
      </c>
      <c r="CW467" s="346">
        <f t="shared" si="79"/>
        <v>77.224288986288784</v>
      </c>
      <c r="CX467" s="346">
        <f t="shared" si="79"/>
        <v>67.356111067263086</v>
      </c>
      <c r="CY467" s="346">
        <f t="shared" si="79"/>
        <v>130.42693883624963</v>
      </c>
      <c r="CZ467" s="346">
        <f t="shared" si="79"/>
        <v>74.547620854688546</v>
      </c>
      <c r="DA467" s="346">
        <f t="shared" si="79"/>
        <v>72.176649194101984</v>
      </c>
      <c r="DB467" s="1479">
        <f t="shared" si="79"/>
        <v>120.53557247413953</v>
      </c>
      <c r="DC467" s="346">
        <f t="shared" si="79"/>
        <v>69.969657837377568</v>
      </c>
      <c r="DD467" s="346">
        <f t="shared" si="79"/>
        <v>70.520117501935545</v>
      </c>
      <c r="DE467" s="346">
        <f t="shared" si="79"/>
        <v>100.36251626075773</v>
      </c>
      <c r="DF467" s="346">
        <f t="shared" si="79"/>
        <v>103.73904475448388</v>
      </c>
      <c r="DG467" s="346">
        <f t="shared" si="79"/>
        <v>73.21240330954916</v>
      </c>
      <c r="DH467" s="346">
        <f t="shared" si="79"/>
        <v>123.33693109280016</v>
      </c>
      <c r="DI467" s="346">
        <f t="shared" si="79"/>
        <v>81.877273234539956</v>
      </c>
      <c r="DJ467" s="346">
        <f t="shared" si="79"/>
        <v>77.898367868847657</v>
      </c>
      <c r="DK467" s="346">
        <f t="shared" si="79"/>
        <v>153.15534799923705</v>
      </c>
      <c r="DL467" s="346">
        <f t="shared" si="79"/>
        <v>84.043924930191565</v>
      </c>
      <c r="DM467" s="346">
        <f t="shared" si="79"/>
        <v>84.109653331394</v>
      </c>
      <c r="DN467" s="348">
        <f t="shared" si="79"/>
        <v>145.68495997744139</v>
      </c>
      <c r="DO467" s="346">
        <f t="shared" ref="DO467:DZ467" si="80">DO468+DO485</f>
        <v>73.140603806900003</v>
      </c>
      <c r="DP467" s="346">
        <f t="shared" si="80"/>
        <v>86.861250846389311</v>
      </c>
      <c r="DQ467" s="346">
        <f t="shared" si="80"/>
        <v>130.47794778686352</v>
      </c>
      <c r="DR467" s="346">
        <f t="shared" si="80"/>
        <v>83.652961651550584</v>
      </c>
      <c r="DS467" s="346">
        <f t="shared" si="80"/>
        <v>81.852966924754</v>
      </c>
      <c r="DT467" s="346">
        <f t="shared" si="80"/>
        <v>143.06961867779248</v>
      </c>
      <c r="DU467" s="346">
        <f t="shared" si="80"/>
        <v>92.046680937100007</v>
      </c>
      <c r="DV467" s="346">
        <f t="shared" si="80"/>
        <v>84.347827259100001</v>
      </c>
      <c r="DW467" s="346">
        <f t="shared" si="80"/>
        <v>166.17585228051001</v>
      </c>
      <c r="DX467" s="346">
        <f t="shared" si="80"/>
        <v>84.479418736573706</v>
      </c>
      <c r="DY467" s="346">
        <f t="shared" si="80"/>
        <v>93.639730609131149</v>
      </c>
      <c r="DZ467" s="348">
        <f t="shared" si="80"/>
        <v>165.83498602877279</v>
      </c>
      <c r="EA467" s="346">
        <f t="shared" ref="EA467:EL467" si="81">EA468+EA485</f>
        <v>84.42665940725</v>
      </c>
      <c r="EB467" s="346">
        <f t="shared" si="81"/>
        <v>91.595317038540003</v>
      </c>
      <c r="EC467" s="346">
        <f t="shared" si="81"/>
        <v>132.59308562506999</v>
      </c>
      <c r="ED467" s="346">
        <f t="shared" si="81"/>
        <v>118.61365179852001</v>
      </c>
      <c r="EE467" s="346">
        <f t="shared" si="81"/>
        <v>95.329697156160023</v>
      </c>
      <c r="EF467" s="346">
        <f t="shared" si="81"/>
        <v>168.12899740813</v>
      </c>
      <c r="EG467" s="346">
        <f t="shared" si="81"/>
        <v>110.41909254415485</v>
      </c>
      <c r="EH467" s="346">
        <f t="shared" si="81"/>
        <v>92.10074432580592</v>
      </c>
      <c r="EI467" s="346">
        <f t="shared" si="81"/>
        <v>156.74271473613521</v>
      </c>
      <c r="EJ467" s="346">
        <f t="shared" si="81"/>
        <v>139.61645574662168</v>
      </c>
      <c r="EK467" s="346">
        <f t="shared" si="81"/>
        <v>108.02250834709999</v>
      </c>
      <c r="EL467" s="348">
        <f t="shared" si="81"/>
        <v>163.91483178884849</v>
      </c>
      <c r="EM467" s="346">
        <f t="shared" ref="EM467:ER467" si="82">EM468+EM485</f>
        <v>96.461733106839986</v>
      </c>
      <c r="EN467" s="346">
        <f t="shared" si="82"/>
        <v>143.99252942015139</v>
      </c>
      <c r="EO467" s="346">
        <f t="shared" si="82"/>
        <v>162.91456711812162</v>
      </c>
      <c r="EP467" s="346">
        <f t="shared" si="82"/>
        <v>120.15569216778867</v>
      </c>
      <c r="EQ467" s="346">
        <f t="shared" si="82"/>
        <v>108.79119388814573</v>
      </c>
      <c r="ER467" s="346">
        <f t="shared" si="82"/>
        <v>173.55865562299408</v>
      </c>
      <c r="ES467" s="346">
        <f t="shared" ref="ES467:EX467" si="83">ES468+ES485</f>
        <v>127.65571758657266</v>
      </c>
      <c r="ET467" s="346">
        <f t="shared" si="83"/>
        <v>111.89629203954993</v>
      </c>
      <c r="EU467" s="346">
        <f>EU468+EU485</f>
        <v>172.35880719432004</v>
      </c>
      <c r="EV467" s="346">
        <f t="shared" si="83"/>
        <v>144.52483863533132</v>
      </c>
      <c r="EW467" s="346">
        <f t="shared" si="83"/>
        <v>121.20207718578003</v>
      </c>
      <c r="EX467" s="348">
        <f t="shared" si="83"/>
        <v>186.6909368123282</v>
      </c>
      <c r="EY467" s="346"/>
      <c r="EZ467" s="346"/>
      <c r="FA467" s="346"/>
      <c r="FB467" s="346"/>
      <c r="FC467" s="346"/>
      <c r="FD467" s="346"/>
      <c r="FE467" s="346"/>
      <c r="FF467" s="346"/>
      <c r="FG467" s="346"/>
      <c r="FH467" s="346"/>
      <c r="FI467" s="346"/>
      <c r="FJ467" s="348"/>
      <c r="FK467" s="346"/>
      <c r="FL467" s="346"/>
      <c r="FM467" s="346"/>
      <c r="FN467" s="346"/>
      <c r="FO467" s="346"/>
      <c r="FP467" s="346"/>
      <c r="FQ467" s="346"/>
      <c r="FR467" s="346"/>
      <c r="FS467" s="346"/>
      <c r="FT467" s="346"/>
      <c r="FU467" s="346"/>
      <c r="FV467" s="346"/>
      <c r="FW467" s="346"/>
      <c r="FX467" s="346"/>
      <c r="FY467" s="346"/>
      <c r="FZ467" s="346"/>
      <c r="GA467" s="346"/>
      <c r="GB467" s="346"/>
      <c r="GC467" s="346"/>
      <c r="GD467" s="346"/>
      <c r="GE467" s="346"/>
      <c r="GF467" s="346"/>
      <c r="GG467" s="346"/>
      <c r="GH467" s="346"/>
      <c r="GI467" s="346"/>
      <c r="GJ467" s="346"/>
      <c r="GK467" s="346"/>
      <c r="GL467" s="346"/>
      <c r="GM467" s="346"/>
      <c r="GN467" s="346"/>
      <c r="GO467" s="346"/>
      <c r="GP467" s="346"/>
      <c r="GQ467" s="346"/>
      <c r="GR467" s="346"/>
      <c r="GS467" s="346"/>
      <c r="GT467" s="346"/>
      <c r="GU467" s="346"/>
      <c r="GV467" s="346"/>
      <c r="GW467" s="346"/>
      <c r="GX467" s="346"/>
      <c r="GY467" s="346"/>
      <c r="GZ467" s="346"/>
      <c r="HA467" s="346"/>
      <c r="HB467" s="346"/>
      <c r="HC467" s="346"/>
      <c r="HD467" s="346"/>
      <c r="HE467" s="346"/>
      <c r="HF467" s="346"/>
      <c r="HG467" s="346"/>
      <c r="HH467" s="346"/>
      <c r="HI467" s="346"/>
      <c r="HJ467" s="346"/>
      <c r="HK467" s="346"/>
      <c r="HL467" s="346"/>
      <c r="HM467" s="346"/>
      <c r="HN467" s="349"/>
      <c r="HO467" s="345" t="s">
        <v>137</v>
      </c>
      <c r="HP467" s="345"/>
      <c r="HQ467" s="345"/>
      <c r="HR467" s="346">
        <f>+FISC!Z673</f>
        <v>1002.7568019579999</v>
      </c>
      <c r="HS467" s="302">
        <f>HS468+HS485</f>
        <v>447.15537507592649</v>
      </c>
      <c r="HT467" s="302">
        <f>HT468+HT485</f>
        <v>542.26718141273159</v>
      </c>
      <c r="HU467" s="346">
        <f>HU468+HU485</f>
        <v>989.42255648865807</v>
      </c>
      <c r="HV467" s="302">
        <f t="shared" ref="HV467:IC467" si="84">HV468+HV485</f>
        <v>541.140670756904</v>
      </c>
      <c r="HW467" s="302">
        <f t="shared" si="84"/>
        <v>626.76952734165161</v>
      </c>
      <c r="HX467" s="346">
        <f t="shared" si="84"/>
        <v>1167.9101980985556</v>
      </c>
      <c r="HY467" s="302">
        <f t="shared" si="84"/>
        <v>599.0553496942498</v>
      </c>
      <c r="HZ467" s="302">
        <f t="shared" si="84"/>
        <v>686.52449585118757</v>
      </c>
      <c r="IA467" s="346">
        <f t="shared" si="84"/>
        <v>1285.5798455454374</v>
      </c>
      <c r="IB467" s="302">
        <f>IB468+IB485</f>
        <v>690.68740843367004</v>
      </c>
      <c r="IC467" s="302">
        <f t="shared" si="84"/>
        <v>770.81634748866611</v>
      </c>
      <c r="ID467" s="346">
        <f>FISC!AC673</f>
        <v>1461.503755922336</v>
      </c>
      <c r="IE467" s="302">
        <f>SUM(EM467:ER467)</f>
        <v>805.87437132404148</v>
      </c>
      <c r="IF467" s="302">
        <f>SUM(ES467:EX467)</f>
        <v>864.32866945388218</v>
      </c>
      <c r="IG467" s="346">
        <f>IE467+IF467</f>
        <v>1670.2030407779237</v>
      </c>
      <c r="IH467" s="302" t="e">
        <f>(IH468+IH485)*0+907.273866170042</f>
        <v>#REF!</v>
      </c>
      <c r="II467" s="302" t="e">
        <f>II468+II485</f>
        <v>#REF!</v>
      </c>
      <c r="IJ467" s="346">
        <f>+FISC!AE673</f>
        <v>1649.9486941171201</v>
      </c>
      <c r="IK467" s="302">
        <f>IK468+IK485</f>
        <v>778.6748347533885</v>
      </c>
      <c r="IL467" s="302">
        <f t="shared" ref="IL467:IL535" si="85">IM467-IK467</f>
        <v>900.53660605513141</v>
      </c>
      <c r="IM467" s="346">
        <f>+FISC!AF673</f>
        <v>1679.2114408085199</v>
      </c>
      <c r="IN467" s="302">
        <f>IN468+IN485</f>
        <v>3564.194202735458</v>
      </c>
      <c r="IO467" s="302">
        <f t="shared" si="73"/>
        <v>4252.2844583891092</v>
      </c>
      <c r="IP467" s="346">
        <f>+FISC!AG673</f>
        <v>7816.4786611245672</v>
      </c>
      <c r="IQ467" s="302">
        <f>IQ468+IQ485</f>
        <v>5287.5920645551842</v>
      </c>
      <c r="IR467" s="302">
        <f t="shared" si="74"/>
        <v>6085.7508766145338</v>
      </c>
      <c r="IS467" s="346">
        <f>+FISC!AH673</f>
        <v>11373.342941169718</v>
      </c>
      <c r="IT467" s="302">
        <f>IT468+IT485</f>
        <v>6003.9869750064599</v>
      </c>
      <c r="IU467" s="302">
        <f t="shared" si="75"/>
        <v>6885.2275179946655</v>
      </c>
      <c r="IV467" s="346">
        <f>+FISC!AI673</f>
        <v>12889.214493001125</v>
      </c>
      <c r="IW467" s="302">
        <f>IW468+IW485</f>
        <v>0</v>
      </c>
      <c r="IX467" s="302">
        <f t="shared" si="76"/>
        <v>0</v>
      </c>
      <c r="IY467" s="346">
        <f>+FISC!AJ673</f>
        <v>0</v>
      </c>
      <c r="IZ467" s="302" t="e">
        <f>IZ468+IZ485</f>
        <v>#DIV/0!</v>
      </c>
      <c r="JA467" s="302" t="e">
        <f t="shared" si="77"/>
        <v>#DIV/0!</v>
      </c>
      <c r="JB467" s="346" t="e">
        <f>+FISC!AK673</f>
        <v>#DIV/0!</v>
      </c>
      <c r="JC467" s="346"/>
      <c r="KI467" s="349"/>
      <c r="KJ467" s="350"/>
      <c r="KM467" s="302">
        <f>KM468+KM485</f>
        <v>0</v>
      </c>
      <c r="KN467" s="302">
        <f>KN468+KN485</f>
        <v>0</v>
      </c>
      <c r="KO467" s="302">
        <f>KO468+KO485</f>
        <v>0</v>
      </c>
      <c r="KP467" s="302">
        <f>KP468+KP485</f>
        <v>0</v>
      </c>
    </row>
    <row r="468" spans="2:302">
      <c r="B468" s="117" t="s">
        <v>361</v>
      </c>
      <c r="D468" s="351" t="str">
        <f>+FISC!D674</f>
        <v>Tax revenue</v>
      </c>
      <c r="E468" s="346">
        <f t="shared" ref="E468:BP468" si="86">E470+E473+E480</f>
        <v>15.9003</v>
      </c>
      <c r="F468" s="346">
        <f t="shared" si="86"/>
        <v>15.1754</v>
      </c>
      <c r="G468" s="346">
        <f t="shared" si="86"/>
        <v>22.451000000000001</v>
      </c>
      <c r="H468" s="346">
        <f t="shared" si="86"/>
        <v>19.007999999999999</v>
      </c>
      <c r="I468" s="346">
        <f t="shared" si="86"/>
        <v>18.420400000000001</v>
      </c>
      <c r="J468" s="346">
        <f t="shared" si="86"/>
        <v>25.304200000000002</v>
      </c>
      <c r="K468" s="346">
        <f t="shared" si="86"/>
        <v>17.343899999999998</v>
      </c>
      <c r="L468" s="346">
        <f t="shared" si="86"/>
        <v>18.981099999999998</v>
      </c>
      <c r="M468" s="346">
        <f t="shared" si="86"/>
        <v>22.213000000000001</v>
      </c>
      <c r="N468" s="346">
        <f t="shared" si="86"/>
        <v>18.811399999999999</v>
      </c>
      <c r="O468" s="346">
        <f t="shared" si="86"/>
        <v>20.230499999999999</v>
      </c>
      <c r="P468" s="346">
        <f t="shared" si="86"/>
        <v>23.9694</v>
      </c>
      <c r="Q468" s="346">
        <f t="shared" si="86"/>
        <v>21.110899999999997</v>
      </c>
      <c r="R468" s="346">
        <f t="shared" si="86"/>
        <v>20.690200000000001</v>
      </c>
      <c r="S468" s="346">
        <f t="shared" si="86"/>
        <v>26.64</v>
      </c>
      <c r="T468" s="346">
        <f t="shared" si="86"/>
        <v>23.484750000000002</v>
      </c>
      <c r="U468" s="346">
        <f t="shared" si="86"/>
        <v>23.641500000000001</v>
      </c>
      <c r="V468" s="346">
        <f t="shared" si="86"/>
        <v>35.311700000000002</v>
      </c>
      <c r="W468" s="346">
        <f t="shared" si="86"/>
        <v>24.373000000000001</v>
      </c>
      <c r="X468" s="346">
        <f t="shared" si="86"/>
        <v>24.683499999999999</v>
      </c>
      <c r="Y468" s="346">
        <f t="shared" si="86"/>
        <v>35.0578</v>
      </c>
      <c r="Z468" s="346">
        <f t="shared" si="86"/>
        <v>29.308399999999999</v>
      </c>
      <c r="AA468" s="346">
        <f t="shared" si="86"/>
        <v>25.883399999999998</v>
      </c>
      <c r="AB468" s="346">
        <f t="shared" si="86"/>
        <v>38.509300000000003</v>
      </c>
      <c r="AC468" s="346">
        <f t="shared" si="86"/>
        <v>28.049999999999997</v>
      </c>
      <c r="AD468" s="346">
        <f t="shared" si="86"/>
        <v>28.991200000000003</v>
      </c>
      <c r="AE468" s="346">
        <f t="shared" si="86"/>
        <v>34.087299999999999</v>
      </c>
      <c r="AF468" s="346">
        <f t="shared" si="86"/>
        <v>27.322800000000001</v>
      </c>
      <c r="AG468" s="346">
        <f t="shared" si="86"/>
        <v>27.106300000000001</v>
      </c>
      <c r="AH468" s="346">
        <f t="shared" si="86"/>
        <v>37.998499999999993</v>
      </c>
      <c r="AI468" s="346">
        <f t="shared" si="86"/>
        <v>26.509099999999997</v>
      </c>
      <c r="AJ468" s="346">
        <f t="shared" si="86"/>
        <v>27.122990000000001</v>
      </c>
      <c r="AK468" s="346">
        <f t="shared" si="86"/>
        <v>32.590400000000002</v>
      </c>
      <c r="AL468" s="346">
        <f t="shared" si="86"/>
        <v>26.6496</v>
      </c>
      <c r="AM468" s="346">
        <f t="shared" si="86"/>
        <v>29.381499999999996</v>
      </c>
      <c r="AN468" s="346">
        <f t="shared" si="86"/>
        <v>37.007300000000001</v>
      </c>
      <c r="AO468" s="346">
        <f t="shared" si="86"/>
        <v>29.107900000000001</v>
      </c>
      <c r="AP468" s="346">
        <f t="shared" si="86"/>
        <v>27.5167</v>
      </c>
      <c r="AQ468" s="346">
        <f t="shared" si="86"/>
        <v>44.653700000000001</v>
      </c>
      <c r="AR468" s="346">
        <f t="shared" si="86"/>
        <v>29.591200000000001</v>
      </c>
      <c r="AS468" s="346">
        <f t="shared" si="86"/>
        <v>28.273</v>
      </c>
      <c r="AT468" s="346">
        <f t="shared" si="86"/>
        <v>36.551200000000001</v>
      </c>
      <c r="AU468" s="346">
        <f t="shared" si="86"/>
        <v>31.125599999999999</v>
      </c>
      <c r="AV468" s="346">
        <f t="shared" si="86"/>
        <v>33.959099999999999</v>
      </c>
      <c r="AW468" s="346">
        <f t="shared" si="86"/>
        <v>38.682940000000002</v>
      </c>
      <c r="AX468" s="346">
        <f t="shared" si="86"/>
        <v>32.815300000000001</v>
      </c>
      <c r="AY468" s="346">
        <f t="shared" si="86"/>
        <v>35.209800000000001</v>
      </c>
      <c r="AZ468" s="346">
        <f t="shared" si="86"/>
        <v>45.302300000000002</v>
      </c>
      <c r="BA468" s="346">
        <f t="shared" si="86"/>
        <v>38.839300000000001</v>
      </c>
      <c r="BB468" s="346">
        <f t="shared" si="86"/>
        <v>31.636660000000003</v>
      </c>
      <c r="BC468" s="346">
        <f t="shared" si="86"/>
        <v>49.993160000000003</v>
      </c>
      <c r="BD468" s="346">
        <f t="shared" si="86"/>
        <v>36.662460000000003</v>
      </c>
      <c r="BE468" s="346">
        <f t="shared" si="86"/>
        <v>40.415650000000007</v>
      </c>
      <c r="BF468" s="346">
        <f t="shared" si="86"/>
        <v>48.833599999999997</v>
      </c>
      <c r="BG468" s="346">
        <f t="shared" si="86"/>
        <v>35.186429093799994</v>
      </c>
      <c r="BH468" s="346">
        <f t="shared" si="86"/>
        <v>41.686628809200002</v>
      </c>
      <c r="BI468" s="346">
        <f t="shared" si="86"/>
        <v>46.983398117900009</v>
      </c>
      <c r="BJ468" s="346">
        <f t="shared" si="86"/>
        <v>39.902200000000001</v>
      </c>
      <c r="BK468" s="346">
        <f t="shared" si="86"/>
        <v>42.28022</v>
      </c>
      <c r="BL468" s="346">
        <f t="shared" si="86"/>
        <v>52.609954999999999</v>
      </c>
      <c r="BM468" s="346">
        <f t="shared" si="86"/>
        <v>43.249299999999998</v>
      </c>
      <c r="BN468" s="346">
        <f t="shared" si="86"/>
        <v>43.165999999999997</v>
      </c>
      <c r="BO468" s="346">
        <f t="shared" si="86"/>
        <v>58.716899999999995</v>
      </c>
      <c r="BP468" s="346">
        <f t="shared" si="86"/>
        <v>43.5837</v>
      </c>
      <c r="BQ468" s="346">
        <f t="shared" ref="BQ468:DN468" si="87">BQ470+BQ473+BQ480</f>
        <v>53.3812</v>
      </c>
      <c r="BR468" s="346">
        <f t="shared" si="87"/>
        <v>56.333399999999997</v>
      </c>
      <c r="BS468" s="346">
        <f t="shared" si="87"/>
        <v>45.601099999999995</v>
      </c>
      <c r="BT468" s="346">
        <f t="shared" si="87"/>
        <v>49.536300000000004</v>
      </c>
      <c r="BU468" s="346">
        <f t="shared" si="87"/>
        <v>55.069699999999997</v>
      </c>
      <c r="BV468" s="346">
        <f t="shared" si="87"/>
        <v>50.460338782147375</v>
      </c>
      <c r="BW468" s="346">
        <f t="shared" si="87"/>
        <v>47.73854370565882</v>
      </c>
      <c r="BX468" s="346">
        <f t="shared" si="87"/>
        <v>55.734871901255175</v>
      </c>
      <c r="BY468" s="346">
        <f t="shared" si="87"/>
        <v>50.75937849946633</v>
      </c>
      <c r="BZ468" s="346">
        <f t="shared" si="87"/>
        <v>50.630494762198431</v>
      </c>
      <c r="CA468" s="346">
        <f t="shared" si="87"/>
        <v>70.645197296430297</v>
      </c>
      <c r="CB468" s="346">
        <f t="shared" si="87"/>
        <v>50.480923714506467</v>
      </c>
      <c r="CC468" s="346">
        <f t="shared" si="87"/>
        <v>51.997049962222945</v>
      </c>
      <c r="CD468" s="346">
        <f t="shared" si="87"/>
        <v>72.8713855213188</v>
      </c>
      <c r="CE468" s="347">
        <f t="shared" si="87"/>
        <v>50.358473264697274</v>
      </c>
      <c r="CF468" s="346">
        <f t="shared" si="87"/>
        <v>56.400872537300785</v>
      </c>
      <c r="CG468" s="346">
        <f t="shared" si="87"/>
        <v>67.762531850293428</v>
      </c>
      <c r="CH468" s="346">
        <f t="shared" si="87"/>
        <v>56.569088801345231</v>
      </c>
      <c r="CI468" s="346">
        <f t="shared" si="87"/>
        <v>56.830358355824714</v>
      </c>
      <c r="CJ468" s="346">
        <f t="shared" si="87"/>
        <v>71.728807105693789</v>
      </c>
      <c r="CK468" s="346">
        <f t="shared" si="87"/>
        <v>62.628570289825042</v>
      </c>
      <c r="CL468" s="346">
        <f t="shared" si="87"/>
        <v>58.387859632163071</v>
      </c>
      <c r="CM468" s="346">
        <f t="shared" si="87"/>
        <v>67.667474816064214</v>
      </c>
      <c r="CN468" s="346">
        <f t="shared" si="87"/>
        <v>58.232361492253354</v>
      </c>
      <c r="CO468" s="346">
        <f t="shared" si="87"/>
        <v>64.576853616357624</v>
      </c>
      <c r="CP468" s="348">
        <f t="shared" si="87"/>
        <v>92.282024141505644</v>
      </c>
      <c r="CQ468" s="346">
        <f t="shared" si="87"/>
        <v>62.205020874423333</v>
      </c>
      <c r="CR468" s="346">
        <f t="shared" si="87"/>
        <v>61.577752156755217</v>
      </c>
      <c r="CS468" s="346">
        <f t="shared" si="87"/>
        <v>81.209225728722529</v>
      </c>
      <c r="CT468" s="346">
        <f t="shared" si="87"/>
        <v>60.439698774882224</v>
      </c>
      <c r="CU468" s="346">
        <f t="shared" si="87"/>
        <v>58.213373962794371</v>
      </c>
      <c r="CV468" s="346">
        <f t="shared" si="87"/>
        <v>82.503151977615133</v>
      </c>
      <c r="CW468" s="346">
        <f t="shared" si="87"/>
        <v>65.856604348482591</v>
      </c>
      <c r="CX468" s="346">
        <f t="shared" si="87"/>
        <v>58.716004557468082</v>
      </c>
      <c r="CY468" s="346">
        <f t="shared" si="87"/>
        <v>87.614972142911796</v>
      </c>
      <c r="CZ468" s="346">
        <f t="shared" si="87"/>
        <v>72.883829422090102</v>
      </c>
      <c r="DA468" s="346">
        <f t="shared" si="87"/>
        <v>68.82082806760269</v>
      </c>
      <c r="DB468" s="1479">
        <f t="shared" si="87"/>
        <v>98.309068731851184</v>
      </c>
      <c r="DC468" s="346">
        <f t="shared" si="87"/>
        <v>66.733951547846715</v>
      </c>
      <c r="DD468" s="346">
        <f t="shared" si="87"/>
        <v>68.245586880935548</v>
      </c>
      <c r="DE468" s="346">
        <f t="shared" si="87"/>
        <v>86.824346869568402</v>
      </c>
      <c r="DF468" s="346">
        <f t="shared" si="87"/>
        <v>77.768789279906329</v>
      </c>
      <c r="DG468" s="346">
        <f t="shared" si="87"/>
        <v>70.290688721549159</v>
      </c>
      <c r="DH468" s="346">
        <f t="shared" si="87"/>
        <v>94.437271875493849</v>
      </c>
      <c r="DI468" s="346">
        <f t="shared" si="87"/>
        <v>76.99888641831906</v>
      </c>
      <c r="DJ468" s="346">
        <f t="shared" si="87"/>
        <v>72.781232871814325</v>
      </c>
      <c r="DK468" s="346">
        <f t="shared" si="87"/>
        <v>113.69690742097913</v>
      </c>
      <c r="DL468" s="346">
        <f t="shared" si="87"/>
        <v>78.44569215335008</v>
      </c>
      <c r="DM468" s="346">
        <f t="shared" si="87"/>
        <v>78.436310386163555</v>
      </c>
      <c r="DN468" s="348">
        <f t="shared" si="87"/>
        <v>115.65428540618294</v>
      </c>
      <c r="DO468" s="346">
        <f t="shared" ref="DO468:DZ468" si="88">DO470+DO473+DO480</f>
        <v>70.001377174548537</v>
      </c>
      <c r="DP468" s="346">
        <f t="shared" si="88"/>
        <v>82.550819978066912</v>
      </c>
      <c r="DQ468" s="346">
        <f t="shared" si="88"/>
        <v>96.339551639584585</v>
      </c>
      <c r="DR468" s="346">
        <f t="shared" si="88"/>
        <v>75.236561436798738</v>
      </c>
      <c r="DS468" s="346">
        <f t="shared" si="88"/>
        <v>77.488918952174245</v>
      </c>
      <c r="DT468" s="346">
        <f t="shared" si="88"/>
        <v>106.98901336147306</v>
      </c>
      <c r="DU468" s="346">
        <f t="shared" si="88"/>
        <v>87.321007018100005</v>
      </c>
      <c r="DV468" s="346">
        <f t="shared" si="88"/>
        <v>80.3658217081</v>
      </c>
      <c r="DW468" s="346">
        <f t="shared" si="88"/>
        <v>130.80228913051002</v>
      </c>
      <c r="DX468" s="346">
        <f t="shared" si="88"/>
        <v>79.869756277899995</v>
      </c>
      <c r="DY468" s="346">
        <f t="shared" si="88"/>
        <v>89.324089658700018</v>
      </c>
      <c r="DZ468" s="348">
        <f t="shared" si="88"/>
        <v>127.8539387389</v>
      </c>
      <c r="EA468" s="346">
        <f t="shared" ref="EA468:EL468" si="89">EA470+EA473+EA480</f>
        <v>80.651868990290183</v>
      </c>
      <c r="EB468" s="346">
        <f t="shared" si="89"/>
        <v>87.744692091378823</v>
      </c>
      <c r="EC468" s="346">
        <f t="shared" si="89"/>
        <v>108.64829614084678</v>
      </c>
      <c r="ED468" s="346">
        <f t="shared" si="89"/>
        <v>93.959872045710185</v>
      </c>
      <c r="EE468" s="346">
        <f t="shared" si="89"/>
        <v>90.263999976638843</v>
      </c>
      <c r="EF468" s="346">
        <f t="shared" si="89"/>
        <v>123.14485494378681</v>
      </c>
      <c r="EG468" s="346">
        <f t="shared" si="89"/>
        <v>103.31933546870459</v>
      </c>
      <c r="EH468" s="346">
        <f t="shared" si="89"/>
        <v>87.46300630727464</v>
      </c>
      <c r="EI468" s="346">
        <f t="shared" si="89"/>
        <v>137.8075590158904</v>
      </c>
      <c r="EJ468" s="346">
        <f t="shared" si="89"/>
        <v>107.06704100578096</v>
      </c>
      <c r="EK468" s="346">
        <f t="shared" si="89"/>
        <v>94.590637116626951</v>
      </c>
      <c r="EL468" s="348">
        <f t="shared" si="89"/>
        <v>138.22246798691367</v>
      </c>
      <c r="EM468" s="346">
        <f t="shared" ref="EM468:ER468" si="90">EM470+EM473+EM480</f>
        <v>90.501668647839992</v>
      </c>
      <c r="EN468" s="346">
        <f t="shared" si="90"/>
        <v>104.63578741077001</v>
      </c>
      <c r="EO468" s="346">
        <f t="shared" si="90"/>
        <v>117.59219140776001</v>
      </c>
      <c r="EP468" s="346">
        <f t="shared" si="90"/>
        <v>103.03049675657665</v>
      </c>
      <c r="EQ468" s="346">
        <f t="shared" si="90"/>
        <v>100.61915029283668</v>
      </c>
      <c r="ER468" s="346">
        <f t="shared" si="90"/>
        <v>139.80340133454672</v>
      </c>
      <c r="ES468" s="346">
        <f t="shared" ref="ES468:EX468" si="91">ES470+ES473+ES480</f>
        <v>118.55254429557266</v>
      </c>
      <c r="ET468" s="346">
        <f t="shared" si="91"/>
        <v>107.28935970444994</v>
      </c>
      <c r="EU468" s="346">
        <f t="shared" si="91"/>
        <v>129.97993856532003</v>
      </c>
      <c r="EV468" s="346">
        <f t="shared" si="91"/>
        <v>129.57661591749442</v>
      </c>
      <c r="EW468" s="346">
        <f t="shared" si="91"/>
        <v>115.44832913078002</v>
      </c>
      <c r="EX468" s="348">
        <f t="shared" si="91"/>
        <v>161.76129901532821</v>
      </c>
      <c r="EY468" s="346"/>
      <c r="EZ468" s="346"/>
      <c r="FA468" s="346"/>
      <c r="FB468" s="346"/>
      <c r="FC468" s="346"/>
      <c r="FD468" s="346"/>
      <c r="FE468" s="346"/>
      <c r="FF468" s="346"/>
      <c r="FG468" s="346"/>
      <c r="FH468" s="346"/>
      <c r="FI468" s="346"/>
      <c r="FJ468" s="348"/>
      <c r="FK468" s="346"/>
      <c r="FL468" s="346"/>
      <c r="FM468" s="346"/>
      <c r="FN468" s="346"/>
      <c r="FO468" s="346"/>
      <c r="FP468" s="346"/>
      <c r="FQ468" s="346"/>
      <c r="FR468" s="346"/>
      <c r="FS468" s="346"/>
      <c r="FT468" s="346"/>
      <c r="FU468" s="346"/>
      <c r="FV468" s="346"/>
      <c r="FW468" s="346"/>
      <c r="FX468" s="346"/>
      <c r="FY468" s="346"/>
      <c r="FZ468" s="346"/>
      <c r="GA468" s="346"/>
      <c r="GB468" s="346"/>
      <c r="GC468" s="346"/>
      <c r="GD468" s="346"/>
      <c r="GE468" s="346"/>
      <c r="GF468" s="346"/>
      <c r="GG468" s="346"/>
      <c r="GH468" s="346"/>
      <c r="GI468" s="346"/>
      <c r="GJ468" s="346"/>
      <c r="GK468" s="346"/>
      <c r="GL468" s="346"/>
      <c r="GM468" s="346"/>
      <c r="GN468" s="346"/>
      <c r="GO468" s="346"/>
      <c r="GP468" s="346"/>
      <c r="GQ468" s="346"/>
      <c r="GR468" s="346"/>
      <c r="GS468" s="346"/>
      <c r="GT468" s="346"/>
      <c r="GU468" s="346"/>
      <c r="GV468" s="346"/>
      <c r="GW468" s="346"/>
      <c r="GX468" s="346"/>
      <c r="GY468" s="346"/>
      <c r="GZ468" s="346"/>
      <c r="HA468" s="346"/>
      <c r="HB468" s="346"/>
      <c r="HC468" s="346"/>
      <c r="HD468" s="346"/>
      <c r="HE468" s="346"/>
      <c r="HF468" s="346"/>
      <c r="HG468" s="346"/>
      <c r="HH468" s="346"/>
      <c r="HI468" s="346"/>
      <c r="HJ468" s="346"/>
      <c r="HK468" s="346"/>
      <c r="HL468" s="346"/>
      <c r="HM468" s="346"/>
      <c r="HN468" s="349"/>
      <c r="HO468" s="351" t="s">
        <v>138</v>
      </c>
      <c r="HP468" s="351"/>
      <c r="HQ468" s="351"/>
      <c r="HR468" s="346">
        <f>+FISC!Z674</f>
        <v>871.55680195799994</v>
      </c>
      <c r="HS468" s="302">
        <f>HS470+HS473+HS480</f>
        <v>406.14822347519282</v>
      </c>
      <c r="HT468" s="302">
        <f>HT470+HT473+HT480</f>
        <v>452.2013072704064</v>
      </c>
      <c r="HU468" s="346">
        <f>HU470+HU473+HU480</f>
        <v>858.34953074559928</v>
      </c>
      <c r="HV468" s="302">
        <f t="shared" ref="HV468:IC468" si="92">HV470+HV473+HV480</f>
        <v>464.30063517529999</v>
      </c>
      <c r="HW468" s="302">
        <f t="shared" si="92"/>
        <v>536.01331465680903</v>
      </c>
      <c r="HX468" s="346">
        <f t="shared" si="92"/>
        <v>1000.3139498321091</v>
      </c>
      <c r="HY468" s="302">
        <f t="shared" si="92"/>
        <v>508.60624254264599</v>
      </c>
      <c r="HZ468" s="302">
        <f t="shared" si="92"/>
        <v>595.53690253220998</v>
      </c>
      <c r="IA468" s="346">
        <f t="shared" si="92"/>
        <v>1104.143145074856</v>
      </c>
      <c r="IB468" s="302">
        <f t="shared" si="92"/>
        <v>584.41358418865161</v>
      </c>
      <c r="IC468" s="302">
        <f t="shared" si="92"/>
        <v>668.47004690119115</v>
      </c>
      <c r="ID468" s="346">
        <f>FISC!AC674</f>
        <v>1252.8836310898428</v>
      </c>
      <c r="IE468" s="302">
        <f>SUM(EM468:ER468)</f>
        <v>656.18269585033011</v>
      </c>
      <c r="IF468" s="302">
        <f>SUM(ES468:EX468)</f>
        <v>762.60808662894533</v>
      </c>
      <c r="IG468" s="346">
        <f>IE468+IF468</f>
        <v>1418.7907824792755</v>
      </c>
      <c r="IH468" s="302" t="e">
        <f>(IH470+IH473+IH480)*0+761.974875597519</f>
        <v>#REF!</v>
      </c>
      <c r="II468" s="302" t="e">
        <f>II470+II473+II480</f>
        <v>#REF!</v>
      </c>
      <c r="IJ468" s="346">
        <f>+FISC!AE674</f>
        <v>1408.2817965614299</v>
      </c>
      <c r="IK468" s="302">
        <f>IK470+IK473+IK480</f>
        <v>691.2363320650652</v>
      </c>
      <c r="IL468" s="302">
        <f t="shared" si="85"/>
        <v>768.6368929977948</v>
      </c>
      <c r="IM468" s="346">
        <f>+FISC!AF674</f>
        <v>1459.87322506286</v>
      </c>
      <c r="IN468" s="302">
        <f>IN470+IN473+IN480</f>
        <v>3456.4599295416397</v>
      </c>
      <c r="IO468" s="302">
        <f t="shared" si="73"/>
        <v>4033.4731886971208</v>
      </c>
      <c r="IP468" s="346">
        <f>+FISC!AG674</f>
        <v>7489.9331182387605</v>
      </c>
      <c r="IQ468" s="302">
        <f>IQ470+IQ473+IQ480</f>
        <v>5107.0901148691046</v>
      </c>
      <c r="IR468" s="302">
        <f t="shared" si="74"/>
        <v>5874.4285120603545</v>
      </c>
      <c r="IS468" s="346">
        <f>+FISC!AH674</f>
        <v>10981.518626929459</v>
      </c>
      <c r="IT468" s="302">
        <f>IT470+IT473+IT480</f>
        <v>5776.2683690832755</v>
      </c>
      <c r="IU468" s="302">
        <f t="shared" si="75"/>
        <v>6621.6742399521727</v>
      </c>
      <c r="IV468" s="346">
        <f>+FISC!AI674</f>
        <v>12397.942609035448</v>
      </c>
      <c r="IW468" s="302">
        <f>IW470+IW473+IW480</f>
        <v>0</v>
      </c>
      <c r="IX468" s="302">
        <f t="shared" si="76"/>
        <v>0</v>
      </c>
      <c r="IY468" s="346">
        <f>+FISC!AJ674</f>
        <v>0</v>
      </c>
      <c r="IZ468" s="302">
        <f>IZ470+IZ473+IZ480</f>
        <v>37.494989830678769</v>
      </c>
      <c r="JA468" s="302">
        <f t="shared" si="77"/>
        <v>40.619572316568672</v>
      </c>
      <c r="JB468" s="346">
        <f>+FISC!AK674</f>
        <v>78.11456214724744</v>
      </c>
      <c r="JC468" s="346"/>
      <c r="KI468" s="349"/>
      <c r="KJ468" s="350"/>
      <c r="KM468" s="302">
        <f>KM470+KM473+KM480</f>
        <v>0</v>
      </c>
      <c r="KN468" s="302">
        <f>KN470+KN473+KN480</f>
        <v>0</v>
      </c>
      <c r="KO468" s="302">
        <f>KO470+KO473+KO480</f>
        <v>0</v>
      </c>
      <c r="KP468" s="302">
        <f>KP470+KP473+KP480</f>
        <v>0</v>
      </c>
    </row>
    <row r="469" spans="2:302" ht="20.25" customHeight="1">
      <c r="B469" s="117" t="s">
        <v>361</v>
      </c>
      <c r="D469" s="351" t="str">
        <f>+FISC!D675</f>
        <v>Contingent</v>
      </c>
      <c r="E469" s="346"/>
      <c r="F469" s="346"/>
      <c r="G469" s="346"/>
      <c r="H469" s="346"/>
      <c r="I469" s="346"/>
      <c r="J469" s="346"/>
      <c r="K469" s="346"/>
      <c r="L469" s="346"/>
      <c r="M469" s="346"/>
      <c r="N469" s="346"/>
      <c r="O469" s="346"/>
      <c r="P469" s="346"/>
      <c r="Q469" s="346"/>
      <c r="R469" s="346"/>
      <c r="S469" s="346"/>
      <c r="T469" s="346"/>
      <c r="U469" s="346"/>
      <c r="V469" s="346"/>
      <c r="W469" s="346"/>
      <c r="X469" s="346"/>
      <c r="Y469" s="346"/>
      <c r="Z469" s="346"/>
      <c r="AA469" s="346"/>
      <c r="AB469" s="346"/>
      <c r="AC469" s="346"/>
      <c r="AD469" s="346"/>
      <c r="AE469" s="346"/>
      <c r="AF469" s="346"/>
      <c r="AG469" s="346"/>
      <c r="AH469" s="346"/>
      <c r="AI469" s="346"/>
      <c r="AJ469" s="346"/>
      <c r="AK469" s="346"/>
      <c r="AL469" s="346"/>
      <c r="AM469" s="346"/>
      <c r="AN469" s="346"/>
      <c r="AO469" s="346"/>
      <c r="AP469" s="346"/>
      <c r="AQ469" s="346"/>
      <c r="AR469" s="346"/>
      <c r="AS469" s="346"/>
      <c r="AT469" s="346"/>
      <c r="AU469" s="346"/>
      <c r="AV469" s="346"/>
      <c r="AW469" s="346"/>
      <c r="AX469" s="346"/>
      <c r="AY469" s="346"/>
      <c r="AZ469" s="346"/>
      <c r="BA469" s="346"/>
      <c r="BB469" s="346"/>
      <c r="BC469" s="346"/>
      <c r="BD469" s="346"/>
      <c r="BE469" s="346"/>
      <c r="BF469" s="346"/>
      <c r="BG469" s="346"/>
      <c r="BH469" s="346"/>
      <c r="BI469" s="346"/>
      <c r="BJ469" s="346"/>
      <c r="BK469" s="346"/>
      <c r="BL469" s="346"/>
      <c r="BM469" s="346"/>
      <c r="BN469" s="346"/>
      <c r="BO469" s="346"/>
      <c r="BP469" s="346"/>
      <c r="BQ469" s="346"/>
      <c r="BR469" s="346"/>
      <c r="BS469" s="346"/>
      <c r="BT469" s="346"/>
      <c r="BU469" s="346"/>
      <c r="BV469" s="346"/>
      <c r="BW469" s="346"/>
      <c r="BX469" s="346"/>
      <c r="BY469" s="346"/>
      <c r="BZ469" s="346"/>
      <c r="CA469" s="346"/>
      <c r="CB469" s="346"/>
      <c r="CC469" s="346"/>
      <c r="CD469" s="346"/>
      <c r="CE469" s="347"/>
      <c r="CF469" s="346"/>
      <c r="CG469" s="346"/>
      <c r="CH469" s="346"/>
      <c r="CI469" s="346"/>
      <c r="CJ469" s="346"/>
      <c r="CK469" s="346"/>
      <c r="CL469" s="346"/>
      <c r="CM469" s="346"/>
      <c r="CN469" s="346"/>
      <c r="CO469" s="346"/>
      <c r="CP469" s="348"/>
      <c r="CQ469" s="346"/>
      <c r="CR469" s="346"/>
      <c r="CS469" s="346"/>
      <c r="CT469" s="346"/>
      <c r="CU469" s="346"/>
      <c r="CV469" s="346"/>
      <c r="CW469" s="346"/>
      <c r="CX469" s="346"/>
      <c r="CY469" s="346"/>
      <c r="CZ469" s="346"/>
      <c r="DA469" s="346"/>
      <c r="DB469" s="1479"/>
      <c r="DC469" s="346"/>
      <c r="DD469" s="346"/>
      <c r="DE469" s="346"/>
      <c r="DF469" s="346"/>
      <c r="DG469" s="346"/>
      <c r="DH469" s="346"/>
      <c r="DI469" s="346"/>
      <c r="DJ469" s="346"/>
      <c r="DK469" s="346"/>
      <c r="DL469" s="346"/>
      <c r="DM469" s="346"/>
      <c r="DN469" s="348"/>
      <c r="DO469" s="346"/>
      <c r="DP469" s="346"/>
      <c r="DQ469" s="346"/>
      <c r="DR469" s="346"/>
      <c r="DS469" s="346"/>
      <c r="DT469" s="346"/>
      <c r="DU469" s="346"/>
      <c r="DV469" s="346"/>
      <c r="DW469" s="346"/>
      <c r="DX469" s="346"/>
      <c r="DY469" s="346"/>
      <c r="DZ469" s="348"/>
      <c r="EA469" s="346"/>
      <c r="EB469" s="346"/>
      <c r="EC469" s="346"/>
      <c r="ED469" s="346"/>
      <c r="EE469" s="346"/>
      <c r="EF469" s="346"/>
      <c r="EG469" s="346"/>
      <c r="EH469" s="346"/>
      <c r="EI469" s="346"/>
      <c r="EJ469" s="346"/>
      <c r="EK469" s="346"/>
      <c r="EL469" s="348"/>
      <c r="EM469" s="346"/>
      <c r="EN469" s="346"/>
      <c r="EO469" s="346"/>
      <c r="EP469" s="346"/>
      <c r="EQ469" s="346"/>
      <c r="ER469" s="346"/>
      <c r="ES469" s="346"/>
      <c r="ET469" s="346"/>
      <c r="EU469" s="346"/>
      <c r="EV469" s="346"/>
      <c r="EW469" s="346"/>
      <c r="EX469" s="348"/>
      <c r="EY469" s="346"/>
      <c r="EZ469" s="346"/>
      <c r="FA469" s="346"/>
      <c r="FB469" s="346"/>
      <c r="FC469" s="346"/>
      <c r="FD469" s="346"/>
      <c r="FE469" s="346"/>
      <c r="FF469" s="346"/>
      <c r="FG469" s="346"/>
      <c r="FH469" s="346"/>
      <c r="FI469" s="346"/>
      <c r="FJ469" s="348"/>
      <c r="FK469" s="346"/>
      <c r="FL469" s="346"/>
      <c r="FM469" s="346"/>
      <c r="FN469" s="346"/>
      <c r="FO469" s="346"/>
      <c r="FP469" s="346"/>
      <c r="FQ469" s="346"/>
      <c r="FR469" s="346"/>
      <c r="FS469" s="346"/>
      <c r="FT469" s="346"/>
      <c r="FU469" s="346"/>
      <c r="FV469" s="346"/>
      <c r="FW469" s="346"/>
      <c r="FX469" s="346"/>
      <c r="FY469" s="346"/>
      <c r="FZ469" s="346"/>
      <c r="GA469" s="346"/>
      <c r="GB469" s="346"/>
      <c r="GC469" s="346"/>
      <c r="GD469" s="346"/>
      <c r="GE469" s="346"/>
      <c r="GF469" s="346"/>
      <c r="GG469" s="346"/>
      <c r="GH469" s="346"/>
      <c r="GI469" s="346"/>
      <c r="GJ469" s="346"/>
      <c r="GK469" s="346"/>
      <c r="GL469" s="346"/>
      <c r="GM469" s="346"/>
      <c r="GN469" s="346"/>
      <c r="GO469" s="346"/>
      <c r="GP469" s="346"/>
      <c r="GQ469" s="346"/>
      <c r="GR469" s="346"/>
      <c r="GS469" s="346"/>
      <c r="GT469" s="346"/>
      <c r="GU469" s="346"/>
      <c r="GV469" s="346"/>
      <c r="GW469" s="346"/>
      <c r="GX469" s="346"/>
      <c r="GY469" s="346"/>
      <c r="GZ469" s="346"/>
      <c r="HA469" s="346"/>
      <c r="HB469" s="346"/>
      <c r="HC469" s="346"/>
      <c r="HD469" s="346"/>
      <c r="HE469" s="346"/>
      <c r="HF469" s="346"/>
      <c r="HG469" s="346"/>
      <c r="HH469" s="346"/>
      <c r="HI469" s="346"/>
      <c r="HJ469" s="346"/>
      <c r="HK469" s="346"/>
      <c r="HL469" s="346"/>
      <c r="HM469" s="346"/>
      <c r="HN469" s="349"/>
      <c r="HO469" s="351" t="s">
        <v>139</v>
      </c>
      <c r="HP469" s="351"/>
      <c r="HQ469" s="351"/>
      <c r="HR469" s="346"/>
      <c r="HS469" s="302">
        <f t="shared" ref="HS469:HS478" si="93">SUM(CQ469:CV469)</f>
        <v>0</v>
      </c>
      <c r="HT469" s="302">
        <f t="shared" ref="HT469:HT478" si="94">SUM(CW469:DB469)</f>
        <v>0</v>
      </c>
      <c r="HU469" s="346"/>
      <c r="HX469" s="346"/>
      <c r="IA469" s="346"/>
      <c r="IC469" s="1038"/>
      <c r="ID469" s="346"/>
      <c r="IG469" s="346"/>
      <c r="IH469" s="350"/>
      <c r="II469" s="350"/>
      <c r="IJ469" s="346"/>
      <c r="IL469" s="302">
        <f t="shared" si="85"/>
        <v>0</v>
      </c>
      <c r="IM469" s="346"/>
      <c r="IN469" s="302">
        <f>IP469*JI469</f>
        <v>0</v>
      </c>
      <c r="IO469" s="302">
        <f t="shared" si="73"/>
        <v>0</v>
      </c>
      <c r="IP469" s="346"/>
      <c r="IQ469" s="302">
        <f>IS469*JI469</f>
        <v>0</v>
      </c>
      <c r="IR469" s="302">
        <f t="shared" si="74"/>
        <v>0</v>
      </c>
      <c r="IS469" s="346"/>
      <c r="IT469" s="302">
        <f>IV469*JI469</f>
        <v>0</v>
      </c>
      <c r="IU469" s="302">
        <f t="shared" si="75"/>
        <v>0</v>
      </c>
      <c r="IV469" s="346"/>
      <c r="IW469" s="302">
        <f>IY469*JL469</f>
        <v>0</v>
      </c>
      <c r="IX469" s="302">
        <f t="shared" si="76"/>
        <v>0</v>
      </c>
      <c r="IY469" s="346"/>
      <c r="IZ469" s="302">
        <f>JB469*JO469</f>
        <v>0</v>
      </c>
      <c r="JA469" s="302">
        <f t="shared" si="77"/>
        <v>0</v>
      </c>
      <c r="JB469" s="346"/>
      <c r="JC469" s="346"/>
      <c r="KI469" s="349"/>
      <c r="KJ469" s="350"/>
    </row>
    <row r="470" spans="2:302" ht="16.5">
      <c r="B470" s="117" t="s">
        <v>361</v>
      </c>
      <c r="D470" s="345" t="str">
        <f>+FISC!D676</f>
        <v>Direct taxes</v>
      </c>
      <c r="E470" s="346">
        <v>4.2294</v>
      </c>
      <c r="F470" s="346">
        <v>4.8996000000000004</v>
      </c>
      <c r="G470" s="346">
        <v>9.74</v>
      </c>
      <c r="H470" s="346">
        <v>6.2172999999999998</v>
      </c>
      <c r="I470" s="346">
        <v>6.1355000000000004</v>
      </c>
      <c r="J470" s="346">
        <v>12.2303</v>
      </c>
      <c r="K470" s="346">
        <v>5.4071999999999996</v>
      </c>
      <c r="L470" s="346">
        <v>5.3875000000000002</v>
      </c>
      <c r="M470" s="346">
        <v>9.8819999999999997</v>
      </c>
      <c r="N470" s="346">
        <v>6.0981000000000005</v>
      </c>
      <c r="O470" s="346">
        <v>5.7516000000000007</v>
      </c>
      <c r="P470" s="346">
        <v>9.8281999999999989</v>
      </c>
      <c r="Q470" s="346">
        <v>6.77</v>
      </c>
      <c r="R470" s="346">
        <v>6.431</v>
      </c>
      <c r="S470" s="346">
        <v>11.5298</v>
      </c>
      <c r="T470" s="346">
        <v>9.7888500000000001</v>
      </c>
      <c r="U470" s="346">
        <v>7.5178000000000003</v>
      </c>
      <c r="V470" s="346">
        <v>18.883900000000001</v>
      </c>
      <c r="W470" s="346">
        <v>7.5696000000000003</v>
      </c>
      <c r="X470" s="346">
        <v>7.1867999999999999</v>
      </c>
      <c r="Y470" s="346">
        <v>15.0951</v>
      </c>
      <c r="Z470" s="346">
        <v>9.2165999999999997</v>
      </c>
      <c r="AA470" s="346">
        <v>6.8547000000000002</v>
      </c>
      <c r="AB470" s="346">
        <v>16.229099999999999</v>
      </c>
      <c r="AC470" s="346">
        <v>8.3041</v>
      </c>
      <c r="AD470" s="346">
        <v>8.0401000000000007</v>
      </c>
      <c r="AE470" s="346">
        <v>15.087200000000001</v>
      </c>
      <c r="AF470" s="346">
        <v>8.5241000000000007</v>
      </c>
      <c r="AG470" s="346">
        <v>9.5237999999999996</v>
      </c>
      <c r="AH470" s="346">
        <v>18.486799999999999</v>
      </c>
      <c r="AI470" s="346">
        <v>8.4802</v>
      </c>
      <c r="AJ470" s="346">
        <v>8.6162900000000011</v>
      </c>
      <c r="AK470" s="346">
        <v>15.2136</v>
      </c>
      <c r="AL470" s="346">
        <v>8.3623999999999992</v>
      </c>
      <c r="AM470" s="346">
        <v>9.8104999999999993</v>
      </c>
      <c r="AN470" s="346">
        <v>18.0078</v>
      </c>
      <c r="AO470" s="346">
        <v>9.7523999999999997</v>
      </c>
      <c r="AP470" s="346">
        <v>9.7409999999999997</v>
      </c>
      <c r="AQ470" s="346">
        <v>23.587599999999998</v>
      </c>
      <c r="AR470" s="346">
        <v>10.6571</v>
      </c>
      <c r="AS470" s="346">
        <v>10.450200000000001</v>
      </c>
      <c r="AT470" s="346">
        <v>16.0748</v>
      </c>
      <c r="AU470" s="346">
        <v>10.8079</v>
      </c>
      <c r="AV470" s="346">
        <v>12.0541</v>
      </c>
      <c r="AW470" s="346">
        <v>16.495439999999999</v>
      </c>
      <c r="AX470" s="346">
        <v>11.353399999999999</v>
      </c>
      <c r="AY470" s="346">
        <v>11.4215</v>
      </c>
      <c r="AZ470" s="346">
        <v>19.632000000000001</v>
      </c>
      <c r="BA470" s="346">
        <v>12.880600000000001</v>
      </c>
      <c r="BB470" s="346">
        <v>10.114100000000001</v>
      </c>
      <c r="BC470" s="346">
        <v>25.939799999999998</v>
      </c>
      <c r="BD470" s="346">
        <v>13.154260000000001</v>
      </c>
      <c r="BE470" s="346">
        <v>15.050450000000001</v>
      </c>
      <c r="BF470" s="346">
        <v>21.799799999999998</v>
      </c>
      <c r="BG470" s="346">
        <v>11.609183778999999</v>
      </c>
      <c r="BH470" s="346">
        <v>13.511276782000003</v>
      </c>
      <c r="BI470" s="346">
        <v>20.077570490000003</v>
      </c>
      <c r="BJ470" s="346">
        <v>15.582799999999999</v>
      </c>
      <c r="BK470" s="346">
        <v>15.340540000000001</v>
      </c>
      <c r="BL470" s="346">
        <v>23.56427</v>
      </c>
      <c r="BM470" s="346">
        <v>15.8581</v>
      </c>
      <c r="BN470" s="346">
        <v>15.1586</v>
      </c>
      <c r="BO470" s="346">
        <v>30.055299999999999</v>
      </c>
      <c r="BP470" s="346">
        <v>17.537200000000002</v>
      </c>
      <c r="BQ470" s="346">
        <v>24.180400000000002</v>
      </c>
      <c r="BR470" s="346">
        <v>25.996700000000001</v>
      </c>
      <c r="BS470" s="346">
        <v>14.869200000000001</v>
      </c>
      <c r="BT470" s="346">
        <v>17.380200000000002</v>
      </c>
      <c r="BU470" s="346">
        <v>23.817799999999998</v>
      </c>
      <c r="BV470" s="346">
        <v>20.085137107999998</v>
      </c>
      <c r="BW470" s="346">
        <v>19.032810089000002</v>
      </c>
      <c r="BX470" s="346">
        <v>25.844017297000001</v>
      </c>
      <c r="BY470" s="346">
        <v>18.816471498000002</v>
      </c>
      <c r="BZ470" s="346">
        <v>22.563897915999998</v>
      </c>
      <c r="CA470" s="346">
        <v>40.967232714000005</v>
      </c>
      <c r="CB470" s="346">
        <v>21.093378254000001</v>
      </c>
      <c r="CC470" s="346">
        <v>21.295209594000003</v>
      </c>
      <c r="CD470" s="346">
        <v>36.377935814000004</v>
      </c>
      <c r="CE470" s="347">
        <f t="shared" ref="CE470:DB470" si="95">+CE161</f>
        <v>19.243223158000003</v>
      </c>
      <c r="CF470" s="346">
        <f t="shared" si="95"/>
        <v>21.131821452999997</v>
      </c>
      <c r="CG470" s="346">
        <f t="shared" si="95"/>
        <v>30.692373311000001</v>
      </c>
      <c r="CH470" s="346">
        <f t="shared" si="95"/>
        <v>21.529209563000002</v>
      </c>
      <c r="CI470" s="346">
        <f t="shared" si="95"/>
        <v>20.612307720999997</v>
      </c>
      <c r="CJ470" s="346">
        <f t="shared" si="95"/>
        <v>36.108084553999994</v>
      </c>
      <c r="CK470" s="346">
        <f t="shared" si="95"/>
        <v>22.963157741</v>
      </c>
      <c r="CL470" s="346">
        <f t="shared" si="95"/>
        <v>22.570024158000003</v>
      </c>
      <c r="CM470" s="346">
        <f t="shared" si="95"/>
        <v>30.981665009</v>
      </c>
      <c r="CN470" s="346">
        <f t="shared" si="95"/>
        <v>22.71248851</v>
      </c>
      <c r="CO470" s="346">
        <f t="shared" si="95"/>
        <v>22.337369929999998</v>
      </c>
      <c r="CP470" s="348">
        <f t="shared" si="95"/>
        <v>40.750513335999997</v>
      </c>
      <c r="CQ470" s="346">
        <f t="shared" si="95"/>
        <v>23.704446707999999</v>
      </c>
      <c r="CR470" s="346">
        <f t="shared" si="95"/>
        <v>22.889832446</v>
      </c>
      <c r="CS470" s="346">
        <f t="shared" si="95"/>
        <v>35.721352616000004</v>
      </c>
      <c r="CT470" s="346">
        <f t="shared" si="95"/>
        <v>23.028986442000001</v>
      </c>
      <c r="CU470" s="346">
        <f t="shared" si="95"/>
        <v>20.431042698000002</v>
      </c>
      <c r="CV470" s="346">
        <f t="shared" si="95"/>
        <v>40.577117606999998</v>
      </c>
      <c r="CW470" s="346">
        <f t="shared" si="95"/>
        <v>26.016992691999999</v>
      </c>
      <c r="CX470" s="346">
        <f t="shared" si="95"/>
        <v>21.560036044</v>
      </c>
      <c r="CY470" s="346">
        <f t="shared" si="95"/>
        <v>47.081547169000004</v>
      </c>
      <c r="CZ470" s="346">
        <f t="shared" si="95"/>
        <v>31.579407516</v>
      </c>
      <c r="DA470" s="346">
        <f t="shared" si="95"/>
        <v>26.762229838000003</v>
      </c>
      <c r="DB470" s="1479">
        <f t="shared" si="95"/>
        <v>43.318694478999994</v>
      </c>
      <c r="DC470" s="346">
        <f t="shared" ref="DC470:EX470" si="96">+DC161+DC471</f>
        <v>25.271828125440468</v>
      </c>
      <c r="DD470" s="346">
        <f t="shared" si="96"/>
        <v>23.721978949147022</v>
      </c>
      <c r="DE470" s="346">
        <f t="shared" si="96"/>
        <v>36.863292639738098</v>
      </c>
      <c r="DF470" s="346">
        <f t="shared" si="96"/>
        <v>28.363050243635684</v>
      </c>
      <c r="DG470" s="346">
        <f t="shared" si="96"/>
        <v>24.900331481291762</v>
      </c>
      <c r="DH470" s="346">
        <f t="shared" si="96"/>
        <v>38.609710525357727</v>
      </c>
      <c r="DI470" s="346">
        <f t="shared" si="96"/>
        <v>29.966839983691674</v>
      </c>
      <c r="DJ470" s="346">
        <f t="shared" si="96"/>
        <v>26.983938657461596</v>
      </c>
      <c r="DK470" s="346">
        <f t="shared" si="96"/>
        <v>62.540453699076309</v>
      </c>
      <c r="DL470" s="346">
        <f t="shared" si="96"/>
        <v>29.754172011383083</v>
      </c>
      <c r="DM470" s="346">
        <f t="shared" si="96"/>
        <v>29.443865395332711</v>
      </c>
      <c r="DN470" s="348">
        <f t="shared" si="96"/>
        <v>49.739442979696335</v>
      </c>
      <c r="DO470" s="346">
        <f t="shared" si="96"/>
        <v>23.913280308648531</v>
      </c>
      <c r="DP470" s="346">
        <f t="shared" si="96"/>
        <v>32.404885582766894</v>
      </c>
      <c r="DQ470" s="346">
        <f t="shared" si="96"/>
        <v>42.25815268258458</v>
      </c>
      <c r="DR470" s="346">
        <f t="shared" si="96"/>
        <v>29.557968987098729</v>
      </c>
      <c r="DS470" s="346">
        <f t="shared" si="96"/>
        <v>28.769558111274247</v>
      </c>
      <c r="DT470" s="346">
        <f t="shared" si="96"/>
        <v>50.827558140653061</v>
      </c>
      <c r="DU470" s="346">
        <f t="shared" si="96"/>
        <v>34.254071183999997</v>
      </c>
      <c r="DV470" s="346">
        <f t="shared" si="96"/>
        <v>29.742180941000001</v>
      </c>
      <c r="DW470" s="346">
        <f t="shared" si="96"/>
        <v>73.297094385510007</v>
      </c>
      <c r="DX470" s="346">
        <f t="shared" si="96"/>
        <v>30.260020454999996</v>
      </c>
      <c r="DY470" s="346">
        <f t="shared" si="96"/>
        <v>34.802364183000002</v>
      </c>
      <c r="DZ470" s="348">
        <f t="shared" si="96"/>
        <v>58.296360038000003</v>
      </c>
      <c r="EA470" s="346">
        <f t="shared" si="96"/>
        <v>28.710028807590181</v>
      </c>
      <c r="EB470" s="346">
        <f t="shared" si="96"/>
        <v>34.816374093478835</v>
      </c>
      <c r="EC470" s="346">
        <f t="shared" si="96"/>
        <v>46.624297544656798</v>
      </c>
      <c r="ED470" s="346">
        <f t="shared" si="96"/>
        <v>36.344994823510177</v>
      </c>
      <c r="EE470" s="346">
        <f t="shared" si="96"/>
        <v>34.72785934047883</v>
      </c>
      <c r="EF470" s="346">
        <f t="shared" si="96"/>
        <v>55.515725913656809</v>
      </c>
      <c r="EG470" s="346">
        <f t="shared" si="96"/>
        <v>43.895696367254587</v>
      </c>
      <c r="EH470" s="346">
        <f t="shared" si="96"/>
        <v>32.119409716304652</v>
      </c>
      <c r="EI470" s="346">
        <f t="shared" si="96"/>
        <v>75.969855363630415</v>
      </c>
      <c r="EJ470" s="346">
        <f t="shared" si="96"/>
        <v>49.582225284816928</v>
      </c>
      <c r="EK470" s="346">
        <f t="shared" si="96"/>
        <v>35.121721916539627</v>
      </c>
      <c r="EL470" s="348">
        <f t="shared" si="96"/>
        <v>65.26671222178615</v>
      </c>
      <c r="EM470" s="346">
        <f t="shared" si="96"/>
        <v>33.385846521520001</v>
      </c>
      <c r="EN470" s="346">
        <f t="shared" si="96"/>
        <v>39.191629906970007</v>
      </c>
      <c r="EO470" s="346">
        <f t="shared" si="96"/>
        <v>53.6930349298</v>
      </c>
      <c r="EP470" s="346">
        <f t="shared" si="96"/>
        <v>44.207083992279998</v>
      </c>
      <c r="EQ470" s="346">
        <f t="shared" si="96"/>
        <v>37.827719683780003</v>
      </c>
      <c r="ER470" s="346">
        <f t="shared" si="96"/>
        <v>65.417052105490043</v>
      </c>
      <c r="ES470" s="346">
        <f t="shared" si="96"/>
        <v>51.40271640221988</v>
      </c>
      <c r="ET470" s="346">
        <f t="shared" si="96"/>
        <v>40.540910135739999</v>
      </c>
      <c r="EU470" s="346">
        <f t="shared" si="96"/>
        <v>65.299393199640008</v>
      </c>
      <c r="EV470" s="346">
        <f t="shared" si="96"/>
        <v>60.447716026999998</v>
      </c>
      <c r="EW470" s="346">
        <f t="shared" si="96"/>
        <v>46.362133108500011</v>
      </c>
      <c r="EX470" s="348">
        <f t="shared" si="96"/>
        <v>79.308169455000041</v>
      </c>
      <c r="EY470" s="346"/>
      <c r="EZ470" s="346"/>
      <c r="FA470" s="346"/>
      <c r="FB470" s="346"/>
      <c r="FC470" s="346"/>
      <c r="FD470" s="346"/>
      <c r="FE470" s="346"/>
      <c r="FF470" s="346"/>
      <c r="FG470" s="346"/>
      <c r="FH470" s="346"/>
      <c r="FI470" s="346"/>
      <c r="FJ470" s="348"/>
      <c r="FK470" s="346"/>
      <c r="FL470" s="346"/>
      <c r="FM470" s="346"/>
      <c r="FN470" s="346"/>
      <c r="FO470" s="346"/>
      <c r="FP470" s="346"/>
      <c r="FQ470" s="346"/>
      <c r="FR470" s="346"/>
      <c r="FS470" s="346"/>
      <c r="FT470" s="346"/>
      <c r="FU470" s="346"/>
      <c r="FV470" s="346"/>
      <c r="FW470" s="346"/>
      <c r="FX470" s="346"/>
      <c r="FY470" s="346"/>
      <c r="FZ470" s="346"/>
      <c r="GA470" s="346"/>
      <c r="GB470" s="346"/>
      <c r="GC470" s="346"/>
      <c r="GD470" s="346"/>
      <c r="GE470" s="346"/>
      <c r="GF470" s="346"/>
      <c r="GG470" s="346"/>
      <c r="GH470" s="346"/>
      <c r="GI470" s="346"/>
      <c r="GJ470" s="346"/>
      <c r="GK470" s="346"/>
      <c r="GL470" s="346"/>
      <c r="GM470" s="346"/>
      <c r="GN470" s="346"/>
      <c r="GO470" s="346"/>
      <c r="GP470" s="346"/>
      <c r="GQ470" s="346"/>
      <c r="GR470" s="346"/>
      <c r="GS470" s="346"/>
      <c r="GT470" s="346"/>
      <c r="GU470" s="346"/>
      <c r="GV470" s="346"/>
      <c r="GW470" s="346"/>
      <c r="GX470" s="346"/>
      <c r="GY470" s="346"/>
      <c r="GZ470" s="346"/>
      <c r="HA470" s="346"/>
      <c r="HB470" s="346"/>
      <c r="HC470" s="346"/>
      <c r="HD470" s="346"/>
      <c r="HE470" s="346"/>
      <c r="HF470" s="346"/>
      <c r="HG470" s="346"/>
      <c r="HH470" s="346"/>
      <c r="HI470" s="346"/>
      <c r="HJ470" s="346"/>
      <c r="HK470" s="346"/>
      <c r="HL470" s="346"/>
      <c r="HM470" s="346"/>
      <c r="HN470" s="349"/>
      <c r="HO470" s="345" t="s">
        <v>140</v>
      </c>
      <c r="HP470" s="345"/>
      <c r="HQ470" s="345"/>
      <c r="HR470" s="346">
        <f>+FISC!Z676</f>
        <v>375.7</v>
      </c>
      <c r="HS470" s="302">
        <f t="shared" si="93"/>
        <v>166.35277851700002</v>
      </c>
      <c r="HT470" s="302">
        <f t="shared" si="94"/>
        <v>196.31890773800001</v>
      </c>
      <c r="HU470" s="346">
        <f t="shared" ref="HU470:HU478" si="97">SUM(CQ470:DB470)</f>
        <v>362.67168625500005</v>
      </c>
      <c r="HV470" s="302">
        <f t="shared" ref="HV470:HV478" si="98">+SUM(DC470:DH470)</f>
        <v>177.73019196461075</v>
      </c>
      <c r="HW470" s="302">
        <f t="shared" ref="HW470:HW478" si="99">+SUM(DI470:DN470)</f>
        <v>228.42871272664172</v>
      </c>
      <c r="HX470" s="346">
        <f t="shared" ref="HX470:HX498" si="100">HV470+HW470</f>
        <v>406.15890469125247</v>
      </c>
      <c r="HY470" s="302">
        <f t="shared" ref="HY470:HY478" si="101">+SUM(DO470:DT470)</f>
        <v>207.73140381302602</v>
      </c>
      <c r="HZ470" s="302">
        <f t="shared" ref="HZ470:HZ478" si="102">SUM(DU470:DZ470)</f>
        <v>260.65209118651001</v>
      </c>
      <c r="IA470" s="346">
        <f t="shared" ref="IA470:IA538" si="103">HY470+HZ470</f>
        <v>468.38349499953603</v>
      </c>
      <c r="IB470" s="1153">
        <v>236.73928052337163</v>
      </c>
      <c r="IC470" s="302">
        <f>ID470-IB470</f>
        <v>301.95562087033233</v>
      </c>
      <c r="ID470" s="346">
        <f>FISC!AC676</f>
        <v>538.69490139370396</v>
      </c>
      <c r="IE470" s="302">
        <f t="shared" ref="IE470:IE483" si="104">SUM(EM470:ER470)</f>
        <v>273.72236713984006</v>
      </c>
      <c r="IF470" s="302">
        <f t="shared" ref="IF470:IF483" si="105">SUM(ES470:EX470)</f>
        <v>343.36103832809994</v>
      </c>
      <c r="IG470" s="346">
        <f t="shared" ref="IG470:IG478" si="106">IE470+IF470</f>
        <v>617.08340546794</v>
      </c>
      <c r="IH470" s="350">
        <f>IJ470*0+310.280674604</f>
        <v>310.28067460400001</v>
      </c>
      <c r="II470" s="302">
        <f>+IJ470-IH470</f>
        <v>310.46518133784701</v>
      </c>
      <c r="IJ470" s="346">
        <f>+FISC!AE676</f>
        <v>620.74585594184703</v>
      </c>
      <c r="IK470" s="350">
        <f>(IM470*0.4464)+IK471</f>
        <v>307.28766906599412</v>
      </c>
      <c r="IL470" s="302">
        <f t="shared" si="85"/>
        <v>343.40617892234388</v>
      </c>
      <c r="IM470" s="346">
        <f>+FISC!AF676</f>
        <v>650.69384798833801</v>
      </c>
      <c r="IN470" s="350">
        <f>(IP470*0.445)</f>
        <v>1762.4957765989386</v>
      </c>
      <c r="IO470" s="302">
        <f t="shared" si="73"/>
        <v>2198.1688899155306</v>
      </c>
      <c r="IP470" s="346">
        <f>+FISC!AG676</f>
        <v>3960.664666514469</v>
      </c>
      <c r="IQ470" s="350">
        <f>IS470*0.445</f>
        <v>2084.1524851615636</v>
      </c>
      <c r="IR470" s="302">
        <f t="shared" si="74"/>
        <v>2599.3362455385791</v>
      </c>
      <c r="IS470" s="346">
        <f>+FISC!AH676</f>
        <v>4683.4887307001427</v>
      </c>
      <c r="IT470" s="350">
        <f>IV470*0.445</f>
        <v>2219.8459824312231</v>
      </c>
      <c r="IU470" s="302">
        <f t="shared" si="75"/>
        <v>2768.5719556164695</v>
      </c>
      <c r="IV470" s="346">
        <f>+FISC!AI676</f>
        <v>4988.4179380476926</v>
      </c>
      <c r="IW470" s="350">
        <f>IY470*0.445</f>
        <v>0</v>
      </c>
      <c r="IX470" s="302">
        <f t="shared" si="76"/>
        <v>0</v>
      </c>
      <c r="IY470" s="346">
        <f>+FISC!AJ676</f>
        <v>0</v>
      </c>
      <c r="IZ470" s="350">
        <f>JB470*0.445</f>
        <v>0</v>
      </c>
      <c r="JA470" s="302">
        <f t="shared" si="77"/>
        <v>0</v>
      </c>
      <c r="JB470" s="346">
        <f>+FISC!AK676</f>
        <v>0</v>
      </c>
      <c r="JC470" s="346"/>
      <c r="KI470" s="349"/>
      <c r="KJ470" s="350"/>
    </row>
    <row r="471" spans="2:302" ht="16.5">
      <c r="B471" s="117" t="s">
        <v>361</v>
      </c>
      <c r="D471" s="351" t="str">
        <f>+FISC!D677</f>
        <v>of which: local government taxes (RRA, at decentralized level)</v>
      </c>
      <c r="E471" s="346"/>
      <c r="F471" s="346"/>
      <c r="G471" s="346"/>
      <c r="H471" s="346"/>
      <c r="I471" s="346"/>
      <c r="J471" s="346"/>
      <c r="K471" s="346"/>
      <c r="L471" s="346"/>
      <c r="M471" s="346"/>
      <c r="N471" s="346"/>
      <c r="O471" s="346"/>
      <c r="P471" s="346"/>
      <c r="Q471" s="346"/>
      <c r="R471" s="346"/>
      <c r="S471" s="346"/>
      <c r="T471" s="346"/>
      <c r="U471" s="346"/>
      <c r="V471" s="346"/>
      <c r="W471" s="346"/>
      <c r="X471" s="346"/>
      <c r="Y471" s="346"/>
      <c r="Z471" s="346"/>
      <c r="AA471" s="346"/>
      <c r="AB471" s="346"/>
      <c r="AC471" s="346"/>
      <c r="AD471" s="346"/>
      <c r="AE471" s="346"/>
      <c r="AF471" s="346"/>
      <c r="AG471" s="346"/>
      <c r="AH471" s="346"/>
      <c r="AI471" s="346"/>
      <c r="AJ471" s="346"/>
      <c r="AK471" s="346"/>
      <c r="AL471" s="346"/>
      <c r="AM471" s="346"/>
      <c r="AN471" s="346"/>
      <c r="AO471" s="346"/>
      <c r="AP471" s="346"/>
      <c r="AQ471" s="346"/>
      <c r="AR471" s="346"/>
      <c r="AS471" s="346"/>
      <c r="AT471" s="346"/>
      <c r="AU471" s="346"/>
      <c r="AV471" s="346"/>
      <c r="AW471" s="346"/>
      <c r="AX471" s="346"/>
      <c r="AY471" s="346"/>
      <c r="AZ471" s="346"/>
      <c r="BA471" s="346"/>
      <c r="BB471" s="346"/>
      <c r="BC471" s="346"/>
      <c r="BD471" s="346"/>
      <c r="BE471" s="346"/>
      <c r="BF471" s="346"/>
      <c r="BG471" s="346"/>
      <c r="BH471" s="346"/>
      <c r="BI471" s="346"/>
      <c r="BJ471" s="346"/>
      <c r="BK471" s="346"/>
      <c r="BL471" s="346"/>
      <c r="BM471" s="346"/>
      <c r="BN471" s="346"/>
      <c r="BO471" s="346"/>
      <c r="BP471" s="346"/>
      <c r="BQ471" s="346"/>
      <c r="BR471" s="346"/>
      <c r="BS471" s="346"/>
      <c r="BT471" s="346"/>
      <c r="BU471" s="346"/>
      <c r="BV471" s="346"/>
      <c r="BW471" s="346"/>
      <c r="BX471" s="346"/>
      <c r="BY471" s="346"/>
      <c r="BZ471" s="346"/>
      <c r="CA471" s="346"/>
      <c r="CB471" s="346"/>
      <c r="CC471" s="346"/>
      <c r="CD471" s="346"/>
      <c r="CE471" s="347">
        <f t="shared" ref="CE471:DJ471" si="107">CE210+CE211+CE212</f>
        <v>0</v>
      </c>
      <c r="CF471" s="346">
        <f t="shared" si="107"/>
        <v>0</v>
      </c>
      <c r="CG471" s="346">
        <f t="shared" si="107"/>
        <v>0</v>
      </c>
      <c r="CH471" s="346">
        <f t="shared" si="107"/>
        <v>0</v>
      </c>
      <c r="CI471" s="346">
        <f t="shared" si="107"/>
        <v>0</v>
      </c>
      <c r="CJ471" s="346">
        <f t="shared" si="107"/>
        <v>0</v>
      </c>
      <c r="CK471" s="346">
        <f t="shared" si="107"/>
        <v>0</v>
      </c>
      <c r="CL471" s="346">
        <f t="shared" si="107"/>
        <v>0</v>
      </c>
      <c r="CM471" s="346">
        <f t="shared" si="107"/>
        <v>0</v>
      </c>
      <c r="CN471" s="346">
        <f t="shared" si="107"/>
        <v>0</v>
      </c>
      <c r="CO471" s="346">
        <f t="shared" si="107"/>
        <v>0</v>
      </c>
      <c r="CP471" s="348">
        <f t="shared" si="107"/>
        <v>0</v>
      </c>
      <c r="CQ471" s="346">
        <f t="shared" si="107"/>
        <v>0.183261338</v>
      </c>
      <c r="CR471" s="346">
        <f t="shared" si="107"/>
        <v>0.14638458600000001</v>
      </c>
      <c r="CS471" s="346">
        <f t="shared" si="107"/>
        <v>0.113267485</v>
      </c>
      <c r="CT471" s="346">
        <f t="shared" si="107"/>
        <v>0.122111359</v>
      </c>
      <c r="CU471" s="346">
        <f t="shared" si="107"/>
        <v>0.116284792</v>
      </c>
      <c r="CV471" s="346">
        <f t="shared" si="107"/>
        <v>0.15974851299999998</v>
      </c>
      <c r="CW471" s="346">
        <f t="shared" si="107"/>
        <v>0.46627267899999997</v>
      </c>
      <c r="CX471" s="346">
        <f t="shared" si="107"/>
        <v>1.052214293</v>
      </c>
      <c r="CY471" s="346">
        <f t="shared" si="107"/>
        <v>9.8454401609999991</v>
      </c>
      <c r="CZ471" s="346">
        <f t="shared" si="107"/>
        <v>0.50515088600000002</v>
      </c>
      <c r="DA471" s="346">
        <f t="shared" si="107"/>
        <v>0.26616519800000005</v>
      </c>
      <c r="DB471" s="1479">
        <f t="shared" si="107"/>
        <v>0.24200322200000002</v>
      </c>
      <c r="DC471" s="346">
        <f t="shared" si="107"/>
        <v>0.265408537</v>
      </c>
      <c r="DD471" s="346">
        <f t="shared" si="107"/>
        <v>0.19027443199999999</v>
      </c>
      <c r="DE471" s="346">
        <f t="shared" si="107"/>
        <v>7.5303182999999996E-2</v>
      </c>
      <c r="DF471" s="346">
        <f t="shared" si="107"/>
        <v>9.3817632999999998E-2</v>
      </c>
      <c r="DG471" s="346">
        <f t="shared" si="107"/>
        <v>9.6626641999999999E-2</v>
      </c>
      <c r="DH471" s="346">
        <f t="shared" si="107"/>
        <v>9.9763664000000002E-2</v>
      </c>
      <c r="DI471" s="346">
        <f t="shared" si="107"/>
        <v>0.35724085500000002</v>
      </c>
      <c r="DJ471" s="346">
        <f t="shared" si="107"/>
        <v>0.94090106299999998</v>
      </c>
      <c r="DK471" s="346">
        <f t="shared" ref="DK471:EP471" si="108">DK210+DK211+DK212</f>
        <v>9.5045297170000005</v>
      </c>
      <c r="DL471" s="346">
        <f t="shared" si="108"/>
        <v>1.38641853</v>
      </c>
      <c r="DM471" s="346">
        <f t="shared" si="108"/>
        <v>0.30435586199999998</v>
      </c>
      <c r="DN471" s="348">
        <f t="shared" si="108"/>
        <v>0.32706426910907299</v>
      </c>
      <c r="DO471" s="346">
        <f t="shared" si="108"/>
        <v>0.16981340364852907</v>
      </c>
      <c r="DP471" s="346">
        <f t="shared" si="108"/>
        <v>0.21171806276689387</v>
      </c>
      <c r="DQ471" s="346">
        <f t="shared" si="108"/>
        <v>0.17637747358457684</v>
      </c>
      <c r="DR471" s="346">
        <f t="shared" si="108"/>
        <v>0.20408398909872857</v>
      </c>
      <c r="DS471" s="346">
        <f t="shared" si="108"/>
        <v>0.22159607649424631</v>
      </c>
      <c r="DT471" s="346">
        <f t="shared" si="108"/>
        <v>0.48598600102578449</v>
      </c>
      <c r="DU471" s="346">
        <f t="shared" si="108"/>
        <v>0.58629205100000004</v>
      </c>
      <c r="DV471" s="346">
        <f t="shared" si="108"/>
        <v>1.5856071979999999</v>
      </c>
      <c r="DW471" s="346">
        <f t="shared" si="108"/>
        <v>12.725059079999999</v>
      </c>
      <c r="DX471" s="346">
        <f t="shared" si="108"/>
        <v>0.57326582100000001</v>
      </c>
      <c r="DY471" s="346">
        <f t="shared" si="108"/>
        <v>0.50074186300000001</v>
      </c>
      <c r="DZ471" s="348">
        <f t="shared" si="108"/>
        <v>0</v>
      </c>
      <c r="EA471" s="346">
        <f t="shared" si="108"/>
        <v>0.22674821419018054</v>
      </c>
      <c r="EB471" s="346">
        <f t="shared" si="108"/>
        <v>0.2361400924788237</v>
      </c>
      <c r="EC471" s="346">
        <f t="shared" si="108"/>
        <v>0.19255294665680348</v>
      </c>
      <c r="ED471" s="346">
        <f t="shared" si="108"/>
        <v>0.22674821419018054</v>
      </c>
      <c r="EE471" s="346">
        <f t="shared" si="108"/>
        <v>0.2361400924788237</v>
      </c>
      <c r="EF471" s="346">
        <f t="shared" si="108"/>
        <v>0.19255294665680348</v>
      </c>
      <c r="EG471" s="346">
        <f t="shared" si="108"/>
        <v>0.85181301325458303</v>
      </c>
      <c r="EH471" s="346">
        <f t="shared" si="108"/>
        <v>1.3401586173046514</v>
      </c>
      <c r="EI471" s="346">
        <f t="shared" si="108"/>
        <v>12.973533580430418</v>
      </c>
      <c r="EJ471" s="346">
        <f t="shared" si="108"/>
        <v>1.4418040524169249</v>
      </c>
      <c r="EK471" s="346">
        <f t="shared" si="108"/>
        <v>0.50146783091962921</v>
      </c>
      <c r="EL471" s="348">
        <f t="shared" si="108"/>
        <v>0.41145482824615598</v>
      </c>
      <c r="EM471" s="346">
        <f t="shared" si="108"/>
        <v>0.31447588599999998</v>
      </c>
      <c r="EN471" s="346">
        <f t="shared" si="108"/>
        <v>0.26314551400000002</v>
      </c>
      <c r="EO471" s="346">
        <f t="shared" si="108"/>
        <v>0.19594088800000001</v>
      </c>
      <c r="EP471" s="346">
        <f t="shared" si="108"/>
        <v>0.42045458299999999</v>
      </c>
      <c r="EQ471" s="346">
        <f t="shared" ref="EQ471:EX471" si="109">EQ210+EQ211+EQ212</f>
        <v>0.28763700399999997</v>
      </c>
      <c r="ER471" s="346">
        <f t="shared" si="109"/>
        <v>0.36551615700000001</v>
      </c>
      <c r="ES471" s="346">
        <f t="shared" si="109"/>
        <v>5.7445599869999997</v>
      </c>
      <c r="ET471" s="346">
        <f t="shared" si="109"/>
        <v>1.675767827</v>
      </c>
      <c r="EU471" s="346">
        <f t="shared" si="109"/>
        <v>8.2551049469999995</v>
      </c>
      <c r="EV471" s="346">
        <f t="shared" si="109"/>
        <v>1.1323164939999999</v>
      </c>
      <c r="EW471" s="346">
        <f t="shared" si="109"/>
        <v>0.41788988500000002</v>
      </c>
      <c r="EX471" s="348">
        <f t="shared" si="109"/>
        <v>0.29598800600000003</v>
      </c>
      <c r="EY471" s="346"/>
      <c r="EZ471" s="346"/>
      <c r="FA471" s="346"/>
      <c r="FB471" s="346"/>
      <c r="FC471" s="346"/>
      <c r="FD471" s="346"/>
      <c r="FE471" s="346"/>
      <c r="FF471" s="346"/>
      <c r="FG471" s="346"/>
      <c r="FH471" s="346"/>
      <c r="FI471" s="346"/>
      <c r="FJ471" s="348"/>
      <c r="FK471" s="346"/>
      <c r="FL471" s="346"/>
      <c r="FM471" s="346"/>
      <c r="FN471" s="346"/>
      <c r="FO471" s="346"/>
      <c r="FP471" s="346"/>
      <c r="FQ471" s="346"/>
      <c r="FR471" s="346"/>
      <c r="FS471" s="346"/>
      <c r="FT471" s="346"/>
      <c r="FU471" s="346"/>
      <c r="FV471" s="346"/>
      <c r="FW471" s="346"/>
      <c r="FX471" s="346"/>
      <c r="FY471" s="346"/>
      <c r="FZ471" s="346"/>
      <c r="GA471" s="346"/>
      <c r="GB471" s="346"/>
      <c r="GC471" s="346"/>
      <c r="GD471" s="346"/>
      <c r="GE471" s="346"/>
      <c r="GF471" s="346"/>
      <c r="GG471" s="346"/>
      <c r="GH471" s="346"/>
      <c r="GI471" s="346"/>
      <c r="GJ471" s="346"/>
      <c r="GK471" s="346"/>
      <c r="GL471" s="346"/>
      <c r="GM471" s="346"/>
      <c r="GN471" s="346"/>
      <c r="GO471" s="346"/>
      <c r="GP471" s="346"/>
      <c r="GQ471" s="346"/>
      <c r="GR471" s="346"/>
      <c r="GS471" s="346"/>
      <c r="GT471" s="346"/>
      <c r="GU471" s="346"/>
      <c r="GV471" s="346"/>
      <c r="GW471" s="346"/>
      <c r="GX471" s="346"/>
      <c r="GY471" s="346"/>
      <c r="GZ471" s="346"/>
      <c r="HA471" s="346"/>
      <c r="HB471" s="346"/>
      <c r="HC471" s="346"/>
      <c r="HD471" s="346"/>
      <c r="HE471" s="346"/>
      <c r="HF471" s="346"/>
      <c r="HG471" s="346"/>
      <c r="HH471" s="346"/>
      <c r="HI471" s="346"/>
      <c r="HJ471" s="346"/>
      <c r="HK471" s="346"/>
      <c r="HL471" s="346"/>
      <c r="HM471" s="346"/>
      <c r="HN471" s="349"/>
      <c r="HO471" s="351" t="s">
        <v>973</v>
      </c>
      <c r="HP471" s="351"/>
      <c r="HQ471" s="351"/>
      <c r="HR471" s="346">
        <f>+FISC!Z677</f>
        <v>13.2</v>
      </c>
      <c r="HS471" s="302">
        <f t="shared" si="93"/>
        <v>0.84105807299999991</v>
      </c>
      <c r="HT471" s="302">
        <f t="shared" si="94"/>
        <v>12.377246438999999</v>
      </c>
      <c r="HU471" s="346">
        <f t="shared" si="97"/>
        <v>13.218304511999998</v>
      </c>
      <c r="HV471" s="302">
        <f t="shared" si="98"/>
        <v>0.82119409100000007</v>
      </c>
      <c r="HW471" s="302">
        <f t="shared" si="99"/>
        <v>12.820510296109074</v>
      </c>
      <c r="HX471" s="346">
        <f t="shared" si="100"/>
        <v>13.641704387109074</v>
      </c>
      <c r="HY471" s="302">
        <f t="shared" si="101"/>
        <v>1.4695750066187592</v>
      </c>
      <c r="HZ471" s="302">
        <f t="shared" si="102"/>
        <v>15.970966013</v>
      </c>
      <c r="IA471" s="346">
        <f t="shared" si="103"/>
        <v>17.44054101961876</v>
      </c>
      <c r="IB471" s="1153">
        <v>1.3108825066516154</v>
      </c>
      <c r="IC471" s="302">
        <f>+ID471-IB471</f>
        <v>17.520231922572361</v>
      </c>
      <c r="ID471" s="346">
        <f>FISC!AC677</f>
        <v>18.831114429223977</v>
      </c>
      <c r="IE471" s="302">
        <f t="shared" si="104"/>
        <v>1.847170032</v>
      </c>
      <c r="IF471" s="302">
        <f t="shared" si="105"/>
        <v>17.521627146000004</v>
      </c>
      <c r="IG471" s="346">
        <f t="shared" si="106"/>
        <v>19.368797178000005</v>
      </c>
      <c r="IH471" s="350">
        <v>0</v>
      </c>
      <c r="II471" s="350">
        <f>IJ471</f>
        <v>32.093181158512103</v>
      </c>
      <c r="IJ471" s="346">
        <f>+FISC!AE677</f>
        <v>32.093181158512103</v>
      </c>
      <c r="IK471" s="302">
        <v>16.817935324</v>
      </c>
      <c r="IL471" s="302">
        <f t="shared" si="85"/>
        <v>21.656821504241602</v>
      </c>
      <c r="IM471" s="346">
        <f>+FISC!AF677</f>
        <v>38.474756828241603</v>
      </c>
      <c r="IN471" s="302">
        <f>IP471*JI471</f>
        <v>0</v>
      </c>
      <c r="IO471" s="302">
        <f t="shared" si="73"/>
        <v>182.67183533413154</v>
      </c>
      <c r="IP471" s="346">
        <f>+FISC!AG677</f>
        <v>182.67183533413154</v>
      </c>
      <c r="IQ471" s="302">
        <f>IS471*JI471</f>
        <v>0</v>
      </c>
      <c r="IR471" s="302">
        <f t="shared" si="74"/>
        <v>204.87138106375232</v>
      </c>
      <c r="IS471" s="346">
        <f>+FISC!AH677</f>
        <v>204.87138106375232</v>
      </c>
      <c r="IT471" s="302">
        <f>IV471*JI471</f>
        <v>0</v>
      </c>
      <c r="IU471" s="302">
        <f t="shared" si="75"/>
        <v>209.24400704792382</v>
      </c>
      <c r="IV471" s="346">
        <f>+FISC!AI677</f>
        <v>209.24400704792382</v>
      </c>
      <c r="IW471" s="302">
        <f>IY471*JL471</f>
        <v>0</v>
      </c>
      <c r="IX471" s="302">
        <f t="shared" si="76"/>
        <v>0</v>
      </c>
      <c r="IY471" s="346">
        <f>+FISC!AJ677</f>
        <v>0</v>
      </c>
      <c r="IZ471" s="302">
        <f>JB471*JO471</f>
        <v>0</v>
      </c>
      <c r="JA471" s="302">
        <f t="shared" si="77"/>
        <v>0</v>
      </c>
      <c r="JB471" s="346">
        <f>+FISC!AK677</f>
        <v>0</v>
      </c>
      <c r="JC471" s="346"/>
      <c r="KI471" s="349"/>
      <c r="KJ471" s="350"/>
    </row>
    <row r="472" spans="2:302">
      <c r="B472" s="117" t="s">
        <v>361</v>
      </c>
      <c r="D472" s="351" t="str">
        <f>+FISC!D678</f>
        <v>of which: Taxes on project expenditures (EWSA&amp;RTDA)</v>
      </c>
      <c r="E472" s="346"/>
      <c r="F472" s="346"/>
      <c r="G472" s="346"/>
      <c r="H472" s="346"/>
      <c r="I472" s="346"/>
      <c r="J472" s="346"/>
      <c r="K472" s="346"/>
      <c r="L472" s="346"/>
      <c r="M472" s="346"/>
      <c r="N472" s="346"/>
      <c r="O472" s="346"/>
      <c r="P472" s="346"/>
      <c r="Q472" s="346"/>
      <c r="R472" s="346"/>
      <c r="S472" s="346"/>
      <c r="T472" s="346"/>
      <c r="U472" s="346"/>
      <c r="V472" s="346"/>
      <c r="W472" s="346"/>
      <c r="X472" s="346"/>
      <c r="Y472" s="346"/>
      <c r="Z472" s="346"/>
      <c r="AA472" s="346"/>
      <c r="AB472" s="346"/>
      <c r="AC472" s="346"/>
      <c r="AD472" s="346"/>
      <c r="AE472" s="346"/>
      <c r="AF472" s="346"/>
      <c r="AG472" s="346"/>
      <c r="AH472" s="346"/>
      <c r="AI472" s="346"/>
      <c r="AJ472" s="346"/>
      <c r="AK472" s="346"/>
      <c r="AL472" s="346"/>
      <c r="AM472" s="346"/>
      <c r="AN472" s="346"/>
      <c r="AO472" s="346"/>
      <c r="AP472" s="346"/>
      <c r="AQ472" s="346"/>
      <c r="AR472" s="346"/>
      <c r="AS472" s="346"/>
      <c r="AT472" s="346"/>
      <c r="AU472" s="346"/>
      <c r="AV472" s="346"/>
      <c r="AW472" s="346"/>
      <c r="AX472" s="346"/>
      <c r="AY472" s="346"/>
      <c r="AZ472" s="346"/>
      <c r="BA472" s="346"/>
      <c r="BB472" s="346"/>
      <c r="BC472" s="346"/>
      <c r="BD472" s="346"/>
      <c r="BE472" s="346"/>
      <c r="BF472" s="346"/>
      <c r="BG472" s="346"/>
      <c r="BH472" s="346"/>
      <c r="BI472" s="346"/>
      <c r="BJ472" s="346"/>
      <c r="BK472" s="346"/>
      <c r="BL472" s="346"/>
      <c r="BM472" s="346"/>
      <c r="BN472" s="346"/>
      <c r="BO472" s="346"/>
      <c r="BP472" s="346"/>
      <c r="BQ472" s="346"/>
      <c r="BR472" s="346"/>
      <c r="BS472" s="346"/>
      <c r="BT472" s="346"/>
      <c r="BU472" s="346"/>
      <c r="BV472" s="346"/>
      <c r="BW472" s="346"/>
      <c r="BX472" s="346"/>
      <c r="BY472" s="346"/>
      <c r="BZ472" s="346"/>
      <c r="CA472" s="346"/>
      <c r="CB472" s="346"/>
      <c r="CC472" s="346"/>
      <c r="CD472" s="346"/>
      <c r="CE472" s="347">
        <f t="shared" ref="CE472:DJ472" si="110">CE169+CE174</f>
        <v>0</v>
      </c>
      <c r="CF472" s="346">
        <f t="shared" si="110"/>
        <v>0</v>
      </c>
      <c r="CG472" s="346">
        <f t="shared" si="110"/>
        <v>0</v>
      </c>
      <c r="CH472" s="346">
        <f t="shared" si="110"/>
        <v>0</v>
      </c>
      <c r="CI472" s="346">
        <f t="shared" si="110"/>
        <v>0</v>
      </c>
      <c r="CJ472" s="346">
        <f t="shared" si="110"/>
        <v>0</v>
      </c>
      <c r="CK472" s="346">
        <f t="shared" si="110"/>
        <v>0</v>
      </c>
      <c r="CL472" s="346">
        <f t="shared" si="110"/>
        <v>0</v>
      </c>
      <c r="CM472" s="346">
        <f t="shared" si="110"/>
        <v>0</v>
      </c>
      <c r="CN472" s="346">
        <f t="shared" si="110"/>
        <v>0</v>
      </c>
      <c r="CO472" s="346">
        <f t="shared" si="110"/>
        <v>0</v>
      </c>
      <c r="CP472" s="348">
        <f t="shared" si="110"/>
        <v>0</v>
      </c>
      <c r="CQ472" s="346">
        <f t="shared" si="110"/>
        <v>0.13016541199999998</v>
      </c>
      <c r="CR472" s="346">
        <f t="shared" si="110"/>
        <v>0.12659790099999998</v>
      </c>
      <c r="CS472" s="346">
        <f t="shared" si="110"/>
        <v>1.6082097150000001</v>
      </c>
      <c r="CT472" s="346">
        <f t="shared" si="110"/>
        <v>3.8856827999999996E-2</v>
      </c>
      <c r="CU472" s="346">
        <f t="shared" si="110"/>
        <v>3.5117239999999999E-3</v>
      </c>
      <c r="CV472" s="346">
        <f t="shared" si="110"/>
        <v>0.14133874699999999</v>
      </c>
      <c r="CW472" s="346">
        <f t="shared" si="110"/>
        <v>0.130215894</v>
      </c>
      <c r="CX472" s="346">
        <f t="shared" si="110"/>
        <v>3.751761E-2</v>
      </c>
      <c r="CY472" s="346">
        <f t="shared" si="110"/>
        <v>0.64748757699999993</v>
      </c>
      <c r="CZ472" s="346">
        <f t="shared" si="110"/>
        <v>0.24859647100000001</v>
      </c>
      <c r="DA472" s="346">
        <f t="shared" si="110"/>
        <v>1.2113363530000001</v>
      </c>
      <c r="DB472" s="1479">
        <f t="shared" si="110"/>
        <v>0.13900026200000001</v>
      </c>
      <c r="DC472" s="346">
        <f t="shared" si="110"/>
        <v>0</v>
      </c>
      <c r="DD472" s="346">
        <f t="shared" si="110"/>
        <v>0</v>
      </c>
      <c r="DE472" s="346">
        <f t="shared" si="110"/>
        <v>0</v>
      </c>
      <c r="DF472" s="346">
        <f t="shared" si="110"/>
        <v>0</v>
      </c>
      <c r="DG472" s="346">
        <f t="shared" si="110"/>
        <v>0</v>
      </c>
      <c r="DH472" s="346">
        <f t="shared" si="110"/>
        <v>0</v>
      </c>
      <c r="DI472" s="346">
        <f t="shared" si="110"/>
        <v>0</v>
      </c>
      <c r="DJ472" s="346">
        <f t="shared" si="110"/>
        <v>0</v>
      </c>
      <c r="DK472" s="346">
        <f t="shared" ref="DK472:EP472" si="111">DK169+DK174</f>
        <v>0</v>
      </c>
      <c r="DL472" s="346">
        <f t="shared" si="111"/>
        <v>0</v>
      </c>
      <c r="DM472" s="346">
        <f t="shared" si="111"/>
        <v>0</v>
      </c>
      <c r="DN472" s="348">
        <f t="shared" si="111"/>
        <v>0</v>
      </c>
      <c r="DO472" s="346">
        <f t="shared" si="111"/>
        <v>1.1567251160000001</v>
      </c>
      <c r="DP472" s="346">
        <f t="shared" si="111"/>
        <v>1.324632807</v>
      </c>
      <c r="DQ472" s="346">
        <f t="shared" si="111"/>
        <v>1.4323874729999999</v>
      </c>
      <c r="DR472" s="346">
        <f t="shared" si="111"/>
        <v>1.2586472609999999</v>
      </c>
      <c r="DS472" s="346">
        <f t="shared" si="111"/>
        <v>1.336750181</v>
      </c>
      <c r="DT472" s="346">
        <f t="shared" si="111"/>
        <v>1.403390965</v>
      </c>
      <c r="DU472" s="346">
        <f t="shared" si="111"/>
        <v>0</v>
      </c>
      <c r="DV472" s="346">
        <f t="shared" si="111"/>
        <v>0</v>
      </c>
      <c r="DW472" s="346">
        <f t="shared" si="111"/>
        <v>0</v>
      </c>
      <c r="DX472" s="346">
        <f t="shared" si="111"/>
        <v>0</v>
      </c>
      <c r="DY472" s="346">
        <f t="shared" si="111"/>
        <v>0</v>
      </c>
      <c r="DZ472" s="348">
        <f t="shared" si="111"/>
        <v>0</v>
      </c>
      <c r="EA472" s="346">
        <f t="shared" si="111"/>
        <v>0</v>
      </c>
      <c r="EB472" s="346">
        <f t="shared" si="111"/>
        <v>0</v>
      </c>
      <c r="EC472" s="346">
        <f t="shared" si="111"/>
        <v>0</v>
      </c>
      <c r="ED472" s="346">
        <f t="shared" si="111"/>
        <v>0</v>
      </c>
      <c r="EE472" s="346">
        <f t="shared" si="111"/>
        <v>0</v>
      </c>
      <c r="EF472" s="346">
        <f t="shared" si="111"/>
        <v>0</v>
      </c>
      <c r="EG472" s="346">
        <f t="shared" si="111"/>
        <v>0</v>
      </c>
      <c r="EH472" s="346">
        <f t="shared" si="111"/>
        <v>0</v>
      </c>
      <c r="EI472" s="346">
        <f t="shared" si="111"/>
        <v>0</v>
      </c>
      <c r="EJ472" s="346">
        <f t="shared" si="111"/>
        <v>0</v>
      </c>
      <c r="EK472" s="346">
        <f t="shared" si="111"/>
        <v>0</v>
      </c>
      <c r="EL472" s="348">
        <f t="shared" si="111"/>
        <v>0</v>
      </c>
      <c r="EM472" s="346">
        <f t="shared" si="111"/>
        <v>0</v>
      </c>
      <c r="EN472" s="346">
        <f t="shared" si="111"/>
        <v>0</v>
      </c>
      <c r="EO472" s="346">
        <f t="shared" si="111"/>
        <v>0</v>
      </c>
      <c r="EP472" s="346">
        <f t="shared" si="111"/>
        <v>0</v>
      </c>
      <c r="EQ472" s="346">
        <f t="shared" ref="EQ472:EX472" si="112">EQ169+EQ174</f>
        <v>0</v>
      </c>
      <c r="ER472" s="346">
        <f t="shared" si="112"/>
        <v>0</v>
      </c>
      <c r="ES472" s="346">
        <f t="shared" si="112"/>
        <v>0</v>
      </c>
      <c r="ET472" s="346">
        <f t="shared" si="112"/>
        <v>0</v>
      </c>
      <c r="EU472" s="346">
        <f t="shared" si="112"/>
        <v>0</v>
      </c>
      <c r="EV472" s="346">
        <f t="shared" si="112"/>
        <v>0</v>
      </c>
      <c r="EW472" s="346">
        <f t="shared" si="112"/>
        <v>0</v>
      </c>
      <c r="EX472" s="348">
        <f t="shared" si="112"/>
        <v>0</v>
      </c>
      <c r="EY472" s="346"/>
      <c r="EZ472" s="346"/>
      <c r="FA472" s="346"/>
      <c r="FB472" s="346"/>
      <c r="FC472" s="346"/>
      <c r="FD472" s="346"/>
      <c r="FE472" s="346"/>
      <c r="FF472" s="346"/>
      <c r="FG472" s="346"/>
      <c r="FH472" s="346"/>
      <c r="FI472" s="346"/>
      <c r="FJ472" s="348"/>
      <c r="FK472" s="346"/>
      <c r="FL472" s="346"/>
      <c r="FM472" s="346"/>
      <c r="FN472" s="346"/>
      <c r="FO472" s="346"/>
      <c r="FP472" s="346"/>
      <c r="FQ472" s="346"/>
      <c r="FR472" s="346"/>
      <c r="FS472" s="346"/>
      <c r="FT472" s="346"/>
      <c r="FU472" s="346"/>
      <c r="FV472" s="346"/>
      <c r="FW472" s="346"/>
      <c r="FX472" s="346"/>
      <c r="FY472" s="346"/>
      <c r="FZ472" s="346"/>
      <c r="GA472" s="346"/>
      <c r="GB472" s="346"/>
      <c r="GC472" s="346"/>
      <c r="GD472" s="346"/>
      <c r="GE472" s="346"/>
      <c r="GF472" s="346"/>
      <c r="GG472" s="346"/>
      <c r="GH472" s="346"/>
      <c r="GI472" s="346"/>
      <c r="GJ472" s="346"/>
      <c r="GK472" s="346"/>
      <c r="GL472" s="346"/>
      <c r="GM472" s="346"/>
      <c r="GN472" s="346"/>
      <c r="GO472" s="346"/>
      <c r="GP472" s="346"/>
      <c r="GQ472" s="346"/>
      <c r="GR472" s="346"/>
      <c r="GS472" s="346"/>
      <c r="GT472" s="346"/>
      <c r="GU472" s="346"/>
      <c r="GV472" s="346"/>
      <c r="GW472" s="346"/>
      <c r="GX472" s="346"/>
      <c r="GY472" s="346"/>
      <c r="GZ472" s="346"/>
      <c r="HA472" s="346"/>
      <c r="HB472" s="346"/>
      <c r="HC472" s="346"/>
      <c r="HD472" s="346"/>
      <c r="HE472" s="346"/>
      <c r="HF472" s="346"/>
      <c r="HG472" s="346"/>
      <c r="HH472" s="346"/>
      <c r="HI472" s="346"/>
      <c r="HJ472" s="346"/>
      <c r="HK472" s="346"/>
      <c r="HL472" s="346"/>
      <c r="HM472" s="346"/>
      <c r="HN472" s="349"/>
      <c r="HO472" s="351" t="s">
        <v>347</v>
      </c>
      <c r="HP472" s="351"/>
      <c r="HQ472" s="351"/>
      <c r="HR472" s="346">
        <f>+FISC!Z678</f>
        <v>0</v>
      </c>
      <c r="HS472" s="302">
        <f t="shared" si="93"/>
        <v>2.048680327</v>
      </c>
      <c r="HT472" s="302">
        <f t="shared" si="94"/>
        <v>2.414154167</v>
      </c>
      <c r="HU472" s="346">
        <f t="shared" si="97"/>
        <v>4.462834494</v>
      </c>
      <c r="HV472" s="302">
        <f t="shared" si="98"/>
        <v>0</v>
      </c>
      <c r="HW472" s="302">
        <f t="shared" si="99"/>
        <v>0</v>
      </c>
      <c r="HX472" s="346">
        <f t="shared" si="100"/>
        <v>0</v>
      </c>
      <c r="HY472" s="302">
        <f t="shared" si="101"/>
        <v>7.9125338029999996</v>
      </c>
      <c r="HZ472" s="302">
        <f t="shared" si="102"/>
        <v>0</v>
      </c>
      <c r="IA472" s="346">
        <f t="shared" si="103"/>
        <v>7.9125338029999996</v>
      </c>
      <c r="IC472" s="350"/>
      <c r="ID472" s="346">
        <f>FISC!AC678</f>
        <v>0</v>
      </c>
      <c r="IE472" s="302">
        <f t="shared" si="104"/>
        <v>0</v>
      </c>
      <c r="IF472" s="302">
        <f t="shared" si="105"/>
        <v>0</v>
      </c>
      <c r="IG472" s="346">
        <f t="shared" si="106"/>
        <v>0</v>
      </c>
      <c r="IH472" s="350"/>
      <c r="II472" s="350"/>
      <c r="IJ472" s="346">
        <f>+FISC!AE678</f>
        <v>0</v>
      </c>
      <c r="IK472" s="302">
        <f>IM472*JI472</f>
        <v>0</v>
      </c>
      <c r="IL472" s="302">
        <f t="shared" si="85"/>
        <v>0</v>
      </c>
      <c r="IM472" s="346">
        <f>+FISC!AF678</f>
        <v>0</v>
      </c>
      <c r="IN472" s="302">
        <f>IP472*JI472</f>
        <v>0</v>
      </c>
      <c r="IO472" s="302">
        <f t="shared" si="73"/>
        <v>0</v>
      </c>
      <c r="IP472" s="346">
        <f>+FISC!AG678</f>
        <v>0</v>
      </c>
      <c r="IQ472" s="302">
        <f>IS472*JI472</f>
        <v>0</v>
      </c>
      <c r="IR472" s="302">
        <f t="shared" si="74"/>
        <v>0</v>
      </c>
      <c r="IS472" s="346">
        <f>+FISC!AH678</f>
        <v>0</v>
      </c>
      <c r="IT472" s="302">
        <f>IV472*JI472</f>
        <v>0</v>
      </c>
      <c r="IU472" s="302">
        <f t="shared" si="75"/>
        <v>0</v>
      </c>
      <c r="IV472" s="346">
        <f>+FISC!AI678</f>
        <v>0</v>
      </c>
      <c r="IW472" s="302">
        <f>IY472*JL472</f>
        <v>0</v>
      </c>
      <c r="IX472" s="302">
        <f t="shared" si="76"/>
        <v>0</v>
      </c>
      <c r="IY472" s="346">
        <f>+FISC!AJ678</f>
        <v>0</v>
      </c>
      <c r="IZ472" s="302">
        <f>JB472*JO472</f>
        <v>0</v>
      </c>
      <c r="JA472" s="302">
        <f t="shared" si="77"/>
        <v>0</v>
      </c>
      <c r="JB472" s="346">
        <f>+FISC!AK678</f>
        <v>0</v>
      </c>
      <c r="JC472" s="346"/>
      <c r="KI472" s="349"/>
      <c r="KJ472" s="350"/>
    </row>
    <row r="473" spans="2:302" ht="16.5">
      <c r="B473" s="117" t="s">
        <v>361</v>
      </c>
      <c r="D473" s="345" t="str">
        <f>+FISC!D679</f>
        <v>Taxes on goods and services</v>
      </c>
      <c r="E473" s="346">
        <v>9.4116</v>
      </c>
      <c r="F473" s="346">
        <v>8.2608999999999995</v>
      </c>
      <c r="G473" s="346">
        <v>10.0154</v>
      </c>
      <c r="H473" s="346">
        <v>9.7668999999999997</v>
      </c>
      <c r="I473" s="346">
        <v>9.5553999999999988</v>
      </c>
      <c r="J473" s="346">
        <v>10.387</v>
      </c>
      <c r="K473" s="346">
        <v>9.6048999999999989</v>
      </c>
      <c r="L473" s="346">
        <v>10.3903</v>
      </c>
      <c r="M473" s="346">
        <v>9.9152000000000005</v>
      </c>
      <c r="N473" s="346">
        <v>10.2142</v>
      </c>
      <c r="O473" s="346">
        <v>11.895299999999999</v>
      </c>
      <c r="P473" s="346">
        <v>11.5648</v>
      </c>
      <c r="Q473" s="346">
        <v>11.690299999999999</v>
      </c>
      <c r="R473" s="346">
        <v>11.6149</v>
      </c>
      <c r="S473" s="346">
        <v>11.647500000000001</v>
      </c>
      <c r="T473" s="346">
        <v>10.822700000000001</v>
      </c>
      <c r="U473" s="346">
        <v>12.672799999999999</v>
      </c>
      <c r="V473" s="346">
        <v>12.947899999999999</v>
      </c>
      <c r="W473" s="346">
        <v>13.3018</v>
      </c>
      <c r="X473" s="346">
        <v>13.8018</v>
      </c>
      <c r="Y473" s="346">
        <v>15.9435</v>
      </c>
      <c r="Z473" s="346">
        <v>15.8424</v>
      </c>
      <c r="AA473" s="346">
        <v>14.826799999999999</v>
      </c>
      <c r="AB473" s="346">
        <v>16.5852</v>
      </c>
      <c r="AC473" s="346">
        <v>15.978399999999999</v>
      </c>
      <c r="AD473" s="346">
        <v>16.263300000000001</v>
      </c>
      <c r="AE473" s="346">
        <v>13.9215</v>
      </c>
      <c r="AF473" s="346">
        <v>14.3789</v>
      </c>
      <c r="AG473" s="346">
        <v>13.683200000000001</v>
      </c>
      <c r="AH473" s="346">
        <v>14.745899999999999</v>
      </c>
      <c r="AI473" s="346">
        <v>15.043299999999999</v>
      </c>
      <c r="AJ473" s="346">
        <v>15.857299999999999</v>
      </c>
      <c r="AK473" s="346">
        <v>15.3857</v>
      </c>
      <c r="AL473" s="346">
        <v>15.346200000000001</v>
      </c>
      <c r="AM473" s="346">
        <v>16.407499999999999</v>
      </c>
      <c r="AN473" s="346">
        <v>16.686499999999999</v>
      </c>
      <c r="AO473" s="346">
        <v>16.5548</v>
      </c>
      <c r="AP473" s="346">
        <v>15.553700000000001</v>
      </c>
      <c r="AQ473" s="346">
        <v>17.471700000000002</v>
      </c>
      <c r="AR473" s="346">
        <v>16.3583</v>
      </c>
      <c r="AS473" s="346">
        <v>15.6881</v>
      </c>
      <c r="AT473" s="346">
        <v>17.7105</v>
      </c>
      <c r="AU473" s="346">
        <v>17.6343</v>
      </c>
      <c r="AV473" s="346">
        <v>19.058599999999998</v>
      </c>
      <c r="AW473" s="346">
        <v>18.961500000000001</v>
      </c>
      <c r="AX473" s="346">
        <v>19.161000000000001</v>
      </c>
      <c r="AY473" s="346">
        <v>20.3108</v>
      </c>
      <c r="AZ473" s="346">
        <v>22.339200000000002</v>
      </c>
      <c r="BA473" s="346">
        <v>21.822200000000002</v>
      </c>
      <c r="BB473" s="346">
        <v>19.162560000000003</v>
      </c>
      <c r="BC473" s="346">
        <v>19.557560000000002</v>
      </c>
      <c r="BD473" s="346">
        <v>20.508900000000001</v>
      </c>
      <c r="BE473" s="346">
        <v>22.770299999999999</v>
      </c>
      <c r="BF473" s="346">
        <v>23.7254</v>
      </c>
      <c r="BG473" s="346">
        <v>20.966528663800002</v>
      </c>
      <c r="BH473" s="346">
        <v>23.6671240272</v>
      </c>
      <c r="BI473" s="346">
        <v>23.953027627900003</v>
      </c>
      <c r="BJ473" s="346">
        <v>21.652000000000001</v>
      </c>
      <c r="BK473" s="346">
        <v>23.069839999999999</v>
      </c>
      <c r="BL473" s="346">
        <v>24.892345000000002</v>
      </c>
      <c r="BM473" s="346">
        <v>23.2239</v>
      </c>
      <c r="BN473" s="346">
        <v>24.133299999999998</v>
      </c>
      <c r="BO473" s="346">
        <v>24.619499999999999</v>
      </c>
      <c r="BP473" s="346">
        <v>21.920300000000001</v>
      </c>
      <c r="BQ473" s="346">
        <v>24.101099999999999</v>
      </c>
      <c r="BR473" s="346">
        <v>26.454900000000002</v>
      </c>
      <c r="BS473" s="346">
        <v>25.064599999999999</v>
      </c>
      <c r="BT473" s="346">
        <v>25.4953</v>
      </c>
      <c r="BU473" s="346">
        <v>26.915500000000002</v>
      </c>
      <c r="BV473" s="346">
        <v>26.531306822147378</v>
      </c>
      <c r="BW473" s="346">
        <v>24.98555869265882</v>
      </c>
      <c r="BX473" s="346">
        <v>26.125447644255175</v>
      </c>
      <c r="BY473" s="346">
        <v>27.888198336466331</v>
      </c>
      <c r="BZ473" s="346">
        <v>24.784347504198433</v>
      </c>
      <c r="CA473" s="346">
        <v>26.467188712430286</v>
      </c>
      <c r="CB473" s="346">
        <v>26.181016224506465</v>
      </c>
      <c r="CC473" s="346">
        <v>27.027884673222939</v>
      </c>
      <c r="CD473" s="346">
        <v>32.036213115318802</v>
      </c>
      <c r="CE473" s="347">
        <f t="shared" ref="CE473:DJ473" si="113">CE176</f>
        <v>27.175925627697268</v>
      </c>
      <c r="CF473" s="346">
        <f t="shared" si="113"/>
        <v>31.448783389300786</v>
      </c>
      <c r="CG473" s="346">
        <f t="shared" si="113"/>
        <v>32.695062422293432</v>
      </c>
      <c r="CH473" s="346">
        <f t="shared" si="113"/>
        <v>30.093787589345226</v>
      </c>
      <c r="CI473" s="346">
        <f t="shared" si="113"/>
        <v>31.622931282824723</v>
      </c>
      <c r="CJ473" s="346">
        <f t="shared" si="113"/>
        <v>30.767406408693802</v>
      </c>
      <c r="CK473" s="346">
        <f t="shared" si="113"/>
        <v>34.382431935825046</v>
      </c>
      <c r="CL473" s="346">
        <f t="shared" si="113"/>
        <v>31.154646210163069</v>
      </c>
      <c r="CM473" s="346">
        <f t="shared" si="113"/>
        <v>31.832167890064213</v>
      </c>
      <c r="CN473" s="346">
        <f t="shared" si="113"/>
        <v>30.847774212253356</v>
      </c>
      <c r="CO473" s="346">
        <f t="shared" si="113"/>
        <v>37.059071629357625</v>
      </c>
      <c r="CP473" s="348">
        <f t="shared" si="113"/>
        <v>44.856672864505647</v>
      </c>
      <c r="CQ473" s="346">
        <f t="shared" si="113"/>
        <v>34.044234721423337</v>
      </c>
      <c r="CR473" s="346">
        <f t="shared" si="113"/>
        <v>34.29596958275522</v>
      </c>
      <c r="CS473" s="346">
        <f t="shared" si="113"/>
        <v>40.407163301722527</v>
      </c>
      <c r="CT473" s="346">
        <f t="shared" si="113"/>
        <v>32.822443309882217</v>
      </c>
      <c r="CU473" s="346">
        <f t="shared" si="113"/>
        <v>32.604727360794364</v>
      </c>
      <c r="CV473" s="346">
        <f t="shared" si="113"/>
        <v>36.848967973615132</v>
      </c>
      <c r="CW473" s="346">
        <f t="shared" si="113"/>
        <v>34.063865863482597</v>
      </c>
      <c r="CX473" s="346">
        <f t="shared" si="113"/>
        <v>31.988126682468085</v>
      </c>
      <c r="CY473" s="346">
        <f t="shared" si="113"/>
        <v>35.181410989911789</v>
      </c>
      <c r="CZ473" s="346">
        <f t="shared" si="113"/>
        <v>35.864216277090101</v>
      </c>
      <c r="DA473" s="346">
        <f t="shared" si="113"/>
        <v>35.710730559602688</v>
      </c>
      <c r="DB473" s="1479">
        <f t="shared" si="113"/>
        <v>48.394044200851191</v>
      </c>
      <c r="DC473" s="346">
        <f t="shared" si="113"/>
        <v>36.017546511268577</v>
      </c>
      <c r="DD473" s="346">
        <f t="shared" si="113"/>
        <v>38.71828427882236</v>
      </c>
      <c r="DE473" s="346">
        <f t="shared" si="113"/>
        <v>43.069802325784131</v>
      </c>
      <c r="DF473" s="346">
        <f t="shared" si="113"/>
        <v>41.524162978379593</v>
      </c>
      <c r="DG473" s="346">
        <f t="shared" si="113"/>
        <v>38.419026093744549</v>
      </c>
      <c r="DH473" s="346">
        <f t="shared" si="113"/>
        <v>47.647654626847959</v>
      </c>
      <c r="DI473" s="346">
        <f t="shared" si="113"/>
        <v>40.436518023905741</v>
      </c>
      <c r="DJ473" s="346">
        <f t="shared" si="113"/>
        <v>39.103427348713439</v>
      </c>
      <c r="DK473" s="346">
        <f t="shared" ref="DK473:EP473" si="114">DK176</f>
        <v>44.097411509082349</v>
      </c>
      <c r="DL473" s="346">
        <f t="shared" si="114"/>
        <v>41.603929950538571</v>
      </c>
      <c r="DM473" s="346">
        <f t="shared" si="114"/>
        <v>41.569464513546087</v>
      </c>
      <c r="DN473" s="348">
        <f t="shared" si="114"/>
        <v>58.062729940586692</v>
      </c>
      <c r="DO473" s="346">
        <f t="shared" si="114"/>
        <v>39.527052364900001</v>
      </c>
      <c r="DP473" s="346">
        <f t="shared" si="114"/>
        <v>42.818899499300009</v>
      </c>
      <c r="DQ473" s="346">
        <f t="shared" si="114"/>
        <v>46.790589943999997</v>
      </c>
      <c r="DR473" s="346">
        <f t="shared" si="114"/>
        <v>39.023771138699999</v>
      </c>
      <c r="DS473" s="346">
        <f t="shared" si="114"/>
        <v>41.684953767900005</v>
      </c>
      <c r="DT473" s="346">
        <f t="shared" si="114"/>
        <v>48.221292091819997</v>
      </c>
      <c r="DU473" s="346">
        <f t="shared" si="114"/>
        <v>45.778980718100001</v>
      </c>
      <c r="DV473" s="346">
        <f t="shared" si="114"/>
        <v>43.676228391100004</v>
      </c>
      <c r="DW473" s="346">
        <f t="shared" si="114"/>
        <v>48.967417331000007</v>
      </c>
      <c r="DX473" s="346">
        <f t="shared" si="114"/>
        <v>42.485499302900003</v>
      </c>
      <c r="DY473" s="346">
        <f t="shared" si="114"/>
        <v>45.112971943700011</v>
      </c>
      <c r="DZ473" s="348">
        <f t="shared" si="114"/>
        <v>60.468120292899989</v>
      </c>
      <c r="EA473" s="346">
        <f t="shared" si="114"/>
        <v>44.797875797699994</v>
      </c>
      <c r="EB473" s="346">
        <f t="shared" si="114"/>
        <v>45.5477164399</v>
      </c>
      <c r="EC473" s="346">
        <f t="shared" si="114"/>
        <v>53.77540983518999</v>
      </c>
      <c r="ED473" s="346">
        <f t="shared" si="114"/>
        <v>48.820116958200003</v>
      </c>
      <c r="EE473" s="346">
        <f t="shared" si="114"/>
        <v>47.771835361160008</v>
      </c>
      <c r="EF473" s="346">
        <f t="shared" si="114"/>
        <v>58.566249298130003</v>
      </c>
      <c r="EG473" s="346">
        <f t="shared" si="114"/>
        <v>50.211513377449997</v>
      </c>
      <c r="EH473" s="346">
        <f t="shared" si="114"/>
        <v>48.096043656969997</v>
      </c>
      <c r="EI473" s="346">
        <f t="shared" si="114"/>
        <v>53.197381827259996</v>
      </c>
      <c r="EJ473" s="346">
        <f t="shared" si="114"/>
        <v>50.165768678964042</v>
      </c>
      <c r="EK473" s="346">
        <f t="shared" si="114"/>
        <v>50.777974140087323</v>
      </c>
      <c r="EL473" s="348">
        <f t="shared" si="114"/>
        <v>64.329564190127527</v>
      </c>
      <c r="EM473" s="346">
        <f t="shared" si="114"/>
        <v>49.047515527320002</v>
      </c>
      <c r="EN473" s="346">
        <f t="shared" si="114"/>
        <v>55.9534801808</v>
      </c>
      <c r="EO473" s="346">
        <f t="shared" si="114"/>
        <v>56.180142703960001</v>
      </c>
      <c r="EP473" s="346">
        <f t="shared" si="114"/>
        <v>50.583445224296661</v>
      </c>
      <c r="EQ473" s="346">
        <f t="shared" ref="EQ473:EX473" si="115">EQ176</f>
        <v>53.589851192056663</v>
      </c>
      <c r="ER473" s="346">
        <f t="shared" si="115"/>
        <v>63.491690591056667</v>
      </c>
      <c r="ES473" s="346">
        <f t="shared" si="115"/>
        <v>57.058484830496539</v>
      </c>
      <c r="ET473" s="346">
        <f t="shared" si="115"/>
        <v>57.352404683147306</v>
      </c>
      <c r="EU473" s="346">
        <f t="shared" si="115"/>
        <v>55.750775766247251</v>
      </c>
      <c r="EV473" s="346">
        <f t="shared" si="115"/>
        <v>58.656694224941994</v>
      </c>
      <c r="EW473" s="346">
        <f t="shared" si="115"/>
        <v>59.182104264638305</v>
      </c>
      <c r="EX473" s="348">
        <f t="shared" si="115"/>
        <v>73.132967703428662</v>
      </c>
      <c r="EY473" s="346"/>
      <c r="EZ473" s="346"/>
      <c r="FA473" s="346"/>
      <c r="FB473" s="346"/>
      <c r="FC473" s="346"/>
      <c r="FD473" s="346"/>
      <c r="FE473" s="346"/>
      <c r="FF473" s="346"/>
      <c r="FG473" s="346"/>
      <c r="FH473" s="346"/>
      <c r="FI473" s="346"/>
      <c r="FJ473" s="348"/>
      <c r="FK473" s="346"/>
      <c r="FL473" s="346"/>
      <c r="FM473" s="346"/>
      <c r="FN473" s="346"/>
      <c r="FO473" s="346"/>
      <c r="FP473" s="346"/>
      <c r="FQ473" s="346"/>
      <c r="FR473" s="346"/>
      <c r="FS473" s="346"/>
      <c r="FT473" s="346"/>
      <c r="FU473" s="346"/>
      <c r="FV473" s="346"/>
      <c r="FW473" s="346"/>
      <c r="FX473" s="346"/>
      <c r="FY473" s="346"/>
      <c r="FZ473" s="346"/>
      <c r="GA473" s="346"/>
      <c r="GB473" s="346"/>
      <c r="GC473" s="346"/>
      <c r="GD473" s="346"/>
      <c r="GE473" s="346"/>
      <c r="GF473" s="346"/>
      <c r="GG473" s="346"/>
      <c r="GH473" s="346"/>
      <c r="GI473" s="346"/>
      <c r="GJ473" s="346"/>
      <c r="GK473" s="346"/>
      <c r="GL473" s="346"/>
      <c r="GM473" s="346"/>
      <c r="GN473" s="346"/>
      <c r="GO473" s="346"/>
      <c r="GP473" s="346"/>
      <c r="GQ473" s="346"/>
      <c r="GR473" s="346"/>
      <c r="GS473" s="346"/>
      <c r="GT473" s="346"/>
      <c r="GU473" s="346"/>
      <c r="GV473" s="346"/>
      <c r="GW473" s="346"/>
      <c r="GX473" s="346"/>
      <c r="GY473" s="346"/>
      <c r="GZ473" s="346"/>
      <c r="HA473" s="346"/>
      <c r="HB473" s="346"/>
      <c r="HC473" s="346"/>
      <c r="HD473" s="346"/>
      <c r="HE473" s="346"/>
      <c r="HF473" s="346"/>
      <c r="HG473" s="346"/>
      <c r="HH473" s="346"/>
      <c r="HI473" s="346"/>
      <c r="HJ473" s="346"/>
      <c r="HK473" s="346"/>
      <c r="HL473" s="346"/>
      <c r="HM473" s="346"/>
      <c r="HN473" s="349"/>
      <c r="HO473" s="345" t="s">
        <v>142</v>
      </c>
      <c r="HP473" s="345"/>
      <c r="HQ473" s="345"/>
      <c r="HR473" s="346">
        <f>+FISC!Z679</f>
        <v>432.4</v>
      </c>
      <c r="HS473" s="302">
        <f t="shared" si="93"/>
        <v>211.02350625019278</v>
      </c>
      <c r="HT473" s="302">
        <f t="shared" si="94"/>
        <v>221.20239457340645</v>
      </c>
      <c r="HU473" s="346">
        <f t="shared" si="97"/>
        <v>432.2259008235992</v>
      </c>
      <c r="HV473" s="302">
        <f t="shared" si="98"/>
        <v>245.39647681484718</v>
      </c>
      <c r="HW473" s="302">
        <f t="shared" si="99"/>
        <v>264.87348128637285</v>
      </c>
      <c r="HX473" s="346">
        <f t="shared" si="100"/>
        <v>510.26995810122003</v>
      </c>
      <c r="HY473" s="302">
        <f t="shared" si="101"/>
        <v>258.06655880661998</v>
      </c>
      <c r="HZ473" s="302">
        <f t="shared" si="102"/>
        <v>286.48921797970002</v>
      </c>
      <c r="IA473" s="346">
        <f t="shared" si="103"/>
        <v>544.55577678631994</v>
      </c>
      <c r="IB473" s="1153">
        <v>299.27920369027999</v>
      </c>
      <c r="IC473" s="302">
        <f>ID473-IB473</f>
        <v>316.77824587085883</v>
      </c>
      <c r="ID473" s="346">
        <f>FISC!AC679</f>
        <v>616.05744956113881</v>
      </c>
      <c r="IE473" s="302">
        <f t="shared" si="104"/>
        <v>328.84612541949002</v>
      </c>
      <c r="IF473" s="302">
        <f t="shared" si="105"/>
        <v>361.13343147290004</v>
      </c>
      <c r="IG473" s="346">
        <f t="shared" si="106"/>
        <v>689.97955689239006</v>
      </c>
      <c r="IH473" s="350" t="e">
        <f>(IJ473*0+#REF!)*0+387.265726077519</f>
        <v>#REF!</v>
      </c>
      <c r="II473" s="302" t="e">
        <f>+IJ473-IH473</f>
        <v>#REF!</v>
      </c>
      <c r="IJ473" s="346">
        <f>+FISC!AE679</f>
        <v>679.27478904485804</v>
      </c>
      <c r="IK473" s="350">
        <f>(IM473*0.475)*0+332.534078062893</f>
        <v>332.534078062893</v>
      </c>
      <c r="IL473" s="302">
        <f t="shared" si="85"/>
        <v>368.27990663737404</v>
      </c>
      <c r="IM473" s="346">
        <f>+FISC!AF679</f>
        <v>700.81398470026704</v>
      </c>
      <c r="IN473" s="350">
        <f>(IP473*0.48)</f>
        <v>1287.4702090262499</v>
      </c>
      <c r="IO473" s="302">
        <f t="shared" si="73"/>
        <v>1394.7593931117708</v>
      </c>
      <c r="IP473" s="346">
        <f>+FISC!AG679</f>
        <v>2682.2296021380207</v>
      </c>
      <c r="IQ473" s="350">
        <f>IS473*0.48</f>
        <v>2462.7960340365107</v>
      </c>
      <c r="IR473" s="302">
        <f t="shared" si="74"/>
        <v>2668.0290368728865</v>
      </c>
      <c r="IS473" s="346">
        <f>+FISC!AH679</f>
        <v>5130.8250709093973</v>
      </c>
      <c r="IT473" s="350">
        <f>IV473*0.48</f>
        <v>2839.1858161340801</v>
      </c>
      <c r="IU473" s="302">
        <f t="shared" si="75"/>
        <v>3075.7846341452537</v>
      </c>
      <c r="IV473" s="346">
        <f>+FISC!AI679</f>
        <v>5914.9704502793338</v>
      </c>
      <c r="IW473" s="350">
        <f>IY473*0.48</f>
        <v>0</v>
      </c>
      <c r="IX473" s="302">
        <f t="shared" si="76"/>
        <v>0</v>
      </c>
      <c r="IY473" s="346">
        <f>+FISC!AJ679</f>
        <v>0</v>
      </c>
      <c r="IZ473" s="350">
        <f>JB473*0.48</f>
        <v>37.494989830678769</v>
      </c>
      <c r="JA473" s="302">
        <f t="shared" si="77"/>
        <v>40.619572316568672</v>
      </c>
      <c r="JB473" s="346">
        <f>+FISC!AK679</f>
        <v>78.11456214724744</v>
      </c>
      <c r="JC473" s="346"/>
      <c r="KI473" s="349"/>
      <c r="KJ473" s="350"/>
    </row>
    <row r="474" spans="2:302">
      <c r="B474" s="117" t="s">
        <v>361</v>
      </c>
      <c r="D474" s="351" t="str">
        <f>+FISC!D680</f>
        <v xml:space="preserve">             o/w: Taxes on projects expenditures (REG&amp;RTDA)</v>
      </c>
      <c r="E474" s="346"/>
      <c r="F474" s="346"/>
      <c r="G474" s="346"/>
      <c r="H474" s="346"/>
      <c r="I474" s="346"/>
      <c r="J474" s="346"/>
      <c r="K474" s="346"/>
      <c r="L474" s="346"/>
      <c r="M474" s="346"/>
      <c r="N474" s="346"/>
      <c r="O474" s="346"/>
      <c r="P474" s="346"/>
      <c r="Q474" s="346"/>
      <c r="R474" s="346"/>
      <c r="S474" s="346"/>
      <c r="T474" s="346"/>
      <c r="U474" s="346"/>
      <c r="V474" s="346"/>
      <c r="W474" s="346"/>
      <c r="X474" s="346"/>
      <c r="Y474" s="346"/>
      <c r="Z474" s="346"/>
      <c r="AA474" s="346"/>
      <c r="AB474" s="346"/>
      <c r="AC474" s="346"/>
      <c r="AD474" s="346"/>
      <c r="AE474" s="346"/>
      <c r="AF474" s="346"/>
      <c r="AG474" s="346"/>
      <c r="AH474" s="346"/>
      <c r="AI474" s="346"/>
      <c r="AJ474" s="346"/>
      <c r="AK474" s="346"/>
      <c r="AL474" s="346"/>
      <c r="AM474" s="346"/>
      <c r="AN474" s="346"/>
      <c r="AO474" s="346"/>
      <c r="AP474" s="346"/>
      <c r="AQ474" s="346"/>
      <c r="AR474" s="346"/>
      <c r="AS474" s="346"/>
      <c r="AT474" s="346"/>
      <c r="AU474" s="346"/>
      <c r="AV474" s="346"/>
      <c r="AW474" s="346"/>
      <c r="AX474" s="346"/>
      <c r="AY474" s="346"/>
      <c r="AZ474" s="346"/>
      <c r="BA474" s="346"/>
      <c r="BB474" s="346"/>
      <c r="BC474" s="346"/>
      <c r="BD474" s="346"/>
      <c r="BE474" s="346"/>
      <c r="BF474" s="346"/>
      <c r="BG474" s="346"/>
      <c r="BH474" s="346"/>
      <c r="BI474" s="346"/>
      <c r="BJ474" s="346"/>
      <c r="BK474" s="346"/>
      <c r="BL474" s="346"/>
      <c r="BM474" s="346"/>
      <c r="BN474" s="346"/>
      <c r="BO474" s="346"/>
      <c r="BP474" s="346"/>
      <c r="BQ474" s="346"/>
      <c r="BR474" s="346"/>
      <c r="BS474" s="346"/>
      <c r="BT474" s="346"/>
      <c r="BU474" s="346"/>
      <c r="BV474" s="346"/>
      <c r="BW474" s="346"/>
      <c r="BX474" s="346"/>
      <c r="BY474" s="346"/>
      <c r="BZ474" s="346"/>
      <c r="CA474" s="346"/>
      <c r="CB474" s="346"/>
      <c r="CC474" s="346"/>
      <c r="CD474" s="346"/>
      <c r="CE474" s="347">
        <f t="shared" ref="CE474:DJ474" si="116">CE181+CE191</f>
        <v>0</v>
      </c>
      <c r="CF474" s="346">
        <f t="shared" si="116"/>
        <v>0</v>
      </c>
      <c r="CG474" s="346">
        <f t="shared" si="116"/>
        <v>0</v>
      </c>
      <c r="CH474" s="346">
        <f t="shared" si="116"/>
        <v>0</v>
      </c>
      <c r="CI474" s="346">
        <f t="shared" si="116"/>
        <v>0</v>
      </c>
      <c r="CJ474" s="346">
        <f t="shared" si="116"/>
        <v>0</v>
      </c>
      <c r="CK474" s="346">
        <f t="shared" si="116"/>
        <v>0</v>
      </c>
      <c r="CL474" s="346">
        <f t="shared" si="116"/>
        <v>0</v>
      </c>
      <c r="CM474" s="346">
        <f t="shared" si="116"/>
        <v>0</v>
      </c>
      <c r="CN474" s="346">
        <f t="shared" si="116"/>
        <v>0</v>
      </c>
      <c r="CO474" s="346">
        <f t="shared" si="116"/>
        <v>0</v>
      </c>
      <c r="CP474" s="348">
        <f t="shared" si="116"/>
        <v>0</v>
      </c>
      <c r="CQ474" s="346">
        <f t="shared" si="116"/>
        <v>1.0064725299999999</v>
      </c>
      <c r="CR474" s="346">
        <f t="shared" si="116"/>
        <v>0.45497435899999999</v>
      </c>
      <c r="CS474" s="346">
        <f t="shared" si="116"/>
        <v>1.9137100419999999</v>
      </c>
      <c r="CT474" s="346">
        <f t="shared" si="116"/>
        <v>0.48784684</v>
      </c>
      <c r="CU474" s="346">
        <f t="shared" si="116"/>
        <v>0.43759795600000001</v>
      </c>
      <c r="CV474" s="346">
        <f t="shared" si="116"/>
        <v>0.97064230700000009</v>
      </c>
      <c r="CW474" s="346">
        <f t="shared" si="116"/>
        <v>1.158739521</v>
      </c>
      <c r="CX474" s="346">
        <f t="shared" si="116"/>
        <v>0.29616374299999998</v>
      </c>
      <c r="CY474" s="346">
        <f t="shared" si="116"/>
        <v>0.28015272299999999</v>
      </c>
      <c r="CZ474" s="346">
        <f t="shared" si="116"/>
        <v>1.1065702239999999</v>
      </c>
      <c r="DA474" s="346">
        <f t="shared" si="116"/>
        <v>2.244692959</v>
      </c>
      <c r="DB474" s="1479">
        <f t="shared" si="116"/>
        <v>0.64485734500000003</v>
      </c>
      <c r="DC474" s="346">
        <f t="shared" si="116"/>
        <v>0.47785493355854752</v>
      </c>
      <c r="DD474" s="346">
        <f t="shared" si="116"/>
        <v>1.4959300313982959</v>
      </c>
      <c r="DE474" s="346">
        <f t="shared" si="116"/>
        <v>0.97319267858136105</v>
      </c>
      <c r="DF474" s="346">
        <f t="shared" si="116"/>
        <v>1.0006039282411332</v>
      </c>
      <c r="DG474" s="346">
        <f t="shared" si="116"/>
        <v>0.84528971338311532</v>
      </c>
      <c r="DH474" s="346">
        <f t="shared" si="116"/>
        <v>1.1130339760716854</v>
      </c>
      <c r="DI474" s="346">
        <f t="shared" si="116"/>
        <v>0.96640011736005382</v>
      </c>
      <c r="DJ474" s="346">
        <f t="shared" si="116"/>
        <v>0.82777730246173653</v>
      </c>
      <c r="DK474" s="346">
        <f t="shared" ref="DK474:EP474" si="117">DK181+DK191</f>
        <v>1.0005557799334683</v>
      </c>
      <c r="DL474" s="346">
        <f t="shared" si="117"/>
        <v>0.98473358730993465</v>
      </c>
      <c r="DM474" s="346">
        <f t="shared" si="117"/>
        <v>0.94368723611745831</v>
      </c>
      <c r="DN474" s="348">
        <f t="shared" si="117"/>
        <v>1.0810589796494359</v>
      </c>
      <c r="DO474" s="346">
        <f t="shared" si="117"/>
        <v>0</v>
      </c>
      <c r="DP474" s="346">
        <f t="shared" si="117"/>
        <v>0</v>
      </c>
      <c r="DQ474" s="346">
        <f t="shared" si="117"/>
        <v>0</v>
      </c>
      <c r="DR474" s="346">
        <f t="shared" si="117"/>
        <v>0</v>
      </c>
      <c r="DS474" s="346">
        <f t="shared" si="117"/>
        <v>0</v>
      </c>
      <c r="DT474" s="346">
        <f t="shared" si="117"/>
        <v>0</v>
      </c>
      <c r="DU474" s="346">
        <f t="shared" si="117"/>
        <v>0</v>
      </c>
      <c r="DV474" s="346">
        <f t="shared" si="117"/>
        <v>0</v>
      </c>
      <c r="DW474" s="346">
        <f t="shared" si="117"/>
        <v>0</v>
      </c>
      <c r="DX474" s="346">
        <f t="shared" si="117"/>
        <v>0</v>
      </c>
      <c r="DY474" s="346">
        <f t="shared" si="117"/>
        <v>0</v>
      </c>
      <c r="DZ474" s="348">
        <f t="shared" si="117"/>
        <v>0</v>
      </c>
      <c r="EA474" s="346">
        <f t="shared" si="117"/>
        <v>0</v>
      </c>
      <c r="EB474" s="346">
        <f t="shared" si="117"/>
        <v>0</v>
      </c>
      <c r="EC474" s="346">
        <f t="shared" si="117"/>
        <v>0</v>
      </c>
      <c r="ED474" s="346">
        <f t="shared" si="117"/>
        <v>0</v>
      </c>
      <c r="EE474" s="346">
        <f t="shared" si="117"/>
        <v>0</v>
      </c>
      <c r="EF474" s="346">
        <f t="shared" si="117"/>
        <v>0</v>
      </c>
      <c r="EG474" s="346">
        <f t="shared" si="117"/>
        <v>0</v>
      </c>
      <c r="EH474" s="346">
        <f t="shared" si="117"/>
        <v>0</v>
      </c>
      <c r="EI474" s="346">
        <f t="shared" si="117"/>
        <v>0</v>
      </c>
      <c r="EJ474" s="346">
        <f t="shared" si="117"/>
        <v>0</v>
      </c>
      <c r="EK474" s="346">
        <f t="shared" si="117"/>
        <v>0</v>
      </c>
      <c r="EL474" s="348">
        <f t="shared" si="117"/>
        <v>0</v>
      </c>
      <c r="EM474" s="346">
        <f t="shared" si="117"/>
        <v>0</v>
      </c>
      <c r="EN474" s="346">
        <f t="shared" si="117"/>
        <v>0</v>
      </c>
      <c r="EO474" s="346">
        <f t="shared" si="117"/>
        <v>0</v>
      </c>
      <c r="EP474" s="346">
        <f t="shared" si="117"/>
        <v>0</v>
      </c>
      <c r="EQ474" s="346">
        <f t="shared" ref="EQ474:EX474" si="118">EQ181+EQ191</f>
        <v>0</v>
      </c>
      <c r="ER474" s="346">
        <f t="shared" si="118"/>
        <v>0</v>
      </c>
      <c r="ES474" s="346">
        <f t="shared" si="118"/>
        <v>0</v>
      </c>
      <c r="ET474" s="346">
        <f t="shared" si="118"/>
        <v>0</v>
      </c>
      <c r="EU474" s="346">
        <f t="shared" si="118"/>
        <v>0</v>
      </c>
      <c r="EV474" s="346">
        <f t="shared" si="118"/>
        <v>0</v>
      </c>
      <c r="EW474" s="346">
        <f t="shared" si="118"/>
        <v>0</v>
      </c>
      <c r="EX474" s="348">
        <f t="shared" si="118"/>
        <v>0</v>
      </c>
      <c r="EY474" s="346"/>
      <c r="EZ474" s="346"/>
      <c r="FA474" s="346"/>
      <c r="FB474" s="346"/>
      <c r="FC474" s="346"/>
      <c r="FD474" s="346"/>
      <c r="FE474" s="346"/>
      <c r="FF474" s="346"/>
      <c r="FG474" s="346"/>
      <c r="FH474" s="346"/>
      <c r="FI474" s="346"/>
      <c r="FJ474" s="348"/>
      <c r="FK474" s="346"/>
      <c r="FL474" s="346"/>
      <c r="FM474" s="346"/>
      <c r="FN474" s="346"/>
      <c r="FO474" s="346"/>
      <c r="FP474" s="346"/>
      <c r="FQ474" s="346"/>
      <c r="FR474" s="346"/>
      <c r="FS474" s="346"/>
      <c r="FT474" s="346"/>
      <c r="FU474" s="346"/>
      <c r="FV474" s="346"/>
      <c r="FW474" s="346"/>
      <c r="FX474" s="346"/>
      <c r="FY474" s="346"/>
      <c r="FZ474" s="346"/>
      <c r="GA474" s="346"/>
      <c r="GB474" s="346"/>
      <c r="GC474" s="346"/>
      <c r="GD474" s="346"/>
      <c r="GE474" s="346"/>
      <c r="GF474" s="346"/>
      <c r="GG474" s="346"/>
      <c r="GH474" s="346"/>
      <c r="GI474" s="346"/>
      <c r="GJ474" s="346"/>
      <c r="GK474" s="346"/>
      <c r="GL474" s="346"/>
      <c r="GM474" s="346"/>
      <c r="GN474" s="346"/>
      <c r="GO474" s="346"/>
      <c r="GP474" s="346"/>
      <c r="GQ474" s="346"/>
      <c r="GR474" s="346"/>
      <c r="GS474" s="346"/>
      <c r="GT474" s="346"/>
      <c r="GU474" s="346"/>
      <c r="GV474" s="346"/>
      <c r="GW474" s="346"/>
      <c r="GX474" s="346"/>
      <c r="GY474" s="346"/>
      <c r="GZ474" s="346"/>
      <c r="HA474" s="346"/>
      <c r="HB474" s="346"/>
      <c r="HC474" s="346"/>
      <c r="HD474" s="346"/>
      <c r="HE474" s="346"/>
      <c r="HF474" s="346"/>
      <c r="HG474" s="346"/>
      <c r="HH474" s="346"/>
      <c r="HI474" s="346"/>
      <c r="HJ474" s="346"/>
      <c r="HK474" s="346"/>
      <c r="HL474" s="346"/>
      <c r="HM474" s="346"/>
      <c r="HN474" s="349"/>
      <c r="HO474" s="351" t="s">
        <v>1134</v>
      </c>
      <c r="HP474" s="351"/>
      <c r="HQ474" s="351"/>
      <c r="HR474" s="346">
        <f>+FISC!Z680</f>
        <v>11</v>
      </c>
      <c r="HS474" s="302">
        <f t="shared" si="93"/>
        <v>5.2712440340000004</v>
      </c>
      <c r="HT474" s="302">
        <f t="shared" si="94"/>
        <v>5.7311765149999996</v>
      </c>
      <c r="HU474" s="346">
        <f t="shared" si="97"/>
        <v>11.002420549</v>
      </c>
      <c r="HV474" s="302">
        <f t="shared" si="98"/>
        <v>5.9059052612341381</v>
      </c>
      <c r="HW474" s="302">
        <f t="shared" si="99"/>
        <v>5.8042130028320873</v>
      </c>
      <c r="HX474" s="346">
        <f t="shared" si="100"/>
        <v>11.710118264066224</v>
      </c>
      <c r="HY474" s="302">
        <f t="shared" si="101"/>
        <v>0</v>
      </c>
      <c r="HZ474" s="302">
        <f t="shared" si="102"/>
        <v>0</v>
      </c>
      <c r="IA474" s="346">
        <f t="shared" si="103"/>
        <v>0</v>
      </c>
      <c r="IB474" s="302">
        <f>+ID474/2*0</f>
        <v>0</v>
      </c>
      <c r="IC474" s="302">
        <f>+ID474-IB474</f>
        <v>0</v>
      </c>
      <c r="ID474" s="346">
        <f>FISC!AC680</f>
        <v>0</v>
      </c>
      <c r="IE474" s="302">
        <f t="shared" si="104"/>
        <v>0</v>
      </c>
      <c r="IF474" s="302">
        <f t="shared" si="105"/>
        <v>0</v>
      </c>
      <c r="IG474" s="346">
        <f t="shared" si="106"/>
        <v>0</v>
      </c>
      <c r="IH474" s="302">
        <f>+IJ474/2</f>
        <v>5.6914107684999999</v>
      </c>
      <c r="II474" s="302">
        <f>+IJ474-IH474</f>
        <v>5.6914107684999999</v>
      </c>
      <c r="IJ474" s="346">
        <f>+FISC!AE680</f>
        <v>11.382821537</v>
      </c>
      <c r="IK474" s="350">
        <f>IM474/2</f>
        <v>6.1760343955000003</v>
      </c>
      <c r="IL474" s="302">
        <f t="shared" si="85"/>
        <v>6.1760343955000003</v>
      </c>
      <c r="IM474" s="346">
        <f>+FISC!AF680</f>
        <v>12.352068791000001</v>
      </c>
      <c r="IN474" s="350">
        <f>IP474/2</f>
        <v>77.533454727685807</v>
      </c>
      <c r="IO474" s="302">
        <f t="shared" si="73"/>
        <v>77.533454727685807</v>
      </c>
      <c r="IP474" s="346">
        <f>+FISC!AG680</f>
        <v>155.06690945537161</v>
      </c>
      <c r="IQ474" s="350">
        <f>IS474/2</f>
        <v>77.533454727685807</v>
      </c>
      <c r="IR474" s="302">
        <f t="shared" si="74"/>
        <v>77.533454727685807</v>
      </c>
      <c r="IS474" s="346">
        <f>+FISC!AH680</f>
        <v>155.06690945537161</v>
      </c>
      <c r="IT474" s="350">
        <f>IV474/2</f>
        <v>77.533454727685807</v>
      </c>
      <c r="IU474" s="302">
        <f t="shared" si="75"/>
        <v>77.533454727685807</v>
      </c>
      <c r="IV474" s="346">
        <f>+FISC!AI680</f>
        <v>155.06690945537161</v>
      </c>
      <c r="IW474" s="350">
        <f>IY474/2</f>
        <v>77.533454727685807</v>
      </c>
      <c r="IX474" s="302">
        <f t="shared" si="76"/>
        <v>77.533454727685807</v>
      </c>
      <c r="IY474" s="346">
        <f>+FISC!AJ680</f>
        <v>155.06690945537161</v>
      </c>
      <c r="IZ474" s="350">
        <f>JB474/2</f>
        <v>77.533454727685807</v>
      </c>
      <c r="JA474" s="302">
        <f t="shared" si="77"/>
        <v>77.533454727685807</v>
      </c>
      <c r="JB474" s="346">
        <f>+FISC!AK680</f>
        <v>155.06690945537161</v>
      </c>
      <c r="JC474" s="346"/>
      <c r="KI474" s="349"/>
      <c r="KJ474" s="350"/>
    </row>
    <row r="475" spans="2:302">
      <c r="B475" s="117" t="s">
        <v>361</v>
      </c>
      <c r="D475" s="351" t="str">
        <f>+FISC!D681</f>
        <v xml:space="preserve">             o/w: Taxes on domestic goods and services (VAT, excises excl, fuel)</v>
      </c>
      <c r="E475" s="346"/>
      <c r="F475" s="346"/>
      <c r="G475" s="346"/>
      <c r="H475" s="346"/>
      <c r="I475" s="346"/>
      <c r="J475" s="346"/>
      <c r="K475" s="346"/>
      <c r="L475" s="346"/>
      <c r="M475" s="346"/>
      <c r="N475" s="346"/>
      <c r="O475" s="346"/>
      <c r="P475" s="346"/>
      <c r="Q475" s="346"/>
      <c r="R475" s="346"/>
      <c r="S475" s="346"/>
      <c r="T475" s="346"/>
      <c r="U475" s="346"/>
      <c r="V475" s="346"/>
      <c r="W475" s="346"/>
      <c r="X475" s="346"/>
      <c r="Y475" s="346"/>
      <c r="Z475" s="346"/>
      <c r="AA475" s="346"/>
      <c r="AB475" s="346"/>
      <c r="AC475" s="346"/>
      <c r="AD475" s="346"/>
      <c r="AE475" s="346"/>
      <c r="AF475" s="346"/>
      <c r="AG475" s="346"/>
      <c r="AH475" s="346"/>
      <c r="AI475" s="346"/>
      <c r="AJ475" s="346"/>
      <c r="AK475" s="346"/>
      <c r="AL475" s="346"/>
      <c r="AM475" s="346"/>
      <c r="AN475" s="346"/>
      <c r="AO475" s="346"/>
      <c r="AP475" s="346"/>
      <c r="AQ475" s="346"/>
      <c r="AR475" s="346"/>
      <c r="AS475" s="346"/>
      <c r="AT475" s="346"/>
      <c r="AU475" s="346"/>
      <c r="AV475" s="346"/>
      <c r="AW475" s="346"/>
      <c r="AX475" s="346"/>
      <c r="AY475" s="346"/>
      <c r="AZ475" s="346"/>
      <c r="BA475" s="346"/>
      <c r="BB475" s="346"/>
      <c r="BC475" s="346"/>
      <c r="BD475" s="346"/>
      <c r="BE475" s="346"/>
      <c r="BF475" s="346"/>
      <c r="BG475" s="346"/>
      <c r="BH475" s="346"/>
      <c r="BI475" s="346"/>
      <c r="BJ475" s="346"/>
      <c r="BK475" s="346"/>
      <c r="BL475" s="346"/>
      <c r="BM475" s="346"/>
      <c r="BN475" s="346"/>
      <c r="BO475" s="346"/>
      <c r="BP475" s="346"/>
      <c r="BQ475" s="346"/>
      <c r="BR475" s="346"/>
      <c r="BS475" s="346"/>
      <c r="BT475" s="346"/>
      <c r="BU475" s="346"/>
      <c r="BV475" s="346"/>
      <c r="BW475" s="346"/>
      <c r="BX475" s="346"/>
      <c r="BY475" s="346"/>
      <c r="BZ475" s="346"/>
      <c r="CA475" s="346"/>
      <c r="CB475" s="346"/>
      <c r="CC475" s="346"/>
      <c r="CD475" s="346"/>
      <c r="CE475" s="347">
        <f>CE473-CE476-CE477</f>
        <v>17.270255974097267</v>
      </c>
      <c r="CF475" s="346">
        <f t="shared" ref="CF475:DB475" si="119">CF473-CF476-CF477</f>
        <v>22.077285027100785</v>
      </c>
      <c r="CG475" s="346">
        <f t="shared" si="119"/>
        <v>23.048217469493434</v>
      </c>
      <c r="CH475" s="346">
        <f t="shared" si="119"/>
        <v>19.007982754245226</v>
      </c>
      <c r="CI475" s="346">
        <f t="shared" si="119"/>
        <v>20.321649095924723</v>
      </c>
      <c r="CJ475" s="346">
        <f t="shared" si="119"/>
        <v>19.491906868893803</v>
      </c>
      <c r="CK475" s="346">
        <f t="shared" si="119"/>
        <v>22.932730513325048</v>
      </c>
      <c r="CL475" s="346">
        <f t="shared" si="119"/>
        <v>21.182618878963069</v>
      </c>
      <c r="CM475" s="346">
        <f t="shared" si="119"/>
        <v>21.68182496356421</v>
      </c>
      <c r="CN475" s="346">
        <f t="shared" si="119"/>
        <v>19.826946757753355</v>
      </c>
      <c r="CO475" s="346">
        <f t="shared" si="119"/>
        <v>25.628552987957626</v>
      </c>
      <c r="CP475" s="348">
        <f t="shared" si="119"/>
        <v>33.90962099720565</v>
      </c>
      <c r="CQ475" s="346">
        <f t="shared" si="119"/>
        <v>23.012746838823336</v>
      </c>
      <c r="CR475" s="346">
        <f t="shared" si="119"/>
        <v>23.455824333355221</v>
      </c>
      <c r="CS475" s="346">
        <f t="shared" si="119"/>
        <v>28.411715735922524</v>
      </c>
      <c r="CT475" s="346">
        <f t="shared" si="119"/>
        <v>21.681830139282219</v>
      </c>
      <c r="CU475" s="346">
        <f t="shared" si="119"/>
        <v>22.413249771794362</v>
      </c>
      <c r="CV475" s="346">
        <f t="shared" si="119"/>
        <v>24.96925094341513</v>
      </c>
      <c r="CW475" s="346">
        <f t="shared" si="119"/>
        <v>22.656669031982599</v>
      </c>
      <c r="CX475" s="346">
        <f t="shared" si="119"/>
        <v>21.584403275868084</v>
      </c>
      <c r="CY475" s="346">
        <f t="shared" si="119"/>
        <v>23.920495628611786</v>
      </c>
      <c r="CZ475" s="346">
        <f t="shared" si="119"/>
        <v>23.908846541190101</v>
      </c>
      <c r="DA475" s="346">
        <f t="shared" si="119"/>
        <v>22.933728824202689</v>
      </c>
      <c r="DB475" s="1479">
        <f t="shared" si="119"/>
        <v>32.441450827151186</v>
      </c>
      <c r="DC475" s="346">
        <f>DC473-DC476-DC477-DC478</f>
        <v>18.743927042359161</v>
      </c>
      <c r="DD475" s="346">
        <f t="shared" ref="DD475:DN475" si="120">DD473-DD476-DD477-DD478</f>
        <v>21.355715077102367</v>
      </c>
      <c r="DE475" s="346">
        <f t="shared" si="120"/>
        <v>22.908259617458608</v>
      </c>
      <c r="DF475" s="346">
        <f t="shared" si="120"/>
        <v>22.936689253844008</v>
      </c>
      <c r="DG475" s="346">
        <f t="shared" si="120"/>
        <v>20.477908246591131</v>
      </c>
      <c r="DH475" s="346">
        <f t="shared" si="120"/>
        <v>28.480807992572302</v>
      </c>
      <c r="DI475" s="346">
        <f t="shared" si="120"/>
        <v>22.746099446472279</v>
      </c>
      <c r="DJ475" s="346">
        <f t="shared" si="120"/>
        <v>21.515900551392036</v>
      </c>
      <c r="DK475" s="346">
        <f t="shared" si="120"/>
        <v>25.178389891833291</v>
      </c>
      <c r="DL475" s="346">
        <f t="shared" si="120"/>
        <v>23.124773292510465</v>
      </c>
      <c r="DM475" s="346">
        <f t="shared" si="120"/>
        <v>21.809931656545867</v>
      </c>
      <c r="DN475" s="348">
        <f t="shared" si="120"/>
        <v>35.399593231041834</v>
      </c>
      <c r="DO475" s="346">
        <f t="shared" ref="DO475:DT475" si="121">DO473-DO476-DO477-DO478</f>
        <v>22.549650105600001</v>
      </c>
      <c r="DP475" s="346">
        <f t="shared" si="121"/>
        <v>22.694021334500004</v>
      </c>
      <c r="DQ475" s="346">
        <f t="shared" si="121"/>
        <v>26.670725938199997</v>
      </c>
      <c r="DR475" s="346">
        <f t="shared" si="121"/>
        <v>21.270239638299998</v>
      </c>
      <c r="DS475" s="346">
        <f t="shared" si="121"/>
        <v>22.027040283000005</v>
      </c>
      <c r="DT475" s="346">
        <f t="shared" si="121"/>
        <v>27.149422512019996</v>
      </c>
      <c r="DU475" s="346">
        <f t="shared" ref="DU475:DZ475" si="122">DU473-DU476-DU477-DU478</f>
        <v>29.137050843399997</v>
      </c>
      <c r="DV475" s="346">
        <f t="shared" si="122"/>
        <v>26.349207818300005</v>
      </c>
      <c r="DW475" s="346">
        <f t="shared" si="122"/>
        <v>28.638249580400014</v>
      </c>
      <c r="DX475" s="346">
        <f t="shared" si="122"/>
        <v>25.541261044199999</v>
      </c>
      <c r="DY475" s="346">
        <f t="shared" si="122"/>
        <v>25.09565390740001</v>
      </c>
      <c r="DZ475" s="348">
        <f t="shared" si="122"/>
        <v>39.39220616619999</v>
      </c>
      <c r="EA475" s="346">
        <f t="shared" ref="EA475:EL475" si="123">EA473-EA476-EA477-EA478</f>
        <v>27.033976672099993</v>
      </c>
      <c r="EB475" s="346">
        <f t="shared" si="123"/>
        <v>26.198417552900001</v>
      </c>
      <c r="EC475" s="346">
        <f t="shared" si="123"/>
        <v>32.917246938889988</v>
      </c>
      <c r="ED475" s="346">
        <f t="shared" si="123"/>
        <v>28.242780694100002</v>
      </c>
      <c r="EE475" s="346">
        <f t="shared" si="123"/>
        <v>28.956005440900007</v>
      </c>
      <c r="EF475" s="346">
        <f t="shared" si="123"/>
        <v>37.192128367000002</v>
      </c>
      <c r="EG475" s="346">
        <f t="shared" si="123"/>
        <v>30.508323245999996</v>
      </c>
      <c r="EH475" s="346">
        <f t="shared" si="123"/>
        <v>29.263865316</v>
      </c>
      <c r="EI475" s="346">
        <f t="shared" si="123"/>
        <v>32.093352027299993</v>
      </c>
      <c r="EJ475" s="346">
        <f t="shared" si="123"/>
        <v>31.45103612834523</v>
      </c>
      <c r="EK475" s="346">
        <f t="shared" si="123"/>
        <v>28.575332048663711</v>
      </c>
      <c r="EL475" s="348">
        <f t="shared" si="123"/>
        <v>42.293843172759615</v>
      </c>
      <c r="EM475" s="346">
        <f t="shared" ref="EM475:ER475" si="124">EM473-EM476-EM477-EM478</f>
        <v>28.516165579959999</v>
      </c>
      <c r="EN475" s="346">
        <f t="shared" si="124"/>
        <v>31.529582937400001</v>
      </c>
      <c r="EO475" s="346">
        <f t="shared" si="124"/>
        <v>34.407240132920009</v>
      </c>
      <c r="EP475" s="346">
        <f t="shared" si="124"/>
        <v>30.103288415599991</v>
      </c>
      <c r="EQ475" s="346">
        <f t="shared" si="124"/>
        <v>30.201307876119998</v>
      </c>
      <c r="ER475" s="346">
        <f t="shared" si="124"/>
        <v>39.315061756079999</v>
      </c>
      <c r="ES475" s="346">
        <f t="shared" ref="ES475:EX475" si="125">ES473-ES476-ES477-ES478</f>
        <v>36.496671364314402</v>
      </c>
      <c r="ET475" s="346">
        <f t="shared" si="125"/>
        <v>35.728788342376085</v>
      </c>
      <c r="EU475" s="346">
        <f t="shared" si="125"/>
        <v>34.195097262087678</v>
      </c>
      <c r="EV475" s="346">
        <f t="shared" si="125"/>
        <v>35.238250333584716</v>
      </c>
      <c r="EW475" s="346">
        <f t="shared" si="125"/>
        <v>34.681870578485949</v>
      </c>
      <c r="EX475" s="348">
        <f t="shared" si="125"/>
        <v>49.416312197846786</v>
      </c>
      <c r="EY475" s="346"/>
      <c r="EZ475" s="346"/>
      <c r="FA475" s="346"/>
      <c r="FB475" s="346"/>
      <c r="FC475" s="346"/>
      <c r="FD475" s="346"/>
      <c r="FE475" s="346"/>
      <c r="FF475" s="346"/>
      <c r="FG475" s="346"/>
      <c r="FH475" s="346"/>
      <c r="FI475" s="346"/>
      <c r="FJ475" s="348"/>
      <c r="FK475" s="346"/>
      <c r="FL475" s="346"/>
      <c r="FM475" s="346"/>
      <c r="FN475" s="346"/>
      <c r="FO475" s="346"/>
      <c r="FP475" s="346"/>
      <c r="FQ475" s="346"/>
      <c r="FR475" s="346"/>
      <c r="FS475" s="346"/>
      <c r="FT475" s="346"/>
      <c r="FU475" s="346"/>
      <c r="FV475" s="346"/>
      <c r="FW475" s="346"/>
      <c r="FX475" s="346"/>
      <c r="FY475" s="346"/>
      <c r="FZ475" s="346"/>
      <c r="GA475" s="346"/>
      <c r="GB475" s="346"/>
      <c r="GC475" s="346"/>
      <c r="GD475" s="346"/>
      <c r="GE475" s="346"/>
      <c r="GF475" s="346"/>
      <c r="GG475" s="346"/>
      <c r="GH475" s="346"/>
      <c r="GI475" s="346"/>
      <c r="GJ475" s="346"/>
      <c r="GK475" s="346"/>
      <c r="GL475" s="346"/>
      <c r="GM475" s="346"/>
      <c r="GN475" s="346"/>
      <c r="GO475" s="346"/>
      <c r="GP475" s="346"/>
      <c r="GQ475" s="346"/>
      <c r="GR475" s="346"/>
      <c r="GS475" s="346"/>
      <c r="GT475" s="346"/>
      <c r="GU475" s="346"/>
      <c r="GV475" s="346"/>
      <c r="GW475" s="346"/>
      <c r="GX475" s="346"/>
      <c r="GY475" s="346"/>
      <c r="GZ475" s="346"/>
      <c r="HA475" s="346"/>
      <c r="HB475" s="346"/>
      <c r="HC475" s="346"/>
      <c r="HD475" s="346"/>
      <c r="HE475" s="346"/>
      <c r="HF475" s="346"/>
      <c r="HG475" s="346"/>
      <c r="HH475" s="346"/>
      <c r="HI475" s="346"/>
      <c r="HJ475" s="346"/>
      <c r="HK475" s="346"/>
      <c r="HL475" s="346"/>
      <c r="HM475" s="346"/>
      <c r="HN475" s="349"/>
      <c r="HO475" s="351" t="s">
        <v>327</v>
      </c>
      <c r="HP475" s="351"/>
      <c r="HQ475" s="351"/>
      <c r="HR475" s="346">
        <f>+FISC!Z681</f>
        <v>291.56431106799999</v>
      </c>
      <c r="HS475" s="302">
        <f t="shared" si="93"/>
        <v>143.9446177625928</v>
      </c>
      <c r="HT475" s="302">
        <f t="shared" si="94"/>
        <v>147.44559412900645</v>
      </c>
      <c r="HU475" s="346">
        <f t="shared" si="97"/>
        <v>291.39021189159922</v>
      </c>
      <c r="HV475" s="302">
        <f t="shared" si="98"/>
        <v>134.90330722992758</v>
      </c>
      <c r="HW475" s="302">
        <f t="shared" si="99"/>
        <v>149.77468806979579</v>
      </c>
      <c r="HX475" s="346">
        <f t="shared" si="100"/>
        <v>284.67799529972336</v>
      </c>
      <c r="HY475" s="302">
        <f t="shared" si="101"/>
        <v>142.36109981161999</v>
      </c>
      <c r="HZ475" s="302">
        <f t="shared" si="102"/>
        <v>174.15362935990004</v>
      </c>
      <c r="IA475" s="346">
        <f t="shared" si="103"/>
        <v>316.51472917152</v>
      </c>
      <c r="IC475" s="350"/>
      <c r="ID475" s="346">
        <f>FISC!AC681</f>
        <v>367.84438556264797</v>
      </c>
      <c r="IE475" s="302">
        <f t="shared" si="104"/>
        <v>194.07264669808001</v>
      </c>
      <c r="IF475" s="302">
        <f t="shared" si="105"/>
        <v>225.75699007869562</v>
      </c>
      <c r="IG475" s="346">
        <f t="shared" si="106"/>
        <v>419.8296367767756</v>
      </c>
      <c r="IH475" s="350"/>
      <c r="II475" s="350"/>
      <c r="IJ475" s="346">
        <f>+FISC!AE681</f>
        <v>427.00197743470397</v>
      </c>
      <c r="IK475" s="350">
        <f>IM475*0.48</f>
        <v>161.83368296053393</v>
      </c>
      <c r="IL475" s="302">
        <f t="shared" si="85"/>
        <v>175.31982320724509</v>
      </c>
      <c r="IM475" s="346">
        <f>+FISC!AF681</f>
        <v>337.15350616777903</v>
      </c>
      <c r="IN475" s="350">
        <f>IP475*0.48</f>
        <v>1230.5077029250394</v>
      </c>
      <c r="IO475" s="302">
        <f t="shared" si="73"/>
        <v>1333.0500115021262</v>
      </c>
      <c r="IP475" s="346">
        <f>+FISC!AG681</f>
        <v>2563.5577144271656</v>
      </c>
      <c r="IQ475" s="350">
        <f>IS475*0.48</f>
        <v>1660.0574972552592</v>
      </c>
      <c r="IR475" s="302">
        <f t="shared" si="74"/>
        <v>1798.3956220265311</v>
      </c>
      <c r="IS475" s="346">
        <f>+FISC!AH681</f>
        <v>3458.4531192817904</v>
      </c>
      <c r="IT475" s="350">
        <f>IV475*0.48</f>
        <v>1829.1680360665132</v>
      </c>
      <c r="IU475" s="302">
        <f t="shared" si="75"/>
        <v>1981.5987057387229</v>
      </c>
      <c r="IV475" s="346">
        <f>+FISC!AI681</f>
        <v>3810.7667418052361</v>
      </c>
      <c r="IW475" s="350">
        <f>IY475*0.48</f>
        <v>0</v>
      </c>
      <c r="IX475" s="302">
        <f t="shared" si="76"/>
        <v>0</v>
      </c>
      <c r="IY475" s="346">
        <f>+FISC!AJ681</f>
        <v>0</v>
      </c>
      <c r="IZ475" s="350">
        <f>JB475*0.48</f>
        <v>0</v>
      </c>
      <c r="JA475" s="302">
        <f t="shared" si="77"/>
        <v>0</v>
      </c>
      <c r="JB475" s="346">
        <f>+FISC!AK681</f>
        <v>0</v>
      </c>
      <c r="JC475" s="346"/>
      <c r="KI475" s="349"/>
      <c r="KJ475" s="350"/>
    </row>
    <row r="476" spans="2:302">
      <c r="B476" s="117" t="s">
        <v>361</v>
      </c>
      <c r="D476" s="351" t="str">
        <f>+FISC!D682</f>
        <v xml:space="preserve">                VAT on imports</v>
      </c>
      <c r="E476" s="346"/>
      <c r="F476" s="346"/>
      <c r="G476" s="346"/>
      <c r="H476" s="346"/>
      <c r="I476" s="346"/>
      <c r="J476" s="346"/>
      <c r="K476" s="346"/>
      <c r="L476" s="346"/>
      <c r="M476" s="346"/>
      <c r="N476" s="346"/>
      <c r="O476" s="346"/>
      <c r="P476" s="346"/>
      <c r="Q476" s="346"/>
      <c r="R476" s="346"/>
      <c r="S476" s="346"/>
      <c r="T476" s="346"/>
      <c r="U476" s="346"/>
      <c r="V476" s="346"/>
      <c r="W476" s="346"/>
      <c r="X476" s="346"/>
      <c r="Y476" s="346"/>
      <c r="Z476" s="346"/>
      <c r="AA476" s="346"/>
      <c r="AB476" s="346"/>
      <c r="AC476" s="346"/>
      <c r="AD476" s="346"/>
      <c r="AE476" s="346"/>
      <c r="AF476" s="346"/>
      <c r="AG476" s="346"/>
      <c r="AH476" s="346"/>
      <c r="AI476" s="346"/>
      <c r="AJ476" s="346"/>
      <c r="AK476" s="346"/>
      <c r="AL476" s="346"/>
      <c r="AM476" s="346"/>
      <c r="AN476" s="346"/>
      <c r="AO476" s="346"/>
      <c r="AP476" s="346"/>
      <c r="AQ476" s="346"/>
      <c r="AR476" s="346"/>
      <c r="AS476" s="346"/>
      <c r="AT476" s="346"/>
      <c r="AU476" s="346"/>
      <c r="AV476" s="346"/>
      <c r="AW476" s="346"/>
      <c r="AX476" s="346"/>
      <c r="AY476" s="346"/>
      <c r="AZ476" s="346"/>
      <c r="BA476" s="346"/>
      <c r="BB476" s="346"/>
      <c r="BC476" s="346"/>
      <c r="BD476" s="346"/>
      <c r="BE476" s="346"/>
      <c r="BF476" s="346"/>
      <c r="BG476" s="346"/>
      <c r="BH476" s="346"/>
      <c r="BI476" s="346"/>
      <c r="BJ476" s="346"/>
      <c r="BK476" s="346"/>
      <c r="BL476" s="346"/>
      <c r="BM476" s="346"/>
      <c r="BN476" s="346"/>
      <c r="BO476" s="346"/>
      <c r="BP476" s="346"/>
      <c r="BQ476" s="346"/>
      <c r="BR476" s="346"/>
      <c r="BS476" s="346"/>
      <c r="BT476" s="346"/>
      <c r="BU476" s="346"/>
      <c r="BV476" s="346"/>
      <c r="BW476" s="346"/>
      <c r="BX476" s="346"/>
      <c r="BY476" s="346"/>
      <c r="BZ476" s="346"/>
      <c r="CA476" s="346"/>
      <c r="CB476" s="346"/>
      <c r="CC476" s="346"/>
      <c r="CD476" s="346"/>
      <c r="CE476" s="347">
        <f t="shared" ref="CE476:DJ476" si="126">CE190</f>
        <v>6.7366902546</v>
      </c>
      <c r="CF476" s="346">
        <f t="shared" si="126"/>
        <v>6.1068302621999999</v>
      </c>
      <c r="CG476" s="346">
        <f t="shared" si="126"/>
        <v>6.8280531947999998</v>
      </c>
      <c r="CH476" s="346">
        <f t="shared" si="126"/>
        <v>7.8064579251000001</v>
      </c>
      <c r="CI476" s="346">
        <f t="shared" si="126"/>
        <v>8.1603117908999998</v>
      </c>
      <c r="CJ476" s="346">
        <f t="shared" si="126"/>
        <v>7.9802586918000005</v>
      </c>
      <c r="CK476" s="346">
        <f t="shared" si="126"/>
        <v>8.2039759515000004</v>
      </c>
      <c r="CL476" s="346">
        <f t="shared" si="126"/>
        <v>7.2599873472000001</v>
      </c>
      <c r="CM476" s="346">
        <f t="shared" si="126"/>
        <v>7.2809049735000002</v>
      </c>
      <c r="CN476" s="346">
        <f t="shared" si="126"/>
        <v>8.0172674955000005</v>
      </c>
      <c r="CO476" s="346">
        <f t="shared" si="126"/>
        <v>8.3042534394000018</v>
      </c>
      <c r="CP476" s="348">
        <f t="shared" si="126"/>
        <v>7.8717999303000008</v>
      </c>
      <c r="CQ476" s="346">
        <f t="shared" si="126"/>
        <v>7.782627261600001</v>
      </c>
      <c r="CR476" s="346">
        <f t="shared" si="126"/>
        <v>7.6012299054000003</v>
      </c>
      <c r="CS476" s="346">
        <f t="shared" si="126"/>
        <v>8.7531792948000025</v>
      </c>
      <c r="CT476" s="346">
        <f t="shared" si="126"/>
        <v>7.7517604926000008</v>
      </c>
      <c r="CU476" s="346">
        <f t="shared" si="126"/>
        <v>7.5989398680000004</v>
      </c>
      <c r="CV476" s="346">
        <f t="shared" si="126"/>
        <v>8.3404416761999993</v>
      </c>
      <c r="CW476" s="346">
        <f t="shared" si="126"/>
        <v>8.050610515499999</v>
      </c>
      <c r="CX476" s="346">
        <f t="shared" si="126"/>
        <v>7.2574940286</v>
      </c>
      <c r="CY476" s="346">
        <f t="shared" si="126"/>
        <v>7.9065599373000008</v>
      </c>
      <c r="CZ476" s="346">
        <f t="shared" si="126"/>
        <v>8.1813919059000018</v>
      </c>
      <c r="DA476" s="346">
        <f t="shared" si="126"/>
        <v>9.1612123523999998</v>
      </c>
      <c r="DB476" s="1479">
        <f t="shared" si="126"/>
        <v>11.3852438667</v>
      </c>
      <c r="DC476" s="346">
        <f t="shared" si="126"/>
        <v>7.8574058543206524</v>
      </c>
      <c r="DD476" s="346">
        <f t="shared" si="126"/>
        <v>7.363318467042566</v>
      </c>
      <c r="DE476" s="346">
        <f t="shared" si="126"/>
        <v>9.1731760781706662</v>
      </c>
      <c r="DF476" s="346">
        <f t="shared" si="126"/>
        <v>9.267140774954445</v>
      </c>
      <c r="DG476" s="346">
        <f t="shared" si="126"/>
        <v>8.9736080523093253</v>
      </c>
      <c r="DH476" s="346">
        <f t="shared" si="126"/>
        <v>10.063379199121947</v>
      </c>
      <c r="DI476" s="346">
        <f t="shared" si="126"/>
        <v>7.993661997213322</v>
      </c>
      <c r="DJ476" s="346">
        <f t="shared" si="126"/>
        <v>8.6605111779759554</v>
      </c>
      <c r="DK476" s="346">
        <f t="shared" ref="DK476:EP476" si="127">DK190</f>
        <v>9.0816079169001949</v>
      </c>
      <c r="DL476" s="346">
        <f t="shared" si="127"/>
        <v>9.0274323796330638</v>
      </c>
      <c r="DM476" s="346">
        <f t="shared" si="127"/>
        <v>9.7662289284729038</v>
      </c>
      <c r="DN476" s="348">
        <f t="shared" si="127"/>
        <v>11.866588971381663</v>
      </c>
      <c r="DO476" s="346">
        <f t="shared" si="127"/>
        <v>9.8108258972999991</v>
      </c>
      <c r="DP476" s="346">
        <f t="shared" si="127"/>
        <v>11.156453113800003</v>
      </c>
      <c r="DQ476" s="346">
        <f t="shared" si="127"/>
        <v>10.9570908448</v>
      </c>
      <c r="DR476" s="346">
        <f t="shared" si="127"/>
        <v>9.567440680399999</v>
      </c>
      <c r="DS476" s="346">
        <f t="shared" si="127"/>
        <v>10.712232864899999</v>
      </c>
      <c r="DT476" s="346">
        <f t="shared" si="127"/>
        <v>10.824824211799999</v>
      </c>
      <c r="DU476" s="346">
        <f t="shared" si="127"/>
        <v>8.7792521957000016</v>
      </c>
      <c r="DV476" s="346">
        <f t="shared" si="127"/>
        <v>9.5347919117999993</v>
      </c>
      <c r="DW476" s="346">
        <f t="shared" si="127"/>
        <v>11.028032146600001</v>
      </c>
      <c r="DX476" s="346">
        <f t="shared" si="127"/>
        <v>8.9639059277000008</v>
      </c>
      <c r="DY476" s="346">
        <f t="shared" si="127"/>
        <v>11.344663394299999</v>
      </c>
      <c r="DZ476" s="348">
        <f t="shared" si="127"/>
        <v>11.3917456027</v>
      </c>
      <c r="EA476" s="346">
        <f t="shared" si="127"/>
        <v>9.3237178376000003</v>
      </c>
      <c r="EB476" s="346">
        <f t="shared" si="127"/>
        <v>9.8451868539999996</v>
      </c>
      <c r="EC476" s="346">
        <f t="shared" si="127"/>
        <v>11.760298321299999</v>
      </c>
      <c r="ED476" s="346">
        <f t="shared" si="127"/>
        <v>11.451489605500001</v>
      </c>
      <c r="EE476" s="346">
        <f t="shared" si="127"/>
        <v>10.078342945399999</v>
      </c>
      <c r="EF476" s="346">
        <f t="shared" si="127"/>
        <v>11.5178781555</v>
      </c>
      <c r="EG476" s="346">
        <f t="shared" si="127"/>
        <v>11.368516396</v>
      </c>
      <c r="EH476" s="346">
        <f t="shared" si="127"/>
        <v>10.028138416999999</v>
      </c>
      <c r="EI476" s="346">
        <f t="shared" si="127"/>
        <v>11.581017923899999</v>
      </c>
      <c r="EJ476" s="346">
        <f t="shared" si="127"/>
        <v>10.2261374518</v>
      </c>
      <c r="EK476" s="346">
        <f t="shared" si="127"/>
        <v>12.074526229</v>
      </c>
      <c r="EL476" s="348">
        <f t="shared" si="127"/>
        <v>11.542016648200001</v>
      </c>
      <c r="EM476" s="346">
        <f t="shared" si="127"/>
        <v>11.100910027360001</v>
      </c>
      <c r="EN476" s="346">
        <f t="shared" si="127"/>
        <v>13.460010395399999</v>
      </c>
      <c r="EO476" s="346">
        <f t="shared" si="127"/>
        <v>11.702864630040001</v>
      </c>
      <c r="EP476" s="346">
        <f t="shared" si="127"/>
        <v>11.33023760292</v>
      </c>
      <c r="EQ476" s="346">
        <f t="shared" ref="EQ476:EX476" si="128">EQ190</f>
        <v>13.92719101116</v>
      </c>
      <c r="ER476" s="346">
        <f t="shared" si="128"/>
        <v>13.705957183200001</v>
      </c>
      <c r="ES476" s="346">
        <f t="shared" si="128"/>
        <v>12.058170215760001</v>
      </c>
      <c r="ET476" s="346">
        <f t="shared" si="128"/>
        <v>11.533972994280001</v>
      </c>
      <c r="EU476" s="346">
        <f t="shared" si="128"/>
        <v>11.48394955252</v>
      </c>
      <c r="EV476" s="346">
        <f t="shared" si="128"/>
        <v>13.6838825104</v>
      </c>
      <c r="EW476" s="346">
        <f t="shared" si="128"/>
        <v>12.898527870799999</v>
      </c>
      <c r="EX476" s="348">
        <f t="shared" si="128"/>
        <v>13.96304876424</v>
      </c>
      <c r="EY476" s="346"/>
      <c r="EZ476" s="346"/>
      <c r="FA476" s="346"/>
      <c r="FB476" s="346"/>
      <c r="FC476" s="346"/>
      <c r="FD476" s="346"/>
      <c r="FE476" s="346"/>
      <c r="FF476" s="346"/>
      <c r="FG476" s="346"/>
      <c r="FH476" s="346"/>
      <c r="FI476" s="346"/>
      <c r="FJ476" s="348"/>
      <c r="FK476" s="346"/>
      <c r="FL476" s="346"/>
      <c r="FM476" s="346"/>
      <c r="FN476" s="346"/>
      <c r="FO476" s="346"/>
      <c r="FP476" s="346"/>
      <c r="FQ476" s="346"/>
      <c r="FR476" s="346"/>
      <c r="FS476" s="346"/>
      <c r="FT476" s="346"/>
      <c r="FU476" s="346"/>
      <c r="FV476" s="346"/>
      <c r="FW476" s="346"/>
      <c r="FX476" s="346"/>
      <c r="FY476" s="346"/>
      <c r="FZ476" s="346"/>
      <c r="GA476" s="346"/>
      <c r="GB476" s="346"/>
      <c r="GC476" s="346"/>
      <c r="GD476" s="346"/>
      <c r="GE476" s="346"/>
      <c r="GF476" s="346"/>
      <c r="GG476" s="346"/>
      <c r="GH476" s="346"/>
      <c r="GI476" s="346"/>
      <c r="GJ476" s="346"/>
      <c r="GK476" s="346"/>
      <c r="GL476" s="346"/>
      <c r="GM476" s="346"/>
      <c r="GN476" s="346"/>
      <c r="GO476" s="346"/>
      <c r="GP476" s="346"/>
      <c r="GQ476" s="346"/>
      <c r="GR476" s="346"/>
      <c r="GS476" s="346"/>
      <c r="GT476" s="346"/>
      <c r="GU476" s="346"/>
      <c r="GV476" s="346"/>
      <c r="GW476" s="346"/>
      <c r="GX476" s="346"/>
      <c r="GY476" s="346"/>
      <c r="GZ476" s="346"/>
      <c r="HA476" s="346"/>
      <c r="HB476" s="346"/>
      <c r="HC476" s="346"/>
      <c r="HD476" s="346"/>
      <c r="HE476" s="346"/>
      <c r="HF476" s="346"/>
      <c r="HG476" s="346"/>
      <c r="HH476" s="346"/>
      <c r="HI476" s="346"/>
      <c r="HJ476" s="346"/>
      <c r="HK476" s="346"/>
      <c r="HL476" s="346"/>
      <c r="HM476" s="346"/>
      <c r="HN476" s="349"/>
      <c r="HO476" s="351" t="s">
        <v>256</v>
      </c>
      <c r="HP476" s="351"/>
      <c r="HQ476" s="351"/>
      <c r="HR476" s="346">
        <f>+FISC!Z682</f>
        <v>99.770691104999997</v>
      </c>
      <c r="HS476" s="302">
        <f t="shared" si="93"/>
        <v>47.82817849860001</v>
      </c>
      <c r="HT476" s="302">
        <f t="shared" si="94"/>
        <v>51.942512606400001</v>
      </c>
      <c r="HU476" s="346">
        <f t="shared" si="97"/>
        <v>99.770691104999997</v>
      </c>
      <c r="HV476" s="302">
        <f t="shared" si="98"/>
        <v>52.698028425919603</v>
      </c>
      <c r="HW476" s="302">
        <f t="shared" si="99"/>
        <v>56.396031371577109</v>
      </c>
      <c r="HX476" s="346">
        <f t="shared" si="100"/>
        <v>109.09405979749671</v>
      </c>
      <c r="HY476" s="302">
        <f t="shared" si="101"/>
        <v>63.028867612999996</v>
      </c>
      <c r="HZ476" s="302">
        <f t="shared" si="102"/>
        <v>61.042391178800003</v>
      </c>
      <c r="IA476" s="346">
        <f t="shared" si="103"/>
        <v>124.07125879180001</v>
      </c>
      <c r="IC476" s="350"/>
      <c r="ID476" s="346">
        <f>FISC!AC682</f>
        <v>142.49295850171748</v>
      </c>
      <c r="IE476" s="302">
        <f t="shared" si="104"/>
        <v>75.22717085008</v>
      </c>
      <c r="IF476" s="302">
        <f t="shared" si="105"/>
        <v>75.621551908000001</v>
      </c>
      <c r="IG476" s="346">
        <f t="shared" si="106"/>
        <v>150.84872275807999</v>
      </c>
      <c r="IH476" s="350"/>
      <c r="II476" s="350"/>
      <c r="IJ476" s="346">
        <f>+FISC!AE682</f>
        <v>140.79556880066454</v>
      </c>
      <c r="IK476" s="350">
        <f>IM476*0.48</f>
        <v>67.64694519818363</v>
      </c>
      <c r="IL476" s="302">
        <f t="shared" si="85"/>
        <v>73.28419063136559</v>
      </c>
      <c r="IM476" s="346">
        <f>+FISC!AF682</f>
        <v>140.93113582954922</v>
      </c>
      <c r="IN476" s="350">
        <f>IP476*0.48</f>
        <v>528.76282162852169</v>
      </c>
      <c r="IO476" s="302">
        <f t="shared" si="73"/>
        <v>572.82639009756519</v>
      </c>
      <c r="IP476" s="346">
        <f>+FISC!AG682</f>
        <v>1101.5892117260869</v>
      </c>
      <c r="IQ476" s="350">
        <f>IS476*0.48</f>
        <v>728.62598587542993</v>
      </c>
      <c r="IR476" s="302">
        <f t="shared" si="74"/>
        <v>789.34481803171593</v>
      </c>
      <c r="IS476" s="346">
        <f>+FISC!AH682</f>
        <v>1517.9708039071459</v>
      </c>
      <c r="IT476" s="350">
        <f>IV476*0.48</f>
        <v>932.97338983282793</v>
      </c>
      <c r="IU476" s="302">
        <f t="shared" si="75"/>
        <v>1010.7211723188971</v>
      </c>
      <c r="IV476" s="346">
        <f>+FISC!AI682</f>
        <v>1943.694562151725</v>
      </c>
      <c r="IW476" s="350">
        <f>IY476*0.48</f>
        <v>0</v>
      </c>
      <c r="IX476" s="302">
        <f t="shared" si="76"/>
        <v>0</v>
      </c>
      <c r="IY476" s="346">
        <f>+FISC!AJ682</f>
        <v>0</v>
      </c>
      <c r="IZ476" s="350">
        <f>JB476*0.48</f>
        <v>0</v>
      </c>
      <c r="JA476" s="302">
        <f t="shared" si="77"/>
        <v>0</v>
      </c>
      <c r="JB476" s="346">
        <f>+FISC!AK682</f>
        <v>0</v>
      </c>
      <c r="JC476" s="346"/>
      <c r="KI476" s="349"/>
      <c r="KJ476" s="350"/>
    </row>
    <row r="477" spans="2:302">
      <c r="B477" s="117" t="s">
        <v>361</v>
      </c>
      <c r="D477" s="351" t="str">
        <f>+FISC!D683</f>
        <v xml:space="preserve">                excise duty on fuel (excl. strategic reserve)</v>
      </c>
      <c r="E477" s="346"/>
      <c r="F477" s="346"/>
      <c r="G477" s="346"/>
      <c r="H477" s="346"/>
      <c r="I477" s="346"/>
      <c r="J477" s="346"/>
      <c r="K477" s="346"/>
      <c r="L477" s="346"/>
      <c r="M477" s="346"/>
      <c r="N477" s="346"/>
      <c r="O477" s="346"/>
      <c r="P477" s="346"/>
      <c r="Q477" s="346"/>
      <c r="R477" s="346"/>
      <c r="S477" s="346"/>
      <c r="T477" s="346"/>
      <c r="U477" s="346"/>
      <c r="V477" s="346"/>
      <c r="W477" s="346"/>
      <c r="X477" s="346"/>
      <c r="Y477" s="346"/>
      <c r="Z477" s="346"/>
      <c r="AA477" s="346"/>
      <c r="AB477" s="346"/>
      <c r="AC477" s="346"/>
      <c r="AD477" s="346"/>
      <c r="AE477" s="346"/>
      <c r="AF477" s="346"/>
      <c r="AG477" s="346"/>
      <c r="AH477" s="346"/>
      <c r="AI477" s="346"/>
      <c r="AJ477" s="346"/>
      <c r="AK477" s="346"/>
      <c r="AL477" s="346"/>
      <c r="AM477" s="346"/>
      <c r="AN477" s="346"/>
      <c r="AO477" s="346"/>
      <c r="AP477" s="346"/>
      <c r="AQ477" s="346"/>
      <c r="AR477" s="346"/>
      <c r="AS477" s="346"/>
      <c r="AT477" s="346"/>
      <c r="AU477" s="346"/>
      <c r="AV477" s="346"/>
      <c r="AW477" s="346"/>
      <c r="AX477" s="346"/>
      <c r="AY477" s="346"/>
      <c r="AZ477" s="346"/>
      <c r="BA477" s="346"/>
      <c r="BB477" s="346"/>
      <c r="BC477" s="346"/>
      <c r="BD477" s="346"/>
      <c r="BE477" s="346"/>
      <c r="BF477" s="346"/>
      <c r="BG477" s="346"/>
      <c r="BH477" s="346"/>
      <c r="BI477" s="346"/>
      <c r="BJ477" s="346"/>
      <c r="BK477" s="346"/>
      <c r="BL477" s="346"/>
      <c r="BM477" s="346"/>
      <c r="BN477" s="346"/>
      <c r="BO477" s="346"/>
      <c r="BP477" s="346"/>
      <c r="BQ477" s="346"/>
      <c r="BR477" s="346"/>
      <c r="BS477" s="346"/>
      <c r="BT477" s="346"/>
      <c r="BU477" s="346"/>
      <c r="BV477" s="346"/>
      <c r="BW477" s="346"/>
      <c r="BX477" s="346"/>
      <c r="BY477" s="346"/>
      <c r="BZ477" s="346"/>
      <c r="CA477" s="346"/>
      <c r="CB477" s="346"/>
      <c r="CC477" s="346"/>
      <c r="CD477" s="346"/>
      <c r="CE477" s="347">
        <f t="shared" ref="CE477:DJ477" si="129">CE180</f>
        <v>3.1689793989999999</v>
      </c>
      <c r="CF477" s="346">
        <f t="shared" si="129"/>
        <v>3.2646680999999997</v>
      </c>
      <c r="CG477" s="346">
        <f t="shared" si="129"/>
        <v>2.8187917579999997</v>
      </c>
      <c r="CH477" s="346">
        <f t="shared" si="129"/>
        <v>3.2793469100000001</v>
      </c>
      <c r="CI477" s="346">
        <f t="shared" si="129"/>
        <v>3.1409703960000002</v>
      </c>
      <c r="CJ477" s="346">
        <f t="shared" si="129"/>
        <v>3.2952408479999997</v>
      </c>
      <c r="CK477" s="346">
        <f t="shared" si="129"/>
        <v>3.2457254710000001</v>
      </c>
      <c r="CL477" s="346">
        <f t="shared" si="129"/>
        <v>2.712039984</v>
      </c>
      <c r="CM477" s="346">
        <f t="shared" si="129"/>
        <v>2.8694379530000003</v>
      </c>
      <c r="CN477" s="346">
        <f t="shared" si="129"/>
        <v>3.0035599589999999</v>
      </c>
      <c r="CO477" s="346">
        <f t="shared" si="129"/>
        <v>3.1262652019999999</v>
      </c>
      <c r="CP477" s="348">
        <f t="shared" si="129"/>
        <v>3.075251937</v>
      </c>
      <c r="CQ477" s="346">
        <f t="shared" si="129"/>
        <v>3.2488606209999999</v>
      </c>
      <c r="CR477" s="346">
        <f t="shared" si="129"/>
        <v>3.238915344</v>
      </c>
      <c r="CS477" s="346">
        <f t="shared" si="129"/>
        <v>3.2422682709999999</v>
      </c>
      <c r="CT477" s="346">
        <f t="shared" si="129"/>
        <v>3.3888526780000001</v>
      </c>
      <c r="CU477" s="346">
        <f t="shared" si="129"/>
        <v>2.5925377210000002</v>
      </c>
      <c r="CV477" s="346">
        <f t="shared" si="129"/>
        <v>3.5392753539999999</v>
      </c>
      <c r="CW477" s="346">
        <f t="shared" si="129"/>
        <v>3.356586316</v>
      </c>
      <c r="CX477" s="346">
        <f t="shared" si="129"/>
        <v>3.1462293780000001</v>
      </c>
      <c r="CY477" s="346">
        <f t="shared" si="129"/>
        <v>3.354355424</v>
      </c>
      <c r="CZ477" s="346">
        <f t="shared" si="129"/>
        <v>3.7739778299999998</v>
      </c>
      <c r="DA477" s="346">
        <f t="shared" si="129"/>
        <v>3.6157893829999996</v>
      </c>
      <c r="DB477" s="1479">
        <f t="shared" si="129"/>
        <v>4.5673495070000003</v>
      </c>
      <c r="DC477" s="346">
        <f t="shared" si="129"/>
        <v>6.5516037548088999</v>
      </c>
      <c r="DD477" s="346">
        <f t="shared" si="129"/>
        <v>6.1313639970228753</v>
      </c>
      <c r="DE477" s="346">
        <f t="shared" si="129"/>
        <v>7.3639123965037205</v>
      </c>
      <c r="DF477" s="346">
        <f t="shared" si="129"/>
        <v>5.7518601399761868</v>
      </c>
      <c r="DG477" s="346">
        <f t="shared" si="129"/>
        <v>5.5502397513714117</v>
      </c>
      <c r="DH477" s="346">
        <f t="shared" si="129"/>
        <v>5.4626040483169076</v>
      </c>
      <c r="DI477" s="346">
        <f t="shared" si="129"/>
        <v>6.2514231740000001</v>
      </c>
      <c r="DJ477" s="346">
        <f t="shared" si="129"/>
        <v>5.4853795969999997</v>
      </c>
      <c r="DK477" s="346">
        <f t="shared" ref="DK477:EP477" si="130">DK180</f>
        <v>5.3768416380000001</v>
      </c>
      <c r="DL477" s="346">
        <f t="shared" si="130"/>
        <v>5.1278029370000002</v>
      </c>
      <c r="DM477" s="346">
        <f t="shared" si="130"/>
        <v>5.5426165259999998</v>
      </c>
      <c r="DN477" s="348">
        <f t="shared" si="130"/>
        <v>5.9421715629999996</v>
      </c>
      <c r="DO477" s="346">
        <f t="shared" si="130"/>
        <v>2.956541123</v>
      </c>
      <c r="DP477" s="346">
        <f t="shared" si="130"/>
        <v>4.2391642650000003</v>
      </c>
      <c r="DQ477" s="346">
        <f t="shared" si="130"/>
        <v>4.6278842459999998</v>
      </c>
      <c r="DR477" s="346">
        <f t="shared" si="130"/>
        <v>3.6132463650000002</v>
      </c>
      <c r="DS477" s="346">
        <f t="shared" si="130"/>
        <v>4.2479571060000003</v>
      </c>
      <c r="DT477" s="346">
        <f t="shared" si="130"/>
        <v>5.1771524299999996</v>
      </c>
      <c r="DU477" s="346">
        <f t="shared" si="130"/>
        <v>3.5630113959999998</v>
      </c>
      <c r="DV477" s="346">
        <f t="shared" si="130"/>
        <v>3.792640612</v>
      </c>
      <c r="DW477" s="346">
        <f t="shared" si="130"/>
        <v>4.4536867249999998</v>
      </c>
      <c r="DX477" s="346">
        <f t="shared" si="130"/>
        <v>3.6935304289999999</v>
      </c>
      <c r="DY477" s="346">
        <f t="shared" si="130"/>
        <v>4.0704032720000001</v>
      </c>
      <c r="DZ477" s="348">
        <f t="shared" si="130"/>
        <v>4.7259317359999997</v>
      </c>
      <c r="EA477" s="346">
        <f t="shared" si="130"/>
        <v>3.9197508289999998</v>
      </c>
      <c r="EB477" s="346">
        <f t="shared" si="130"/>
        <v>4.441601414</v>
      </c>
      <c r="EC477" s="346">
        <f t="shared" si="130"/>
        <v>4.3779506379999997</v>
      </c>
      <c r="ED477" s="346">
        <f t="shared" si="130"/>
        <v>4.284085996</v>
      </c>
      <c r="EE477" s="346">
        <f t="shared" si="130"/>
        <v>4.0114392140000001</v>
      </c>
      <c r="EF477" s="346">
        <f t="shared" si="130"/>
        <v>4.6793488439999997</v>
      </c>
      <c r="EG477" s="346">
        <f t="shared" si="130"/>
        <v>3.851187774</v>
      </c>
      <c r="EH477" s="346">
        <f t="shared" si="130"/>
        <v>4.1980587839999997</v>
      </c>
      <c r="EI477" s="346">
        <f t="shared" si="130"/>
        <v>4.5506451840000004</v>
      </c>
      <c r="EJ477" s="346">
        <f t="shared" si="130"/>
        <v>4.0935972188788101</v>
      </c>
      <c r="EK477" s="346">
        <f t="shared" si="130"/>
        <v>5.1052073904136108</v>
      </c>
      <c r="EL477" s="348">
        <f t="shared" si="130"/>
        <v>5.3142629711079108</v>
      </c>
      <c r="EM477" s="346">
        <f t="shared" si="130"/>
        <v>4.5634166029999994</v>
      </c>
      <c r="EN477" s="346">
        <f t="shared" si="130"/>
        <v>5.2825730379999998</v>
      </c>
      <c r="EO477" s="346">
        <f t="shared" si="130"/>
        <v>4.7967218230000004</v>
      </c>
      <c r="EP477" s="346">
        <f t="shared" si="130"/>
        <v>4.4942836369999997</v>
      </c>
      <c r="EQ477" s="346">
        <f t="shared" ref="EQ477:EX477" si="131">EQ180</f>
        <v>4.593065245</v>
      </c>
      <c r="ER477" s="346">
        <f t="shared" si="131"/>
        <v>5.1687548889999997</v>
      </c>
      <c r="ES477" s="346">
        <f t="shared" si="131"/>
        <v>4.1042873664221347</v>
      </c>
      <c r="ET477" s="346">
        <f t="shared" si="131"/>
        <v>4.8625159404912184</v>
      </c>
      <c r="EU477" s="346">
        <f t="shared" si="131"/>
        <v>4.803794123639566</v>
      </c>
      <c r="EV477" s="346">
        <f t="shared" si="131"/>
        <v>4.6857228159572806</v>
      </c>
      <c r="EW477" s="346">
        <f t="shared" si="131"/>
        <v>5.5589025963523504</v>
      </c>
      <c r="EX477" s="348">
        <f t="shared" si="131"/>
        <v>4.6832505486718778</v>
      </c>
      <c r="EY477" s="346"/>
      <c r="EZ477" s="346"/>
      <c r="FA477" s="346"/>
      <c r="FB477" s="346"/>
      <c r="FC477" s="346"/>
      <c r="FD477" s="346"/>
      <c r="FE477" s="346"/>
      <c r="FF477" s="346"/>
      <c r="FG477" s="346"/>
      <c r="FH477" s="346"/>
      <c r="FI477" s="346"/>
      <c r="FJ477" s="348"/>
      <c r="FK477" s="346"/>
      <c r="FL477" s="346"/>
      <c r="FM477" s="346"/>
      <c r="FN477" s="346"/>
      <c r="FO477" s="346"/>
      <c r="FP477" s="346"/>
      <c r="FQ477" s="346"/>
      <c r="FR477" s="346"/>
      <c r="FS477" s="346"/>
      <c r="FT477" s="346"/>
      <c r="FU477" s="346"/>
      <c r="FV477" s="346"/>
      <c r="FW477" s="346"/>
      <c r="FX477" s="346"/>
      <c r="FY477" s="346"/>
      <c r="FZ477" s="346"/>
      <c r="GA477" s="346"/>
      <c r="GB477" s="346"/>
      <c r="GC477" s="346"/>
      <c r="GD477" s="346"/>
      <c r="GE477" s="346"/>
      <c r="GF477" s="346"/>
      <c r="GG477" s="346"/>
      <c r="GH477" s="346"/>
      <c r="GI477" s="346"/>
      <c r="GJ477" s="346"/>
      <c r="GK477" s="346"/>
      <c r="GL477" s="346"/>
      <c r="GM477" s="346"/>
      <c r="GN477" s="346"/>
      <c r="GO477" s="346"/>
      <c r="GP477" s="346"/>
      <c r="GQ477" s="346"/>
      <c r="GR477" s="346"/>
      <c r="GS477" s="346"/>
      <c r="GT477" s="346"/>
      <c r="GU477" s="346"/>
      <c r="GV477" s="346"/>
      <c r="GW477" s="346"/>
      <c r="GX477" s="346"/>
      <c r="GY477" s="346"/>
      <c r="GZ477" s="346"/>
      <c r="HA477" s="346"/>
      <c r="HB477" s="346"/>
      <c r="HC477" s="346"/>
      <c r="HD477" s="346"/>
      <c r="HE477" s="346"/>
      <c r="HF477" s="346"/>
      <c r="HG477" s="346"/>
      <c r="HH477" s="346"/>
      <c r="HI477" s="346"/>
      <c r="HJ477" s="346"/>
      <c r="HK477" s="346"/>
      <c r="HL477" s="346"/>
      <c r="HM477" s="346"/>
      <c r="HN477" s="349"/>
      <c r="HO477" s="351" t="s">
        <v>843</v>
      </c>
      <c r="HP477" s="351"/>
      <c r="HQ477" s="351"/>
      <c r="HR477" s="346">
        <f>+FISC!Z683</f>
        <v>41.064997827000006</v>
      </c>
      <c r="HS477" s="302">
        <f t="shared" si="93"/>
        <v>19.250709989000001</v>
      </c>
      <c r="HT477" s="302">
        <f t="shared" si="94"/>
        <v>21.814287837999998</v>
      </c>
      <c r="HU477" s="346">
        <f t="shared" si="97"/>
        <v>41.064997827000006</v>
      </c>
      <c r="HV477" s="302">
        <f t="shared" si="98"/>
        <v>36.811584088000004</v>
      </c>
      <c r="HW477" s="302">
        <f t="shared" si="99"/>
        <v>33.726235435</v>
      </c>
      <c r="HX477" s="346">
        <f t="shared" si="100"/>
        <v>70.537819522999996</v>
      </c>
      <c r="HY477" s="302">
        <f t="shared" si="101"/>
        <v>24.861945535</v>
      </c>
      <c r="HZ477" s="302">
        <f t="shared" si="102"/>
        <v>24.299204169999999</v>
      </c>
      <c r="IA477" s="346">
        <f t="shared" si="103"/>
        <v>49.161149705</v>
      </c>
      <c r="IC477" s="350"/>
      <c r="ID477" s="346">
        <f>FISC!AC683</f>
        <v>45.414855609714145</v>
      </c>
      <c r="IE477" s="302">
        <f t="shared" si="104"/>
        <v>28.898815235000001</v>
      </c>
      <c r="IF477" s="302">
        <f t="shared" si="105"/>
        <v>28.698473391534428</v>
      </c>
      <c r="IG477" s="346">
        <f t="shared" si="106"/>
        <v>57.597288626534429</v>
      </c>
      <c r="IH477" s="350"/>
      <c r="II477" s="350"/>
      <c r="IJ477" s="346">
        <f>+FISC!AE683</f>
        <v>52.237534284038475</v>
      </c>
      <c r="IK477" s="350">
        <f>IM477*0.48</f>
        <v>27.002705042532028</v>
      </c>
      <c r="IL477" s="302">
        <f t="shared" si="85"/>
        <v>29.252930462743031</v>
      </c>
      <c r="IM477" s="346">
        <f>+FISC!AF683</f>
        <v>56.255635505275059</v>
      </c>
      <c r="IN477" s="350">
        <f>IP477*0.48</f>
        <v>32.279688616292596</v>
      </c>
      <c r="IO477" s="302">
        <f t="shared" si="73"/>
        <v>34.969662667650319</v>
      </c>
      <c r="IP477" s="346">
        <f>+FISC!AG466</f>
        <v>67.249351283942914</v>
      </c>
      <c r="IQ477" s="350">
        <f>IS477*0.48</f>
        <v>10.989579720524628</v>
      </c>
      <c r="IR477" s="302">
        <f t="shared" si="74"/>
        <v>11.905378030568347</v>
      </c>
      <c r="IS477" s="346">
        <f>+FISC!AH683</f>
        <v>22.894957751092974</v>
      </c>
      <c r="IT477" s="350">
        <f>IV477*0.48</f>
        <v>11.440327738187321</v>
      </c>
      <c r="IU477" s="302">
        <f t="shared" si="75"/>
        <v>12.393688383036267</v>
      </c>
      <c r="IV477" s="346">
        <f>+FISC!AI683</f>
        <v>23.834016121223588</v>
      </c>
      <c r="IW477" s="350">
        <f>IY477*0.48</f>
        <v>0</v>
      </c>
      <c r="IX477" s="302">
        <f t="shared" si="76"/>
        <v>0</v>
      </c>
      <c r="IY477" s="346">
        <f>+FISC!AJ683</f>
        <v>0</v>
      </c>
      <c r="IZ477" s="350">
        <f>JB477*0.48</f>
        <v>37.494989830678769</v>
      </c>
      <c r="JA477" s="302">
        <f t="shared" si="77"/>
        <v>40.619572316568672</v>
      </c>
      <c r="JB477" s="346">
        <f>+FISC!AK683</f>
        <v>78.11456214724744</v>
      </c>
      <c r="JC477" s="346"/>
      <c r="KI477" s="349"/>
      <c r="KJ477" s="350"/>
    </row>
    <row r="478" spans="2:302">
      <c r="B478" s="117" t="s">
        <v>361</v>
      </c>
      <c r="D478" s="351" t="str">
        <f>+FISC!D684</f>
        <v xml:space="preserve">                level fuel (strategic reserve and Road Fund-FER)</v>
      </c>
      <c r="E478" s="346"/>
      <c r="F478" s="346"/>
      <c r="G478" s="346"/>
      <c r="H478" s="346"/>
      <c r="I478" s="346"/>
      <c r="J478" s="346"/>
      <c r="K478" s="346"/>
      <c r="L478" s="346"/>
      <c r="M478" s="346"/>
      <c r="N478" s="346"/>
      <c r="O478" s="346"/>
      <c r="P478" s="346"/>
      <c r="Q478" s="346"/>
      <c r="R478" s="346"/>
      <c r="S478" s="346"/>
      <c r="T478" s="346"/>
      <c r="U478" s="346"/>
      <c r="V478" s="346"/>
      <c r="W478" s="346"/>
      <c r="X478" s="346"/>
      <c r="Y478" s="346"/>
      <c r="Z478" s="346"/>
      <c r="AA478" s="346"/>
      <c r="AB478" s="346"/>
      <c r="AC478" s="346"/>
      <c r="AD478" s="346"/>
      <c r="AE478" s="346"/>
      <c r="AF478" s="346"/>
      <c r="AG478" s="346"/>
      <c r="AH478" s="346"/>
      <c r="AI478" s="346"/>
      <c r="AJ478" s="346"/>
      <c r="AK478" s="346"/>
      <c r="AL478" s="346"/>
      <c r="AM478" s="346"/>
      <c r="AN478" s="346"/>
      <c r="AO478" s="346"/>
      <c r="AP478" s="346"/>
      <c r="AQ478" s="346"/>
      <c r="AR478" s="346"/>
      <c r="AS478" s="346"/>
      <c r="AT478" s="346"/>
      <c r="AU478" s="346"/>
      <c r="AV478" s="346"/>
      <c r="AW478" s="346"/>
      <c r="AX478" s="346"/>
      <c r="AY478" s="346"/>
      <c r="AZ478" s="346"/>
      <c r="BA478" s="346"/>
      <c r="BB478" s="346"/>
      <c r="BC478" s="346"/>
      <c r="BD478" s="346"/>
      <c r="BE478" s="346"/>
      <c r="BF478" s="346"/>
      <c r="BG478" s="346"/>
      <c r="BH478" s="346"/>
      <c r="BI478" s="346"/>
      <c r="BJ478" s="346"/>
      <c r="BK478" s="346"/>
      <c r="BL478" s="346"/>
      <c r="BM478" s="346"/>
      <c r="BN478" s="346"/>
      <c r="BO478" s="346"/>
      <c r="BP478" s="346"/>
      <c r="BQ478" s="346"/>
      <c r="BR478" s="346"/>
      <c r="BS478" s="346"/>
      <c r="BT478" s="346"/>
      <c r="BU478" s="346"/>
      <c r="BV478" s="346"/>
      <c r="BW478" s="346"/>
      <c r="BX478" s="346"/>
      <c r="BY478" s="346"/>
      <c r="BZ478" s="346"/>
      <c r="CA478" s="346"/>
      <c r="CB478" s="346"/>
      <c r="CC478" s="346"/>
      <c r="CD478" s="346"/>
      <c r="CE478" s="347">
        <f t="shared" ref="CE478:DB478" si="132">CE192</f>
        <v>1.9337765021972675</v>
      </c>
      <c r="CF478" s="346">
        <f t="shared" si="132"/>
        <v>1.8288542943007851</v>
      </c>
      <c r="CG478" s="346">
        <f t="shared" si="132"/>
        <v>2.5520020298934396</v>
      </c>
      <c r="CH478" s="346">
        <f t="shared" si="132"/>
        <v>2.2096294350452252</v>
      </c>
      <c r="CI478" s="346">
        <f t="shared" si="132"/>
        <v>1.8083133546247239</v>
      </c>
      <c r="CJ478" s="346">
        <f t="shared" si="132"/>
        <v>2.1623823208938009</v>
      </c>
      <c r="CK478" s="346">
        <f t="shared" si="132"/>
        <v>2.0042194830250453</v>
      </c>
      <c r="CL478" s="346">
        <f t="shared" si="132"/>
        <v>1.9624436171630721</v>
      </c>
      <c r="CM478" s="346">
        <f t="shared" si="132"/>
        <v>1.9815824134642153</v>
      </c>
      <c r="CN478" s="346">
        <f t="shared" si="132"/>
        <v>2.0239803312533597</v>
      </c>
      <c r="CO478" s="346">
        <f t="shared" si="132"/>
        <v>1.8273638328576212</v>
      </c>
      <c r="CP478" s="348">
        <f t="shared" si="132"/>
        <v>2.088726884605653</v>
      </c>
      <c r="CQ478" s="346">
        <f t="shared" si="132"/>
        <v>1.9354408506233358</v>
      </c>
      <c r="CR478" s="346">
        <f t="shared" si="132"/>
        <v>2.3671327554552253</v>
      </c>
      <c r="CS478" s="346">
        <f t="shared" si="132"/>
        <v>2.4923512253225213</v>
      </c>
      <c r="CT478" s="346">
        <f t="shared" si="132"/>
        <v>2.0451090547822162</v>
      </c>
      <c r="CU478" s="346">
        <f t="shared" si="132"/>
        <v>1.9837426961943678</v>
      </c>
      <c r="CV478" s="346">
        <f t="shared" si="132"/>
        <v>2.4548291674151379</v>
      </c>
      <c r="CW478" s="346">
        <f t="shared" si="132"/>
        <v>1.9191719123825999</v>
      </c>
      <c r="CX478" s="346">
        <f t="shared" si="132"/>
        <v>1.8696045928680809</v>
      </c>
      <c r="CY478" s="346">
        <f t="shared" si="132"/>
        <v>2.0711762329117911</v>
      </c>
      <c r="CZ478" s="346">
        <f t="shared" si="132"/>
        <v>2.1223709913900968</v>
      </c>
      <c r="DA478" s="346">
        <f t="shared" si="132"/>
        <v>2.0173544903026883</v>
      </c>
      <c r="DB478" s="1479">
        <f t="shared" si="132"/>
        <v>2.5874132982511866</v>
      </c>
      <c r="DC478" s="346">
        <f t="shared" ref="DC478:EX478" si="133">DC192+DC188</f>
        <v>2.8646098597798604</v>
      </c>
      <c r="DD478" s="346">
        <f t="shared" si="133"/>
        <v>3.8678867376545529</v>
      </c>
      <c r="DE478" s="346">
        <f t="shared" si="133"/>
        <v>3.6244542336511398</v>
      </c>
      <c r="DF478" s="346">
        <f t="shared" si="133"/>
        <v>3.5684728096049549</v>
      </c>
      <c r="DG478" s="346">
        <f t="shared" si="133"/>
        <v>3.4172700434726844</v>
      </c>
      <c r="DH478" s="346">
        <f t="shared" si="133"/>
        <v>3.6408633868368057</v>
      </c>
      <c r="DI478" s="346">
        <f t="shared" si="133"/>
        <v>3.4453334062201399</v>
      </c>
      <c r="DJ478" s="346">
        <f t="shared" si="133"/>
        <v>3.4416360223454472</v>
      </c>
      <c r="DK478" s="346">
        <f t="shared" si="133"/>
        <v>4.4605720623488603</v>
      </c>
      <c r="DL478" s="346">
        <f t="shared" si="133"/>
        <v>4.323921341395045</v>
      </c>
      <c r="DM478" s="346">
        <f t="shared" si="133"/>
        <v>4.4506874025273158</v>
      </c>
      <c r="DN478" s="348">
        <f t="shared" si="133"/>
        <v>4.8543761751631944</v>
      </c>
      <c r="DO478" s="346">
        <f t="shared" si="133"/>
        <v>4.2100352389999998</v>
      </c>
      <c r="DP478" s="346">
        <f t="shared" si="133"/>
        <v>4.7292607860000002</v>
      </c>
      <c r="DQ478" s="346">
        <f t="shared" si="133"/>
        <v>4.5348889149999998</v>
      </c>
      <c r="DR478" s="346">
        <f t="shared" si="133"/>
        <v>4.5728444550000003</v>
      </c>
      <c r="DS478" s="346">
        <f t="shared" si="133"/>
        <v>4.6977235139999998</v>
      </c>
      <c r="DT478" s="346">
        <f t="shared" si="133"/>
        <v>5.0698929380000006</v>
      </c>
      <c r="DU478" s="346">
        <f t="shared" si="133"/>
        <v>4.2996662830000005</v>
      </c>
      <c r="DV478" s="346">
        <f t="shared" si="133"/>
        <v>3.9995880489999998</v>
      </c>
      <c r="DW478" s="346">
        <f t="shared" si="133"/>
        <v>4.8474488789999999</v>
      </c>
      <c r="DX478" s="346">
        <f t="shared" si="133"/>
        <v>4.2868019019999997</v>
      </c>
      <c r="DY478" s="346">
        <f t="shared" si="133"/>
        <v>4.6022513700000003</v>
      </c>
      <c r="DZ478" s="348">
        <f t="shared" si="133"/>
        <v>4.9582367879999998</v>
      </c>
      <c r="EA478" s="346">
        <f t="shared" si="133"/>
        <v>4.520430459</v>
      </c>
      <c r="EB478" s="346">
        <f t="shared" si="133"/>
        <v>5.0625106190000002</v>
      </c>
      <c r="EC478" s="346">
        <f t="shared" si="133"/>
        <v>4.7199139370000003</v>
      </c>
      <c r="ED478" s="346">
        <f t="shared" si="133"/>
        <v>4.8417606625999996</v>
      </c>
      <c r="EE478" s="346">
        <f t="shared" si="133"/>
        <v>4.7260477608600002</v>
      </c>
      <c r="EF478" s="346">
        <f t="shared" si="133"/>
        <v>5.1768939316299996</v>
      </c>
      <c r="EG478" s="346">
        <f t="shared" si="133"/>
        <v>4.4834859614499996</v>
      </c>
      <c r="EH478" s="346">
        <f t="shared" si="133"/>
        <v>4.6059811399699999</v>
      </c>
      <c r="EI478" s="346">
        <f t="shared" si="133"/>
        <v>4.9723666920599996</v>
      </c>
      <c r="EJ478" s="346">
        <f t="shared" si="133"/>
        <v>4.39499787994</v>
      </c>
      <c r="EK478" s="346">
        <f t="shared" si="133"/>
        <v>5.0229084720100037</v>
      </c>
      <c r="EL478" s="348">
        <f t="shared" si="133"/>
        <v>5.1794413980600007</v>
      </c>
      <c r="EM478" s="346">
        <f t="shared" si="133"/>
        <v>4.8670233170000001</v>
      </c>
      <c r="EN478" s="346">
        <f t="shared" si="133"/>
        <v>5.6813138099999998</v>
      </c>
      <c r="EO478" s="346">
        <f t="shared" si="133"/>
        <v>5.2733161179999994</v>
      </c>
      <c r="EP478" s="346">
        <f t="shared" si="133"/>
        <v>4.6556355687766668</v>
      </c>
      <c r="EQ478" s="346">
        <f t="shared" si="133"/>
        <v>4.8682870597766676</v>
      </c>
      <c r="ER478" s="346">
        <f t="shared" si="133"/>
        <v>5.301916762776667</v>
      </c>
      <c r="ES478" s="346">
        <f t="shared" si="133"/>
        <v>4.3993558840000002</v>
      </c>
      <c r="ET478" s="346">
        <f t="shared" si="133"/>
        <v>5.2271274060000001</v>
      </c>
      <c r="EU478" s="346">
        <f t="shared" si="133"/>
        <v>5.2679348280000005</v>
      </c>
      <c r="EV478" s="346">
        <f t="shared" si="133"/>
        <v>5.0488385649999996</v>
      </c>
      <c r="EW478" s="346">
        <f t="shared" si="133"/>
        <v>6.0428032189999996</v>
      </c>
      <c r="EX478" s="348">
        <f t="shared" si="133"/>
        <v>5.0703561926700003</v>
      </c>
      <c r="EY478" s="346"/>
      <c r="EZ478" s="346"/>
      <c r="FA478" s="346"/>
      <c r="FB478" s="346"/>
      <c r="FC478" s="346"/>
      <c r="FD478" s="346"/>
      <c r="FE478" s="346"/>
      <c r="FF478" s="346"/>
      <c r="FG478" s="346"/>
      <c r="FH478" s="346"/>
      <c r="FI478" s="346"/>
      <c r="FJ478" s="348"/>
      <c r="FK478" s="346"/>
      <c r="FL478" s="346"/>
      <c r="FM478" s="346"/>
      <c r="FN478" s="346"/>
      <c r="FO478" s="346"/>
      <c r="FP478" s="346"/>
      <c r="FQ478" s="346"/>
      <c r="FR478" s="346"/>
      <c r="FS478" s="346"/>
      <c r="FT478" s="346"/>
      <c r="FU478" s="346"/>
      <c r="FV478" s="346"/>
      <c r="FW478" s="346"/>
      <c r="FX478" s="346"/>
      <c r="FY478" s="346"/>
      <c r="FZ478" s="346"/>
      <c r="GA478" s="346"/>
      <c r="GB478" s="346"/>
      <c r="GC478" s="346"/>
      <c r="GD478" s="346"/>
      <c r="GE478" s="346"/>
      <c r="GF478" s="346"/>
      <c r="GG478" s="346"/>
      <c r="GH478" s="346"/>
      <c r="GI478" s="346"/>
      <c r="GJ478" s="346"/>
      <c r="GK478" s="346"/>
      <c r="GL478" s="346"/>
      <c r="GM478" s="346"/>
      <c r="GN478" s="346"/>
      <c r="GO478" s="346"/>
      <c r="GP478" s="346"/>
      <c r="GQ478" s="346"/>
      <c r="GR478" s="346"/>
      <c r="GS478" s="346"/>
      <c r="GT478" s="346"/>
      <c r="GU478" s="346"/>
      <c r="GV478" s="346"/>
      <c r="GW478" s="346"/>
      <c r="GX478" s="346"/>
      <c r="GY478" s="346"/>
      <c r="GZ478" s="346"/>
      <c r="HA478" s="346"/>
      <c r="HB478" s="346"/>
      <c r="HC478" s="346"/>
      <c r="HD478" s="346"/>
      <c r="HE478" s="346"/>
      <c r="HF478" s="346"/>
      <c r="HG478" s="346"/>
      <c r="HH478" s="346"/>
      <c r="HI478" s="346"/>
      <c r="HJ478" s="346"/>
      <c r="HK478" s="346"/>
      <c r="HL478" s="346"/>
      <c r="HM478" s="346"/>
      <c r="HN478" s="349"/>
      <c r="HO478" s="351" t="s">
        <v>842</v>
      </c>
      <c r="HP478" s="351"/>
      <c r="HQ478" s="351"/>
      <c r="HR478" s="346">
        <f>+FISC!Z684</f>
        <v>0</v>
      </c>
      <c r="HS478" s="302">
        <f t="shared" si="93"/>
        <v>13.278605749792805</v>
      </c>
      <c r="HT478" s="302">
        <f t="shared" si="94"/>
        <v>12.587091518106444</v>
      </c>
      <c r="HU478" s="346">
        <f t="shared" si="97"/>
        <v>25.86569726789925</v>
      </c>
      <c r="HV478" s="302">
        <f t="shared" si="98"/>
        <v>20.983557071</v>
      </c>
      <c r="HW478" s="302">
        <f t="shared" si="99"/>
        <v>24.976526410000005</v>
      </c>
      <c r="HX478" s="346">
        <f t="shared" si="100"/>
        <v>45.960083481000005</v>
      </c>
      <c r="HY478" s="302">
        <f t="shared" si="101"/>
        <v>27.814645847000001</v>
      </c>
      <c r="HZ478" s="302">
        <f t="shared" si="102"/>
        <v>26.993993271000001</v>
      </c>
      <c r="IA478" s="346">
        <f t="shared" si="103"/>
        <v>54.808639118000002</v>
      </c>
      <c r="IB478" s="302">
        <v>29.047557370090001</v>
      </c>
      <c r="IC478" s="302">
        <f>+ID478-IB478</f>
        <v>28.659181542909995</v>
      </c>
      <c r="ID478" s="346">
        <f>FISC!AC684</f>
        <v>57.706738912999995</v>
      </c>
      <c r="IE478" s="302">
        <f t="shared" si="104"/>
        <v>30.647492636330004</v>
      </c>
      <c r="IF478" s="302">
        <f t="shared" si="105"/>
        <v>31.056416094670002</v>
      </c>
      <c r="IG478" s="346">
        <f t="shared" si="106"/>
        <v>61.703908731000006</v>
      </c>
      <c r="IH478" s="302">
        <f>+IJ478/2</f>
        <v>29.61985426272544</v>
      </c>
      <c r="II478" s="302">
        <f>+IJ478-IH478</f>
        <v>29.61985426272544</v>
      </c>
      <c r="IJ478" s="346">
        <f>+FISC!AE684</f>
        <v>59.23970852545088</v>
      </c>
      <c r="IK478" s="350">
        <f>IM478/2</f>
        <v>83.2368535988318</v>
      </c>
      <c r="IL478" s="302">
        <f t="shared" si="85"/>
        <v>83.2368535988318</v>
      </c>
      <c r="IM478" s="346">
        <f>+FISC!AF684</f>
        <v>166.4737071976636</v>
      </c>
      <c r="IN478" s="350">
        <f>IP478/2</f>
        <v>-525.08333764958741</v>
      </c>
      <c r="IO478" s="302">
        <f t="shared" si="73"/>
        <v>-525.08333764958741</v>
      </c>
      <c r="IP478" s="346">
        <f>+FISC!AG684</f>
        <v>-1050.1666752991748</v>
      </c>
      <c r="IQ478" s="350">
        <f>IS478/2</f>
        <v>65.753094984684282</v>
      </c>
      <c r="IR478" s="302">
        <f t="shared" si="74"/>
        <v>65.753094984684282</v>
      </c>
      <c r="IS478" s="346">
        <f>+FISC!AH684</f>
        <v>131.50618996936856</v>
      </c>
      <c r="IT478" s="350">
        <f>IV478/2</f>
        <v>68.337565100574551</v>
      </c>
      <c r="IU478" s="302">
        <f t="shared" si="75"/>
        <v>68.337565100574551</v>
      </c>
      <c r="IV478" s="346">
        <f>+FISC!AI684</f>
        <v>136.6751302011491</v>
      </c>
      <c r="IW478" s="350">
        <f>IY478/2</f>
        <v>0</v>
      </c>
      <c r="IX478" s="302">
        <f t="shared" si="76"/>
        <v>0</v>
      </c>
      <c r="IY478" s="346">
        <f>+FISC!AJ684</f>
        <v>0</v>
      </c>
      <c r="IZ478" s="350">
        <f>JB478/2</f>
        <v>0</v>
      </c>
      <c r="JA478" s="302">
        <f t="shared" si="77"/>
        <v>0</v>
      </c>
      <c r="JB478" s="346">
        <f>+FISC!AK684</f>
        <v>0</v>
      </c>
      <c r="JC478" s="346"/>
      <c r="KI478" s="349"/>
      <c r="KJ478" s="350"/>
    </row>
    <row r="479" spans="2:302">
      <c r="D479" s="351"/>
      <c r="E479" s="346"/>
      <c r="F479" s="346"/>
      <c r="G479" s="346"/>
      <c r="H479" s="346"/>
      <c r="I479" s="346"/>
      <c r="J479" s="346"/>
      <c r="K479" s="346"/>
      <c r="L479" s="346"/>
      <c r="M479" s="346"/>
      <c r="N479" s="346"/>
      <c r="O479" s="346"/>
      <c r="P479" s="346"/>
      <c r="Q479" s="346"/>
      <c r="R479" s="346"/>
      <c r="S479" s="346"/>
      <c r="T479" s="346"/>
      <c r="U479" s="346"/>
      <c r="V479" s="346"/>
      <c r="W479" s="346"/>
      <c r="X479" s="346"/>
      <c r="Y479" s="346"/>
      <c r="Z479" s="346"/>
      <c r="AA479" s="346"/>
      <c r="AB479" s="346"/>
      <c r="AC479" s="346"/>
      <c r="AD479" s="346"/>
      <c r="AE479" s="346"/>
      <c r="AF479" s="346"/>
      <c r="AG479" s="346"/>
      <c r="AH479" s="346"/>
      <c r="AI479" s="346"/>
      <c r="AJ479" s="346"/>
      <c r="AK479" s="346"/>
      <c r="AL479" s="346"/>
      <c r="AM479" s="346"/>
      <c r="AN479" s="346"/>
      <c r="AO479" s="346"/>
      <c r="AP479" s="346"/>
      <c r="AQ479" s="346"/>
      <c r="AR479" s="346"/>
      <c r="AS479" s="346"/>
      <c r="AT479" s="346"/>
      <c r="AU479" s="346"/>
      <c r="AV479" s="346"/>
      <c r="AW479" s="346"/>
      <c r="AX479" s="346"/>
      <c r="AY479" s="346"/>
      <c r="AZ479" s="346"/>
      <c r="BA479" s="346"/>
      <c r="BB479" s="346"/>
      <c r="BC479" s="346"/>
      <c r="BD479" s="346"/>
      <c r="BE479" s="346"/>
      <c r="BF479" s="346"/>
      <c r="BG479" s="346"/>
      <c r="BH479" s="346"/>
      <c r="BI479" s="346"/>
      <c r="BJ479" s="346"/>
      <c r="BK479" s="346"/>
      <c r="BL479" s="346"/>
      <c r="BM479" s="346"/>
      <c r="BN479" s="346"/>
      <c r="BO479" s="346"/>
      <c r="BP479" s="346"/>
      <c r="BQ479" s="346"/>
      <c r="BR479" s="346"/>
      <c r="BS479" s="346"/>
      <c r="BT479" s="346"/>
      <c r="BU479" s="346"/>
      <c r="BV479" s="346"/>
      <c r="BW479" s="346"/>
      <c r="BX479" s="346"/>
      <c r="BY479" s="346"/>
      <c r="BZ479" s="346"/>
      <c r="CA479" s="346"/>
      <c r="CB479" s="346"/>
      <c r="CC479" s="346"/>
      <c r="CD479" s="346"/>
      <c r="CE479" s="347"/>
      <c r="CF479" s="346"/>
      <c r="CG479" s="346"/>
      <c r="CH479" s="346"/>
      <c r="CI479" s="346"/>
      <c r="CJ479" s="346"/>
      <c r="CK479" s="346"/>
      <c r="CL479" s="346"/>
      <c r="CM479" s="346"/>
      <c r="CN479" s="346"/>
      <c r="CO479" s="346"/>
      <c r="CP479" s="348"/>
      <c r="CQ479" s="346"/>
      <c r="CR479" s="346"/>
      <c r="CS479" s="346"/>
      <c r="CT479" s="346"/>
      <c r="CU479" s="346"/>
      <c r="CV479" s="346"/>
      <c r="CW479" s="346"/>
      <c r="CX479" s="346"/>
      <c r="CY479" s="346"/>
      <c r="CZ479" s="346"/>
      <c r="DA479" s="346"/>
      <c r="DB479" s="1479"/>
      <c r="DC479" s="346"/>
      <c r="DD479" s="346"/>
      <c r="DE479" s="346"/>
      <c r="DF479" s="346"/>
      <c r="DG479" s="346"/>
      <c r="DH479" s="346"/>
      <c r="DI479" s="346"/>
      <c r="DJ479" s="346"/>
      <c r="DK479" s="346"/>
      <c r="DL479" s="346"/>
      <c r="DM479" s="346"/>
      <c r="DN479" s="348"/>
      <c r="DO479" s="346"/>
      <c r="DP479" s="346"/>
      <c r="DQ479" s="346"/>
      <c r="DR479" s="346"/>
      <c r="DS479" s="346"/>
      <c r="DT479" s="346"/>
      <c r="DU479" s="346"/>
      <c r="DV479" s="346"/>
      <c r="DW479" s="346"/>
      <c r="DX479" s="346"/>
      <c r="DY479" s="346"/>
      <c r="DZ479" s="348"/>
      <c r="EA479" s="346"/>
      <c r="EB479" s="346"/>
      <c r="EC479" s="346"/>
      <c r="ED479" s="346"/>
      <c r="EE479" s="346"/>
      <c r="EF479" s="346"/>
      <c r="EG479" s="346"/>
      <c r="EH479" s="346"/>
      <c r="EI479" s="346"/>
      <c r="EJ479" s="346"/>
      <c r="EK479" s="346"/>
      <c r="EL479" s="348"/>
      <c r="EM479" s="346"/>
      <c r="EN479" s="346"/>
      <c r="EO479" s="346"/>
      <c r="EP479" s="346"/>
      <c r="EQ479" s="346"/>
      <c r="ER479" s="346"/>
      <c r="ES479" s="346"/>
      <c r="ET479" s="346"/>
      <c r="EU479" s="346"/>
      <c r="EV479" s="346"/>
      <c r="EW479" s="346"/>
      <c r="EX479" s="348"/>
      <c r="EY479" s="346"/>
      <c r="EZ479" s="346"/>
      <c r="FA479" s="346"/>
      <c r="FB479" s="346"/>
      <c r="FC479" s="346"/>
      <c r="FD479" s="346"/>
      <c r="FE479" s="346"/>
      <c r="FF479" s="346"/>
      <c r="FG479" s="346"/>
      <c r="FH479" s="346"/>
      <c r="FI479" s="346"/>
      <c r="FJ479" s="348"/>
      <c r="FK479" s="346"/>
      <c r="FL479" s="346"/>
      <c r="FM479" s="346"/>
      <c r="FN479" s="346"/>
      <c r="FO479" s="346"/>
      <c r="FP479" s="346"/>
      <c r="FQ479" s="346"/>
      <c r="FR479" s="346"/>
      <c r="FS479" s="346"/>
      <c r="FT479" s="346"/>
      <c r="FU479" s="346"/>
      <c r="FV479" s="346"/>
      <c r="FW479" s="346"/>
      <c r="FX479" s="346"/>
      <c r="FY479" s="346"/>
      <c r="FZ479" s="346"/>
      <c r="GA479" s="346"/>
      <c r="GB479" s="346"/>
      <c r="GC479" s="346"/>
      <c r="GD479" s="346"/>
      <c r="GE479" s="346"/>
      <c r="GF479" s="346"/>
      <c r="GG479" s="346"/>
      <c r="GH479" s="346"/>
      <c r="GI479" s="346"/>
      <c r="GJ479" s="346"/>
      <c r="GK479" s="346"/>
      <c r="GL479" s="346"/>
      <c r="GM479" s="346"/>
      <c r="GN479" s="346"/>
      <c r="GO479" s="346"/>
      <c r="GP479" s="346"/>
      <c r="GQ479" s="346"/>
      <c r="GR479" s="346"/>
      <c r="GS479" s="346"/>
      <c r="GT479" s="346"/>
      <c r="GU479" s="346"/>
      <c r="GV479" s="346"/>
      <c r="GW479" s="346"/>
      <c r="GX479" s="346"/>
      <c r="GY479" s="346"/>
      <c r="GZ479" s="346"/>
      <c r="HA479" s="346"/>
      <c r="HB479" s="346"/>
      <c r="HC479" s="346"/>
      <c r="HD479" s="346"/>
      <c r="HE479" s="346"/>
      <c r="HF479" s="346"/>
      <c r="HG479" s="346"/>
      <c r="HH479" s="346"/>
      <c r="HI479" s="346"/>
      <c r="HJ479" s="346"/>
      <c r="HK479" s="346"/>
      <c r="HL479" s="346"/>
      <c r="HM479" s="346"/>
      <c r="HN479" s="349"/>
      <c r="HO479" s="351"/>
      <c r="HP479" s="351"/>
      <c r="HQ479" s="351"/>
      <c r="HR479" s="346"/>
      <c r="HU479" s="346"/>
      <c r="HX479" s="346"/>
      <c r="IA479" s="346"/>
      <c r="ID479" s="346">
        <f>FISC!AC685</f>
        <v>0</v>
      </c>
      <c r="IE479" s="302">
        <f t="shared" si="104"/>
        <v>0</v>
      </c>
      <c r="IF479" s="302">
        <f t="shared" si="105"/>
        <v>0</v>
      </c>
      <c r="IG479" s="346">
        <f>IE479+IF479</f>
        <v>0</v>
      </c>
      <c r="IH479" s="350"/>
      <c r="II479" s="350"/>
      <c r="IJ479" s="346"/>
      <c r="IK479" s="302">
        <f>IM479*JI479</f>
        <v>0</v>
      </c>
      <c r="IL479" s="302">
        <f t="shared" si="85"/>
        <v>0</v>
      </c>
      <c r="IM479" s="346"/>
      <c r="IN479" s="302">
        <f>IP479*JI479</f>
        <v>0</v>
      </c>
      <c r="IO479" s="302">
        <f t="shared" si="73"/>
        <v>0</v>
      </c>
      <c r="IP479" s="346"/>
      <c r="IQ479" s="302">
        <f>IS479*JI479</f>
        <v>0</v>
      </c>
      <c r="IR479" s="302">
        <f t="shared" si="74"/>
        <v>0</v>
      </c>
      <c r="IS479" s="346"/>
      <c r="IT479" s="302">
        <f>IV479*JI479</f>
        <v>0</v>
      </c>
      <c r="IU479" s="302">
        <f t="shared" si="75"/>
        <v>0</v>
      </c>
      <c r="IV479" s="346"/>
      <c r="IW479" s="302">
        <f>IY479*JL479</f>
        <v>0</v>
      </c>
      <c r="IX479" s="302">
        <f t="shared" si="76"/>
        <v>0</v>
      </c>
      <c r="IY479" s="346"/>
      <c r="IZ479" s="302">
        <f>JB479*JO479</f>
        <v>0</v>
      </c>
      <c r="JA479" s="302">
        <f t="shared" si="77"/>
        <v>0</v>
      </c>
      <c r="JB479" s="346"/>
      <c r="JC479" s="346"/>
      <c r="KI479" s="349"/>
      <c r="KJ479" s="350"/>
    </row>
    <row r="480" spans="2:302">
      <c r="B480" s="117" t="s">
        <v>361</v>
      </c>
      <c r="D480" s="345" t="str">
        <f>+FISC!D686</f>
        <v>Taxes on international trade</v>
      </c>
      <c r="E480" s="346">
        <v>2.2593000000000001</v>
      </c>
      <c r="F480" s="346">
        <v>2.0148999999999999</v>
      </c>
      <c r="G480" s="346">
        <v>2.6955999999999998</v>
      </c>
      <c r="H480" s="346">
        <v>3.0237999999999996</v>
      </c>
      <c r="I480" s="346">
        <v>2.7294999999999998</v>
      </c>
      <c r="J480" s="346">
        <v>2.6869000000000001</v>
      </c>
      <c r="K480" s="346">
        <v>2.3318000000000003</v>
      </c>
      <c r="L480" s="346">
        <v>3.2033</v>
      </c>
      <c r="M480" s="346">
        <v>2.4158000000000004</v>
      </c>
      <c r="N480" s="346">
        <v>2.4990999999999999</v>
      </c>
      <c r="O480" s="346">
        <v>2.5836000000000001</v>
      </c>
      <c r="P480" s="346">
        <v>2.5763999999999996</v>
      </c>
      <c r="Q480" s="346">
        <v>2.6505999999999998</v>
      </c>
      <c r="R480" s="346">
        <v>2.6443000000000003</v>
      </c>
      <c r="S480" s="346">
        <v>3.4626999999999999</v>
      </c>
      <c r="T480" s="346">
        <v>2.8732000000000002</v>
      </c>
      <c r="U480" s="346">
        <v>3.4509000000000003</v>
      </c>
      <c r="V480" s="346">
        <v>3.4799000000000002</v>
      </c>
      <c r="W480" s="346">
        <v>3.5015999999999998</v>
      </c>
      <c r="X480" s="346">
        <v>3.6949000000000001</v>
      </c>
      <c r="Y480" s="346">
        <v>4.0191999999999997</v>
      </c>
      <c r="Z480" s="346">
        <v>4.2493999999999996</v>
      </c>
      <c r="AA480" s="346">
        <v>4.2018999999999993</v>
      </c>
      <c r="AB480" s="346">
        <v>5.6950000000000003</v>
      </c>
      <c r="AC480" s="346">
        <v>3.7675000000000001</v>
      </c>
      <c r="AD480" s="346">
        <v>4.6877999999999993</v>
      </c>
      <c r="AE480" s="346">
        <v>5.0786000000000007</v>
      </c>
      <c r="AF480" s="346">
        <v>4.4198000000000004</v>
      </c>
      <c r="AG480" s="346">
        <v>3.8992999999999998</v>
      </c>
      <c r="AH480" s="346">
        <v>4.7658000000000005</v>
      </c>
      <c r="AI480" s="346">
        <v>2.9855999999999998</v>
      </c>
      <c r="AJ480" s="346">
        <v>2.6494</v>
      </c>
      <c r="AK480" s="346">
        <v>1.9910999999999999</v>
      </c>
      <c r="AL480" s="346">
        <v>2.9409999999999998</v>
      </c>
      <c r="AM480" s="346">
        <v>3.1635</v>
      </c>
      <c r="AN480" s="346">
        <v>2.3130000000000002</v>
      </c>
      <c r="AO480" s="346">
        <v>2.8007</v>
      </c>
      <c r="AP480" s="346">
        <v>2.222</v>
      </c>
      <c r="AQ480" s="346">
        <v>3.5944000000000003</v>
      </c>
      <c r="AR480" s="346">
        <v>2.5757999999999996</v>
      </c>
      <c r="AS480" s="346">
        <v>2.1346999999999996</v>
      </c>
      <c r="AT480" s="346">
        <v>2.7659000000000002</v>
      </c>
      <c r="AU480" s="346">
        <v>2.6834000000000002</v>
      </c>
      <c r="AV480" s="346">
        <v>2.8464</v>
      </c>
      <c r="AW480" s="346">
        <v>3.226</v>
      </c>
      <c r="AX480" s="346">
        <v>2.3008999999999999</v>
      </c>
      <c r="AY480" s="346">
        <v>3.4775</v>
      </c>
      <c r="AZ480" s="346">
        <v>3.3310999999999997</v>
      </c>
      <c r="BA480" s="346">
        <v>4.1364999999999998</v>
      </c>
      <c r="BB480" s="346">
        <v>2.36</v>
      </c>
      <c r="BC480" s="346">
        <v>4.4958</v>
      </c>
      <c r="BD480" s="346">
        <v>2.9993000000000003</v>
      </c>
      <c r="BE480" s="346">
        <v>2.5949</v>
      </c>
      <c r="BF480" s="346">
        <v>3.3083999999999998</v>
      </c>
      <c r="BG480" s="346">
        <v>2.6107166510000002</v>
      </c>
      <c r="BH480" s="346">
        <v>4.5082279999999999</v>
      </c>
      <c r="BI480" s="346">
        <v>2.9528000000000003</v>
      </c>
      <c r="BJ480" s="346">
        <v>2.6674000000000002</v>
      </c>
      <c r="BK480" s="346">
        <v>3.8698399999999999</v>
      </c>
      <c r="BL480" s="346">
        <v>4.15334</v>
      </c>
      <c r="BM480" s="346">
        <v>4.1672999999999991</v>
      </c>
      <c r="BN480" s="346">
        <v>3.8741000000000003</v>
      </c>
      <c r="BO480" s="346">
        <v>4.0420999999999996</v>
      </c>
      <c r="BP480" s="346">
        <v>4.1261999999999999</v>
      </c>
      <c r="BQ480" s="346">
        <v>5.0997000000000003</v>
      </c>
      <c r="BR480" s="346">
        <v>3.8818000000000001</v>
      </c>
      <c r="BS480" s="346">
        <v>5.6673</v>
      </c>
      <c r="BT480" s="346">
        <v>6.6608000000000001</v>
      </c>
      <c r="BU480" s="346">
        <v>4.3363999999999994</v>
      </c>
      <c r="BV480" s="346">
        <v>3.843894852</v>
      </c>
      <c r="BW480" s="346">
        <v>3.7201749240000002</v>
      </c>
      <c r="BX480" s="346">
        <v>3.76540696</v>
      </c>
      <c r="BY480" s="346">
        <v>4.0547086649999997</v>
      </c>
      <c r="BZ480" s="346">
        <v>3.2822493419999996</v>
      </c>
      <c r="CA480" s="346">
        <v>3.21077587</v>
      </c>
      <c r="CB480" s="346">
        <v>3.2065292360000002</v>
      </c>
      <c r="CC480" s="346">
        <v>3.6739556950000001</v>
      </c>
      <c r="CD480" s="346">
        <v>4.4572365920000001</v>
      </c>
      <c r="CE480" s="347">
        <f t="shared" ref="CE480:DJ480" si="134">CE193</f>
        <v>3.9393244790000002</v>
      </c>
      <c r="CF480" s="346">
        <f t="shared" si="134"/>
        <v>3.8202676950000001</v>
      </c>
      <c r="CG480" s="346">
        <f t="shared" si="134"/>
        <v>4.3750961170000009</v>
      </c>
      <c r="CH480" s="346">
        <f t="shared" si="134"/>
        <v>4.9460916490000004</v>
      </c>
      <c r="CI480" s="346">
        <f t="shared" si="134"/>
        <v>4.5951193520000002</v>
      </c>
      <c r="CJ480" s="346">
        <f t="shared" si="134"/>
        <v>4.8533161430000007</v>
      </c>
      <c r="CK480" s="346">
        <f t="shared" si="134"/>
        <v>5.2829806130000003</v>
      </c>
      <c r="CL480" s="346">
        <f t="shared" si="134"/>
        <v>4.6631892639999997</v>
      </c>
      <c r="CM480" s="346">
        <f t="shared" si="134"/>
        <v>4.853641917</v>
      </c>
      <c r="CN480" s="346">
        <f t="shared" si="134"/>
        <v>4.6720987699999998</v>
      </c>
      <c r="CO480" s="346">
        <f t="shared" si="134"/>
        <v>5.1804120569999998</v>
      </c>
      <c r="CP480" s="348">
        <f t="shared" si="134"/>
        <v>6.6748379409999998</v>
      </c>
      <c r="CQ480" s="346">
        <f t="shared" si="134"/>
        <v>4.4563394450000002</v>
      </c>
      <c r="CR480" s="346">
        <f t="shared" si="134"/>
        <v>4.3919501279999995</v>
      </c>
      <c r="CS480" s="346">
        <f t="shared" si="134"/>
        <v>5.0807098110000002</v>
      </c>
      <c r="CT480" s="346">
        <f t="shared" si="134"/>
        <v>4.5882690229999996</v>
      </c>
      <c r="CU480" s="346">
        <f t="shared" si="134"/>
        <v>5.1776039040000006</v>
      </c>
      <c r="CV480" s="346">
        <f t="shared" si="134"/>
        <v>5.0770663970000003</v>
      </c>
      <c r="CW480" s="346">
        <f t="shared" si="134"/>
        <v>5.7757457929999996</v>
      </c>
      <c r="CX480" s="346">
        <f t="shared" si="134"/>
        <v>5.1678418309999996</v>
      </c>
      <c r="CY480" s="346">
        <f t="shared" si="134"/>
        <v>5.3520139840000001</v>
      </c>
      <c r="CZ480" s="346">
        <f t="shared" si="134"/>
        <v>5.4402056289999994</v>
      </c>
      <c r="DA480" s="346">
        <f t="shared" si="134"/>
        <v>6.3478676700000003</v>
      </c>
      <c r="DB480" s="1479">
        <f t="shared" si="134"/>
        <v>6.5963300519999999</v>
      </c>
      <c r="DC480" s="346">
        <f t="shared" si="134"/>
        <v>5.4445769111376707</v>
      </c>
      <c r="DD480" s="346">
        <f t="shared" si="134"/>
        <v>5.805323652966166</v>
      </c>
      <c r="DE480" s="346">
        <f t="shared" si="134"/>
        <v>6.8912519040461664</v>
      </c>
      <c r="DF480" s="346">
        <f t="shared" si="134"/>
        <v>7.8815760578910536</v>
      </c>
      <c r="DG480" s="346">
        <f t="shared" si="134"/>
        <v>6.9713311465128545</v>
      </c>
      <c r="DH480" s="346">
        <f t="shared" si="134"/>
        <v>8.1799067232881555</v>
      </c>
      <c r="DI480" s="346">
        <f t="shared" si="134"/>
        <v>6.5955284107216379</v>
      </c>
      <c r="DJ480" s="346">
        <f t="shared" si="134"/>
        <v>6.6938668656392997</v>
      </c>
      <c r="DK480" s="346">
        <f t="shared" ref="DK480:EP480" si="135">DK193</f>
        <v>7.0590422128204722</v>
      </c>
      <c r="DL480" s="346">
        <f t="shared" si="135"/>
        <v>7.087590191428438</v>
      </c>
      <c r="DM480" s="346">
        <f t="shared" si="135"/>
        <v>7.4229804772847547</v>
      </c>
      <c r="DN480" s="348">
        <f t="shared" si="135"/>
        <v>7.8521124858999043</v>
      </c>
      <c r="DO480" s="346">
        <f t="shared" si="135"/>
        <v>6.5610445010000005</v>
      </c>
      <c r="DP480" s="346">
        <f t="shared" si="135"/>
        <v>7.3270348959999998</v>
      </c>
      <c r="DQ480" s="346">
        <f t="shared" si="135"/>
        <v>7.2908090130000005</v>
      </c>
      <c r="DR480" s="346">
        <f t="shared" si="135"/>
        <v>6.6548213110000001</v>
      </c>
      <c r="DS480" s="346">
        <f t="shared" si="135"/>
        <v>7.0344070729999997</v>
      </c>
      <c r="DT480" s="346">
        <f t="shared" si="135"/>
        <v>7.9401631290000001</v>
      </c>
      <c r="DU480" s="346">
        <f t="shared" si="135"/>
        <v>7.2879551160000009</v>
      </c>
      <c r="DV480" s="346">
        <f t="shared" si="135"/>
        <v>6.9474123759999991</v>
      </c>
      <c r="DW480" s="346">
        <f t="shared" si="135"/>
        <v>8.5377774140000007</v>
      </c>
      <c r="DX480" s="346">
        <f t="shared" si="135"/>
        <v>7.1242365200000002</v>
      </c>
      <c r="DY480" s="346">
        <f t="shared" si="135"/>
        <v>9.4087535320000004</v>
      </c>
      <c r="DZ480" s="348">
        <f t="shared" si="135"/>
        <v>9.0894584079999987</v>
      </c>
      <c r="EA480" s="346">
        <f t="shared" si="135"/>
        <v>7.1439643850000003</v>
      </c>
      <c r="EB480" s="346">
        <f t="shared" si="135"/>
        <v>7.3806015580000004</v>
      </c>
      <c r="EC480" s="346">
        <f t="shared" si="135"/>
        <v>8.2485887610000006</v>
      </c>
      <c r="ED480" s="346">
        <f t="shared" si="135"/>
        <v>8.7947602640000007</v>
      </c>
      <c r="EE480" s="346">
        <f t="shared" si="135"/>
        <v>7.7643052749999999</v>
      </c>
      <c r="EF480" s="346">
        <f t="shared" si="135"/>
        <v>9.0628797320000007</v>
      </c>
      <c r="EG480" s="346">
        <f t="shared" si="135"/>
        <v>9.2121257239999998</v>
      </c>
      <c r="EH480" s="346">
        <f t="shared" si="135"/>
        <v>7.2475529339999998</v>
      </c>
      <c r="EI480" s="346">
        <f t="shared" si="135"/>
        <v>8.6403218250000009</v>
      </c>
      <c r="EJ480" s="346">
        <f t="shared" si="135"/>
        <v>7.3190470420000002</v>
      </c>
      <c r="EK480" s="346">
        <f t="shared" si="135"/>
        <v>8.6909410600000001</v>
      </c>
      <c r="EL480" s="348">
        <f t="shared" si="135"/>
        <v>8.626191575</v>
      </c>
      <c r="EM480" s="346">
        <f t="shared" si="135"/>
        <v>8.0683065989999996</v>
      </c>
      <c r="EN480" s="346">
        <f t="shared" si="135"/>
        <v>9.4906773229999999</v>
      </c>
      <c r="EO480" s="346">
        <f t="shared" si="135"/>
        <v>7.7190137739999996</v>
      </c>
      <c r="EP480" s="346">
        <f t="shared" si="135"/>
        <v>8.2399675400000003</v>
      </c>
      <c r="EQ480" s="346">
        <f t="shared" ref="EQ480:EX480" si="136">EQ193</f>
        <v>9.2015794169999996</v>
      </c>
      <c r="ER480" s="346">
        <f t="shared" si="136"/>
        <v>10.894658637999999</v>
      </c>
      <c r="ES480" s="346">
        <f t="shared" si="136"/>
        <v>10.091343062856238</v>
      </c>
      <c r="ET480" s="346">
        <f t="shared" si="136"/>
        <v>9.3960448855626328</v>
      </c>
      <c r="EU480" s="346">
        <f t="shared" si="136"/>
        <v>8.9297695994327615</v>
      </c>
      <c r="EV480" s="346">
        <f t="shared" si="136"/>
        <v>10.472205665552421</v>
      </c>
      <c r="EW480" s="346">
        <f t="shared" si="136"/>
        <v>9.9040917576417105</v>
      </c>
      <c r="EX480" s="348">
        <f t="shared" si="136"/>
        <v>9.3201618568994924</v>
      </c>
      <c r="EY480" s="346"/>
      <c r="EZ480" s="346"/>
      <c r="FA480" s="346"/>
      <c r="FB480" s="346"/>
      <c r="FC480" s="346"/>
      <c r="FD480" s="346"/>
      <c r="FE480" s="346"/>
      <c r="FF480" s="346"/>
      <c r="FG480" s="346"/>
      <c r="FH480" s="346"/>
      <c r="FI480" s="346"/>
      <c r="FJ480" s="348"/>
      <c r="FK480" s="346"/>
      <c r="FL480" s="346"/>
      <c r="FM480" s="346"/>
      <c r="FN480" s="346"/>
      <c r="FO480" s="346"/>
      <c r="FP480" s="346"/>
      <c r="FQ480" s="346"/>
      <c r="FR480" s="346"/>
      <c r="FS480" s="346"/>
      <c r="FT480" s="346"/>
      <c r="FU480" s="346"/>
      <c r="FV480" s="346"/>
      <c r="FW480" s="346"/>
      <c r="FX480" s="346"/>
      <c r="FY480" s="346"/>
      <c r="FZ480" s="346"/>
      <c r="GA480" s="346"/>
      <c r="GB480" s="346"/>
      <c r="GC480" s="346"/>
      <c r="GD480" s="346"/>
      <c r="GE480" s="346"/>
      <c r="GF480" s="346"/>
      <c r="GG480" s="346"/>
      <c r="GH480" s="346"/>
      <c r="GI480" s="346"/>
      <c r="GJ480" s="346"/>
      <c r="GK480" s="346"/>
      <c r="GL480" s="346"/>
      <c r="GM480" s="346"/>
      <c r="GN480" s="346"/>
      <c r="GO480" s="346"/>
      <c r="GP480" s="346"/>
      <c r="GQ480" s="346"/>
      <c r="GR480" s="346"/>
      <c r="GS480" s="346"/>
      <c r="GT480" s="346"/>
      <c r="GU480" s="346"/>
      <c r="GV480" s="346"/>
      <c r="GW480" s="346"/>
      <c r="GX480" s="346"/>
      <c r="GY480" s="346"/>
      <c r="GZ480" s="346"/>
      <c r="HA480" s="346"/>
      <c r="HB480" s="346"/>
      <c r="HC480" s="346"/>
      <c r="HD480" s="346"/>
      <c r="HE480" s="346"/>
      <c r="HF480" s="346"/>
      <c r="HG480" s="346"/>
      <c r="HH480" s="346"/>
      <c r="HI480" s="346"/>
      <c r="HJ480" s="346"/>
      <c r="HK480" s="346"/>
      <c r="HL480" s="346"/>
      <c r="HM480" s="346"/>
      <c r="HN480" s="349"/>
      <c r="HO480" s="345" t="s">
        <v>144</v>
      </c>
      <c r="HP480" s="345"/>
      <c r="HQ480" s="345"/>
      <c r="HR480" s="346">
        <f>+FISC!Z686</f>
        <v>63.456801958</v>
      </c>
      <c r="HS480" s="302">
        <f>SUM(CQ480:CV480)</f>
        <v>28.771938708</v>
      </c>
      <c r="HT480" s="302">
        <f>SUM(CW480:DB480)</f>
        <v>34.680004958999994</v>
      </c>
      <c r="HU480" s="346">
        <f>SUM(CQ480:DB480)</f>
        <v>63.451943666999995</v>
      </c>
      <c r="HV480" s="302">
        <f>+SUM(DC480:DH480)</f>
        <v>41.173966395842065</v>
      </c>
      <c r="HW480" s="302">
        <f>+SUM(DI480:DN480)</f>
        <v>42.711120643794501</v>
      </c>
      <c r="HX480" s="346">
        <f t="shared" si="100"/>
        <v>83.885087039636574</v>
      </c>
      <c r="HY480" s="302">
        <f>+SUM(DO480:DT480)</f>
        <v>42.808279922999994</v>
      </c>
      <c r="HZ480" s="302">
        <f>SUM(DU480:DZ480)</f>
        <v>48.395593366</v>
      </c>
      <c r="IA480" s="346">
        <f t="shared" si="103"/>
        <v>91.203873289000001</v>
      </c>
      <c r="IB480" s="302">
        <f>(ID480*0.497)*0+48.395099975</f>
        <v>48.395099975000001</v>
      </c>
      <c r="IC480" s="302">
        <f>+ID480-IB480</f>
        <v>49.736180159999996</v>
      </c>
      <c r="ID480" s="346">
        <f>FISC!AC686</f>
        <v>98.131280134999997</v>
      </c>
      <c r="IE480" s="302">
        <f t="shared" si="104"/>
        <v>53.614203290999995</v>
      </c>
      <c r="IF480" s="302">
        <f t="shared" si="105"/>
        <v>58.113616827945251</v>
      </c>
      <c r="IG480" s="346">
        <f>IE480+IF480</f>
        <v>111.72782011894525</v>
      </c>
      <c r="IH480" s="350" t="e">
        <f>(IJ480*0+#REF!)*0+64.428474916</f>
        <v>#REF!</v>
      </c>
      <c r="II480" s="302" t="e">
        <f>+IJ480-IH480</f>
        <v>#REF!</v>
      </c>
      <c r="IJ480" s="346">
        <f>+FISC!AE686</f>
        <v>108.26115157472482</v>
      </c>
      <c r="IK480" s="350">
        <f>(IM480*0.4799)*0+51.414584936178</f>
        <v>51.414584936178002</v>
      </c>
      <c r="IL480" s="302">
        <f t="shared" si="85"/>
        <v>56.950807438080773</v>
      </c>
      <c r="IM480" s="346">
        <f>+FISC!AF686</f>
        <v>108.36539237425878</v>
      </c>
      <c r="IN480" s="350">
        <f>(IP480*0.4799)</f>
        <v>406.49394391645126</v>
      </c>
      <c r="IO480" s="302">
        <f t="shared" si="73"/>
        <v>440.5449056698194</v>
      </c>
      <c r="IP480" s="346">
        <f>+FISC!AG686</f>
        <v>847.03884958627066</v>
      </c>
      <c r="IQ480" s="350">
        <f>IS480*0.4799</f>
        <v>560.14159567102945</v>
      </c>
      <c r="IR480" s="302">
        <f t="shared" si="74"/>
        <v>607.06322964889034</v>
      </c>
      <c r="IS480" s="346">
        <f>+FISC!AH686</f>
        <v>1167.2048253199198</v>
      </c>
      <c r="IT480" s="350">
        <f>IV480*0.4799</f>
        <v>717.23657051797193</v>
      </c>
      <c r="IU480" s="302">
        <f t="shared" si="75"/>
        <v>777.31765019045054</v>
      </c>
      <c r="IV480" s="346">
        <f>+FISC!AI686</f>
        <v>1494.5542207084225</v>
      </c>
      <c r="IW480" s="350">
        <f>IY480*0.4799</f>
        <v>0</v>
      </c>
      <c r="IX480" s="302">
        <f t="shared" si="76"/>
        <v>0</v>
      </c>
      <c r="IY480" s="346">
        <f>+FISC!AJ686</f>
        <v>0</v>
      </c>
      <c r="IZ480" s="350">
        <f>JB480*0.4799</f>
        <v>0</v>
      </c>
      <c r="JA480" s="302">
        <f t="shared" si="77"/>
        <v>0</v>
      </c>
      <c r="JB480" s="346">
        <f>+FISC!AK686</f>
        <v>0</v>
      </c>
      <c r="JC480" s="346"/>
      <c r="KI480" s="349"/>
      <c r="KJ480" s="350"/>
    </row>
    <row r="481" spans="2:302">
      <c r="B481" s="117" t="s">
        <v>361</v>
      </c>
      <c r="D481" s="351" t="str">
        <f>+FISC!D687</f>
        <v>of which Taxes on projects expenditures (EWSA&amp;RTDA)</v>
      </c>
      <c r="E481" s="346"/>
      <c r="F481" s="346"/>
      <c r="G481" s="346"/>
      <c r="H481" s="346"/>
      <c r="I481" s="346"/>
      <c r="J481" s="346"/>
      <c r="K481" s="346"/>
      <c r="L481" s="346"/>
      <c r="M481" s="346"/>
      <c r="N481" s="346"/>
      <c r="O481" s="346"/>
      <c r="P481" s="346"/>
      <c r="Q481" s="346"/>
      <c r="R481" s="346"/>
      <c r="S481" s="346"/>
      <c r="T481" s="346"/>
      <c r="U481" s="346"/>
      <c r="V481" s="346"/>
      <c r="W481" s="346"/>
      <c r="X481" s="346"/>
      <c r="Y481" s="346"/>
      <c r="Z481" s="346"/>
      <c r="AA481" s="346"/>
      <c r="AB481" s="346"/>
      <c r="AC481" s="346"/>
      <c r="AD481" s="346"/>
      <c r="AE481" s="346"/>
      <c r="AF481" s="346"/>
      <c r="AG481" s="346"/>
      <c r="AH481" s="346"/>
      <c r="AI481" s="346"/>
      <c r="AJ481" s="346"/>
      <c r="AK481" s="346"/>
      <c r="AL481" s="346"/>
      <c r="AM481" s="346"/>
      <c r="AN481" s="346"/>
      <c r="AO481" s="346"/>
      <c r="AP481" s="346"/>
      <c r="AQ481" s="346"/>
      <c r="AR481" s="346"/>
      <c r="AS481" s="346"/>
      <c r="AT481" s="346"/>
      <c r="AU481" s="346"/>
      <c r="AV481" s="346"/>
      <c r="AW481" s="346"/>
      <c r="AX481" s="346"/>
      <c r="AY481" s="346"/>
      <c r="AZ481" s="346"/>
      <c r="BA481" s="346"/>
      <c r="BB481" s="346"/>
      <c r="BC481" s="346"/>
      <c r="BD481" s="346"/>
      <c r="BE481" s="346"/>
      <c r="BF481" s="346"/>
      <c r="BG481" s="346"/>
      <c r="BH481" s="346"/>
      <c r="BI481" s="346"/>
      <c r="BJ481" s="346"/>
      <c r="BK481" s="346"/>
      <c r="BL481" s="346"/>
      <c r="BM481" s="346"/>
      <c r="BN481" s="346"/>
      <c r="BO481" s="346"/>
      <c r="BP481" s="346"/>
      <c r="BQ481" s="346"/>
      <c r="BR481" s="346"/>
      <c r="BS481" s="346"/>
      <c r="BT481" s="346"/>
      <c r="BU481" s="346"/>
      <c r="BV481" s="346"/>
      <c r="BW481" s="346"/>
      <c r="BX481" s="346"/>
      <c r="BY481" s="346"/>
      <c r="BZ481" s="346"/>
      <c r="CA481" s="346"/>
      <c r="CB481" s="346"/>
      <c r="CC481" s="346"/>
      <c r="CD481" s="346"/>
      <c r="CE481" s="347">
        <f t="shared" ref="CE481:DJ481" si="137">CE197</f>
        <v>0</v>
      </c>
      <c r="CF481" s="346">
        <f t="shared" si="137"/>
        <v>0</v>
      </c>
      <c r="CG481" s="346">
        <f t="shared" si="137"/>
        <v>0</v>
      </c>
      <c r="CH481" s="346">
        <f t="shared" si="137"/>
        <v>0</v>
      </c>
      <c r="CI481" s="346">
        <f t="shared" si="137"/>
        <v>0</v>
      </c>
      <c r="CJ481" s="346">
        <f t="shared" si="137"/>
        <v>0</v>
      </c>
      <c r="CK481" s="346">
        <f t="shared" si="137"/>
        <v>0</v>
      </c>
      <c r="CL481" s="346">
        <f t="shared" si="137"/>
        <v>0</v>
      </c>
      <c r="CM481" s="346">
        <f t="shared" si="137"/>
        <v>0</v>
      </c>
      <c r="CN481" s="346">
        <f t="shared" si="137"/>
        <v>0</v>
      </c>
      <c r="CO481" s="346">
        <f t="shared" si="137"/>
        <v>0</v>
      </c>
      <c r="CP481" s="348">
        <f t="shared" si="137"/>
        <v>0</v>
      </c>
      <c r="CQ481" s="346">
        <f t="shared" si="137"/>
        <v>0.19613696999999999</v>
      </c>
      <c r="CR481" s="346">
        <f t="shared" si="137"/>
        <v>0.10287481599999999</v>
      </c>
      <c r="CS481" s="346">
        <f t="shared" si="137"/>
        <v>0.88128245100000002</v>
      </c>
      <c r="CT481" s="346">
        <f t="shared" si="137"/>
        <v>0.23854651000000002</v>
      </c>
      <c r="CU481" s="346">
        <f t="shared" si="137"/>
        <v>0.31168724099999995</v>
      </c>
      <c r="CV481" s="346">
        <f t="shared" si="137"/>
        <v>0.46079302799999999</v>
      </c>
      <c r="CW481" s="346">
        <f t="shared" si="137"/>
        <v>0.58105257300000002</v>
      </c>
      <c r="CX481" s="346">
        <f t="shared" si="137"/>
        <v>0.22504149100000001</v>
      </c>
      <c r="CY481" s="346">
        <f t="shared" si="137"/>
        <v>0.17876561399999999</v>
      </c>
      <c r="CZ481" s="346">
        <f t="shared" si="137"/>
        <v>0.46736693800000001</v>
      </c>
      <c r="DA481" s="346">
        <f t="shared" si="137"/>
        <v>1.5094311060000001</v>
      </c>
      <c r="DB481" s="1479">
        <f t="shared" si="137"/>
        <v>0.52489575799999999</v>
      </c>
      <c r="DC481" s="346">
        <f t="shared" si="137"/>
        <v>0.16115076336019576</v>
      </c>
      <c r="DD481" s="346">
        <f t="shared" si="137"/>
        <v>0.61717184066107078</v>
      </c>
      <c r="DE481" s="346">
        <f t="shared" si="137"/>
        <v>0.68831319326028939</v>
      </c>
      <c r="DF481" s="346">
        <f t="shared" si="137"/>
        <v>0.77443400553898456</v>
      </c>
      <c r="DG481" s="346">
        <f t="shared" si="137"/>
        <v>0.75625273719333341</v>
      </c>
      <c r="DH481" s="346">
        <f t="shared" si="137"/>
        <v>0.84409716637573162</v>
      </c>
      <c r="DI481" s="346">
        <f t="shared" si="137"/>
        <v>0.69326260518275218</v>
      </c>
      <c r="DJ481" s="346">
        <f t="shared" si="137"/>
        <v>0.7184912774338551</v>
      </c>
      <c r="DK481" s="346">
        <f t="shared" ref="DK481:EP481" si="138">DK197</f>
        <v>0.76467038815893984</v>
      </c>
      <c r="DL481" s="346">
        <f t="shared" si="138"/>
        <v>0.79742966838863905</v>
      </c>
      <c r="DM481" s="346">
        <f t="shared" si="138"/>
        <v>0.89337474856980625</v>
      </c>
      <c r="DN481" s="348">
        <f t="shared" si="138"/>
        <v>1.0443280373941155</v>
      </c>
      <c r="DO481" s="346">
        <f t="shared" si="138"/>
        <v>0</v>
      </c>
      <c r="DP481" s="346">
        <f t="shared" si="138"/>
        <v>0</v>
      </c>
      <c r="DQ481" s="346">
        <f t="shared" si="138"/>
        <v>0</v>
      </c>
      <c r="DR481" s="346">
        <f t="shared" si="138"/>
        <v>0</v>
      </c>
      <c r="DS481" s="346">
        <f t="shared" si="138"/>
        <v>0</v>
      </c>
      <c r="DT481" s="346">
        <f t="shared" si="138"/>
        <v>0</v>
      </c>
      <c r="DU481" s="346">
        <f t="shared" si="138"/>
        <v>0</v>
      </c>
      <c r="DV481" s="346">
        <f t="shared" si="138"/>
        <v>0</v>
      </c>
      <c r="DW481" s="346">
        <f t="shared" si="138"/>
        <v>0</v>
      </c>
      <c r="DX481" s="346">
        <f t="shared" si="138"/>
        <v>0</v>
      </c>
      <c r="DY481" s="346">
        <f t="shared" si="138"/>
        <v>0</v>
      </c>
      <c r="DZ481" s="348">
        <f t="shared" si="138"/>
        <v>0</v>
      </c>
      <c r="EA481" s="346">
        <f t="shared" si="138"/>
        <v>0</v>
      </c>
      <c r="EB481" s="346">
        <f t="shared" si="138"/>
        <v>0</v>
      </c>
      <c r="EC481" s="346">
        <f t="shared" si="138"/>
        <v>0</v>
      </c>
      <c r="ED481" s="346">
        <f t="shared" si="138"/>
        <v>0</v>
      </c>
      <c r="EE481" s="346">
        <f t="shared" si="138"/>
        <v>0</v>
      </c>
      <c r="EF481" s="346">
        <f t="shared" si="138"/>
        <v>0</v>
      </c>
      <c r="EG481" s="346">
        <f t="shared" si="138"/>
        <v>0</v>
      </c>
      <c r="EH481" s="346">
        <f t="shared" si="138"/>
        <v>0</v>
      </c>
      <c r="EI481" s="346">
        <f t="shared" si="138"/>
        <v>0</v>
      </c>
      <c r="EJ481" s="346">
        <f t="shared" si="138"/>
        <v>0</v>
      </c>
      <c r="EK481" s="346">
        <f t="shared" si="138"/>
        <v>0</v>
      </c>
      <c r="EL481" s="348">
        <f t="shared" si="138"/>
        <v>0</v>
      </c>
      <c r="EM481" s="346">
        <f t="shared" si="138"/>
        <v>0</v>
      </c>
      <c r="EN481" s="346">
        <f t="shared" si="138"/>
        <v>0</v>
      </c>
      <c r="EO481" s="346">
        <f t="shared" si="138"/>
        <v>0</v>
      </c>
      <c r="EP481" s="346">
        <f t="shared" si="138"/>
        <v>0</v>
      </c>
      <c r="EQ481" s="346">
        <f t="shared" ref="EQ481:EX481" si="139">EQ197</f>
        <v>0</v>
      </c>
      <c r="ER481" s="346">
        <f t="shared" si="139"/>
        <v>0</v>
      </c>
      <c r="ES481" s="346">
        <f t="shared" si="139"/>
        <v>0</v>
      </c>
      <c r="ET481" s="346">
        <f t="shared" si="139"/>
        <v>0</v>
      </c>
      <c r="EU481" s="346">
        <f t="shared" si="139"/>
        <v>0</v>
      </c>
      <c r="EV481" s="346">
        <f t="shared" si="139"/>
        <v>0</v>
      </c>
      <c r="EW481" s="346">
        <f t="shared" si="139"/>
        <v>0</v>
      </c>
      <c r="EX481" s="348">
        <f t="shared" si="139"/>
        <v>0</v>
      </c>
      <c r="EY481" s="346"/>
      <c r="EZ481" s="346"/>
      <c r="FA481" s="346"/>
      <c r="FB481" s="346"/>
      <c r="FC481" s="346"/>
      <c r="FD481" s="346"/>
      <c r="FE481" s="346"/>
      <c r="FF481" s="346"/>
      <c r="FG481" s="346"/>
      <c r="FH481" s="346"/>
      <c r="FI481" s="346"/>
      <c r="FJ481" s="348"/>
      <c r="FK481" s="346"/>
      <c r="FL481" s="346"/>
      <c r="FM481" s="346"/>
      <c r="FN481" s="346"/>
      <c r="FO481" s="346"/>
      <c r="FP481" s="346"/>
      <c r="FQ481" s="346"/>
      <c r="FR481" s="346"/>
      <c r="FS481" s="346"/>
      <c r="FT481" s="346"/>
      <c r="FU481" s="346"/>
      <c r="FV481" s="346"/>
      <c r="FW481" s="346"/>
      <c r="FX481" s="346"/>
      <c r="FY481" s="346"/>
      <c r="FZ481" s="346"/>
      <c r="GA481" s="346"/>
      <c r="GB481" s="346"/>
      <c r="GC481" s="346"/>
      <c r="GD481" s="346"/>
      <c r="GE481" s="346"/>
      <c r="GF481" s="346"/>
      <c r="GG481" s="346"/>
      <c r="GH481" s="346"/>
      <c r="GI481" s="346"/>
      <c r="GJ481" s="346"/>
      <c r="GK481" s="346"/>
      <c r="GL481" s="346"/>
      <c r="GM481" s="346"/>
      <c r="GN481" s="346"/>
      <c r="GO481" s="346"/>
      <c r="GP481" s="346"/>
      <c r="GQ481" s="346"/>
      <c r="GR481" s="346"/>
      <c r="GS481" s="346"/>
      <c r="GT481" s="346"/>
      <c r="GU481" s="346"/>
      <c r="GV481" s="346"/>
      <c r="GW481" s="346"/>
      <c r="GX481" s="346"/>
      <c r="GY481" s="346"/>
      <c r="GZ481" s="346"/>
      <c r="HA481" s="346"/>
      <c r="HB481" s="346"/>
      <c r="HC481" s="346"/>
      <c r="HD481" s="346"/>
      <c r="HE481" s="346"/>
      <c r="HF481" s="346"/>
      <c r="HG481" s="346"/>
      <c r="HH481" s="346"/>
      <c r="HI481" s="346"/>
      <c r="HJ481" s="346"/>
      <c r="HK481" s="346"/>
      <c r="HL481" s="346"/>
      <c r="HM481" s="346"/>
      <c r="HN481" s="349"/>
      <c r="HO481" s="351" t="s">
        <v>143</v>
      </c>
      <c r="HP481" s="351"/>
      <c r="HQ481" s="351"/>
      <c r="HR481" s="346">
        <f>+FISC!Z687</f>
        <v>5.7</v>
      </c>
      <c r="HS481" s="302">
        <f>SUM(CQ481:CV481)</f>
        <v>2.1913210159999998</v>
      </c>
      <c r="HT481" s="302">
        <f>SUM(CW481:DB481)</f>
        <v>3.48655348</v>
      </c>
      <c r="HU481" s="346">
        <f>SUM(CQ481:DB481)</f>
        <v>5.6778744959999994</v>
      </c>
      <c r="HV481" s="302">
        <f>+SUM(DC481:DH481)</f>
        <v>3.8414197063896056</v>
      </c>
      <c r="HW481" s="302">
        <f>+SUM(DI481:DN481)</f>
        <v>4.9115567251281078</v>
      </c>
      <c r="HX481" s="346">
        <f t="shared" si="100"/>
        <v>8.7529764315177125</v>
      </c>
      <c r="HY481" s="302">
        <f>+SUM(DO481:DT481)</f>
        <v>0</v>
      </c>
      <c r="HZ481" s="302">
        <f>SUM(DU481:DZ481)</f>
        <v>0</v>
      </c>
      <c r="IA481" s="346">
        <f t="shared" si="103"/>
        <v>0</v>
      </c>
      <c r="IB481" s="302">
        <f>+(ID481/2)*0</f>
        <v>0</v>
      </c>
      <c r="IC481" s="302">
        <f>+ID481-IB481</f>
        <v>0</v>
      </c>
      <c r="ID481" s="346">
        <f>FISC!AC687</f>
        <v>0</v>
      </c>
      <c r="IE481" s="302">
        <f t="shared" si="104"/>
        <v>0</v>
      </c>
      <c r="IF481" s="302">
        <f t="shared" si="105"/>
        <v>0</v>
      </c>
      <c r="IG481" s="346">
        <f>IE481+IF481</f>
        <v>0</v>
      </c>
      <c r="II481" s="350"/>
      <c r="IJ481" s="346">
        <f>+FISC!AE687</f>
        <v>0</v>
      </c>
      <c r="IK481" s="302">
        <f>IM481*JI481</f>
        <v>0</v>
      </c>
      <c r="IL481" s="302">
        <f t="shared" si="85"/>
        <v>0</v>
      </c>
      <c r="IM481" s="346">
        <f>+FISC!AF687</f>
        <v>0</v>
      </c>
      <c r="IN481" s="302">
        <f>IP481*JI481</f>
        <v>0</v>
      </c>
      <c r="IO481" s="302">
        <f t="shared" si="73"/>
        <v>0</v>
      </c>
      <c r="IP481" s="346">
        <f>+FISC!AG687</f>
        <v>0</v>
      </c>
      <c r="IQ481" s="302">
        <f>IS481*JI481</f>
        <v>0</v>
      </c>
      <c r="IR481" s="302">
        <f t="shared" si="74"/>
        <v>0</v>
      </c>
      <c r="IS481" s="346">
        <f>+FISC!AH687</f>
        <v>0</v>
      </c>
      <c r="IT481" s="302">
        <f>IV481*JI481</f>
        <v>0</v>
      </c>
      <c r="IU481" s="302">
        <f t="shared" si="75"/>
        <v>0</v>
      </c>
      <c r="IV481" s="346">
        <f>+FISC!AI687</f>
        <v>0</v>
      </c>
      <c r="IW481" s="302">
        <f>IY481*JL481</f>
        <v>0</v>
      </c>
      <c r="IX481" s="302">
        <f t="shared" si="76"/>
        <v>0</v>
      </c>
      <c r="IY481" s="346">
        <f>+FISC!AJ687</f>
        <v>0</v>
      </c>
      <c r="IZ481" s="302">
        <f>JB481*JO481</f>
        <v>0</v>
      </c>
      <c r="JA481" s="302">
        <f t="shared" si="77"/>
        <v>0</v>
      </c>
      <c r="JB481" s="346">
        <f>+FISC!AK687</f>
        <v>0</v>
      </c>
      <c r="JC481" s="346"/>
      <c r="KI481" s="349"/>
      <c r="KJ481" s="350"/>
    </row>
    <row r="482" spans="2:302">
      <c r="B482" s="117" t="s">
        <v>361</v>
      </c>
      <c r="D482" s="351" t="str">
        <f>+FISC!D688</f>
        <v>of which 1% EAC levy on imports(EAC secr/projects)</v>
      </c>
      <c r="E482" s="346"/>
      <c r="F482" s="346"/>
      <c r="G482" s="346"/>
      <c r="H482" s="346"/>
      <c r="I482" s="346"/>
      <c r="J482" s="346"/>
      <c r="K482" s="346"/>
      <c r="L482" s="346"/>
      <c r="M482" s="346"/>
      <c r="N482" s="346"/>
      <c r="O482" s="346"/>
      <c r="P482" s="346"/>
      <c r="Q482" s="346"/>
      <c r="R482" s="346"/>
      <c r="S482" s="346"/>
      <c r="T482" s="346"/>
      <c r="U482" s="346"/>
      <c r="V482" s="346"/>
      <c r="W482" s="346"/>
      <c r="X482" s="346"/>
      <c r="Y482" s="346"/>
      <c r="Z482" s="346"/>
      <c r="AA482" s="346"/>
      <c r="AB482" s="346"/>
      <c r="AC482" s="346"/>
      <c r="AD482" s="346"/>
      <c r="AE482" s="346"/>
      <c r="AF482" s="346"/>
      <c r="AG482" s="346"/>
      <c r="AH482" s="346"/>
      <c r="AI482" s="346"/>
      <c r="AJ482" s="346"/>
      <c r="AK482" s="346"/>
      <c r="AL482" s="346"/>
      <c r="AM482" s="346"/>
      <c r="AN482" s="346"/>
      <c r="AO482" s="346"/>
      <c r="AP482" s="346"/>
      <c r="AQ482" s="346"/>
      <c r="AR482" s="346"/>
      <c r="AS482" s="346"/>
      <c r="AT482" s="346"/>
      <c r="AU482" s="346"/>
      <c r="AV482" s="346"/>
      <c r="AW482" s="346"/>
      <c r="AX482" s="346"/>
      <c r="AY482" s="346"/>
      <c r="AZ482" s="346"/>
      <c r="BA482" s="346"/>
      <c r="BB482" s="346"/>
      <c r="BC482" s="346"/>
      <c r="BD482" s="346"/>
      <c r="BE482" s="346"/>
      <c r="BF482" s="346"/>
      <c r="BG482" s="346"/>
      <c r="BH482" s="346"/>
      <c r="BI482" s="346"/>
      <c r="BJ482" s="346"/>
      <c r="BK482" s="346"/>
      <c r="BL482" s="346"/>
      <c r="BM482" s="346"/>
      <c r="BN482" s="346"/>
      <c r="BO482" s="346"/>
      <c r="BP482" s="346"/>
      <c r="BQ482" s="346"/>
      <c r="BR482" s="346"/>
      <c r="BS482" s="346"/>
      <c r="BT482" s="346"/>
      <c r="BU482" s="346"/>
      <c r="BV482" s="346"/>
      <c r="BW482" s="346"/>
      <c r="BX482" s="346"/>
      <c r="BY482" s="346"/>
      <c r="BZ482" s="346"/>
      <c r="CA482" s="346"/>
      <c r="CB482" s="346"/>
      <c r="CC482" s="346"/>
      <c r="CD482" s="346"/>
      <c r="CE482" s="347"/>
      <c r="CF482" s="346"/>
      <c r="CG482" s="346"/>
      <c r="CH482" s="346"/>
      <c r="CI482" s="346"/>
      <c r="CJ482" s="346"/>
      <c r="CK482" s="346"/>
      <c r="CL482" s="346"/>
      <c r="CM482" s="346"/>
      <c r="CN482" s="346"/>
      <c r="CO482" s="346"/>
      <c r="CP482" s="348"/>
      <c r="CQ482" s="346"/>
      <c r="CR482" s="346"/>
      <c r="CS482" s="346"/>
      <c r="CT482" s="346"/>
      <c r="CU482" s="346"/>
      <c r="CV482" s="346"/>
      <c r="CW482" s="346"/>
      <c r="CX482" s="346"/>
      <c r="CY482" s="346"/>
      <c r="CZ482" s="346"/>
      <c r="DA482" s="346"/>
      <c r="DB482" s="1479"/>
      <c r="DC482" s="346"/>
      <c r="DD482" s="346"/>
      <c r="DE482" s="346"/>
      <c r="DF482" s="346"/>
      <c r="DG482" s="346"/>
      <c r="DH482" s="346"/>
      <c r="DI482" s="346"/>
      <c r="DJ482" s="346"/>
      <c r="DK482" s="346"/>
      <c r="DL482" s="346"/>
      <c r="DM482" s="346"/>
      <c r="DN482" s="348"/>
      <c r="DO482" s="346">
        <f t="shared" ref="DO482:EX482" si="140">+DO199</f>
        <v>0.81548350400000003</v>
      </c>
      <c r="DP482" s="346">
        <f t="shared" si="140"/>
        <v>0.89468296199999997</v>
      </c>
      <c r="DQ482" s="346">
        <f t="shared" si="140"/>
        <v>0.88994272699999999</v>
      </c>
      <c r="DR482" s="346">
        <f t="shared" si="140"/>
        <v>0.74259006599999999</v>
      </c>
      <c r="DS482" s="346">
        <f t="shared" si="140"/>
        <v>0.85803408800000003</v>
      </c>
      <c r="DT482" s="346">
        <f t="shared" si="140"/>
        <v>0.95241461699999996</v>
      </c>
      <c r="DU482" s="346">
        <f t="shared" si="140"/>
        <v>0.82779765299999997</v>
      </c>
      <c r="DV482" s="346">
        <f t="shared" si="140"/>
        <v>0.78600829800000005</v>
      </c>
      <c r="DW482" s="346">
        <f t="shared" si="140"/>
        <v>0.92951981500000003</v>
      </c>
      <c r="DX482" s="346">
        <f t="shared" si="140"/>
        <v>0.81068596299999995</v>
      </c>
      <c r="DY482" s="346">
        <f t="shared" si="140"/>
        <v>0.99184130999999998</v>
      </c>
      <c r="DZ482" s="348">
        <f t="shared" si="140"/>
        <v>1.1211130899999999</v>
      </c>
      <c r="EA482" s="346">
        <f t="shared" si="140"/>
        <v>0.86431013499999998</v>
      </c>
      <c r="EB482" s="346">
        <f t="shared" si="140"/>
        <v>0.89608272</v>
      </c>
      <c r="EC482" s="346">
        <f t="shared" si="140"/>
        <v>1.0324487339999999</v>
      </c>
      <c r="ED482" s="346">
        <f t="shared" si="140"/>
        <v>0.98973740300000002</v>
      </c>
      <c r="EE482" s="346">
        <f t="shared" si="140"/>
        <v>0.88089663600000001</v>
      </c>
      <c r="EF482" s="346">
        <f t="shared" si="140"/>
        <v>1.0335363049999999</v>
      </c>
      <c r="EG482" s="346">
        <f t="shared" si="140"/>
        <v>0.97513037800000002</v>
      </c>
      <c r="EH482" s="346">
        <f t="shared" si="140"/>
        <v>0.82774864599999998</v>
      </c>
      <c r="EI482" s="346">
        <f t="shared" si="140"/>
        <v>1.002834577</v>
      </c>
      <c r="EJ482" s="346">
        <f t="shared" si="140"/>
        <v>0.90485316500000001</v>
      </c>
      <c r="EK482" s="346">
        <f t="shared" si="140"/>
        <v>0.98641874200000002</v>
      </c>
      <c r="EL482" s="348">
        <f t="shared" si="140"/>
        <v>1.041281949</v>
      </c>
      <c r="EM482" s="346">
        <f t="shared" si="140"/>
        <v>1.0299287829999999</v>
      </c>
      <c r="EN482" s="346">
        <f t="shared" si="140"/>
        <v>1.1369505499999999</v>
      </c>
      <c r="EO482" s="346">
        <f t="shared" si="140"/>
        <v>1.01343703</v>
      </c>
      <c r="EP482" s="346">
        <f t="shared" si="140"/>
        <v>0.98094202600000002</v>
      </c>
      <c r="EQ482" s="346">
        <f t="shared" si="140"/>
        <v>1.1072251980000001</v>
      </c>
      <c r="ER482" s="346">
        <f t="shared" si="140"/>
        <v>1.2211093550000001</v>
      </c>
      <c r="ES482" s="346">
        <f t="shared" si="140"/>
        <v>1.0309217020000001</v>
      </c>
      <c r="ET482" s="346">
        <f t="shared" si="140"/>
        <v>1.040925815</v>
      </c>
      <c r="EU482" s="346">
        <f t="shared" si="140"/>
        <v>1.025590373</v>
      </c>
      <c r="EV482" s="346">
        <f t="shared" si="140"/>
        <v>1.1776016650000001</v>
      </c>
      <c r="EW482" s="346">
        <f t="shared" si="140"/>
        <v>1.1498127010000001</v>
      </c>
      <c r="EX482" s="348">
        <f t="shared" si="140"/>
        <v>1.099506222</v>
      </c>
      <c r="EY482" s="346"/>
      <c r="EZ482" s="346"/>
      <c r="FA482" s="346"/>
      <c r="FB482" s="346"/>
      <c r="FC482" s="346"/>
      <c r="FD482" s="346"/>
      <c r="FE482" s="346"/>
      <c r="FF482" s="346"/>
      <c r="FG482" s="346"/>
      <c r="FH482" s="346"/>
      <c r="FI482" s="346"/>
      <c r="FJ482" s="348"/>
      <c r="FK482" s="346"/>
      <c r="FL482" s="346"/>
      <c r="FM482" s="346"/>
      <c r="FN482" s="346"/>
      <c r="FO482" s="346"/>
      <c r="FP482" s="346"/>
      <c r="FQ482" s="346"/>
      <c r="FR482" s="346"/>
      <c r="FS482" s="346"/>
      <c r="FT482" s="346"/>
      <c r="FU482" s="346"/>
      <c r="FV482" s="346"/>
      <c r="FW482" s="346"/>
      <c r="FX482" s="346"/>
      <c r="FY482" s="346"/>
      <c r="FZ482" s="346"/>
      <c r="GA482" s="346"/>
      <c r="GB482" s="346"/>
      <c r="GC482" s="346"/>
      <c r="GD482" s="346"/>
      <c r="GE482" s="346"/>
      <c r="GF482" s="346"/>
      <c r="GG482" s="346"/>
      <c r="GH482" s="346"/>
      <c r="GI482" s="346"/>
      <c r="GJ482" s="346"/>
      <c r="GK482" s="346"/>
      <c r="GL482" s="346"/>
      <c r="GM482" s="346"/>
      <c r="GN482" s="346"/>
      <c r="GO482" s="346"/>
      <c r="GP482" s="346"/>
      <c r="GQ482" s="346"/>
      <c r="GR482" s="346"/>
      <c r="GS482" s="346"/>
      <c r="GT482" s="346"/>
      <c r="GU482" s="346"/>
      <c r="GV482" s="346"/>
      <c r="GW482" s="346"/>
      <c r="GX482" s="346"/>
      <c r="GY482" s="346"/>
      <c r="GZ482" s="346"/>
      <c r="HA482" s="346"/>
      <c r="HB482" s="346"/>
      <c r="HC482" s="346"/>
      <c r="HD482" s="346"/>
      <c r="HE482" s="346"/>
      <c r="HF482" s="346"/>
      <c r="HG482" s="346"/>
      <c r="HH482" s="346"/>
      <c r="HI482" s="346"/>
      <c r="HJ482" s="346"/>
      <c r="HK482" s="346"/>
      <c r="HL482" s="346"/>
      <c r="HM482" s="346"/>
      <c r="HN482" s="349"/>
      <c r="HO482" s="351" t="s">
        <v>304</v>
      </c>
      <c r="HP482" s="351"/>
      <c r="HQ482" s="351"/>
      <c r="HR482" s="346">
        <f>+FISC!Z688</f>
        <v>0</v>
      </c>
      <c r="HS482" s="302">
        <f>SUM(CQ482:CV482)</f>
        <v>0</v>
      </c>
      <c r="HT482" s="302">
        <f>SUM(CW482:DB482)</f>
        <v>0</v>
      </c>
      <c r="HU482" s="346"/>
      <c r="HV482" s="639">
        <v>4.4000000000000004</v>
      </c>
      <c r="HW482" s="639">
        <v>4.4000000000000004</v>
      </c>
      <c r="HX482" s="346">
        <f t="shared" si="100"/>
        <v>8.8000000000000007</v>
      </c>
      <c r="HY482" s="639">
        <f>+SUM(DO482:DT482)</f>
        <v>5.1531479639999995</v>
      </c>
      <c r="HZ482" s="639">
        <f>SUM(DU482:DZ482)</f>
        <v>5.4669661290000002</v>
      </c>
      <c r="IA482" s="346">
        <f t="shared" si="103"/>
        <v>10.620114093</v>
      </c>
      <c r="IB482" s="302">
        <v>5.4</v>
      </c>
      <c r="IC482" s="302">
        <f>+ID482-IB482</f>
        <v>6.0352793899999995</v>
      </c>
      <c r="ID482" s="346">
        <f>FISC!AC688</f>
        <v>11.43527939</v>
      </c>
      <c r="IE482" s="302">
        <f t="shared" si="104"/>
        <v>6.4895929419999998</v>
      </c>
      <c r="IF482" s="302">
        <f t="shared" si="105"/>
        <v>6.5243584779999999</v>
      </c>
      <c r="IG482" s="346">
        <f>IE482+IF482</f>
        <v>13.01395142</v>
      </c>
      <c r="IH482" s="350">
        <f>+IJ482/2</f>
        <v>7.1663822449999994</v>
      </c>
      <c r="II482" s="302">
        <f>+IJ482-IH482</f>
        <v>7.1663822449999994</v>
      </c>
      <c r="IJ482" s="346">
        <f>+FISC!AE688</f>
        <v>14.332764489999999</v>
      </c>
      <c r="IK482" s="350">
        <f>IM482/2</f>
        <v>7.4250329984999999</v>
      </c>
      <c r="IL482" s="302">
        <f t="shared" si="85"/>
        <v>7.4250329984999999</v>
      </c>
      <c r="IM482" s="346">
        <f>+FISC!AF688</f>
        <v>14.850065997</v>
      </c>
      <c r="IN482" s="350">
        <f>IP482/2</f>
        <v>7.9250329984999999</v>
      </c>
      <c r="IO482" s="302">
        <f t="shared" si="73"/>
        <v>7.9250329984999999</v>
      </c>
      <c r="IP482" s="346">
        <f>+FISC!AG688</f>
        <v>15.850065997</v>
      </c>
      <c r="IQ482" s="350">
        <f>IS482/2</f>
        <v>9.5794367090396868</v>
      </c>
      <c r="IR482" s="302">
        <f t="shared" si="74"/>
        <v>9.5794367090396868</v>
      </c>
      <c r="IS482" s="346">
        <f>+FISC!AH688</f>
        <v>19.158873418079374</v>
      </c>
      <c r="IT482" s="350">
        <f>IV482/2</f>
        <v>12.084773950973986</v>
      </c>
      <c r="IU482" s="302">
        <f t="shared" si="75"/>
        <v>12.084773950973986</v>
      </c>
      <c r="IV482" s="346">
        <f>+FISC!AI688</f>
        <v>24.169547901947972</v>
      </c>
      <c r="IW482" s="350">
        <f>IY482/2</f>
        <v>0</v>
      </c>
      <c r="IX482" s="302">
        <f t="shared" si="76"/>
        <v>0</v>
      </c>
      <c r="IY482" s="346">
        <f>+FISC!AJ688</f>
        <v>0</v>
      </c>
      <c r="IZ482" s="350" t="e">
        <f>JB482/2</f>
        <v>#DIV/0!</v>
      </c>
      <c r="JA482" s="302" t="e">
        <f t="shared" si="77"/>
        <v>#DIV/0!</v>
      </c>
      <c r="JB482" s="346" t="e">
        <f>+FISC!AK688</f>
        <v>#DIV/0!</v>
      </c>
      <c r="JC482" s="346"/>
      <c r="KI482" s="349"/>
      <c r="KJ482" s="350"/>
    </row>
    <row r="483" spans="2:302">
      <c r="D483" s="351" t="s">
        <v>858</v>
      </c>
      <c r="E483" s="346"/>
      <c r="F483" s="346"/>
      <c r="G483" s="346"/>
      <c r="H483" s="346"/>
      <c r="I483" s="346"/>
      <c r="J483" s="346"/>
      <c r="K483" s="346"/>
      <c r="L483" s="346"/>
      <c r="M483" s="346"/>
      <c r="N483" s="346"/>
      <c r="O483" s="346"/>
      <c r="P483" s="346"/>
      <c r="Q483" s="346"/>
      <c r="R483" s="346"/>
      <c r="S483" s="346"/>
      <c r="T483" s="346"/>
      <c r="U483" s="346"/>
      <c r="V483" s="346"/>
      <c r="W483" s="346"/>
      <c r="X483" s="346"/>
      <c r="Y483" s="346"/>
      <c r="Z483" s="346"/>
      <c r="AA483" s="346"/>
      <c r="AB483" s="346"/>
      <c r="AC483" s="346"/>
      <c r="AD483" s="346"/>
      <c r="AE483" s="346"/>
      <c r="AF483" s="346"/>
      <c r="AG483" s="346"/>
      <c r="AH483" s="346"/>
      <c r="AI483" s="346"/>
      <c r="AJ483" s="346"/>
      <c r="AK483" s="346"/>
      <c r="AL483" s="346"/>
      <c r="AM483" s="346"/>
      <c r="AN483" s="346"/>
      <c r="AO483" s="346"/>
      <c r="AP483" s="346"/>
      <c r="AQ483" s="346"/>
      <c r="AR483" s="346"/>
      <c r="AS483" s="346"/>
      <c r="AT483" s="346"/>
      <c r="AU483" s="346"/>
      <c r="AV483" s="346"/>
      <c r="AW483" s="346"/>
      <c r="AX483" s="346"/>
      <c r="AY483" s="346"/>
      <c r="AZ483" s="346"/>
      <c r="BA483" s="346"/>
      <c r="BB483" s="346"/>
      <c r="BC483" s="346"/>
      <c r="BD483" s="346"/>
      <c r="BE483" s="346"/>
      <c r="BF483" s="346"/>
      <c r="BG483" s="346"/>
      <c r="BH483" s="346"/>
      <c r="BI483" s="346"/>
      <c r="BJ483" s="346"/>
      <c r="BK483" s="346"/>
      <c r="BL483" s="346"/>
      <c r="BM483" s="346"/>
      <c r="BN483" s="346"/>
      <c r="BO483" s="346"/>
      <c r="BP483" s="346"/>
      <c r="BQ483" s="346"/>
      <c r="BR483" s="346"/>
      <c r="BS483" s="346"/>
      <c r="BT483" s="346"/>
      <c r="BU483" s="346"/>
      <c r="BV483" s="346"/>
      <c r="BW483" s="346"/>
      <c r="BX483" s="346"/>
      <c r="BY483" s="346"/>
      <c r="BZ483" s="346"/>
      <c r="CA483" s="346"/>
      <c r="CB483" s="346"/>
      <c r="CC483" s="346"/>
      <c r="CD483" s="346"/>
      <c r="CE483" s="347"/>
      <c r="CF483" s="346"/>
      <c r="CG483" s="346"/>
      <c r="CH483" s="346"/>
      <c r="CI483" s="346"/>
      <c r="CJ483" s="346"/>
      <c r="CK483" s="346"/>
      <c r="CL483" s="346"/>
      <c r="CM483" s="346"/>
      <c r="CN483" s="346"/>
      <c r="CO483" s="346"/>
      <c r="CP483" s="348"/>
      <c r="CQ483" s="346"/>
      <c r="CR483" s="346"/>
      <c r="CS483" s="346"/>
      <c r="CT483" s="346"/>
      <c r="CU483" s="346"/>
      <c r="CV483" s="346"/>
      <c r="CW483" s="346"/>
      <c r="CX483" s="346"/>
      <c r="CY483" s="346"/>
      <c r="CZ483" s="346"/>
      <c r="DA483" s="346"/>
      <c r="DB483" s="1479"/>
      <c r="DC483" s="346"/>
      <c r="DD483" s="346"/>
      <c r="DE483" s="346"/>
      <c r="DF483" s="346"/>
      <c r="DG483" s="346"/>
      <c r="DH483" s="346"/>
      <c r="DI483" s="346"/>
      <c r="DJ483" s="346"/>
      <c r="DK483" s="346"/>
      <c r="DL483" s="346"/>
      <c r="DM483" s="346"/>
      <c r="DN483" s="348"/>
      <c r="DO483" s="346"/>
      <c r="DP483" s="346"/>
      <c r="DQ483" s="346"/>
      <c r="DR483" s="346"/>
      <c r="DS483" s="346"/>
      <c r="DT483" s="346"/>
      <c r="DU483" s="346"/>
      <c r="DV483" s="346"/>
      <c r="DW483" s="346"/>
      <c r="DX483" s="346"/>
      <c r="DY483" s="346"/>
      <c r="DZ483" s="348"/>
      <c r="EA483" s="346"/>
      <c r="EB483" s="346"/>
      <c r="EC483" s="346"/>
      <c r="ED483" s="346"/>
      <c r="EE483" s="346"/>
      <c r="EF483" s="346"/>
      <c r="EG483" s="346"/>
      <c r="EH483" s="346"/>
      <c r="EI483" s="346"/>
      <c r="EJ483" s="346"/>
      <c r="EK483" s="346"/>
      <c r="EL483" s="348"/>
      <c r="EM483" s="346"/>
      <c r="EN483" s="346"/>
      <c r="EO483" s="346"/>
      <c r="EP483" s="346"/>
      <c r="EQ483" s="346"/>
      <c r="ER483" s="346"/>
      <c r="ES483" s="346"/>
      <c r="ET483" s="346"/>
      <c r="EU483" s="346"/>
      <c r="EV483" s="346"/>
      <c r="EW483" s="346"/>
      <c r="EX483" s="348"/>
      <c r="EY483" s="346"/>
      <c r="EZ483" s="346"/>
      <c r="FA483" s="346"/>
      <c r="FB483" s="346"/>
      <c r="FC483" s="346"/>
      <c r="FD483" s="346"/>
      <c r="FE483" s="346"/>
      <c r="FF483" s="346"/>
      <c r="FG483" s="346"/>
      <c r="FH483" s="346"/>
      <c r="FI483" s="346"/>
      <c r="FJ483" s="348"/>
      <c r="FK483" s="346"/>
      <c r="FL483" s="346"/>
      <c r="FM483" s="346"/>
      <c r="FN483" s="346"/>
      <c r="FO483" s="346"/>
      <c r="FP483" s="346"/>
      <c r="FQ483" s="346"/>
      <c r="FR483" s="346"/>
      <c r="FS483" s="346"/>
      <c r="FT483" s="346"/>
      <c r="FU483" s="346"/>
      <c r="FV483" s="346"/>
      <c r="FW483" s="346"/>
      <c r="FX483" s="346"/>
      <c r="FY483" s="346"/>
      <c r="FZ483" s="346"/>
      <c r="GA483" s="346"/>
      <c r="GB483" s="346"/>
      <c r="GC483" s="346"/>
      <c r="GD483" s="346"/>
      <c r="GE483" s="346"/>
      <c r="GF483" s="346"/>
      <c r="GG483" s="346"/>
      <c r="GH483" s="346"/>
      <c r="GI483" s="346"/>
      <c r="GJ483" s="346"/>
      <c r="GK483" s="346"/>
      <c r="GL483" s="346"/>
      <c r="GM483" s="346"/>
      <c r="GN483" s="346"/>
      <c r="GO483" s="346"/>
      <c r="GP483" s="346"/>
      <c r="GQ483" s="346"/>
      <c r="GR483" s="346"/>
      <c r="GS483" s="346"/>
      <c r="GT483" s="346"/>
      <c r="GU483" s="346"/>
      <c r="GV483" s="346"/>
      <c r="GW483" s="346"/>
      <c r="GX483" s="346"/>
      <c r="GY483" s="346"/>
      <c r="GZ483" s="346"/>
      <c r="HA483" s="346"/>
      <c r="HB483" s="346"/>
      <c r="HC483" s="346"/>
      <c r="HD483" s="346"/>
      <c r="HE483" s="346"/>
      <c r="HF483" s="346"/>
      <c r="HG483" s="346"/>
      <c r="HH483" s="346"/>
      <c r="HI483" s="346"/>
      <c r="HJ483" s="346"/>
      <c r="HK483" s="346"/>
      <c r="HL483" s="346"/>
      <c r="HM483" s="346"/>
      <c r="HN483" s="349"/>
      <c r="HO483" s="351" t="s">
        <v>858</v>
      </c>
      <c r="HP483" s="351"/>
      <c r="HQ483" s="351"/>
      <c r="HR483" s="346"/>
      <c r="HU483" s="346"/>
      <c r="HV483" s="639"/>
      <c r="HW483" s="639"/>
      <c r="HX483" s="346"/>
      <c r="HY483" s="639"/>
      <c r="HZ483" s="639"/>
      <c r="IA483" s="346"/>
      <c r="ID483" s="346">
        <f>FISC!AC689</f>
        <v>0</v>
      </c>
      <c r="IE483" s="302">
        <f t="shared" si="104"/>
        <v>0</v>
      </c>
      <c r="IF483" s="302">
        <f t="shared" si="105"/>
        <v>0</v>
      </c>
      <c r="IG483" s="346">
        <f>IE483+IF483</f>
        <v>0</v>
      </c>
      <c r="IH483" s="350"/>
      <c r="II483" s="350"/>
      <c r="IJ483" s="346"/>
      <c r="IK483" s="302">
        <f>IM483*JI483</f>
        <v>0</v>
      </c>
      <c r="IL483" s="302">
        <f t="shared" si="85"/>
        <v>0</v>
      </c>
      <c r="IM483" s="346"/>
      <c r="IN483" s="302">
        <f>IP483*JI483</f>
        <v>0</v>
      </c>
      <c r="IO483" s="302">
        <f t="shared" si="73"/>
        <v>0</v>
      </c>
      <c r="IP483" s="346"/>
      <c r="IQ483" s="302">
        <f>IS483*JI483</f>
        <v>0</v>
      </c>
      <c r="IR483" s="302">
        <f t="shared" si="74"/>
        <v>0</v>
      </c>
      <c r="IS483" s="346"/>
      <c r="IT483" s="302">
        <f>IV483*JI483</f>
        <v>0</v>
      </c>
      <c r="IU483" s="302">
        <f t="shared" si="75"/>
        <v>0</v>
      </c>
      <c r="IV483" s="346"/>
      <c r="IW483" s="302">
        <f>IY483*JL483</f>
        <v>0</v>
      </c>
      <c r="IX483" s="302">
        <f t="shared" si="76"/>
        <v>0</v>
      </c>
      <c r="IY483" s="346"/>
      <c r="IZ483" s="302">
        <f>JB483*JO483</f>
        <v>0</v>
      </c>
      <c r="JA483" s="302">
        <f t="shared" si="77"/>
        <v>0</v>
      </c>
      <c r="JB483" s="346"/>
      <c r="JC483" s="346"/>
      <c r="KI483" s="349"/>
      <c r="KJ483" s="350"/>
    </row>
    <row r="484" spans="2:302">
      <c r="D484" s="351" t="s">
        <v>1220</v>
      </c>
      <c r="E484" s="346"/>
      <c r="F484" s="346"/>
      <c r="G484" s="346"/>
      <c r="H484" s="346"/>
      <c r="I484" s="346"/>
      <c r="J484" s="346"/>
      <c r="K484" s="346"/>
      <c r="L484" s="346"/>
      <c r="M484" s="346"/>
      <c r="N484" s="346"/>
      <c r="O484" s="346"/>
      <c r="P484" s="346"/>
      <c r="Q484" s="346"/>
      <c r="R484" s="346"/>
      <c r="S484" s="346"/>
      <c r="T484" s="346"/>
      <c r="U484" s="346"/>
      <c r="V484" s="346"/>
      <c r="W484" s="346"/>
      <c r="X484" s="346"/>
      <c r="Y484" s="346"/>
      <c r="Z484" s="346"/>
      <c r="AA484" s="346"/>
      <c r="AB484" s="346"/>
      <c r="AC484" s="346"/>
      <c r="AD484" s="346"/>
      <c r="AE484" s="346"/>
      <c r="AF484" s="346"/>
      <c r="AG484" s="346"/>
      <c r="AH484" s="346"/>
      <c r="AI484" s="346"/>
      <c r="AJ484" s="346"/>
      <c r="AK484" s="346"/>
      <c r="AL484" s="346"/>
      <c r="AM484" s="346"/>
      <c r="AN484" s="346"/>
      <c r="AO484" s="346"/>
      <c r="AP484" s="346"/>
      <c r="AQ484" s="346"/>
      <c r="AR484" s="346"/>
      <c r="AS484" s="346"/>
      <c r="AT484" s="346"/>
      <c r="AU484" s="346"/>
      <c r="AV484" s="346"/>
      <c r="AW484" s="346"/>
      <c r="AX484" s="346"/>
      <c r="AY484" s="346"/>
      <c r="AZ484" s="346"/>
      <c r="BA484" s="346"/>
      <c r="BB484" s="346"/>
      <c r="BC484" s="346"/>
      <c r="BD484" s="346"/>
      <c r="BE484" s="346"/>
      <c r="BF484" s="346"/>
      <c r="BG484" s="346"/>
      <c r="BH484" s="346"/>
      <c r="BI484" s="346"/>
      <c r="BJ484" s="346"/>
      <c r="BK484" s="346"/>
      <c r="BL484" s="346"/>
      <c r="BM484" s="346"/>
      <c r="BN484" s="346"/>
      <c r="BO484" s="346"/>
      <c r="BP484" s="346"/>
      <c r="BQ484" s="346"/>
      <c r="BR484" s="346"/>
      <c r="BS484" s="346"/>
      <c r="BT484" s="346"/>
      <c r="BU484" s="346"/>
      <c r="BV484" s="346"/>
      <c r="BW484" s="346"/>
      <c r="BX484" s="346"/>
      <c r="BY484" s="346"/>
      <c r="BZ484" s="346"/>
      <c r="CA484" s="346"/>
      <c r="CB484" s="346"/>
      <c r="CC484" s="346"/>
      <c r="CD484" s="346"/>
      <c r="CE484" s="347"/>
      <c r="CF484" s="346"/>
      <c r="CG484" s="346"/>
      <c r="CH484" s="346"/>
      <c r="CI484" s="346"/>
      <c r="CJ484" s="346"/>
      <c r="CK484" s="346"/>
      <c r="CL484" s="346"/>
      <c r="CM484" s="346"/>
      <c r="CN484" s="346"/>
      <c r="CO484" s="346"/>
      <c r="CP484" s="348"/>
      <c r="CQ484" s="346"/>
      <c r="CR484" s="346"/>
      <c r="CS484" s="346"/>
      <c r="CT484" s="346"/>
      <c r="CU484" s="346"/>
      <c r="CV484" s="346"/>
      <c r="CW484" s="346"/>
      <c r="CX484" s="346"/>
      <c r="CY484" s="346"/>
      <c r="CZ484" s="346"/>
      <c r="DA484" s="346"/>
      <c r="DB484" s="1479"/>
      <c r="DC484" s="346"/>
      <c r="DD484" s="346"/>
      <c r="DE484" s="346"/>
      <c r="DF484" s="346"/>
      <c r="DG484" s="346"/>
      <c r="DH484" s="346"/>
      <c r="DI484" s="346"/>
      <c r="DJ484" s="346"/>
      <c r="DK484" s="346"/>
      <c r="DL484" s="346"/>
      <c r="DM484" s="346"/>
      <c r="DN484" s="348"/>
      <c r="DO484" s="346"/>
      <c r="DP484" s="346"/>
      <c r="DQ484" s="346"/>
      <c r="DR484" s="346"/>
      <c r="DS484" s="346"/>
      <c r="DT484" s="346"/>
      <c r="DU484" s="346"/>
      <c r="DV484" s="346"/>
      <c r="DW484" s="346"/>
      <c r="DX484" s="346"/>
      <c r="DY484" s="346"/>
      <c r="DZ484" s="348"/>
      <c r="EA484" s="346"/>
      <c r="EB484" s="346"/>
      <c r="EC484" s="346"/>
      <c r="ED484" s="346"/>
      <c r="EE484" s="346"/>
      <c r="EF484" s="346"/>
      <c r="EG484" s="346"/>
      <c r="EH484" s="346"/>
      <c r="EI484" s="346"/>
      <c r="EJ484" s="346"/>
      <c r="EK484" s="346"/>
      <c r="EL484" s="348"/>
      <c r="EM484" s="346"/>
      <c r="EN484" s="346"/>
      <c r="EO484" s="346"/>
      <c r="EP484" s="346"/>
      <c r="EQ484" s="346"/>
      <c r="ER484" s="346"/>
      <c r="ES484" s="346"/>
      <c r="ET484" s="346"/>
      <c r="EU484" s="346"/>
      <c r="EV484" s="346"/>
      <c r="EW484" s="346"/>
      <c r="EX484" s="348"/>
      <c r="EY484" s="346"/>
      <c r="EZ484" s="346"/>
      <c r="FA484" s="346"/>
      <c r="FB484" s="346"/>
      <c r="FC484" s="346"/>
      <c r="FD484" s="346"/>
      <c r="FE484" s="346"/>
      <c r="FF484" s="346"/>
      <c r="FG484" s="346"/>
      <c r="FH484" s="346"/>
      <c r="FI484" s="346"/>
      <c r="FJ484" s="348"/>
      <c r="FK484" s="346"/>
      <c r="FL484" s="346"/>
      <c r="FM484" s="346"/>
      <c r="FN484" s="346"/>
      <c r="FO484" s="346"/>
      <c r="FP484" s="346"/>
      <c r="FQ484" s="346"/>
      <c r="FR484" s="346"/>
      <c r="FS484" s="346"/>
      <c r="FT484" s="346"/>
      <c r="FU484" s="346"/>
      <c r="FV484" s="346"/>
      <c r="FW484" s="346"/>
      <c r="FX484" s="346"/>
      <c r="FY484" s="346"/>
      <c r="FZ484" s="346"/>
      <c r="GA484" s="346"/>
      <c r="GB484" s="346"/>
      <c r="GC484" s="346"/>
      <c r="GD484" s="346"/>
      <c r="GE484" s="346"/>
      <c r="GF484" s="346"/>
      <c r="GG484" s="346"/>
      <c r="GH484" s="346"/>
      <c r="GI484" s="346"/>
      <c r="GJ484" s="346"/>
      <c r="GK484" s="346"/>
      <c r="GL484" s="346"/>
      <c r="GM484" s="346"/>
      <c r="GN484" s="346"/>
      <c r="GO484" s="346"/>
      <c r="GP484" s="346"/>
      <c r="GQ484" s="346"/>
      <c r="GR484" s="346"/>
      <c r="GS484" s="346"/>
      <c r="GT484" s="346"/>
      <c r="GU484" s="346"/>
      <c r="GV484" s="346"/>
      <c r="GW484" s="346"/>
      <c r="GX484" s="346"/>
      <c r="GY484" s="346"/>
      <c r="GZ484" s="346"/>
      <c r="HA484" s="346"/>
      <c r="HB484" s="346"/>
      <c r="HC484" s="346"/>
      <c r="HD484" s="346"/>
      <c r="HE484" s="346"/>
      <c r="HF484" s="346"/>
      <c r="HG484" s="346"/>
      <c r="HH484" s="346"/>
      <c r="HI484" s="346"/>
      <c r="HJ484" s="346"/>
      <c r="HK484" s="346"/>
      <c r="HL484" s="346"/>
      <c r="HM484" s="346"/>
      <c r="HN484" s="349"/>
      <c r="HO484" s="351" t="s">
        <v>1219</v>
      </c>
      <c r="HP484" s="351"/>
      <c r="HQ484" s="351"/>
      <c r="HR484" s="346"/>
      <c r="HU484" s="346"/>
      <c r="HV484" s="639"/>
      <c r="HW484" s="639"/>
      <c r="HX484" s="346"/>
      <c r="HY484" s="639"/>
      <c r="HZ484" s="639"/>
      <c r="IA484" s="346"/>
      <c r="ID484" s="346"/>
      <c r="IG484" s="346">
        <v>0</v>
      </c>
      <c r="IH484" s="350"/>
      <c r="II484" s="350"/>
      <c r="IJ484" s="346"/>
      <c r="IK484" s="302">
        <f>IM484*JI484</f>
        <v>0</v>
      </c>
      <c r="IL484" s="302">
        <f t="shared" si="85"/>
        <v>0</v>
      </c>
      <c r="IM484" s="346"/>
      <c r="IN484" s="302">
        <f>IP484*JI484</f>
        <v>0</v>
      </c>
      <c r="IO484" s="302">
        <f t="shared" si="73"/>
        <v>0</v>
      </c>
      <c r="IP484" s="346"/>
      <c r="IQ484" s="302">
        <f>IS484*JI484</f>
        <v>0</v>
      </c>
      <c r="IR484" s="302">
        <f t="shared" si="74"/>
        <v>0</v>
      </c>
      <c r="IS484" s="346"/>
      <c r="IT484" s="302">
        <f>IV484*JI484</f>
        <v>0</v>
      </c>
      <c r="IU484" s="302">
        <f t="shared" si="75"/>
        <v>0</v>
      </c>
      <c r="IV484" s="346"/>
      <c r="IW484" s="302">
        <f>IY484*JL484</f>
        <v>0</v>
      </c>
      <c r="IX484" s="302">
        <f t="shared" si="76"/>
        <v>0</v>
      </c>
      <c r="IY484" s="346"/>
      <c r="IZ484" s="302">
        <f>JB484*JO484</f>
        <v>0</v>
      </c>
      <c r="JA484" s="302">
        <f t="shared" si="77"/>
        <v>0</v>
      </c>
      <c r="JB484" s="346"/>
      <c r="JC484" s="346"/>
      <c r="KI484" s="349"/>
      <c r="KJ484" s="350"/>
    </row>
    <row r="485" spans="2:302">
      <c r="B485" s="117" t="s">
        <v>361</v>
      </c>
      <c r="D485" s="345" t="str">
        <f>+FISC!D691</f>
        <v>Non-tax revenue</v>
      </c>
      <c r="E485" s="346">
        <v>0.63800000000000001</v>
      </c>
      <c r="F485" s="346">
        <v>0.7</v>
      </c>
      <c r="G485" s="346">
        <v>1.762</v>
      </c>
      <c r="H485" s="346">
        <v>1.4554</v>
      </c>
      <c r="I485" s="346">
        <v>2.4798</v>
      </c>
      <c r="J485" s="346">
        <v>1.0267021159999998</v>
      </c>
      <c r="K485" s="346">
        <v>1.325134963</v>
      </c>
      <c r="L485" s="346">
        <v>1.1823786620000001</v>
      </c>
      <c r="M485" s="346">
        <v>0.98812228499999999</v>
      </c>
      <c r="N485" s="346">
        <v>1.0660012249999999</v>
      </c>
      <c r="O485" s="346">
        <v>1.1473684370000001</v>
      </c>
      <c r="P485" s="346">
        <v>1.3574988940000001</v>
      </c>
      <c r="Q485" s="346">
        <v>1.0689663060000001</v>
      </c>
      <c r="R485" s="346">
        <v>0.47417192699999999</v>
      </c>
      <c r="S485" s="346">
        <v>0.59401257600000001</v>
      </c>
      <c r="T485" s="346">
        <v>2.2699279219999999</v>
      </c>
      <c r="U485" s="346">
        <v>0.88966176299999999</v>
      </c>
      <c r="V485" s="346">
        <v>5.4689604989999996</v>
      </c>
      <c r="W485" s="346">
        <v>0.74990719400000005</v>
      </c>
      <c r="X485" s="346">
        <v>1.5054476299999999</v>
      </c>
      <c r="Y485" s="346">
        <v>1.4978132929999999</v>
      </c>
      <c r="Z485" s="346">
        <v>1.6170971139999999</v>
      </c>
      <c r="AA485" s="346">
        <v>1.3022962629999999</v>
      </c>
      <c r="AB485" s="346">
        <v>34.846184633</v>
      </c>
      <c r="AC485" s="346">
        <v>1.26965459</v>
      </c>
      <c r="AD485" s="346">
        <v>0.9598006309999999</v>
      </c>
      <c r="AE485" s="346">
        <v>0.719049092</v>
      </c>
      <c r="AF485" s="346">
        <v>1.8449459380000002</v>
      </c>
      <c r="AG485" s="346">
        <v>2.6058473040000001</v>
      </c>
      <c r="AH485" s="346">
        <v>2.7445247210000003</v>
      </c>
      <c r="AI485" s="346">
        <v>0.74884155799999996</v>
      </c>
      <c r="AJ485" s="346">
        <v>0.67060013699999999</v>
      </c>
      <c r="AK485" s="346">
        <v>1.9345288390000002</v>
      </c>
      <c r="AL485" s="346">
        <v>0.62467626199999993</v>
      </c>
      <c r="AM485" s="346">
        <v>1.0847</v>
      </c>
      <c r="AN485" s="346">
        <v>1.3372999999999999</v>
      </c>
      <c r="AO485" s="346">
        <v>0.6570363589999999</v>
      </c>
      <c r="AP485" s="346">
        <v>0.69221939599999993</v>
      </c>
      <c r="AQ485" s="346">
        <v>1.9481469629999999</v>
      </c>
      <c r="AR485" s="346">
        <v>1.2840613289999998</v>
      </c>
      <c r="AS485" s="346">
        <v>2.9102779999999999</v>
      </c>
      <c r="AT485" s="346">
        <v>1.1248757869999999</v>
      </c>
      <c r="AU485" s="346">
        <v>0.74080391000000001</v>
      </c>
      <c r="AV485" s="346">
        <v>2.293535125</v>
      </c>
      <c r="AW485" s="346">
        <v>1.619269705</v>
      </c>
      <c r="AX485" s="346">
        <v>1.573734736</v>
      </c>
      <c r="AY485" s="346">
        <v>2.1192670589999998</v>
      </c>
      <c r="AZ485" s="346">
        <v>1.159617195</v>
      </c>
      <c r="BA485" s="346">
        <v>1.532982581</v>
      </c>
      <c r="BB485" s="346">
        <v>0.82609032900000001</v>
      </c>
      <c r="BC485" s="346">
        <v>1.6990638899999999</v>
      </c>
      <c r="BD485" s="346">
        <v>1.0705552869999999</v>
      </c>
      <c r="BE485" s="346">
        <v>1.855411997</v>
      </c>
      <c r="BF485" s="346">
        <v>4.1324009269999999</v>
      </c>
      <c r="BG485" s="346">
        <v>0.98216621900000001</v>
      </c>
      <c r="BH485" s="346">
        <v>1.5476542690000001</v>
      </c>
      <c r="BI485" s="346">
        <v>18.611308763</v>
      </c>
      <c r="BJ485" s="346">
        <v>1.3096626769999999</v>
      </c>
      <c r="BK485" s="346">
        <v>1.289319721</v>
      </c>
      <c r="BL485" s="346">
        <v>1.814519301</v>
      </c>
      <c r="BM485" s="346">
        <v>0.85594105399999998</v>
      </c>
      <c r="BN485" s="346">
        <v>1.146992413</v>
      </c>
      <c r="BO485" s="346">
        <v>1.326270515</v>
      </c>
      <c r="BP485" s="346">
        <v>0.99352141500000002</v>
      </c>
      <c r="BQ485" s="346">
        <v>3.2683603640000003</v>
      </c>
      <c r="BR485" s="346">
        <v>1.603186861</v>
      </c>
      <c r="BS485" s="346">
        <v>4.5739000000000001</v>
      </c>
      <c r="BT485" s="346">
        <v>1.6313</v>
      </c>
      <c r="BU485" s="346">
        <v>2.9528000000000003</v>
      </c>
      <c r="BV485" s="346">
        <f t="shared" ref="BV485:DN485" si="141">BV486+BV487</f>
        <v>17.193684888484999</v>
      </c>
      <c r="BW485" s="346">
        <f t="shared" si="141"/>
        <v>1.4571766340000001</v>
      </c>
      <c r="BX485" s="346">
        <f t="shared" si="141"/>
        <v>14.251721727249999</v>
      </c>
      <c r="BY485" s="346">
        <f t="shared" si="141"/>
        <v>2.24969695945</v>
      </c>
      <c r="BZ485" s="346">
        <f t="shared" si="141"/>
        <v>2.018373279605</v>
      </c>
      <c r="CA485" s="346">
        <f t="shared" si="141"/>
        <v>17.57242797016</v>
      </c>
      <c r="CB485" s="346">
        <f t="shared" si="141"/>
        <v>3.2259754113740002</v>
      </c>
      <c r="CC485" s="346">
        <f t="shared" si="141"/>
        <v>3.8991865730000002</v>
      </c>
      <c r="CD485" s="346">
        <f t="shared" si="141"/>
        <v>12.456229765562</v>
      </c>
      <c r="CE485" s="347">
        <f t="shared" si="141"/>
        <v>10.472000000000001</v>
      </c>
      <c r="CF485" s="346">
        <f t="shared" si="141"/>
        <v>4.6310709642720003</v>
      </c>
      <c r="CG485" s="346">
        <f t="shared" si="141"/>
        <v>1.0840000000000001</v>
      </c>
      <c r="CH485" s="346">
        <f t="shared" si="141"/>
        <v>25.563350664405</v>
      </c>
      <c r="CI485" s="346">
        <f t="shared" si="141"/>
        <v>1.881</v>
      </c>
      <c r="CJ485" s="346">
        <f t="shared" si="141"/>
        <v>14.587791715239</v>
      </c>
      <c r="CK485" s="346">
        <f t="shared" si="141"/>
        <v>0.94499999999999995</v>
      </c>
      <c r="CL485" s="346">
        <f t="shared" si="141"/>
        <v>4.8629618529199998</v>
      </c>
      <c r="CM485" s="346">
        <f t="shared" si="141"/>
        <v>20.321441418391998</v>
      </c>
      <c r="CN485" s="346">
        <f t="shared" si="141"/>
        <v>1.7883200416640002</v>
      </c>
      <c r="CO485" s="346">
        <f t="shared" si="141"/>
        <v>2.8710656678419699</v>
      </c>
      <c r="CP485" s="348">
        <f t="shared" si="141"/>
        <v>21.436361426614216</v>
      </c>
      <c r="CQ485" s="346">
        <f t="shared" si="141"/>
        <v>0.79100000000000015</v>
      </c>
      <c r="CR485" s="346">
        <f t="shared" si="141"/>
        <v>3.7563615519562497</v>
      </c>
      <c r="CS485" s="346">
        <f t="shared" si="141"/>
        <v>3.8839999999999999</v>
      </c>
      <c r="CT485" s="346">
        <f t="shared" si="141"/>
        <v>12.68879818395687</v>
      </c>
      <c r="CU485" s="346">
        <f t="shared" si="141"/>
        <v>1.4751171243547898</v>
      </c>
      <c r="CV485" s="346">
        <f t="shared" si="141"/>
        <v>18.411874740465748</v>
      </c>
      <c r="CW485" s="346">
        <f t="shared" si="141"/>
        <v>11.367684637806196</v>
      </c>
      <c r="CX485" s="346">
        <f t="shared" si="141"/>
        <v>8.6401065097950003</v>
      </c>
      <c r="CY485" s="346">
        <f t="shared" si="141"/>
        <v>42.811966693337851</v>
      </c>
      <c r="CZ485" s="346">
        <f t="shared" si="141"/>
        <v>1.6637914325984489</v>
      </c>
      <c r="DA485" s="346">
        <f t="shared" si="141"/>
        <v>3.3558211264992943</v>
      </c>
      <c r="DB485" s="1479">
        <f t="shared" si="141"/>
        <v>22.226503742288347</v>
      </c>
      <c r="DC485" s="346">
        <f t="shared" si="141"/>
        <v>3.2357062895308539</v>
      </c>
      <c r="DD485" s="346">
        <f t="shared" si="141"/>
        <v>2.2745306210000003</v>
      </c>
      <c r="DE485" s="346">
        <f t="shared" si="141"/>
        <v>13.538169391189321</v>
      </c>
      <c r="DF485" s="346">
        <f t="shared" si="141"/>
        <v>25.970255474577556</v>
      </c>
      <c r="DG485" s="346">
        <f t="shared" si="141"/>
        <v>2.9217145879999999</v>
      </c>
      <c r="DH485" s="346">
        <f t="shared" si="141"/>
        <v>28.899659217306308</v>
      </c>
      <c r="DI485" s="346">
        <f t="shared" si="141"/>
        <v>4.8783868162208952</v>
      </c>
      <c r="DJ485" s="346">
        <f t="shared" si="141"/>
        <v>5.1171349970333333</v>
      </c>
      <c r="DK485" s="346">
        <f t="shared" si="141"/>
        <v>39.458440578257921</v>
      </c>
      <c r="DL485" s="346">
        <f t="shared" si="141"/>
        <v>5.5982327768414777</v>
      </c>
      <c r="DM485" s="346">
        <f t="shared" si="141"/>
        <v>5.6733429452304431</v>
      </c>
      <c r="DN485" s="348">
        <f t="shared" si="141"/>
        <v>30.030674571258459</v>
      </c>
      <c r="DO485" s="346">
        <f t="shared" ref="DO485:DT485" si="142">DO486+DO487</f>
        <v>3.139226632351471</v>
      </c>
      <c r="DP485" s="346">
        <f t="shared" si="142"/>
        <v>4.3104308683223937</v>
      </c>
      <c r="DQ485" s="346">
        <f t="shared" si="142"/>
        <v>34.138396147278925</v>
      </c>
      <c r="DR485" s="346">
        <f t="shared" si="142"/>
        <v>8.4164002147518424</v>
      </c>
      <c r="DS485" s="346">
        <f t="shared" si="142"/>
        <v>4.3640479725797494</v>
      </c>
      <c r="DT485" s="346">
        <f t="shared" si="142"/>
        <v>36.080605316319414</v>
      </c>
      <c r="DU485" s="346">
        <f t="shared" ref="DU485:DZ485" si="143">DU486+DU487</f>
        <v>4.7256739190000001</v>
      </c>
      <c r="DV485" s="346">
        <f t="shared" si="143"/>
        <v>3.9820055510000003</v>
      </c>
      <c r="DW485" s="346">
        <f t="shared" si="143"/>
        <v>35.373563149999995</v>
      </c>
      <c r="DX485" s="346">
        <f t="shared" si="143"/>
        <v>4.6096624586737072</v>
      </c>
      <c r="DY485" s="346">
        <f t="shared" si="143"/>
        <v>4.3156409504311304</v>
      </c>
      <c r="DZ485" s="348">
        <f t="shared" si="143"/>
        <v>37.981047289872791</v>
      </c>
      <c r="EA485" s="346">
        <f t="shared" ref="EA485:EL485" si="144">EA486+EA487</f>
        <v>3.7747904169598194</v>
      </c>
      <c r="EB485" s="346">
        <f t="shared" si="144"/>
        <v>3.850624947161176</v>
      </c>
      <c r="EC485" s="346">
        <f t="shared" si="144"/>
        <v>23.944789484223197</v>
      </c>
      <c r="ED485" s="346">
        <f t="shared" si="144"/>
        <v>24.653779752809818</v>
      </c>
      <c r="EE485" s="346">
        <f t="shared" si="144"/>
        <v>5.0656971795211758</v>
      </c>
      <c r="EF485" s="346">
        <f t="shared" si="144"/>
        <v>44.984142464343194</v>
      </c>
      <c r="EG485" s="346">
        <f t="shared" si="144"/>
        <v>7.0997570754502544</v>
      </c>
      <c r="EH485" s="346">
        <f t="shared" si="144"/>
        <v>4.6377380185312855</v>
      </c>
      <c r="EI485" s="346">
        <f t="shared" si="144"/>
        <v>18.935155720244818</v>
      </c>
      <c r="EJ485" s="346">
        <f t="shared" si="144"/>
        <v>32.54941474084071</v>
      </c>
      <c r="EK485" s="346">
        <f t="shared" si="144"/>
        <v>13.431871230473039</v>
      </c>
      <c r="EL485" s="348">
        <f t="shared" si="144"/>
        <v>25.692363801934825</v>
      </c>
      <c r="EM485" s="346">
        <f t="shared" ref="EM485:ER485" si="145">EM486+EM487+EM489+EM490</f>
        <v>5.9600644590000007</v>
      </c>
      <c r="EN485" s="346">
        <f t="shared" si="145"/>
        <v>39.356742009381385</v>
      </c>
      <c r="EO485" s="346">
        <f t="shared" si="145"/>
        <v>45.322375710361626</v>
      </c>
      <c r="EP485" s="346">
        <f t="shared" si="145"/>
        <v>17.125195411212015</v>
      </c>
      <c r="EQ485" s="346">
        <f t="shared" si="145"/>
        <v>8.1720435953090487</v>
      </c>
      <c r="ER485" s="346">
        <f t="shared" si="145"/>
        <v>33.755254288447368</v>
      </c>
      <c r="ES485" s="346">
        <f t="shared" ref="ES485:EX485" si="146">ES486+ES487+ES489+ES490</f>
        <v>9.1031732910000009</v>
      </c>
      <c r="ET485" s="346">
        <f t="shared" si="146"/>
        <v>4.6069323351000007</v>
      </c>
      <c r="EU485" s="346">
        <f>EU486+EU487+EU489+EU490</f>
        <v>42.378868628999996</v>
      </c>
      <c r="EV485" s="346">
        <f t="shared" si="146"/>
        <v>14.948222717836888</v>
      </c>
      <c r="EW485" s="346">
        <f t="shared" si="146"/>
        <v>5.753748055</v>
      </c>
      <c r="EX485" s="348">
        <f t="shared" si="146"/>
        <v>24.929637796999998</v>
      </c>
      <c r="EY485" s="346"/>
      <c r="EZ485" s="346"/>
      <c r="FA485" s="346"/>
      <c r="FB485" s="346"/>
      <c r="FC485" s="346"/>
      <c r="FD485" s="346"/>
      <c r="FE485" s="346"/>
      <c r="FF485" s="346"/>
      <c r="FG485" s="346"/>
      <c r="FH485" s="346"/>
      <c r="FI485" s="346"/>
      <c r="FJ485" s="348"/>
      <c r="FK485" s="346"/>
      <c r="FL485" s="346"/>
      <c r="FM485" s="346"/>
      <c r="FN485" s="346"/>
      <c r="FO485" s="346"/>
      <c r="FP485" s="346"/>
      <c r="FQ485" s="346"/>
      <c r="FR485" s="346"/>
      <c r="FS485" s="346"/>
      <c r="FT485" s="346"/>
      <c r="FU485" s="346"/>
      <c r="FV485" s="346"/>
      <c r="FW485" s="346"/>
      <c r="FX485" s="346"/>
      <c r="FY485" s="346"/>
      <c r="FZ485" s="346"/>
      <c r="GA485" s="346"/>
      <c r="GB485" s="346"/>
      <c r="GC485" s="346"/>
      <c r="GD485" s="346"/>
      <c r="GE485" s="346"/>
      <c r="GF485" s="346"/>
      <c r="GG485" s="346"/>
      <c r="GH485" s="346"/>
      <c r="GI485" s="346"/>
      <c r="GJ485" s="346"/>
      <c r="GK485" s="346"/>
      <c r="GL485" s="346"/>
      <c r="GM485" s="346"/>
      <c r="GN485" s="346"/>
      <c r="GO485" s="346"/>
      <c r="GP485" s="346"/>
      <c r="GQ485" s="346"/>
      <c r="GR485" s="346"/>
      <c r="GS485" s="346"/>
      <c r="GT485" s="346"/>
      <c r="GU485" s="346"/>
      <c r="GV485" s="346"/>
      <c r="GW485" s="346"/>
      <c r="GX485" s="346"/>
      <c r="GY485" s="346"/>
      <c r="GZ485" s="346"/>
      <c r="HA485" s="346"/>
      <c r="HB485" s="346"/>
      <c r="HC485" s="346"/>
      <c r="HD485" s="346"/>
      <c r="HE485" s="346"/>
      <c r="HF485" s="346"/>
      <c r="HG485" s="346"/>
      <c r="HH485" s="346"/>
      <c r="HI485" s="346"/>
      <c r="HJ485" s="346"/>
      <c r="HK485" s="346"/>
      <c r="HL485" s="346"/>
      <c r="HM485" s="346"/>
      <c r="HN485" s="349"/>
      <c r="HO485" s="345" t="s">
        <v>145</v>
      </c>
      <c r="HP485" s="345"/>
      <c r="HQ485" s="345"/>
      <c r="HR485" s="346">
        <f>+FISC!Z691</f>
        <v>131.19999999999999</v>
      </c>
      <c r="HS485" s="302">
        <f>HS486+HS487</f>
        <v>41.00715160073365</v>
      </c>
      <c r="HT485" s="302">
        <f>HT486+HT487</f>
        <v>90.065874142325129</v>
      </c>
      <c r="HU485" s="346">
        <f>HU486+HU487</f>
        <v>131.07302574305879</v>
      </c>
      <c r="HV485" s="302">
        <f>HV486+HV487</f>
        <v>76.840035581604042</v>
      </c>
      <c r="HW485" s="302">
        <f>+SUM(DI485:DN485)</f>
        <v>90.756212684842524</v>
      </c>
      <c r="HX485" s="346">
        <f t="shared" si="100"/>
        <v>167.59624826644657</v>
      </c>
      <c r="HY485" s="302">
        <f>HY486+HY487</f>
        <v>90.449107151603783</v>
      </c>
      <c r="HZ485" s="302">
        <f>SUM(DU485:DZ485)</f>
        <v>90.98759331897763</v>
      </c>
      <c r="IA485" s="346">
        <f t="shared" si="103"/>
        <v>181.4367004705814</v>
      </c>
      <c r="IB485" s="302">
        <f>IB486+IB487</f>
        <v>106.2738242450184</v>
      </c>
      <c r="IC485" s="302">
        <f>IC486+IC487</f>
        <v>102.34630058747493</v>
      </c>
      <c r="ID485" s="346">
        <f>FISC!AC691</f>
        <v>208.62012483249333</v>
      </c>
      <c r="IE485" s="302">
        <f t="shared" ref="IE485:IE498" si="147">SUM(EM485:ER485)</f>
        <v>149.69167547371146</v>
      </c>
      <c r="IF485" s="302">
        <f t="shared" ref="IF485:IF498" si="148">SUM(ES485:EX485)</f>
        <v>101.72058282493688</v>
      </c>
      <c r="IG485" s="346">
        <f>IE485+IF485</f>
        <v>251.41225829864834</v>
      </c>
      <c r="IH485" s="302">
        <f>(IH486+IH487)*0+145.298990572523</f>
        <v>145.298990572523</v>
      </c>
      <c r="II485" s="302">
        <f>IJ485-IH485</f>
        <v>96.367906983169632</v>
      </c>
      <c r="IJ485" s="346">
        <f>+FISC!AE691</f>
        <v>241.66689755569263</v>
      </c>
      <c r="IK485" s="350">
        <f>(IK486+IK487)</f>
        <v>87.438502688323297</v>
      </c>
      <c r="IL485" s="302">
        <f t="shared" si="85"/>
        <v>131.89971305732962</v>
      </c>
      <c r="IM485" s="346">
        <f>+FISC!AF691</f>
        <v>219.33821574565292</v>
      </c>
      <c r="IN485" s="350">
        <f>(IN486+IN487)</f>
        <v>107.73427319381855</v>
      </c>
      <c r="IO485" s="302">
        <f>IP485-IN485</f>
        <v>218.81126969198809</v>
      </c>
      <c r="IP485" s="346">
        <f>+FISC!AG691</f>
        <v>326.54554288580664</v>
      </c>
      <c r="IQ485" s="350">
        <f>IQ486+IQ487</f>
        <v>180.50194968607943</v>
      </c>
      <c r="IR485" s="302">
        <f t="shared" si="74"/>
        <v>211.32236455417925</v>
      </c>
      <c r="IS485" s="346">
        <f>+FISC!AH691</f>
        <v>391.82431424025867</v>
      </c>
      <c r="IT485" s="350">
        <f>IT486+IT487</f>
        <v>227.71860592318473</v>
      </c>
      <c r="IU485" s="302">
        <f t="shared" si="75"/>
        <v>263.55327804249174</v>
      </c>
      <c r="IV485" s="346">
        <f>+FISC!AI691</f>
        <v>491.27188396567647</v>
      </c>
      <c r="IW485" s="350">
        <f>IW486+IW487</f>
        <v>0</v>
      </c>
      <c r="IX485" s="302">
        <f t="shared" si="76"/>
        <v>0</v>
      </c>
      <c r="IY485" s="346">
        <f>+FISC!AJ691</f>
        <v>0</v>
      </c>
      <c r="IZ485" s="350" t="e">
        <f>IZ486+IZ487</f>
        <v>#DIV/0!</v>
      </c>
      <c r="JA485" s="302" t="e">
        <f t="shared" si="77"/>
        <v>#DIV/0!</v>
      </c>
      <c r="JB485" s="346" t="e">
        <f>+FISC!AK691</f>
        <v>#DIV/0!</v>
      </c>
      <c r="JC485" s="346"/>
      <c r="KI485" s="349"/>
      <c r="KJ485" s="350"/>
      <c r="KM485" s="302">
        <f>KM486+KM487</f>
        <v>0</v>
      </c>
      <c r="KN485" s="302">
        <f>KN486+KN487</f>
        <v>0</v>
      </c>
      <c r="KO485" s="302">
        <f>KO486+KO487</f>
        <v>0</v>
      </c>
      <c r="KP485" s="302">
        <f>KP486+KP487</f>
        <v>0</v>
      </c>
    </row>
    <row r="486" spans="2:302" ht="16.5">
      <c r="B486" s="117" t="s">
        <v>361</v>
      </c>
      <c r="D486" s="351" t="str">
        <f>+FISC!D692</f>
        <v xml:space="preserve">  PKO disbursements</v>
      </c>
      <c r="E486" s="346"/>
      <c r="F486" s="346"/>
      <c r="G486" s="346"/>
      <c r="H486" s="346"/>
      <c r="I486" s="346"/>
      <c r="J486" s="346"/>
      <c r="K486" s="346"/>
      <c r="L486" s="346"/>
      <c r="M486" s="346"/>
      <c r="N486" s="346"/>
      <c r="O486" s="346"/>
      <c r="P486" s="346"/>
      <c r="Q486" s="346"/>
      <c r="R486" s="346"/>
      <c r="S486" s="346"/>
      <c r="T486" s="346"/>
      <c r="U486" s="346"/>
      <c r="V486" s="346"/>
      <c r="W486" s="346"/>
      <c r="X486" s="346"/>
      <c r="Y486" s="346"/>
      <c r="Z486" s="346"/>
      <c r="AA486" s="346"/>
      <c r="AB486" s="346"/>
      <c r="AC486" s="346"/>
      <c r="AD486" s="346"/>
      <c r="AE486" s="346"/>
      <c r="AF486" s="346"/>
      <c r="AG486" s="346"/>
      <c r="AH486" s="346"/>
      <c r="AI486" s="346"/>
      <c r="AJ486" s="346"/>
      <c r="AK486" s="346"/>
      <c r="AL486" s="346"/>
      <c r="AM486" s="346"/>
      <c r="AN486" s="346"/>
      <c r="AO486" s="346"/>
      <c r="AP486" s="346"/>
      <c r="AQ486" s="346"/>
      <c r="AR486" s="346"/>
      <c r="AS486" s="346"/>
      <c r="AT486" s="346"/>
      <c r="AU486" s="346"/>
      <c r="AV486" s="346"/>
      <c r="AW486" s="346"/>
      <c r="AX486" s="346"/>
      <c r="AY486" s="346"/>
      <c r="AZ486" s="346"/>
      <c r="BA486" s="346"/>
      <c r="BB486" s="346"/>
      <c r="BC486" s="346"/>
      <c r="BD486" s="346"/>
      <c r="BE486" s="346"/>
      <c r="BF486" s="346"/>
      <c r="BG486" s="346"/>
      <c r="BH486" s="346"/>
      <c r="BI486" s="346"/>
      <c r="BJ486" s="346"/>
      <c r="BK486" s="346"/>
      <c r="BL486" s="346"/>
      <c r="BM486" s="346"/>
      <c r="BN486" s="346"/>
      <c r="BO486" s="346"/>
      <c r="BP486" s="346"/>
      <c r="BQ486" s="346"/>
      <c r="BR486" s="346"/>
      <c r="BS486" s="346"/>
      <c r="BT486" s="346"/>
      <c r="BU486" s="346"/>
      <c r="BV486" s="346">
        <v>16.116490406484999</v>
      </c>
      <c r="BW486" s="346">
        <v>0</v>
      </c>
      <c r="BX486" s="346">
        <v>13.101687593249999</v>
      </c>
      <c r="BY486" s="346">
        <v>0.50452893644999997</v>
      </c>
      <c r="BZ486" s="346">
        <v>9.1953279604999993E-2</v>
      </c>
      <c r="CA486" s="346">
        <v>15.85818579016</v>
      </c>
      <c r="CB486" s="346">
        <v>1.5509446483740001</v>
      </c>
      <c r="CC486" s="346">
        <v>0</v>
      </c>
      <c r="CD486" s="346">
        <v>12.456229765562</v>
      </c>
      <c r="CE486" s="347">
        <f t="shared" ref="CE486:DJ486" si="149">CE143</f>
        <v>0</v>
      </c>
      <c r="CF486" s="346">
        <f t="shared" si="149"/>
        <v>1.7720709642719998</v>
      </c>
      <c r="CG486" s="346">
        <f t="shared" si="149"/>
        <v>0</v>
      </c>
      <c r="CH486" s="346">
        <f t="shared" si="149"/>
        <v>24.277350664404999</v>
      </c>
      <c r="CI486" s="346">
        <f t="shared" si="149"/>
        <v>0</v>
      </c>
      <c r="CJ486" s="346">
        <f t="shared" si="149"/>
        <v>13.187791715238999</v>
      </c>
      <c r="CK486" s="346">
        <f t="shared" si="149"/>
        <v>0</v>
      </c>
      <c r="CL486" s="346">
        <f t="shared" si="149"/>
        <v>3.1359618529199995</v>
      </c>
      <c r="CM486" s="346">
        <f t="shared" si="149"/>
        <v>18.798441418391999</v>
      </c>
      <c r="CN486" s="346">
        <f t="shared" si="149"/>
        <v>0.34932004166400005</v>
      </c>
      <c r="CO486" s="346">
        <f t="shared" si="149"/>
        <v>0.85506566784197013</v>
      </c>
      <c r="CP486" s="348">
        <f t="shared" si="149"/>
        <v>19.123361426614217</v>
      </c>
      <c r="CQ486" s="346">
        <f t="shared" si="149"/>
        <v>0</v>
      </c>
      <c r="CR486" s="346">
        <f t="shared" si="149"/>
        <v>0.5883615519562494</v>
      </c>
      <c r="CS486" s="346">
        <f t="shared" si="149"/>
        <v>0</v>
      </c>
      <c r="CT486" s="346">
        <f t="shared" si="149"/>
        <v>11.61679818395687</v>
      </c>
      <c r="CU486" s="346">
        <f t="shared" si="149"/>
        <v>0.33011712435478979</v>
      </c>
      <c r="CV486" s="346">
        <f t="shared" si="149"/>
        <v>17.265874740465748</v>
      </c>
      <c r="CW486" s="346">
        <f t="shared" si="149"/>
        <v>2.7175781280111959</v>
      </c>
      <c r="CX486" s="346">
        <f t="shared" si="149"/>
        <v>0</v>
      </c>
      <c r="CY486" s="346">
        <f t="shared" si="149"/>
        <v>38.517094814337852</v>
      </c>
      <c r="CZ486" s="346">
        <f t="shared" si="149"/>
        <v>0.38879143259844884</v>
      </c>
      <c r="DA486" s="346">
        <f t="shared" si="149"/>
        <v>1.7278211264992944</v>
      </c>
      <c r="DB486" s="1479">
        <f t="shared" si="149"/>
        <v>15.710503742288347</v>
      </c>
      <c r="DC486" s="346">
        <f t="shared" si="149"/>
        <v>0.40936406353085403</v>
      </c>
      <c r="DD486" s="346">
        <f t="shared" si="149"/>
        <v>0</v>
      </c>
      <c r="DE486" s="346">
        <f t="shared" si="149"/>
        <v>9.8312581181893215</v>
      </c>
      <c r="DF486" s="346">
        <f t="shared" si="149"/>
        <v>23.229991356577557</v>
      </c>
      <c r="DG486" s="346">
        <f t="shared" si="149"/>
        <v>0</v>
      </c>
      <c r="DH486" s="346">
        <f t="shared" si="149"/>
        <v>23.628131229306309</v>
      </c>
      <c r="DI486" s="346">
        <f t="shared" si="149"/>
        <v>1.1791709588875621</v>
      </c>
      <c r="DJ486" s="346">
        <f t="shared" si="149"/>
        <v>0.4497606167</v>
      </c>
      <c r="DK486" s="346">
        <f t="shared" ref="DK486:EP486" si="150">DK143</f>
        <v>34.610282378924587</v>
      </c>
      <c r="DL486" s="346">
        <f t="shared" si="150"/>
        <v>2.9093187925081443</v>
      </c>
      <c r="DM486" s="346">
        <f t="shared" si="150"/>
        <v>3.1594757378971106</v>
      </c>
      <c r="DN486" s="348">
        <f t="shared" si="150"/>
        <v>23.469734304034194</v>
      </c>
      <c r="DO486" s="346">
        <f t="shared" si="150"/>
        <v>0</v>
      </c>
      <c r="DP486" s="346">
        <f t="shared" si="150"/>
        <v>0.98663778608928798</v>
      </c>
      <c r="DQ486" s="346">
        <f t="shared" si="150"/>
        <v>30.6916736158635</v>
      </c>
      <c r="DR486" s="346">
        <f t="shared" si="150"/>
        <v>5.1912726848505697</v>
      </c>
      <c r="DS486" s="346">
        <f t="shared" si="150"/>
        <v>0.94421367807399592</v>
      </c>
      <c r="DT486" s="346">
        <f t="shared" si="150"/>
        <v>29.1840918763452</v>
      </c>
      <c r="DU486" s="346">
        <f t="shared" si="150"/>
        <v>0.60009464499999998</v>
      </c>
      <c r="DV486" s="346">
        <f t="shared" si="150"/>
        <v>0</v>
      </c>
      <c r="DW486" s="346">
        <f t="shared" si="150"/>
        <v>30.829238118999999</v>
      </c>
      <c r="DX486" s="346">
        <f t="shared" si="150"/>
        <v>0.91944851502037372</v>
      </c>
      <c r="DY486" s="346">
        <f t="shared" si="150"/>
        <v>-3.3338816902200002E-2</v>
      </c>
      <c r="DZ486" s="348">
        <f t="shared" si="150"/>
        <v>29.185968453719461</v>
      </c>
      <c r="EA486" s="346">
        <f t="shared" si="150"/>
        <v>0</v>
      </c>
      <c r="EB486" s="346">
        <f t="shared" si="150"/>
        <v>0.17040291900000001</v>
      </c>
      <c r="EC486" s="346">
        <f t="shared" si="150"/>
        <v>19.936310155000001</v>
      </c>
      <c r="ED486" s="346">
        <f t="shared" si="150"/>
        <v>20.019976621000001</v>
      </c>
      <c r="EE486" s="346">
        <f t="shared" si="150"/>
        <v>1.6791619000000001E-2</v>
      </c>
      <c r="EF486" s="346">
        <f t="shared" si="150"/>
        <v>37.238308513</v>
      </c>
      <c r="EG486" s="346">
        <f t="shared" si="150"/>
        <v>2.9896607500000001</v>
      </c>
      <c r="EH486" s="346">
        <f t="shared" si="150"/>
        <v>0.76391849999999994</v>
      </c>
      <c r="EI486" s="346">
        <f t="shared" si="150"/>
        <v>14.176089981000001</v>
      </c>
      <c r="EJ486" s="346">
        <f t="shared" si="150"/>
        <v>28.108518197999999</v>
      </c>
      <c r="EK486" s="346">
        <f t="shared" si="150"/>
        <v>8.8087290280000001</v>
      </c>
      <c r="EL486" s="348">
        <f t="shared" si="150"/>
        <v>17.824047086</v>
      </c>
      <c r="EM486" s="346">
        <f t="shared" si="150"/>
        <v>1.040743655</v>
      </c>
      <c r="EN486" s="346">
        <f t="shared" si="150"/>
        <v>35.179826772381382</v>
      </c>
      <c r="EO486" s="346">
        <f t="shared" si="150"/>
        <v>33.762265653361624</v>
      </c>
      <c r="EP486" s="346">
        <f t="shared" si="150"/>
        <v>9.9046028402120143</v>
      </c>
      <c r="EQ486" s="346">
        <f t="shared" ref="EQ486:EX486" si="151">EQ143</f>
        <v>1.0126375309049999E-2</v>
      </c>
      <c r="ER486" s="346">
        <f t="shared" si="151"/>
        <v>18.935746700447371</v>
      </c>
      <c r="ES486" s="346">
        <f t="shared" si="151"/>
        <v>2.693545458</v>
      </c>
      <c r="ET486" s="346">
        <f t="shared" si="151"/>
        <v>2.9231045000000001E-2</v>
      </c>
      <c r="EU486" s="346">
        <f t="shared" si="151"/>
        <v>30.297280623999995</v>
      </c>
      <c r="EV486" s="346">
        <f t="shared" si="151"/>
        <v>9.2162746708368886</v>
      </c>
      <c r="EW486" s="346">
        <f t="shared" si="151"/>
        <v>0</v>
      </c>
      <c r="EX486" s="348">
        <f t="shared" si="151"/>
        <v>9.9581608889999984</v>
      </c>
      <c r="EY486" s="346"/>
      <c r="EZ486" s="346"/>
      <c r="FA486" s="346"/>
      <c r="FB486" s="346"/>
      <c r="FC486" s="346"/>
      <c r="FD486" s="346"/>
      <c r="FE486" s="346"/>
      <c r="FF486" s="346"/>
      <c r="FG486" s="346"/>
      <c r="FH486" s="346"/>
      <c r="FI486" s="346"/>
      <c r="FJ486" s="348"/>
      <c r="FK486" s="346"/>
      <c r="FL486" s="346"/>
      <c r="FM486" s="346"/>
      <c r="FN486" s="346"/>
      <c r="FO486" s="346"/>
      <c r="FP486" s="346"/>
      <c r="FQ486" s="346"/>
      <c r="FR486" s="346"/>
      <c r="FS486" s="346"/>
      <c r="FT486" s="346"/>
      <c r="FU486" s="346"/>
      <c r="FV486" s="346"/>
      <c r="FW486" s="346"/>
      <c r="FX486" s="346"/>
      <c r="FY486" s="346"/>
      <c r="FZ486" s="346"/>
      <c r="GA486" s="346"/>
      <c r="GB486" s="346"/>
      <c r="GC486" s="346"/>
      <c r="GD486" s="346"/>
      <c r="GE486" s="346"/>
      <c r="GF486" s="346"/>
      <c r="GG486" s="346"/>
      <c r="GH486" s="346"/>
      <c r="GI486" s="346"/>
      <c r="GJ486" s="346"/>
      <c r="GK486" s="346"/>
      <c r="GL486" s="346"/>
      <c r="GM486" s="346"/>
      <c r="GN486" s="346"/>
      <c r="GO486" s="346"/>
      <c r="GP486" s="346"/>
      <c r="GQ486" s="346"/>
      <c r="GR486" s="346"/>
      <c r="GS486" s="346"/>
      <c r="GT486" s="346"/>
      <c r="GU486" s="346"/>
      <c r="GV486" s="346"/>
      <c r="GW486" s="346"/>
      <c r="GX486" s="346"/>
      <c r="GY486" s="346"/>
      <c r="GZ486" s="346"/>
      <c r="HA486" s="346"/>
      <c r="HB486" s="346"/>
      <c r="HC486" s="346"/>
      <c r="HD486" s="346"/>
      <c r="HE486" s="346"/>
      <c r="HF486" s="346"/>
      <c r="HG486" s="346"/>
      <c r="HH486" s="346"/>
      <c r="HI486" s="346"/>
      <c r="HJ486" s="346"/>
      <c r="HK486" s="346"/>
      <c r="HL486" s="346"/>
      <c r="HM486" s="346"/>
      <c r="HN486" s="349"/>
      <c r="HO486" s="351" t="s">
        <v>823</v>
      </c>
      <c r="HP486" s="351"/>
      <c r="HQ486" s="351"/>
      <c r="HR486" s="346">
        <f>+FISC!Z692</f>
        <v>89</v>
      </c>
      <c r="HS486" s="302">
        <f>SUM(CQ486:CV486)</f>
        <v>29.801151600733654</v>
      </c>
      <c r="HT486" s="302">
        <f>SUM(CW486:DB486)</f>
        <v>59.061789243735134</v>
      </c>
      <c r="HU486" s="346">
        <f>SUM(CQ486:DB486)</f>
        <v>88.862940844468795</v>
      </c>
      <c r="HV486" s="477">
        <f>+SUM(DC486:DH486)</f>
        <v>57.098744767604046</v>
      </c>
      <c r="HW486" s="302">
        <f>+SUM(DI486:DN486)</f>
        <v>65.777742788951599</v>
      </c>
      <c r="HX486" s="346">
        <f t="shared" si="100"/>
        <v>122.87648755655565</v>
      </c>
      <c r="HY486" s="477">
        <f>+SUM(DO486:DT486)</f>
        <v>66.997889641222542</v>
      </c>
      <c r="HZ486" s="302">
        <f>SUM(DU486:DZ486)</f>
        <v>61.501410915837631</v>
      </c>
      <c r="IA486" s="346">
        <f t="shared" si="103"/>
        <v>128.49930055706017</v>
      </c>
      <c r="IB486" s="1154">
        <v>77.381789827000006</v>
      </c>
      <c r="IC486" s="302">
        <f>+(ID486-IB486)</f>
        <v>72.670963542999999</v>
      </c>
      <c r="ID486" s="346">
        <f>FISC!AC692</f>
        <v>150.05275337</v>
      </c>
      <c r="IE486" s="302">
        <f t="shared" si="147"/>
        <v>98.833311996711444</v>
      </c>
      <c r="IF486" s="302">
        <f t="shared" si="148"/>
        <v>52.194492686836881</v>
      </c>
      <c r="IG486" s="346">
        <f>IE486+IF486</f>
        <v>151.02780468354831</v>
      </c>
      <c r="IH486" s="302">
        <f>++(FISC!AD291*FISC!AE253/1000)*0+95.5101381005232</f>
        <v>95.510138100523207</v>
      </c>
      <c r="II486" s="302">
        <f>+IJ486-IH486</f>
        <v>73.767482580684018</v>
      </c>
      <c r="IJ486" s="346">
        <f>+FISC!AE692</f>
        <v>169.27762068120722</v>
      </c>
      <c r="IK486" s="302">
        <f>++(FISC!AE291*FISC!AF253/1000)</f>
        <v>52.359322579499988</v>
      </c>
      <c r="IL486" s="302">
        <f t="shared" si="85"/>
        <v>89.557838506813638</v>
      </c>
      <c r="IM486" s="346">
        <f>+FISC!AF692</f>
        <v>141.91716108631363</v>
      </c>
      <c r="IN486" s="302">
        <f>++(FISC!AF291*FISC!AG253/1000)</f>
        <v>55.420986193818557</v>
      </c>
      <c r="IO486" s="302">
        <f>IP486-IN486</f>
        <v>85.166718668608183</v>
      </c>
      <c r="IP486" s="346">
        <f>+FISC!AG692</f>
        <v>140.58770486242673</v>
      </c>
      <c r="IQ486" s="302">
        <f>++(FISC!AH291*FISC!AH253/1000)</f>
        <v>60.518540563908395</v>
      </c>
      <c r="IR486" s="302">
        <f t="shared" si="74"/>
        <v>91.338955432008191</v>
      </c>
      <c r="IS486" s="346">
        <f>+FISC!AH692</f>
        <v>151.85749599591659</v>
      </c>
      <c r="IT486" s="302">
        <f>++(FISC!AI291*FISC!AI253/1000)</f>
        <v>70.36446678371216</v>
      </c>
      <c r="IU486" s="302">
        <f t="shared" si="75"/>
        <v>106.19913890301915</v>
      </c>
      <c r="IV486" s="346">
        <f>+FISC!AI692</f>
        <v>176.56360568673131</v>
      </c>
      <c r="IW486" s="302">
        <f>++(FISC!AJ291*FISC!AJ253/1000)</f>
        <v>0</v>
      </c>
      <c r="IX486" s="302">
        <f t="shared" si="76"/>
        <v>0</v>
      </c>
      <c r="IY486" s="346">
        <f>+FISC!AJ692</f>
        <v>0</v>
      </c>
      <c r="IZ486" s="302">
        <f>++(FISC!AK291*FISC!AK253/1000)</f>
        <v>0</v>
      </c>
      <c r="JA486" s="302">
        <f t="shared" si="77"/>
        <v>0</v>
      </c>
      <c r="JB486" s="346">
        <f>+FISC!AK692</f>
        <v>0</v>
      </c>
      <c r="JC486" s="346"/>
      <c r="KI486" s="349"/>
      <c r="KJ486" s="350"/>
    </row>
    <row r="487" spans="2:302">
      <c r="B487" s="117" t="s">
        <v>361</v>
      </c>
      <c r="D487" s="351" t="str">
        <f>+FISC!D693</f>
        <v xml:space="preserve">  Other (incl.  local government fees)</v>
      </c>
      <c r="E487" s="346"/>
      <c r="F487" s="346"/>
      <c r="G487" s="346"/>
      <c r="H487" s="346"/>
      <c r="I487" s="346"/>
      <c r="J487" s="346"/>
      <c r="K487" s="346"/>
      <c r="L487" s="346"/>
      <c r="M487" s="346"/>
      <c r="N487" s="346"/>
      <c r="O487" s="346"/>
      <c r="P487" s="346"/>
      <c r="Q487" s="346"/>
      <c r="R487" s="346"/>
      <c r="S487" s="346"/>
      <c r="T487" s="346"/>
      <c r="U487" s="346"/>
      <c r="V487" s="346"/>
      <c r="W487" s="346"/>
      <c r="X487" s="346"/>
      <c r="Y487" s="346"/>
      <c r="Z487" s="346"/>
      <c r="AA487" s="346"/>
      <c r="AB487" s="346"/>
      <c r="AC487" s="346"/>
      <c r="AD487" s="346"/>
      <c r="AE487" s="346"/>
      <c r="AF487" s="346"/>
      <c r="AG487" s="346"/>
      <c r="AH487" s="346"/>
      <c r="AI487" s="346"/>
      <c r="AJ487" s="346"/>
      <c r="AK487" s="346"/>
      <c r="AL487" s="346"/>
      <c r="AM487" s="346"/>
      <c r="AN487" s="346"/>
      <c r="AO487" s="346"/>
      <c r="AP487" s="346"/>
      <c r="AQ487" s="346"/>
      <c r="AR487" s="346"/>
      <c r="AS487" s="346"/>
      <c r="AT487" s="346"/>
      <c r="AU487" s="346"/>
      <c r="AV487" s="346"/>
      <c r="AW487" s="346"/>
      <c r="AX487" s="346"/>
      <c r="AY487" s="346"/>
      <c r="AZ487" s="346"/>
      <c r="BA487" s="346"/>
      <c r="BB487" s="346"/>
      <c r="BC487" s="346"/>
      <c r="BD487" s="346"/>
      <c r="BE487" s="346"/>
      <c r="BF487" s="346"/>
      <c r="BG487" s="346"/>
      <c r="BH487" s="346"/>
      <c r="BI487" s="346"/>
      <c r="BJ487" s="346"/>
      <c r="BK487" s="346"/>
      <c r="BL487" s="346"/>
      <c r="BM487" s="346"/>
      <c r="BN487" s="346"/>
      <c r="BO487" s="346"/>
      <c r="BP487" s="346"/>
      <c r="BQ487" s="346"/>
      <c r="BR487" s="346"/>
      <c r="BS487" s="346"/>
      <c r="BT487" s="346"/>
      <c r="BU487" s="346"/>
      <c r="BV487" s="346">
        <v>1.0771944819999999</v>
      </c>
      <c r="BW487" s="346">
        <v>1.4571766340000001</v>
      </c>
      <c r="BX487" s="346">
        <v>1.150034134</v>
      </c>
      <c r="BY487" s="346">
        <v>1.745168023</v>
      </c>
      <c r="BZ487" s="346">
        <v>1.92642</v>
      </c>
      <c r="CA487" s="346">
        <v>1.7142421800000001</v>
      </c>
      <c r="CB487" s="346">
        <v>1.6750307630000001</v>
      </c>
      <c r="CC487" s="346">
        <v>3.8991865730000002</v>
      </c>
      <c r="CD487" s="346">
        <v>0</v>
      </c>
      <c r="CE487" s="347">
        <f t="shared" ref="CE487:DB487" si="152">CE133+CE213</f>
        <v>10.472000000000001</v>
      </c>
      <c r="CF487" s="346">
        <f t="shared" si="152"/>
        <v>2.8590000000000004</v>
      </c>
      <c r="CG487" s="346">
        <f t="shared" si="152"/>
        <v>1.0840000000000001</v>
      </c>
      <c r="CH487" s="346">
        <f t="shared" si="152"/>
        <v>1.286</v>
      </c>
      <c r="CI487" s="346">
        <f t="shared" si="152"/>
        <v>1.881</v>
      </c>
      <c r="CJ487" s="346">
        <f t="shared" si="152"/>
        <v>1.4</v>
      </c>
      <c r="CK487" s="346">
        <f t="shared" si="152"/>
        <v>0.94499999999999995</v>
      </c>
      <c r="CL487" s="346">
        <f t="shared" si="152"/>
        <v>1.7269999999999999</v>
      </c>
      <c r="CM487" s="346">
        <f t="shared" si="152"/>
        <v>1.5229999999999999</v>
      </c>
      <c r="CN487" s="346">
        <f t="shared" si="152"/>
        <v>1.4390000000000001</v>
      </c>
      <c r="CO487" s="346">
        <f t="shared" si="152"/>
        <v>2.016</v>
      </c>
      <c r="CP487" s="348">
        <f t="shared" si="152"/>
        <v>2.3129999999999997</v>
      </c>
      <c r="CQ487" s="346">
        <f t="shared" si="152"/>
        <v>0.79100000000000015</v>
      </c>
      <c r="CR487" s="346">
        <f t="shared" si="152"/>
        <v>3.1680000000000001</v>
      </c>
      <c r="CS487" s="346">
        <f t="shared" si="152"/>
        <v>3.8839999999999999</v>
      </c>
      <c r="CT487" s="346">
        <f t="shared" si="152"/>
        <v>1.0720000000000001</v>
      </c>
      <c r="CU487" s="346">
        <f t="shared" si="152"/>
        <v>1.145</v>
      </c>
      <c r="CV487" s="346">
        <f t="shared" si="152"/>
        <v>1.1459999999999999</v>
      </c>
      <c r="CW487" s="346">
        <f t="shared" si="152"/>
        <v>8.6501065097950001</v>
      </c>
      <c r="CX487" s="346">
        <f t="shared" si="152"/>
        <v>8.6401065097950003</v>
      </c>
      <c r="CY487" s="346">
        <f t="shared" si="152"/>
        <v>4.2948718789999996</v>
      </c>
      <c r="CZ487" s="346">
        <f t="shared" si="152"/>
        <v>1.2749999999999999</v>
      </c>
      <c r="DA487" s="346">
        <f t="shared" si="152"/>
        <v>1.6280000000000001</v>
      </c>
      <c r="DB487" s="1479">
        <f t="shared" si="152"/>
        <v>6.516</v>
      </c>
      <c r="DC487" s="346">
        <f t="shared" ref="DC487:EX487" si="153">DC132+DC213</f>
        <v>2.826342226</v>
      </c>
      <c r="DD487" s="346">
        <f t="shared" si="153"/>
        <v>2.2745306210000003</v>
      </c>
      <c r="DE487" s="346">
        <f t="shared" si="153"/>
        <v>3.7069112730000002</v>
      </c>
      <c r="DF487" s="346">
        <f t="shared" si="153"/>
        <v>2.7402641180000002</v>
      </c>
      <c r="DG487" s="346">
        <f t="shared" si="153"/>
        <v>2.9217145879999999</v>
      </c>
      <c r="DH487" s="346">
        <f t="shared" si="153"/>
        <v>5.2715279879999999</v>
      </c>
      <c r="DI487" s="346">
        <f t="shared" si="153"/>
        <v>3.6992158573333329</v>
      </c>
      <c r="DJ487" s="346">
        <f t="shared" si="153"/>
        <v>4.6673743803333334</v>
      </c>
      <c r="DK487" s="346">
        <f t="shared" si="153"/>
        <v>4.8481581993333327</v>
      </c>
      <c r="DL487" s="346">
        <f t="shared" si="153"/>
        <v>2.688913984333333</v>
      </c>
      <c r="DM487" s="346">
        <f t="shared" si="153"/>
        <v>2.513867207333333</v>
      </c>
      <c r="DN487" s="348">
        <f t="shared" si="153"/>
        <v>6.5609402672242636</v>
      </c>
      <c r="DO487" s="346">
        <f t="shared" si="153"/>
        <v>3.139226632351471</v>
      </c>
      <c r="DP487" s="346">
        <f t="shared" si="153"/>
        <v>3.3237930822331059</v>
      </c>
      <c r="DQ487" s="346">
        <f t="shared" si="153"/>
        <v>3.4467225314154231</v>
      </c>
      <c r="DR487" s="346">
        <f t="shared" si="153"/>
        <v>3.2251275299012718</v>
      </c>
      <c r="DS487" s="346">
        <f t="shared" si="153"/>
        <v>3.4198342945057538</v>
      </c>
      <c r="DT487" s="346">
        <f t="shared" si="153"/>
        <v>6.8965134399742158</v>
      </c>
      <c r="DU487" s="346">
        <f t="shared" si="153"/>
        <v>4.1255792739999997</v>
      </c>
      <c r="DV487" s="346">
        <f t="shared" si="153"/>
        <v>3.9820055510000003</v>
      </c>
      <c r="DW487" s="346">
        <f t="shared" si="153"/>
        <v>4.5443250309999996</v>
      </c>
      <c r="DX487" s="346">
        <f t="shared" si="153"/>
        <v>3.6902139436533332</v>
      </c>
      <c r="DY487" s="346">
        <f t="shared" si="153"/>
        <v>4.3489797673333301</v>
      </c>
      <c r="DZ487" s="348">
        <f t="shared" si="153"/>
        <v>8.7950788361533299</v>
      </c>
      <c r="EA487" s="346">
        <f t="shared" si="153"/>
        <v>3.7747904169598194</v>
      </c>
      <c r="EB487" s="346">
        <f t="shared" si="153"/>
        <v>3.6802220281611762</v>
      </c>
      <c r="EC487" s="346">
        <f t="shared" si="153"/>
        <v>4.0084793292231966</v>
      </c>
      <c r="ED487" s="346">
        <f t="shared" si="153"/>
        <v>4.6338031318098185</v>
      </c>
      <c r="EE487" s="346">
        <f t="shared" si="153"/>
        <v>5.0489055605211757</v>
      </c>
      <c r="EF487" s="346">
        <f t="shared" si="153"/>
        <v>7.7458339513431973</v>
      </c>
      <c r="EG487" s="346">
        <f t="shared" si="153"/>
        <v>4.1100963254502538</v>
      </c>
      <c r="EH487" s="346">
        <f t="shared" si="153"/>
        <v>3.8738195185312856</v>
      </c>
      <c r="EI487" s="346">
        <f t="shared" si="153"/>
        <v>4.759065739244817</v>
      </c>
      <c r="EJ487" s="346">
        <f t="shared" si="153"/>
        <v>4.4408965428407114</v>
      </c>
      <c r="EK487" s="346">
        <f t="shared" si="153"/>
        <v>4.6231422024730389</v>
      </c>
      <c r="EL487" s="348">
        <f t="shared" si="153"/>
        <v>7.8683167159348235</v>
      </c>
      <c r="EM487" s="346">
        <f t="shared" si="153"/>
        <v>4.9193208040000007</v>
      </c>
      <c r="EN487" s="346">
        <f t="shared" si="153"/>
        <v>4.1769152370000002</v>
      </c>
      <c r="EO487" s="346">
        <f t="shared" si="153"/>
        <v>4.3601471739999997</v>
      </c>
      <c r="EP487" s="346">
        <f t="shared" si="153"/>
        <v>7.2205925710000001</v>
      </c>
      <c r="EQ487" s="346">
        <f t="shared" si="153"/>
        <v>8.1619172199999994</v>
      </c>
      <c r="ER487" s="346">
        <f t="shared" si="153"/>
        <v>8.3665669779999998</v>
      </c>
      <c r="ES487" s="346">
        <f t="shared" si="153"/>
        <v>6.4096278330000001</v>
      </c>
      <c r="ET487" s="346">
        <f t="shared" si="153"/>
        <v>4.5777012901000003</v>
      </c>
      <c r="EU487" s="346">
        <f t="shared" si="153"/>
        <v>5.6641614499999999</v>
      </c>
      <c r="EV487" s="346">
        <f t="shared" si="153"/>
        <v>5.7319480469999995</v>
      </c>
      <c r="EW487" s="346">
        <f t="shared" si="153"/>
        <v>5.753748055</v>
      </c>
      <c r="EX487" s="348">
        <f t="shared" si="153"/>
        <v>6.6843752639999998</v>
      </c>
      <c r="EY487" s="346"/>
      <c r="EZ487" s="346"/>
      <c r="FA487" s="346"/>
      <c r="FB487" s="346"/>
      <c r="FC487" s="346"/>
      <c r="FD487" s="346"/>
      <c r="FE487" s="346"/>
      <c r="FF487" s="346"/>
      <c r="FG487" s="346"/>
      <c r="FH487" s="346"/>
      <c r="FI487" s="346"/>
      <c r="FJ487" s="348"/>
      <c r="FK487" s="346"/>
      <c r="FL487" s="346"/>
      <c r="FM487" s="346"/>
      <c r="FN487" s="346"/>
      <c r="FO487" s="346"/>
      <c r="FP487" s="346"/>
      <c r="FQ487" s="346"/>
      <c r="FR487" s="346"/>
      <c r="FS487" s="346"/>
      <c r="FT487" s="346"/>
      <c r="FU487" s="346"/>
      <c r="FV487" s="346"/>
      <c r="FW487" s="346"/>
      <c r="FX487" s="346"/>
      <c r="FY487" s="346"/>
      <c r="FZ487" s="346"/>
      <c r="GA487" s="346"/>
      <c r="GB487" s="346"/>
      <c r="GC487" s="346"/>
      <c r="GD487" s="346"/>
      <c r="GE487" s="346"/>
      <c r="GF487" s="346"/>
      <c r="GG487" s="346"/>
      <c r="GH487" s="346"/>
      <c r="GI487" s="346"/>
      <c r="GJ487" s="346"/>
      <c r="GK487" s="346"/>
      <c r="GL487" s="346"/>
      <c r="GM487" s="346"/>
      <c r="GN487" s="346"/>
      <c r="GO487" s="346"/>
      <c r="GP487" s="346"/>
      <c r="GQ487" s="346"/>
      <c r="GR487" s="346"/>
      <c r="GS487" s="346"/>
      <c r="GT487" s="346"/>
      <c r="GU487" s="346"/>
      <c r="GV487" s="346"/>
      <c r="GW487" s="346"/>
      <c r="GX487" s="346"/>
      <c r="GY487" s="346"/>
      <c r="GZ487" s="346"/>
      <c r="HA487" s="346"/>
      <c r="HB487" s="346"/>
      <c r="HC487" s="346"/>
      <c r="HD487" s="346"/>
      <c r="HE487" s="346"/>
      <c r="HF487" s="346"/>
      <c r="HG487" s="346"/>
      <c r="HH487" s="346"/>
      <c r="HI487" s="346"/>
      <c r="HJ487" s="346"/>
      <c r="HK487" s="346"/>
      <c r="HL487" s="346"/>
      <c r="HM487" s="346"/>
      <c r="HN487" s="349"/>
      <c r="HO487" s="351" t="s">
        <v>1064</v>
      </c>
      <c r="HP487" s="351"/>
      <c r="HQ487" s="351"/>
      <c r="HR487" s="346">
        <f>+FISC!Z693</f>
        <v>42.2</v>
      </c>
      <c r="HS487" s="302">
        <f>SUM(CQ487:CV487)</f>
        <v>11.206</v>
      </c>
      <c r="HT487" s="302">
        <f>SUM(CW487:DB487)</f>
        <v>31.004084898589994</v>
      </c>
      <c r="HU487" s="346">
        <f>SUM(CQ487:DB487)</f>
        <v>42.210084898589997</v>
      </c>
      <c r="HV487" s="302">
        <f>+SUM(DC487:DH487)</f>
        <v>19.741290814000003</v>
      </c>
      <c r="HW487" s="302">
        <f>+SUM(DI487:DN487)</f>
        <v>24.978469895890932</v>
      </c>
      <c r="HX487" s="346">
        <f t="shared" si="100"/>
        <v>44.719760709890934</v>
      </c>
      <c r="HY487" s="302">
        <f>+SUM(DO487:DT487)</f>
        <v>23.451217510381241</v>
      </c>
      <c r="HZ487" s="302">
        <f>SUM(DU487:DZ487)</f>
        <v>29.486182403139992</v>
      </c>
      <c r="IA487" s="346">
        <f t="shared" si="103"/>
        <v>52.937399913521233</v>
      </c>
      <c r="IB487" s="302">
        <v>28.892034418018401</v>
      </c>
      <c r="IC487" s="302">
        <f>+ID487-IB487</f>
        <v>29.675337044474926</v>
      </c>
      <c r="ID487" s="346">
        <f>FISC!AC693</f>
        <v>58.567371462493327</v>
      </c>
      <c r="IE487" s="302">
        <f t="shared" si="147"/>
        <v>37.205459984000001</v>
      </c>
      <c r="IF487" s="302">
        <f t="shared" si="148"/>
        <v>34.821561939099993</v>
      </c>
      <c r="IG487" s="346">
        <f>IE487+IF487</f>
        <v>72.027021923099994</v>
      </c>
      <c r="IH487" s="350">
        <v>49.788852472000002</v>
      </c>
      <c r="II487" s="302">
        <f>+IJ487-IH487</f>
        <v>22.600424402485388</v>
      </c>
      <c r="IJ487" s="346">
        <f>+FISC!AE693</f>
        <v>72.38927687448539</v>
      </c>
      <c r="IK487" s="350">
        <v>35.079180108823302</v>
      </c>
      <c r="IL487" s="302">
        <f t="shared" si="85"/>
        <v>42.341874550515975</v>
      </c>
      <c r="IM487" s="346">
        <f>+FISC!AF693</f>
        <v>77.421054659339276</v>
      </c>
      <c r="IN487" s="350">
        <v>52.313287000000003</v>
      </c>
      <c r="IO487" s="302">
        <f t="shared" ref="IO487:IO557" si="154">IP487-IN487</f>
        <v>133.6445510233799</v>
      </c>
      <c r="IP487" s="346">
        <f>+FISC!AG693</f>
        <v>185.95783802337991</v>
      </c>
      <c r="IQ487" s="350">
        <f>IS487/2</f>
        <v>119.98340912217103</v>
      </c>
      <c r="IR487" s="302">
        <f t="shared" si="74"/>
        <v>119.98340912217103</v>
      </c>
      <c r="IS487" s="346">
        <f>+FISC!AH693</f>
        <v>239.96681824434205</v>
      </c>
      <c r="IT487" s="350">
        <f>IV487/2</f>
        <v>157.35413913947258</v>
      </c>
      <c r="IU487" s="302">
        <f t="shared" si="75"/>
        <v>157.35413913947258</v>
      </c>
      <c r="IV487" s="346">
        <f>+FISC!AI693</f>
        <v>314.70827827894516</v>
      </c>
      <c r="IW487" s="350">
        <f>IY487/2</f>
        <v>0</v>
      </c>
      <c r="IX487" s="302">
        <f t="shared" si="76"/>
        <v>0</v>
      </c>
      <c r="IY487" s="346">
        <f>+FISC!AJ693</f>
        <v>0</v>
      </c>
      <c r="IZ487" s="350" t="e">
        <f>JB487/2</f>
        <v>#DIV/0!</v>
      </c>
      <c r="JA487" s="302" t="e">
        <f t="shared" si="77"/>
        <v>#DIV/0!</v>
      </c>
      <c r="JB487" s="346" t="e">
        <f>+FISC!AK693</f>
        <v>#DIV/0!</v>
      </c>
      <c r="JC487" s="346"/>
      <c r="KI487" s="349"/>
      <c r="KJ487" s="350"/>
    </row>
    <row r="488" spans="2:302" ht="16.5">
      <c r="B488" s="117" t="s">
        <v>361</v>
      </c>
      <c r="D488" s="351" t="str">
        <f>+FISC!D694</f>
        <v xml:space="preserve">       of which: local government fees</v>
      </c>
      <c r="E488" s="346"/>
      <c r="F488" s="346"/>
      <c r="G488" s="346"/>
      <c r="H488" s="346"/>
      <c r="I488" s="346"/>
      <c r="J488" s="346"/>
      <c r="K488" s="346"/>
      <c r="L488" s="346"/>
      <c r="M488" s="346"/>
      <c r="N488" s="346"/>
      <c r="O488" s="346"/>
      <c r="P488" s="346"/>
      <c r="Q488" s="346"/>
      <c r="R488" s="346"/>
      <c r="S488" s="346"/>
      <c r="T488" s="346"/>
      <c r="U488" s="346"/>
      <c r="V488" s="346"/>
      <c r="W488" s="346"/>
      <c r="X488" s="346"/>
      <c r="Y488" s="346"/>
      <c r="Z488" s="346"/>
      <c r="AA488" s="346"/>
      <c r="AB488" s="346"/>
      <c r="AC488" s="346"/>
      <c r="AD488" s="346"/>
      <c r="AE488" s="346"/>
      <c r="AF488" s="346"/>
      <c r="AG488" s="346"/>
      <c r="AH488" s="346"/>
      <c r="AI488" s="346"/>
      <c r="AJ488" s="346"/>
      <c r="AK488" s="346"/>
      <c r="AL488" s="346"/>
      <c r="AM488" s="346"/>
      <c r="AN488" s="346"/>
      <c r="AO488" s="346"/>
      <c r="AP488" s="346"/>
      <c r="AQ488" s="346"/>
      <c r="AR488" s="346"/>
      <c r="AS488" s="346"/>
      <c r="AT488" s="346"/>
      <c r="AU488" s="346"/>
      <c r="AV488" s="346"/>
      <c r="AW488" s="346"/>
      <c r="AX488" s="346"/>
      <c r="AY488" s="346"/>
      <c r="AZ488" s="346"/>
      <c r="BA488" s="346"/>
      <c r="BB488" s="346"/>
      <c r="BC488" s="346"/>
      <c r="BD488" s="346"/>
      <c r="BE488" s="346"/>
      <c r="BF488" s="346"/>
      <c r="BG488" s="346"/>
      <c r="BH488" s="346"/>
      <c r="BI488" s="346"/>
      <c r="BJ488" s="346"/>
      <c r="BK488" s="346"/>
      <c r="BL488" s="346"/>
      <c r="BM488" s="346"/>
      <c r="BN488" s="346"/>
      <c r="BO488" s="346"/>
      <c r="BP488" s="346"/>
      <c r="BQ488" s="346"/>
      <c r="BR488" s="346"/>
      <c r="BS488" s="346"/>
      <c r="BT488" s="346"/>
      <c r="BU488" s="346"/>
      <c r="BV488" s="346"/>
      <c r="BW488" s="346"/>
      <c r="BX488" s="346"/>
      <c r="BY488" s="346"/>
      <c r="BZ488" s="346"/>
      <c r="CA488" s="346"/>
      <c r="CB488" s="346"/>
      <c r="CC488" s="346"/>
      <c r="CD488" s="346"/>
      <c r="CE488" s="347">
        <f t="shared" ref="CE488:DJ488" si="155">CE213</f>
        <v>0</v>
      </c>
      <c r="CF488" s="346">
        <f t="shared" si="155"/>
        <v>0</v>
      </c>
      <c r="CG488" s="346">
        <f t="shared" si="155"/>
        <v>0</v>
      </c>
      <c r="CH488" s="346">
        <f t="shared" si="155"/>
        <v>0</v>
      </c>
      <c r="CI488" s="346">
        <f t="shared" si="155"/>
        <v>0</v>
      </c>
      <c r="CJ488" s="346">
        <f t="shared" si="155"/>
        <v>0</v>
      </c>
      <c r="CK488" s="346">
        <f t="shared" si="155"/>
        <v>0</v>
      </c>
      <c r="CL488" s="346">
        <f t="shared" si="155"/>
        <v>0</v>
      </c>
      <c r="CM488" s="346">
        <f t="shared" si="155"/>
        <v>0</v>
      </c>
      <c r="CN488" s="346">
        <f t="shared" si="155"/>
        <v>0</v>
      </c>
      <c r="CO488" s="346">
        <f t="shared" si="155"/>
        <v>0</v>
      </c>
      <c r="CP488" s="348">
        <f t="shared" si="155"/>
        <v>0</v>
      </c>
      <c r="CQ488" s="346">
        <f t="shared" si="155"/>
        <v>0</v>
      </c>
      <c r="CR488" s="346">
        <f t="shared" si="155"/>
        <v>0</v>
      </c>
      <c r="CS488" s="346">
        <f t="shared" si="155"/>
        <v>0</v>
      </c>
      <c r="CT488" s="346">
        <f t="shared" si="155"/>
        <v>0</v>
      </c>
      <c r="CU488" s="346">
        <f t="shared" si="155"/>
        <v>0</v>
      </c>
      <c r="CV488" s="346">
        <f t="shared" si="155"/>
        <v>0</v>
      </c>
      <c r="CW488" s="346">
        <f t="shared" si="155"/>
        <v>7.3491065097949999</v>
      </c>
      <c r="CX488" s="346">
        <f t="shared" si="155"/>
        <v>7.3491065097949999</v>
      </c>
      <c r="CY488" s="346">
        <f t="shared" si="155"/>
        <v>3.1678718789999998</v>
      </c>
      <c r="CZ488" s="346">
        <f t="shared" si="155"/>
        <v>0</v>
      </c>
      <c r="DA488" s="346">
        <f t="shared" si="155"/>
        <v>0</v>
      </c>
      <c r="DB488" s="1479">
        <f t="shared" si="155"/>
        <v>0</v>
      </c>
      <c r="DC488" s="346">
        <f t="shared" si="155"/>
        <v>1.888342226</v>
      </c>
      <c r="DD488" s="346">
        <f t="shared" si="155"/>
        <v>1.286530621</v>
      </c>
      <c r="DE488" s="346">
        <f t="shared" si="155"/>
        <v>1.706911273</v>
      </c>
      <c r="DF488" s="346">
        <f t="shared" si="155"/>
        <v>1.5562641180000001</v>
      </c>
      <c r="DG488" s="346">
        <f t="shared" si="155"/>
        <v>1.695714588</v>
      </c>
      <c r="DH488" s="346">
        <f t="shared" si="155"/>
        <v>4.1205279880000001</v>
      </c>
      <c r="DI488" s="346">
        <f t="shared" si="155"/>
        <v>2.771882524</v>
      </c>
      <c r="DJ488" s="346">
        <f t="shared" si="155"/>
        <v>1.900041047</v>
      </c>
      <c r="DK488" s="346">
        <f t="shared" ref="DK488:EP488" si="156">DK213</f>
        <v>4.2548248659999999</v>
      </c>
      <c r="DL488" s="346">
        <f t="shared" si="156"/>
        <v>1.7565806509999999</v>
      </c>
      <c r="DM488" s="346">
        <f t="shared" si="156"/>
        <v>2.0005338739999998</v>
      </c>
      <c r="DN488" s="348">
        <f t="shared" si="156"/>
        <v>1.8086069338909299</v>
      </c>
      <c r="DO488" s="346">
        <f t="shared" si="156"/>
        <v>1.6531450803514709</v>
      </c>
      <c r="DP488" s="346">
        <f t="shared" si="156"/>
        <v>2.020534381233106</v>
      </c>
      <c r="DQ488" s="346">
        <f t="shared" si="156"/>
        <v>1.9438201444154231</v>
      </c>
      <c r="DR488" s="346">
        <f t="shared" si="156"/>
        <v>1.9867715699012716</v>
      </c>
      <c r="DS488" s="346">
        <f t="shared" si="156"/>
        <v>2.1148053475057536</v>
      </c>
      <c r="DT488" s="346">
        <f t="shared" si="156"/>
        <v>5.3559525459742154</v>
      </c>
      <c r="DU488" s="346">
        <f t="shared" si="156"/>
        <v>2.2916792739999998</v>
      </c>
      <c r="DV488" s="346">
        <f t="shared" si="156"/>
        <v>2.0503062380000001</v>
      </c>
      <c r="DW488" s="346">
        <f t="shared" si="156"/>
        <v>2.933340431</v>
      </c>
      <c r="DX488" s="346">
        <f t="shared" si="156"/>
        <v>1.9550365513333334</v>
      </c>
      <c r="DY488" s="346">
        <f t="shared" si="156"/>
        <v>2.5998176423333299</v>
      </c>
      <c r="DZ488" s="348">
        <f t="shared" si="156"/>
        <v>3.5421288861533302</v>
      </c>
      <c r="EA488" s="346">
        <f t="shared" si="156"/>
        <v>2.2199904568098194</v>
      </c>
      <c r="EB488" s="346">
        <f t="shared" si="156"/>
        <v>2.2668937165211762</v>
      </c>
      <c r="EC488" s="346">
        <f t="shared" si="156"/>
        <v>2.2885579603431965</v>
      </c>
      <c r="ED488" s="346">
        <f t="shared" si="156"/>
        <v>2.7761808718098191</v>
      </c>
      <c r="EE488" s="346">
        <f t="shared" si="156"/>
        <v>2.7539049385211762</v>
      </c>
      <c r="EF488" s="346">
        <f t="shared" si="156"/>
        <v>6.192634617343197</v>
      </c>
      <c r="EG488" s="346">
        <f t="shared" si="156"/>
        <v>2.5395723369810299</v>
      </c>
      <c r="EH488" s="346">
        <f t="shared" si="156"/>
        <v>2.5391290281972885</v>
      </c>
      <c r="EI488" s="346">
        <f t="shared" si="156"/>
        <v>3.295974372863443</v>
      </c>
      <c r="EJ488" s="346">
        <f t="shared" si="156"/>
        <v>2.3145780987595277</v>
      </c>
      <c r="EK488" s="346">
        <f t="shared" si="156"/>
        <v>2.8332227186524785</v>
      </c>
      <c r="EL488" s="348">
        <f t="shared" si="156"/>
        <v>2.9309503558138497</v>
      </c>
      <c r="EM488" s="346">
        <f t="shared" si="156"/>
        <v>2.6034546569999999</v>
      </c>
      <c r="EN488" s="346">
        <f t="shared" si="156"/>
        <v>2.510094257</v>
      </c>
      <c r="EO488" s="346">
        <f t="shared" si="156"/>
        <v>2.5775800250000001</v>
      </c>
      <c r="EP488" s="346">
        <f t="shared" si="156"/>
        <v>3.2720744960000001</v>
      </c>
      <c r="EQ488" s="346">
        <f t="shared" ref="EQ488:EX488" si="157">EQ213</f>
        <v>3.0297721110000002</v>
      </c>
      <c r="ER488" s="346">
        <f t="shared" si="157"/>
        <v>6.9000685620000004</v>
      </c>
      <c r="ES488" s="346">
        <f t="shared" si="157"/>
        <v>3.9918407069999997</v>
      </c>
      <c r="ET488" s="346">
        <f t="shared" si="157"/>
        <v>2.5252701900000001</v>
      </c>
      <c r="EU488" s="346">
        <f t="shared" si="157"/>
        <v>3.5012718550000002</v>
      </c>
      <c r="EV488" s="346">
        <f t="shared" si="157"/>
        <v>3.6209366780000001</v>
      </c>
      <c r="EW488" s="346">
        <f t="shared" si="157"/>
        <v>3.1565331159999999</v>
      </c>
      <c r="EX488" s="348">
        <f t="shared" si="157"/>
        <v>3.5527360720000001</v>
      </c>
      <c r="EY488" s="346"/>
      <c r="EZ488" s="346"/>
      <c r="FA488" s="346"/>
      <c r="FB488" s="346"/>
      <c r="FC488" s="346"/>
      <c r="FD488" s="346"/>
      <c r="FE488" s="346"/>
      <c r="FF488" s="346"/>
      <c r="FG488" s="346"/>
      <c r="FH488" s="346"/>
      <c r="FI488" s="346"/>
      <c r="FJ488" s="348"/>
      <c r="FK488" s="346"/>
      <c r="FL488" s="346"/>
      <c r="FM488" s="346"/>
      <c r="FN488" s="346"/>
      <c r="FO488" s="346"/>
      <c r="FP488" s="346"/>
      <c r="FQ488" s="346"/>
      <c r="FR488" s="346"/>
      <c r="FS488" s="346"/>
      <c r="FT488" s="346"/>
      <c r="FU488" s="346"/>
      <c r="FV488" s="346"/>
      <c r="FW488" s="346"/>
      <c r="FX488" s="346"/>
      <c r="FY488" s="346"/>
      <c r="FZ488" s="346"/>
      <c r="GA488" s="346"/>
      <c r="GB488" s="346"/>
      <c r="GC488" s="346"/>
      <c r="GD488" s="346"/>
      <c r="GE488" s="346"/>
      <c r="GF488" s="346"/>
      <c r="GG488" s="346"/>
      <c r="GH488" s="346"/>
      <c r="GI488" s="346"/>
      <c r="GJ488" s="346"/>
      <c r="GK488" s="346"/>
      <c r="GL488" s="346"/>
      <c r="GM488" s="346"/>
      <c r="GN488" s="346"/>
      <c r="GO488" s="346"/>
      <c r="GP488" s="346"/>
      <c r="GQ488" s="346"/>
      <c r="GR488" s="346"/>
      <c r="GS488" s="346"/>
      <c r="GT488" s="346"/>
      <c r="GU488" s="346"/>
      <c r="GV488" s="346"/>
      <c r="GW488" s="346"/>
      <c r="GX488" s="346"/>
      <c r="GY488" s="346"/>
      <c r="GZ488" s="346"/>
      <c r="HA488" s="346"/>
      <c r="HB488" s="346"/>
      <c r="HC488" s="346"/>
      <c r="HD488" s="346"/>
      <c r="HE488" s="346"/>
      <c r="HF488" s="346"/>
      <c r="HG488" s="346"/>
      <c r="HH488" s="346"/>
      <c r="HI488" s="346"/>
      <c r="HJ488" s="346"/>
      <c r="HK488" s="346"/>
      <c r="HL488" s="346"/>
      <c r="HM488" s="346"/>
      <c r="HN488" s="349"/>
      <c r="HO488" s="351" t="s">
        <v>349</v>
      </c>
      <c r="HP488" s="351"/>
      <c r="HQ488" s="351"/>
      <c r="HR488" s="346">
        <f>+FISC!Z694</f>
        <v>17.8</v>
      </c>
      <c r="HS488" s="302">
        <f>SUM(CQ488:CV488)</f>
        <v>0</v>
      </c>
      <c r="HT488" s="302">
        <f>SUM(CW488:DB488)</f>
        <v>17.86608489859</v>
      </c>
      <c r="HU488" s="346">
        <f>SUM(CQ488:DB488)</f>
        <v>17.86608489859</v>
      </c>
      <c r="HV488" s="302">
        <f>+SUM(DC488:DH488)</f>
        <v>12.254290814000001</v>
      </c>
      <c r="HW488" s="302">
        <f>+SUM(DI488:DN488)</f>
        <v>14.492469895890931</v>
      </c>
      <c r="HX488" s="346">
        <f t="shared" si="100"/>
        <v>26.746760709890932</v>
      </c>
      <c r="HY488" s="302">
        <f>+SUM(DO488:DT488)</f>
        <v>15.075029069381241</v>
      </c>
      <c r="HZ488" s="302">
        <f>SUM(DU488:DZ488)</f>
        <v>15.372309022819994</v>
      </c>
      <c r="IA488" s="346">
        <f t="shared" si="103"/>
        <v>30.447338092201235</v>
      </c>
      <c r="IB488" s="1155">
        <v>18.498162561348384</v>
      </c>
      <c r="IC488" s="302">
        <f>+ID488-IB488</f>
        <v>16.453426911267623</v>
      </c>
      <c r="ID488" s="346">
        <f>FISC!AC694</f>
        <v>34.951589472616007</v>
      </c>
      <c r="IE488" s="302">
        <f t="shared" si="147"/>
        <v>20.893044108000002</v>
      </c>
      <c r="IF488" s="302">
        <f t="shared" si="148"/>
        <v>20.348588618000001</v>
      </c>
      <c r="IG488" s="346">
        <f>IE488+IF488</f>
        <v>41.241632726000006</v>
      </c>
      <c r="IH488" s="350">
        <f>+(IJ488/2)*0+17.6</f>
        <v>17.600000000000001</v>
      </c>
      <c r="II488" s="302">
        <f>+IJ488-IH488</f>
        <v>11.023589416551399</v>
      </c>
      <c r="IJ488" s="346">
        <f>+FISC!AE694</f>
        <v>28.6235894165514</v>
      </c>
      <c r="IK488" s="350">
        <f>(IM488*0.48)*0+14.885477393</f>
        <v>14.885477393</v>
      </c>
      <c r="IL488" s="302">
        <f t="shared" si="85"/>
        <v>20.082860432143299</v>
      </c>
      <c r="IM488" s="346">
        <f>+FISC!AF694</f>
        <v>34.968337825143301</v>
      </c>
      <c r="IN488" s="350">
        <f>IP488*0.48</f>
        <v>33.42594907088781</v>
      </c>
      <c r="IO488" s="302">
        <f t="shared" si="154"/>
        <v>36.21144482679513</v>
      </c>
      <c r="IP488" s="346">
        <f>+FISC!AG694</f>
        <v>69.637393897682941</v>
      </c>
      <c r="IQ488" s="350">
        <f>IS488/2</f>
        <v>44.375120440467988</v>
      </c>
      <c r="IR488" s="302">
        <f t="shared" si="74"/>
        <v>44.375120440467988</v>
      </c>
      <c r="IS488" s="346">
        <f>+FISC!AH694</f>
        <v>88.750240880935976</v>
      </c>
      <c r="IT488" s="350">
        <f>IV488/2</f>
        <v>51.50253498508831</v>
      </c>
      <c r="IU488" s="302">
        <f t="shared" si="75"/>
        <v>51.50253498508831</v>
      </c>
      <c r="IV488" s="346">
        <f>+FISC!AI694</f>
        <v>103.00506997017662</v>
      </c>
      <c r="IW488" s="350">
        <f>IY488/2</f>
        <v>0</v>
      </c>
      <c r="IX488" s="302">
        <f t="shared" si="76"/>
        <v>0</v>
      </c>
      <c r="IY488" s="346">
        <f>+FISC!AJ694</f>
        <v>0</v>
      </c>
      <c r="IZ488" s="350" t="e">
        <f>JB488/2</f>
        <v>#DIV/0!</v>
      </c>
      <c r="JA488" s="302" t="e">
        <f t="shared" si="77"/>
        <v>#DIV/0!</v>
      </c>
      <c r="JB488" s="346" t="e">
        <f>+FISC!AK694</f>
        <v>#DIV/0!</v>
      </c>
      <c r="JC488" s="346"/>
      <c r="KI488" s="349"/>
      <c r="KJ488" s="350"/>
    </row>
    <row r="489" spans="2:302" ht="16.5">
      <c r="D489" s="1225" t="s">
        <v>1232</v>
      </c>
      <c r="E489" s="346"/>
      <c r="F489" s="346"/>
      <c r="G489" s="346"/>
      <c r="H489" s="346"/>
      <c r="I489" s="346"/>
      <c r="J489" s="346"/>
      <c r="K489" s="346"/>
      <c r="L489" s="346"/>
      <c r="M489" s="346"/>
      <c r="N489" s="346"/>
      <c r="O489" s="346"/>
      <c r="P489" s="346"/>
      <c r="Q489" s="346"/>
      <c r="R489" s="346"/>
      <c r="S489" s="346"/>
      <c r="T489" s="346"/>
      <c r="U489" s="346"/>
      <c r="V489" s="346"/>
      <c r="W489" s="346"/>
      <c r="X489" s="346"/>
      <c r="Y489" s="346"/>
      <c r="Z489" s="346"/>
      <c r="AA489" s="346"/>
      <c r="AB489" s="346"/>
      <c r="AC489" s="346"/>
      <c r="AD489" s="346"/>
      <c r="AE489" s="346"/>
      <c r="AF489" s="346"/>
      <c r="AG489" s="346"/>
      <c r="AH489" s="346"/>
      <c r="AI489" s="346"/>
      <c r="AJ489" s="346"/>
      <c r="AK489" s="346"/>
      <c r="AL489" s="346"/>
      <c r="AM489" s="346"/>
      <c r="AN489" s="346"/>
      <c r="AO489" s="346"/>
      <c r="AP489" s="346"/>
      <c r="AQ489" s="346"/>
      <c r="AR489" s="346"/>
      <c r="AS489" s="346"/>
      <c r="AT489" s="346"/>
      <c r="AU489" s="346"/>
      <c r="AV489" s="346"/>
      <c r="AW489" s="346"/>
      <c r="AX489" s="346"/>
      <c r="AY489" s="346"/>
      <c r="AZ489" s="346"/>
      <c r="BA489" s="346"/>
      <c r="BB489" s="346"/>
      <c r="BC489" s="346"/>
      <c r="BD489" s="346"/>
      <c r="BE489" s="346"/>
      <c r="BF489" s="346"/>
      <c r="BG489" s="346"/>
      <c r="BH489" s="346"/>
      <c r="BI489" s="346"/>
      <c r="BJ489" s="346"/>
      <c r="BK489" s="346"/>
      <c r="BL489" s="346"/>
      <c r="BM489" s="346"/>
      <c r="BN489" s="346"/>
      <c r="BO489" s="346"/>
      <c r="BP489" s="346"/>
      <c r="BQ489" s="346"/>
      <c r="BR489" s="346"/>
      <c r="BS489" s="346"/>
      <c r="BT489" s="346"/>
      <c r="BU489" s="346"/>
      <c r="BV489" s="346"/>
      <c r="BW489" s="346"/>
      <c r="BX489" s="346"/>
      <c r="BY489" s="346"/>
      <c r="BZ489" s="346"/>
      <c r="CA489" s="346"/>
      <c r="CB489" s="346"/>
      <c r="CC489" s="346"/>
      <c r="CD489" s="346"/>
      <c r="CE489" s="347"/>
      <c r="CF489" s="346"/>
      <c r="CG489" s="346"/>
      <c r="CH489" s="346"/>
      <c r="CI489" s="346"/>
      <c r="CJ489" s="346"/>
      <c r="CK489" s="346"/>
      <c r="CL489" s="346"/>
      <c r="CM489" s="346"/>
      <c r="CN489" s="346"/>
      <c r="CO489" s="346"/>
      <c r="CP489" s="348"/>
      <c r="CQ489" s="346"/>
      <c r="CR489" s="346"/>
      <c r="CS489" s="346"/>
      <c r="CT489" s="346"/>
      <c r="CU489" s="346"/>
      <c r="CV489" s="346"/>
      <c r="CW489" s="346"/>
      <c r="CX489" s="346"/>
      <c r="CY489" s="346"/>
      <c r="CZ489" s="346"/>
      <c r="DA489" s="346"/>
      <c r="DB489" s="1479"/>
      <c r="DC489" s="346"/>
      <c r="DD489" s="346"/>
      <c r="DE489" s="346"/>
      <c r="DF489" s="346"/>
      <c r="DG489" s="346"/>
      <c r="DH489" s="346"/>
      <c r="DI489" s="346"/>
      <c r="DJ489" s="346"/>
      <c r="DK489" s="346"/>
      <c r="DL489" s="346"/>
      <c r="DM489" s="346"/>
      <c r="DN489" s="348"/>
      <c r="DO489" s="346"/>
      <c r="DP489" s="346"/>
      <c r="DQ489" s="346"/>
      <c r="DR489" s="346"/>
      <c r="DS489" s="346"/>
      <c r="DT489" s="346"/>
      <c r="DU489" s="346"/>
      <c r="DV489" s="346"/>
      <c r="DW489" s="346"/>
      <c r="DX489" s="346"/>
      <c r="DY489" s="346"/>
      <c r="DZ489" s="348"/>
      <c r="EA489" s="346"/>
      <c r="EB489" s="346"/>
      <c r="EC489" s="346"/>
      <c r="ED489" s="346"/>
      <c r="EE489" s="346"/>
      <c r="EF489" s="346"/>
      <c r="EG489" s="346"/>
      <c r="EH489" s="346"/>
      <c r="EI489" s="346"/>
      <c r="EJ489" s="346"/>
      <c r="EK489" s="346"/>
      <c r="EL489" s="348"/>
      <c r="EM489" s="346">
        <f t="shared" ref="EM489:EX489" si="158">EM214</f>
        <v>0</v>
      </c>
      <c r="EN489" s="346">
        <f t="shared" si="158"/>
        <v>0</v>
      </c>
      <c r="EO489" s="346">
        <f t="shared" si="158"/>
        <v>2.1669842020000001</v>
      </c>
      <c r="EP489" s="346">
        <f t="shared" si="158"/>
        <v>0</v>
      </c>
      <c r="EQ489" s="346">
        <f t="shared" si="158"/>
        <v>0</v>
      </c>
      <c r="ER489" s="346">
        <f t="shared" si="158"/>
        <v>2.2170388330000002</v>
      </c>
      <c r="ES489" s="346">
        <f t="shared" si="158"/>
        <v>0</v>
      </c>
      <c r="ET489" s="346">
        <f t="shared" si="158"/>
        <v>0</v>
      </c>
      <c r="EU489" s="346">
        <f t="shared" si="158"/>
        <v>1.9034152189999993</v>
      </c>
      <c r="EV489" s="346">
        <f t="shared" si="158"/>
        <v>0</v>
      </c>
      <c r="EW489" s="346">
        <f t="shared" si="158"/>
        <v>0</v>
      </c>
      <c r="EX489" s="348">
        <f t="shared" si="158"/>
        <v>2.1224270360000013</v>
      </c>
      <c r="EY489" s="346"/>
      <c r="EZ489" s="346"/>
      <c r="FA489" s="346"/>
      <c r="FB489" s="346"/>
      <c r="FC489" s="346"/>
      <c r="FD489" s="346"/>
      <c r="FE489" s="346"/>
      <c r="FF489" s="346"/>
      <c r="FG489" s="346"/>
      <c r="FH489" s="346"/>
      <c r="FI489" s="346"/>
      <c r="FJ489" s="348"/>
      <c r="FK489" s="346"/>
      <c r="FL489" s="346"/>
      <c r="FM489" s="346"/>
      <c r="FN489" s="346"/>
      <c r="FO489" s="346"/>
      <c r="FP489" s="346"/>
      <c r="FQ489" s="346"/>
      <c r="FR489" s="346"/>
      <c r="FS489" s="346"/>
      <c r="FT489" s="346"/>
      <c r="FU489" s="346"/>
      <c r="FV489" s="346"/>
      <c r="FW489" s="346"/>
      <c r="FX489" s="346"/>
      <c r="FY489" s="346"/>
      <c r="FZ489" s="346"/>
      <c r="GA489" s="346"/>
      <c r="GB489" s="346"/>
      <c r="GC489" s="346"/>
      <c r="GD489" s="346"/>
      <c r="GE489" s="346"/>
      <c r="GF489" s="346"/>
      <c r="GG489" s="346"/>
      <c r="GH489" s="346"/>
      <c r="GI489" s="346"/>
      <c r="GJ489" s="346"/>
      <c r="GK489" s="346"/>
      <c r="GL489" s="346"/>
      <c r="GM489" s="346"/>
      <c r="GN489" s="346"/>
      <c r="GO489" s="346"/>
      <c r="GP489" s="346"/>
      <c r="GQ489" s="346"/>
      <c r="GR489" s="346"/>
      <c r="GS489" s="346"/>
      <c r="GT489" s="346"/>
      <c r="GU489" s="346"/>
      <c r="GV489" s="346"/>
      <c r="GW489" s="346"/>
      <c r="GX489" s="346"/>
      <c r="GY489" s="346"/>
      <c r="GZ489" s="346"/>
      <c r="HA489" s="346"/>
      <c r="HB489" s="346"/>
      <c r="HC489" s="346"/>
      <c r="HD489" s="346"/>
      <c r="HE489" s="346"/>
      <c r="HF489" s="346"/>
      <c r="HG489" s="346"/>
      <c r="HH489" s="346"/>
      <c r="HI489" s="346"/>
      <c r="HJ489" s="346"/>
      <c r="HK489" s="346"/>
      <c r="HL489" s="346"/>
      <c r="HM489" s="346"/>
      <c r="HN489" s="349"/>
      <c r="HO489" s="1225" t="s">
        <v>1232</v>
      </c>
      <c r="HP489" s="1225"/>
      <c r="HQ489" s="1225"/>
      <c r="HR489" s="346"/>
      <c r="HU489" s="346"/>
      <c r="HX489" s="346"/>
      <c r="IA489" s="346"/>
      <c r="IB489" s="1155"/>
      <c r="ID489" s="346"/>
      <c r="IE489" s="302">
        <f t="shared" si="147"/>
        <v>4.3840230350000002</v>
      </c>
      <c r="IF489" s="302">
        <f t="shared" si="148"/>
        <v>4.0258422550000006</v>
      </c>
      <c r="IG489" s="346">
        <f t="shared" ref="IG489:IG495" si="159">IE489+IF489</f>
        <v>8.4098652900000008</v>
      </c>
      <c r="IH489" s="350"/>
      <c r="IJ489" s="346"/>
      <c r="IK489" s="350"/>
      <c r="IM489" s="346"/>
      <c r="IN489" s="350"/>
      <c r="IP489" s="346"/>
      <c r="IQ489" s="350"/>
      <c r="IS489" s="346"/>
      <c r="IT489" s="350"/>
      <c r="IV489" s="346"/>
      <c r="IW489" s="350"/>
      <c r="IY489" s="346"/>
      <c r="IZ489" s="350"/>
      <c r="JB489" s="346"/>
      <c r="JC489" s="346"/>
      <c r="KI489" s="349"/>
      <c r="KJ489" s="350"/>
    </row>
    <row r="490" spans="2:302" ht="16.5">
      <c r="D490" s="1225" t="s">
        <v>1233</v>
      </c>
      <c r="E490" s="346"/>
      <c r="F490" s="346"/>
      <c r="G490" s="346"/>
      <c r="H490" s="346"/>
      <c r="I490" s="346"/>
      <c r="J490" s="346"/>
      <c r="K490" s="346"/>
      <c r="L490" s="346"/>
      <c r="M490" s="346"/>
      <c r="N490" s="346"/>
      <c r="O490" s="346"/>
      <c r="P490" s="346"/>
      <c r="Q490" s="346"/>
      <c r="R490" s="346"/>
      <c r="S490" s="346"/>
      <c r="T490" s="346"/>
      <c r="U490" s="346"/>
      <c r="V490" s="346"/>
      <c r="W490" s="346"/>
      <c r="X490" s="346"/>
      <c r="Y490" s="346"/>
      <c r="Z490" s="346"/>
      <c r="AA490" s="346"/>
      <c r="AB490" s="346"/>
      <c r="AC490" s="346"/>
      <c r="AD490" s="346"/>
      <c r="AE490" s="346"/>
      <c r="AF490" s="346"/>
      <c r="AG490" s="346"/>
      <c r="AH490" s="346"/>
      <c r="AI490" s="346"/>
      <c r="AJ490" s="346"/>
      <c r="AK490" s="346"/>
      <c r="AL490" s="346"/>
      <c r="AM490" s="346"/>
      <c r="AN490" s="346"/>
      <c r="AO490" s="346"/>
      <c r="AP490" s="346"/>
      <c r="AQ490" s="346"/>
      <c r="AR490" s="346"/>
      <c r="AS490" s="346"/>
      <c r="AT490" s="346"/>
      <c r="AU490" s="346"/>
      <c r="AV490" s="346"/>
      <c r="AW490" s="346"/>
      <c r="AX490" s="346"/>
      <c r="AY490" s="346"/>
      <c r="AZ490" s="346"/>
      <c r="BA490" s="346"/>
      <c r="BB490" s="346"/>
      <c r="BC490" s="346"/>
      <c r="BD490" s="346"/>
      <c r="BE490" s="346"/>
      <c r="BF490" s="346"/>
      <c r="BG490" s="346"/>
      <c r="BH490" s="346"/>
      <c r="BI490" s="346"/>
      <c r="BJ490" s="346"/>
      <c r="BK490" s="346"/>
      <c r="BL490" s="346"/>
      <c r="BM490" s="346"/>
      <c r="BN490" s="346"/>
      <c r="BO490" s="346"/>
      <c r="BP490" s="346"/>
      <c r="BQ490" s="346"/>
      <c r="BR490" s="346"/>
      <c r="BS490" s="346"/>
      <c r="BT490" s="346"/>
      <c r="BU490" s="346"/>
      <c r="BV490" s="346"/>
      <c r="BW490" s="346"/>
      <c r="BX490" s="346"/>
      <c r="BY490" s="346"/>
      <c r="BZ490" s="346"/>
      <c r="CA490" s="346"/>
      <c r="CB490" s="346"/>
      <c r="CC490" s="346"/>
      <c r="CD490" s="346"/>
      <c r="CE490" s="347"/>
      <c r="CF490" s="346"/>
      <c r="CG490" s="346"/>
      <c r="CH490" s="346"/>
      <c r="CI490" s="346"/>
      <c r="CJ490" s="346"/>
      <c r="CK490" s="346"/>
      <c r="CL490" s="346"/>
      <c r="CM490" s="346"/>
      <c r="CN490" s="346"/>
      <c r="CO490" s="346"/>
      <c r="CP490" s="348"/>
      <c r="CQ490" s="346"/>
      <c r="CR490" s="346"/>
      <c r="CS490" s="346"/>
      <c r="CT490" s="346"/>
      <c r="CU490" s="346"/>
      <c r="CV490" s="346"/>
      <c r="CW490" s="346"/>
      <c r="CX490" s="346"/>
      <c r="CY490" s="346"/>
      <c r="CZ490" s="346"/>
      <c r="DA490" s="346"/>
      <c r="DB490" s="1479"/>
      <c r="DC490" s="346"/>
      <c r="DD490" s="346"/>
      <c r="DE490" s="346"/>
      <c r="DF490" s="346"/>
      <c r="DG490" s="346"/>
      <c r="DH490" s="346"/>
      <c r="DI490" s="346"/>
      <c r="DJ490" s="346"/>
      <c r="DK490" s="346"/>
      <c r="DL490" s="346"/>
      <c r="DM490" s="346"/>
      <c r="DN490" s="348"/>
      <c r="DO490" s="346"/>
      <c r="DP490" s="346"/>
      <c r="DQ490" s="346"/>
      <c r="DR490" s="346"/>
      <c r="DS490" s="346"/>
      <c r="DT490" s="346"/>
      <c r="DU490" s="346"/>
      <c r="DV490" s="346"/>
      <c r="DW490" s="346"/>
      <c r="DX490" s="346"/>
      <c r="DY490" s="346"/>
      <c r="DZ490" s="348"/>
      <c r="EA490" s="346"/>
      <c r="EB490" s="346"/>
      <c r="EC490" s="346"/>
      <c r="ED490" s="346"/>
      <c r="EE490" s="346"/>
      <c r="EF490" s="346"/>
      <c r="EG490" s="346"/>
      <c r="EH490" s="346"/>
      <c r="EI490" s="346"/>
      <c r="EJ490" s="346"/>
      <c r="EK490" s="346"/>
      <c r="EL490" s="348"/>
      <c r="EM490" s="346">
        <f t="shared" ref="EM490:EX490" si="160">EM215</f>
        <v>0</v>
      </c>
      <c r="EN490" s="346">
        <f t="shared" si="160"/>
        <v>0</v>
      </c>
      <c r="EO490" s="346">
        <f t="shared" si="160"/>
        <v>5.0329786810000003</v>
      </c>
      <c r="EP490" s="346">
        <f t="shared" si="160"/>
        <v>0</v>
      </c>
      <c r="EQ490" s="346">
        <f t="shared" si="160"/>
        <v>0</v>
      </c>
      <c r="ER490" s="346">
        <f t="shared" si="160"/>
        <v>4.2359017769999996</v>
      </c>
      <c r="ES490" s="346">
        <f t="shared" si="160"/>
        <v>0</v>
      </c>
      <c r="ET490" s="346">
        <f t="shared" si="160"/>
        <v>0</v>
      </c>
      <c r="EU490" s="346">
        <f t="shared" si="160"/>
        <v>4.5140113359999994</v>
      </c>
      <c r="EV490" s="346">
        <f t="shared" si="160"/>
        <v>0</v>
      </c>
      <c r="EW490" s="346">
        <f t="shared" si="160"/>
        <v>0</v>
      </c>
      <c r="EX490" s="348">
        <f t="shared" si="160"/>
        <v>6.1646746080000003</v>
      </c>
      <c r="EY490" s="346"/>
      <c r="EZ490" s="346"/>
      <c r="FA490" s="346"/>
      <c r="FB490" s="346"/>
      <c r="FC490" s="346"/>
      <c r="FD490" s="346"/>
      <c r="FE490" s="346"/>
      <c r="FF490" s="346"/>
      <c r="FG490" s="346"/>
      <c r="FH490" s="346"/>
      <c r="FI490" s="346"/>
      <c r="FJ490" s="348"/>
      <c r="FK490" s="346"/>
      <c r="FL490" s="346"/>
      <c r="FM490" s="346"/>
      <c r="FN490" s="346"/>
      <c r="FO490" s="346"/>
      <c r="FP490" s="346"/>
      <c r="FQ490" s="346"/>
      <c r="FR490" s="346"/>
      <c r="FS490" s="346"/>
      <c r="FT490" s="346"/>
      <c r="FU490" s="346"/>
      <c r="FV490" s="346"/>
      <c r="FW490" s="346"/>
      <c r="FX490" s="346"/>
      <c r="FY490" s="346"/>
      <c r="FZ490" s="346"/>
      <c r="GA490" s="346"/>
      <c r="GB490" s="346"/>
      <c r="GC490" s="346"/>
      <c r="GD490" s="346"/>
      <c r="GE490" s="346"/>
      <c r="GF490" s="346"/>
      <c r="GG490" s="346"/>
      <c r="GH490" s="346"/>
      <c r="GI490" s="346"/>
      <c r="GJ490" s="346"/>
      <c r="GK490" s="346"/>
      <c r="GL490" s="346"/>
      <c r="GM490" s="346"/>
      <c r="GN490" s="346"/>
      <c r="GO490" s="346"/>
      <c r="GP490" s="346"/>
      <c r="GQ490" s="346"/>
      <c r="GR490" s="346"/>
      <c r="GS490" s="346"/>
      <c r="GT490" s="346"/>
      <c r="GU490" s="346"/>
      <c r="GV490" s="346"/>
      <c r="GW490" s="346"/>
      <c r="GX490" s="346"/>
      <c r="GY490" s="346"/>
      <c r="GZ490" s="346"/>
      <c r="HA490" s="346"/>
      <c r="HB490" s="346"/>
      <c r="HC490" s="346"/>
      <c r="HD490" s="346"/>
      <c r="HE490" s="346"/>
      <c r="HF490" s="346"/>
      <c r="HG490" s="346"/>
      <c r="HH490" s="346"/>
      <c r="HI490" s="346"/>
      <c r="HJ490" s="346"/>
      <c r="HK490" s="346"/>
      <c r="HL490" s="346"/>
      <c r="HM490" s="346"/>
      <c r="HN490" s="349"/>
      <c r="HO490" s="1225" t="s">
        <v>1233</v>
      </c>
      <c r="HP490" s="1225"/>
      <c r="HQ490" s="1225"/>
      <c r="HR490" s="346"/>
      <c r="HU490" s="346"/>
      <c r="HX490" s="346"/>
      <c r="IA490" s="346"/>
      <c r="IB490" s="1155"/>
      <c r="ID490" s="346"/>
      <c r="IE490" s="302">
        <f t="shared" si="147"/>
        <v>9.2688804579999999</v>
      </c>
      <c r="IF490" s="302">
        <f t="shared" si="148"/>
        <v>10.678685944</v>
      </c>
      <c r="IG490" s="346">
        <f t="shared" si="159"/>
        <v>19.947566402</v>
      </c>
      <c r="IH490" s="350"/>
      <c r="IJ490" s="346"/>
      <c r="IK490" s="350"/>
      <c r="IM490" s="346"/>
      <c r="IN490" s="350"/>
      <c r="IP490" s="346"/>
      <c r="IQ490" s="350"/>
      <c r="IS490" s="346"/>
      <c r="IT490" s="350"/>
      <c r="IV490" s="346"/>
      <c r="IW490" s="350"/>
      <c r="IY490" s="346"/>
      <c r="IZ490" s="350"/>
      <c r="JB490" s="346"/>
      <c r="JC490" s="346"/>
      <c r="KI490" s="349"/>
      <c r="KJ490" s="350"/>
    </row>
    <row r="491" spans="2:302">
      <c r="B491" s="117" t="s">
        <v>361</v>
      </c>
      <c r="D491" s="345" t="str">
        <f>+FISC!D700</f>
        <v>Total Grants</v>
      </c>
      <c r="E491" s="346">
        <f t="shared" ref="E491:AJ491" si="161">E492+E497</f>
        <v>1.029621313</v>
      </c>
      <c r="F491" s="346">
        <f t="shared" si="161"/>
        <v>2.941942955</v>
      </c>
      <c r="G491" s="346">
        <f t="shared" si="161"/>
        <v>20.246580340000001</v>
      </c>
      <c r="H491" s="346">
        <f t="shared" si="161"/>
        <v>3.9784480960000002</v>
      </c>
      <c r="I491" s="346">
        <f t="shared" si="161"/>
        <v>30.615913346000003</v>
      </c>
      <c r="J491" s="346">
        <f t="shared" si="161"/>
        <v>70.885551095000011</v>
      </c>
      <c r="K491" s="346">
        <f t="shared" si="161"/>
        <v>1.117198742</v>
      </c>
      <c r="L491" s="346">
        <f t="shared" si="161"/>
        <v>8.6625460630000006</v>
      </c>
      <c r="M491" s="346">
        <f t="shared" si="161"/>
        <v>21.153440543999999</v>
      </c>
      <c r="N491" s="346">
        <f t="shared" si="161"/>
        <v>10.274025655999999</v>
      </c>
      <c r="O491" s="346">
        <f t="shared" si="161"/>
        <v>2.0354303389999999</v>
      </c>
      <c r="P491" s="346">
        <f t="shared" si="161"/>
        <v>34.352027606</v>
      </c>
      <c r="Q491" s="346">
        <f t="shared" si="161"/>
        <v>7.0713269639999998</v>
      </c>
      <c r="R491" s="346">
        <f t="shared" si="161"/>
        <v>0</v>
      </c>
      <c r="S491" s="346">
        <f t="shared" si="161"/>
        <v>61.582229455999993</v>
      </c>
      <c r="T491" s="346">
        <f t="shared" si="161"/>
        <v>0.24031845799999998</v>
      </c>
      <c r="U491" s="346">
        <f t="shared" si="161"/>
        <v>36.651045891000003</v>
      </c>
      <c r="V491" s="346">
        <f t="shared" si="161"/>
        <v>51.632170015</v>
      </c>
      <c r="W491" s="346">
        <f t="shared" si="161"/>
        <v>1.813009278</v>
      </c>
      <c r="X491" s="346">
        <f t="shared" si="161"/>
        <v>8.8946221609999991</v>
      </c>
      <c r="Y491" s="346">
        <f t="shared" si="161"/>
        <v>31.20712941</v>
      </c>
      <c r="Z491" s="346">
        <f t="shared" si="161"/>
        <v>18.851372507000001</v>
      </c>
      <c r="AA491" s="346">
        <f t="shared" si="161"/>
        <v>2.7449506380000002</v>
      </c>
      <c r="AB491" s="346">
        <f t="shared" si="161"/>
        <v>59.087205908999991</v>
      </c>
      <c r="AC491" s="346">
        <f t="shared" si="161"/>
        <v>0</v>
      </c>
      <c r="AD491" s="346">
        <f t="shared" si="161"/>
        <v>7.5460620000000009</v>
      </c>
      <c r="AE491" s="346">
        <f t="shared" si="161"/>
        <v>31.075787542999997</v>
      </c>
      <c r="AF491" s="346">
        <f t="shared" si="161"/>
        <v>51.132849105999995</v>
      </c>
      <c r="AG491" s="346">
        <f t="shared" si="161"/>
        <v>1.922652555</v>
      </c>
      <c r="AH491" s="346">
        <f t="shared" si="161"/>
        <v>51.792859448000002</v>
      </c>
      <c r="AI491" s="346">
        <f t="shared" si="161"/>
        <v>13.403235237000001</v>
      </c>
      <c r="AJ491" s="346">
        <f t="shared" si="161"/>
        <v>3.5717679769999999</v>
      </c>
      <c r="AK491" s="346">
        <f t="shared" ref="AK491:BP491" si="162">AK492+AK497</f>
        <v>76.057301081000006</v>
      </c>
      <c r="AL491" s="346">
        <f t="shared" si="162"/>
        <v>53.195301256</v>
      </c>
      <c r="AM491" s="346">
        <f t="shared" si="162"/>
        <v>7.5764551739999995</v>
      </c>
      <c r="AN491" s="346">
        <f t="shared" si="162"/>
        <v>50.122866396999989</v>
      </c>
      <c r="AO491" s="346">
        <f t="shared" si="162"/>
        <v>21.649201587</v>
      </c>
      <c r="AP491" s="346">
        <f t="shared" si="162"/>
        <v>0</v>
      </c>
      <c r="AQ491" s="346">
        <f t="shared" si="162"/>
        <v>35.321344279999998</v>
      </c>
      <c r="AR491" s="346">
        <f t="shared" si="162"/>
        <v>12.581843562</v>
      </c>
      <c r="AS491" s="346">
        <f t="shared" si="162"/>
        <v>9.056692696999999</v>
      </c>
      <c r="AT491" s="346">
        <f t="shared" si="162"/>
        <v>124.565289525</v>
      </c>
      <c r="AU491" s="346">
        <f t="shared" si="162"/>
        <v>6.1597314819999998</v>
      </c>
      <c r="AV491" s="346">
        <f t="shared" si="162"/>
        <v>4.7773699999999995</v>
      </c>
      <c r="AW491" s="346">
        <f t="shared" si="162"/>
        <v>92.922261999999989</v>
      </c>
      <c r="AX491" s="346">
        <f t="shared" si="162"/>
        <v>26.394771204000001</v>
      </c>
      <c r="AY491" s="346">
        <f t="shared" si="162"/>
        <v>6.9810858910000002</v>
      </c>
      <c r="AZ491" s="346">
        <f t="shared" si="162"/>
        <v>104.142312999</v>
      </c>
      <c r="BA491" s="346">
        <f t="shared" si="162"/>
        <v>0.531323502</v>
      </c>
      <c r="BB491" s="346">
        <f t="shared" si="162"/>
        <v>5.2342624570000007</v>
      </c>
      <c r="BC491" s="346">
        <f t="shared" si="162"/>
        <v>26.460102192000001</v>
      </c>
      <c r="BD491" s="346">
        <f t="shared" si="162"/>
        <v>67.936107326759995</v>
      </c>
      <c r="BE491" s="346">
        <f t="shared" si="162"/>
        <v>1.03516734123</v>
      </c>
      <c r="BF491" s="346">
        <f t="shared" si="162"/>
        <v>37.818550885999997</v>
      </c>
      <c r="BG491" s="346">
        <f t="shared" si="162"/>
        <v>41.011713339000003</v>
      </c>
      <c r="BH491" s="346">
        <f t="shared" si="162"/>
        <v>37.631219074000001</v>
      </c>
      <c r="BI491" s="346">
        <f t="shared" si="162"/>
        <v>58.204305503</v>
      </c>
      <c r="BJ491" s="346">
        <f t="shared" si="162"/>
        <v>76.582871436000005</v>
      </c>
      <c r="BK491" s="346">
        <f t="shared" si="162"/>
        <v>4.6969805640000004</v>
      </c>
      <c r="BL491" s="346">
        <f t="shared" si="162"/>
        <v>100.61895018300001</v>
      </c>
      <c r="BM491" s="346">
        <f t="shared" si="162"/>
        <v>2.2913186510000001</v>
      </c>
      <c r="BN491" s="346">
        <f t="shared" si="162"/>
        <v>4.1133515819999991</v>
      </c>
      <c r="BO491" s="346">
        <f t="shared" si="162"/>
        <v>39.880174020999995</v>
      </c>
      <c r="BP491" s="346">
        <f t="shared" si="162"/>
        <v>0.244489505</v>
      </c>
      <c r="BQ491" s="346">
        <f t="shared" ref="BQ491:CV491" si="163">BQ492+BQ497</f>
        <v>0.210040425</v>
      </c>
      <c r="BR491" s="346">
        <f t="shared" si="163"/>
        <v>99.473223590625764</v>
      </c>
      <c r="BS491" s="346">
        <f t="shared" si="163"/>
        <v>41.339599451901627</v>
      </c>
      <c r="BT491" s="346">
        <f t="shared" si="163"/>
        <v>14.863909459931111</v>
      </c>
      <c r="BU491" s="346">
        <f t="shared" si="163"/>
        <v>22.945002676272118</v>
      </c>
      <c r="BV491" s="346">
        <f t="shared" si="163"/>
        <v>48.35237651825814</v>
      </c>
      <c r="BW491" s="346">
        <f t="shared" si="163"/>
        <v>41.538890177774903</v>
      </c>
      <c r="BX491" s="346">
        <f t="shared" si="163"/>
        <v>32.074274932185176</v>
      </c>
      <c r="BY491" s="346">
        <f t="shared" si="163"/>
        <v>5.3243199074185432E-4</v>
      </c>
      <c r="BZ491" s="346">
        <f t="shared" si="163"/>
        <v>4.0420954691215796</v>
      </c>
      <c r="CA491" s="346">
        <f t="shared" si="163"/>
        <v>21.91745053152469</v>
      </c>
      <c r="CB491" s="346">
        <f t="shared" si="163"/>
        <v>37.905873518997652</v>
      </c>
      <c r="CC491" s="346">
        <f t="shared" si="163"/>
        <v>50.3250031442698</v>
      </c>
      <c r="CD491" s="346">
        <f t="shared" si="163"/>
        <v>43.125115180714218</v>
      </c>
      <c r="CE491" s="347">
        <f t="shared" si="163"/>
        <v>31.718805555905767</v>
      </c>
      <c r="CF491" s="346">
        <f t="shared" si="163"/>
        <v>38.907002073399845</v>
      </c>
      <c r="CG491" s="346">
        <f t="shared" si="163"/>
        <v>76.363794870817969</v>
      </c>
      <c r="CH491" s="346">
        <f t="shared" si="163"/>
        <v>48.656347242813837</v>
      </c>
      <c r="CI491" s="346">
        <f t="shared" si="163"/>
        <v>36.239050340761018</v>
      </c>
      <c r="CJ491" s="346">
        <f t="shared" si="163"/>
        <v>63.172935479123936</v>
      </c>
      <c r="CK491" s="346">
        <f t="shared" si="163"/>
        <v>22.819864211262146</v>
      </c>
      <c r="CL491" s="346">
        <f t="shared" si="163"/>
        <v>15.431886799263191</v>
      </c>
      <c r="CM491" s="346">
        <f t="shared" si="163"/>
        <v>15.611922068671143</v>
      </c>
      <c r="CN491" s="346">
        <f t="shared" si="163"/>
        <v>60.514631686105645</v>
      </c>
      <c r="CO491" s="346">
        <f t="shared" si="163"/>
        <v>36.823808733527677</v>
      </c>
      <c r="CP491" s="348">
        <f t="shared" si="163"/>
        <v>31.826695276293563</v>
      </c>
      <c r="CQ491" s="346">
        <f t="shared" si="163"/>
        <v>34.448433302576923</v>
      </c>
      <c r="CR491" s="346">
        <f t="shared" si="163"/>
        <v>20.63533699242986</v>
      </c>
      <c r="CS491" s="346">
        <f t="shared" si="163"/>
        <v>32.087946900292721</v>
      </c>
      <c r="CT491" s="346">
        <f t="shared" si="163"/>
        <v>27.612034403931105</v>
      </c>
      <c r="CU491" s="346">
        <f t="shared" si="163"/>
        <v>37.436683176818306</v>
      </c>
      <c r="CV491" s="346">
        <f t="shared" si="163"/>
        <v>88.698945014422492</v>
      </c>
      <c r="CW491" s="346">
        <f t="shared" ref="CW491:EB491" si="164">CW492+CW497</f>
        <v>27.162065658790688</v>
      </c>
      <c r="CX491" s="346">
        <f t="shared" si="164"/>
        <v>20.746947771968355</v>
      </c>
      <c r="CY491" s="346">
        <f t="shared" si="164"/>
        <v>35.869115706465713</v>
      </c>
      <c r="CZ491" s="346">
        <f t="shared" si="164"/>
        <v>17.985062782443695</v>
      </c>
      <c r="DA491" s="346">
        <f t="shared" si="164"/>
        <v>51.934945825248548</v>
      </c>
      <c r="DB491" s="1479">
        <f t="shared" si="164"/>
        <v>21.276310773073181</v>
      </c>
      <c r="DC491" s="346">
        <f t="shared" si="164"/>
        <v>31.893560092813239</v>
      </c>
      <c r="DD491" s="346">
        <f t="shared" si="164"/>
        <v>25.169632982027082</v>
      </c>
      <c r="DE491" s="346">
        <f t="shared" si="164"/>
        <v>37.819658055842872</v>
      </c>
      <c r="DF491" s="346">
        <f t="shared" si="164"/>
        <v>3.04173503264987</v>
      </c>
      <c r="DG491" s="346">
        <f t="shared" si="164"/>
        <v>62.005850648357672</v>
      </c>
      <c r="DH491" s="346">
        <f t="shared" si="164"/>
        <v>39.696676979289592</v>
      </c>
      <c r="DI491" s="346">
        <f t="shared" si="164"/>
        <v>9.9860504808621329</v>
      </c>
      <c r="DJ491" s="346">
        <f t="shared" si="164"/>
        <v>14.546578813522158</v>
      </c>
      <c r="DK491" s="346">
        <f t="shared" si="164"/>
        <v>15.414975497675133</v>
      </c>
      <c r="DL491" s="346">
        <f t="shared" si="164"/>
        <v>65.233465502126222</v>
      </c>
      <c r="DM491" s="346">
        <f t="shared" si="164"/>
        <v>19.536411074481041</v>
      </c>
      <c r="DN491" s="348">
        <f t="shared" si="164"/>
        <v>49.4024151180801</v>
      </c>
      <c r="DO491" s="346">
        <f t="shared" si="164"/>
        <v>25.855145215194501</v>
      </c>
      <c r="DP491" s="346">
        <f t="shared" si="164"/>
        <v>8.1567739219616744</v>
      </c>
      <c r="DQ491" s="346">
        <f t="shared" si="164"/>
        <v>20.22672553938693</v>
      </c>
      <c r="DR491" s="346">
        <f t="shared" si="164"/>
        <v>3.3272886219530426</v>
      </c>
      <c r="DS491" s="346">
        <f t="shared" si="164"/>
        <v>16.246436408114487</v>
      </c>
      <c r="DT491" s="346">
        <f t="shared" si="164"/>
        <v>48.103489986870606</v>
      </c>
      <c r="DU491" s="346">
        <f t="shared" si="164"/>
        <v>31.798469715153331</v>
      </c>
      <c r="DV491" s="346">
        <f t="shared" si="164"/>
        <v>5.8007764595570457E-2</v>
      </c>
      <c r="DW491" s="346">
        <f t="shared" si="164"/>
        <v>10.541360405145587</v>
      </c>
      <c r="DX491" s="346">
        <f t="shared" si="164"/>
        <v>24.35812990611122</v>
      </c>
      <c r="DY491" s="346">
        <f t="shared" si="164"/>
        <v>4.4983689553372501E-2</v>
      </c>
      <c r="DZ491" s="348">
        <f t="shared" si="164"/>
        <v>52.957257360683563</v>
      </c>
      <c r="EA491" s="346">
        <f t="shared" si="164"/>
        <v>34.374027905691761</v>
      </c>
      <c r="EB491" s="346">
        <f t="shared" si="164"/>
        <v>19.935162580397741</v>
      </c>
      <c r="EC491" s="346">
        <f t="shared" ref="EC491:EL491" si="165">EC492+EC497</f>
        <v>25.342666027910504</v>
      </c>
      <c r="ED491" s="346">
        <f t="shared" si="165"/>
        <v>23.320952846096386</v>
      </c>
      <c r="EE491" s="346">
        <f t="shared" si="165"/>
        <v>28.187374512950328</v>
      </c>
      <c r="EF491" s="346">
        <f t="shared" si="165"/>
        <v>63.627387196566247</v>
      </c>
      <c r="EG491" s="346">
        <f t="shared" si="165"/>
        <v>47.164699144030145</v>
      </c>
      <c r="EH491" s="346">
        <f t="shared" si="165"/>
        <v>16.050513299767147</v>
      </c>
      <c r="EI491" s="346">
        <f t="shared" si="165"/>
        <v>37.388787343395528</v>
      </c>
      <c r="EJ491" s="346">
        <f t="shared" si="165"/>
        <v>24.48871988855079</v>
      </c>
      <c r="EK491" s="346">
        <f t="shared" si="165"/>
        <v>8.1360103973705851</v>
      </c>
      <c r="EL491" s="348">
        <f t="shared" si="165"/>
        <v>30.89065158657996</v>
      </c>
      <c r="EM491" s="346">
        <f t="shared" ref="EM491:ER491" si="166">EM492+EM497</f>
        <v>23.923055191511228</v>
      </c>
      <c r="EN491" s="346">
        <f t="shared" si="166"/>
        <v>33.012554116012367</v>
      </c>
      <c r="EO491" s="346">
        <f t="shared" si="166"/>
        <v>32.159939741700256</v>
      </c>
      <c r="EP491" s="346">
        <f t="shared" si="166"/>
        <v>25.713574178749187</v>
      </c>
      <c r="EQ491" s="346">
        <f t="shared" si="166"/>
        <v>8.589162902411001</v>
      </c>
      <c r="ER491" s="346">
        <f t="shared" si="166"/>
        <v>111.15390138590101</v>
      </c>
      <c r="ES491" s="346">
        <f t="shared" ref="ES491:EX491" si="167">ES492+ES497</f>
        <v>25.804821157746737</v>
      </c>
      <c r="ET491" s="346">
        <f t="shared" si="167"/>
        <v>40.261564226468217</v>
      </c>
      <c r="EU491" s="346">
        <f t="shared" si="167"/>
        <v>26.416724477371513</v>
      </c>
      <c r="EV491" s="346">
        <f t="shared" si="167"/>
        <v>31.930541911652508</v>
      </c>
      <c r="EW491" s="346">
        <f t="shared" si="167"/>
        <v>9.2735813359162655</v>
      </c>
      <c r="EX491" s="348">
        <f t="shared" si="167"/>
        <v>26.53420387887488</v>
      </c>
      <c r="EY491" s="346"/>
      <c r="EZ491" s="346"/>
      <c r="FA491" s="346"/>
      <c r="FB491" s="346"/>
      <c r="FC491" s="346"/>
      <c r="FD491" s="346"/>
      <c r="FE491" s="346"/>
      <c r="FF491" s="346"/>
      <c r="FG491" s="346"/>
      <c r="FH491" s="346"/>
      <c r="FI491" s="346"/>
      <c r="FJ491" s="348"/>
      <c r="FK491" s="346"/>
      <c r="FL491" s="346"/>
      <c r="FM491" s="346"/>
      <c r="FN491" s="346"/>
      <c r="FO491" s="346"/>
      <c r="FP491" s="346"/>
      <c r="FQ491" s="346"/>
      <c r="FR491" s="346"/>
      <c r="FS491" s="346"/>
      <c r="FT491" s="346"/>
      <c r="FU491" s="346"/>
      <c r="FV491" s="346"/>
      <c r="FW491" s="346"/>
      <c r="FX491" s="346"/>
      <c r="FY491" s="346"/>
      <c r="FZ491" s="346"/>
      <c r="GA491" s="346"/>
      <c r="GB491" s="346"/>
      <c r="GC491" s="346"/>
      <c r="GD491" s="346"/>
      <c r="GE491" s="346"/>
      <c r="GF491" s="346"/>
      <c r="GG491" s="346"/>
      <c r="GH491" s="346"/>
      <c r="GI491" s="346"/>
      <c r="GJ491" s="346"/>
      <c r="GK491" s="346"/>
      <c r="GL491" s="346"/>
      <c r="GM491" s="346"/>
      <c r="GN491" s="346"/>
      <c r="GO491" s="346"/>
      <c r="GP491" s="346"/>
      <c r="GQ491" s="346"/>
      <c r="GR491" s="346"/>
      <c r="GS491" s="346"/>
      <c r="GT491" s="346"/>
      <c r="GU491" s="346"/>
      <c r="GV491" s="346"/>
      <c r="GW491" s="346"/>
      <c r="GX491" s="346"/>
      <c r="GY491" s="346"/>
      <c r="GZ491" s="346"/>
      <c r="HA491" s="346"/>
      <c r="HB491" s="346"/>
      <c r="HC491" s="346"/>
      <c r="HD491" s="346"/>
      <c r="HE491" s="346"/>
      <c r="HF491" s="346"/>
      <c r="HG491" s="346"/>
      <c r="HH491" s="346"/>
      <c r="HI491" s="346"/>
      <c r="HJ491" s="346"/>
      <c r="HK491" s="346"/>
      <c r="HL491" s="346"/>
      <c r="HM491" s="346"/>
      <c r="HN491" s="349"/>
      <c r="HO491" s="345" t="s">
        <v>146</v>
      </c>
      <c r="HP491" s="345"/>
      <c r="HQ491" s="345"/>
      <c r="HR491" s="346">
        <f>+FISC!Z700</f>
        <v>415.91369751440271</v>
      </c>
      <c r="HS491" s="302">
        <f>HS492+HS497</f>
        <v>240.91937979047142</v>
      </c>
      <c r="HT491" s="302">
        <f>HT492+HT497</f>
        <v>174.9744485179902</v>
      </c>
      <c r="HU491" s="346">
        <f>HU492+HU497</f>
        <v>415.89382830846159</v>
      </c>
      <c r="HV491" s="350">
        <f>+HV492+HV497</f>
        <v>199.62711379098033</v>
      </c>
      <c r="HW491" s="350">
        <f>+HW492+HW497</f>
        <v>174.11989648674677</v>
      </c>
      <c r="HX491" s="346">
        <f>HV491+HW491</f>
        <v>373.7470102777271</v>
      </c>
      <c r="HY491" s="350">
        <f>+HY492+HY497</f>
        <v>121.91585969348124</v>
      </c>
      <c r="HZ491" s="350">
        <f>+HZ492+HZ497</f>
        <v>119.75820884124263</v>
      </c>
      <c r="IA491" s="346">
        <f t="shared" si="103"/>
        <v>241.67406853472386</v>
      </c>
      <c r="IB491" s="1043">
        <f>+IB492+IB497</f>
        <v>194.76461911498851</v>
      </c>
      <c r="IC491" s="350">
        <f>+IC492+IC497</f>
        <v>164.14405775372194</v>
      </c>
      <c r="ID491" s="346">
        <f>FISC!AC700</f>
        <v>358.90867686871047</v>
      </c>
      <c r="IE491" s="302">
        <f t="shared" si="147"/>
        <v>234.55218751628504</v>
      </c>
      <c r="IF491" s="302">
        <f t="shared" si="148"/>
        <v>160.22143698803012</v>
      </c>
      <c r="IG491" s="346">
        <f t="shared" si="159"/>
        <v>394.77362450431519</v>
      </c>
      <c r="IH491" s="350">
        <f>+(IH492+IH497)</f>
        <v>221.14359889992647</v>
      </c>
      <c r="II491" s="350">
        <f>+II492+II497</f>
        <v>210.93867897822892</v>
      </c>
      <c r="IJ491" s="346">
        <f>+FISC!AE700</f>
        <v>432.08227787815542</v>
      </c>
      <c r="IK491" s="350">
        <f>+IK492+IK497</f>
        <v>242.17018031472651</v>
      </c>
      <c r="IL491" s="302">
        <f t="shared" si="85"/>
        <v>250.15350467601741</v>
      </c>
      <c r="IM491" s="346">
        <f>+FISC!AF700</f>
        <v>492.32368499074391</v>
      </c>
      <c r="IN491" s="350">
        <f>+IN492+IN497</f>
        <v>340.02043717896248</v>
      </c>
      <c r="IO491" s="302">
        <f t="shared" si="154"/>
        <v>496.18969731323097</v>
      </c>
      <c r="IP491" s="346">
        <f>+FISC!AG700</f>
        <v>836.21013449219345</v>
      </c>
      <c r="IQ491" s="350">
        <f>+IQ492+IQ497</f>
        <v>274.88739932921771</v>
      </c>
      <c r="IR491" s="302">
        <f t="shared" si="74"/>
        <v>436.40675363032256</v>
      </c>
      <c r="IS491" s="346">
        <f>+FISC!AH700</f>
        <v>711.29415295954027</v>
      </c>
      <c r="IT491" s="350">
        <f>+IT492+IT497</f>
        <v>345.58022515940763</v>
      </c>
      <c r="IU491" s="302">
        <f t="shared" si="75"/>
        <v>412.23641543065389</v>
      </c>
      <c r="IV491" s="346">
        <f>+FISC!AI700</f>
        <v>757.81664059006152</v>
      </c>
      <c r="IW491" s="350">
        <f>+IW492+IW497</f>
        <v>362.25086272272898</v>
      </c>
      <c r="IX491" s="302">
        <f t="shared" si="76"/>
        <v>263.51787651138415</v>
      </c>
      <c r="IY491" s="346">
        <f>+FISC!AJ700</f>
        <v>625.76873923411313</v>
      </c>
      <c r="IZ491" s="350">
        <f>+IZ492+IZ497</f>
        <v>286.41828932310369</v>
      </c>
      <c r="JA491" s="302">
        <f t="shared" si="77"/>
        <v>298.79671902821593</v>
      </c>
      <c r="JB491" s="346">
        <f>+FISC!AK700</f>
        <v>585.21500835131963</v>
      </c>
      <c r="JC491" s="346"/>
      <c r="KI491" s="349"/>
      <c r="KJ491" s="350"/>
      <c r="KM491" s="302">
        <f>KM492+KM497</f>
        <v>0</v>
      </c>
      <c r="KN491" s="302">
        <f>KN492+KN497</f>
        <v>0</v>
      </c>
      <c r="KO491" s="302">
        <f>KO492+KO497</f>
        <v>0</v>
      </c>
      <c r="KP491" s="302">
        <f>KP492+KP497</f>
        <v>0</v>
      </c>
    </row>
    <row r="492" spans="2:302">
      <c r="B492" s="117" t="s">
        <v>361</v>
      </c>
      <c r="D492" s="599" t="str">
        <f>+FISC!D701</f>
        <v>Budgetary grants</v>
      </c>
      <c r="E492" s="346">
        <v>1.029621313</v>
      </c>
      <c r="F492" s="346">
        <v>2.941942955</v>
      </c>
      <c r="G492" s="346">
        <v>1.1505803399999999</v>
      </c>
      <c r="H492" s="346">
        <v>3.9784480960000002</v>
      </c>
      <c r="I492" s="346">
        <v>30.615913346000003</v>
      </c>
      <c r="J492" s="346">
        <v>51.965551095000002</v>
      </c>
      <c r="K492" s="346">
        <v>1.117198742</v>
      </c>
      <c r="L492" s="346">
        <v>8.6625460630000006</v>
      </c>
      <c r="M492" s="346">
        <v>0.825440544</v>
      </c>
      <c r="N492" s="346">
        <v>10.274025655999999</v>
      </c>
      <c r="O492" s="346">
        <v>2.0354303389999999</v>
      </c>
      <c r="P492" s="346">
        <v>18.696027606000001</v>
      </c>
      <c r="Q492" s="346">
        <v>7.0713269639999998</v>
      </c>
      <c r="R492" s="346">
        <v>0</v>
      </c>
      <c r="S492" s="346">
        <v>47.972159455999993</v>
      </c>
      <c r="T492" s="346">
        <v>0.24031845799999998</v>
      </c>
      <c r="U492" s="346">
        <v>36.651045891000003</v>
      </c>
      <c r="V492" s="346">
        <v>30.353750014999999</v>
      </c>
      <c r="W492" s="346">
        <v>1.813009278</v>
      </c>
      <c r="X492" s="346">
        <v>8.8946221609999991</v>
      </c>
      <c r="Y492" s="346">
        <v>10.554829409999998</v>
      </c>
      <c r="Z492" s="346">
        <v>18.851372507000001</v>
      </c>
      <c r="AA492" s="346">
        <v>2.7449506380000002</v>
      </c>
      <c r="AB492" s="346">
        <v>20.533005909</v>
      </c>
      <c r="AC492" s="346">
        <v>0</v>
      </c>
      <c r="AD492" s="346">
        <v>7.5460620000000009</v>
      </c>
      <c r="AE492" s="346">
        <v>3.8527875429999998</v>
      </c>
      <c r="AF492" s="346">
        <v>51.132849105999995</v>
      </c>
      <c r="AG492" s="346">
        <v>1.922652555</v>
      </c>
      <c r="AH492" s="346">
        <v>37.021962551999998</v>
      </c>
      <c r="AI492" s="346">
        <v>13.403235237000001</v>
      </c>
      <c r="AJ492" s="346">
        <v>3.5717679769999999</v>
      </c>
      <c r="AK492" s="346">
        <v>44.113459689999999</v>
      </c>
      <c r="AL492" s="346">
        <v>53.195301256</v>
      </c>
      <c r="AM492" s="346">
        <v>7.5764551739999995</v>
      </c>
      <c r="AN492" s="346">
        <v>10.268108200999999</v>
      </c>
      <c r="AO492" s="346">
        <v>21.649201587</v>
      </c>
      <c r="AP492" s="346">
        <v>0</v>
      </c>
      <c r="AQ492" s="346">
        <v>8.0213442799999992</v>
      </c>
      <c r="AR492" s="346">
        <v>12.581843562</v>
      </c>
      <c r="AS492" s="346">
        <v>9.056692696999999</v>
      </c>
      <c r="AT492" s="346">
        <v>97.265289525</v>
      </c>
      <c r="AU492" s="346">
        <v>6.1597314819999998</v>
      </c>
      <c r="AV492" s="346">
        <v>4.7773699999999995</v>
      </c>
      <c r="AW492" s="346">
        <v>58.822261999999988</v>
      </c>
      <c r="AX492" s="346">
        <v>26.394771204000001</v>
      </c>
      <c r="AY492" s="346">
        <v>6.9810858910000002</v>
      </c>
      <c r="AZ492" s="346">
        <v>24.142312999000001</v>
      </c>
      <c r="BA492" s="346">
        <v>0.531323502</v>
      </c>
      <c r="BB492" s="346">
        <v>5.2342624570000007</v>
      </c>
      <c r="BC492" s="346">
        <v>1.0111021920000001</v>
      </c>
      <c r="BD492" s="346">
        <v>67.936107326759995</v>
      </c>
      <c r="BE492" s="346">
        <v>1.03516734123</v>
      </c>
      <c r="BF492" s="346">
        <v>13.367550886</v>
      </c>
      <c r="BG492" s="346">
        <v>41.011713339000003</v>
      </c>
      <c r="BH492" s="346">
        <v>37.631219074000001</v>
      </c>
      <c r="BI492" s="346">
        <v>29.764305502999996</v>
      </c>
      <c r="BJ492" s="346">
        <v>25.662271436000001</v>
      </c>
      <c r="BK492" s="346">
        <v>4.6969805640000004</v>
      </c>
      <c r="BL492" s="346">
        <v>72.178950183000012</v>
      </c>
      <c r="BM492" s="346">
        <v>2.2913186510000001</v>
      </c>
      <c r="BN492" s="346">
        <v>4.1133515819999991</v>
      </c>
      <c r="BO492" s="346">
        <v>11.480174020999998</v>
      </c>
      <c r="BP492" s="346">
        <v>0.244489505</v>
      </c>
      <c r="BQ492" s="346">
        <v>0.210040425</v>
      </c>
      <c r="BR492" s="346">
        <v>36.401174263000001</v>
      </c>
      <c r="BS492" s="346">
        <v>29.136299999999999</v>
      </c>
      <c r="BT492" s="346">
        <v>5.0500000000000003E-2</v>
      </c>
      <c r="BU492" s="346">
        <v>16.354800000000001</v>
      </c>
      <c r="BV492" s="346">
        <v>40.385982536352834</v>
      </c>
      <c r="BW492" s="346">
        <v>0</v>
      </c>
      <c r="BX492" s="346">
        <v>3.0729541479283036</v>
      </c>
      <c r="BY492" s="346">
        <v>5.260235500000876E-4</v>
      </c>
      <c r="BZ492" s="346">
        <v>9.1826426500000002E-2</v>
      </c>
      <c r="CA492" s="346">
        <v>12.982690138090351</v>
      </c>
      <c r="CB492" s="346">
        <v>31.033814600552404</v>
      </c>
      <c r="CC492" s="346">
        <v>17.757997552074478</v>
      </c>
      <c r="CD492" s="346">
        <v>32.66273206789338</v>
      </c>
      <c r="CE492" s="347">
        <f>CE493+CE494</f>
        <v>11.074034852134075</v>
      </c>
      <c r="CF492" s="346">
        <f t="shared" ref="CF492:DN492" si="168">CF493+CF494</f>
        <v>32.700150377666034</v>
      </c>
      <c r="CG492" s="346">
        <f t="shared" si="168"/>
        <v>42.709039008523469</v>
      </c>
      <c r="CH492" s="346">
        <f t="shared" si="168"/>
        <v>8.4914818258642306</v>
      </c>
      <c r="CI492" s="346">
        <f t="shared" si="168"/>
        <v>2.9367541546255658</v>
      </c>
      <c r="CJ492" s="346">
        <f t="shared" si="168"/>
        <v>39.867508568122986</v>
      </c>
      <c r="CK492" s="346">
        <f t="shared" si="168"/>
        <v>0.4505358125808413</v>
      </c>
      <c r="CL492" s="346">
        <f t="shared" si="168"/>
        <v>6.1572929790496084E-2</v>
      </c>
      <c r="CM492" s="346">
        <f t="shared" si="168"/>
        <v>0.3515643368251512</v>
      </c>
      <c r="CN492" s="346">
        <f t="shared" si="168"/>
        <v>5.4330064326454339</v>
      </c>
      <c r="CO492" s="346">
        <f t="shared" si="168"/>
        <v>20.722085809617504</v>
      </c>
      <c r="CP492" s="348">
        <f t="shared" si="168"/>
        <v>10.027234982980973</v>
      </c>
      <c r="CQ492" s="346">
        <f t="shared" si="168"/>
        <v>17.574926579780833</v>
      </c>
      <c r="CR492" s="346">
        <f t="shared" si="168"/>
        <v>6.1004475483840262E-2</v>
      </c>
      <c r="CS492" s="346">
        <f t="shared" si="168"/>
        <v>18.410786140034833</v>
      </c>
      <c r="CT492" s="346">
        <f t="shared" si="168"/>
        <v>4.6459715500613363</v>
      </c>
      <c r="CU492" s="346">
        <f t="shared" si="168"/>
        <v>11.644424817805959</v>
      </c>
      <c r="CV492" s="346">
        <f t="shared" si="168"/>
        <v>63.104221270265896</v>
      </c>
      <c r="CW492" s="346">
        <f t="shared" si="168"/>
        <v>8.3267635304785639</v>
      </c>
      <c r="CX492" s="346">
        <f t="shared" si="168"/>
        <v>5.3526167373176385E-2</v>
      </c>
      <c r="CY492" s="346">
        <f t="shared" si="168"/>
        <v>17.62001316069103</v>
      </c>
      <c r="CZ492" s="346">
        <f t="shared" si="168"/>
        <v>5.4375696773941051</v>
      </c>
      <c r="DA492" s="346">
        <f t="shared" si="168"/>
        <v>27.297930233327257</v>
      </c>
      <c r="DB492" s="1479">
        <f t="shared" si="168"/>
        <v>0.68299319136206749</v>
      </c>
      <c r="DC492" s="346">
        <f t="shared" si="168"/>
        <v>18.500350525863201</v>
      </c>
      <c r="DD492" s="346">
        <f t="shared" si="168"/>
        <v>6.1547591233999999</v>
      </c>
      <c r="DE492" s="346">
        <f t="shared" si="168"/>
        <v>21.85774148142</v>
      </c>
      <c r="DF492" s="346">
        <f t="shared" si="168"/>
        <v>0.27488678799999999</v>
      </c>
      <c r="DG492" s="346">
        <f t="shared" si="168"/>
        <v>33.148919335843495</v>
      </c>
      <c r="DH492" s="346">
        <f>DH493+DH494</f>
        <v>22.95045653645364</v>
      </c>
      <c r="DI492" s="346">
        <f t="shared" si="168"/>
        <v>0.45384504142463566</v>
      </c>
      <c r="DJ492" s="346">
        <f t="shared" si="168"/>
        <v>3.0471868759055294</v>
      </c>
      <c r="DK492" s="346">
        <f t="shared" si="168"/>
        <v>0.34657287472925635</v>
      </c>
      <c r="DL492" s="346">
        <f t="shared" si="168"/>
        <v>54.368579620764223</v>
      </c>
      <c r="DM492" s="346">
        <f t="shared" si="168"/>
        <v>0.23876751243749914</v>
      </c>
      <c r="DN492" s="348">
        <f t="shared" si="168"/>
        <v>43.464944561485638</v>
      </c>
      <c r="DO492" s="346">
        <f t="shared" ref="DO492:DT492" si="169">DO493+DO494</f>
        <v>21.286172955145268</v>
      </c>
      <c r="DP492" s="346">
        <f t="shared" si="169"/>
        <v>6.15912446300276</v>
      </c>
      <c r="DQ492" s="346">
        <f t="shared" si="169"/>
        <v>0.36889618367652649</v>
      </c>
      <c r="DR492" s="346">
        <f t="shared" si="169"/>
        <v>0.3018041686636207</v>
      </c>
      <c r="DS492" s="346">
        <f t="shared" si="169"/>
        <v>16.246436408114487</v>
      </c>
      <c r="DT492" s="346">
        <f t="shared" si="169"/>
        <v>48.103489986870606</v>
      </c>
      <c r="DU492" s="346">
        <f t="shared" ref="DU492:DZ492" si="170">DU493+DU494</f>
        <v>15.925133723153333</v>
      </c>
      <c r="DV492" s="346">
        <f t="shared" si="170"/>
        <v>5.8007764595570457E-2</v>
      </c>
      <c r="DW492" s="346">
        <f t="shared" si="170"/>
        <v>10.541360405145587</v>
      </c>
      <c r="DX492" s="346">
        <f t="shared" si="170"/>
        <v>12.189416837913845</v>
      </c>
      <c r="DY492" s="346">
        <f t="shared" si="170"/>
        <v>4.4983689553372501E-2</v>
      </c>
      <c r="DZ492" s="348">
        <f t="shared" si="170"/>
        <v>52.957257360683563</v>
      </c>
      <c r="EA492" s="346">
        <f t="shared" ref="EA492:EL492" si="171">EA493+EA494+EA495</f>
        <v>22.330994918999998</v>
      </c>
      <c r="EB492" s="346">
        <f t="shared" si="171"/>
        <v>8.3537451970000003</v>
      </c>
      <c r="EC492" s="346">
        <f t="shared" si="171"/>
        <v>6.3896163980000003</v>
      </c>
      <c r="ED492" s="346">
        <f t="shared" si="171"/>
        <v>14.108040666624467</v>
      </c>
      <c r="EE492" s="346">
        <f t="shared" si="171"/>
        <v>9.5209014795940092</v>
      </c>
      <c r="EF492" s="346">
        <f t="shared" si="171"/>
        <v>48.929272409394486</v>
      </c>
      <c r="EG492" s="346">
        <f t="shared" si="171"/>
        <v>39.430327586326584</v>
      </c>
      <c r="EH492" s="346">
        <f t="shared" si="171"/>
        <v>3.5058122900716104</v>
      </c>
      <c r="EI492" s="346">
        <f t="shared" si="171"/>
        <v>15.89035991079462</v>
      </c>
      <c r="EJ492" s="346">
        <f t="shared" si="171"/>
        <v>20.966980069027823</v>
      </c>
      <c r="EK492" s="346">
        <f t="shared" si="171"/>
        <v>5.0993692085567657E-2</v>
      </c>
      <c r="EL492" s="348">
        <f t="shared" si="171"/>
        <v>0.7199081113879362</v>
      </c>
      <c r="EM492" s="346">
        <f t="shared" ref="EM492:EX492" si="172">EM493+EM494+EM495</f>
        <v>8.246678119256373</v>
      </c>
      <c r="EN492" s="346">
        <f t="shared" si="172"/>
        <v>16.731777538332228</v>
      </c>
      <c r="EO492" s="346">
        <f t="shared" si="172"/>
        <v>0.2027860917652563</v>
      </c>
      <c r="EP492" s="346">
        <f t="shared" si="172"/>
        <v>2.364907381854027E-2</v>
      </c>
      <c r="EQ492" s="346">
        <f t="shared" si="172"/>
        <v>2.350520414</v>
      </c>
      <c r="ER492" s="346">
        <f t="shared" si="172"/>
        <v>79.196747735965999</v>
      </c>
      <c r="ES492" s="346">
        <f t="shared" si="172"/>
        <v>14.032465188655175</v>
      </c>
      <c r="ET492" s="346">
        <f t="shared" si="172"/>
        <v>25.71504433300705</v>
      </c>
      <c r="EU492" s="346">
        <f t="shared" si="172"/>
        <v>9.7848614553610838E-2</v>
      </c>
      <c r="EV492" s="346">
        <f t="shared" si="172"/>
        <v>14.885247384866869</v>
      </c>
      <c r="EW492" s="346">
        <f t="shared" si="172"/>
        <v>0</v>
      </c>
      <c r="EX492" s="348">
        <f t="shared" si="172"/>
        <v>0.21532801592438158</v>
      </c>
      <c r="EY492" s="346"/>
      <c r="EZ492" s="346"/>
      <c r="FA492" s="346"/>
      <c r="FB492" s="346"/>
      <c r="FC492" s="346"/>
      <c r="FD492" s="346"/>
      <c r="FE492" s="346"/>
      <c r="FF492" s="346"/>
      <c r="FG492" s="346"/>
      <c r="FH492" s="346"/>
      <c r="FI492" s="346"/>
      <c r="FJ492" s="348"/>
      <c r="FK492" s="346"/>
      <c r="FL492" s="346"/>
      <c r="FM492" s="346"/>
      <c r="FN492" s="346"/>
      <c r="FO492" s="346"/>
      <c r="FP492" s="346"/>
      <c r="FQ492" s="346"/>
      <c r="FR492" s="346"/>
      <c r="FS492" s="346"/>
      <c r="FT492" s="346"/>
      <c r="FU492" s="346"/>
      <c r="FV492" s="346"/>
      <c r="FW492" s="346"/>
      <c r="FX492" s="346"/>
      <c r="FY492" s="346"/>
      <c r="FZ492" s="346"/>
      <c r="GA492" s="346"/>
      <c r="GB492" s="346"/>
      <c r="GC492" s="346"/>
      <c r="GD492" s="346"/>
      <c r="GE492" s="346"/>
      <c r="GF492" s="346"/>
      <c r="GG492" s="346"/>
      <c r="GH492" s="346"/>
      <c r="GI492" s="346"/>
      <c r="GJ492" s="346"/>
      <c r="GK492" s="346"/>
      <c r="GL492" s="346"/>
      <c r="GM492" s="346"/>
      <c r="GN492" s="346"/>
      <c r="GO492" s="346"/>
      <c r="GP492" s="346"/>
      <c r="GQ492" s="346"/>
      <c r="GR492" s="346"/>
      <c r="GS492" s="346"/>
      <c r="GT492" s="346"/>
      <c r="GU492" s="346"/>
      <c r="GV492" s="346"/>
      <c r="GW492" s="346"/>
      <c r="GX492" s="346"/>
      <c r="GY492" s="346"/>
      <c r="GZ492" s="346"/>
      <c r="HA492" s="346"/>
      <c r="HB492" s="346"/>
      <c r="HC492" s="346"/>
      <c r="HD492" s="346"/>
      <c r="HE492" s="346"/>
      <c r="HF492" s="346"/>
      <c r="HG492" s="346"/>
      <c r="HH492" s="346"/>
      <c r="HI492" s="346"/>
      <c r="HJ492" s="346"/>
      <c r="HK492" s="346"/>
      <c r="HL492" s="346"/>
      <c r="HM492" s="346"/>
      <c r="HN492" s="349"/>
      <c r="HO492" s="599" t="s">
        <v>147</v>
      </c>
      <c r="HP492" s="599"/>
      <c r="HQ492" s="599"/>
      <c r="HR492" s="346">
        <f>+FISC!Z701</f>
        <v>174.88</v>
      </c>
      <c r="HS492" s="302">
        <f>HS493+HS494</f>
        <v>115.44133483343271</v>
      </c>
      <c r="HT492" s="302">
        <f>HT493+HT494</f>
        <v>59.418795960626198</v>
      </c>
      <c r="HU492" s="346">
        <f>HU493+HU494</f>
        <v>174.86013079405888</v>
      </c>
      <c r="HV492" s="302">
        <f>+SUM(DC492:DH492)</f>
        <v>102.88711379098034</v>
      </c>
      <c r="HW492" s="302">
        <f>+SUM(DI492:DN492)</f>
        <v>101.91989648674678</v>
      </c>
      <c r="HX492" s="346">
        <f t="shared" si="100"/>
        <v>204.8070102777271</v>
      </c>
      <c r="HY492" s="302">
        <f>+HY493+HY494+HY496</f>
        <v>92.465924165473268</v>
      </c>
      <c r="HZ492" s="302">
        <f>SUM(DU492:DZ492)</f>
        <v>91.716159781045263</v>
      </c>
      <c r="IA492" s="346">
        <f t="shared" si="103"/>
        <v>184.18208394651853</v>
      </c>
      <c r="IB492" s="302">
        <f>+IB493+IB494+IB496</f>
        <v>109.6096191149885</v>
      </c>
      <c r="IC492" s="302">
        <f>+ID492-IB492</f>
        <v>80.589057753721931</v>
      </c>
      <c r="ID492" s="346">
        <f>FISC!AC701</f>
        <v>190.19867686871044</v>
      </c>
      <c r="IE492" s="302">
        <f t="shared" si="147"/>
        <v>106.75215897313839</v>
      </c>
      <c r="IF492" s="302">
        <f t="shared" si="148"/>
        <v>54.945933537007093</v>
      </c>
      <c r="IG492" s="346">
        <f t="shared" si="159"/>
        <v>161.6980925101455</v>
      </c>
      <c r="IH492" s="302">
        <f>+(IH493+IH494+IH496)</f>
        <v>91.34218276878147</v>
      </c>
      <c r="II492" s="302">
        <f>+IJ492-IH492</f>
        <v>81.045469537872549</v>
      </c>
      <c r="IJ492" s="346">
        <f>+FISC!AE701</f>
        <v>172.38765230665402</v>
      </c>
      <c r="IK492" s="302">
        <f>+(IK493+IK494+IK496)</f>
        <v>102.69011821008208</v>
      </c>
      <c r="IL492" s="302">
        <f t="shared" si="85"/>
        <v>100.68804118758847</v>
      </c>
      <c r="IM492" s="346">
        <f>+FISC!AF701</f>
        <v>203.37815939767054</v>
      </c>
      <c r="IN492" s="302">
        <f>+IN493+IN494+IN496</f>
        <v>118.19559540663424</v>
      </c>
      <c r="IO492" s="302">
        <f t="shared" si="154"/>
        <v>344.947284654067</v>
      </c>
      <c r="IP492" s="346">
        <f>+FISC!AG701</f>
        <v>463.14288006070126</v>
      </c>
      <c r="IQ492" s="302">
        <f>+IQ493+IQ494+IQ496</f>
        <v>89.200662842928452</v>
      </c>
      <c r="IR492" s="302">
        <f t="shared" si="74"/>
        <v>215.11329668947656</v>
      </c>
      <c r="IS492" s="346">
        <f>+FISC!AH701</f>
        <v>304.31395953240502</v>
      </c>
      <c r="IT492" s="302">
        <f>+IT493+IT494+IT496</f>
        <v>103.11586376288261</v>
      </c>
      <c r="IU492" s="302">
        <f t="shared" si="75"/>
        <v>149.15818401389566</v>
      </c>
      <c r="IV492" s="346">
        <f>+FISC!AI701</f>
        <v>252.27404777677827</v>
      </c>
      <c r="IW492" s="302">
        <f>+IW493+IW494+IW496</f>
        <v>122.20669019865042</v>
      </c>
      <c r="IX492" s="302">
        <f t="shared" si="76"/>
        <v>60.75533016072572</v>
      </c>
      <c r="IY492" s="346">
        <f>+FISC!AJ701</f>
        <v>182.96202035937614</v>
      </c>
      <c r="IZ492" s="302">
        <f>+IZ493+IZ494+IZ496</f>
        <v>66.743557741371561</v>
      </c>
      <c r="JA492" s="302">
        <f t="shared" si="77"/>
        <v>79.1219874464838</v>
      </c>
      <c r="JB492" s="346">
        <f>+FISC!AK701</f>
        <v>145.86554518785536</v>
      </c>
      <c r="JC492" s="346"/>
      <c r="KI492" s="349"/>
      <c r="KJ492" s="350"/>
      <c r="KM492" s="302">
        <f>KM493+KM494</f>
        <v>0</v>
      </c>
      <c r="KN492" s="302">
        <f>KN493+KN494</f>
        <v>0</v>
      </c>
      <c r="KO492" s="302">
        <f>KO493+KO494</f>
        <v>0</v>
      </c>
      <c r="KP492" s="302">
        <f>KP493+KP494</f>
        <v>0</v>
      </c>
    </row>
    <row r="493" spans="2:302">
      <c r="B493" s="117" t="s">
        <v>361</v>
      </c>
      <c r="D493" s="351" t="str">
        <f>+FISC!D702</f>
        <v>other grants (incl. HIPC grants)</v>
      </c>
      <c r="E493" s="346"/>
      <c r="F493" s="346"/>
      <c r="G493" s="346"/>
      <c r="H493" s="346"/>
      <c r="I493" s="346"/>
      <c r="J493" s="346"/>
      <c r="K493" s="346"/>
      <c r="L493" s="346"/>
      <c r="M493" s="346"/>
      <c r="N493" s="346"/>
      <c r="O493" s="346"/>
      <c r="P493" s="346"/>
      <c r="Q493" s="346"/>
      <c r="R493" s="346"/>
      <c r="S493" s="346"/>
      <c r="T493" s="346"/>
      <c r="U493" s="346"/>
      <c r="V493" s="346"/>
      <c r="W493" s="346"/>
      <c r="X493" s="346"/>
      <c r="Y493" s="346"/>
      <c r="Z493" s="346"/>
      <c r="AA493" s="346"/>
      <c r="AB493" s="346"/>
      <c r="AC493" s="346"/>
      <c r="AD493" s="346"/>
      <c r="AE493" s="346"/>
      <c r="AF493" s="346"/>
      <c r="AG493" s="346"/>
      <c r="AH493" s="346"/>
      <c r="AI493" s="346"/>
      <c r="AJ493" s="346"/>
      <c r="AK493" s="346"/>
      <c r="AL493" s="346"/>
      <c r="AM493" s="346"/>
      <c r="AN493" s="346"/>
      <c r="AO493" s="346"/>
      <c r="AP493" s="346"/>
      <c r="AQ493" s="346"/>
      <c r="AR493" s="346"/>
      <c r="AS493" s="346"/>
      <c r="AT493" s="346"/>
      <c r="AU493" s="346"/>
      <c r="AV493" s="346"/>
      <c r="AW493" s="346"/>
      <c r="AX493" s="346"/>
      <c r="AY493" s="346"/>
      <c r="AZ493" s="346"/>
      <c r="BA493" s="346"/>
      <c r="BB493" s="346"/>
      <c r="BC493" s="346"/>
      <c r="BD493" s="346"/>
      <c r="BE493" s="346"/>
      <c r="BF493" s="346"/>
      <c r="BG493" s="346"/>
      <c r="BH493" s="346"/>
      <c r="BI493" s="346"/>
      <c r="BJ493" s="346"/>
      <c r="BK493" s="346"/>
      <c r="BL493" s="346"/>
      <c r="BM493" s="346"/>
      <c r="BN493" s="346"/>
      <c r="BO493" s="346"/>
      <c r="BP493" s="346"/>
      <c r="BQ493" s="346"/>
      <c r="BR493" s="346"/>
      <c r="BS493" s="346"/>
      <c r="BT493" s="346"/>
      <c r="BU493" s="346"/>
      <c r="BV493" s="346"/>
      <c r="BW493" s="346"/>
      <c r="BX493" s="346"/>
      <c r="BY493" s="346"/>
      <c r="BZ493" s="346"/>
      <c r="CA493" s="346"/>
      <c r="CB493" s="346"/>
      <c r="CC493" s="346"/>
      <c r="CD493" s="346"/>
      <c r="CE493" s="347">
        <f t="shared" ref="CE493:DZ493" si="173">CE146+CE68</f>
        <v>11.074034852134075</v>
      </c>
      <c r="CF493" s="346">
        <f t="shared" si="173"/>
        <v>32.700150377666034</v>
      </c>
      <c r="CG493" s="346">
        <f t="shared" si="173"/>
        <v>42.709039008523469</v>
      </c>
      <c r="CH493" s="346">
        <f t="shared" si="173"/>
        <v>8.4914818258642306</v>
      </c>
      <c r="CI493" s="346">
        <f t="shared" si="173"/>
        <v>2.9367541546255658</v>
      </c>
      <c r="CJ493" s="346">
        <f t="shared" si="173"/>
        <v>39.867508568122986</v>
      </c>
      <c r="CK493" s="346">
        <f t="shared" si="173"/>
        <v>0.4505358125808413</v>
      </c>
      <c r="CL493" s="346">
        <f t="shared" si="173"/>
        <v>6.1572929790496084E-2</v>
      </c>
      <c r="CM493" s="346">
        <f t="shared" si="173"/>
        <v>0.3515643368251512</v>
      </c>
      <c r="CN493" s="346">
        <f t="shared" si="173"/>
        <v>5.4330064326454339</v>
      </c>
      <c r="CO493" s="346">
        <f t="shared" si="173"/>
        <v>20.722085809617504</v>
      </c>
      <c r="CP493" s="348">
        <f t="shared" si="173"/>
        <v>10.027234982980973</v>
      </c>
      <c r="CQ493" s="346">
        <f t="shared" si="173"/>
        <v>17.574926579780833</v>
      </c>
      <c r="CR493" s="346">
        <f t="shared" si="173"/>
        <v>6.1004475483840262E-2</v>
      </c>
      <c r="CS493" s="346">
        <f t="shared" si="173"/>
        <v>0.34603473793133477</v>
      </c>
      <c r="CT493" s="346">
        <f t="shared" si="173"/>
        <v>4.6459715500613363</v>
      </c>
      <c r="CU493" s="346">
        <f t="shared" si="173"/>
        <v>8.6924785970913003</v>
      </c>
      <c r="CV493" s="346">
        <f t="shared" si="173"/>
        <v>31.706029464569294</v>
      </c>
      <c r="CW493" s="346">
        <f t="shared" si="173"/>
        <v>8.3267635304785639</v>
      </c>
      <c r="CX493" s="346">
        <f t="shared" si="173"/>
        <v>5.3526167373176385E-2</v>
      </c>
      <c r="CY493" s="346">
        <f t="shared" si="173"/>
        <v>0.26251997515706194</v>
      </c>
      <c r="CZ493" s="346">
        <f t="shared" si="173"/>
        <v>2.8628593962610505</v>
      </c>
      <c r="DA493" s="346">
        <f t="shared" si="173"/>
        <v>11.416264580186557</v>
      </c>
      <c r="DB493" s="1479">
        <f t="shared" si="173"/>
        <v>0.68299319136206749</v>
      </c>
      <c r="DC493" s="346">
        <f t="shared" si="173"/>
        <v>18.500350525863201</v>
      </c>
      <c r="DD493" s="346">
        <f t="shared" si="173"/>
        <v>6.1547591233999999</v>
      </c>
      <c r="DE493" s="346">
        <f t="shared" si="173"/>
        <v>7.6414529890000003</v>
      </c>
      <c r="DF493" s="346">
        <f t="shared" si="173"/>
        <v>0.27488678799999999</v>
      </c>
      <c r="DG493" s="346">
        <f t="shared" si="173"/>
        <v>6.511614184876497</v>
      </c>
      <c r="DH493" s="346">
        <f t="shared" si="173"/>
        <v>22.854245090180758</v>
      </c>
      <c r="DI493" s="346">
        <f t="shared" si="173"/>
        <v>0.45384504142463566</v>
      </c>
      <c r="DJ493" s="346">
        <f t="shared" si="173"/>
        <v>3.0471868759055294</v>
      </c>
      <c r="DK493" s="346">
        <f t="shared" si="173"/>
        <v>0.34657287472925635</v>
      </c>
      <c r="DL493" s="346">
        <f t="shared" si="173"/>
        <v>24.936018202373873</v>
      </c>
      <c r="DM493" s="346">
        <f t="shared" si="173"/>
        <v>0.23876751243749914</v>
      </c>
      <c r="DN493" s="348">
        <f t="shared" si="173"/>
        <v>43.464944561485638</v>
      </c>
      <c r="DO493" s="346">
        <f t="shared" si="173"/>
        <v>16.600601300289206</v>
      </c>
      <c r="DP493" s="346">
        <f t="shared" si="173"/>
        <v>6.15912446300276</v>
      </c>
      <c r="DQ493" s="346">
        <f t="shared" si="173"/>
        <v>0.36889618367652649</v>
      </c>
      <c r="DR493" s="346">
        <f t="shared" si="173"/>
        <v>0.3018041686636207</v>
      </c>
      <c r="DS493" s="346">
        <f t="shared" si="173"/>
        <v>7.0875698198049868</v>
      </c>
      <c r="DT493" s="346">
        <f t="shared" si="173"/>
        <v>35.936534646874705</v>
      </c>
      <c r="DU493" s="346">
        <f t="shared" si="173"/>
        <v>5.179773115333379E-2</v>
      </c>
      <c r="DV493" s="346">
        <f t="shared" si="173"/>
        <v>5.8007764595570457E-2</v>
      </c>
      <c r="DW493" s="346">
        <f t="shared" si="173"/>
        <v>10.541360405145587</v>
      </c>
      <c r="DX493" s="346">
        <f t="shared" si="173"/>
        <v>2.07037697164686E-2</v>
      </c>
      <c r="DY493" s="346">
        <f t="shared" si="173"/>
        <v>4.4983689553372501E-2</v>
      </c>
      <c r="DZ493" s="348">
        <f t="shared" si="173"/>
        <v>52.957257360683563</v>
      </c>
      <c r="EA493" s="346">
        <f>EA146+EA68+EA495</f>
        <v>5.8955587070000002</v>
      </c>
      <c r="EB493" s="346">
        <f t="shared" ref="EB493:EX493" si="174">EB146+EB68</f>
        <v>8.3537451970000003</v>
      </c>
      <c r="EC493" s="346">
        <f t="shared" si="174"/>
        <v>6.3896163980000003</v>
      </c>
      <c r="ED493" s="346">
        <f t="shared" si="174"/>
        <v>2.2951954624467783E-2</v>
      </c>
      <c r="EE493" s="346">
        <f t="shared" si="174"/>
        <v>5.0256742735940101</v>
      </c>
      <c r="EF493" s="346">
        <f t="shared" si="174"/>
        <v>47.429304591394484</v>
      </c>
      <c r="EG493" s="346">
        <f t="shared" si="174"/>
        <v>39.430327586326584</v>
      </c>
      <c r="EH493" s="346">
        <f t="shared" si="174"/>
        <v>7.0631278071610154E-2</v>
      </c>
      <c r="EI493" s="346">
        <f t="shared" si="174"/>
        <v>0.10086442279462024</v>
      </c>
      <c r="EJ493" s="346">
        <f t="shared" si="174"/>
        <v>6.2240447440278244</v>
      </c>
      <c r="EK493" s="346">
        <f t="shared" si="174"/>
        <v>5.0993692085567657E-2</v>
      </c>
      <c r="EL493" s="348">
        <f t="shared" si="174"/>
        <v>0.21490561138793615</v>
      </c>
      <c r="EM493" s="346">
        <f t="shared" si="174"/>
        <v>2.1782744442563731</v>
      </c>
      <c r="EN493" s="346">
        <f t="shared" si="174"/>
        <v>4.429722756332227</v>
      </c>
      <c r="EO493" s="346">
        <f t="shared" si="174"/>
        <v>9.8563909765256322E-2</v>
      </c>
      <c r="EP493" s="346">
        <f t="shared" si="174"/>
        <v>2.364907381854027E-2</v>
      </c>
      <c r="EQ493" s="346">
        <f t="shared" si="174"/>
        <v>2.350520414</v>
      </c>
      <c r="ER493" s="346">
        <f t="shared" si="174"/>
        <v>66.598661319282314</v>
      </c>
      <c r="ES493" s="346">
        <f t="shared" si="174"/>
        <v>1.0648808655175259E-2</v>
      </c>
      <c r="ET493" s="346">
        <f t="shared" si="174"/>
        <v>6.6596087007049165E-2</v>
      </c>
      <c r="EU493" s="346">
        <f t="shared" si="174"/>
        <v>9.7848614553610838E-2</v>
      </c>
      <c r="EV493" s="346">
        <f t="shared" si="174"/>
        <v>2.3566648099409237E-2</v>
      </c>
      <c r="EW493" s="346">
        <f t="shared" si="174"/>
        <v>0</v>
      </c>
      <c r="EX493" s="348">
        <f t="shared" si="174"/>
        <v>0.21532801592438158</v>
      </c>
      <c r="EY493" s="346"/>
      <c r="EZ493" s="346"/>
      <c r="FA493" s="346"/>
      <c r="FB493" s="346"/>
      <c r="FC493" s="346"/>
      <c r="FD493" s="346"/>
      <c r="FE493" s="346"/>
      <c r="FF493" s="346"/>
      <c r="FG493" s="346"/>
      <c r="FH493" s="346"/>
      <c r="FI493" s="346"/>
      <c r="FJ493" s="348"/>
      <c r="FK493" s="346"/>
      <c r="FL493" s="346"/>
      <c r="FM493" s="346"/>
      <c r="FN493" s="346"/>
      <c r="FO493" s="346"/>
      <c r="FP493" s="346"/>
      <c r="FQ493" s="346"/>
      <c r="FR493" s="346"/>
      <c r="FS493" s="346"/>
      <c r="FT493" s="346"/>
      <c r="FU493" s="346"/>
      <c r="FV493" s="346"/>
      <c r="FW493" s="346"/>
      <c r="FX493" s="346"/>
      <c r="FY493" s="346"/>
      <c r="FZ493" s="346"/>
      <c r="GA493" s="346"/>
      <c r="GB493" s="346"/>
      <c r="GC493" s="346"/>
      <c r="GD493" s="346"/>
      <c r="GE493" s="346"/>
      <c r="GF493" s="346"/>
      <c r="GG493" s="346"/>
      <c r="GH493" s="346"/>
      <c r="GI493" s="346"/>
      <c r="GJ493" s="346"/>
      <c r="GK493" s="346"/>
      <c r="GL493" s="346"/>
      <c r="GM493" s="346"/>
      <c r="GN493" s="346"/>
      <c r="GO493" s="346"/>
      <c r="GP493" s="346"/>
      <c r="GQ493" s="346"/>
      <c r="GR493" s="346"/>
      <c r="GS493" s="346"/>
      <c r="GT493" s="346"/>
      <c r="GU493" s="346"/>
      <c r="GV493" s="346"/>
      <c r="GW493" s="346"/>
      <c r="GX493" s="346"/>
      <c r="GY493" s="346"/>
      <c r="GZ493" s="346"/>
      <c r="HA493" s="346"/>
      <c r="HB493" s="346"/>
      <c r="HC493" s="346"/>
      <c r="HD493" s="346"/>
      <c r="HE493" s="346"/>
      <c r="HF493" s="346"/>
      <c r="HG493" s="346"/>
      <c r="HH493" s="346"/>
      <c r="HI493" s="346"/>
      <c r="HJ493" s="346"/>
      <c r="HK493" s="346"/>
      <c r="HL493" s="346"/>
      <c r="HM493" s="346"/>
      <c r="HN493" s="349"/>
      <c r="HO493" s="351" t="s">
        <v>822</v>
      </c>
      <c r="HP493" s="351"/>
      <c r="HQ493" s="351"/>
      <c r="HR493" s="346">
        <f>+FISC!Z702</f>
        <v>86.64</v>
      </c>
      <c r="HS493" s="302">
        <f>SUM(CQ493:CV493)</f>
        <v>63.026445404917936</v>
      </c>
      <c r="HT493" s="302">
        <f>SUM(CW493:DB493)</f>
        <v>23.604926840818479</v>
      </c>
      <c r="HU493" s="346">
        <f>SUM(CQ493:DB493)</f>
        <v>86.631372245736401</v>
      </c>
      <c r="HV493" s="302">
        <f>+HV492-HV494</f>
        <v>61.937308701320454</v>
      </c>
      <c r="HW493" s="302">
        <f>+SUM(DI493:DN493)</f>
        <v>72.48733506835643</v>
      </c>
      <c r="HX493" s="346">
        <f t="shared" si="100"/>
        <v>134.42464376967689</v>
      </c>
      <c r="HY493" s="302">
        <f>+SUM(DO493:DT493)</f>
        <v>66.454530582311804</v>
      </c>
      <c r="HZ493" s="302">
        <f>SUM(DU493:DZ493)</f>
        <v>63.674110720847899</v>
      </c>
      <c r="IA493" s="346">
        <f t="shared" si="103"/>
        <v>130.1286413031597</v>
      </c>
      <c r="IB493" s="302">
        <f>((FISC!AB99-FISC!AB103)*FISC!AC253/1000)*0+73.0938991669885</f>
        <v>73.093899166988507</v>
      </c>
      <c r="IC493" s="302">
        <f>+(ID493-IB493)</f>
        <v>46.116443428721951</v>
      </c>
      <c r="ID493" s="346">
        <f>FISC!AC702</f>
        <v>119.21034259571046</v>
      </c>
      <c r="IE493" s="302">
        <f t="shared" si="147"/>
        <v>75.679391917454709</v>
      </c>
      <c r="IF493" s="302">
        <f t="shared" si="148"/>
        <v>0.41398817423962608</v>
      </c>
      <c r="IG493" s="346">
        <f t="shared" si="159"/>
        <v>76.093380091694328</v>
      </c>
      <c r="IH493" s="302">
        <f>+(FISC!AD99*FISC!AE253/1000-IH494)*0+59.5379804134455</f>
        <v>59.537980413445503</v>
      </c>
      <c r="II493" s="302">
        <f>+IJ493-IH493</f>
        <v>36.339740893699307</v>
      </c>
      <c r="IJ493" s="346">
        <f>+FISC!AE702</f>
        <v>95.87772130714481</v>
      </c>
      <c r="IK493" s="350">
        <f>FISC!AE99*FISC!AF253/1000-IK494</f>
        <v>56.493201932525047</v>
      </c>
      <c r="IL493" s="302">
        <f t="shared" si="85"/>
        <v>23.216171185364594</v>
      </c>
      <c r="IM493" s="346">
        <f>+FISC!AF702</f>
        <v>79.709373117889641</v>
      </c>
      <c r="IN493" s="350">
        <f>FISC!AF99*FISC!AG253/1000-IN494</f>
        <v>35.908363860386473</v>
      </c>
      <c r="IO493" s="302">
        <f t="shared" si="154"/>
        <v>303.53380392430273</v>
      </c>
      <c r="IP493" s="346">
        <f>+FISC!AG702</f>
        <v>339.44216778468922</v>
      </c>
      <c r="IQ493" s="350">
        <f>FISC!AG99*FISC!AH253/1000-IQ494</f>
        <v>42.621836561935851</v>
      </c>
      <c r="IR493" s="302">
        <f t="shared" si="74"/>
        <v>178.87843254121543</v>
      </c>
      <c r="IS493" s="346">
        <f>+FISC!AH702</f>
        <v>221.50026910315128</v>
      </c>
      <c r="IT493" s="350">
        <f>FISC!AH99*FISC!AI253/1000-IT494</f>
        <v>42.32512208576911</v>
      </c>
      <c r="IU493" s="302">
        <f t="shared" si="75"/>
        <v>122.55459379419661</v>
      </c>
      <c r="IV493" s="346">
        <f>+FISC!AI702</f>
        <v>164.87971587996572</v>
      </c>
      <c r="IW493" s="350">
        <f>FISC!AI99*FISC!AJ253/1000-IW494</f>
        <v>66.723740209316844</v>
      </c>
      <c r="IX493" s="302">
        <f t="shared" si="76"/>
        <v>31.514328746709111</v>
      </c>
      <c r="IY493" s="346">
        <f>+FISC!AJ702</f>
        <v>98.238068956025955</v>
      </c>
      <c r="IZ493" s="350">
        <f>FISC!AJ99*FISC!AK253/1000-IZ494</f>
        <v>6.6328402265540589</v>
      </c>
      <c r="JA493" s="302">
        <f t="shared" si="77"/>
        <v>19.011269931666298</v>
      </c>
      <c r="JB493" s="346">
        <f>+FISC!AK702</f>
        <v>25.644110158220357</v>
      </c>
      <c r="JC493" s="346"/>
      <c r="KI493" s="349"/>
      <c r="KJ493" s="350"/>
    </row>
    <row r="494" spans="2:302">
      <c r="B494" s="117" t="s">
        <v>361</v>
      </c>
      <c r="D494" s="351" t="str">
        <f>+FISC!D703</f>
        <v>Global Fund</v>
      </c>
      <c r="E494" s="346"/>
      <c r="F494" s="346"/>
      <c r="G494" s="346"/>
      <c r="H494" s="346"/>
      <c r="I494" s="346"/>
      <c r="J494" s="346"/>
      <c r="K494" s="346"/>
      <c r="L494" s="346"/>
      <c r="M494" s="346"/>
      <c r="N494" s="346"/>
      <c r="O494" s="346"/>
      <c r="P494" s="346"/>
      <c r="Q494" s="346"/>
      <c r="R494" s="346"/>
      <c r="S494" s="346"/>
      <c r="T494" s="346"/>
      <c r="U494" s="346"/>
      <c r="V494" s="346"/>
      <c r="W494" s="346"/>
      <c r="X494" s="346"/>
      <c r="Y494" s="346"/>
      <c r="Z494" s="346"/>
      <c r="AA494" s="346"/>
      <c r="AB494" s="346"/>
      <c r="AC494" s="346"/>
      <c r="AD494" s="346"/>
      <c r="AE494" s="346"/>
      <c r="AF494" s="346"/>
      <c r="AG494" s="346"/>
      <c r="AH494" s="346"/>
      <c r="AI494" s="346"/>
      <c r="AJ494" s="346"/>
      <c r="AK494" s="346"/>
      <c r="AL494" s="346"/>
      <c r="AM494" s="346"/>
      <c r="AN494" s="346"/>
      <c r="AO494" s="346"/>
      <c r="AP494" s="346"/>
      <c r="AQ494" s="346"/>
      <c r="AR494" s="346"/>
      <c r="AS494" s="346"/>
      <c r="AT494" s="346"/>
      <c r="AU494" s="346"/>
      <c r="AV494" s="346"/>
      <c r="AW494" s="346"/>
      <c r="AX494" s="346"/>
      <c r="AY494" s="346"/>
      <c r="AZ494" s="346"/>
      <c r="BA494" s="346"/>
      <c r="BB494" s="346"/>
      <c r="BC494" s="346"/>
      <c r="BD494" s="346"/>
      <c r="BE494" s="346"/>
      <c r="BF494" s="346"/>
      <c r="BG494" s="346"/>
      <c r="BH494" s="346"/>
      <c r="BI494" s="346"/>
      <c r="BJ494" s="346"/>
      <c r="BK494" s="346"/>
      <c r="BL494" s="346"/>
      <c r="BM494" s="346"/>
      <c r="BN494" s="346"/>
      <c r="BO494" s="346"/>
      <c r="BP494" s="346"/>
      <c r="BQ494" s="346"/>
      <c r="BR494" s="346"/>
      <c r="BS494" s="346"/>
      <c r="BT494" s="346"/>
      <c r="BU494" s="346"/>
      <c r="BV494" s="346"/>
      <c r="BW494" s="346"/>
      <c r="BX494" s="346"/>
      <c r="BY494" s="346"/>
      <c r="BZ494" s="346"/>
      <c r="CA494" s="346"/>
      <c r="CB494" s="346"/>
      <c r="CC494" s="346"/>
      <c r="CD494" s="346"/>
      <c r="CE494" s="347">
        <v>0</v>
      </c>
      <c r="CF494" s="346">
        <v>0</v>
      </c>
      <c r="CG494" s="346">
        <v>0</v>
      </c>
      <c r="CH494" s="346">
        <v>0</v>
      </c>
      <c r="CI494" s="346">
        <v>0</v>
      </c>
      <c r="CJ494" s="346">
        <v>0</v>
      </c>
      <c r="CK494" s="346">
        <v>0</v>
      </c>
      <c r="CL494" s="346">
        <v>0</v>
      </c>
      <c r="CM494" s="346">
        <v>0</v>
      </c>
      <c r="CN494" s="346">
        <v>0</v>
      </c>
      <c r="CO494" s="346">
        <v>0</v>
      </c>
      <c r="CP494" s="348">
        <v>0</v>
      </c>
      <c r="CQ494" s="346">
        <f t="shared" ref="CQ494:DV494" si="175">CQ147</f>
        <v>0</v>
      </c>
      <c r="CR494" s="346">
        <f t="shared" si="175"/>
        <v>0</v>
      </c>
      <c r="CS494" s="346">
        <f t="shared" si="175"/>
        <v>18.0647514021035</v>
      </c>
      <c r="CT494" s="346">
        <f t="shared" si="175"/>
        <v>0</v>
      </c>
      <c r="CU494" s="346">
        <f t="shared" si="175"/>
        <v>2.9519462207146576</v>
      </c>
      <c r="CV494" s="346">
        <f t="shared" si="175"/>
        <v>31.398191805696605</v>
      </c>
      <c r="CW494" s="346">
        <f t="shared" si="175"/>
        <v>0</v>
      </c>
      <c r="CX494" s="346">
        <f t="shared" si="175"/>
        <v>0</v>
      </c>
      <c r="CY494" s="346">
        <f t="shared" si="175"/>
        <v>17.357493185533968</v>
      </c>
      <c r="CZ494" s="346">
        <f t="shared" si="175"/>
        <v>2.5747102811330551</v>
      </c>
      <c r="DA494" s="346">
        <f t="shared" si="175"/>
        <v>15.881665653140701</v>
      </c>
      <c r="DB494" s="1479">
        <f t="shared" si="175"/>
        <v>0</v>
      </c>
      <c r="DC494" s="346">
        <f t="shared" si="175"/>
        <v>0</v>
      </c>
      <c r="DD494" s="346">
        <f t="shared" si="175"/>
        <v>0</v>
      </c>
      <c r="DE494" s="346">
        <f t="shared" si="175"/>
        <v>14.21628849242</v>
      </c>
      <c r="DF494" s="346">
        <f t="shared" si="175"/>
        <v>0</v>
      </c>
      <c r="DG494" s="346">
        <f t="shared" si="175"/>
        <v>26.637305150966998</v>
      </c>
      <c r="DH494" s="346">
        <f t="shared" si="175"/>
        <v>9.6211446272880308E-2</v>
      </c>
      <c r="DI494" s="346">
        <f t="shared" si="175"/>
        <v>0</v>
      </c>
      <c r="DJ494" s="346">
        <f t="shared" si="175"/>
        <v>0</v>
      </c>
      <c r="DK494" s="346">
        <f t="shared" si="175"/>
        <v>0</v>
      </c>
      <c r="DL494" s="346">
        <f t="shared" si="175"/>
        <v>29.43256141839035</v>
      </c>
      <c r="DM494" s="346">
        <f t="shared" si="175"/>
        <v>0</v>
      </c>
      <c r="DN494" s="348">
        <f t="shared" si="175"/>
        <v>0</v>
      </c>
      <c r="DO494" s="346">
        <f t="shared" si="175"/>
        <v>4.6855716548560604</v>
      </c>
      <c r="DP494" s="346">
        <f t="shared" si="175"/>
        <v>0</v>
      </c>
      <c r="DQ494" s="346">
        <f t="shared" si="175"/>
        <v>0</v>
      </c>
      <c r="DR494" s="346">
        <f t="shared" si="175"/>
        <v>0</v>
      </c>
      <c r="DS494" s="346">
        <f t="shared" si="175"/>
        <v>9.1588665883095004</v>
      </c>
      <c r="DT494" s="346">
        <f t="shared" si="175"/>
        <v>12.1669553399959</v>
      </c>
      <c r="DU494" s="346">
        <f t="shared" si="175"/>
        <v>15.873335991999999</v>
      </c>
      <c r="DV494" s="346">
        <f t="shared" si="175"/>
        <v>0</v>
      </c>
      <c r="DW494" s="346">
        <f t="shared" ref="DW494:EX494" si="176">DW147</f>
        <v>0</v>
      </c>
      <c r="DX494" s="346">
        <f t="shared" si="176"/>
        <v>12.168713068197375</v>
      </c>
      <c r="DY494" s="346">
        <f t="shared" si="176"/>
        <v>0</v>
      </c>
      <c r="DZ494" s="348">
        <f t="shared" si="176"/>
        <v>0</v>
      </c>
      <c r="EA494" s="346">
        <f t="shared" si="176"/>
        <v>16.435436211999999</v>
      </c>
      <c r="EB494" s="346">
        <f t="shared" si="176"/>
        <v>0</v>
      </c>
      <c r="EC494" s="346">
        <f t="shared" si="176"/>
        <v>0</v>
      </c>
      <c r="ED494" s="346">
        <f t="shared" si="176"/>
        <v>14.085088711999999</v>
      </c>
      <c r="EE494" s="346">
        <f t="shared" si="176"/>
        <v>4.495227206</v>
      </c>
      <c r="EF494" s="346">
        <f t="shared" si="176"/>
        <v>1.499967818</v>
      </c>
      <c r="EG494" s="346">
        <f t="shared" si="176"/>
        <v>0</v>
      </c>
      <c r="EH494" s="346">
        <f t="shared" si="176"/>
        <v>3.4351810120000001</v>
      </c>
      <c r="EI494" s="346">
        <f t="shared" si="176"/>
        <v>15.789495488</v>
      </c>
      <c r="EJ494" s="346">
        <f t="shared" si="176"/>
        <v>13.831257405999999</v>
      </c>
      <c r="EK494" s="346">
        <f t="shared" si="176"/>
        <v>0</v>
      </c>
      <c r="EL494" s="348">
        <f t="shared" si="176"/>
        <v>0</v>
      </c>
      <c r="EM494" s="346">
        <f t="shared" si="176"/>
        <v>6.0684036749999999</v>
      </c>
      <c r="EN494" s="346">
        <f t="shared" si="176"/>
        <v>12.302054782000001</v>
      </c>
      <c r="EO494" s="346">
        <f t="shared" si="176"/>
        <v>0.104222182</v>
      </c>
      <c r="EP494" s="346">
        <f t="shared" si="176"/>
        <v>0</v>
      </c>
      <c r="EQ494" s="346">
        <f t="shared" si="176"/>
        <v>0</v>
      </c>
      <c r="ER494" s="346">
        <f t="shared" si="176"/>
        <v>11.431334335000001</v>
      </c>
      <c r="ES494" s="346">
        <f t="shared" si="176"/>
        <v>14.021816380000001</v>
      </c>
      <c r="ET494" s="346">
        <f t="shared" si="176"/>
        <v>25.648448246000001</v>
      </c>
      <c r="EU494" s="346">
        <f t="shared" si="176"/>
        <v>0</v>
      </c>
      <c r="EV494" s="346">
        <f t="shared" si="176"/>
        <v>13.419106073131385</v>
      </c>
      <c r="EW494" s="346">
        <f t="shared" si="176"/>
        <v>0</v>
      </c>
      <c r="EX494" s="348">
        <f t="shared" si="176"/>
        <v>0</v>
      </c>
      <c r="EY494" s="346"/>
      <c r="EZ494" s="346"/>
      <c r="FA494" s="346"/>
      <c r="FB494" s="346"/>
      <c r="FC494" s="346"/>
      <c r="FD494" s="346"/>
      <c r="FE494" s="346"/>
      <c r="FF494" s="346"/>
      <c r="FG494" s="346"/>
      <c r="FH494" s="346"/>
      <c r="FI494" s="346"/>
      <c r="FJ494" s="348"/>
      <c r="FK494" s="346"/>
      <c r="FL494" s="346"/>
      <c r="FM494" s="346"/>
      <c r="FN494" s="346"/>
      <c r="FO494" s="346"/>
      <c r="FP494" s="346"/>
      <c r="FQ494" s="346"/>
      <c r="FR494" s="346"/>
      <c r="FS494" s="346"/>
      <c r="FT494" s="346"/>
      <c r="FU494" s="346"/>
      <c r="FV494" s="346"/>
      <c r="FW494" s="346"/>
      <c r="FX494" s="346"/>
      <c r="FY494" s="346"/>
      <c r="FZ494" s="346"/>
      <c r="GA494" s="346"/>
      <c r="GB494" s="346"/>
      <c r="GC494" s="346"/>
      <c r="GD494" s="346"/>
      <c r="GE494" s="346"/>
      <c r="GF494" s="346"/>
      <c r="GG494" s="346"/>
      <c r="GH494" s="346"/>
      <c r="GI494" s="346"/>
      <c r="GJ494" s="346"/>
      <c r="GK494" s="346"/>
      <c r="GL494" s="346"/>
      <c r="GM494" s="346"/>
      <c r="GN494" s="346"/>
      <c r="GO494" s="346"/>
      <c r="GP494" s="346"/>
      <c r="GQ494" s="346"/>
      <c r="GR494" s="346"/>
      <c r="GS494" s="346"/>
      <c r="GT494" s="346"/>
      <c r="GU494" s="346"/>
      <c r="GV494" s="346"/>
      <c r="GW494" s="346"/>
      <c r="GX494" s="346"/>
      <c r="GY494" s="346"/>
      <c r="GZ494" s="346"/>
      <c r="HA494" s="346"/>
      <c r="HB494" s="346"/>
      <c r="HC494" s="346"/>
      <c r="HD494" s="346"/>
      <c r="HE494" s="346"/>
      <c r="HF494" s="346"/>
      <c r="HG494" s="346"/>
      <c r="HH494" s="346"/>
      <c r="HI494" s="346"/>
      <c r="HJ494" s="346"/>
      <c r="HK494" s="346"/>
      <c r="HL494" s="346"/>
      <c r="HM494" s="346"/>
      <c r="HN494" s="349"/>
      <c r="HO494" s="351" t="s">
        <v>150</v>
      </c>
      <c r="HP494" s="351"/>
      <c r="HQ494" s="351"/>
      <c r="HR494" s="346">
        <f>+FISC!Z703</f>
        <v>88.24</v>
      </c>
      <c r="HS494" s="302">
        <f>SUM(CQ494:CV494)</f>
        <v>52.414889428514762</v>
      </c>
      <c r="HT494" s="302">
        <f>SUM(CW494:DB494)</f>
        <v>35.81386911980772</v>
      </c>
      <c r="HU494" s="346">
        <f>SUM(CQ494:DB494)</f>
        <v>88.228758548322475</v>
      </c>
      <c r="HV494" s="302">
        <f>+SUM(DC494:DH494)</f>
        <v>40.949805089659883</v>
      </c>
      <c r="HW494" s="302">
        <f>+SUM(DI494:DN494)</f>
        <v>29.43256141839035</v>
      </c>
      <c r="HX494" s="346">
        <f t="shared" si="100"/>
        <v>70.382366508050239</v>
      </c>
      <c r="HY494" s="302">
        <f>+SUM(DO494:DT494)</f>
        <v>26.01139358316146</v>
      </c>
      <c r="HZ494" s="302">
        <f>SUM(DU494:DZ494)</f>
        <v>28.042049060197375</v>
      </c>
      <c r="IA494" s="346">
        <f t="shared" si="103"/>
        <v>54.053442643358835</v>
      </c>
      <c r="IB494" s="302">
        <f>(FISC!AB103*FISC!AC253/1000)*0+36.515719948</f>
        <v>36.515719947999997</v>
      </c>
      <c r="IC494" s="302">
        <f>+(ID494-IB494)</f>
        <v>33.055933906000007</v>
      </c>
      <c r="ID494" s="346">
        <f>FISC!AC703</f>
        <v>69.571653854000004</v>
      </c>
      <c r="IE494" s="302">
        <f t="shared" si="147"/>
        <v>29.906014974000001</v>
      </c>
      <c r="IF494" s="302">
        <f t="shared" si="148"/>
        <v>53.089370699131393</v>
      </c>
      <c r="IG494" s="346">
        <f t="shared" si="159"/>
        <v>82.995385673131395</v>
      </c>
      <c r="IH494" s="302">
        <f>+(FISC!AD103*FISC!AE$253/1000)</f>
        <v>31.804202355335967</v>
      </c>
      <c r="II494" s="302">
        <f>+IJ494-IH494</f>
        <v>34.57366317529921</v>
      </c>
      <c r="IJ494" s="346">
        <f>+FISC!AE703</f>
        <v>66.377865530635177</v>
      </c>
      <c r="IK494" s="302">
        <f>+(FISC!AE103*FISC!AF253/1000)</f>
        <v>46.19691627755703</v>
      </c>
      <c r="IL494" s="302">
        <f t="shared" si="85"/>
        <v>22.089524221582472</v>
      </c>
      <c r="IM494" s="346">
        <f>+FISC!AF703</f>
        <v>68.286440499139502</v>
      </c>
      <c r="IN494" s="302">
        <f>+(FISC!AF103*FISC!AG253/1000)</f>
        <v>82.287231546247767</v>
      </c>
      <c r="IO494" s="302">
        <f t="shared" si="154"/>
        <v>28.320719117670635</v>
      </c>
      <c r="IP494" s="346">
        <f>+FISC!AG703</f>
        <v>110.6079506639184</v>
      </c>
      <c r="IQ494" s="302">
        <f>+(FISC!AG103*FISC!AH253/1000)</f>
        <v>46.578826280992601</v>
      </c>
      <c r="IR494" s="302">
        <f t="shared" si="74"/>
        <v>36.234864148261138</v>
      </c>
      <c r="IS494" s="346">
        <f>+FISC!AH703</f>
        <v>82.813690429253739</v>
      </c>
      <c r="IT494" s="302">
        <f>+(FISC!AH103*FISC!AI253/1000)</f>
        <v>60.790741677113502</v>
      </c>
      <c r="IU494" s="302">
        <f t="shared" si="75"/>
        <v>26.603590219699043</v>
      </c>
      <c r="IV494" s="346">
        <f>+FISC!AI703</f>
        <v>87.394331896812545</v>
      </c>
      <c r="IW494" s="302">
        <f>+(FISC!AI103*FISC!AJ253/1000)</f>
        <v>55.482949989333569</v>
      </c>
      <c r="IX494" s="302">
        <f t="shared" si="76"/>
        <v>29.241001414016615</v>
      </c>
      <c r="IY494" s="346">
        <f>+FISC!AJ703</f>
        <v>84.723951403350185</v>
      </c>
      <c r="IZ494" s="302">
        <f>+(FISC!AJ103*FISC!AK253/1000)</f>
        <v>60.110717514817502</v>
      </c>
      <c r="JA494" s="302">
        <f t="shared" si="77"/>
        <v>60.110717514817502</v>
      </c>
      <c r="JB494" s="346">
        <f>+FISC!AK703</f>
        <v>120.221435029635</v>
      </c>
      <c r="JC494" s="346"/>
      <c r="KI494" s="349"/>
      <c r="KJ494" s="350"/>
    </row>
    <row r="495" spans="2:302">
      <c r="D495" s="351" t="s">
        <v>1201</v>
      </c>
      <c r="E495" s="346"/>
      <c r="F495" s="346"/>
      <c r="G495" s="346"/>
      <c r="H495" s="346"/>
      <c r="I495" s="346"/>
      <c r="J495" s="346"/>
      <c r="K495" s="346"/>
      <c r="L495" s="346"/>
      <c r="M495" s="346"/>
      <c r="N495" s="346"/>
      <c r="O495" s="346"/>
      <c r="P495" s="346"/>
      <c r="Q495" s="346"/>
      <c r="R495" s="346"/>
      <c r="S495" s="346"/>
      <c r="T495" s="346"/>
      <c r="U495" s="346"/>
      <c r="V495" s="346"/>
      <c r="W495" s="346"/>
      <c r="X495" s="346"/>
      <c r="Y495" s="346"/>
      <c r="Z495" s="346"/>
      <c r="AA495" s="346"/>
      <c r="AB495" s="346"/>
      <c r="AC495" s="346"/>
      <c r="AD495" s="346"/>
      <c r="AE495" s="346"/>
      <c r="AF495" s="346"/>
      <c r="AG495" s="346"/>
      <c r="AH495" s="346"/>
      <c r="AI495" s="346"/>
      <c r="AJ495" s="346"/>
      <c r="AK495" s="346"/>
      <c r="AL495" s="346"/>
      <c r="AM495" s="346"/>
      <c r="AN495" s="346"/>
      <c r="AO495" s="346"/>
      <c r="AP495" s="346"/>
      <c r="AQ495" s="346"/>
      <c r="AR495" s="346"/>
      <c r="AS495" s="346"/>
      <c r="AT495" s="346"/>
      <c r="AU495" s="346"/>
      <c r="AV495" s="346"/>
      <c r="AW495" s="346"/>
      <c r="AX495" s="346"/>
      <c r="AY495" s="346"/>
      <c r="AZ495" s="346"/>
      <c r="BA495" s="346"/>
      <c r="BB495" s="346"/>
      <c r="BC495" s="346"/>
      <c r="BD495" s="346"/>
      <c r="BE495" s="346"/>
      <c r="BF495" s="346"/>
      <c r="BG495" s="346"/>
      <c r="BH495" s="346"/>
      <c r="BI495" s="346"/>
      <c r="BJ495" s="346"/>
      <c r="BK495" s="346"/>
      <c r="BL495" s="346"/>
      <c r="BM495" s="346"/>
      <c r="BN495" s="346"/>
      <c r="BO495" s="346"/>
      <c r="BP495" s="346"/>
      <c r="BQ495" s="346"/>
      <c r="BR495" s="346"/>
      <c r="BS495" s="346"/>
      <c r="BT495" s="346"/>
      <c r="BU495" s="346"/>
      <c r="BV495" s="346"/>
      <c r="BW495" s="346"/>
      <c r="BX495" s="346"/>
      <c r="BY495" s="346"/>
      <c r="BZ495" s="346"/>
      <c r="CA495" s="346"/>
      <c r="CB495" s="346"/>
      <c r="CC495" s="346"/>
      <c r="CD495" s="346"/>
      <c r="CE495" s="347"/>
      <c r="CF495" s="346"/>
      <c r="CG495" s="346"/>
      <c r="CH495" s="346"/>
      <c r="CI495" s="346"/>
      <c r="CJ495" s="346"/>
      <c r="CK495" s="346"/>
      <c r="CL495" s="346"/>
      <c r="CM495" s="346"/>
      <c r="CN495" s="346"/>
      <c r="CO495" s="346"/>
      <c r="CP495" s="348"/>
      <c r="CQ495" s="346"/>
      <c r="CR495" s="346"/>
      <c r="CS495" s="346"/>
      <c r="CT495" s="346"/>
      <c r="CU495" s="346"/>
      <c r="CV495" s="346"/>
      <c r="CW495" s="346"/>
      <c r="CX495" s="346"/>
      <c r="CY495" s="346"/>
      <c r="CZ495" s="346"/>
      <c r="DA495" s="346"/>
      <c r="DB495" s="1479"/>
      <c r="DC495" s="346"/>
      <c r="DD495" s="346"/>
      <c r="DE495" s="346"/>
      <c r="DF495" s="346"/>
      <c r="DG495" s="346"/>
      <c r="DH495" s="346"/>
      <c r="DI495" s="346"/>
      <c r="DJ495" s="346"/>
      <c r="DK495" s="346"/>
      <c r="DL495" s="346"/>
      <c r="DM495" s="346"/>
      <c r="DN495" s="348"/>
      <c r="DO495" s="346"/>
      <c r="DP495" s="346"/>
      <c r="DQ495" s="346"/>
      <c r="DR495" s="346"/>
      <c r="DS495" s="346"/>
      <c r="DT495" s="346"/>
      <c r="DU495" s="346"/>
      <c r="DV495" s="346"/>
      <c r="DW495" s="346"/>
      <c r="DX495" s="346"/>
      <c r="DY495" s="346"/>
      <c r="DZ495" s="348"/>
      <c r="EA495" s="346">
        <v>0</v>
      </c>
      <c r="EB495" s="1202">
        <v>0</v>
      </c>
      <c r="EC495" s="1202">
        <v>0</v>
      </c>
      <c r="ED495" s="1202">
        <v>0</v>
      </c>
      <c r="EE495" s="1202">
        <v>0</v>
      </c>
      <c r="EF495" s="1202">
        <v>0</v>
      </c>
      <c r="EG495" s="1202">
        <v>0</v>
      </c>
      <c r="EH495" s="1202">
        <v>0</v>
      </c>
      <c r="EI495" s="1202">
        <v>0</v>
      </c>
      <c r="EJ495" s="1202">
        <v>0.91167791899999995</v>
      </c>
      <c r="EK495" s="1202">
        <v>0</v>
      </c>
      <c r="EL495" s="1551">
        <v>0.50500250000000002</v>
      </c>
      <c r="EM495" s="1202">
        <v>0</v>
      </c>
      <c r="EN495" s="1202">
        <v>0</v>
      </c>
      <c r="EO495" s="1202">
        <v>0</v>
      </c>
      <c r="EP495" s="1202">
        <v>0</v>
      </c>
      <c r="EQ495" s="1202">
        <v>0</v>
      </c>
      <c r="ER495" s="1202">
        <v>1.1667520816836885</v>
      </c>
      <c r="ES495" s="1202">
        <v>0</v>
      </c>
      <c r="ET495" s="1202">
        <v>0</v>
      </c>
      <c r="EU495" s="1202">
        <v>0</v>
      </c>
      <c r="EV495" s="1202">
        <v>1.442574663636075</v>
      </c>
      <c r="EW495" s="1202">
        <v>0</v>
      </c>
      <c r="EX495" s="1551">
        <v>0</v>
      </c>
      <c r="EY495" s="1202"/>
      <c r="EZ495" s="1202"/>
      <c r="FA495" s="1202"/>
      <c r="FB495" s="1202"/>
      <c r="FC495" s="1202"/>
      <c r="FD495" s="1202"/>
      <c r="FE495" s="1202"/>
      <c r="FF495" s="1202"/>
      <c r="FG495" s="1202"/>
      <c r="FH495" s="1202"/>
      <c r="FI495" s="1202"/>
      <c r="FJ495" s="1551"/>
      <c r="FK495" s="1202"/>
      <c r="FL495" s="1202"/>
      <c r="FM495" s="1202"/>
      <c r="FN495" s="1202"/>
      <c r="FO495" s="1202"/>
      <c r="FP495" s="1202"/>
      <c r="FQ495" s="1202"/>
      <c r="FR495" s="1202"/>
      <c r="FS495" s="1202"/>
      <c r="FT495" s="1202"/>
      <c r="FU495" s="1202"/>
      <c r="FV495" s="1202"/>
      <c r="FW495" s="1202"/>
      <c r="FX495" s="1202"/>
      <c r="FY495" s="1202"/>
      <c r="FZ495" s="1202"/>
      <c r="GA495" s="1202"/>
      <c r="GB495" s="1202"/>
      <c r="GC495" s="1202"/>
      <c r="GD495" s="1202"/>
      <c r="GE495" s="1202"/>
      <c r="GF495" s="1202"/>
      <c r="GG495" s="1202"/>
      <c r="GH495" s="1202"/>
      <c r="GI495" s="1202"/>
      <c r="GJ495" s="1202"/>
      <c r="GK495" s="1202"/>
      <c r="GL495" s="1202"/>
      <c r="GM495" s="1202"/>
      <c r="GN495" s="1202"/>
      <c r="GO495" s="1202"/>
      <c r="GP495" s="1202"/>
      <c r="GQ495" s="1202"/>
      <c r="GR495" s="1202"/>
      <c r="GS495" s="1202"/>
      <c r="GT495" s="1202"/>
      <c r="GU495" s="1202"/>
      <c r="GV495" s="1202"/>
      <c r="GW495" s="1202"/>
      <c r="GX495" s="1202"/>
      <c r="GY495" s="1202"/>
      <c r="GZ495" s="1202"/>
      <c r="HA495" s="1202"/>
      <c r="HB495" s="1202"/>
      <c r="HC495" s="1202"/>
      <c r="HD495" s="1202"/>
      <c r="HE495" s="1202"/>
      <c r="HF495" s="1202"/>
      <c r="HG495" s="1202"/>
      <c r="HH495" s="1202"/>
      <c r="HI495" s="1202"/>
      <c r="HJ495" s="1202"/>
      <c r="HK495" s="1202"/>
      <c r="HL495" s="1202"/>
      <c r="HM495" s="1202"/>
      <c r="HN495" s="349"/>
      <c r="HO495" s="351" t="s">
        <v>1201</v>
      </c>
      <c r="HP495" s="351"/>
      <c r="HQ495" s="351"/>
      <c r="HR495" s="346"/>
      <c r="HU495" s="346"/>
      <c r="HX495" s="346"/>
      <c r="IA495" s="346"/>
      <c r="ID495" s="346"/>
      <c r="IE495" s="302">
        <f t="shared" si="147"/>
        <v>1.1667520816836885</v>
      </c>
      <c r="IF495" s="302">
        <f t="shared" si="148"/>
        <v>1.442574663636075</v>
      </c>
      <c r="IG495" s="346">
        <f t="shared" si="159"/>
        <v>2.6093267453197635</v>
      </c>
      <c r="IJ495" s="346"/>
      <c r="IK495" s="302">
        <f>IM495*JI495</f>
        <v>0</v>
      </c>
      <c r="IL495" s="302">
        <f t="shared" si="85"/>
        <v>0</v>
      </c>
      <c r="IM495" s="346"/>
      <c r="IN495" s="302">
        <f>IP495*JI495</f>
        <v>0</v>
      </c>
      <c r="IO495" s="302">
        <f t="shared" si="154"/>
        <v>0</v>
      </c>
      <c r="IP495" s="346"/>
      <c r="IQ495" s="302">
        <f>IS495*JI495</f>
        <v>0</v>
      </c>
      <c r="IR495" s="302">
        <f t="shared" si="74"/>
        <v>0</v>
      </c>
      <c r="IS495" s="346"/>
      <c r="IT495" s="302">
        <f>IV495*JI495</f>
        <v>0</v>
      </c>
      <c r="IU495" s="302">
        <f t="shared" si="75"/>
        <v>0</v>
      </c>
      <c r="IV495" s="346"/>
      <c r="IW495" s="302">
        <f>IY495*JL495</f>
        <v>0</v>
      </c>
      <c r="IX495" s="302">
        <f t="shared" si="76"/>
        <v>0</v>
      </c>
      <c r="IY495" s="346"/>
      <c r="IZ495" s="302">
        <f>JB495*JO495</f>
        <v>0</v>
      </c>
      <c r="JA495" s="302">
        <f t="shared" si="77"/>
        <v>0</v>
      </c>
      <c r="JB495" s="346"/>
      <c r="JC495" s="346"/>
      <c r="KI495" s="349"/>
      <c r="KJ495" s="350"/>
    </row>
    <row r="496" spans="2:302">
      <c r="D496" s="351" t="s">
        <v>779</v>
      </c>
      <c r="E496" s="346"/>
      <c r="F496" s="346"/>
      <c r="G496" s="346"/>
      <c r="H496" s="346"/>
      <c r="I496" s="346"/>
      <c r="J496" s="346"/>
      <c r="K496" s="346"/>
      <c r="L496" s="346"/>
      <c r="M496" s="346"/>
      <c r="N496" s="346"/>
      <c r="O496" s="346"/>
      <c r="P496" s="346"/>
      <c r="Q496" s="346"/>
      <c r="R496" s="346"/>
      <c r="S496" s="346"/>
      <c r="T496" s="346"/>
      <c r="U496" s="346"/>
      <c r="V496" s="346"/>
      <c r="W496" s="346"/>
      <c r="X496" s="346"/>
      <c r="Y496" s="346"/>
      <c r="Z496" s="346"/>
      <c r="AA496" s="346"/>
      <c r="AB496" s="346"/>
      <c r="AC496" s="346"/>
      <c r="AD496" s="346"/>
      <c r="AE496" s="346"/>
      <c r="AF496" s="346"/>
      <c r="AG496" s="346"/>
      <c r="AH496" s="346"/>
      <c r="AI496" s="346"/>
      <c r="AJ496" s="346"/>
      <c r="AK496" s="346"/>
      <c r="AL496" s="346"/>
      <c r="AM496" s="346"/>
      <c r="AN496" s="346"/>
      <c r="AO496" s="346"/>
      <c r="AP496" s="346"/>
      <c r="AQ496" s="346"/>
      <c r="AR496" s="346"/>
      <c r="AS496" s="346"/>
      <c r="AT496" s="346"/>
      <c r="AU496" s="346"/>
      <c r="AV496" s="346"/>
      <c r="AW496" s="346"/>
      <c r="AX496" s="346"/>
      <c r="AY496" s="346"/>
      <c r="AZ496" s="346"/>
      <c r="BA496" s="346"/>
      <c r="BB496" s="346"/>
      <c r="BC496" s="346"/>
      <c r="BD496" s="346"/>
      <c r="BE496" s="346"/>
      <c r="BF496" s="346"/>
      <c r="BG496" s="346"/>
      <c r="BH496" s="346"/>
      <c r="BI496" s="346"/>
      <c r="BJ496" s="346"/>
      <c r="BK496" s="346"/>
      <c r="BL496" s="346"/>
      <c r="BM496" s="346"/>
      <c r="BN496" s="346"/>
      <c r="BO496" s="346"/>
      <c r="BP496" s="346"/>
      <c r="BQ496" s="346"/>
      <c r="BR496" s="346"/>
      <c r="BS496" s="346"/>
      <c r="BT496" s="346"/>
      <c r="BU496" s="346"/>
      <c r="BV496" s="346"/>
      <c r="BW496" s="346"/>
      <c r="BX496" s="346"/>
      <c r="BY496" s="346"/>
      <c r="BZ496" s="346"/>
      <c r="CA496" s="346"/>
      <c r="CB496" s="346"/>
      <c r="CC496" s="346"/>
      <c r="CD496" s="346"/>
      <c r="CE496" s="347"/>
      <c r="CF496" s="346"/>
      <c r="CG496" s="346"/>
      <c r="CH496" s="346"/>
      <c r="CI496" s="346"/>
      <c r="CJ496" s="346"/>
      <c r="CK496" s="346"/>
      <c r="CL496" s="346"/>
      <c r="CM496" s="346"/>
      <c r="CN496" s="346"/>
      <c r="CO496" s="346"/>
      <c r="CP496" s="348"/>
      <c r="CQ496" s="346"/>
      <c r="CR496" s="346"/>
      <c r="CS496" s="346"/>
      <c r="CT496" s="346"/>
      <c r="CU496" s="346"/>
      <c r="CV496" s="346"/>
      <c r="CW496" s="346"/>
      <c r="CX496" s="346"/>
      <c r="CY496" s="346"/>
      <c r="CZ496" s="346"/>
      <c r="DA496" s="346"/>
      <c r="DB496" s="1479"/>
      <c r="DC496" s="346"/>
      <c r="DD496" s="346"/>
      <c r="DE496" s="346"/>
      <c r="DF496" s="346"/>
      <c r="DG496" s="346"/>
      <c r="DH496" s="346"/>
      <c r="DI496" s="346"/>
      <c r="DJ496" s="346"/>
      <c r="DK496" s="346"/>
      <c r="DL496" s="346"/>
      <c r="DM496" s="346"/>
      <c r="DN496" s="348"/>
      <c r="DO496" s="346"/>
      <c r="DP496" s="346"/>
      <c r="DQ496" s="346"/>
      <c r="DR496" s="346"/>
      <c r="DS496" s="346"/>
      <c r="DT496" s="346"/>
      <c r="DU496" s="346"/>
      <c r="DV496" s="346"/>
      <c r="DW496" s="346"/>
      <c r="DX496" s="346"/>
      <c r="DY496" s="346"/>
      <c r="DZ496" s="348"/>
      <c r="EA496" s="346"/>
      <c r="EB496" s="346"/>
      <c r="EC496" s="346"/>
      <c r="ED496" s="346"/>
      <c r="EE496" s="346"/>
      <c r="EF496" s="346"/>
      <c r="EG496" s="346"/>
      <c r="EH496" s="346"/>
      <c r="EI496" s="346"/>
      <c r="EJ496" s="346"/>
      <c r="EK496" s="346"/>
      <c r="EL496" s="348"/>
      <c r="EM496" s="346"/>
      <c r="EN496" s="346"/>
      <c r="EO496" s="346"/>
      <c r="EP496" s="346"/>
      <c r="EQ496" s="346"/>
      <c r="ER496" s="346"/>
      <c r="ES496" s="346"/>
      <c r="ET496" s="346"/>
      <c r="EU496" s="346"/>
      <c r="EV496" s="346"/>
      <c r="EW496" s="346"/>
      <c r="EX496" s="348"/>
      <c r="EY496" s="346"/>
      <c r="EZ496" s="346"/>
      <c r="FA496" s="346"/>
      <c r="FB496" s="346"/>
      <c r="FC496" s="346"/>
      <c r="FD496" s="346"/>
      <c r="FE496" s="346"/>
      <c r="FF496" s="346"/>
      <c r="FG496" s="346"/>
      <c r="FH496" s="346"/>
      <c r="FI496" s="346"/>
      <c r="FJ496" s="348"/>
      <c r="FK496" s="346"/>
      <c r="FL496" s="346"/>
      <c r="FM496" s="346"/>
      <c r="FN496" s="346"/>
      <c r="FO496" s="346"/>
      <c r="FP496" s="346"/>
      <c r="FQ496" s="346"/>
      <c r="FR496" s="346"/>
      <c r="FS496" s="346"/>
      <c r="FT496" s="346"/>
      <c r="FU496" s="346"/>
      <c r="FV496" s="346"/>
      <c r="FW496" s="346"/>
      <c r="FX496" s="346"/>
      <c r="FY496" s="346"/>
      <c r="FZ496" s="346"/>
      <c r="GA496" s="346"/>
      <c r="GB496" s="346"/>
      <c r="GC496" s="346"/>
      <c r="GD496" s="346"/>
      <c r="GE496" s="346"/>
      <c r="GF496" s="346"/>
      <c r="GG496" s="346"/>
      <c r="GH496" s="346"/>
      <c r="GI496" s="346"/>
      <c r="GJ496" s="346"/>
      <c r="GK496" s="346"/>
      <c r="GL496" s="346"/>
      <c r="GM496" s="346"/>
      <c r="GN496" s="346"/>
      <c r="GO496" s="346"/>
      <c r="GP496" s="346"/>
      <c r="GQ496" s="346"/>
      <c r="GR496" s="346"/>
      <c r="GS496" s="346"/>
      <c r="GT496" s="346"/>
      <c r="GU496" s="346"/>
      <c r="GV496" s="346"/>
      <c r="GW496" s="346"/>
      <c r="GX496" s="346"/>
      <c r="GY496" s="346"/>
      <c r="GZ496" s="346"/>
      <c r="HA496" s="346"/>
      <c r="HB496" s="346"/>
      <c r="HC496" s="346"/>
      <c r="HD496" s="346"/>
      <c r="HE496" s="346"/>
      <c r="HF496" s="346"/>
      <c r="HG496" s="346"/>
      <c r="HH496" s="346"/>
      <c r="HI496" s="346"/>
      <c r="HJ496" s="346"/>
      <c r="HK496" s="346"/>
      <c r="HL496" s="346"/>
      <c r="HM496" s="346"/>
      <c r="HN496" s="349"/>
      <c r="HO496" s="351" t="s">
        <v>779</v>
      </c>
      <c r="HP496" s="351"/>
      <c r="HQ496" s="351"/>
      <c r="HR496" s="346"/>
      <c r="HU496" s="346"/>
      <c r="HX496" s="346"/>
      <c r="IA496" s="346">
        <f>HY496+HZ496</f>
        <v>0</v>
      </c>
      <c r="IB496" s="302">
        <v>0</v>
      </c>
      <c r="IC496" s="302">
        <f>+IC492-IC493-IC494</f>
        <v>1.4166804189999738</v>
      </c>
      <c r="ID496" s="346">
        <f>FISC!AC706</f>
        <v>0</v>
      </c>
      <c r="IE496" s="302">
        <f t="shared" si="147"/>
        <v>0</v>
      </c>
      <c r="IF496" s="302">
        <f t="shared" si="148"/>
        <v>0</v>
      </c>
      <c r="IG496" s="346">
        <f>IE496+IF496</f>
        <v>0</v>
      </c>
      <c r="IH496" s="302">
        <f>+(FISC!AD105*FISC!AE$253/1000)</f>
        <v>0</v>
      </c>
      <c r="II496" s="302">
        <f>+IJ496-IH496</f>
        <v>0</v>
      </c>
      <c r="IJ496" s="346">
        <f>+FISC!AE706</f>
        <v>0</v>
      </c>
      <c r="IK496" s="302">
        <f>+(FISC!AE105*FISC!AF253/1000)</f>
        <v>0</v>
      </c>
      <c r="IL496" s="302">
        <f t="shared" si="85"/>
        <v>55.382345780641401</v>
      </c>
      <c r="IM496" s="346">
        <f>+FISC!AF706</f>
        <v>55.382345780641401</v>
      </c>
      <c r="IN496" s="302">
        <f>+(FISC!AF105*FISC!AG253/1000)</f>
        <v>0</v>
      </c>
      <c r="IO496" s="302">
        <f t="shared" si="154"/>
        <v>13.09276161209365</v>
      </c>
      <c r="IP496" s="346">
        <f>+FISC!AG706</f>
        <v>13.09276161209365</v>
      </c>
      <c r="IQ496" s="302">
        <f>+(FISC!AG105*FISC!AH253/1000)</f>
        <v>0</v>
      </c>
      <c r="IR496" s="302">
        <f t="shared" si="74"/>
        <v>0</v>
      </c>
      <c r="IS496" s="346">
        <f>+FISC!AH706</f>
        <v>0</v>
      </c>
      <c r="IT496" s="302">
        <f>+(FISC!AH105*FISC!AI253/1000)</f>
        <v>0</v>
      </c>
      <c r="IU496" s="302">
        <f t="shared" si="75"/>
        <v>0</v>
      </c>
      <c r="IV496" s="346">
        <f>+FISC!AI706</f>
        <v>0</v>
      </c>
      <c r="IW496" s="302">
        <f>+(FISC!AI105*FISC!AJ253/1000)</f>
        <v>0</v>
      </c>
      <c r="IX496" s="302">
        <f t="shared" si="76"/>
        <v>0</v>
      </c>
      <c r="IY496" s="346">
        <f>+FISC!AJ706</f>
        <v>0</v>
      </c>
      <c r="IZ496" s="302">
        <f>+(FISC!AJ105*FISC!AK253/1000)</f>
        <v>0</v>
      </c>
      <c r="JA496" s="302">
        <f t="shared" si="77"/>
        <v>0</v>
      </c>
      <c r="JB496" s="346">
        <f>+FISC!AK706</f>
        <v>0</v>
      </c>
      <c r="JC496" s="346"/>
      <c r="KI496" s="349"/>
      <c r="KJ496" s="350"/>
    </row>
    <row r="497" spans="1:302">
      <c r="B497" s="117" t="s">
        <v>361</v>
      </c>
      <c r="D497" s="599" t="str">
        <f>+FISC!D707</f>
        <v>Capital grants</v>
      </c>
      <c r="E497" s="346">
        <v>0</v>
      </c>
      <c r="F497" s="346">
        <v>0</v>
      </c>
      <c r="G497" s="346">
        <v>19.096</v>
      </c>
      <c r="H497" s="346">
        <v>0</v>
      </c>
      <c r="I497" s="346">
        <v>0</v>
      </c>
      <c r="J497" s="346">
        <v>18.920000000000002</v>
      </c>
      <c r="K497" s="346">
        <v>0</v>
      </c>
      <c r="L497" s="346">
        <v>0</v>
      </c>
      <c r="M497" s="346">
        <v>20.327999999999999</v>
      </c>
      <c r="N497" s="346">
        <v>0</v>
      </c>
      <c r="O497" s="346">
        <v>0</v>
      </c>
      <c r="P497" s="346">
        <v>15.656000000000001</v>
      </c>
      <c r="Q497" s="346">
        <v>0</v>
      </c>
      <c r="R497" s="346">
        <v>0</v>
      </c>
      <c r="S497" s="346">
        <v>13.61007</v>
      </c>
      <c r="T497" s="346">
        <v>0</v>
      </c>
      <c r="U497" s="346">
        <v>0</v>
      </c>
      <c r="V497" s="346">
        <v>21.278419999999997</v>
      </c>
      <c r="W497" s="346">
        <v>0</v>
      </c>
      <c r="X497" s="346">
        <v>0</v>
      </c>
      <c r="Y497" s="346">
        <v>20.6523</v>
      </c>
      <c r="Z497" s="346">
        <v>0</v>
      </c>
      <c r="AA497" s="346">
        <v>0</v>
      </c>
      <c r="AB497" s="346">
        <v>38.554199999999994</v>
      </c>
      <c r="AC497" s="346">
        <v>0</v>
      </c>
      <c r="AD497" s="346">
        <v>0</v>
      </c>
      <c r="AE497" s="346">
        <v>27.222999999999999</v>
      </c>
      <c r="AF497" s="346">
        <v>0</v>
      </c>
      <c r="AG497" s="346">
        <v>0</v>
      </c>
      <c r="AH497" s="346">
        <v>14.770896896000002</v>
      </c>
      <c r="AI497" s="346">
        <v>0</v>
      </c>
      <c r="AJ497" s="346">
        <v>0</v>
      </c>
      <c r="AK497" s="346">
        <v>31.943841391000003</v>
      </c>
      <c r="AL497" s="346">
        <v>0</v>
      </c>
      <c r="AM497" s="346">
        <v>0</v>
      </c>
      <c r="AN497" s="346">
        <v>39.854758195999992</v>
      </c>
      <c r="AO497" s="346">
        <v>0</v>
      </c>
      <c r="AP497" s="346">
        <v>0</v>
      </c>
      <c r="AQ497" s="346">
        <v>27.3</v>
      </c>
      <c r="AR497" s="346">
        <v>0</v>
      </c>
      <c r="AS497" s="346">
        <v>0</v>
      </c>
      <c r="AT497" s="346">
        <v>27.3</v>
      </c>
      <c r="AU497" s="346">
        <v>0</v>
      </c>
      <c r="AV497" s="346">
        <v>0</v>
      </c>
      <c r="AW497" s="346">
        <v>34.1</v>
      </c>
      <c r="AX497" s="346">
        <v>0</v>
      </c>
      <c r="AY497" s="346">
        <v>0</v>
      </c>
      <c r="AZ497" s="346">
        <v>80</v>
      </c>
      <c r="BA497" s="346">
        <v>0</v>
      </c>
      <c r="BB497" s="346">
        <v>0</v>
      </c>
      <c r="BC497" s="346">
        <v>25.449000000000002</v>
      </c>
      <c r="BD497" s="346">
        <v>0</v>
      </c>
      <c r="BE497" s="346">
        <v>0</v>
      </c>
      <c r="BF497" s="346">
        <v>24.451000000000001</v>
      </c>
      <c r="BG497" s="346">
        <v>0</v>
      </c>
      <c r="BH497" s="346">
        <v>0</v>
      </c>
      <c r="BI497" s="346">
        <v>28.44</v>
      </c>
      <c r="BJ497" s="346">
        <v>50.9206</v>
      </c>
      <c r="BK497" s="346">
        <v>0</v>
      </c>
      <c r="BL497" s="346">
        <v>28.44</v>
      </c>
      <c r="BM497" s="346">
        <v>0</v>
      </c>
      <c r="BN497" s="346">
        <v>0</v>
      </c>
      <c r="BO497" s="346">
        <v>28.4</v>
      </c>
      <c r="BP497" s="346">
        <v>0</v>
      </c>
      <c r="BQ497" s="346">
        <v>0</v>
      </c>
      <c r="BR497" s="346">
        <v>63.072049327625756</v>
      </c>
      <c r="BS497" s="346">
        <v>12.203299451901628</v>
      </c>
      <c r="BT497" s="346">
        <v>14.813409459931112</v>
      </c>
      <c r="BU497" s="346">
        <v>6.5902026762721153</v>
      </c>
      <c r="BV497" s="346">
        <v>7.9663939819053082</v>
      </c>
      <c r="BW497" s="346">
        <v>41.538890177774903</v>
      </c>
      <c r="BX497" s="346">
        <v>29.001320784256873</v>
      </c>
      <c r="BY497" s="346">
        <v>6.4084407417666696E-6</v>
      </c>
      <c r="BZ497" s="346">
        <v>3.9502690426215792</v>
      </c>
      <c r="CA497" s="346">
        <v>8.9347603934343383</v>
      </c>
      <c r="CB497" s="346">
        <v>6.8720589184452443</v>
      </c>
      <c r="CC497" s="346">
        <v>32.567005592195322</v>
      </c>
      <c r="CD497" s="346">
        <v>10.462383112820836</v>
      </c>
      <c r="CE497" s="347">
        <f>CE498+CE501</f>
        <v>20.644770703771695</v>
      </c>
      <c r="CF497" s="346">
        <f t="shared" ref="CF497:DN497" si="177">CF498+CF501</f>
        <v>6.2068516957338105</v>
      </c>
      <c r="CG497" s="346">
        <f t="shared" si="177"/>
        <v>33.654755862294493</v>
      </c>
      <c r="CH497" s="346">
        <f t="shared" si="177"/>
        <v>40.164865416949603</v>
      </c>
      <c r="CI497" s="346">
        <f t="shared" si="177"/>
        <v>33.30229618613545</v>
      </c>
      <c r="CJ497" s="346">
        <f t="shared" si="177"/>
        <v>23.305426911000946</v>
      </c>
      <c r="CK497" s="346">
        <f t="shared" si="177"/>
        <v>22.369328398681304</v>
      </c>
      <c r="CL497" s="346">
        <f t="shared" si="177"/>
        <v>15.370313869472696</v>
      </c>
      <c r="CM497" s="346">
        <f t="shared" si="177"/>
        <v>15.260357731845993</v>
      </c>
      <c r="CN497" s="346">
        <f t="shared" si="177"/>
        <v>55.08162525346021</v>
      </c>
      <c r="CO497" s="346">
        <f t="shared" si="177"/>
        <v>16.101722923910174</v>
      </c>
      <c r="CP497" s="348">
        <f t="shared" si="177"/>
        <v>21.799460293312592</v>
      </c>
      <c r="CQ497" s="346">
        <f t="shared" si="177"/>
        <v>16.87350672279609</v>
      </c>
      <c r="CR497" s="346">
        <f t="shared" si="177"/>
        <v>20.574332516946019</v>
      </c>
      <c r="CS497" s="346">
        <f t="shared" si="177"/>
        <v>13.677160760257889</v>
      </c>
      <c r="CT497" s="346">
        <f t="shared" si="177"/>
        <v>22.966062853869769</v>
      </c>
      <c r="CU497" s="346">
        <f t="shared" si="177"/>
        <v>25.792258359012344</v>
      </c>
      <c r="CV497" s="346">
        <f t="shared" si="177"/>
        <v>25.594723744156603</v>
      </c>
      <c r="CW497" s="346">
        <f t="shared" si="177"/>
        <v>18.835302128312126</v>
      </c>
      <c r="CX497" s="346">
        <f t="shared" si="177"/>
        <v>20.69342160459518</v>
      </c>
      <c r="CY497" s="346">
        <f t="shared" si="177"/>
        <v>18.249102545774683</v>
      </c>
      <c r="CZ497" s="346">
        <f t="shared" si="177"/>
        <v>12.54749310504959</v>
      </c>
      <c r="DA497" s="346">
        <f t="shared" si="177"/>
        <v>24.637015591921291</v>
      </c>
      <c r="DB497" s="1479">
        <f t="shared" si="177"/>
        <v>20.593317581711112</v>
      </c>
      <c r="DC497" s="346">
        <f t="shared" si="177"/>
        <v>13.393209566950036</v>
      </c>
      <c r="DD497" s="346">
        <f t="shared" si="177"/>
        <v>19.014873858627084</v>
      </c>
      <c r="DE497" s="346">
        <f t="shared" si="177"/>
        <v>15.961916574422874</v>
      </c>
      <c r="DF497" s="346">
        <f t="shared" si="177"/>
        <v>2.7668482446498701</v>
      </c>
      <c r="DG497" s="346">
        <f t="shared" si="177"/>
        <v>28.856931312514178</v>
      </c>
      <c r="DH497" s="346">
        <f t="shared" si="177"/>
        <v>16.746220442835956</v>
      </c>
      <c r="DI497" s="346">
        <f>DI498+DI501</f>
        <v>9.5322054394374973</v>
      </c>
      <c r="DJ497" s="346">
        <f t="shared" si="177"/>
        <v>11.499391937616629</v>
      </c>
      <c r="DK497" s="346">
        <f t="shared" si="177"/>
        <v>15.068402622945877</v>
      </c>
      <c r="DL497" s="346">
        <f t="shared" si="177"/>
        <v>10.864885881361992</v>
      </c>
      <c r="DM497" s="346">
        <f t="shared" si="177"/>
        <v>19.297643562043543</v>
      </c>
      <c r="DN497" s="348">
        <f t="shared" si="177"/>
        <v>5.9374705565944614</v>
      </c>
      <c r="DO497" s="346">
        <f t="shared" ref="DO497:DT497" si="178">DO498+DO501</f>
        <v>4.5689722600492333</v>
      </c>
      <c r="DP497" s="346">
        <f t="shared" si="178"/>
        <v>1.9976494589589138</v>
      </c>
      <c r="DQ497" s="346">
        <f t="shared" si="178"/>
        <v>19.857829355710404</v>
      </c>
      <c r="DR497" s="346">
        <f t="shared" si="178"/>
        <v>3.0254844532894221</v>
      </c>
      <c r="DS497" s="346">
        <f t="shared" si="178"/>
        <v>0</v>
      </c>
      <c r="DT497" s="346">
        <f t="shared" si="178"/>
        <v>0</v>
      </c>
      <c r="DU497" s="346">
        <f t="shared" ref="DU497:DZ497" si="179">DU498+DU501</f>
        <v>15.873335991999999</v>
      </c>
      <c r="DV497" s="346">
        <f t="shared" si="179"/>
        <v>0</v>
      </c>
      <c r="DW497" s="346">
        <f t="shared" si="179"/>
        <v>0</v>
      </c>
      <c r="DX497" s="346">
        <f t="shared" si="179"/>
        <v>12.168713068197375</v>
      </c>
      <c r="DY497" s="346">
        <f t="shared" si="179"/>
        <v>0</v>
      </c>
      <c r="DZ497" s="348">
        <f t="shared" si="179"/>
        <v>0</v>
      </c>
      <c r="EA497" s="346">
        <f t="shared" ref="EA497:EL497" si="180">EA498+EA501</f>
        <v>12.04303298669176</v>
      </c>
      <c r="EB497" s="346">
        <f t="shared" si="180"/>
        <v>11.58141738339774</v>
      </c>
      <c r="EC497" s="346">
        <f t="shared" si="180"/>
        <v>18.953049629910502</v>
      </c>
      <c r="ED497" s="346">
        <f t="shared" si="180"/>
        <v>9.2129121794719193</v>
      </c>
      <c r="EE497" s="346">
        <f t="shared" si="180"/>
        <v>18.666473033356318</v>
      </c>
      <c r="EF497" s="346">
        <f t="shared" si="180"/>
        <v>14.698114787171765</v>
      </c>
      <c r="EG497" s="346">
        <f t="shared" si="180"/>
        <v>7.7343715577035592</v>
      </c>
      <c r="EH497" s="346">
        <f t="shared" si="180"/>
        <v>12.544701009695537</v>
      </c>
      <c r="EI497" s="346">
        <f t="shared" si="180"/>
        <v>21.498427432600909</v>
      </c>
      <c r="EJ497" s="346">
        <f t="shared" si="180"/>
        <v>3.5217398195229666</v>
      </c>
      <c r="EK497" s="346">
        <f t="shared" si="180"/>
        <v>8.0850167052850175</v>
      </c>
      <c r="EL497" s="348">
        <f t="shared" si="180"/>
        <v>30.170743475192022</v>
      </c>
      <c r="EM497" s="346">
        <f t="shared" ref="EM497:ER497" si="181">EM498+EM501</f>
        <v>15.676377072254855</v>
      </c>
      <c r="EN497" s="346">
        <f t="shared" si="181"/>
        <v>16.280776577680143</v>
      </c>
      <c r="EO497" s="346">
        <f t="shared" si="181"/>
        <v>31.957153649935002</v>
      </c>
      <c r="EP497" s="346">
        <f t="shared" si="181"/>
        <v>25.689925104930648</v>
      </c>
      <c r="EQ497" s="346">
        <f t="shared" si="181"/>
        <v>6.238642488411001</v>
      </c>
      <c r="ER497" s="346">
        <f t="shared" si="181"/>
        <v>31.957153649935002</v>
      </c>
      <c r="ES497" s="346">
        <f t="shared" ref="ES497:EX497" si="182">ES498+ES501</f>
        <v>11.77235596909156</v>
      </c>
      <c r="ET497" s="346">
        <f t="shared" si="182"/>
        <v>14.546519893461165</v>
      </c>
      <c r="EU497" s="346">
        <f t="shared" si="182"/>
        <v>26.318875862817901</v>
      </c>
      <c r="EV497" s="346">
        <f t="shared" si="182"/>
        <v>17.045294526785639</v>
      </c>
      <c r="EW497" s="346">
        <f t="shared" si="182"/>
        <v>9.2735813359162655</v>
      </c>
      <c r="EX497" s="348">
        <f t="shared" si="182"/>
        <v>26.318875862950499</v>
      </c>
      <c r="EY497" s="346"/>
      <c r="EZ497" s="346"/>
      <c r="FA497" s="346"/>
      <c r="FB497" s="346"/>
      <c r="FC497" s="346"/>
      <c r="FD497" s="346"/>
      <c r="FE497" s="346"/>
      <c r="FF497" s="346"/>
      <c r="FG497" s="346"/>
      <c r="FH497" s="346"/>
      <c r="FI497" s="346"/>
      <c r="FJ497" s="348"/>
      <c r="FK497" s="346"/>
      <c r="FL497" s="346"/>
      <c r="FM497" s="346"/>
      <c r="FN497" s="346"/>
      <c r="FO497" s="346"/>
      <c r="FP497" s="346"/>
      <c r="FQ497" s="346"/>
      <c r="FR497" s="346"/>
      <c r="FS497" s="346"/>
      <c r="FT497" s="346"/>
      <c r="FU497" s="346"/>
      <c r="FV497" s="346"/>
      <c r="FW497" s="346"/>
      <c r="FX497" s="346"/>
      <c r="FY497" s="346"/>
      <c r="FZ497" s="346"/>
      <c r="GA497" s="346"/>
      <c r="GB497" s="346"/>
      <c r="GC497" s="346"/>
      <c r="GD497" s="346"/>
      <c r="GE497" s="346"/>
      <c r="GF497" s="346"/>
      <c r="GG497" s="346"/>
      <c r="GH497" s="346"/>
      <c r="GI497" s="346"/>
      <c r="GJ497" s="346"/>
      <c r="GK497" s="346"/>
      <c r="GL497" s="346"/>
      <c r="GM497" s="346"/>
      <c r="GN497" s="346"/>
      <c r="GO497" s="346"/>
      <c r="GP497" s="346"/>
      <c r="GQ497" s="346"/>
      <c r="GR497" s="346"/>
      <c r="GS497" s="346"/>
      <c r="GT497" s="346"/>
      <c r="GU497" s="346"/>
      <c r="GV497" s="346"/>
      <c r="GW497" s="346"/>
      <c r="GX497" s="346"/>
      <c r="GY497" s="346"/>
      <c r="GZ497" s="346"/>
      <c r="HA497" s="346"/>
      <c r="HB497" s="346"/>
      <c r="HC497" s="346"/>
      <c r="HD497" s="346"/>
      <c r="HE497" s="346"/>
      <c r="HF497" s="346"/>
      <c r="HG497" s="346"/>
      <c r="HH497" s="346"/>
      <c r="HI497" s="346"/>
      <c r="HJ497" s="346"/>
      <c r="HK497" s="346"/>
      <c r="HL497" s="346"/>
      <c r="HM497" s="346"/>
      <c r="HN497" s="349"/>
      <c r="HO497" s="599" t="s">
        <v>148</v>
      </c>
      <c r="HP497" s="599"/>
      <c r="HQ497" s="599"/>
      <c r="HR497" s="346">
        <f>+FISC!Z707</f>
        <v>241.03369751440272</v>
      </c>
      <c r="HS497" s="302">
        <f>HS498+HS501</f>
        <v>125.47804495703872</v>
      </c>
      <c r="HT497" s="302">
        <f>HT498+HT501</f>
        <v>115.555652557364</v>
      </c>
      <c r="HU497" s="346">
        <f>HU498+HU501</f>
        <v>241.03369751440272</v>
      </c>
      <c r="HV497" s="302">
        <f>+HV498+HV501</f>
        <v>96.739999999999981</v>
      </c>
      <c r="HW497" s="302">
        <f>+SUM(DI497:DN497)</f>
        <v>72.2</v>
      </c>
      <c r="HX497" s="346">
        <f t="shared" si="100"/>
        <v>168.94</v>
      </c>
      <c r="HY497" s="302">
        <f>+HY498+HY501</f>
        <v>29.449935528007973</v>
      </c>
      <c r="HZ497" s="302">
        <f>+HZ498+HZ501</f>
        <v>28.042049060197375</v>
      </c>
      <c r="IA497" s="346">
        <f t="shared" si="103"/>
        <v>57.491984588205348</v>
      </c>
      <c r="IB497" s="477">
        <f>+IB498+IB501</f>
        <v>85.155000000000001</v>
      </c>
      <c r="IC497" s="302">
        <f>+IC498+IC501</f>
        <v>83.555000000000007</v>
      </c>
      <c r="ID497" s="346">
        <f>FISC!AC707</f>
        <v>168.71</v>
      </c>
      <c r="IE497" s="302">
        <f t="shared" si="147"/>
        <v>127.80002854314665</v>
      </c>
      <c r="IF497" s="302">
        <f t="shared" si="148"/>
        <v>105.27550345102301</v>
      </c>
      <c r="IG497" s="346">
        <f>IE497+IF497</f>
        <v>233.07553199416967</v>
      </c>
      <c r="IH497" s="302">
        <f>+(IH498+IH501)</f>
        <v>129.801416131145</v>
      </c>
      <c r="II497" s="302">
        <f>+II498+II501</f>
        <v>129.89320944035637</v>
      </c>
      <c r="IJ497" s="346">
        <f>+FISC!AE707</f>
        <v>259.69462557150138</v>
      </c>
      <c r="IK497" s="302">
        <f>+(IK498+IK501)</f>
        <v>139.48006210464442</v>
      </c>
      <c r="IL497" s="302">
        <f t="shared" si="85"/>
        <v>149.46546348842898</v>
      </c>
      <c r="IM497" s="346">
        <f>+FISC!AF707</f>
        <v>288.9455255930734</v>
      </c>
      <c r="IN497" s="302">
        <f>+IN498+IN501</f>
        <v>221.82484177232826</v>
      </c>
      <c r="IO497" s="302">
        <f t="shared" si="154"/>
        <v>151.24241265916393</v>
      </c>
      <c r="IP497" s="346">
        <f>+FISC!AG707</f>
        <v>373.06725443149219</v>
      </c>
      <c r="IQ497" s="302">
        <f>+IQ498+IQ501</f>
        <v>185.68673648628925</v>
      </c>
      <c r="IR497" s="302">
        <f t="shared" si="74"/>
        <v>221.29345694084606</v>
      </c>
      <c r="IS497" s="346">
        <f>+FISC!AH707</f>
        <v>406.9801934271353</v>
      </c>
      <c r="IT497" s="302">
        <f>+IT498+IT501</f>
        <v>242.46436139652499</v>
      </c>
      <c r="IU497" s="302">
        <f t="shared" si="75"/>
        <v>263.07823141675829</v>
      </c>
      <c r="IV497" s="346">
        <f>+FISC!AI707</f>
        <v>505.54259281328331</v>
      </c>
      <c r="IW497" s="302">
        <f>+IW498+IW501</f>
        <v>240.04417252407856</v>
      </c>
      <c r="IX497" s="302">
        <f t="shared" si="76"/>
        <v>202.76254635065848</v>
      </c>
      <c r="IY497" s="346">
        <f>+FISC!AJ707</f>
        <v>442.80671887473704</v>
      </c>
      <c r="IZ497" s="302">
        <f>+IZ498+IZ501</f>
        <v>219.67473158173215</v>
      </c>
      <c r="JA497" s="302">
        <f t="shared" si="77"/>
        <v>219.67473158173215</v>
      </c>
      <c r="JB497" s="346">
        <f>+FISC!AK707</f>
        <v>439.34946316346429</v>
      </c>
      <c r="JC497" s="346"/>
      <c r="KI497" s="349"/>
      <c r="KJ497" s="350"/>
      <c r="KM497" s="302">
        <f>KM498+KM501</f>
        <v>0</v>
      </c>
      <c r="KN497" s="302">
        <f>KN498+KN501</f>
        <v>0</v>
      </c>
      <c r="KO497" s="302">
        <f>KO498+KO501</f>
        <v>0</v>
      </c>
      <c r="KP497" s="302">
        <f>KP498+KP501</f>
        <v>0</v>
      </c>
    </row>
    <row r="498" spans="1:302">
      <c r="A498" s="302"/>
      <c r="B498" s="117" t="s">
        <v>361</v>
      </c>
      <c r="D498" s="351" t="str">
        <f>+FISC!D708</f>
        <v>Projects</v>
      </c>
      <c r="E498" s="346"/>
      <c r="F498" s="346"/>
      <c r="G498" s="346"/>
      <c r="H498" s="346"/>
      <c r="I498" s="346"/>
      <c r="J498" s="346"/>
      <c r="K498" s="346"/>
      <c r="L498" s="346"/>
      <c r="M498" s="346"/>
      <c r="N498" s="346"/>
      <c r="O498" s="346"/>
      <c r="P498" s="346"/>
      <c r="Q498" s="346"/>
      <c r="R498" s="346"/>
      <c r="S498" s="346"/>
      <c r="T498" s="346"/>
      <c r="U498" s="346"/>
      <c r="V498" s="346"/>
      <c r="W498" s="346"/>
      <c r="X498" s="346"/>
      <c r="Y498" s="346"/>
      <c r="Z498" s="346"/>
      <c r="AA498" s="346"/>
      <c r="AB498" s="346"/>
      <c r="AC498" s="346"/>
      <c r="AD498" s="346"/>
      <c r="AE498" s="346"/>
      <c r="AF498" s="346"/>
      <c r="AG498" s="346"/>
      <c r="AH498" s="346"/>
      <c r="AI498" s="346"/>
      <c r="AJ498" s="346"/>
      <c r="AK498" s="346"/>
      <c r="AL498" s="346"/>
      <c r="AM498" s="346"/>
      <c r="AN498" s="346"/>
      <c r="AO498" s="346"/>
      <c r="AP498" s="346"/>
      <c r="AQ498" s="346"/>
      <c r="AR498" s="346"/>
      <c r="AS498" s="346"/>
      <c r="AT498" s="346"/>
      <c r="AU498" s="346"/>
      <c r="AV498" s="346"/>
      <c r="AW498" s="346"/>
      <c r="AX498" s="346"/>
      <c r="AY498" s="346"/>
      <c r="AZ498" s="346"/>
      <c r="BA498" s="346"/>
      <c r="BB498" s="346"/>
      <c r="BC498" s="346"/>
      <c r="BD498" s="346"/>
      <c r="BE498" s="346"/>
      <c r="BF498" s="346"/>
      <c r="BG498" s="346"/>
      <c r="BH498" s="346"/>
      <c r="BI498" s="346"/>
      <c r="BJ498" s="346"/>
      <c r="BK498" s="346"/>
      <c r="BL498" s="346"/>
      <c r="BM498" s="346"/>
      <c r="BN498" s="346"/>
      <c r="BO498" s="346"/>
      <c r="BP498" s="346"/>
      <c r="BQ498" s="346"/>
      <c r="BR498" s="346"/>
      <c r="BS498" s="346"/>
      <c r="BT498" s="346"/>
      <c r="BU498" s="346"/>
      <c r="BV498" s="346"/>
      <c r="BW498" s="346"/>
      <c r="BX498" s="346"/>
      <c r="BY498" s="346"/>
      <c r="BZ498" s="346"/>
      <c r="CA498" s="346"/>
      <c r="CB498" s="346"/>
      <c r="CC498" s="346"/>
      <c r="CD498" s="346"/>
      <c r="CE498" s="347">
        <v>20.644770703771695</v>
      </c>
      <c r="CF498" s="346">
        <v>6.2068516957338105</v>
      </c>
      <c r="CG498" s="346">
        <v>26.173377600494494</v>
      </c>
      <c r="CH498" s="346">
        <v>27.129957453449606</v>
      </c>
      <c r="CI498" s="346">
        <v>8.6357232848864509</v>
      </c>
      <c r="CJ498" s="346">
        <v>17.259319261663947</v>
      </c>
      <c r="CK498" s="346">
        <v>22.369328398681304</v>
      </c>
      <c r="CL498" s="346">
        <v>15.370313869472696</v>
      </c>
      <c r="CM498" s="346">
        <v>15.260357731845993</v>
      </c>
      <c r="CN498" s="346">
        <v>18.51039941294821</v>
      </c>
      <c r="CO498" s="346">
        <v>16.101722923910174</v>
      </c>
      <c r="CP498" s="348">
        <v>16.925783663141655</v>
      </c>
      <c r="CQ498" s="346">
        <v>16.87350672279609</v>
      </c>
      <c r="CR498" s="346">
        <v>20.574332516946019</v>
      </c>
      <c r="CS498" s="346">
        <v>13.677160760257889</v>
      </c>
      <c r="CT498" s="346">
        <v>22.966062853869769</v>
      </c>
      <c r="CU498" s="346">
        <v>25.792258359012344</v>
      </c>
      <c r="CV498" s="346">
        <v>25.594723744156603</v>
      </c>
      <c r="CW498" s="346">
        <v>18.835302128312126</v>
      </c>
      <c r="CX498" s="346">
        <v>20.69342160459518</v>
      </c>
      <c r="CY498" s="346">
        <v>18.249102545774683</v>
      </c>
      <c r="CZ498" s="346">
        <v>12.54749310504959</v>
      </c>
      <c r="DA498" s="346">
        <v>24.637015591921291</v>
      </c>
      <c r="DB498" s="1479">
        <v>20.593317581711112</v>
      </c>
      <c r="DC498" s="346">
        <f>+DC150/SUM($DC150:$DE150)*96.74/2</f>
        <v>13.393209566950036</v>
      </c>
      <c r="DD498" s="346">
        <f>+DD150/SUM($DC150:$DE150)*96.74/2</f>
        <v>19.014873858627084</v>
      </c>
      <c r="DE498" s="346">
        <f>+DE150/SUM($DC150:$DE150)*96.74/2</f>
        <v>15.961916574422874</v>
      </c>
      <c r="DF498" s="346">
        <f>+DF150/SUM($DF150:$DH150)*96.74/2</f>
        <v>2.7668482446498701</v>
      </c>
      <c r="DG498" s="346">
        <f>+DG150/SUM($DF150:$DH150)*96.74/2</f>
        <v>28.856931312514178</v>
      </c>
      <c r="DH498" s="346">
        <f>+DH150/SUM($DF150:$DH150)*96.74/2</f>
        <v>16.746220442835956</v>
      </c>
      <c r="DI498" s="346">
        <f>+DI150/SUM($DI150:$DK150)*72.2/2</f>
        <v>9.5322054394374973</v>
      </c>
      <c r="DJ498" s="346">
        <f>+DJ150/SUM($DI150:$DK150)*72.2/2</f>
        <v>11.499391937616629</v>
      </c>
      <c r="DK498" s="346">
        <f>+DK150/SUM($DI150:$DK150)*72.2/2</f>
        <v>15.068402622945877</v>
      </c>
      <c r="DL498" s="346">
        <f>+DL150/SUM($DL150:$DN150)*72.2/2</f>
        <v>10.864885881361992</v>
      </c>
      <c r="DM498" s="346">
        <f>+DM150/SUM($DL150:$DN150)*72.2/2</f>
        <v>19.297643562043543</v>
      </c>
      <c r="DN498" s="348">
        <f>+DN150/SUM($DL150:$DN150)*72.2/2</f>
        <v>5.9374705565944614</v>
      </c>
      <c r="DO498" s="944">
        <f t="shared" ref="DO498:EX498" si="183">DO151</f>
        <v>4.5689722600492333</v>
      </c>
      <c r="DP498" s="944">
        <f t="shared" si="183"/>
        <v>1.9976494589589138</v>
      </c>
      <c r="DQ498" s="944">
        <f t="shared" si="183"/>
        <v>19.857829355710404</v>
      </c>
      <c r="DR498" s="944">
        <f t="shared" si="183"/>
        <v>3.0254844532894221</v>
      </c>
      <c r="DS498" s="944">
        <f t="shared" si="183"/>
        <v>0</v>
      </c>
      <c r="DT498" s="944">
        <f t="shared" si="183"/>
        <v>0</v>
      </c>
      <c r="DU498" s="944">
        <f t="shared" si="183"/>
        <v>15.873335991999999</v>
      </c>
      <c r="DV498" s="944">
        <f t="shared" si="183"/>
        <v>0</v>
      </c>
      <c r="DW498" s="944">
        <f t="shared" si="183"/>
        <v>0</v>
      </c>
      <c r="DX498" s="944">
        <f t="shared" si="183"/>
        <v>12.168713068197375</v>
      </c>
      <c r="DY498" s="944">
        <f t="shared" si="183"/>
        <v>0</v>
      </c>
      <c r="DZ498" s="348">
        <f t="shared" si="183"/>
        <v>0</v>
      </c>
      <c r="EA498" s="346">
        <f t="shared" si="183"/>
        <v>12.04303298669176</v>
      </c>
      <c r="EB498" s="944">
        <f t="shared" si="183"/>
        <v>11.58141738339774</v>
      </c>
      <c r="EC498" s="944">
        <f t="shared" si="183"/>
        <v>18.953049629910502</v>
      </c>
      <c r="ED498" s="944">
        <f t="shared" si="183"/>
        <v>9.2129121794719193</v>
      </c>
      <c r="EE498" s="944">
        <f t="shared" si="183"/>
        <v>18.666473033356318</v>
      </c>
      <c r="EF498" s="944">
        <f t="shared" si="183"/>
        <v>14.698114787171765</v>
      </c>
      <c r="EG498" s="944">
        <f t="shared" si="183"/>
        <v>7.7343715577035592</v>
      </c>
      <c r="EH498" s="944">
        <f t="shared" si="183"/>
        <v>12.544701009695537</v>
      </c>
      <c r="EI498" s="944">
        <f t="shared" si="183"/>
        <v>21.498427432600909</v>
      </c>
      <c r="EJ498" s="944">
        <f t="shared" si="183"/>
        <v>3.5217398195229666</v>
      </c>
      <c r="EK498" s="944">
        <f t="shared" si="183"/>
        <v>8.0850167052850175</v>
      </c>
      <c r="EL498" s="1552">
        <f t="shared" si="183"/>
        <v>30.170743475192022</v>
      </c>
      <c r="EM498" s="944">
        <f t="shared" si="183"/>
        <v>15.676377072254855</v>
      </c>
      <c r="EN498" s="944">
        <f t="shared" si="183"/>
        <v>16.280776577680143</v>
      </c>
      <c r="EO498" s="944">
        <f t="shared" si="183"/>
        <v>31.957153649935002</v>
      </c>
      <c r="EP498" s="944">
        <f t="shared" si="183"/>
        <v>25.689925104930648</v>
      </c>
      <c r="EQ498" s="944">
        <f t="shared" si="183"/>
        <v>6.238642488411001</v>
      </c>
      <c r="ER498" s="944">
        <f t="shared" si="183"/>
        <v>31.957153649935002</v>
      </c>
      <c r="ES498" s="944">
        <f t="shared" si="183"/>
        <v>11.77235596909156</v>
      </c>
      <c r="ET498" s="944">
        <f t="shared" si="183"/>
        <v>14.546519893461165</v>
      </c>
      <c r="EU498" s="944">
        <f t="shared" si="183"/>
        <v>26.318875862817901</v>
      </c>
      <c r="EV498" s="944">
        <f t="shared" si="183"/>
        <v>17.045294526785639</v>
      </c>
      <c r="EW498" s="944">
        <f t="shared" si="183"/>
        <v>9.2735813359162655</v>
      </c>
      <c r="EX498" s="1552">
        <f t="shared" si="183"/>
        <v>26.318875862950499</v>
      </c>
      <c r="EY498" s="944"/>
      <c r="EZ498" s="944"/>
      <c r="FA498" s="944"/>
      <c r="FB498" s="944"/>
      <c r="FC498" s="944"/>
      <c r="FD498" s="944"/>
      <c r="FE498" s="944"/>
      <c r="FF498" s="944"/>
      <c r="FG498" s="944"/>
      <c r="FH498" s="944"/>
      <c r="FI498" s="944"/>
      <c r="FJ498" s="1552"/>
      <c r="FK498" s="944"/>
      <c r="FL498" s="944"/>
      <c r="FM498" s="944"/>
      <c r="FN498" s="944"/>
      <c r="FO498" s="944"/>
      <c r="FP498" s="944"/>
      <c r="FQ498" s="944"/>
      <c r="FR498" s="944"/>
      <c r="FS498" s="944"/>
      <c r="FT498" s="944"/>
      <c r="FU498" s="944"/>
      <c r="FV498" s="944"/>
      <c r="FW498" s="944"/>
      <c r="FX498" s="944"/>
      <c r="FY498" s="944"/>
      <c r="FZ498" s="944"/>
      <c r="GA498" s="944"/>
      <c r="GB498" s="944"/>
      <c r="GC498" s="944"/>
      <c r="GD498" s="944"/>
      <c r="GE498" s="944"/>
      <c r="GF498" s="944"/>
      <c r="GG498" s="944"/>
      <c r="GH498" s="944"/>
      <c r="GI498" s="944"/>
      <c r="GJ498" s="944"/>
      <c r="GK498" s="944"/>
      <c r="GL498" s="944"/>
      <c r="GM498" s="944"/>
      <c r="GN498" s="944"/>
      <c r="GO498" s="944"/>
      <c r="GP498" s="944"/>
      <c r="GQ498" s="944"/>
      <c r="GR498" s="944"/>
      <c r="GS498" s="944"/>
      <c r="GT498" s="944"/>
      <c r="GU498" s="944"/>
      <c r="GV498" s="944"/>
      <c r="GW498" s="944"/>
      <c r="GX498" s="944"/>
      <c r="GY498" s="944"/>
      <c r="GZ498" s="944"/>
      <c r="HA498" s="944"/>
      <c r="HB498" s="944"/>
      <c r="HC498" s="944"/>
      <c r="HD498" s="944"/>
      <c r="HE498" s="944"/>
      <c r="HF498" s="944"/>
      <c r="HG498" s="944"/>
      <c r="HH498" s="944"/>
      <c r="HI498" s="944"/>
      <c r="HJ498" s="944"/>
      <c r="HK498" s="944"/>
      <c r="HL498" s="944"/>
      <c r="HM498" s="944"/>
      <c r="HN498" s="349"/>
      <c r="HO498" s="351" t="s">
        <v>149</v>
      </c>
      <c r="HP498" s="351"/>
      <c r="HQ498" s="351"/>
      <c r="HR498" s="346">
        <f>+FISC!Z708</f>
        <v>241.03369751440272</v>
      </c>
      <c r="HS498" s="302">
        <f>SUM(CQ498:CV498)</f>
        <v>125.47804495703872</v>
      </c>
      <c r="HT498" s="302">
        <f>SUM(CW498:DB498)</f>
        <v>115.555652557364</v>
      </c>
      <c r="HU498" s="346">
        <f>SUM(CQ498:DB498)</f>
        <v>241.03369751440272</v>
      </c>
      <c r="HV498" s="302">
        <f>+SUM(DC498:DH498)</f>
        <v>96.739999999999981</v>
      </c>
      <c r="HW498" s="302">
        <f>+SUM(DI498:DN498)</f>
        <v>72.2</v>
      </c>
      <c r="HX498" s="346">
        <f t="shared" si="100"/>
        <v>168.94</v>
      </c>
      <c r="HY498" s="302">
        <f>SUM(DO498:DT498)</f>
        <v>29.449935528007973</v>
      </c>
      <c r="HZ498" s="302">
        <f>SUM(DU498:DZ498)</f>
        <v>28.042049060197375</v>
      </c>
      <c r="IA498" s="346">
        <f t="shared" si="103"/>
        <v>57.491984588205348</v>
      </c>
      <c r="IB498" s="1140">
        <f>(FISC!AB85*FISC!AC253/1000)*0+85.155</f>
        <v>85.155000000000001</v>
      </c>
      <c r="IC498" s="302">
        <f>ID498-IB498</f>
        <v>83.555000000000007</v>
      </c>
      <c r="ID498" s="346">
        <f>FISC!AC708</f>
        <v>168.71</v>
      </c>
      <c r="IE498" s="302">
        <f t="shared" si="147"/>
        <v>127.80002854314665</v>
      </c>
      <c r="IF498" s="302">
        <f t="shared" si="148"/>
        <v>105.27550345102301</v>
      </c>
      <c r="IG498" s="346">
        <f>IE498+IF498</f>
        <v>233.07553199416967</v>
      </c>
      <c r="IH498" s="302">
        <f>+(FISC!AD85*FISC!AE253/1000)</f>
        <v>129.801416131145</v>
      </c>
      <c r="II498" s="302">
        <f>+IJ498-IH498</f>
        <v>129.89320944035637</v>
      </c>
      <c r="IJ498" s="346">
        <f>+FISC!AE708</f>
        <v>259.69462557150138</v>
      </c>
      <c r="IK498" s="302">
        <f>+(FISC!AE85*FISC!AF253/1000)</f>
        <v>139.48006210464442</v>
      </c>
      <c r="IL498" s="302">
        <f t="shared" si="85"/>
        <v>149.46546348842898</v>
      </c>
      <c r="IM498" s="346">
        <f>+FISC!AF708</f>
        <v>288.9455255930734</v>
      </c>
      <c r="IN498" s="302">
        <f>+(FISC!AF85*FISC!AG253/1000)</f>
        <v>221.82484177232826</v>
      </c>
      <c r="IO498" s="302">
        <f t="shared" si="154"/>
        <v>151.24241265916393</v>
      </c>
      <c r="IP498" s="346">
        <f>+FISC!AG708</f>
        <v>373.06725443149219</v>
      </c>
      <c r="IQ498" s="302">
        <f>+(FISC!AG85*FISC!AH253/1000)</f>
        <v>185.68673648628925</v>
      </c>
      <c r="IR498" s="302">
        <f t="shared" si="74"/>
        <v>221.29345694084606</v>
      </c>
      <c r="IS498" s="346">
        <f>+FISC!AH708</f>
        <v>406.9801934271353</v>
      </c>
      <c r="IT498" s="302">
        <f>+(FISC!AH85*FISC!AI253/1000)</f>
        <v>242.46436139652499</v>
      </c>
      <c r="IU498" s="302">
        <f t="shared" si="75"/>
        <v>263.07823141675829</v>
      </c>
      <c r="IV498" s="346">
        <f>+FISC!AI708</f>
        <v>505.54259281328331</v>
      </c>
      <c r="IW498" s="302">
        <f>+(FISC!AI85*FISC!AJ253/1000)</f>
        <v>240.04417252407856</v>
      </c>
      <c r="IX498" s="302">
        <f t="shared" si="76"/>
        <v>202.76254635065848</v>
      </c>
      <c r="IY498" s="346">
        <f>+FISC!AJ708</f>
        <v>442.80671887473704</v>
      </c>
      <c r="IZ498" s="302">
        <f>+(FISC!AJ85*FISC!AK253/1000)</f>
        <v>219.67473158173215</v>
      </c>
      <c r="JA498" s="302">
        <f t="shared" si="77"/>
        <v>219.67473158173215</v>
      </c>
      <c r="JB498" s="346">
        <f>+FISC!AK708</f>
        <v>439.34946316346429</v>
      </c>
      <c r="JC498" s="346"/>
      <c r="KI498" s="349"/>
      <c r="KJ498" s="350"/>
    </row>
    <row r="499" spans="1:302">
      <c r="A499" s="302"/>
      <c r="D499" s="688" t="s">
        <v>812</v>
      </c>
      <c r="E499" s="346"/>
      <c r="F499" s="346"/>
      <c r="G499" s="346"/>
      <c r="H499" s="346"/>
      <c r="I499" s="346"/>
      <c r="J499" s="346"/>
      <c r="K499" s="346"/>
      <c r="L499" s="346"/>
      <c r="M499" s="346"/>
      <c r="N499" s="346"/>
      <c r="O499" s="346"/>
      <c r="P499" s="346"/>
      <c r="Q499" s="346"/>
      <c r="R499" s="346"/>
      <c r="S499" s="346"/>
      <c r="T499" s="346"/>
      <c r="U499" s="346"/>
      <c r="V499" s="346"/>
      <c r="W499" s="346"/>
      <c r="X499" s="346"/>
      <c r="Y499" s="346"/>
      <c r="Z499" s="346"/>
      <c r="AA499" s="346"/>
      <c r="AB499" s="346"/>
      <c r="AC499" s="346"/>
      <c r="AD499" s="346"/>
      <c r="AE499" s="346"/>
      <c r="AF499" s="346"/>
      <c r="AG499" s="346"/>
      <c r="AH499" s="346"/>
      <c r="AI499" s="346"/>
      <c r="AJ499" s="346"/>
      <c r="AK499" s="346"/>
      <c r="AL499" s="346"/>
      <c r="AM499" s="346"/>
      <c r="AN499" s="346"/>
      <c r="AO499" s="346"/>
      <c r="AP499" s="346"/>
      <c r="AQ499" s="346"/>
      <c r="AR499" s="346"/>
      <c r="AS499" s="346"/>
      <c r="AT499" s="346"/>
      <c r="AU499" s="346"/>
      <c r="AV499" s="346"/>
      <c r="AW499" s="346"/>
      <c r="AX499" s="346"/>
      <c r="AY499" s="346"/>
      <c r="AZ499" s="346"/>
      <c r="BA499" s="346"/>
      <c r="BB499" s="346"/>
      <c r="BC499" s="346"/>
      <c r="BD499" s="346"/>
      <c r="BE499" s="346"/>
      <c r="BF499" s="346"/>
      <c r="BG499" s="346"/>
      <c r="BH499" s="346"/>
      <c r="BI499" s="346"/>
      <c r="BJ499" s="346"/>
      <c r="BK499" s="346"/>
      <c r="BL499" s="346"/>
      <c r="BM499" s="346"/>
      <c r="BN499" s="346"/>
      <c r="BO499" s="346"/>
      <c r="BP499" s="346"/>
      <c r="BQ499" s="346"/>
      <c r="BR499" s="346"/>
      <c r="BS499" s="346"/>
      <c r="BT499" s="346"/>
      <c r="BU499" s="346"/>
      <c r="BV499" s="346"/>
      <c r="BW499" s="346"/>
      <c r="BX499" s="346"/>
      <c r="BY499" s="346"/>
      <c r="BZ499" s="346"/>
      <c r="CA499" s="346"/>
      <c r="CB499" s="346"/>
      <c r="CC499" s="346"/>
      <c r="CD499" s="346"/>
      <c r="CE499" s="347"/>
      <c r="CF499" s="346"/>
      <c r="CG499" s="346"/>
      <c r="CH499" s="346"/>
      <c r="CI499" s="346"/>
      <c r="CJ499" s="346"/>
      <c r="CK499" s="346"/>
      <c r="CL499" s="346"/>
      <c r="CM499" s="346"/>
      <c r="CN499" s="346"/>
      <c r="CO499" s="346"/>
      <c r="CP499" s="348"/>
      <c r="CQ499" s="346"/>
      <c r="CR499" s="346"/>
      <c r="CS499" s="346"/>
      <c r="CT499" s="346"/>
      <c r="CU499" s="346"/>
      <c r="CV499" s="346"/>
      <c r="CW499" s="346"/>
      <c r="CX499" s="346"/>
      <c r="CY499" s="346"/>
      <c r="CZ499" s="346"/>
      <c r="DA499" s="346"/>
      <c r="DB499" s="1479"/>
      <c r="DC499" s="346">
        <v>11.11</v>
      </c>
      <c r="DD499" s="346"/>
      <c r="DE499" s="346"/>
      <c r="DF499" s="346"/>
      <c r="DG499" s="346"/>
      <c r="DH499" s="346"/>
      <c r="DI499" s="346"/>
      <c r="DJ499" s="346"/>
      <c r="DK499" s="346"/>
      <c r="DL499" s="346"/>
      <c r="DM499" s="346"/>
      <c r="DN499" s="348"/>
      <c r="DO499" s="346"/>
      <c r="DP499" s="346"/>
      <c r="DQ499" s="346"/>
      <c r="DR499" s="346"/>
      <c r="DS499" s="346"/>
      <c r="DT499" s="346"/>
      <c r="DU499" s="346"/>
      <c r="DV499" s="346"/>
      <c r="DW499" s="346"/>
      <c r="DX499" s="346"/>
      <c r="DY499" s="346"/>
      <c r="DZ499" s="348"/>
      <c r="EA499" s="944"/>
      <c r="EB499" s="346"/>
      <c r="EC499" s="346"/>
      <c r="ED499" s="346"/>
      <c r="EE499" s="346"/>
      <c r="EF499" s="346"/>
      <c r="EG499" s="346"/>
      <c r="EH499" s="346"/>
      <c r="EI499" s="346"/>
      <c r="EJ499" s="346"/>
      <c r="EK499" s="346"/>
      <c r="EL499" s="348"/>
      <c r="EM499" s="346"/>
      <c r="EN499" s="346"/>
      <c r="EO499" s="346"/>
      <c r="EP499" s="346"/>
      <c r="EQ499" s="346"/>
      <c r="ER499" s="346"/>
      <c r="ES499" s="346"/>
      <c r="ET499" s="346"/>
      <c r="EU499" s="346"/>
      <c r="EV499" s="346"/>
      <c r="EW499" s="346"/>
      <c r="EX499" s="348"/>
      <c r="EY499" s="346"/>
      <c r="EZ499" s="346"/>
      <c r="FA499" s="346"/>
      <c r="FB499" s="346"/>
      <c r="FC499" s="346"/>
      <c r="FD499" s="346"/>
      <c r="FE499" s="346"/>
      <c r="FF499" s="346"/>
      <c r="FG499" s="346"/>
      <c r="FH499" s="346"/>
      <c r="FI499" s="346"/>
      <c r="FJ499" s="348"/>
      <c r="FK499" s="346"/>
      <c r="FL499" s="346"/>
      <c r="FM499" s="346"/>
      <c r="FN499" s="346"/>
      <c r="FO499" s="346"/>
      <c r="FP499" s="346"/>
      <c r="FQ499" s="346"/>
      <c r="FR499" s="346"/>
      <c r="FS499" s="346"/>
      <c r="FT499" s="346"/>
      <c r="FU499" s="346"/>
      <c r="FV499" s="346"/>
      <c r="FW499" s="346"/>
      <c r="FX499" s="346"/>
      <c r="FY499" s="346"/>
      <c r="FZ499" s="346"/>
      <c r="GA499" s="346"/>
      <c r="GB499" s="346"/>
      <c r="GC499" s="346"/>
      <c r="GD499" s="346"/>
      <c r="GE499" s="346"/>
      <c r="GF499" s="346"/>
      <c r="GG499" s="346"/>
      <c r="GH499" s="346"/>
      <c r="GI499" s="346"/>
      <c r="GJ499" s="346"/>
      <c r="GK499" s="346"/>
      <c r="GL499" s="346"/>
      <c r="GM499" s="346"/>
      <c r="GN499" s="346"/>
      <c r="GO499" s="346"/>
      <c r="GP499" s="346"/>
      <c r="GQ499" s="346"/>
      <c r="GR499" s="346"/>
      <c r="GS499" s="346"/>
      <c r="GT499" s="346"/>
      <c r="GU499" s="346"/>
      <c r="GV499" s="346"/>
      <c r="GW499" s="346"/>
      <c r="GX499" s="346"/>
      <c r="GY499" s="346"/>
      <c r="GZ499" s="346"/>
      <c r="HA499" s="346"/>
      <c r="HB499" s="346"/>
      <c r="HC499" s="346"/>
      <c r="HD499" s="346"/>
      <c r="HE499" s="346"/>
      <c r="HF499" s="346"/>
      <c r="HG499" s="346"/>
      <c r="HH499" s="346"/>
      <c r="HI499" s="346"/>
      <c r="HJ499" s="346"/>
      <c r="HK499" s="346"/>
      <c r="HL499" s="346"/>
      <c r="HM499" s="346"/>
      <c r="HN499" s="349"/>
      <c r="HO499" s="688" t="s">
        <v>812</v>
      </c>
      <c r="HP499" s="688"/>
      <c r="HQ499" s="688"/>
      <c r="HR499" s="346"/>
      <c r="HU499" s="346"/>
      <c r="HX499" s="346"/>
      <c r="HY499" s="302">
        <f>+SUM(DO499:DT499)</f>
        <v>0</v>
      </c>
      <c r="HZ499" s="302">
        <f>SUM(DU499:DZ499)</f>
        <v>0</v>
      </c>
      <c r="IA499" s="346">
        <f t="shared" si="103"/>
        <v>0</v>
      </c>
      <c r="ID499" s="346"/>
      <c r="IG499" s="346"/>
      <c r="IH499" s="350"/>
      <c r="II499" s="350"/>
      <c r="IJ499" s="346"/>
      <c r="IK499" s="302">
        <f>IM499*JI499</f>
        <v>0</v>
      </c>
      <c r="IL499" s="302">
        <f t="shared" si="85"/>
        <v>0</v>
      </c>
      <c r="IM499" s="346"/>
      <c r="IN499" s="302">
        <f>IP499*JI499</f>
        <v>0</v>
      </c>
      <c r="IO499" s="302">
        <f t="shared" si="154"/>
        <v>0</v>
      </c>
      <c r="IP499" s="346"/>
      <c r="IQ499" s="302">
        <f>IS499*JI499</f>
        <v>0</v>
      </c>
      <c r="IR499" s="302">
        <f t="shared" si="74"/>
        <v>0</v>
      </c>
      <c r="IS499" s="346"/>
      <c r="IT499" s="302">
        <f>IV499*JI499</f>
        <v>0</v>
      </c>
      <c r="IU499" s="302">
        <f t="shared" si="75"/>
        <v>0</v>
      </c>
      <c r="IV499" s="346"/>
      <c r="IW499" s="302">
        <f>IY499*JL499</f>
        <v>0</v>
      </c>
      <c r="IX499" s="302">
        <f t="shared" si="76"/>
        <v>0</v>
      </c>
      <c r="IY499" s="346"/>
      <c r="IZ499" s="302">
        <f>JB499*JO499</f>
        <v>0</v>
      </c>
      <c r="JA499" s="302">
        <f t="shared" si="77"/>
        <v>0</v>
      </c>
      <c r="JB499" s="346"/>
      <c r="JC499" s="346"/>
      <c r="KI499" s="349"/>
      <c r="KJ499" s="350"/>
    </row>
    <row r="500" spans="1:302">
      <c r="A500" s="302"/>
      <c r="D500" s="688" t="s">
        <v>813</v>
      </c>
      <c r="E500" s="346"/>
      <c r="F500" s="346"/>
      <c r="G500" s="346"/>
      <c r="H500" s="346"/>
      <c r="I500" s="346"/>
      <c r="J500" s="346"/>
      <c r="K500" s="346"/>
      <c r="L500" s="346"/>
      <c r="M500" s="346"/>
      <c r="N500" s="346"/>
      <c r="O500" s="346"/>
      <c r="P500" s="346"/>
      <c r="Q500" s="346"/>
      <c r="R500" s="346"/>
      <c r="S500" s="346"/>
      <c r="T500" s="346"/>
      <c r="U500" s="346"/>
      <c r="V500" s="346"/>
      <c r="W500" s="346"/>
      <c r="X500" s="346"/>
      <c r="Y500" s="346"/>
      <c r="Z500" s="346"/>
      <c r="AA500" s="346"/>
      <c r="AB500" s="346"/>
      <c r="AC500" s="346"/>
      <c r="AD500" s="346"/>
      <c r="AE500" s="346"/>
      <c r="AF500" s="346"/>
      <c r="AG500" s="346"/>
      <c r="AH500" s="346"/>
      <c r="AI500" s="346"/>
      <c r="AJ500" s="346"/>
      <c r="AK500" s="346"/>
      <c r="AL500" s="346"/>
      <c r="AM500" s="346"/>
      <c r="AN500" s="346"/>
      <c r="AO500" s="346"/>
      <c r="AP500" s="346"/>
      <c r="AQ500" s="346"/>
      <c r="AR500" s="346"/>
      <c r="AS500" s="346"/>
      <c r="AT500" s="346"/>
      <c r="AU500" s="346"/>
      <c r="AV500" s="346"/>
      <c r="AW500" s="346"/>
      <c r="AX500" s="346"/>
      <c r="AY500" s="346"/>
      <c r="AZ500" s="346"/>
      <c r="BA500" s="346"/>
      <c r="BB500" s="346"/>
      <c r="BC500" s="346"/>
      <c r="BD500" s="346"/>
      <c r="BE500" s="346"/>
      <c r="BF500" s="346"/>
      <c r="BG500" s="346"/>
      <c r="BH500" s="346"/>
      <c r="BI500" s="346"/>
      <c r="BJ500" s="346"/>
      <c r="BK500" s="346"/>
      <c r="BL500" s="346"/>
      <c r="BM500" s="346"/>
      <c r="BN500" s="346"/>
      <c r="BO500" s="346"/>
      <c r="BP500" s="346"/>
      <c r="BQ500" s="346"/>
      <c r="BR500" s="346"/>
      <c r="BS500" s="346"/>
      <c r="BT500" s="346"/>
      <c r="BU500" s="346"/>
      <c r="BV500" s="346"/>
      <c r="BW500" s="346"/>
      <c r="BX500" s="346"/>
      <c r="BY500" s="346"/>
      <c r="BZ500" s="346"/>
      <c r="CA500" s="346"/>
      <c r="CB500" s="346"/>
      <c r="CC500" s="346"/>
      <c r="CD500" s="346"/>
      <c r="CE500" s="347"/>
      <c r="CF500" s="346"/>
      <c r="CG500" s="346"/>
      <c r="CH500" s="346"/>
      <c r="CI500" s="346"/>
      <c r="CJ500" s="346"/>
      <c r="CK500" s="346"/>
      <c r="CL500" s="346"/>
      <c r="CM500" s="346"/>
      <c r="CN500" s="346"/>
      <c r="CO500" s="346"/>
      <c r="CP500" s="348"/>
      <c r="CQ500" s="346"/>
      <c r="CR500" s="346"/>
      <c r="CS500" s="346"/>
      <c r="CT500" s="346"/>
      <c r="CU500" s="346"/>
      <c r="CV500" s="346"/>
      <c r="CW500" s="346"/>
      <c r="CX500" s="346"/>
      <c r="CY500" s="346"/>
      <c r="CZ500" s="346"/>
      <c r="DA500" s="346"/>
      <c r="DB500" s="1479"/>
      <c r="DC500" s="346">
        <v>0</v>
      </c>
      <c r="DD500" s="346"/>
      <c r="DE500" s="346"/>
      <c r="DF500" s="346"/>
      <c r="DG500" s="346"/>
      <c r="DH500" s="346"/>
      <c r="DI500" s="346"/>
      <c r="DJ500" s="346"/>
      <c r="DK500" s="346"/>
      <c r="DL500" s="346"/>
      <c r="DM500" s="346"/>
      <c r="DN500" s="348"/>
      <c r="DO500" s="346"/>
      <c r="DP500" s="346"/>
      <c r="DQ500" s="346"/>
      <c r="DR500" s="346"/>
      <c r="DS500" s="346"/>
      <c r="DT500" s="346"/>
      <c r="DU500" s="346"/>
      <c r="DV500" s="346"/>
      <c r="DW500" s="346"/>
      <c r="DX500" s="346"/>
      <c r="DY500" s="346"/>
      <c r="DZ500" s="348"/>
      <c r="EA500" s="346"/>
      <c r="EB500" s="346"/>
      <c r="EC500" s="346"/>
      <c r="ED500" s="346"/>
      <c r="EE500" s="346"/>
      <c r="EF500" s="346"/>
      <c r="EG500" s="346"/>
      <c r="EH500" s="346"/>
      <c r="EI500" s="346"/>
      <c r="EJ500" s="346"/>
      <c r="EK500" s="346"/>
      <c r="EL500" s="348"/>
      <c r="EM500" s="346"/>
      <c r="EN500" s="346"/>
      <c r="EO500" s="346"/>
      <c r="EP500" s="346"/>
      <c r="EQ500" s="346"/>
      <c r="ER500" s="346"/>
      <c r="ES500" s="346"/>
      <c r="ET500" s="346"/>
      <c r="EU500" s="346"/>
      <c r="EV500" s="346"/>
      <c r="EW500" s="346"/>
      <c r="EX500" s="348"/>
      <c r="EY500" s="346"/>
      <c r="EZ500" s="346"/>
      <c r="FA500" s="346"/>
      <c r="FB500" s="346"/>
      <c r="FC500" s="346"/>
      <c r="FD500" s="346"/>
      <c r="FE500" s="346"/>
      <c r="FF500" s="346"/>
      <c r="FG500" s="346"/>
      <c r="FH500" s="346"/>
      <c r="FI500" s="346"/>
      <c r="FJ500" s="348"/>
      <c r="FK500" s="346"/>
      <c r="FL500" s="346"/>
      <c r="FM500" s="346"/>
      <c r="FN500" s="346"/>
      <c r="FO500" s="346"/>
      <c r="FP500" s="346"/>
      <c r="FQ500" s="346"/>
      <c r="FR500" s="346"/>
      <c r="FS500" s="346"/>
      <c r="FT500" s="346"/>
      <c r="FU500" s="346"/>
      <c r="FV500" s="346"/>
      <c r="FW500" s="346"/>
      <c r="FX500" s="346"/>
      <c r="FY500" s="346"/>
      <c r="FZ500" s="346"/>
      <c r="GA500" s="346"/>
      <c r="GB500" s="346"/>
      <c r="GC500" s="346"/>
      <c r="GD500" s="346"/>
      <c r="GE500" s="346"/>
      <c r="GF500" s="346"/>
      <c r="GG500" s="346"/>
      <c r="GH500" s="346"/>
      <c r="GI500" s="346"/>
      <c r="GJ500" s="346"/>
      <c r="GK500" s="346"/>
      <c r="GL500" s="346"/>
      <c r="GM500" s="346"/>
      <c r="GN500" s="346"/>
      <c r="GO500" s="346"/>
      <c r="GP500" s="346"/>
      <c r="GQ500" s="346"/>
      <c r="GR500" s="346"/>
      <c r="GS500" s="346"/>
      <c r="GT500" s="346"/>
      <c r="GU500" s="346"/>
      <c r="GV500" s="346"/>
      <c r="GW500" s="346"/>
      <c r="GX500" s="346"/>
      <c r="GY500" s="346"/>
      <c r="GZ500" s="346"/>
      <c r="HA500" s="346"/>
      <c r="HB500" s="346"/>
      <c r="HC500" s="346"/>
      <c r="HD500" s="346"/>
      <c r="HE500" s="346"/>
      <c r="HF500" s="346"/>
      <c r="HG500" s="346"/>
      <c r="HH500" s="346"/>
      <c r="HI500" s="346"/>
      <c r="HJ500" s="346"/>
      <c r="HK500" s="346"/>
      <c r="HL500" s="346"/>
      <c r="HM500" s="346"/>
      <c r="HN500" s="349"/>
      <c r="HO500" s="688" t="s">
        <v>813</v>
      </c>
      <c r="HP500" s="688"/>
      <c r="HQ500" s="688"/>
      <c r="HR500" s="346"/>
      <c r="HU500" s="346"/>
      <c r="HX500" s="346"/>
      <c r="HY500" s="302">
        <f>+SUM(DO500:DT500)</f>
        <v>0</v>
      </c>
      <c r="HZ500" s="302">
        <f>SUM(DU500:DZ500)</f>
        <v>0</v>
      </c>
      <c r="IA500" s="346">
        <f t="shared" si="103"/>
        <v>0</v>
      </c>
      <c r="ID500" s="346"/>
      <c r="IG500" s="346"/>
      <c r="IH500" s="350"/>
      <c r="II500" s="350"/>
      <c r="IJ500" s="346"/>
      <c r="IK500" s="302">
        <f>IM500*JI500</f>
        <v>0</v>
      </c>
      <c r="IL500" s="302">
        <f t="shared" si="85"/>
        <v>0</v>
      </c>
      <c r="IM500" s="346"/>
      <c r="IN500" s="302">
        <f>IP500*JI500</f>
        <v>0</v>
      </c>
      <c r="IO500" s="302">
        <f t="shared" si="154"/>
        <v>0</v>
      </c>
      <c r="IP500" s="346"/>
      <c r="IQ500" s="302">
        <f>IS500*JI500</f>
        <v>0</v>
      </c>
      <c r="IR500" s="302">
        <f t="shared" si="74"/>
        <v>0</v>
      </c>
      <c r="IS500" s="346"/>
      <c r="IT500" s="302">
        <f>IV500*JI500</f>
        <v>0</v>
      </c>
      <c r="IU500" s="302">
        <f t="shared" si="75"/>
        <v>0</v>
      </c>
      <c r="IV500" s="346"/>
      <c r="IW500" s="302">
        <f>IY500*JL500</f>
        <v>0</v>
      </c>
      <c r="IX500" s="302">
        <f t="shared" si="76"/>
        <v>0</v>
      </c>
      <c r="IY500" s="346"/>
      <c r="IZ500" s="302">
        <f>JB500*JO500</f>
        <v>0</v>
      </c>
      <c r="JA500" s="302">
        <f t="shared" si="77"/>
        <v>0</v>
      </c>
      <c r="JB500" s="346"/>
      <c r="JC500" s="346"/>
      <c r="KI500" s="349"/>
      <c r="KJ500" s="350"/>
    </row>
    <row r="501" spans="1:302">
      <c r="A501" s="302"/>
      <c r="B501" s="117" t="s">
        <v>361</v>
      </c>
      <c r="D501" s="351" t="str">
        <f>+FISC!D711</f>
        <v>Global Fund</v>
      </c>
      <c r="E501" s="346"/>
      <c r="F501" s="346"/>
      <c r="G501" s="346"/>
      <c r="H501" s="346"/>
      <c r="I501" s="346"/>
      <c r="J501" s="346"/>
      <c r="K501" s="346"/>
      <c r="L501" s="346"/>
      <c r="M501" s="346"/>
      <c r="N501" s="346"/>
      <c r="O501" s="346"/>
      <c r="P501" s="346"/>
      <c r="Q501" s="346"/>
      <c r="R501" s="346"/>
      <c r="S501" s="346"/>
      <c r="T501" s="346"/>
      <c r="U501" s="346"/>
      <c r="V501" s="346"/>
      <c r="W501" s="346"/>
      <c r="X501" s="346"/>
      <c r="Y501" s="346"/>
      <c r="Z501" s="346"/>
      <c r="AA501" s="346"/>
      <c r="AB501" s="346"/>
      <c r="AC501" s="346"/>
      <c r="AD501" s="346"/>
      <c r="AE501" s="346"/>
      <c r="AF501" s="346"/>
      <c r="AG501" s="346"/>
      <c r="AH501" s="346"/>
      <c r="AI501" s="346"/>
      <c r="AJ501" s="346"/>
      <c r="AK501" s="346"/>
      <c r="AL501" s="346"/>
      <c r="AM501" s="346"/>
      <c r="AN501" s="346"/>
      <c r="AO501" s="346"/>
      <c r="AP501" s="346"/>
      <c r="AQ501" s="346"/>
      <c r="AR501" s="346"/>
      <c r="AS501" s="346"/>
      <c r="AT501" s="346"/>
      <c r="AU501" s="346"/>
      <c r="AV501" s="346"/>
      <c r="AW501" s="346"/>
      <c r="AX501" s="346"/>
      <c r="AY501" s="346"/>
      <c r="AZ501" s="346"/>
      <c r="BA501" s="346"/>
      <c r="BB501" s="346"/>
      <c r="BC501" s="346"/>
      <c r="BD501" s="346"/>
      <c r="BE501" s="346"/>
      <c r="BF501" s="346"/>
      <c r="BG501" s="346"/>
      <c r="BH501" s="346"/>
      <c r="BI501" s="346"/>
      <c r="BJ501" s="346"/>
      <c r="BK501" s="346"/>
      <c r="BL501" s="346"/>
      <c r="BM501" s="346"/>
      <c r="BN501" s="346"/>
      <c r="BO501" s="346"/>
      <c r="BP501" s="346"/>
      <c r="BQ501" s="346"/>
      <c r="BR501" s="346"/>
      <c r="BS501" s="346"/>
      <c r="BT501" s="346"/>
      <c r="BU501" s="346"/>
      <c r="BV501" s="346"/>
      <c r="BW501" s="346"/>
      <c r="BX501" s="346"/>
      <c r="BY501" s="346"/>
      <c r="BZ501" s="346"/>
      <c r="CA501" s="346"/>
      <c r="CB501" s="346"/>
      <c r="CC501" s="346"/>
      <c r="CD501" s="346"/>
      <c r="CE501" s="347">
        <f t="shared" ref="CE501:CP501" si="184">CE147</f>
        <v>0</v>
      </c>
      <c r="CF501" s="346">
        <f t="shared" si="184"/>
        <v>0</v>
      </c>
      <c r="CG501" s="346">
        <f t="shared" si="184"/>
        <v>7.4813782618000015</v>
      </c>
      <c r="CH501" s="346">
        <f t="shared" si="184"/>
        <v>13.034907963499998</v>
      </c>
      <c r="CI501" s="346">
        <f t="shared" si="184"/>
        <v>24.666572901249001</v>
      </c>
      <c r="CJ501" s="346">
        <f t="shared" si="184"/>
        <v>6.0461076493370003</v>
      </c>
      <c r="CK501" s="346">
        <f t="shared" si="184"/>
        <v>0</v>
      </c>
      <c r="CL501" s="346">
        <f t="shared" si="184"/>
        <v>0</v>
      </c>
      <c r="CM501" s="346">
        <f t="shared" si="184"/>
        <v>0</v>
      </c>
      <c r="CN501" s="346">
        <f t="shared" si="184"/>
        <v>36.571225840512</v>
      </c>
      <c r="CO501" s="346">
        <f t="shared" si="184"/>
        <v>0</v>
      </c>
      <c r="CP501" s="348">
        <f t="shared" si="184"/>
        <v>4.8736766301709382</v>
      </c>
      <c r="CQ501" s="346">
        <v>0</v>
      </c>
      <c r="CR501" s="346">
        <v>0</v>
      </c>
      <c r="CS501" s="346">
        <v>0</v>
      </c>
      <c r="CT501" s="346">
        <v>0</v>
      </c>
      <c r="CU501" s="346">
        <v>0</v>
      </c>
      <c r="CV501" s="346">
        <v>0</v>
      </c>
      <c r="CW501" s="346">
        <v>0</v>
      </c>
      <c r="CX501" s="346">
        <v>0</v>
      </c>
      <c r="CY501" s="346">
        <v>0</v>
      </c>
      <c r="CZ501" s="346">
        <v>0</v>
      </c>
      <c r="DA501" s="346">
        <v>0</v>
      </c>
      <c r="DB501" s="1479">
        <v>0</v>
      </c>
      <c r="DC501" s="346"/>
      <c r="DD501" s="346"/>
      <c r="DE501" s="346"/>
      <c r="DF501" s="346"/>
      <c r="DG501" s="346"/>
      <c r="DH501" s="346"/>
      <c r="DI501" s="346"/>
      <c r="DJ501" s="346"/>
      <c r="DK501" s="346"/>
      <c r="DL501" s="346"/>
      <c r="DM501" s="346"/>
      <c r="DN501" s="348"/>
      <c r="DO501" s="346"/>
      <c r="DP501" s="346"/>
      <c r="DQ501" s="346"/>
      <c r="DR501" s="346"/>
      <c r="DS501" s="346"/>
      <c r="DT501" s="346"/>
      <c r="DU501" s="346"/>
      <c r="DV501" s="346"/>
      <c r="DW501" s="346"/>
      <c r="DX501" s="346"/>
      <c r="DY501" s="346"/>
      <c r="DZ501" s="348"/>
      <c r="EA501" s="346"/>
      <c r="EB501" s="346"/>
      <c r="EC501" s="346"/>
      <c r="ED501" s="346"/>
      <c r="EE501" s="346"/>
      <c r="EF501" s="346"/>
      <c r="EG501" s="346"/>
      <c r="EH501" s="346"/>
      <c r="EI501" s="346"/>
      <c r="EJ501" s="346"/>
      <c r="EK501" s="346"/>
      <c r="EL501" s="348"/>
      <c r="EM501" s="346"/>
      <c r="EN501" s="346"/>
      <c r="EO501" s="346"/>
      <c r="EP501" s="346"/>
      <c r="EQ501" s="346"/>
      <c r="ER501" s="346"/>
      <c r="ES501" s="346"/>
      <c r="ET501" s="346"/>
      <c r="EU501" s="346"/>
      <c r="EV501" s="346"/>
      <c r="EW501" s="346"/>
      <c r="EX501" s="348"/>
      <c r="EY501" s="346"/>
      <c r="EZ501" s="346"/>
      <c r="FA501" s="346"/>
      <c r="FB501" s="346"/>
      <c r="FC501" s="346"/>
      <c r="FD501" s="346"/>
      <c r="FE501" s="346"/>
      <c r="FF501" s="346"/>
      <c r="FG501" s="346"/>
      <c r="FH501" s="346"/>
      <c r="FI501" s="346"/>
      <c r="FJ501" s="348"/>
      <c r="FK501" s="346"/>
      <c r="FL501" s="346"/>
      <c r="FM501" s="346"/>
      <c r="FN501" s="346"/>
      <c r="FO501" s="346"/>
      <c r="FP501" s="346"/>
      <c r="FQ501" s="346"/>
      <c r="FR501" s="346"/>
      <c r="FS501" s="346"/>
      <c r="FT501" s="346"/>
      <c r="FU501" s="346"/>
      <c r="FV501" s="346"/>
      <c r="FW501" s="346"/>
      <c r="FX501" s="346"/>
      <c r="FY501" s="346"/>
      <c r="FZ501" s="346"/>
      <c r="GA501" s="346"/>
      <c r="GB501" s="346"/>
      <c r="GC501" s="346"/>
      <c r="GD501" s="346"/>
      <c r="GE501" s="346"/>
      <c r="GF501" s="346"/>
      <c r="GG501" s="346"/>
      <c r="GH501" s="346"/>
      <c r="GI501" s="346"/>
      <c r="GJ501" s="346"/>
      <c r="GK501" s="346"/>
      <c r="GL501" s="346"/>
      <c r="GM501" s="346"/>
      <c r="GN501" s="346"/>
      <c r="GO501" s="346"/>
      <c r="GP501" s="346"/>
      <c r="GQ501" s="346"/>
      <c r="GR501" s="346"/>
      <c r="GS501" s="346"/>
      <c r="GT501" s="346"/>
      <c r="GU501" s="346"/>
      <c r="GV501" s="346"/>
      <c r="GW501" s="346"/>
      <c r="GX501" s="346"/>
      <c r="GY501" s="346"/>
      <c r="GZ501" s="346"/>
      <c r="HA501" s="346"/>
      <c r="HB501" s="346"/>
      <c r="HC501" s="346"/>
      <c r="HD501" s="346"/>
      <c r="HE501" s="346"/>
      <c r="HF501" s="346"/>
      <c r="HG501" s="346"/>
      <c r="HH501" s="346"/>
      <c r="HI501" s="346"/>
      <c r="HJ501" s="346"/>
      <c r="HK501" s="346"/>
      <c r="HL501" s="346"/>
      <c r="HM501" s="346"/>
      <c r="HN501" s="349"/>
      <c r="HO501" s="351" t="s">
        <v>150</v>
      </c>
      <c r="HP501" s="351"/>
      <c r="HQ501" s="351"/>
      <c r="HR501" s="346">
        <f>+FISC!Z711</f>
        <v>0</v>
      </c>
      <c r="HS501" s="302">
        <f>SUM(CQ501:CV501)</f>
        <v>0</v>
      </c>
      <c r="HT501" s="302">
        <f>SUM(CW501:DB501)</f>
        <v>0</v>
      </c>
      <c r="HU501" s="346">
        <f>SUM(CQ501:DB501)</f>
        <v>0</v>
      </c>
      <c r="HV501" s="302">
        <f>+SUM(DC501:DH501)</f>
        <v>0</v>
      </c>
      <c r="HW501" s="302">
        <f>+HX501-HV501</f>
        <v>0</v>
      </c>
      <c r="HX501" s="346">
        <v>0</v>
      </c>
      <c r="HY501" s="302">
        <f>+SUM(DO501:DT501)</f>
        <v>0</v>
      </c>
      <c r="HZ501" s="302">
        <f>SUM(DU501:DZ501)</f>
        <v>0</v>
      </c>
      <c r="IA501" s="346">
        <f t="shared" si="103"/>
        <v>0</v>
      </c>
      <c r="IB501" s="302">
        <v>0</v>
      </c>
      <c r="IC501" s="350">
        <v>0</v>
      </c>
      <c r="ID501" s="346">
        <f>FISC!AC711</f>
        <v>0</v>
      </c>
      <c r="IE501" s="302">
        <f>SUM(EM501:ER501)</f>
        <v>0</v>
      </c>
      <c r="IF501" s="302">
        <f>SUM(ES501:EX501)</f>
        <v>0</v>
      </c>
      <c r="IG501" s="346">
        <f>IE501+IF501</f>
        <v>0</v>
      </c>
      <c r="IH501" s="302">
        <v>0</v>
      </c>
      <c r="II501" s="350">
        <v>0</v>
      </c>
      <c r="IJ501" s="346">
        <f>+FISC!AE711</f>
        <v>0</v>
      </c>
      <c r="IK501" s="302">
        <v>0</v>
      </c>
      <c r="IL501" s="302">
        <f t="shared" si="85"/>
        <v>0</v>
      </c>
      <c r="IM501" s="346">
        <f>+FISC!AF711</f>
        <v>0</v>
      </c>
      <c r="IN501" s="302">
        <v>0</v>
      </c>
      <c r="IO501" s="302">
        <f t="shared" si="154"/>
        <v>0</v>
      </c>
      <c r="IP501" s="346">
        <f>+FISC!AG711</f>
        <v>0</v>
      </c>
      <c r="IQ501" s="302">
        <f>IS501*JI501</f>
        <v>0</v>
      </c>
      <c r="IR501" s="302">
        <f t="shared" si="74"/>
        <v>0</v>
      </c>
      <c r="IS501" s="346">
        <f>+FISC!AH711</f>
        <v>0</v>
      </c>
      <c r="IT501" s="302">
        <f>IV501*JI501</f>
        <v>0</v>
      </c>
      <c r="IU501" s="302">
        <f t="shared" si="75"/>
        <v>0</v>
      </c>
      <c r="IV501" s="346">
        <f>+FISC!AI711</f>
        <v>0</v>
      </c>
      <c r="IW501" s="302">
        <f>IY501*JL501</f>
        <v>0</v>
      </c>
      <c r="IX501" s="302">
        <f t="shared" si="76"/>
        <v>0</v>
      </c>
      <c r="IY501" s="346">
        <f>+FISC!AJ711</f>
        <v>0</v>
      </c>
      <c r="IZ501" s="302">
        <f>JB501*JO501</f>
        <v>0</v>
      </c>
      <c r="JA501" s="302">
        <f t="shared" si="77"/>
        <v>0</v>
      </c>
      <c r="JB501" s="346">
        <f>+FISC!AK711</f>
        <v>0</v>
      </c>
      <c r="JC501" s="346"/>
      <c r="KI501" s="349"/>
      <c r="KJ501" s="350"/>
    </row>
    <row r="502" spans="1:302">
      <c r="A502" s="302"/>
      <c r="D502" s="351"/>
      <c r="E502" s="346"/>
      <c r="F502" s="346"/>
      <c r="G502" s="346"/>
      <c r="H502" s="346"/>
      <c r="I502" s="346"/>
      <c r="J502" s="346"/>
      <c r="K502" s="346"/>
      <c r="L502" s="346"/>
      <c r="M502" s="346"/>
      <c r="N502" s="346"/>
      <c r="O502" s="346"/>
      <c r="P502" s="346"/>
      <c r="Q502" s="346"/>
      <c r="R502" s="346"/>
      <c r="S502" s="346"/>
      <c r="T502" s="346"/>
      <c r="U502" s="346"/>
      <c r="V502" s="346"/>
      <c r="W502" s="346"/>
      <c r="X502" s="346"/>
      <c r="Y502" s="346"/>
      <c r="Z502" s="346"/>
      <c r="AA502" s="346"/>
      <c r="AB502" s="346"/>
      <c r="AC502" s="346"/>
      <c r="AD502" s="346"/>
      <c r="AE502" s="346"/>
      <c r="AF502" s="346"/>
      <c r="AG502" s="346"/>
      <c r="AH502" s="346"/>
      <c r="AI502" s="346"/>
      <c r="AJ502" s="346"/>
      <c r="AK502" s="346"/>
      <c r="AL502" s="346"/>
      <c r="AM502" s="346"/>
      <c r="AN502" s="346"/>
      <c r="AO502" s="346"/>
      <c r="AP502" s="346"/>
      <c r="AQ502" s="346"/>
      <c r="AR502" s="346"/>
      <c r="AS502" s="346"/>
      <c r="AT502" s="346"/>
      <c r="AU502" s="346"/>
      <c r="AV502" s="346"/>
      <c r="AW502" s="346"/>
      <c r="AX502" s="346"/>
      <c r="AY502" s="346"/>
      <c r="AZ502" s="346"/>
      <c r="BA502" s="346"/>
      <c r="BB502" s="346"/>
      <c r="BC502" s="346"/>
      <c r="BD502" s="346"/>
      <c r="BE502" s="346"/>
      <c r="BF502" s="346"/>
      <c r="BG502" s="346"/>
      <c r="BH502" s="346"/>
      <c r="BI502" s="346"/>
      <c r="BJ502" s="346"/>
      <c r="BK502" s="346"/>
      <c r="BL502" s="346"/>
      <c r="BM502" s="346"/>
      <c r="BN502" s="346"/>
      <c r="BO502" s="346"/>
      <c r="BP502" s="346"/>
      <c r="BQ502" s="346"/>
      <c r="BR502" s="346"/>
      <c r="BS502" s="346"/>
      <c r="BT502" s="346"/>
      <c r="BU502" s="346"/>
      <c r="BV502" s="346"/>
      <c r="BW502" s="346"/>
      <c r="BX502" s="346"/>
      <c r="BY502" s="346"/>
      <c r="BZ502" s="346"/>
      <c r="CA502" s="346"/>
      <c r="CB502" s="346"/>
      <c r="CC502" s="346"/>
      <c r="CD502" s="346"/>
      <c r="CE502" s="347"/>
      <c r="CF502" s="346"/>
      <c r="CG502" s="346"/>
      <c r="CH502" s="346"/>
      <c r="CI502" s="346"/>
      <c r="CJ502" s="346"/>
      <c r="CK502" s="346"/>
      <c r="CL502" s="346"/>
      <c r="CM502" s="346"/>
      <c r="CN502" s="346"/>
      <c r="CO502" s="346"/>
      <c r="CP502" s="348"/>
      <c r="CQ502" s="346"/>
      <c r="CR502" s="346"/>
      <c r="CS502" s="346"/>
      <c r="CT502" s="346"/>
      <c r="CU502" s="346"/>
      <c r="CV502" s="346"/>
      <c r="CW502" s="346"/>
      <c r="CX502" s="346"/>
      <c r="CY502" s="346"/>
      <c r="CZ502" s="346"/>
      <c r="DA502" s="346"/>
      <c r="DB502" s="1479"/>
      <c r="DC502" s="346"/>
      <c r="DD502" s="346"/>
      <c r="DE502" s="346"/>
      <c r="DF502" s="346"/>
      <c r="DG502" s="346"/>
      <c r="DH502" s="346"/>
      <c r="DI502" s="346"/>
      <c r="DJ502" s="346"/>
      <c r="DK502" s="346"/>
      <c r="DL502" s="346"/>
      <c r="DM502" s="346"/>
      <c r="DN502" s="348"/>
      <c r="DO502" s="346"/>
      <c r="DP502" s="346"/>
      <c r="DQ502" s="346"/>
      <c r="DR502" s="346"/>
      <c r="DS502" s="346"/>
      <c r="DT502" s="346"/>
      <c r="DU502" s="346"/>
      <c r="DV502" s="346"/>
      <c r="DW502" s="346"/>
      <c r="DX502" s="346"/>
      <c r="DY502" s="346"/>
      <c r="DZ502" s="348"/>
      <c r="EA502" s="346"/>
      <c r="EB502" s="346"/>
      <c r="EC502" s="346"/>
      <c r="ED502" s="346"/>
      <c r="EE502" s="346"/>
      <c r="EF502" s="346"/>
      <c r="EG502" s="346"/>
      <c r="EH502" s="346"/>
      <c r="EI502" s="346"/>
      <c r="EJ502" s="346"/>
      <c r="EK502" s="346"/>
      <c r="EL502" s="348"/>
      <c r="EM502" s="346"/>
      <c r="EN502" s="346"/>
      <c r="EO502" s="346"/>
      <c r="EP502" s="346"/>
      <c r="EQ502" s="346"/>
      <c r="ER502" s="346"/>
      <c r="ES502" s="346"/>
      <c r="ET502" s="346"/>
      <c r="EU502" s="346"/>
      <c r="EV502" s="346"/>
      <c r="EW502" s="346"/>
      <c r="EX502" s="348"/>
      <c r="EY502" s="346"/>
      <c r="EZ502" s="346"/>
      <c r="FA502" s="346"/>
      <c r="FB502" s="346"/>
      <c r="FC502" s="346"/>
      <c r="FD502" s="346"/>
      <c r="FE502" s="346"/>
      <c r="FF502" s="346"/>
      <c r="FG502" s="346"/>
      <c r="FH502" s="346"/>
      <c r="FI502" s="346"/>
      <c r="FJ502" s="348"/>
      <c r="FK502" s="346"/>
      <c r="FL502" s="346"/>
      <c r="FM502" s="346"/>
      <c r="FN502" s="346"/>
      <c r="FO502" s="346"/>
      <c r="FP502" s="346"/>
      <c r="FQ502" s="346"/>
      <c r="FR502" s="346"/>
      <c r="FS502" s="346"/>
      <c r="FT502" s="346"/>
      <c r="FU502" s="346"/>
      <c r="FV502" s="346"/>
      <c r="FW502" s="346"/>
      <c r="FX502" s="346"/>
      <c r="FY502" s="346"/>
      <c r="FZ502" s="346"/>
      <c r="GA502" s="346"/>
      <c r="GB502" s="346"/>
      <c r="GC502" s="346"/>
      <c r="GD502" s="346"/>
      <c r="GE502" s="346"/>
      <c r="GF502" s="346"/>
      <c r="GG502" s="346"/>
      <c r="GH502" s="346"/>
      <c r="GI502" s="346"/>
      <c r="GJ502" s="346"/>
      <c r="GK502" s="346"/>
      <c r="GL502" s="346"/>
      <c r="GM502" s="346"/>
      <c r="GN502" s="346"/>
      <c r="GO502" s="346"/>
      <c r="GP502" s="346"/>
      <c r="GQ502" s="346"/>
      <c r="GR502" s="346"/>
      <c r="GS502" s="346"/>
      <c r="GT502" s="346"/>
      <c r="GU502" s="346"/>
      <c r="GV502" s="346"/>
      <c r="GW502" s="346"/>
      <c r="GX502" s="346"/>
      <c r="GY502" s="346"/>
      <c r="GZ502" s="346"/>
      <c r="HA502" s="346"/>
      <c r="HB502" s="346"/>
      <c r="HC502" s="346"/>
      <c r="HD502" s="346"/>
      <c r="HE502" s="346"/>
      <c r="HF502" s="346"/>
      <c r="HG502" s="346"/>
      <c r="HH502" s="346"/>
      <c r="HI502" s="346"/>
      <c r="HJ502" s="346"/>
      <c r="HK502" s="346"/>
      <c r="HL502" s="346"/>
      <c r="HM502" s="346"/>
      <c r="HN502" s="349"/>
      <c r="HO502" s="351"/>
      <c r="HP502" s="351"/>
      <c r="HQ502" s="351"/>
      <c r="HR502" s="346"/>
      <c r="HU502" s="346"/>
      <c r="HX502" s="346"/>
      <c r="IA502" s="346"/>
      <c r="IC502" s="350"/>
      <c r="ID502" s="346"/>
      <c r="IG502" s="346"/>
      <c r="IH502" s="350"/>
      <c r="II502" s="350"/>
      <c r="IJ502" s="346"/>
      <c r="IK502" s="302">
        <f>IM502*JI502</f>
        <v>0</v>
      </c>
      <c r="IL502" s="302">
        <f t="shared" si="85"/>
        <v>0</v>
      </c>
      <c r="IM502" s="346"/>
      <c r="IN502" s="302">
        <f>IP502*JI502</f>
        <v>0</v>
      </c>
      <c r="IO502" s="302">
        <f t="shared" si="154"/>
        <v>0</v>
      </c>
      <c r="IP502" s="346"/>
      <c r="IQ502" s="302">
        <f>IS502*JI502</f>
        <v>0</v>
      </c>
      <c r="IR502" s="302">
        <f t="shared" si="74"/>
        <v>0</v>
      </c>
      <c r="IS502" s="346"/>
      <c r="IT502" s="302">
        <f>IV502*JI502</f>
        <v>0</v>
      </c>
      <c r="IU502" s="302">
        <f t="shared" si="75"/>
        <v>0</v>
      </c>
      <c r="IV502" s="346"/>
      <c r="IW502" s="302">
        <f>IY502*JL502</f>
        <v>0</v>
      </c>
      <c r="IX502" s="302">
        <f t="shared" si="76"/>
        <v>0</v>
      </c>
      <c r="IY502" s="346"/>
      <c r="IZ502" s="302">
        <f>JB502*JO502</f>
        <v>0</v>
      </c>
      <c r="JA502" s="302">
        <f t="shared" si="77"/>
        <v>0</v>
      </c>
      <c r="JB502" s="346"/>
      <c r="JC502" s="346"/>
      <c r="KI502" s="349"/>
      <c r="KJ502" s="350"/>
    </row>
    <row r="503" spans="1:302">
      <c r="A503" s="302"/>
      <c r="B503" s="117" t="s">
        <v>361</v>
      </c>
      <c r="D503" s="345" t="str">
        <f>+FISC!D714</f>
        <v>Total expenditure and net lending</v>
      </c>
      <c r="E503" s="346">
        <f t="shared" ref="E503:BP503" si="185">E505+E536+E550</f>
        <v>31.113846187904123</v>
      </c>
      <c r="F503" s="346">
        <f t="shared" si="185"/>
        <v>33.929240033719999</v>
      </c>
      <c r="G503" s="346">
        <f t="shared" si="185"/>
        <v>51.190462517032501</v>
      </c>
      <c r="H503" s="346">
        <f t="shared" si="185"/>
        <v>40.268011869128273</v>
      </c>
      <c r="I503" s="346">
        <f t="shared" si="185"/>
        <v>24.212936727898001</v>
      </c>
      <c r="J503" s="346">
        <f t="shared" si="185"/>
        <v>45.179957022725901</v>
      </c>
      <c r="K503" s="346">
        <f t="shared" si="185"/>
        <v>55.8103188453263</v>
      </c>
      <c r="L503" s="346">
        <f t="shared" si="185"/>
        <v>32.404558326849603</v>
      </c>
      <c r="M503" s="346">
        <f t="shared" si="185"/>
        <v>56.868435660884003</v>
      </c>
      <c r="N503" s="346">
        <f t="shared" si="185"/>
        <v>40.114778642740006</v>
      </c>
      <c r="O503" s="346">
        <f t="shared" si="185"/>
        <v>31.185432896099996</v>
      </c>
      <c r="P503" s="346">
        <f t="shared" si="185"/>
        <v>48.464992930080001</v>
      </c>
      <c r="Q503" s="346">
        <f t="shared" si="185"/>
        <v>37.599948009391603</v>
      </c>
      <c r="R503" s="346">
        <f t="shared" si="185"/>
        <v>34.876504099342704</v>
      </c>
      <c r="S503" s="346">
        <f t="shared" si="185"/>
        <v>54.602413516725001</v>
      </c>
      <c r="T503" s="346">
        <f t="shared" si="185"/>
        <v>61.171064788264005</v>
      </c>
      <c r="U503" s="346">
        <f t="shared" si="185"/>
        <v>33.091063065655497</v>
      </c>
      <c r="V503" s="346">
        <f t="shared" si="185"/>
        <v>49.348105392392</v>
      </c>
      <c r="W503" s="346">
        <f t="shared" si="185"/>
        <v>60.218298840349995</v>
      </c>
      <c r="X503" s="346">
        <f t="shared" si="185"/>
        <v>44.479926035408006</v>
      </c>
      <c r="Y503" s="346">
        <f t="shared" si="185"/>
        <v>71.80984676760481</v>
      </c>
      <c r="Z503" s="346">
        <f t="shared" si="185"/>
        <v>88.118180455573395</v>
      </c>
      <c r="AA503" s="346">
        <f t="shared" si="185"/>
        <v>30.6191103237894</v>
      </c>
      <c r="AB503" s="346">
        <f t="shared" si="185"/>
        <v>83.810174073706989</v>
      </c>
      <c r="AC503" s="346">
        <f t="shared" si="185"/>
        <v>49.265808352000001</v>
      </c>
      <c r="AD503" s="346">
        <f t="shared" si="185"/>
        <v>36.787428904000002</v>
      </c>
      <c r="AE503" s="346">
        <f t="shared" si="185"/>
        <v>100.839280293</v>
      </c>
      <c r="AF503" s="346">
        <f t="shared" si="185"/>
        <v>61.970627678999996</v>
      </c>
      <c r="AG503" s="346">
        <f t="shared" si="185"/>
        <v>42.037399139999998</v>
      </c>
      <c r="AH503" s="346">
        <f t="shared" si="185"/>
        <v>58.600805208000011</v>
      </c>
      <c r="AI503" s="346">
        <f t="shared" si="185"/>
        <v>46.727141095</v>
      </c>
      <c r="AJ503" s="346">
        <f t="shared" si="185"/>
        <v>45.196983449999998</v>
      </c>
      <c r="AK503" s="346">
        <f t="shared" si="185"/>
        <v>100.94934549200002</v>
      </c>
      <c r="AL503" s="346">
        <f t="shared" si="185"/>
        <v>73.751512684999994</v>
      </c>
      <c r="AM503" s="346">
        <f t="shared" si="185"/>
        <v>52.546027526000003</v>
      </c>
      <c r="AN503" s="346">
        <f t="shared" si="185"/>
        <v>85.616203753999997</v>
      </c>
      <c r="AO503" s="346">
        <f t="shared" si="185"/>
        <v>66.299067429259992</v>
      </c>
      <c r="AP503" s="346">
        <f t="shared" si="185"/>
        <v>40.593019098060005</v>
      </c>
      <c r="AQ503" s="346">
        <f t="shared" si="185"/>
        <v>84.816624014327218</v>
      </c>
      <c r="AR503" s="346">
        <f t="shared" si="185"/>
        <v>67.161112869120004</v>
      </c>
      <c r="AS503" s="346">
        <f t="shared" si="185"/>
        <v>65.593571150347984</v>
      </c>
      <c r="AT503" s="346">
        <f t="shared" si="185"/>
        <v>76.930057421065598</v>
      </c>
      <c r="AU503" s="346">
        <f t="shared" si="185"/>
        <v>52.346549717240002</v>
      </c>
      <c r="AV503" s="346">
        <f t="shared" si="185"/>
        <v>75.539561062880011</v>
      </c>
      <c r="AW503" s="346">
        <f t="shared" si="185"/>
        <v>99.261310907549984</v>
      </c>
      <c r="AX503" s="346">
        <f t="shared" si="185"/>
        <v>76.398074650079991</v>
      </c>
      <c r="AY503" s="346">
        <f t="shared" si="185"/>
        <v>56.413795972900793</v>
      </c>
      <c r="AZ503" s="346">
        <f t="shared" si="185"/>
        <v>118.0142915183675</v>
      </c>
      <c r="BA503" s="346">
        <f t="shared" si="185"/>
        <v>64.438460127999988</v>
      </c>
      <c r="BB503" s="346">
        <f t="shared" si="185"/>
        <v>45.758440004000001</v>
      </c>
      <c r="BC503" s="346">
        <f t="shared" si="185"/>
        <v>132.03570007300002</v>
      </c>
      <c r="BD503" s="346">
        <f t="shared" si="185"/>
        <v>86.553274928000008</v>
      </c>
      <c r="BE503" s="346">
        <f t="shared" si="185"/>
        <v>94.541698818</v>
      </c>
      <c r="BF503" s="346">
        <f t="shared" si="185"/>
        <v>83.437803747000004</v>
      </c>
      <c r="BG503" s="346">
        <f t="shared" si="185"/>
        <v>50.160957434999993</v>
      </c>
      <c r="BH503" s="346">
        <f t="shared" si="185"/>
        <v>85.418576400999996</v>
      </c>
      <c r="BI503" s="346">
        <f t="shared" si="185"/>
        <v>80.972930940999987</v>
      </c>
      <c r="BJ503" s="346">
        <f t="shared" si="185"/>
        <v>92.236027882819997</v>
      </c>
      <c r="BK503" s="346">
        <f t="shared" si="185"/>
        <v>67.167033942000018</v>
      </c>
      <c r="BL503" s="346">
        <f t="shared" si="185"/>
        <v>120.089135438</v>
      </c>
      <c r="BM503" s="346">
        <f t="shared" si="185"/>
        <v>85.731333924890009</v>
      </c>
      <c r="BN503" s="346">
        <f t="shared" si="185"/>
        <v>59.496136133479993</v>
      </c>
      <c r="BO503" s="346">
        <f t="shared" si="185"/>
        <v>131.36413443499998</v>
      </c>
      <c r="BP503" s="346">
        <f t="shared" si="185"/>
        <v>111.25802000000002</v>
      </c>
      <c r="BQ503" s="346">
        <f t="shared" ref="BQ503:DN503" si="186">BQ505+BQ536+BQ550</f>
        <v>111.82221942385</v>
      </c>
      <c r="BR503" s="346">
        <f t="shared" si="186"/>
        <v>114.05307858658</v>
      </c>
      <c r="BS503" s="346">
        <f t="shared" si="186"/>
        <v>73.728099999999984</v>
      </c>
      <c r="BT503" s="346">
        <f t="shared" si="186"/>
        <v>68.467799999999997</v>
      </c>
      <c r="BU503" s="346">
        <f t="shared" si="186"/>
        <v>136.54740000000001</v>
      </c>
      <c r="BV503" s="346">
        <f t="shared" si="186"/>
        <v>121.91829581300001</v>
      </c>
      <c r="BW503" s="346">
        <f t="shared" si="186"/>
        <v>72.599040844000001</v>
      </c>
      <c r="BX503" s="346">
        <f t="shared" si="186"/>
        <v>41.273675468</v>
      </c>
      <c r="BY503" s="346">
        <f t="shared" si="186"/>
        <v>80.05536907403436</v>
      </c>
      <c r="BZ503" s="346">
        <f t="shared" si="186"/>
        <v>80.258989039645556</v>
      </c>
      <c r="CA503" s="346">
        <f t="shared" si="186"/>
        <v>59.303305091246877</v>
      </c>
      <c r="CB503" s="346">
        <f t="shared" si="186"/>
        <v>127.34907455078395</v>
      </c>
      <c r="CC503" s="346">
        <f t="shared" si="186"/>
        <v>202.61559797621354</v>
      </c>
      <c r="CD503" s="346">
        <f t="shared" si="186"/>
        <v>62.595220320441499</v>
      </c>
      <c r="CE503" s="347">
        <f t="shared" si="186"/>
        <v>75.398048042979383</v>
      </c>
      <c r="CF503" s="346">
        <f t="shared" si="186"/>
        <v>116.41391544855834</v>
      </c>
      <c r="CG503" s="346">
        <f t="shared" si="186"/>
        <v>108.061891988951</v>
      </c>
      <c r="CH503" s="346">
        <f t="shared" si="186"/>
        <v>184.53382344332474</v>
      </c>
      <c r="CI503" s="346">
        <f t="shared" si="186"/>
        <v>114.23956239609714</v>
      </c>
      <c r="CJ503" s="346">
        <f t="shared" si="186"/>
        <v>88.621054460907445</v>
      </c>
      <c r="CK503" s="346">
        <f t="shared" si="186"/>
        <v>156.07666278087683</v>
      </c>
      <c r="CL503" s="346">
        <f t="shared" si="186"/>
        <v>98.019819600030885</v>
      </c>
      <c r="CM503" s="346">
        <f t="shared" si="186"/>
        <v>114.94251640501365</v>
      </c>
      <c r="CN503" s="346">
        <f t="shared" si="186"/>
        <v>195.03469061557522</v>
      </c>
      <c r="CO503" s="346">
        <f t="shared" si="186"/>
        <v>164.44063315294568</v>
      </c>
      <c r="CP503" s="348">
        <f t="shared" si="186"/>
        <v>125.67780354697906</v>
      </c>
      <c r="CQ503" s="346">
        <f t="shared" si="186"/>
        <v>129.35975012920775</v>
      </c>
      <c r="CR503" s="346">
        <f t="shared" si="186"/>
        <v>122.08768675311194</v>
      </c>
      <c r="CS503" s="346">
        <f t="shared" si="186"/>
        <v>153.64729846200487</v>
      </c>
      <c r="CT503" s="346">
        <f t="shared" si="186"/>
        <v>138.7763964415644</v>
      </c>
      <c r="CU503" s="346">
        <f t="shared" si="186"/>
        <v>122.09486237889624</v>
      </c>
      <c r="CV503" s="346">
        <f t="shared" si="186"/>
        <v>122.83016278247229</v>
      </c>
      <c r="CW503" s="346">
        <f t="shared" si="186"/>
        <v>143.17180662702862</v>
      </c>
      <c r="CX503" s="346">
        <f t="shared" si="186"/>
        <v>115.5815087056594</v>
      </c>
      <c r="CY503" s="346">
        <f t="shared" si="186"/>
        <v>165.38609906588039</v>
      </c>
      <c r="CZ503" s="346">
        <f t="shared" si="186"/>
        <v>196.19077385458357</v>
      </c>
      <c r="DA503" s="346">
        <f t="shared" si="186"/>
        <v>158.79279628529045</v>
      </c>
      <c r="DB503" s="1479">
        <f t="shared" si="186"/>
        <v>106.20265475848933</v>
      </c>
      <c r="DC503" s="346">
        <f t="shared" si="186"/>
        <v>125.90392073118774</v>
      </c>
      <c r="DD503" s="346">
        <f t="shared" si="186"/>
        <v>137.78028152460263</v>
      </c>
      <c r="DE503" s="346">
        <f t="shared" si="186"/>
        <v>140.25951327044987</v>
      </c>
      <c r="DF503" s="346">
        <f t="shared" si="186"/>
        <v>181.03113457810599</v>
      </c>
      <c r="DG503" s="346">
        <f t="shared" si="186"/>
        <v>133.59107503725619</v>
      </c>
      <c r="DH503" s="346">
        <f t="shared" si="186"/>
        <v>124.99797351772597</v>
      </c>
      <c r="DI503" s="346">
        <f t="shared" si="186"/>
        <v>200.57786962964295</v>
      </c>
      <c r="DJ503" s="346">
        <f t="shared" si="186"/>
        <v>120.35295229431404</v>
      </c>
      <c r="DK503" s="346">
        <f t="shared" si="186"/>
        <v>137.93984202643321</v>
      </c>
      <c r="DL503" s="346">
        <f t="shared" si="186"/>
        <v>193.9107170616918</v>
      </c>
      <c r="DM503" s="346">
        <f t="shared" si="186"/>
        <v>156.46417928102301</v>
      </c>
      <c r="DN503" s="348">
        <f t="shared" si="186"/>
        <v>101.83002426994162</v>
      </c>
      <c r="DO503" s="346">
        <f t="shared" ref="DO503:DT503" si="187">DO505+DO536+DO550</f>
        <v>131.46487819369986</v>
      </c>
      <c r="DP503" s="346">
        <f t="shared" si="187"/>
        <v>158.15634457587427</v>
      </c>
      <c r="DQ503" s="346">
        <f t="shared" si="187"/>
        <v>132.709202966487</v>
      </c>
      <c r="DR503" s="346">
        <f t="shared" si="187"/>
        <v>183.79972800606998</v>
      </c>
      <c r="DS503" s="346">
        <f t="shared" si="187"/>
        <v>136.22093061931383</v>
      </c>
      <c r="DT503" s="346">
        <f t="shared" si="187"/>
        <v>117.4384778483159</v>
      </c>
      <c r="DU503" s="346">
        <f t="shared" ref="DU503:DZ503" si="188">DU505+DU536+DU550</f>
        <v>216.95460047101957</v>
      </c>
      <c r="DV503" s="346">
        <f t="shared" si="188"/>
        <v>121.4618064237073</v>
      </c>
      <c r="DW503" s="346">
        <f t="shared" si="188"/>
        <v>116.25564582039055</v>
      </c>
      <c r="DX503" s="346">
        <f t="shared" si="188"/>
        <v>230.83955515590986</v>
      </c>
      <c r="DY503" s="346">
        <f t="shared" si="188"/>
        <v>171.53838969519907</v>
      </c>
      <c r="DZ503" s="348">
        <f t="shared" si="188"/>
        <v>151.24317908213447</v>
      </c>
      <c r="EA503" s="346">
        <f t="shared" ref="EA503:EK503" si="189">EA505+EA536+EA550</f>
        <v>168.05316746412961</v>
      </c>
      <c r="EB503" s="346">
        <f t="shared" si="189"/>
        <v>190.28026169930234</v>
      </c>
      <c r="EC503" s="346">
        <f t="shared" si="189"/>
        <v>200.74987264138497</v>
      </c>
      <c r="ED503" s="346">
        <f t="shared" si="189"/>
        <v>201.97593683856834</v>
      </c>
      <c r="EE503" s="346">
        <f t="shared" si="189"/>
        <v>170.27168308078461</v>
      </c>
      <c r="EF503" s="346">
        <f t="shared" si="189"/>
        <v>161.04237998171689</v>
      </c>
      <c r="EG503" s="346">
        <f t="shared" si="189"/>
        <v>211.65316868545517</v>
      </c>
      <c r="EH503" s="346">
        <f t="shared" si="189"/>
        <v>144.19403532654613</v>
      </c>
      <c r="EI503" s="346">
        <f t="shared" si="189"/>
        <v>200.39890556280127</v>
      </c>
      <c r="EJ503" s="346">
        <f t="shared" si="189"/>
        <v>180.82204485402741</v>
      </c>
      <c r="EK503" s="346">
        <f t="shared" si="189"/>
        <v>191.50924666579277</v>
      </c>
      <c r="EL503" s="348">
        <f t="shared" ref="EL503:ER503" si="190">EL505+EL536+EL550</f>
        <v>141.02253382497364</v>
      </c>
      <c r="EM503" s="346">
        <f t="shared" si="190"/>
        <v>167.75508204563778</v>
      </c>
      <c r="EN503" s="346">
        <f t="shared" si="190"/>
        <v>185.82456451754086</v>
      </c>
      <c r="EO503" s="346">
        <f t="shared" si="190"/>
        <v>203.14002864147531</v>
      </c>
      <c r="EP503" s="346">
        <f t="shared" si="190"/>
        <v>234.80290297242672</v>
      </c>
      <c r="EQ503" s="346">
        <f t="shared" si="190"/>
        <v>201.54039909714893</v>
      </c>
      <c r="ER503" s="346">
        <f t="shared" si="190"/>
        <v>231.29813989039039</v>
      </c>
      <c r="ES503" s="346">
        <f t="shared" ref="ES503:EX503" si="191">ES505+ES536+ES550</f>
        <v>201.85594968623349</v>
      </c>
      <c r="ET503" s="346">
        <f t="shared" si="191"/>
        <v>182.42216238521141</v>
      </c>
      <c r="EU503" s="346">
        <f t="shared" si="191"/>
        <v>256.93009212244777</v>
      </c>
      <c r="EV503" s="346">
        <f t="shared" si="191"/>
        <v>282.5670358596937</v>
      </c>
      <c r="EW503" s="346">
        <f t="shared" si="191"/>
        <v>246.7077685166656</v>
      </c>
      <c r="EX503" s="348">
        <f t="shared" si="191"/>
        <v>216.79376871111833</v>
      </c>
      <c r="EY503" s="346"/>
      <c r="EZ503" s="346"/>
      <c r="FA503" s="346"/>
      <c r="FB503" s="346"/>
      <c r="FC503" s="346"/>
      <c r="FD503" s="346"/>
      <c r="FE503" s="346"/>
      <c r="FF503" s="346"/>
      <c r="FG503" s="346"/>
      <c r="FH503" s="346"/>
      <c r="FI503" s="346"/>
      <c r="FJ503" s="348"/>
      <c r="FK503" s="346"/>
      <c r="FL503" s="346"/>
      <c r="FM503" s="346"/>
      <c r="FN503" s="346"/>
      <c r="FO503" s="346"/>
      <c r="FP503" s="346"/>
      <c r="FQ503" s="346"/>
      <c r="FR503" s="346"/>
      <c r="FS503" s="346"/>
      <c r="FT503" s="346"/>
      <c r="FU503" s="346"/>
      <c r="FV503" s="346"/>
      <c r="FW503" s="346"/>
      <c r="FX503" s="346"/>
      <c r="FY503" s="346"/>
      <c r="FZ503" s="346"/>
      <c r="GA503" s="346"/>
      <c r="GB503" s="346"/>
      <c r="GC503" s="346"/>
      <c r="GD503" s="346"/>
      <c r="GE503" s="346"/>
      <c r="GF503" s="346"/>
      <c r="GG503" s="346"/>
      <c r="GH503" s="346"/>
      <c r="GI503" s="346"/>
      <c r="GJ503" s="346"/>
      <c r="GK503" s="346"/>
      <c r="GL503" s="346"/>
      <c r="GM503" s="346"/>
      <c r="GN503" s="346"/>
      <c r="GO503" s="346"/>
      <c r="GP503" s="346"/>
      <c r="GQ503" s="346"/>
      <c r="GR503" s="346"/>
      <c r="GS503" s="346"/>
      <c r="GT503" s="346"/>
      <c r="GU503" s="346"/>
      <c r="GV503" s="346"/>
      <c r="GW503" s="346"/>
      <c r="GX503" s="346"/>
      <c r="GY503" s="346"/>
      <c r="GZ503" s="346"/>
      <c r="HA503" s="346"/>
      <c r="HB503" s="346"/>
      <c r="HC503" s="346"/>
      <c r="HD503" s="346"/>
      <c r="HE503" s="346"/>
      <c r="HF503" s="346"/>
      <c r="HG503" s="346"/>
      <c r="HH503" s="346"/>
      <c r="HI503" s="346"/>
      <c r="HJ503" s="346"/>
      <c r="HK503" s="346"/>
      <c r="HL503" s="346"/>
      <c r="HM503" s="346"/>
      <c r="HN503" s="349"/>
      <c r="HO503" s="345" t="s">
        <v>151</v>
      </c>
      <c r="HP503" s="345"/>
      <c r="HQ503" s="345"/>
      <c r="HR503" s="346">
        <f>+FISC!Z714</f>
        <v>1720.73</v>
      </c>
      <c r="HS503" s="302">
        <f t="shared" ref="HS503:HZ503" si="192">HS505+HS536+HS550</f>
        <v>765.79615694725749</v>
      </c>
      <c r="HT503" s="302">
        <f t="shared" si="192"/>
        <v>885.32563929693174</v>
      </c>
      <c r="HU503" s="346">
        <f t="shared" si="192"/>
        <v>1651.1217962441892</v>
      </c>
      <c r="HV503" s="637">
        <f t="shared" si="192"/>
        <v>843.56389865932829</v>
      </c>
      <c r="HW503" s="637">
        <f t="shared" si="192"/>
        <v>911.07558456304662</v>
      </c>
      <c r="HX503" s="346">
        <f t="shared" si="192"/>
        <v>1754.639483222375</v>
      </c>
      <c r="HY503" s="637">
        <f t="shared" si="192"/>
        <v>859.78956220976079</v>
      </c>
      <c r="HZ503" s="637">
        <f t="shared" si="192"/>
        <v>1008.2931766483607</v>
      </c>
      <c r="IA503" s="346">
        <f t="shared" si="103"/>
        <v>1868.0827388581215</v>
      </c>
      <c r="IB503" s="302">
        <f>IB505+IB536+IB550</f>
        <v>1052.9234134562407</v>
      </c>
      <c r="IC503" s="302">
        <f>IC505+IC536+IC550</f>
        <v>1134.61636743181</v>
      </c>
      <c r="ID503" s="346">
        <f>FISC!AC714</f>
        <v>2187.5397808880507</v>
      </c>
      <c r="IE503" s="302">
        <f>SUM(EM503:ER503)</f>
        <v>1224.3611171646201</v>
      </c>
      <c r="IF503" s="302">
        <f>SUM(ES503:EX503)</f>
        <v>1387.2767772813704</v>
      </c>
      <c r="IG503" s="346">
        <f>IE503+IF503</f>
        <v>2611.6378944459902</v>
      </c>
      <c r="IH503" s="302" t="e">
        <f>(IH505+IH536+IH550)*0+1507.10460128539</f>
        <v>#REF!</v>
      </c>
      <c r="II503" s="302" t="e">
        <f>IJ503-IH503</f>
        <v>#REF!</v>
      </c>
      <c r="IJ503" s="346">
        <f>+FISC!AE714</f>
        <v>3253.1281054531019</v>
      </c>
      <c r="IK503" s="302">
        <f>IK505+IK536+IK550</f>
        <v>1497.9347851671364</v>
      </c>
      <c r="IL503" s="302">
        <f t="shared" si="85"/>
        <v>1612.3294421911996</v>
      </c>
      <c r="IM503" s="346">
        <f>+FISC!AF714</f>
        <v>3110.264227358336</v>
      </c>
      <c r="IN503" s="302">
        <f>IN505+IN536+IN550</f>
        <v>1866.5926903464588</v>
      </c>
      <c r="IO503" s="302">
        <f t="shared" si="154"/>
        <v>2112.4426873579041</v>
      </c>
      <c r="IP503" s="346">
        <f>+FISC!AG714</f>
        <v>3979.0353777043629</v>
      </c>
      <c r="IQ503" s="302">
        <f>IQ505+IQ536+IQ550</f>
        <v>2234.1885388609071</v>
      </c>
      <c r="IR503" s="302">
        <f t="shared" si="74"/>
        <v>2363.815366600511</v>
      </c>
      <c r="IS503" s="346">
        <f>+FISC!AH714</f>
        <v>4598.0039054614181</v>
      </c>
      <c r="IT503" s="302">
        <f>IT505+IT536+IT550</f>
        <v>2260.0620931584926</v>
      </c>
      <c r="IU503" s="302">
        <f t="shared" si="75"/>
        <v>3221.4858620269015</v>
      </c>
      <c r="IV503" s="346">
        <f>+FISC!AI714</f>
        <v>5481.5479551853941</v>
      </c>
      <c r="IW503" s="302">
        <f>IW505+IW536+IW550</f>
        <v>2142.4914058650234</v>
      </c>
      <c r="IX503" s="302">
        <f t="shared" si="76"/>
        <v>2548.0449116043278</v>
      </c>
      <c r="IY503" s="346">
        <f>+FISC!AJ714</f>
        <v>4690.5363174693512</v>
      </c>
      <c r="IZ503" s="302" t="e">
        <f>IZ505+IZ536+IZ550</f>
        <v>#DIV/0!</v>
      </c>
      <c r="JA503" s="302" t="e">
        <f t="shared" si="77"/>
        <v>#DIV/0!</v>
      </c>
      <c r="JB503" s="346" t="e">
        <f>+FISC!AK714</f>
        <v>#DIV/0!</v>
      </c>
      <c r="JC503" s="346"/>
      <c r="KI503" s="349"/>
      <c r="KJ503" s="350"/>
      <c r="KM503" s="302">
        <f>KM505+KM536+KM550</f>
        <v>0</v>
      </c>
      <c r="KN503" s="302">
        <f>KN505+KN536+KN550</f>
        <v>0</v>
      </c>
      <c r="KO503" s="302">
        <f>KO505+KO536+KO550</f>
        <v>0</v>
      </c>
      <c r="KP503" s="302">
        <f>KP505+KP536+KP550</f>
        <v>0</v>
      </c>
    </row>
    <row r="504" spans="1:302">
      <c r="A504" s="302"/>
      <c r="D504" s="351"/>
      <c r="E504" s="346"/>
      <c r="F504" s="346"/>
      <c r="G504" s="346"/>
      <c r="H504" s="346"/>
      <c r="I504" s="346"/>
      <c r="J504" s="346"/>
      <c r="K504" s="346"/>
      <c r="L504" s="346"/>
      <c r="M504" s="346"/>
      <c r="N504" s="346"/>
      <c r="O504" s="346"/>
      <c r="P504" s="346"/>
      <c r="Q504" s="346"/>
      <c r="R504" s="346"/>
      <c r="S504" s="346"/>
      <c r="T504" s="346"/>
      <c r="U504" s="346"/>
      <c r="V504" s="346"/>
      <c r="W504" s="346"/>
      <c r="X504" s="346"/>
      <c r="Y504" s="346"/>
      <c r="Z504" s="346"/>
      <c r="AA504" s="346"/>
      <c r="AB504" s="346"/>
      <c r="AC504" s="346"/>
      <c r="AD504" s="346"/>
      <c r="AE504" s="346"/>
      <c r="AF504" s="346"/>
      <c r="AG504" s="346"/>
      <c r="AH504" s="346"/>
      <c r="AI504" s="346"/>
      <c r="AJ504" s="346"/>
      <c r="AK504" s="346"/>
      <c r="AL504" s="346"/>
      <c r="AM504" s="346"/>
      <c r="AN504" s="346"/>
      <c r="AO504" s="346"/>
      <c r="AP504" s="346"/>
      <c r="AQ504" s="346"/>
      <c r="AR504" s="346"/>
      <c r="AS504" s="346"/>
      <c r="AT504" s="346"/>
      <c r="AU504" s="346"/>
      <c r="AV504" s="346"/>
      <c r="AW504" s="346"/>
      <c r="AX504" s="346"/>
      <c r="AY504" s="346"/>
      <c r="AZ504" s="346"/>
      <c r="BA504" s="346"/>
      <c r="BB504" s="346"/>
      <c r="BC504" s="346"/>
      <c r="BD504" s="346"/>
      <c r="BE504" s="346"/>
      <c r="BF504" s="346"/>
      <c r="BG504" s="346"/>
      <c r="BH504" s="346"/>
      <c r="BI504" s="346"/>
      <c r="BJ504" s="346"/>
      <c r="BK504" s="346"/>
      <c r="BL504" s="346"/>
      <c r="BM504" s="346"/>
      <c r="BN504" s="346"/>
      <c r="BO504" s="346"/>
      <c r="BP504" s="346"/>
      <c r="BQ504" s="346"/>
      <c r="BR504" s="346"/>
      <c r="BS504" s="346"/>
      <c r="BT504" s="346"/>
      <c r="BU504" s="346"/>
      <c r="BV504" s="346"/>
      <c r="BW504" s="346"/>
      <c r="BX504" s="346"/>
      <c r="BY504" s="346"/>
      <c r="BZ504" s="346"/>
      <c r="CA504" s="346"/>
      <c r="CB504" s="346"/>
      <c r="CC504" s="346"/>
      <c r="CD504" s="346"/>
      <c r="CE504" s="347"/>
      <c r="CF504" s="346"/>
      <c r="CG504" s="346"/>
      <c r="CH504" s="346"/>
      <c r="CI504" s="346"/>
      <c r="CJ504" s="346"/>
      <c r="CK504" s="346"/>
      <c r="CL504" s="346"/>
      <c r="CM504" s="346"/>
      <c r="CN504" s="346"/>
      <c r="CO504" s="346"/>
      <c r="CP504" s="348"/>
      <c r="CQ504" s="346"/>
      <c r="CR504" s="346"/>
      <c r="CS504" s="346"/>
      <c r="CT504" s="346"/>
      <c r="CU504" s="346"/>
      <c r="CV504" s="346"/>
      <c r="CW504" s="346"/>
      <c r="CX504" s="346"/>
      <c r="CY504" s="346"/>
      <c r="CZ504" s="346"/>
      <c r="DA504" s="346"/>
      <c r="DB504" s="1479"/>
      <c r="DC504" s="346"/>
      <c r="DD504" s="346"/>
      <c r="DE504" s="346"/>
      <c r="DF504" s="346"/>
      <c r="DG504" s="346"/>
      <c r="DH504" s="346"/>
      <c r="DI504" s="346"/>
      <c r="DJ504" s="346"/>
      <c r="DK504" s="346"/>
      <c r="DL504" s="346"/>
      <c r="DM504" s="346"/>
      <c r="DN504" s="348"/>
      <c r="DO504" s="346"/>
      <c r="DP504" s="346"/>
      <c r="DQ504" s="346"/>
      <c r="DR504" s="346"/>
      <c r="DS504" s="346"/>
      <c r="DT504" s="346"/>
      <c r="DU504" s="346"/>
      <c r="DV504" s="346"/>
      <c r="DW504" s="346"/>
      <c r="DX504" s="346"/>
      <c r="DY504" s="346"/>
      <c r="DZ504" s="348"/>
      <c r="EA504" s="346"/>
      <c r="EB504" s="346"/>
      <c r="EC504" s="346"/>
      <c r="ED504" s="346"/>
      <c r="EE504" s="346"/>
      <c r="EF504" s="346"/>
      <c r="EG504" s="346"/>
      <c r="EH504" s="346"/>
      <c r="EI504" s="346"/>
      <c r="EJ504" s="346"/>
      <c r="EK504" s="346"/>
      <c r="EL504" s="348"/>
      <c r="EM504" s="346"/>
      <c r="EN504" s="346"/>
      <c r="EO504" s="346"/>
      <c r="EP504" s="346"/>
      <c r="EQ504" s="346"/>
      <c r="ER504" s="346"/>
      <c r="ES504" s="346"/>
      <c r="ET504" s="346"/>
      <c r="EU504" s="346"/>
      <c r="EV504" s="346"/>
      <c r="EW504" s="346"/>
      <c r="EX504" s="348"/>
      <c r="EY504" s="346"/>
      <c r="EZ504" s="346"/>
      <c r="FA504" s="346"/>
      <c r="FB504" s="346"/>
      <c r="FC504" s="346"/>
      <c r="FD504" s="346"/>
      <c r="FE504" s="346"/>
      <c r="FF504" s="346"/>
      <c r="FG504" s="346"/>
      <c r="FH504" s="346"/>
      <c r="FI504" s="346"/>
      <c r="FJ504" s="348"/>
      <c r="FK504" s="346"/>
      <c r="FL504" s="346"/>
      <c r="FM504" s="346"/>
      <c r="FN504" s="346"/>
      <c r="FO504" s="346"/>
      <c r="FP504" s="346"/>
      <c r="FQ504" s="346"/>
      <c r="FR504" s="346"/>
      <c r="FS504" s="346"/>
      <c r="FT504" s="346"/>
      <c r="FU504" s="346"/>
      <c r="FV504" s="346"/>
      <c r="FW504" s="346"/>
      <c r="FX504" s="346"/>
      <c r="FY504" s="346"/>
      <c r="FZ504" s="346"/>
      <c r="GA504" s="346"/>
      <c r="GB504" s="346"/>
      <c r="GC504" s="346"/>
      <c r="GD504" s="346"/>
      <c r="GE504" s="346"/>
      <c r="GF504" s="346"/>
      <c r="GG504" s="346"/>
      <c r="GH504" s="346"/>
      <c r="GI504" s="346"/>
      <c r="GJ504" s="346"/>
      <c r="GK504" s="346"/>
      <c r="GL504" s="346"/>
      <c r="GM504" s="346"/>
      <c r="GN504" s="346"/>
      <c r="GO504" s="346"/>
      <c r="GP504" s="346"/>
      <c r="GQ504" s="346"/>
      <c r="GR504" s="346"/>
      <c r="GS504" s="346"/>
      <c r="GT504" s="346"/>
      <c r="GU504" s="346"/>
      <c r="GV504" s="346"/>
      <c r="GW504" s="346"/>
      <c r="GX504" s="346"/>
      <c r="GY504" s="346"/>
      <c r="GZ504" s="346"/>
      <c r="HA504" s="346"/>
      <c r="HB504" s="346"/>
      <c r="HC504" s="346"/>
      <c r="HD504" s="346"/>
      <c r="HE504" s="346"/>
      <c r="HF504" s="346"/>
      <c r="HG504" s="346"/>
      <c r="HH504" s="346"/>
      <c r="HI504" s="346"/>
      <c r="HJ504" s="346"/>
      <c r="HK504" s="346"/>
      <c r="HL504" s="346"/>
      <c r="HM504" s="346"/>
      <c r="HN504" s="349"/>
      <c r="HO504" s="351"/>
      <c r="HP504" s="351"/>
      <c r="HQ504" s="351"/>
      <c r="HR504" s="346"/>
      <c r="HU504" s="346"/>
      <c r="HX504" s="346"/>
      <c r="IA504" s="346"/>
      <c r="IC504" s="350"/>
      <c r="ID504" s="346" t="str">
        <f>FISC!AC715</f>
        <v/>
      </c>
      <c r="IG504" s="346"/>
      <c r="IH504" s="350"/>
      <c r="II504" s="350"/>
      <c r="IJ504" s="346"/>
      <c r="IK504" s="302">
        <f>IM504*JI504</f>
        <v>0</v>
      </c>
      <c r="IL504" s="302">
        <f t="shared" si="85"/>
        <v>0</v>
      </c>
      <c r="IM504" s="346"/>
      <c r="IN504" s="302">
        <f>IP504*JI504</f>
        <v>0</v>
      </c>
      <c r="IO504" s="302">
        <f t="shared" si="154"/>
        <v>0</v>
      </c>
      <c r="IP504" s="346"/>
      <c r="IQ504" s="302">
        <f>IS504*JI504</f>
        <v>0</v>
      </c>
      <c r="IR504" s="302">
        <f t="shared" si="74"/>
        <v>0</v>
      </c>
      <c r="IS504" s="346"/>
      <c r="IT504" s="302">
        <f>IV504*JI504</f>
        <v>0</v>
      </c>
      <c r="IU504" s="302">
        <f t="shared" si="75"/>
        <v>0</v>
      </c>
      <c r="IV504" s="346"/>
      <c r="IW504" s="302">
        <f>IY504*JL504</f>
        <v>0</v>
      </c>
      <c r="IX504" s="302">
        <f t="shared" si="76"/>
        <v>0</v>
      </c>
      <c r="IY504" s="346"/>
      <c r="IZ504" s="302">
        <f>JB504*JO504</f>
        <v>0</v>
      </c>
      <c r="JA504" s="302">
        <f t="shared" si="77"/>
        <v>0</v>
      </c>
      <c r="JB504" s="346"/>
      <c r="JC504" s="346"/>
      <c r="KI504" s="349"/>
      <c r="KJ504" s="350"/>
    </row>
    <row r="505" spans="1:302">
      <c r="A505" s="302"/>
      <c r="B505" s="117" t="s">
        <v>361</v>
      </c>
      <c r="D505" s="345" t="str">
        <f>+FISC!D716</f>
        <v>Current expenditure</v>
      </c>
      <c r="E505" s="346">
        <f t="shared" ref="E505:BP505" si="193">E506+E510+E514+E521+E529</f>
        <v>23.049126187904125</v>
      </c>
      <c r="F505" s="346">
        <f t="shared" si="193"/>
        <v>27.275290033720001</v>
      </c>
      <c r="G505" s="346">
        <f t="shared" si="193"/>
        <v>19.999892517032499</v>
      </c>
      <c r="H505" s="346">
        <f t="shared" si="193"/>
        <v>31.891371869128271</v>
      </c>
      <c r="I505" s="346">
        <f t="shared" si="193"/>
        <v>20.123406727898001</v>
      </c>
      <c r="J505" s="346">
        <f t="shared" si="193"/>
        <v>14.928457022725899</v>
      </c>
      <c r="K505" s="346">
        <f t="shared" si="193"/>
        <v>41.172398845326299</v>
      </c>
      <c r="L505" s="346">
        <f t="shared" si="193"/>
        <v>28.417058326849602</v>
      </c>
      <c r="M505" s="346">
        <f t="shared" si="193"/>
        <v>21.096905660884005</v>
      </c>
      <c r="N505" s="346">
        <f t="shared" si="193"/>
        <v>31.08143864274</v>
      </c>
      <c r="O505" s="346">
        <f t="shared" si="193"/>
        <v>40.3587728961</v>
      </c>
      <c r="P505" s="346">
        <f t="shared" si="193"/>
        <v>13.24238293008</v>
      </c>
      <c r="Q505" s="346">
        <f t="shared" si="193"/>
        <v>30.5934780093916</v>
      </c>
      <c r="R505" s="346">
        <f t="shared" si="193"/>
        <v>26.812794099342703</v>
      </c>
      <c r="S505" s="346">
        <f t="shared" si="193"/>
        <v>25.449283516725</v>
      </c>
      <c r="T505" s="346">
        <f t="shared" si="193"/>
        <v>42.512664788264004</v>
      </c>
      <c r="U505" s="346">
        <f t="shared" si="193"/>
        <v>27.189123065655501</v>
      </c>
      <c r="V505" s="346">
        <f t="shared" si="193"/>
        <v>21.386345392392002</v>
      </c>
      <c r="W505" s="346">
        <f t="shared" si="193"/>
        <v>47.767398840349998</v>
      </c>
      <c r="X505" s="346">
        <f t="shared" si="193"/>
        <v>30.550656035408004</v>
      </c>
      <c r="Y505" s="346">
        <f t="shared" si="193"/>
        <v>23.123316767604802</v>
      </c>
      <c r="Z505" s="346">
        <f t="shared" si="193"/>
        <v>55.261770455573398</v>
      </c>
      <c r="AA505" s="346">
        <f t="shared" si="193"/>
        <v>23.605660323789401</v>
      </c>
      <c r="AB505" s="346">
        <f t="shared" si="193"/>
        <v>14.248494073706999</v>
      </c>
      <c r="AC505" s="346">
        <f t="shared" si="193"/>
        <v>39.830018351999996</v>
      </c>
      <c r="AD505" s="346">
        <f t="shared" si="193"/>
        <v>26.946588904000002</v>
      </c>
      <c r="AE505" s="346">
        <f t="shared" si="193"/>
        <v>42.166690292999995</v>
      </c>
      <c r="AF505" s="346">
        <f t="shared" si="193"/>
        <v>46.080097678999998</v>
      </c>
      <c r="AG505" s="346">
        <f t="shared" si="193"/>
        <v>27.68391914</v>
      </c>
      <c r="AH505" s="346">
        <f t="shared" si="193"/>
        <v>24.199724196000002</v>
      </c>
      <c r="AI505" s="346">
        <f t="shared" si="193"/>
        <v>38.809691094999998</v>
      </c>
      <c r="AJ505" s="346">
        <f t="shared" si="193"/>
        <v>35.037253449999994</v>
      </c>
      <c r="AK505" s="346">
        <f t="shared" si="193"/>
        <v>33.525973547</v>
      </c>
      <c r="AL505" s="346">
        <f t="shared" si="193"/>
        <v>51.814672684999998</v>
      </c>
      <c r="AM505" s="346">
        <f t="shared" si="193"/>
        <v>31.345127525999999</v>
      </c>
      <c r="AN505" s="346">
        <f t="shared" si="193"/>
        <v>26.933146282999999</v>
      </c>
      <c r="AO505" s="346">
        <f t="shared" si="193"/>
        <v>51.332787429259994</v>
      </c>
      <c r="AP505" s="346">
        <f t="shared" si="193"/>
        <v>26.07999909806</v>
      </c>
      <c r="AQ505" s="346">
        <f t="shared" si="193"/>
        <v>41.740248412327226</v>
      </c>
      <c r="AR505" s="346">
        <f t="shared" si="193"/>
        <v>43.27045286912</v>
      </c>
      <c r="AS505" s="346">
        <f t="shared" si="193"/>
        <v>48.382281150347993</v>
      </c>
      <c r="AT505" s="346">
        <f t="shared" si="193"/>
        <v>31.764888093065601</v>
      </c>
      <c r="AU505" s="346">
        <f t="shared" si="193"/>
        <v>34.288099717240001</v>
      </c>
      <c r="AV505" s="346">
        <f t="shared" si="193"/>
        <v>50.097461062880001</v>
      </c>
      <c r="AW505" s="346">
        <f t="shared" si="193"/>
        <v>40.327094347550002</v>
      </c>
      <c r="AX505" s="346">
        <f t="shared" si="193"/>
        <v>52.639374650080001</v>
      </c>
      <c r="AY505" s="346">
        <f t="shared" si="193"/>
        <v>43.554295972900796</v>
      </c>
      <c r="AZ505" s="346">
        <f t="shared" si="193"/>
        <v>37.488739377367494</v>
      </c>
      <c r="BA505" s="346">
        <f t="shared" si="193"/>
        <v>56.695010128</v>
      </c>
      <c r="BB505" s="346">
        <f t="shared" si="193"/>
        <v>32.663080004000001</v>
      </c>
      <c r="BC505" s="346">
        <f t="shared" si="193"/>
        <v>32.521742717999999</v>
      </c>
      <c r="BD505" s="346">
        <f t="shared" si="193"/>
        <v>61.918554928000006</v>
      </c>
      <c r="BE505" s="346">
        <f t="shared" si="193"/>
        <v>61.159198818</v>
      </c>
      <c r="BF505" s="346">
        <f t="shared" si="193"/>
        <v>25.041280118</v>
      </c>
      <c r="BG505" s="346">
        <f t="shared" si="193"/>
        <v>41.716657434999995</v>
      </c>
      <c r="BH505" s="346">
        <f t="shared" si="193"/>
        <v>63.464046401000004</v>
      </c>
      <c r="BI505" s="346">
        <f t="shared" si="193"/>
        <v>38.801061231999995</v>
      </c>
      <c r="BJ505" s="346">
        <f t="shared" si="193"/>
        <v>68.23604685382</v>
      </c>
      <c r="BK505" s="346">
        <f t="shared" si="193"/>
        <v>47.743873942000008</v>
      </c>
      <c r="BL505" s="346">
        <f t="shared" si="193"/>
        <v>38.517362037000005</v>
      </c>
      <c r="BM505" s="346">
        <f t="shared" si="193"/>
        <v>62.76197392489</v>
      </c>
      <c r="BN505" s="346">
        <f t="shared" si="193"/>
        <v>44.670436133479996</v>
      </c>
      <c r="BO505" s="346">
        <f t="shared" si="193"/>
        <v>43.792253893999998</v>
      </c>
      <c r="BP505" s="346">
        <f t="shared" si="193"/>
        <v>75.347840000000005</v>
      </c>
      <c r="BQ505" s="346">
        <f t="shared" ref="BQ505:DN505" si="194">BQ506+BQ510+BQ514+BQ521+BQ529</f>
        <v>62.355729423849994</v>
      </c>
      <c r="BR505" s="346">
        <f t="shared" si="194"/>
        <v>27.30003376258</v>
      </c>
      <c r="BS505" s="346">
        <f t="shared" si="194"/>
        <v>60.656699999999994</v>
      </c>
      <c r="BT505" s="346">
        <f t="shared" si="194"/>
        <v>53.924499999999995</v>
      </c>
      <c r="BU505" s="346">
        <f t="shared" si="194"/>
        <v>38.252100000000006</v>
      </c>
      <c r="BV505" s="346">
        <f t="shared" si="194"/>
        <v>79.040957728000009</v>
      </c>
      <c r="BW505" s="346">
        <f t="shared" si="194"/>
        <v>50.433012564999999</v>
      </c>
      <c r="BX505" s="346">
        <f t="shared" si="194"/>
        <v>37.282628350000003</v>
      </c>
      <c r="BY505" s="346">
        <f t="shared" si="194"/>
        <v>59.44014836103436</v>
      </c>
      <c r="BZ505" s="346">
        <f t="shared" si="194"/>
        <v>60.16820487764555</v>
      </c>
      <c r="CA505" s="346">
        <f t="shared" si="194"/>
        <v>43.445561018246877</v>
      </c>
      <c r="CB505" s="346">
        <f t="shared" si="194"/>
        <v>79.086111894783954</v>
      </c>
      <c r="CC505" s="346">
        <f t="shared" si="194"/>
        <v>63.566453566213539</v>
      </c>
      <c r="CD505" s="346">
        <f t="shared" si="194"/>
        <v>33.973535486441499</v>
      </c>
      <c r="CE505" s="347">
        <f t="shared" si="194"/>
        <v>65.89267279420767</v>
      </c>
      <c r="CF505" s="346">
        <f t="shared" si="194"/>
        <v>57.698124104824529</v>
      </c>
      <c r="CG505" s="346">
        <f t="shared" si="194"/>
        <v>49.971496275656513</v>
      </c>
      <c r="CH505" s="346">
        <f t="shared" si="194"/>
        <v>98.422676236375139</v>
      </c>
      <c r="CI505" s="346">
        <f t="shared" si="194"/>
        <v>49.352782366961684</v>
      </c>
      <c r="CJ505" s="346">
        <f t="shared" si="194"/>
        <v>43.202628906906497</v>
      </c>
      <c r="CK505" s="346">
        <f t="shared" si="194"/>
        <v>89.589499932908524</v>
      </c>
      <c r="CL505" s="346">
        <f t="shared" si="194"/>
        <v>55.132372310596182</v>
      </c>
      <c r="CM505" s="346">
        <f t="shared" si="194"/>
        <v>49.958458260097075</v>
      </c>
      <c r="CN505" s="346">
        <f t="shared" si="194"/>
        <v>105.69323725464999</v>
      </c>
      <c r="CO505" s="346">
        <f t="shared" si="194"/>
        <v>72.35638998306149</v>
      </c>
      <c r="CP505" s="348">
        <f t="shared" si="194"/>
        <v>42.576317655317467</v>
      </c>
      <c r="CQ505" s="346">
        <f t="shared" si="194"/>
        <v>84.6445758897041</v>
      </c>
      <c r="CR505" s="346">
        <f t="shared" si="194"/>
        <v>60.559389158457925</v>
      </c>
      <c r="CS505" s="346">
        <f t="shared" si="194"/>
        <v>68.815025306874986</v>
      </c>
      <c r="CT505" s="346">
        <f t="shared" si="194"/>
        <v>86.102977654121617</v>
      </c>
      <c r="CU505" s="346">
        <f t="shared" si="194"/>
        <v>61.145606517232892</v>
      </c>
      <c r="CV505" s="346">
        <f t="shared" si="194"/>
        <v>65.339231641405675</v>
      </c>
      <c r="CW505" s="346">
        <f t="shared" si="194"/>
        <v>79.098195164108489</v>
      </c>
      <c r="CX505" s="346">
        <f t="shared" si="194"/>
        <v>58.352478099715235</v>
      </c>
      <c r="CY505" s="346">
        <f t="shared" si="194"/>
        <v>86.142963752456694</v>
      </c>
      <c r="CZ505" s="346">
        <f t="shared" si="194"/>
        <v>100.77455196925499</v>
      </c>
      <c r="DA505" s="346">
        <f t="shared" si="194"/>
        <v>78.566557604053159</v>
      </c>
      <c r="DB505" s="1479">
        <f t="shared" si="194"/>
        <v>36.16869034069822</v>
      </c>
      <c r="DC505" s="346">
        <f t="shared" si="194"/>
        <v>90.299541103874702</v>
      </c>
      <c r="DD505" s="346">
        <f t="shared" si="194"/>
        <v>70.901540649245547</v>
      </c>
      <c r="DE505" s="346">
        <f t="shared" si="194"/>
        <v>63.539698355399999</v>
      </c>
      <c r="DF505" s="346">
        <f t="shared" si="194"/>
        <v>118.66696784858111</v>
      </c>
      <c r="DG505" s="346">
        <f t="shared" si="194"/>
        <v>66.753478653000002</v>
      </c>
      <c r="DH505" s="346">
        <f t="shared" si="194"/>
        <v>68.00374049700001</v>
      </c>
      <c r="DI505" s="346">
        <f t="shared" si="194"/>
        <v>106.18571900198846</v>
      </c>
      <c r="DJ505" s="346">
        <f t="shared" si="194"/>
        <v>54.857941337869406</v>
      </c>
      <c r="DK505" s="346">
        <f t="shared" si="194"/>
        <v>81.728672669081334</v>
      </c>
      <c r="DL505" s="346">
        <f t="shared" si="194"/>
        <v>109.20853714678179</v>
      </c>
      <c r="DM505" s="346">
        <f t="shared" si="194"/>
        <v>64.938635477458448</v>
      </c>
      <c r="DN505" s="348">
        <f t="shared" si="194"/>
        <v>52.447596811461146</v>
      </c>
      <c r="DO505" s="346">
        <f t="shared" ref="DO505:DT505" si="195">DO506+DO510+DO514+DO521+DO529</f>
        <v>94.189350121126623</v>
      </c>
      <c r="DP505" s="346">
        <f t="shared" si="195"/>
        <v>109.63174863150537</v>
      </c>
      <c r="DQ505" s="346">
        <f t="shared" si="195"/>
        <v>66.574285182477595</v>
      </c>
      <c r="DR505" s="346">
        <f t="shared" si="195"/>
        <v>126.42570926667855</v>
      </c>
      <c r="DS505" s="346">
        <f t="shared" si="195"/>
        <v>77.289427144100856</v>
      </c>
      <c r="DT505" s="346">
        <f t="shared" si="195"/>
        <v>76.312393625084894</v>
      </c>
      <c r="DU505" s="346">
        <f t="shared" ref="DU505:DZ505" si="196">DU506+DU510+DU514+DU521+DU529</f>
        <v>117.72280777697755</v>
      </c>
      <c r="DV505" s="346">
        <f t="shared" si="196"/>
        <v>74.308076798532298</v>
      </c>
      <c r="DW505" s="346">
        <f t="shared" si="196"/>
        <v>65.447324410023555</v>
      </c>
      <c r="DX505" s="346">
        <f t="shared" si="196"/>
        <v>134.19765430378447</v>
      </c>
      <c r="DY505" s="346">
        <f t="shared" si="196"/>
        <v>88.376194413126086</v>
      </c>
      <c r="DZ505" s="348">
        <f t="shared" si="196"/>
        <v>104.55258663266946</v>
      </c>
      <c r="EA505" s="346">
        <f t="shared" ref="EA505:EK505" si="197">EA506+EA510+EA514+EA521+EA529</f>
        <v>128.50705953561484</v>
      </c>
      <c r="EB505" s="346">
        <f t="shared" si="197"/>
        <v>93.31134000410762</v>
      </c>
      <c r="EC505" s="346">
        <f t="shared" si="197"/>
        <v>105.63918444513648</v>
      </c>
      <c r="ED505" s="346">
        <f t="shared" si="197"/>
        <v>125.88552663144944</v>
      </c>
      <c r="EE505" s="346">
        <f t="shared" si="197"/>
        <v>94.30247158778829</v>
      </c>
      <c r="EF505" s="346">
        <f t="shared" si="197"/>
        <v>87.742178803600126</v>
      </c>
      <c r="EG505" s="346">
        <f t="shared" si="197"/>
        <v>89.742119457839593</v>
      </c>
      <c r="EH505" s="346">
        <f t="shared" si="197"/>
        <v>84.076770888538576</v>
      </c>
      <c r="EI505" s="346">
        <f t="shared" si="197"/>
        <v>110.26350992984338</v>
      </c>
      <c r="EJ505" s="346">
        <f t="shared" si="197"/>
        <v>105.77374617110647</v>
      </c>
      <c r="EK505" s="346">
        <f t="shared" si="197"/>
        <v>110.48133591043576</v>
      </c>
      <c r="EL505" s="348">
        <f t="shared" ref="EL505:ER505" si="198">EL506+EL510+EL514+EL521+EL529</f>
        <v>63.985476649862626</v>
      </c>
      <c r="EM505" s="346">
        <f t="shared" si="198"/>
        <v>95.377083666542944</v>
      </c>
      <c r="EN505" s="346">
        <f t="shared" si="198"/>
        <v>118.41943667618474</v>
      </c>
      <c r="EO505" s="346">
        <f t="shared" si="198"/>
        <v>97.657939000260299</v>
      </c>
      <c r="EP505" s="346">
        <f t="shared" si="198"/>
        <v>140.67169559236007</v>
      </c>
      <c r="EQ505" s="346">
        <f t="shared" si="198"/>
        <v>114.20902141866392</v>
      </c>
      <c r="ER505" s="346">
        <f t="shared" si="198"/>
        <v>107.69590807075841</v>
      </c>
      <c r="ES505" s="346">
        <f t="shared" ref="ES505:EX505" si="199">ES506+ES510+ES514+ES521+ES529</f>
        <v>89.455681673513922</v>
      </c>
      <c r="ET505" s="346">
        <f t="shared" si="199"/>
        <v>83.963914865321243</v>
      </c>
      <c r="EU505" s="346">
        <f t="shared" si="199"/>
        <v>142.20660928461487</v>
      </c>
      <c r="EV505" s="346">
        <f t="shared" si="199"/>
        <v>146.35231885812709</v>
      </c>
      <c r="EW505" s="346">
        <f t="shared" si="199"/>
        <v>116.38640748158832</v>
      </c>
      <c r="EX505" s="348">
        <f t="shared" si="199"/>
        <v>91.209074666272826</v>
      </c>
      <c r="EY505" s="346"/>
      <c r="EZ505" s="346"/>
      <c r="FA505" s="346"/>
      <c r="FB505" s="346"/>
      <c r="FC505" s="346"/>
      <c r="FD505" s="346"/>
      <c r="FE505" s="346"/>
      <c r="FF505" s="346"/>
      <c r="FG505" s="346"/>
      <c r="FH505" s="346"/>
      <c r="FI505" s="346"/>
      <c r="FJ505" s="348"/>
      <c r="FK505" s="346"/>
      <c r="FL505" s="346"/>
      <c r="FM505" s="346"/>
      <c r="FN505" s="346"/>
      <c r="FO505" s="346"/>
      <c r="FP505" s="346"/>
      <c r="FQ505" s="346"/>
      <c r="FR505" s="346"/>
      <c r="FS505" s="346"/>
      <c r="FT505" s="346"/>
      <c r="FU505" s="346"/>
      <c r="FV505" s="346"/>
      <c r="FW505" s="346"/>
      <c r="FX505" s="346"/>
      <c r="FY505" s="346"/>
      <c r="FZ505" s="346"/>
      <c r="GA505" s="346"/>
      <c r="GB505" s="346"/>
      <c r="GC505" s="346"/>
      <c r="GD505" s="346"/>
      <c r="GE505" s="346"/>
      <c r="GF505" s="346"/>
      <c r="GG505" s="346"/>
      <c r="GH505" s="346"/>
      <c r="GI505" s="346"/>
      <c r="GJ505" s="346"/>
      <c r="GK505" s="346"/>
      <c r="GL505" s="346"/>
      <c r="GM505" s="346"/>
      <c r="GN505" s="346"/>
      <c r="GO505" s="346"/>
      <c r="GP505" s="346"/>
      <c r="GQ505" s="346"/>
      <c r="GR505" s="346"/>
      <c r="GS505" s="346"/>
      <c r="GT505" s="346"/>
      <c r="GU505" s="346"/>
      <c r="GV505" s="346"/>
      <c r="GW505" s="346"/>
      <c r="GX505" s="346"/>
      <c r="GY505" s="346"/>
      <c r="GZ505" s="346"/>
      <c r="HA505" s="346"/>
      <c r="HB505" s="346"/>
      <c r="HC505" s="346"/>
      <c r="HD505" s="346"/>
      <c r="HE505" s="346"/>
      <c r="HF505" s="346"/>
      <c r="HG505" s="346"/>
      <c r="HH505" s="346"/>
      <c r="HI505" s="346"/>
      <c r="HJ505" s="346"/>
      <c r="HK505" s="346"/>
      <c r="HL505" s="346"/>
      <c r="HM505" s="346"/>
      <c r="HN505" s="349"/>
      <c r="HO505" s="345" t="s">
        <v>152</v>
      </c>
      <c r="HP505" s="345"/>
      <c r="HQ505" s="345"/>
      <c r="HR505" s="346">
        <f>+FISC!Z716</f>
        <v>834.73</v>
      </c>
      <c r="HS505" s="302">
        <f t="shared" ref="HS505:HZ505" si="200">HS506+HS510+HS514+HS521+HS529</f>
        <v>426.60680616779723</v>
      </c>
      <c r="HT505" s="302">
        <f t="shared" si="200"/>
        <v>439.10343693028676</v>
      </c>
      <c r="HU505" s="346">
        <f t="shared" si="200"/>
        <v>865.71024309808399</v>
      </c>
      <c r="HV505" s="637">
        <f t="shared" si="200"/>
        <v>478.16496710710135</v>
      </c>
      <c r="HW505" s="637">
        <f t="shared" si="200"/>
        <v>469.36710244464064</v>
      </c>
      <c r="HX505" s="346">
        <f t="shared" si="200"/>
        <v>947.5320695517421</v>
      </c>
      <c r="HY505" s="637">
        <f t="shared" si="200"/>
        <v>550.42291397097392</v>
      </c>
      <c r="HZ505" s="637">
        <f t="shared" si="200"/>
        <v>584.60464433511333</v>
      </c>
      <c r="IA505" s="346">
        <f t="shared" si="103"/>
        <v>1135.0275583060873</v>
      </c>
      <c r="IB505" s="302">
        <f>IB506+IB510+IB514+IB521+IB529</f>
        <v>595.93787275805084</v>
      </c>
      <c r="IC505" s="302">
        <f>IC506+IC510+IC514+IC521+IC529</f>
        <v>581.33939151983975</v>
      </c>
      <c r="ID505" s="346">
        <f>FISC!AC716</f>
        <v>1177.2772642778905</v>
      </c>
      <c r="IE505" s="302">
        <f>SUM(EM505:ER505)</f>
        <v>674.03108442477037</v>
      </c>
      <c r="IF505" s="302">
        <f>SUM(ES505:EX505)</f>
        <v>669.5740068294383</v>
      </c>
      <c r="IG505" s="346">
        <f t="shared" ref="IG505:IG572" si="201">IE505+IF505</f>
        <v>1343.6050912542087</v>
      </c>
      <c r="IH505" s="302" t="e">
        <f>(IH506+IH510+IH514+IH521+IH529)*0+748.664830583288</f>
        <v>#REF!</v>
      </c>
      <c r="II505" s="302" t="e">
        <f>II506+II510+II514+II521+II529</f>
        <v>#REF!</v>
      </c>
      <c r="IJ505" s="346">
        <f>+FISC!AE716</f>
        <v>1558.3598845633098</v>
      </c>
      <c r="IK505" s="302">
        <f>IK506+IK510+IK514+IK521+IK529</f>
        <v>744.11494741239051</v>
      </c>
      <c r="IL505" s="302">
        <f t="shared" si="85"/>
        <v>925.93334425020237</v>
      </c>
      <c r="IM505" s="346">
        <f>+FISC!AF716</f>
        <v>1670.0482916625929</v>
      </c>
      <c r="IN505" s="302">
        <f>IN506+IN510+IN514+IN521+IN529</f>
        <v>1022.261567555565</v>
      </c>
      <c r="IO505" s="302">
        <f t="shared" si="154"/>
        <v>1358.5458449184598</v>
      </c>
      <c r="IP505" s="346">
        <f>+FISC!AG716</f>
        <v>2380.8074124740247</v>
      </c>
      <c r="IQ505" s="302">
        <f>IQ506+IQ510+IQ514+IQ521+IQ529</f>
        <v>1332.1698426729577</v>
      </c>
      <c r="IR505" s="302">
        <f t="shared" si="74"/>
        <v>1396.7145178853812</v>
      </c>
      <c r="IS505" s="346">
        <f>+FISC!AH716</f>
        <v>2728.8843605583388</v>
      </c>
      <c r="IT505" s="302">
        <f>IT506+IT510+IT514+IT521+IT529</f>
        <v>1215.8866011313416</v>
      </c>
      <c r="IU505" s="302">
        <f t="shared" si="75"/>
        <v>2041.6811444729956</v>
      </c>
      <c r="IV505" s="346">
        <f>+FISC!AI716</f>
        <v>3257.5677456043372</v>
      </c>
      <c r="IW505" s="302">
        <f>IW506+IW510+IW514+IW521+IW529</f>
        <v>1115.0655883081592</v>
      </c>
      <c r="IX505" s="302">
        <f t="shared" si="76"/>
        <v>1668.3369757828016</v>
      </c>
      <c r="IY505" s="346">
        <f>+FISC!AJ716</f>
        <v>2783.4025640909608</v>
      </c>
      <c r="IZ505" s="302" t="e">
        <f>IZ506+IZ510+IZ514+IZ521+IZ529</f>
        <v>#DIV/0!</v>
      </c>
      <c r="JA505" s="302" t="e">
        <f t="shared" si="77"/>
        <v>#DIV/0!</v>
      </c>
      <c r="JB505" s="346" t="e">
        <f>+FISC!AK716</f>
        <v>#DIV/0!</v>
      </c>
      <c r="JC505" s="346"/>
      <c r="KI505" s="349"/>
      <c r="KJ505" s="350"/>
      <c r="KM505" s="302">
        <f>KM506+KM510+KM514+KM521+KM529</f>
        <v>0</v>
      </c>
      <c r="KN505" s="302">
        <f>KN506+KN510+KN514+KN521+KN529</f>
        <v>0</v>
      </c>
      <c r="KO505" s="302">
        <f>KO506+KO510+KO514+KO521+KO529</f>
        <v>0</v>
      </c>
      <c r="KP505" s="302">
        <f>KP506+KP510+KP514+KP521+KP529</f>
        <v>0</v>
      </c>
    </row>
    <row r="506" spans="1:302">
      <c r="A506" s="302"/>
      <c r="B506" s="117" t="s">
        <v>361</v>
      </c>
      <c r="D506" s="345" t="str">
        <f>+FISC!D717</f>
        <v>Wages and salaries</v>
      </c>
      <c r="E506" s="346">
        <v>6.2484899999999994</v>
      </c>
      <c r="F506" s="346">
        <v>5.72309</v>
      </c>
      <c r="G506" s="346">
        <v>6.6961300000000001</v>
      </c>
      <c r="H506" s="346">
        <v>6.07179</v>
      </c>
      <c r="I506" s="346">
        <v>6.3827499999999997</v>
      </c>
      <c r="J506" s="346">
        <v>6.0388599999999997</v>
      </c>
      <c r="K506" s="346">
        <v>6.8839899999999998</v>
      </c>
      <c r="L506" s="346">
        <v>5.3283999999999994</v>
      </c>
      <c r="M506" s="346">
        <v>5.7440800000000003</v>
      </c>
      <c r="N506" s="346">
        <v>6.1915500000000003</v>
      </c>
      <c r="O506" s="346">
        <v>5.8365200000000002</v>
      </c>
      <c r="P506" s="346">
        <v>6.2152700000000003</v>
      </c>
      <c r="Q506" s="346">
        <v>6.89907</v>
      </c>
      <c r="R506" s="346">
        <v>6.1118800000000011</v>
      </c>
      <c r="S506" s="346">
        <v>6.6240300000000003</v>
      </c>
      <c r="T506" s="346">
        <v>7.1555400000000011</v>
      </c>
      <c r="U506" s="346">
        <v>6.5731899999999985</v>
      </c>
      <c r="V506" s="346">
        <v>6.7067399999999999</v>
      </c>
      <c r="W506" s="346">
        <v>8.3597400000000004</v>
      </c>
      <c r="X506" s="346">
        <v>6.8121499999999999</v>
      </c>
      <c r="Y506" s="346">
        <v>7.1522299999999994</v>
      </c>
      <c r="Z506" s="346">
        <v>9.0993300000000001</v>
      </c>
      <c r="AA506" s="346">
        <v>6.3681800000000006</v>
      </c>
      <c r="AB506" s="346">
        <v>6.3164899999999999</v>
      </c>
      <c r="AC506" s="346">
        <v>9.4264700000000001</v>
      </c>
      <c r="AD506" s="346">
        <v>6.1405799999999999</v>
      </c>
      <c r="AE506" s="346">
        <v>7.35107</v>
      </c>
      <c r="AF506" s="346">
        <v>9.9298899999999986</v>
      </c>
      <c r="AG506" s="346">
        <v>6.8457400000000002</v>
      </c>
      <c r="AH506" s="346">
        <v>7.0570699999999995</v>
      </c>
      <c r="AI506" s="346">
        <v>10.289020000000001</v>
      </c>
      <c r="AJ506" s="346">
        <v>7.6297700000000006</v>
      </c>
      <c r="AK506" s="346">
        <v>7.1329599999999989</v>
      </c>
      <c r="AL506" s="346">
        <v>11.07531</v>
      </c>
      <c r="AM506" s="346">
        <v>7.2418999999999993</v>
      </c>
      <c r="AN506" s="346">
        <v>7.2824999999999998</v>
      </c>
      <c r="AO506" s="346">
        <v>10.797610000000001</v>
      </c>
      <c r="AP506" s="346">
        <v>5.5590600000000006</v>
      </c>
      <c r="AQ506" s="346">
        <v>10.201690000000001</v>
      </c>
      <c r="AR506" s="346">
        <v>11.001030000000002</v>
      </c>
      <c r="AS506" s="346">
        <v>8.2224000000000004</v>
      </c>
      <c r="AT506" s="346">
        <v>10.4077</v>
      </c>
      <c r="AU506" s="346">
        <v>10.117940000000001</v>
      </c>
      <c r="AV506" s="346">
        <v>9.8346</v>
      </c>
      <c r="AW506" s="346">
        <v>8.91662</v>
      </c>
      <c r="AX506" s="346">
        <v>12.67665</v>
      </c>
      <c r="AY506" s="346">
        <v>9.3612900000000003</v>
      </c>
      <c r="AZ506" s="346">
        <v>9.277709999999999</v>
      </c>
      <c r="BA506" s="346">
        <v>12.66601</v>
      </c>
      <c r="BB506" s="346">
        <v>6.5997700000000004</v>
      </c>
      <c r="BC506" s="346">
        <v>9.9224599999999992</v>
      </c>
      <c r="BD506" s="346">
        <v>14.683309999999999</v>
      </c>
      <c r="BE506" s="346">
        <v>10.44257</v>
      </c>
      <c r="BF506" s="346">
        <v>7.3478699999999995</v>
      </c>
      <c r="BG506" s="346">
        <v>12.509899999999998</v>
      </c>
      <c r="BH506" s="346">
        <v>11.53684</v>
      </c>
      <c r="BI506" s="346">
        <v>9.9591900000000013</v>
      </c>
      <c r="BJ506" s="346">
        <v>15.622459999999998</v>
      </c>
      <c r="BK506" s="346">
        <v>9.7316900000000004</v>
      </c>
      <c r="BL506" s="346">
        <v>9.3626900000000006</v>
      </c>
      <c r="BM506" s="346">
        <v>14.39517</v>
      </c>
      <c r="BN506" s="346">
        <v>7.7335000000000003</v>
      </c>
      <c r="BO506" s="346">
        <v>10.747590000000001</v>
      </c>
      <c r="BP506" s="346">
        <v>18.464380000000002</v>
      </c>
      <c r="BQ506" s="346">
        <v>13.489240000000001</v>
      </c>
      <c r="BR506" s="346">
        <v>11.13809</v>
      </c>
      <c r="BS506" s="346">
        <v>13.257299999999999</v>
      </c>
      <c r="BT506" s="346">
        <v>15.1424</v>
      </c>
      <c r="BU506" s="346">
        <v>10.477799999999998</v>
      </c>
      <c r="BV506" s="346">
        <v>19.144608862999998</v>
      </c>
      <c r="BW506" s="346">
        <v>12.38366167</v>
      </c>
      <c r="BX506" s="346">
        <v>12.345760840000001</v>
      </c>
      <c r="BY506" s="346">
        <v>12.281595282</v>
      </c>
      <c r="BZ506" s="346">
        <v>14.947415005</v>
      </c>
      <c r="CA506" s="346">
        <v>14.463020575</v>
      </c>
      <c r="CB506" s="346">
        <v>17.263546629</v>
      </c>
      <c r="CC506" s="346">
        <v>14.468678076</v>
      </c>
      <c r="CD506" s="346">
        <v>12.723720517</v>
      </c>
      <c r="CE506" s="347">
        <f t="shared" ref="CE506:DJ506" si="202">CE219</f>
        <v>16.994601701000001</v>
      </c>
      <c r="CF506" s="346">
        <f t="shared" si="202"/>
        <v>15.296408276999999</v>
      </c>
      <c r="CG506" s="346">
        <f t="shared" si="202"/>
        <v>12.785106967999999</v>
      </c>
      <c r="CH506" s="346">
        <f t="shared" si="202"/>
        <v>21.522832184999999</v>
      </c>
      <c r="CI506" s="346">
        <f t="shared" si="202"/>
        <v>13.74655516</v>
      </c>
      <c r="CJ506" s="346">
        <f t="shared" si="202"/>
        <v>12.527354783</v>
      </c>
      <c r="CK506" s="346">
        <f t="shared" si="202"/>
        <v>17.305775839999999</v>
      </c>
      <c r="CL506" s="346">
        <f t="shared" si="202"/>
        <v>15.261176783</v>
      </c>
      <c r="CM506" s="346">
        <f t="shared" si="202"/>
        <v>14.226565817999999</v>
      </c>
      <c r="CN506" s="346">
        <f t="shared" si="202"/>
        <v>20.575106379000001</v>
      </c>
      <c r="CO506" s="346">
        <f t="shared" si="202"/>
        <v>14.207658584000001</v>
      </c>
      <c r="CP506" s="348">
        <f t="shared" si="202"/>
        <v>13.422926986</v>
      </c>
      <c r="CQ506" s="346">
        <f t="shared" si="202"/>
        <v>24.384377145999999</v>
      </c>
      <c r="CR506" s="346">
        <f t="shared" si="202"/>
        <v>14.475676630000001</v>
      </c>
      <c r="CS506" s="346">
        <f t="shared" si="202"/>
        <v>13.475882387</v>
      </c>
      <c r="CT506" s="346">
        <f t="shared" si="202"/>
        <v>21.792291245000001</v>
      </c>
      <c r="CU506" s="346">
        <f t="shared" si="202"/>
        <v>14.063459443999999</v>
      </c>
      <c r="CV506" s="346">
        <f t="shared" si="202"/>
        <v>13.595746498</v>
      </c>
      <c r="CW506" s="346">
        <f t="shared" si="202"/>
        <v>22.064813458</v>
      </c>
      <c r="CX506" s="346">
        <f t="shared" si="202"/>
        <v>11.475777178</v>
      </c>
      <c r="CY506" s="346">
        <f t="shared" si="202"/>
        <v>18.702557545000001</v>
      </c>
      <c r="CZ506" s="346">
        <f t="shared" si="202"/>
        <v>20.166489068000001</v>
      </c>
      <c r="DA506" s="346">
        <f t="shared" si="202"/>
        <v>15.465617441999999</v>
      </c>
      <c r="DB506" s="1479">
        <f t="shared" si="202"/>
        <v>14.104508206</v>
      </c>
      <c r="DC506" s="346">
        <f t="shared" si="202"/>
        <v>25.760848382999999</v>
      </c>
      <c r="DD506" s="346">
        <f t="shared" si="202"/>
        <v>16.630622875</v>
      </c>
      <c r="DE506" s="346">
        <f t="shared" si="202"/>
        <v>15.729075969</v>
      </c>
      <c r="DF506" s="346">
        <f t="shared" si="202"/>
        <v>25.341055635</v>
      </c>
      <c r="DG506" s="346">
        <f t="shared" si="202"/>
        <v>15.952211698999999</v>
      </c>
      <c r="DH506" s="346">
        <f t="shared" si="202"/>
        <v>15.896342681</v>
      </c>
      <c r="DI506" s="346">
        <f t="shared" si="202"/>
        <v>27.269807771</v>
      </c>
      <c r="DJ506" s="346">
        <f t="shared" si="202"/>
        <v>14.262571819</v>
      </c>
      <c r="DK506" s="346">
        <f t="shared" ref="DK506:EP506" si="203">DK219</f>
        <v>20.399614275000001</v>
      </c>
      <c r="DL506" s="346">
        <f t="shared" si="203"/>
        <v>26.154303194000001</v>
      </c>
      <c r="DM506" s="346">
        <f t="shared" si="203"/>
        <v>17.351693442999998</v>
      </c>
      <c r="DN506" s="348">
        <f t="shared" si="203"/>
        <v>21.587089448</v>
      </c>
      <c r="DO506" s="346">
        <f t="shared" si="203"/>
        <v>30.792339913999999</v>
      </c>
      <c r="DP506" s="346">
        <f t="shared" si="203"/>
        <v>25.930212775000001</v>
      </c>
      <c r="DQ506" s="346">
        <f t="shared" si="203"/>
        <v>17.198660204999999</v>
      </c>
      <c r="DR506" s="346">
        <f t="shared" si="203"/>
        <v>31.218526591</v>
      </c>
      <c r="DS506" s="346">
        <f t="shared" si="203"/>
        <v>22.623937429000001</v>
      </c>
      <c r="DT506" s="346">
        <f t="shared" si="203"/>
        <v>20.321524653000001</v>
      </c>
      <c r="DU506" s="346">
        <f t="shared" si="203"/>
        <v>32.600142276</v>
      </c>
      <c r="DV506" s="346">
        <f t="shared" si="203"/>
        <v>20.681147721999999</v>
      </c>
      <c r="DW506" s="346">
        <f t="shared" si="203"/>
        <v>14.811887330999999</v>
      </c>
      <c r="DX506" s="346">
        <f t="shared" si="203"/>
        <v>36.372824244999997</v>
      </c>
      <c r="DY506" s="346">
        <f t="shared" si="203"/>
        <v>26.777018936000001</v>
      </c>
      <c r="DZ506" s="348">
        <f t="shared" si="203"/>
        <v>38.763488469999999</v>
      </c>
      <c r="EA506" s="346">
        <f t="shared" si="203"/>
        <v>38.763488469999999</v>
      </c>
      <c r="EB506" s="346">
        <f t="shared" si="203"/>
        <v>22.126329033000001</v>
      </c>
      <c r="EC506" s="346">
        <f t="shared" si="203"/>
        <v>23.992127427</v>
      </c>
      <c r="ED506" s="346">
        <f t="shared" si="203"/>
        <v>31.381220567</v>
      </c>
      <c r="EE506" s="346">
        <f t="shared" si="203"/>
        <v>20.59107835</v>
      </c>
      <c r="EF506" s="346">
        <f t="shared" si="203"/>
        <v>22.203756637000001</v>
      </c>
      <c r="EG506" s="346">
        <f t="shared" si="203"/>
        <v>35.831669345000002</v>
      </c>
      <c r="EH506" s="346">
        <f t="shared" si="203"/>
        <v>18.217909506000002</v>
      </c>
      <c r="EI506" s="346">
        <f t="shared" si="203"/>
        <v>29.443757700999999</v>
      </c>
      <c r="EJ506" s="346">
        <f t="shared" si="203"/>
        <v>28.913823983</v>
      </c>
      <c r="EK506" s="346">
        <f t="shared" si="203"/>
        <v>29.702432408</v>
      </c>
      <c r="EL506" s="348">
        <f t="shared" si="203"/>
        <v>23.122873592000001</v>
      </c>
      <c r="EM506" s="346">
        <f t="shared" si="203"/>
        <v>36.880675347</v>
      </c>
      <c r="EN506" s="346">
        <f t="shared" si="203"/>
        <v>23.217829071000001</v>
      </c>
      <c r="EO506" s="346">
        <f t="shared" si="203"/>
        <v>25.954929501999999</v>
      </c>
      <c r="EP506" s="346">
        <f t="shared" si="203"/>
        <v>35.318556829999999</v>
      </c>
      <c r="EQ506" s="346">
        <f t="shared" ref="EQ506:EX506" si="204">EQ219</f>
        <v>23.391870655000002</v>
      </c>
      <c r="ER506" s="346">
        <f t="shared" si="204"/>
        <v>23.821014502000001</v>
      </c>
      <c r="ES506" s="346">
        <f t="shared" si="204"/>
        <v>24.216932529000001</v>
      </c>
      <c r="ET506" s="346">
        <f t="shared" si="204"/>
        <v>30.592745741000002</v>
      </c>
      <c r="EU506" s="346">
        <f t="shared" si="204"/>
        <v>32.861703890999998</v>
      </c>
      <c r="EV506" s="346">
        <f t="shared" si="204"/>
        <v>44.669000662000002</v>
      </c>
      <c r="EW506" s="346">
        <f t="shared" si="204"/>
        <v>40.584315027999999</v>
      </c>
      <c r="EX506" s="348">
        <f t="shared" si="204"/>
        <v>24.641690694000001</v>
      </c>
      <c r="EY506" s="346"/>
      <c r="EZ506" s="346"/>
      <c r="FA506" s="346"/>
      <c r="FB506" s="346"/>
      <c r="FC506" s="346"/>
      <c r="FD506" s="346"/>
      <c r="FE506" s="346"/>
      <c r="FF506" s="346"/>
      <c r="FG506" s="346"/>
      <c r="FH506" s="346"/>
      <c r="FI506" s="346"/>
      <c r="FJ506" s="348"/>
      <c r="FK506" s="346"/>
      <c r="FL506" s="346"/>
      <c r="FM506" s="346"/>
      <c r="FN506" s="346"/>
      <c r="FO506" s="346"/>
      <c r="FP506" s="346"/>
      <c r="FQ506" s="346"/>
      <c r="FR506" s="346"/>
      <c r="FS506" s="346"/>
      <c r="FT506" s="346"/>
      <c r="FU506" s="346"/>
      <c r="FV506" s="346"/>
      <c r="FW506" s="346"/>
      <c r="FX506" s="346"/>
      <c r="FY506" s="346"/>
      <c r="FZ506" s="346"/>
      <c r="GA506" s="346"/>
      <c r="GB506" s="346"/>
      <c r="GC506" s="346"/>
      <c r="GD506" s="346"/>
      <c r="GE506" s="346"/>
      <c r="GF506" s="346"/>
      <c r="GG506" s="346"/>
      <c r="GH506" s="346"/>
      <c r="GI506" s="346"/>
      <c r="GJ506" s="346"/>
      <c r="GK506" s="346"/>
      <c r="GL506" s="346"/>
      <c r="GM506" s="346"/>
      <c r="GN506" s="346"/>
      <c r="GO506" s="346"/>
      <c r="GP506" s="346"/>
      <c r="GQ506" s="346"/>
      <c r="GR506" s="346"/>
      <c r="GS506" s="346"/>
      <c r="GT506" s="346"/>
      <c r="GU506" s="346"/>
      <c r="GV506" s="346"/>
      <c r="GW506" s="346"/>
      <c r="GX506" s="346"/>
      <c r="GY506" s="346"/>
      <c r="GZ506" s="346"/>
      <c r="HA506" s="346"/>
      <c r="HB506" s="346"/>
      <c r="HC506" s="346"/>
      <c r="HD506" s="346"/>
      <c r="HE506" s="346"/>
      <c r="HF506" s="346"/>
      <c r="HG506" s="346"/>
      <c r="HH506" s="346"/>
      <c r="HI506" s="346"/>
      <c r="HJ506" s="346"/>
      <c r="HK506" s="346"/>
      <c r="HL506" s="346"/>
      <c r="HM506" s="346"/>
      <c r="HN506" s="349"/>
      <c r="HO506" s="345" t="s">
        <v>83</v>
      </c>
      <c r="HP506" s="345"/>
      <c r="HQ506" s="345"/>
      <c r="HR506" s="346">
        <f>+FISC!Z717</f>
        <v>203.9</v>
      </c>
      <c r="HS506" s="302">
        <f t="shared" ref="HS506:HS513" si="205">SUM(CQ506:CV506)</f>
        <v>101.78743335</v>
      </c>
      <c r="HT506" s="302">
        <f t="shared" ref="HT506:HT513" si="206">SUM(CW506:DB506)</f>
        <v>101.979762897</v>
      </c>
      <c r="HU506" s="346">
        <f t="shared" ref="HU506:HU513" si="207">SUM(CQ506:DB506)</f>
        <v>203.76719624699999</v>
      </c>
      <c r="HV506" s="302">
        <f>+SUM(DC506:DH506)</f>
        <v>115.310157242</v>
      </c>
      <c r="HW506" s="302">
        <f>+SUM(DI506:DN506)</f>
        <v>127.02507995000001</v>
      </c>
      <c r="HX506" s="346">
        <f>HV506+HW506</f>
        <v>242.33523719200002</v>
      </c>
      <c r="HY506" s="302">
        <f t="shared" ref="HY506:HY511" si="208">+SUM(DO506:DT506)</f>
        <v>148.08520156700001</v>
      </c>
      <c r="HZ506" s="302">
        <f t="shared" ref="HZ506:HZ511" si="209">SUM(DU506:DZ506)</f>
        <v>170.00650897999998</v>
      </c>
      <c r="IA506" s="346">
        <f t="shared" si="103"/>
        <v>318.09171054699999</v>
      </c>
      <c r="IB506" s="302">
        <f>159.058000484</f>
        <v>159.05800048399999</v>
      </c>
      <c r="IC506" s="302">
        <f>ID506-IB506</f>
        <v>165.23246653500001</v>
      </c>
      <c r="ID506" s="346">
        <f>FISC!AC717</f>
        <v>324.290467019</v>
      </c>
      <c r="IE506" s="302">
        <f>SUM(EM506:ER506)</f>
        <v>168.584875907</v>
      </c>
      <c r="IF506" s="302">
        <f>SUM(ES506:EX506)</f>
        <v>197.566388545</v>
      </c>
      <c r="IG506" s="346">
        <f t="shared" si="201"/>
        <v>366.15126445199996</v>
      </c>
      <c r="IH506" s="350" t="e">
        <f>(IJ506/2*0+#REF!)*0+191.649761803</f>
        <v>#REF!</v>
      </c>
      <c r="II506" s="302" t="e">
        <f>+IJ506-IH506</f>
        <v>#REF!</v>
      </c>
      <c r="IJ506" s="346">
        <f>+FISC!AE717</f>
        <v>423.32212288353531</v>
      </c>
      <c r="IK506" s="350">
        <f>(IM506/2)*0+240.729598418469</f>
        <v>240.72959841846901</v>
      </c>
      <c r="IL506" s="302">
        <f t="shared" si="85"/>
        <v>250.81681107746843</v>
      </c>
      <c r="IM506" s="346">
        <f>+FISC!AF717</f>
        <v>491.54640949593744</v>
      </c>
      <c r="IN506" s="350">
        <f>(IP506/2)</f>
        <v>284.14823293731661</v>
      </c>
      <c r="IO506" s="302">
        <f t="shared" si="154"/>
        <v>284.14823293731661</v>
      </c>
      <c r="IP506" s="346">
        <f>+FISC!AG717</f>
        <v>568.29646587463321</v>
      </c>
      <c r="IQ506" s="350">
        <f>IS506/2</f>
        <v>305.88670934995304</v>
      </c>
      <c r="IR506" s="302">
        <f t="shared" si="74"/>
        <v>305.88670934995304</v>
      </c>
      <c r="IS506" s="346">
        <f>+FISC!AH717</f>
        <v>611.77341869990607</v>
      </c>
      <c r="IT506" s="350">
        <f>IV506/2</f>
        <v>329.2882661620618</v>
      </c>
      <c r="IU506" s="302">
        <f t="shared" si="75"/>
        <v>329.2882661620618</v>
      </c>
      <c r="IV506" s="346">
        <f>+FISC!AI717</f>
        <v>658.5765323241236</v>
      </c>
      <c r="IW506" s="350">
        <f>IY506/2</f>
        <v>329.2882661620618</v>
      </c>
      <c r="IX506" s="302">
        <f t="shared" si="76"/>
        <v>329.2882661620618</v>
      </c>
      <c r="IY506" s="346">
        <f>+FISC!AJ717</f>
        <v>658.5765323241236</v>
      </c>
      <c r="IZ506" s="350">
        <f>JB506/2</f>
        <v>329.2882661620618</v>
      </c>
      <c r="JA506" s="302">
        <f t="shared" si="77"/>
        <v>329.2882661620618</v>
      </c>
      <c r="JB506" s="346">
        <f>+FISC!AK717</f>
        <v>658.5765323241236</v>
      </c>
      <c r="JC506" s="346"/>
      <c r="KI506" s="349"/>
      <c r="KJ506" s="350"/>
    </row>
    <row r="507" spans="1:302">
      <c r="A507" s="302"/>
      <c r="B507" s="117" t="s">
        <v>361</v>
      </c>
      <c r="D507" s="351" t="str">
        <f>+FISC!D718</f>
        <v>Civil</v>
      </c>
      <c r="E507" s="346"/>
      <c r="F507" s="346"/>
      <c r="G507" s="346"/>
      <c r="H507" s="346"/>
      <c r="I507" s="346"/>
      <c r="J507" s="346"/>
      <c r="K507" s="346"/>
      <c r="L507" s="346"/>
      <c r="M507" s="346"/>
      <c r="N507" s="346"/>
      <c r="O507" s="346"/>
      <c r="P507" s="346"/>
      <c r="Q507" s="346">
        <v>5.0955999999999992</v>
      </c>
      <c r="R507" s="346">
        <v>4.180530000000001</v>
      </c>
      <c r="S507" s="346">
        <v>4.7060900000000006</v>
      </c>
      <c r="T507" s="346">
        <v>5.0347700000000009</v>
      </c>
      <c r="U507" s="346">
        <v>4.6315399999999993</v>
      </c>
      <c r="V507" s="346">
        <v>4.9569699999999992</v>
      </c>
      <c r="W507" s="346">
        <v>6.2370400000000004</v>
      </c>
      <c r="X507" s="346">
        <v>4.8950800000000001</v>
      </c>
      <c r="Y507" s="346">
        <v>5.3131799999999991</v>
      </c>
      <c r="Z507" s="346">
        <v>7.3115500000000004</v>
      </c>
      <c r="AA507" s="346">
        <v>4.4512999999999998</v>
      </c>
      <c r="AB507" s="346">
        <v>4.1667899999999998</v>
      </c>
      <c r="AC507" s="346">
        <v>7.1759799999999991</v>
      </c>
      <c r="AD507" s="346">
        <v>3.9657</v>
      </c>
      <c r="AE507" s="346">
        <v>5.2437800000000001</v>
      </c>
      <c r="AF507" s="346">
        <v>7.6198399999999991</v>
      </c>
      <c r="AG507" s="346">
        <v>4.7145400000000004</v>
      </c>
      <c r="AH507" s="346">
        <v>5.0353999999999992</v>
      </c>
      <c r="AI507" s="346">
        <v>7.9111500000000001</v>
      </c>
      <c r="AJ507" s="346">
        <v>5.0521700000000003</v>
      </c>
      <c r="AK507" s="346">
        <v>4.71915</v>
      </c>
      <c r="AL507" s="346">
        <v>8.676029999999999</v>
      </c>
      <c r="AM507" s="346">
        <v>4.9371299999999989</v>
      </c>
      <c r="AN507" s="346">
        <v>4.8094099999999997</v>
      </c>
      <c r="AO507" s="346">
        <v>8.2943800000000003</v>
      </c>
      <c r="AP507" s="346">
        <v>3.14324</v>
      </c>
      <c r="AQ507" s="346">
        <v>7.7636200000000004</v>
      </c>
      <c r="AR507" s="346">
        <v>8.371990000000002</v>
      </c>
      <c r="AS507" s="346">
        <v>5.7496899999999993</v>
      </c>
      <c r="AT507" s="346">
        <v>7.9946400000000013</v>
      </c>
      <c r="AU507" s="346">
        <v>7.8668900000000006</v>
      </c>
      <c r="AV507" s="346">
        <v>7.1366000000000005</v>
      </c>
      <c r="AW507" s="346">
        <v>6.45343</v>
      </c>
      <c r="AX507" s="346">
        <v>9.6809899999999995</v>
      </c>
      <c r="AY507" s="346">
        <v>6.4087000000000005</v>
      </c>
      <c r="AZ507" s="346">
        <v>6.5648399999999993</v>
      </c>
      <c r="BA507" s="346">
        <v>9.92624</v>
      </c>
      <c r="BB507" s="346">
        <v>3.8908600000000004</v>
      </c>
      <c r="BC507" s="346">
        <v>7.2127099999999995</v>
      </c>
      <c r="BD507" s="346">
        <v>11.940160000000001</v>
      </c>
      <c r="BE507" s="346">
        <v>7.8524899999999995</v>
      </c>
      <c r="BF507" s="346">
        <v>6.3033999999999999</v>
      </c>
      <c r="BG507" s="346">
        <v>9.6310999999999982</v>
      </c>
      <c r="BH507" s="346">
        <v>8.9015900000000006</v>
      </c>
      <c r="BI507" s="346">
        <v>6.8863400000000006</v>
      </c>
      <c r="BJ507" s="346">
        <v>12.736259999999998</v>
      </c>
      <c r="BK507" s="346">
        <v>6.8386900000000006</v>
      </c>
      <c r="BL507" s="346">
        <v>6.7274400000000005</v>
      </c>
      <c r="BM507" s="346">
        <v>11.473889999999999</v>
      </c>
      <c r="BN507" s="346">
        <v>4.6231400000000002</v>
      </c>
      <c r="BO507" s="346">
        <v>7.8786000000000005</v>
      </c>
      <c r="BP507" s="346">
        <v>15.544739999999999</v>
      </c>
      <c r="BQ507" s="346">
        <v>10.61974</v>
      </c>
      <c r="BR507" s="346">
        <v>8.2699599999999993</v>
      </c>
      <c r="BS507" s="346">
        <v>10.146000000000001</v>
      </c>
      <c r="BT507" s="346">
        <v>12.316799999999999</v>
      </c>
      <c r="BU507" s="346">
        <v>7.6568000000000005</v>
      </c>
      <c r="BV507" s="346">
        <v>15.785179918000001</v>
      </c>
      <c r="BW507" s="346">
        <v>9.2606795280000007</v>
      </c>
      <c r="BX507" s="346">
        <v>9.2829993900000005</v>
      </c>
      <c r="BY507" s="346">
        <v>8.9419516750000003</v>
      </c>
      <c r="BZ507" s="346">
        <v>11.947622678</v>
      </c>
      <c r="CA507" s="346">
        <v>10.937669944</v>
      </c>
      <c r="CB507" s="346">
        <v>13.921963844</v>
      </c>
      <c r="CC507" s="346">
        <v>11.270642650999999</v>
      </c>
      <c r="CD507" s="346">
        <v>9.5264588870000004</v>
      </c>
      <c r="CE507" s="347">
        <f t="shared" ref="CE507:DJ507" si="210">CE221</f>
        <v>13.936504622999999</v>
      </c>
      <c r="CF507" s="346">
        <f t="shared" si="210"/>
        <v>11.813341575999999</v>
      </c>
      <c r="CG507" s="346">
        <f t="shared" si="210"/>
        <v>9.23477733</v>
      </c>
      <c r="CH507" s="346">
        <f t="shared" si="210"/>
        <v>17.873863229000001</v>
      </c>
      <c r="CI507" s="346">
        <f t="shared" si="210"/>
        <v>9.6100636850000001</v>
      </c>
      <c r="CJ507" s="346">
        <f t="shared" si="210"/>
        <v>9.4909907810000007</v>
      </c>
      <c r="CK507" s="346">
        <f t="shared" si="210"/>
        <v>13.397546634999999</v>
      </c>
      <c r="CL507" s="346">
        <f t="shared" si="210"/>
        <v>11.911543522000001</v>
      </c>
      <c r="CM507" s="346">
        <f t="shared" si="210"/>
        <v>10.876740411</v>
      </c>
      <c r="CN507" s="346">
        <f t="shared" si="210"/>
        <v>16.932152925</v>
      </c>
      <c r="CO507" s="346">
        <f t="shared" si="210"/>
        <v>10.857337901999999</v>
      </c>
      <c r="CP507" s="348">
        <f t="shared" si="210"/>
        <v>10.072632434999999</v>
      </c>
      <c r="CQ507" s="346">
        <f t="shared" si="210"/>
        <v>17.570419360999999</v>
      </c>
      <c r="CR507" s="346">
        <f t="shared" si="210"/>
        <v>10.701985407</v>
      </c>
      <c r="CS507" s="346">
        <f t="shared" si="210"/>
        <v>9.9522088459999996</v>
      </c>
      <c r="CT507" s="346">
        <f t="shared" si="210"/>
        <v>18.051411218999998</v>
      </c>
      <c r="CU507" s="346">
        <f t="shared" si="210"/>
        <v>10.525466689</v>
      </c>
      <c r="CV507" s="346">
        <f t="shared" si="210"/>
        <v>10.323074077999999</v>
      </c>
      <c r="CW507" s="346">
        <f t="shared" si="210"/>
        <v>18.217569438999998</v>
      </c>
      <c r="CX507" s="346">
        <f t="shared" si="210"/>
        <v>8.0281047579999996</v>
      </c>
      <c r="CY507" s="346">
        <f t="shared" si="210"/>
        <v>14.898509686000001</v>
      </c>
      <c r="CZ507" s="346">
        <f t="shared" si="210"/>
        <v>16.408704657000001</v>
      </c>
      <c r="DA507" s="346">
        <f t="shared" si="210"/>
        <v>11.926196975</v>
      </c>
      <c r="DB507" s="1479">
        <f t="shared" si="210"/>
        <v>10.564911716999999</v>
      </c>
      <c r="DC507" s="346">
        <f t="shared" si="210"/>
        <v>0</v>
      </c>
      <c r="DD507" s="346">
        <f t="shared" si="210"/>
        <v>0</v>
      </c>
      <c r="DE507" s="346">
        <f t="shared" si="210"/>
        <v>0</v>
      </c>
      <c r="DF507" s="346">
        <f t="shared" si="210"/>
        <v>0</v>
      </c>
      <c r="DG507" s="346">
        <f t="shared" si="210"/>
        <v>0</v>
      </c>
      <c r="DH507" s="346">
        <f t="shared" si="210"/>
        <v>0</v>
      </c>
      <c r="DI507" s="346">
        <f t="shared" si="210"/>
        <v>0</v>
      </c>
      <c r="DJ507" s="346">
        <f t="shared" si="210"/>
        <v>0</v>
      </c>
      <c r="DK507" s="346">
        <f t="shared" ref="DK507:EP507" si="211">DK221</f>
        <v>0</v>
      </c>
      <c r="DL507" s="346">
        <f t="shared" si="211"/>
        <v>0</v>
      </c>
      <c r="DM507" s="346">
        <f t="shared" si="211"/>
        <v>0</v>
      </c>
      <c r="DN507" s="348">
        <f t="shared" si="211"/>
        <v>0</v>
      </c>
      <c r="DO507" s="346">
        <f t="shared" si="211"/>
        <v>0</v>
      </c>
      <c r="DP507" s="346">
        <f t="shared" si="211"/>
        <v>0</v>
      </c>
      <c r="DQ507" s="346">
        <f t="shared" si="211"/>
        <v>0</v>
      </c>
      <c r="DR507" s="346">
        <f t="shared" si="211"/>
        <v>0</v>
      </c>
      <c r="DS507" s="346">
        <f t="shared" si="211"/>
        <v>0</v>
      </c>
      <c r="DT507" s="346">
        <f t="shared" si="211"/>
        <v>0</v>
      </c>
      <c r="DU507" s="346">
        <f t="shared" si="211"/>
        <v>0</v>
      </c>
      <c r="DV507" s="346">
        <f t="shared" si="211"/>
        <v>0</v>
      </c>
      <c r="DW507" s="346">
        <f t="shared" si="211"/>
        <v>0</v>
      </c>
      <c r="DX507" s="346">
        <f t="shared" si="211"/>
        <v>0</v>
      </c>
      <c r="DY507" s="346">
        <f t="shared" si="211"/>
        <v>0</v>
      </c>
      <c r="DZ507" s="348">
        <f t="shared" si="211"/>
        <v>0</v>
      </c>
      <c r="EA507" s="346">
        <f t="shared" si="211"/>
        <v>0</v>
      </c>
      <c r="EB507" s="346">
        <f t="shared" si="211"/>
        <v>0</v>
      </c>
      <c r="EC507" s="346">
        <f t="shared" si="211"/>
        <v>0</v>
      </c>
      <c r="ED507" s="346">
        <f t="shared" si="211"/>
        <v>0</v>
      </c>
      <c r="EE507" s="346">
        <f t="shared" si="211"/>
        <v>0</v>
      </c>
      <c r="EF507" s="346">
        <f t="shared" si="211"/>
        <v>0</v>
      </c>
      <c r="EG507" s="346">
        <f t="shared" si="211"/>
        <v>0</v>
      </c>
      <c r="EH507" s="346">
        <f t="shared" si="211"/>
        <v>0</v>
      </c>
      <c r="EI507" s="346">
        <f t="shared" si="211"/>
        <v>0</v>
      </c>
      <c r="EJ507" s="346">
        <f t="shared" si="211"/>
        <v>0</v>
      </c>
      <c r="EK507" s="346">
        <f t="shared" si="211"/>
        <v>0</v>
      </c>
      <c r="EL507" s="348">
        <f t="shared" si="211"/>
        <v>0</v>
      </c>
      <c r="EM507" s="346">
        <f t="shared" si="211"/>
        <v>0</v>
      </c>
      <c r="EN507" s="346">
        <f t="shared" si="211"/>
        <v>0</v>
      </c>
      <c r="EO507" s="346">
        <f t="shared" si="211"/>
        <v>0</v>
      </c>
      <c r="EP507" s="346">
        <f t="shared" si="211"/>
        <v>0</v>
      </c>
      <c r="EQ507" s="346">
        <f t="shared" ref="EQ507:EX507" si="212">EQ221</f>
        <v>0</v>
      </c>
      <c r="ER507" s="346">
        <f t="shared" si="212"/>
        <v>0</v>
      </c>
      <c r="ES507" s="346">
        <f t="shared" si="212"/>
        <v>0</v>
      </c>
      <c r="ET507" s="346">
        <f t="shared" si="212"/>
        <v>0</v>
      </c>
      <c r="EU507" s="346">
        <f t="shared" si="212"/>
        <v>0</v>
      </c>
      <c r="EV507" s="346">
        <f t="shared" si="212"/>
        <v>0</v>
      </c>
      <c r="EW507" s="346">
        <f t="shared" si="212"/>
        <v>0</v>
      </c>
      <c r="EX507" s="348">
        <f t="shared" si="212"/>
        <v>0</v>
      </c>
      <c r="EY507" s="346"/>
      <c r="EZ507" s="346"/>
      <c r="FA507" s="346"/>
      <c r="FB507" s="346"/>
      <c r="FC507" s="346"/>
      <c r="FD507" s="346"/>
      <c r="FE507" s="346"/>
      <c r="FF507" s="346"/>
      <c r="FG507" s="346"/>
      <c r="FH507" s="346"/>
      <c r="FI507" s="346"/>
      <c r="FJ507" s="348"/>
      <c r="FK507" s="346"/>
      <c r="FL507" s="346"/>
      <c r="FM507" s="346"/>
      <c r="FN507" s="346"/>
      <c r="FO507" s="346"/>
      <c r="FP507" s="346"/>
      <c r="FQ507" s="346"/>
      <c r="FR507" s="346"/>
      <c r="FS507" s="346"/>
      <c r="FT507" s="346"/>
      <c r="FU507" s="346"/>
      <c r="FV507" s="346"/>
      <c r="FW507" s="346"/>
      <c r="FX507" s="346"/>
      <c r="FY507" s="346"/>
      <c r="FZ507" s="346"/>
      <c r="GA507" s="346"/>
      <c r="GB507" s="346"/>
      <c r="GC507" s="346"/>
      <c r="GD507" s="346"/>
      <c r="GE507" s="346"/>
      <c r="GF507" s="346"/>
      <c r="GG507" s="346"/>
      <c r="GH507" s="346"/>
      <c r="GI507" s="346"/>
      <c r="GJ507" s="346"/>
      <c r="GK507" s="346"/>
      <c r="GL507" s="346"/>
      <c r="GM507" s="346"/>
      <c r="GN507" s="346"/>
      <c r="GO507" s="346"/>
      <c r="GP507" s="346"/>
      <c r="GQ507" s="346"/>
      <c r="GR507" s="346"/>
      <c r="GS507" s="346"/>
      <c r="GT507" s="346"/>
      <c r="GU507" s="346"/>
      <c r="GV507" s="346"/>
      <c r="GW507" s="346"/>
      <c r="GX507" s="346"/>
      <c r="GY507" s="346"/>
      <c r="GZ507" s="346"/>
      <c r="HA507" s="346"/>
      <c r="HB507" s="346"/>
      <c r="HC507" s="346"/>
      <c r="HD507" s="346"/>
      <c r="HE507" s="346"/>
      <c r="HF507" s="346"/>
      <c r="HG507" s="346"/>
      <c r="HH507" s="346"/>
      <c r="HI507" s="346"/>
      <c r="HJ507" s="346"/>
      <c r="HK507" s="346"/>
      <c r="HL507" s="346"/>
      <c r="HM507" s="346"/>
      <c r="HN507" s="349"/>
      <c r="HO507" s="351" t="s">
        <v>153</v>
      </c>
      <c r="HP507" s="351"/>
      <c r="HQ507" s="351"/>
      <c r="HR507" s="346">
        <f>+FISC!Z718</f>
        <v>77.256823779999991</v>
      </c>
      <c r="HS507" s="302">
        <f t="shared" si="205"/>
        <v>77.124565599999997</v>
      </c>
      <c r="HT507" s="302">
        <f t="shared" si="206"/>
        <v>80.043997231999995</v>
      </c>
      <c r="HU507" s="346">
        <f t="shared" si="207"/>
        <v>157.16856283200002</v>
      </c>
      <c r="HX507" s="346">
        <v>0</v>
      </c>
      <c r="HY507" s="302">
        <f t="shared" si="208"/>
        <v>0</v>
      </c>
      <c r="HZ507" s="302">
        <f t="shared" si="209"/>
        <v>0</v>
      </c>
      <c r="IA507" s="346">
        <f t="shared" si="103"/>
        <v>0</v>
      </c>
      <c r="IC507" s="350"/>
      <c r="ID507" s="346"/>
      <c r="IG507" s="346"/>
      <c r="IH507" s="350"/>
      <c r="II507" s="350"/>
      <c r="IJ507" s="346">
        <f>+FISC!AE718</f>
        <v>0</v>
      </c>
      <c r="IM507" s="346">
        <f>+FISC!AF718</f>
        <v>0</v>
      </c>
      <c r="IP507" s="346">
        <f>+FISC!AG718</f>
        <v>0</v>
      </c>
      <c r="IQ507" s="302">
        <f>IS507*JI507</f>
        <v>0</v>
      </c>
      <c r="IR507" s="302">
        <f t="shared" si="74"/>
        <v>0</v>
      </c>
      <c r="IS507" s="346">
        <f>+FISC!AH718</f>
        <v>0</v>
      </c>
      <c r="IT507" s="302">
        <f>IV507*JI507</f>
        <v>0</v>
      </c>
      <c r="IU507" s="302">
        <f t="shared" si="75"/>
        <v>0</v>
      </c>
      <c r="IV507" s="346">
        <f>+FISC!AI718</f>
        <v>0</v>
      </c>
      <c r="IW507" s="302">
        <f>IY507*JL507</f>
        <v>0</v>
      </c>
      <c r="IX507" s="302">
        <f t="shared" si="76"/>
        <v>0</v>
      </c>
      <c r="IY507" s="346">
        <f>+FISC!AJ718</f>
        <v>0</v>
      </c>
      <c r="IZ507" s="302">
        <f>JB507*JO507</f>
        <v>0</v>
      </c>
      <c r="JA507" s="302">
        <f t="shared" si="77"/>
        <v>0</v>
      </c>
      <c r="JB507" s="346">
        <f>+FISC!AK718</f>
        <v>0</v>
      </c>
      <c r="JC507" s="346"/>
      <c r="KI507" s="349"/>
      <c r="KJ507" s="350"/>
    </row>
    <row r="508" spans="1:302">
      <c r="A508" s="302"/>
      <c r="B508" s="117" t="s">
        <v>361</v>
      </c>
      <c r="D508" s="351" t="str">
        <f>+FISC!D719</f>
        <v>Contingent</v>
      </c>
      <c r="E508" s="346"/>
      <c r="F508" s="346"/>
      <c r="G508" s="346"/>
      <c r="H508" s="346"/>
      <c r="I508" s="346"/>
      <c r="J508" s="346"/>
      <c r="K508" s="346"/>
      <c r="L508" s="346"/>
      <c r="M508" s="346"/>
      <c r="N508" s="346"/>
      <c r="O508" s="346"/>
      <c r="P508" s="346"/>
      <c r="Q508" s="346"/>
      <c r="R508" s="346"/>
      <c r="S508" s="346"/>
      <c r="T508" s="346"/>
      <c r="U508" s="346"/>
      <c r="V508" s="346"/>
      <c r="W508" s="346"/>
      <c r="X508" s="346"/>
      <c r="Y508" s="346"/>
      <c r="Z508" s="346"/>
      <c r="AA508" s="346"/>
      <c r="AB508" s="346"/>
      <c r="AC508" s="346"/>
      <c r="AD508" s="346"/>
      <c r="AE508" s="346"/>
      <c r="AF508" s="346"/>
      <c r="AG508" s="346"/>
      <c r="AH508" s="346"/>
      <c r="AI508" s="346"/>
      <c r="AJ508" s="346"/>
      <c r="AK508" s="346"/>
      <c r="AL508" s="346"/>
      <c r="AM508" s="346"/>
      <c r="AN508" s="346"/>
      <c r="AO508" s="346"/>
      <c r="AP508" s="346"/>
      <c r="AQ508" s="346"/>
      <c r="AR508" s="346"/>
      <c r="AS508" s="346"/>
      <c r="AT508" s="346"/>
      <c r="AU508" s="346"/>
      <c r="AV508" s="346"/>
      <c r="AW508" s="346"/>
      <c r="AX508" s="346"/>
      <c r="AY508" s="346"/>
      <c r="AZ508" s="346"/>
      <c r="BA508" s="346"/>
      <c r="BB508" s="346"/>
      <c r="BC508" s="346"/>
      <c r="BD508" s="346"/>
      <c r="BE508" s="346"/>
      <c r="BF508" s="346"/>
      <c r="BG508" s="346"/>
      <c r="BH508" s="346"/>
      <c r="BI508" s="346"/>
      <c r="BJ508" s="346"/>
      <c r="BK508" s="346"/>
      <c r="BL508" s="346"/>
      <c r="BM508" s="346"/>
      <c r="BN508" s="346"/>
      <c r="BO508" s="346"/>
      <c r="BP508" s="346"/>
      <c r="BQ508" s="346"/>
      <c r="BR508" s="346"/>
      <c r="BS508" s="346"/>
      <c r="BT508" s="346"/>
      <c r="BU508" s="346"/>
      <c r="BV508" s="346"/>
      <c r="BW508" s="346"/>
      <c r="BX508" s="346"/>
      <c r="BY508" s="346"/>
      <c r="BZ508" s="346"/>
      <c r="CA508" s="346"/>
      <c r="CB508" s="346"/>
      <c r="CC508" s="346"/>
      <c r="CD508" s="346"/>
      <c r="CE508" s="347"/>
      <c r="CF508" s="346"/>
      <c r="CG508" s="346"/>
      <c r="CH508" s="346"/>
      <c r="CI508" s="346"/>
      <c r="CJ508" s="346"/>
      <c r="CK508" s="346"/>
      <c r="CL508" s="346"/>
      <c r="CM508" s="346"/>
      <c r="CN508" s="346"/>
      <c r="CO508" s="346"/>
      <c r="CP508" s="348"/>
      <c r="CQ508" s="346"/>
      <c r="CR508" s="346"/>
      <c r="CS508" s="346"/>
      <c r="CT508" s="346"/>
      <c r="CU508" s="346"/>
      <c r="CV508" s="346"/>
      <c r="CW508" s="346"/>
      <c r="CX508" s="346"/>
      <c r="CY508" s="346"/>
      <c r="CZ508" s="346"/>
      <c r="DA508" s="346"/>
      <c r="DB508" s="1479"/>
      <c r="DC508" s="346"/>
      <c r="DD508" s="346"/>
      <c r="DE508" s="346"/>
      <c r="DF508" s="346"/>
      <c r="DG508" s="346"/>
      <c r="DH508" s="346"/>
      <c r="DI508" s="346"/>
      <c r="DJ508" s="346"/>
      <c r="DK508" s="346"/>
      <c r="DL508" s="346"/>
      <c r="DM508" s="346"/>
      <c r="DN508" s="348"/>
      <c r="DO508" s="346"/>
      <c r="DP508" s="346"/>
      <c r="DQ508" s="346"/>
      <c r="DR508" s="346"/>
      <c r="DS508" s="346"/>
      <c r="DT508" s="346"/>
      <c r="DU508" s="346"/>
      <c r="DV508" s="346"/>
      <c r="DW508" s="346"/>
      <c r="DX508" s="346"/>
      <c r="DY508" s="346"/>
      <c r="DZ508" s="348"/>
      <c r="EA508" s="346"/>
      <c r="EB508" s="346"/>
      <c r="EC508" s="346"/>
      <c r="ED508" s="346"/>
      <c r="EE508" s="346"/>
      <c r="EF508" s="346"/>
      <c r="EG508" s="346"/>
      <c r="EH508" s="346"/>
      <c r="EI508" s="346"/>
      <c r="EJ508" s="346"/>
      <c r="EK508" s="346"/>
      <c r="EL508" s="348"/>
      <c r="EM508" s="346"/>
      <c r="EN508" s="346"/>
      <c r="EO508" s="346"/>
      <c r="EP508" s="346"/>
      <c r="EQ508" s="346"/>
      <c r="ER508" s="346"/>
      <c r="ES508" s="346"/>
      <c r="ET508" s="346"/>
      <c r="EU508" s="346"/>
      <c r="EV508" s="346"/>
      <c r="EW508" s="346"/>
      <c r="EX508" s="348"/>
      <c r="EY508" s="346"/>
      <c r="EZ508" s="346"/>
      <c r="FA508" s="346"/>
      <c r="FB508" s="346"/>
      <c r="FC508" s="346"/>
      <c r="FD508" s="346"/>
      <c r="FE508" s="346"/>
      <c r="FF508" s="346"/>
      <c r="FG508" s="346"/>
      <c r="FH508" s="346"/>
      <c r="FI508" s="346"/>
      <c r="FJ508" s="348"/>
      <c r="FK508" s="346"/>
      <c r="FL508" s="346"/>
      <c r="FM508" s="346"/>
      <c r="FN508" s="346"/>
      <c r="FO508" s="346"/>
      <c r="FP508" s="346"/>
      <c r="FQ508" s="346"/>
      <c r="FR508" s="346"/>
      <c r="FS508" s="346"/>
      <c r="FT508" s="346"/>
      <c r="FU508" s="346"/>
      <c r="FV508" s="346"/>
      <c r="FW508" s="346"/>
      <c r="FX508" s="346"/>
      <c r="FY508" s="346"/>
      <c r="FZ508" s="346"/>
      <c r="GA508" s="346"/>
      <c r="GB508" s="346"/>
      <c r="GC508" s="346"/>
      <c r="GD508" s="346"/>
      <c r="GE508" s="346"/>
      <c r="GF508" s="346"/>
      <c r="GG508" s="346"/>
      <c r="GH508" s="346"/>
      <c r="GI508" s="346"/>
      <c r="GJ508" s="346"/>
      <c r="GK508" s="346"/>
      <c r="GL508" s="346"/>
      <c r="GM508" s="346"/>
      <c r="GN508" s="346"/>
      <c r="GO508" s="346"/>
      <c r="GP508" s="346"/>
      <c r="GQ508" s="346"/>
      <c r="GR508" s="346"/>
      <c r="GS508" s="346"/>
      <c r="GT508" s="346"/>
      <c r="GU508" s="346"/>
      <c r="GV508" s="346"/>
      <c r="GW508" s="346"/>
      <c r="GX508" s="346"/>
      <c r="GY508" s="346"/>
      <c r="GZ508" s="346"/>
      <c r="HA508" s="346"/>
      <c r="HB508" s="346"/>
      <c r="HC508" s="346"/>
      <c r="HD508" s="346"/>
      <c r="HE508" s="346"/>
      <c r="HF508" s="346"/>
      <c r="HG508" s="346"/>
      <c r="HH508" s="346"/>
      <c r="HI508" s="346"/>
      <c r="HJ508" s="346"/>
      <c r="HK508" s="346"/>
      <c r="HL508" s="346"/>
      <c r="HM508" s="346"/>
      <c r="HN508" s="349"/>
      <c r="HO508" s="351" t="s">
        <v>139</v>
      </c>
      <c r="HP508" s="351"/>
      <c r="HQ508" s="351"/>
      <c r="HR508" s="346">
        <f>+FISC!Z719</f>
        <v>0</v>
      </c>
      <c r="HS508" s="302">
        <f t="shared" si="205"/>
        <v>0</v>
      </c>
      <c r="HT508" s="302">
        <f t="shared" si="206"/>
        <v>0</v>
      </c>
      <c r="HU508" s="346">
        <f t="shared" si="207"/>
        <v>0</v>
      </c>
      <c r="HX508" s="346">
        <v>0</v>
      </c>
      <c r="HY508" s="302">
        <f t="shared" si="208"/>
        <v>0</v>
      </c>
      <c r="HZ508" s="302">
        <f t="shared" si="209"/>
        <v>0</v>
      </c>
      <c r="IA508" s="346">
        <f t="shared" si="103"/>
        <v>0</v>
      </c>
      <c r="IC508" s="350"/>
      <c r="ID508" s="346"/>
      <c r="IG508" s="346"/>
      <c r="IH508" s="350"/>
      <c r="II508" s="350"/>
      <c r="IJ508" s="346">
        <f>+FISC!AE719</f>
        <v>0</v>
      </c>
      <c r="IM508" s="346">
        <f>+FISC!AF719</f>
        <v>0</v>
      </c>
      <c r="IP508" s="346">
        <f>+FISC!AG719</f>
        <v>0</v>
      </c>
      <c r="IQ508" s="302">
        <f>IS508*JI508</f>
        <v>0</v>
      </c>
      <c r="IR508" s="302">
        <f t="shared" si="74"/>
        <v>0</v>
      </c>
      <c r="IS508" s="346">
        <f>+FISC!AH719</f>
        <v>0</v>
      </c>
      <c r="IT508" s="302">
        <f>IV508*JI508</f>
        <v>0</v>
      </c>
      <c r="IU508" s="302">
        <f t="shared" si="75"/>
        <v>0</v>
      </c>
      <c r="IV508" s="346">
        <f>+FISC!AI719</f>
        <v>0</v>
      </c>
      <c r="IW508" s="302">
        <f>IY508*JL508</f>
        <v>0</v>
      </c>
      <c r="IX508" s="302">
        <f t="shared" si="76"/>
        <v>0</v>
      </c>
      <c r="IY508" s="346">
        <f>+FISC!AJ719</f>
        <v>0</v>
      </c>
      <c r="IZ508" s="302">
        <f>JB508*JO508</f>
        <v>0</v>
      </c>
      <c r="JA508" s="302">
        <f t="shared" si="77"/>
        <v>0</v>
      </c>
      <c r="JB508" s="346">
        <f>+FISC!AK719</f>
        <v>0</v>
      </c>
      <c r="JC508" s="346"/>
      <c r="KI508" s="349"/>
      <c r="KJ508" s="350"/>
    </row>
    <row r="509" spans="1:302">
      <c r="A509" s="302"/>
      <c r="B509" s="117" t="s">
        <v>361</v>
      </c>
      <c r="D509" s="351" t="str">
        <f>+FISC!D720</f>
        <v>Defense</v>
      </c>
      <c r="E509" s="346"/>
      <c r="F509" s="346"/>
      <c r="G509" s="346"/>
      <c r="H509" s="346"/>
      <c r="I509" s="346"/>
      <c r="J509" s="346"/>
      <c r="K509" s="346"/>
      <c r="L509" s="346"/>
      <c r="M509" s="346"/>
      <c r="N509" s="346"/>
      <c r="O509" s="346"/>
      <c r="P509" s="346"/>
      <c r="Q509" s="346">
        <v>1.8034700000000001</v>
      </c>
      <c r="R509" s="346">
        <v>1.9313499999999999</v>
      </c>
      <c r="S509" s="346">
        <v>1.91794</v>
      </c>
      <c r="T509" s="346">
        <v>2.1207699999999998</v>
      </c>
      <c r="U509" s="346">
        <v>1.9416500000000001</v>
      </c>
      <c r="V509" s="346">
        <v>1.74977</v>
      </c>
      <c r="W509" s="346">
        <v>2.1227</v>
      </c>
      <c r="X509" s="346">
        <v>1.9170699999999998</v>
      </c>
      <c r="Y509" s="346">
        <v>1.8390499999999999</v>
      </c>
      <c r="Z509" s="346">
        <v>1.7877799999999999</v>
      </c>
      <c r="AA509" s="346">
        <v>1.9168800000000001</v>
      </c>
      <c r="AB509" s="346">
        <v>2.1496999999999997</v>
      </c>
      <c r="AC509" s="346">
        <v>2.2504899999999997</v>
      </c>
      <c r="AD509" s="346">
        <v>2.1748799999999999</v>
      </c>
      <c r="AE509" s="346">
        <v>2.1072899999999999</v>
      </c>
      <c r="AF509" s="346">
        <v>2.3100500000000004</v>
      </c>
      <c r="AG509" s="346">
        <v>2.1311999999999998</v>
      </c>
      <c r="AH509" s="346">
        <v>2.0216699999999999</v>
      </c>
      <c r="AI509" s="346">
        <v>2.3778699999999997</v>
      </c>
      <c r="AJ509" s="346">
        <v>2.5775999999999999</v>
      </c>
      <c r="AK509" s="346">
        <v>2.4138099999999998</v>
      </c>
      <c r="AL509" s="346">
        <v>2.3992800000000001</v>
      </c>
      <c r="AM509" s="346">
        <v>2.30477</v>
      </c>
      <c r="AN509" s="346">
        <v>2.47309</v>
      </c>
      <c r="AO509" s="346">
        <v>2.5032299999999998</v>
      </c>
      <c r="AP509" s="346">
        <v>2.4158200000000001</v>
      </c>
      <c r="AQ509" s="346">
        <v>2.4380700000000002</v>
      </c>
      <c r="AR509" s="346">
        <v>2.6290399999999998</v>
      </c>
      <c r="AS509" s="346">
        <v>2.4727100000000002</v>
      </c>
      <c r="AT509" s="346">
        <v>2.4130599999999998</v>
      </c>
      <c r="AU509" s="346">
        <v>2.2510500000000002</v>
      </c>
      <c r="AV509" s="346">
        <v>2.698</v>
      </c>
      <c r="AW509" s="346">
        <v>2.46319</v>
      </c>
      <c r="AX509" s="346">
        <v>2.99566</v>
      </c>
      <c r="AY509" s="346">
        <v>2.9525900000000003</v>
      </c>
      <c r="AZ509" s="346">
        <v>2.7128699999999997</v>
      </c>
      <c r="BA509" s="346">
        <v>2.73977</v>
      </c>
      <c r="BB509" s="346">
        <v>2.7089099999999999</v>
      </c>
      <c r="BC509" s="346">
        <v>2.7097500000000001</v>
      </c>
      <c r="BD509" s="346">
        <v>2.74315</v>
      </c>
      <c r="BE509" s="346">
        <v>2.5900799999999999</v>
      </c>
      <c r="BF509" s="346">
        <v>1.04447</v>
      </c>
      <c r="BG509" s="346">
        <v>2.8788</v>
      </c>
      <c r="BH509" s="346">
        <v>2.6352500000000001</v>
      </c>
      <c r="BI509" s="346">
        <v>3.0728499999999999</v>
      </c>
      <c r="BJ509" s="346">
        <v>2.8861999999999997</v>
      </c>
      <c r="BK509" s="346">
        <v>2.8929999999999998</v>
      </c>
      <c r="BL509" s="346">
        <v>2.6352500000000001</v>
      </c>
      <c r="BM509" s="346">
        <v>2.9212800000000003</v>
      </c>
      <c r="BN509" s="346">
        <v>3.11036</v>
      </c>
      <c r="BO509" s="346">
        <v>2.8689899999999997</v>
      </c>
      <c r="BP509" s="346">
        <v>2.9196399999999998</v>
      </c>
      <c r="BQ509" s="346">
        <v>2.8694999999999999</v>
      </c>
      <c r="BR509" s="346">
        <v>2.8681300000000003</v>
      </c>
      <c r="BS509" s="346">
        <v>3.1113000000000004</v>
      </c>
      <c r="BT509" s="346">
        <v>2.8256000000000001</v>
      </c>
      <c r="BU509" s="346">
        <v>2.8210000000000002</v>
      </c>
      <c r="BV509" s="346">
        <v>3.3594289449999999</v>
      </c>
      <c r="BW509" s="346">
        <v>3.1229821420000001</v>
      </c>
      <c r="BX509" s="346">
        <v>3.06276145</v>
      </c>
      <c r="BY509" s="346">
        <v>3.3396436070000002</v>
      </c>
      <c r="BZ509" s="346">
        <v>2.9997923270000002</v>
      </c>
      <c r="CA509" s="346">
        <v>3.5253506309999998</v>
      </c>
      <c r="CB509" s="346">
        <v>3.3415827849999999</v>
      </c>
      <c r="CC509" s="346">
        <v>3.198035425</v>
      </c>
      <c r="CD509" s="346">
        <v>3.1972616299999999</v>
      </c>
      <c r="CE509" s="347">
        <f t="shared" ref="CE509:DJ509" si="213">CE220</f>
        <v>3.0580970779999999</v>
      </c>
      <c r="CF509" s="346">
        <f t="shared" si="213"/>
        <v>3.4830667009999998</v>
      </c>
      <c r="CG509" s="346">
        <f t="shared" si="213"/>
        <v>3.550329638</v>
      </c>
      <c r="CH509" s="346">
        <f t="shared" si="213"/>
        <v>3.648968956</v>
      </c>
      <c r="CI509" s="346">
        <f t="shared" si="213"/>
        <v>4.1364914749999997</v>
      </c>
      <c r="CJ509" s="346">
        <f t="shared" si="213"/>
        <v>3.036364002</v>
      </c>
      <c r="CK509" s="346">
        <f t="shared" si="213"/>
        <v>3.908229205</v>
      </c>
      <c r="CL509" s="346">
        <f t="shared" si="213"/>
        <v>3.3496332610000001</v>
      </c>
      <c r="CM509" s="346">
        <f t="shared" si="213"/>
        <v>3.349825407</v>
      </c>
      <c r="CN509" s="346">
        <f t="shared" si="213"/>
        <v>3.6429534540000001</v>
      </c>
      <c r="CO509" s="346">
        <f t="shared" si="213"/>
        <v>3.350320682</v>
      </c>
      <c r="CP509" s="348">
        <f t="shared" si="213"/>
        <v>3.3502945510000002</v>
      </c>
      <c r="CQ509" s="346">
        <f t="shared" si="213"/>
        <v>6.8139577850000004</v>
      </c>
      <c r="CR509" s="346">
        <f t="shared" si="213"/>
        <v>3.7736912230000002</v>
      </c>
      <c r="CS509" s="346">
        <f t="shared" si="213"/>
        <v>3.523673541</v>
      </c>
      <c r="CT509" s="346">
        <f t="shared" si="213"/>
        <v>3.7408800260000001</v>
      </c>
      <c r="CU509" s="346">
        <f t="shared" si="213"/>
        <v>3.5379927549999999</v>
      </c>
      <c r="CV509" s="346">
        <f t="shared" si="213"/>
        <v>3.2726724200000001</v>
      </c>
      <c r="CW509" s="346">
        <f t="shared" si="213"/>
        <v>3.8472440190000001</v>
      </c>
      <c r="CX509" s="346">
        <f t="shared" si="213"/>
        <v>3.44767242</v>
      </c>
      <c r="CY509" s="346">
        <f t="shared" si="213"/>
        <v>3.8040478590000002</v>
      </c>
      <c r="CZ509" s="346">
        <f t="shared" si="213"/>
        <v>3.7577844109999998</v>
      </c>
      <c r="DA509" s="346">
        <f t="shared" si="213"/>
        <v>3.5394204669999998</v>
      </c>
      <c r="DB509" s="1479">
        <f t="shared" si="213"/>
        <v>3.539596489</v>
      </c>
      <c r="DC509" s="346">
        <f t="shared" si="213"/>
        <v>0</v>
      </c>
      <c r="DD509" s="346">
        <f t="shared" si="213"/>
        <v>0</v>
      </c>
      <c r="DE509" s="346">
        <f t="shared" si="213"/>
        <v>0</v>
      </c>
      <c r="DF509" s="346">
        <f t="shared" si="213"/>
        <v>0</v>
      </c>
      <c r="DG509" s="346">
        <f t="shared" si="213"/>
        <v>0</v>
      </c>
      <c r="DH509" s="346">
        <f t="shared" si="213"/>
        <v>0</v>
      </c>
      <c r="DI509" s="346">
        <f t="shared" si="213"/>
        <v>0</v>
      </c>
      <c r="DJ509" s="346">
        <f t="shared" si="213"/>
        <v>0</v>
      </c>
      <c r="DK509" s="346">
        <f t="shared" ref="DK509:EP509" si="214">DK220</f>
        <v>0</v>
      </c>
      <c r="DL509" s="346">
        <f t="shared" si="214"/>
        <v>0</v>
      </c>
      <c r="DM509" s="346">
        <f t="shared" si="214"/>
        <v>0</v>
      </c>
      <c r="DN509" s="348">
        <f t="shared" si="214"/>
        <v>0</v>
      </c>
      <c r="DO509" s="346">
        <f t="shared" si="214"/>
        <v>0</v>
      </c>
      <c r="DP509" s="346">
        <f t="shared" si="214"/>
        <v>0</v>
      </c>
      <c r="DQ509" s="346">
        <f t="shared" si="214"/>
        <v>0</v>
      </c>
      <c r="DR509" s="346">
        <f t="shared" si="214"/>
        <v>0</v>
      </c>
      <c r="DS509" s="346">
        <f t="shared" si="214"/>
        <v>0</v>
      </c>
      <c r="DT509" s="346">
        <f t="shared" si="214"/>
        <v>0</v>
      </c>
      <c r="DU509" s="346">
        <f t="shared" si="214"/>
        <v>0</v>
      </c>
      <c r="DV509" s="346">
        <f t="shared" si="214"/>
        <v>0</v>
      </c>
      <c r="DW509" s="346">
        <f t="shared" si="214"/>
        <v>0</v>
      </c>
      <c r="DX509" s="346">
        <f t="shared" si="214"/>
        <v>0</v>
      </c>
      <c r="DY509" s="346">
        <f t="shared" si="214"/>
        <v>0</v>
      </c>
      <c r="DZ509" s="348">
        <f t="shared" si="214"/>
        <v>0</v>
      </c>
      <c r="EA509" s="346">
        <f t="shared" si="214"/>
        <v>0</v>
      </c>
      <c r="EB509" s="346">
        <f t="shared" si="214"/>
        <v>0</v>
      </c>
      <c r="EC509" s="346">
        <f t="shared" si="214"/>
        <v>0</v>
      </c>
      <c r="ED509" s="346">
        <f t="shared" si="214"/>
        <v>0</v>
      </c>
      <c r="EE509" s="346">
        <f t="shared" si="214"/>
        <v>0</v>
      </c>
      <c r="EF509" s="346">
        <f t="shared" si="214"/>
        <v>0</v>
      </c>
      <c r="EG509" s="346">
        <f t="shared" si="214"/>
        <v>0</v>
      </c>
      <c r="EH509" s="346">
        <f t="shared" si="214"/>
        <v>0</v>
      </c>
      <c r="EI509" s="346">
        <f t="shared" si="214"/>
        <v>0</v>
      </c>
      <c r="EJ509" s="346">
        <f t="shared" si="214"/>
        <v>0</v>
      </c>
      <c r="EK509" s="346">
        <f t="shared" si="214"/>
        <v>0</v>
      </c>
      <c r="EL509" s="348">
        <f t="shared" si="214"/>
        <v>0</v>
      </c>
      <c r="EM509" s="346">
        <f t="shared" si="214"/>
        <v>0</v>
      </c>
      <c r="EN509" s="346">
        <f t="shared" si="214"/>
        <v>0</v>
      </c>
      <c r="EO509" s="346">
        <f t="shared" si="214"/>
        <v>0</v>
      </c>
      <c r="EP509" s="346">
        <f t="shared" si="214"/>
        <v>0</v>
      </c>
      <c r="EQ509" s="346">
        <f t="shared" ref="EQ509:EX509" si="215">EQ220</f>
        <v>0</v>
      </c>
      <c r="ER509" s="346">
        <f t="shared" si="215"/>
        <v>0</v>
      </c>
      <c r="ES509" s="346">
        <f t="shared" si="215"/>
        <v>0</v>
      </c>
      <c r="ET509" s="346">
        <f t="shared" si="215"/>
        <v>0</v>
      </c>
      <c r="EU509" s="346">
        <f t="shared" si="215"/>
        <v>0</v>
      </c>
      <c r="EV509" s="346">
        <f t="shared" si="215"/>
        <v>0</v>
      </c>
      <c r="EW509" s="346">
        <f t="shared" si="215"/>
        <v>0</v>
      </c>
      <c r="EX509" s="348">
        <f t="shared" si="215"/>
        <v>0</v>
      </c>
      <c r="EY509" s="346"/>
      <c r="EZ509" s="346"/>
      <c r="FA509" s="346"/>
      <c r="FB509" s="346"/>
      <c r="FC509" s="346"/>
      <c r="FD509" s="346"/>
      <c r="FE509" s="346"/>
      <c r="FF509" s="346"/>
      <c r="FG509" s="346"/>
      <c r="FH509" s="346"/>
      <c r="FI509" s="346"/>
      <c r="FJ509" s="348"/>
      <c r="FK509" s="346"/>
      <c r="FL509" s="346"/>
      <c r="FM509" s="346"/>
      <c r="FN509" s="346"/>
      <c r="FO509" s="346"/>
      <c r="FP509" s="346"/>
      <c r="FQ509" s="346"/>
      <c r="FR509" s="346"/>
      <c r="FS509" s="346"/>
      <c r="FT509" s="346"/>
      <c r="FU509" s="346"/>
      <c r="FV509" s="346"/>
      <c r="FW509" s="346"/>
      <c r="FX509" s="346"/>
      <c r="FY509" s="346"/>
      <c r="FZ509" s="346"/>
      <c r="GA509" s="346"/>
      <c r="GB509" s="346"/>
      <c r="GC509" s="346"/>
      <c r="GD509" s="346"/>
      <c r="GE509" s="346"/>
      <c r="GF509" s="346"/>
      <c r="GG509" s="346"/>
      <c r="GH509" s="346"/>
      <c r="GI509" s="346"/>
      <c r="GJ509" s="346"/>
      <c r="GK509" s="346"/>
      <c r="GL509" s="346"/>
      <c r="GM509" s="346"/>
      <c r="GN509" s="346"/>
      <c r="GO509" s="346"/>
      <c r="GP509" s="346"/>
      <c r="GQ509" s="346"/>
      <c r="GR509" s="346"/>
      <c r="GS509" s="346"/>
      <c r="GT509" s="346"/>
      <c r="GU509" s="346"/>
      <c r="GV509" s="346"/>
      <c r="GW509" s="346"/>
      <c r="GX509" s="346"/>
      <c r="GY509" s="346"/>
      <c r="GZ509" s="346"/>
      <c r="HA509" s="346"/>
      <c r="HB509" s="346"/>
      <c r="HC509" s="346"/>
      <c r="HD509" s="346"/>
      <c r="HE509" s="346"/>
      <c r="HF509" s="346"/>
      <c r="HG509" s="346"/>
      <c r="HH509" s="346"/>
      <c r="HI509" s="346"/>
      <c r="HJ509" s="346"/>
      <c r="HK509" s="346"/>
      <c r="HL509" s="346"/>
      <c r="HM509" s="346"/>
      <c r="HN509" s="349"/>
      <c r="HO509" s="351" t="s">
        <v>154</v>
      </c>
      <c r="HP509" s="351"/>
      <c r="HQ509" s="351"/>
      <c r="HR509" s="346">
        <f>+FISC!Z720</f>
        <v>24.66286775</v>
      </c>
      <c r="HS509" s="302">
        <f t="shared" si="205"/>
        <v>24.66286775</v>
      </c>
      <c r="HT509" s="302">
        <f t="shared" si="206"/>
        <v>21.935765665000002</v>
      </c>
      <c r="HU509" s="346">
        <f t="shared" si="207"/>
        <v>46.598633415000002</v>
      </c>
      <c r="HX509" s="346">
        <v>0</v>
      </c>
      <c r="HY509" s="302">
        <f t="shared" si="208"/>
        <v>0</v>
      </c>
      <c r="HZ509" s="302">
        <f t="shared" si="209"/>
        <v>0</v>
      </c>
      <c r="IA509" s="346">
        <f t="shared" si="103"/>
        <v>0</v>
      </c>
      <c r="IC509" s="350"/>
      <c r="ID509" s="346"/>
      <c r="IG509" s="346"/>
      <c r="IH509" s="350"/>
      <c r="II509" s="350"/>
      <c r="IJ509" s="346">
        <f>+FISC!AE720</f>
        <v>0</v>
      </c>
      <c r="IM509" s="346">
        <f>+FISC!AF720</f>
        <v>0</v>
      </c>
      <c r="IP509" s="346">
        <f>+FISC!AG720</f>
        <v>0</v>
      </c>
      <c r="IQ509" s="302">
        <f>IS509*JI509</f>
        <v>0</v>
      </c>
      <c r="IR509" s="302">
        <f t="shared" si="74"/>
        <v>0</v>
      </c>
      <c r="IS509" s="346">
        <f>+FISC!AH720</f>
        <v>0</v>
      </c>
      <c r="IT509" s="302">
        <f>IV509*JI509</f>
        <v>0</v>
      </c>
      <c r="IU509" s="302">
        <f t="shared" si="75"/>
        <v>0</v>
      </c>
      <c r="IV509" s="346">
        <f>+FISC!AI720</f>
        <v>0</v>
      </c>
      <c r="IW509" s="302">
        <f>IY509*JL509</f>
        <v>0</v>
      </c>
      <c r="IX509" s="302">
        <f t="shared" si="76"/>
        <v>0</v>
      </c>
      <c r="IY509" s="346">
        <f>+FISC!AJ720</f>
        <v>0</v>
      </c>
      <c r="IZ509" s="302">
        <f>JB509*JO509</f>
        <v>0</v>
      </c>
      <c r="JA509" s="302">
        <f t="shared" si="77"/>
        <v>0</v>
      </c>
      <c r="JB509" s="346">
        <f>+FISC!AK720</f>
        <v>0</v>
      </c>
      <c r="JC509" s="346"/>
      <c r="KI509" s="349"/>
      <c r="KJ509" s="350"/>
    </row>
    <row r="510" spans="1:302">
      <c r="A510" s="302"/>
      <c r="B510" s="117" t="s">
        <v>361</v>
      </c>
      <c r="D510" s="345" t="str">
        <f>+FISC!D721</f>
        <v>Purchases of goods and services</v>
      </c>
      <c r="E510" s="346">
        <v>5.6357299999999997</v>
      </c>
      <c r="F510" s="346">
        <v>7.29861</v>
      </c>
      <c r="G510" s="346">
        <v>4.0281000000000002</v>
      </c>
      <c r="H510" s="346">
        <v>7.35867</v>
      </c>
      <c r="I510" s="346">
        <v>3.9830900000000002</v>
      </c>
      <c r="J510" s="346">
        <v>2.4160500000000003</v>
      </c>
      <c r="K510" s="346">
        <v>10.281829999999999</v>
      </c>
      <c r="L510" s="346">
        <v>6.2792599999999998</v>
      </c>
      <c r="M510" s="346">
        <v>5.4855700000000001</v>
      </c>
      <c r="N510" s="346">
        <v>5.4785300000000001</v>
      </c>
      <c r="O510" s="346">
        <v>16.68282</v>
      </c>
      <c r="P510" s="346">
        <v>2.5840000000000001</v>
      </c>
      <c r="Q510" s="346">
        <v>6.1954899999999995</v>
      </c>
      <c r="R510" s="346">
        <v>5.7633900000000002</v>
      </c>
      <c r="S510" s="346">
        <v>5.7297799999999999</v>
      </c>
      <c r="T510" s="346">
        <v>7.7635500000000013</v>
      </c>
      <c r="U510" s="346">
        <v>5.2256999999999998</v>
      </c>
      <c r="V510" s="346">
        <v>4.4461499999999994</v>
      </c>
      <c r="W510" s="346">
        <v>11.737629999999998</v>
      </c>
      <c r="X510" s="346">
        <v>4.6911199999999997</v>
      </c>
      <c r="Y510" s="346">
        <v>5.3663699999999999</v>
      </c>
      <c r="Z510" s="346">
        <v>14.14696</v>
      </c>
      <c r="AA510" s="346">
        <v>6.8656199999999998</v>
      </c>
      <c r="AB510" s="346">
        <v>2.3950900000000002</v>
      </c>
      <c r="AC510" s="346">
        <v>11.639849999999999</v>
      </c>
      <c r="AD510" s="346">
        <v>7.2937399999999997</v>
      </c>
      <c r="AE510" s="346">
        <v>8.51633</v>
      </c>
      <c r="AF510" s="346">
        <v>11.4025</v>
      </c>
      <c r="AG510" s="346">
        <v>9.9958399999999994</v>
      </c>
      <c r="AH510" s="346">
        <v>9.8377599999999994</v>
      </c>
      <c r="AI510" s="346">
        <v>9.0902000000000012</v>
      </c>
      <c r="AJ510" s="346">
        <v>8.8153100000000002</v>
      </c>
      <c r="AK510" s="346">
        <v>4.5741400000000008</v>
      </c>
      <c r="AL510" s="346">
        <v>9.3064400000000003</v>
      </c>
      <c r="AM510" s="346">
        <v>8.2408999999999999</v>
      </c>
      <c r="AN510" s="346">
        <v>6.0934900000000001</v>
      </c>
      <c r="AO510" s="346">
        <v>10.967409999999999</v>
      </c>
      <c r="AP510" s="346">
        <v>7.2308899999999996</v>
      </c>
      <c r="AQ510" s="346">
        <v>12.15211</v>
      </c>
      <c r="AR510" s="346">
        <v>9.3626100000000001</v>
      </c>
      <c r="AS510" s="346">
        <v>16.880669999999999</v>
      </c>
      <c r="AT510" s="346">
        <v>4.4855200000000002</v>
      </c>
      <c r="AU510" s="346">
        <v>5.7478500000000006</v>
      </c>
      <c r="AV510" s="346">
        <v>10.29313</v>
      </c>
      <c r="AW510" s="346">
        <v>8.5791599999999999</v>
      </c>
      <c r="AX510" s="346">
        <v>13.0532</v>
      </c>
      <c r="AY510" s="346">
        <v>11.61861</v>
      </c>
      <c r="AZ510" s="346">
        <v>8.2889799999999987</v>
      </c>
      <c r="BA510" s="346">
        <v>10.8988</v>
      </c>
      <c r="BB510" s="346">
        <v>8.1732899999999997</v>
      </c>
      <c r="BC510" s="346">
        <v>6.3601599999999996</v>
      </c>
      <c r="BD510" s="346">
        <v>17.488209999999999</v>
      </c>
      <c r="BE510" s="346">
        <v>18.1113</v>
      </c>
      <c r="BF510" s="346">
        <v>6.6344399999999997</v>
      </c>
      <c r="BG510" s="346">
        <v>8.7004999999999999</v>
      </c>
      <c r="BH510" s="346">
        <v>15.98391</v>
      </c>
      <c r="BI510" s="346">
        <v>10.69234</v>
      </c>
      <c r="BJ510" s="346">
        <v>16.578340000000001</v>
      </c>
      <c r="BK510" s="346">
        <v>9.3813700000000004</v>
      </c>
      <c r="BL510" s="346">
        <v>7.8756599999999999</v>
      </c>
      <c r="BM510" s="346">
        <v>13.461139999999999</v>
      </c>
      <c r="BN510" s="346">
        <v>10.60441</v>
      </c>
      <c r="BO510" s="346">
        <v>8.1162600000000005</v>
      </c>
      <c r="BP510" s="346">
        <v>20.40185</v>
      </c>
      <c r="BQ510" s="346">
        <v>21.77994</v>
      </c>
      <c r="BR510" s="346">
        <v>8.4724799999999991</v>
      </c>
      <c r="BS510" s="346">
        <v>12.441599999999999</v>
      </c>
      <c r="BT510" s="346">
        <v>8.3486000000000011</v>
      </c>
      <c r="BU510" s="346">
        <v>5.9755000000000003</v>
      </c>
      <c r="BV510" s="346">
        <v>17.443907538000001</v>
      </c>
      <c r="BW510" s="346">
        <v>10.159151058000001</v>
      </c>
      <c r="BX510" s="346">
        <v>6.9713928459999996</v>
      </c>
      <c r="BY510" s="346">
        <v>13.47067966</v>
      </c>
      <c r="BZ510" s="346">
        <v>15.015137985000001</v>
      </c>
      <c r="CA510" s="346">
        <v>9.8163805380000007</v>
      </c>
      <c r="CB510" s="346">
        <v>15.291779931000001</v>
      </c>
      <c r="CC510" s="346">
        <v>18.609652870000001</v>
      </c>
      <c r="CD510" s="346">
        <v>11.053052539999999</v>
      </c>
      <c r="CE510" s="347">
        <f t="shared" ref="CE510:DJ510" si="216">CE222</f>
        <v>11.973839774</v>
      </c>
      <c r="CF510" s="346">
        <f t="shared" si="216"/>
        <v>8.460472008</v>
      </c>
      <c r="CG510" s="346">
        <f t="shared" si="216"/>
        <v>10.756931573999999</v>
      </c>
      <c r="CH510" s="346">
        <f t="shared" si="216"/>
        <v>15.969647987</v>
      </c>
      <c r="CI510" s="346">
        <f t="shared" si="216"/>
        <v>9.6369806679999996</v>
      </c>
      <c r="CJ510" s="346">
        <f t="shared" si="216"/>
        <v>7.5783808190000004</v>
      </c>
      <c r="CK510" s="346">
        <f t="shared" si="216"/>
        <v>18.50854756</v>
      </c>
      <c r="CL510" s="346">
        <f t="shared" si="216"/>
        <v>9.8280426120000008</v>
      </c>
      <c r="CM510" s="346">
        <f t="shared" si="216"/>
        <v>10.716758257</v>
      </c>
      <c r="CN510" s="346">
        <f t="shared" si="216"/>
        <v>16.706219817000001</v>
      </c>
      <c r="CO510" s="346">
        <f t="shared" si="216"/>
        <v>15.358612858000001</v>
      </c>
      <c r="CP510" s="348">
        <f t="shared" si="216"/>
        <v>7.0216506660000002</v>
      </c>
      <c r="CQ510" s="346">
        <f t="shared" si="216"/>
        <v>16.388526584000001</v>
      </c>
      <c r="CR510" s="346">
        <f t="shared" si="216"/>
        <v>13.251808939</v>
      </c>
      <c r="CS510" s="346">
        <f t="shared" si="216"/>
        <v>14.393685036999999</v>
      </c>
      <c r="CT510" s="346">
        <f t="shared" si="216"/>
        <v>18.078245930000001</v>
      </c>
      <c r="CU510" s="346">
        <f t="shared" si="216"/>
        <v>13.379108058</v>
      </c>
      <c r="CV510" s="346">
        <f t="shared" si="216"/>
        <v>24.687432243</v>
      </c>
      <c r="CW510" s="346">
        <f t="shared" si="216"/>
        <v>23.120048399000002</v>
      </c>
      <c r="CX510" s="346">
        <f t="shared" si="216"/>
        <v>11.707696149</v>
      </c>
      <c r="CY510" s="346">
        <f t="shared" si="216"/>
        <v>20.064160621999999</v>
      </c>
      <c r="CZ510" s="346">
        <f t="shared" si="216"/>
        <v>13.566068809000001</v>
      </c>
      <c r="DA510" s="346">
        <f t="shared" si="216"/>
        <v>15.207758555</v>
      </c>
      <c r="DB510" s="1479">
        <f t="shared" si="216"/>
        <v>6.012899032</v>
      </c>
      <c r="DC510" s="346">
        <f t="shared" si="216"/>
        <v>15.315699127</v>
      </c>
      <c r="DD510" s="346">
        <f t="shared" si="216"/>
        <v>19.601054483999999</v>
      </c>
      <c r="DE510" s="346">
        <f t="shared" si="216"/>
        <v>12.228546647</v>
      </c>
      <c r="DF510" s="346">
        <f t="shared" si="216"/>
        <v>23.176438959999999</v>
      </c>
      <c r="DG510" s="346">
        <f t="shared" si="216"/>
        <v>11.650523166999999</v>
      </c>
      <c r="DH510" s="346">
        <f t="shared" si="216"/>
        <v>17.726570696</v>
      </c>
      <c r="DI510" s="346">
        <f t="shared" si="216"/>
        <v>19.911141094000001</v>
      </c>
      <c r="DJ510" s="346">
        <f t="shared" si="216"/>
        <v>10.867269656</v>
      </c>
      <c r="DK510" s="346">
        <f t="shared" ref="DK510:EP510" si="217">DK222</f>
        <v>16.740908356999999</v>
      </c>
      <c r="DL510" s="346">
        <f t="shared" si="217"/>
        <v>12.706009720999999</v>
      </c>
      <c r="DM510" s="346">
        <f t="shared" si="217"/>
        <v>12.952371539</v>
      </c>
      <c r="DN510" s="348">
        <f t="shared" si="217"/>
        <v>7.7448793619999998</v>
      </c>
      <c r="DO510" s="346">
        <f t="shared" si="217"/>
        <v>19.603173823999999</v>
      </c>
      <c r="DP510" s="346">
        <f t="shared" si="217"/>
        <v>23.254240544000002</v>
      </c>
      <c r="DQ510" s="346">
        <f t="shared" si="217"/>
        <v>12.083861908999999</v>
      </c>
      <c r="DR510" s="346">
        <f t="shared" si="217"/>
        <v>25.767375555000001</v>
      </c>
      <c r="DS510" s="346">
        <f t="shared" si="217"/>
        <v>9.8346446059999995</v>
      </c>
      <c r="DT510" s="346">
        <f t="shared" si="217"/>
        <v>8.6299415439999994</v>
      </c>
      <c r="DU510" s="346">
        <f t="shared" si="217"/>
        <v>25.084539389</v>
      </c>
      <c r="DV510" s="346">
        <f t="shared" si="217"/>
        <v>12.670331827</v>
      </c>
      <c r="DW510" s="346">
        <f t="shared" si="217"/>
        <v>11.810988330000001</v>
      </c>
      <c r="DX510" s="346">
        <f t="shared" si="217"/>
        <v>21.695334284000001</v>
      </c>
      <c r="DY510" s="346">
        <f t="shared" si="217"/>
        <v>18.773221575000001</v>
      </c>
      <c r="DZ510" s="348">
        <f t="shared" si="217"/>
        <v>29.944219717999999</v>
      </c>
      <c r="EA510" s="346">
        <f t="shared" si="217"/>
        <v>29.944219717999999</v>
      </c>
      <c r="EB510" s="346">
        <f t="shared" si="217"/>
        <v>16.777167303999999</v>
      </c>
      <c r="EC510" s="346">
        <f t="shared" si="217"/>
        <v>20.330724265000001</v>
      </c>
      <c r="ED510" s="346">
        <f t="shared" si="217"/>
        <v>15.904849377</v>
      </c>
      <c r="EE510" s="346">
        <f t="shared" si="217"/>
        <v>17.680046376</v>
      </c>
      <c r="EF510" s="346">
        <f t="shared" si="217"/>
        <v>17.112941378999999</v>
      </c>
      <c r="EG510" s="346">
        <f t="shared" si="217"/>
        <v>15.585146095000001</v>
      </c>
      <c r="EH510" s="346">
        <f t="shared" si="217"/>
        <v>13.420272141</v>
      </c>
      <c r="EI510" s="346">
        <f t="shared" si="217"/>
        <v>18.415957964</v>
      </c>
      <c r="EJ510" s="346">
        <f t="shared" si="217"/>
        <v>24.476168367</v>
      </c>
      <c r="EK510" s="346">
        <f t="shared" si="217"/>
        <v>21.665859222000002</v>
      </c>
      <c r="EL510" s="348">
        <f t="shared" si="217"/>
        <v>4.9673091940000003</v>
      </c>
      <c r="EM510" s="346">
        <f t="shared" si="217"/>
        <v>28.141431067999999</v>
      </c>
      <c r="EN510" s="346">
        <f t="shared" si="217"/>
        <v>15.436150675</v>
      </c>
      <c r="EO510" s="346">
        <f t="shared" si="217"/>
        <v>16.633843982999998</v>
      </c>
      <c r="EP510" s="346">
        <f t="shared" si="217"/>
        <v>20.538649782</v>
      </c>
      <c r="EQ510" s="346">
        <f t="shared" ref="EQ510:EX510" si="218">EQ222</f>
        <v>21.425074646999999</v>
      </c>
      <c r="ER510" s="346">
        <f t="shared" si="218"/>
        <v>16.093008045000001</v>
      </c>
      <c r="ES510" s="346">
        <f t="shared" si="218"/>
        <v>20.661565843000002</v>
      </c>
      <c r="ET510" s="346">
        <f t="shared" si="218"/>
        <v>13.080870481</v>
      </c>
      <c r="EU510" s="346">
        <f t="shared" si="218"/>
        <v>23.831020044999999</v>
      </c>
      <c r="EV510" s="346">
        <f t="shared" si="218"/>
        <v>19.384197674999999</v>
      </c>
      <c r="EW510" s="346">
        <f t="shared" si="218"/>
        <v>24.3705575</v>
      </c>
      <c r="EX510" s="348">
        <f t="shared" si="218"/>
        <v>10.255814616</v>
      </c>
      <c r="EY510" s="346"/>
      <c r="EZ510" s="346"/>
      <c r="FA510" s="346"/>
      <c r="FB510" s="346"/>
      <c r="FC510" s="346"/>
      <c r="FD510" s="346"/>
      <c r="FE510" s="346"/>
      <c r="FF510" s="346"/>
      <c r="FG510" s="346"/>
      <c r="FH510" s="346"/>
      <c r="FI510" s="346"/>
      <c r="FJ510" s="348"/>
      <c r="FK510" s="346"/>
      <c r="FL510" s="346"/>
      <c r="FM510" s="346"/>
      <c r="FN510" s="346"/>
      <c r="FO510" s="346"/>
      <c r="FP510" s="346"/>
      <c r="FQ510" s="346"/>
      <c r="FR510" s="346"/>
      <c r="FS510" s="346"/>
      <c r="FT510" s="346"/>
      <c r="FU510" s="346"/>
      <c r="FV510" s="346"/>
      <c r="FW510" s="346"/>
      <c r="FX510" s="346"/>
      <c r="FY510" s="346"/>
      <c r="FZ510" s="346"/>
      <c r="GA510" s="346"/>
      <c r="GB510" s="346"/>
      <c r="GC510" s="346"/>
      <c r="GD510" s="346"/>
      <c r="GE510" s="346"/>
      <c r="GF510" s="346"/>
      <c r="GG510" s="346"/>
      <c r="GH510" s="346"/>
      <c r="GI510" s="346"/>
      <c r="GJ510" s="346"/>
      <c r="GK510" s="346"/>
      <c r="GL510" s="346"/>
      <c r="GM510" s="346"/>
      <c r="GN510" s="346"/>
      <c r="GO510" s="346"/>
      <c r="GP510" s="346"/>
      <c r="GQ510" s="346"/>
      <c r="GR510" s="346"/>
      <c r="GS510" s="346"/>
      <c r="GT510" s="346"/>
      <c r="GU510" s="346"/>
      <c r="GV510" s="346"/>
      <c r="GW510" s="346"/>
      <c r="GX510" s="346"/>
      <c r="GY510" s="346"/>
      <c r="GZ510" s="346"/>
      <c r="HA510" s="346"/>
      <c r="HB510" s="346"/>
      <c r="HC510" s="346"/>
      <c r="HD510" s="346"/>
      <c r="HE510" s="346"/>
      <c r="HF510" s="346"/>
      <c r="HG510" s="346"/>
      <c r="HH510" s="346"/>
      <c r="HI510" s="346"/>
      <c r="HJ510" s="346"/>
      <c r="HK510" s="346"/>
      <c r="HL510" s="346"/>
      <c r="HM510" s="346"/>
      <c r="HN510" s="349"/>
      <c r="HO510" s="345" t="s">
        <v>84</v>
      </c>
      <c r="HP510" s="345"/>
      <c r="HQ510" s="345"/>
      <c r="HR510" s="346">
        <f>+FISC!Z721</f>
        <v>159.5</v>
      </c>
      <c r="HS510" s="302">
        <f t="shared" si="205"/>
        <v>100.17880679100001</v>
      </c>
      <c r="HT510" s="302">
        <f t="shared" si="206"/>
        <v>89.678631566000007</v>
      </c>
      <c r="HU510" s="346">
        <f t="shared" si="207"/>
        <v>189.85743835700001</v>
      </c>
      <c r="HV510" s="302">
        <f>+SUM(DC510:DH510)</f>
        <v>99.698833081000004</v>
      </c>
      <c r="HW510" s="302">
        <f>+SUM(DI510:DN510)</f>
        <v>80.922579729000006</v>
      </c>
      <c r="HX510" s="346">
        <f>HV510+HW510</f>
        <v>180.62141281000001</v>
      </c>
      <c r="HY510" s="302">
        <f t="shared" si="208"/>
        <v>99.173237982000003</v>
      </c>
      <c r="HZ510" s="302">
        <f t="shared" si="209"/>
        <v>119.978635123</v>
      </c>
      <c r="IA510" s="346">
        <f t="shared" si="103"/>
        <v>219.15187310499999</v>
      </c>
      <c r="IB510" s="302">
        <f>117.749948419</f>
        <v>117.74994841900001</v>
      </c>
      <c r="IC510" s="302">
        <f>ID510-IB510</f>
        <v>98.530712982999987</v>
      </c>
      <c r="ID510" s="346">
        <f>FISC!AC721</f>
        <v>216.28066140199999</v>
      </c>
      <c r="IE510" s="302">
        <f>SUM(EM510:ER510)</f>
        <v>118.2681582</v>
      </c>
      <c r="IF510" s="302">
        <f>SUM(ES510:EX510)</f>
        <v>111.58402615999999</v>
      </c>
      <c r="IG510" s="346">
        <f t="shared" si="201"/>
        <v>229.85218436</v>
      </c>
      <c r="IH510" s="350" t="e">
        <f>((IJ510/2)*0+#REF!)*0+143.812382955</f>
        <v>#REF!</v>
      </c>
      <c r="II510" s="302" t="e">
        <f>+IJ510-IH510</f>
        <v>#REF!</v>
      </c>
      <c r="IJ510" s="346">
        <f>+FISC!AE721</f>
        <v>328.54582443162445</v>
      </c>
      <c r="IK510" s="350">
        <f>(IM510/2)*0+144.092511932764</f>
        <v>144.09251193276401</v>
      </c>
      <c r="IL510" s="302">
        <f t="shared" si="85"/>
        <v>199.05003043293294</v>
      </c>
      <c r="IM510" s="346">
        <f>+FISC!AF721</f>
        <v>343.14254236569695</v>
      </c>
      <c r="IN510" s="350">
        <f>(IP510*0.49)</f>
        <v>331.74754426511856</v>
      </c>
      <c r="IO510" s="302">
        <f t="shared" si="154"/>
        <v>345.28826035757243</v>
      </c>
      <c r="IP510" s="346">
        <f>+FISC!AG721</f>
        <v>677.03580462269099</v>
      </c>
      <c r="IQ510" s="350">
        <f>IS510*0.49</f>
        <v>388.56413618688737</v>
      </c>
      <c r="IR510" s="302">
        <f t="shared" si="74"/>
        <v>404.42389684757666</v>
      </c>
      <c r="IS510" s="346">
        <f>+FISC!AH721</f>
        <v>792.98803303446402</v>
      </c>
      <c r="IT510" s="350">
        <f>IV510*0.3</f>
        <v>302.51001454136332</v>
      </c>
      <c r="IU510" s="302">
        <f t="shared" si="75"/>
        <v>705.85670059651443</v>
      </c>
      <c r="IV510" s="346">
        <f>+FISC!AI721</f>
        <v>1008.3667151378778</v>
      </c>
      <c r="IW510" s="350">
        <f>IY510*0.35</f>
        <v>352.92835029825721</v>
      </c>
      <c r="IX510" s="302">
        <f t="shared" si="76"/>
        <v>655.43836483962059</v>
      </c>
      <c r="IY510" s="346">
        <f>+FISC!AJ721</f>
        <v>1008.3667151378778</v>
      </c>
      <c r="IZ510" s="350" t="e">
        <f>JB510*0.35</f>
        <v>#DIV/0!</v>
      </c>
      <c r="JA510" s="302" t="e">
        <f t="shared" si="77"/>
        <v>#DIV/0!</v>
      </c>
      <c r="JB510" s="346" t="e">
        <f>+FISC!AK721</f>
        <v>#DIV/0!</v>
      </c>
      <c r="JC510" s="346"/>
      <c r="KI510" s="349"/>
      <c r="KJ510" s="350"/>
      <c r="KK510" s="302">
        <v>117.75778365815847</v>
      </c>
    </row>
    <row r="511" spans="1:302">
      <c r="A511" s="302"/>
      <c r="B511" s="117" t="s">
        <v>361</v>
      </c>
      <c r="D511" s="351" t="str">
        <f>+FISC!D722</f>
        <v>Civil</v>
      </c>
      <c r="E511" s="346"/>
      <c r="F511" s="346"/>
      <c r="G511" s="346"/>
      <c r="H511" s="346"/>
      <c r="I511" s="346"/>
      <c r="J511" s="346"/>
      <c r="K511" s="346"/>
      <c r="L511" s="346"/>
      <c r="M511" s="346"/>
      <c r="N511" s="346"/>
      <c r="O511" s="346"/>
      <c r="P511" s="346"/>
      <c r="Q511" s="346">
        <v>5.0955999999999992</v>
      </c>
      <c r="R511" s="346">
        <v>4.180530000000001</v>
      </c>
      <c r="S511" s="346">
        <v>4.7060900000000006</v>
      </c>
      <c r="T511" s="346">
        <v>5.0347700000000009</v>
      </c>
      <c r="U511" s="346">
        <v>4.6315399999999993</v>
      </c>
      <c r="V511" s="346">
        <v>4.9569699999999992</v>
      </c>
      <c r="W511" s="346">
        <v>6.2370400000000004</v>
      </c>
      <c r="X511" s="346">
        <v>4.8950800000000001</v>
      </c>
      <c r="Y511" s="346">
        <v>5.3131799999999991</v>
      </c>
      <c r="Z511" s="346">
        <v>7.3115500000000004</v>
      </c>
      <c r="AA511" s="346">
        <v>4.4512999999999998</v>
      </c>
      <c r="AB511" s="346">
        <v>4.1667899999999998</v>
      </c>
      <c r="AC511" s="346">
        <v>8.5027299999999997</v>
      </c>
      <c r="AD511" s="346">
        <v>4.50509</v>
      </c>
      <c r="AE511" s="346">
        <v>5.3710499999999994</v>
      </c>
      <c r="AF511" s="346">
        <v>8.1655599999999993</v>
      </c>
      <c r="AG511" s="346">
        <v>9.875</v>
      </c>
      <c r="AH511" s="346">
        <v>9.7331000000000003</v>
      </c>
      <c r="AI511" s="346">
        <v>7.4682200000000014</v>
      </c>
      <c r="AJ511" s="346">
        <v>7.9169900000000002</v>
      </c>
      <c r="AK511" s="346">
        <v>3.9094400000000005</v>
      </c>
      <c r="AL511" s="346">
        <v>7.66059</v>
      </c>
      <c r="AM511" s="346">
        <v>7.6080800000000002</v>
      </c>
      <c r="AN511" s="346">
        <v>5.7248299999999999</v>
      </c>
      <c r="AO511" s="346">
        <v>9.49681</v>
      </c>
      <c r="AP511" s="346">
        <v>6.7534099999999997</v>
      </c>
      <c r="AQ511" s="346">
        <v>11.52481</v>
      </c>
      <c r="AR511" s="346">
        <v>8.1194199999999999</v>
      </c>
      <c r="AS511" s="346">
        <v>14.619609999999998</v>
      </c>
      <c r="AT511" s="346">
        <v>4.361320000000001</v>
      </c>
      <c r="AU511" s="346">
        <v>4.5089500000000005</v>
      </c>
      <c r="AV511" s="346">
        <v>9.1996999999999982</v>
      </c>
      <c r="AW511" s="346">
        <v>7.9746699999999997</v>
      </c>
      <c r="AX511" s="346">
        <v>12.172700000000001</v>
      </c>
      <c r="AY511" s="346">
        <v>9.8059000000000012</v>
      </c>
      <c r="AZ511" s="346">
        <v>7.1328499999999995</v>
      </c>
      <c r="BA511" s="346">
        <v>9.9666899999999981</v>
      </c>
      <c r="BB511" s="346">
        <v>7.2759999999999998</v>
      </c>
      <c r="BC511" s="346">
        <v>5.6681299999999997</v>
      </c>
      <c r="BD511" s="346">
        <v>15.520619999999999</v>
      </c>
      <c r="BE511" s="346">
        <v>16.732099999999999</v>
      </c>
      <c r="BF511" s="346">
        <v>4.7274899999999995</v>
      </c>
      <c r="BG511" s="346">
        <v>7.2808700000000002</v>
      </c>
      <c r="BH511" s="346">
        <v>14.386089999999999</v>
      </c>
      <c r="BI511" s="346">
        <v>9.1120900000000002</v>
      </c>
      <c r="BJ511" s="346">
        <v>14.919371</v>
      </c>
      <c r="BK511" s="346">
        <v>7.7477000000000009</v>
      </c>
      <c r="BL511" s="346">
        <v>7.0542600000000002</v>
      </c>
      <c r="BM511" s="346">
        <v>12.091209999999998</v>
      </c>
      <c r="BN511" s="346">
        <v>8.9886100000000013</v>
      </c>
      <c r="BO511" s="346">
        <v>7.1527700000000003</v>
      </c>
      <c r="BP511" s="346">
        <v>18.828049999999998</v>
      </c>
      <c r="BQ511" s="346">
        <v>20.238569999999999</v>
      </c>
      <c r="BR511" s="346">
        <v>8.3461800000000004</v>
      </c>
      <c r="BS511" s="346">
        <v>10.920299999999999</v>
      </c>
      <c r="BT511" s="346">
        <v>6.944</v>
      </c>
      <c r="BU511" s="346">
        <v>5.0617999999999999</v>
      </c>
      <c r="BV511" s="346">
        <v>16.052918440999999</v>
      </c>
      <c r="BW511" s="346">
        <v>9.2840441410000007</v>
      </c>
      <c r="BX511" s="346">
        <v>6.5254512990000002</v>
      </c>
      <c r="BY511" s="346">
        <v>12.140567535000001</v>
      </c>
      <c r="BZ511" s="346">
        <v>14.123892112</v>
      </c>
      <c r="CA511" s="346">
        <v>8.8819897720000007</v>
      </c>
      <c r="CB511" s="346">
        <v>14.202760727999999</v>
      </c>
      <c r="CC511" s="346">
        <v>16.117608057000002</v>
      </c>
      <c r="CD511" s="346">
        <v>10.886109635</v>
      </c>
      <c r="CE511" s="347">
        <f t="shared" ref="CE511:DJ511" si="219">CE224</f>
        <v>10.672157445</v>
      </c>
      <c r="CF511" s="346">
        <f t="shared" si="219"/>
        <v>7.2126176060000002</v>
      </c>
      <c r="CG511" s="346">
        <f t="shared" si="219"/>
        <v>8.8960489329999994</v>
      </c>
      <c r="CH511" s="346">
        <f t="shared" si="219"/>
        <v>14.570506622</v>
      </c>
      <c r="CI511" s="346">
        <f t="shared" si="219"/>
        <v>8.6522121159999994</v>
      </c>
      <c r="CJ511" s="346">
        <f t="shared" si="219"/>
        <v>6.7688775769999996</v>
      </c>
      <c r="CK511" s="346">
        <f t="shared" si="219"/>
        <v>16.890932417999998</v>
      </c>
      <c r="CL511" s="346">
        <f t="shared" si="219"/>
        <v>8.8908036090000007</v>
      </c>
      <c r="CM511" s="346">
        <f t="shared" si="219"/>
        <v>9.9248151149999995</v>
      </c>
      <c r="CN511" s="346">
        <f t="shared" si="219"/>
        <v>15.047475840000001</v>
      </c>
      <c r="CO511" s="346">
        <f t="shared" si="219"/>
        <v>14.454390439000001</v>
      </c>
      <c r="CP511" s="348">
        <f t="shared" si="219"/>
        <v>6.8866506660000004</v>
      </c>
      <c r="CQ511" s="346">
        <f t="shared" si="219"/>
        <v>14.510452170000001</v>
      </c>
      <c r="CR511" s="346">
        <f t="shared" si="219"/>
        <v>11.880214497000001</v>
      </c>
      <c r="CS511" s="346">
        <f t="shared" si="219"/>
        <v>12.947816491999999</v>
      </c>
      <c r="CT511" s="346">
        <f t="shared" si="219"/>
        <v>16.478249809000001</v>
      </c>
      <c r="CU511" s="346">
        <f t="shared" si="219"/>
        <v>11.742887497</v>
      </c>
      <c r="CV511" s="346">
        <f t="shared" si="219"/>
        <v>23.287388139000001</v>
      </c>
      <c r="CW511" s="346">
        <f t="shared" si="219"/>
        <v>21.573183339</v>
      </c>
      <c r="CX511" s="346">
        <f t="shared" si="219"/>
        <v>10.222559206</v>
      </c>
      <c r="CY511" s="346">
        <f t="shared" si="219"/>
        <v>18.507970660000002</v>
      </c>
      <c r="CZ511" s="346">
        <f t="shared" si="219"/>
        <v>12.259095933999999</v>
      </c>
      <c r="DA511" s="346">
        <f t="shared" si="219"/>
        <v>12.203852091</v>
      </c>
      <c r="DB511" s="1479">
        <f t="shared" si="219"/>
        <v>5.3575851300000004</v>
      </c>
      <c r="DC511" s="346">
        <f t="shared" si="219"/>
        <v>0</v>
      </c>
      <c r="DD511" s="346">
        <f t="shared" si="219"/>
        <v>0</v>
      </c>
      <c r="DE511" s="346">
        <f t="shared" si="219"/>
        <v>0</v>
      </c>
      <c r="DF511" s="346">
        <f t="shared" si="219"/>
        <v>0</v>
      </c>
      <c r="DG511" s="346">
        <f t="shared" si="219"/>
        <v>0</v>
      </c>
      <c r="DH511" s="346">
        <f t="shared" si="219"/>
        <v>0</v>
      </c>
      <c r="DI511" s="346">
        <f t="shared" si="219"/>
        <v>0</v>
      </c>
      <c r="DJ511" s="346">
        <f t="shared" si="219"/>
        <v>0</v>
      </c>
      <c r="DK511" s="346">
        <f t="shared" ref="DK511:EP511" si="220">DK224</f>
        <v>0</v>
      </c>
      <c r="DL511" s="346">
        <f t="shared" si="220"/>
        <v>0</v>
      </c>
      <c r="DM511" s="346">
        <f t="shared" si="220"/>
        <v>0</v>
      </c>
      <c r="DN511" s="348">
        <f t="shared" si="220"/>
        <v>0</v>
      </c>
      <c r="DO511" s="346">
        <f t="shared" si="220"/>
        <v>0</v>
      </c>
      <c r="DP511" s="346">
        <f t="shared" si="220"/>
        <v>0</v>
      </c>
      <c r="DQ511" s="346">
        <f t="shared" si="220"/>
        <v>0</v>
      </c>
      <c r="DR511" s="346">
        <f t="shared" si="220"/>
        <v>0</v>
      </c>
      <c r="DS511" s="346">
        <f t="shared" si="220"/>
        <v>0</v>
      </c>
      <c r="DT511" s="346">
        <f t="shared" si="220"/>
        <v>0</v>
      </c>
      <c r="DU511" s="346">
        <f t="shared" si="220"/>
        <v>0</v>
      </c>
      <c r="DV511" s="346">
        <f t="shared" si="220"/>
        <v>0</v>
      </c>
      <c r="DW511" s="346">
        <f t="shared" si="220"/>
        <v>0</v>
      </c>
      <c r="DX511" s="346">
        <f t="shared" si="220"/>
        <v>0</v>
      </c>
      <c r="DY511" s="346">
        <f t="shared" si="220"/>
        <v>0</v>
      </c>
      <c r="DZ511" s="348">
        <f t="shared" si="220"/>
        <v>0</v>
      </c>
      <c r="EA511" s="346">
        <f t="shared" si="220"/>
        <v>0</v>
      </c>
      <c r="EB511" s="346">
        <f t="shared" si="220"/>
        <v>0</v>
      </c>
      <c r="EC511" s="346">
        <f t="shared" si="220"/>
        <v>0</v>
      </c>
      <c r="ED511" s="346">
        <f t="shared" si="220"/>
        <v>0</v>
      </c>
      <c r="EE511" s="346">
        <f t="shared" si="220"/>
        <v>0</v>
      </c>
      <c r="EF511" s="346">
        <f t="shared" si="220"/>
        <v>0</v>
      </c>
      <c r="EG511" s="346">
        <f t="shared" si="220"/>
        <v>0</v>
      </c>
      <c r="EH511" s="346">
        <f t="shared" si="220"/>
        <v>0</v>
      </c>
      <c r="EI511" s="346">
        <f t="shared" si="220"/>
        <v>0</v>
      </c>
      <c r="EJ511" s="346">
        <f t="shared" si="220"/>
        <v>0</v>
      </c>
      <c r="EK511" s="346">
        <f t="shared" si="220"/>
        <v>0</v>
      </c>
      <c r="EL511" s="348">
        <f t="shared" si="220"/>
        <v>0</v>
      </c>
      <c r="EM511" s="346">
        <f t="shared" si="220"/>
        <v>0</v>
      </c>
      <c r="EN511" s="346">
        <f t="shared" si="220"/>
        <v>0</v>
      </c>
      <c r="EO511" s="346">
        <f t="shared" si="220"/>
        <v>0</v>
      </c>
      <c r="EP511" s="346">
        <f t="shared" si="220"/>
        <v>0</v>
      </c>
      <c r="EQ511" s="346">
        <f t="shared" ref="EQ511:EX511" si="221">EQ224</f>
        <v>0</v>
      </c>
      <c r="ER511" s="346">
        <f t="shared" si="221"/>
        <v>0</v>
      </c>
      <c r="ES511" s="346">
        <f t="shared" si="221"/>
        <v>0</v>
      </c>
      <c r="ET511" s="346">
        <f t="shared" si="221"/>
        <v>0</v>
      </c>
      <c r="EU511" s="346">
        <f t="shared" si="221"/>
        <v>0</v>
      </c>
      <c r="EV511" s="346">
        <f t="shared" si="221"/>
        <v>0</v>
      </c>
      <c r="EW511" s="346">
        <f t="shared" si="221"/>
        <v>0</v>
      </c>
      <c r="EX511" s="348">
        <f t="shared" si="221"/>
        <v>0</v>
      </c>
      <c r="EY511" s="346"/>
      <c r="EZ511" s="346"/>
      <c r="FA511" s="346"/>
      <c r="FB511" s="346"/>
      <c r="FC511" s="346"/>
      <c r="FD511" s="346"/>
      <c r="FE511" s="346"/>
      <c r="FF511" s="346"/>
      <c r="FG511" s="346"/>
      <c r="FH511" s="346"/>
      <c r="FI511" s="346"/>
      <c r="FJ511" s="348"/>
      <c r="FK511" s="346"/>
      <c r="FL511" s="346"/>
      <c r="FM511" s="346"/>
      <c r="FN511" s="346"/>
      <c r="FO511" s="346"/>
      <c r="FP511" s="346"/>
      <c r="FQ511" s="346"/>
      <c r="FR511" s="346"/>
      <c r="FS511" s="346"/>
      <c r="FT511" s="346"/>
      <c r="FU511" s="346"/>
      <c r="FV511" s="346"/>
      <c r="FW511" s="346"/>
      <c r="FX511" s="346"/>
      <c r="FY511" s="346"/>
      <c r="FZ511" s="346"/>
      <c r="GA511" s="346"/>
      <c r="GB511" s="346"/>
      <c r="GC511" s="346"/>
      <c r="GD511" s="346"/>
      <c r="GE511" s="346"/>
      <c r="GF511" s="346"/>
      <c r="GG511" s="346"/>
      <c r="GH511" s="346"/>
      <c r="GI511" s="346"/>
      <c r="GJ511" s="346"/>
      <c r="GK511" s="346"/>
      <c r="GL511" s="346"/>
      <c r="GM511" s="346"/>
      <c r="GN511" s="346"/>
      <c r="GO511" s="346"/>
      <c r="GP511" s="346"/>
      <c r="GQ511" s="346"/>
      <c r="GR511" s="346"/>
      <c r="GS511" s="346"/>
      <c r="GT511" s="346"/>
      <c r="GU511" s="346"/>
      <c r="GV511" s="346"/>
      <c r="GW511" s="346"/>
      <c r="GX511" s="346"/>
      <c r="GY511" s="346"/>
      <c r="GZ511" s="346"/>
      <c r="HA511" s="346"/>
      <c r="HB511" s="346"/>
      <c r="HC511" s="346"/>
      <c r="HD511" s="346"/>
      <c r="HE511" s="346"/>
      <c r="HF511" s="346"/>
      <c r="HG511" s="346"/>
      <c r="HH511" s="346"/>
      <c r="HI511" s="346"/>
      <c r="HJ511" s="346"/>
      <c r="HK511" s="346"/>
      <c r="HL511" s="346"/>
      <c r="HM511" s="346"/>
      <c r="HN511" s="349"/>
      <c r="HO511" s="351" t="s">
        <v>153</v>
      </c>
      <c r="HP511" s="351"/>
      <c r="HQ511" s="351"/>
      <c r="HR511" s="346"/>
      <c r="HS511" s="302">
        <f t="shared" si="205"/>
        <v>90.847008603999996</v>
      </c>
      <c r="HT511" s="302">
        <f t="shared" si="206"/>
        <v>80.124246360000001</v>
      </c>
      <c r="HU511" s="346">
        <f t="shared" si="207"/>
        <v>170.97125496399997</v>
      </c>
      <c r="HX511" s="346"/>
      <c r="HY511" s="302">
        <f t="shared" si="208"/>
        <v>0</v>
      </c>
      <c r="HZ511" s="302">
        <f t="shared" si="209"/>
        <v>0</v>
      </c>
      <c r="IA511" s="346">
        <f t="shared" si="103"/>
        <v>0</v>
      </c>
      <c r="IC511" s="350"/>
      <c r="ID511" s="346"/>
      <c r="IG511" s="346"/>
      <c r="IH511" s="350"/>
      <c r="II511" s="350"/>
      <c r="IJ511" s="346"/>
      <c r="IK511" s="302">
        <f>IM511*JI511</f>
        <v>0</v>
      </c>
      <c r="IL511" s="302">
        <f t="shared" si="85"/>
        <v>0</v>
      </c>
      <c r="IM511" s="346"/>
      <c r="IN511" s="302">
        <f>IP511*JI511</f>
        <v>0</v>
      </c>
      <c r="IO511" s="302">
        <f t="shared" si="154"/>
        <v>0</v>
      </c>
      <c r="IP511" s="346"/>
      <c r="IQ511" s="302">
        <f>IS511*JI511</f>
        <v>0</v>
      </c>
      <c r="IR511" s="302">
        <f t="shared" si="74"/>
        <v>0</v>
      </c>
      <c r="IS511" s="346"/>
      <c r="IT511" s="302">
        <f>IV511*JI511</f>
        <v>0</v>
      </c>
      <c r="IU511" s="302">
        <f t="shared" si="75"/>
        <v>0</v>
      </c>
      <c r="IV511" s="346"/>
      <c r="IW511" s="302">
        <f>IY511*JL511</f>
        <v>0</v>
      </c>
      <c r="IX511" s="302">
        <f t="shared" si="76"/>
        <v>0</v>
      </c>
      <c r="IY511" s="346"/>
      <c r="IZ511" s="302">
        <f>JB511*JO511</f>
        <v>0</v>
      </c>
      <c r="JA511" s="302">
        <f t="shared" si="77"/>
        <v>0</v>
      </c>
      <c r="JB511" s="346"/>
      <c r="JC511" s="346"/>
      <c r="KI511" s="349"/>
      <c r="KJ511" s="350"/>
    </row>
    <row r="512" spans="1:302">
      <c r="A512" s="302"/>
      <c r="B512" s="117" t="s">
        <v>361</v>
      </c>
      <c r="D512" s="351" t="str">
        <f>+FISC!D725</f>
        <v>FER</v>
      </c>
      <c r="E512" s="346"/>
      <c r="F512" s="346"/>
      <c r="G512" s="346"/>
      <c r="H512" s="346"/>
      <c r="I512" s="346"/>
      <c r="J512" s="346"/>
      <c r="K512" s="346"/>
      <c r="L512" s="346"/>
      <c r="M512" s="346"/>
      <c r="N512" s="346"/>
      <c r="O512" s="346"/>
      <c r="P512" s="346"/>
      <c r="Q512" s="346"/>
      <c r="R512" s="346"/>
      <c r="S512" s="346"/>
      <c r="T512" s="346"/>
      <c r="U512" s="346"/>
      <c r="V512" s="346"/>
      <c r="W512" s="346"/>
      <c r="X512" s="346"/>
      <c r="Y512" s="346"/>
      <c r="Z512" s="346"/>
      <c r="AA512" s="346"/>
      <c r="AB512" s="346"/>
      <c r="AC512" s="346"/>
      <c r="AD512" s="346"/>
      <c r="AE512" s="346"/>
      <c r="AF512" s="346"/>
      <c r="AG512" s="346"/>
      <c r="AH512" s="346"/>
      <c r="AI512" s="346"/>
      <c r="AJ512" s="346"/>
      <c r="AK512" s="346"/>
      <c r="AL512" s="346"/>
      <c r="AM512" s="346"/>
      <c r="AN512" s="346"/>
      <c r="AO512" s="346"/>
      <c r="AP512" s="346"/>
      <c r="AQ512" s="346"/>
      <c r="AR512" s="346"/>
      <c r="AS512" s="346"/>
      <c r="AT512" s="346"/>
      <c r="AU512" s="346"/>
      <c r="AV512" s="346"/>
      <c r="AW512" s="346"/>
      <c r="AX512" s="346"/>
      <c r="AY512" s="346"/>
      <c r="AZ512" s="346"/>
      <c r="BA512" s="346"/>
      <c r="BB512" s="346"/>
      <c r="BC512" s="346"/>
      <c r="BD512" s="346"/>
      <c r="BE512" s="346"/>
      <c r="BF512" s="346"/>
      <c r="BG512" s="346"/>
      <c r="BH512" s="346"/>
      <c r="BI512" s="346"/>
      <c r="BJ512" s="346"/>
      <c r="BK512" s="346"/>
      <c r="BL512" s="346"/>
      <c r="BM512" s="346"/>
      <c r="BN512" s="346"/>
      <c r="BO512" s="346"/>
      <c r="BP512" s="346"/>
      <c r="BQ512" s="346"/>
      <c r="BR512" s="346"/>
      <c r="BS512" s="346"/>
      <c r="BT512" s="346"/>
      <c r="BU512" s="346"/>
      <c r="BV512" s="346"/>
      <c r="BW512" s="346"/>
      <c r="BX512" s="346"/>
      <c r="BY512" s="346"/>
      <c r="BZ512" s="346"/>
      <c r="CA512" s="346"/>
      <c r="CB512" s="346"/>
      <c r="CC512" s="346"/>
      <c r="CD512" s="346"/>
      <c r="CE512" s="347"/>
      <c r="CF512" s="346"/>
      <c r="CG512" s="346"/>
      <c r="CH512" s="346"/>
      <c r="CI512" s="346"/>
      <c r="CJ512" s="346"/>
      <c r="CK512" s="346"/>
      <c r="CL512" s="346"/>
      <c r="CM512" s="346"/>
      <c r="CN512" s="346"/>
      <c r="CO512" s="346"/>
      <c r="CP512" s="348"/>
      <c r="CQ512" s="346"/>
      <c r="CR512" s="346"/>
      <c r="CS512" s="346"/>
      <c r="CT512" s="346"/>
      <c r="CU512" s="346"/>
      <c r="CV512" s="346"/>
      <c r="CW512" s="346"/>
      <c r="CX512" s="346"/>
      <c r="CY512" s="346"/>
      <c r="CZ512" s="346"/>
      <c r="DA512" s="346"/>
      <c r="DB512" s="1479"/>
      <c r="DC512" s="346"/>
      <c r="DD512" s="346"/>
      <c r="DE512" s="346"/>
      <c r="DF512" s="346"/>
      <c r="DG512" s="346"/>
      <c r="DH512" s="346"/>
      <c r="DI512" s="346"/>
      <c r="DJ512" s="346"/>
      <c r="DK512" s="346"/>
      <c r="DL512" s="346"/>
      <c r="DM512" s="346"/>
      <c r="DN512" s="348"/>
      <c r="DO512" s="346"/>
      <c r="DP512" s="346"/>
      <c r="DQ512" s="346"/>
      <c r="DR512" s="346"/>
      <c r="DS512" s="346"/>
      <c r="DT512" s="346"/>
      <c r="DU512" s="346"/>
      <c r="DV512" s="346"/>
      <c r="DW512" s="346"/>
      <c r="DX512" s="346"/>
      <c r="DY512" s="346"/>
      <c r="DZ512" s="348"/>
      <c r="EA512" s="346"/>
      <c r="EB512" s="346"/>
      <c r="EC512" s="346"/>
      <c r="ED512" s="346"/>
      <c r="EE512" s="346"/>
      <c r="EF512" s="346"/>
      <c r="EG512" s="346"/>
      <c r="EH512" s="346"/>
      <c r="EI512" s="346"/>
      <c r="EJ512" s="346"/>
      <c r="EK512" s="346"/>
      <c r="EL512" s="348"/>
      <c r="EM512" s="346"/>
      <c r="EN512" s="346"/>
      <c r="EO512" s="346"/>
      <c r="EP512" s="346"/>
      <c r="EQ512" s="346"/>
      <c r="ER512" s="346"/>
      <c r="ES512" s="346"/>
      <c r="ET512" s="346"/>
      <c r="EU512" s="346"/>
      <c r="EV512" s="346"/>
      <c r="EW512" s="346"/>
      <c r="EX512" s="348"/>
      <c r="EY512" s="346"/>
      <c r="EZ512" s="346"/>
      <c r="FA512" s="346"/>
      <c r="FB512" s="346"/>
      <c r="FC512" s="346"/>
      <c r="FD512" s="346"/>
      <c r="FE512" s="346"/>
      <c r="FF512" s="346"/>
      <c r="FG512" s="346"/>
      <c r="FH512" s="346"/>
      <c r="FI512" s="346"/>
      <c r="FJ512" s="348"/>
      <c r="FK512" s="346"/>
      <c r="FL512" s="346"/>
      <c r="FM512" s="346"/>
      <c r="FN512" s="346"/>
      <c r="FO512" s="346"/>
      <c r="FP512" s="346"/>
      <c r="FQ512" s="346"/>
      <c r="FR512" s="346"/>
      <c r="FS512" s="346"/>
      <c r="FT512" s="346"/>
      <c r="FU512" s="346"/>
      <c r="FV512" s="346"/>
      <c r="FW512" s="346"/>
      <c r="FX512" s="346"/>
      <c r="FY512" s="346"/>
      <c r="FZ512" s="346"/>
      <c r="GA512" s="346"/>
      <c r="GB512" s="346"/>
      <c r="GC512" s="346"/>
      <c r="GD512" s="346"/>
      <c r="GE512" s="346"/>
      <c r="GF512" s="346"/>
      <c r="GG512" s="346"/>
      <c r="GH512" s="346"/>
      <c r="GI512" s="346"/>
      <c r="GJ512" s="346"/>
      <c r="GK512" s="346"/>
      <c r="GL512" s="346"/>
      <c r="GM512" s="346"/>
      <c r="GN512" s="346"/>
      <c r="GO512" s="346"/>
      <c r="GP512" s="346"/>
      <c r="GQ512" s="346"/>
      <c r="GR512" s="346"/>
      <c r="GS512" s="346"/>
      <c r="GT512" s="346"/>
      <c r="GU512" s="346"/>
      <c r="GV512" s="346"/>
      <c r="GW512" s="346"/>
      <c r="GX512" s="346"/>
      <c r="GY512" s="346"/>
      <c r="GZ512" s="346"/>
      <c r="HA512" s="346"/>
      <c r="HB512" s="346"/>
      <c r="HC512" s="346"/>
      <c r="HD512" s="346"/>
      <c r="HE512" s="346"/>
      <c r="HF512" s="346"/>
      <c r="HG512" s="346"/>
      <c r="HH512" s="346"/>
      <c r="HI512" s="346"/>
      <c r="HJ512" s="346"/>
      <c r="HK512" s="346"/>
      <c r="HL512" s="346"/>
      <c r="HM512" s="346"/>
      <c r="HN512" s="349"/>
      <c r="HO512" s="351" t="s">
        <v>915</v>
      </c>
      <c r="HP512" s="351"/>
      <c r="HQ512" s="351"/>
      <c r="HR512" s="346"/>
      <c r="HS512" s="302">
        <f t="shared" si="205"/>
        <v>0</v>
      </c>
      <c r="HT512" s="302">
        <f t="shared" si="206"/>
        <v>0</v>
      </c>
      <c r="HU512" s="346">
        <f t="shared" si="207"/>
        <v>0</v>
      </c>
      <c r="HX512" s="346"/>
      <c r="HY512" s="302">
        <f>+HY192</f>
        <v>22.827138431000002</v>
      </c>
      <c r="HZ512" s="579">
        <f>+HZ192</f>
        <v>21.740352604999998</v>
      </c>
      <c r="IA512" s="346">
        <f t="shared" si="103"/>
        <v>44.567491036</v>
      </c>
      <c r="IB512" s="302">
        <f>+ID512/2</f>
        <v>23.758723343</v>
      </c>
      <c r="IC512" s="302">
        <f>+ID512-IB512</f>
        <v>23.758723343</v>
      </c>
      <c r="ID512" s="346">
        <f>FISC!AC725</f>
        <v>47.517446686</v>
      </c>
      <c r="IE512" s="302">
        <f>SUM(EM512:ER512)</f>
        <v>0</v>
      </c>
      <c r="IF512" s="302">
        <f>SUM(ES512:EX512)</f>
        <v>0</v>
      </c>
      <c r="IG512" s="346">
        <f t="shared" si="201"/>
        <v>0</v>
      </c>
      <c r="IH512" s="302">
        <f>+(IJ514/2)*0+28.860089286</f>
        <v>28.860089286000001</v>
      </c>
      <c r="II512" s="302">
        <f>+IJ514-IH512</f>
        <v>122.91192620705553</v>
      </c>
      <c r="IK512" s="350">
        <f>IM512/2</f>
        <v>3.7271444644999998</v>
      </c>
      <c r="IL512" s="302">
        <f t="shared" si="85"/>
        <v>3.7271444644999998</v>
      </c>
      <c r="IM512" s="346">
        <f>+FISC!AF724</f>
        <v>7.4542889289999996</v>
      </c>
      <c r="IN512" s="350">
        <f>IP512/2</f>
        <v>0</v>
      </c>
      <c r="IO512" s="302">
        <f t="shared" si="154"/>
        <v>0</v>
      </c>
      <c r="IP512" s="346">
        <f>+FISC!AG724</f>
        <v>0</v>
      </c>
      <c r="IQ512" s="350">
        <f>IS512/2</f>
        <v>43.666590307052211</v>
      </c>
      <c r="IR512" s="302">
        <f t="shared" si="74"/>
        <v>43.666590307052211</v>
      </c>
      <c r="IS512" s="346">
        <f>+FISC!AH725</f>
        <v>87.333180614104421</v>
      </c>
      <c r="IT512" s="350">
        <f>IV512/2</f>
        <v>43.666590307052211</v>
      </c>
      <c r="IU512" s="302">
        <f t="shared" si="75"/>
        <v>43.666590307052211</v>
      </c>
      <c r="IV512" s="346">
        <f>+FISC!AI725</f>
        <v>87.333180614104421</v>
      </c>
      <c r="IW512" s="350">
        <f>IY512/2</f>
        <v>43.666590307052211</v>
      </c>
      <c r="IX512" s="302">
        <f t="shared" si="76"/>
        <v>43.666590307052211</v>
      </c>
      <c r="IY512" s="346">
        <f>+FISC!AJ725</f>
        <v>87.333180614104421</v>
      </c>
      <c r="IZ512" s="350">
        <f>JB512/2</f>
        <v>43.666590307052211</v>
      </c>
      <c r="JA512" s="302">
        <f t="shared" si="77"/>
        <v>43.666590307052211</v>
      </c>
      <c r="JB512" s="346">
        <f>+FISC!AK725</f>
        <v>87.333180614104421</v>
      </c>
      <c r="JC512" s="346"/>
      <c r="KI512" s="349"/>
      <c r="KJ512" s="350"/>
    </row>
    <row r="513" spans="1:302">
      <c r="A513" s="302"/>
      <c r="B513" s="117" t="s">
        <v>361</v>
      </c>
      <c r="D513" s="351" t="str">
        <f>+FISC!D728</f>
        <v>Defense</v>
      </c>
      <c r="E513" s="346"/>
      <c r="F513" s="346"/>
      <c r="G513" s="346"/>
      <c r="H513" s="346"/>
      <c r="I513" s="346"/>
      <c r="J513" s="346"/>
      <c r="K513" s="346"/>
      <c r="L513" s="346"/>
      <c r="M513" s="346"/>
      <c r="N513" s="346"/>
      <c r="O513" s="346"/>
      <c r="P513" s="346"/>
      <c r="Q513" s="346">
        <v>0.76546999999999998</v>
      </c>
      <c r="R513" s="346">
        <v>0.91415999999999997</v>
      </c>
      <c r="S513" s="346">
        <v>0.58489000000000002</v>
      </c>
      <c r="T513" s="346">
        <v>1.7101900000000001</v>
      </c>
      <c r="U513" s="346">
        <v>0.88622000000000001</v>
      </c>
      <c r="V513" s="346">
        <v>0.89105999999999996</v>
      </c>
      <c r="W513" s="346">
        <v>1.7658699999999998</v>
      </c>
      <c r="X513" s="346">
        <v>0.57596999999999998</v>
      </c>
      <c r="Y513" s="346">
        <v>0.90725999999999996</v>
      </c>
      <c r="Z513" s="346">
        <v>2.0973000000000002</v>
      </c>
      <c r="AA513" s="346">
        <v>2.1860399999999998</v>
      </c>
      <c r="AB513" s="346">
        <v>0.16478000000000001</v>
      </c>
      <c r="AC513" s="346">
        <v>3.1371199999999999</v>
      </c>
      <c r="AD513" s="346">
        <v>2.7886500000000001</v>
      </c>
      <c r="AE513" s="346">
        <v>3.1452800000000001</v>
      </c>
      <c r="AF513" s="346">
        <v>3.2369400000000002</v>
      </c>
      <c r="AG513" s="346">
        <v>0.12084</v>
      </c>
      <c r="AH513" s="346">
        <v>0.10466</v>
      </c>
      <c r="AI513" s="346">
        <v>1.62198</v>
      </c>
      <c r="AJ513" s="346">
        <v>0.89832000000000001</v>
      </c>
      <c r="AK513" s="346">
        <v>0.66470000000000007</v>
      </c>
      <c r="AL513" s="346">
        <v>1.6458499999999998</v>
      </c>
      <c r="AM513" s="346">
        <v>0.63282000000000005</v>
      </c>
      <c r="AN513" s="346">
        <v>0.36866000000000004</v>
      </c>
      <c r="AO513" s="346">
        <v>1.4705999999999999</v>
      </c>
      <c r="AP513" s="346">
        <v>0.47748000000000002</v>
      </c>
      <c r="AQ513" s="346">
        <v>0.62729999999999997</v>
      </c>
      <c r="AR513" s="346">
        <v>1.24319</v>
      </c>
      <c r="AS513" s="346">
        <v>2.2610600000000001</v>
      </c>
      <c r="AT513" s="346">
        <v>0.1242</v>
      </c>
      <c r="AU513" s="346">
        <v>1.2389000000000001</v>
      </c>
      <c r="AV513" s="346">
        <v>1.0934300000000001</v>
      </c>
      <c r="AW513" s="346">
        <v>0.60448999999999997</v>
      </c>
      <c r="AX513" s="346">
        <v>0.88049999999999995</v>
      </c>
      <c r="AY513" s="346">
        <v>1.81271</v>
      </c>
      <c r="AZ513" s="346">
        <v>1.1561300000000001</v>
      </c>
      <c r="BA513" s="346">
        <v>0.93210999999999999</v>
      </c>
      <c r="BB513" s="346">
        <v>0.89728999999999992</v>
      </c>
      <c r="BC513" s="346">
        <v>0.69202999999999992</v>
      </c>
      <c r="BD513" s="346">
        <v>1.96759</v>
      </c>
      <c r="BE513" s="346">
        <v>1.3792</v>
      </c>
      <c r="BF513" s="346">
        <v>1.9069500000000001</v>
      </c>
      <c r="BG513" s="346">
        <v>1.4196300000000002</v>
      </c>
      <c r="BH513" s="346">
        <v>1.59782</v>
      </c>
      <c r="BI513" s="346">
        <v>1.5802499999999999</v>
      </c>
      <c r="BJ513" s="346">
        <v>1.6589690000000001</v>
      </c>
      <c r="BK513" s="346">
        <v>1.6336700000000002</v>
      </c>
      <c r="BL513" s="346">
        <v>0.82140000000000002</v>
      </c>
      <c r="BM513" s="346">
        <v>1.3699300000000001</v>
      </c>
      <c r="BN513" s="346">
        <v>1.6157999999999999</v>
      </c>
      <c r="BO513" s="346">
        <v>0.96348999999999996</v>
      </c>
      <c r="BP513" s="346">
        <v>1.5737999999999999</v>
      </c>
      <c r="BQ513" s="346">
        <v>1.5413699999999999</v>
      </c>
      <c r="BR513" s="346">
        <v>0.1263</v>
      </c>
      <c r="BS513" s="346">
        <v>1.5212999999999999</v>
      </c>
      <c r="BT513" s="346">
        <v>1.4045999999999998</v>
      </c>
      <c r="BU513" s="346">
        <v>0.91370000000000007</v>
      </c>
      <c r="BV513" s="346">
        <v>1.3909890970000001</v>
      </c>
      <c r="BW513" s="346">
        <v>0.87510691699999998</v>
      </c>
      <c r="BX513" s="346">
        <v>0.44594154699999999</v>
      </c>
      <c r="BY513" s="346">
        <v>1.3301121250000001</v>
      </c>
      <c r="BZ513" s="346">
        <v>0.89124587300000002</v>
      </c>
      <c r="CA513" s="346">
        <v>0.93439076600000004</v>
      </c>
      <c r="CB513" s="346">
        <v>1.0890192030000001</v>
      </c>
      <c r="CC513" s="346">
        <v>2.4920448130000001</v>
      </c>
      <c r="CD513" s="346">
        <v>0.166942905</v>
      </c>
      <c r="CE513" s="347">
        <f t="shared" ref="CE513:DJ513" si="222">CE223</f>
        <v>1.3016823289999999</v>
      </c>
      <c r="CF513" s="346">
        <f t="shared" si="222"/>
        <v>1.247854402</v>
      </c>
      <c r="CG513" s="346">
        <f t="shared" si="222"/>
        <v>1.8608826409999999</v>
      </c>
      <c r="CH513" s="346">
        <f t="shared" si="222"/>
        <v>1.399141365</v>
      </c>
      <c r="CI513" s="346">
        <f t="shared" si="222"/>
        <v>0.98476855200000002</v>
      </c>
      <c r="CJ513" s="346">
        <f t="shared" si="222"/>
        <v>0.80950324200000001</v>
      </c>
      <c r="CK513" s="346">
        <f t="shared" si="222"/>
        <v>1.617615142</v>
      </c>
      <c r="CL513" s="346">
        <f t="shared" si="222"/>
        <v>0.93723900299999996</v>
      </c>
      <c r="CM513" s="346">
        <f t="shared" si="222"/>
        <v>0.79194314200000004</v>
      </c>
      <c r="CN513" s="346">
        <f t="shared" si="222"/>
        <v>1.6587439770000001</v>
      </c>
      <c r="CO513" s="346">
        <f t="shared" si="222"/>
        <v>0.904222419</v>
      </c>
      <c r="CP513" s="348">
        <f t="shared" si="222"/>
        <v>0.13500000000000001</v>
      </c>
      <c r="CQ513" s="346">
        <f t="shared" si="222"/>
        <v>1.8780744140000001</v>
      </c>
      <c r="CR513" s="346">
        <f t="shared" si="222"/>
        <v>1.3715944419999999</v>
      </c>
      <c r="CS513" s="346">
        <f t="shared" si="222"/>
        <v>1.4458685449999999</v>
      </c>
      <c r="CT513" s="346">
        <f t="shared" si="222"/>
        <v>1.599996121</v>
      </c>
      <c r="CU513" s="346">
        <f t="shared" si="222"/>
        <v>1.636220561</v>
      </c>
      <c r="CV513" s="346">
        <f t="shared" si="222"/>
        <v>1.400044104</v>
      </c>
      <c r="CW513" s="346">
        <f t="shared" si="222"/>
        <v>1.54686506</v>
      </c>
      <c r="CX513" s="346">
        <f t="shared" si="222"/>
        <v>1.4851369430000001</v>
      </c>
      <c r="CY513" s="346">
        <f t="shared" si="222"/>
        <v>1.5561899619999999</v>
      </c>
      <c r="CZ513" s="346">
        <f t="shared" si="222"/>
        <v>1.306972875</v>
      </c>
      <c r="DA513" s="346">
        <f t="shared" si="222"/>
        <v>3.0039064639999999</v>
      </c>
      <c r="DB513" s="1479">
        <f t="shared" si="222"/>
        <v>0.65531390199999995</v>
      </c>
      <c r="DC513" s="346">
        <f t="shared" si="222"/>
        <v>0</v>
      </c>
      <c r="DD513" s="346">
        <f t="shared" si="222"/>
        <v>0</v>
      </c>
      <c r="DE513" s="346">
        <f t="shared" si="222"/>
        <v>0</v>
      </c>
      <c r="DF513" s="346">
        <f t="shared" si="222"/>
        <v>0</v>
      </c>
      <c r="DG513" s="346">
        <f t="shared" si="222"/>
        <v>0</v>
      </c>
      <c r="DH513" s="346">
        <f t="shared" si="222"/>
        <v>0</v>
      </c>
      <c r="DI513" s="346">
        <f t="shared" si="222"/>
        <v>0</v>
      </c>
      <c r="DJ513" s="346">
        <f t="shared" si="222"/>
        <v>0</v>
      </c>
      <c r="DK513" s="346">
        <f t="shared" ref="DK513:EP513" si="223">DK223</f>
        <v>0</v>
      </c>
      <c r="DL513" s="346">
        <f t="shared" si="223"/>
        <v>0</v>
      </c>
      <c r="DM513" s="346">
        <f t="shared" si="223"/>
        <v>0</v>
      </c>
      <c r="DN513" s="348">
        <f t="shared" si="223"/>
        <v>0</v>
      </c>
      <c r="DO513" s="346">
        <f t="shared" si="223"/>
        <v>0</v>
      </c>
      <c r="DP513" s="346">
        <f t="shared" si="223"/>
        <v>0</v>
      </c>
      <c r="DQ513" s="346">
        <f t="shared" si="223"/>
        <v>0</v>
      </c>
      <c r="DR513" s="346">
        <f t="shared" si="223"/>
        <v>0</v>
      </c>
      <c r="DS513" s="346">
        <f t="shared" si="223"/>
        <v>0</v>
      </c>
      <c r="DT513" s="346">
        <f t="shared" si="223"/>
        <v>0</v>
      </c>
      <c r="DU513" s="346">
        <f t="shared" si="223"/>
        <v>0</v>
      </c>
      <c r="DV513" s="346">
        <f t="shared" si="223"/>
        <v>0</v>
      </c>
      <c r="DW513" s="346">
        <f t="shared" si="223"/>
        <v>0</v>
      </c>
      <c r="DX513" s="346">
        <f t="shared" si="223"/>
        <v>0</v>
      </c>
      <c r="DY513" s="346">
        <f t="shared" si="223"/>
        <v>0</v>
      </c>
      <c r="DZ513" s="348">
        <f t="shared" si="223"/>
        <v>0</v>
      </c>
      <c r="EA513" s="346">
        <f t="shared" si="223"/>
        <v>0</v>
      </c>
      <c r="EB513" s="346">
        <f t="shared" si="223"/>
        <v>0</v>
      </c>
      <c r="EC513" s="346">
        <f t="shared" si="223"/>
        <v>0</v>
      </c>
      <c r="ED513" s="346">
        <f t="shared" si="223"/>
        <v>0</v>
      </c>
      <c r="EE513" s="346">
        <f t="shared" si="223"/>
        <v>0</v>
      </c>
      <c r="EF513" s="346">
        <f t="shared" si="223"/>
        <v>0</v>
      </c>
      <c r="EG513" s="346">
        <f t="shared" si="223"/>
        <v>0</v>
      </c>
      <c r="EH513" s="346">
        <f t="shared" si="223"/>
        <v>0</v>
      </c>
      <c r="EI513" s="346">
        <f t="shared" si="223"/>
        <v>0</v>
      </c>
      <c r="EJ513" s="346">
        <f t="shared" si="223"/>
        <v>0</v>
      </c>
      <c r="EK513" s="346">
        <f t="shared" si="223"/>
        <v>0</v>
      </c>
      <c r="EL513" s="348">
        <f t="shared" si="223"/>
        <v>0</v>
      </c>
      <c r="EM513" s="346">
        <f t="shared" si="223"/>
        <v>0</v>
      </c>
      <c r="EN513" s="346">
        <f t="shared" si="223"/>
        <v>0</v>
      </c>
      <c r="EO513" s="346">
        <f t="shared" si="223"/>
        <v>0</v>
      </c>
      <c r="EP513" s="346">
        <f t="shared" si="223"/>
        <v>0</v>
      </c>
      <c r="EQ513" s="346">
        <f t="shared" ref="EQ513:EX513" si="224">EQ223</f>
        <v>0</v>
      </c>
      <c r="ER513" s="346">
        <f t="shared" si="224"/>
        <v>0</v>
      </c>
      <c r="ES513" s="346">
        <f t="shared" si="224"/>
        <v>0</v>
      </c>
      <c r="ET513" s="346">
        <f t="shared" si="224"/>
        <v>0</v>
      </c>
      <c r="EU513" s="346">
        <f t="shared" si="224"/>
        <v>0</v>
      </c>
      <c r="EV513" s="346">
        <f t="shared" si="224"/>
        <v>0</v>
      </c>
      <c r="EW513" s="346">
        <f t="shared" si="224"/>
        <v>0</v>
      </c>
      <c r="EX513" s="348">
        <f t="shared" si="224"/>
        <v>0</v>
      </c>
      <c r="EY513" s="346"/>
      <c r="EZ513" s="346"/>
      <c r="FA513" s="346"/>
      <c r="FB513" s="346"/>
      <c r="FC513" s="346"/>
      <c r="FD513" s="346"/>
      <c r="FE513" s="346"/>
      <c r="FF513" s="346"/>
      <c r="FG513" s="346"/>
      <c r="FH513" s="346"/>
      <c r="FI513" s="346"/>
      <c r="FJ513" s="348"/>
      <c r="FK513" s="346"/>
      <c r="FL513" s="346"/>
      <c r="FM513" s="346"/>
      <c r="FN513" s="346"/>
      <c r="FO513" s="346"/>
      <c r="FP513" s="346"/>
      <c r="FQ513" s="346"/>
      <c r="FR513" s="346"/>
      <c r="FS513" s="346"/>
      <c r="FT513" s="346"/>
      <c r="FU513" s="346"/>
      <c r="FV513" s="346"/>
      <c r="FW513" s="346"/>
      <c r="FX513" s="346"/>
      <c r="FY513" s="346"/>
      <c r="FZ513" s="346"/>
      <c r="GA513" s="346"/>
      <c r="GB513" s="346"/>
      <c r="GC513" s="346"/>
      <c r="GD513" s="346"/>
      <c r="GE513" s="346"/>
      <c r="GF513" s="346"/>
      <c r="GG513" s="346"/>
      <c r="GH513" s="346"/>
      <c r="GI513" s="346"/>
      <c r="GJ513" s="346"/>
      <c r="GK513" s="346"/>
      <c r="GL513" s="346"/>
      <c r="GM513" s="346"/>
      <c r="GN513" s="346"/>
      <c r="GO513" s="346"/>
      <c r="GP513" s="346"/>
      <c r="GQ513" s="346"/>
      <c r="GR513" s="346"/>
      <c r="GS513" s="346"/>
      <c r="GT513" s="346"/>
      <c r="GU513" s="346"/>
      <c r="GV513" s="346"/>
      <c r="GW513" s="346"/>
      <c r="GX513" s="346"/>
      <c r="GY513" s="346"/>
      <c r="GZ513" s="346"/>
      <c r="HA513" s="346"/>
      <c r="HB513" s="346"/>
      <c r="HC513" s="346"/>
      <c r="HD513" s="346"/>
      <c r="HE513" s="346"/>
      <c r="HF513" s="346"/>
      <c r="HG513" s="346"/>
      <c r="HH513" s="346"/>
      <c r="HI513" s="346"/>
      <c r="HJ513" s="346"/>
      <c r="HK513" s="346"/>
      <c r="HL513" s="346"/>
      <c r="HM513" s="346"/>
      <c r="HN513" s="349"/>
      <c r="HO513" s="351" t="s">
        <v>154</v>
      </c>
      <c r="HP513" s="351"/>
      <c r="HQ513" s="351"/>
      <c r="HR513" s="346"/>
      <c r="HS513" s="302">
        <f t="shared" si="205"/>
        <v>9.3317981870000004</v>
      </c>
      <c r="HT513" s="302">
        <f t="shared" si="206"/>
        <v>9.5543852059999992</v>
      </c>
      <c r="HU513" s="346">
        <f t="shared" si="207"/>
        <v>18.886183393</v>
      </c>
      <c r="HX513" s="346"/>
      <c r="HZ513" s="302">
        <f>SUM(DU513:DZ513)</f>
        <v>0</v>
      </c>
      <c r="IA513" s="346">
        <f t="shared" si="103"/>
        <v>0</v>
      </c>
      <c r="IC513" s="350"/>
      <c r="ID513" s="346"/>
      <c r="IG513" s="346"/>
      <c r="IH513" s="350"/>
      <c r="II513" s="350"/>
      <c r="IJ513" s="346"/>
      <c r="IK513" s="302">
        <f>IM513*JI513</f>
        <v>0</v>
      </c>
      <c r="IL513" s="302">
        <f t="shared" si="85"/>
        <v>0</v>
      </c>
      <c r="IM513" s="346"/>
      <c r="IN513" s="302">
        <f>IP513*JI513</f>
        <v>0</v>
      </c>
      <c r="IO513" s="302">
        <f t="shared" si="154"/>
        <v>0</v>
      </c>
      <c r="IP513" s="346"/>
      <c r="IQ513" s="302">
        <f>IS513*JI513</f>
        <v>0</v>
      </c>
      <c r="IR513" s="302">
        <f t="shared" si="74"/>
        <v>0</v>
      </c>
      <c r="IS513" s="346"/>
      <c r="IT513" s="302">
        <f>IV513*JI513</f>
        <v>0</v>
      </c>
      <c r="IU513" s="302">
        <f t="shared" si="75"/>
        <v>0</v>
      </c>
      <c r="IV513" s="346"/>
      <c r="IW513" s="302">
        <f>IY513*JL513</f>
        <v>0</v>
      </c>
      <c r="IX513" s="302">
        <f t="shared" si="76"/>
        <v>0</v>
      </c>
      <c r="IY513" s="346"/>
      <c r="IZ513" s="302">
        <f>JB513*JO513</f>
        <v>0</v>
      </c>
      <c r="JA513" s="302">
        <f t="shared" si="77"/>
        <v>0</v>
      </c>
      <c r="JB513" s="346"/>
      <c r="JC513" s="346"/>
      <c r="KI513" s="349"/>
      <c r="KJ513" s="350"/>
    </row>
    <row r="514" spans="1:302">
      <c r="A514" s="302"/>
      <c r="B514" s="117" t="s">
        <v>361</v>
      </c>
      <c r="D514" s="345" t="str">
        <f>+FISC!D729</f>
        <v>Interest payments</v>
      </c>
      <c r="E514" s="346">
        <f t="shared" ref="E514:BP514" si="225">E515+E518</f>
        <v>0.18542618790412799</v>
      </c>
      <c r="F514" s="346">
        <f t="shared" si="225"/>
        <v>0.45166003372000008</v>
      </c>
      <c r="G514" s="346">
        <f t="shared" si="225"/>
        <v>0.65779251703249997</v>
      </c>
      <c r="H514" s="346">
        <f t="shared" si="225"/>
        <v>0.79866186912827208</v>
      </c>
      <c r="I514" s="346">
        <f t="shared" si="225"/>
        <v>0.18203672789800002</v>
      </c>
      <c r="J514" s="346">
        <f t="shared" si="225"/>
        <v>0.98801702272589997</v>
      </c>
      <c r="K514" s="346">
        <f t="shared" si="225"/>
        <v>1.5358188453263002</v>
      </c>
      <c r="L514" s="346">
        <f t="shared" si="225"/>
        <v>0.27837832684960001</v>
      </c>
      <c r="M514" s="346">
        <f t="shared" si="225"/>
        <v>0.27358566088399999</v>
      </c>
      <c r="N514" s="346">
        <f t="shared" si="225"/>
        <v>2.4292786427399999</v>
      </c>
      <c r="O514" s="346">
        <f t="shared" si="225"/>
        <v>2.3922228960999998</v>
      </c>
      <c r="P514" s="346">
        <f t="shared" si="225"/>
        <v>0.80792293007999993</v>
      </c>
      <c r="Q514" s="346">
        <f t="shared" si="225"/>
        <v>0.38199800939159995</v>
      </c>
      <c r="R514" s="346">
        <f t="shared" si="225"/>
        <v>1.9064099342700001E-2</v>
      </c>
      <c r="S514" s="346">
        <f t="shared" si="225"/>
        <v>1.801203516725</v>
      </c>
      <c r="T514" s="346">
        <f t="shared" si="225"/>
        <v>0.76810478826399997</v>
      </c>
      <c r="U514" s="346">
        <f t="shared" si="225"/>
        <v>0.86469306565550008</v>
      </c>
      <c r="V514" s="346">
        <f t="shared" si="225"/>
        <v>2.0406553923919999</v>
      </c>
      <c r="W514" s="346">
        <f t="shared" si="225"/>
        <v>0.55819884035</v>
      </c>
      <c r="X514" s="346">
        <f t="shared" si="225"/>
        <v>1.7530260354080001</v>
      </c>
      <c r="Y514" s="346">
        <f t="shared" si="225"/>
        <v>0.48539676760479999</v>
      </c>
      <c r="Z514" s="346">
        <f t="shared" si="225"/>
        <v>0.7058004555734001</v>
      </c>
      <c r="AA514" s="346">
        <f t="shared" si="225"/>
        <v>1.7696103237894001</v>
      </c>
      <c r="AB514" s="346">
        <f t="shared" si="225"/>
        <v>1.464524073707</v>
      </c>
      <c r="AC514" s="346">
        <f t="shared" si="225"/>
        <v>0.32803835200000003</v>
      </c>
      <c r="AD514" s="346">
        <f t="shared" si="225"/>
        <v>4.8028904000000004E-2</v>
      </c>
      <c r="AE514" s="346">
        <f t="shared" si="225"/>
        <v>1.379810293</v>
      </c>
      <c r="AF514" s="346">
        <f t="shared" si="225"/>
        <v>0.67174767899999999</v>
      </c>
      <c r="AG514" s="346">
        <f t="shared" si="225"/>
        <v>8.9409139999999998E-2</v>
      </c>
      <c r="AH514" s="346">
        <f t="shared" si="225"/>
        <v>2.129834196</v>
      </c>
      <c r="AI514" s="346">
        <f t="shared" si="225"/>
        <v>0.79654109500000003</v>
      </c>
      <c r="AJ514" s="346">
        <f t="shared" si="225"/>
        <v>1.3156134499999999</v>
      </c>
      <c r="AK514" s="346">
        <f t="shared" si="225"/>
        <v>1.086573547</v>
      </c>
      <c r="AL514" s="346">
        <f t="shared" si="225"/>
        <v>1.7237026850000001</v>
      </c>
      <c r="AM514" s="346">
        <f t="shared" si="225"/>
        <v>1.4137975259999997</v>
      </c>
      <c r="AN514" s="346">
        <f t="shared" si="225"/>
        <v>0.429076283</v>
      </c>
      <c r="AO514" s="346">
        <f t="shared" si="225"/>
        <v>0.60318742926000002</v>
      </c>
      <c r="AP514" s="346">
        <f t="shared" si="225"/>
        <v>0.44789909806</v>
      </c>
      <c r="AQ514" s="346">
        <f t="shared" si="225"/>
        <v>2.1867084123272198</v>
      </c>
      <c r="AR514" s="346">
        <f t="shared" si="225"/>
        <v>1.11777286912</v>
      </c>
      <c r="AS514" s="346">
        <f t="shared" si="225"/>
        <v>0.31654115034800001</v>
      </c>
      <c r="AT514" s="346">
        <f t="shared" si="225"/>
        <v>2.3424880930656</v>
      </c>
      <c r="AU514" s="346">
        <f t="shared" si="225"/>
        <v>0.87599971724000003</v>
      </c>
      <c r="AV514" s="346">
        <f t="shared" si="225"/>
        <v>1.3342710628799999</v>
      </c>
      <c r="AW514" s="346">
        <f t="shared" si="225"/>
        <v>1.4360843475500003</v>
      </c>
      <c r="AX514" s="346">
        <f t="shared" si="225"/>
        <v>1.0336246500799999</v>
      </c>
      <c r="AY514" s="346">
        <f t="shared" si="225"/>
        <v>1.3663559729007999</v>
      </c>
      <c r="AZ514" s="346">
        <f t="shared" si="225"/>
        <v>1.6143193773675002</v>
      </c>
      <c r="BA514" s="346">
        <f t="shared" si="225"/>
        <v>0.73059012800000001</v>
      </c>
      <c r="BB514" s="346">
        <f t="shared" si="225"/>
        <v>0.61358000400000001</v>
      </c>
      <c r="BC514" s="346">
        <f t="shared" si="225"/>
        <v>1.8720427179999999</v>
      </c>
      <c r="BD514" s="346">
        <f t="shared" si="225"/>
        <v>1.767684928</v>
      </c>
      <c r="BE514" s="346">
        <f t="shared" si="225"/>
        <v>0.426548818</v>
      </c>
      <c r="BF514" s="346">
        <f t="shared" si="225"/>
        <v>2.4554901179999997</v>
      </c>
      <c r="BG514" s="346">
        <f t="shared" si="225"/>
        <v>0.96014743499999999</v>
      </c>
      <c r="BH514" s="346">
        <f t="shared" si="225"/>
        <v>0.5749364010000001</v>
      </c>
      <c r="BI514" s="346">
        <f t="shared" si="225"/>
        <v>3.3226512320000001</v>
      </c>
      <c r="BJ514" s="346">
        <f t="shared" si="225"/>
        <v>0.73527685382000008</v>
      </c>
      <c r="BK514" s="346">
        <f t="shared" si="225"/>
        <v>0.90961394200000001</v>
      </c>
      <c r="BL514" s="346">
        <f t="shared" si="225"/>
        <v>2.981802037</v>
      </c>
      <c r="BM514" s="346">
        <f t="shared" si="225"/>
        <v>1.2142339248899998</v>
      </c>
      <c r="BN514" s="346">
        <f t="shared" si="225"/>
        <v>1.3229361334800001</v>
      </c>
      <c r="BO514" s="346">
        <f t="shared" si="225"/>
        <v>3.0730538940000001</v>
      </c>
      <c r="BP514" s="346">
        <f t="shared" si="225"/>
        <v>0.37748999999999999</v>
      </c>
      <c r="BQ514" s="346">
        <f t="shared" ref="BQ514:DN514" si="226">BQ515+BQ518</f>
        <v>0.65026942384999997</v>
      </c>
      <c r="BR514" s="346">
        <f t="shared" si="226"/>
        <v>1.96716376258</v>
      </c>
      <c r="BS514" s="346">
        <f t="shared" si="226"/>
        <v>1.165</v>
      </c>
      <c r="BT514" s="346">
        <f t="shared" si="226"/>
        <v>0.8085</v>
      </c>
      <c r="BU514" s="346">
        <f t="shared" si="226"/>
        <v>2.8394999999999997</v>
      </c>
      <c r="BV514" s="346">
        <f t="shared" si="226"/>
        <v>0</v>
      </c>
      <c r="BW514" s="346">
        <f t="shared" si="226"/>
        <v>0</v>
      </c>
      <c r="BX514" s="346">
        <f t="shared" si="226"/>
        <v>0</v>
      </c>
      <c r="BY514" s="346">
        <f t="shared" si="226"/>
        <v>0.58962372103436689</v>
      </c>
      <c r="BZ514" s="346">
        <f t="shared" si="226"/>
        <v>0.26209405264554808</v>
      </c>
      <c r="CA514" s="346">
        <f t="shared" si="226"/>
        <v>1.5240433492468854</v>
      </c>
      <c r="CB514" s="346">
        <f t="shared" si="226"/>
        <v>0.94911435578394543</v>
      </c>
      <c r="CC514" s="346">
        <f t="shared" si="226"/>
        <v>0.83735857921354295</v>
      </c>
      <c r="CD514" s="346">
        <f t="shared" si="226"/>
        <v>0.3171077764414989</v>
      </c>
      <c r="CE514" s="347">
        <f t="shared" si="226"/>
        <v>1.609796041207662</v>
      </c>
      <c r="CF514" s="346">
        <f t="shared" si="226"/>
        <v>2.8524102618245348</v>
      </c>
      <c r="CG514" s="346">
        <f t="shared" si="226"/>
        <v>2.7941942746565118</v>
      </c>
      <c r="CH514" s="346">
        <f t="shared" si="226"/>
        <v>10.859034179375151</v>
      </c>
      <c r="CI514" s="346">
        <f t="shared" si="226"/>
        <v>2.3939403119616833</v>
      </c>
      <c r="CJ514" s="346">
        <f t="shared" si="226"/>
        <v>1.6320062209064963</v>
      </c>
      <c r="CK514" s="346">
        <f t="shared" si="226"/>
        <v>1.8258375629085111</v>
      </c>
      <c r="CL514" s="346">
        <f t="shared" si="226"/>
        <v>1.2099095125961763</v>
      </c>
      <c r="CM514" s="346">
        <f t="shared" si="226"/>
        <v>2.958625179097079</v>
      </c>
      <c r="CN514" s="346">
        <f t="shared" si="226"/>
        <v>11.505393079649982</v>
      </c>
      <c r="CO514" s="346">
        <f t="shared" si="226"/>
        <v>1.6941676820614811</v>
      </c>
      <c r="CP514" s="348">
        <f t="shared" si="226"/>
        <v>2.2384904943174666</v>
      </c>
      <c r="CQ514" s="346">
        <f t="shared" si="226"/>
        <v>1.6860845587041022</v>
      </c>
      <c r="CR514" s="346">
        <f t="shared" si="226"/>
        <v>2.4916075424579196</v>
      </c>
      <c r="CS514" s="346">
        <f t="shared" si="226"/>
        <v>2.381247382874994</v>
      </c>
      <c r="CT514" s="346">
        <f t="shared" si="226"/>
        <v>11.364908252121625</v>
      </c>
      <c r="CU514" s="346">
        <f t="shared" si="226"/>
        <v>2.9515366672328889</v>
      </c>
      <c r="CV514" s="346">
        <f t="shared" si="226"/>
        <v>1.0529895974056753</v>
      </c>
      <c r="CW514" s="346">
        <f t="shared" si="226"/>
        <v>1.2312581831084859</v>
      </c>
      <c r="CX514" s="346">
        <f t="shared" si="226"/>
        <v>3.01216799471523</v>
      </c>
      <c r="CY514" s="346">
        <f t="shared" si="226"/>
        <v>2.4792625864566959</v>
      </c>
      <c r="CZ514" s="346">
        <f t="shared" si="226"/>
        <v>12.010492029254976</v>
      </c>
      <c r="DA514" s="346">
        <f t="shared" si="226"/>
        <v>3.1222326490531547</v>
      </c>
      <c r="DB514" s="1479">
        <f t="shared" si="226"/>
        <v>2.0749989416982277</v>
      </c>
      <c r="DC514" s="346">
        <f t="shared" si="226"/>
        <v>1.319552671874697</v>
      </c>
      <c r="DD514" s="346">
        <f t="shared" si="226"/>
        <v>5.1373690910000001</v>
      </c>
      <c r="DE514" s="346">
        <f t="shared" si="226"/>
        <v>2.9449201093999999</v>
      </c>
      <c r="DF514" s="346">
        <f t="shared" si="226"/>
        <v>12.247483175581106</v>
      </c>
      <c r="DG514" s="346">
        <f t="shared" si="226"/>
        <v>4.4292552779999994</v>
      </c>
      <c r="DH514" s="346">
        <f t="shared" si="226"/>
        <v>1.536851974</v>
      </c>
      <c r="DI514" s="346">
        <f t="shared" si="226"/>
        <v>2.1749165699884609</v>
      </c>
      <c r="DJ514" s="346">
        <f t="shared" si="226"/>
        <v>5.4458020928694051</v>
      </c>
      <c r="DK514" s="346">
        <f t="shared" si="226"/>
        <v>2.5397883090813487</v>
      </c>
      <c r="DL514" s="346">
        <f t="shared" si="226"/>
        <v>12.417007610781795</v>
      </c>
      <c r="DM514" s="346">
        <f t="shared" si="226"/>
        <v>4.7381492344584499</v>
      </c>
      <c r="DN514" s="348">
        <f t="shared" si="226"/>
        <v>1.7675173424611397</v>
      </c>
      <c r="DO514" s="346">
        <f t="shared" ref="DO514:DT514" si="227">DO515+DO518</f>
        <v>1.5624071461266182</v>
      </c>
      <c r="DP514" s="346">
        <f t="shared" si="227"/>
        <v>8.1688925405053734</v>
      </c>
      <c r="DQ514" s="346">
        <f t="shared" si="227"/>
        <v>5.0274181674775926</v>
      </c>
      <c r="DR514" s="346">
        <f t="shared" si="227"/>
        <v>12.804770040678553</v>
      </c>
      <c r="DS514" s="346">
        <f t="shared" si="227"/>
        <v>6.4148653641008533</v>
      </c>
      <c r="DT514" s="346">
        <f t="shared" si="227"/>
        <v>3.6345763050848943</v>
      </c>
      <c r="DU514" s="346">
        <f t="shared" ref="DU514:DZ514" si="228">DU515+DU518</f>
        <v>2.9211764689775457</v>
      </c>
      <c r="DV514" s="346">
        <f t="shared" si="228"/>
        <v>8.2619049015322936</v>
      </c>
      <c r="DW514" s="346">
        <f t="shared" si="228"/>
        <v>5.1540049290235483</v>
      </c>
      <c r="DX514" s="346">
        <f t="shared" si="228"/>
        <v>13.239788487451154</v>
      </c>
      <c r="DY514" s="346">
        <f t="shared" si="228"/>
        <v>6.9735188717927592</v>
      </c>
      <c r="DZ514" s="348">
        <f t="shared" si="228"/>
        <v>3.3633532295161346</v>
      </c>
      <c r="EA514" s="346">
        <f t="shared" ref="EA514:EK514" si="229">EA515+EA518</f>
        <v>3.5015318326148477</v>
      </c>
      <c r="EB514" s="346">
        <f t="shared" si="229"/>
        <v>9.8382652611076136</v>
      </c>
      <c r="EC514" s="346">
        <f t="shared" si="229"/>
        <v>6.7202664271364814</v>
      </c>
      <c r="ED514" s="346">
        <f t="shared" si="229"/>
        <v>14.196943588449436</v>
      </c>
      <c r="EE514" s="346">
        <f t="shared" si="229"/>
        <v>8.4657875677882881</v>
      </c>
      <c r="EF514" s="346">
        <f t="shared" si="229"/>
        <v>2.9361864396001032</v>
      </c>
      <c r="EG514" s="346">
        <f t="shared" si="229"/>
        <v>3.4086311096039816</v>
      </c>
      <c r="EH514" s="346">
        <f t="shared" si="229"/>
        <v>11.022596141036644</v>
      </c>
      <c r="EI514" s="346">
        <f t="shared" si="229"/>
        <v>5.3043167825495168</v>
      </c>
      <c r="EJ514" s="346">
        <f t="shared" si="229"/>
        <v>15.840019410930015</v>
      </c>
      <c r="EK514" s="346">
        <f t="shared" si="229"/>
        <v>8.676932441863638</v>
      </c>
      <c r="EL514" s="348">
        <f t="shared" ref="EL514:EQ514" si="230">EL515+EL518</f>
        <v>4.2915163188026204</v>
      </c>
      <c r="EM514" s="346">
        <f t="shared" si="230"/>
        <v>3.8486211165429598</v>
      </c>
      <c r="EN514" s="346">
        <f t="shared" si="230"/>
        <v>10.700859893184743</v>
      </c>
      <c r="EO514" s="346">
        <f>EO515+EO518</f>
        <v>4.6521633732603025</v>
      </c>
      <c r="EP514" s="346">
        <f t="shared" si="230"/>
        <v>16.309403906360082</v>
      </c>
      <c r="EQ514" s="346">
        <f t="shared" si="230"/>
        <v>3.6079288626639343</v>
      </c>
      <c r="ER514" s="346">
        <f>ER515+ER518</f>
        <v>11.427364020758388</v>
      </c>
      <c r="ES514" s="346">
        <f t="shared" ref="ES514:EX514" si="231">ES515+ES518</f>
        <v>4.599654032513925</v>
      </c>
      <c r="ET514" s="346">
        <f t="shared" si="231"/>
        <v>11.416614293321242</v>
      </c>
      <c r="EU514" s="346">
        <f t="shared" si="231"/>
        <v>6.4693827281148817</v>
      </c>
      <c r="EV514" s="346">
        <f t="shared" si="231"/>
        <v>14.166945028627095</v>
      </c>
      <c r="EW514" s="346">
        <f t="shared" si="231"/>
        <v>12.389836306088334</v>
      </c>
      <c r="EX514" s="348">
        <f t="shared" si="231"/>
        <v>3.0826940857728373</v>
      </c>
      <c r="EY514" s="346"/>
      <c r="EZ514" s="346"/>
      <c r="FA514" s="346"/>
      <c r="FB514" s="346"/>
      <c r="FC514" s="346"/>
      <c r="FD514" s="346"/>
      <c r="FE514" s="346"/>
      <c r="FF514" s="346"/>
      <c r="FG514" s="346"/>
      <c r="FH514" s="346"/>
      <c r="FI514" s="346"/>
      <c r="FJ514" s="348"/>
      <c r="FK514" s="346"/>
      <c r="FL514" s="346"/>
      <c r="FM514" s="346"/>
      <c r="FN514" s="346"/>
      <c r="FO514" s="346"/>
      <c r="FP514" s="346"/>
      <c r="FQ514" s="346"/>
      <c r="FR514" s="346"/>
      <c r="FS514" s="346"/>
      <c r="FT514" s="346"/>
      <c r="FU514" s="346"/>
      <c r="FV514" s="346"/>
      <c r="FW514" s="346"/>
      <c r="FX514" s="346"/>
      <c r="FY514" s="346"/>
      <c r="FZ514" s="346"/>
      <c r="GA514" s="346"/>
      <c r="GB514" s="346"/>
      <c r="GC514" s="346"/>
      <c r="GD514" s="346"/>
      <c r="GE514" s="346"/>
      <c r="GF514" s="346"/>
      <c r="GG514" s="346"/>
      <c r="GH514" s="346"/>
      <c r="GI514" s="346"/>
      <c r="GJ514" s="346"/>
      <c r="GK514" s="346"/>
      <c r="GL514" s="346"/>
      <c r="GM514" s="346"/>
      <c r="GN514" s="346"/>
      <c r="GO514" s="346"/>
      <c r="GP514" s="346"/>
      <c r="GQ514" s="346"/>
      <c r="GR514" s="346"/>
      <c r="GS514" s="346"/>
      <c r="GT514" s="346"/>
      <c r="GU514" s="346"/>
      <c r="GV514" s="346"/>
      <c r="GW514" s="346"/>
      <c r="GX514" s="346"/>
      <c r="GY514" s="346"/>
      <c r="GZ514" s="346"/>
      <c r="HA514" s="346"/>
      <c r="HB514" s="346"/>
      <c r="HC514" s="346"/>
      <c r="HD514" s="346"/>
      <c r="HE514" s="346"/>
      <c r="HF514" s="346"/>
      <c r="HG514" s="346"/>
      <c r="HH514" s="346"/>
      <c r="HI514" s="346"/>
      <c r="HJ514" s="346"/>
      <c r="HK514" s="346"/>
      <c r="HL514" s="346"/>
      <c r="HM514" s="346"/>
      <c r="HN514" s="349"/>
      <c r="HO514" s="345" t="s">
        <v>155</v>
      </c>
      <c r="HP514" s="345"/>
      <c r="HQ514" s="345"/>
      <c r="HR514" s="346">
        <f>+FISC!Z729</f>
        <v>45.8</v>
      </c>
      <c r="HS514" s="302">
        <f>HS515+HS518</f>
        <v>21.928374000797206</v>
      </c>
      <c r="HT514" s="302">
        <f>HT515+HT518</f>
        <v>23.930412384286768</v>
      </c>
      <c r="HU514" s="346">
        <f>HU515+HU518</f>
        <v>45.858786385083974</v>
      </c>
      <c r="HV514" s="637">
        <f>HV515+HV518</f>
        <v>27.615432299855804</v>
      </c>
      <c r="HW514" s="302">
        <f>+SUM(DI514:DN514)</f>
        <v>29.083181159640599</v>
      </c>
      <c r="HX514" s="346">
        <f>HV514+HW514</f>
        <v>56.6986134594964</v>
      </c>
      <c r="HY514" s="637">
        <f>HY515+HY518</f>
        <v>37.612929563973886</v>
      </c>
      <c r="HZ514" s="302">
        <f>SUM(DU514:DZ514)</f>
        <v>39.913746888293439</v>
      </c>
      <c r="IA514" s="346">
        <f t="shared" si="103"/>
        <v>77.526676452267324</v>
      </c>
      <c r="IB514" s="302">
        <f>IB515+IB518</f>
        <v>44.516631755050831</v>
      </c>
      <c r="IC514" s="302">
        <f>IC515+IC518</f>
        <v>47.06195089699979</v>
      </c>
      <c r="ID514" s="346">
        <f>FISC!AC729</f>
        <v>91.578582652050613</v>
      </c>
      <c r="IE514" s="302">
        <f>SUM(EM514:ER514)</f>
        <v>50.546341172770411</v>
      </c>
      <c r="IF514" s="302">
        <f>SUM(ES514:EX514)</f>
        <v>52.125126474438318</v>
      </c>
      <c r="IG514" s="346">
        <f t="shared" si="201"/>
        <v>102.67146764720873</v>
      </c>
      <c r="IH514" s="302" t="e">
        <f>(IH515+IH518)</f>
        <v>#REF!</v>
      </c>
      <c r="II514" s="302" t="e">
        <f>II515+II518</f>
        <v>#REF!</v>
      </c>
      <c r="IJ514" s="346">
        <f>+FISC!AE729</f>
        <v>151.77201549305553</v>
      </c>
      <c r="IK514" s="302">
        <f>(IK515+IK518)</f>
        <v>83.212893640470043</v>
      </c>
      <c r="IL514" s="302">
        <f t="shared" si="85"/>
        <v>110.07141796189873</v>
      </c>
      <c r="IM514" s="346">
        <f>+FISC!AF729</f>
        <v>193.28431160236877</v>
      </c>
      <c r="IN514" s="302">
        <f>(IN515+IN518)</f>
        <v>104.90031116918013</v>
      </c>
      <c r="IO514" s="302">
        <f t="shared" si="154"/>
        <v>109.99847746782726</v>
      </c>
      <c r="IP514" s="346">
        <f>+FISC!AG729</f>
        <v>214.89878863700739</v>
      </c>
      <c r="IQ514" s="302">
        <f>IQ515+IQ518</f>
        <v>132.07998549204899</v>
      </c>
      <c r="IR514" s="302">
        <f t="shared" si="74"/>
        <v>133.07341471989662</v>
      </c>
      <c r="IS514" s="346">
        <f>+FISC!AH729</f>
        <v>265.15340021194561</v>
      </c>
      <c r="IT514" s="302">
        <f>IT515+IT518</f>
        <v>204.21498095348483</v>
      </c>
      <c r="IU514" s="302">
        <f t="shared" si="75"/>
        <v>220.52199575088673</v>
      </c>
      <c r="IV514" s="346">
        <f>+FISC!AI729</f>
        <v>424.73697670437156</v>
      </c>
      <c r="IW514" s="302">
        <f>IW515+IW518</f>
        <v>248.79406717592514</v>
      </c>
      <c r="IX514" s="302">
        <f t="shared" si="76"/>
        <v>254.14890054665085</v>
      </c>
      <c r="IY514" s="346">
        <f>+FISC!AJ729</f>
        <v>502.94296772257599</v>
      </c>
      <c r="IZ514" s="302">
        <f>IZ515+IZ518</f>
        <v>261.97713846673139</v>
      </c>
      <c r="JA514" s="302">
        <f t="shared" si="77"/>
        <v>323.84704659060787</v>
      </c>
      <c r="JB514" s="346">
        <f>+FISC!AK729</f>
        <v>585.82418505733926</v>
      </c>
      <c r="JC514" s="346"/>
      <c r="KI514" s="349"/>
      <c r="KJ514" s="350"/>
      <c r="KM514" s="302">
        <f>KM515+KM518</f>
        <v>0</v>
      </c>
      <c r="KN514" s="302">
        <f>KN515+KN518</f>
        <v>0</v>
      </c>
      <c r="KO514" s="302">
        <f>KO515+KO518</f>
        <v>0</v>
      </c>
      <c r="KP514" s="302">
        <f>KP515+KP518</f>
        <v>0</v>
      </c>
    </row>
    <row r="515" spans="1:302">
      <c r="A515" s="302"/>
      <c r="B515" s="117" t="s">
        <v>361</v>
      </c>
      <c r="D515" s="351" t="str">
        <f>+FISC!D730</f>
        <v>Domestic Int (paid)</v>
      </c>
      <c r="E515" s="346">
        <v>2.9690000000000001E-2</v>
      </c>
      <c r="F515" s="346">
        <v>0.14680000000000001</v>
      </c>
      <c r="G515" s="346">
        <v>0.58828440199999998</v>
      </c>
      <c r="H515" s="346">
        <v>0.25210000000000005</v>
      </c>
      <c r="I515" s="346">
        <v>9.2200000000000004E-2</v>
      </c>
      <c r="J515" s="346">
        <v>0.42216999999999999</v>
      </c>
      <c r="K515" s="346">
        <v>1.2952300000000001</v>
      </c>
      <c r="L515" s="346">
        <v>0.12190000000000001</v>
      </c>
      <c r="M515" s="346">
        <v>0.21049999999999999</v>
      </c>
      <c r="N515" s="346">
        <v>2.3719038439999998</v>
      </c>
      <c r="O515" s="346">
        <v>2.3870999999999998</v>
      </c>
      <c r="P515" s="346">
        <v>0.79638999999999993</v>
      </c>
      <c r="Q515" s="346">
        <v>6.4399999999999999E-2</v>
      </c>
      <c r="R515" s="346">
        <v>0</v>
      </c>
      <c r="S515" s="346">
        <v>1.5885</v>
      </c>
      <c r="T515" s="346">
        <v>0.15829390599999998</v>
      </c>
      <c r="U515" s="346">
        <v>0.49757000000000001</v>
      </c>
      <c r="V515" s="346">
        <v>1.629842891</v>
      </c>
      <c r="W515" s="346">
        <v>0.27794000000000002</v>
      </c>
      <c r="X515" s="346">
        <v>1.74481</v>
      </c>
      <c r="Y515" s="346">
        <v>0.23041</v>
      </c>
      <c r="Z515" s="346">
        <v>7.6219999999999996E-2</v>
      </c>
      <c r="AA515" s="346">
        <v>1.6877500000000001</v>
      </c>
      <c r="AB515" s="346">
        <v>0.89905999999999997</v>
      </c>
      <c r="AC515" s="346">
        <v>0</v>
      </c>
      <c r="AD515" s="346">
        <v>0</v>
      </c>
      <c r="AE515" s="346">
        <v>1.09131</v>
      </c>
      <c r="AF515" s="346">
        <v>3.7630000000000004E-2</v>
      </c>
      <c r="AG515" s="346">
        <v>0</v>
      </c>
      <c r="AH515" s="346">
        <v>1.3945999999999998</v>
      </c>
      <c r="AI515" s="346">
        <v>0.47020999999999996</v>
      </c>
      <c r="AJ515" s="346">
        <v>1.27372</v>
      </c>
      <c r="AK515" s="346">
        <v>0.77052999999999994</v>
      </c>
      <c r="AL515" s="346">
        <v>0.81901000000000002</v>
      </c>
      <c r="AM515" s="346">
        <v>1.2096099999999999</v>
      </c>
      <c r="AN515" s="346">
        <v>0.28293000000000001</v>
      </c>
      <c r="AO515" s="346">
        <v>0.2</v>
      </c>
      <c r="AP515" s="346">
        <v>0.38771</v>
      </c>
      <c r="AQ515" s="346">
        <v>1.8365499999999999</v>
      </c>
      <c r="AR515" s="346">
        <v>0.28073999999999999</v>
      </c>
      <c r="AS515" s="346">
        <v>0.17144000000000001</v>
      </c>
      <c r="AT515" s="346">
        <v>1.83338</v>
      </c>
      <c r="AU515" s="346">
        <v>0.47499000000000002</v>
      </c>
      <c r="AV515" s="346">
        <v>1.2760499999999999</v>
      </c>
      <c r="AW515" s="346">
        <v>1.0518800000000001</v>
      </c>
      <c r="AX515" s="346">
        <v>0.2051</v>
      </c>
      <c r="AY515" s="346">
        <v>1.22367</v>
      </c>
      <c r="AZ515" s="346">
        <v>1.1745000000000001</v>
      </c>
      <c r="BA515" s="346">
        <v>0.29500999999999999</v>
      </c>
      <c r="BB515" s="346">
        <v>0.60347000000000006</v>
      </c>
      <c r="BC515" s="346">
        <v>0.94487999999999994</v>
      </c>
      <c r="BD515" s="346">
        <v>1.4343699999999999</v>
      </c>
      <c r="BE515" s="346">
        <v>0.26206000000000002</v>
      </c>
      <c r="BF515" s="346">
        <v>1.9930999999999999</v>
      </c>
      <c r="BG515" s="346">
        <v>0.615281148</v>
      </c>
      <c r="BH515" s="346">
        <v>0.56509976700000009</v>
      </c>
      <c r="BI515" s="346">
        <v>2.1105200669999999</v>
      </c>
      <c r="BJ515" s="346">
        <v>0.404843642</v>
      </c>
      <c r="BK515" s="346">
        <v>0.58462094600000003</v>
      </c>
      <c r="BL515" s="346">
        <v>2.6412371509999999</v>
      </c>
      <c r="BM515" s="346">
        <v>0.82026999999999994</v>
      </c>
      <c r="BN515" s="346">
        <v>1.2502800000000001</v>
      </c>
      <c r="BO515" s="346">
        <v>1.8665499999999999</v>
      </c>
      <c r="BP515" s="346">
        <v>6.445999999999999E-2</v>
      </c>
      <c r="BQ515" s="346">
        <v>0.30124000000000001</v>
      </c>
      <c r="BR515" s="346">
        <v>1.6529700000000001</v>
      </c>
      <c r="BS515" s="346">
        <v>0.72970000000000002</v>
      </c>
      <c r="BT515" s="346">
        <v>0.69099999999999995</v>
      </c>
      <c r="BU515" s="346">
        <v>1.8905999999999998</v>
      </c>
      <c r="BV515" s="346"/>
      <c r="BW515" s="346"/>
      <c r="BX515" s="346"/>
      <c r="BY515" s="346"/>
      <c r="BZ515" s="346"/>
      <c r="CA515" s="346"/>
      <c r="CB515" s="346"/>
      <c r="CC515" s="346"/>
      <c r="CD515" s="346"/>
      <c r="CE515" s="347">
        <f t="shared" ref="CE515:DZ515" si="232">CE102+CE107+CE115+CE118+CE113</f>
        <v>0.91287137277799746</v>
      </c>
      <c r="CF515" s="346">
        <f t="shared" si="232"/>
        <v>2.6440019562175725</v>
      </c>
      <c r="CG515" s="346">
        <f t="shared" si="232"/>
        <v>1.8202696501794504</v>
      </c>
      <c r="CH515" s="346">
        <f t="shared" si="232"/>
        <v>1.0035432534759998</v>
      </c>
      <c r="CI515" s="346">
        <f t="shared" si="232"/>
        <v>2.0724815196329991</v>
      </c>
      <c r="CJ515" s="346">
        <f t="shared" si="232"/>
        <v>1.4396311112401539</v>
      </c>
      <c r="CK515" s="346">
        <f t="shared" si="232"/>
        <v>1.112374852024002</v>
      </c>
      <c r="CL515" s="346">
        <f t="shared" si="232"/>
        <v>0.9939060787571673</v>
      </c>
      <c r="CM515" s="346">
        <f t="shared" si="232"/>
        <v>1.7816367285922678</v>
      </c>
      <c r="CN515" s="346">
        <f t="shared" si="232"/>
        <v>1.1560964636119997</v>
      </c>
      <c r="CO515" s="346">
        <f t="shared" si="232"/>
        <v>1.1988465443248493</v>
      </c>
      <c r="CP515" s="348">
        <f t="shared" si="232"/>
        <v>1.9066930600305543</v>
      </c>
      <c r="CQ515" s="346">
        <f t="shared" si="232"/>
        <v>0.89509302121562162</v>
      </c>
      <c r="CR515" s="346">
        <f t="shared" si="232"/>
        <v>2.3775702459999999</v>
      </c>
      <c r="CS515" s="346">
        <f t="shared" si="232"/>
        <v>0.90787249299999995</v>
      </c>
      <c r="CT515" s="346">
        <f t="shared" si="232"/>
        <v>0.99845654799999994</v>
      </c>
      <c r="CU515" s="346">
        <f t="shared" si="232"/>
        <v>2.4439537179999999</v>
      </c>
      <c r="CV515" s="346">
        <f t="shared" si="232"/>
        <v>0.69764231200000004</v>
      </c>
      <c r="CW515" s="346">
        <f t="shared" si="232"/>
        <v>0.98295110763615112</v>
      </c>
      <c r="CX515" s="346">
        <f t="shared" si="232"/>
        <v>2.26856999</v>
      </c>
      <c r="CY515" s="346">
        <f t="shared" si="232"/>
        <v>1.368852736</v>
      </c>
      <c r="CZ515" s="346">
        <f t="shared" si="232"/>
        <v>0.9260694413638757</v>
      </c>
      <c r="DA515" s="346">
        <f t="shared" si="232"/>
        <v>2.7193807799999998</v>
      </c>
      <c r="DB515" s="1479">
        <f t="shared" si="232"/>
        <v>1.6617217120000001</v>
      </c>
      <c r="DC515" s="346">
        <f t="shared" si="232"/>
        <v>1.013739671850697</v>
      </c>
      <c r="DD515" s="346">
        <f t="shared" si="232"/>
        <v>3.8155369459999999</v>
      </c>
      <c r="DE515" s="346">
        <f t="shared" si="232"/>
        <v>1.2336428793999998</v>
      </c>
      <c r="DF515" s="346">
        <f t="shared" si="232"/>
        <v>1.327297921581104</v>
      </c>
      <c r="DG515" s="346">
        <f t="shared" si="232"/>
        <v>4.0140894349999998</v>
      </c>
      <c r="DH515" s="346">
        <f t="shared" si="232"/>
        <v>1.0529086349999999</v>
      </c>
      <c r="DI515" s="346">
        <f t="shared" si="232"/>
        <v>1.1573102669999999</v>
      </c>
      <c r="DJ515" s="346">
        <f t="shared" si="232"/>
        <v>4.0698216370000004</v>
      </c>
      <c r="DK515" s="346">
        <f t="shared" si="232"/>
        <v>1.0609657140000008</v>
      </c>
      <c r="DL515" s="346">
        <f t="shared" si="232"/>
        <v>1.0815417723131717</v>
      </c>
      <c r="DM515" s="346">
        <f t="shared" si="232"/>
        <v>4.1636333206521741</v>
      </c>
      <c r="DN515" s="348">
        <f t="shared" si="232"/>
        <v>1.3608856950800003</v>
      </c>
      <c r="DO515" s="346">
        <f t="shared" si="232"/>
        <v>1.2351774840365648</v>
      </c>
      <c r="DP515" s="346">
        <f t="shared" si="232"/>
        <v>6.1734157689873967</v>
      </c>
      <c r="DQ515" s="346">
        <f t="shared" si="232"/>
        <v>2.029494319699999</v>
      </c>
      <c r="DR515" s="346">
        <f t="shared" si="232"/>
        <v>1.2692359781160756</v>
      </c>
      <c r="DS515" s="346">
        <f t="shared" si="232"/>
        <v>5.1450937291111103</v>
      </c>
      <c r="DT515" s="346">
        <f t="shared" si="232"/>
        <v>3.2687679459695027</v>
      </c>
      <c r="DU515" s="346">
        <f t="shared" si="232"/>
        <v>1.6967300333154924</v>
      </c>
      <c r="DV515" s="346">
        <f t="shared" si="232"/>
        <v>6.8498788734528917</v>
      </c>
      <c r="DW515" s="346">
        <f t="shared" si="232"/>
        <v>2.044152556342</v>
      </c>
      <c r="DX515" s="346">
        <f t="shared" si="232"/>
        <v>1.7110111851588521</v>
      </c>
      <c r="DY515" s="346">
        <f t="shared" si="232"/>
        <v>6.1522524299347809</v>
      </c>
      <c r="DZ515" s="348">
        <f t="shared" si="232"/>
        <v>3.0128467449470024</v>
      </c>
      <c r="EA515" s="346">
        <f t="shared" ref="EA515:EL515" si="233">EA102+EA107+EA115+EA118+EA113+EA137</f>
        <v>2.1337011621431112</v>
      </c>
      <c r="EB515" s="346">
        <f t="shared" si="233"/>
        <v>7.0659748616649996</v>
      </c>
      <c r="EC515" s="346">
        <f t="shared" si="233"/>
        <v>3.1904143020000002</v>
      </c>
      <c r="ED515" s="346">
        <f t="shared" si="233"/>
        <v>2.0750919090000002</v>
      </c>
      <c r="EE515" s="346">
        <f t="shared" si="233"/>
        <v>7.6867913659999996</v>
      </c>
      <c r="EF515" s="346">
        <f t="shared" si="233"/>
        <v>2.497102579410345</v>
      </c>
      <c r="EG515" s="346">
        <f t="shared" si="233"/>
        <v>2.2924976775182282</v>
      </c>
      <c r="EH515" s="346">
        <f t="shared" si="233"/>
        <v>7.962119747296958</v>
      </c>
      <c r="EI515" s="346">
        <f t="shared" si="233"/>
        <v>3.3006868052530733</v>
      </c>
      <c r="EJ515" s="346">
        <f t="shared" si="233"/>
        <v>1.9681334131410042</v>
      </c>
      <c r="EK515" s="346">
        <f t="shared" si="233"/>
        <v>7.9209123550308345</v>
      </c>
      <c r="EL515" s="348">
        <f t="shared" si="233"/>
        <v>3.282589705546533</v>
      </c>
      <c r="EM515" s="346">
        <f t="shared" ref="EM515:EX515" si="234">(EM102+EM107+EM115+EM118+EM113+EM137)*0+EM301+EM302+EM303+EM304</f>
        <v>2.228758729166457</v>
      </c>
      <c r="EN515" s="346">
        <f t="shared" si="234"/>
        <v>7.9635574682075188</v>
      </c>
      <c r="EO515" s="346">
        <f t="shared" si="234"/>
        <v>2.6397766795801307</v>
      </c>
      <c r="EP515" s="346">
        <f t="shared" si="234"/>
        <v>2.0865679931982122</v>
      </c>
      <c r="EQ515" s="346">
        <f t="shared" si="234"/>
        <v>2.2005343650000002</v>
      </c>
      <c r="ER515" s="346">
        <f t="shared" si="234"/>
        <v>10.34234914812088</v>
      </c>
      <c r="ES515" s="346">
        <f t="shared" si="234"/>
        <v>2.8476184939999998</v>
      </c>
      <c r="ET515" s="346">
        <f t="shared" si="234"/>
        <v>8.8725304500000011</v>
      </c>
      <c r="EU515" s="346">
        <f t="shared" si="234"/>
        <v>2.0579719870000002</v>
      </c>
      <c r="EV515" s="346">
        <f t="shared" si="234"/>
        <v>1.4585385360000001</v>
      </c>
      <c r="EW515" s="346">
        <f t="shared" si="234"/>
        <v>10.389073190000001</v>
      </c>
      <c r="EX515" s="348">
        <f t="shared" si="234"/>
        <v>1.695973894</v>
      </c>
      <c r="EY515" s="346"/>
      <c r="EZ515" s="346"/>
      <c r="FA515" s="346"/>
      <c r="FB515" s="346"/>
      <c r="FC515" s="346"/>
      <c r="FD515" s="346"/>
      <c r="FE515" s="346"/>
      <c r="FF515" s="346"/>
      <c r="FG515" s="346"/>
      <c r="FH515" s="346"/>
      <c r="FI515" s="346"/>
      <c r="FJ515" s="348"/>
      <c r="FK515" s="346"/>
      <c r="FL515" s="346"/>
      <c r="FM515" s="346"/>
      <c r="FN515" s="346"/>
      <c r="FO515" s="346"/>
      <c r="FP515" s="346"/>
      <c r="FQ515" s="346"/>
      <c r="FR515" s="346"/>
      <c r="FS515" s="346"/>
      <c r="FT515" s="346"/>
      <c r="FU515" s="346"/>
      <c r="FV515" s="346"/>
      <c r="FW515" s="346"/>
      <c r="FX515" s="346"/>
      <c r="FY515" s="346"/>
      <c r="FZ515" s="346"/>
      <c r="GA515" s="346"/>
      <c r="GB515" s="346"/>
      <c r="GC515" s="346"/>
      <c r="GD515" s="346"/>
      <c r="GE515" s="346"/>
      <c r="GF515" s="346"/>
      <c r="GG515" s="346"/>
      <c r="GH515" s="346"/>
      <c r="GI515" s="346"/>
      <c r="GJ515" s="346"/>
      <c r="GK515" s="346"/>
      <c r="GL515" s="346"/>
      <c r="GM515" s="346"/>
      <c r="GN515" s="346"/>
      <c r="GO515" s="346"/>
      <c r="GP515" s="346"/>
      <c r="GQ515" s="346"/>
      <c r="GR515" s="346"/>
      <c r="GS515" s="346"/>
      <c r="GT515" s="346"/>
      <c r="GU515" s="346"/>
      <c r="GV515" s="346"/>
      <c r="GW515" s="346"/>
      <c r="GX515" s="346"/>
      <c r="GY515" s="346"/>
      <c r="GZ515" s="346"/>
      <c r="HA515" s="346"/>
      <c r="HB515" s="346"/>
      <c r="HC515" s="346"/>
      <c r="HD515" s="346"/>
      <c r="HE515" s="346"/>
      <c r="HF515" s="346"/>
      <c r="HG515" s="346"/>
      <c r="HH515" s="346"/>
      <c r="HI515" s="346"/>
      <c r="HJ515" s="346"/>
      <c r="HK515" s="346"/>
      <c r="HL515" s="346"/>
      <c r="HM515" s="346"/>
      <c r="HN515" s="349"/>
      <c r="HO515" s="351" t="s">
        <v>156</v>
      </c>
      <c r="HP515" s="351"/>
      <c r="HQ515" s="351"/>
      <c r="HR515" s="346">
        <f>+FISC!Z730</f>
        <v>18.2</v>
      </c>
      <c r="HS515" s="302">
        <f>SUM(CQ515:CV515)</f>
        <v>8.3205883382156216</v>
      </c>
      <c r="HT515" s="302">
        <f>SUM(CW515:DB515)</f>
        <v>9.9275457670000264</v>
      </c>
      <c r="HU515" s="346">
        <f>SUM(CQ515:DB515)</f>
        <v>18.248134105215644</v>
      </c>
      <c r="HV515" s="302">
        <f>+SUM(DC515:DH515)</f>
        <v>12.457215488831801</v>
      </c>
      <c r="HW515" s="302">
        <f>+SUM(DI515:DN515)</f>
        <v>12.894158406045348</v>
      </c>
      <c r="HX515" s="346">
        <f>HV515+HW515</f>
        <v>25.351373894877149</v>
      </c>
      <c r="HY515" s="302">
        <f>+SUM(DO515:DT515)</f>
        <v>19.121185225920648</v>
      </c>
      <c r="HZ515" s="579">
        <f>SUM(DU515:DZ515)</f>
        <v>21.46687182315102</v>
      </c>
      <c r="IA515" s="346">
        <f t="shared" si="103"/>
        <v>40.588057049071665</v>
      </c>
      <c r="IB515" s="302">
        <v>23.655134132000001</v>
      </c>
      <c r="IC515" s="302">
        <f>ID515-IB515</f>
        <v>25.244878396000004</v>
      </c>
      <c r="ID515" s="346">
        <f>FISC!AC730</f>
        <v>48.900012528000005</v>
      </c>
      <c r="IE515" s="302">
        <f>SUM(EM515:ER515)</f>
        <v>27.4615443832732</v>
      </c>
      <c r="IF515" s="302">
        <f>SUM(ES515:EX515)</f>
        <v>27.321706551000005</v>
      </c>
      <c r="IG515" s="346">
        <f t="shared" si="201"/>
        <v>54.783250934273205</v>
      </c>
      <c r="IH515" s="350" t="e">
        <f>((IJ515/2)*0+#REF!)*0+39.080332332</f>
        <v>#REF!</v>
      </c>
      <c r="II515" s="302" t="e">
        <f>+IJ515-IH515</f>
        <v>#REF!</v>
      </c>
      <c r="IJ515" s="346">
        <f>+FISC!AE730</f>
        <v>101.443059386</v>
      </c>
      <c r="IK515" s="350">
        <f>(IM515/2)*0+53.8064759921235</f>
        <v>53.806475992123502</v>
      </c>
      <c r="IL515" s="302">
        <f t="shared" si="85"/>
        <v>80.137634864077512</v>
      </c>
      <c r="IM515" s="346">
        <f>+FISC!AF730</f>
        <v>133.94411085620101</v>
      </c>
      <c r="IN515" s="350">
        <f>IP515/2</f>
        <v>72.465633803976004</v>
      </c>
      <c r="IO515" s="302">
        <f t="shared" si="154"/>
        <v>72.465633803976004</v>
      </c>
      <c r="IP515" s="346">
        <f>+FISC!AG730</f>
        <v>144.93126760795201</v>
      </c>
      <c r="IQ515" s="350">
        <f>IS515/2</f>
        <v>77.959212179850994</v>
      </c>
      <c r="IR515" s="302">
        <f t="shared" si="74"/>
        <v>77.959212179850994</v>
      </c>
      <c r="IS515" s="346">
        <f>+FISC!AH730</f>
        <v>155.91842435970199</v>
      </c>
      <c r="IT515" s="350">
        <f>IV515/2</f>
        <v>119.0513765532973</v>
      </c>
      <c r="IU515" s="302">
        <f t="shared" si="75"/>
        <v>119.0513765532973</v>
      </c>
      <c r="IV515" s="346">
        <f>+FISC!AI730</f>
        <v>238.10275310659461</v>
      </c>
      <c r="IW515" s="350">
        <f>IY515/2</f>
        <v>131.98542468401922</v>
      </c>
      <c r="IX515" s="302">
        <f t="shared" si="76"/>
        <v>131.98542468401922</v>
      </c>
      <c r="IY515" s="346">
        <f>+FISC!AJ730</f>
        <v>263.97084936803844</v>
      </c>
      <c r="IZ515" s="350">
        <f>JB515/2</f>
        <v>138.150986238</v>
      </c>
      <c r="JA515" s="302">
        <f t="shared" si="77"/>
        <v>138.150986238</v>
      </c>
      <c r="JB515" s="346">
        <f>+FISC!AK730</f>
        <v>276.301972476</v>
      </c>
      <c r="JC515" s="346"/>
      <c r="KI515" s="349"/>
      <c r="KJ515" s="350"/>
    </row>
    <row r="516" spans="1:302">
      <c r="A516" s="302"/>
      <c r="B516" s="117" t="s">
        <v>361</v>
      </c>
      <c r="D516" s="351" t="str">
        <f>+FISC!D731</f>
        <v>of which Interest on overdraft and T/Bills</v>
      </c>
      <c r="E516" s="346"/>
      <c r="F516" s="346"/>
      <c r="G516" s="346"/>
      <c r="H516" s="346"/>
      <c r="I516" s="346"/>
      <c r="J516" s="346"/>
      <c r="K516" s="346"/>
      <c r="L516" s="346"/>
      <c r="M516" s="346"/>
      <c r="N516" s="346"/>
      <c r="O516" s="346"/>
      <c r="P516" s="346"/>
      <c r="Q516" s="346"/>
      <c r="R516" s="346"/>
      <c r="S516" s="346"/>
      <c r="T516" s="346"/>
      <c r="U516" s="346"/>
      <c r="V516" s="346"/>
      <c r="W516" s="346"/>
      <c r="X516" s="346"/>
      <c r="Y516" s="346"/>
      <c r="Z516" s="346"/>
      <c r="AA516" s="346"/>
      <c r="AB516" s="346"/>
      <c r="AC516" s="346"/>
      <c r="AD516" s="346"/>
      <c r="AE516" s="346"/>
      <c r="AF516" s="346"/>
      <c r="AG516" s="346"/>
      <c r="AH516" s="346"/>
      <c r="AI516" s="346"/>
      <c r="AJ516" s="346"/>
      <c r="AK516" s="346"/>
      <c r="AL516" s="346"/>
      <c r="AM516" s="346"/>
      <c r="AN516" s="346"/>
      <c r="AO516" s="346"/>
      <c r="AP516" s="346"/>
      <c r="AQ516" s="346"/>
      <c r="AR516" s="346"/>
      <c r="AS516" s="346"/>
      <c r="AT516" s="346"/>
      <c r="AU516" s="346"/>
      <c r="AV516" s="346"/>
      <c r="AW516" s="346"/>
      <c r="AX516" s="346"/>
      <c r="AY516" s="346"/>
      <c r="AZ516" s="346"/>
      <c r="BA516" s="346"/>
      <c r="BB516" s="346"/>
      <c r="BC516" s="346"/>
      <c r="BD516" s="346"/>
      <c r="BE516" s="346"/>
      <c r="BF516" s="346"/>
      <c r="BG516" s="346"/>
      <c r="BH516" s="346"/>
      <c r="BI516" s="346"/>
      <c r="BJ516" s="346"/>
      <c r="BK516" s="346"/>
      <c r="BL516" s="346"/>
      <c r="BM516" s="346"/>
      <c r="BN516" s="346"/>
      <c r="BO516" s="346"/>
      <c r="BP516" s="346"/>
      <c r="BQ516" s="346"/>
      <c r="BR516" s="346"/>
      <c r="BS516" s="346"/>
      <c r="BT516" s="346"/>
      <c r="BU516" s="346"/>
      <c r="BV516" s="346"/>
      <c r="BW516" s="346"/>
      <c r="BX516" s="346"/>
      <c r="BY516" s="346"/>
      <c r="BZ516" s="346"/>
      <c r="CA516" s="346"/>
      <c r="CB516" s="346"/>
      <c r="CC516" s="346"/>
      <c r="CD516" s="346"/>
      <c r="CE516" s="347">
        <f t="shared" ref="CE516:DJ516" si="235">CE115+CE113</f>
        <v>0.8567917237779975</v>
      </c>
      <c r="CF516" s="346">
        <f t="shared" si="235"/>
        <v>1.5190019562175723</v>
      </c>
      <c r="CG516" s="346">
        <f t="shared" si="235"/>
        <v>1.7827293571794505</v>
      </c>
      <c r="CH516" s="346">
        <f t="shared" si="235"/>
        <v>0.66247898047599996</v>
      </c>
      <c r="CI516" s="346">
        <f t="shared" si="235"/>
        <v>0.93476107363299932</v>
      </c>
      <c r="CJ516" s="346">
        <f t="shared" si="235"/>
        <v>1.145066085240154</v>
      </c>
      <c r="CK516" s="346">
        <f t="shared" si="235"/>
        <v>0.84615437002400196</v>
      </c>
      <c r="CL516" s="346">
        <f t="shared" si="235"/>
        <v>0.86265607875716732</v>
      </c>
      <c r="CM516" s="346">
        <f t="shared" si="235"/>
        <v>0.75725545859226795</v>
      </c>
      <c r="CN516" s="346">
        <f t="shared" si="235"/>
        <v>0.76104997761199977</v>
      </c>
      <c r="CO516" s="346">
        <f t="shared" si="235"/>
        <v>1.0063465443248494</v>
      </c>
      <c r="CP516" s="348">
        <f t="shared" si="235"/>
        <v>0.93755087103055434</v>
      </c>
      <c r="CQ516" s="346">
        <f t="shared" si="235"/>
        <v>0.65261801799999997</v>
      </c>
      <c r="CR516" s="346">
        <f t="shared" si="235"/>
        <v>0.91038274600000002</v>
      </c>
      <c r="CS516" s="346">
        <f t="shared" si="235"/>
        <v>0.69234831799999996</v>
      </c>
      <c r="CT516" s="346">
        <f t="shared" si="235"/>
        <v>0.62745235899999996</v>
      </c>
      <c r="CU516" s="346">
        <f t="shared" si="235"/>
        <v>0.61350729800000003</v>
      </c>
      <c r="CV516" s="346">
        <f t="shared" si="235"/>
        <v>0.678872166</v>
      </c>
      <c r="CW516" s="346">
        <f t="shared" si="235"/>
        <v>0.76481893000000001</v>
      </c>
      <c r="CX516" s="346">
        <f t="shared" si="235"/>
        <v>0.66076999000000003</v>
      </c>
      <c r="CY516" s="346">
        <f t="shared" si="235"/>
        <v>0.52347253900000001</v>
      </c>
      <c r="CZ516" s="346">
        <f t="shared" si="235"/>
        <v>0.57971236299999995</v>
      </c>
      <c r="DA516" s="346">
        <f t="shared" si="235"/>
        <v>0.63500577999999996</v>
      </c>
      <c r="DB516" s="1479">
        <f t="shared" si="235"/>
        <v>0.820095554</v>
      </c>
      <c r="DC516" s="346">
        <f t="shared" si="235"/>
        <v>0.82056269400000004</v>
      </c>
      <c r="DD516" s="346">
        <f t="shared" si="235"/>
        <v>0.70397444600000003</v>
      </c>
      <c r="DE516" s="346">
        <f t="shared" si="235"/>
        <v>1.033270651</v>
      </c>
      <c r="DF516" s="346">
        <f t="shared" si="235"/>
        <v>1.0062079829999999</v>
      </c>
      <c r="DG516" s="346">
        <f t="shared" si="235"/>
        <v>0.645964435</v>
      </c>
      <c r="DH516" s="346">
        <f t="shared" si="235"/>
        <v>0.81263786900000001</v>
      </c>
      <c r="DI516" s="346">
        <f t="shared" si="235"/>
        <v>0.98971626800000001</v>
      </c>
      <c r="DJ516" s="346">
        <f t="shared" si="235"/>
        <v>0.699821637</v>
      </c>
      <c r="DK516" s="346">
        <f t="shared" ref="DK516:EP516" si="236">DK115+DK113</f>
        <v>0.68025465400000096</v>
      </c>
      <c r="DL516" s="346">
        <f t="shared" si="236"/>
        <v>1.0676046000000008</v>
      </c>
      <c r="DM516" s="346">
        <f t="shared" si="236"/>
        <v>0.74050832065217387</v>
      </c>
      <c r="DN516" s="348">
        <f t="shared" si="236"/>
        <v>0.66428016508000043</v>
      </c>
      <c r="DO516" s="346">
        <f t="shared" si="236"/>
        <v>1.0938100360622067</v>
      </c>
      <c r="DP516" s="346">
        <f t="shared" si="236"/>
        <v>1.1335291669873961</v>
      </c>
      <c r="DQ516" s="346">
        <f t="shared" si="236"/>
        <v>1.7708686646999992</v>
      </c>
      <c r="DR516" s="346">
        <f t="shared" si="236"/>
        <v>1.0812104925347645</v>
      </c>
      <c r="DS516" s="346">
        <f t="shared" si="236"/>
        <v>1.0469687291111103</v>
      </c>
      <c r="DT516" s="346">
        <f t="shared" si="236"/>
        <v>2.4930622369695028</v>
      </c>
      <c r="DU516" s="346">
        <f t="shared" si="236"/>
        <v>1.5389733838571427</v>
      </c>
      <c r="DV516" s="346">
        <f t="shared" si="236"/>
        <v>1.6260321274528915</v>
      </c>
      <c r="DW516" s="346">
        <f t="shared" si="236"/>
        <v>1.8303119983420002</v>
      </c>
      <c r="DX516" s="346">
        <f t="shared" si="236"/>
        <v>1.592668266</v>
      </c>
      <c r="DY516" s="346">
        <f t="shared" si="236"/>
        <v>1.1541274299347808</v>
      </c>
      <c r="DZ516" s="348">
        <f t="shared" si="236"/>
        <v>2.8163975239470025</v>
      </c>
      <c r="EA516" s="346">
        <f t="shared" si="236"/>
        <v>2.0467826980000008</v>
      </c>
      <c r="EB516" s="346">
        <f t="shared" si="236"/>
        <v>1.5587384066649999</v>
      </c>
      <c r="EC516" s="346">
        <f t="shared" si="236"/>
        <v>2.6224481310000001</v>
      </c>
      <c r="ED516" s="346">
        <f t="shared" si="236"/>
        <v>1.929335523</v>
      </c>
      <c r="EE516" s="346">
        <f t="shared" si="236"/>
        <v>1.3424163659999999</v>
      </c>
      <c r="EF516" s="346">
        <f t="shared" si="236"/>
        <v>1.9744015291603452</v>
      </c>
      <c r="EG516" s="346">
        <f t="shared" si="236"/>
        <v>2.2338352585182282</v>
      </c>
      <c r="EH516" s="346">
        <f t="shared" si="236"/>
        <v>2.261494747296958</v>
      </c>
      <c r="EI516" s="346">
        <f t="shared" si="236"/>
        <v>2.5834986032530733</v>
      </c>
      <c r="EJ516" s="346">
        <f t="shared" si="236"/>
        <v>1.9238644651410042</v>
      </c>
      <c r="EK516" s="346">
        <f t="shared" si="236"/>
        <v>1.6690373550308344</v>
      </c>
      <c r="EL516" s="348">
        <f t="shared" si="236"/>
        <v>2.4340352605465334</v>
      </c>
      <c r="EM516" s="346">
        <f t="shared" si="236"/>
        <v>2.1990631711664572</v>
      </c>
      <c r="EN516" s="346">
        <f t="shared" si="236"/>
        <v>2.056682468207518</v>
      </c>
      <c r="EO516" s="346">
        <f t="shared" si="236"/>
        <v>1.7641710395801309</v>
      </c>
      <c r="EP516" s="346">
        <f t="shared" si="236"/>
        <v>2.0716279921982124</v>
      </c>
      <c r="EQ516" s="346">
        <f t="shared" ref="EQ516:EX516" si="237">EQ115+EQ113</f>
        <v>2.0130343650000002</v>
      </c>
      <c r="ER516" s="346">
        <f t="shared" si="237"/>
        <v>1.9079741481208798</v>
      </c>
      <c r="ES516" s="346">
        <f t="shared" si="237"/>
        <v>0</v>
      </c>
      <c r="ET516" s="346">
        <f t="shared" si="237"/>
        <v>0</v>
      </c>
      <c r="EU516" s="346">
        <f t="shared" si="237"/>
        <v>0</v>
      </c>
      <c r="EV516" s="346">
        <f t="shared" si="237"/>
        <v>0</v>
      </c>
      <c r="EW516" s="346">
        <f t="shared" si="237"/>
        <v>0</v>
      </c>
      <c r="EX516" s="348">
        <f t="shared" si="237"/>
        <v>0</v>
      </c>
      <c r="EY516" s="346"/>
      <c r="EZ516" s="346"/>
      <c r="FA516" s="346"/>
      <c r="FB516" s="346"/>
      <c r="FC516" s="346"/>
      <c r="FD516" s="346"/>
      <c r="FE516" s="346"/>
      <c r="FF516" s="346"/>
      <c r="FG516" s="346"/>
      <c r="FH516" s="346"/>
      <c r="FI516" s="346"/>
      <c r="FJ516" s="348"/>
      <c r="FK516" s="346"/>
      <c r="FL516" s="346"/>
      <c r="FM516" s="346"/>
      <c r="FN516" s="346"/>
      <c r="FO516" s="346"/>
      <c r="FP516" s="346"/>
      <c r="FQ516" s="346"/>
      <c r="FR516" s="346"/>
      <c r="FS516" s="346"/>
      <c r="FT516" s="346"/>
      <c r="FU516" s="346"/>
      <c r="FV516" s="346"/>
      <c r="FW516" s="346"/>
      <c r="FX516" s="346"/>
      <c r="FY516" s="346"/>
      <c r="FZ516" s="346"/>
      <c r="GA516" s="346"/>
      <c r="GB516" s="346"/>
      <c r="GC516" s="346"/>
      <c r="GD516" s="346"/>
      <c r="GE516" s="346"/>
      <c r="GF516" s="346"/>
      <c r="GG516" s="346"/>
      <c r="GH516" s="346"/>
      <c r="GI516" s="346"/>
      <c r="GJ516" s="346"/>
      <c r="GK516" s="346"/>
      <c r="GL516" s="346"/>
      <c r="GM516" s="346"/>
      <c r="GN516" s="346"/>
      <c r="GO516" s="346"/>
      <c r="GP516" s="346"/>
      <c r="GQ516" s="346"/>
      <c r="GR516" s="346"/>
      <c r="GS516" s="346"/>
      <c r="GT516" s="346"/>
      <c r="GU516" s="346"/>
      <c r="GV516" s="346"/>
      <c r="GW516" s="346"/>
      <c r="GX516" s="346"/>
      <c r="GY516" s="346"/>
      <c r="GZ516" s="346"/>
      <c r="HA516" s="346"/>
      <c r="HB516" s="346"/>
      <c r="HC516" s="346"/>
      <c r="HD516" s="346"/>
      <c r="HE516" s="346"/>
      <c r="HF516" s="346"/>
      <c r="HG516" s="346"/>
      <c r="HH516" s="346"/>
      <c r="HI516" s="346"/>
      <c r="HJ516" s="346"/>
      <c r="HK516" s="346"/>
      <c r="HL516" s="346"/>
      <c r="HM516" s="346"/>
      <c r="HN516" s="349"/>
      <c r="HO516" s="351" t="s">
        <v>157</v>
      </c>
      <c r="HP516" s="351"/>
      <c r="HQ516" s="351"/>
      <c r="HR516" s="346">
        <f>+FISC!Z731</f>
        <v>4.1751809049999995</v>
      </c>
      <c r="HS516" s="302">
        <f>SUM(CQ516:CV516)</f>
        <v>4.1751809049999995</v>
      </c>
      <c r="HT516" s="302">
        <f>SUM(CW516:DB516)</f>
        <v>3.9838751559999999</v>
      </c>
      <c r="HU516" s="346">
        <f>SUM(CQ516:DB516)</f>
        <v>8.1590560609999994</v>
      </c>
      <c r="HX516" s="346">
        <v>0</v>
      </c>
      <c r="HY516" s="302">
        <f>+SUM(DO516:DT516)</f>
        <v>8.619449326364979</v>
      </c>
      <c r="HZ516" s="302">
        <f>SUM(DU516:DZ516)</f>
        <v>10.558510729533818</v>
      </c>
      <c r="IA516" s="346">
        <f t="shared" si="103"/>
        <v>19.177960055898797</v>
      </c>
      <c r="IC516" s="350"/>
      <c r="ID516" s="346">
        <f>FISC!AC731</f>
        <v>0</v>
      </c>
      <c r="IE516" s="302">
        <f>SUM(EM516:ER516)</f>
        <v>12.0125531842732</v>
      </c>
      <c r="IF516" s="302">
        <f>SUM(ES516:EX516)</f>
        <v>0</v>
      </c>
      <c r="IG516" s="346">
        <f t="shared" si="201"/>
        <v>12.0125531842732</v>
      </c>
      <c r="IH516" s="350"/>
      <c r="II516" s="350"/>
      <c r="IJ516" s="346">
        <f>+FISC!AE731</f>
        <v>0</v>
      </c>
      <c r="IK516" s="302">
        <f>IM516*JI516</f>
        <v>0</v>
      </c>
      <c r="IL516" s="302">
        <f t="shared" si="85"/>
        <v>0</v>
      </c>
      <c r="IM516" s="346">
        <f>+FISC!AF731</f>
        <v>0</v>
      </c>
      <c r="IN516" s="302">
        <f>IP516*JI516</f>
        <v>0</v>
      </c>
      <c r="IO516" s="302">
        <f t="shared" si="154"/>
        <v>0</v>
      </c>
      <c r="IP516" s="346">
        <f>+FISC!AG731</f>
        <v>0</v>
      </c>
      <c r="IQ516" s="302">
        <f>IS516*JI516</f>
        <v>0</v>
      </c>
      <c r="IR516" s="302">
        <f t="shared" si="74"/>
        <v>0</v>
      </c>
      <c r="IS516" s="346">
        <f>+FISC!AH731</f>
        <v>0</v>
      </c>
      <c r="IT516" s="302">
        <f>IV516*JI516</f>
        <v>0</v>
      </c>
      <c r="IU516" s="302">
        <f t="shared" si="75"/>
        <v>0</v>
      </c>
      <c r="IV516" s="346">
        <f>+FISC!AI731</f>
        <v>0</v>
      </c>
      <c r="IW516" s="302">
        <f>IY516*JL516</f>
        <v>0</v>
      </c>
      <c r="IX516" s="302">
        <f t="shared" si="76"/>
        <v>0</v>
      </c>
      <c r="IY516" s="346">
        <f>+FISC!AJ731</f>
        <v>0</v>
      </c>
      <c r="IZ516" s="302">
        <f>JB516*JO516</f>
        <v>0</v>
      </c>
      <c r="JA516" s="302">
        <f t="shared" si="77"/>
        <v>0</v>
      </c>
      <c r="JB516" s="346">
        <f>+FISC!AK731</f>
        <v>0</v>
      </c>
      <c r="JC516" s="346"/>
      <c r="KI516" s="349"/>
      <c r="KJ516" s="350"/>
    </row>
    <row r="517" spans="1:302">
      <c r="A517" s="302"/>
      <c r="D517" s="351"/>
      <c r="E517" s="346"/>
      <c r="F517" s="346"/>
      <c r="G517" s="346"/>
      <c r="H517" s="346"/>
      <c r="I517" s="346"/>
      <c r="J517" s="346"/>
      <c r="K517" s="346"/>
      <c r="L517" s="346"/>
      <c r="M517" s="346"/>
      <c r="N517" s="346"/>
      <c r="O517" s="346"/>
      <c r="P517" s="346"/>
      <c r="Q517" s="346"/>
      <c r="R517" s="346"/>
      <c r="S517" s="346"/>
      <c r="T517" s="346"/>
      <c r="U517" s="346"/>
      <c r="V517" s="346"/>
      <c r="W517" s="346"/>
      <c r="X517" s="346"/>
      <c r="Y517" s="346"/>
      <c r="Z517" s="346"/>
      <c r="AA517" s="346"/>
      <c r="AB517" s="346"/>
      <c r="AC517" s="346"/>
      <c r="AD517" s="346"/>
      <c r="AE517" s="346"/>
      <c r="AF517" s="346"/>
      <c r="AG517" s="346"/>
      <c r="AH517" s="346"/>
      <c r="AI517" s="346"/>
      <c r="AJ517" s="346"/>
      <c r="AK517" s="346"/>
      <c r="AL517" s="346"/>
      <c r="AM517" s="346"/>
      <c r="AN517" s="346"/>
      <c r="AO517" s="346"/>
      <c r="AP517" s="346"/>
      <c r="AQ517" s="346"/>
      <c r="AR517" s="346"/>
      <c r="AS517" s="346"/>
      <c r="AT517" s="346"/>
      <c r="AU517" s="346"/>
      <c r="AV517" s="346"/>
      <c r="AW517" s="346"/>
      <c r="AX517" s="346"/>
      <c r="AY517" s="346"/>
      <c r="AZ517" s="346"/>
      <c r="BA517" s="346"/>
      <c r="BB517" s="346"/>
      <c r="BC517" s="346"/>
      <c r="BD517" s="346"/>
      <c r="BE517" s="346"/>
      <c r="BF517" s="346"/>
      <c r="BG517" s="346"/>
      <c r="BH517" s="346"/>
      <c r="BI517" s="346"/>
      <c r="BJ517" s="346"/>
      <c r="BK517" s="346"/>
      <c r="BL517" s="346"/>
      <c r="BM517" s="346"/>
      <c r="BN517" s="346"/>
      <c r="BO517" s="346"/>
      <c r="BP517" s="346"/>
      <c r="BQ517" s="346"/>
      <c r="BR517" s="346"/>
      <c r="BS517" s="346"/>
      <c r="BT517" s="346"/>
      <c r="BU517" s="346"/>
      <c r="BV517" s="346"/>
      <c r="BW517" s="346"/>
      <c r="BX517" s="346"/>
      <c r="BY517" s="346"/>
      <c r="BZ517" s="346"/>
      <c r="CA517" s="346"/>
      <c r="CB517" s="346"/>
      <c r="CC517" s="346"/>
      <c r="CD517" s="346"/>
      <c r="CE517" s="347"/>
      <c r="CF517" s="346"/>
      <c r="CG517" s="346"/>
      <c r="CH517" s="346"/>
      <c r="CI517" s="346"/>
      <c r="CJ517" s="346"/>
      <c r="CK517" s="346"/>
      <c r="CL517" s="346"/>
      <c r="CM517" s="346"/>
      <c r="CN517" s="346"/>
      <c r="CO517" s="346"/>
      <c r="CP517" s="348"/>
      <c r="CQ517" s="346"/>
      <c r="CR517" s="346"/>
      <c r="CS517" s="346"/>
      <c r="CT517" s="346"/>
      <c r="CU517" s="346"/>
      <c r="CV517" s="346"/>
      <c r="CW517" s="346"/>
      <c r="CX517" s="346"/>
      <c r="CY517" s="346"/>
      <c r="CZ517" s="346"/>
      <c r="DA517" s="346"/>
      <c r="DB517" s="1479"/>
      <c r="DC517" s="346"/>
      <c r="DD517" s="346"/>
      <c r="DE517" s="346"/>
      <c r="DF517" s="346"/>
      <c r="DG517" s="346"/>
      <c r="DH517" s="346"/>
      <c r="DI517" s="346"/>
      <c r="DJ517" s="346"/>
      <c r="DK517" s="346"/>
      <c r="DL517" s="346"/>
      <c r="DM517" s="346"/>
      <c r="DN517" s="348"/>
      <c r="DO517" s="346"/>
      <c r="DP517" s="346"/>
      <c r="DQ517" s="346"/>
      <c r="DR517" s="346"/>
      <c r="DS517" s="346"/>
      <c r="DT517" s="346"/>
      <c r="DU517" s="346"/>
      <c r="DV517" s="346"/>
      <c r="DW517" s="346"/>
      <c r="DX517" s="346"/>
      <c r="DY517" s="346"/>
      <c r="DZ517" s="348"/>
      <c r="EA517" s="346"/>
      <c r="EB517" s="346"/>
      <c r="EC517" s="346"/>
      <c r="ED517" s="346"/>
      <c r="EE517" s="346"/>
      <c r="EF517" s="346"/>
      <c r="EG517" s="346"/>
      <c r="EH517" s="346"/>
      <c r="EI517" s="346"/>
      <c r="EJ517" s="346"/>
      <c r="EK517" s="346"/>
      <c r="EL517" s="348"/>
      <c r="EM517" s="346"/>
      <c r="EN517" s="346"/>
      <c r="EO517" s="346"/>
      <c r="EP517" s="346"/>
      <c r="EQ517" s="346"/>
      <c r="ER517" s="346"/>
      <c r="ES517" s="346"/>
      <c r="ET517" s="346"/>
      <c r="EU517" s="346"/>
      <c r="EV517" s="346"/>
      <c r="EW517" s="346"/>
      <c r="EX517" s="348"/>
      <c r="EY517" s="346"/>
      <c r="EZ517" s="346"/>
      <c r="FA517" s="346"/>
      <c r="FB517" s="346"/>
      <c r="FC517" s="346"/>
      <c r="FD517" s="346"/>
      <c r="FE517" s="346"/>
      <c r="FF517" s="346"/>
      <c r="FG517" s="346"/>
      <c r="FH517" s="346"/>
      <c r="FI517" s="346"/>
      <c r="FJ517" s="348"/>
      <c r="FK517" s="346"/>
      <c r="FL517" s="346"/>
      <c r="FM517" s="346"/>
      <c r="FN517" s="346"/>
      <c r="FO517" s="346"/>
      <c r="FP517" s="346"/>
      <c r="FQ517" s="346"/>
      <c r="FR517" s="346"/>
      <c r="FS517" s="346"/>
      <c r="FT517" s="346"/>
      <c r="FU517" s="346"/>
      <c r="FV517" s="346"/>
      <c r="FW517" s="346"/>
      <c r="FX517" s="346"/>
      <c r="FY517" s="346"/>
      <c r="FZ517" s="346"/>
      <c r="GA517" s="346"/>
      <c r="GB517" s="346"/>
      <c r="GC517" s="346"/>
      <c r="GD517" s="346"/>
      <c r="GE517" s="346"/>
      <c r="GF517" s="346"/>
      <c r="GG517" s="346"/>
      <c r="GH517" s="346"/>
      <c r="GI517" s="346"/>
      <c r="GJ517" s="346"/>
      <c r="GK517" s="346"/>
      <c r="GL517" s="346"/>
      <c r="GM517" s="346"/>
      <c r="GN517" s="346"/>
      <c r="GO517" s="346"/>
      <c r="GP517" s="346"/>
      <c r="GQ517" s="346"/>
      <c r="GR517" s="346"/>
      <c r="GS517" s="346"/>
      <c r="GT517" s="346"/>
      <c r="GU517" s="346"/>
      <c r="GV517" s="346"/>
      <c r="GW517" s="346"/>
      <c r="GX517" s="346"/>
      <c r="GY517" s="346"/>
      <c r="GZ517" s="346"/>
      <c r="HA517" s="346"/>
      <c r="HB517" s="346"/>
      <c r="HC517" s="346"/>
      <c r="HD517" s="346"/>
      <c r="HE517" s="346"/>
      <c r="HF517" s="346"/>
      <c r="HG517" s="346"/>
      <c r="HH517" s="346"/>
      <c r="HI517" s="346"/>
      <c r="HJ517" s="346"/>
      <c r="HK517" s="346"/>
      <c r="HL517" s="346"/>
      <c r="HM517" s="346"/>
      <c r="HN517" s="349"/>
      <c r="HO517" s="1247" t="s">
        <v>1272</v>
      </c>
      <c r="HP517" s="1247"/>
      <c r="HQ517" s="1247"/>
      <c r="HR517" s="346"/>
      <c r="HU517" s="346"/>
      <c r="HX517" s="346"/>
      <c r="IA517" s="346"/>
      <c r="IC517" s="350"/>
      <c r="ID517" s="346"/>
      <c r="IG517" s="346"/>
      <c r="IH517" s="350">
        <f>(1529577224/1000000000)*0+0.792563044</f>
        <v>0.79256304399999999</v>
      </c>
      <c r="II517" s="350">
        <f>IJ517-IH517</f>
        <v>2.0256424390671444</v>
      </c>
      <c r="IJ517" s="346">
        <f>FISC!AE732</f>
        <v>2.8182054830671444</v>
      </c>
      <c r="IK517" s="302">
        <f>1056935360/1000000000</f>
        <v>1.05693536</v>
      </c>
      <c r="IL517" s="302">
        <f>IM517-IK517</f>
        <v>0.78641742852419072</v>
      </c>
      <c r="IM517" s="346">
        <f>FISC!AF732</f>
        <v>1.8433527885241907</v>
      </c>
      <c r="IN517" s="302">
        <f>523033376/1000000000</f>
        <v>0.52303337599999999</v>
      </c>
      <c r="IO517" s="302">
        <f>IP517-IN517</f>
        <v>-2.1366458323665438</v>
      </c>
      <c r="IP517" s="346">
        <f>FISC!AG732</f>
        <v>-1.6136124563665437</v>
      </c>
      <c r="IS517" s="346"/>
      <c r="IV517" s="346"/>
      <c r="IY517" s="346"/>
      <c r="JB517" s="346"/>
      <c r="JC517" s="346"/>
      <c r="KI517" s="349"/>
      <c r="KJ517" s="350"/>
    </row>
    <row r="518" spans="1:302" ht="16.5">
      <c r="A518" s="302"/>
      <c r="B518" s="117" t="s">
        <v>361</v>
      </c>
      <c r="D518" s="351" t="str">
        <f>+FISC!D733</f>
        <v>External Int (due)</v>
      </c>
      <c r="E518" s="346">
        <v>0.15573618790412799</v>
      </c>
      <c r="F518" s="346">
        <v>0.30486003372000003</v>
      </c>
      <c r="G518" s="346">
        <v>6.9508115032499998E-2</v>
      </c>
      <c r="H518" s="346">
        <v>0.54656186912827198</v>
      </c>
      <c r="I518" s="346">
        <v>8.9836727898000013E-2</v>
      </c>
      <c r="J518" s="346">
        <v>0.56584702272589993</v>
      </c>
      <c r="K518" s="346">
        <v>0.24058884532630001</v>
      </c>
      <c r="L518" s="346">
        <v>0.1564783268496</v>
      </c>
      <c r="M518" s="346">
        <v>6.3085660884E-2</v>
      </c>
      <c r="N518" s="346">
        <v>5.7374798740000003E-2</v>
      </c>
      <c r="O518" s="346">
        <v>5.1228961000000005E-3</v>
      </c>
      <c r="P518" s="346">
        <v>1.153293008E-2</v>
      </c>
      <c r="Q518" s="346">
        <v>0.31759800939159993</v>
      </c>
      <c r="R518" s="346">
        <v>1.9064099342700001E-2</v>
      </c>
      <c r="S518" s="346">
        <v>0.21270351672499999</v>
      </c>
      <c r="T518" s="346">
        <v>0.60981088226400004</v>
      </c>
      <c r="U518" s="346">
        <v>0.36712306565550001</v>
      </c>
      <c r="V518" s="346">
        <v>0.41081250139199998</v>
      </c>
      <c r="W518" s="346">
        <v>0.28025884034999998</v>
      </c>
      <c r="X518" s="346">
        <v>8.2160354080000001E-3</v>
      </c>
      <c r="Y518" s="346">
        <v>0.25498676760479999</v>
      </c>
      <c r="Z518" s="346">
        <v>0.62958045557340014</v>
      </c>
      <c r="AA518" s="346">
        <v>8.1860323789399989E-2</v>
      </c>
      <c r="AB518" s="346">
        <v>0.56546407370700003</v>
      </c>
      <c r="AC518" s="346">
        <v>0.32803835200000003</v>
      </c>
      <c r="AD518" s="346">
        <v>4.8028904000000004E-2</v>
      </c>
      <c r="AE518" s="346">
        <v>0.28850029300000002</v>
      </c>
      <c r="AF518" s="346">
        <v>0.63411767899999993</v>
      </c>
      <c r="AG518" s="346">
        <v>8.9409139999999998E-2</v>
      </c>
      <c r="AH518" s="346">
        <v>0.73523419600000006</v>
      </c>
      <c r="AI518" s="346">
        <v>0.32633109500000002</v>
      </c>
      <c r="AJ518" s="346">
        <v>4.1893449999999999E-2</v>
      </c>
      <c r="AK518" s="346">
        <v>0.31604354700000004</v>
      </c>
      <c r="AL518" s="346">
        <v>0.904692685</v>
      </c>
      <c r="AM518" s="346">
        <v>0.20418752599999998</v>
      </c>
      <c r="AN518" s="346">
        <v>0.14614628299999999</v>
      </c>
      <c r="AO518" s="346">
        <v>0.40318742926000001</v>
      </c>
      <c r="AP518" s="346">
        <v>6.0189098059999994E-2</v>
      </c>
      <c r="AQ518" s="346">
        <v>0.35015841232722006</v>
      </c>
      <c r="AR518" s="346">
        <v>0.83703286911999997</v>
      </c>
      <c r="AS518" s="346">
        <v>0.14510115034800003</v>
      </c>
      <c r="AT518" s="346">
        <v>0.50910809306560001</v>
      </c>
      <c r="AU518" s="346">
        <v>0.40100971724000001</v>
      </c>
      <c r="AV518" s="346">
        <v>5.8221062880000007E-2</v>
      </c>
      <c r="AW518" s="346">
        <v>0.38420434755000005</v>
      </c>
      <c r="AX518" s="346">
        <v>0.82852465007999987</v>
      </c>
      <c r="AY518" s="346">
        <v>0.14268597290079998</v>
      </c>
      <c r="AZ518" s="346">
        <v>0.43981937736750004</v>
      </c>
      <c r="BA518" s="346">
        <v>0.43558012800000001</v>
      </c>
      <c r="BB518" s="346">
        <v>1.0110004000000001E-2</v>
      </c>
      <c r="BC518" s="346">
        <v>0.92716271800000005</v>
      </c>
      <c r="BD518" s="346">
        <v>0.33331492800000001</v>
      </c>
      <c r="BE518" s="346">
        <v>0.16448881800000001</v>
      </c>
      <c r="BF518" s="346">
        <v>0.46239011799999996</v>
      </c>
      <c r="BG518" s="346">
        <v>0.34486628699999999</v>
      </c>
      <c r="BH518" s="346">
        <v>9.8366340000000003E-3</v>
      </c>
      <c r="BI518" s="346">
        <v>1.212131165</v>
      </c>
      <c r="BJ518" s="346">
        <v>0.33043321182000002</v>
      </c>
      <c r="BK518" s="346">
        <v>0.32499299599999998</v>
      </c>
      <c r="BL518" s="346">
        <v>0.34056488600000001</v>
      </c>
      <c r="BM518" s="346">
        <v>0.39396392488999998</v>
      </c>
      <c r="BN518" s="346">
        <v>7.265613348000001E-2</v>
      </c>
      <c r="BO518" s="346">
        <v>1.2065038939999999</v>
      </c>
      <c r="BP518" s="346">
        <v>0.31302999999999997</v>
      </c>
      <c r="BQ518" s="346">
        <v>0.34902942385000002</v>
      </c>
      <c r="BR518" s="346">
        <v>0.31419376257999998</v>
      </c>
      <c r="BS518" s="346">
        <v>0.43530000000000002</v>
      </c>
      <c r="BT518" s="346">
        <v>0.11749999999999999</v>
      </c>
      <c r="BU518" s="346">
        <v>0.94889999999999997</v>
      </c>
      <c r="BV518" s="346"/>
      <c r="BW518" s="346"/>
      <c r="BX518" s="346"/>
      <c r="BY518" s="346">
        <v>0.58962372103436689</v>
      </c>
      <c r="BZ518" s="346">
        <v>0.26209405264554808</v>
      </c>
      <c r="CA518" s="346">
        <v>1.5240433492468854</v>
      </c>
      <c r="CB518" s="346">
        <v>0.94911435578394543</v>
      </c>
      <c r="CC518" s="346">
        <v>0.83735857921354295</v>
      </c>
      <c r="CD518" s="346">
        <v>0.3171077764414989</v>
      </c>
      <c r="CE518" s="347">
        <f t="shared" ref="CE518:DJ518" si="238">CE51</f>
        <v>0.6969246684296645</v>
      </c>
      <c r="CF518" s="346">
        <f t="shared" si="238"/>
        <v>0.20840830560696241</v>
      </c>
      <c r="CG518" s="346">
        <f t="shared" si="238"/>
        <v>0.97392462447706141</v>
      </c>
      <c r="CH518" s="346">
        <f t="shared" si="238"/>
        <v>9.8554909258991508</v>
      </c>
      <c r="CI518" s="346">
        <f t="shared" si="238"/>
        <v>0.32145879232868413</v>
      </c>
      <c r="CJ518" s="346">
        <f t="shared" si="238"/>
        <v>0.19237510966634239</v>
      </c>
      <c r="CK518" s="346">
        <f t="shared" si="238"/>
        <v>0.71346271088450908</v>
      </c>
      <c r="CL518" s="346">
        <f t="shared" si="238"/>
        <v>0.21600343383900905</v>
      </c>
      <c r="CM518" s="346">
        <f t="shared" si="238"/>
        <v>1.1769884505048114</v>
      </c>
      <c r="CN518" s="346">
        <f t="shared" si="238"/>
        <v>10.349296616037982</v>
      </c>
      <c r="CO518" s="346">
        <f t="shared" si="238"/>
        <v>0.49532113773663172</v>
      </c>
      <c r="CP518" s="348">
        <f t="shared" si="238"/>
        <v>0.33179743428691255</v>
      </c>
      <c r="CQ518" s="346">
        <f t="shared" si="238"/>
        <v>0.79099153748848061</v>
      </c>
      <c r="CR518" s="346">
        <f t="shared" si="238"/>
        <v>0.11403729645791975</v>
      </c>
      <c r="CS518" s="346">
        <f t="shared" si="238"/>
        <v>1.4733748898749943</v>
      </c>
      <c r="CT518" s="346">
        <f t="shared" si="238"/>
        <v>10.366451704121625</v>
      </c>
      <c r="CU518" s="346">
        <f t="shared" si="238"/>
        <v>0.50758294923288882</v>
      </c>
      <c r="CV518" s="346">
        <f t="shared" si="238"/>
        <v>0.35534728540567539</v>
      </c>
      <c r="CW518" s="346">
        <f t="shared" si="238"/>
        <v>0.24830707547233477</v>
      </c>
      <c r="CX518" s="346">
        <f t="shared" si="238"/>
        <v>0.74359800471522997</v>
      </c>
      <c r="CY518" s="346">
        <f t="shared" si="238"/>
        <v>1.1104098504566957</v>
      </c>
      <c r="CZ518" s="346">
        <f t="shared" si="238"/>
        <v>11.084422587891101</v>
      </c>
      <c r="DA518" s="346">
        <f t="shared" si="238"/>
        <v>0.40285186905315495</v>
      </c>
      <c r="DB518" s="1479">
        <f t="shared" si="238"/>
        <v>0.41327722969822789</v>
      </c>
      <c r="DC518" s="346">
        <f t="shared" si="238"/>
        <v>0.30581300002400003</v>
      </c>
      <c r="DD518" s="346">
        <f t="shared" si="238"/>
        <v>1.3218321449999999</v>
      </c>
      <c r="DE518" s="346">
        <f t="shared" si="238"/>
        <v>1.7112772300000001</v>
      </c>
      <c r="DF518" s="346">
        <f t="shared" si="238"/>
        <v>10.920185254000002</v>
      </c>
      <c r="DG518" s="346">
        <f t="shared" si="238"/>
        <v>0.41516584300000003</v>
      </c>
      <c r="DH518" s="346">
        <f t="shared" si="238"/>
        <v>0.48394333900000003</v>
      </c>
      <c r="DI518" s="346">
        <f t="shared" si="238"/>
        <v>1.017606302988461</v>
      </c>
      <c r="DJ518" s="346">
        <f t="shared" si="238"/>
        <v>1.3759804558694047</v>
      </c>
      <c r="DK518" s="346">
        <f t="shared" ref="DK518:EP518" si="239">DK51</f>
        <v>1.4788225950813481</v>
      </c>
      <c r="DL518" s="346">
        <f t="shared" si="239"/>
        <v>11.335465838468624</v>
      </c>
      <c r="DM518" s="346">
        <f t="shared" si="239"/>
        <v>0.57451591380627609</v>
      </c>
      <c r="DN518" s="348">
        <f t="shared" si="239"/>
        <v>0.40663164738113922</v>
      </c>
      <c r="DO518" s="346">
        <f t="shared" si="239"/>
        <v>0.32722966209005344</v>
      </c>
      <c r="DP518" s="346">
        <f t="shared" si="239"/>
        <v>1.9954767715179773</v>
      </c>
      <c r="DQ518" s="346">
        <f t="shared" si="239"/>
        <v>2.9979238477775936</v>
      </c>
      <c r="DR518" s="346">
        <f t="shared" si="239"/>
        <v>11.535534062562478</v>
      </c>
      <c r="DS518" s="346">
        <f t="shared" si="239"/>
        <v>1.269771634989743</v>
      </c>
      <c r="DT518" s="346">
        <f t="shared" si="239"/>
        <v>0.36580835911539161</v>
      </c>
      <c r="DU518" s="346">
        <f t="shared" si="239"/>
        <v>1.2244464356620535</v>
      </c>
      <c r="DV518" s="346">
        <f t="shared" si="239"/>
        <v>1.4120260280794017</v>
      </c>
      <c r="DW518" s="346">
        <f t="shared" si="239"/>
        <v>3.1098523726815488</v>
      </c>
      <c r="DX518" s="346">
        <f t="shared" si="239"/>
        <v>11.528777302292301</v>
      </c>
      <c r="DY518" s="346">
        <f t="shared" si="239"/>
        <v>0.82126644185797826</v>
      </c>
      <c r="DZ518" s="348">
        <f t="shared" si="239"/>
        <v>0.35050648456913208</v>
      </c>
      <c r="EA518" s="346">
        <f t="shared" si="239"/>
        <v>1.3678306704717365</v>
      </c>
      <c r="EB518" s="346">
        <f t="shared" si="239"/>
        <v>2.772290399442614</v>
      </c>
      <c r="EC518" s="346">
        <f t="shared" si="239"/>
        <v>3.5298521251364812</v>
      </c>
      <c r="ED518" s="346">
        <f t="shared" si="239"/>
        <v>12.121851679449437</v>
      </c>
      <c r="EE518" s="346">
        <f t="shared" si="239"/>
        <v>0.77899620178828854</v>
      </c>
      <c r="EF518" s="346">
        <f t="shared" si="239"/>
        <v>0.43908386018975831</v>
      </c>
      <c r="EG518" s="346">
        <f t="shared" si="239"/>
        <v>1.1161334320857534</v>
      </c>
      <c r="EH518" s="346">
        <f t="shared" si="239"/>
        <v>3.0604763937396848</v>
      </c>
      <c r="EI518" s="346">
        <f t="shared" si="239"/>
        <v>2.0036299772964439</v>
      </c>
      <c r="EJ518" s="346">
        <f t="shared" si="239"/>
        <v>13.871885997789011</v>
      </c>
      <c r="EK518" s="346">
        <f t="shared" si="239"/>
        <v>0.75602008683280353</v>
      </c>
      <c r="EL518" s="348">
        <f t="shared" si="239"/>
        <v>1.0089266132560877</v>
      </c>
      <c r="EM518" s="346">
        <f t="shared" si="239"/>
        <v>1.6198623873765028</v>
      </c>
      <c r="EN518" s="346">
        <f t="shared" si="239"/>
        <v>2.7373024249772246</v>
      </c>
      <c r="EO518" s="346">
        <f t="shared" si="239"/>
        <v>2.0123866936801722</v>
      </c>
      <c r="EP518" s="346">
        <f t="shared" si="239"/>
        <v>14.22283591316187</v>
      </c>
      <c r="EQ518" s="346">
        <f t="shared" ref="EQ518:EX518" si="240">EQ51</f>
        <v>1.4073944976639343</v>
      </c>
      <c r="ER518" s="346">
        <f t="shared" si="240"/>
        <v>1.0850148726375077</v>
      </c>
      <c r="ES518" s="346">
        <f t="shared" si="240"/>
        <v>1.7520355385139252</v>
      </c>
      <c r="ET518" s="346">
        <f t="shared" si="240"/>
        <v>2.54408384332124</v>
      </c>
      <c r="EU518" s="346">
        <f t="shared" si="240"/>
        <v>4.4114107411148815</v>
      </c>
      <c r="EV518" s="346">
        <f t="shared" si="240"/>
        <v>12.708406492627095</v>
      </c>
      <c r="EW518" s="346">
        <f t="shared" si="240"/>
        <v>2.0007631160883328</v>
      </c>
      <c r="EX518" s="348">
        <f t="shared" si="240"/>
        <v>1.3867201917728373</v>
      </c>
      <c r="EY518" s="346"/>
      <c r="EZ518" s="346"/>
      <c r="FA518" s="346"/>
      <c r="FB518" s="346"/>
      <c r="FC518" s="346"/>
      <c r="FD518" s="346"/>
      <c r="FE518" s="346"/>
      <c r="FF518" s="346"/>
      <c r="FG518" s="346"/>
      <c r="FH518" s="346"/>
      <c r="FI518" s="346"/>
      <c r="FJ518" s="348"/>
      <c r="FK518" s="346"/>
      <c r="FL518" s="346"/>
      <c r="FM518" s="346"/>
      <c r="FN518" s="346"/>
      <c r="FO518" s="346"/>
      <c r="FP518" s="346"/>
      <c r="FQ518" s="346"/>
      <c r="FR518" s="346"/>
      <c r="FS518" s="346"/>
      <c r="FT518" s="346"/>
      <c r="FU518" s="346"/>
      <c r="FV518" s="346"/>
      <c r="FW518" s="346"/>
      <c r="FX518" s="346"/>
      <c r="FY518" s="346"/>
      <c r="FZ518" s="346"/>
      <c r="GA518" s="346"/>
      <c r="GB518" s="346"/>
      <c r="GC518" s="346"/>
      <c r="GD518" s="346"/>
      <c r="GE518" s="346"/>
      <c r="GF518" s="346"/>
      <c r="GG518" s="346"/>
      <c r="GH518" s="346"/>
      <c r="GI518" s="346"/>
      <c r="GJ518" s="346"/>
      <c r="GK518" s="346"/>
      <c r="GL518" s="346"/>
      <c r="GM518" s="346"/>
      <c r="GN518" s="346"/>
      <c r="GO518" s="346"/>
      <c r="GP518" s="346"/>
      <c r="GQ518" s="346"/>
      <c r="GR518" s="346"/>
      <c r="GS518" s="346"/>
      <c r="GT518" s="346"/>
      <c r="GU518" s="346"/>
      <c r="GV518" s="346"/>
      <c r="GW518" s="346"/>
      <c r="GX518" s="346"/>
      <c r="GY518" s="346"/>
      <c r="GZ518" s="346"/>
      <c r="HA518" s="346"/>
      <c r="HB518" s="346"/>
      <c r="HC518" s="346"/>
      <c r="HD518" s="346"/>
      <c r="HE518" s="346"/>
      <c r="HF518" s="346"/>
      <c r="HG518" s="346"/>
      <c r="HH518" s="346"/>
      <c r="HI518" s="346"/>
      <c r="HJ518" s="346"/>
      <c r="HK518" s="346"/>
      <c r="HL518" s="346"/>
      <c r="HM518" s="346"/>
      <c r="HN518" s="349"/>
      <c r="HO518" s="351" t="s">
        <v>158</v>
      </c>
      <c r="HP518" s="351"/>
      <c r="HQ518" s="351"/>
      <c r="HR518" s="346">
        <f>+FISC!Z733</f>
        <v>27.6</v>
      </c>
      <c r="HS518" s="302">
        <f>SUM(CQ518:CV518)</f>
        <v>13.607785662581584</v>
      </c>
      <c r="HT518" s="302">
        <f>SUM(CW518:DB518)</f>
        <v>14.002866617286744</v>
      </c>
      <c r="HU518" s="346">
        <f>SUM(CQ518:DB518)</f>
        <v>27.610652279868326</v>
      </c>
      <c r="HV518" s="302">
        <f>+SUM(DC518:DH518)</f>
        <v>15.158216811024001</v>
      </c>
      <c r="HW518" s="302">
        <f>+SUM(DI518:DN518)</f>
        <v>16.189022753595253</v>
      </c>
      <c r="HX518" s="346">
        <f>HV518+HW518</f>
        <v>31.347239564619255</v>
      </c>
      <c r="HY518" s="302">
        <f>+SUM(DO518:DT518)</f>
        <v>18.491744338053238</v>
      </c>
      <c r="HZ518" s="302">
        <f>SUM(DU518:DZ518)</f>
        <v>18.446875065142414</v>
      </c>
      <c r="IA518" s="346">
        <f t="shared" si="103"/>
        <v>36.938619403195652</v>
      </c>
      <c r="IB518" s="1155">
        <v>20.86149762305083</v>
      </c>
      <c r="IC518" s="302">
        <f>+ID518-IB518</f>
        <v>21.817072500999785</v>
      </c>
      <c r="ID518" s="346">
        <f>FISC!AC733</f>
        <v>42.678570124050616</v>
      </c>
      <c r="IE518" s="302">
        <f>SUM(EM518:ER518)</f>
        <v>23.084796789497211</v>
      </c>
      <c r="IF518" s="302">
        <f>SUM(ES518:EX518)</f>
        <v>24.803419923438312</v>
      </c>
      <c r="IG518" s="346">
        <f t="shared" si="201"/>
        <v>47.888216712935524</v>
      </c>
      <c r="IH518" s="1140">
        <f>+(((FISC!AD145+FISC!AD151)-(FISC!AD146+FISC!AD152))*FISC!AE253/1000)*0+28.4394095722878</f>
        <v>28.439409572287801</v>
      </c>
      <c r="II518" s="302">
        <f>+IJ518-IH518</f>
        <v>21.889546534767732</v>
      </c>
      <c r="IJ518" s="346">
        <f>+FISC!AE733</f>
        <v>50.328956107055532</v>
      </c>
      <c r="IK518" s="350">
        <f>+(((FISC!AE145+FISC!AE151)-(FISC!AE146+FISC!AE152))*FISC!AF253/1000)</f>
        <v>29.406417648346544</v>
      </c>
      <c r="IL518" s="302">
        <f t="shared" si="85"/>
        <v>29.93378309782123</v>
      </c>
      <c r="IM518" s="346">
        <f>+FISC!AF733</f>
        <v>59.340200746167774</v>
      </c>
      <c r="IN518" s="350">
        <f>+(((FISC!AF145+FISC!AF151)-(FISC!AF146+FISC!AF152))*FISC!AG253/1000)</f>
        <v>32.434677365204124</v>
      </c>
      <c r="IO518" s="302">
        <f t="shared" si="154"/>
        <v>37.532843663851267</v>
      </c>
      <c r="IP518" s="346">
        <f>+FISC!AG1096</f>
        <v>69.967521029055391</v>
      </c>
      <c r="IQ518" s="350">
        <f>+((FISC!AG145+FISC!AG151)*FISC!AH253/1000)</f>
        <v>54.120773312197997</v>
      </c>
      <c r="IR518" s="302">
        <f t="shared" si="74"/>
        <v>55.114202540045596</v>
      </c>
      <c r="IS518" s="346">
        <f>+FISC!AH733</f>
        <v>109.23497585224359</v>
      </c>
      <c r="IT518" s="350">
        <f>+((FISC!AH145+FISC!AH151)*FISC!AI253/1000)</f>
        <v>85.163604400187538</v>
      </c>
      <c r="IU518" s="302">
        <f t="shared" si="75"/>
        <v>101.47061919758941</v>
      </c>
      <c r="IV518" s="346">
        <f>+FISC!AI733</f>
        <v>186.63422359777695</v>
      </c>
      <c r="IW518" s="350">
        <f>+((FISC!AI145+FISC!AI151)*FISC!AJ253/1000)</f>
        <v>116.80864249190591</v>
      </c>
      <c r="IX518" s="302">
        <f t="shared" si="76"/>
        <v>122.1634758626316</v>
      </c>
      <c r="IY518" s="346">
        <f>+FISC!AJ733</f>
        <v>238.97211835453751</v>
      </c>
      <c r="IZ518" s="350">
        <f>+((FISC!AJ145+FISC!AJ151)*FISC!AK253/1000)</f>
        <v>123.82615222873142</v>
      </c>
      <c r="JA518" s="302">
        <f t="shared" si="77"/>
        <v>185.69606035260784</v>
      </c>
      <c r="JB518" s="346">
        <f>+FISC!AK733</f>
        <v>309.52221258133926</v>
      </c>
      <c r="JC518" s="346"/>
      <c r="KI518" s="349"/>
      <c r="KJ518" s="350"/>
    </row>
    <row r="519" spans="1:302" ht="16.5">
      <c r="A519" s="302"/>
      <c r="D519" s="351"/>
      <c r="E519" s="346"/>
      <c r="F519" s="346"/>
      <c r="G519" s="346"/>
      <c r="H519" s="346"/>
      <c r="I519" s="346"/>
      <c r="J519" s="346"/>
      <c r="K519" s="346"/>
      <c r="L519" s="346"/>
      <c r="M519" s="346"/>
      <c r="N519" s="346"/>
      <c r="O519" s="346"/>
      <c r="P519" s="346"/>
      <c r="Q519" s="346"/>
      <c r="R519" s="346"/>
      <c r="S519" s="346"/>
      <c r="T519" s="346"/>
      <c r="U519" s="346"/>
      <c r="V519" s="346"/>
      <c r="W519" s="346"/>
      <c r="X519" s="346"/>
      <c r="Y519" s="346"/>
      <c r="Z519" s="346"/>
      <c r="AA519" s="346"/>
      <c r="AB519" s="346"/>
      <c r="AC519" s="346"/>
      <c r="AD519" s="346"/>
      <c r="AE519" s="346"/>
      <c r="AF519" s="346"/>
      <c r="AG519" s="346"/>
      <c r="AH519" s="346"/>
      <c r="AI519" s="346"/>
      <c r="AJ519" s="346"/>
      <c r="AK519" s="346"/>
      <c r="AL519" s="346"/>
      <c r="AM519" s="346"/>
      <c r="AN519" s="346"/>
      <c r="AO519" s="346"/>
      <c r="AP519" s="346"/>
      <c r="AQ519" s="346"/>
      <c r="AR519" s="346"/>
      <c r="AS519" s="346"/>
      <c r="AT519" s="346"/>
      <c r="AU519" s="346"/>
      <c r="AV519" s="346"/>
      <c r="AW519" s="346"/>
      <c r="AX519" s="346"/>
      <c r="AY519" s="346"/>
      <c r="AZ519" s="346"/>
      <c r="BA519" s="346"/>
      <c r="BB519" s="346"/>
      <c r="BC519" s="346"/>
      <c r="BD519" s="346"/>
      <c r="BE519" s="346"/>
      <c r="BF519" s="346"/>
      <c r="BG519" s="346"/>
      <c r="BH519" s="346"/>
      <c r="BI519" s="346"/>
      <c r="BJ519" s="346"/>
      <c r="BK519" s="346"/>
      <c r="BL519" s="346"/>
      <c r="BM519" s="346"/>
      <c r="BN519" s="346"/>
      <c r="BO519" s="346"/>
      <c r="BP519" s="346"/>
      <c r="BQ519" s="346"/>
      <c r="BR519" s="346"/>
      <c r="BS519" s="346"/>
      <c r="BT519" s="346"/>
      <c r="BU519" s="346"/>
      <c r="BV519" s="346"/>
      <c r="BW519" s="346"/>
      <c r="BX519" s="346"/>
      <c r="BY519" s="346"/>
      <c r="BZ519" s="346"/>
      <c r="CA519" s="346"/>
      <c r="CB519" s="346"/>
      <c r="CC519" s="346"/>
      <c r="CD519" s="346"/>
      <c r="CE519" s="347"/>
      <c r="CF519" s="346"/>
      <c r="CG519" s="346"/>
      <c r="CH519" s="346"/>
      <c r="CI519" s="346"/>
      <c r="CJ519" s="346"/>
      <c r="CK519" s="346"/>
      <c r="CL519" s="346"/>
      <c r="CM519" s="346"/>
      <c r="CN519" s="346"/>
      <c r="CO519" s="346"/>
      <c r="CP519" s="348"/>
      <c r="CQ519" s="346"/>
      <c r="CR519" s="346"/>
      <c r="CS519" s="346"/>
      <c r="CT519" s="346"/>
      <c r="CU519" s="346"/>
      <c r="CV519" s="346"/>
      <c r="CW519" s="346"/>
      <c r="CX519" s="346"/>
      <c r="CY519" s="346"/>
      <c r="CZ519" s="346"/>
      <c r="DA519" s="346"/>
      <c r="DB519" s="1479"/>
      <c r="DC519" s="346"/>
      <c r="DD519" s="346"/>
      <c r="DE519" s="346"/>
      <c r="DF519" s="346"/>
      <c r="DG519" s="346"/>
      <c r="DH519" s="346"/>
      <c r="DI519" s="346"/>
      <c r="DJ519" s="346"/>
      <c r="DK519" s="346"/>
      <c r="DL519" s="346"/>
      <c r="DM519" s="346"/>
      <c r="DN519" s="348"/>
      <c r="DO519" s="346"/>
      <c r="DP519" s="346"/>
      <c r="DQ519" s="346"/>
      <c r="DR519" s="346"/>
      <c r="DS519" s="346"/>
      <c r="DT519" s="346"/>
      <c r="DU519" s="346"/>
      <c r="DV519" s="346"/>
      <c r="DW519" s="346"/>
      <c r="DX519" s="346"/>
      <c r="DY519" s="346"/>
      <c r="DZ519" s="348"/>
      <c r="EA519" s="346"/>
      <c r="EB519" s="346"/>
      <c r="EC519" s="346"/>
      <c r="ED519" s="346"/>
      <c r="EE519" s="346"/>
      <c r="EF519" s="346"/>
      <c r="EG519" s="346"/>
      <c r="EH519" s="346"/>
      <c r="EI519" s="346"/>
      <c r="EJ519" s="346"/>
      <c r="EK519" s="346"/>
      <c r="EL519" s="348"/>
      <c r="EM519" s="346"/>
      <c r="EN519" s="346"/>
      <c r="EO519" s="346"/>
      <c r="EP519" s="346"/>
      <c r="EQ519" s="346"/>
      <c r="ER519" s="346"/>
      <c r="ES519" s="346"/>
      <c r="ET519" s="346"/>
      <c r="EU519" s="346"/>
      <c r="EV519" s="346"/>
      <c r="EW519" s="346"/>
      <c r="EX519" s="348"/>
      <c r="EY519" s="346"/>
      <c r="EZ519" s="346"/>
      <c r="FA519" s="346"/>
      <c r="FB519" s="346"/>
      <c r="FC519" s="346"/>
      <c r="FD519" s="346"/>
      <c r="FE519" s="346"/>
      <c r="FF519" s="346"/>
      <c r="FG519" s="346"/>
      <c r="FH519" s="346"/>
      <c r="FI519" s="346"/>
      <c r="FJ519" s="348"/>
      <c r="FK519" s="346"/>
      <c r="FL519" s="346"/>
      <c r="FM519" s="346"/>
      <c r="FN519" s="346"/>
      <c r="FO519" s="346"/>
      <c r="FP519" s="346"/>
      <c r="FQ519" s="346"/>
      <c r="FR519" s="346"/>
      <c r="FS519" s="346"/>
      <c r="FT519" s="346"/>
      <c r="FU519" s="346"/>
      <c r="FV519" s="346"/>
      <c r="FW519" s="346"/>
      <c r="FX519" s="346"/>
      <c r="FY519" s="346"/>
      <c r="FZ519" s="346"/>
      <c r="GA519" s="346"/>
      <c r="GB519" s="346"/>
      <c r="GC519" s="346"/>
      <c r="GD519" s="346"/>
      <c r="GE519" s="346"/>
      <c r="GF519" s="346"/>
      <c r="GG519" s="346"/>
      <c r="GH519" s="346"/>
      <c r="GI519" s="346"/>
      <c r="GJ519" s="346"/>
      <c r="GK519" s="346"/>
      <c r="GL519" s="346"/>
      <c r="GM519" s="346"/>
      <c r="GN519" s="346"/>
      <c r="GO519" s="346"/>
      <c r="GP519" s="346"/>
      <c r="GQ519" s="346"/>
      <c r="GR519" s="346"/>
      <c r="GS519" s="346"/>
      <c r="GT519" s="346"/>
      <c r="GU519" s="346"/>
      <c r="GV519" s="346"/>
      <c r="GW519" s="346"/>
      <c r="GX519" s="346"/>
      <c r="GY519" s="346"/>
      <c r="GZ519" s="346"/>
      <c r="HA519" s="346"/>
      <c r="HB519" s="346"/>
      <c r="HC519" s="346"/>
      <c r="HD519" s="346"/>
      <c r="HE519" s="346"/>
      <c r="HF519" s="346"/>
      <c r="HG519" s="346"/>
      <c r="HH519" s="346"/>
      <c r="HI519" s="346"/>
      <c r="HJ519" s="346"/>
      <c r="HK519" s="346"/>
      <c r="HL519" s="346"/>
      <c r="HM519" s="346"/>
      <c r="HN519" s="349"/>
      <c r="HO519" s="1247" t="s">
        <v>1281</v>
      </c>
      <c r="HP519" s="1247"/>
      <c r="HQ519" s="1247"/>
      <c r="HR519" s="346"/>
      <c r="HU519" s="346"/>
      <c r="HX519" s="346"/>
      <c r="IA519" s="346"/>
      <c r="IB519" s="1155"/>
      <c r="ID519" s="346"/>
      <c r="IG519" s="346"/>
      <c r="IH519" s="1140">
        <f>(FISC!AD147+FISC!AD153)*FISC!AE253/1000</f>
        <v>3.3213206139292839</v>
      </c>
      <c r="II519" s="302">
        <f>+IJ519-IH519</f>
        <v>2.6980400680035719</v>
      </c>
      <c r="IJ519" s="346">
        <f>FISC!AE734</f>
        <v>6.0193606819328558</v>
      </c>
      <c r="IK519" s="1140">
        <f>(FISC!AE147+FISC!AE153)*FISC!AF253/1000</f>
        <v>2.3057818711387994</v>
      </c>
      <c r="IL519" s="302">
        <f t="shared" si="85"/>
        <v>1.6437809243370101</v>
      </c>
      <c r="IM519" s="346">
        <f>FISC!AF734</f>
        <v>3.9495627954758095</v>
      </c>
      <c r="IN519" s="1140">
        <f>(FISC!AF147+FISC!AF153)*FISC!AG253/1000</f>
        <v>1.134726955534737</v>
      </c>
      <c r="IO519" s="302">
        <f t="shared" si="154"/>
        <v>0.4788855008318067</v>
      </c>
      <c r="IP519" s="346">
        <f>FISC!AG734</f>
        <v>1.6136124563665437</v>
      </c>
      <c r="IQ519" s="350"/>
      <c r="IS519" s="346"/>
      <c r="IT519" s="350"/>
      <c r="IV519" s="346"/>
      <c r="IW519" s="350"/>
      <c r="IY519" s="346"/>
      <c r="IZ519" s="350"/>
      <c r="JB519" s="346"/>
      <c r="JC519" s="346"/>
      <c r="KI519" s="349"/>
      <c r="KJ519" s="350"/>
    </row>
    <row r="520" spans="1:302">
      <c r="A520" s="302"/>
      <c r="B520" s="117" t="s">
        <v>361</v>
      </c>
      <c r="D520" s="351" t="str">
        <f>+FISC!D735</f>
        <v>of which external interest on Sovereign Bonds proceeds</v>
      </c>
      <c r="E520" s="346"/>
      <c r="F520" s="346"/>
      <c r="G520" s="346"/>
      <c r="H520" s="346"/>
      <c r="I520" s="346"/>
      <c r="J520" s="346"/>
      <c r="K520" s="346"/>
      <c r="L520" s="346"/>
      <c r="M520" s="346"/>
      <c r="N520" s="346"/>
      <c r="O520" s="346"/>
      <c r="P520" s="346"/>
      <c r="Q520" s="346"/>
      <c r="R520" s="346"/>
      <c r="S520" s="346"/>
      <c r="T520" s="346"/>
      <c r="U520" s="346"/>
      <c r="V520" s="346"/>
      <c r="W520" s="346"/>
      <c r="X520" s="346"/>
      <c r="Y520" s="346"/>
      <c r="Z520" s="346"/>
      <c r="AA520" s="346"/>
      <c r="AB520" s="346"/>
      <c r="AC520" s="346"/>
      <c r="AD520" s="346"/>
      <c r="AE520" s="346"/>
      <c r="AF520" s="346"/>
      <c r="AG520" s="346"/>
      <c r="AH520" s="346"/>
      <c r="AI520" s="346"/>
      <c r="AJ520" s="346"/>
      <c r="AK520" s="346"/>
      <c r="AL520" s="346"/>
      <c r="AM520" s="346"/>
      <c r="AN520" s="346"/>
      <c r="AO520" s="346"/>
      <c r="AP520" s="346"/>
      <c r="AQ520" s="346"/>
      <c r="AR520" s="346"/>
      <c r="AS520" s="346"/>
      <c r="AT520" s="346"/>
      <c r="AU520" s="346"/>
      <c r="AV520" s="346"/>
      <c r="AW520" s="346"/>
      <c r="AX520" s="346"/>
      <c r="AY520" s="346"/>
      <c r="AZ520" s="346"/>
      <c r="BA520" s="346"/>
      <c r="BB520" s="346"/>
      <c r="BC520" s="346"/>
      <c r="BD520" s="346"/>
      <c r="BE520" s="346"/>
      <c r="BF520" s="346"/>
      <c r="BG520" s="346"/>
      <c r="BH520" s="346"/>
      <c r="BI520" s="346"/>
      <c r="BJ520" s="346"/>
      <c r="BK520" s="346"/>
      <c r="BL520" s="346"/>
      <c r="BM520" s="346"/>
      <c r="BN520" s="346"/>
      <c r="BO520" s="346"/>
      <c r="BP520" s="346"/>
      <c r="BQ520" s="346"/>
      <c r="BR520" s="346"/>
      <c r="BS520" s="346"/>
      <c r="BT520" s="346"/>
      <c r="BU520" s="346"/>
      <c r="BV520" s="346"/>
      <c r="BW520" s="346"/>
      <c r="BX520" s="346"/>
      <c r="BY520" s="346"/>
      <c r="BZ520" s="346"/>
      <c r="CA520" s="346"/>
      <c r="CB520" s="346"/>
      <c r="CC520" s="346"/>
      <c r="CD520" s="346"/>
      <c r="CE520" s="347">
        <f t="shared" ref="CE520:DJ520" si="241">CE67</f>
        <v>0</v>
      </c>
      <c r="CF520" s="346">
        <f t="shared" si="241"/>
        <v>0</v>
      </c>
      <c r="CG520" s="346">
        <f t="shared" si="241"/>
        <v>0</v>
      </c>
      <c r="CH520" s="346">
        <f t="shared" si="241"/>
        <v>8.8485228197500003</v>
      </c>
      <c r="CI520" s="346">
        <f t="shared" si="241"/>
        <v>0</v>
      </c>
      <c r="CJ520" s="346">
        <f t="shared" si="241"/>
        <v>0</v>
      </c>
      <c r="CK520" s="346">
        <f t="shared" si="241"/>
        <v>0</v>
      </c>
      <c r="CL520" s="346">
        <f t="shared" si="241"/>
        <v>0</v>
      </c>
      <c r="CM520" s="346">
        <f t="shared" si="241"/>
        <v>0</v>
      </c>
      <c r="CN520" s="346">
        <f t="shared" si="241"/>
        <v>9.0879809404999996</v>
      </c>
      <c r="CO520" s="346">
        <f t="shared" si="241"/>
        <v>0</v>
      </c>
      <c r="CP520" s="348">
        <f t="shared" si="241"/>
        <v>0</v>
      </c>
      <c r="CQ520" s="346">
        <f t="shared" si="241"/>
        <v>0</v>
      </c>
      <c r="CR520" s="346">
        <f t="shared" si="241"/>
        <v>0</v>
      </c>
      <c r="CS520" s="346">
        <f t="shared" si="241"/>
        <v>0</v>
      </c>
      <c r="CT520" s="346">
        <f t="shared" si="241"/>
        <v>9.2271248084999993</v>
      </c>
      <c r="CU520" s="346">
        <f t="shared" si="241"/>
        <v>0</v>
      </c>
      <c r="CV520" s="346">
        <f t="shared" si="241"/>
        <v>0</v>
      </c>
      <c r="CW520" s="346">
        <f t="shared" si="241"/>
        <v>0</v>
      </c>
      <c r="CX520" s="346">
        <f t="shared" si="241"/>
        <v>0</v>
      </c>
      <c r="CY520" s="346">
        <f t="shared" si="241"/>
        <v>0</v>
      </c>
      <c r="CZ520" s="346">
        <f t="shared" si="241"/>
        <v>9.5079388690000002</v>
      </c>
      <c r="DA520" s="346">
        <f t="shared" si="241"/>
        <v>0</v>
      </c>
      <c r="DB520" s="1479">
        <f t="shared" si="241"/>
        <v>0</v>
      </c>
      <c r="DC520" s="346">
        <f t="shared" si="241"/>
        <v>0</v>
      </c>
      <c r="DD520" s="346">
        <f t="shared" si="241"/>
        <v>0</v>
      </c>
      <c r="DE520" s="346">
        <f t="shared" si="241"/>
        <v>0</v>
      </c>
      <c r="DF520" s="346">
        <f t="shared" si="241"/>
        <v>9.8369785430000007</v>
      </c>
      <c r="DG520" s="346">
        <f t="shared" si="241"/>
        <v>0</v>
      </c>
      <c r="DH520" s="346">
        <f t="shared" si="241"/>
        <v>0</v>
      </c>
      <c r="DI520" s="346">
        <f t="shared" si="241"/>
        <v>0</v>
      </c>
      <c r="DJ520" s="346">
        <f t="shared" si="241"/>
        <v>0</v>
      </c>
      <c r="DK520" s="346">
        <f t="shared" ref="DK520:EP520" si="242">DK67</f>
        <v>0</v>
      </c>
      <c r="DL520" s="346">
        <f t="shared" si="242"/>
        <v>10.3495371315</v>
      </c>
      <c r="DM520" s="346">
        <f t="shared" si="242"/>
        <v>0</v>
      </c>
      <c r="DN520" s="348">
        <f t="shared" si="242"/>
        <v>0</v>
      </c>
      <c r="DO520" s="346">
        <f t="shared" si="242"/>
        <v>0</v>
      </c>
      <c r="DP520" s="346">
        <f t="shared" si="242"/>
        <v>0</v>
      </c>
      <c r="DQ520" s="346">
        <f t="shared" si="242"/>
        <v>0</v>
      </c>
      <c r="DR520" s="346">
        <f t="shared" si="242"/>
        <v>10.886030837250001</v>
      </c>
      <c r="DS520" s="346">
        <f t="shared" si="242"/>
        <v>0</v>
      </c>
      <c r="DT520" s="346">
        <f t="shared" si="242"/>
        <v>0</v>
      </c>
      <c r="DU520" s="346">
        <f t="shared" si="242"/>
        <v>0</v>
      </c>
      <c r="DV520" s="346">
        <f t="shared" si="242"/>
        <v>0</v>
      </c>
      <c r="DW520" s="346">
        <f t="shared" si="242"/>
        <v>0</v>
      </c>
      <c r="DX520" s="346">
        <f t="shared" si="242"/>
        <v>11.069082250499999</v>
      </c>
      <c r="DY520" s="346">
        <f t="shared" si="242"/>
        <v>0</v>
      </c>
      <c r="DZ520" s="348">
        <f t="shared" si="242"/>
        <v>0</v>
      </c>
      <c r="EA520" s="346">
        <f t="shared" si="242"/>
        <v>0</v>
      </c>
      <c r="EB520" s="346">
        <f t="shared" si="242"/>
        <v>0</v>
      </c>
      <c r="EC520" s="346">
        <f t="shared" si="242"/>
        <v>0</v>
      </c>
      <c r="ED520" s="346">
        <f t="shared" si="242"/>
        <v>11.2433982435</v>
      </c>
      <c r="EE520" s="346">
        <f t="shared" si="242"/>
        <v>0</v>
      </c>
      <c r="EF520" s="346">
        <f t="shared" si="242"/>
        <v>0</v>
      </c>
      <c r="EG520" s="346">
        <f t="shared" si="242"/>
        <v>0</v>
      </c>
      <c r="EH520" s="346">
        <f t="shared" si="242"/>
        <v>0</v>
      </c>
      <c r="EI520" s="346">
        <f t="shared" si="242"/>
        <v>0</v>
      </c>
      <c r="EJ520" s="346">
        <f t="shared" si="242"/>
        <v>11.43816967925</v>
      </c>
      <c r="EK520" s="346">
        <f t="shared" si="242"/>
        <v>0</v>
      </c>
      <c r="EL520" s="348">
        <f t="shared" si="242"/>
        <v>0</v>
      </c>
      <c r="EM520" s="346">
        <f t="shared" si="242"/>
        <v>0</v>
      </c>
      <c r="EN520" s="346">
        <f t="shared" si="242"/>
        <v>0</v>
      </c>
      <c r="EO520" s="346">
        <f t="shared" si="242"/>
        <v>0</v>
      </c>
      <c r="EP520" s="346">
        <f t="shared" si="242"/>
        <v>11.684674574000001</v>
      </c>
      <c r="EQ520" s="346">
        <f t="shared" ref="EQ520:EX520" si="243">EQ67</f>
        <v>0</v>
      </c>
      <c r="ER520" s="346">
        <f t="shared" si="243"/>
        <v>0</v>
      </c>
      <c r="ES520" s="346">
        <f t="shared" si="243"/>
        <v>0</v>
      </c>
      <c r="ET520" s="346">
        <f t="shared" si="243"/>
        <v>0</v>
      </c>
      <c r="EU520" s="346">
        <f t="shared" si="243"/>
        <v>0</v>
      </c>
      <c r="EV520" s="346">
        <f t="shared" si="243"/>
        <v>11.93172017475</v>
      </c>
      <c r="EW520" s="346">
        <f t="shared" si="243"/>
        <v>0</v>
      </c>
      <c r="EX520" s="348">
        <f t="shared" si="243"/>
        <v>0</v>
      </c>
      <c r="EY520" s="346"/>
      <c r="EZ520" s="346"/>
      <c r="FA520" s="346"/>
      <c r="FB520" s="346"/>
      <c r="FC520" s="346"/>
      <c r="FD520" s="346"/>
      <c r="FE520" s="346"/>
      <c r="FF520" s="346"/>
      <c r="FG520" s="346"/>
      <c r="FH520" s="346"/>
      <c r="FI520" s="346"/>
      <c r="FJ520" s="348"/>
      <c r="FK520" s="346"/>
      <c r="FL520" s="346"/>
      <c r="FM520" s="346"/>
      <c r="FN520" s="346"/>
      <c r="FO520" s="346"/>
      <c r="FP520" s="346"/>
      <c r="FQ520" s="346"/>
      <c r="FR520" s="346"/>
      <c r="FS520" s="346"/>
      <c r="FT520" s="346"/>
      <c r="FU520" s="346"/>
      <c r="FV520" s="346"/>
      <c r="FW520" s="346"/>
      <c r="FX520" s="346"/>
      <c r="FY520" s="346"/>
      <c r="FZ520" s="346"/>
      <c r="GA520" s="346"/>
      <c r="GB520" s="346"/>
      <c r="GC520" s="346"/>
      <c r="GD520" s="346"/>
      <c r="GE520" s="346"/>
      <c r="GF520" s="346"/>
      <c r="GG520" s="346"/>
      <c r="GH520" s="346"/>
      <c r="GI520" s="346"/>
      <c r="GJ520" s="346"/>
      <c r="GK520" s="346"/>
      <c r="GL520" s="346"/>
      <c r="GM520" s="346"/>
      <c r="GN520" s="346"/>
      <c r="GO520" s="346"/>
      <c r="GP520" s="346"/>
      <c r="GQ520" s="346"/>
      <c r="GR520" s="346"/>
      <c r="GS520" s="346"/>
      <c r="GT520" s="346"/>
      <c r="GU520" s="346"/>
      <c r="GV520" s="346"/>
      <c r="GW520" s="346"/>
      <c r="GX520" s="346"/>
      <c r="GY520" s="346"/>
      <c r="GZ520" s="346"/>
      <c r="HA520" s="346"/>
      <c r="HB520" s="346"/>
      <c r="HC520" s="346"/>
      <c r="HD520" s="346"/>
      <c r="HE520" s="346"/>
      <c r="HF520" s="346"/>
      <c r="HG520" s="346"/>
      <c r="HH520" s="346"/>
      <c r="HI520" s="346"/>
      <c r="HJ520" s="346"/>
      <c r="HK520" s="346"/>
      <c r="HL520" s="346"/>
      <c r="HM520" s="346"/>
      <c r="HN520" s="349"/>
      <c r="HO520" s="351" t="s">
        <v>159</v>
      </c>
      <c r="HP520" s="351"/>
      <c r="HQ520" s="351"/>
      <c r="HR520" s="346">
        <f>+FISC!Z735</f>
        <v>18.7</v>
      </c>
      <c r="HS520" s="302">
        <f>SUM(CQ520:CV520)</f>
        <v>9.2271248084999993</v>
      </c>
      <c r="HT520" s="302">
        <f>SUM(CW520:DB520)</f>
        <v>9.5079388690000002</v>
      </c>
      <c r="HU520" s="346">
        <f>SUM(CQ520:DB520)</f>
        <v>18.735063677500001</v>
      </c>
      <c r="HV520" s="302">
        <f>+SUM(DC520:DH520)</f>
        <v>9.8369785430000007</v>
      </c>
      <c r="HW520" s="302">
        <f>+SUM(DI520:DN520)</f>
        <v>10.3495371315</v>
      </c>
      <c r="HX520" s="346">
        <f>HV520+HW520</f>
        <v>20.186515674500001</v>
      </c>
      <c r="HY520" s="302">
        <f>+SUM(DO520:DT520)</f>
        <v>10.886030837250001</v>
      </c>
      <c r="HZ520" s="302">
        <f>SUM(DU520:DZ520)</f>
        <v>11.069082250499999</v>
      </c>
      <c r="IA520" s="346">
        <f t="shared" si="103"/>
        <v>21.95511308775</v>
      </c>
      <c r="IB520" s="302">
        <f>+ID520/2</f>
        <v>11.340783961374999</v>
      </c>
      <c r="IC520" s="302">
        <f>+ID520-IB520</f>
        <v>11.340783961374999</v>
      </c>
      <c r="ID520" s="346">
        <f>FISC!AC735</f>
        <v>22.681567922749998</v>
      </c>
      <c r="IE520" s="302">
        <f>SUM(EM520:ER520)</f>
        <v>11.684674574000001</v>
      </c>
      <c r="IF520" s="302">
        <f>SUM(ES520:EX520)</f>
        <v>11.93172017475</v>
      </c>
      <c r="IG520" s="346">
        <f t="shared" si="201"/>
        <v>23.61639474875</v>
      </c>
      <c r="IH520" s="302">
        <f>+IJ520/2</f>
        <v>12.217051440851874</v>
      </c>
      <c r="II520" s="302">
        <f>+IJ520-IH520</f>
        <v>12.217051440851874</v>
      </c>
      <c r="IJ520" s="346">
        <f>+FISC!AE735</f>
        <v>24.434102881703748</v>
      </c>
      <c r="IK520" s="350">
        <f>IM520/2</f>
        <v>12.779595149909582</v>
      </c>
      <c r="IL520" s="302">
        <f t="shared" si="85"/>
        <v>12.779595149909582</v>
      </c>
      <c r="IM520" s="346">
        <f>+FISC!AF735</f>
        <v>25.559190299819164</v>
      </c>
      <c r="IN520" s="350" t="e">
        <f>IP520/2</f>
        <v>#REF!</v>
      </c>
      <c r="IO520" s="302" t="e">
        <f t="shared" si="154"/>
        <v>#REF!</v>
      </c>
      <c r="IP520" s="346" t="e">
        <f>+FISC!AG735</f>
        <v>#REF!</v>
      </c>
      <c r="IQ520" s="350" t="e">
        <f>IS520/2</f>
        <v>#REF!</v>
      </c>
      <c r="IR520" s="302" t="e">
        <f t="shared" si="74"/>
        <v>#REF!</v>
      </c>
      <c r="IS520" s="346" t="e">
        <f>+FISC!AH735</f>
        <v>#REF!</v>
      </c>
      <c r="IT520" s="350" t="e">
        <f>IV520/2</f>
        <v>#REF!</v>
      </c>
      <c r="IU520" s="302" t="e">
        <f t="shared" si="75"/>
        <v>#REF!</v>
      </c>
      <c r="IV520" s="346" t="e">
        <f>+FISC!AI735</f>
        <v>#REF!</v>
      </c>
      <c r="IW520" s="350" t="e">
        <f>IY520/2</f>
        <v>#REF!</v>
      </c>
      <c r="IX520" s="302" t="e">
        <f t="shared" si="76"/>
        <v>#REF!</v>
      </c>
      <c r="IY520" s="346" t="e">
        <f>+FISC!AJ735</f>
        <v>#REF!</v>
      </c>
      <c r="IZ520" s="350" t="e">
        <f>JB520/2</f>
        <v>#REF!</v>
      </c>
      <c r="JA520" s="302" t="e">
        <f t="shared" si="77"/>
        <v>#REF!</v>
      </c>
      <c r="JB520" s="346" t="e">
        <f>+FISC!AK735</f>
        <v>#REF!</v>
      </c>
      <c r="JC520" s="346"/>
      <c r="KI520" s="349"/>
      <c r="KJ520" s="350"/>
    </row>
    <row r="521" spans="1:302">
      <c r="A521" s="302"/>
      <c r="B521" s="117" t="s">
        <v>361</v>
      </c>
      <c r="D521" s="345" t="str">
        <f>+FISC!D736</f>
        <v>Transfers</v>
      </c>
      <c r="E521" s="346">
        <v>7.2667200000000003</v>
      </c>
      <c r="F521" s="346">
        <v>9.002600000000001</v>
      </c>
      <c r="G521" s="346">
        <v>5.7828100000000004</v>
      </c>
      <c r="H521" s="346">
        <v>13.70635</v>
      </c>
      <c r="I521" s="346">
        <v>7.0205299999999999</v>
      </c>
      <c r="J521" s="346">
        <v>3.4770300000000001</v>
      </c>
      <c r="K521" s="346">
        <v>14.639100000000001</v>
      </c>
      <c r="L521" s="346">
        <v>10.878540000000001</v>
      </c>
      <c r="M521" s="346">
        <v>5.5077700000000007</v>
      </c>
      <c r="N521" s="346">
        <v>12.809950000000001</v>
      </c>
      <c r="O521" s="346">
        <v>11.06955</v>
      </c>
      <c r="P521" s="346">
        <v>2.673</v>
      </c>
      <c r="Q521" s="346">
        <v>12.96987</v>
      </c>
      <c r="R521" s="346">
        <v>9.0474599999999992</v>
      </c>
      <c r="S521" s="346">
        <v>8.67164</v>
      </c>
      <c r="T521" s="346">
        <v>18.97531</v>
      </c>
      <c r="U521" s="346">
        <v>9.039299999999999</v>
      </c>
      <c r="V521" s="346">
        <v>5.5130299999999997</v>
      </c>
      <c r="W521" s="346">
        <v>17.475630000000002</v>
      </c>
      <c r="X521" s="346">
        <v>12.424200000000001</v>
      </c>
      <c r="Y521" s="346">
        <v>6.6095899999999999</v>
      </c>
      <c r="Z521" s="346">
        <v>23.312009999999997</v>
      </c>
      <c r="AA521" s="346">
        <v>3.9148200000000002</v>
      </c>
      <c r="AB521" s="346">
        <v>2.4929399999999999</v>
      </c>
      <c r="AC521" s="346">
        <v>15.508569999999999</v>
      </c>
      <c r="AD521" s="346">
        <v>10.249450000000001</v>
      </c>
      <c r="AE521" s="346">
        <v>16.095500000000001</v>
      </c>
      <c r="AF521" s="346">
        <v>18.675650000000001</v>
      </c>
      <c r="AG521" s="346">
        <v>9.8673899999999986</v>
      </c>
      <c r="AH521" s="346">
        <v>4.7572999999999999</v>
      </c>
      <c r="AI521" s="346">
        <v>16.087879999999998</v>
      </c>
      <c r="AJ521" s="346">
        <v>14.45534</v>
      </c>
      <c r="AK521" s="346">
        <v>10.65517</v>
      </c>
      <c r="AL521" s="346">
        <v>24.022220000000001</v>
      </c>
      <c r="AM521" s="346">
        <v>11.94877</v>
      </c>
      <c r="AN521" s="346">
        <v>10.116910000000001</v>
      </c>
      <c r="AO521" s="346">
        <v>19.58314</v>
      </c>
      <c r="AP521" s="346">
        <v>9.1587399999999999</v>
      </c>
      <c r="AQ521" s="346">
        <v>16.22268</v>
      </c>
      <c r="AR521" s="346">
        <v>20.38944</v>
      </c>
      <c r="AS521" s="346">
        <v>17.304639999999999</v>
      </c>
      <c r="AT521" s="346">
        <v>10.74906</v>
      </c>
      <c r="AU521" s="346">
        <v>13.429770000000001</v>
      </c>
      <c r="AV521" s="346">
        <v>18.046759999999999</v>
      </c>
      <c r="AW521" s="346">
        <v>17.893750000000001</v>
      </c>
      <c r="AX521" s="346">
        <v>17.889749999999999</v>
      </c>
      <c r="AY521" s="346">
        <v>16.191219999999998</v>
      </c>
      <c r="AZ521" s="346">
        <v>12.667129999999998</v>
      </c>
      <c r="BA521" s="346">
        <v>25.683130000000002</v>
      </c>
      <c r="BB521" s="346">
        <v>11.817030000000001</v>
      </c>
      <c r="BC521" s="346">
        <v>12.446290000000001</v>
      </c>
      <c r="BD521" s="346">
        <v>21.963950000000001</v>
      </c>
      <c r="BE521" s="346">
        <v>21.648959999999999</v>
      </c>
      <c r="BF521" s="346">
        <v>8.2083700000000004</v>
      </c>
      <c r="BG521" s="346">
        <v>12.592700000000001</v>
      </c>
      <c r="BH521" s="346">
        <v>29.238289999999999</v>
      </c>
      <c r="BI521" s="346">
        <v>12.18008</v>
      </c>
      <c r="BJ521" s="346">
        <v>29.9862</v>
      </c>
      <c r="BK521" s="346">
        <v>20.255710000000001</v>
      </c>
      <c r="BL521" s="346">
        <v>14.2812</v>
      </c>
      <c r="BM521" s="346">
        <v>25.0715</v>
      </c>
      <c r="BN521" s="346">
        <v>15.22199</v>
      </c>
      <c r="BO521" s="346">
        <v>13.509270000000001</v>
      </c>
      <c r="BP521" s="346">
        <v>29.841750000000001</v>
      </c>
      <c r="BQ521" s="346">
        <v>19.000599999999999</v>
      </c>
      <c r="BR521" s="346">
        <v>4.2215699999999998</v>
      </c>
      <c r="BS521" s="346">
        <v>28.763500000000001</v>
      </c>
      <c r="BT521" s="346">
        <v>22.3185</v>
      </c>
      <c r="BU521" s="346">
        <v>13.969700000000001</v>
      </c>
      <c r="BV521" s="346">
        <v>33.816107766000002</v>
      </c>
      <c r="BW521" s="346">
        <v>22.982548066</v>
      </c>
      <c r="BX521" s="346">
        <v>12.194446618000001</v>
      </c>
      <c r="BY521" s="346">
        <v>23.322773112</v>
      </c>
      <c r="BZ521" s="346">
        <v>23.478185815</v>
      </c>
      <c r="CA521" s="346">
        <v>12.794870319999999</v>
      </c>
      <c r="CB521" s="346">
        <v>35.783130337000003</v>
      </c>
      <c r="CC521" s="346">
        <v>19.252583978000001</v>
      </c>
      <c r="CD521" s="346">
        <v>7.857864578</v>
      </c>
      <c r="CE521" s="347">
        <f t="shared" ref="CE521:DB521" si="244">CE225</f>
        <v>31.192567466</v>
      </c>
      <c r="CF521" s="346">
        <f t="shared" si="244"/>
        <v>28.036041021999999</v>
      </c>
      <c r="CG521" s="346">
        <f t="shared" si="244"/>
        <v>19.255505343999999</v>
      </c>
      <c r="CH521" s="346">
        <f t="shared" si="244"/>
        <v>41.869910961000002</v>
      </c>
      <c r="CI521" s="346">
        <f t="shared" si="244"/>
        <v>18.912014732999999</v>
      </c>
      <c r="CJ521" s="346">
        <f t="shared" si="244"/>
        <v>11.869387855999999</v>
      </c>
      <c r="CK521" s="346">
        <f t="shared" si="244"/>
        <v>32.160711262</v>
      </c>
      <c r="CL521" s="346">
        <f t="shared" si="244"/>
        <v>19.504065296</v>
      </c>
      <c r="CM521" s="346">
        <f t="shared" si="244"/>
        <v>18.083639073000001</v>
      </c>
      <c r="CN521" s="346">
        <f t="shared" si="244"/>
        <v>20.865577895000001</v>
      </c>
      <c r="CO521" s="346">
        <f t="shared" si="244"/>
        <v>30.707759768999999</v>
      </c>
      <c r="CP521" s="348">
        <f t="shared" si="244"/>
        <v>14.319031366999999</v>
      </c>
      <c r="CQ521" s="346">
        <f t="shared" si="244"/>
        <v>34.06160981</v>
      </c>
      <c r="CR521" s="346">
        <f t="shared" si="244"/>
        <v>22.177663803000002</v>
      </c>
      <c r="CS521" s="346">
        <f t="shared" si="244"/>
        <v>20.930272569</v>
      </c>
      <c r="CT521" s="346">
        <f t="shared" si="244"/>
        <v>30.547470727</v>
      </c>
      <c r="CU521" s="346">
        <f t="shared" si="244"/>
        <v>17.438616502999999</v>
      </c>
      <c r="CV521" s="346">
        <f t="shared" si="244"/>
        <v>15.206777966000001</v>
      </c>
      <c r="CW521" s="346">
        <f t="shared" si="244"/>
        <v>26.679335974000001</v>
      </c>
      <c r="CX521" s="346">
        <f t="shared" si="244"/>
        <v>15.634970797999999</v>
      </c>
      <c r="CY521" s="346">
        <f t="shared" si="244"/>
        <v>18.597033776</v>
      </c>
      <c r="CZ521" s="346">
        <f t="shared" si="244"/>
        <v>26.65231503</v>
      </c>
      <c r="DA521" s="346">
        <f t="shared" si="244"/>
        <v>26.733774095000001</v>
      </c>
      <c r="DB521" s="1479">
        <f t="shared" si="244"/>
        <v>10.103397703000001</v>
      </c>
      <c r="DC521" s="346">
        <f t="shared" ref="DC521:EL521" si="245">DC225+DC523+DC524</f>
        <v>27.871774482000003</v>
      </c>
      <c r="DD521" s="346">
        <f t="shared" si="245"/>
        <v>23.774013855245538</v>
      </c>
      <c r="DE521" s="346">
        <f t="shared" si="245"/>
        <v>17.090073959999998</v>
      </c>
      <c r="DF521" s="346">
        <f t="shared" si="245"/>
        <v>36.413362028000002</v>
      </c>
      <c r="DG521" s="346">
        <f t="shared" si="245"/>
        <v>25.629953723999996</v>
      </c>
      <c r="DH521" s="346">
        <f t="shared" si="245"/>
        <v>27.763238888</v>
      </c>
      <c r="DI521" s="346">
        <f t="shared" si="245"/>
        <v>29.521204540999999</v>
      </c>
      <c r="DJ521" s="346">
        <f t="shared" si="245"/>
        <v>18.723542954999999</v>
      </c>
      <c r="DK521" s="346">
        <f t="shared" si="245"/>
        <v>31.609312495000001</v>
      </c>
      <c r="DL521" s="346">
        <f t="shared" si="245"/>
        <v>38.456853346999999</v>
      </c>
      <c r="DM521" s="346">
        <f t="shared" si="245"/>
        <v>18.475441296</v>
      </c>
      <c r="DN521" s="348">
        <f t="shared" si="245"/>
        <v>13.336047895000004</v>
      </c>
      <c r="DO521" s="346">
        <f t="shared" si="245"/>
        <v>24.401042397000001</v>
      </c>
      <c r="DP521" s="346">
        <f t="shared" si="245"/>
        <v>27.819948847999999</v>
      </c>
      <c r="DQ521" s="346">
        <f t="shared" si="245"/>
        <v>23.270685218000001</v>
      </c>
      <c r="DR521" s="346">
        <f t="shared" si="245"/>
        <v>38.605493967999998</v>
      </c>
      <c r="DS521" s="346">
        <f t="shared" si="245"/>
        <v>24.668040945999998</v>
      </c>
      <c r="DT521" s="346">
        <f t="shared" si="245"/>
        <v>23.407676574</v>
      </c>
      <c r="DU521" s="346">
        <f t="shared" si="245"/>
        <v>42.084308273999994</v>
      </c>
      <c r="DV521" s="346">
        <f t="shared" si="245"/>
        <v>24.311026305999999</v>
      </c>
      <c r="DW521" s="346">
        <f t="shared" si="245"/>
        <v>28.427429018999998</v>
      </c>
      <c r="DX521" s="346">
        <f t="shared" si="245"/>
        <v>47.781328583333334</v>
      </c>
      <c r="DY521" s="346">
        <f t="shared" si="245"/>
        <v>24.606105977333328</v>
      </c>
      <c r="DZ521" s="348">
        <f t="shared" si="245"/>
        <v>31.520329049153332</v>
      </c>
      <c r="EA521" s="346">
        <f t="shared" si="245"/>
        <v>30.424938833999999</v>
      </c>
      <c r="EB521" s="346">
        <f t="shared" si="245"/>
        <v>31.644467306999999</v>
      </c>
      <c r="EC521" s="346">
        <f t="shared" si="245"/>
        <v>28.742059455</v>
      </c>
      <c r="ED521" s="346">
        <f t="shared" si="245"/>
        <v>31.123278899999999</v>
      </c>
      <c r="EE521" s="346">
        <f t="shared" si="245"/>
        <v>33.251128881999996</v>
      </c>
      <c r="EF521" s="346">
        <f t="shared" si="245"/>
        <v>33.777009689000003</v>
      </c>
      <c r="EG521" s="346">
        <f t="shared" si="245"/>
        <v>26.185664580235613</v>
      </c>
      <c r="EH521" s="346">
        <f t="shared" si="245"/>
        <v>33.78208602950194</v>
      </c>
      <c r="EI521" s="346">
        <f t="shared" si="245"/>
        <v>45.51395712029386</v>
      </c>
      <c r="EJ521" s="346">
        <f t="shared" si="245"/>
        <v>25.110562395176451</v>
      </c>
      <c r="EK521" s="346">
        <f t="shared" si="245"/>
        <v>35.818451724572107</v>
      </c>
      <c r="EL521" s="348">
        <f t="shared" si="245"/>
        <v>27.723870851060006</v>
      </c>
      <c r="EM521" s="346">
        <f t="shared" ref="EM521:EX521" si="246">EM225+EM523+EM524+EM527+EM528</f>
        <v>20.833559621999999</v>
      </c>
      <c r="EN521" s="346">
        <f t="shared" si="246"/>
        <v>35.324157685000003</v>
      </c>
      <c r="EO521" s="346">
        <f t="shared" si="246"/>
        <v>36.623113132</v>
      </c>
      <c r="EP521" s="346">
        <f t="shared" si="246"/>
        <v>42.792422794000004</v>
      </c>
      <c r="EQ521" s="346">
        <f t="shared" si="246"/>
        <v>48.788264975999994</v>
      </c>
      <c r="ER521" s="346">
        <f t="shared" si="246"/>
        <v>40.30012699200001</v>
      </c>
      <c r="ES521" s="346">
        <f t="shared" si="246"/>
        <v>28.252861577000001</v>
      </c>
      <c r="ET521" s="346">
        <f t="shared" si="246"/>
        <v>23.152575327999998</v>
      </c>
      <c r="EU521" s="346">
        <f t="shared" si="246"/>
        <v>44.464060891999992</v>
      </c>
      <c r="EV521" s="346">
        <f t="shared" si="246"/>
        <v>35.180262630999998</v>
      </c>
      <c r="EW521" s="346">
        <f t="shared" si="246"/>
        <v>20.340440015999999</v>
      </c>
      <c r="EX521" s="348">
        <f t="shared" si="246"/>
        <v>31.179151675</v>
      </c>
      <c r="EY521" s="346"/>
      <c r="EZ521" s="346"/>
      <c r="FA521" s="346"/>
      <c r="FB521" s="346"/>
      <c r="FC521" s="346"/>
      <c r="FD521" s="346"/>
      <c r="FE521" s="346"/>
      <c r="FF521" s="346"/>
      <c r="FG521" s="346"/>
      <c r="FH521" s="346"/>
      <c r="FI521" s="346"/>
      <c r="FJ521" s="348"/>
      <c r="FK521" s="346"/>
      <c r="FL521" s="346"/>
      <c r="FM521" s="346"/>
      <c r="FN521" s="346"/>
      <c r="FO521" s="346"/>
      <c r="FP521" s="346"/>
      <c r="FQ521" s="346"/>
      <c r="FR521" s="346"/>
      <c r="FS521" s="346"/>
      <c r="FT521" s="346"/>
      <c r="FU521" s="346"/>
      <c r="FV521" s="346"/>
      <c r="FW521" s="346"/>
      <c r="FX521" s="346"/>
      <c r="FY521" s="346"/>
      <c r="FZ521" s="346"/>
      <c r="GA521" s="346"/>
      <c r="GB521" s="346"/>
      <c r="GC521" s="346"/>
      <c r="GD521" s="346"/>
      <c r="GE521" s="346"/>
      <c r="GF521" s="346"/>
      <c r="GG521" s="346"/>
      <c r="GH521" s="346"/>
      <c r="GI521" s="346"/>
      <c r="GJ521" s="346"/>
      <c r="GK521" s="346"/>
      <c r="GL521" s="346"/>
      <c r="GM521" s="346"/>
      <c r="GN521" s="346"/>
      <c r="GO521" s="346"/>
      <c r="GP521" s="346"/>
      <c r="GQ521" s="346"/>
      <c r="GR521" s="346"/>
      <c r="GS521" s="346"/>
      <c r="GT521" s="346"/>
      <c r="GU521" s="346"/>
      <c r="GV521" s="346"/>
      <c r="GW521" s="346"/>
      <c r="GX521" s="346"/>
      <c r="GY521" s="346"/>
      <c r="GZ521" s="346"/>
      <c r="HA521" s="346"/>
      <c r="HB521" s="346"/>
      <c r="HC521" s="346"/>
      <c r="HD521" s="346"/>
      <c r="HE521" s="346"/>
      <c r="HF521" s="346"/>
      <c r="HG521" s="346"/>
      <c r="HH521" s="346"/>
      <c r="HI521" s="346"/>
      <c r="HJ521" s="346"/>
      <c r="HK521" s="346"/>
      <c r="HL521" s="346"/>
      <c r="HM521" s="346"/>
      <c r="HN521" s="349"/>
      <c r="HO521" s="345" t="s">
        <v>85</v>
      </c>
      <c r="HP521" s="345"/>
      <c r="HQ521" s="345"/>
      <c r="HR521" s="346">
        <f>+FISC!Z736</f>
        <v>304.10000000000002</v>
      </c>
      <c r="HS521" s="302">
        <f>SUM(CQ521:CV521)</f>
        <v>140.36241137800002</v>
      </c>
      <c r="HT521" s="302">
        <f>SUM(CW521:DB521)</f>
        <v>124.400827376</v>
      </c>
      <c r="HU521" s="346">
        <f>SUM(CQ521:DB521)</f>
        <v>264.76323875400004</v>
      </c>
      <c r="HV521" s="302">
        <f>+SUM(DC521:DH521)</f>
        <v>158.54241693724552</v>
      </c>
      <c r="HW521" s="302">
        <f>+SUM(DI521:DN521)</f>
        <v>150.12240252900003</v>
      </c>
      <c r="HX521" s="346">
        <f>HV521+HW521</f>
        <v>308.66481946624555</v>
      </c>
      <c r="HY521" s="302">
        <f>+SUM(DO521:DT521)</f>
        <v>162.17288795099998</v>
      </c>
      <c r="HZ521" s="302">
        <f>SUM(DU521:DZ521)</f>
        <v>198.73052720881998</v>
      </c>
      <c r="IA521" s="346">
        <f>HY521+HZ521</f>
        <v>360.90341515981993</v>
      </c>
      <c r="IB521" s="302">
        <f>((ID521*0.51405)+1.25)*0+169.153837999</f>
        <v>169.15383799899999</v>
      </c>
      <c r="IC521" s="302">
        <f>+(ID521-IB521)</f>
        <v>194.13459270083999</v>
      </c>
      <c r="ID521" s="346">
        <f>FISC!AC736</f>
        <v>363.28843069983998</v>
      </c>
      <c r="IE521" s="302">
        <f>SUM(EM521:ER521)</f>
        <v>224.661645201</v>
      </c>
      <c r="IF521" s="302">
        <f>SUM(ES521:EX521)</f>
        <v>182.56935211899997</v>
      </c>
      <c r="IG521" s="346">
        <f t="shared" si="201"/>
        <v>407.23099731999997</v>
      </c>
      <c r="IH521" s="350" t="e">
        <f>((IJ521*0.49)*0+#REF!)*0+234.620169075</f>
        <v>#REF!</v>
      </c>
      <c r="II521" s="302" t="e">
        <f>+IJ521-IH521</f>
        <v>#REF!</v>
      </c>
      <c r="IJ521" s="346">
        <f>+FISC!AE736</f>
        <v>424.35991078043662</v>
      </c>
      <c r="IK521" s="350">
        <f>(IM521*0.49)*0+192.066032279531</f>
        <v>192.06603227953099</v>
      </c>
      <c r="IL521" s="302">
        <f t="shared" si="85"/>
        <v>265.23857049580477</v>
      </c>
      <c r="IM521" s="346">
        <f>+FISC!AF736</f>
        <v>457.30460277533575</v>
      </c>
      <c r="IN521" s="350">
        <f>(IP521*0.3)</f>
        <v>221.99949299013113</v>
      </c>
      <c r="IO521" s="302">
        <f t="shared" si="154"/>
        <v>517.99881697697265</v>
      </c>
      <c r="IP521" s="346">
        <f>+FISC!AG736</f>
        <v>739.99830996710375</v>
      </c>
      <c r="IQ521" s="350">
        <f>(IS521*0.49)</f>
        <v>413.34122616678536</v>
      </c>
      <c r="IR521" s="302">
        <f t="shared" si="74"/>
        <v>430.21229662257252</v>
      </c>
      <c r="IS521" s="346">
        <f>+FISC!AH736</f>
        <v>843.55352278935788</v>
      </c>
      <c r="IT521" s="350">
        <f>(IV521*0.3)</f>
        <v>277.72962777734517</v>
      </c>
      <c r="IU521" s="302">
        <f t="shared" si="75"/>
        <v>648.03579814713873</v>
      </c>
      <c r="IV521" s="346">
        <f>+FISC!AI736</f>
        <v>925.76542592448391</v>
      </c>
      <c r="IW521" s="350">
        <f>(IY521*0.3)</f>
        <v>184.05490467191507</v>
      </c>
      <c r="IX521" s="302">
        <f t="shared" si="76"/>
        <v>429.46144423446844</v>
      </c>
      <c r="IY521" s="346">
        <f>+FISC!AJ736</f>
        <v>613.51634890638354</v>
      </c>
      <c r="IZ521" s="350" t="e">
        <f>(JB521*0.3)</f>
        <v>#DIV/0!</v>
      </c>
      <c r="JA521" s="302" t="e">
        <f t="shared" si="77"/>
        <v>#DIV/0!</v>
      </c>
      <c r="JB521" s="346" t="e">
        <f>+FISC!AK736</f>
        <v>#DIV/0!</v>
      </c>
      <c r="JC521" s="346"/>
      <c r="KI521" s="349"/>
      <c r="KJ521" s="350"/>
      <c r="KK521" s="302">
        <v>217.753325176358</v>
      </c>
    </row>
    <row r="522" spans="1:302">
      <c r="A522" s="302"/>
      <c r="B522" s="117" t="s">
        <v>361</v>
      </c>
      <c r="D522" s="351" t="str">
        <f>+FISC!D737</f>
        <v xml:space="preserve">      of which transfers excl. wages-salaries &amp; expend on local govt taxes</v>
      </c>
      <c r="E522" s="346"/>
      <c r="F522" s="346"/>
      <c r="G522" s="346"/>
      <c r="H522" s="346"/>
      <c r="I522" s="346"/>
      <c r="J522" s="346"/>
      <c r="K522" s="346"/>
      <c r="L522" s="346"/>
      <c r="M522" s="346"/>
      <c r="N522" s="346"/>
      <c r="O522" s="346"/>
      <c r="P522" s="346"/>
      <c r="Q522" s="346"/>
      <c r="R522" s="346"/>
      <c r="S522" s="346"/>
      <c r="T522" s="346"/>
      <c r="U522" s="346"/>
      <c r="V522" s="346"/>
      <c r="W522" s="346"/>
      <c r="X522" s="346"/>
      <c r="Y522" s="346"/>
      <c r="Z522" s="346"/>
      <c r="AA522" s="346"/>
      <c r="AB522" s="346"/>
      <c r="AC522" s="346"/>
      <c r="AD522" s="346"/>
      <c r="AE522" s="346"/>
      <c r="AF522" s="346"/>
      <c r="AG522" s="346"/>
      <c r="AH522" s="346"/>
      <c r="AI522" s="346"/>
      <c r="AJ522" s="346"/>
      <c r="AK522" s="346"/>
      <c r="AL522" s="346"/>
      <c r="AM522" s="346"/>
      <c r="AN522" s="346"/>
      <c r="AO522" s="346"/>
      <c r="AP522" s="346"/>
      <c r="AQ522" s="346"/>
      <c r="AR522" s="346"/>
      <c r="AS522" s="346"/>
      <c r="AT522" s="346"/>
      <c r="AU522" s="346"/>
      <c r="AV522" s="346"/>
      <c r="AW522" s="346"/>
      <c r="AX522" s="346"/>
      <c r="AY522" s="346"/>
      <c r="AZ522" s="346"/>
      <c r="BA522" s="346"/>
      <c r="BB522" s="346"/>
      <c r="BC522" s="346"/>
      <c r="BD522" s="346"/>
      <c r="BE522" s="346"/>
      <c r="BF522" s="346"/>
      <c r="BG522" s="346"/>
      <c r="BH522" s="346"/>
      <c r="BI522" s="346"/>
      <c r="BJ522" s="346"/>
      <c r="BK522" s="346"/>
      <c r="BL522" s="346"/>
      <c r="BM522" s="346"/>
      <c r="BN522" s="346"/>
      <c r="BO522" s="346"/>
      <c r="BP522" s="346"/>
      <c r="BQ522" s="346"/>
      <c r="BR522" s="346"/>
      <c r="BS522" s="346"/>
      <c r="BT522" s="346"/>
      <c r="BU522" s="346"/>
      <c r="BV522" s="346"/>
      <c r="BW522" s="346"/>
      <c r="BX522" s="346"/>
      <c r="BY522" s="346"/>
      <c r="BZ522" s="346"/>
      <c r="CA522" s="346"/>
      <c r="CB522" s="346"/>
      <c r="CC522" s="346"/>
      <c r="CD522" s="346"/>
      <c r="CE522" s="347"/>
      <c r="CF522" s="346"/>
      <c r="CG522" s="346"/>
      <c r="CH522" s="346"/>
      <c r="CI522" s="346"/>
      <c r="CJ522" s="346"/>
      <c r="CK522" s="346"/>
      <c r="CL522" s="346"/>
      <c r="CM522" s="346"/>
      <c r="CN522" s="346"/>
      <c r="CO522" s="346"/>
      <c r="CP522" s="348"/>
      <c r="CQ522" s="346"/>
      <c r="CR522" s="346"/>
      <c r="CS522" s="346"/>
      <c r="CT522" s="346"/>
      <c r="CU522" s="346"/>
      <c r="CV522" s="346"/>
      <c r="CW522" s="346"/>
      <c r="CX522" s="346"/>
      <c r="CY522" s="346"/>
      <c r="CZ522" s="346"/>
      <c r="DA522" s="346"/>
      <c r="DB522" s="1479"/>
      <c r="DC522" s="346"/>
      <c r="DD522" s="346"/>
      <c r="DE522" s="346"/>
      <c r="DF522" s="346"/>
      <c r="DG522" s="346"/>
      <c r="DH522" s="346"/>
      <c r="DI522" s="346"/>
      <c r="DJ522" s="346"/>
      <c r="DK522" s="346"/>
      <c r="DL522" s="346"/>
      <c r="DM522" s="346"/>
      <c r="DN522" s="348"/>
      <c r="DO522" s="346"/>
      <c r="DP522" s="346"/>
      <c r="DQ522" s="346"/>
      <c r="DR522" s="346"/>
      <c r="DS522" s="346"/>
      <c r="DT522" s="346"/>
      <c r="DU522" s="346"/>
      <c r="DV522" s="346"/>
      <c r="DW522" s="346"/>
      <c r="DX522" s="346"/>
      <c r="DY522" s="346"/>
      <c r="DZ522" s="348"/>
      <c r="EA522" s="346"/>
      <c r="EB522" s="346"/>
      <c r="EC522" s="346"/>
      <c r="ED522" s="346"/>
      <c r="EE522" s="346"/>
      <c r="EF522" s="346"/>
      <c r="EG522" s="346"/>
      <c r="EH522" s="346"/>
      <c r="EI522" s="346"/>
      <c r="EJ522" s="346"/>
      <c r="EK522" s="346"/>
      <c r="EL522" s="348"/>
      <c r="EM522" s="346"/>
      <c r="EN522" s="346"/>
      <c r="EO522" s="346"/>
      <c r="EP522" s="346"/>
      <c r="EQ522" s="346"/>
      <c r="ER522" s="346"/>
      <c r="ES522" s="346"/>
      <c r="ET522" s="346"/>
      <c r="EU522" s="346"/>
      <c r="EV522" s="346"/>
      <c r="EW522" s="346"/>
      <c r="EX522" s="348"/>
      <c r="EY522" s="346"/>
      <c r="EZ522" s="346"/>
      <c r="FA522" s="346"/>
      <c r="FB522" s="346"/>
      <c r="FC522" s="346"/>
      <c r="FD522" s="346"/>
      <c r="FE522" s="346"/>
      <c r="FF522" s="346"/>
      <c r="FG522" s="346"/>
      <c r="FH522" s="346"/>
      <c r="FI522" s="346"/>
      <c r="FJ522" s="348"/>
      <c r="FK522" s="346"/>
      <c r="FL522" s="346"/>
      <c r="FM522" s="346"/>
      <c r="FN522" s="346"/>
      <c r="FO522" s="346"/>
      <c r="FP522" s="346"/>
      <c r="FQ522" s="346"/>
      <c r="FR522" s="346"/>
      <c r="FS522" s="346"/>
      <c r="FT522" s="346"/>
      <c r="FU522" s="346"/>
      <c r="FV522" s="346"/>
      <c r="FW522" s="346"/>
      <c r="FX522" s="346"/>
      <c r="FY522" s="346"/>
      <c r="FZ522" s="346"/>
      <c r="GA522" s="346"/>
      <c r="GB522" s="346"/>
      <c r="GC522" s="346"/>
      <c r="GD522" s="346"/>
      <c r="GE522" s="346"/>
      <c r="GF522" s="346"/>
      <c r="GG522" s="346"/>
      <c r="GH522" s="346"/>
      <c r="GI522" s="346"/>
      <c r="GJ522" s="346"/>
      <c r="GK522" s="346"/>
      <c r="GL522" s="346"/>
      <c r="GM522" s="346"/>
      <c r="GN522" s="346"/>
      <c r="GO522" s="346"/>
      <c r="GP522" s="346"/>
      <c r="GQ522" s="346"/>
      <c r="GR522" s="346"/>
      <c r="GS522" s="346"/>
      <c r="GT522" s="346"/>
      <c r="GU522" s="346"/>
      <c r="GV522" s="346"/>
      <c r="GW522" s="346"/>
      <c r="GX522" s="346"/>
      <c r="GY522" s="346"/>
      <c r="GZ522" s="346"/>
      <c r="HA522" s="346"/>
      <c r="HB522" s="346"/>
      <c r="HC522" s="346"/>
      <c r="HD522" s="346"/>
      <c r="HE522" s="346"/>
      <c r="HF522" s="346"/>
      <c r="HG522" s="346"/>
      <c r="HH522" s="346"/>
      <c r="HI522" s="346"/>
      <c r="HJ522" s="346"/>
      <c r="HK522" s="346"/>
      <c r="HL522" s="346"/>
      <c r="HM522" s="346"/>
      <c r="HN522" s="349"/>
      <c r="HO522" s="351" t="s">
        <v>267</v>
      </c>
      <c r="HP522" s="351"/>
      <c r="HQ522" s="351"/>
      <c r="HR522" s="346">
        <f>+FISC!Z737</f>
        <v>167.10000000000005</v>
      </c>
      <c r="HS522" s="302">
        <f>SUM(CQ522:CV522)</f>
        <v>0</v>
      </c>
      <c r="HT522" s="302">
        <f>SUM(CW522:DB522)</f>
        <v>0</v>
      </c>
      <c r="HU522" s="346">
        <f>SUM(CQ522:DB522)</f>
        <v>0</v>
      </c>
      <c r="HV522" s="302">
        <f>+HV521-HV523-HV525</f>
        <v>89.366932032245529</v>
      </c>
      <c r="HW522" s="302">
        <f>+HW521-HW523-HW525</f>
        <v>122.80942233700003</v>
      </c>
      <c r="HX522" s="346">
        <f>HV522+HW522</f>
        <v>212.17635436924556</v>
      </c>
      <c r="HY522" s="302">
        <f>+HY521-HY523-HY525</f>
        <v>88.278283874999971</v>
      </c>
      <c r="HZ522" s="302">
        <f>+HZ521-HZ523-HZ525</f>
        <v>110.03725217299998</v>
      </c>
      <c r="IA522" s="346">
        <f t="shared" si="103"/>
        <v>198.31553604799996</v>
      </c>
      <c r="IB522" s="302">
        <f>+IB521-IB523-IB525</f>
        <v>83.754696786873268</v>
      </c>
      <c r="IC522" s="302">
        <f>+IC521-IC523-IC525</f>
        <v>108.73545148871327</v>
      </c>
      <c r="ID522" s="346">
        <f>FISC!AC737</f>
        <v>192.49014827558653</v>
      </c>
      <c r="IE522" s="302">
        <f>SUM(EM522:ER522)</f>
        <v>0</v>
      </c>
      <c r="IF522" s="302">
        <f>SUM(ES522:EX522)</f>
        <v>0</v>
      </c>
      <c r="IG522" s="346">
        <f t="shared" si="201"/>
        <v>0</v>
      </c>
      <c r="IH522" s="302" t="e">
        <f>+IH521-IH523-IH525</f>
        <v>#REF!</v>
      </c>
      <c r="II522" s="302" t="e">
        <f>+II521-II523-II525</f>
        <v>#REF!</v>
      </c>
      <c r="IJ522" s="346">
        <f>+FISC!AE737</f>
        <v>210.99833405420122</v>
      </c>
      <c r="IK522" s="302">
        <f>+IK521-IK523-IK525</f>
        <v>66.721658107978854</v>
      </c>
      <c r="IL522" s="302">
        <f t="shared" si="85"/>
        <v>139.89419632425256</v>
      </c>
      <c r="IM522" s="346">
        <f>+FISC!AF737</f>
        <v>206.61585443223143</v>
      </c>
      <c r="IN522" s="302">
        <f>+IN521-IN523-IN525</f>
        <v>-6.6155166541921915</v>
      </c>
      <c r="IO522" s="302">
        <f t="shared" si="154"/>
        <v>289.38380733264933</v>
      </c>
      <c r="IP522" s="346">
        <f>+FISC!AG737</f>
        <v>282.76829067845711</v>
      </c>
      <c r="IQ522" s="302">
        <f>+IQ521-IQ523-IQ525</f>
        <v>156.23139010477121</v>
      </c>
      <c r="IR522" s="302">
        <f t="shared" si="74"/>
        <v>173.10246056055837</v>
      </c>
      <c r="IS522" s="346">
        <f>+FISC!AH737</f>
        <v>329.33385066532958</v>
      </c>
      <c r="IT522" s="302">
        <f>+IT521-IT523-IT525</f>
        <v>2.8677475631648264</v>
      </c>
      <c r="IU522" s="302">
        <f t="shared" si="75"/>
        <v>373.17391793295843</v>
      </c>
      <c r="IV522" s="346">
        <f>+FISC!AI737</f>
        <v>376.04166549612324</v>
      </c>
      <c r="IW522" s="302">
        <f>+IW521-IW523-IW525</f>
        <v>65.317562966784934</v>
      </c>
      <c r="IX522" s="302">
        <f t="shared" si="76"/>
        <v>310.72410252933832</v>
      </c>
      <c r="IY522" s="346">
        <f>+FISC!AJ737</f>
        <v>376.04166549612324</v>
      </c>
      <c r="IZ522" s="302" t="e">
        <f>+IZ521-IZ523-IZ525</f>
        <v>#DIV/0!</v>
      </c>
      <c r="JA522" s="302" t="e">
        <f t="shared" si="77"/>
        <v>#DIV/0!</v>
      </c>
      <c r="JB522" s="346" t="e">
        <f>+FISC!AK737</f>
        <v>#DIV/0!</v>
      </c>
      <c r="JC522" s="346"/>
      <c r="KI522" s="349"/>
      <c r="KJ522" s="350"/>
    </row>
    <row r="523" spans="1:302">
      <c r="A523" s="302"/>
      <c r="B523" s="117" t="s">
        <v>361</v>
      </c>
      <c r="D523" s="351" t="str">
        <f>+FISC!D738</f>
        <v>of which expenditures on local government taxes</v>
      </c>
      <c r="E523" s="346"/>
      <c r="F523" s="346"/>
      <c r="G523" s="346"/>
      <c r="H523" s="346"/>
      <c r="I523" s="346"/>
      <c r="J523" s="346"/>
      <c r="K523" s="346"/>
      <c r="L523" s="346"/>
      <c r="M523" s="346"/>
      <c r="N523" s="346"/>
      <c r="O523" s="346"/>
      <c r="P523" s="346"/>
      <c r="Q523" s="346"/>
      <c r="R523" s="346"/>
      <c r="S523" s="346"/>
      <c r="T523" s="346"/>
      <c r="U523" s="346"/>
      <c r="V523" s="346"/>
      <c r="W523" s="346"/>
      <c r="X523" s="346"/>
      <c r="Y523" s="346"/>
      <c r="Z523" s="346"/>
      <c r="AA523" s="346"/>
      <c r="AB523" s="346"/>
      <c r="AC523" s="346"/>
      <c r="AD523" s="346"/>
      <c r="AE523" s="346"/>
      <c r="AF523" s="346"/>
      <c r="AG523" s="346"/>
      <c r="AH523" s="346"/>
      <c r="AI523" s="346"/>
      <c r="AJ523" s="346"/>
      <c r="AK523" s="346"/>
      <c r="AL523" s="346"/>
      <c r="AM523" s="346"/>
      <c r="AN523" s="346"/>
      <c r="AO523" s="346"/>
      <c r="AP523" s="346"/>
      <c r="AQ523" s="346"/>
      <c r="AR523" s="346"/>
      <c r="AS523" s="346"/>
      <c r="AT523" s="346"/>
      <c r="AU523" s="346"/>
      <c r="AV523" s="346"/>
      <c r="AW523" s="346"/>
      <c r="AX523" s="346"/>
      <c r="AY523" s="346"/>
      <c r="AZ523" s="346"/>
      <c r="BA523" s="346"/>
      <c r="BB523" s="346"/>
      <c r="BC523" s="346"/>
      <c r="BD523" s="346"/>
      <c r="BE523" s="346"/>
      <c r="BF523" s="346"/>
      <c r="BG523" s="346"/>
      <c r="BH523" s="346"/>
      <c r="BI523" s="346"/>
      <c r="BJ523" s="346"/>
      <c r="BK523" s="346"/>
      <c r="BL523" s="346"/>
      <c r="BM523" s="346"/>
      <c r="BN523" s="346"/>
      <c r="BO523" s="346"/>
      <c r="BP523" s="346"/>
      <c r="BQ523" s="346"/>
      <c r="BR523" s="346"/>
      <c r="BS523" s="346"/>
      <c r="BT523" s="346"/>
      <c r="BU523" s="346"/>
      <c r="BV523" s="346"/>
      <c r="BW523" s="346"/>
      <c r="BX523" s="346"/>
      <c r="BY523" s="346"/>
      <c r="BZ523" s="346"/>
      <c r="CA523" s="346"/>
      <c r="CB523" s="346"/>
      <c r="CC523" s="346"/>
      <c r="CD523" s="346"/>
      <c r="CE523" s="347">
        <f t="shared" ref="CE523:DJ523" si="247">CE488+CE471</f>
        <v>0</v>
      </c>
      <c r="CF523" s="346">
        <f t="shared" si="247"/>
        <v>0</v>
      </c>
      <c r="CG523" s="346">
        <f t="shared" si="247"/>
        <v>0</v>
      </c>
      <c r="CH523" s="346">
        <f t="shared" si="247"/>
        <v>0</v>
      </c>
      <c r="CI523" s="346">
        <f t="shared" si="247"/>
        <v>0</v>
      </c>
      <c r="CJ523" s="346">
        <f t="shared" si="247"/>
        <v>0</v>
      </c>
      <c r="CK523" s="346">
        <f t="shared" si="247"/>
        <v>0</v>
      </c>
      <c r="CL523" s="346">
        <f t="shared" si="247"/>
        <v>0</v>
      </c>
      <c r="CM523" s="346">
        <f t="shared" si="247"/>
        <v>0</v>
      </c>
      <c r="CN523" s="346">
        <f t="shared" si="247"/>
        <v>0</v>
      </c>
      <c r="CO523" s="346">
        <f t="shared" si="247"/>
        <v>0</v>
      </c>
      <c r="CP523" s="348">
        <f t="shared" si="247"/>
        <v>0</v>
      </c>
      <c r="CQ523" s="346">
        <f t="shared" si="247"/>
        <v>0.183261338</v>
      </c>
      <c r="CR523" s="346">
        <f t="shared" si="247"/>
        <v>0.14638458600000001</v>
      </c>
      <c r="CS523" s="346">
        <f t="shared" si="247"/>
        <v>0.113267485</v>
      </c>
      <c r="CT523" s="346">
        <f t="shared" si="247"/>
        <v>0.122111359</v>
      </c>
      <c r="CU523" s="346">
        <f t="shared" si="247"/>
        <v>0.116284792</v>
      </c>
      <c r="CV523" s="346">
        <f t="shared" si="247"/>
        <v>0.15974851299999998</v>
      </c>
      <c r="CW523" s="346">
        <f t="shared" si="247"/>
        <v>7.8153791887950002</v>
      </c>
      <c r="CX523" s="346">
        <f t="shared" si="247"/>
        <v>8.4013208027950004</v>
      </c>
      <c r="CY523" s="346">
        <f t="shared" si="247"/>
        <v>13.013312039999999</v>
      </c>
      <c r="CZ523" s="346">
        <f t="shared" si="247"/>
        <v>0.50515088600000002</v>
      </c>
      <c r="DA523" s="346">
        <f t="shared" si="247"/>
        <v>0.26616519800000005</v>
      </c>
      <c r="DB523" s="1479">
        <f t="shared" si="247"/>
        <v>0.24200322200000002</v>
      </c>
      <c r="DC523" s="346">
        <f t="shared" si="247"/>
        <v>2.1537507630000001</v>
      </c>
      <c r="DD523" s="346">
        <f t="shared" si="247"/>
        <v>1.4768050530000001</v>
      </c>
      <c r="DE523" s="346">
        <f t="shared" si="247"/>
        <v>1.7822144559999999</v>
      </c>
      <c r="DF523" s="346">
        <f t="shared" si="247"/>
        <v>1.6500817510000001</v>
      </c>
      <c r="DG523" s="346">
        <f t="shared" si="247"/>
        <v>1.7923412299999999</v>
      </c>
      <c r="DH523" s="346">
        <f t="shared" si="247"/>
        <v>4.2202916520000002</v>
      </c>
      <c r="DI523" s="346">
        <f t="shared" si="247"/>
        <v>3.1291233790000001</v>
      </c>
      <c r="DJ523" s="346">
        <f t="shared" si="247"/>
        <v>2.8409421099999999</v>
      </c>
      <c r="DK523" s="346">
        <f t="shared" ref="DK523:EK523" si="248">DK488+DK471</f>
        <v>13.759354583</v>
      </c>
      <c r="DL523" s="346">
        <f t="shared" si="248"/>
        <v>3.142999181</v>
      </c>
      <c r="DM523" s="346">
        <f t="shared" si="248"/>
        <v>2.3048897359999998</v>
      </c>
      <c r="DN523" s="348">
        <f t="shared" si="248"/>
        <v>2.1356712030000029</v>
      </c>
      <c r="DO523" s="346">
        <f t="shared" si="248"/>
        <v>1.8229584839999999</v>
      </c>
      <c r="DP523" s="346">
        <f t="shared" si="248"/>
        <v>2.2322524439999998</v>
      </c>
      <c r="DQ523" s="346">
        <f t="shared" si="248"/>
        <v>2.1201976179999997</v>
      </c>
      <c r="DR523" s="346">
        <f t="shared" si="248"/>
        <v>2.1908555590000001</v>
      </c>
      <c r="DS523" s="346">
        <f t="shared" si="248"/>
        <v>2.3364014239999999</v>
      </c>
      <c r="DT523" s="346">
        <f t="shared" si="248"/>
        <v>5.8419385469999998</v>
      </c>
      <c r="DU523" s="346">
        <f t="shared" si="248"/>
        <v>2.8779713249999999</v>
      </c>
      <c r="DV523" s="346">
        <f t="shared" si="248"/>
        <v>3.6359134360000001</v>
      </c>
      <c r="DW523" s="346">
        <f t="shared" si="248"/>
        <v>15.658399510999999</v>
      </c>
      <c r="DX523" s="346">
        <f t="shared" si="248"/>
        <v>2.5283023723333335</v>
      </c>
      <c r="DY523" s="346">
        <f t="shared" si="248"/>
        <v>3.1005595053333299</v>
      </c>
      <c r="DZ523" s="348">
        <f t="shared" si="248"/>
        <v>3.5421288861533302</v>
      </c>
      <c r="EA523" s="346">
        <f t="shared" si="248"/>
        <v>2.4467386709999999</v>
      </c>
      <c r="EB523" s="346">
        <f t="shared" si="248"/>
        <v>2.5030338089999997</v>
      </c>
      <c r="EC523" s="346">
        <f t="shared" si="248"/>
        <v>2.4811109070000001</v>
      </c>
      <c r="ED523" s="346">
        <f t="shared" si="248"/>
        <v>3.0029290859999995</v>
      </c>
      <c r="EE523" s="346">
        <f t="shared" si="248"/>
        <v>2.9900450309999997</v>
      </c>
      <c r="EF523" s="346">
        <f t="shared" si="248"/>
        <v>6.3851875640000006</v>
      </c>
      <c r="EG523" s="346">
        <f t="shared" si="248"/>
        <v>3.391385350235613</v>
      </c>
      <c r="EH523" s="346">
        <f t="shared" si="248"/>
        <v>3.8792876455019396</v>
      </c>
      <c r="EI523" s="346">
        <f t="shared" si="248"/>
        <v>16.269507953293861</v>
      </c>
      <c r="EJ523" s="346">
        <f t="shared" si="248"/>
        <v>3.7563821511764526</v>
      </c>
      <c r="EK523" s="346">
        <f t="shared" si="248"/>
        <v>3.334690549572108</v>
      </c>
      <c r="EL523" s="348">
        <f t="shared" ref="EL523:ER523" si="249">EL488+EL471</f>
        <v>3.3424051840600058</v>
      </c>
      <c r="EM523" s="346">
        <f t="shared" si="249"/>
        <v>2.9179305429999998</v>
      </c>
      <c r="EN523" s="346">
        <f t="shared" si="249"/>
        <v>2.7732397710000001</v>
      </c>
      <c r="EO523" s="346">
        <f t="shared" si="249"/>
        <v>2.773520913</v>
      </c>
      <c r="EP523" s="346">
        <f t="shared" si="249"/>
        <v>3.6925290790000003</v>
      </c>
      <c r="EQ523" s="346">
        <f t="shared" si="249"/>
        <v>3.3174091150000002</v>
      </c>
      <c r="ER523" s="346">
        <f t="shared" si="249"/>
        <v>7.2655847190000005</v>
      </c>
      <c r="ES523" s="346">
        <f t="shared" ref="ES523:EX523" si="250">ES488+ES471</f>
        <v>9.7364006940000003</v>
      </c>
      <c r="ET523" s="346">
        <f t="shared" si="250"/>
        <v>4.2010380170000001</v>
      </c>
      <c r="EU523" s="346">
        <f t="shared" si="250"/>
        <v>11.756376802</v>
      </c>
      <c r="EV523" s="346">
        <f t="shared" si="250"/>
        <v>4.753253172</v>
      </c>
      <c r="EW523" s="346">
        <f t="shared" si="250"/>
        <v>3.574423001</v>
      </c>
      <c r="EX523" s="348">
        <f t="shared" si="250"/>
        <v>3.848724078</v>
      </c>
      <c r="EY523" s="346"/>
      <c r="EZ523" s="346"/>
      <c r="FA523" s="346"/>
      <c r="FB523" s="346"/>
      <c r="FC523" s="346"/>
      <c r="FD523" s="346"/>
      <c r="FE523" s="346"/>
      <c r="FF523" s="346"/>
      <c r="FG523" s="346"/>
      <c r="FH523" s="346"/>
      <c r="FI523" s="346"/>
      <c r="FJ523" s="348"/>
      <c r="FK523" s="346"/>
      <c r="FL523" s="346"/>
      <c r="FM523" s="346"/>
      <c r="FN523" s="346"/>
      <c r="FO523" s="346"/>
      <c r="FP523" s="346"/>
      <c r="FQ523" s="346"/>
      <c r="FR523" s="346"/>
      <c r="FS523" s="346"/>
      <c r="FT523" s="346"/>
      <c r="FU523" s="346"/>
      <c r="FV523" s="346"/>
      <c r="FW523" s="346"/>
      <c r="FX523" s="346"/>
      <c r="FY523" s="346"/>
      <c r="FZ523" s="346"/>
      <c r="GA523" s="346"/>
      <c r="GB523" s="346"/>
      <c r="GC523" s="346"/>
      <c r="GD523" s="346"/>
      <c r="GE523" s="346"/>
      <c r="GF523" s="346"/>
      <c r="GG523" s="346"/>
      <c r="GH523" s="346"/>
      <c r="GI523" s="346"/>
      <c r="GJ523" s="346"/>
      <c r="GK523" s="346"/>
      <c r="GL523" s="346"/>
      <c r="GM523" s="346"/>
      <c r="GN523" s="346"/>
      <c r="GO523" s="346"/>
      <c r="GP523" s="346"/>
      <c r="GQ523" s="346"/>
      <c r="GR523" s="346"/>
      <c r="GS523" s="346"/>
      <c r="GT523" s="346"/>
      <c r="GU523" s="346"/>
      <c r="GV523" s="346"/>
      <c r="GW523" s="346"/>
      <c r="GX523" s="346"/>
      <c r="GY523" s="346"/>
      <c r="GZ523" s="346"/>
      <c r="HA523" s="346"/>
      <c r="HB523" s="346"/>
      <c r="HC523" s="346"/>
      <c r="HD523" s="346"/>
      <c r="HE523" s="346"/>
      <c r="HF523" s="346"/>
      <c r="HG523" s="346"/>
      <c r="HH523" s="346"/>
      <c r="HI523" s="346"/>
      <c r="HJ523" s="346"/>
      <c r="HK523" s="346"/>
      <c r="HL523" s="346"/>
      <c r="HM523" s="346"/>
      <c r="HN523" s="349"/>
      <c r="HO523" s="351" t="s">
        <v>160</v>
      </c>
      <c r="HP523" s="351"/>
      <c r="HQ523" s="351"/>
      <c r="HR523" s="346">
        <f>+FISC!Z738</f>
        <v>31</v>
      </c>
      <c r="HS523" s="302">
        <f>SUM(CQ523:CV523)</f>
        <v>0.84105807299999991</v>
      </c>
      <c r="HT523" s="302">
        <f>SUM(CW523:DB523)</f>
        <v>30.24333133759</v>
      </c>
      <c r="HU523" s="346">
        <f>SUM(CQ523:DB523)</f>
        <v>31.084389410589999</v>
      </c>
      <c r="HV523" s="302">
        <f>+SUM(DC523:DH523)</f>
        <v>13.075484905</v>
      </c>
      <c r="HW523" s="302">
        <f>+SUM(DI523:DN523)</f>
        <v>27.312980192000005</v>
      </c>
      <c r="HX523" s="346">
        <f>HV523+HW523</f>
        <v>40.388465097000008</v>
      </c>
      <c r="HY523" s="302">
        <f>+SUM(DO523:DT523)</f>
        <v>16.544604075999999</v>
      </c>
      <c r="HZ523" s="302">
        <f>SUM(DU523:DZ523)</f>
        <v>31.343275035819993</v>
      </c>
      <c r="IA523" s="346">
        <f t="shared" si="103"/>
        <v>47.887879111819991</v>
      </c>
      <c r="IB523" s="579">
        <f>+ID523/2</f>
        <v>26.93154313622</v>
      </c>
      <c r="IC523" s="579">
        <f>+ID523-IB523</f>
        <v>26.93154313622</v>
      </c>
      <c r="ID523" s="346">
        <f>FISC!AC738</f>
        <v>53.86308627244</v>
      </c>
      <c r="IE523" s="302">
        <f>SUM(EM523:ER523)</f>
        <v>22.740214139999999</v>
      </c>
      <c r="IF523" s="302">
        <f>SUM(ES523:EX523)</f>
        <v>37.870215764000008</v>
      </c>
      <c r="IG523" s="346">
        <f t="shared" si="201"/>
        <v>60.610429904000007</v>
      </c>
      <c r="IH523" s="579">
        <f>+IJ523/2</f>
        <v>30.358385287531753</v>
      </c>
      <c r="II523" s="579">
        <f>+IJ523-IH523</f>
        <v>30.358385287531753</v>
      </c>
      <c r="IJ523" s="346">
        <f>+FISC!AE738</f>
        <v>60.716770575063506</v>
      </c>
      <c r="IK523" s="350">
        <f>IM523/2</f>
        <v>36.721547326692452</v>
      </c>
      <c r="IL523" s="302">
        <f t="shared" si="85"/>
        <v>36.721547326692452</v>
      </c>
      <c r="IM523" s="346">
        <f>+FISC!AF738</f>
        <v>73.443094653384904</v>
      </c>
      <c r="IN523" s="350">
        <f>IP523/2</f>
        <v>126.15461461590724</v>
      </c>
      <c r="IO523" s="302">
        <f t="shared" si="154"/>
        <v>126.15461461590724</v>
      </c>
      <c r="IP523" s="346">
        <f>+FISC!AG738</f>
        <v>252.30922923181447</v>
      </c>
      <c r="IQ523" s="350">
        <f>IS523/2</f>
        <v>146.81081097234414</v>
      </c>
      <c r="IR523" s="302">
        <f t="shared" si="74"/>
        <v>146.81081097234414</v>
      </c>
      <c r="IS523" s="346">
        <f>+FISC!AH738</f>
        <v>293.62162194468829</v>
      </c>
      <c r="IT523" s="350">
        <f>IV523/2</f>
        <v>156.12453850905021</v>
      </c>
      <c r="IU523" s="302">
        <f t="shared" si="75"/>
        <v>156.12453850905021</v>
      </c>
      <c r="IV523" s="346">
        <f>+FISC!AI738</f>
        <v>312.24907701810042</v>
      </c>
      <c r="IW523" s="350">
        <f>IY523/2</f>
        <v>0</v>
      </c>
      <c r="IX523" s="302">
        <f t="shared" si="76"/>
        <v>0</v>
      </c>
      <c r="IY523" s="346">
        <f>+FISC!AJ738</f>
        <v>0</v>
      </c>
      <c r="IZ523" s="350" t="e">
        <f>JB523/2</f>
        <v>#DIV/0!</v>
      </c>
      <c r="JA523" s="302" t="e">
        <f t="shared" si="77"/>
        <v>#DIV/0!</v>
      </c>
      <c r="JB523" s="346" t="e">
        <f>+FISC!AK738</f>
        <v>#DIV/0!</v>
      </c>
      <c r="JC523" s="346"/>
      <c r="KI523" s="349"/>
      <c r="KJ523" s="350"/>
    </row>
    <row r="524" spans="1:302">
      <c r="A524" s="302"/>
      <c r="D524" s="351" t="str">
        <f>+FISC!D743</f>
        <v xml:space="preserve"> LODA expenditure on budget grants directly disbursed/ REG&amp;RTDA Tax expenditure</v>
      </c>
      <c r="E524" s="346"/>
      <c r="F524" s="346"/>
      <c r="G524" s="346"/>
      <c r="H524" s="346"/>
      <c r="I524" s="346"/>
      <c r="J524" s="346"/>
      <c r="K524" s="346"/>
      <c r="L524" s="346"/>
      <c r="M524" s="346"/>
      <c r="N524" s="346"/>
      <c r="O524" s="346"/>
      <c r="P524" s="346"/>
      <c r="Q524" s="346"/>
      <c r="R524" s="346"/>
      <c r="S524" s="346"/>
      <c r="T524" s="346"/>
      <c r="U524" s="346"/>
      <c r="V524" s="346"/>
      <c r="W524" s="346"/>
      <c r="X524" s="346"/>
      <c r="Y524" s="346"/>
      <c r="Z524" s="346"/>
      <c r="AA524" s="346"/>
      <c r="AB524" s="346"/>
      <c r="AC524" s="346"/>
      <c r="AD524" s="346"/>
      <c r="AE524" s="346"/>
      <c r="AF524" s="346"/>
      <c r="AG524" s="346"/>
      <c r="AH524" s="346"/>
      <c r="AI524" s="346"/>
      <c r="AJ524" s="346"/>
      <c r="AK524" s="346"/>
      <c r="AL524" s="346"/>
      <c r="AM524" s="346"/>
      <c r="AN524" s="346"/>
      <c r="AO524" s="346"/>
      <c r="AP524" s="346"/>
      <c r="AQ524" s="346"/>
      <c r="AR524" s="346"/>
      <c r="AS524" s="346"/>
      <c r="AT524" s="346"/>
      <c r="AU524" s="346"/>
      <c r="AV524" s="346"/>
      <c r="AW524" s="346"/>
      <c r="AX524" s="346"/>
      <c r="AY524" s="346"/>
      <c r="AZ524" s="346"/>
      <c r="BA524" s="346"/>
      <c r="BB524" s="346"/>
      <c r="BC524" s="346"/>
      <c r="BD524" s="346"/>
      <c r="BE524" s="346"/>
      <c r="BF524" s="346"/>
      <c r="BG524" s="346"/>
      <c r="BH524" s="346"/>
      <c r="BI524" s="346"/>
      <c r="BJ524" s="346"/>
      <c r="BK524" s="346"/>
      <c r="BL524" s="346"/>
      <c r="BM524" s="346"/>
      <c r="BN524" s="346"/>
      <c r="BO524" s="346"/>
      <c r="BP524" s="346"/>
      <c r="BQ524" s="346"/>
      <c r="BR524" s="346"/>
      <c r="BS524" s="346"/>
      <c r="BT524" s="346"/>
      <c r="BU524" s="346"/>
      <c r="BV524" s="346"/>
      <c r="BW524" s="346"/>
      <c r="BX524" s="346"/>
      <c r="BY524" s="346"/>
      <c r="BZ524" s="346"/>
      <c r="CA524" s="346"/>
      <c r="CB524" s="346"/>
      <c r="CC524" s="346"/>
      <c r="CD524" s="346"/>
      <c r="CE524" s="347"/>
      <c r="CF524" s="346"/>
      <c r="CG524" s="346"/>
      <c r="CH524" s="346"/>
      <c r="CI524" s="346"/>
      <c r="CJ524" s="346"/>
      <c r="CK524" s="346"/>
      <c r="CL524" s="346"/>
      <c r="CM524" s="346"/>
      <c r="CN524" s="346"/>
      <c r="CO524" s="346"/>
      <c r="CP524" s="348"/>
      <c r="CQ524" s="346"/>
      <c r="CR524" s="346"/>
      <c r="CS524" s="346"/>
      <c r="CT524" s="346"/>
      <c r="CU524" s="346"/>
      <c r="CV524" s="346"/>
      <c r="CW524" s="346"/>
      <c r="CX524" s="346"/>
      <c r="CY524" s="346"/>
      <c r="CZ524" s="346"/>
      <c r="DA524" s="346"/>
      <c r="DB524" s="1479"/>
      <c r="DC524" s="346">
        <f t="shared" ref="DC524:EX524" si="251">+DC156</f>
        <v>0</v>
      </c>
      <c r="DD524" s="346">
        <f t="shared" si="251"/>
        <v>6.1312470532455379</v>
      </c>
      <c r="DE524" s="346">
        <f t="shared" si="251"/>
        <v>0</v>
      </c>
      <c r="DF524" s="346">
        <f t="shared" si="251"/>
        <v>0</v>
      </c>
      <c r="DG524" s="346">
        <f t="shared" si="251"/>
        <v>0</v>
      </c>
      <c r="DH524" s="346">
        <f t="shared" si="251"/>
        <v>0</v>
      </c>
      <c r="DI524" s="346">
        <f t="shared" si="251"/>
        <v>0</v>
      </c>
      <c r="DJ524" s="346">
        <f t="shared" si="251"/>
        <v>0</v>
      </c>
      <c r="DK524" s="346">
        <f t="shared" si="251"/>
        <v>0</v>
      </c>
      <c r="DL524" s="346">
        <f t="shared" si="251"/>
        <v>4.4275207730000004</v>
      </c>
      <c r="DM524" s="346">
        <f t="shared" si="251"/>
        <v>0</v>
      </c>
      <c r="DN524" s="348">
        <f t="shared" si="251"/>
        <v>0</v>
      </c>
      <c r="DO524" s="346">
        <f t="shared" si="251"/>
        <v>0</v>
      </c>
      <c r="DP524" s="346">
        <f t="shared" si="251"/>
        <v>0</v>
      </c>
      <c r="DQ524" s="346">
        <f t="shared" si="251"/>
        <v>0</v>
      </c>
      <c r="DR524" s="346">
        <f t="shared" si="251"/>
        <v>0</v>
      </c>
      <c r="DS524" s="346">
        <f t="shared" si="251"/>
        <v>0</v>
      </c>
      <c r="DT524" s="346">
        <f t="shared" si="251"/>
        <v>0</v>
      </c>
      <c r="DU524" s="346">
        <f t="shared" si="251"/>
        <v>0</v>
      </c>
      <c r="DV524" s="346">
        <f t="shared" si="251"/>
        <v>0</v>
      </c>
      <c r="DW524" s="346">
        <f t="shared" si="251"/>
        <v>0</v>
      </c>
      <c r="DX524" s="346">
        <f t="shared" si="251"/>
        <v>0</v>
      </c>
      <c r="DY524" s="346">
        <f t="shared" si="251"/>
        <v>0</v>
      </c>
      <c r="DZ524" s="348">
        <f t="shared" si="251"/>
        <v>0</v>
      </c>
      <c r="EA524" s="346">
        <f t="shared" si="251"/>
        <v>0</v>
      </c>
      <c r="EB524" s="346">
        <f t="shared" si="251"/>
        <v>0</v>
      </c>
      <c r="EC524" s="346">
        <f t="shared" si="251"/>
        <v>0</v>
      </c>
      <c r="ED524" s="346">
        <f t="shared" si="251"/>
        <v>0</v>
      </c>
      <c r="EE524" s="346">
        <f t="shared" si="251"/>
        <v>0</v>
      </c>
      <c r="EF524" s="346">
        <f t="shared" si="251"/>
        <v>0</v>
      </c>
      <c r="EG524" s="346">
        <f t="shared" si="251"/>
        <v>0</v>
      </c>
      <c r="EH524" s="346">
        <f t="shared" si="251"/>
        <v>0</v>
      </c>
      <c r="EI524" s="346">
        <f t="shared" si="251"/>
        <v>0</v>
      </c>
      <c r="EJ524" s="346">
        <f t="shared" si="251"/>
        <v>0</v>
      </c>
      <c r="EK524" s="346">
        <f t="shared" si="251"/>
        <v>0</v>
      </c>
      <c r="EL524" s="348">
        <f t="shared" si="251"/>
        <v>0</v>
      </c>
      <c r="EM524" s="346">
        <f t="shared" si="251"/>
        <v>0</v>
      </c>
      <c r="EN524" s="346">
        <f t="shared" si="251"/>
        <v>0</v>
      </c>
      <c r="EO524" s="346">
        <f t="shared" si="251"/>
        <v>0</v>
      </c>
      <c r="EP524" s="346">
        <f t="shared" si="251"/>
        <v>0</v>
      </c>
      <c r="EQ524" s="346">
        <f t="shared" si="251"/>
        <v>0</v>
      </c>
      <c r="ER524" s="346">
        <f t="shared" si="251"/>
        <v>0</v>
      </c>
      <c r="ES524" s="346">
        <f t="shared" si="251"/>
        <v>0</v>
      </c>
      <c r="ET524" s="346">
        <f t="shared" si="251"/>
        <v>0</v>
      </c>
      <c r="EU524" s="346">
        <f t="shared" si="251"/>
        <v>0</v>
      </c>
      <c r="EV524" s="346">
        <f t="shared" si="251"/>
        <v>0</v>
      </c>
      <c r="EW524" s="346">
        <f t="shared" si="251"/>
        <v>0</v>
      </c>
      <c r="EX524" s="348">
        <f t="shared" si="251"/>
        <v>0</v>
      </c>
      <c r="EY524" s="346"/>
      <c r="EZ524" s="346"/>
      <c r="FA524" s="346"/>
      <c r="FB524" s="346"/>
      <c r="FC524" s="346"/>
      <c r="FD524" s="346"/>
      <c r="FE524" s="346"/>
      <c r="FF524" s="346"/>
      <c r="FG524" s="346"/>
      <c r="FH524" s="346"/>
      <c r="FI524" s="346"/>
      <c r="FJ524" s="348"/>
      <c r="FK524" s="346"/>
      <c r="FL524" s="346"/>
      <c r="FM524" s="346"/>
      <c r="FN524" s="346"/>
      <c r="FO524" s="346"/>
      <c r="FP524" s="346"/>
      <c r="FQ524" s="346"/>
      <c r="FR524" s="346"/>
      <c r="FS524" s="346"/>
      <c r="FT524" s="346"/>
      <c r="FU524" s="346"/>
      <c r="FV524" s="346"/>
      <c r="FW524" s="346"/>
      <c r="FX524" s="346"/>
      <c r="FY524" s="346"/>
      <c r="FZ524" s="346"/>
      <c r="GA524" s="346"/>
      <c r="GB524" s="346"/>
      <c r="GC524" s="346"/>
      <c r="GD524" s="346"/>
      <c r="GE524" s="346"/>
      <c r="GF524" s="346"/>
      <c r="GG524" s="346"/>
      <c r="GH524" s="346"/>
      <c r="GI524" s="346"/>
      <c r="GJ524" s="346"/>
      <c r="GK524" s="346"/>
      <c r="GL524" s="346"/>
      <c r="GM524" s="346"/>
      <c r="GN524" s="346"/>
      <c r="GO524" s="346"/>
      <c r="GP524" s="346"/>
      <c r="GQ524" s="346"/>
      <c r="GR524" s="346"/>
      <c r="GS524" s="346"/>
      <c r="GT524" s="346"/>
      <c r="GU524" s="346"/>
      <c r="GV524" s="346"/>
      <c r="GW524" s="346"/>
      <c r="GX524" s="346"/>
      <c r="GY524" s="346"/>
      <c r="GZ524" s="346"/>
      <c r="HA524" s="346"/>
      <c r="HB524" s="346"/>
      <c r="HC524" s="346"/>
      <c r="HD524" s="346"/>
      <c r="HE524" s="346"/>
      <c r="HF524" s="346"/>
      <c r="HG524" s="346"/>
      <c r="HH524" s="346"/>
      <c r="HI524" s="346"/>
      <c r="HJ524" s="346"/>
      <c r="HK524" s="346"/>
      <c r="HL524" s="346"/>
      <c r="HM524" s="346"/>
      <c r="HN524" s="349"/>
      <c r="HO524" s="351" t="s">
        <v>1228</v>
      </c>
      <c r="HP524" s="351"/>
      <c r="HQ524" s="351"/>
      <c r="HR524" s="346"/>
      <c r="HU524" s="346"/>
      <c r="HX524" s="346"/>
      <c r="IA524" s="346"/>
      <c r="ID524" s="346"/>
      <c r="IG524" s="346"/>
      <c r="IH524" s="350"/>
      <c r="II524" s="350"/>
      <c r="IJ524" s="346"/>
      <c r="IK524" s="302">
        <f>IM524*JI524</f>
        <v>0</v>
      </c>
      <c r="IL524" s="302">
        <f t="shared" si="85"/>
        <v>0</v>
      </c>
      <c r="IM524" s="346"/>
      <c r="IN524" s="302">
        <f>IP524*JI524</f>
        <v>0</v>
      </c>
      <c r="IO524" s="302">
        <f t="shared" si="154"/>
        <v>0</v>
      </c>
      <c r="IP524" s="346"/>
      <c r="IQ524" s="302">
        <f>IS524*JI524</f>
        <v>0</v>
      </c>
      <c r="IR524" s="302">
        <f t="shared" si="74"/>
        <v>0</v>
      </c>
      <c r="IS524" s="346"/>
      <c r="IT524" s="302">
        <f>IV524*JI524</f>
        <v>0</v>
      </c>
      <c r="IU524" s="302">
        <f t="shared" si="75"/>
        <v>0</v>
      </c>
      <c r="IV524" s="346"/>
      <c r="IW524" s="302">
        <f>IY524*JL524</f>
        <v>0</v>
      </c>
      <c r="IX524" s="302">
        <f t="shared" si="76"/>
        <v>0</v>
      </c>
      <c r="IY524" s="346"/>
      <c r="IZ524" s="302">
        <f>JB524*JO524</f>
        <v>0</v>
      </c>
      <c r="JA524" s="302">
        <f t="shared" si="77"/>
        <v>0</v>
      </c>
      <c r="JB524" s="346"/>
      <c r="JC524" s="346"/>
      <c r="KI524" s="349"/>
      <c r="KJ524" s="350"/>
    </row>
    <row r="525" spans="1:302">
      <c r="A525" s="302"/>
      <c r="B525" s="117" t="s">
        <v>361</v>
      </c>
      <c r="D525" s="351" t="str">
        <f>+FISC!D744</f>
        <v>of which wages and salaries</v>
      </c>
      <c r="E525" s="346"/>
      <c r="F525" s="346"/>
      <c r="G525" s="346"/>
      <c r="H525" s="346"/>
      <c r="I525" s="346"/>
      <c r="J525" s="346"/>
      <c r="K525" s="346"/>
      <c r="L525" s="346"/>
      <c r="M525" s="346"/>
      <c r="N525" s="346"/>
      <c r="O525" s="346"/>
      <c r="P525" s="346"/>
      <c r="Q525" s="346"/>
      <c r="R525" s="346"/>
      <c r="S525" s="346"/>
      <c r="T525" s="346"/>
      <c r="U525" s="346"/>
      <c r="V525" s="346"/>
      <c r="W525" s="346"/>
      <c r="X525" s="346"/>
      <c r="Y525" s="346"/>
      <c r="Z525" s="346"/>
      <c r="AA525" s="346"/>
      <c r="AB525" s="346"/>
      <c r="AC525" s="346"/>
      <c r="AD525" s="346"/>
      <c r="AE525" s="346"/>
      <c r="AF525" s="346"/>
      <c r="AG525" s="346"/>
      <c r="AH525" s="346"/>
      <c r="AI525" s="346"/>
      <c r="AJ525" s="346"/>
      <c r="AK525" s="346"/>
      <c r="AL525" s="346"/>
      <c r="AM525" s="346"/>
      <c r="AN525" s="346"/>
      <c r="AO525" s="346"/>
      <c r="AP525" s="346"/>
      <c r="AQ525" s="346"/>
      <c r="AR525" s="346"/>
      <c r="AS525" s="346"/>
      <c r="AT525" s="346"/>
      <c r="AU525" s="346"/>
      <c r="AV525" s="346"/>
      <c r="AW525" s="346"/>
      <c r="AX525" s="346"/>
      <c r="AY525" s="346"/>
      <c r="AZ525" s="346"/>
      <c r="BA525" s="346"/>
      <c r="BB525" s="346"/>
      <c r="BC525" s="346"/>
      <c r="BD525" s="346"/>
      <c r="BE525" s="346"/>
      <c r="BF525" s="346"/>
      <c r="BG525" s="346"/>
      <c r="BH525" s="346"/>
      <c r="BI525" s="346"/>
      <c r="BJ525" s="346"/>
      <c r="BK525" s="346"/>
      <c r="BL525" s="346"/>
      <c r="BM525" s="346"/>
      <c r="BN525" s="346"/>
      <c r="BO525" s="346"/>
      <c r="BP525" s="346"/>
      <c r="BQ525" s="346"/>
      <c r="BR525" s="346"/>
      <c r="BS525" s="346"/>
      <c r="BT525" s="346"/>
      <c r="BU525" s="346"/>
      <c r="BV525" s="346"/>
      <c r="BW525" s="346"/>
      <c r="BX525" s="346"/>
      <c r="BY525" s="346"/>
      <c r="BZ525" s="346"/>
      <c r="CA525" s="346"/>
      <c r="CB525" s="346"/>
      <c r="CC525" s="346"/>
      <c r="CD525" s="346"/>
      <c r="CE525" s="347"/>
      <c r="CF525" s="346"/>
      <c r="CG525" s="346"/>
      <c r="CH525" s="346"/>
      <c r="CI525" s="346"/>
      <c r="CJ525" s="346"/>
      <c r="CK525" s="346"/>
      <c r="CL525" s="346"/>
      <c r="CM525" s="346"/>
      <c r="CN525" s="346"/>
      <c r="CO525" s="346"/>
      <c r="CP525" s="348"/>
      <c r="CQ525" s="346"/>
      <c r="CR525" s="346"/>
      <c r="CS525" s="346"/>
      <c r="CT525" s="346"/>
      <c r="CU525" s="346"/>
      <c r="CV525" s="346"/>
      <c r="CW525" s="346"/>
      <c r="CX525" s="346"/>
      <c r="CY525" s="346"/>
      <c r="CZ525" s="346"/>
      <c r="DA525" s="346"/>
      <c r="DB525" s="1479"/>
      <c r="DC525" s="346"/>
      <c r="DD525" s="346"/>
      <c r="DE525" s="346"/>
      <c r="DF525" s="346"/>
      <c r="DG525" s="346"/>
      <c r="DH525" s="346"/>
      <c r="DI525" s="346"/>
      <c r="DJ525" s="346"/>
      <c r="DK525" s="346"/>
      <c r="DL525" s="346"/>
      <c r="DM525" s="346"/>
      <c r="DN525" s="348"/>
      <c r="DO525" s="346"/>
      <c r="DP525" s="346"/>
      <c r="DQ525" s="346"/>
      <c r="DR525" s="346"/>
      <c r="DS525" s="346"/>
      <c r="DT525" s="346"/>
      <c r="DU525" s="346"/>
      <c r="DV525" s="346"/>
      <c r="DW525" s="346"/>
      <c r="DX525" s="346"/>
      <c r="DY525" s="346"/>
      <c r="DZ525" s="348"/>
      <c r="EA525" s="346"/>
      <c r="EB525" s="346"/>
      <c r="EC525" s="346"/>
      <c r="ED525" s="346"/>
      <c r="EE525" s="346"/>
      <c r="EF525" s="346"/>
      <c r="EG525" s="346"/>
      <c r="EH525" s="346"/>
      <c r="EI525" s="346"/>
      <c r="EJ525" s="346"/>
      <c r="EK525" s="346"/>
      <c r="EL525" s="348"/>
      <c r="EM525" s="346"/>
      <c r="EN525" s="346"/>
      <c r="EO525" s="346"/>
      <c r="EP525" s="346"/>
      <c r="EQ525" s="346"/>
      <c r="ER525" s="346"/>
      <c r="ES525" s="346"/>
      <c r="ET525" s="346"/>
      <c r="EU525" s="346"/>
      <c r="EV525" s="346"/>
      <c r="EW525" s="346"/>
      <c r="EX525" s="348"/>
      <c r="EY525" s="346"/>
      <c r="EZ525" s="346"/>
      <c r="FA525" s="346"/>
      <c r="FB525" s="346"/>
      <c r="FC525" s="346"/>
      <c r="FD525" s="346"/>
      <c r="FE525" s="346"/>
      <c r="FF525" s="346"/>
      <c r="FG525" s="346"/>
      <c r="FH525" s="346"/>
      <c r="FI525" s="346"/>
      <c r="FJ525" s="348"/>
      <c r="FK525" s="346"/>
      <c r="FL525" s="346"/>
      <c r="FM525" s="346"/>
      <c r="FN525" s="346"/>
      <c r="FO525" s="346"/>
      <c r="FP525" s="346"/>
      <c r="FQ525" s="346"/>
      <c r="FR525" s="346"/>
      <c r="FS525" s="346"/>
      <c r="FT525" s="346"/>
      <c r="FU525" s="346"/>
      <c r="FV525" s="346"/>
      <c r="FW525" s="346"/>
      <c r="FX525" s="346"/>
      <c r="FY525" s="346"/>
      <c r="FZ525" s="346"/>
      <c r="GA525" s="346"/>
      <c r="GB525" s="346"/>
      <c r="GC525" s="346"/>
      <c r="GD525" s="346"/>
      <c r="GE525" s="346"/>
      <c r="GF525" s="346"/>
      <c r="GG525" s="346"/>
      <c r="GH525" s="346"/>
      <c r="GI525" s="346"/>
      <c r="GJ525" s="346"/>
      <c r="GK525" s="346"/>
      <c r="GL525" s="346"/>
      <c r="GM525" s="346"/>
      <c r="GN525" s="346"/>
      <c r="GO525" s="346"/>
      <c r="GP525" s="346"/>
      <c r="GQ525" s="346"/>
      <c r="GR525" s="346"/>
      <c r="GS525" s="346"/>
      <c r="GT525" s="346"/>
      <c r="GU525" s="346"/>
      <c r="GV525" s="346"/>
      <c r="GW525" s="346"/>
      <c r="GX525" s="346"/>
      <c r="GY525" s="346"/>
      <c r="GZ525" s="346"/>
      <c r="HA525" s="346"/>
      <c r="HB525" s="346"/>
      <c r="HC525" s="346"/>
      <c r="HD525" s="346"/>
      <c r="HE525" s="346"/>
      <c r="HF525" s="346"/>
      <c r="HG525" s="346"/>
      <c r="HH525" s="346"/>
      <c r="HI525" s="346"/>
      <c r="HJ525" s="346"/>
      <c r="HK525" s="346"/>
      <c r="HL525" s="346"/>
      <c r="HM525" s="346"/>
      <c r="HN525" s="349"/>
      <c r="HO525" s="351" t="s">
        <v>161</v>
      </c>
      <c r="HP525" s="351"/>
      <c r="HQ525" s="351"/>
      <c r="HR525" s="346">
        <f>+FISC!Z744</f>
        <v>105.99999999999997</v>
      </c>
      <c r="HS525" s="302">
        <f>SUM(CQ525:CV525)</f>
        <v>0</v>
      </c>
      <c r="HT525" s="302">
        <f>SUM(CW525:DB525)</f>
        <v>0</v>
      </c>
      <c r="HU525" s="346">
        <f>SUM(CQ525:DB525)</f>
        <v>0</v>
      </c>
      <c r="HV525" s="302">
        <f>+HX525/2</f>
        <v>56.099999999999994</v>
      </c>
      <c r="HW525" s="302">
        <f>+SUM(DI525:DN525)</f>
        <v>0</v>
      </c>
      <c r="HX525" s="674">
        <f>+FISC!AA744</f>
        <v>112.19999999999999</v>
      </c>
      <c r="HY525" s="681">
        <f>+IA525/2</f>
        <v>57.35</v>
      </c>
      <c r="HZ525" s="681">
        <f>+IA525-HY525</f>
        <v>57.35</v>
      </c>
      <c r="IA525" s="674">
        <v>114.7</v>
      </c>
      <c r="IB525" s="302">
        <f>+ID525/2</f>
        <v>58.467598075906714</v>
      </c>
      <c r="IC525" s="302">
        <f>+ID525-IB525</f>
        <v>58.467598075906714</v>
      </c>
      <c r="ID525" s="346">
        <f>FISC!AC744</f>
        <v>116.93519615181343</v>
      </c>
      <c r="IE525" s="302">
        <f t="shared" ref="IE525:IE555" si="252">SUM(EM525:ER525)</f>
        <v>0</v>
      </c>
      <c r="IF525" s="302">
        <f t="shared" ref="IF525:IF555" si="253">SUM(ES525:EX525)</f>
        <v>0</v>
      </c>
      <c r="IG525" s="346">
        <f t="shared" si="201"/>
        <v>0</v>
      </c>
      <c r="IH525" s="302">
        <f>+IJ525/2</f>
        <v>76.322403075585953</v>
      </c>
      <c r="II525" s="302">
        <f>+IJ525-IH525</f>
        <v>76.322403075585953</v>
      </c>
      <c r="IJ525" s="346">
        <f>+FISC!AE744</f>
        <v>152.64480615117191</v>
      </c>
      <c r="IK525" s="350">
        <f>IM525/2</f>
        <v>88.622826844859688</v>
      </c>
      <c r="IL525" s="302">
        <f t="shared" si="85"/>
        <v>88.622826844859688</v>
      </c>
      <c r="IM525" s="346">
        <f>+FISC!AF744</f>
        <v>177.24565368971938</v>
      </c>
      <c r="IN525" s="350">
        <f>IP525/2</f>
        <v>102.46039502841609</v>
      </c>
      <c r="IO525" s="302">
        <f t="shared" si="154"/>
        <v>102.46039502841609</v>
      </c>
      <c r="IP525" s="346">
        <f>+FISC!AG744</f>
        <v>204.92079005683217</v>
      </c>
      <c r="IQ525" s="350">
        <f>IS525/2</f>
        <v>110.29902508967002</v>
      </c>
      <c r="IR525" s="302">
        <f t="shared" si="74"/>
        <v>110.29902508967002</v>
      </c>
      <c r="IS525" s="346">
        <f>+FISC!AH744</f>
        <v>220.59805017934005</v>
      </c>
      <c r="IT525" s="350">
        <f>IV525/2</f>
        <v>118.73734170513013</v>
      </c>
      <c r="IU525" s="302">
        <f t="shared" si="75"/>
        <v>118.73734170513013</v>
      </c>
      <c r="IV525" s="346">
        <f>+FISC!AI744</f>
        <v>237.47468341026027</v>
      </c>
      <c r="IW525" s="350">
        <f>IY525/2</f>
        <v>118.73734170513013</v>
      </c>
      <c r="IX525" s="302">
        <f t="shared" si="76"/>
        <v>118.73734170513013</v>
      </c>
      <c r="IY525" s="346">
        <f>+FISC!AJ744</f>
        <v>237.47468341026027</v>
      </c>
      <c r="IZ525" s="350">
        <f>JB525/2</f>
        <v>118.73734170513013</v>
      </c>
      <c r="JA525" s="302">
        <f t="shared" si="77"/>
        <v>118.73734170513013</v>
      </c>
      <c r="JB525" s="346">
        <f>+FISC!AK744</f>
        <v>237.47468341026027</v>
      </c>
      <c r="JC525" s="346"/>
      <c r="KI525" s="349"/>
      <c r="KJ525" s="350"/>
    </row>
    <row r="526" spans="1:302">
      <c r="A526" s="302"/>
      <c r="B526" s="117" t="s">
        <v>361</v>
      </c>
      <c r="D526" s="351" t="str">
        <f>+FISC!D745</f>
        <v>Contingent</v>
      </c>
      <c r="E526" s="346"/>
      <c r="F526" s="346"/>
      <c r="G526" s="346"/>
      <c r="H526" s="346"/>
      <c r="I526" s="346"/>
      <c r="J526" s="346"/>
      <c r="K526" s="346"/>
      <c r="L526" s="346"/>
      <c r="M526" s="346"/>
      <c r="N526" s="346"/>
      <c r="O526" s="346"/>
      <c r="P526" s="346"/>
      <c r="Q526" s="346"/>
      <c r="R526" s="346"/>
      <c r="S526" s="346"/>
      <c r="T526" s="346"/>
      <c r="U526" s="346"/>
      <c r="V526" s="346"/>
      <c r="W526" s="346"/>
      <c r="X526" s="346"/>
      <c r="Y526" s="346"/>
      <c r="Z526" s="346"/>
      <c r="AA526" s="346"/>
      <c r="AB526" s="346"/>
      <c r="AC526" s="346"/>
      <c r="AD526" s="346"/>
      <c r="AE526" s="346"/>
      <c r="AF526" s="346"/>
      <c r="AG526" s="346"/>
      <c r="AH526" s="346"/>
      <c r="AI526" s="346"/>
      <c r="AJ526" s="346"/>
      <c r="AK526" s="346"/>
      <c r="AL526" s="346"/>
      <c r="AM526" s="346"/>
      <c r="AN526" s="346"/>
      <c r="AO526" s="346"/>
      <c r="AP526" s="346"/>
      <c r="AQ526" s="346"/>
      <c r="AR526" s="346"/>
      <c r="AS526" s="346"/>
      <c r="AT526" s="346"/>
      <c r="AU526" s="346"/>
      <c r="AV526" s="346"/>
      <c r="AW526" s="346"/>
      <c r="AX526" s="346"/>
      <c r="AY526" s="346"/>
      <c r="AZ526" s="346"/>
      <c r="BA526" s="346"/>
      <c r="BB526" s="346"/>
      <c r="BC526" s="346"/>
      <c r="BD526" s="346"/>
      <c r="BE526" s="346"/>
      <c r="BF526" s="346"/>
      <c r="BG526" s="346"/>
      <c r="BH526" s="346"/>
      <c r="BI526" s="346"/>
      <c r="BJ526" s="346"/>
      <c r="BK526" s="346"/>
      <c r="BL526" s="346"/>
      <c r="BM526" s="346"/>
      <c r="BN526" s="346"/>
      <c r="BO526" s="346"/>
      <c r="BP526" s="346"/>
      <c r="BQ526" s="346"/>
      <c r="BR526" s="346"/>
      <c r="BS526" s="346"/>
      <c r="BT526" s="346"/>
      <c r="BU526" s="346"/>
      <c r="BV526" s="346"/>
      <c r="BW526" s="346"/>
      <c r="BX526" s="346"/>
      <c r="BY526" s="346"/>
      <c r="BZ526" s="346"/>
      <c r="CA526" s="346"/>
      <c r="CB526" s="346"/>
      <c r="CC526" s="346"/>
      <c r="CD526" s="346"/>
      <c r="CE526" s="347"/>
      <c r="CF526" s="346"/>
      <c r="CG526" s="346"/>
      <c r="CH526" s="346"/>
      <c r="CI526" s="346"/>
      <c r="CJ526" s="346"/>
      <c r="CK526" s="346"/>
      <c r="CL526" s="346"/>
      <c r="CM526" s="346"/>
      <c r="CN526" s="346"/>
      <c r="CO526" s="346"/>
      <c r="CP526" s="348"/>
      <c r="CQ526" s="346"/>
      <c r="CR526" s="346"/>
      <c r="CS526" s="346"/>
      <c r="CT526" s="346"/>
      <c r="CU526" s="346"/>
      <c r="CV526" s="346"/>
      <c r="CW526" s="346"/>
      <c r="CX526" s="346"/>
      <c r="CY526" s="346"/>
      <c r="CZ526" s="346"/>
      <c r="DA526" s="346"/>
      <c r="DB526" s="1479"/>
      <c r="DC526" s="346"/>
      <c r="DD526" s="346"/>
      <c r="DE526" s="346"/>
      <c r="DF526" s="346"/>
      <c r="DG526" s="346"/>
      <c r="DH526" s="346"/>
      <c r="DI526" s="346"/>
      <c r="DJ526" s="346"/>
      <c r="DK526" s="346"/>
      <c r="DL526" s="346"/>
      <c r="DM526" s="346"/>
      <c r="DN526" s="348"/>
      <c r="DO526" s="346"/>
      <c r="DP526" s="346"/>
      <c r="DQ526" s="346"/>
      <c r="DR526" s="346"/>
      <c r="DS526" s="346"/>
      <c r="DT526" s="346"/>
      <c r="DU526" s="346"/>
      <c r="DV526" s="346"/>
      <c r="DW526" s="346"/>
      <c r="DX526" s="346"/>
      <c r="DY526" s="346"/>
      <c r="DZ526" s="348"/>
      <c r="EA526" s="346"/>
      <c r="EB526" s="346"/>
      <c r="EC526" s="346"/>
      <c r="ED526" s="346"/>
      <c r="EE526" s="346"/>
      <c r="EF526" s="346"/>
      <c r="EG526" s="346"/>
      <c r="EH526" s="346"/>
      <c r="EI526" s="346"/>
      <c r="EJ526" s="346"/>
      <c r="EK526" s="346"/>
      <c r="EL526" s="348"/>
      <c r="EM526" s="346"/>
      <c r="EN526" s="346"/>
      <c r="EO526" s="346"/>
      <c r="EP526" s="346"/>
      <c r="EQ526" s="346"/>
      <c r="ER526" s="346"/>
      <c r="ES526" s="346"/>
      <c r="ET526" s="346"/>
      <c r="EU526" s="346"/>
      <c r="EV526" s="346"/>
      <c r="EW526" s="346"/>
      <c r="EX526" s="348"/>
      <c r="EY526" s="346"/>
      <c r="EZ526" s="346"/>
      <c r="FA526" s="346"/>
      <c r="FB526" s="346"/>
      <c r="FC526" s="346"/>
      <c r="FD526" s="346"/>
      <c r="FE526" s="346"/>
      <c r="FF526" s="346"/>
      <c r="FG526" s="346"/>
      <c r="FH526" s="346"/>
      <c r="FI526" s="346"/>
      <c r="FJ526" s="348"/>
      <c r="FK526" s="346"/>
      <c r="FL526" s="346"/>
      <c r="FM526" s="346"/>
      <c r="FN526" s="346"/>
      <c r="FO526" s="346"/>
      <c r="FP526" s="346"/>
      <c r="FQ526" s="346"/>
      <c r="FR526" s="346"/>
      <c r="FS526" s="346"/>
      <c r="FT526" s="346"/>
      <c r="FU526" s="346"/>
      <c r="FV526" s="346"/>
      <c r="FW526" s="346"/>
      <c r="FX526" s="346"/>
      <c r="FY526" s="346"/>
      <c r="FZ526" s="346"/>
      <c r="GA526" s="346"/>
      <c r="GB526" s="346"/>
      <c r="GC526" s="346"/>
      <c r="GD526" s="346"/>
      <c r="GE526" s="346"/>
      <c r="GF526" s="346"/>
      <c r="GG526" s="346"/>
      <c r="GH526" s="346"/>
      <c r="GI526" s="346"/>
      <c r="GJ526" s="346"/>
      <c r="GK526" s="346"/>
      <c r="GL526" s="346"/>
      <c r="GM526" s="346"/>
      <c r="GN526" s="346"/>
      <c r="GO526" s="346"/>
      <c r="GP526" s="346"/>
      <c r="GQ526" s="346"/>
      <c r="GR526" s="346"/>
      <c r="GS526" s="346"/>
      <c r="GT526" s="346"/>
      <c r="GU526" s="346"/>
      <c r="GV526" s="346"/>
      <c r="GW526" s="346"/>
      <c r="GX526" s="346"/>
      <c r="GY526" s="346"/>
      <c r="GZ526" s="346"/>
      <c r="HA526" s="346"/>
      <c r="HB526" s="346"/>
      <c r="HC526" s="346"/>
      <c r="HD526" s="346"/>
      <c r="HE526" s="346"/>
      <c r="HF526" s="346"/>
      <c r="HG526" s="346"/>
      <c r="HH526" s="346"/>
      <c r="HI526" s="346"/>
      <c r="HJ526" s="346"/>
      <c r="HK526" s="346"/>
      <c r="HL526" s="346"/>
      <c r="HM526" s="346"/>
      <c r="HN526" s="349"/>
      <c r="HO526" s="351" t="s">
        <v>139</v>
      </c>
      <c r="HP526" s="351"/>
      <c r="HQ526" s="351"/>
      <c r="HR526" s="346">
        <f>+FISC!Z745</f>
        <v>0</v>
      </c>
      <c r="HS526" s="302">
        <f>SUM(CQ526:CV526)</f>
        <v>0</v>
      </c>
      <c r="HT526" s="302">
        <f>SUM(CW526:DB526)</f>
        <v>0</v>
      </c>
      <c r="HU526" s="346">
        <f>SUM(CQ526:DB526)</f>
        <v>0</v>
      </c>
      <c r="HX526" s="346">
        <f>+FISC!AA745</f>
        <v>0</v>
      </c>
      <c r="HY526" s="302">
        <f>+SUM(DO526:DT526)</f>
        <v>0</v>
      </c>
      <c r="HZ526" s="302">
        <f>SUM(DU526:DZ526)</f>
        <v>0</v>
      </c>
      <c r="IA526" s="346">
        <f t="shared" si="103"/>
        <v>0</v>
      </c>
      <c r="IC526" s="350"/>
      <c r="ID526" s="346">
        <f>FISC!AC745</f>
        <v>0</v>
      </c>
      <c r="IE526" s="302">
        <f t="shared" si="252"/>
        <v>0</v>
      </c>
      <c r="IF526" s="302">
        <f t="shared" si="253"/>
        <v>0</v>
      </c>
      <c r="IG526" s="346">
        <f t="shared" si="201"/>
        <v>0</v>
      </c>
      <c r="IH526" s="350"/>
      <c r="II526" s="350"/>
      <c r="IJ526" s="346">
        <f>+FISC!AE745</f>
        <v>0</v>
      </c>
      <c r="IK526" s="302">
        <f>IM526*JI526</f>
        <v>0</v>
      </c>
      <c r="IL526" s="302">
        <f t="shared" si="85"/>
        <v>0</v>
      </c>
      <c r="IM526" s="346">
        <f>+FISC!AF745</f>
        <v>0</v>
      </c>
      <c r="IN526" s="302">
        <f>IP526*JI526</f>
        <v>0</v>
      </c>
      <c r="IO526" s="302">
        <f t="shared" si="154"/>
        <v>0</v>
      </c>
      <c r="IP526" s="346">
        <f>+FISC!AG745</f>
        <v>0</v>
      </c>
      <c r="IQ526" s="302">
        <f>IS526*JI526</f>
        <v>0</v>
      </c>
      <c r="IR526" s="302">
        <f t="shared" si="74"/>
        <v>0</v>
      </c>
      <c r="IS526" s="346">
        <f>+FISC!AH745</f>
        <v>0</v>
      </c>
      <c r="IT526" s="302">
        <f>IV526*JI526</f>
        <v>0</v>
      </c>
      <c r="IU526" s="302">
        <f t="shared" si="75"/>
        <v>0</v>
      </c>
      <c r="IV526" s="346">
        <f>+FISC!AI745</f>
        <v>0</v>
      </c>
      <c r="IW526" s="302">
        <f>IY526*JL526</f>
        <v>0</v>
      </c>
      <c r="IX526" s="302">
        <f t="shared" si="76"/>
        <v>0</v>
      </c>
      <c r="IY526" s="346">
        <f>+FISC!AJ745</f>
        <v>0</v>
      </c>
      <c r="IZ526" s="302">
        <f>JB526*JO526</f>
        <v>0</v>
      </c>
      <c r="JA526" s="302">
        <f t="shared" si="77"/>
        <v>0</v>
      </c>
      <c r="JB526" s="346">
        <f>+FISC!AK745</f>
        <v>0</v>
      </c>
      <c r="JC526" s="346"/>
      <c r="KI526" s="349"/>
      <c r="KJ526" s="350"/>
    </row>
    <row r="527" spans="1:302">
      <c r="A527" s="302"/>
      <c r="D527" s="1225" t="s">
        <v>1232</v>
      </c>
      <c r="E527" s="346"/>
      <c r="F527" s="346"/>
      <c r="G527" s="346"/>
      <c r="H527" s="346"/>
      <c r="I527" s="346"/>
      <c r="J527" s="346"/>
      <c r="K527" s="346"/>
      <c r="L527" s="346"/>
      <c r="M527" s="346"/>
      <c r="N527" s="346"/>
      <c r="O527" s="346"/>
      <c r="P527" s="346"/>
      <c r="Q527" s="346"/>
      <c r="R527" s="346"/>
      <c r="S527" s="346"/>
      <c r="T527" s="346"/>
      <c r="U527" s="346"/>
      <c r="V527" s="346"/>
      <c r="W527" s="346"/>
      <c r="X527" s="346"/>
      <c r="Y527" s="346"/>
      <c r="Z527" s="346"/>
      <c r="AA527" s="346"/>
      <c r="AB527" s="346"/>
      <c r="AC527" s="346"/>
      <c r="AD527" s="346"/>
      <c r="AE527" s="346"/>
      <c r="AF527" s="346"/>
      <c r="AG527" s="346"/>
      <c r="AH527" s="346"/>
      <c r="AI527" s="346"/>
      <c r="AJ527" s="346"/>
      <c r="AK527" s="346"/>
      <c r="AL527" s="346"/>
      <c r="AM527" s="346"/>
      <c r="AN527" s="346"/>
      <c r="AO527" s="346"/>
      <c r="AP527" s="346"/>
      <c r="AQ527" s="346"/>
      <c r="AR527" s="346"/>
      <c r="AS527" s="346"/>
      <c r="AT527" s="346"/>
      <c r="AU527" s="346"/>
      <c r="AV527" s="346"/>
      <c r="AW527" s="346"/>
      <c r="AX527" s="346"/>
      <c r="AY527" s="346"/>
      <c r="AZ527" s="346"/>
      <c r="BA527" s="346"/>
      <c r="BB527" s="346"/>
      <c r="BC527" s="346"/>
      <c r="BD527" s="346"/>
      <c r="BE527" s="346"/>
      <c r="BF527" s="346"/>
      <c r="BG527" s="346"/>
      <c r="BH527" s="346"/>
      <c r="BI527" s="346"/>
      <c r="BJ527" s="346"/>
      <c r="BK527" s="346"/>
      <c r="BL527" s="346"/>
      <c r="BM527" s="346"/>
      <c r="BN527" s="346"/>
      <c r="BO527" s="346"/>
      <c r="BP527" s="346"/>
      <c r="BQ527" s="346"/>
      <c r="BR527" s="346"/>
      <c r="BS527" s="346"/>
      <c r="BT527" s="346"/>
      <c r="BU527" s="346"/>
      <c r="BV527" s="346"/>
      <c r="BW527" s="346"/>
      <c r="BX527" s="346"/>
      <c r="BY527" s="346"/>
      <c r="BZ527" s="346"/>
      <c r="CA527" s="346"/>
      <c r="CB527" s="346"/>
      <c r="CC527" s="346"/>
      <c r="CD527" s="346"/>
      <c r="CE527" s="347"/>
      <c r="CF527" s="346"/>
      <c r="CG527" s="346"/>
      <c r="CH527" s="346"/>
      <c r="CI527" s="346"/>
      <c r="CJ527" s="346"/>
      <c r="CK527" s="346"/>
      <c r="CL527" s="346"/>
      <c r="CM527" s="346"/>
      <c r="CN527" s="346"/>
      <c r="CO527" s="346"/>
      <c r="CP527" s="348"/>
      <c r="CQ527" s="346"/>
      <c r="CR527" s="346"/>
      <c r="CS527" s="346"/>
      <c r="CT527" s="346"/>
      <c r="CU527" s="346"/>
      <c r="CV527" s="346"/>
      <c r="CW527" s="346"/>
      <c r="CX527" s="346"/>
      <c r="CY527" s="346"/>
      <c r="CZ527" s="346"/>
      <c r="DA527" s="346"/>
      <c r="DB527" s="1479"/>
      <c r="DC527" s="346"/>
      <c r="DD527" s="346"/>
      <c r="DE527" s="346"/>
      <c r="DF527" s="346"/>
      <c r="DG527" s="346"/>
      <c r="DH527" s="346"/>
      <c r="DI527" s="346"/>
      <c r="DJ527" s="346"/>
      <c r="DK527" s="346"/>
      <c r="DL527" s="346"/>
      <c r="DM527" s="346"/>
      <c r="DN527" s="348"/>
      <c r="DO527" s="346"/>
      <c r="DP527" s="346"/>
      <c r="DQ527" s="346"/>
      <c r="DR527" s="346"/>
      <c r="DS527" s="346"/>
      <c r="DT527" s="346"/>
      <c r="DU527" s="346"/>
      <c r="DV527" s="346"/>
      <c r="DW527" s="346"/>
      <c r="DX527" s="346"/>
      <c r="DY527" s="346"/>
      <c r="DZ527" s="348"/>
      <c r="EA527" s="346"/>
      <c r="EB527" s="346"/>
      <c r="EC527" s="346"/>
      <c r="ED527" s="346"/>
      <c r="EE527" s="346"/>
      <c r="EF527" s="346"/>
      <c r="EG527" s="346"/>
      <c r="EH527" s="346"/>
      <c r="EI527" s="346"/>
      <c r="EJ527" s="346"/>
      <c r="EK527" s="346"/>
      <c r="EL527" s="348"/>
      <c r="EM527" s="346">
        <f t="shared" ref="EM527:ER528" si="254">EM489</f>
        <v>0</v>
      </c>
      <c r="EN527" s="346">
        <f t="shared" si="254"/>
        <v>0</v>
      </c>
      <c r="EO527" s="346">
        <f t="shared" si="254"/>
        <v>2.1669842020000001</v>
      </c>
      <c r="EP527" s="346">
        <f t="shared" si="254"/>
        <v>0</v>
      </c>
      <c r="EQ527" s="346">
        <f t="shared" si="254"/>
        <v>0</v>
      </c>
      <c r="ER527" s="346">
        <f t="shared" si="254"/>
        <v>2.2170388330000002</v>
      </c>
      <c r="ES527" s="346">
        <f t="shared" ref="ES527:EX527" si="255">ES489</f>
        <v>0</v>
      </c>
      <c r="ET527" s="346">
        <f t="shared" si="255"/>
        <v>0</v>
      </c>
      <c r="EU527" s="346">
        <f t="shared" si="255"/>
        <v>1.9034152189999993</v>
      </c>
      <c r="EV527" s="346">
        <f t="shared" si="255"/>
        <v>0</v>
      </c>
      <c r="EW527" s="346">
        <f t="shared" si="255"/>
        <v>0</v>
      </c>
      <c r="EX527" s="348">
        <f t="shared" si="255"/>
        <v>2.1224270360000013</v>
      </c>
      <c r="EY527" s="346"/>
      <c r="EZ527" s="346"/>
      <c r="FA527" s="346"/>
      <c r="FB527" s="346"/>
      <c r="FC527" s="346"/>
      <c r="FD527" s="346"/>
      <c r="FE527" s="346"/>
      <c r="FF527" s="346"/>
      <c r="FG527" s="346"/>
      <c r="FH527" s="346"/>
      <c r="FI527" s="346"/>
      <c r="FJ527" s="348"/>
      <c r="FK527" s="346"/>
      <c r="FL527" s="346"/>
      <c r="FM527" s="346"/>
      <c r="FN527" s="346"/>
      <c r="FO527" s="346"/>
      <c r="FP527" s="346"/>
      <c r="FQ527" s="346"/>
      <c r="FR527" s="346"/>
      <c r="FS527" s="346"/>
      <c r="FT527" s="346"/>
      <c r="FU527" s="346"/>
      <c r="FV527" s="346"/>
      <c r="FW527" s="346"/>
      <c r="FX527" s="346"/>
      <c r="FY527" s="346"/>
      <c r="FZ527" s="346"/>
      <c r="GA527" s="346"/>
      <c r="GB527" s="346"/>
      <c r="GC527" s="346"/>
      <c r="GD527" s="346"/>
      <c r="GE527" s="346"/>
      <c r="GF527" s="346"/>
      <c r="GG527" s="346"/>
      <c r="GH527" s="346"/>
      <c r="GI527" s="346"/>
      <c r="GJ527" s="346"/>
      <c r="GK527" s="346"/>
      <c r="GL527" s="346"/>
      <c r="GM527" s="346"/>
      <c r="GN527" s="346"/>
      <c r="GO527" s="346"/>
      <c r="GP527" s="346"/>
      <c r="GQ527" s="346"/>
      <c r="GR527" s="346"/>
      <c r="GS527" s="346"/>
      <c r="GT527" s="346"/>
      <c r="GU527" s="346"/>
      <c r="GV527" s="346"/>
      <c r="GW527" s="346"/>
      <c r="GX527" s="346"/>
      <c r="GY527" s="346"/>
      <c r="GZ527" s="346"/>
      <c r="HA527" s="346"/>
      <c r="HB527" s="346"/>
      <c r="HC527" s="346"/>
      <c r="HD527" s="346"/>
      <c r="HE527" s="346"/>
      <c r="HF527" s="346"/>
      <c r="HG527" s="346"/>
      <c r="HH527" s="346"/>
      <c r="HI527" s="346"/>
      <c r="HJ527" s="346"/>
      <c r="HK527" s="346"/>
      <c r="HL527" s="346"/>
      <c r="HM527" s="346"/>
      <c r="HN527" s="349"/>
      <c r="HO527" s="1225" t="s">
        <v>1232</v>
      </c>
      <c r="HP527" s="1225"/>
      <c r="HQ527" s="1225"/>
      <c r="HR527" s="346"/>
      <c r="HU527" s="346"/>
      <c r="HX527" s="346"/>
      <c r="IA527" s="346"/>
      <c r="IC527" s="350"/>
      <c r="ID527" s="346"/>
      <c r="IE527" s="302">
        <f t="shared" si="252"/>
        <v>4.3840230350000002</v>
      </c>
      <c r="IF527" s="302">
        <f t="shared" si="253"/>
        <v>4.0258422550000006</v>
      </c>
      <c r="IG527" s="346">
        <f t="shared" si="201"/>
        <v>8.4098652900000008</v>
      </c>
      <c r="IH527" s="350"/>
      <c r="II527" s="350"/>
      <c r="IJ527" s="346"/>
      <c r="IM527" s="346"/>
      <c r="IP527" s="346"/>
      <c r="IS527" s="346"/>
      <c r="IV527" s="346"/>
      <c r="IY527" s="346"/>
      <c r="JB527" s="346"/>
      <c r="JC527" s="346"/>
      <c r="KI527" s="349"/>
      <c r="KJ527" s="350"/>
    </row>
    <row r="528" spans="1:302">
      <c r="A528" s="302"/>
      <c r="D528" s="1225" t="s">
        <v>1233</v>
      </c>
      <c r="E528" s="346"/>
      <c r="F528" s="346"/>
      <c r="G528" s="346"/>
      <c r="H528" s="346"/>
      <c r="I528" s="346"/>
      <c r="J528" s="346"/>
      <c r="K528" s="346"/>
      <c r="L528" s="346"/>
      <c r="M528" s="346"/>
      <c r="N528" s="346"/>
      <c r="O528" s="346"/>
      <c r="P528" s="346"/>
      <c r="Q528" s="346"/>
      <c r="R528" s="346"/>
      <c r="S528" s="346"/>
      <c r="T528" s="346"/>
      <c r="U528" s="346"/>
      <c r="V528" s="346"/>
      <c r="W528" s="346"/>
      <c r="X528" s="346"/>
      <c r="Y528" s="346"/>
      <c r="Z528" s="346"/>
      <c r="AA528" s="346"/>
      <c r="AB528" s="346"/>
      <c r="AC528" s="346"/>
      <c r="AD528" s="346"/>
      <c r="AE528" s="346"/>
      <c r="AF528" s="346"/>
      <c r="AG528" s="346"/>
      <c r="AH528" s="346"/>
      <c r="AI528" s="346"/>
      <c r="AJ528" s="346"/>
      <c r="AK528" s="346"/>
      <c r="AL528" s="346"/>
      <c r="AM528" s="346"/>
      <c r="AN528" s="346"/>
      <c r="AO528" s="346"/>
      <c r="AP528" s="346"/>
      <c r="AQ528" s="346"/>
      <c r="AR528" s="346"/>
      <c r="AS528" s="346"/>
      <c r="AT528" s="346"/>
      <c r="AU528" s="346"/>
      <c r="AV528" s="346"/>
      <c r="AW528" s="346"/>
      <c r="AX528" s="346"/>
      <c r="AY528" s="346"/>
      <c r="AZ528" s="346"/>
      <c r="BA528" s="346"/>
      <c r="BB528" s="346"/>
      <c r="BC528" s="346"/>
      <c r="BD528" s="346"/>
      <c r="BE528" s="346"/>
      <c r="BF528" s="346"/>
      <c r="BG528" s="346"/>
      <c r="BH528" s="346"/>
      <c r="BI528" s="346"/>
      <c r="BJ528" s="346"/>
      <c r="BK528" s="346"/>
      <c r="BL528" s="346"/>
      <c r="BM528" s="346"/>
      <c r="BN528" s="346"/>
      <c r="BO528" s="346"/>
      <c r="BP528" s="346"/>
      <c r="BQ528" s="346"/>
      <c r="BR528" s="346"/>
      <c r="BS528" s="346"/>
      <c r="BT528" s="346"/>
      <c r="BU528" s="346"/>
      <c r="BV528" s="346"/>
      <c r="BW528" s="346"/>
      <c r="BX528" s="346"/>
      <c r="BY528" s="346"/>
      <c r="BZ528" s="346"/>
      <c r="CA528" s="346"/>
      <c r="CB528" s="346"/>
      <c r="CC528" s="346"/>
      <c r="CD528" s="346"/>
      <c r="CE528" s="347"/>
      <c r="CF528" s="346"/>
      <c r="CG528" s="346"/>
      <c r="CH528" s="346"/>
      <c r="CI528" s="346"/>
      <c r="CJ528" s="346"/>
      <c r="CK528" s="346"/>
      <c r="CL528" s="346"/>
      <c r="CM528" s="346"/>
      <c r="CN528" s="346"/>
      <c r="CO528" s="346"/>
      <c r="CP528" s="348"/>
      <c r="CQ528" s="346"/>
      <c r="CR528" s="346"/>
      <c r="CS528" s="346"/>
      <c r="CT528" s="346"/>
      <c r="CU528" s="346"/>
      <c r="CV528" s="346"/>
      <c r="CW528" s="346"/>
      <c r="CX528" s="346"/>
      <c r="CY528" s="346"/>
      <c r="CZ528" s="346"/>
      <c r="DA528" s="346"/>
      <c r="DB528" s="1479"/>
      <c r="DC528" s="346"/>
      <c r="DD528" s="346"/>
      <c r="DE528" s="346"/>
      <c r="DF528" s="346"/>
      <c r="DG528" s="346"/>
      <c r="DH528" s="346"/>
      <c r="DI528" s="346"/>
      <c r="DJ528" s="346"/>
      <c r="DK528" s="346"/>
      <c r="DL528" s="346"/>
      <c r="DM528" s="346"/>
      <c r="DN528" s="348"/>
      <c r="DO528" s="346"/>
      <c r="DP528" s="346"/>
      <c r="DQ528" s="346"/>
      <c r="DR528" s="346"/>
      <c r="DS528" s="346"/>
      <c r="DT528" s="346"/>
      <c r="DU528" s="346"/>
      <c r="DV528" s="346"/>
      <c r="DW528" s="346"/>
      <c r="DX528" s="346"/>
      <c r="DY528" s="346"/>
      <c r="DZ528" s="348"/>
      <c r="EA528" s="346"/>
      <c r="EB528" s="346"/>
      <c r="EC528" s="346"/>
      <c r="ED528" s="346"/>
      <c r="EE528" s="346"/>
      <c r="EF528" s="346"/>
      <c r="EG528" s="346"/>
      <c r="EH528" s="346"/>
      <c r="EI528" s="346"/>
      <c r="EJ528" s="346"/>
      <c r="EK528" s="346"/>
      <c r="EL528" s="348"/>
      <c r="EM528" s="346">
        <f t="shared" si="254"/>
        <v>0</v>
      </c>
      <c r="EN528" s="346">
        <f t="shared" si="254"/>
        <v>0</v>
      </c>
      <c r="EO528" s="346">
        <f t="shared" si="254"/>
        <v>5.0329786810000003</v>
      </c>
      <c r="EP528" s="346">
        <f t="shared" si="254"/>
        <v>0</v>
      </c>
      <c r="EQ528" s="346">
        <f t="shared" si="254"/>
        <v>0</v>
      </c>
      <c r="ER528" s="346">
        <f t="shared" si="254"/>
        <v>4.2359017769999996</v>
      </c>
      <c r="ES528" s="346">
        <f t="shared" ref="ES528:EX528" si="256">ES490</f>
        <v>0</v>
      </c>
      <c r="ET528" s="346">
        <f t="shared" si="256"/>
        <v>0</v>
      </c>
      <c r="EU528" s="346">
        <f t="shared" si="256"/>
        <v>4.5140113359999994</v>
      </c>
      <c r="EV528" s="346">
        <f t="shared" si="256"/>
        <v>0</v>
      </c>
      <c r="EW528" s="346">
        <f t="shared" si="256"/>
        <v>0</v>
      </c>
      <c r="EX528" s="348">
        <f t="shared" si="256"/>
        <v>6.1646746080000003</v>
      </c>
      <c r="EY528" s="346"/>
      <c r="EZ528" s="346"/>
      <c r="FA528" s="346"/>
      <c r="FB528" s="346"/>
      <c r="FC528" s="346"/>
      <c r="FD528" s="346"/>
      <c r="FE528" s="346"/>
      <c r="FF528" s="346"/>
      <c r="FG528" s="346"/>
      <c r="FH528" s="346"/>
      <c r="FI528" s="346"/>
      <c r="FJ528" s="348"/>
      <c r="FK528" s="346"/>
      <c r="FL528" s="346"/>
      <c r="FM528" s="346"/>
      <c r="FN528" s="346"/>
      <c r="FO528" s="346"/>
      <c r="FP528" s="346"/>
      <c r="FQ528" s="346"/>
      <c r="FR528" s="346"/>
      <c r="FS528" s="346"/>
      <c r="FT528" s="346"/>
      <c r="FU528" s="346"/>
      <c r="FV528" s="346"/>
      <c r="FW528" s="346"/>
      <c r="FX528" s="346"/>
      <c r="FY528" s="346"/>
      <c r="FZ528" s="346"/>
      <c r="GA528" s="346"/>
      <c r="GB528" s="346"/>
      <c r="GC528" s="346"/>
      <c r="GD528" s="346"/>
      <c r="GE528" s="346"/>
      <c r="GF528" s="346"/>
      <c r="GG528" s="346"/>
      <c r="GH528" s="346"/>
      <c r="GI528" s="346"/>
      <c r="GJ528" s="346"/>
      <c r="GK528" s="346"/>
      <c r="GL528" s="346"/>
      <c r="GM528" s="346"/>
      <c r="GN528" s="346"/>
      <c r="GO528" s="346"/>
      <c r="GP528" s="346"/>
      <c r="GQ528" s="346"/>
      <c r="GR528" s="346"/>
      <c r="GS528" s="346"/>
      <c r="GT528" s="346"/>
      <c r="GU528" s="346"/>
      <c r="GV528" s="346"/>
      <c r="GW528" s="346"/>
      <c r="GX528" s="346"/>
      <c r="GY528" s="346"/>
      <c r="GZ528" s="346"/>
      <c r="HA528" s="346"/>
      <c r="HB528" s="346"/>
      <c r="HC528" s="346"/>
      <c r="HD528" s="346"/>
      <c r="HE528" s="346"/>
      <c r="HF528" s="346"/>
      <c r="HG528" s="346"/>
      <c r="HH528" s="346"/>
      <c r="HI528" s="346"/>
      <c r="HJ528" s="346"/>
      <c r="HK528" s="346"/>
      <c r="HL528" s="346"/>
      <c r="HM528" s="346"/>
      <c r="HN528" s="349"/>
      <c r="HO528" s="1225" t="s">
        <v>1233</v>
      </c>
      <c r="HP528" s="1225"/>
      <c r="HQ528" s="1225"/>
      <c r="HR528" s="346"/>
      <c r="HU528" s="346"/>
      <c r="HX528" s="346"/>
      <c r="IA528" s="346"/>
      <c r="IC528" s="350"/>
      <c r="ID528" s="346"/>
      <c r="IE528" s="302">
        <f t="shared" si="252"/>
        <v>9.2688804579999999</v>
      </c>
      <c r="IF528" s="302">
        <f t="shared" si="253"/>
        <v>10.678685944</v>
      </c>
      <c r="IG528" s="346">
        <f t="shared" si="201"/>
        <v>19.947566402</v>
      </c>
      <c r="IH528" s="350"/>
      <c r="II528" s="350"/>
      <c r="IJ528" s="346"/>
      <c r="IM528" s="346"/>
      <c r="IP528" s="346"/>
      <c r="IS528" s="346"/>
      <c r="IV528" s="346"/>
      <c r="IY528" s="346"/>
      <c r="JB528" s="346"/>
      <c r="JC528" s="346"/>
      <c r="KI528" s="349"/>
      <c r="KJ528" s="350"/>
    </row>
    <row r="529" spans="1:302">
      <c r="A529" s="302"/>
      <c r="B529" s="117" t="s">
        <v>361</v>
      </c>
      <c r="D529" s="345" t="str">
        <f>+FISC!D746</f>
        <v>Exceptional social expenditure</v>
      </c>
      <c r="E529" s="346">
        <v>3.7127600000000003</v>
      </c>
      <c r="F529" s="346">
        <v>4.7993300000000003</v>
      </c>
      <c r="G529" s="346">
        <v>2.8350599999999999</v>
      </c>
      <c r="H529" s="346">
        <v>3.9559000000000002</v>
      </c>
      <c r="I529" s="346">
        <v>2.5550000000000002</v>
      </c>
      <c r="J529" s="346">
        <v>2.0085000000000002</v>
      </c>
      <c r="K529" s="346">
        <v>7.8316600000000003</v>
      </c>
      <c r="L529" s="346">
        <v>5.6524799999999997</v>
      </c>
      <c r="M529" s="346">
        <v>4.0859000000000005</v>
      </c>
      <c r="N529" s="346">
        <v>4.1721300000000001</v>
      </c>
      <c r="O529" s="346">
        <v>4.3776599999999997</v>
      </c>
      <c r="P529" s="346">
        <v>0.9621900000000001</v>
      </c>
      <c r="Q529" s="346">
        <v>4.1470500000000001</v>
      </c>
      <c r="R529" s="346">
        <v>5.8710000000000004</v>
      </c>
      <c r="S529" s="346">
        <v>2.62263</v>
      </c>
      <c r="T529" s="346">
        <v>7.8501599999999998</v>
      </c>
      <c r="U529" s="346">
        <v>5.4862400000000004</v>
      </c>
      <c r="V529" s="346">
        <v>2.67977</v>
      </c>
      <c r="W529" s="346">
        <v>9.6362000000000005</v>
      </c>
      <c r="X529" s="346">
        <v>4.8701600000000003</v>
      </c>
      <c r="Y529" s="346">
        <v>3.5097300000000002</v>
      </c>
      <c r="Z529" s="346">
        <v>7.9976700000000003</v>
      </c>
      <c r="AA529" s="346">
        <v>4.68743</v>
      </c>
      <c r="AB529" s="346">
        <v>1.57945</v>
      </c>
      <c r="AC529" s="346">
        <v>2.9270900000000002</v>
      </c>
      <c r="AD529" s="346">
        <v>3.2147899999999998</v>
      </c>
      <c r="AE529" s="346">
        <v>8.8239799999999988</v>
      </c>
      <c r="AF529" s="346">
        <v>5.4003100000000002</v>
      </c>
      <c r="AG529" s="346">
        <v>0.88553999999999999</v>
      </c>
      <c r="AH529" s="346">
        <v>0.41775999999999996</v>
      </c>
      <c r="AI529" s="346">
        <v>2.5460500000000001</v>
      </c>
      <c r="AJ529" s="346">
        <v>2.8212200000000003</v>
      </c>
      <c r="AK529" s="346">
        <v>10.077129999999999</v>
      </c>
      <c r="AL529" s="346">
        <v>5.6870000000000003</v>
      </c>
      <c r="AM529" s="346">
        <v>2.4997600000000002</v>
      </c>
      <c r="AN529" s="346">
        <v>3.0111699999999995</v>
      </c>
      <c r="AO529" s="346">
        <v>9.3814400000000013</v>
      </c>
      <c r="AP529" s="346">
        <v>3.6834099999999999</v>
      </c>
      <c r="AQ529" s="346">
        <v>0.97705999999999993</v>
      </c>
      <c r="AR529" s="346">
        <v>1.3996</v>
      </c>
      <c r="AS529" s="346">
        <v>5.6580300000000001</v>
      </c>
      <c r="AT529" s="346">
        <v>3.7801199999999997</v>
      </c>
      <c r="AU529" s="346">
        <v>4.1165399999999996</v>
      </c>
      <c r="AV529" s="346">
        <v>10.588700000000001</v>
      </c>
      <c r="AW529" s="346">
        <v>3.5014799999999999</v>
      </c>
      <c r="AX529" s="346">
        <v>7.9861499999999994</v>
      </c>
      <c r="AY529" s="346">
        <v>5.0168200000000001</v>
      </c>
      <c r="AZ529" s="346">
        <v>5.6406000000000001</v>
      </c>
      <c r="BA529" s="346">
        <v>6.7164799999999998</v>
      </c>
      <c r="BB529" s="346">
        <v>5.4594100000000001</v>
      </c>
      <c r="BC529" s="346">
        <v>1.92079</v>
      </c>
      <c r="BD529" s="346">
        <v>6.0153999999999996</v>
      </c>
      <c r="BE529" s="346">
        <v>10.529819999999999</v>
      </c>
      <c r="BF529" s="346">
        <v>0.39511000000000002</v>
      </c>
      <c r="BG529" s="346">
        <v>6.9534099999999999</v>
      </c>
      <c r="BH529" s="346">
        <v>6.1300699999999999</v>
      </c>
      <c r="BI529" s="346">
        <v>2.6468000000000003</v>
      </c>
      <c r="BJ529" s="346">
        <v>5.3137700000000008</v>
      </c>
      <c r="BK529" s="346">
        <v>7.46549</v>
      </c>
      <c r="BL529" s="346">
        <v>4.0160100000000005</v>
      </c>
      <c r="BM529" s="346">
        <v>8.6199300000000001</v>
      </c>
      <c r="BN529" s="346">
        <v>9.7876000000000012</v>
      </c>
      <c r="BO529" s="346">
        <v>8.3460800000000006</v>
      </c>
      <c r="BP529" s="346">
        <v>6.2623699999999998</v>
      </c>
      <c r="BQ529" s="346">
        <v>7.4356800000000005</v>
      </c>
      <c r="BR529" s="346">
        <v>1.5007300000000001</v>
      </c>
      <c r="BS529" s="346">
        <v>5.0293000000000001</v>
      </c>
      <c r="BT529" s="346">
        <v>7.3064999999999998</v>
      </c>
      <c r="BU529" s="346">
        <v>4.9896000000000003</v>
      </c>
      <c r="BV529" s="346">
        <v>8.6363335610000007</v>
      </c>
      <c r="BW529" s="346">
        <v>4.9076517710000003</v>
      </c>
      <c r="BX529" s="346">
        <v>5.7710280459999996</v>
      </c>
      <c r="BY529" s="346">
        <v>9.7754765859999999</v>
      </c>
      <c r="BZ529" s="346">
        <v>6.4653720200000002</v>
      </c>
      <c r="CA529" s="346">
        <v>4.8472462360000002</v>
      </c>
      <c r="CB529" s="346">
        <v>9.7985406420000007</v>
      </c>
      <c r="CC529" s="346">
        <v>10.398180063</v>
      </c>
      <c r="CD529" s="346">
        <v>2.0217900750000002</v>
      </c>
      <c r="CE529" s="347">
        <f>SUM(CE530:CE532)</f>
        <v>4.1218678119999996</v>
      </c>
      <c r="CF529" s="346">
        <f t="shared" ref="CF529:DN529" si="257">SUM(CF530:CF532)</f>
        <v>3.0527925360000001</v>
      </c>
      <c r="CG529" s="346">
        <f t="shared" si="257"/>
        <v>4.3797581149999996</v>
      </c>
      <c r="CH529" s="346">
        <f t="shared" si="257"/>
        <v>8.201250924</v>
      </c>
      <c r="CI529" s="346">
        <f t="shared" si="257"/>
        <v>4.6632914940000001</v>
      </c>
      <c r="CJ529" s="346">
        <f t="shared" si="257"/>
        <v>9.5954992279999995</v>
      </c>
      <c r="CK529" s="346">
        <f t="shared" si="257"/>
        <v>19.788627708</v>
      </c>
      <c r="CL529" s="346">
        <f t="shared" si="257"/>
        <v>9.3291781070000006</v>
      </c>
      <c r="CM529" s="346">
        <f t="shared" si="257"/>
        <v>3.9728699330000001</v>
      </c>
      <c r="CN529" s="346">
        <f t="shared" si="257"/>
        <v>36.040940083999999</v>
      </c>
      <c r="CO529" s="346">
        <f t="shared" si="257"/>
        <v>10.388191089999999</v>
      </c>
      <c r="CP529" s="348">
        <f t="shared" si="257"/>
        <v>5.5742181420000003</v>
      </c>
      <c r="CQ529" s="346">
        <f t="shared" si="257"/>
        <v>8.1239777909999997</v>
      </c>
      <c r="CR529" s="346">
        <f t="shared" si="257"/>
        <v>8.1626322439999992</v>
      </c>
      <c r="CS529" s="346">
        <f t="shared" si="257"/>
        <v>17.633937930999998</v>
      </c>
      <c r="CT529" s="346">
        <f t="shared" si="257"/>
        <v>4.3200614999999996</v>
      </c>
      <c r="CU529" s="346">
        <f t="shared" si="257"/>
        <v>13.312885845</v>
      </c>
      <c r="CV529" s="346">
        <f t="shared" si="257"/>
        <v>10.796285336999999</v>
      </c>
      <c r="CW529" s="346">
        <f t="shared" si="257"/>
        <v>6.00273915</v>
      </c>
      <c r="CX529" s="346">
        <f t="shared" si="257"/>
        <v>16.521865980000001</v>
      </c>
      <c r="CY529" s="346">
        <f t="shared" si="257"/>
        <v>26.299949223000002</v>
      </c>
      <c r="CZ529" s="346">
        <f t="shared" si="257"/>
        <v>28.379187033000001</v>
      </c>
      <c r="DA529" s="346">
        <f t="shared" si="257"/>
        <v>18.037174863000001</v>
      </c>
      <c r="DB529" s="1479">
        <f t="shared" si="257"/>
        <v>3.872886458</v>
      </c>
      <c r="DC529" s="346">
        <f t="shared" si="257"/>
        <v>20.031666440000002</v>
      </c>
      <c r="DD529" s="346">
        <f t="shared" si="257"/>
        <v>5.7584803439999996</v>
      </c>
      <c r="DE529" s="346">
        <f t="shared" si="257"/>
        <v>15.547081669999999</v>
      </c>
      <c r="DF529" s="346">
        <f t="shared" si="257"/>
        <v>21.488628049999999</v>
      </c>
      <c r="DG529" s="346">
        <f t="shared" si="257"/>
        <v>9.0915347850000003</v>
      </c>
      <c r="DH529" s="346">
        <f t="shared" si="257"/>
        <v>5.0807362579999999</v>
      </c>
      <c r="DI529" s="346">
        <f t="shared" si="257"/>
        <v>27.308649026000001</v>
      </c>
      <c r="DJ529" s="346">
        <f t="shared" si="257"/>
        <v>5.5587548150000003</v>
      </c>
      <c r="DK529" s="346">
        <f t="shared" si="257"/>
        <v>10.439049232999999</v>
      </c>
      <c r="DL529" s="346">
        <f t="shared" si="257"/>
        <v>19.474363273999998</v>
      </c>
      <c r="DM529" s="346">
        <f t="shared" si="257"/>
        <v>11.420979965000001</v>
      </c>
      <c r="DN529" s="348">
        <f t="shared" si="257"/>
        <v>8.0120627639999995</v>
      </c>
      <c r="DO529" s="346">
        <f t="shared" ref="DO529:DT529" si="258">SUM(DO530:DO532)</f>
        <v>17.830386840000003</v>
      </c>
      <c r="DP529" s="346">
        <f t="shared" si="258"/>
        <v>24.458453924000001</v>
      </c>
      <c r="DQ529" s="346">
        <f t="shared" si="258"/>
        <v>8.9936596830000006</v>
      </c>
      <c r="DR529" s="346">
        <f t="shared" si="258"/>
        <v>18.029543111999999</v>
      </c>
      <c r="DS529" s="346">
        <f t="shared" si="258"/>
        <v>13.747938799</v>
      </c>
      <c r="DT529" s="346">
        <f t="shared" si="258"/>
        <v>20.318674549000001</v>
      </c>
      <c r="DU529" s="346">
        <f t="shared" ref="DU529:DZ529" si="259">SUM(DU530:DU532)</f>
        <v>15.032641369</v>
      </c>
      <c r="DV529" s="346">
        <f t="shared" si="259"/>
        <v>8.3836660419999998</v>
      </c>
      <c r="DW529" s="346">
        <f t="shared" si="259"/>
        <v>5.2430148010000002</v>
      </c>
      <c r="DX529" s="346">
        <f t="shared" si="259"/>
        <v>15.108378704</v>
      </c>
      <c r="DY529" s="346">
        <f t="shared" si="259"/>
        <v>11.246329053</v>
      </c>
      <c r="DZ529" s="348">
        <f t="shared" si="259"/>
        <v>0.96119616600000002</v>
      </c>
      <c r="EA529" s="346">
        <f t="shared" ref="EA529:EK529" si="260">SUM(EA530:EA532)</f>
        <v>25.872880680999998</v>
      </c>
      <c r="EB529" s="346">
        <f t="shared" si="260"/>
        <v>12.925111098999999</v>
      </c>
      <c r="EC529" s="346">
        <f t="shared" si="260"/>
        <v>25.854006870999999</v>
      </c>
      <c r="ED529" s="346">
        <f t="shared" si="260"/>
        <v>33.279234199000001</v>
      </c>
      <c r="EE529" s="346">
        <f t="shared" si="260"/>
        <v>14.314430412</v>
      </c>
      <c r="EF529" s="346">
        <f t="shared" si="260"/>
        <v>11.712284659</v>
      </c>
      <c r="EG529" s="346">
        <f t="shared" si="260"/>
        <v>8.7310083279999997</v>
      </c>
      <c r="EH529" s="346">
        <f t="shared" si="260"/>
        <v>7.6339070709999994</v>
      </c>
      <c r="EI529" s="346">
        <f t="shared" si="260"/>
        <v>11.585520362</v>
      </c>
      <c r="EJ529" s="346">
        <f t="shared" si="260"/>
        <v>11.433172015</v>
      </c>
      <c r="EK529" s="346">
        <f t="shared" si="260"/>
        <v>14.617660114</v>
      </c>
      <c r="EL529" s="348">
        <f t="shared" ref="EL529:ER529" si="261">SUM(EL530:EL532)</f>
        <v>3.8799066939999998</v>
      </c>
      <c r="EM529" s="346">
        <f t="shared" si="261"/>
        <v>5.6727965129999998</v>
      </c>
      <c r="EN529" s="346">
        <f t="shared" si="261"/>
        <v>33.740439351999996</v>
      </c>
      <c r="EO529" s="346">
        <f t="shared" si="261"/>
        <v>13.793889010000001</v>
      </c>
      <c r="EP529" s="346">
        <f t="shared" si="261"/>
        <v>25.71266228</v>
      </c>
      <c r="EQ529" s="346">
        <f t="shared" si="261"/>
        <v>16.995882278</v>
      </c>
      <c r="ER529" s="346">
        <f t="shared" si="261"/>
        <v>16.054394510999998</v>
      </c>
      <c r="ES529" s="346">
        <f t="shared" ref="ES529:EX529" si="262">SUM(ES530:ES532)</f>
        <v>11.724667692000001</v>
      </c>
      <c r="ET529" s="346">
        <f t="shared" si="262"/>
        <v>5.7211090220000003</v>
      </c>
      <c r="EU529" s="346">
        <f t="shared" si="262"/>
        <v>34.580441728500006</v>
      </c>
      <c r="EV529" s="346">
        <f t="shared" si="262"/>
        <v>32.951912861500006</v>
      </c>
      <c r="EW529" s="346">
        <f t="shared" si="262"/>
        <v>18.7012586315</v>
      </c>
      <c r="EX529" s="348">
        <f t="shared" si="262"/>
        <v>22.049723595500001</v>
      </c>
      <c r="EY529" s="346"/>
      <c r="EZ529" s="346"/>
      <c r="FA529" s="346"/>
      <c r="FB529" s="346"/>
      <c r="FC529" s="346"/>
      <c r="FD529" s="346"/>
      <c r="FE529" s="346"/>
      <c r="FF529" s="346"/>
      <c r="FG529" s="346"/>
      <c r="FH529" s="346"/>
      <c r="FI529" s="346"/>
      <c r="FJ529" s="348"/>
      <c r="FK529" s="346"/>
      <c r="FL529" s="346"/>
      <c r="FM529" s="346"/>
      <c r="FN529" s="346"/>
      <c r="FO529" s="346"/>
      <c r="FP529" s="346"/>
      <c r="FQ529" s="346"/>
      <c r="FR529" s="346"/>
      <c r="FS529" s="346"/>
      <c r="FT529" s="346"/>
      <c r="FU529" s="346"/>
      <c r="FV529" s="346"/>
      <c r="FW529" s="346"/>
      <c r="FX529" s="346"/>
      <c r="FY529" s="346"/>
      <c r="FZ529" s="346"/>
      <c r="GA529" s="346"/>
      <c r="GB529" s="346"/>
      <c r="GC529" s="346"/>
      <c r="GD529" s="346"/>
      <c r="GE529" s="346"/>
      <c r="GF529" s="346"/>
      <c r="GG529" s="346"/>
      <c r="GH529" s="346"/>
      <c r="GI529" s="346"/>
      <c r="GJ529" s="346"/>
      <c r="GK529" s="346"/>
      <c r="GL529" s="346"/>
      <c r="GM529" s="346"/>
      <c r="GN529" s="346"/>
      <c r="GO529" s="346"/>
      <c r="GP529" s="346"/>
      <c r="GQ529" s="346"/>
      <c r="GR529" s="346"/>
      <c r="GS529" s="346"/>
      <c r="GT529" s="346"/>
      <c r="GU529" s="346"/>
      <c r="GV529" s="346"/>
      <c r="GW529" s="346"/>
      <c r="GX529" s="346"/>
      <c r="GY529" s="346"/>
      <c r="GZ529" s="346"/>
      <c r="HA529" s="346"/>
      <c r="HB529" s="346"/>
      <c r="HC529" s="346"/>
      <c r="HD529" s="346"/>
      <c r="HE529" s="346"/>
      <c r="HF529" s="346"/>
      <c r="HG529" s="346"/>
      <c r="HH529" s="346"/>
      <c r="HI529" s="346"/>
      <c r="HJ529" s="346"/>
      <c r="HK529" s="346"/>
      <c r="HL529" s="346"/>
      <c r="HM529" s="346"/>
      <c r="HN529" s="349"/>
      <c r="HO529" s="345" t="s">
        <v>162</v>
      </c>
      <c r="HP529" s="345"/>
      <c r="HQ529" s="345"/>
      <c r="HR529" s="346">
        <f>+FISC!Z746</f>
        <v>121.08000000000001</v>
      </c>
      <c r="HS529" s="302">
        <f>SUM(HS530:HS532)</f>
        <v>62.349780647999999</v>
      </c>
      <c r="HT529" s="302">
        <f>SUM(HT530:HT532)</f>
        <v>99.113802707000005</v>
      </c>
      <c r="HU529" s="346">
        <f>SUM(HU530:HU532)</f>
        <v>161.463583355</v>
      </c>
      <c r="HV529" s="302">
        <f>SUM(HV530:HV532)</f>
        <v>76.998127546999996</v>
      </c>
      <c r="HW529" s="302">
        <f>+SUM(DI529:DN529)</f>
        <v>82.213859076999995</v>
      </c>
      <c r="HX529" s="346">
        <f>HV529+HW529</f>
        <v>159.21198662399999</v>
      </c>
      <c r="HY529" s="302">
        <f>+SUM(HY530:HY532)</f>
        <v>103.37865690700002</v>
      </c>
      <c r="HZ529" s="302">
        <f>SUM(DU529:DZ529)</f>
        <v>55.975226134999993</v>
      </c>
      <c r="IA529" s="346">
        <f t="shared" si="103"/>
        <v>159.35388304200001</v>
      </c>
      <c r="IB529" s="302">
        <f>SUM(IB530:IB532)</f>
        <v>105.45945410100001</v>
      </c>
      <c r="IC529" s="302">
        <f>SUM(IC530:IC532)</f>
        <v>76.379668403999986</v>
      </c>
      <c r="ID529" s="346">
        <f>FISC!AC746</f>
        <v>181.83912250499998</v>
      </c>
      <c r="IE529" s="302">
        <f t="shared" si="252"/>
        <v>111.97006394399999</v>
      </c>
      <c r="IF529" s="302">
        <f t="shared" si="253"/>
        <v>125.72911353100001</v>
      </c>
      <c r="IG529" s="346">
        <f t="shared" si="201"/>
        <v>237.699177475</v>
      </c>
      <c r="IH529" s="302" t="e">
        <f>(SUM(IH530:IH532)*0+#REF!)*0+111.062774846</f>
        <v>#REF!</v>
      </c>
      <c r="II529" s="302">
        <f>SUM(II530:II532)</f>
        <v>119.29723612865781</v>
      </c>
      <c r="IJ529" s="346">
        <f>+FISC!AE746</f>
        <v>230.36001097465783</v>
      </c>
      <c r="IK529" s="302">
        <f>SUM(IK530:IK532)</f>
        <v>84.013911141156456</v>
      </c>
      <c r="IL529" s="302">
        <f t="shared" si="85"/>
        <v>100.75651428209764</v>
      </c>
      <c r="IM529" s="346">
        <f>+FISC!AF746</f>
        <v>184.7704254232541</v>
      </c>
      <c r="IN529" s="302">
        <f>SUM(IN530:IN532)</f>
        <v>79.465986193818566</v>
      </c>
      <c r="IO529" s="302">
        <f t="shared" si="154"/>
        <v>101.11205717877044</v>
      </c>
      <c r="IP529" s="346">
        <f>+FISC!AG746</f>
        <v>180.57804337258901</v>
      </c>
      <c r="IQ529" s="302">
        <f>SUM(IQ530:IQ532)</f>
        <v>92.297785477282758</v>
      </c>
      <c r="IR529" s="302">
        <f t="shared" si="74"/>
        <v>123.11820034538258</v>
      </c>
      <c r="IS529" s="346">
        <f>+FISC!AH746</f>
        <v>215.41598582266533</v>
      </c>
      <c r="IT529" s="302">
        <f>SUM(IT530:IT532)</f>
        <v>102.14371169708653</v>
      </c>
      <c r="IU529" s="302">
        <f t="shared" si="75"/>
        <v>137.97838381639349</v>
      </c>
      <c r="IV529" s="346">
        <f>+FISC!AI746</f>
        <v>240.12209551348002</v>
      </c>
      <c r="IW529" s="302">
        <f>SUM(IW530:IW532)</f>
        <v>0</v>
      </c>
      <c r="IX529" s="302">
        <f t="shared" si="76"/>
        <v>0</v>
      </c>
      <c r="IY529" s="346">
        <f>+FISC!AJ746</f>
        <v>0</v>
      </c>
      <c r="IZ529" s="302">
        <f>SUM(IZ530:IZ532)</f>
        <v>0</v>
      </c>
      <c r="JA529" s="302">
        <f t="shared" si="77"/>
        <v>0</v>
      </c>
      <c r="JB529" s="346">
        <f>+FISC!AK746</f>
        <v>0</v>
      </c>
      <c r="JC529" s="346"/>
      <c r="KI529" s="349"/>
      <c r="KJ529" s="350"/>
      <c r="KM529" s="302">
        <f>SUM(KM530:KM532)</f>
        <v>0</v>
      </c>
      <c r="KN529" s="302">
        <f>SUM(KN530:KN532)</f>
        <v>0</v>
      </c>
      <c r="KO529" s="302">
        <f>SUM(KO530:KO532)</f>
        <v>0</v>
      </c>
      <c r="KP529" s="302">
        <f>SUM(KP530:KP532)</f>
        <v>0</v>
      </c>
    </row>
    <row r="530" spans="1:302">
      <c r="A530" s="302"/>
      <c r="B530" s="117" t="s">
        <v>361</v>
      </c>
      <c r="D530" s="351" t="str">
        <f>+FISC!D747</f>
        <v>Assistance to victims of genocide (FARG)</v>
      </c>
      <c r="E530" s="346">
        <v>0.91316999999999993</v>
      </c>
      <c r="F530" s="346">
        <v>0.91316999999999993</v>
      </c>
      <c r="G530" s="346">
        <v>0.91316999999999993</v>
      </c>
      <c r="H530" s="346">
        <v>0.91316999999999993</v>
      </c>
      <c r="I530" s="346">
        <v>0.91316999999999993</v>
      </c>
      <c r="J530" s="346">
        <v>0.91316999999999993</v>
      </c>
      <c r="K530" s="346">
        <v>0.91316999999999993</v>
      </c>
      <c r="L530" s="346">
        <v>0.91316999999999993</v>
      </c>
      <c r="M530" s="346">
        <v>0.91316999999999993</v>
      </c>
      <c r="N530" s="346">
        <v>0.91316999999999993</v>
      </c>
      <c r="O530" s="346">
        <v>1.82633</v>
      </c>
      <c r="P530" s="346">
        <v>0</v>
      </c>
      <c r="Q530" s="346">
        <v>1.0432699999999999</v>
      </c>
      <c r="R530" s="346">
        <v>1.0129999999999999</v>
      </c>
      <c r="S530" s="346">
        <v>1.002</v>
      </c>
      <c r="T530" s="346">
        <v>2.2204000000000002</v>
      </c>
      <c r="U530" s="346">
        <v>2.2869800000000002</v>
      </c>
      <c r="V530" s="346">
        <v>1.3213699999999999</v>
      </c>
      <c r="W530" s="346">
        <v>1.2263499999999998</v>
      </c>
      <c r="X530" s="346">
        <v>1.2921899999999999</v>
      </c>
      <c r="Y530" s="346">
        <v>0.95657999999999999</v>
      </c>
      <c r="Z530" s="346">
        <v>8.4690000000000001E-2</v>
      </c>
      <c r="AA530" s="346">
        <v>7.2430000000000008E-2</v>
      </c>
      <c r="AB530" s="346">
        <v>0</v>
      </c>
      <c r="AC530" s="346">
        <v>1.20076</v>
      </c>
      <c r="AD530" s="346">
        <v>1.10381</v>
      </c>
      <c r="AE530" s="346">
        <v>1.19967</v>
      </c>
      <c r="AF530" s="346">
        <v>1.2174800000000001</v>
      </c>
      <c r="AG530" s="346">
        <v>4.4740000000000002E-2</v>
      </c>
      <c r="AH530" s="346">
        <v>0</v>
      </c>
      <c r="AI530" s="346">
        <v>1.50325</v>
      </c>
      <c r="AJ530" s="346">
        <v>1.5030899999999998</v>
      </c>
      <c r="AK530" s="346">
        <v>1.50325</v>
      </c>
      <c r="AL530" s="346">
        <v>1.5207299999999999</v>
      </c>
      <c r="AM530" s="346">
        <v>1.5207299999999999</v>
      </c>
      <c r="AN530" s="346">
        <v>1.703E-2</v>
      </c>
      <c r="AO530" s="346">
        <v>5.2546400000000002</v>
      </c>
      <c r="AP530" s="346">
        <v>1.6300000000000002E-2</v>
      </c>
      <c r="AQ530" s="346">
        <v>1.6899999999999998E-2</v>
      </c>
      <c r="AR530" s="346">
        <v>1.6969999999999999E-2</v>
      </c>
      <c r="AS530" s="346">
        <v>1.2169700000000001</v>
      </c>
      <c r="AT530" s="346">
        <v>1.2021700000000002</v>
      </c>
      <c r="AU530" s="346">
        <v>1.32331</v>
      </c>
      <c r="AV530" s="346">
        <v>1.4960000000000001E-2</v>
      </c>
      <c r="AW530" s="346">
        <v>1.34405</v>
      </c>
      <c r="AX530" s="346">
        <v>2.4125199999999998</v>
      </c>
      <c r="AY530" s="346">
        <v>1.35948</v>
      </c>
      <c r="AZ530" s="346">
        <v>0.61545000000000005</v>
      </c>
      <c r="BA530" s="346">
        <v>1.76373</v>
      </c>
      <c r="BB530" s="346">
        <v>1.8268599999999999</v>
      </c>
      <c r="BC530" s="346">
        <v>1.448E-2</v>
      </c>
      <c r="BD530" s="346">
        <v>2.67699</v>
      </c>
      <c r="BE530" s="346">
        <v>0.54198999999999997</v>
      </c>
      <c r="BF530" s="346">
        <v>1.5990000000000001E-2</v>
      </c>
      <c r="BG530" s="346">
        <v>0</v>
      </c>
      <c r="BH530" s="346">
        <v>0</v>
      </c>
      <c r="BI530" s="346">
        <v>0</v>
      </c>
      <c r="BJ530" s="346">
        <v>2.4125199999999998</v>
      </c>
      <c r="BK530" s="346">
        <v>1.35948</v>
      </c>
      <c r="BL530" s="346">
        <v>0.61545000000000005</v>
      </c>
      <c r="BM530" s="346"/>
      <c r="BN530" s="346"/>
      <c r="BO530" s="346"/>
      <c r="BP530" s="346"/>
      <c r="BQ530" s="346"/>
      <c r="BR530" s="346"/>
      <c r="BS530" s="346">
        <v>0</v>
      </c>
      <c r="BT530" s="346">
        <v>0</v>
      </c>
      <c r="BU530" s="346">
        <v>0</v>
      </c>
      <c r="BV530" s="346"/>
      <c r="BW530" s="346"/>
      <c r="BX530" s="346"/>
      <c r="BY530" s="346"/>
      <c r="BZ530" s="346"/>
      <c r="CA530" s="346"/>
      <c r="CB530" s="346"/>
      <c r="CC530" s="346"/>
      <c r="CD530" s="346"/>
      <c r="CE530" s="347">
        <f t="shared" ref="CE530:DJ530" si="263">CE266</f>
        <v>3.2977603279999999</v>
      </c>
      <c r="CF530" s="346">
        <f t="shared" si="263"/>
        <v>0.98312016899999999</v>
      </c>
      <c r="CG530" s="346">
        <f t="shared" si="263"/>
        <v>1.6299203170000001</v>
      </c>
      <c r="CH530" s="346">
        <f t="shared" si="263"/>
        <v>3.2214061530000002</v>
      </c>
      <c r="CI530" s="346">
        <f t="shared" si="263"/>
        <v>2.0843482959999999</v>
      </c>
      <c r="CJ530" s="346">
        <f t="shared" si="263"/>
        <v>8.0249717999999998E-2</v>
      </c>
      <c r="CK530" s="346">
        <f t="shared" si="263"/>
        <v>2.4277355690000002</v>
      </c>
      <c r="CL530" s="346">
        <f t="shared" si="263"/>
        <v>3.1378533200000001</v>
      </c>
      <c r="CM530" s="346">
        <f t="shared" si="263"/>
        <v>1.7430949929999999</v>
      </c>
      <c r="CN530" s="346">
        <f t="shared" si="263"/>
        <v>2.8110625219999998</v>
      </c>
      <c r="CO530" s="346">
        <f t="shared" si="263"/>
        <v>3.7248062860000002</v>
      </c>
      <c r="CP530" s="348">
        <f t="shared" si="263"/>
        <v>0.117453643</v>
      </c>
      <c r="CQ530" s="346">
        <f t="shared" si="263"/>
        <v>4.7076895849999998</v>
      </c>
      <c r="CR530" s="346">
        <f t="shared" si="263"/>
        <v>1.484837527</v>
      </c>
      <c r="CS530" s="346">
        <f t="shared" si="263"/>
        <v>1.0334999499999999</v>
      </c>
      <c r="CT530" s="346">
        <f t="shared" si="263"/>
        <v>1.227770359</v>
      </c>
      <c r="CU530" s="346">
        <f t="shared" si="263"/>
        <v>1.4919316929999999</v>
      </c>
      <c r="CV530" s="346">
        <f t="shared" si="263"/>
        <v>1.3295058470000001</v>
      </c>
      <c r="CW530" s="346">
        <f t="shared" si="263"/>
        <v>0.96740195799999995</v>
      </c>
      <c r="CX530" s="346">
        <f t="shared" si="263"/>
        <v>1.1926800040000001</v>
      </c>
      <c r="CY530" s="346">
        <f t="shared" si="263"/>
        <v>4.5218385740000002</v>
      </c>
      <c r="CZ530" s="346">
        <f t="shared" si="263"/>
        <v>4.6592218299999999</v>
      </c>
      <c r="DA530" s="346">
        <f t="shared" si="263"/>
        <v>3.8439886759999999</v>
      </c>
      <c r="DB530" s="1479">
        <f t="shared" si="263"/>
        <v>0.316585595</v>
      </c>
      <c r="DC530" s="346">
        <f t="shared" si="263"/>
        <v>2.0785957609999999</v>
      </c>
      <c r="DD530" s="346">
        <f t="shared" si="263"/>
        <v>1.013019814</v>
      </c>
      <c r="DE530" s="346">
        <f t="shared" si="263"/>
        <v>1.679942531</v>
      </c>
      <c r="DF530" s="346">
        <f t="shared" si="263"/>
        <v>3.8260517589999998</v>
      </c>
      <c r="DG530" s="346">
        <f t="shared" si="263"/>
        <v>1.7588236859999999</v>
      </c>
      <c r="DH530" s="346">
        <f t="shared" si="263"/>
        <v>1.206725469</v>
      </c>
      <c r="DI530" s="346">
        <f t="shared" si="263"/>
        <v>3.183438631</v>
      </c>
      <c r="DJ530" s="346">
        <f t="shared" si="263"/>
        <v>2.5440392649999999</v>
      </c>
      <c r="DK530" s="346">
        <f t="shared" ref="DK530:EP530" si="264">DK266</f>
        <v>2.5123295890000001</v>
      </c>
      <c r="DL530" s="346">
        <f t="shared" si="264"/>
        <v>5.1677136470000002</v>
      </c>
      <c r="DM530" s="346">
        <f t="shared" si="264"/>
        <v>1.919365505</v>
      </c>
      <c r="DN530" s="348">
        <f t="shared" si="264"/>
        <v>8.9281018000000004E-2</v>
      </c>
      <c r="DO530" s="346">
        <f t="shared" si="264"/>
        <v>1.663015777</v>
      </c>
      <c r="DP530" s="346">
        <f t="shared" si="264"/>
        <v>1.636151197</v>
      </c>
      <c r="DQ530" s="346">
        <f t="shared" si="264"/>
        <v>0.465051675</v>
      </c>
      <c r="DR530" s="346">
        <f t="shared" si="264"/>
        <v>3.1853889560000002</v>
      </c>
      <c r="DS530" s="346">
        <f t="shared" si="264"/>
        <v>1.3625779570000001</v>
      </c>
      <c r="DT530" s="346">
        <f t="shared" si="264"/>
        <v>1.993680144</v>
      </c>
      <c r="DU530" s="346">
        <f t="shared" si="264"/>
        <v>1.9732281599999999</v>
      </c>
      <c r="DV530" s="346">
        <f t="shared" si="264"/>
        <v>3.4378741449999999</v>
      </c>
      <c r="DW530" s="346">
        <f t="shared" si="264"/>
        <v>0.35597105800000001</v>
      </c>
      <c r="DX530" s="346">
        <f t="shared" si="264"/>
        <v>6.7384860499999997</v>
      </c>
      <c r="DY530" s="346">
        <f t="shared" si="264"/>
        <v>5.5133531920000003</v>
      </c>
      <c r="DZ530" s="348">
        <f t="shared" si="264"/>
        <v>0.214645112</v>
      </c>
      <c r="EA530" s="346">
        <f t="shared" si="264"/>
        <v>3.4428360140000001</v>
      </c>
      <c r="EB530" s="346">
        <f t="shared" si="264"/>
        <v>1.4038838730000001</v>
      </c>
      <c r="EC530" s="346">
        <f t="shared" si="264"/>
        <v>0.89195627099999997</v>
      </c>
      <c r="ED530" s="346">
        <f t="shared" si="264"/>
        <v>4.2184349839999999</v>
      </c>
      <c r="EE530" s="346">
        <f t="shared" si="264"/>
        <v>1.6175866320000001</v>
      </c>
      <c r="EF530" s="346">
        <f t="shared" si="264"/>
        <v>0.59496847799999997</v>
      </c>
      <c r="EG530" s="346">
        <f t="shared" si="264"/>
        <v>5.7378195459999999</v>
      </c>
      <c r="EH530" s="346">
        <f t="shared" si="264"/>
        <v>3.322141496</v>
      </c>
      <c r="EI530" s="346">
        <f t="shared" si="264"/>
        <v>4.3754322779999999</v>
      </c>
      <c r="EJ530" s="346">
        <f t="shared" si="264"/>
        <v>3.8449640920000001</v>
      </c>
      <c r="EK530" s="346">
        <f t="shared" si="264"/>
        <v>2.8300768230000002</v>
      </c>
      <c r="EL530" s="348">
        <f t="shared" si="264"/>
        <v>0.15571638600000001</v>
      </c>
      <c r="EM530" s="346">
        <f t="shared" si="264"/>
        <v>1.4293233009999999</v>
      </c>
      <c r="EN530" s="346">
        <f t="shared" si="264"/>
        <v>1.616375925</v>
      </c>
      <c r="EO530" s="346">
        <f t="shared" si="264"/>
        <v>1.2355409150000001</v>
      </c>
      <c r="EP530" s="346">
        <f t="shared" si="264"/>
        <v>2.5893228829999999</v>
      </c>
      <c r="EQ530" s="346">
        <f t="shared" ref="EQ530:EX530" si="265">EQ266</f>
        <v>3.1457423200000001</v>
      </c>
      <c r="ER530" s="346">
        <f t="shared" si="265"/>
        <v>4.1453405419999996</v>
      </c>
      <c r="ES530" s="346">
        <f t="shared" si="265"/>
        <v>4.5069167510000003</v>
      </c>
      <c r="ET530" s="346">
        <f t="shared" si="265"/>
        <v>1.869392409</v>
      </c>
      <c r="EU530" s="346">
        <f t="shared" si="265"/>
        <v>0.43625127749999998</v>
      </c>
      <c r="EV530" s="346">
        <f t="shared" si="265"/>
        <v>0.43625127749999998</v>
      </c>
      <c r="EW530" s="346">
        <f t="shared" si="265"/>
        <v>0.43625127749999998</v>
      </c>
      <c r="EX530" s="348">
        <f t="shared" si="265"/>
        <v>0.43625127749999998</v>
      </c>
      <c r="EY530" s="346"/>
      <c r="EZ530" s="346"/>
      <c r="FA530" s="346"/>
      <c r="FB530" s="346"/>
      <c r="FC530" s="346"/>
      <c r="FD530" s="346"/>
      <c r="FE530" s="346"/>
      <c r="FF530" s="346"/>
      <c r="FG530" s="346"/>
      <c r="FH530" s="346"/>
      <c r="FI530" s="346"/>
      <c r="FJ530" s="348"/>
      <c r="FK530" s="346"/>
      <c r="FL530" s="346"/>
      <c r="FM530" s="346"/>
      <c r="FN530" s="346"/>
      <c r="FO530" s="346"/>
      <c r="FP530" s="346"/>
      <c r="FQ530" s="346"/>
      <c r="FR530" s="346"/>
      <c r="FS530" s="346"/>
      <c r="FT530" s="346"/>
      <c r="FU530" s="346"/>
      <c r="FV530" s="346"/>
      <c r="FW530" s="346"/>
      <c r="FX530" s="346"/>
      <c r="FY530" s="346"/>
      <c r="FZ530" s="346"/>
      <c r="GA530" s="346"/>
      <c r="GB530" s="346"/>
      <c r="GC530" s="346"/>
      <c r="GD530" s="346"/>
      <c r="GE530" s="346"/>
      <c r="GF530" s="346"/>
      <c r="GG530" s="346"/>
      <c r="GH530" s="346"/>
      <c r="GI530" s="346"/>
      <c r="GJ530" s="346"/>
      <c r="GK530" s="346"/>
      <c r="GL530" s="346"/>
      <c r="GM530" s="346"/>
      <c r="GN530" s="346"/>
      <c r="GO530" s="346"/>
      <c r="GP530" s="346"/>
      <c r="GQ530" s="346"/>
      <c r="GR530" s="346"/>
      <c r="GS530" s="346"/>
      <c r="GT530" s="346"/>
      <c r="GU530" s="346"/>
      <c r="GV530" s="346"/>
      <c r="GW530" s="346"/>
      <c r="GX530" s="346"/>
      <c r="GY530" s="346"/>
      <c r="GZ530" s="346"/>
      <c r="HA530" s="346"/>
      <c r="HB530" s="346"/>
      <c r="HC530" s="346"/>
      <c r="HD530" s="346"/>
      <c r="HE530" s="346"/>
      <c r="HF530" s="346"/>
      <c r="HG530" s="346"/>
      <c r="HH530" s="346"/>
      <c r="HI530" s="346"/>
      <c r="HJ530" s="346"/>
      <c r="HK530" s="346"/>
      <c r="HL530" s="346"/>
      <c r="HM530" s="346"/>
      <c r="HN530" s="349"/>
      <c r="HO530" s="351" t="s">
        <v>163</v>
      </c>
      <c r="HP530" s="351"/>
      <c r="HQ530" s="351"/>
      <c r="HR530" s="346">
        <f>+FISC!Z747</f>
        <v>26.8</v>
      </c>
      <c r="HS530" s="302">
        <f>SUM(CQ530:CV530)</f>
        <v>11.275234961000001</v>
      </c>
      <c r="HT530" s="302">
        <f>SUM(CW530:DB530)</f>
        <v>15.501716636999999</v>
      </c>
      <c r="HU530" s="346">
        <f>SUM(CQ530:DB530)</f>
        <v>26.776951598</v>
      </c>
      <c r="HV530" s="302">
        <f>+SUM(DC530:DH530)</f>
        <v>11.563159019999999</v>
      </c>
      <c r="HW530" s="302">
        <f>+SUM(DI530:DN530)</f>
        <v>15.416167654999999</v>
      </c>
      <c r="HX530" s="346">
        <f>HV530+HW530</f>
        <v>26.979326674999996</v>
      </c>
      <c r="HY530" s="302">
        <f>+SUM(DO530:DT530)</f>
        <v>10.305865706000001</v>
      </c>
      <c r="HZ530" s="302">
        <f>SUM(DU530:DZ530)</f>
        <v>18.233557717</v>
      </c>
      <c r="IA530" s="346">
        <f t="shared" si="103"/>
        <v>28.539423423000002</v>
      </c>
      <c r="IB530" s="302">
        <v>12.169666252000001</v>
      </c>
      <c r="IC530" s="302">
        <f>ID530-IB530</f>
        <v>20.266150621000001</v>
      </c>
      <c r="ID530" s="346">
        <f>FISC!AC747</f>
        <v>32.435816873</v>
      </c>
      <c r="IE530" s="302">
        <f t="shared" si="252"/>
        <v>14.161645885999999</v>
      </c>
      <c r="IF530" s="302">
        <f t="shared" si="253"/>
        <v>8.1213142700000009</v>
      </c>
      <c r="IG530" s="346">
        <f t="shared" si="201"/>
        <v>22.282960156000001</v>
      </c>
      <c r="IH530" s="350">
        <v>17.196633493</v>
      </c>
      <c r="II530" s="302">
        <f>+IJ530-IH530</f>
        <v>21.253366507000003</v>
      </c>
      <c r="IJ530" s="346">
        <f>+FISC!AE747</f>
        <v>38.450000000000003</v>
      </c>
      <c r="IK530" s="350">
        <f>(IM530/2)*0+19.3727429595163</f>
        <v>19.372742959516302</v>
      </c>
      <c r="IL530" s="302">
        <f t="shared" si="85"/>
        <v>20.987138206142596</v>
      </c>
      <c r="IM530" s="346">
        <f>+FISC!AF747</f>
        <v>40.359881165658898</v>
      </c>
      <c r="IN530" s="350">
        <f>IP530/2</f>
        <v>19.225000000000001</v>
      </c>
      <c r="IO530" s="302">
        <f t="shared" si="154"/>
        <v>19.225000000000001</v>
      </c>
      <c r="IP530" s="346">
        <f>+FISC!AG747</f>
        <v>38.450000000000003</v>
      </c>
      <c r="IQ530" s="350">
        <f>IS530/2</f>
        <v>25.654039195978051</v>
      </c>
      <c r="IR530" s="302">
        <f t="shared" si="74"/>
        <v>25.654039195978051</v>
      </c>
      <c r="IS530" s="346">
        <f>+FISC!AH747</f>
        <v>51.308078391956101</v>
      </c>
      <c r="IT530" s="350">
        <f>IV530/2</f>
        <v>25.654039195978051</v>
      </c>
      <c r="IU530" s="302">
        <f t="shared" si="75"/>
        <v>25.654039195978051</v>
      </c>
      <c r="IV530" s="346">
        <f>+FISC!AI747</f>
        <v>51.308078391956101</v>
      </c>
      <c r="IW530" s="350">
        <f>IY530/2</f>
        <v>0</v>
      </c>
      <c r="IX530" s="302">
        <f t="shared" si="76"/>
        <v>0</v>
      </c>
      <c r="IY530" s="346">
        <f>+FISC!AJ747</f>
        <v>0</v>
      </c>
      <c r="IZ530" s="350">
        <f>JB530/2</f>
        <v>0</v>
      </c>
      <c r="JA530" s="302">
        <f t="shared" si="77"/>
        <v>0</v>
      </c>
      <c r="JB530" s="346">
        <f>+FISC!AK747</f>
        <v>0</v>
      </c>
      <c r="JC530" s="346"/>
      <c r="KI530" s="349"/>
      <c r="KJ530" s="350"/>
    </row>
    <row r="531" spans="1:302" ht="16.5">
      <c r="A531" s="302"/>
      <c r="B531" s="117" t="s">
        <v>361</v>
      </c>
      <c r="D531" s="351" t="str">
        <f>+FISC!D748</f>
        <v>Demobilisation/Reintegration</v>
      </c>
      <c r="E531" s="346"/>
      <c r="F531" s="346"/>
      <c r="G531" s="346"/>
      <c r="H531" s="346"/>
      <c r="I531" s="346"/>
      <c r="J531" s="346"/>
      <c r="K531" s="346"/>
      <c r="L531" s="346"/>
      <c r="M531" s="346"/>
      <c r="N531" s="346"/>
      <c r="O531" s="346"/>
      <c r="P531" s="346"/>
      <c r="Q531" s="346"/>
      <c r="R531" s="346"/>
      <c r="S531" s="346"/>
      <c r="T531" s="346"/>
      <c r="U531" s="346"/>
      <c r="V531" s="346"/>
      <c r="W531" s="346"/>
      <c r="X531" s="346"/>
      <c r="Y531" s="346"/>
      <c r="Z531" s="346"/>
      <c r="AA531" s="346"/>
      <c r="AB531" s="346"/>
      <c r="AC531" s="346"/>
      <c r="AD531" s="346"/>
      <c r="AE531" s="346"/>
      <c r="AF531" s="346"/>
      <c r="AG531" s="346"/>
      <c r="AH531" s="346"/>
      <c r="AI531" s="346"/>
      <c r="AJ531" s="346"/>
      <c r="AK531" s="346"/>
      <c r="AL531" s="346"/>
      <c r="AM531" s="346"/>
      <c r="AN531" s="346"/>
      <c r="AO531" s="346"/>
      <c r="AP531" s="346"/>
      <c r="AQ531" s="346"/>
      <c r="AR531" s="346"/>
      <c r="AS531" s="346"/>
      <c r="AT531" s="346"/>
      <c r="AU531" s="346"/>
      <c r="AV531" s="346"/>
      <c r="AW531" s="346"/>
      <c r="AX531" s="346"/>
      <c r="AY531" s="346"/>
      <c r="AZ531" s="346"/>
      <c r="BA531" s="346"/>
      <c r="BB531" s="346"/>
      <c r="BC531" s="346"/>
      <c r="BD531" s="346"/>
      <c r="BE531" s="346"/>
      <c r="BF531" s="346"/>
      <c r="BG531" s="346"/>
      <c r="BH531" s="346"/>
      <c r="BI531" s="346"/>
      <c r="BJ531" s="346"/>
      <c r="BK531" s="346"/>
      <c r="BL531" s="346"/>
      <c r="BM531" s="346"/>
      <c r="BN531" s="346"/>
      <c r="BO531" s="346"/>
      <c r="BP531" s="346"/>
      <c r="BQ531" s="346"/>
      <c r="BR531" s="346"/>
      <c r="BS531" s="346">
        <v>0</v>
      </c>
      <c r="BT531" s="346">
        <v>0</v>
      </c>
      <c r="BU531" s="346">
        <v>0</v>
      </c>
      <c r="BV531" s="346"/>
      <c r="BW531" s="346"/>
      <c r="BX531" s="346"/>
      <c r="BY531" s="346"/>
      <c r="BZ531" s="346"/>
      <c r="CA531" s="346"/>
      <c r="CB531" s="346"/>
      <c r="CC531" s="346"/>
      <c r="CD531" s="346"/>
      <c r="CE531" s="347">
        <f t="shared" ref="CE531:DJ531" si="266">CE267</f>
        <v>0.31954407499999998</v>
      </c>
      <c r="CF531" s="346">
        <f t="shared" si="266"/>
        <v>0.32206600800000001</v>
      </c>
      <c r="CG531" s="346">
        <f t="shared" si="266"/>
        <v>0.241993915</v>
      </c>
      <c r="CH531" s="346">
        <f t="shared" si="266"/>
        <v>0.700158261</v>
      </c>
      <c r="CI531" s="346">
        <f t="shared" si="266"/>
        <v>0.59480244699999996</v>
      </c>
      <c r="CJ531" s="346">
        <f t="shared" si="266"/>
        <v>0.63199466900000001</v>
      </c>
      <c r="CK531" s="346">
        <f t="shared" si="266"/>
        <v>0.238233945</v>
      </c>
      <c r="CL531" s="346">
        <f t="shared" si="266"/>
        <v>0.31027005899999999</v>
      </c>
      <c r="CM531" s="346">
        <f t="shared" si="266"/>
        <v>0.20934720000000001</v>
      </c>
      <c r="CN531" s="346">
        <f t="shared" si="266"/>
        <v>0.38951990800000003</v>
      </c>
      <c r="CO531" s="346">
        <f t="shared" si="266"/>
        <v>0.54165528399999996</v>
      </c>
      <c r="CP531" s="348">
        <f t="shared" si="266"/>
        <v>0.75777861999999996</v>
      </c>
      <c r="CQ531" s="346">
        <f t="shared" si="266"/>
        <v>0.109332551</v>
      </c>
      <c r="CR531" s="346">
        <f t="shared" si="266"/>
        <v>0.273532475</v>
      </c>
      <c r="CS531" s="346">
        <f t="shared" si="266"/>
        <v>0.32399302000000002</v>
      </c>
      <c r="CT531" s="346">
        <f t="shared" si="266"/>
        <v>0.51652126099999995</v>
      </c>
      <c r="CU531" s="346">
        <f t="shared" si="266"/>
        <v>0.45955833099999999</v>
      </c>
      <c r="CV531" s="346">
        <f t="shared" si="266"/>
        <v>0.46719016000000002</v>
      </c>
      <c r="CW531" s="346">
        <f t="shared" si="266"/>
        <v>0.46799514399999997</v>
      </c>
      <c r="CX531" s="346">
        <f t="shared" si="266"/>
        <v>0.26187786000000002</v>
      </c>
      <c r="CY531" s="346">
        <f t="shared" si="266"/>
        <v>0.46137007299999999</v>
      </c>
      <c r="CZ531" s="346">
        <f t="shared" si="266"/>
        <v>0.36911990700000002</v>
      </c>
      <c r="DA531" s="346">
        <f t="shared" si="266"/>
        <v>0.35077862900000001</v>
      </c>
      <c r="DB531" s="1479">
        <f t="shared" si="266"/>
        <v>0.87854811799999999</v>
      </c>
      <c r="DC531" s="346">
        <f t="shared" si="266"/>
        <v>0.21509856999999999</v>
      </c>
      <c r="DD531" s="346">
        <f t="shared" si="266"/>
        <v>0.33574722200000001</v>
      </c>
      <c r="DE531" s="346">
        <f t="shared" si="266"/>
        <v>0.20921537900000001</v>
      </c>
      <c r="DF531" s="346">
        <f t="shared" si="266"/>
        <v>0.54946555100000005</v>
      </c>
      <c r="DG531" s="346">
        <f t="shared" si="266"/>
        <v>0.23876473300000001</v>
      </c>
      <c r="DH531" s="346">
        <f t="shared" si="266"/>
        <v>0.37626204400000002</v>
      </c>
      <c r="DI531" s="346">
        <f t="shared" si="266"/>
        <v>0.311234656</v>
      </c>
      <c r="DJ531" s="346">
        <f t="shared" si="266"/>
        <v>0.22238349700000001</v>
      </c>
      <c r="DK531" s="346">
        <f t="shared" ref="DK531:EP531" si="267">DK267</f>
        <v>0.44589663800000001</v>
      </c>
      <c r="DL531" s="346">
        <f t="shared" si="267"/>
        <v>0.45821742900000001</v>
      </c>
      <c r="DM531" s="346">
        <f t="shared" si="267"/>
        <v>0.44258078200000001</v>
      </c>
      <c r="DN531" s="348">
        <f t="shared" si="267"/>
        <v>0.57106979000000002</v>
      </c>
      <c r="DO531" s="346">
        <f t="shared" si="267"/>
        <v>0.16270011200000001</v>
      </c>
      <c r="DP531" s="346">
        <f t="shared" si="267"/>
        <v>0.126382619</v>
      </c>
      <c r="DQ531" s="346">
        <f t="shared" si="267"/>
        <v>0.31993961500000001</v>
      </c>
      <c r="DR531" s="346">
        <f t="shared" si="267"/>
        <v>6.967566E-2</v>
      </c>
      <c r="DS531" s="346">
        <f t="shared" si="267"/>
        <v>0.19328446899999999</v>
      </c>
      <c r="DT531" s="346">
        <f t="shared" si="267"/>
        <v>0.33983930699999998</v>
      </c>
      <c r="DU531" s="346">
        <f t="shared" si="267"/>
        <v>0.124056428</v>
      </c>
      <c r="DV531" s="346">
        <f t="shared" si="267"/>
        <v>0.20285381599999999</v>
      </c>
      <c r="DW531" s="346">
        <f t="shared" si="267"/>
        <v>0.159907204</v>
      </c>
      <c r="DX531" s="346">
        <f t="shared" si="267"/>
        <v>0.42342381200000001</v>
      </c>
      <c r="DY531" s="346">
        <f t="shared" si="267"/>
        <v>0.23020560000000001</v>
      </c>
      <c r="DZ531" s="348">
        <f t="shared" si="267"/>
        <v>0.310728913</v>
      </c>
      <c r="EA531" s="346">
        <f t="shared" si="267"/>
        <v>8.3919091000000001E-2</v>
      </c>
      <c r="EB531" s="346">
        <f t="shared" si="267"/>
        <v>0.16387307400000001</v>
      </c>
      <c r="EC531" s="346">
        <f t="shared" si="267"/>
        <v>0.16643264799999999</v>
      </c>
      <c r="ED531" s="346">
        <f t="shared" si="267"/>
        <v>0.43759340499999999</v>
      </c>
      <c r="EE531" s="346">
        <f t="shared" si="267"/>
        <v>0.24953403099999999</v>
      </c>
      <c r="EF531" s="346">
        <f t="shared" si="267"/>
        <v>0.165722067</v>
      </c>
      <c r="EG531" s="346">
        <f t="shared" si="267"/>
        <v>0.308595646</v>
      </c>
      <c r="EH531" s="346">
        <f t="shared" si="267"/>
        <v>0.54132779499999994</v>
      </c>
      <c r="EI531" s="346">
        <f t="shared" si="267"/>
        <v>0.320699497</v>
      </c>
      <c r="EJ531" s="346">
        <f t="shared" si="267"/>
        <v>0.127708813</v>
      </c>
      <c r="EK531" s="346">
        <f t="shared" si="267"/>
        <v>0.29939412599999998</v>
      </c>
      <c r="EL531" s="348">
        <f t="shared" si="267"/>
        <v>0.76786692000000001</v>
      </c>
      <c r="EM531" s="346">
        <f t="shared" si="267"/>
        <v>0.30968720399999999</v>
      </c>
      <c r="EN531" s="346">
        <f t="shared" si="267"/>
        <v>0.26413287099999999</v>
      </c>
      <c r="EO531" s="346">
        <f t="shared" si="267"/>
        <v>0.224516248</v>
      </c>
      <c r="EP531" s="346">
        <f t="shared" si="267"/>
        <v>0.33610833800000001</v>
      </c>
      <c r="EQ531" s="346">
        <f t="shared" ref="EQ531:EX531" si="268">EQ267</f>
        <v>0.238944237</v>
      </c>
      <c r="ER531" s="346">
        <f t="shared" si="268"/>
        <v>0.361617572</v>
      </c>
      <c r="ES531" s="346">
        <f t="shared" si="268"/>
        <v>0.390914963</v>
      </c>
      <c r="ET531" s="346">
        <f t="shared" si="268"/>
        <v>0.38259226400000002</v>
      </c>
      <c r="EU531" s="346">
        <f t="shared" si="268"/>
        <v>7.6323815000000003E-2</v>
      </c>
      <c r="EV531" s="346">
        <f t="shared" si="268"/>
        <v>7.6323815000000003E-2</v>
      </c>
      <c r="EW531" s="346">
        <f t="shared" si="268"/>
        <v>7.6323815000000003E-2</v>
      </c>
      <c r="EX531" s="348">
        <f t="shared" si="268"/>
        <v>7.6323815000000003E-2</v>
      </c>
      <c r="EY531" s="346"/>
      <c r="EZ531" s="346"/>
      <c r="FA531" s="346"/>
      <c r="FB531" s="346"/>
      <c r="FC531" s="346"/>
      <c r="FD531" s="346"/>
      <c r="FE531" s="346"/>
      <c r="FF531" s="346"/>
      <c r="FG531" s="346"/>
      <c r="FH531" s="346"/>
      <c r="FI531" s="346"/>
      <c r="FJ531" s="348"/>
      <c r="FK531" s="346"/>
      <c r="FL531" s="346"/>
      <c r="FM531" s="346"/>
      <c r="FN531" s="346"/>
      <c r="FO531" s="346"/>
      <c r="FP531" s="346"/>
      <c r="FQ531" s="346"/>
      <c r="FR531" s="346"/>
      <c r="FS531" s="346"/>
      <c r="FT531" s="346"/>
      <c r="FU531" s="346"/>
      <c r="FV531" s="346"/>
      <c r="FW531" s="346"/>
      <c r="FX531" s="346"/>
      <c r="FY531" s="346"/>
      <c r="FZ531" s="346"/>
      <c r="GA531" s="346"/>
      <c r="GB531" s="346"/>
      <c r="GC531" s="346"/>
      <c r="GD531" s="346"/>
      <c r="GE531" s="346"/>
      <c r="GF531" s="346"/>
      <c r="GG531" s="346"/>
      <c r="GH531" s="346"/>
      <c r="GI531" s="346"/>
      <c r="GJ531" s="346"/>
      <c r="GK531" s="346"/>
      <c r="GL531" s="346"/>
      <c r="GM531" s="346"/>
      <c r="GN531" s="346"/>
      <c r="GO531" s="346"/>
      <c r="GP531" s="346"/>
      <c r="GQ531" s="346"/>
      <c r="GR531" s="346"/>
      <c r="GS531" s="346"/>
      <c r="GT531" s="346"/>
      <c r="GU531" s="346"/>
      <c r="GV531" s="346"/>
      <c r="GW531" s="346"/>
      <c r="GX531" s="346"/>
      <c r="GY531" s="346"/>
      <c r="GZ531" s="346"/>
      <c r="HA531" s="346"/>
      <c r="HB531" s="346"/>
      <c r="HC531" s="346"/>
      <c r="HD531" s="346"/>
      <c r="HE531" s="346"/>
      <c r="HF531" s="346"/>
      <c r="HG531" s="346"/>
      <c r="HH531" s="346"/>
      <c r="HI531" s="346"/>
      <c r="HJ531" s="346"/>
      <c r="HK531" s="346"/>
      <c r="HL531" s="346"/>
      <c r="HM531" s="346"/>
      <c r="HN531" s="349"/>
      <c r="HO531" s="351" t="s">
        <v>307</v>
      </c>
      <c r="HP531" s="351"/>
      <c r="HQ531" s="351"/>
      <c r="HR531" s="346">
        <f>+FISC!Z748</f>
        <v>4.9400000000000004</v>
      </c>
      <c r="HS531" s="302">
        <f>SUM(CQ531:CV531)</f>
        <v>2.1501277980000002</v>
      </c>
      <c r="HT531" s="302">
        <f>SUM(CW531:DB531)</f>
        <v>2.7896897309999997</v>
      </c>
      <c r="HU531" s="346">
        <f>SUM(CQ531:DB531)</f>
        <v>4.9398175290000008</v>
      </c>
      <c r="HV531" s="302">
        <f>+SUM(DC531:DH531)</f>
        <v>1.9245534990000002</v>
      </c>
      <c r="HW531" s="302">
        <f>+SUM(DI531:DN531)</f>
        <v>2.451382792</v>
      </c>
      <c r="HX531" s="346">
        <f>HV531+HW531</f>
        <v>4.3759362910000004</v>
      </c>
      <c r="HY531" s="302">
        <f>+SUM(DO531:DT531)</f>
        <v>1.2118217819999999</v>
      </c>
      <c r="HZ531" s="302">
        <f>SUM(DU531:DZ531)</f>
        <v>1.4511757729999999</v>
      </c>
      <c r="IA531" s="346">
        <f t="shared" si="103"/>
        <v>2.6629975549999996</v>
      </c>
      <c r="IB531" s="1155">
        <v>1.267074316</v>
      </c>
      <c r="IC531" s="302">
        <f>ID531-IB531</f>
        <v>2.3655927969999997</v>
      </c>
      <c r="ID531" s="346">
        <f>FISC!AC748</f>
        <v>3.6326671129999997</v>
      </c>
      <c r="IE531" s="302">
        <f t="shared" si="252"/>
        <v>1.7350064700000001</v>
      </c>
      <c r="IF531" s="302">
        <f t="shared" si="253"/>
        <v>1.0788024870000001</v>
      </c>
      <c r="IG531" s="346">
        <f t="shared" si="201"/>
        <v>2.813808957</v>
      </c>
      <c r="IH531" s="350">
        <v>1.8035484079999999</v>
      </c>
      <c r="II531" s="302">
        <f>+IJ531-IH531</f>
        <v>5.8364515919999995</v>
      </c>
      <c r="IJ531" s="346">
        <f>+FISC!AE748</f>
        <v>7.64</v>
      </c>
      <c r="IK531" s="350">
        <f>(IM531/2)*0+2.18109610629445</f>
        <v>2.1810961062944498</v>
      </c>
      <c r="IL531" s="302">
        <f t="shared" si="85"/>
        <v>6.5295207818189818</v>
      </c>
      <c r="IM531" s="346">
        <f>+FISC!AF748</f>
        <v>8.7106168881134316</v>
      </c>
      <c r="IN531" s="350">
        <f>IP531/2</f>
        <v>4.82</v>
      </c>
      <c r="IO531" s="302">
        <f t="shared" si="154"/>
        <v>4.82</v>
      </c>
      <c r="IP531" s="346">
        <f>+FISC!AG748</f>
        <v>9.64</v>
      </c>
      <c r="IQ531" s="350">
        <f>IS531/2</f>
        <v>6.1252057173963141</v>
      </c>
      <c r="IR531" s="302">
        <f t="shared" si="74"/>
        <v>6.1252057173963141</v>
      </c>
      <c r="IS531" s="346">
        <f>+FISC!AH748</f>
        <v>12.250411434792628</v>
      </c>
      <c r="IT531" s="350">
        <f>IV531/2</f>
        <v>6.1252057173963141</v>
      </c>
      <c r="IU531" s="302">
        <f t="shared" si="75"/>
        <v>6.1252057173963141</v>
      </c>
      <c r="IV531" s="346">
        <f>+FISC!AI748</f>
        <v>12.250411434792628</v>
      </c>
      <c r="IW531" s="350">
        <f>IY531/2</f>
        <v>0</v>
      </c>
      <c r="IX531" s="302">
        <f t="shared" si="76"/>
        <v>0</v>
      </c>
      <c r="IY531" s="346">
        <f>+FISC!AJ748</f>
        <v>0</v>
      </c>
      <c r="IZ531" s="350">
        <f>JB531/2</f>
        <v>0</v>
      </c>
      <c r="JA531" s="302">
        <f t="shared" si="77"/>
        <v>0</v>
      </c>
      <c r="JB531" s="346">
        <f>+FISC!AK748</f>
        <v>0</v>
      </c>
      <c r="JC531" s="346"/>
      <c r="KI531" s="349"/>
      <c r="KJ531" s="350"/>
    </row>
    <row r="532" spans="1:302" ht="16.5">
      <c r="A532" s="302"/>
      <c r="B532" s="117" t="s">
        <v>361</v>
      </c>
      <c r="D532" s="351" t="str">
        <f>+FISC!D749</f>
        <v>Peace keeping operations (incl. CAR&amp;Juba)</v>
      </c>
      <c r="E532" s="346">
        <v>0.34166000000000002</v>
      </c>
      <c r="F532" s="346">
        <v>2.0249100000000002</v>
      </c>
      <c r="G532" s="346">
        <v>0.35851</v>
      </c>
      <c r="H532" s="346">
        <v>0.16019</v>
      </c>
      <c r="I532" s="346">
        <v>0.47241000000000005</v>
      </c>
      <c r="J532" s="346">
        <v>0.66464000000000001</v>
      </c>
      <c r="K532" s="346">
        <v>2.1553200000000001</v>
      </c>
      <c r="L532" s="346">
        <v>1.6146400000000001</v>
      </c>
      <c r="M532" s="346">
        <v>2.6454299999999997</v>
      </c>
      <c r="N532" s="346">
        <v>0.22815000000000002</v>
      </c>
      <c r="O532" s="346">
        <v>0</v>
      </c>
      <c r="P532" s="346">
        <v>0</v>
      </c>
      <c r="Q532" s="346">
        <v>1.55501</v>
      </c>
      <c r="R532" s="346">
        <v>1.4464900000000001</v>
      </c>
      <c r="S532" s="346">
        <v>0.65276999999999996</v>
      </c>
      <c r="T532" s="346">
        <v>0.50612999999999997</v>
      </c>
      <c r="U532" s="346">
        <v>0.79437000000000002</v>
      </c>
      <c r="V532" s="346">
        <v>0.37542000000000003</v>
      </c>
      <c r="W532" s="346">
        <v>3.2464200000000001</v>
      </c>
      <c r="X532" s="346">
        <v>0.72238999999999998</v>
      </c>
      <c r="Y532" s="346">
        <v>0.46747000000000005</v>
      </c>
      <c r="Z532" s="346">
        <v>3.1918500000000001</v>
      </c>
      <c r="AA532" s="346">
        <v>2.2851399999999997</v>
      </c>
      <c r="AB532" s="346">
        <v>0.61675000000000002</v>
      </c>
      <c r="AC532" s="346">
        <v>0.35408000000000001</v>
      </c>
      <c r="AD532" s="346">
        <v>0.87907000000000002</v>
      </c>
      <c r="AE532" s="346">
        <v>5.3842600000000003</v>
      </c>
      <c r="AF532" s="346">
        <v>1.4432799999999999</v>
      </c>
      <c r="AG532" s="346">
        <v>0.17388000000000001</v>
      </c>
      <c r="AH532" s="346">
        <v>0.2049</v>
      </c>
      <c r="AI532" s="346">
        <v>0.09</v>
      </c>
      <c r="AJ532" s="346">
        <v>1.6800000000000002E-2</v>
      </c>
      <c r="AK532" s="346">
        <v>7.6902799999999996</v>
      </c>
      <c r="AL532" s="346">
        <v>2.5403200000000004</v>
      </c>
      <c r="AM532" s="346">
        <v>0.80814999999999992</v>
      </c>
      <c r="AN532" s="346">
        <v>2.5576999999999996</v>
      </c>
      <c r="AO532" s="346">
        <v>3.4376799999999998</v>
      </c>
      <c r="AP532" s="346">
        <v>2.75359</v>
      </c>
      <c r="AQ532" s="346">
        <v>0.63054999999999994</v>
      </c>
      <c r="AR532" s="346">
        <v>0.52929999999999999</v>
      </c>
      <c r="AS532" s="346">
        <v>0.44172</v>
      </c>
      <c r="AT532" s="346">
        <v>1.6354600000000001</v>
      </c>
      <c r="AU532" s="346">
        <v>1.1509800000000001</v>
      </c>
      <c r="AV532" s="346">
        <v>8.8292000000000002</v>
      </c>
      <c r="AW532" s="346">
        <v>0.46489999999999998</v>
      </c>
      <c r="AX532" s="346">
        <v>4.2438900000000004</v>
      </c>
      <c r="AY532" s="346">
        <v>3.28138</v>
      </c>
      <c r="AZ532" s="346">
        <v>2.3563700000000001</v>
      </c>
      <c r="BA532" s="346">
        <v>2.7272600000000002</v>
      </c>
      <c r="BB532" s="346">
        <v>3.4991300000000001</v>
      </c>
      <c r="BC532" s="346">
        <v>1.6230899999999999</v>
      </c>
      <c r="BD532" s="346">
        <v>1.7535499999999999</v>
      </c>
      <c r="BE532" s="346">
        <v>4.77623</v>
      </c>
      <c r="BF532" s="346">
        <v>0.29952000000000001</v>
      </c>
      <c r="BG532" s="346">
        <v>0</v>
      </c>
      <c r="BH532" s="346">
        <v>0</v>
      </c>
      <c r="BI532" s="346">
        <v>0</v>
      </c>
      <c r="BJ532" s="346">
        <v>4.2438900000000004</v>
      </c>
      <c r="BK532" s="346">
        <v>3.28138</v>
      </c>
      <c r="BL532" s="346">
        <v>2.3563700000000001</v>
      </c>
      <c r="BM532" s="346"/>
      <c r="BN532" s="346"/>
      <c r="BO532" s="346"/>
      <c r="BP532" s="346"/>
      <c r="BQ532" s="346"/>
      <c r="BR532" s="346"/>
      <c r="BS532" s="346">
        <v>0</v>
      </c>
      <c r="BT532" s="346">
        <v>0</v>
      </c>
      <c r="BU532" s="346">
        <v>0</v>
      </c>
      <c r="BV532" s="346"/>
      <c r="BW532" s="346"/>
      <c r="BX532" s="346"/>
      <c r="BY532" s="346"/>
      <c r="BZ532" s="346"/>
      <c r="CA532" s="346"/>
      <c r="CB532" s="346"/>
      <c r="CC532" s="346"/>
      <c r="CD532" s="346"/>
      <c r="CE532" s="347">
        <f t="shared" ref="CE532:DN532" si="269">CE265</f>
        <v>0.50456340899999996</v>
      </c>
      <c r="CF532" s="346">
        <f t="shared" si="269"/>
        <v>1.7476063589999999</v>
      </c>
      <c r="CG532" s="346">
        <f t="shared" si="269"/>
        <v>2.5078438830000001</v>
      </c>
      <c r="CH532" s="346">
        <f t="shared" si="269"/>
        <v>4.2796865100000003</v>
      </c>
      <c r="CI532" s="346">
        <f t="shared" si="269"/>
        <v>1.984140751</v>
      </c>
      <c r="CJ532" s="346">
        <f t="shared" si="269"/>
        <v>8.8832548409999994</v>
      </c>
      <c r="CK532" s="346">
        <f t="shared" si="269"/>
        <v>17.122658194</v>
      </c>
      <c r="CL532" s="346">
        <f t="shared" si="269"/>
        <v>5.8810547279999996</v>
      </c>
      <c r="CM532" s="346">
        <f t="shared" si="269"/>
        <v>2.0204277400000001</v>
      </c>
      <c r="CN532" s="346">
        <f t="shared" si="269"/>
        <v>32.840357654000002</v>
      </c>
      <c r="CO532" s="346">
        <f t="shared" si="269"/>
        <v>6.1217295199999997</v>
      </c>
      <c r="CP532" s="348">
        <f t="shared" si="269"/>
        <v>4.6989858790000003</v>
      </c>
      <c r="CQ532" s="346">
        <f t="shared" si="269"/>
        <v>3.3069556549999999</v>
      </c>
      <c r="CR532" s="346">
        <f t="shared" si="269"/>
        <v>6.4042622419999997</v>
      </c>
      <c r="CS532" s="346">
        <f t="shared" si="269"/>
        <v>16.276444960999999</v>
      </c>
      <c r="CT532" s="346">
        <f t="shared" si="269"/>
        <v>2.5757698800000002</v>
      </c>
      <c r="CU532" s="346">
        <f t="shared" si="269"/>
        <v>11.361395821</v>
      </c>
      <c r="CV532" s="346">
        <f t="shared" si="269"/>
        <v>8.9995893299999992</v>
      </c>
      <c r="CW532" s="346">
        <f t="shared" si="269"/>
        <v>4.5673420480000004</v>
      </c>
      <c r="CX532" s="346">
        <f t="shared" si="269"/>
        <v>15.067308116</v>
      </c>
      <c r="CY532" s="346">
        <f t="shared" si="269"/>
        <v>21.316740576000001</v>
      </c>
      <c r="CZ532" s="346">
        <f t="shared" si="269"/>
        <v>23.350845295999999</v>
      </c>
      <c r="DA532" s="346">
        <f t="shared" si="269"/>
        <v>13.842407558</v>
      </c>
      <c r="DB532" s="1479">
        <f t="shared" si="269"/>
        <v>2.6777527449999998</v>
      </c>
      <c r="DC532" s="346">
        <f t="shared" si="269"/>
        <v>17.737972109000001</v>
      </c>
      <c r="DD532" s="346">
        <f t="shared" si="269"/>
        <v>4.4097133079999997</v>
      </c>
      <c r="DE532" s="346">
        <f t="shared" si="269"/>
        <v>13.657923759999999</v>
      </c>
      <c r="DF532" s="346">
        <f t="shared" si="269"/>
        <v>17.11311074</v>
      </c>
      <c r="DG532" s="346">
        <f t="shared" si="269"/>
        <v>7.0939463659999999</v>
      </c>
      <c r="DH532" s="346">
        <f t="shared" si="269"/>
        <v>3.497748745</v>
      </c>
      <c r="DI532" s="346">
        <f t="shared" si="269"/>
        <v>23.813975739</v>
      </c>
      <c r="DJ532" s="346">
        <f t="shared" si="269"/>
        <v>2.792332053</v>
      </c>
      <c r="DK532" s="346">
        <f t="shared" si="269"/>
        <v>7.4808230059999996</v>
      </c>
      <c r="DL532" s="346">
        <f t="shared" si="269"/>
        <v>13.848432197999999</v>
      </c>
      <c r="DM532" s="346">
        <f t="shared" si="269"/>
        <v>9.0590336780000005</v>
      </c>
      <c r="DN532" s="348">
        <f t="shared" si="269"/>
        <v>7.3517119559999999</v>
      </c>
      <c r="DO532" s="346">
        <f t="shared" ref="DO532:EX532" si="270">DO265+DO268</f>
        <v>16.004670951000001</v>
      </c>
      <c r="DP532" s="346">
        <f t="shared" si="270"/>
        <v>22.695920107999999</v>
      </c>
      <c r="DQ532" s="346">
        <f t="shared" si="270"/>
        <v>8.208668393</v>
      </c>
      <c r="DR532" s="346">
        <f t="shared" si="270"/>
        <v>14.774478496</v>
      </c>
      <c r="DS532" s="346">
        <f t="shared" si="270"/>
        <v>12.192076373000001</v>
      </c>
      <c r="DT532" s="346">
        <f t="shared" si="270"/>
        <v>17.985155098</v>
      </c>
      <c r="DU532" s="346">
        <f t="shared" si="270"/>
        <v>12.935356780999999</v>
      </c>
      <c r="DV532" s="346">
        <f t="shared" si="270"/>
        <v>4.7429380810000001</v>
      </c>
      <c r="DW532" s="346">
        <f t="shared" si="270"/>
        <v>4.727136539</v>
      </c>
      <c r="DX532" s="346">
        <f t="shared" si="270"/>
        <v>7.9464688419999998</v>
      </c>
      <c r="DY532" s="346">
        <f t="shared" si="270"/>
        <v>5.5027702610000002</v>
      </c>
      <c r="DZ532" s="348">
        <f t="shared" si="270"/>
        <v>0.43582214100000005</v>
      </c>
      <c r="EA532" s="346">
        <f t="shared" si="270"/>
        <v>22.346125575999999</v>
      </c>
      <c r="EB532" s="346">
        <f t="shared" si="270"/>
        <v>11.357354151999999</v>
      </c>
      <c r="EC532" s="346">
        <f t="shared" si="270"/>
        <v>24.795617952000001</v>
      </c>
      <c r="ED532" s="346">
        <f t="shared" si="270"/>
        <v>28.623205810000002</v>
      </c>
      <c r="EE532" s="346">
        <f t="shared" si="270"/>
        <v>12.447309749</v>
      </c>
      <c r="EF532" s="346">
        <f t="shared" si="270"/>
        <v>10.951594114000001</v>
      </c>
      <c r="EG532" s="346">
        <f t="shared" si="270"/>
        <v>2.6845931360000002</v>
      </c>
      <c r="EH532" s="346">
        <f t="shared" si="270"/>
        <v>3.77043778</v>
      </c>
      <c r="EI532" s="346">
        <f t="shared" si="270"/>
        <v>6.889388587</v>
      </c>
      <c r="EJ532" s="346">
        <f t="shared" si="270"/>
        <v>7.4604991099999998</v>
      </c>
      <c r="EK532" s="346">
        <f t="shared" si="270"/>
        <v>11.488189165</v>
      </c>
      <c r="EL532" s="348">
        <f t="shared" si="270"/>
        <v>2.9563233879999999</v>
      </c>
      <c r="EM532" s="346">
        <f t="shared" si="270"/>
        <v>3.9337860079999998</v>
      </c>
      <c r="EN532" s="346">
        <f t="shared" si="270"/>
        <v>31.859930555999998</v>
      </c>
      <c r="EO532" s="346">
        <f t="shared" si="270"/>
        <v>12.333831847000001</v>
      </c>
      <c r="EP532" s="346">
        <f t="shared" si="270"/>
        <v>22.787231059</v>
      </c>
      <c r="EQ532" s="346">
        <f t="shared" si="270"/>
        <v>13.611195721</v>
      </c>
      <c r="ER532" s="346">
        <f t="shared" si="270"/>
        <v>11.547436397</v>
      </c>
      <c r="ES532" s="346">
        <f t="shared" si="270"/>
        <v>6.8268359780000001</v>
      </c>
      <c r="ET532" s="346">
        <f t="shared" si="270"/>
        <v>3.4691243489999999</v>
      </c>
      <c r="EU532" s="346">
        <f t="shared" si="270"/>
        <v>34.067866636000005</v>
      </c>
      <c r="EV532" s="346">
        <f t="shared" si="270"/>
        <v>32.439337769000005</v>
      </c>
      <c r="EW532" s="346">
        <f t="shared" si="270"/>
        <v>18.188683538999999</v>
      </c>
      <c r="EX532" s="348">
        <f t="shared" si="270"/>
        <v>21.537148503000001</v>
      </c>
      <c r="EY532" s="346"/>
      <c r="EZ532" s="346"/>
      <c r="FA532" s="346"/>
      <c r="FB532" s="346"/>
      <c r="FC532" s="346"/>
      <c r="FD532" s="346"/>
      <c r="FE532" s="346"/>
      <c r="FF532" s="346"/>
      <c r="FG532" s="346"/>
      <c r="FH532" s="346"/>
      <c r="FI532" s="346"/>
      <c r="FJ532" s="348"/>
      <c r="FK532" s="346"/>
      <c r="FL532" s="346"/>
      <c r="FM532" s="346"/>
      <c r="FN532" s="346"/>
      <c r="FO532" s="346"/>
      <c r="FP532" s="346"/>
      <c r="FQ532" s="346"/>
      <c r="FR532" s="346"/>
      <c r="FS532" s="346"/>
      <c r="FT532" s="346"/>
      <c r="FU532" s="346"/>
      <c r="FV532" s="346"/>
      <c r="FW532" s="346"/>
      <c r="FX532" s="346"/>
      <c r="FY532" s="346"/>
      <c r="FZ532" s="346"/>
      <c r="GA532" s="346"/>
      <c r="GB532" s="346"/>
      <c r="GC532" s="346"/>
      <c r="GD532" s="346"/>
      <c r="GE532" s="346"/>
      <c r="GF532" s="346"/>
      <c r="GG532" s="346"/>
      <c r="GH532" s="346"/>
      <c r="GI532" s="346"/>
      <c r="GJ532" s="346"/>
      <c r="GK532" s="346"/>
      <c r="GL532" s="346"/>
      <c r="GM532" s="346"/>
      <c r="GN532" s="346"/>
      <c r="GO532" s="346"/>
      <c r="GP532" s="346"/>
      <c r="GQ532" s="346"/>
      <c r="GR532" s="346"/>
      <c r="GS532" s="346"/>
      <c r="GT532" s="346"/>
      <c r="GU532" s="346"/>
      <c r="GV532" s="346"/>
      <c r="GW532" s="346"/>
      <c r="GX532" s="346"/>
      <c r="GY532" s="346"/>
      <c r="GZ532" s="346"/>
      <c r="HA532" s="346"/>
      <c r="HB532" s="346"/>
      <c r="HC532" s="346"/>
      <c r="HD532" s="346"/>
      <c r="HE532" s="346"/>
      <c r="HF532" s="346"/>
      <c r="HG532" s="346"/>
      <c r="HH532" s="346"/>
      <c r="HI532" s="346"/>
      <c r="HJ532" s="346"/>
      <c r="HK532" s="346"/>
      <c r="HL532" s="346"/>
      <c r="HM532" s="346"/>
      <c r="HN532" s="349"/>
      <c r="HO532" s="351" t="s">
        <v>164</v>
      </c>
      <c r="HP532" s="351"/>
      <c r="HQ532" s="351"/>
      <c r="HR532" s="346">
        <f>+FISC!Z749</f>
        <v>89.34</v>
      </c>
      <c r="HS532" s="302">
        <f>SUM(CQ532:CV532)</f>
        <v>48.924417888999997</v>
      </c>
      <c r="HT532" s="302">
        <f>SUM(CW532:DB532)</f>
        <v>80.822396339000008</v>
      </c>
      <c r="HU532" s="346">
        <f>SUM(CQ532:DB532)</f>
        <v>129.74681422800001</v>
      </c>
      <c r="HV532" s="302">
        <f>+SUM(DC532:DH532)</f>
        <v>63.510415028000004</v>
      </c>
      <c r="HW532" s="302">
        <f>+SUM(DI532:DN532)</f>
        <v>64.346308629999996</v>
      </c>
      <c r="HX532" s="346">
        <f>HV532+HW532</f>
        <v>127.85672365799999</v>
      </c>
      <c r="HY532" s="302">
        <f>+SUM(DO532:DT532)</f>
        <v>91.860969419000014</v>
      </c>
      <c r="HZ532" s="302">
        <f>SUM(DU532:DZ532)</f>
        <v>36.290492645000008</v>
      </c>
      <c r="IA532" s="346">
        <f t="shared" si="103"/>
        <v>128.15146206400001</v>
      </c>
      <c r="IB532" s="1155">
        <v>92.022713533000001</v>
      </c>
      <c r="IC532" s="302">
        <f>(ID532-IB532)</f>
        <v>53.747924985999987</v>
      </c>
      <c r="ID532" s="346">
        <f>FISC!AC749</f>
        <v>145.77063851899999</v>
      </c>
      <c r="IE532" s="302">
        <f t="shared" si="252"/>
        <v>96.073411587999999</v>
      </c>
      <c r="IF532" s="302">
        <f t="shared" si="253"/>
        <v>116.52899677400001</v>
      </c>
      <c r="IG532" s="346">
        <f t="shared" si="201"/>
        <v>212.60240836200001</v>
      </c>
      <c r="IH532" s="350">
        <v>92.062592945000006</v>
      </c>
      <c r="II532" s="302">
        <f>+IJ532-IH532</f>
        <v>92.207418029657816</v>
      </c>
      <c r="IJ532" s="346">
        <f>+FISC!AE749</f>
        <v>184.27001097465782</v>
      </c>
      <c r="IK532" s="350">
        <f>IK486*0+62.4600720753457</f>
        <v>62.4600720753457</v>
      </c>
      <c r="IL532" s="302">
        <f t="shared" si="85"/>
        <v>73.239855294136078</v>
      </c>
      <c r="IM532" s="346">
        <f>+FISC!AF749</f>
        <v>135.69992736948177</v>
      </c>
      <c r="IN532" s="350">
        <f>IN486</f>
        <v>55.420986193818557</v>
      </c>
      <c r="IO532" s="302">
        <f t="shared" si="154"/>
        <v>77.067057178770455</v>
      </c>
      <c r="IP532" s="346">
        <f>+FISC!AG749</f>
        <v>132.488043372589</v>
      </c>
      <c r="IQ532" s="350">
        <f>IQ486</f>
        <v>60.518540563908395</v>
      </c>
      <c r="IR532" s="302">
        <f t="shared" si="74"/>
        <v>91.338955432008191</v>
      </c>
      <c r="IS532" s="346">
        <f>+FISC!AH749</f>
        <v>151.85749599591659</v>
      </c>
      <c r="IT532" s="350">
        <f>IT486</f>
        <v>70.36446678371216</v>
      </c>
      <c r="IU532" s="302">
        <f t="shared" si="75"/>
        <v>106.19913890301915</v>
      </c>
      <c r="IV532" s="346">
        <f>+FISC!AI749</f>
        <v>176.56360568673131</v>
      </c>
      <c r="IW532" s="350">
        <f>IW486</f>
        <v>0</v>
      </c>
      <c r="IX532" s="302">
        <f t="shared" si="76"/>
        <v>0</v>
      </c>
      <c r="IY532" s="346">
        <f>+FISC!AJ749</f>
        <v>0</v>
      </c>
      <c r="IZ532" s="350">
        <f>IZ486</f>
        <v>0</v>
      </c>
      <c r="JA532" s="302">
        <f t="shared" si="77"/>
        <v>0</v>
      </c>
      <c r="JB532" s="346">
        <f>+FISC!AK749</f>
        <v>0</v>
      </c>
      <c r="JC532" s="346"/>
      <c r="KI532" s="349"/>
      <c r="KJ532" s="350"/>
    </row>
    <row r="533" spans="1:302">
      <c r="A533" s="302"/>
      <c r="D533" s="351" t="s">
        <v>1082</v>
      </c>
      <c r="E533" s="346"/>
      <c r="F533" s="346"/>
      <c r="G533" s="346"/>
      <c r="H533" s="346"/>
      <c r="I533" s="346"/>
      <c r="J533" s="346"/>
      <c r="K533" s="346"/>
      <c r="L533" s="346"/>
      <c r="M533" s="346"/>
      <c r="N533" s="346"/>
      <c r="O533" s="346"/>
      <c r="P533" s="346"/>
      <c r="Q533" s="346"/>
      <c r="R533" s="346"/>
      <c r="S533" s="346"/>
      <c r="T533" s="346"/>
      <c r="U533" s="346"/>
      <c r="V533" s="346"/>
      <c r="W533" s="346"/>
      <c r="X533" s="346"/>
      <c r="Y533" s="346"/>
      <c r="Z533" s="346"/>
      <c r="AA533" s="346"/>
      <c r="AB533" s="346"/>
      <c r="AC533" s="346"/>
      <c r="AD533" s="346"/>
      <c r="AE533" s="346"/>
      <c r="AF533" s="346"/>
      <c r="AG533" s="346"/>
      <c r="AH533" s="346"/>
      <c r="AI533" s="346"/>
      <c r="AJ533" s="346"/>
      <c r="AK533" s="346"/>
      <c r="AL533" s="346"/>
      <c r="AM533" s="346"/>
      <c r="AN533" s="346"/>
      <c r="AO533" s="346"/>
      <c r="AP533" s="346"/>
      <c r="AQ533" s="346"/>
      <c r="AR533" s="346"/>
      <c r="AS533" s="346"/>
      <c r="AT533" s="346"/>
      <c r="AU533" s="346"/>
      <c r="AV533" s="346"/>
      <c r="AW533" s="346"/>
      <c r="AX533" s="346"/>
      <c r="AY533" s="346"/>
      <c r="AZ533" s="346"/>
      <c r="BA533" s="346"/>
      <c r="BB533" s="346"/>
      <c r="BC533" s="346"/>
      <c r="BD533" s="346"/>
      <c r="BE533" s="346"/>
      <c r="BF533" s="346"/>
      <c r="BG533" s="346"/>
      <c r="BH533" s="346"/>
      <c r="BI533" s="346"/>
      <c r="BJ533" s="346"/>
      <c r="BK533" s="346"/>
      <c r="BL533" s="346"/>
      <c r="BM533" s="346"/>
      <c r="BN533" s="346"/>
      <c r="BO533" s="346"/>
      <c r="BP533" s="346"/>
      <c r="BQ533" s="346"/>
      <c r="BR533" s="346"/>
      <c r="BS533" s="346"/>
      <c r="BT533" s="346"/>
      <c r="BU533" s="346"/>
      <c r="BV533" s="346"/>
      <c r="BW533" s="346"/>
      <c r="BX533" s="346"/>
      <c r="BY533" s="346"/>
      <c r="BZ533" s="346"/>
      <c r="CA533" s="346"/>
      <c r="CB533" s="346"/>
      <c r="CC533" s="346"/>
      <c r="CD533" s="346"/>
      <c r="CE533" s="347"/>
      <c r="CF533" s="346"/>
      <c r="CG533" s="346"/>
      <c r="CH533" s="346"/>
      <c r="CI533" s="346"/>
      <c r="CJ533" s="346"/>
      <c r="CK533" s="346"/>
      <c r="CL533" s="346"/>
      <c r="CM533" s="346"/>
      <c r="CN533" s="346"/>
      <c r="CO533" s="346"/>
      <c r="CP533" s="348"/>
      <c r="CQ533" s="346"/>
      <c r="CR533" s="346"/>
      <c r="CS533" s="346"/>
      <c r="CT533" s="346"/>
      <c r="CU533" s="346"/>
      <c r="CV533" s="346"/>
      <c r="CW533" s="346"/>
      <c r="CX533" s="346"/>
      <c r="CY533" s="346"/>
      <c r="CZ533" s="346"/>
      <c r="DA533" s="346"/>
      <c r="DB533" s="1479"/>
      <c r="DC533" s="346">
        <f t="shared" ref="DC533:EX533" si="271">+DC268</f>
        <v>0</v>
      </c>
      <c r="DD533" s="346">
        <f t="shared" si="271"/>
        <v>0</v>
      </c>
      <c r="DE533" s="346">
        <f t="shared" si="271"/>
        <v>0</v>
      </c>
      <c r="DF533" s="346">
        <f t="shared" si="271"/>
        <v>0</v>
      </c>
      <c r="DG533" s="346">
        <f t="shared" si="271"/>
        <v>0</v>
      </c>
      <c r="DH533" s="346">
        <f t="shared" si="271"/>
        <v>0</v>
      </c>
      <c r="DI533" s="346">
        <f t="shared" si="271"/>
        <v>7.4810920569999997</v>
      </c>
      <c r="DJ533" s="346">
        <f t="shared" si="271"/>
        <v>0</v>
      </c>
      <c r="DK533" s="346">
        <f t="shared" si="271"/>
        <v>0.93564139300000004</v>
      </c>
      <c r="DL533" s="346">
        <f t="shared" si="271"/>
        <v>10.73552164</v>
      </c>
      <c r="DM533" s="346">
        <f t="shared" si="271"/>
        <v>0</v>
      </c>
      <c r="DN533" s="348">
        <f t="shared" si="271"/>
        <v>1.600532565</v>
      </c>
      <c r="DO533" s="346">
        <f t="shared" si="271"/>
        <v>0</v>
      </c>
      <c r="DP533" s="346">
        <f t="shared" si="271"/>
        <v>0</v>
      </c>
      <c r="DQ533" s="346">
        <f t="shared" si="271"/>
        <v>0</v>
      </c>
      <c r="DR533" s="346">
        <f t="shared" si="271"/>
        <v>0</v>
      </c>
      <c r="DS533" s="346">
        <f t="shared" si="271"/>
        <v>0</v>
      </c>
      <c r="DT533" s="346">
        <f t="shared" si="271"/>
        <v>0</v>
      </c>
      <c r="DU533" s="346">
        <f t="shared" si="271"/>
        <v>0</v>
      </c>
      <c r="DV533" s="346">
        <f t="shared" si="271"/>
        <v>0</v>
      </c>
      <c r="DW533" s="346">
        <f t="shared" si="271"/>
        <v>0</v>
      </c>
      <c r="DX533" s="346">
        <f t="shared" si="271"/>
        <v>0</v>
      </c>
      <c r="DY533" s="346">
        <f t="shared" si="271"/>
        <v>0</v>
      </c>
      <c r="DZ533" s="348">
        <f t="shared" si="271"/>
        <v>0</v>
      </c>
      <c r="EA533" s="346">
        <f t="shared" si="271"/>
        <v>0</v>
      </c>
      <c r="EB533" s="346">
        <f t="shared" si="271"/>
        <v>0</v>
      </c>
      <c r="EC533" s="346">
        <f t="shared" si="271"/>
        <v>0</v>
      </c>
      <c r="ED533" s="346">
        <f t="shared" si="271"/>
        <v>0</v>
      </c>
      <c r="EE533" s="346">
        <f t="shared" si="271"/>
        <v>0</v>
      </c>
      <c r="EF533" s="346">
        <f t="shared" si="271"/>
        <v>0</v>
      </c>
      <c r="EG533" s="346">
        <f t="shared" si="271"/>
        <v>0</v>
      </c>
      <c r="EH533" s="346">
        <f t="shared" si="271"/>
        <v>0</v>
      </c>
      <c r="EI533" s="346">
        <f t="shared" si="271"/>
        <v>0</v>
      </c>
      <c r="EJ533" s="346">
        <f t="shared" si="271"/>
        <v>0</v>
      </c>
      <c r="EK533" s="346">
        <f t="shared" si="271"/>
        <v>0</v>
      </c>
      <c r="EL533" s="348">
        <f t="shared" si="271"/>
        <v>0</v>
      </c>
      <c r="EM533" s="346">
        <f t="shared" si="271"/>
        <v>0</v>
      </c>
      <c r="EN533" s="346">
        <f t="shared" si="271"/>
        <v>0</v>
      </c>
      <c r="EO533" s="346">
        <f t="shared" si="271"/>
        <v>0</v>
      </c>
      <c r="EP533" s="346">
        <f t="shared" si="271"/>
        <v>0</v>
      </c>
      <c r="EQ533" s="346">
        <f t="shared" si="271"/>
        <v>0</v>
      </c>
      <c r="ER533" s="346">
        <f t="shared" si="271"/>
        <v>0</v>
      </c>
      <c r="ES533" s="346">
        <f t="shared" si="271"/>
        <v>0</v>
      </c>
      <c r="ET533" s="346">
        <f t="shared" si="271"/>
        <v>0</v>
      </c>
      <c r="EU533" s="346">
        <f t="shared" si="271"/>
        <v>0</v>
      </c>
      <c r="EV533" s="346">
        <f t="shared" si="271"/>
        <v>0</v>
      </c>
      <c r="EW533" s="346">
        <f t="shared" si="271"/>
        <v>0</v>
      </c>
      <c r="EX533" s="348">
        <f t="shared" si="271"/>
        <v>0</v>
      </c>
      <c r="EY533" s="346"/>
      <c r="EZ533" s="346"/>
      <c r="FA533" s="346"/>
      <c r="FB533" s="346"/>
      <c r="FC533" s="346"/>
      <c r="FD533" s="346"/>
      <c r="FE533" s="346"/>
      <c r="FF533" s="346"/>
      <c r="FG533" s="346"/>
      <c r="FH533" s="346"/>
      <c r="FI533" s="346"/>
      <c r="FJ533" s="348"/>
      <c r="FK533" s="346"/>
      <c r="FL533" s="346"/>
      <c r="FM533" s="346"/>
      <c r="FN533" s="346"/>
      <c r="FO533" s="346"/>
      <c r="FP533" s="346"/>
      <c r="FQ533" s="346"/>
      <c r="FR533" s="346"/>
      <c r="FS533" s="346"/>
      <c r="FT533" s="346"/>
      <c r="FU533" s="346"/>
      <c r="FV533" s="346"/>
      <c r="FW533" s="346"/>
      <c r="FX533" s="346"/>
      <c r="FY533" s="346"/>
      <c r="FZ533" s="346"/>
      <c r="GA533" s="346"/>
      <c r="GB533" s="346"/>
      <c r="GC533" s="346"/>
      <c r="GD533" s="346"/>
      <c r="GE533" s="346"/>
      <c r="GF533" s="346"/>
      <c r="GG533" s="346"/>
      <c r="GH533" s="346"/>
      <c r="GI533" s="346"/>
      <c r="GJ533" s="346"/>
      <c r="GK533" s="346"/>
      <c r="GL533" s="346"/>
      <c r="GM533" s="346"/>
      <c r="GN533" s="346"/>
      <c r="GO533" s="346"/>
      <c r="GP533" s="346"/>
      <c r="GQ533" s="346"/>
      <c r="GR533" s="346"/>
      <c r="GS533" s="346"/>
      <c r="GT533" s="346"/>
      <c r="GU533" s="346"/>
      <c r="GV533" s="346"/>
      <c r="GW533" s="346"/>
      <c r="GX533" s="346"/>
      <c r="GY533" s="346"/>
      <c r="GZ533" s="346"/>
      <c r="HA533" s="346"/>
      <c r="HB533" s="346"/>
      <c r="HC533" s="346"/>
      <c r="HD533" s="346"/>
      <c r="HE533" s="346"/>
      <c r="HF533" s="346"/>
      <c r="HG533" s="346"/>
      <c r="HH533" s="346"/>
      <c r="HI533" s="346"/>
      <c r="HJ533" s="346"/>
      <c r="HK533" s="346"/>
      <c r="HL533" s="346"/>
      <c r="HM533" s="346"/>
      <c r="HN533" s="349"/>
      <c r="HO533" s="351" t="s">
        <v>1082</v>
      </c>
      <c r="HP533" s="351"/>
      <c r="HQ533" s="351"/>
      <c r="HR533" s="346"/>
      <c r="HU533" s="346"/>
      <c r="HX533" s="346"/>
      <c r="HY533" s="302">
        <f>+SUM(DO533:DT533)</f>
        <v>0</v>
      </c>
      <c r="HZ533" s="302">
        <f>SUM(DU533:DZ533)</f>
        <v>0</v>
      </c>
      <c r="IA533" s="346">
        <f t="shared" si="103"/>
        <v>0</v>
      </c>
      <c r="ID533" s="346">
        <f>FISC!AC750</f>
        <v>0</v>
      </c>
      <c r="IE533" s="302">
        <f t="shared" si="252"/>
        <v>0</v>
      </c>
      <c r="IF533" s="302">
        <f t="shared" si="253"/>
        <v>0</v>
      </c>
      <c r="IG533" s="346">
        <f t="shared" si="201"/>
        <v>0</v>
      </c>
      <c r="IH533" s="350"/>
      <c r="II533" s="350"/>
      <c r="IJ533" s="346"/>
      <c r="IK533" s="302">
        <f>IM533*JI533</f>
        <v>0</v>
      </c>
      <c r="IL533" s="302">
        <f t="shared" si="85"/>
        <v>0</v>
      </c>
      <c r="IM533" s="346"/>
      <c r="IN533" s="302">
        <f>IP533*JI533</f>
        <v>0</v>
      </c>
      <c r="IO533" s="302">
        <f t="shared" si="154"/>
        <v>0</v>
      </c>
      <c r="IP533" s="346"/>
      <c r="IQ533" s="302">
        <f>IS533*JI533</f>
        <v>0</v>
      </c>
      <c r="IR533" s="302">
        <f t="shared" si="74"/>
        <v>0</v>
      </c>
      <c r="IS533" s="346"/>
      <c r="IT533" s="302">
        <f>IV533*JI533</f>
        <v>0</v>
      </c>
      <c r="IU533" s="302">
        <f t="shared" si="75"/>
        <v>0</v>
      </c>
      <c r="IV533" s="346"/>
      <c r="IW533" s="302">
        <f>IY533*JL533</f>
        <v>0</v>
      </c>
      <c r="IX533" s="302">
        <f t="shared" si="76"/>
        <v>0</v>
      </c>
      <c r="IY533" s="346"/>
      <c r="IZ533" s="302">
        <f>JB533*JO533</f>
        <v>0</v>
      </c>
      <c r="JA533" s="302">
        <f t="shared" si="77"/>
        <v>0</v>
      </c>
      <c r="JB533" s="346"/>
      <c r="JC533" s="346"/>
      <c r="KI533" s="349"/>
      <c r="KJ533" s="350"/>
    </row>
    <row r="534" spans="1:302">
      <c r="A534" s="302"/>
      <c r="D534" s="351" t="str">
        <f>+FISC!D751</f>
        <v xml:space="preserve">    o/w prefinancing and soldier/police bonuses</v>
      </c>
      <c r="E534" s="346"/>
      <c r="F534" s="346"/>
      <c r="G534" s="346"/>
      <c r="H534" s="346"/>
      <c r="I534" s="346"/>
      <c r="J534" s="346"/>
      <c r="K534" s="346"/>
      <c r="L534" s="346"/>
      <c r="M534" s="346"/>
      <c r="N534" s="346"/>
      <c r="O534" s="346"/>
      <c r="P534" s="346"/>
      <c r="Q534" s="346"/>
      <c r="R534" s="346"/>
      <c r="S534" s="346"/>
      <c r="T534" s="346"/>
      <c r="U534" s="346"/>
      <c r="V534" s="346"/>
      <c r="W534" s="346"/>
      <c r="X534" s="346"/>
      <c r="Y534" s="346"/>
      <c r="Z534" s="346"/>
      <c r="AA534" s="346"/>
      <c r="AB534" s="346"/>
      <c r="AC534" s="346"/>
      <c r="AD534" s="346"/>
      <c r="AE534" s="346"/>
      <c r="AF534" s="346"/>
      <c r="AG534" s="346"/>
      <c r="AH534" s="346"/>
      <c r="AI534" s="346"/>
      <c r="AJ534" s="346"/>
      <c r="AK534" s="346"/>
      <c r="AL534" s="346"/>
      <c r="AM534" s="346"/>
      <c r="AN534" s="346"/>
      <c r="AO534" s="346"/>
      <c r="AP534" s="346"/>
      <c r="AQ534" s="346"/>
      <c r="AR534" s="346"/>
      <c r="AS534" s="346"/>
      <c r="AT534" s="346"/>
      <c r="AU534" s="346"/>
      <c r="AV534" s="346"/>
      <c r="AW534" s="346"/>
      <c r="AX534" s="346"/>
      <c r="AY534" s="346"/>
      <c r="AZ534" s="346"/>
      <c r="BA534" s="346"/>
      <c r="BB534" s="346"/>
      <c r="BC534" s="346"/>
      <c r="BD534" s="346"/>
      <c r="BE534" s="346"/>
      <c r="BF534" s="346"/>
      <c r="BG534" s="346"/>
      <c r="BH534" s="346"/>
      <c r="BI534" s="346"/>
      <c r="BJ534" s="346"/>
      <c r="BK534" s="346"/>
      <c r="BL534" s="346"/>
      <c r="BM534" s="346"/>
      <c r="BN534" s="346"/>
      <c r="BO534" s="346"/>
      <c r="BP534" s="346"/>
      <c r="BQ534" s="346"/>
      <c r="BR534" s="346"/>
      <c r="BS534" s="346"/>
      <c r="BT534" s="346"/>
      <c r="BU534" s="346"/>
      <c r="BV534" s="346"/>
      <c r="BW534" s="346"/>
      <c r="BX534" s="346"/>
      <c r="BY534" s="346"/>
      <c r="BZ534" s="346"/>
      <c r="CA534" s="346"/>
      <c r="CB534" s="346"/>
      <c r="CC534" s="346"/>
      <c r="CD534" s="346"/>
      <c r="CE534" s="347"/>
      <c r="CF534" s="346"/>
      <c r="CG534" s="346"/>
      <c r="CH534" s="346"/>
      <c r="CI534" s="346"/>
      <c r="CJ534" s="346"/>
      <c r="CK534" s="346"/>
      <c r="CL534" s="346"/>
      <c r="CM534" s="346"/>
      <c r="CN534" s="346"/>
      <c r="CO534" s="346"/>
      <c r="CP534" s="348"/>
      <c r="CQ534" s="346"/>
      <c r="CR534" s="346"/>
      <c r="CS534" s="346"/>
      <c r="CT534" s="346"/>
      <c r="CU534" s="346"/>
      <c r="CV534" s="346"/>
      <c r="CW534" s="346"/>
      <c r="CX534" s="346"/>
      <c r="CY534" s="346"/>
      <c r="CZ534" s="346"/>
      <c r="DA534" s="346"/>
      <c r="DB534" s="1479"/>
      <c r="DC534" s="346"/>
      <c r="DD534" s="346"/>
      <c r="DE534" s="346"/>
      <c r="DF534" s="346"/>
      <c r="DG534" s="346"/>
      <c r="DH534" s="346"/>
      <c r="DI534" s="346"/>
      <c r="DJ534" s="346"/>
      <c r="DK534" s="346"/>
      <c r="DL534" s="346"/>
      <c r="DM534" s="346"/>
      <c r="DN534" s="348"/>
      <c r="DO534" s="346"/>
      <c r="DP534" s="346"/>
      <c r="DQ534" s="346"/>
      <c r="DR534" s="346"/>
      <c r="DS534" s="346"/>
      <c r="DT534" s="346"/>
      <c r="DU534" s="346"/>
      <c r="DV534" s="346"/>
      <c r="DW534" s="346"/>
      <c r="DX534" s="346"/>
      <c r="DY534" s="346"/>
      <c r="DZ534" s="348"/>
      <c r="EA534" s="346"/>
      <c r="EB534" s="346"/>
      <c r="EC534" s="346"/>
      <c r="ED534" s="346"/>
      <c r="EE534" s="346"/>
      <c r="EF534" s="346"/>
      <c r="EG534" s="346"/>
      <c r="EH534" s="346"/>
      <c r="EI534" s="346"/>
      <c r="EJ534" s="346"/>
      <c r="EK534" s="346"/>
      <c r="EL534" s="348"/>
      <c r="EM534" s="346"/>
      <c r="EN534" s="346"/>
      <c r="EO534" s="346"/>
      <c r="EP534" s="346"/>
      <c r="EQ534" s="346"/>
      <c r="ER534" s="346"/>
      <c r="ES534" s="346"/>
      <c r="ET534" s="346"/>
      <c r="EU534" s="346"/>
      <c r="EV534" s="346"/>
      <c r="EW534" s="346"/>
      <c r="EX534" s="348"/>
      <c r="EY534" s="346"/>
      <c r="EZ534" s="346"/>
      <c r="FA534" s="346"/>
      <c r="FB534" s="346"/>
      <c r="FC534" s="346"/>
      <c r="FD534" s="346"/>
      <c r="FE534" s="346"/>
      <c r="FF534" s="346"/>
      <c r="FG534" s="346"/>
      <c r="FH534" s="346"/>
      <c r="FI534" s="346"/>
      <c r="FJ534" s="348"/>
      <c r="FK534" s="346"/>
      <c r="FL534" s="346"/>
      <c r="FM534" s="346"/>
      <c r="FN534" s="346"/>
      <c r="FO534" s="346"/>
      <c r="FP534" s="346"/>
      <c r="FQ534" s="346"/>
      <c r="FR534" s="346"/>
      <c r="FS534" s="346"/>
      <c r="FT534" s="346"/>
      <c r="FU534" s="346"/>
      <c r="FV534" s="346"/>
      <c r="FW534" s="346"/>
      <c r="FX534" s="346"/>
      <c r="FY534" s="346"/>
      <c r="FZ534" s="346"/>
      <c r="GA534" s="346"/>
      <c r="GB534" s="346"/>
      <c r="GC534" s="346"/>
      <c r="GD534" s="346"/>
      <c r="GE534" s="346"/>
      <c r="GF534" s="346"/>
      <c r="GG534" s="346"/>
      <c r="GH534" s="346"/>
      <c r="GI534" s="346"/>
      <c r="GJ534" s="346"/>
      <c r="GK534" s="346"/>
      <c r="GL534" s="346"/>
      <c r="GM534" s="346"/>
      <c r="GN534" s="346"/>
      <c r="GO534" s="346"/>
      <c r="GP534" s="346"/>
      <c r="GQ534" s="346"/>
      <c r="GR534" s="346"/>
      <c r="GS534" s="346"/>
      <c r="GT534" s="346"/>
      <c r="GU534" s="346"/>
      <c r="GV534" s="346"/>
      <c r="GW534" s="346"/>
      <c r="GX534" s="346"/>
      <c r="GY534" s="346"/>
      <c r="GZ534" s="346"/>
      <c r="HA534" s="346"/>
      <c r="HB534" s="346"/>
      <c r="HC534" s="346"/>
      <c r="HD534" s="346"/>
      <c r="HE534" s="346"/>
      <c r="HF534" s="346"/>
      <c r="HG534" s="346"/>
      <c r="HH534" s="346"/>
      <c r="HI534" s="346"/>
      <c r="HJ534" s="346"/>
      <c r="HK534" s="346"/>
      <c r="HL534" s="346"/>
      <c r="HM534" s="346"/>
      <c r="HN534" s="349"/>
      <c r="HO534" s="351" t="s">
        <v>1173</v>
      </c>
      <c r="HP534" s="351"/>
      <c r="HQ534" s="351"/>
      <c r="HR534" s="346"/>
      <c r="HU534" s="346"/>
      <c r="HX534" s="346"/>
      <c r="IA534" s="346">
        <f>+IA532-IA486</f>
        <v>-0.34783849306015213</v>
      </c>
      <c r="IB534" s="302">
        <f>+IB532-IB486</f>
        <v>14.640923705999995</v>
      </c>
      <c r="IC534" s="302">
        <f>+ID534-IB534</f>
        <v>-14.640923705999995</v>
      </c>
      <c r="ID534" s="346">
        <f>FISC!AC751</f>
        <v>0</v>
      </c>
      <c r="IE534" s="302">
        <f t="shared" si="252"/>
        <v>0</v>
      </c>
      <c r="IF534" s="302">
        <f t="shared" si="253"/>
        <v>0</v>
      </c>
      <c r="IG534" s="346">
        <f t="shared" si="201"/>
        <v>0</v>
      </c>
      <c r="IH534" s="302">
        <f>+IH532-IH486</f>
        <v>-3.4475451555232013</v>
      </c>
      <c r="II534" s="302">
        <f>+IJ534-IH534</f>
        <v>3.4475451555232013</v>
      </c>
      <c r="IJ534" s="346">
        <f>+FISC!AE751</f>
        <v>0</v>
      </c>
      <c r="IK534" s="302">
        <f>+IK532-IK486</f>
        <v>10.100749495845712</v>
      </c>
      <c r="IL534" s="302">
        <f t="shared" si="85"/>
        <v>-10.100749495845712</v>
      </c>
      <c r="IM534" s="346">
        <f>+FISC!AF751</f>
        <v>0</v>
      </c>
      <c r="IN534" s="302">
        <f>IP534*JI534</f>
        <v>0</v>
      </c>
      <c r="IO534" s="302">
        <f t="shared" si="154"/>
        <v>0</v>
      </c>
      <c r="IP534" s="346">
        <f>+FISC!AG751</f>
        <v>0</v>
      </c>
      <c r="IQ534" s="302">
        <f>IS534*JI534</f>
        <v>0</v>
      </c>
      <c r="IR534" s="302">
        <f t="shared" si="74"/>
        <v>0</v>
      </c>
      <c r="IS534" s="346">
        <f>+FISC!AH751</f>
        <v>0</v>
      </c>
      <c r="IT534" s="302">
        <f>IV534*JI534</f>
        <v>0</v>
      </c>
      <c r="IU534" s="302">
        <f t="shared" si="75"/>
        <v>0</v>
      </c>
      <c r="IV534" s="346">
        <f>+FISC!AI751</f>
        <v>0</v>
      </c>
      <c r="IW534" s="302">
        <f>IY534*JL534</f>
        <v>0</v>
      </c>
      <c r="IX534" s="302">
        <f t="shared" si="76"/>
        <v>0</v>
      </c>
      <c r="IY534" s="346">
        <f>+FISC!AJ751</f>
        <v>0</v>
      </c>
      <c r="IZ534" s="302">
        <f>JB534*JO534</f>
        <v>0</v>
      </c>
      <c r="JA534" s="302">
        <f t="shared" si="77"/>
        <v>0</v>
      </c>
      <c r="JB534" s="346">
        <f>+FISC!AK751</f>
        <v>0</v>
      </c>
      <c r="JC534" s="346"/>
      <c r="KI534" s="349"/>
      <c r="KJ534" s="350"/>
    </row>
    <row r="535" spans="1:302">
      <c r="A535" s="302"/>
      <c r="D535" s="351" t="s">
        <v>778</v>
      </c>
      <c r="E535" s="346"/>
      <c r="F535" s="346"/>
      <c r="G535" s="346"/>
      <c r="H535" s="346"/>
      <c r="I535" s="346"/>
      <c r="J535" s="346"/>
      <c r="K535" s="346"/>
      <c r="L535" s="346"/>
      <c r="M535" s="346"/>
      <c r="N535" s="346"/>
      <c r="O535" s="346"/>
      <c r="P535" s="346"/>
      <c r="Q535" s="346"/>
      <c r="R535" s="346"/>
      <c r="S535" s="346"/>
      <c r="T535" s="346"/>
      <c r="U535" s="346"/>
      <c r="V535" s="346"/>
      <c r="W535" s="346"/>
      <c r="X535" s="346"/>
      <c r="Y535" s="346"/>
      <c r="Z535" s="346"/>
      <c r="AA535" s="346"/>
      <c r="AB535" s="346"/>
      <c r="AC535" s="346"/>
      <c r="AD535" s="346"/>
      <c r="AE535" s="346"/>
      <c r="AF535" s="346"/>
      <c r="AG535" s="346"/>
      <c r="AH535" s="346"/>
      <c r="AI535" s="346"/>
      <c r="AJ535" s="346"/>
      <c r="AK535" s="346"/>
      <c r="AL535" s="346"/>
      <c r="AM535" s="346"/>
      <c r="AN535" s="346"/>
      <c r="AO535" s="346"/>
      <c r="AP535" s="346"/>
      <c r="AQ535" s="346"/>
      <c r="AR535" s="346"/>
      <c r="AS535" s="346"/>
      <c r="AT535" s="346"/>
      <c r="AU535" s="346"/>
      <c r="AV535" s="346"/>
      <c r="AW535" s="346"/>
      <c r="AX535" s="346"/>
      <c r="AY535" s="346"/>
      <c r="AZ535" s="346"/>
      <c r="BA535" s="346"/>
      <c r="BB535" s="346"/>
      <c r="BC535" s="346"/>
      <c r="BD535" s="346"/>
      <c r="BE535" s="346"/>
      <c r="BF535" s="346"/>
      <c r="BG535" s="346"/>
      <c r="BH535" s="346"/>
      <c r="BI535" s="346"/>
      <c r="BJ535" s="346"/>
      <c r="BK535" s="346"/>
      <c r="BL535" s="346"/>
      <c r="BM535" s="346"/>
      <c r="BN535" s="346"/>
      <c r="BO535" s="346"/>
      <c r="BP535" s="346"/>
      <c r="BQ535" s="346"/>
      <c r="BR535" s="346"/>
      <c r="BS535" s="346"/>
      <c r="BT535" s="346"/>
      <c r="BU535" s="346"/>
      <c r="BV535" s="346"/>
      <c r="BW535" s="346"/>
      <c r="BX535" s="346"/>
      <c r="BY535" s="346"/>
      <c r="BZ535" s="346"/>
      <c r="CA535" s="346"/>
      <c r="CB535" s="346"/>
      <c r="CC535" s="346"/>
      <c r="CD535" s="346"/>
      <c r="CE535" s="347"/>
      <c r="CF535" s="346"/>
      <c r="CG535" s="346"/>
      <c r="CH535" s="346"/>
      <c r="CI535" s="346"/>
      <c r="CJ535" s="346"/>
      <c r="CK535" s="346"/>
      <c r="CL535" s="346"/>
      <c r="CM535" s="346"/>
      <c r="CN535" s="346"/>
      <c r="CO535" s="346"/>
      <c r="CP535" s="348"/>
      <c r="CQ535" s="346"/>
      <c r="CR535" s="346"/>
      <c r="CS535" s="346"/>
      <c r="CT535" s="346"/>
      <c r="CU535" s="346"/>
      <c r="CV535" s="346"/>
      <c r="CW535" s="346"/>
      <c r="CX535" s="346"/>
      <c r="CY535" s="346"/>
      <c r="CZ535" s="346"/>
      <c r="DA535" s="346"/>
      <c r="DB535" s="1479"/>
      <c r="DC535" s="346"/>
      <c r="DD535" s="346"/>
      <c r="DE535" s="346"/>
      <c r="DF535" s="346"/>
      <c r="DG535" s="346"/>
      <c r="DH535" s="346"/>
      <c r="DI535" s="346"/>
      <c r="DJ535" s="346"/>
      <c r="DK535" s="346"/>
      <c r="DL535" s="346"/>
      <c r="DM535" s="346"/>
      <c r="DN535" s="348"/>
      <c r="DO535" s="346"/>
      <c r="DP535" s="346"/>
      <c r="DQ535" s="346"/>
      <c r="DR535" s="346"/>
      <c r="DS535" s="346"/>
      <c r="DT535" s="346"/>
      <c r="DU535" s="346"/>
      <c r="DV535" s="346"/>
      <c r="DW535" s="346"/>
      <c r="DX535" s="346"/>
      <c r="DY535" s="346"/>
      <c r="DZ535" s="348"/>
      <c r="EA535" s="346"/>
      <c r="EB535" s="346"/>
      <c r="EC535" s="346"/>
      <c r="ED535" s="346"/>
      <c r="EE535" s="346"/>
      <c r="EF535" s="346"/>
      <c r="EG535" s="346"/>
      <c r="EH535" s="346"/>
      <c r="EI535" s="346"/>
      <c r="EJ535" s="346"/>
      <c r="EK535" s="346"/>
      <c r="EL535" s="348"/>
      <c r="EM535" s="346"/>
      <c r="EN535" s="346"/>
      <c r="EO535" s="346"/>
      <c r="EP535" s="346"/>
      <c r="EQ535" s="346"/>
      <c r="ER535" s="346"/>
      <c r="ES535" s="346"/>
      <c r="ET535" s="346"/>
      <c r="EU535" s="346"/>
      <c r="EV535" s="346"/>
      <c r="EW535" s="346"/>
      <c r="EX535" s="348"/>
      <c r="EY535" s="346"/>
      <c r="EZ535" s="346"/>
      <c r="FA535" s="346"/>
      <c r="FB535" s="346"/>
      <c r="FC535" s="346"/>
      <c r="FD535" s="346"/>
      <c r="FE535" s="346"/>
      <c r="FF535" s="346"/>
      <c r="FG535" s="346"/>
      <c r="FH535" s="346"/>
      <c r="FI535" s="346"/>
      <c r="FJ535" s="348"/>
      <c r="FK535" s="346"/>
      <c r="FL535" s="346"/>
      <c r="FM535" s="346"/>
      <c r="FN535" s="346"/>
      <c r="FO535" s="346"/>
      <c r="FP535" s="346"/>
      <c r="FQ535" s="346"/>
      <c r="FR535" s="346"/>
      <c r="FS535" s="346"/>
      <c r="FT535" s="346"/>
      <c r="FU535" s="346"/>
      <c r="FV535" s="346"/>
      <c r="FW535" s="346"/>
      <c r="FX535" s="346"/>
      <c r="FY535" s="346"/>
      <c r="FZ535" s="346"/>
      <c r="GA535" s="346"/>
      <c r="GB535" s="346"/>
      <c r="GC535" s="346"/>
      <c r="GD535" s="346"/>
      <c r="GE535" s="346"/>
      <c r="GF535" s="346"/>
      <c r="GG535" s="346"/>
      <c r="GH535" s="346"/>
      <c r="GI535" s="346"/>
      <c r="GJ535" s="346"/>
      <c r="GK535" s="346"/>
      <c r="GL535" s="346"/>
      <c r="GM535" s="346"/>
      <c r="GN535" s="346"/>
      <c r="GO535" s="346"/>
      <c r="GP535" s="346"/>
      <c r="GQ535" s="346"/>
      <c r="GR535" s="346"/>
      <c r="GS535" s="346"/>
      <c r="GT535" s="346"/>
      <c r="GU535" s="346"/>
      <c r="GV535" s="346"/>
      <c r="GW535" s="346"/>
      <c r="GX535" s="346"/>
      <c r="GY535" s="346"/>
      <c r="GZ535" s="346"/>
      <c r="HA535" s="346"/>
      <c r="HB535" s="346"/>
      <c r="HC535" s="346"/>
      <c r="HD535" s="346"/>
      <c r="HE535" s="346"/>
      <c r="HF535" s="346"/>
      <c r="HG535" s="346"/>
      <c r="HH535" s="346"/>
      <c r="HI535" s="346"/>
      <c r="HJ535" s="346"/>
      <c r="HK535" s="346"/>
      <c r="HL535" s="346"/>
      <c r="HM535" s="346"/>
      <c r="HN535" s="349"/>
      <c r="HO535" s="351" t="s">
        <v>778</v>
      </c>
      <c r="HP535" s="351"/>
      <c r="HQ535" s="351"/>
      <c r="HR535" s="346"/>
      <c r="HU535" s="346"/>
      <c r="HX535" s="346"/>
      <c r="HZ535" s="302">
        <f>SUM(DU535:DZ535)</f>
        <v>0</v>
      </c>
      <c r="IA535" s="346">
        <f t="shared" si="103"/>
        <v>0</v>
      </c>
      <c r="ID535" s="346">
        <f>FISC!AC752</f>
        <v>0</v>
      </c>
      <c r="IE535" s="302">
        <f t="shared" si="252"/>
        <v>0</v>
      </c>
      <c r="IF535" s="302">
        <f t="shared" si="253"/>
        <v>0</v>
      </c>
      <c r="IG535" s="346">
        <f t="shared" si="201"/>
        <v>0</v>
      </c>
      <c r="IH535" s="350"/>
      <c r="II535" s="350"/>
      <c r="IJ535" s="346"/>
      <c r="IK535" s="302">
        <f>IM535*JI535</f>
        <v>0</v>
      </c>
      <c r="IL535" s="302">
        <f t="shared" si="85"/>
        <v>0</v>
      </c>
      <c r="IM535" s="346"/>
      <c r="IN535" s="302">
        <f>IP535*JI535</f>
        <v>0</v>
      </c>
      <c r="IO535" s="302">
        <f t="shared" si="154"/>
        <v>0</v>
      </c>
      <c r="IP535" s="346"/>
      <c r="IQ535" s="302">
        <f>IS535*JI535</f>
        <v>0</v>
      </c>
      <c r="IR535" s="302">
        <f t="shared" si="74"/>
        <v>0</v>
      </c>
      <c r="IS535" s="346"/>
      <c r="IT535" s="302">
        <f>IV535*JI535</f>
        <v>0</v>
      </c>
      <c r="IU535" s="302">
        <f t="shared" si="75"/>
        <v>0</v>
      </c>
      <c r="IV535" s="346"/>
      <c r="IW535" s="302">
        <f>IY535*JL535</f>
        <v>0</v>
      </c>
      <c r="IX535" s="302">
        <f t="shared" si="76"/>
        <v>0</v>
      </c>
      <c r="IY535" s="346"/>
      <c r="IZ535" s="302">
        <f>JB535*JO535</f>
        <v>0</v>
      </c>
      <c r="JA535" s="302">
        <f t="shared" si="77"/>
        <v>0</v>
      </c>
      <c r="JB535" s="346"/>
      <c r="JC535" s="346"/>
      <c r="KI535" s="349"/>
      <c r="KJ535" s="350"/>
    </row>
    <row r="536" spans="1:302">
      <c r="A536" s="302"/>
      <c r="B536" s="117" t="s">
        <v>361</v>
      </c>
      <c r="D536" s="345" t="str">
        <f>+FISC!D753</f>
        <v>Capital expenditure</v>
      </c>
      <c r="E536" s="346">
        <f t="shared" ref="E536:BP536" si="272">E537+E543</f>
        <v>3.5838200000000002</v>
      </c>
      <c r="F536" s="346">
        <f t="shared" si="272"/>
        <v>6.07545</v>
      </c>
      <c r="G536" s="346">
        <f t="shared" si="272"/>
        <v>31.038969999999999</v>
      </c>
      <c r="H536" s="346">
        <f t="shared" si="272"/>
        <v>7.6555400000000002</v>
      </c>
      <c r="I536" s="346">
        <f t="shared" si="272"/>
        <v>2.6138300000000001</v>
      </c>
      <c r="J536" s="346">
        <f t="shared" si="272"/>
        <v>29.6614</v>
      </c>
      <c r="K536" s="346">
        <f t="shared" si="272"/>
        <v>14.90522</v>
      </c>
      <c r="L536" s="346">
        <f t="shared" si="272"/>
        <v>4.9962</v>
      </c>
      <c r="M536" s="346">
        <f t="shared" si="272"/>
        <v>35.02093</v>
      </c>
      <c r="N536" s="346">
        <f t="shared" si="272"/>
        <v>4.1402399999999995</v>
      </c>
      <c r="O536" s="346">
        <f t="shared" si="272"/>
        <v>12.62506</v>
      </c>
      <c r="P536" s="346">
        <f t="shared" si="272"/>
        <v>33.861910000000002</v>
      </c>
      <c r="Q536" s="346">
        <f t="shared" si="272"/>
        <v>6.6938699999999995</v>
      </c>
      <c r="R536" s="346">
        <f t="shared" si="272"/>
        <v>6.6217100000000002</v>
      </c>
      <c r="S536" s="346">
        <f t="shared" si="272"/>
        <v>28.064729999999997</v>
      </c>
      <c r="T536" s="346">
        <f t="shared" si="272"/>
        <v>13.2995</v>
      </c>
      <c r="U536" s="346">
        <f t="shared" si="272"/>
        <v>5.5477400000000001</v>
      </c>
      <c r="V536" s="346">
        <f t="shared" si="272"/>
        <v>35.823459999999997</v>
      </c>
      <c r="W536" s="346">
        <f t="shared" si="272"/>
        <v>11.525399999999999</v>
      </c>
      <c r="X536" s="346">
        <f t="shared" si="272"/>
        <v>11.975370000000002</v>
      </c>
      <c r="Y536" s="346">
        <f t="shared" si="272"/>
        <v>44.228030000000004</v>
      </c>
      <c r="Z536" s="346">
        <f t="shared" si="272"/>
        <v>28.940909999999999</v>
      </c>
      <c r="AA536" s="346">
        <f t="shared" si="272"/>
        <v>6.9695499999999999</v>
      </c>
      <c r="AB536" s="346">
        <f t="shared" si="272"/>
        <v>68.065079999999995</v>
      </c>
      <c r="AC536" s="346">
        <f t="shared" si="272"/>
        <v>8.5546699999999998</v>
      </c>
      <c r="AD536" s="346">
        <f t="shared" si="272"/>
        <v>8.9667000000000012</v>
      </c>
      <c r="AE536" s="346">
        <f t="shared" si="272"/>
        <v>56.542300000000004</v>
      </c>
      <c r="AF536" s="346">
        <f t="shared" si="272"/>
        <v>12.328989999999999</v>
      </c>
      <c r="AG536" s="346">
        <f t="shared" si="272"/>
        <v>14.137729999999999</v>
      </c>
      <c r="AH536" s="346">
        <f t="shared" si="272"/>
        <v>33.673471012000007</v>
      </c>
      <c r="AI536" s="346">
        <f t="shared" si="272"/>
        <v>6.9567500000000004</v>
      </c>
      <c r="AJ536" s="346">
        <f t="shared" si="272"/>
        <v>7.8944300000000007</v>
      </c>
      <c r="AK536" s="346">
        <f t="shared" si="272"/>
        <v>48.635571945000009</v>
      </c>
      <c r="AL536" s="346">
        <f t="shared" si="272"/>
        <v>20.7941</v>
      </c>
      <c r="AM536" s="346">
        <f t="shared" si="272"/>
        <v>21.200900000000001</v>
      </c>
      <c r="AN536" s="346">
        <f t="shared" si="272"/>
        <v>55.547347470999995</v>
      </c>
      <c r="AO536" s="346">
        <f t="shared" si="272"/>
        <v>15.105780000000001</v>
      </c>
      <c r="AP536" s="346">
        <f t="shared" si="272"/>
        <v>13.18632</v>
      </c>
      <c r="AQ536" s="346">
        <f t="shared" si="272"/>
        <v>39.436275601999995</v>
      </c>
      <c r="AR536" s="346">
        <f t="shared" si="272"/>
        <v>21.793560000000003</v>
      </c>
      <c r="AS536" s="346">
        <f t="shared" si="272"/>
        <v>18.903689999999997</v>
      </c>
      <c r="AT536" s="346">
        <f t="shared" si="272"/>
        <v>46.176469328000003</v>
      </c>
      <c r="AU536" s="346">
        <f t="shared" si="272"/>
        <v>14.740819999999999</v>
      </c>
      <c r="AV536" s="346">
        <f t="shared" si="272"/>
        <v>13.9329</v>
      </c>
      <c r="AW536" s="346">
        <f t="shared" si="272"/>
        <v>54.321416559999996</v>
      </c>
      <c r="AX536" s="346">
        <f t="shared" si="272"/>
        <v>20.9</v>
      </c>
      <c r="AY536" s="346">
        <f t="shared" si="272"/>
        <v>15.603999999999999</v>
      </c>
      <c r="AZ536" s="346">
        <f t="shared" si="272"/>
        <v>75.994112141000002</v>
      </c>
      <c r="BA536" s="346">
        <f t="shared" si="272"/>
        <v>22.111249999999998</v>
      </c>
      <c r="BB536" s="346">
        <f t="shared" si="272"/>
        <v>11.667159999999999</v>
      </c>
      <c r="BC536" s="346">
        <f t="shared" si="272"/>
        <v>95.749857354999989</v>
      </c>
      <c r="BD536" s="346">
        <f t="shared" si="272"/>
        <v>22.31202</v>
      </c>
      <c r="BE536" s="346">
        <f t="shared" si="272"/>
        <v>33.052900000000001</v>
      </c>
      <c r="BF536" s="346">
        <f t="shared" si="272"/>
        <v>57.496123629000003</v>
      </c>
      <c r="BG536" s="346">
        <f t="shared" si="272"/>
        <v>6.3758999999999997</v>
      </c>
      <c r="BH536" s="346">
        <f t="shared" si="272"/>
        <v>19.89939</v>
      </c>
      <c r="BI536" s="346">
        <f t="shared" si="272"/>
        <v>57.363894709</v>
      </c>
      <c r="BJ536" s="346">
        <f t="shared" si="272"/>
        <v>33.236025999999995</v>
      </c>
      <c r="BK536" s="346">
        <f t="shared" si="272"/>
        <v>17.411060000000003</v>
      </c>
      <c r="BL536" s="346">
        <f t="shared" si="272"/>
        <v>79.907373401000001</v>
      </c>
      <c r="BM536" s="346">
        <f t="shared" si="272"/>
        <v>21.286360000000002</v>
      </c>
      <c r="BN536" s="346">
        <f t="shared" si="272"/>
        <v>12.03393</v>
      </c>
      <c r="BO536" s="346">
        <f t="shared" si="272"/>
        <v>83.532420236999997</v>
      </c>
      <c r="BP536" s="346">
        <f t="shared" si="272"/>
        <v>31.707180000000001</v>
      </c>
      <c r="BQ536" s="346">
        <f t="shared" ref="BQ536:DN536" si="273">BQ537+BQ543</f>
        <v>46.85219</v>
      </c>
      <c r="BR536" s="346">
        <f t="shared" si="273"/>
        <v>85.686844824000005</v>
      </c>
      <c r="BS536" s="346">
        <f t="shared" si="273"/>
        <v>8.992799999999999</v>
      </c>
      <c r="BT536" s="346">
        <f t="shared" si="273"/>
        <v>14.1875</v>
      </c>
      <c r="BU536" s="346">
        <f t="shared" si="273"/>
        <v>96.263000000000005</v>
      </c>
      <c r="BV536" s="346">
        <f t="shared" si="273"/>
        <v>38.280104581000003</v>
      </c>
      <c r="BW536" s="346">
        <f t="shared" si="273"/>
        <v>19.21824221</v>
      </c>
      <c r="BX536" s="346">
        <f t="shared" si="273"/>
        <v>3.4928711909999999</v>
      </c>
      <c r="BY536" s="346">
        <f t="shared" si="273"/>
        <v>16.503664744000002</v>
      </c>
      <c r="BZ536" s="346">
        <f t="shared" si="273"/>
        <v>16.912173433</v>
      </c>
      <c r="CA536" s="346">
        <f t="shared" si="273"/>
        <v>14.65821757</v>
      </c>
      <c r="CB536" s="346">
        <f t="shared" si="273"/>
        <v>45.488008786000002</v>
      </c>
      <c r="CC536" s="346">
        <f t="shared" si="273"/>
        <v>30.685310925</v>
      </c>
      <c r="CD536" s="346">
        <f t="shared" si="273"/>
        <v>20.505813729</v>
      </c>
      <c r="CE536" s="347">
        <f t="shared" si="273"/>
        <v>41.2617130557717</v>
      </c>
      <c r="CF536" s="346">
        <f t="shared" si="273"/>
        <v>37.17538064973381</v>
      </c>
      <c r="CG536" s="346">
        <f t="shared" si="273"/>
        <v>53.445989574294494</v>
      </c>
      <c r="CH536" s="346">
        <f t="shared" si="273"/>
        <v>82.420480696949596</v>
      </c>
      <c r="CI536" s="346">
        <f t="shared" si="273"/>
        <v>60.886008184135449</v>
      </c>
      <c r="CJ536" s="346">
        <f t="shared" si="273"/>
        <v>42.579808483000946</v>
      </c>
      <c r="CK536" s="346">
        <f t="shared" si="273"/>
        <v>56.982814007968308</v>
      </c>
      <c r="CL536" s="346">
        <f t="shared" si="273"/>
        <v>40.9527558704347</v>
      </c>
      <c r="CM536" s="346">
        <f t="shared" si="273"/>
        <v>51.482509808918991</v>
      </c>
      <c r="CN536" s="346">
        <f t="shared" si="273"/>
        <v>88.999417981925205</v>
      </c>
      <c r="CO536" s="346">
        <f t="shared" si="273"/>
        <v>88.940306068884169</v>
      </c>
      <c r="CP536" s="348">
        <f t="shared" si="273"/>
        <v>67.403896435661594</v>
      </c>
      <c r="CQ536" s="346">
        <f t="shared" si="273"/>
        <v>41.366723220573093</v>
      </c>
      <c r="CR536" s="346">
        <f t="shared" si="273"/>
        <v>55.946810373654017</v>
      </c>
      <c r="CS536" s="346">
        <f t="shared" si="273"/>
        <v>54.704821243129892</v>
      </c>
      <c r="CT536" s="346">
        <f t="shared" si="273"/>
        <v>50.93435579744277</v>
      </c>
      <c r="CU536" s="346">
        <f t="shared" si="273"/>
        <v>56.903799219663341</v>
      </c>
      <c r="CV536" s="346">
        <f t="shared" si="273"/>
        <v>54.665931141066608</v>
      </c>
      <c r="CW536" s="346">
        <f t="shared" si="273"/>
        <v>60.370438979920124</v>
      </c>
      <c r="CX536" s="346">
        <f t="shared" si="273"/>
        <v>50.503025629944176</v>
      </c>
      <c r="CY536" s="346">
        <f t="shared" si="273"/>
        <v>72.544012313423679</v>
      </c>
      <c r="CZ536" s="346">
        <f t="shared" si="273"/>
        <v>95.416221885328582</v>
      </c>
      <c r="DA536" s="346">
        <f t="shared" si="273"/>
        <v>76.826238681237285</v>
      </c>
      <c r="DB536" s="1479">
        <f t="shared" si="273"/>
        <v>66.733964417791114</v>
      </c>
      <c r="DC536" s="346">
        <f t="shared" si="273"/>
        <v>30.304379627313036</v>
      </c>
      <c r="DD536" s="346">
        <f t="shared" si="273"/>
        <v>53.531147042357084</v>
      </c>
      <c r="DE536" s="346">
        <f t="shared" si="273"/>
        <v>67.80062375004988</v>
      </c>
      <c r="DF536" s="346">
        <f t="shared" si="273"/>
        <v>58.827480114524867</v>
      </c>
      <c r="DG536" s="346">
        <f t="shared" si="273"/>
        <v>62.464975040256178</v>
      </c>
      <c r="DH536" s="346">
        <f t="shared" si="273"/>
        <v>53.48018039772596</v>
      </c>
      <c r="DI536" s="346">
        <f t="shared" si="273"/>
        <v>73.239507156654497</v>
      </c>
      <c r="DJ536" s="346">
        <f t="shared" si="273"/>
        <v>54.257318128444631</v>
      </c>
      <c r="DK536" s="346">
        <f t="shared" si="273"/>
        <v>53.398547032351878</v>
      </c>
      <c r="DL536" s="346">
        <f t="shared" si="273"/>
        <v>81.658737127909987</v>
      </c>
      <c r="DM536" s="346">
        <f t="shared" si="273"/>
        <v>88.650543803564545</v>
      </c>
      <c r="DN536" s="348">
        <f t="shared" si="273"/>
        <v>41.07209342548046</v>
      </c>
      <c r="DO536" s="346">
        <f t="shared" ref="DO536:DT536" si="274">DO537+DO543</f>
        <v>32.377517218573232</v>
      </c>
      <c r="DP536" s="346">
        <f t="shared" si="274"/>
        <v>41.617956931368916</v>
      </c>
      <c r="DQ536" s="346">
        <f t="shared" si="274"/>
        <v>59.315382764009399</v>
      </c>
      <c r="DR536" s="346">
        <f t="shared" si="274"/>
        <v>45.921103915391427</v>
      </c>
      <c r="DS536" s="346">
        <f t="shared" si="274"/>
        <v>51.287430824213004</v>
      </c>
      <c r="DT536" s="346">
        <f t="shared" si="274"/>
        <v>35.131086007230998</v>
      </c>
      <c r="DU536" s="346">
        <f t="shared" ref="DU536:DZ536" si="275">DU537+DU543</f>
        <v>82.347461141042004</v>
      </c>
      <c r="DV536" s="346">
        <f t="shared" si="275"/>
        <v>40.334194605175</v>
      </c>
      <c r="DW536" s="346">
        <f t="shared" si="275"/>
        <v>39.291815424366995</v>
      </c>
      <c r="DX536" s="346">
        <f t="shared" si="275"/>
        <v>94.041156862125376</v>
      </c>
      <c r="DY536" s="346">
        <f t="shared" si="275"/>
        <v>68.390384381072991</v>
      </c>
      <c r="DZ536" s="348">
        <f t="shared" si="275"/>
        <v>29.162769265465002</v>
      </c>
      <c r="EA536" s="346">
        <f t="shared" ref="EA536:EK536" si="276">EA537+EA543</f>
        <v>29.74610792851476</v>
      </c>
      <c r="EB536" s="346">
        <f t="shared" si="276"/>
        <v>83.392773223194737</v>
      </c>
      <c r="EC536" s="346">
        <f t="shared" si="276"/>
        <v>66.037125114248497</v>
      </c>
      <c r="ED536" s="346">
        <f t="shared" si="276"/>
        <v>68.424265438118923</v>
      </c>
      <c r="EE536" s="346">
        <f t="shared" si="276"/>
        <v>65.760395582996324</v>
      </c>
      <c r="EF536" s="346">
        <f t="shared" si="276"/>
        <v>51.027153608116762</v>
      </c>
      <c r="EG536" s="346">
        <f t="shared" si="276"/>
        <v>111.22428842761556</v>
      </c>
      <c r="EH536" s="346">
        <f t="shared" si="276"/>
        <v>51.651596861007533</v>
      </c>
      <c r="EI536" s="346">
        <f t="shared" si="276"/>
        <v>70.456190406957916</v>
      </c>
      <c r="EJ536" s="346">
        <f t="shared" si="276"/>
        <v>58.932149240920964</v>
      </c>
      <c r="EK536" s="346">
        <f t="shared" si="276"/>
        <v>67.698260944357017</v>
      </c>
      <c r="EL536" s="348">
        <f t="shared" ref="EL536:ER536" si="277">EL537+EL543</f>
        <v>77.869593611111014</v>
      </c>
      <c r="EM536" s="346">
        <f t="shared" si="277"/>
        <v>54.082909447094849</v>
      </c>
      <c r="EN536" s="346">
        <f t="shared" si="277"/>
        <v>50.661687483356147</v>
      </c>
      <c r="EO536" s="346">
        <f t="shared" si="277"/>
        <v>81.447976323215002</v>
      </c>
      <c r="EP536" s="346">
        <f t="shared" si="277"/>
        <v>82.399344601066645</v>
      </c>
      <c r="EQ536" s="346">
        <f t="shared" si="277"/>
        <v>68.17074526548501</v>
      </c>
      <c r="ER536" s="346">
        <f t="shared" si="277"/>
        <v>117.32610859963199</v>
      </c>
      <c r="ES536" s="346">
        <f t="shared" ref="ES536:EX536" si="278">ES537+ES543</f>
        <v>90.763613404719564</v>
      </c>
      <c r="ET536" s="346">
        <f t="shared" si="278"/>
        <v>89.471924874890163</v>
      </c>
      <c r="EU536" s="346">
        <f t="shared" si="278"/>
        <v>91.14898913683291</v>
      </c>
      <c r="EV536" s="346">
        <f t="shared" si="278"/>
        <v>124.33965920356664</v>
      </c>
      <c r="EW536" s="346">
        <f t="shared" si="278"/>
        <v>116.55099780207726</v>
      </c>
      <c r="EX536" s="348">
        <f t="shared" si="278"/>
        <v>105.34528936984552</v>
      </c>
      <c r="EY536" s="346"/>
      <c r="EZ536" s="346"/>
      <c r="FA536" s="346"/>
      <c r="FB536" s="346"/>
      <c r="FC536" s="346"/>
      <c r="FD536" s="346"/>
      <c r="FE536" s="346"/>
      <c r="FF536" s="346"/>
      <c r="FG536" s="346"/>
      <c r="FH536" s="346"/>
      <c r="FI536" s="346"/>
      <c r="FJ536" s="348"/>
      <c r="FK536" s="346"/>
      <c r="FL536" s="346"/>
      <c r="FM536" s="346"/>
      <c r="FN536" s="346"/>
      <c r="FO536" s="346"/>
      <c r="FP536" s="346"/>
      <c r="FQ536" s="346"/>
      <c r="FR536" s="346"/>
      <c r="FS536" s="346"/>
      <c r="FT536" s="346"/>
      <c r="FU536" s="346"/>
      <c r="FV536" s="346"/>
      <c r="FW536" s="346"/>
      <c r="FX536" s="346"/>
      <c r="FY536" s="346"/>
      <c r="FZ536" s="346"/>
      <c r="GA536" s="346"/>
      <c r="GB536" s="346"/>
      <c r="GC536" s="346"/>
      <c r="GD536" s="346"/>
      <c r="GE536" s="346"/>
      <c r="GF536" s="346"/>
      <c r="GG536" s="346"/>
      <c r="GH536" s="346"/>
      <c r="GI536" s="346"/>
      <c r="GJ536" s="346"/>
      <c r="GK536" s="346"/>
      <c r="GL536" s="346"/>
      <c r="GM536" s="346"/>
      <c r="GN536" s="346"/>
      <c r="GO536" s="346"/>
      <c r="GP536" s="346"/>
      <c r="GQ536" s="346"/>
      <c r="GR536" s="346"/>
      <c r="GS536" s="346"/>
      <c r="GT536" s="346"/>
      <c r="GU536" s="346"/>
      <c r="GV536" s="346"/>
      <c r="GW536" s="346"/>
      <c r="GX536" s="346"/>
      <c r="GY536" s="346"/>
      <c r="GZ536" s="346"/>
      <c r="HA536" s="346"/>
      <c r="HB536" s="346"/>
      <c r="HC536" s="346"/>
      <c r="HD536" s="346"/>
      <c r="HE536" s="346"/>
      <c r="HF536" s="346"/>
      <c r="HG536" s="346"/>
      <c r="HH536" s="346"/>
      <c r="HI536" s="346"/>
      <c r="HJ536" s="346"/>
      <c r="HK536" s="346"/>
      <c r="HL536" s="346"/>
      <c r="HM536" s="346"/>
      <c r="HN536" s="349"/>
      <c r="HO536" s="345" t="s">
        <v>165</v>
      </c>
      <c r="HP536" s="345"/>
      <c r="HQ536" s="345"/>
      <c r="HR536" s="346">
        <f>+FISC!Z753</f>
        <v>769.8</v>
      </c>
      <c r="HS536" s="302">
        <f t="shared" ref="HS536:HZ536" si="279">HS537+HS543</f>
        <v>314.52244099552973</v>
      </c>
      <c r="HT536" s="302">
        <f t="shared" si="279"/>
        <v>422.39390190764493</v>
      </c>
      <c r="HU536" s="346">
        <f t="shared" si="279"/>
        <v>736.91634290317461</v>
      </c>
      <c r="HV536" s="302">
        <f t="shared" si="279"/>
        <v>326.40878597222695</v>
      </c>
      <c r="HW536" s="302">
        <f t="shared" si="279"/>
        <v>392.27674667440601</v>
      </c>
      <c r="HX536" s="346">
        <f t="shared" si="279"/>
        <v>718.68553264663296</v>
      </c>
      <c r="HY536" s="302">
        <f t="shared" si="279"/>
        <v>265.65047766078698</v>
      </c>
      <c r="HZ536" s="302">
        <f t="shared" si="279"/>
        <v>353.56778167924733</v>
      </c>
      <c r="IA536" s="346">
        <f t="shared" si="103"/>
        <v>619.21825934003436</v>
      </c>
      <c r="IB536" s="302">
        <f>IB537+IB543</f>
        <v>364.38782089518998</v>
      </c>
      <c r="IC536" s="302">
        <f>IC537+IC543</f>
        <v>485.83207949197003</v>
      </c>
      <c r="ID536" s="346">
        <f>FISC!AC753</f>
        <v>850.21990038716001</v>
      </c>
      <c r="IE536" s="302">
        <f t="shared" si="252"/>
        <v>454.08877171984966</v>
      </c>
      <c r="IF536" s="302">
        <f t="shared" si="253"/>
        <v>617.62047379193211</v>
      </c>
      <c r="IG536" s="346">
        <f t="shared" si="201"/>
        <v>1071.7092455117818</v>
      </c>
      <c r="IH536" s="302" t="e">
        <f>IH537+IH543</f>
        <v>#REF!</v>
      </c>
      <c r="II536" s="302" t="e">
        <f>II537+II543</f>
        <v>#REF!</v>
      </c>
      <c r="IJ536" s="346">
        <f>+FISC!AE753</f>
        <v>1294.7440302694517</v>
      </c>
      <c r="IK536" s="302">
        <f>IK537+IK543</f>
        <v>593.00785851533988</v>
      </c>
      <c r="IL536" s="302">
        <f t="shared" ref="IL536:IL603" si="280">IM536-IK536</f>
        <v>547.41109579309477</v>
      </c>
      <c r="IM536" s="346">
        <f>+FISC!AF753</f>
        <v>1140.4189543084346</v>
      </c>
      <c r="IN536" s="302">
        <f>IN537+IN543</f>
        <v>713.46433742239708</v>
      </c>
      <c r="IO536" s="302">
        <f t="shared" si="154"/>
        <v>611.62464130294745</v>
      </c>
      <c r="IP536" s="346">
        <f>+FISC!AG753</f>
        <v>1325.0889787253445</v>
      </c>
      <c r="IQ536" s="302">
        <f>IQ537+IQ543</f>
        <v>761.21359216332644</v>
      </c>
      <c r="IR536" s="302">
        <f t="shared" ref="IR536:IR602" si="281">IS536-IQ536</f>
        <v>814.89032892250839</v>
      </c>
      <c r="IS536" s="346">
        <f>+FISC!AH753</f>
        <v>1576.1039210858348</v>
      </c>
      <c r="IT536" s="302">
        <f>IT537+IT543</f>
        <v>917.26431221273106</v>
      </c>
      <c r="IU536" s="302">
        <f t="shared" ref="IU536:IU602" si="282">IV536-IT536</f>
        <v>1052.8935377394857</v>
      </c>
      <c r="IV536" s="346">
        <f>+FISC!AI753</f>
        <v>1970.1578499522168</v>
      </c>
      <c r="IW536" s="302">
        <f>IW537+IW543</f>
        <v>1017.2112276496546</v>
      </c>
      <c r="IX536" s="302">
        <f t="shared" ref="IX536:IX602" si="283">IY536-IW536</f>
        <v>869.49334591431625</v>
      </c>
      <c r="IY536" s="346">
        <f>+FISC!AJ753</f>
        <v>1886.7045735639708</v>
      </c>
      <c r="IZ536" s="302" t="e">
        <f>IZ537+IZ543</f>
        <v>#DIV/0!</v>
      </c>
      <c r="JA536" s="302" t="e">
        <f t="shared" ref="JA536:JA602" si="284">JB536-IZ536</f>
        <v>#DIV/0!</v>
      </c>
      <c r="JB536" s="346" t="e">
        <f>+FISC!AK753</f>
        <v>#DIV/0!</v>
      </c>
      <c r="JC536" s="346"/>
      <c r="KI536" s="349"/>
      <c r="KJ536" s="350"/>
      <c r="KM536" s="302">
        <f>KM537+KM543</f>
        <v>0</v>
      </c>
      <c r="KN536" s="302">
        <f>KN537+KN543</f>
        <v>0</v>
      </c>
      <c r="KO536" s="302">
        <f>KO537+KO543</f>
        <v>0</v>
      </c>
      <c r="KP536" s="302">
        <f>KP537+KP543</f>
        <v>0</v>
      </c>
    </row>
    <row r="537" spans="1:302" ht="16.5">
      <c r="A537" s="302"/>
      <c r="B537" s="117" t="s">
        <v>361</v>
      </c>
      <c r="D537" s="345" t="str">
        <f>+FISC!D754</f>
        <v>Domestic</v>
      </c>
      <c r="E537" s="346">
        <v>3.5838200000000002</v>
      </c>
      <c r="F537" s="346">
        <v>6.07545</v>
      </c>
      <c r="G537" s="346">
        <v>1.63897</v>
      </c>
      <c r="H537" s="346">
        <v>7.6555400000000002</v>
      </c>
      <c r="I537" s="346">
        <v>2.6138300000000001</v>
      </c>
      <c r="J537" s="346">
        <v>0.3614</v>
      </c>
      <c r="K537" s="346">
        <v>14.90522</v>
      </c>
      <c r="L537" s="346">
        <v>4.9962</v>
      </c>
      <c r="M537" s="346">
        <v>3.62093</v>
      </c>
      <c r="N537" s="346">
        <v>4.1402399999999995</v>
      </c>
      <c r="O537" s="346">
        <v>12.62506</v>
      </c>
      <c r="P537" s="346">
        <v>1.46191</v>
      </c>
      <c r="Q537" s="346">
        <v>6.6938699999999995</v>
      </c>
      <c r="R537" s="346">
        <v>6.6217100000000002</v>
      </c>
      <c r="S537" s="346">
        <v>6.8226599999999999</v>
      </c>
      <c r="T537" s="346">
        <v>13.2995</v>
      </c>
      <c r="U537" s="346">
        <v>5.5477400000000001</v>
      </c>
      <c r="V537" s="346">
        <v>6.59504</v>
      </c>
      <c r="W537" s="346">
        <v>11.525399999999999</v>
      </c>
      <c r="X537" s="346">
        <v>11.975370000000002</v>
      </c>
      <c r="Y537" s="346">
        <v>13.84273</v>
      </c>
      <c r="Z537" s="346">
        <v>28.940909999999999</v>
      </c>
      <c r="AA537" s="346">
        <v>6.9695499999999999</v>
      </c>
      <c r="AB537" s="346">
        <v>0.37818000000000002</v>
      </c>
      <c r="AC537" s="346">
        <v>8.5546699999999998</v>
      </c>
      <c r="AD537" s="346">
        <v>8.9667000000000012</v>
      </c>
      <c r="AE537" s="346">
        <v>17.100999999999999</v>
      </c>
      <c r="AF537" s="346">
        <v>12.328989999999999</v>
      </c>
      <c r="AG537" s="346">
        <v>14.137729999999999</v>
      </c>
      <c r="AH537" s="346">
        <v>4.8818999999999999</v>
      </c>
      <c r="AI537" s="346">
        <v>6.9567500000000004</v>
      </c>
      <c r="AJ537" s="346">
        <v>7.8944300000000007</v>
      </c>
      <c r="AK537" s="346">
        <v>9.3212900000000012</v>
      </c>
      <c r="AL537" s="346">
        <v>20.7941</v>
      </c>
      <c r="AM537" s="346">
        <v>21.200900000000001</v>
      </c>
      <c r="AN537" s="346">
        <v>7.2271099999999997</v>
      </c>
      <c r="AO537" s="346">
        <v>15.105780000000001</v>
      </c>
      <c r="AP537" s="346">
        <v>13.18632</v>
      </c>
      <c r="AQ537" s="346">
        <v>6.8012499999999996</v>
      </c>
      <c r="AR537" s="346">
        <v>21.793560000000003</v>
      </c>
      <c r="AS537" s="346">
        <v>18.903689999999997</v>
      </c>
      <c r="AT537" s="346">
        <v>9.5749200000000005</v>
      </c>
      <c r="AU537" s="346">
        <v>14.740819999999999</v>
      </c>
      <c r="AV537" s="346">
        <v>13.9329</v>
      </c>
      <c r="AW537" s="346">
        <v>13.756959999999999</v>
      </c>
      <c r="AX537" s="346">
        <v>20.9</v>
      </c>
      <c r="AY537" s="346">
        <v>15.603999999999999</v>
      </c>
      <c r="AZ537" s="346">
        <v>28.117650000000001</v>
      </c>
      <c r="BA537" s="346">
        <v>22.111249999999998</v>
      </c>
      <c r="BB537" s="346">
        <v>11.667159999999999</v>
      </c>
      <c r="BC537" s="346">
        <v>16.764089999999999</v>
      </c>
      <c r="BD537" s="346">
        <v>22.31202</v>
      </c>
      <c r="BE537" s="346">
        <v>33.052900000000001</v>
      </c>
      <c r="BF537" s="346">
        <v>5.1906800000000004</v>
      </c>
      <c r="BG537" s="346">
        <v>6.3758999999999997</v>
      </c>
      <c r="BH537" s="346">
        <v>19.89939</v>
      </c>
      <c r="BI537" s="346">
        <v>19.567900000000002</v>
      </c>
      <c r="BJ537" s="346">
        <v>33.236025999999995</v>
      </c>
      <c r="BK537" s="346">
        <v>17.411060000000003</v>
      </c>
      <c r="BL537" s="346">
        <v>7.0269899999999996</v>
      </c>
      <c r="BM537" s="346">
        <v>21.286360000000002</v>
      </c>
      <c r="BN537" s="346">
        <v>12.03393</v>
      </c>
      <c r="BO537" s="346">
        <v>9.0892599999999995</v>
      </c>
      <c r="BP537" s="346">
        <v>31.707180000000001</v>
      </c>
      <c r="BQ537" s="346">
        <v>46.85219</v>
      </c>
      <c r="BR537" s="346">
        <v>6.1012599999999999</v>
      </c>
      <c r="BS537" s="346">
        <v>8.992799999999999</v>
      </c>
      <c r="BT537" s="346">
        <v>14.1875</v>
      </c>
      <c r="BU537" s="346">
        <v>10.728399999999999</v>
      </c>
      <c r="BV537" s="346">
        <v>38.280104581000003</v>
      </c>
      <c r="BW537" s="346">
        <v>19.21824221</v>
      </c>
      <c r="BX537" s="346">
        <v>3.4928711909999999</v>
      </c>
      <c r="BY537" s="346">
        <v>16.503664744000002</v>
      </c>
      <c r="BZ537" s="346">
        <v>16.912173433</v>
      </c>
      <c r="CA537" s="346">
        <v>14.65821757</v>
      </c>
      <c r="CB537" s="346">
        <v>45.488008786000002</v>
      </c>
      <c r="CC537" s="346">
        <v>30.685310925</v>
      </c>
      <c r="CD537" s="346">
        <v>20.505813729</v>
      </c>
      <c r="CE537" s="347">
        <f t="shared" ref="CE537:DJ537" si="285">CE228</f>
        <v>7.8191067849999998</v>
      </c>
      <c r="CF537" s="346">
        <f t="shared" si="285"/>
        <v>27.064540614999999</v>
      </c>
      <c r="CG537" s="346">
        <f t="shared" si="285"/>
        <v>13.416189154</v>
      </c>
      <c r="CH537" s="346">
        <f t="shared" si="285"/>
        <v>30.291457128000001</v>
      </c>
      <c r="CI537" s="346">
        <f t="shared" si="285"/>
        <v>23.947314263999999</v>
      </c>
      <c r="CJ537" s="346">
        <f t="shared" si="285"/>
        <v>12.362992740999999</v>
      </c>
      <c r="CK537" s="346">
        <f t="shared" si="285"/>
        <v>21.517392606000001</v>
      </c>
      <c r="CL537" s="346">
        <f t="shared" si="285"/>
        <v>23.682749282</v>
      </c>
      <c r="CM537" s="346">
        <f t="shared" si="285"/>
        <v>32.481324956000002</v>
      </c>
      <c r="CN537" s="346">
        <f t="shared" si="285"/>
        <v>26.759737409</v>
      </c>
      <c r="CO537" s="346">
        <f t="shared" si="285"/>
        <v>64.034057740999998</v>
      </c>
      <c r="CP537" s="348">
        <f t="shared" si="285"/>
        <v>36.776276578000001</v>
      </c>
      <c r="CQ537" s="346">
        <f t="shared" si="285"/>
        <v>18.732472962999999</v>
      </c>
      <c r="CR537" s="346">
        <f t="shared" si="285"/>
        <v>31.425210746000001</v>
      </c>
      <c r="CS537" s="346">
        <f t="shared" si="285"/>
        <v>28.036566303000001</v>
      </c>
      <c r="CT537" s="346">
        <f t="shared" si="285"/>
        <v>20.871269851000001</v>
      </c>
      <c r="CU537" s="346">
        <f t="shared" si="285"/>
        <v>19.008571825000001</v>
      </c>
      <c r="CV537" s="346">
        <f t="shared" si="285"/>
        <v>17.450130183999999</v>
      </c>
      <c r="CW537" s="346">
        <f t="shared" si="285"/>
        <v>33.116301632999999</v>
      </c>
      <c r="CX537" s="346">
        <f t="shared" si="285"/>
        <v>26.094432314999999</v>
      </c>
      <c r="CY537" s="346">
        <f t="shared" si="285"/>
        <v>44.998493394999997</v>
      </c>
      <c r="CZ537" s="346">
        <f t="shared" si="285"/>
        <v>78.902201219999995</v>
      </c>
      <c r="DA537" s="346">
        <f t="shared" si="285"/>
        <v>45.806131833999999</v>
      </c>
      <c r="DB537" s="1479">
        <f t="shared" si="285"/>
        <v>32.207662052000003</v>
      </c>
      <c r="DC537" s="346">
        <f t="shared" si="285"/>
        <v>16.489001077000001</v>
      </c>
      <c r="DD537" s="346">
        <f t="shared" si="285"/>
        <v>30.797304453999999</v>
      </c>
      <c r="DE537" s="346">
        <f t="shared" si="285"/>
        <v>40.144479420000003</v>
      </c>
      <c r="DF537" s="346">
        <f t="shared" si="285"/>
        <v>47.547703896999998</v>
      </c>
      <c r="DG537" s="346">
        <f t="shared" si="285"/>
        <v>28.742775963</v>
      </c>
      <c r="DH537" s="346">
        <f t="shared" si="285"/>
        <v>14.383686656</v>
      </c>
      <c r="DI537" s="346">
        <f t="shared" si="285"/>
        <v>57.002527604999997</v>
      </c>
      <c r="DJ537" s="346">
        <f t="shared" si="285"/>
        <v>37.214416708000002</v>
      </c>
      <c r="DK537" s="346">
        <f t="shared" ref="DK537:EP537" si="286">DK228</f>
        <v>24.533894926999999</v>
      </c>
      <c r="DL537" s="346">
        <f t="shared" si="286"/>
        <v>57.665731115</v>
      </c>
      <c r="DM537" s="346">
        <f t="shared" si="286"/>
        <v>62.479018287999999</v>
      </c>
      <c r="DN537" s="348">
        <f t="shared" si="286"/>
        <v>29.876977194999998</v>
      </c>
      <c r="DO537" s="346">
        <f t="shared" si="286"/>
        <v>24.510819567999999</v>
      </c>
      <c r="DP537" s="346">
        <f t="shared" si="286"/>
        <v>31.191320255000001</v>
      </c>
      <c r="DQ537" s="346">
        <f t="shared" si="286"/>
        <v>19.781208627000002</v>
      </c>
      <c r="DR537" s="346">
        <f t="shared" si="286"/>
        <v>36.670557473000002</v>
      </c>
      <c r="DS537" s="346">
        <f t="shared" si="286"/>
        <v>39.918205536999999</v>
      </c>
      <c r="DT537" s="346">
        <f t="shared" si="286"/>
        <v>14.805941098</v>
      </c>
      <c r="DU537" s="346">
        <f t="shared" si="286"/>
        <v>55.250912331000002</v>
      </c>
      <c r="DV537" s="346">
        <f t="shared" si="286"/>
        <v>37.215884711999998</v>
      </c>
      <c r="DW537" s="346">
        <f t="shared" si="286"/>
        <v>17.677582613999999</v>
      </c>
      <c r="DX537" s="346">
        <f t="shared" si="286"/>
        <v>60.345860789</v>
      </c>
      <c r="DY537" s="346">
        <f t="shared" si="286"/>
        <v>55.610312768999997</v>
      </c>
      <c r="DZ537" s="348">
        <f t="shared" si="286"/>
        <v>7.9984918089999999</v>
      </c>
      <c r="EA537" s="346">
        <f t="shared" si="286"/>
        <v>7.9984918089999999</v>
      </c>
      <c r="EB537" s="346">
        <f t="shared" si="286"/>
        <v>57.63256397</v>
      </c>
      <c r="EC537" s="346">
        <f t="shared" si="286"/>
        <v>42.977248097999997</v>
      </c>
      <c r="ED537" s="346">
        <f t="shared" si="286"/>
        <v>44.711899309000003</v>
      </c>
      <c r="EE537" s="346">
        <f t="shared" si="286"/>
        <v>39.024985354999998</v>
      </c>
      <c r="EF537" s="346">
        <f t="shared" si="286"/>
        <v>19.645622919000001</v>
      </c>
      <c r="EG537" s="346">
        <f t="shared" si="286"/>
        <v>83.314393476999996</v>
      </c>
      <c r="EH537" s="346">
        <f t="shared" si="286"/>
        <v>34.696378115999998</v>
      </c>
      <c r="EI537" s="346">
        <f t="shared" si="286"/>
        <v>30.38618468</v>
      </c>
      <c r="EJ537" s="346">
        <f t="shared" si="286"/>
        <v>43.270346683</v>
      </c>
      <c r="EK537" s="346">
        <f t="shared" si="286"/>
        <v>40.489700677000002</v>
      </c>
      <c r="EL537" s="348">
        <f t="shared" si="286"/>
        <v>19.011669787999999</v>
      </c>
      <c r="EM537" s="346">
        <f t="shared" si="286"/>
        <v>27.928875783999999</v>
      </c>
      <c r="EN537" s="346">
        <f t="shared" si="286"/>
        <v>32.216142105000003</v>
      </c>
      <c r="EO537" s="346">
        <f t="shared" si="286"/>
        <v>34.432715870000003</v>
      </c>
      <c r="EP537" s="346">
        <f t="shared" si="286"/>
        <v>53.201433113</v>
      </c>
      <c r="EQ537" s="346">
        <f t="shared" ref="EQ537:EX537" si="287">EQ228</f>
        <v>46.650960023000003</v>
      </c>
      <c r="ER537" s="346">
        <f t="shared" si="287"/>
        <v>58.397181713999998</v>
      </c>
      <c r="ES537" s="346">
        <f t="shared" si="287"/>
        <v>55.415338763999998</v>
      </c>
      <c r="ET537" s="346">
        <f t="shared" si="287"/>
        <v>58.919306761999998</v>
      </c>
      <c r="EU537" s="346">
        <f t="shared" si="287"/>
        <v>47.107478352999998</v>
      </c>
      <c r="EV537" s="346">
        <f t="shared" si="287"/>
        <v>92.436332003000004</v>
      </c>
      <c r="EW537" s="346">
        <f t="shared" si="287"/>
        <v>87.662794950000006</v>
      </c>
      <c r="EX537" s="348">
        <f t="shared" si="287"/>
        <v>29.336689837000002</v>
      </c>
      <c r="EY537" s="346"/>
      <c r="EZ537" s="346"/>
      <c r="FA537" s="346"/>
      <c r="FB537" s="346"/>
      <c r="FC537" s="346"/>
      <c r="FD537" s="346"/>
      <c r="FE537" s="346"/>
      <c r="FF537" s="346"/>
      <c r="FG537" s="346"/>
      <c r="FH537" s="346"/>
      <c r="FI537" s="346"/>
      <c r="FJ537" s="348"/>
      <c r="FK537" s="346"/>
      <c r="FL537" s="346"/>
      <c r="FM537" s="346"/>
      <c r="FN537" s="346"/>
      <c r="FO537" s="346"/>
      <c r="FP537" s="346"/>
      <c r="FQ537" s="346"/>
      <c r="FR537" s="346"/>
      <c r="FS537" s="346"/>
      <c r="FT537" s="346"/>
      <c r="FU537" s="346"/>
      <c r="FV537" s="346"/>
      <c r="FW537" s="346"/>
      <c r="FX537" s="346"/>
      <c r="FY537" s="346"/>
      <c r="FZ537" s="346"/>
      <c r="GA537" s="346"/>
      <c r="GB537" s="346"/>
      <c r="GC537" s="346"/>
      <c r="GD537" s="346"/>
      <c r="GE537" s="346"/>
      <c r="GF537" s="346"/>
      <c r="GG537" s="346"/>
      <c r="GH537" s="346"/>
      <c r="GI537" s="346"/>
      <c r="GJ537" s="346"/>
      <c r="GK537" s="346"/>
      <c r="GL537" s="346"/>
      <c r="GM537" s="346"/>
      <c r="GN537" s="346"/>
      <c r="GO537" s="346"/>
      <c r="GP537" s="346"/>
      <c r="GQ537" s="346"/>
      <c r="GR537" s="346"/>
      <c r="GS537" s="346"/>
      <c r="GT537" s="346"/>
      <c r="GU537" s="346"/>
      <c r="GV537" s="346"/>
      <c r="GW537" s="346"/>
      <c r="GX537" s="346"/>
      <c r="GY537" s="346"/>
      <c r="GZ537" s="346"/>
      <c r="HA537" s="346"/>
      <c r="HB537" s="346"/>
      <c r="HC537" s="346"/>
      <c r="HD537" s="346"/>
      <c r="HE537" s="346"/>
      <c r="HF537" s="346"/>
      <c r="HG537" s="346"/>
      <c r="HH537" s="346"/>
      <c r="HI537" s="346"/>
      <c r="HJ537" s="346"/>
      <c r="HK537" s="346"/>
      <c r="HL537" s="346"/>
      <c r="HM537" s="346"/>
      <c r="HN537" s="349"/>
      <c r="HO537" s="345" t="s">
        <v>35</v>
      </c>
      <c r="HP537" s="345"/>
      <c r="HQ537" s="345"/>
      <c r="HR537" s="346">
        <f>+FISC!Z754</f>
        <v>388.5</v>
      </c>
      <c r="HS537" s="302">
        <f t="shared" ref="HS537:HS543" si="288">SUM(CQ537:CV537)</f>
        <v>135.524221872</v>
      </c>
      <c r="HT537" s="302">
        <f t="shared" ref="HT537:HT543" si="289">SUM(CW537:DB537)</f>
        <v>261.12522244899998</v>
      </c>
      <c r="HU537" s="346">
        <f t="shared" ref="HU537:HU543" si="290">SUM(CQ537:DB537)</f>
        <v>396.64944432099998</v>
      </c>
      <c r="HV537" s="302">
        <f>+SUM(DC537:DH537)</f>
        <v>178.10495146699998</v>
      </c>
      <c r="HW537" s="302">
        <f>+SUM(DI537:DN537)</f>
        <v>268.77256583799999</v>
      </c>
      <c r="HX537" s="346">
        <f>HV537+HW537</f>
        <v>446.87751730499997</v>
      </c>
      <c r="HY537" s="302">
        <f>+SUM(DO537:DT537)</f>
        <v>166.87805255800001</v>
      </c>
      <c r="HZ537" s="302">
        <f t="shared" ref="HZ537:HZ542" si="291">SUM(DU537:DZ537)</f>
        <v>234.09904502399999</v>
      </c>
      <c r="IA537" s="346">
        <f t="shared" si="103"/>
        <v>400.977097582</v>
      </c>
      <c r="IB537" s="1155">
        <v>211.99081146</v>
      </c>
      <c r="IC537" s="302">
        <f>+(ID537-IB537)</f>
        <v>251.16867342100002</v>
      </c>
      <c r="ID537" s="346">
        <f>FISC!AC754</f>
        <v>463.15948488100003</v>
      </c>
      <c r="IE537" s="302">
        <f t="shared" si="252"/>
        <v>252.82730860900003</v>
      </c>
      <c r="IF537" s="302">
        <f t="shared" si="253"/>
        <v>370.87794066900005</v>
      </c>
      <c r="IG537" s="346">
        <f t="shared" si="201"/>
        <v>623.70524927800011</v>
      </c>
      <c r="IH537" s="350" t="e">
        <f>((IJ537*0.49)*0+#REF!)*0+315.988621393</f>
        <v>#REF!</v>
      </c>
      <c r="II537" s="302" t="e">
        <f>+IJ537-IH537</f>
        <v>#REF!</v>
      </c>
      <c r="IJ537" s="346">
        <f>+FISC!AE754</f>
        <v>747.07835400183399</v>
      </c>
      <c r="IK537" s="350">
        <f>(IM537*0.49)*0+200.202947068716</f>
        <v>200.20294706871601</v>
      </c>
      <c r="IL537" s="302">
        <f t="shared" si="280"/>
        <v>345.28751055591641</v>
      </c>
      <c r="IM537" s="346">
        <f>+FISC!AF754</f>
        <v>545.49045762463243</v>
      </c>
      <c r="IN537" s="350">
        <f>(IP537*0.49)</f>
        <v>267.29032423606986</v>
      </c>
      <c r="IO537" s="302">
        <f t="shared" si="154"/>
        <v>278.20013338856256</v>
      </c>
      <c r="IP537" s="346">
        <f>+FISC!AG754</f>
        <v>545.49045762463243</v>
      </c>
      <c r="IQ537" s="350">
        <f>(IS537*0.49)</f>
        <v>362.65981490303039</v>
      </c>
      <c r="IR537" s="302">
        <f t="shared" si="281"/>
        <v>377.46225632764384</v>
      </c>
      <c r="IS537" s="346">
        <f>+FISC!AH754</f>
        <v>740.12207123067424</v>
      </c>
      <c r="IT537" s="350">
        <f>(IV537*0.49)</f>
        <v>409.25938355919891</v>
      </c>
      <c r="IU537" s="302">
        <f t="shared" si="282"/>
        <v>425.96384819426828</v>
      </c>
      <c r="IV537" s="346">
        <f>+FISC!AI754</f>
        <v>835.22323175346719</v>
      </c>
      <c r="IW537" s="350">
        <f>(IY537*0.49)</f>
        <v>409.25938355919891</v>
      </c>
      <c r="IX537" s="302">
        <f t="shared" si="283"/>
        <v>425.96384819426828</v>
      </c>
      <c r="IY537" s="346">
        <f>+FISC!AJ754</f>
        <v>835.22323175346719</v>
      </c>
      <c r="IZ537" s="350" t="e">
        <f>(JB537*0.49)</f>
        <v>#DIV/0!</v>
      </c>
      <c r="JA537" s="302" t="e">
        <f t="shared" si="284"/>
        <v>#DIV/0!</v>
      </c>
      <c r="JB537" s="346" t="e">
        <f>+FISC!AK754</f>
        <v>#DIV/0!</v>
      </c>
      <c r="JC537" s="346"/>
      <c r="KI537" s="349"/>
      <c r="KJ537" s="350"/>
    </row>
    <row r="538" spans="1:302">
      <c r="A538" s="302"/>
      <c r="B538" s="117" t="s">
        <v>361</v>
      </c>
      <c r="D538" s="351" t="str">
        <f>+FISC!D757</f>
        <v>Contingent</v>
      </c>
      <c r="E538" s="346"/>
      <c r="F538" s="346"/>
      <c r="G538" s="346"/>
      <c r="H538" s="346"/>
      <c r="I538" s="346"/>
      <c r="J538" s="346"/>
      <c r="K538" s="346"/>
      <c r="L538" s="346"/>
      <c r="M538" s="346"/>
      <c r="N538" s="346"/>
      <c r="O538" s="346"/>
      <c r="P538" s="346"/>
      <c r="Q538" s="346"/>
      <c r="R538" s="346"/>
      <c r="S538" s="346"/>
      <c r="T538" s="346"/>
      <c r="U538" s="346"/>
      <c r="V538" s="346"/>
      <c r="W538" s="346"/>
      <c r="X538" s="346"/>
      <c r="Y538" s="346"/>
      <c r="Z538" s="346"/>
      <c r="AA538" s="346"/>
      <c r="AB538" s="346"/>
      <c r="AC538" s="346"/>
      <c r="AD538" s="346"/>
      <c r="AE538" s="346"/>
      <c r="AF538" s="346"/>
      <c r="AG538" s="346"/>
      <c r="AH538" s="346"/>
      <c r="AI538" s="346"/>
      <c r="AJ538" s="346"/>
      <c r="AK538" s="346"/>
      <c r="AL538" s="346"/>
      <c r="AM538" s="346"/>
      <c r="AN538" s="346"/>
      <c r="AO538" s="346"/>
      <c r="AP538" s="346"/>
      <c r="AQ538" s="346"/>
      <c r="AR538" s="346"/>
      <c r="AS538" s="346"/>
      <c r="AT538" s="346"/>
      <c r="AU538" s="346"/>
      <c r="AV538" s="346"/>
      <c r="AW538" s="346"/>
      <c r="AX538" s="346"/>
      <c r="AY538" s="346"/>
      <c r="AZ538" s="346"/>
      <c r="BA538" s="346"/>
      <c r="BB538" s="346"/>
      <c r="BC538" s="346"/>
      <c r="BD538" s="346"/>
      <c r="BE538" s="346"/>
      <c r="BF538" s="346"/>
      <c r="BG538" s="346"/>
      <c r="BH538" s="346"/>
      <c r="BI538" s="346"/>
      <c r="BJ538" s="346"/>
      <c r="BK538" s="346"/>
      <c r="BL538" s="346"/>
      <c r="BM538" s="346"/>
      <c r="BN538" s="346"/>
      <c r="BO538" s="346"/>
      <c r="BP538" s="346"/>
      <c r="BQ538" s="346"/>
      <c r="BR538" s="346"/>
      <c r="BS538" s="346"/>
      <c r="BT538" s="346"/>
      <c r="BU538" s="346"/>
      <c r="BV538" s="346"/>
      <c r="BW538" s="346"/>
      <c r="BX538" s="346"/>
      <c r="BY538" s="346"/>
      <c r="BZ538" s="346"/>
      <c r="CA538" s="346"/>
      <c r="CB538" s="346"/>
      <c r="CC538" s="346"/>
      <c r="CD538" s="346"/>
      <c r="CE538" s="347"/>
      <c r="CF538" s="346"/>
      <c r="CG538" s="346"/>
      <c r="CH538" s="346"/>
      <c r="CI538" s="346"/>
      <c r="CJ538" s="346"/>
      <c r="CK538" s="346"/>
      <c r="CL538" s="346"/>
      <c r="CM538" s="346"/>
      <c r="CN538" s="346"/>
      <c r="CO538" s="346"/>
      <c r="CP538" s="348"/>
      <c r="CQ538" s="346"/>
      <c r="CR538" s="346"/>
      <c r="CS538" s="346"/>
      <c r="CT538" s="346"/>
      <c r="CU538" s="346"/>
      <c r="CV538" s="346"/>
      <c r="CW538" s="346"/>
      <c r="CX538" s="346"/>
      <c r="CY538" s="346"/>
      <c r="CZ538" s="346"/>
      <c r="DA538" s="346"/>
      <c r="DB538" s="1479"/>
      <c r="DC538" s="346"/>
      <c r="DD538" s="346"/>
      <c r="DE538" s="346"/>
      <c r="DF538" s="346"/>
      <c r="DG538" s="346"/>
      <c r="DH538" s="346"/>
      <c r="DI538" s="346"/>
      <c r="DJ538" s="346"/>
      <c r="DK538" s="346"/>
      <c r="DL538" s="346"/>
      <c r="DM538" s="346"/>
      <c r="DN538" s="348"/>
      <c r="DO538" s="346"/>
      <c r="DP538" s="346"/>
      <c r="DQ538" s="346"/>
      <c r="DR538" s="346"/>
      <c r="DS538" s="346"/>
      <c r="DT538" s="346"/>
      <c r="DU538" s="346"/>
      <c r="DV538" s="346"/>
      <c r="DW538" s="346"/>
      <c r="DX538" s="346"/>
      <c r="DY538" s="346"/>
      <c r="DZ538" s="348"/>
      <c r="EA538" s="346"/>
      <c r="EB538" s="346"/>
      <c r="EC538" s="346"/>
      <c r="ED538" s="346"/>
      <c r="EE538" s="346"/>
      <c r="EF538" s="346"/>
      <c r="EG538" s="346"/>
      <c r="EH538" s="346"/>
      <c r="EI538" s="346"/>
      <c r="EJ538" s="346"/>
      <c r="EK538" s="346"/>
      <c r="EL538" s="348"/>
      <c r="EM538" s="346"/>
      <c r="EN538" s="346"/>
      <c r="EO538" s="346"/>
      <c r="EP538" s="346"/>
      <c r="EQ538" s="346"/>
      <c r="ER538" s="346"/>
      <c r="ES538" s="346"/>
      <c r="ET538" s="346"/>
      <c r="EU538" s="346"/>
      <c r="EV538" s="346"/>
      <c r="EW538" s="346"/>
      <c r="EX538" s="348"/>
      <c r="EY538" s="346"/>
      <c r="EZ538" s="346"/>
      <c r="FA538" s="346"/>
      <c r="FB538" s="346"/>
      <c r="FC538" s="346"/>
      <c r="FD538" s="346"/>
      <c r="FE538" s="346"/>
      <c r="FF538" s="346"/>
      <c r="FG538" s="346"/>
      <c r="FH538" s="346"/>
      <c r="FI538" s="346"/>
      <c r="FJ538" s="348"/>
      <c r="FK538" s="346"/>
      <c r="FL538" s="346"/>
      <c r="FM538" s="346"/>
      <c r="FN538" s="346"/>
      <c r="FO538" s="346"/>
      <c r="FP538" s="346"/>
      <c r="FQ538" s="346"/>
      <c r="FR538" s="346"/>
      <c r="FS538" s="346"/>
      <c r="FT538" s="346"/>
      <c r="FU538" s="346"/>
      <c r="FV538" s="346"/>
      <c r="FW538" s="346"/>
      <c r="FX538" s="346"/>
      <c r="FY538" s="346"/>
      <c r="FZ538" s="346"/>
      <c r="GA538" s="346"/>
      <c r="GB538" s="346"/>
      <c r="GC538" s="346"/>
      <c r="GD538" s="346"/>
      <c r="GE538" s="346"/>
      <c r="GF538" s="346"/>
      <c r="GG538" s="346"/>
      <c r="GH538" s="346"/>
      <c r="GI538" s="346"/>
      <c r="GJ538" s="346"/>
      <c r="GK538" s="346"/>
      <c r="GL538" s="346"/>
      <c r="GM538" s="346"/>
      <c r="GN538" s="346"/>
      <c r="GO538" s="346"/>
      <c r="GP538" s="346"/>
      <c r="GQ538" s="346"/>
      <c r="GR538" s="346"/>
      <c r="GS538" s="346"/>
      <c r="GT538" s="346"/>
      <c r="GU538" s="346"/>
      <c r="GV538" s="346"/>
      <c r="GW538" s="346"/>
      <c r="GX538" s="346"/>
      <c r="GY538" s="346"/>
      <c r="GZ538" s="346"/>
      <c r="HA538" s="346"/>
      <c r="HB538" s="346"/>
      <c r="HC538" s="346"/>
      <c r="HD538" s="346"/>
      <c r="HE538" s="346"/>
      <c r="HF538" s="346"/>
      <c r="HG538" s="346"/>
      <c r="HH538" s="346"/>
      <c r="HI538" s="346"/>
      <c r="HJ538" s="346"/>
      <c r="HK538" s="346"/>
      <c r="HL538" s="346"/>
      <c r="HM538" s="346"/>
      <c r="HN538" s="349"/>
      <c r="HO538" s="351" t="s">
        <v>139</v>
      </c>
      <c r="HP538" s="351"/>
      <c r="HQ538" s="351"/>
      <c r="HR538" s="346">
        <f>+FISC!Z757</f>
        <v>0</v>
      </c>
      <c r="HS538" s="302">
        <f t="shared" si="288"/>
        <v>0</v>
      </c>
      <c r="HT538" s="302">
        <f t="shared" si="289"/>
        <v>0</v>
      </c>
      <c r="HU538" s="346">
        <f t="shared" si="290"/>
        <v>0</v>
      </c>
      <c r="HX538" s="346">
        <v>0</v>
      </c>
      <c r="HY538" s="302">
        <f>+SUM(DO538:DT538)</f>
        <v>0</v>
      </c>
      <c r="HZ538" s="302">
        <f t="shared" si="291"/>
        <v>0</v>
      </c>
      <c r="IA538" s="346">
        <f t="shared" si="103"/>
        <v>0</v>
      </c>
      <c r="IC538" s="350"/>
      <c r="ID538" s="346">
        <f>FISC!AC757</f>
        <v>0</v>
      </c>
      <c r="IE538" s="302">
        <f t="shared" si="252"/>
        <v>0</v>
      </c>
      <c r="IF538" s="302">
        <f t="shared" si="253"/>
        <v>0</v>
      </c>
      <c r="IG538" s="346">
        <f t="shared" si="201"/>
        <v>0</v>
      </c>
      <c r="IH538" s="350"/>
      <c r="II538" s="350"/>
      <c r="IJ538" s="346">
        <f>+FISC!AE757</f>
        <v>0</v>
      </c>
      <c r="IK538" s="302">
        <f>IM538*JI538</f>
        <v>0</v>
      </c>
      <c r="IL538" s="302">
        <f t="shared" si="280"/>
        <v>0</v>
      </c>
      <c r="IM538" s="346">
        <f>+FISC!AF757</f>
        <v>0</v>
      </c>
      <c r="IN538" s="302">
        <f t="shared" ref="IN538:IN602" si="292">IP538*JI538</f>
        <v>0</v>
      </c>
      <c r="IO538" s="302">
        <f t="shared" si="154"/>
        <v>0</v>
      </c>
      <c r="IP538" s="346">
        <f>+FISC!AG757</f>
        <v>0</v>
      </c>
      <c r="IQ538" s="302">
        <f t="shared" ref="IQ538:IQ602" si="293">IS538*JI538</f>
        <v>0</v>
      </c>
      <c r="IR538" s="302">
        <f t="shared" si="281"/>
        <v>0</v>
      </c>
      <c r="IS538" s="346">
        <f>+FISC!AH757</f>
        <v>0</v>
      </c>
      <c r="IT538" s="302">
        <f t="shared" ref="IT538:IT602" si="294">IV538*JI538</f>
        <v>0</v>
      </c>
      <c r="IU538" s="302">
        <f t="shared" si="282"/>
        <v>0</v>
      </c>
      <c r="IV538" s="346">
        <f>+FISC!AI757</f>
        <v>0</v>
      </c>
      <c r="IW538" s="302">
        <f t="shared" ref="IW538:IW606" si="295">IY538*JL538</f>
        <v>0</v>
      </c>
      <c r="IX538" s="302">
        <f t="shared" si="283"/>
        <v>0</v>
      </c>
      <c r="IY538" s="346">
        <f>+FISC!AJ757</f>
        <v>0</v>
      </c>
      <c r="IZ538" s="302">
        <f t="shared" ref="IZ538:IZ606" si="296">JB538*JO538</f>
        <v>0</v>
      </c>
      <c r="JA538" s="302">
        <f t="shared" si="284"/>
        <v>0</v>
      </c>
      <c r="JB538" s="346">
        <f>+FISC!AK757</f>
        <v>0</v>
      </c>
      <c r="JC538" s="346"/>
      <c r="KI538" s="349"/>
      <c r="KJ538" s="350"/>
    </row>
    <row r="539" spans="1:302">
      <c r="A539" s="302"/>
      <c r="B539" s="117" t="s">
        <v>361</v>
      </c>
      <c r="D539" s="351" t="str">
        <f>+FISC!D758</f>
        <v>Of which: Agaciro Dev.Fund</v>
      </c>
      <c r="E539" s="346"/>
      <c r="F539" s="346"/>
      <c r="G539" s="346"/>
      <c r="H539" s="346"/>
      <c r="I539" s="346"/>
      <c r="J539" s="346"/>
      <c r="K539" s="346"/>
      <c r="L539" s="346"/>
      <c r="M539" s="346"/>
      <c r="N539" s="346"/>
      <c r="O539" s="346"/>
      <c r="P539" s="346"/>
      <c r="Q539" s="346"/>
      <c r="R539" s="346"/>
      <c r="S539" s="346"/>
      <c r="T539" s="346"/>
      <c r="U539" s="346"/>
      <c r="V539" s="346"/>
      <c r="W539" s="346"/>
      <c r="X539" s="346"/>
      <c r="Y539" s="346"/>
      <c r="Z539" s="346"/>
      <c r="AA539" s="346"/>
      <c r="AB539" s="346"/>
      <c r="AC539" s="346"/>
      <c r="AD539" s="346"/>
      <c r="AE539" s="346"/>
      <c r="AF539" s="346"/>
      <c r="AG539" s="346"/>
      <c r="AH539" s="346"/>
      <c r="AI539" s="346"/>
      <c r="AJ539" s="346"/>
      <c r="AK539" s="346"/>
      <c r="AL539" s="346"/>
      <c r="AM539" s="346"/>
      <c r="AN539" s="346"/>
      <c r="AO539" s="346"/>
      <c r="AP539" s="346"/>
      <c r="AQ539" s="346"/>
      <c r="AR539" s="346"/>
      <c r="AS539" s="346"/>
      <c r="AT539" s="346"/>
      <c r="AU539" s="346"/>
      <c r="AV539" s="346"/>
      <c r="AW539" s="346"/>
      <c r="AX539" s="346"/>
      <c r="AY539" s="346"/>
      <c r="AZ539" s="346"/>
      <c r="BA539" s="346"/>
      <c r="BB539" s="346"/>
      <c r="BC539" s="346"/>
      <c r="BD539" s="346"/>
      <c r="BE539" s="346"/>
      <c r="BF539" s="346"/>
      <c r="BG539" s="346"/>
      <c r="BH539" s="346"/>
      <c r="BI539" s="346"/>
      <c r="BJ539" s="346"/>
      <c r="BK539" s="346"/>
      <c r="BL539" s="346"/>
      <c r="BM539" s="346"/>
      <c r="BN539" s="346"/>
      <c r="BO539" s="346"/>
      <c r="BP539" s="346"/>
      <c r="BQ539" s="346"/>
      <c r="BR539" s="346"/>
      <c r="BS539" s="346"/>
      <c r="BT539" s="346"/>
      <c r="BU539" s="346"/>
      <c r="BV539" s="346"/>
      <c r="BW539" s="346"/>
      <c r="BX539" s="346"/>
      <c r="BY539" s="346"/>
      <c r="BZ539" s="346"/>
      <c r="CA539" s="346"/>
      <c r="CB539" s="346"/>
      <c r="CC539" s="346"/>
      <c r="CD539" s="346"/>
      <c r="CE539" s="347">
        <v>0</v>
      </c>
      <c r="CF539" s="346">
        <v>0</v>
      </c>
      <c r="CG539" s="346">
        <v>0</v>
      </c>
      <c r="CH539" s="346">
        <v>0</v>
      </c>
      <c r="CI539" s="346">
        <v>0</v>
      </c>
      <c r="CJ539" s="346">
        <v>0</v>
      </c>
      <c r="CK539" s="346">
        <v>0</v>
      </c>
      <c r="CL539" s="346">
        <v>0</v>
      </c>
      <c r="CM539" s="346">
        <v>0</v>
      </c>
      <c r="CN539" s="346">
        <v>0</v>
      </c>
      <c r="CO539" s="346">
        <v>0</v>
      </c>
      <c r="CP539" s="348">
        <v>0</v>
      </c>
      <c r="CQ539" s="346">
        <v>0</v>
      </c>
      <c r="CR539" s="346">
        <v>0</v>
      </c>
      <c r="CS539" s="346">
        <v>0</v>
      </c>
      <c r="CT539" s="346">
        <v>0</v>
      </c>
      <c r="CU539" s="346">
        <v>0</v>
      </c>
      <c r="CV539" s="346">
        <v>0</v>
      </c>
      <c r="CW539" s="346">
        <v>0</v>
      </c>
      <c r="CX539" s="346">
        <v>0</v>
      </c>
      <c r="CY539" s="346">
        <v>0</v>
      </c>
      <c r="CZ539" s="346">
        <v>0</v>
      </c>
      <c r="DA539" s="346">
        <v>0</v>
      </c>
      <c r="DB539" s="1479">
        <v>0</v>
      </c>
      <c r="DC539" s="346"/>
      <c r="DD539" s="346"/>
      <c r="DE539" s="346"/>
      <c r="DF539" s="346"/>
      <c r="DG539" s="346"/>
      <c r="DH539" s="346"/>
      <c r="DI539" s="346"/>
      <c r="DJ539" s="346"/>
      <c r="DK539" s="346"/>
      <c r="DL539" s="346"/>
      <c r="DM539" s="346"/>
      <c r="DN539" s="348"/>
      <c r="DO539" s="346"/>
      <c r="DP539" s="346"/>
      <c r="DQ539" s="346"/>
      <c r="DR539" s="346"/>
      <c r="DS539" s="346"/>
      <c r="DT539" s="346"/>
      <c r="DU539" s="346"/>
      <c r="DV539" s="346"/>
      <c r="DW539" s="346"/>
      <c r="DX539" s="346"/>
      <c r="DY539" s="346"/>
      <c r="DZ539" s="348"/>
      <c r="EA539" s="346"/>
      <c r="EB539" s="346"/>
      <c r="EC539" s="346"/>
      <c r="ED539" s="346"/>
      <c r="EE539" s="346"/>
      <c r="EF539" s="346"/>
      <c r="EG539" s="346"/>
      <c r="EH539" s="346"/>
      <c r="EI539" s="346"/>
      <c r="EJ539" s="346"/>
      <c r="EK539" s="346"/>
      <c r="EL539" s="348"/>
      <c r="EM539" s="346"/>
      <c r="EN539" s="346"/>
      <c r="EO539" s="346"/>
      <c r="EP539" s="346"/>
      <c r="EQ539" s="346"/>
      <c r="ER539" s="346"/>
      <c r="ES539" s="346"/>
      <c r="ET539" s="346"/>
      <c r="EU539" s="346"/>
      <c r="EV539" s="346"/>
      <c r="EW539" s="346"/>
      <c r="EX539" s="348"/>
      <c r="EY539" s="346"/>
      <c r="EZ539" s="346"/>
      <c r="FA539" s="346"/>
      <c r="FB539" s="346"/>
      <c r="FC539" s="346"/>
      <c r="FD539" s="346"/>
      <c r="FE539" s="346"/>
      <c r="FF539" s="346"/>
      <c r="FG539" s="346"/>
      <c r="FH539" s="346"/>
      <c r="FI539" s="346"/>
      <c r="FJ539" s="348"/>
      <c r="FK539" s="346"/>
      <c r="FL539" s="346"/>
      <c r="FM539" s="346"/>
      <c r="FN539" s="346"/>
      <c r="FO539" s="346"/>
      <c r="FP539" s="346"/>
      <c r="FQ539" s="346"/>
      <c r="FR539" s="346"/>
      <c r="FS539" s="346"/>
      <c r="FT539" s="346"/>
      <c r="FU539" s="346"/>
      <c r="FV539" s="346"/>
      <c r="FW539" s="346"/>
      <c r="FX539" s="346"/>
      <c r="FY539" s="346"/>
      <c r="FZ539" s="346"/>
      <c r="GA539" s="346"/>
      <c r="GB539" s="346"/>
      <c r="GC539" s="346"/>
      <c r="GD539" s="346"/>
      <c r="GE539" s="346"/>
      <c r="GF539" s="346"/>
      <c r="GG539" s="346"/>
      <c r="GH539" s="346"/>
      <c r="GI539" s="346"/>
      <c r="GJ539" s="346"/>
      <c r="GK539" s="346"/>
      <c r="GL539" s="346"/>
      <c r="GM539" s="346"/>
      <c r="GN539" s="346"/>
      <c r="GO539" s="346"/>
      <c r="GP539" s="346"/>
      <c r="GQ539" s="346"/>
      <c r="GR539" s="346"/>
      <c r="GS539" s="346"/>
      <c r="GT539" s="346"/>
      <c r="GU539" s="346"/>
      <c r="GV539" s="346"/>
      <c r="GW539" s="346"/>
      <c r="GX539" s="346"/>
      <c r="GY539" s="346"/>
      <c r="GZ539" s="346"/>
      <c r="HA539" s="346"/>
      <c r="HB539" s="346"/>
      <c r="HC539" s="346"/>
      <c r="HD539" s="346"/>
      <c r="HE539" s="346"/>
      <c r="HF539" s="346"/>
      <c r="HG539" s="346"/>
      <c r="HH539" s="346"/>
      <c r="HI539" s="346"/>
      <c r="HJ539" s="346"/>
      <c r="HK539" s="346"/>
      <c r="HL539" s="346"/>
      <c r="HM539" s="346"/>
      <c r="HN539" s="349"/>
      <c r="HO539" s="351" t="s">
        <v>669</v>
      </c>
      <c r="HP539" s="351"/>
      <c r="HQ539" s="351"/>
      <c r="HR539" s="346">
        <f>+FISC!Z758</f>
        <v>0</v>
      </c>
      <c r="HS539" s="302">
        <f t="shared" si="288"/>
        <v>0</v>
      </c>
      <c r="HT539" s="302">
        <f t="shared" si="289"/>
        <v>0</v>
      </c>
      <c r="HU539" s="346">
        <f t="shared" si="290"/>
        <v>0</v>
      </c>
      <c r="HX539" s="346">
        <v>0</v>
      </c>
      <c r="HY539" s="302">
        <f>+SUM(DO539:DT539)</f>
        <v>0</v>
      </c>
      <c r="HZ539" s="302">
        <f t="shared" si="291"/>
        <v>0</v>
      </c>
      <c r="IA539" s="346">
        <f t="shared" ref="IA539:IA607" si="297">HY539+HZ539</f>
        <v>0</v>
      </c>
      <c r="IB539" s="1037"/>
      <c r="IC539" s="350"/>
      <c r="ID539" s="346">
        <f>FISC!AC758</f>
        <v>0</v>
      </c>
      <c r="IE539" s="302">
        <f t="shared" si="252"/>
        <v>0</v>
      </c>
      <c r="IF539" s="302">
        <f t="shared" si="253"/>
        <v>0</v>
      </c>
      <c r="IG539" s="346">
        <f t="shared" si="201"/>
        <v>0</v>
      </c>
      <c r="IH539" s="350"/>
      <c r="II539" s="350"/>
      <c r="IJ539" s="346">
        <f>+FISC!AE758</f>
        <v>0</v>
      </c>
      <c r="IK539" s="302">
        <f>IM539*JI539</f>
        <v>0</v>
      </c>
      <c r="IL539" s="302">
        <f t="shared" si="280"/>
        <v>0</v>
      </c>
      <c r="IM539" s="346">
        <f>+FISC!AF758</f>
        <v>0</v>
      </c>
      <c r="IN539" s="302">
        <f t="shared" si="292"/>
        <v>0</v>
      </c>
      <c r="IO539" s="302">
        <f t="shared" si="154"/>
        <v>0</v>
      </c>
      <c r="IP539" s="346">
        <f>+FISC!AG758</f>
        <v>0</v>
      </c>
      <c r="IQ539" s="302">
        <f t="shared" si="293"/>
        <v>0</v>
      </c>
      <c r="IR539" s="302">
        <f t="shared" si="281"/>
        <v>0</v>
      </c>
      <c r="IS539" s="346">
        <f>+FISC!AH758</f>
        <v>0</v>
      </c>
      <c r="IT539" s="302">
        <f t="shared" si="294"/>
        <v>0</v>
      </c>
      <c r="IU539" s="302">
        <f t="shared" si="282"/>
        <v>0</v>
      </c>
      <c r="IV539" s="346">
        <f>+FISC!AI758</f>
        <v>0</v>
      </c>
      <c r="IW539" s="302">
        <f t="shared" si="295"/>
        <v>0</v>
      </c>
      <c r="IX539" s="302">
        <f t="shared" si="283"/>
        <v>0</v>
      </c>
      <c r="IY539" s="346">
        <f>+FISC!AJ758</f>
        <v>0</v>
      </c>
      <c r="IZ539" s="302">
        <f t="shared" si="296"/>
        <v>0</v>
      </c>
      <c r="JA539" s="302">
        <f t="shared" si="284"/>
        <v>0</v>
      </c>
      <c r="JB539" s="346">
        <f>+FISC!AK758</f>
        <v>0</v>
      </c>
      <c r="JC539" s="346"/>
      <c r="KI539" s="349"/>
      <c r="KJ539" s="350"/>
    </row>
    <row r="540" spans="1:302">
      <c r="A540" s="302"/>
      <c r="B540" s="117" t="s">
        <v>361</v>
      </c>
      <c r="D540" s="351" t="str">
        <f>+FISC!D759</f>
        <v>Of which: counterpart funds for taxes (EWSA&amp;RTDA)</v>
      </c>
      <c r="E540" s="346"/>
      <c r="F540" s="346"/>
      <c r="G540" s="346"/>
      <c r="H540" s="346"/>
      <c r="I540" s="346"/>
      <c r="J540" s="346"/>
      <c r="K540" s="346"/>
      <c r="L540" s="346"/>
      <c r="M540" s="346"/>
      <c r="N540" s="346"/>
      <c r="O540" s="346"/>
      <c r="P540" s="346"/>
      <c r="Q540" s="346"/>
      <c r="R540" s="346"/>
      <c r="S540" s="346"/>
      <c r="T540" s="346"/>
      <c r="U540" s="346"/>
      <c r="V540" s="346"/>
      <c r="W540" s="346"/>
      <c r="X540" s="346"/>
      <c r="Y540" s="346"/>
      <c r="Z540" s="346"/>
      <c r="AA540" s="346"/>
      <c r="AB540" s="346"/>
      <c r="AC540" s="346"/>
      <c r="AD540" s="346"/>
      <c r="AE540" s="346"/>
      <c r="AF540" s="346"/>
      <c r="AG540" s="346"/>
      <c r="AH540" s="346"/>
      <c r="AI540" s="346"/>
      <c r="AJ540" s="346"/>
      <c r="AK540" s="346"/>
      <c r="AL540" s="346"/>
      <c r="AM540" s="346"/>
      <c r="AN540" s="346"/>
      <c r="AO540" s="346"/>
      <c r="AP540" s="346"/>
      <c r="AQ540" s="346"/>
      <c r="AR540" s="346"/>
      <c r="AS540" s="346"/>
      <c r="AT540" s="346"/>
      <c r="AU540" s="346"/>
      <c r="AV540" s="346"/>
      <c r="AW540" s="346"/>
      <c r="AX540" s="346"/>
      <c r="AY540" s="346"/>
      <c r="AZ540" s="346"/>
      <c r="BA540" s="346"/>
      <c r="BB540" s="346"/>
      <c r="BC540" s="346"/>
      <c r="BD540" s="346"/>
      <c r="BE540" s="346"/>
      <c r="BF540" s="346"/>
      <c r="BG540" s="346"/>
      <c r="BH540" s="346"/>
      <c r="BI540" s="346"/>
      <c r="BJ540" s="346"/>
      <c r="BK540" s="346"/>
      <c r="BL540" s="346"/>
      <c r="BM540" s="346"/>
      <c r="BN540" s="346"/>
      <c r="BO540" s="346"/>
      <c r="BP540" s="346"/>
      <c r="BQ540" s="346"/>
      <c r="BR540" s="346"/>
      <c r="BS540" s="346"/>
      <c r="BT540" s="346"/>
      <c r="BU540" s="346"/>
      <c r="BV540" s="346"/>
      <c r="BW540" s="346"/>
      <c r="BX540" s="346"/>
      <c r="BY540" s="346"/>
      <c r="BZ540" s="346"/>
      <c r="CA540" s="346"/>
      <c r="CB540" s="346"/>
      <c r="CC540" s="346"/>
      <c r="CD540" s="346"/>
      <c r="CE540" s="347">
        <f t="shared" ref="CE540:DJ540" si="298">CE273</f>
        <v>1.1349399529999999</v>
      </c>
      <c r="CF540" s="346">
        <f t="shared" si="298"/>
        <v>1.4630002769999999</v>
      </c>
      <c r="CG540" s="346">
        <f t="shared" si="298"/>
        <v>1.3054274539999999</v>
      </c>
      <c r="CH540" s="346">
        <f t="shared" si="298"/>
        <v>2.2216993990000002</v>
      </c>
      <c r="CI540" s="346">
        <f t="shared" si="298"/>
        <v>0.69107618300000007</v>
      </c>
      <c r="CJ540" s="346">
        <f t="shared" si="298"/>
        <v>0.65031120600000003</v>
      </c>
      <c r="CK540" s="346">
        <f t="shared" si="298"/>
        <v>1.9135211519999999</v>
      </c>
      <c r="CL540" s="346">
        <f t="shared" si="298"/>
        <v>0.47741728299999997</v>
      </c>
      <c r="CM540" s="346">
        <f t="shared" si="298"/>
        <v>1.0267364919999999</v>
      </c>
      <c r="CN540" s="346">
        <f t="shared" si="298"/>
        <v>0.97803167700000004</v>
      </c>
      <c r="CO540" s="346">
        <f t="shared" si="298"/>
        <v>3.220760845</v>
      </c>
      <c r="CP540" s="348">
        <f t="shared" si="298"/>
        <v>3.7836638009999999</v>
      </c>
      <c r="CQ540" s="346">
        <f t="shared" si="298"/>
        <v>0.67842869300000008</v>
      </c>
      <c r="CR540" s="346">
        <f t="shared" si="298"/>
        <v>1.1277501160000001</v>
      </c>
      <c r="CS540" s="346">
        <f t="shared" si="298"/>
        <v>2.4514973879999999</v>
      </c>
      <c r="CT540" s="346">
        <f t="shared" si="298"/>
        <v>1.0587368719999999</v>
      </c>
      <c r="CU540" s="346">
        <f t="shared" si="298"/>
        <v>1.3975622430000001</v>
      </c>
      <c r="CV540" s="346">
        <f t="shared" si="298"/>
        <v>1.791853173</v>
      </c>
      <c r="CW540" s="346">
        <f t="shared" si="298"/>
        <v>1.7077041459999998</v>
      </c>
      <c r="CX540" s="346">
        <f t="shared" si="298"/>
        <v>1.0288627880000001</v>
      </c>
      <c r="CY540" s="346">
        <f t="shared" si="298"/>
        <v>1.8426684580000001</v>
      </c>
      <c r="CZ540" s="346">
        <f t="shared" si="298"/>
        <v>3.7820743399999999</v>
      </c>
      <c r="DA540" s="346">
        <f t="shared" si="298"/>
        <v>2.0963128589999998</v>
      </c>
      <c r="DB540" s="1479">
        <f t="shared" si="298"/>
        <v>1.8369815279999999</v>
      </c>
      <c r="DC540" s="346">
        <f t="shared" si="298"/>
        <v>0</v>
      </c>
      <c r="DD540" s="346">
        <f t="shared" si="298"/>
        <v>8.8504699000000006E-2</v>
      </c>
      <c r="DE540" s="346">
        <f t="shared" si="298"/>
        <v>0.21395088100000001</v>
      </c>
      <c r="DF540" s="346">
        <f t="shared" si="298"/>
        <v>0.104251079</v>
      </c>
      <c r="DG540" s="346">
        <f t="shared" si="298"/>
        <v>0.42393392299999999</v>
      </c>
      <c r="DH540" s="346">
        <f t="shared" si="298"/>
        <v>6.0823601999999997E-2</v>
      </c>
      <c r="DI540" s="346">
        <f t="shared" si="298"/>
        <v>0.22819368400000001</v>
      </c>
      <c r="DJ540" s="346">
        <f t="shared" si="298"/>
        <v>0.257469748</v>
      </c>
      <c r="DK540" s="346">
        <f t="shared" ref="DK540:EP540" si="299">DK273</f>
        <v>0</v>
      </c>
      <c r="DL540" s="346">
        <f t="shared" si="299"/>
        <v>0.67878242799999999</v>
      </c>
      <c r="DM540" s="346">
        <f t="shared" si="299"/>
        <v>6.4819420000000003E-2</v>
      </c>
      <c r="DN540" s="348">
        <f t="shared" si="299"/>
        <v>0.81591566800000004</v>
      </c>
      <c r="DO540" s="346">
        <f t="shared" si="299"/>
        <v>0</v>
      </c>
      <c r="DP540" s="346">
        <f t="shared" si="299"/>
        <v>0.49947828100000002</v>
      </c>
      <c r="DQ540" s="346">
        <f t="shared" si="299"/>
        <v>0</v>
      </c>
      <c r="DR540" s="346">
        <f t="shared" si="299"/>
        <v>0</v>
      </c>
      <c r="DS540" s="346">
        <f t="shared" si="299"/>
        <v>0</v>
      </c>
      <c r="DT540" s="346">
        <f t="shared" si="299"/>
        <v>0</v>
      </c>
      <c r="DU540" s="346">
        <f t="shared" si="299"/>
        <v>0</v>
      </c>
      <c r="DV540" s="346">
        <f t="shared" si="299"/>
        <v>0</v>
      </c>
      <c r="DW540" s="346">
        <f t="shared" si="299"/>
        <v>0</v>
      </c>
      <c r="DX540" s="346">
        <f t="shared" si="299"/>
        <v>0</v>
      </c>
      <c r="DY540" s="346">
        <f t="shared" si="299"/>
        <v>0</v>
      </c>
      <c r="DZ540" s="348">
        <f t="shared" si="299"/>
        <v>0</v>
      </c>
      <c r="EA540" s="346">
        <f t="shared" si="299"/>
        <v>0</v>
      </c>
      <c r="EB540" s="346">
        <f t="shared" si="299"/>
        <v>0</v>
      </c>
      <c r="EC540" s="346">
        <f t="shared" si="299"/>
        <v>0</v>
      </c>
      <c r="ED540" s="346">
        <f t="shared" si="299"/>
        <v>0</v>
      </c>
      <c r="EE540" s="346">
        <f t="shared" si="299"/>
        <v>0</v>
      </c>
      <c r="EF540" s="346">
        <f t="shared" si="299"/>
        <v>0</v>
      </c>
      <c r="EG540" s="346">
        <f t="shared" si="299"/>
        <v>0</v>
      </c>
      <c r="EH540" s="346">
        <f t="shared" si="299"/>
        <v>0</v>
      </c>
      <c r="EI540" s="346">
        <f t="shared" si="299"/>
        <v>0</v>
      </c>
      <c r="EJ540" s="346">
        <f t="shared" si="299"/>
        <v>0</v>
      </c>
      <c r="EK540" s="346">
        <f t="shared" si="299"/>
        <v>0</v>
      </c>
      <c r="EL540" s="348">
        <f t="shared" si="299"/>
        <v>0</v>
      </c>
      <c r="EM540" s="346">
        <f t="shared" si="299"/>
        <v>0</v>
      </c>
      <c r="EN540" s="346">
        <f t="shared" si="299"/>
        <v>0</v>
      </c>
      <c r="EO540" s="346">
        <f t="shared" si="299"/>
        <v>0</v>
      </c>
      <c r="EP540" s="346">
        <f t="shared" si="299"/>
        <v>0</v>
      </c>
      <c r="EQ540" s="346">
        <f t="shared" ref="EQ540:EX540" si="300">EQ273</f>
        <v>0</v>
      </c>
      <c r="ER540" s="346">
        <f t="shared" si="300"/>
        <v>0</v>
      </c>
      <c r="ES540" s="346">
        <f t="shared" si="300"/>
        <v>0</v>
      </c>
      <c r="ET540" s="346">
        <f t="shared" si="300"/>
        <v>0</v>
      </c>
      <c r="EU540" s="346">
        <f t="shared" si="300"/>
        <v>0</v>
      </c>
      <c r="EV540" s="346">
        <f t="shared" si="300"/>
        <v>0</v>
      </c>
      <c r="EW540" s="346">
        <f t="shared" si="300"/>
        <v>0</v>
      </c>
      <c r="EX540" s="348">
        <f t="shared" si="300"/>
        <v>0</v>
      </c>
      <c r="EY540" s="346"/>
      <c r="EZ540" s="346"/>
      <c r="FA540" s="346"/>
      <c r="FB540" s="346"/>
      <c r="FC540" s="346"/>
      <c r="FD540" s="346"/>
      <c r="FE540" s="346"/>
      <c r="FF540" s="346"/>
      <c r="FG540" s="346"/>
      <c r="FH540" s="346"/>
      <c r="FI540" s="346"/>
      <c r="FJ540" s="348"/>
      <c r="FK540" s="346"/>
      <c r="FL540" s="346"/>
      <c r="FM540" s="346"/>
      <c r="FN540" s="346"/>
      <c r="FO540" s="346"/>
      <c r="FP540" s="346"/>
      <c r="FQ540" s="346"/>
      <c r="FR540" s="346"/>
      <c r="FS540" s="346"/>
      <c r="FT540" s="346"/>
      <c r="FU540" s="346"/>
      <c r="FV540" s="346"/>
      <c r="FW540" s="346"/>
      <c r="FX540" s="346"/>
      <c r="FY540" s="346"/>
      <c r="FZ540" s="346"/>
      <c r="GA540" s="346"/>
      <c r="GB540" s="346"/>
      <c r="GC540" s="346"/>
      <c r="GD540" s="346"/>
      <c r="GE540" s="346"/>
      <c r="GF540" s="346"/>
      <c r="GG540" s="346"/>
      <c r="GH540" s="346"/>
      <c r="GI540" s="346"/>
      <c r="GJ540" s="346"/>
      <c r="GK540" s="346"/>
      <c r="GL540" s="346"/>
      <c r="GM540" s="346"/>
      <c r="GN540" s="346"/>
      <c r="GO540" s="346"/>
      <c r="GP540" s="346"/>
      <c r="GQ540" s="346"/>
      <c r="GR540" s="346"/>
      <c r="GS540" s="346"/>
      <c r="GT540" s="346"/>
      <c r="GU540" s="346"/>
      <c r="GV540" s="346"/>
      <c r="GW540" s="346"/>
      <c r="GX540" s="346"/>
      <c r="GY540" s="346"/>
      <c r="GZ540" s="346"/>
      <c r="HA540" s="346"/>
      <c r="HB540" s="346"/>
      <c r="HC540" s="346"/>
      <c r="HD540" s="346"/>
      <c r="HE540" s="346"/>
      <c r="HF540" s="346"/>
      <c r="HG540" s="346"/>
      <c r="HH540" s="346"/>
      <c r="HI540" s="346"/>
      <c r="HJ540" s="346"/>
      <c r="HK540" s="346"/>
      <c r="HL540" s="346"/>
      <c r="HM540" s="346"/>
      <c r="HN540" s="349"/>
      <c r="HO540" s="351" t="s">
        <v>668</v>
      </c>
      <c r="HP540" s="351"/>
      <c r="HQ540" s="351"/>
      <c r="HR540" s="346">
        <f>+FISC!Z759</f>
        <v>20.7</v>
      </c>
      <c r="HS540" s="302">
        <f t="shared" si="288"/>
        <v>8.5058284850000003</v>
      </c>
      <c r="HT540" s="302">
        <f t="shared" si="289"/>
        <v>12.294604118999999</v>
      </c>
      <c r="HU540" s="346">
        <f t="shared" si="290"/>
        <v>20.800432604000001</v>
      </c>
      <c r="HV540" s="302">
        <f>+SUM(DC540:DH540)</f>
        <v>0.89146418400000005</v>
      </c>
      <c r="HW540" s="302">
        <f>+SUM(DI540:DN540)</f>
        <v>2.0451809480000001</v>
      </c>
      <c r="HX540" s="346">
        <f>HV540+HW540</f>
        <v>2.9366451320000002</v>
      </c>
      <c r="HY540" s="302">
        <f>SUM(DO540:DT540)</f>
        <v>0.49947828100000002</v>
      </c>
      <c r="HZ540" s="302">
        <f t="shared" si="291"/>
        <v>0</v>
      </c>
      <c r="IA540" s="346">
        <f t="shared" si="297"/>
        <v>0.49947828100000002</v>
      </c>
      <c r="IB540" s="302">
        <f>+ID540/2</f>
        <v>0</v>
      </c>
      <c r="IC540" s="302">
        <f>+ID540-IB540</f>
        <v>0</v>
      </c>
      <c r="ID540" s="346">
        <f>FISC!AC759</f>
        <v>0</v>
      </c>
      <c r="IE540" s="302">
        <f t="shared" si="252"/>
        <v>0</v>
      </c>
      <c r="IF540" s="302">
        <f t="shared" si="253"/>
        <v>0</v>
      </c>
      <c r="IG540" s="346">
        <f t="shared" si="201"/>
        <v>0</v>
      </c>
      <c r="IH540" s="350"/>
      <c r="II540" s="350"/>
      <c r="IJ540" s="346">
        <f>+FISC!AE759</f>
        <v>0</v>
      </c>
      <c r="IK540" s="302">
        <f>IM540*JI540</f>
        <v>0</v>
      </c>
      <c r="IL540" s="302">
        <f t="shared" si="280"/>
        <v>0</v>
      </c>
      <c r="IM540" s="346">
        <f>+FISC!AF759</f>
        <v>0</v>
      </c>
      <c r="IN540" s="302">
        <f t="shared" si="292"/>
        <v>0</v>
      </c>
      <c r="IO540" s="302">
        <f t="shared" si="154"/>
        <v>0</v>
      </c>
      <c r="IP540" s="346">
        <f>+FISC!AG759</f>
        <v>0</v>
      </c>
      <c r="IQ540" s="302">
        <f t="shared" si="293"/>
        <v>0</v>
      </c>
      <c r="IR540" s="302">
        <f t="shared" si="281"/>
        <v>0</v>
      </c>
      <c r="IS540" s="346">
        <f>+FISC!AH759</f>
        <v>0</v>
      </c>
      <c r="IT540" s="302">
        <f t="shared" si="294"/>
        <v>0</v>
      </c>
      <c r="IU540" s="302">
        <f t="shared" si="282"/>
        <v>0</v>
      </c>
      <c r="IV540" s="346">
        <f>+FISC!AI759</f>
        <v>0</v>
      </c>
      <c r="IW540" s="302">
        <f t="shared" si="295"/>
        <v>0</v>
      </c>
      <c r="IX540" s="302">
        <f t="shared" si="283"/>
        <v>0</v>
      </c>
      <c r="IY540" s="346">
        <f>+FISC!AJ759</f>
        <v>0</v>
      </c>
      <c r="IZ540" s="302">
        <f t="shared" si="296"/>
        <v>0</v>
      </c>
      <c r="JA540" s="302">
        <f t="shared" si="284"/>
        <v>0</v>
      </c>
      <c r="JB540" s="346">
        <f>+FISC!AK759</f>
        <v>0</v>
      </c>
      <c r="JC540" s="346"/>
      <c r="KI540" s="349"/>
      <c r="KJ540" s="350"/>
    </row>
    <row r="541" spans="1:302">
      <c r="A541" s="302"/>
      <c r="B541" s="117" t="s">
        <v>361</v>
      </c>
      <c r="D541" s="351" t="str">
        <f>+FISC!D760</f>
        <v>Of which: Global Fund</v>
      </c>
      <c r="E541" s="346"/>
      <c r="F541" s="346"/>
      <c r="G541" s="346"/>
      <c r="H541" s="346"/>
      <c r="I541" s="346"/>
      <c r="J541" s="346"/>
      <c r="K541" s="346"/>
      <c r="L541" s="346"/>
      <c r="M541" s="346"/>
      <c r="N541" s="346"/>
      <c r="O541" s="346"/>
      <c r="P541" s="346"/>
      <c r="Q541" s="346"/>
      <c r="R541" s="346"/>
      <c r="S541" s="346"/>
      <c r="T541" s="346"/>
      <c r="U541" s="346"/>
      <c r="V541" s="346"/>
      <c r="W541" s="346"/>
      <c r="X541" s="346"/>
      <c r="Y541" s="346"/>
      <c r="Z541" s="346"/>
      <c r="AA541" s="346"/>
      <c r="AB541" s="346"/>
      <c r="AC541" s="346"/>
      <c r="AD541" s="346"/>
      <c r="AE541" s="346"/>
      <c r="AF541" s="346"/>
      <c r="AG541" s="346"/>
      <c r="AH541" s="346"/>
      <c r="AI541" s="346"/>
      <c r="AJ541" s="346"/>
      <c r="AK541" s="346"/>
      <c r="AL541" s="346"/>
      <c r="AM541" s="346"/>
      <c r="AN541" s="346"/>
      <c r="AO541" s="346"/>
      <c r="AP541" s="346"/>
      <c r="AQ541" s="346"/>
      <c r="AR541" s="346"/>
      <c r="AS541" s="346"/>
      <c r="AT541" s="346"/>
      <c r="AU541" s="346"/>
      <c r="AV541" s="346"/>
      <c r="AW541" s="346"/>
      <c r="AX541" s="346"/>
      <c r="AY541" s="346"/>
      <c r="AZ541" s="346"/>
      <c r="BA541" s="346"/>
      <c r="BB541" s="346"/>
      <c r="BC541" s="346"/>
      <c r="BD541" s="346"/>
      <c r="BE541" s="346"/>
      <c r="BF541" s="346"/>
      <c r="BG541" s="346"/>
      <c r="BH541" s="346"/>
      <c r="BI541" s="346"/>
      <c r="BJ541" s="346"/>
      <c r="BK541" s="346"/>
      <c r="BL541" s="346"/>
      <c r="BM541" s="346"/>
      <c r="BN541" s="346"/>
      <c r="BO541" s="346"/>
      <c r="BP541" s="346"/>
      <c r="BQ541" s="346"/>
      <c r="BR541" s="346"/>
      <c r="BS541" s="346"/>
      <c r="BT541" s="346"/>
      <c r="BU541" s="346"/>
      <c r="BV541" s="346"/>
      <c r="BW541" s="346"/>
      <c r="BX541" s="346"/>
      <c r="BY541" s="346"/>
      <c r="BZ541" s="346"/>
      <c r="CA541" s="346"/>
      <c r="CB541" s="346"/>
      <c r="CC541" s="346"/>
      <c r="CD541" s="346"/>
      <c r="CE541" s="347">
        <v>0</v>
      </c>
      <c r="CF541" s="346">
        <v>0</v>
      </c>
      <c r="CG541" s="346">
        <v>0</v>
      </c>
      <c r="CH541" s="346">
        <v>0</v>
      </c>
      <c r="CI541" s="346">
        <v>0</v>
      </c>
      <c r="CJ541" s="346">
        <v>0</v>
      </c>
      <c r="CK541" s="346">
        <v>0</v>
      </c>
      <c r="CL541" s="346">
        <v>0</v>
      </c>
      <c r="CM541" s="346">
        <v>0</v>
      </c>
      <c r="CN541" s="346">
        <v>0</v>
      </c>
      <c r="CO541" s="346">
        <v>0</v>
      </c>
      <c r="CP541" s="348">
        <v>0</v>
      </c>
      <c r="CQ541" s="346">
        <v>0.116147822</v>
      </c>
      <c r="CR541" s="346">
        <v>4.1447483370000002</v>
      </c>
      <c r="CS541" s="346">
        <v>7.4113048629999998</v>
      </c>
      <c r="CT541" s="346">
        <v>5.2484898449999999</v>
      </c>
      <c r="CU541" s="346">
        <v>5.5188607110000003</v>
      </c>
      <c r="CV541" s="346">
        <v>2.8069111709999999</v>
      </c>
      <c r="CW541" s="346">
        <v>3.6153904090000002</v>
      </c>
      <c r="CX541" s="346">
        <v>5.574319333</v>
      </c>
      <c r="CY541" s="346">
        <v>3.8954458139999999</v>
      </c>
      <c r="CZ541" s="346">
        <v>4.5579970860000003</v>
      </c>
      <c r="DA541" s="346">
        <v>10.6792301</v>
      </c>
      <c r="DB541" s="1479">
        <v>10.601802373</v>
      </c>
      <c r="DC541" s="638">
        <f t="shared" ref="DC541:EL541" si="301">+DC147</f>
        <v>0</v>
      </c>
      <c r="DD541" s="638">
        <f t="shared" si="301"/>
        <v>0</v>
      </c>
      <c r="DE541" s="638">
        <f t="shared" si="301"/>
        <v>14.21628849242</v>
      </c>
      <c r="DF541" s="638">
        <f t="shared" si="301"/>
        <v>0</v>
      </c>
      <c r="DG541" s="638">
        <f t="shared" si="301"/>
        <v>26.637305150966998</v>
      </c>
      <c r="DH541" s="638">
        <f t="shared" si="301"/>
        <v>9.6211446272880308E-2</v>
      </c>
      <c r="DI541" s="638">
        <f t="shared" si="301"/>
        <v>0</v>
      </c>
      <c r="DJ541" s="638">
        <f t="shared" si="301"/>
        <v>0</v>
      </c>
      <c r="DK541" s="638">
        <f t="shared" si="301"/>
        <v>0</v>
      </c>
      <c r="DL541" s="638">
        <f t="shared" si="301"/>
        <v>29.43256141839035</v>
      </c>
      <c r="DM541" s="638">
        <f t="shared" si="301"/>
        <v>0</v>
      </c>
      <c r="DN541" s="673">
        <f t="shared" si="301"/>
        <v>0</v>
      </c>
      <c r="DO541" s="638">
        <f t="shared" si="301"/>
        <v>4.6855716548560604</v>
      </c>
      <c r="DP541" s="638">
        <f t="shared" si="301"/>
        <v>0</v>
      </c>
      <c r="DQ541" s="638">
        <f t="shared" si="301"/>
        <v>0</v>
      </c>
      <c r="DR541" s="638">
        <f t="shared" si="301"/>
        <v>0</v>
      </c>
      <c r="DS541" s="638">
        <f t="shared" si="301"/>
        <v>9.1588665883095004</v>
      </c>
      <c r="DT541" s="638">
        <f t="shared" si="301"/>
        <v>12.1669553399959</v>
      </c>
      <c r="DU541" s="638">
        <f t="shared" si="301"/>
        <v>15.873335991999999</v>
      </c>
      <c r="DV541" s="638">
        <f t="shared" si="301"/>
        <v>0</v>
      </c>
      <c r="DW541" s="638">
        <f t="shared" si="301"/>
        <v>0</v>
      </c>
      <c r="DX541" s="638">
        <f t="shared" si="301"/>
        <v>12.168713068197375</v>
      </c>
      <c r="DY541" s="638">
        <f t="shared" si="301"/>
        <v>0</v>
      </c>
      <c r="DZ541" s="348">
        <f t="shared" si="301"/>
        <v>0</v>
      </c>
      <c r="EA541" s="346">
        <f t="shared" si="301"/>
        <v>16.435436211999999</v>
      </c>
      <c r="EB541" s="638">
        <f t="shared" si="301"/>
        <v>0</v>
      </c>
      <c r="EC541" s="638">
        <f t="shared" si="301"/>
        <v>0</v>
      </c>
      <c r="ED541" s="638">
        <f t="shared" si="301"/>
        <v>14.085088711999999</v>
      </c>
      <c r="EE541" s="638">
        <f t="shared" si="301"/>
        <v>4.495227206</v>
      </c>
      <c r="EF541" s="638">
        <f t="shared" si="301"/>
        <v>1.499967818</v>
      </c>
      <c r="EG541" s="638">
        <f t="shared" si="301"/>
        <v>0</v>
      </c>
      <c r="EH541" s="638">
        <f t="shared" si="301"/>
        <v>3.4351810120000001</v>
      </c>
      <c r="EI541" s="638">
        <f t="shared" si="301"/>
        <v>15.789495488</v>
      </c>
      <c r="EJ541" s="638">
        <f t="shared" si="301"/>
        <v>13.831257405999999</v>
      </c>
      <c r="EK541" s="638">
        <f t="shared" si="301"/>
        <v>0</v>
      </c>
      <c r="EL541" s="673">
        <f t="shared" si="301"/>
        <v>0</v>
      </c>
      <c r="EM541" s="638">
        <f t="shared" ref="EM541:EX541" si="302">EM229</f>
        <v>2.3158961059999998</v>
      </c>
      <c r="EN541" s="638">
        <f t="shared" si="302"/>
        <v>2.504822823</v>
      </c>
      <c r="EO541" s="638">
        <f t="shared" si="302"/>
        <v>1.9591349929999999</v>
      </c>
      <c r="EP541" s="638">
        <f t="shared" si="302"/>
        <v>7.1750623530000004</v>
      </c>
      <c r="EQ541" s="638">
        <f t="shared" si="302"/>
        <v>6.5964459550000001</v>
      </c>
      <c r="ER541" s="638">
        <f t="shared" si="302"/>
        <v>2.4404201950000002</v>
      </c>
      <c r="ES541" s="638">
        <f t="shared" si="302"/>
        <v>3.1315734179999999</v>
      </c>
      <c r="ET541" s="638">
        <f t="shared" si="302"/>
        <v>4.7265107820000001</v>
      </c>
      <c r="EU541" s="638">
        <f t="shared" si="302"/>
        <v>6.1300859609999998</v>
      </c>
      <c r="EV541" s="638">
        <f t="shared" si="302"/>
        <v>5.6363455729999998</v>
      </c>
      <c r="EW541" s="638">
        <f t="shared" si="302"/>
        <v>10.017233999</v>
      </c>
      <c r="EX541" s="673">
        <f t="shared" si="302"/>
        <v>10.399856092</v>
      </c>
      <c r="EY541" s="638"/>
      <c r="EZ541" s="638"/>
      <c r="FA541" s="638"/>
      <c r="FB541" s="638"/>
      <c r="FC541" s="638"/>
      <c r="FD541" s="638"/>
      <c r="FE541" s="638"/>
      <c r="FF541" s="638"/>
      <c r="FG541" s="638"/>
      <c r="FH541" s="638"/>
      <c r="FI541" s="638"/>
      <c r="FJ541" s="673"/>
      <c r="FK541" s="638"/>
      <c r="FL541" s="638"/>
      <c r="FM541" s="638"/>
      <c r="FN541" s="638"/>
      <c r="FO541" s="638"/>
      <c r="FP541" s="638"/>
      <c r="FQ541" s="638"/>
      <c r="FR541" s="638"/>
      <c r="FS541" s="638"/>
      <c r="FT541" s="638"/>
      <c r="FU541" s="638"/>
      <c r="FV541" s="638"/>
      <c r="FW541" s="638"/>
      <c r="FX541" s="638"/>
      <c r="FY541" s="638"/>
      <c r="FZ541" s="638"/>
      <c r="GA541" s="638"/>
      <c r="GB541" s="638"/>
      <c r="GC541" s="638"/>
      <c r="GD541" s="638"/>
      <c r="GE541" s="638"/>
      <c r="GF541" s="638"/>
      <c r="GG541" s="638"/>
      <c r="GH541" s="638"/>
      <c r="GI541" s="638"/>
      <c r="GJ541" s="638"/>
      <c r="GK541" s="638"/>
      <c r="GL541" s="638"/>
      <c r="GM541" s="638"/>
      <c r="GN541" s="638"/>
      <c r="GO541" s="638"/>
      <c r="GP541" s="638"/>
      <c r="GQ541" s="638"/>
      <c r="GR541" s="638"/>
      <c r="GS541" s="638"/>
      <c r="GT541" s="638"/>
      <c r="GU541" s="638"/>
      <c r="GV541" s="638"/>
      <c r="GW541" s="638"/>
      <c r="GX541" s="638"/>
      <c r="GY541" s="638"/>
      <c r="GZ541" s="638"/>
      <c r="HA541" s="638"/>
      <c r="HB541" s="638"/>
      <c r="HC541" s="638"/>
      <c r="HD541" s="638"/>
      <c r="HE541" s="638"/>
      <c r="HF541" s="638"/>
      <c r="HG541" s="638"/>
      <c r="HH541" s="638"/>
      <c r="HI541" s="638"/>
      <c r="HJ541" s="638"/>
      <c r="HK541" s="638"/>
      <c r="HL541" s="638"/>
      <c r="HM541" s="638"/>
      <c r="HN541" s="349"/>
      <c r="HO541" s="351" t="s">
        <v>667</v>
      </c>
      <c r="HP541" s="351"/>
      <c r="HQ541" s="351"/>
      <c r="HR541" s="346">
        <f>+FISC!Z760</f>
        <v>63.1</v>
      </c>
      <c r="HS541" s="302">
        <f t="shared" si="288"/>
        <v>25.246462748999999</v>
      </c>
      <c r="HT541" s="302">
        <f t="shared" si="289"/>
        <v>38.924185115</v>
      </c>
      <c r="HU541" s="346">
        <f t="shared" si="290"/>
        <v>64.170647864000003</v>
      </c>
      <c r="HV541" s="302">
        <f>+SUM(DC541:DH541)</f>
        <v>40.949805089659883</v>
      </c>
      <c r="HW541" s="302">
        <f>+SUM(DI541:DN541)</f>
        <v>29.43256141839035</v>
      </c>
      <c r="HX541" s="346">
        <f>HV541+HW541</f>
        <v>70.382366508050239</v>
      </c>
      <c r="HY541" s="302">
        <f>+SUM(DO541:DT541)</f>
        <v>26.01139358316146</v>
      </c>
      <c r="HZ541" s="302">
        <f t="shared" si="291"/>
        <v>28.042049060197375</v>
      </c>
      <c r="IA541" s="346">
        <f>HY541+HZ541+19.2</f>
        <v>73.253442643358838</v>
      </c>
      <c r="IB541" s="302">
        <f>(+IB494)*0+36.41932021</f>
        <v>36.419320210000002</v>
      </c>
      <c r="IC541" s="302">
        <f>+ID541-IB541</f>
        <v>36.999027930999993</v>
      </c>
      <c r="ID541" s="346">
        <f>FISC!AC760</f>
        <v>73.418348140999996</v>
      </c>
      <c r="IE541" s="302">
        <f t="shared" si="252"/>
        <v>22.991782425000004</v>
      </c>
      <c r="IF541" s="302">
        <f t="shared" si="253"/>
        <v>40.041605824999998</v>
      </c>
      <c r="IG541" s="346">
        <f>IE541+IF541</f>
        <v>63.033388250000002</v>
      </c>
      <c r="IH541" s="302">
        <f>+IH494</f>
        <v>31.804202355335967</v>
      </c>
      <c r="II541" s="302">
        <f>+IJ541-IH541</f>
        <v>34.57366317529921</v>
      </c>
      <c r="IJ541" s="346">
        <f>+FISC!AE760</f>
        <v>66.377865530635177</v>
      </c>
      <c r="IK541" s="302">
        <f>+IK494</f>
        <v>46.19691627755703</v>
      </c>
      <c r="IL541" s="302">
        <f t="shared" si="280"/>
        <v>22.089524221582472</v>
      </c>
      <c r="IM541" s="346">
        <f>+FISC!AF760</f>
        <v>68.286440499139502</v>
      </c>
      <c r="IN541" s="302">
        <f>+IN494</f>
        <v>82.287231546247767</v>
      </c>
      <c r="IO541" s="302">
        <f t="shared" si="154"/>
        <v>28.320719117670635</v>
      </c>
      <c r="IP541" s="346">
        <f>+FISC!AG760</f>
        <v>110.6079506639184</v>
      </c>
      <c r="IQ541" s="302">
        <f>+IQ494</f>
        <v>46.578826280992601</v>
      </c>
      <c r="IR541" s="302">
        <f t="shared" si="281"/>
        <v>36.234864148261138</v>
      </c>
      <c r="IS541" s="346">
        <f>+FISC!AH760</f>
        <v>82.813690429253739</v>
      </c>
      <c r="IT541" s="302">
        <f>+IT494</f>
        <v>60.790741677113502</v>
      </c>
      <c r="IU541" s="302">
        <f t="shared" si="282"/>
        <v>26.603590219699043</v>
      </c>
      <c r="IV541" s="346">
        <f>+FISC!AI760</f>
        <v>87.394331896812545</v>
      </c>
      <c r="IW541" s="302">
        <f>+IW494</f>
        <v>55.482949989333569</v>
      </c>
      <c r="IX541" s="302">
        <f t="shared" si="283"/>
        <v>29.241001414016615</v>
      </c>
      <c r="IY541" s="346">
        <f>+FISC!AJ760</f>
        <v>84.723951403350185</v>
      </c>
      <c r="IZ541" s="302">
        <f>+IZ494</f>
        <v>60.110717514817502</v>
      </c>
      <c r="JA541" s="302">
        <f t="shared" si="284"/>
        <v>60.110717514817502</v>
      </c>
      <c r="JB541" s="346">
        <f>+FISC!AK760</f>
        <v>120.221435029635</v>
      </c>
      <c r="JC541" s="346"/>
      <c r="KI541" s="349"/>
      <c r="KJ541" s="350"/>
    </row>
    <row r="542" spans="1:302">
      <c r="A542" s="302"/>
      <c r="B542" s="117" t="s">
        <v>361</v>
      </c>
      <c r="D542" s="351" t="str">
        <f>+FISC!D761</f>
        <v>Of which: Sovereign Bonds proceeds/Energy</v>
      </c>
      <c r="E542" s="346"/>
      <c r="F542" s="346"/>
      <c r="G542" s="346"/>
      <c r="H542" s="346"/>
      <c r="I542" s="346"/>
      <c r="J542" s="346"/>
      <c r="K542" s="346"/>
      <c r="L542" s="346"/>
      <c r="M542" s="346"/>
      <c r="N542" s="346"/>
      <c r="O542" s="346"/>
      <c r="P542" s="346"/>
      <c r="Q542" s="346"/>
      <c r="R542" s="346"/>
      <c r="S542" s="346"/>
      <c r="T542" s="346"/>
      <c r="U542" s="346"/>
      <c r="V542" s="346"/>
      <c r="W542" s="346"/>
      <c r="X542" s="346"/>
      <c r="Y542" s="346"/>
      <c r="Z542" s="346"/>
      <c r="AA542" s="346"/>
      <c r="AB542" s="346"/>
      <c r="AC542" s="346"/>
      <c r="AD542" s="346"/>
      <c r="AE542" s="346"/>
      <c r="AF542" s="346"/>
      <c r="AG542" s="346"/>
      <c r="AH542" s="346"/>
      <c r="AI542" s="346"/>
      <c r="AJ542" s="346"/>
      <c r="AK542" s="346"/>
      <c r="AL542" s="346"/>
      <c r="AM542" s="346"/>
      <c r="AN542" s="346"/>
      <c r="AO542" s="346"/>
      <c r="AP542" s="346"/>
      <c r="AQ542" s="346"/>
      <c r="AR542" s="346"/>
      <c r="AS542" s="346"/>
      <c r="AT542" s="346"/>
      <c r="AU542" s="346"/>
      <c r="AV542" s="346"/>
      <c r="AW542" s="346"/>
      <c r="AX542" s="346"/>
      <c r="AY542" s="346"/>
      <c r="AZ542" s="346"/>
      <c r="BA542" s="346"/>
      <c r="BB542" s="346"/>
      <c r="BC542" s="346"/>
      <c r="BD542" s="346"/>
      <c r="BE542" s="346"/>
      <c r="BF542" s="346"/>
      <c r="BG542" s="346"/>
      <c r="BH542" s="346"/>
      <c r="BI542" s="346"/>
      <c r="BJ542" s="346"/>
      <c r="BK542" s="346"/>
      <c r="BL542" s="346"/>
      <c r="BM542" s="346"/>
      <c r="BN542" s="346"/>
      <c r="BO542" s="346"/>
      <c r="BP542" s="346"/>
      <c r="BQ542" s="346"/>
      <c r="BR542" s="346"/>
      <c r="BS542" s="346"/>
      <c r="BT542" s="346"/>
      <c r="BU542" s="346"/>
      <c r="BV542" s="346"/>
      <c r="BW542" s="346"/>
      <c r="BX542" s="346"/>
      <c r="BY542" s="346"/>
      <c r="BZ542" s="346"/>
      <c r="CA542" s="346"/>
      <c r="CB542" s="346"/>
      <c r="CC542" s="346"/>
      <c r="CD542" s="346"/>
      <c r="CE542" s="347"/>
      <c r="CF542" s="346"/>
      <c r="CG542" s="346"/>
      <c r="CH542" s="346"/>
      <c r="CI542" s="346"/>
      <c r="CJ542" s="346"/>
      <c r="CK542" s="346"/>
      <c r="CL542" s="346"/>
      <c r="CM542" s="346"/>
      <c r="CN542" s="346"/>
      <c r="CO542" s="346"/>
      <c r="CP542" s="348"/>
      <c r="CQ542" s="346">
        <f t="shared" ref="CQ542:DV542" si="303">CQ233</f>
        <v>4.3384599399999999</v>
      </c>
      <c r="CR542" s="346">
        <f t="shared" si="303"/>
        <v>2.8334494619999999</v>
      </c>
      <c r="CS542" s="346">
        <f t="shared" si="303"/>
        <v>5.5940669710000002</v>
      </c>
      <c r="CT542" s="346">
        <f t="shared" si="303"/>
        <v>2.7899434000000001E-2</v>
      </c>
      <c r="CU542" s="346">
        <f t="shared" si="303"/>
        <v>0</v>
      </c>
      <c r="CV542" s="346">
        <f t="shared" si="303"/>
        <v>0</v>
      </c>
      <c r="CW542" s="346">
        <f t="shared" si="303"/>
        <v>3.0288072960000001</v>
      </c>
      <c r="CX542" s="346">
        <f t="shared" si="303"/>
        <v>0.14963575000000001</v>
      </c>
      <c r="CY542" s="346">
        <f t="shared" si="303"/>
        <v>4.3652265970000004</v>
      </c>
      <c r="CZ542" s="346">
        <f t="shared" si="303"/>
        <v>3.8180877049999999</v>
      </c>
      <c r="DA542" s="346">
        <f t="shared" si="303"/>
        <v>0.87516175500000004</v>
      </c>
      <c r="DB542" s="1479">
        <f t="shared" si="303"/>
        <v>3.5785191630000002</v>
      </c>
      <c r="DC542" s="346">
        <f t="shared" si="303"/>
        <v>0</v>
      </c>
      <c r="DD542" s="346">
        <f t="shared" si="303"/>
        <v>0</v>
      </c>
      <c r="DE542" s="346">
        <f t="shared" si="303"/>
        <v>0.84725262700000004</v>
      </c>
      <c r="DF542" s="346">
        <f t="shared" si="303"/>
        <v>1.4201047630000001</v>
      </c>
      <c r="DG542" s="346">
        <f t="shared" si="303"/>
        <v>0.17094899999999999</v>
      </c>
      <c r="DH542" s="346">
        <f t="shared" si="303"/>
        <v>0.83931962000000004</v>
      </c>
      <c r="DI542" s="346">
        <f t="shared" si="303"/>
        <v>2.6560080570000002</v>
      </c>
      <c r="DJ542" s="346">
        <f t="shared" si="303"/>
        <v>0</v>
      </c>
      <c r="DK542" s="346">
        <f t="shared" si="303"/>
        <v>0.496480586</v>
      </c>
      <c r="DL542" s="346">
        <f t="shared" si="303"/>
        <v>0.48701245199999998</v>
      </c>
      <c r="DM542" s="346">
        <f t="shared" si="303"/>
        <v>3.3036283950000001</v>
      </c>
      <c r="DN542" s="348">
        <f t="shared" si="303"/>
        <v>0</v>
      </c>
      <c r="DO542" s="346">
        <f t="shared" si="303"/>
        <v>0</v>
      </c>
      <c r="DP542" s="346">
        <f t="shared" si="303"/>
        <v>0</v>
      </c>
      <c r="DQ542" s="346">
        <f t="shared" si="303"/>
        <v>0</v>
      </c>
      <c r="DR542" s="346">
        <f t="shared" si="303"/>
        <v>0</v>
      </c>
      <c r="DS542" s="346">
        <f t="shared" si="303"/>
        <v>0</v>
      </c>
      <c r="DT542" s="346">
        <f t="shared" si="303"/>
        <v>0</v>
      </c>
      <c r="DU542" s="346">
        <f t="shared" si="303"/>
        <v>0</v>
      </c>
      <c r="DV542" s="346">
        <f t="shared" si="303"/>
        <v>0</v>
      </c>
      <c r="DW542" s="346">
        <f t="shared" ref="DW542:EX542" si="304">DW233</f>
        <v>0</v>
      </c>
      <c r="DX542" s="346">
        <f t="shared" si="304"/>
        <v>0</v>
      </c>
      <c r="DY542" s="346">
        <f t="shared" si="304"/>
        <v>0</v>
      </c>
      <c r="DZ542" s="673">
        <f t="shared" si="304"/>
        <v>0</v>
      </c>
      <c r="EA542" s="638">
        <f t="shared" si="304"/>
        <v>0</v>
      </c>
      <c r="EB542" s="346">
        <f t="shared" si="304"/>
        <v>0</v>
      </c>
      <c r="EC542" s="346">
        <f t="shared" si="304"/>
        <v>0</v>
      </c>
      <c r="ED542" s="346">
        <f t="shared" si="304"/>
        <v>0</v>
      </c>
      <c r="EE542" s="346">
        <f t="shared" si="304"/>
        <v>0</v>
      </c>
      <c r="EF542" s="346">
        <f t="shared" si="304"/>
        <v>0</v>
      </c>
      <c r="EG542" s="346">
        <f t="shared" si="304"/>
        <v>0</v>
      </c>
      <c r="EH542" s="346">
        <f t="shared" si="304"/>
        <v>0</v>
      </c>
      <c r="EI542" s="346">
        <f t="shared" si="304"/>
        <v>0</v>
      </c>
      <c r="EJ542" s="346">
        <f t="shared" si="304"/>
        <v>0</v>
      </c>
      <c r="EK542" s="346">
        <f t="shared" si="304"/>
        <v>0</v>
      </c>
      <c r="EL542" s="348">
        <f t="shared" si="304"/>
        <v>0</v>
      </c>
      <c r="EM542" s="346">
        <f t="shared" si="304"/>
        <v>0</v>
      </c>
      <c r="EN542" s="346">
        <f t="shared" si="304"/>
        <v>0</v>
      </c>
      <c r="EO542" s="346">
        <f t="shared" si="304"/>
        <v>0</v>
      </c>
      <c r="EP542" s="346">
        <f t="shared" si="304"/>
        <v>0</v>
      </c>
      <c r="EQ542" s="346">
        <f t="shared" si="304"/>
        <v>0</v>
      </c>
      <c r="ER542" s="346">
        <f t="shared" si="304"/>
        <v>0</v>
      </c>
      <c r="ES542" s="346">
        <f t="shared" si="304"/>
        <v>0</v>
      </c>
      <c r="ET542" s="346">
        <f t="shared" si="304"/>
        <v>0</v>
      </c>
      <c r="EU542" s="346">
        <f t="shared" si="304"/>
        <v>0</v>
      </c>
      <c r="EV542" s="346">
        <f t="shared" si="304"/>
        <v>0</v>
      </c>
      <c r="EW542" s="346">
        <f t="shared" si="304"/>
        <v>0</v>
      </c>
      <c r="EX542" s="348">
        <f t="shared" si="304"/>
        <v>0</v>
      </c>
      <c r="EY542" s="346"/>
      <c r="EZ542" s="346"/>
      <c r="FA542" s="346"/>
      <c r="FB542" s="346"/>
      <c r="FC542" s="346"/>
      <c r="FD542" s="346"/>
      <c r="FE542" s="346"/>
      <c r="FF542" s="346"/>
      <c r="FG542" s="346"/>
      <c r="FH542" s="346"/>
      <c r="FI542" s="346"/>
      <c r="FJ542" s="348"/>
      <c r="FK542" s="346"/>
      <c r="FL542" s="346"/>
      <c r="FM542" s="346"/>
      <c r="FN542" s="346"/>
      <c r="FO542" s="346"/>
      <c r="FP542" s="346"/>
      <c r="FQ542" s="346"/>
      <c r="FR542" s="346"/>
      <c r="FS542" s="346"/>
      <c r="FT542" s="346"/>
      <c r="FU542" s="346"/>
      <c r="FV542" s="346"/>
      <c r="FW542" s="346"/>
      <c r="FX542" s="346"/>
      <c r="FY542" s="346"/>
      <c r="FZ542" s="346"/>
      <c r="GA542" s="346"/>
      <c r="GB542" s="346"/>
      <c r="GC542" s="346"/>
      <c r="GD542" s="346"/>
      <c r="GE542" s="346"/>
      <c r="GF542" s="346"/>
      <c r="GG542" s="346"/>
      <c r="GH542" s="346"/>
      <c r="GI542" s="346"/>
      <c r="GJ542" s="346"/>
      <c r="GK542" s="346"/>
      <c r="GL542" s="346"/>
      <c r="GM542" s="346"/>
      <c r="GN542" s="346"/>
      <c r="GO542" s="346"/>
      <c r="GP542" s="346"/>
      <c r="GQ542" s="346"/>
      <c r="GR542" s="346"/>
      <c r="GS542" s="346"/>
      <c r="GT542" s="346"/>
      <c r="GU542" s="346"/>
      <c r="GV542" s="346"/>
      <c r="GW542" s="346"/>
      <c r="GX542" s="346"/>
      <c r="GY542" s="346"/>
      <c r="GZ542" s="346"/>
      <c r="HA542" s="346"/>
      <c r="HB542" s="346"/>
      <c r="HC542" s="346"/>
      <c r="HD542" s="346"/>
      <c r="HE542" s="346"/>
      <c r="HF542" s="346"/>
      <c r="HG542" s="346"/>
      <c r="HH542" s="346"/>
      <c r="HI542" s="346"/>
      <c r="HJ542" s="346"/>
      <c r="HK542" s="346"/>
      <c r="HL542" s="346"/>
      <c r="HM542" s="346"/>
      <c r="HN542" s="349"/>
      <c r="HO542" s="351" t="s">
        <v>666</v>
      </c>
      <c r="HP542" s="351"/>
      <c r="HQ542" s="351"/>
      <c r="HR542" s="346">
        <f>+FISC!Z761</f>
        <v>11.2</v>
      </c>
      <c r="HS542" s="302">
        <f t="shared" si="288"/>
        <v>12.793875807000001</v>
      </c>
      <c r="HT542" s="302">
        <f t="shared" si="289"/>
        <v>15.815438266000001</v>
      </c>
      <c r="HU542" s="346">
        <f t="shared" si="290"/>
        <v>28.609314073</v>
      </c>
      <c r="HV542" s="302">
        <f>+SUM(DC542:DH542)</f>
        <v>3.2776260099999996</v>
      </c>
      <c r="HW542" s="302">
        <f>+SUM(DI542:DN542)</f>
        <v>6.9431294900000005</v>
      </c>
      <c r="HX542" s="346">
        <f>HV542+HW542</f>
        <v>10.220755499999999</v>
      </c>
      <c r="HY542" s="302">
        <f>+SUM(DO542:DT542)</f>
        <v>0</v>
      </c>
      <c r="HZ542" s="302">
        <f t="shared" si="291"/>
        <v>0</v>
      </c>
      <c r="IA542" s="346">
        <f t="shared" si="297"/>
        <v>0</v>
      </c>
      <c r="IC542" s="350"/>
      <c r="ID542" s="346">
        <f>FISC!AC761</f>
        <v>0</v>
      </c>
      <c r="IE542" s="302">
        <f t="shared" si="252"/>
        <v>0</v>
      </c>
      <c r="IF542" s="302">
        <f t="shared" si="253"/>
        <v>0</v>
      </c>
      <c r="IG542" s="346">
        <f t="shared" si="201"/>
        <v>0</v>
      </c>
      <c r="IH542" s="350"/>
      <c r="II542" s="350"/>
      <c r="IJ542" s="346">
        <f>+FISC!AE761</f>
        <v>0</v>
      </c>
      <c r="IK542" s="302">
        <f>IM542*JI542</f>
        <v>0</v>
      </c>
      <c r="IL542" s="302">
        <f t="shared" si="280"/>
        <v>0</v>
      </c>
      <c r="IM542" s="346">
        <f>+FISC!AF761</f>
        <v>0</v>
      </c>
      <c r="IN542" s="302">
        <f t="shared" si="292"/>
        <v>0</v>
      </c>
      <c r="IO542" s="302">
        <f t="shared" si="154"/>
        <v>0</v>
      </c>
      <c r="IP542" s="346">
        <f>+FISC!AG761</f>
        <v>0</v>
      </c>
      <c r="IQ542" s="302">
        <f t="shared" si="293"/>
        <v>0</v>
      </c>
      <c r="IR542" s="302">
        <f t="shared" si="281"/>
        <v>0</v>
      </c>
      <c r="IS542" s="346">
        <f>+FISC!AH761</f>
        <v>0</v>
      </c>
      <c r="IT542" s="302">
        <f t="shared" si="294"/>
        <v>0</v>
      </c>
      <c r="IU542" s="302">
        <f t="shared" si="282"/>
        <v>0</v>
      </c>
      <c r="IV542" s="346">
        <f>+FISC!AI761</f>
        <v>0</v>
      </c>
      <c r="IW542" s="302">
        <f t="shared" si="295"/>
        <v>0</v>
      </c>
      <c r="IX542" s="302">
        <f t="shared" si="283"/>
        <v>0</v>
      </c>
      <c r="IY542" s="346">
        <f>+FISC!AJ761</f>
        <v>0</v>
      </c>
      <c r="IZ542" s="302">
        <f t="shared" si="296"/>
        <v>0</v>
      </c>
      <c r="JA542" s="302">
        <f t="shared" si="284"/>
        <v>0</v>
      </c>
      <c r="JB542" s="346">
        <f>+FISC!AK761</f>
        <v>0</v>
      </c>
      <c r="JC542" s="346"/>
      <c r="KI542" s="349"/>
      <c r="KJ542" s="350"/>
    </row>
    <row r="543" spans="1:302">
      <c r="A543" s="302"/>
      <c r="B543" s="117" t="s">
        <v>361</v>
      </c>
      <c r="D543" s="345" t="str">
        <f>+FISC!D762</f>
        <v>Foreign</v>
      </c>
      <c r="E543" s="346">
        <v>0</v>
      </c>
      <c r="F543" s="346">
        <v>0</v>
      </c>
      <c r="G543" s="346">
        <v>29.4</v>
      </c>
      <c r="H543" s="346">
        <v>0</v>
      </c>
      <c r="I543" s="346">
        <v>0</v>
      </c>
      <c r="J543" s="346">
        <v>29.3</v>
      </c>
      <c r="K543" s="346">
        <v>0</v>
      </c>
      <c r="L543" s="346">
        <v>0</v>
      </c>
      <c r="M543" s="346">
        <v>31.4</v>
      </c>
      <c r="N543" s="346">
        <v>0</v>
      </c>
      <c r="O543" s="346">
        <v>0</v>
      </c>
      <c r="P543" s="346">
        <v>32.4</v>
      </c>
      <c r="Q543" s="346">
        <v>0</v>
      </c>
      <c r="R543" s="346">
        <v>0</v>
      </c>
      <c r="S543" s="346">
        <v>21.242069999999998</v>
      </c>
      <c r="T543" s="346">
        <v>0</v>
      </c>
      <c r="U543" s="346">
        <v>0</v>
      </c>
      <c r="V543" s="346">
        <v>29.22842</v>
      </c>
      <c r="W543" s="346">
        <v>0</v>
      </c>
      <c r="X543" s="346">
        <v>0</v>
      </c>
      <c r="Y543" s="346">
        <v>30.385300000000001</v>
      </c>
      <c r="Z543" s="346">
        <v>0</v>
      </c>
      <c r="AA543" s="346">
        <v>0</v>
      </c>
      <c r="AB543" s="346">
        <v>67.686899999999994</v>
      </c>
      <c r="AC543" s="346">
        <v>0</v>
      </c>
      <c r="AD543" s="346">
        <v>0</v>
      </c>
      <c r="AE543" s="346">
        <v>39.441300000000005</v>
      </c>
      <c r="AF543" s="346">
        <v>0</v>
      </c>
      <c r="AG543" s="346">
        <v>0</v>
      </c>
      <c r="AH543" s="346">
        <v>28.791571012000006</v>
      </c>
      <c r="AI543" s="346">
        <v>0</v>
      </c>
      <c r="AJ543" s="346">
        <v>0</v>
      </c>
      <c r="AK543" s="346">
        <v>39.314281945000005</v>
      </c>
      <c r="AL543" s="346">
        <v>0</v>
      </c>
      <c r="AM543" s="346">
        <v>0</v>
      </c>
      <c r="AN543" s="346">
        <v>48.320237470999992</v>
      </c>
      <c r="AO543" s="346">
        <v>0</v>
      </c>
      <c r="AP543" s="346">
        <v>0</v>
      </c>
      <c r="AQ543" s="346">
        <v>32.635025601999999</v>
      </c>
      <c r="AR543" s="346">
        <v>0</v>
      </c>
      <c r="AS543" s="346">
        <v>0</v>
      </c>
      <c r="AT543" s="346">
        <v>36.601549328000004</v>
      </c>
      <c r="AU543" s="346">
        <v>0</v>
      </c>
      <c r="AV543" s="346">
        <v>0</v>
      </c>
      <c r="AW543" s="346">
        <v>40.564456559999996</v>
      </c>
      <c r="AX543" s="346">
        <v>0</v>
      </c>
      <c r="AY543" s="346">
        <v>0</v>
      </c>
      <c r="AZ543" s="346">
        <v>47.876462140999998</v>
      </c>
      <c r="BA543" s="346">
        <v>0</v>
      </c>
      <c r="BB543" s="346">
        <v>0</v>
      </c>
      <c r="BC543" s="346">
        <v>78.985767354999993</v>
      </c>
      <c r="BD543" s="346">
        <v>0</v>
      </c>
      <c r="BE543" s="346">
        <v>0</v>
      </c>
      <c r="BF543" s="346">
        <v>52.305443629000003</v>
      </c>
      <c r="BG543" s="346">
        <v>0</v>
      </c>
      <c r="BH543" s="346">
        <v>0</v>
      </c>
      <c r="BI543" s="346">
        <v>37.795994708999999</v>
      </c>
      <c r="BJ543" s="346">
        <v>0</v>
      </c>
      <c r="BK543" s="346">
        <v>0</v>
      </c>
      <c r="BL543" s="346">
        <v>72.880383401000003</v>
      </c>
      <c r="BM543" s="346">
        <v>0</v>
      </c>
      <c r="BN543" s="346">
        <v>0</v>
      </c>
      <c r="BO543" s="346">
        <v>74.443160237000001</v>
      </c>
      <c r="BP543" s="346">
        <v>0</v>
      </c>
      <c r="BQ543" s="346">
        <v>0</v>
      </c>
      <c r="BR543" s="346">
        <v>79.585584824000009</v>
      </c>
      <c r="BS543" s="346">
        <v>0</v>
      </c>
      <c r="BT543" s="346">
        <v>0</v>
      </c>
      <c r="BU543" s="346">
        <v>85.534600000000012</v>
      </c>
      <c r="BV543" s="346"/>
      <c r="BW543" s="346"/>
      <c r="BX543" s="346"/>
      <c r="BY543" s="346"/>
      <c r="BZ543" s="346"/>
      <c r="CA543" s="346"/>
      <c r="CB543" s="346"/>
      <c r="CC543" s="346"/>
      <c r="CD543" s="346"/>
      <c r="CE543" s="347">
        <f t="shared" ref="CE543:CP543" si="305">CE497+CE591+CE548</f>
        <v>33.442606270771698</v>
      </c>
      <c r="CF543" s="346">
        <f t="shared" si="305"/>
        <v>10.11084003473381</v>
      </c>
      <c r="CG543" s="346">
        <f t="shared" si="305"/>
        <v>40.029800420294492</v>
      </c>
      <c r="CH543" s="346">
        <f t="shared" si="305"/>
        <v>52.129023568949599</v>
      </c>
      <c r="CI543" s="346">
        <f t="shared" si="305"/>
        <v>36.938693920135449</v>
      </c>
      <c r="CJ543" s="346">
        <f t="shared" si="305"/>
        <v>30.216815742000946</v>
      </c>
      <c r="CK543" s="346">
        <f t="shared" si="305"/>
        <v>35.465421401968307</v>
      </c>
      <c r="CL543" s="346">
        <f t="shared" si="305"/>
        <v>17.270006588434697</v>
      </c>
      <c r="CM543" s="346">
        <f t="shared" si="305"/>
        <v>19.001184852918993</v>
      </c>
      <c r="CN543" s="346">
        <f t="shared" si="305"/>
        <v>62.239680572925209</v>
      </c>
      <c r="CO543" s="346">
        <f t="shared" si="305"/>
        <v>24.906248327884175</v>
      </c>
      <c r="CP543" s="348">
        <f t="shared" si="305"/>
        <v>30.627619857661593</v>
      </c>
      <c r="CQ543" s="346">
        <f t="shared" ref="CQ543:DT543" si="306">CQ497+CQ591+CQ549</f>
        <v>22.634250257573093</v>
      </c>
      <c r="CR543" s="346">
        <f t="shared" si="306"/>
        <v>24.52159962765402</v>
      </c>
      <c r="CS543" s="346">
        <f t="shared" si="306"/>
        <v>26.668254940129891</v>
      </c>
      <c r="CT543" s="346">
        <f t="shared" si="306"/>
        <v>30.063085946442769</v>
      </c>
      <c r="CU543" s="346">
        <f t="shared" si="306"/>
        <v>37.895227394663344</v>
      </c>
      <c r="CV543" s="346">
        <f t="shared" si="306"/>
        <v>37.215800957066605</v>
      </c>
      <c r="CW543" s="346">
        <f t="shared" si="306"/>
        <v>27.254137346920125</v>
      </c>
      <c r="CX543" s="346">
        <f t="shared" si="306"/>
        <v>24.408593314944181</v>
      </c>
      <c r="CY543" s="346">
        <f t="shared" si="306"/>
        <v>27.545518918423681</v>
      </c>
      <c r="CZ543" s="346">
        <f t="shared" si="306"/>
        <v>16.514020665328591</v>
      </c>
      <c r="DA543" s="346">
        <f t="shared" si="306"/>
        <v>31.02010684723729</v>
      </c>
      <c r="DB543" s="1479">
        <f t="shared" si="306"/>
        <v>34.526302365791111</v>
      </c>
      <c r="DC543" s="346">
        <f t="shared" si="306"/>
        <v>13.815378550313035</v>
      </c>
      <c r="DD543" s="346">
        <f t="shared" si="306"/>
        <v>22.733842588357085</v>
      </c>
      <c r="DE543" s="346">
        <f t="shared" si="306"/>
        <v>27.656144330049869</v>
      </c>
      <c r="DF543" s="346">
        <f t="shared" si="306"/>
        <v>11.279776217524869</v>
      </c>
      <c r="DG543" s="346">
        <f t="shared" si="306"/>
        <v>33.722199077256178</v>
      </c>
      <c r="DH543" s="346">
        <f t="shared" si="306"/>
        <v>39.096493741725958</v>
      </c>
      <c r="DI543" s="346">
        <f t="shared" si="306"/>
        <v>16.2369795516545</v>
      </c>
      <c r="DJ543" s="346">
        <f t="shared" si="306"/>
        <v>17.042901420444629</v>
      </c>
      <c r="DK543" s="346">
        <f t="shared" si="306"/>
        <v>28.86465210535188</v>
      </c>
      <c r="DL543" s="346">
        <f t="shared" si="306"/>
        <v>23.993006012909991</v>
      </c>
      <c r="DM543" s="346">
        <f t="shared" si="306"/>
        <v>26.171525515564543</v>
      </c>
      <c r="DN543" s="348">
        <f t="shared" si="306"/>
        <v>11.195116230480462</v>
      </c>
      <c r="DO543" s="346">
        <f t="shared" si="306"/>
        <v>7.8666976505732329</v>
      </c>
      <c r="DP543" s="346">
        <f t="shared" si="306"/>
        <v>10.426636676368915</v>
      </c>
      <c r="DQ543" s="346">
        <f t="shared" si="306"/>
        <v>39.534174137009401</v>
      </c>
      <c r="DR543" s="346">
        <f t="shared" si="306"/>
        <v>9.2505464423914212</v>
      </c>
      <c r="DS543" s="346">
        <f t="shared" si="306"/>
        <v>11.369225287213002</v>
      </c>
      <c r="DT543" s="346">
        <f t="shared" si="306"/>
        <v>20.325144909231</v>
      </c>
      <c r="DU543" s="346">
        <f t="shared" ref="DU543:DZ543" si="307">DU497+DU591+DU549</f>
        <v>27.096548810042002</v>
      </c>
      <c r="DV543" s="346">
        <f t="shared" si="307"/>
        <v>3.1183098931750002</v>
      </c>
      <c r="DW543" s="346">
        <f t="shared" si="307"/>
        <v>21.614232810366996</v>
      </c>
      <c r="DX543" s="346">
        <f t="shared" si="307"/>
        <v>33.695296073125377</v>
      </c>
      <c r="DY543" s="346">
        <f>DY497+DY591+DY549</f>
        <v>12.780071612072998</v>
      </c>
      <c r="DZ543" s="348">
        <f t="shared" si="307"/>
        <v>21.164277456465001</v>
      </c>
      <c r="EA543" s="346">
        <f t="shared" ref="EA543:EK543" si="308">EA497+EA591+EA549</f>
        <v>21.74761611951476</v>
      </c>
      <c r="EB543" s="346">
        <f t="shared" si="308"/>
        <v>25.760209253194738</v>
      </c>
      <c r="EC543" s="346">
        <f t="shared" si="308"/>
        <v>23.0598770162485</v>
      </c>
      <c r="ED543" s="346">
        <f t="shared" si="308"/>
        <v>23.712366129118919</v>
      </c>
      <c r="EE543" s="346">
        <f t="shared" si="308"/>
        <v>26.735410227996319</v>
      </c>
      <c r="EF543" s="346">
        <f t="shared" si="308"/>
        <v>31.381530689116762</v>
      </c>
      <c r="EG543" s="346">
        <f t="shared" si="308"/>
        <v>27.909894950615559</v>
      </c>
      <c r="EH543" s="346">
        <f t="shared" si="308"/>
        <v>16.955218745007535</v>
      </c>
      <c r="EI543" s="346">
        <f t="shared" si="308"/>
        <v>40.070005726957909</v>
      </c>
      <c r="EJ543" s="346">
        <f t="shared" si="308"/>
        <v>15.661802557920968</v>
      </c>
      <c r="EK543" s="346">
        <f t="shared" si="308"/>
        <v>27.208560267357019</v>
      </c>
      <c r="EL543" s="348">
        <f t="shared" ref="EL543:ER543" si="309">EL497+EL591+EL549</f>
        <v>58.857923823111022</v>
      </c>
      <c r="EM543" s="346">
        <f t="shared" si="309"/>
        <v>26.154033663094854</v>
      </c>
      <c r="EN543" s="346">
        <f t="shared" si="309"/>
        <v>18.445545378356144</v>
      </c>
      <c r="EO543" s="346">
        <f t="shared" si="309"/>
        <v>47.015260453214999</v>
      </c>
      <c r="EP543" s="346">
        <f t="shared" si="309"/>
        <v>29.197911488066648</v>
      </c>
      <c r="EQ543" s="346">
        <f t="shared" si="309"/>
        <v>21.519785242485</v>
      </c>
      <c r="ER543" s="346">
        <f t="shared" si="309"/>
        <v>58.928926885631995</v>
      </c>
      <c r="ES543" s="346">
        <f t="shared" ref="ES543:EX543" si="310">ES497+ES591+ES549</f>
        <v>35.348274640719566</v>
      </c>
      <c r="ET543" s="346">
        <f t="shared" si="310"/>
        <v>30.552618112890165</v>
      </c>
      <c r="EU543" s="346">
        <f t="shared" si="310"/>
        <v>44.041510783832905</v>
      </c>
      <c r="EV543" s="346">
        <f t="shared" si="310"/>
        <v>31.903327200566636</v>
      </c>
      <c r="EW543" s="346">
        <f t="shared" si="310"/>
        <v>28.888202852077264</v>
      </c>
      <c r="EX543" s="348">
        <f t="shared" si="310"/>
        <v>76.008599532845508</v>
      </c>
      <c r="EY543" s="346"/>
      <c r="EZ543" s="346"/>
      <c r="FA543" s="346"/>
      <c r="FB543" s="346"/>
      <c r="FC543" s="346"/>
      <c r="FD543" s="346"/>
      <c r="FE543" s="346"/>
      <c r="FF543" s="346"/>
      <c r="FG543" s="346"/>
      <c r="FH543" s="346"/>
      <c r="FI543" s="346"/>
      <c r="FJ543" s="348"/>
      <c r="FK543" s="346"/>
      <c r="FL543" s="346"/>
      <c r="FM543" s="346"/>
      <c r="FN543" s="346"/>
      <c r="FO543" s="346"/>
      <c r="FP543" s="346"/>
      <c r="FQ543" s="346"/>
      <c r="FR543" s="346"/>
      <c r="FS543" s="346"/>
      <c r="FT543" s="346"/>
      <c r="FU543" s="346"/>
      <c r="FV543" s="346"/>
      <c r="FW543" s="346"/>
      <c r="FX543" s="346"/>
      <c r="FY543" s="346"/>
      <c r="FZ543" s="346"/>
      <c r="GA543" s="346"/>
      <c r="GB543" s="346"/>
      <c r="GC543" s="346"/>
      <c r="GD543" s="346"/>
      <c r="GE543" s="346"/>
      <c r="GF543" s="346"/>
      <c r="GG543" s="346"/>
      <c r="GH543" s="346"/>
      <c r="GI543" s="346"/>
      <c r="GJ543" s="346"/>
      <c r="GK543" s="346"/>
      <c r="GL543" s="346"/>
      <c r="GM543" s="346"/>
      <c r="GN543" s="346"/>
      <c r="GO543" s="346"/>
      <c r="GP543" s="346"/>
      <c r="GQ543" s="346"/>
      <c r="GR543" s="346"/>
      <c r="GS543" s="346"/>
      <c r="GT543" s="346"/>
      <c r="GU543" s="346"/>
      <c r="GV543" s="346"/>
      <c r="GW543" s="346"/>
      <c r="GX543" s="346"/>
      <c r="GY543" s="346"/>
      <c r="GZ543" s="346"/>
      <c r="HA543" s="346"/>
      <c r="HB543" s="346"/>
      <c r="HC543" s="346"/>
      <c r="HD543" s="346"/>
      <c r="HE543" s="346"/>
      <c r="HF543" s="346"/>
      <c r="HG543" s="346"/>
      <c r="HH543" s="346"/>
      <c r="HI543" s="346"/>
      <c r="HJ543" s="346"/>
      <c r="HK543" s="346"/>
      <c r="HL543" s="346"/>
      <c r="HM543" s="346"/>
      <c r="HN543" s="349"/>
      <c r="HO543" s="345" t="s">
        <v>166</v>
      </c>
      <c r="HP543" s="345"/>
      <c r="HQ543" s="345"/>
      <c r="HR543" s="346">
        <f>+FISC!Z762</f>
        <v>381.3</v>
      </c>
      <c r="HS543" s="302">
        <f t="shared" si="288"/>
        <v>178.99821912352974</v>
      </c>
      <c r="HT543" s="302">
        <f t="shared" si="289"/>
        <v>161.26867945864495</v>
      </c>
      <c r="HU543" s="346">
        <f t="shared" si="290"/>
        <v>340.26689858217469</v>
      </c>
      <c r="HV543" s="302">
        <f>+HV497+HV591</f>
        <v>148.30383450522697</v>
      </c>
      <c r="HW543" s="302">
        <f>+SUM(DI543:DN543)</f>
        <v>123.50418083640601</v>
      </c>
      <c r="HX543" s="685">
        <f>HV543+HW543</f>
        <v>271.80801534163299</v>
      </c>
      <c r="HY543" s="302">
        <f>+HY497+HY591</f>
        <v>98.772425102786968</v>
      </c>
      <c r="HZ543" s="1100">
        <f>HZ497+HZ549+HZ591</f>
        <v>119.46873665524737</v>
      </c>
      <c r="IA543" s="685">
        <f>HY543+HZ543</f>
        <v>218.24116175803434</v>
      </c>
      <c r="IB543" s="302">
        <f>(+IB497+IB591)*0+152.39700943519</f>
        <v>152.39700943519</v>
      </c>
      <c r="IC543" s="1100">
        <f>(+IC497+IC591)*0+234.66340607097</f>
        <v>234.66340607097001</v>
      </c>
      <c r="ID543" s="346">
        <f>FISC!AC762</f>
        <v>387.06041550615998</v>
      </c>
      <c r="IE543" s="302">
        <f t="shared" si="252"/>
        <v>201.26146311084966</v>
      </c>
      <c r="IF543" s="302">
        <f t="shared" si="253"/>
        <v>246.742533122932</v>
      </c>
      <c r="IG543" s="346">
        <f t="shared" si="201"/>
        <v>448.00399623378166</v>
      </c>
      <c r="IH543" s="302">
        <f>+(IH497+IH591)*0+266.845883007102</f>
        <v>266.84588300710197</v>
      </c>
      <c r="II543" s="302">
        <f>+II497+II591</f>
        <v>281.042362888198</v>
      </c>
      <c r="IJ543" s="346">
        <f>+FISC!AE762</f>
        <v>547.66567626761776</v>
      </c>
      <c r="IK543" s="302">
        <f>+IK497+IK591</f>
        <v>392.80491144662381</v>
      </c>
      <c r="IL543" s="302">
        <f t="shared" si="280"/>
        <v>202.12358523717842</v>
      </c>
      <c r="IM543" s="346">
        <f>+FISC!AF762</f>
        <v>594.92849668380222</v>
      </c>
      <c r="IN543" s="302">
        <f>+IN497+IN591</f>
        <v>446.17401318632722</v>
      </c>
      <c r="IO543" s="302">
        <f t="shared" si="154"/>
        <v>333.42450791438489</v>
      </c>
      <c r="IP543" s="346">
        <f>+FISC!AG762</f>
        <v>779.59852110071211</v>
      </c>
      <c r="IQ543" s="302">
        <f>+IQ497+IQ591</f>
        <v>398.5537772602961</v>
      </c>
      <c r="IR543" s="302">
        <f t="shared" si="281"/>
        <v>437.42807259486449</v>
      </c>
      <c r="IS543" s="346">
        <f>+FISC!AH762</f>
        <v>835.98184985516059</v>
      </c>
      <c r="IT543" s="302">
        <f>+IT497+IT591</f>
        <v>508.00492865353215</v>
      </c>
      <c r="IU543" s="302">
        <f t="shared" si="282"/>
        <v>626.92968954521746</v>
      </c>
      <c r="IV543" s="346">
        <f>+FISC!AI762</f>
        <v>1134.9346181987496</v>
      </c>
      <c r="IW543" s="302">
        <f>+IW497+IW591</f>
        <v>607.95184409045567</v>
      </c>
      <c r="IX543" s="302">
        <f t="shared" si="283"/>
        <v>443.52949772004797</v>
      </c>
      <c r="IY543" s="346">
        <f>+FISC!AJ762</f>
        <v>1051.4813418105036</v>
      </c>
      <c r="IZ543" s="302">
        <f>+IZ497+IZ591</f>
        <v>535.11260179928752</v>
      </c>
      <c r="JA543" s="302">
        <f t="shared" si="284"/>
        <v>526.55403303829178</v>
      </c>
      <c r="JB543" s="346">
        <f>+FISC!AK762</f>
        <v>1061.6666348375793</v>
      </c>
      <c r="JC543" s="346"/>
      <c r="KI543" s="349"/>
      <c r="KJ543" s="350"/>
    </row>
    <row r="544" spans="1:302">
      <c r="A544" s="302"/>
      <c r="D544" s="687" t="str">
        <f>+D499</f>
        <v xml:space="preserve">   of which: project grants through government 'own' accounts</v>
      </c>
      <c r="E544" s="346"/>
      <c r="F544" s="346"/>
      <c r="G544" s="346"/>
      <c r="H544" s="346"/>
      <c r="I544" s="346"/>
      <c r="J544" s="346"/>
      <c r="K544" s="346"/>
      <c r="L544" s="346"/>
      <c r="M544" s="346"/>
      <c r="N544" s="346"/>
      <c r="O544" s="346"/>
      <c r="P544" s="346"/>
      <c r="Q544" s="346"/>
      <c r="R544" s="346"/>
      <c r="S544" s="346"/>
      <c r="T544" s="346"/>
      <c r="U544" s="346"/>
      <c r="V544" s="346"/>
      <c r="W544" s="346"/>
      <c r="X544" s="346"/>
      <c r="Y544" s="346"/>
      <c r="Z544" s="346"/>
      <c r="AA544" s="346"/>
      <c r="AB544" s="346"/>
      <c r="AC544" s="346"/>
      <c r="AD544" s="346"/>
      <c r="AE544" s="346"/>
      <c r="AF544" s="346"/>
      <c r="AG544" s="346"/>
      <c r="AH544" s="346"/>
      <c r="AI544" s="346"/>
      <c r="AJ544" s="346"/>
      <c r="AK544" s="346"/>
      <c r="AL544" s="346"/>
      <c r="AM544" s="346"/>
      <c r="AN544" s="346"/>
      <c r="AO544" s="346"/>
      <c r="AP544" s="346"/>
      <c r="AQ544" s="346"/>
      <c r="AR544" s="346"/>
      <c r="AS544" s="346"/>
      <c r="AT544" s="346"/>
      <c r="AU544" s="346"/>
      <c r="AV544" s="346"/>
      <c r="AW544" s="346"/>
      <c r="AX544" s="346"/>
      <c r="AY544" s="346"/>
      <c r="AZ544" s="346"/>
      <c r="BA544" s="346"/>
      <c r="BB544" s="346"/>
      <c r="BC544" s="346"/>
      <c r="BD544" s="346"/>
      <c r="BE544" s="346"/>
      <c r="BF544" s="346"/>
      <c r="BG544" s="346"/>
      <c r="BH544" s="346"/>
      <c r="BI544" s="346"/>
      <c r="BJ544" s="346"/>
      <c r="BK544" s="346"/>
      <c r="BL544" s="346"/>
      <c r="BM544" s="346"/>
      <c r="BN544" s="346"/>
      <c r="BO544" s="346"/>
      <c r="BP544" s="346"/>
      <c r="BQ544" s="346"/>
      <c r="BR544" s="346"/>
      <c r="BS544" s="346"/>
      <c r="BT544" s="346"/>
      <c r="BU544" s="346"/>
      <c r="BV544" s="346"/>
      <c r="BW544" s="346"/>
      <c r="BX544" s="346"/>
      <c r="BY544" s="346"/>
      <c r="BZ544" s="346"/>
      <c r="CA544" s="346"/>
      <c r="CB544" s="346"/>
      <c r="CC544" s="346"/>
      <c r="CD544" s="346"/>
      <c r="CE544" s="347"/>
      <c r="CF544" s="346"/>
      <c r="CG544" s="346"/>
      <c r="CH544" s="346"/>
      <c r="CI544" s="346"/>
      <c r="CJ544" s="346"/>
      <c r="CK544" s="346"/>
      <c r="CL544" s="346"/>
      <c r="CM544" s="346"/>
      <c r="CN544" s="346"/>
      <c r="CO544" s="346"/>
      <c r="CP544" s="348"/>
      <c r="CQ544" s="346"/>
      <c r="CR544" s="346"/>
      <c r="CS544" s="346"/>
      <c r="CT544" s="346"/>
      <c r="CU544" s="346"/>
      <c r="CV544" s="346"/>
      <c r="CW544" s="346"/>
      <c r="CX544" s="346"/>
      <c r="CY544" s="346"/>
      <c r="CZ544" s="346"/>
      <c r="DA544" s="346"/>
      <c r="DB544" s="1479"/>
      <c r="DC544" s="346">
        <f>+DC499</f>
        <v>11.11</v>
      </c>
      <c r="DD544" s="346"/>
      <c r="DE544" s="346"/>
      <c r="DF544" s="346"/>
      <c r="DG544" s="346"/>
      <c r="DH544" s="346"/>
      <c r="DI544" s="346"/>
      <c r="DJ544" s="346"/>
      <c r="DK544" s="346"/>
      <c r="DL544" s="346"/>
      <c r="DM544" s="346"/>
      <c r="DN544" s="348"/>
      <c r="DO544" s="346"/>
      <c r="DP544" s="346"/>
      <c r="DQ544" s="346"/>
      <c r="DR544" s="346"/>
      <c r="DS544" s="346"/>
      <c r="DT544" s="346"/>
      <c r="DU544" s="346"/>
      <c r="DV544" s="346"/>
      <c r="DW544" s="346"/>
      <c r="DX544" s="346"/>
      <c r="DY544" s="346"/>
      <c r="DZ544" s="348"/>
      <c r="EA544" s="346"/>
      <c r="EB544" s="346"/>
      <c r="EC544" s="346"/>
      <c r="ED544" s="346"/>
      <c r="EE544" s="346"/>
      <c r="EF544" s="346"/>
      <c r="EG544" s="346"/>
      <c r="EH544" s="346"/>
      <c r="EI544" s="346"/>
      <c r="EJ544" s="346"/>
      <c r="EK544" s="346"/>
      <c r="EL544" s="348"/>
      <c r="EM544" s="346"/>
      <c r="EN544" s="346"/>
      <c r="EO544" s="346"/>
      <c r="EP544" s="346"/>
      <c r="EQ544" s="346"/>
      <c r="ER544" s="346"/>
      <c r="ES544" s="346"/>
      <c r="ET544" s="346"/>
      <c r="EU544" s="346"/>
      <c r="EV544" s="346"/>
      <c r="EW544" s="346"/>
      <c r="EX544" s="348"/>
      <c r="EY544" s="346"/>
      <c r="EZ544" s="346"/>
      <c r="FA544" s="346"/>
      <c r="FB544" s="346"/>
      <c r="FC544" s="346"/>
      <c r="FD544" s="346"/>
      <c r="FE544" s="346"/>
      <c r="FF544" s="346"/>
      <c r="FG544" s="346"/>
      <c r="FH544" s="346"/>
      <c r="FI544" s="346"/>
      <c r="FJ544" s="348"/>
      <c r="FK544" s="346"/>
      <c r="FL544" s="346"/>
      <c r="FM544" s="346"/>
      <c r="FN544" s="346"/>
      <c r="FO544" s="346"/>
      <c r="FP544" s="346"/>
      <c r="FQ544" s="346"/>
      <c r="FR544" s="346"/>
      <c r="FS544" s="346"/>
      <c r="FT544" s="346"/>
      <c r="FU544" s="346"/>
      <c r="FV544" s="346"/>
      <c r="FW544" s="346"/>
      <c r="FX544" s="346"/>
      <c r="FY544" s="346"/>
      <c r="FZ544" s="346"/>
      <c r="GA544" s="346"/>
      <c r="GB544" s="346"/>
      <c r="GC544" s="346"/>
      <c r="GD544" s="346"/>
      <c r="GE544" s="346"/>
      <c r="GF544" s="346"/>
      <c r="GG544" s="346"/>
      <c r="GH544" s="346"/>
      <c r="GI544" s="346"/>
      <c r="GJ544" s="346"/>
      <c r="GK544" s="346"/>
      <c r="GL544" s="346"/>
      <c r="GM544" s="346"/>
      <c r="GN544" s="346"/>
      <c r="GO544" s="346"/>
      <c r="GP544" s="346"/>
      <c r="GQ544" s="346"/>
      <c r="GR544" s="346"/>
      <c r="GS544" s="346"/>
      <c r="GT544" s="346"/>
      <c r="GU544" s="346"/>
      <c r="GV544" s="346"/>
      <c r="GW544" s="346"/>
      <c r="GX544" s="346"/>
      <c r="GY544" s="346"/>
      <c r="GZ544" s="346"/>
      <c r="HA544" s="346"/>
      <c r="HB544" s="346"/>
      <c r="HC544" s="346"/>
      <c r="HD544" s="346"/>
      <c r="HE544" s="346"/>
      <c r="HF544" s="346"/>
      <c r="HG544" s="346"/>
      <c r="HH544" s="346"/>
      <c r="HI544" s="346"/>
      <c r="HJ544" s="346"/>
      <c r="HK544" s="346"/>
      <c r="HL544" s="346"/>
      <c r="HM544" s="346"/>
      <c r="HN544" s="349"/>
      <c r="HO544" s="687" t="s">
        <v>812</v>
      </c>
      <c r="HP544" s="687"/>
      <c r="HQ544" s="687"/>
      <c r="HR544" s="346"/>
      <c r="HU544" s="346"/>
      <c r="HX544" s="346"/>
      <c r="HZ544" s="302">
        <f t="shared" ref="HZ544:HZ549" si="311">SUM(DU544:DZ544)</f>
        <v>0</v>
      </c>
      <c r="IA544" s="346">
        <f t="shared" si="297"/>
        <v>0</v>
      </c>
      <c r="ID544" s="346">
        <f>FISC!AC763</f>
        <v>0</v>
      </c>
      <c r="IE544" s="302">
        <f t="shared" si="252"/>
        <v>0</v>
      </c>
      <c r="IF544" s="302">
        <f t="shared" si="253"/>
        <v>0</v>
      </c>
      <c r="IG544" s="346">
        <f t="shared" si="201"/>
        <v>0</v>
      </c>
      <c r="IH544" s="350"/>
      <c r="II544" s="350"/>
      <c r="IJ544" s="346"/>
      <c r="IK544" s="302">
        <f t="shared" ref="IK544:IK549" si="312">IM544*JI544</f>
        <v>0</v>
      </c>
      <c r="IL544" s="302">
        <f t="shared" si="280"/>
        <v>0</v>
      </c>
      <c r="IM544" s="346"/>
      <c r="IN544" s="302">
        <f t="shared" si="292"/>
        <v>0</v>
      </c>
      <c r="IO544" s="302">
        <f t="shared" si="154"/>
        <v>0</v>
      </c>
      <c r="IP544" s="346"/>
      <c r="IQ544" s="302">
        <f t="shared" si="293"/>
        <v>0</v>
      </c>
      <c r="IR544" s="302">
        <f t="shared" si="281"/>
        <v>0</v>
      </c>
      <c r="IS544" s="346"/>
      <c r="IT544" s="302">
        <f t="shared" si="294"/>
        <v>0</v>
      </c>
      <c r="IU544" s="302">
        <f t="shared" si="282"/>
        <v>0</v>
      </c>
      <c r="IV544" s="346"/>
      <c r="IW544" s="302">
        <f t="shared" si="295"/>
        <v>0</v>
      </c>
      <c r="IX544" s="302">
        <f t="shared" si="283"/>
        <v>0</v>
      </c>
      <c r="IY544" s="346"/>
      <c r="IZ544" s="302">
        <f t="shared" si="296"/>
        <v>0</v>
      </c>
      <c r="JA544" s="302">
        <f t="shared" si="284"/>
        <v>0</v>
      </c>
      <c r="JB544" s="346"/>
      <c r="JC544" s="346"/>
      <c r="KI544" s="349"/>
      <c r="KJ544" s="350"/>
    </row>
    <row r="545" spans="1:302">
      <c r="A545" s="302"/>
      <c r="D545" s="687" t="str">
        <f>+D500</f>
        <v xml:space="preserve">                          project grants through government 'donor' accounts</v>
      </c>
      <c r="E545" s="346"/>
      <c r="F545" s="346"/>
      <c r="G545" s="346"/>
      <c r="H545" s="346"/>
      <c r="I545" s="346"/>
      <c r="J545" s="346"/>
      <c r="K545" s="346"/>
      <c r="L545" s="346"/>
      <c r="M545" s="346"/>
      <c r="N545" s="346"/>
      <c r="O545" s="346"/>
      <c r="P545" s="346"/>
      <c r="Q545" s="346"/>
      <c r="R545" s="346"/>
      <c r="S545" s="346"/>
      <c r="T545" s="346"/>
      <c r="U545" s="346"/>
      <c r="V545" s="346"/>
      <c r="W545" s="346"/>
      <c r="X545" s="346"/>
      <c r="Y545" s="346"/>
      <c r="Z545" s="346"/>
      <c r="AA545" s="346"/>
      <c r="AB545" s="346"/>
      <c r="AC545" s="346"/>
      <c r="AD545" s="346"/>
      <c r="AE545" s="346"/>
      <c r="AF545" s="346"/>
      <c r="AG545" s="346"/>
      <c r="AH545" s="346"/>
      <c r="AI545" s="346"/>
      <c r="AJ545" s="346"/>
      <c r="AK545" s="346"/>
      <c r="AL545" s="346"/>
      <c r="AM545" s="346"/>
      <c r="AN545" s="346"/>
      <c r="AO545" s="346"/>
      <c r="AP545" s="346"/>
      <c r="AQ545" s="346"/>
      <c r="AR545" s="346"/>
      <c r="AS545" s="346"/>
      <c r="AT545" s="346"/>
      <c r="AU545" s="346"/>
      <c r="AV545" s="346"/>
      <c r="AW545" s="346"/>
      <c r="AX545" s="346"/>
      <c r="AY545" s="346"/>
      <c r="AZ545" s="346"/>
      <c r="BA545" s="346"/>
      <c r="BB545" s="346"/>
      <c r="BC545" s="346"/>
      <c r="BD545" s="346"/>
      <c r="BE545" s="346"/>
      <c r="BF545" s="346"/>
      <c r="BG545" s="346"/>
      <c r="BH545" s="346"/>
      <c r="BI545" s="346"/>
      <c r="BJ545" s="346"/>
      <c r="BK545" s="346"/>
      <c r="BL545" s="346"/>
      <c r="BM545" s="346"/>
      <c r="BN545" s="346"/>
      <c r="BO545" s="346"/>
      <c r="BP545" s="346"/>
      <c r="BQ545" s="346"/>
      <c r="BR545" s="346"/>
      <c r="BS545" s="346"/>
      <c r="BT545" s="346"/>
      <c r="BU545" s="346"/>
      <c r="BV545" s="346"/>
      <c r="BW545" s="346"/>
      <c r="BX545" s="346"/>
      <c r="BY545" s="346"/>
      <c r="BZ545" s="346"/>
      <c r="CA545" s="346"/>
      <c r="CB545" s="346"/>
      <c r="CC545" s="346"/>
      <c r="CD545" s="346"/>
      <c r="CE545" s="347"/>
      <c r="CF545" s="346"/>
      <c r="CG545" s="346"/>
      <c r="CH545" s="346"/>
      <c r="CI545" s="346"/>
      <c r="CJ545" s="346"/>
      <c r="CK545" s="346"/>
      <c r="CL545" s="346"/>
      <c r="CM545" s="346"/>
      <c r="CN545" s="346"/>
      <c r="CO545" s="346"/>
      <c r="CP545" s="348"/>
      <c r="CQ545" s="346"/>
      <c r="CR545" s="346"/>
      <c r="CS545" s="346"/>
      <c r="CT545" s="346"/>
      <c r="CU545" s="346"/>
      <c r="CV545" s="346"/>
      <c r="CW545" s="346"/>
      <c r="CX545" s="346"/>
      <c r="CY545" s="346"/>
      <c r="CZ545" s="346"/>
      <c r="DA545" s="346"/>
      <c r="DB545" s="1479"/>
      <c r="DC545" s="346">
        <f>+DC500</f>
        <v>0</v>
      </c>
      <c r="DD545" s="346"/>
      <c r="DE545" s="346"/>
      <c r="DF545" s="346"/>
      <c r="DG545" s="346"/>
      <c r="DH545" s="346"/>
      <c r="DI545" s="346"/>
      <c r="DJ545" s="346"/>
      <c r="DK545" s="346"/>
      <c r="DL545" s="346"/>
      <c r="DM545" s="346"/>
      <c r="DN545" s="348"/>
      <c r="DO545" s="346"/>
      <c r="DP545" s="346"/>
      <c r="DQ545" s="346"/>
      <c r="DR545" s="346"/>
      <c r="DS545" s="346"/>
      <c r="DT545" s="346"/>
      <c r="DU545" s="346"/>
      <c r="DV545" s="346"/>
      <c r="DW545" s="346"/>
      <c r="DX545" s="346"/>
      <c r="DY545" s="346"/>
      <c r="DZ545" s="348"/>
      <c r="EA545" s="346"/>
      <c r="EB545" s="346"/>
      <c r="EC545" s="346"/>
      <c r="ED545" s="346"/>
      <c r="EE545" s="346"/>
      <c r="EF545" s="346"/>
      <c r="EG545" s="346"/>
      <c r="EH545" s="346"/>
      <c r="EI545" s="346"/>
      <c r="EJ545" s="346"/>
      <c r="EK545" s="346"/>
      <c r="EL545" s="348"/>
      <c r="EM545" s="346"/>
      <c r="EN545" s="346"/>
      <c r="EO545" s="346"/>
      <c r="EP545" s="346"/>
      <c r="EQ545" s="346"/>
      <c r="ER545" s="346"/>
      <c r="ES545" s="346"/>
      <c r="ET545" s="346"/>
      <c r="EU545" s="346"/>
      <c r="EV545" s="346"/>
      <c r="EW545" s="346"/>
      <c r="EX545" s="348"/>
      <c r="EY545" s="346"/>
      <c r="EZ545" s="346"/>
      <c r="FA545" s="346"/>
      <c r="FB545" s="346"/>
      <c r="FC545" s="346"/>
      <c r="FD545" s="346"/>
      <c r="FE545" s="346"/>
      <c r="FF545" s="346"/>
      <c r="FG545" s="346"/>
      <c r="FH545" s="346"/>
      <c r="FI545" s="346"/>
      <c r="FJ545" s="348"/>
      <c r="FK545" s="346"/>
      <c r="FL545" s="346"/>
      <c r="FM545" s="346"/>
      <c r="FN545" s="346"/>
      <c r="FO545" s="346"/>
      <c r="FP545" s="346"/>
      <c r="FQ545" s="346"/>
      <c r="FR545" s="346"/>
      <c r="FS545" s="346"/>
      <c r="FT545" s="346"/>
      <c r="FU545" s="346"/>
      <c r="FV545" s="346"/>
      <c r="FW545" s="346"/>
      <c r="FX545" s="346"/>
      <c r="FY545" s="346"/>
      <c r="FZ545" s="346"/>
      <c r="GA545" s="346"/>
      <c r="GB545" s="346"/>
      <c r="GC545" s="346"/>
      <c r="GD545" s="346"/>
      <c r="GE545" s="346"/>
      <c r="GF545" s="346"/>
      <c r="GG545" s="346"/>
      <c r="GH545" s="346"/>
      <c r="GI545" s="346"/>
      <c r="GJ545" s="346"/>
      <c r="GK545" s="346"/>
      <c r="GL545" s="346"/>
      <c r="GM545" s="346"/>
      <c r="GN545" s="346"/>
      <c r="GO545" s="346"/>
      <c r="GP545" s="346"/>
      <c r="GQ545" s="346"/>
      <c r="GR545" s="346"/>
      <c r="GS545" s="346"/>
      <c r="GT545" s="346"/>
      <c r="GU545" s="346"/>
      <c r="GV545" s="346"/>
      <c r="GW545" s="346"/>
      <c r="GX545" s="346"/>
      <c r="GY545" s="346"/>
      <c r="GZ545" s="346"/>
      <c r="HA545" s="346"/>
      <c r="HB545" s="346"/>
      <c r="HC545" s="346"/>
      <c r="HD545" s="346"/>
      <c r="HE545" s="346"/>
      <c r="HF545" s="346"/>
      <c r="HG545" s="346"/>
      <c r="HH545" s="346"/>
      <c r="HI545" s="346"/>
      <c r="HJ545" s="346"/>
      <c r="HK545" s="346"/>
      <c r="HL545" s="346"/>
      <c r="HM545" s="346"/>
      <c r="HN545" s="349"/>
      <c r="HO545" s="687" t="s">
        <v>813</v>
      </c>
      <c r="HP545" s="687"/>
      <c r="HQ545" s="687"/>
      <c r="HR545" s="346"/>
      <c r="HU545" s="346"/>
      <c r="HX545" s="346"/>
      <c r="HZ545" s="302">
        <f t="shared" si="311"/>
        <v>0</v>
      </c>
      <c r="IA545" s="346">
        <f t="shared" si="297"/>
        <v>0</v>
      </c>
      <c r="ID545" s="346">
        <f>FISC!AC764</f>
        <v>0</v>
      </c>
      <c r="IE545" s="302">
        <f t="shared" si="252"/>
        <v>0</v>
      </c>
      <c r="IF545" s="302">
        <f t="shared" si="253"/>
        <v>0</v>
      </c>
      <c r="IG545" s="346">
        <f t="shared" si="201"/>
        <v>0</v>
      </c>
      <c r="IH545" s="350"/>
      <c r="II545" s="350"/>
      <c r="IJ545" s="346"/>
      <c r="IK545" s="302">
        <f t="shared" si="312"/>
        <v>0</v>
      </c>
      <c r="IL545" s="302">
        <f t="shared" si="280"/>
        <v>0</v>
      </c>
      <c r="IM545" s="346"/>
      <c r="IN545" s="302">
        <f t="shared" si="292"/>
        <v>0</v>
      </c>
      <c r="IO545" s="302">
        <f t="shared" si="154"/>
        <v>0</v>
      </c>
      <c r="IP545" s="346"/>
      <c r="IQ545" s="302">
        <f t="shared" si="293"/>
        <v>0</v>
      </c>
      <c r="IR545" s="302">
        <f t="shared" si="281"/>
        <v>0</v>
      </c>
      <c r="IS545" s="346"/>
      <c r="IT545" s="302">
        <f t="shared" si="294"/>
        <v>0</v>
      </c>
      <c r="IU545" s="302">
        <f t="shared" si="282"/>
        <v>0</v>
      </c>
      <c r="IV545" s="346"/>
      <c r="IW545" s="302">
        <f t="shared" si="295"/>
        <v>0</v>
      </c>
      <c r="IX545" s="302">
        <f t="shared" si="283"/>
        <v>0</v>
      </c>
      <c r="IY545" s="346"/>
      <c r="IZ545" s="302">
        <f t="shared" si="296"/>
        <v>0</v>
      </c>
      <c r="JA545" s="302">
        <f t="shared" si="284"/>
        <v>0</v>
      </c>
      <c r="JB545" s="346"/>
      <c r="JC545" s="346"/>
      <c r="KI545" s="349"/>
      <c r="KJ545" s="350"/>
    </row>
    <row r="546" spans="1:302">
      <c r="A546" s="302"/>
      <c r="B546" s="117" t="s">
        <v>361</v>
      </c>
      <c r="D546" s="351" t="str">
        <f>+FISC!D765</f>
        <v>Of which: Global Fund</v>
      </c>
      <c r="E546" s="346"/>
      <c r="F546" s="346"/>
      <c r="G546" s="346"/>
      <c r="H546" s="346"/>
      <c r="I546" s="346"/>
      <c r="J546" s="346"/>
      <c r="K546" s="346"/>
      <c r="L546" s="346"/>
      <c r="M546" s="346"/>
      <c r="N546" s="346"/>
      <c r="O546" s="346"/>
      <c r="P546" s="346"/>
      <c r="Q546" s="346"/>
      <c r="R546" s="346"/>
      <c r="S546" s="346"/>
      <c r="T546" s="346"/>
      <c r="U546" s="346"/>
      <c r="V546" s="346"/>
      <c r="W546" s="346"/>
      <c r="X546" s="346"/>
      <c r="Y546" s="346"/>
      <c r="Z546" s="346"/>
      <c r="AA546" s="346"/>
      <c r="AB546" s="346"/>
      <c r="AC546" s="346"/>
      <c r="AD546" s="346"/>
      <c r="AE546" s="346"/>
      <c r="AF546" s="346"/>
      <c r="AG546" s="346"/>
      <c r="AH546" s="346"/>
      <c r="AI546" s="346"/>
      <c r="AJ546" s="346"/>
      <c r="AK546" s="346"/>
      <c r="AL546" s="346"/>
      <c r="AM546" s="346"/>
      <c r="AN546" s="346"/>
      <c r="AO546" s="346"/>
      <c r="AP546" s="346"/>
      <c r="AQ546" s="346"/>
      <c r="AR546" s="346"/>
      <c r="AS546" s="346"/>
      <c r="AT546" s="346"/>
      <c r="AU546" s="346"/>
      <c r="AV546" s="346"/>
      <c r="AW546" s="346"/>
      <c r="AX546" s="346"/>
      <c r="AY546" s="346"/>
      <c r="AZ546" s="346"/>
      <c r="BA546" s="346"/>
      <c r="BB546" s="346"/>
      <c r="BC546" s="346"/>
      <c r="BD546" s="346"/>
      <c r="BE546" s="346"/>
      <c r="BF546" s="346"/>
      <c r="BG546" s="346"/>
      <c r="BH546" s="346"/>
      <c r="BI546" s="346"/>
      <c r="BJ546" s="346"/>
      <c r="BK546" s="346"/>
      <c r="BL546" s="346"/>
      <c r="BM546" s="346"/>
      <c r="BN546" s="346"/>
      <c r="BO546" s="346"/>
      <c r="BP546" s="346"/>
      <c r="BQ546" s="346"/>
      <c r="BR546" s="346"/>
      <c r="BS546" s="346"/>
      <c r="BT546" s="346"/>
      <c r="BU546" s="346"/>
      <c r="BV546" s="346"/>
      <c r="BW546" s="346"/>
      <c r="BX546" s="346"/>
      <c r="BY546" s="346"/>
      <c r="BZ546" s="346"/>
      <c r="CA546" s="346"/>
      <c r="CB546" s="346"/>
      <c r="CC546" s="346"/>
      <c r="CD546" s="346"/>
      <c r="CE546" s="347">
        <f>CE501</f>
        <v>0</v>
      </c>
      <c r="CF546" s="346">
        <f t="shared" ref="CF546:CP546" si="313">CF501</f>
        <v>0</v>
      </c>
      <c r="CG546" s="346">
        <f t="shared" si="313"/>
        <v>7.4813782618000015</v>
      </c>
      <c r="CH546" s="346">
        <f t="shared" si="313"/>
        <v>13.034907963499998</v>
      </c>
      <c r="CI546" s="346">
        <f t="shared" si="313"/>
        <v>24.666572901249001</v>
      </c>
      <c r="CJ546" s="346">
        <f t="shared" si="313"/>
        <v>6.0461076493370003</v>
      </c>
      <c r="CK546" s="346">
        <f t="shared" si="313"/>
        <v>0</v>
      </c>
      <c r="CL546" s="346">
        <f t="shared" si="313"/>
        <v>0</v>
      </c>
      <c r="CM546" s="346">
        <f t="shared" si="313"/>
        <v>0</v>
      </c>
      <c r="CN546" s="346">
        <f t="shared" si="313"/>
        <v>36.571225840512</v>
      </c>
      <c r="CO546" s="346">
        <f t="shared" si="313"/>
        <v>0</v>
      </c>
      <c r="CP546" s="348">
        <f t="shared" si="313"/>
        <v>4.8736766301709382</v>
      </c>
      <c r="CQ546" s="346"/>
      <c r="CR546" s="346"/>
      <c r="CS546" s="346"/>
      <c r="CT546" s="346"/>
      <c r="CU546" s="346"/>
      <c r="CV546" s="346"/>
      <c r="CW546" s="346"/>
      <c r="CX546" s="346"/>
      <c r="CY546" s="346"/>
      <c r="CZ546" s="346"/>
      <c r="DA546" s="346"/>
      <c r="DB546" s="1479"/>
      <c r="DC546" s="346"/>
      <c r="DD546" s="346"/>
      <c r="DE546" s="346"/>
      <c r="DF546" s="346"/>
      <c r="DG546" s="346"/>
      <c r="DH546" s="346"/>
      <c r="DI546" s="346"/>
      <c r="DJ546" s="346"/>
      <c r="DK546" s="346"/>
      <c r="DL546" s="346"/>
      <c r="DM546" s="346"/>
      <c r="DN546" s="348"/>
      <c r="DO546" s="346"/>
      <c r="DP546" s="346"/>
      <c r="DQ546" s="346"/>
      <c r="DR546" s="346"/>
      <c r="DS546" s="346"/>
      <c r="DT546" s="346"/>
      <c r="DU546" s="346"/>
      <c r="DV546" s="346"/>
      <c r="DW546" s="346"/>
      <c r="DX546" s="346"/>
      <c r="DY546" s="346"/>
      <c r="DZ546" s="348"/>
      <c r="EA546" s="346"/>
      <c r="EB546" s="346"/>
      <c r="EC546" s="346"/>
      <c r="ED546" s="346"/>
      <c r="EE546" s="346"/>
      <c r="EF546" s="346"/>
      <c r="EG546" s="346"/>
      <c r="EH546" s="346"/>
      <c r="EI546" s="346"/>
      <c r="EJ546" s="346"/>
      <c r="EK546" s="346"/>
      <c r="EL546" s="348"/>
      <c r="EM546" s="346"/>
      <c r="EN546" s="346"/>
      <c r="EO546" s="346"/>
      <c r="EP546" s="346"/>
      <c r="EQ546" s="346"/>
      <c r="ER546" s="346"/>
      <c r="ES546" s="346"/>
      <c r="ET546" s="346"/>
      <c r="EU546" s="346"/>
      <c r="EV546" s="346"/>
      <c r="EW546" s="346"/>
      <c r="EX546" s="348"/>
      <c r="EY546" s="346"/>
      <c r="EZ546" s="346"/>
      <c r="FA546" s="346"/>
      <c r="FB546" s="346"/>
      <c r="FC546" s="346"/>
      <c r="FD546" s="346"/>
      <c r="FE546" s="346"/>
      <c r="FF546" s="346"/>
      <c r="FG546" s="346"/>
      <c r="FH546" s="346"/>
      <c r="FI546" s="346"/>
      <c r="FJ546" s="348"/>
      <c r="FK546" s="346"/>
      <c r="FL546" s="346"/>
      <c r="FM546" s="346"/>
      <c r="FN546" s="346"/>
      <c r="FO546" s="346"/>
      <c r="FP546" s="346"/>
      <c r="FQ546" s="346"/>
      <c r="FR546" s="346"/>
      <c r="FS546" s="346"/>
      <c r="FT546" s="346"/>
      <c r="FU546" s="346"/>
      <c r="FV546" s="346"/>
      <c r="FW546" s="346"/>
      <c r="FX546" s="346"/>
      <c r="FY546" s="346"/>
      <c r="FZ546" s="346"/>
      <c r="GA546" s="346"/>
      <c r="GB546" s="346"/>
      <c r="GC546" s="346"/>
      <c r="GD546" s="346"/>
      <c r="GE546" s="346"/>
      <c r="GF546" s="346"/>
      <c r="GG546" s="346"/>
      <c r="GH546" s="346"/>
      <c r="GI546" s="346"/>
      <c r="GJ546" s="346"/>
      <c r="GK546" s="346"/>
      <c r="GL546" s="346"/>
      <c r="GM546" s="346"/>
      <c r="GN546" s="346"/>
      <c r="GO546" s="346"/>
      <c r="GP546" s="346"/>
      <c r="GQ546" s="346"/>
      <c r="GR546" s="346"/>
      <c r="GS546" s="346"/>
      <c r="GT546" s="346"/>
      <c r="GU546" s="346"/>
      <c r="GV546" s="346"/>
      <c r="GW546" s="346"/>
      <c r="GX546" s="346"/>
      <c r="GY546" s="346"/>
      <c r="GZ546" s="346"/>
      <c r="HA546" s="346"/>
      <c r="HB546" s="346"/>
      <c r="HC546" s="346"/>
      <c r="HD546" s="346"/>
      <c r="HE546" s="346"/>
      <c r="HF546" s="346"/>
      <c r="HG546" s="346"/>
      <c r="HH546" s="346"/>
      <c r="HI546" s="346"/>
      <c r="HJ546" s="346"/>
      <c r="HK546" s="346"/>
      <c r="HL546" s="346"/>
      <c r="HM546" s="346"/>
      <c r="HN546" s="349"/>
      <c r="HO546" s="351" t="s">
        <v>667</v>
      </c>
      <c r="HP546" s="351"/>
      <c r="HQ546" s="351"/>
      <c r="HR546" s="346">
        <f>+FISC!Z765</f>
        <v>0</v>
      </c>
      <c r="HS546" s="302">
        <f>SUM(CQ546:CV546)</f>
        <v>0</v>
      </c>
      <c r="HT546" s="302">
        <f>SUM(CW546:DB546)</f>
        <v>0</v>
      </c>
      <c r="HU546" s="346">
        <f>SUM(CQ546:DB546)</f>
        <v>0</v>
      </c>
      <c r="HX546" s="346">
        <v>0</v>
      </c>
      <c r="HY546" s="302">
        <f>+SUM(DO546:DT546)</f>
        <v>0</v>
      </c>
      <c r="HZ546" s="302">
        <f t="shared" si="311"/>
        <v>0</v>
      </c>
      <c r="IA546" s="346">
        <f t="shared" si="297"/>
        <v>0</v>
      </c>
      <c r="IC546" s="350"/>
      <c r="ID546" s="346">
        <f>FISC!AC765</f>
        <v>0</v>
      </c>
      <c r="IE546" s="302">
        <f t="shared" si="252"/>
        <v>0</v>
      </c>
      <c r="IF546" s="302">
        <f t="shared" si="253"/>
        <v>0</v>
      </c>
      <c r="IG546" s="346">
        <f t="shared" si="201"/>
        <v>0</v>
      </c>
      <c r="IH546" s="350"/>
      <c r="II546" s="350"/>
      <c r="IJ546" s="346">
        <f>+FISC!AE765</f>
        <v>0</v>
      </c>
      <c r="IK546" s="302">
        <f t="shared" si="312"/>
        <v>0</v>
      </c>
      <c r="IL546" s="302">
        <f t="shared" si="280"/>
        <v>0</v>
      </c>
      <c r="IM546" s="346">
        <f>+FISC!AF765</f>
        <v>0</v>
      </c>
      <c r="IN546" s="302">
        <f t="shared" si="292"/>
        <v>0</v>
      </c>
      <c r="IO546" s="302">
        <f t="shared" si="154"/>
        <v>0</v>
      </c>
      <c r="IP546" s="346">
        <f>+FISC!AG765</f>
        <v>0</v>
      </c>
      <c r="IQ546" s="302">
        <f t="shared" si="293"/>
        <v>0</v>
      </c>
      <c r="IR546" s="302">
        <f t="shared" si="281"/>
        <v>0</v>
      </c>
      <c r="IS546" s="346">
        <f>+FISC!AH765</f>
        <v>0</v>
      </c>
      <c r="IT546" s="302">
        <f t="shared" si="294"/>
        <v>0</v>
      </c>
      <c r="IU546" s="302">
        <f t="shared" si="282"/>
        <v>0</v>
      </c>
      <c r="IV546" s="346">
        <f>+FISC!AI765</f>
        <v>0</v>
      </c>
      <c r="IW546" s="302">
        <f t="shared" si="295"/>
        <v>0</v>
      </c>
      <c r="IX546" s="302">
        <f t="shared" si="283"/>
        <v>0</v>
      </c>
      <c r="IY546" s="346">
        <f>+FISC!AJ765</f>
        <v>0</v>
      </c>
      <c r="IZ546" s="302">
        <f t="shared" si="296"/>
        <v>0</v>
      </c>
      <c r="JA546" s="302">
        <f t="shared" si="284"/>
        <v>0</v>
      </c>
      <c r="JB546" s="346">
        <f>+FISC!AK765</f>
        <v>0</v>
      </c>
      <c r="JC546" s="346"/>
      <c r="KI546" s="349"/>
      <c r="KJ546" s="350"/>
    </row>
    <row r="547" spans="1:302">
      <c r="A547" s="302"/>
      <c r="B547" s="117" t="s">
        <v>361</v>
      </c>
      <c r="D547" s="351" t="str">
        <f>+FISC!D766</f>
        <v>Of which: Bugesera airport</v>
      </c>
      <c r="E547" s="346"/>
      <c r="F547" s="346"/>
      <c r="G547" s="346"/>
      <c r="H547" s="346"/>
      <c r="I547" s="346"/>
      <c r="J547" s="346"/>
      <c r="K547" s="346"/>
      <c r="L547" s="346"/>
      <c r="M547" s="346"/>
      <c r="N547" s="346"/>
      <c r="O547" s="346"/>
      <c r="P547" s="346"/>
      <c r="Q547" s="346"/>
      <c r="R547" s="346"/>
      <c r="S547" s="346"/>
      <c r="T547" s="346"/>
      <c r="U547" s="346"/>
      <c r="V547" s="346"/>
      <c r="W547" s="346"/>
      <c r="X547" s="346"/>
      <c r="Y547" s="346"/>
      <c r="Z547" s="346"/>
      <c r="AA547" s="346"/>
      <c r="AB547" s="346"/>
      <c r="AC547" s="346"/>
      <c r="AD547" s="346"/>
      <c r="AE547" s="346"/>
      <c r="AF547" s="346"/>
      <c r="AG547" s="346"/>
      <c r="AH547" s="346"/>
      <c r="AI547" s="346"/>
      <c r="AJ547" s="346"/>
      <c r="AK547" s="346"/>
      <c r="AL547" s="346"/>
      <c r="AM547" s="346"/>
      <c r="AN547" s="346"/>
      <c r="AO547" s="346"/>
      <c r="AP547" s="346"/>
      <c r="AQ547" s="346"/>
      <c r="AR547" s="346"/>
      <c r="AS547" s="346"/>
      <c r="AT547" s="346"/>
      <c r="AU547" s="346"/>
      <c r="AV547" s="346"/>
      <c r="AW547" s="346"/>
      <c r="AX547" s="346"/>
      <c r="AY547" s="346"/>
      <c r="AZ547" s="346"/>
      <c r="BA547" s="346"/>
      <c r="BB547" s="346"/>
      <c r="BC547" s="346"/>
      <c r="BD547" s="346"/>
      <c r="BE547" s="346"/>
      <c r="BF547" s="346"/>
      <c r="BG547" s="346"/>
      <c r="BH547" s="346"/>
      <c r="BI547" s="346"/>
      <c r="BJ547" s="346"/>
      <c r="BK547" s="346"/>
      <c r="BL547" s="346"/>
      <c r="BM547" s="346"/>
      <c r="BN547" s="346"/>
      <c r="BO547" s="346"/>
      <c r="BP547" s="346"/>
      <c r="BQ547" s="346"/>
      <c r="BR547" s="346"/>
      <c r="BS547" s="346"/>
      <c r="BT547" s="346"/>
      <c r="BU547" s="346"/>
      <c r="BV547" s="346"/>
      <c r="BW547" s="346"/>
      <c r="BX547" s="346"/>
      <c r="BY547" s="346"/>
      <c r="BZ547" s="346"/>
      <c r="CA547" s="346"/>
      <c r="CB547" s="346"/>
      <c r="CC547" s="346"/>
      <c r="CD547" s="346"/>
      <c r="CE547" s="347"/>
      <c r="CF547" s="346"/>
      <c r="CG547" s="346"/>
      <c r="CH547" s="346"/>
      <c r="CI547" s="346"/>
      <c r="CJ547" s="346"/>
      <c r="CK547" s="346"/>
      <c r="CL547" s="346"/>
      <c r="CM547" s="346"/>
      <c r="CN547" s="346"/>
      <c r="CO547" s="346"/>
      <c r="CP547" s="348"/>
      <c r="CQ547" s="346"/>
      <c r="CR547" s="346"/>
      <c r="CS547" s="346"/>
      <c r="CT547" s="346"/>
      <c r="CU547" s="346"/>
      <c r="CV547" s="346"/>
      <c r="CW547" s="346"/>
      <c r="CX547" s="346"/>
      <c r="CY547" s="346"/>
      <c r="CZ547" s="346"/>
      <c r="DA547" s="346"/>
      <c r="DB547" s="1479"/>
      <c r="DC547" s="346"/>
      <c r="DD547" s="346"/>
      <c r="DE547" s="346"/>
      <c r="DF547" s="346"/>
      <c r="DG547" s="346"/>
      <c r="DH547" s="346"/>
      <c r="DI547" s="346"/>
      <c r="DJ547" s="346"/>
      <c r="DK547" s="346"/>
      <c r="DL547" s="346"/>
      <c r="DM547" s="346"/>
      <c r="DN547" s="348"/>
      <c r="DO547" s="346"/>
      <c r="DP547" s="346"/>
      <c r="DQ547" s="346"/>
      <c r="DR547" s="346"/>
      <c r="DS547" s="346"/>
      <c r="DT547" s="346"/>
      <c r="DU547" s="346"/>
      <c r="DV547" s="346"/>
      <c r="DW547" s="346"/>
      <c r="DX547" s="346"/>
      <c r="DY547" s="346"/>
      <c r="DZ547" s="348"/>
      <c r="EA547" s="346"/>
      <c r="EB547" s="346"/>
      <c r="EC547" s="346"/>
      <c r="ED547" s="346"/>
      <c r="EE547" s="346"/>
      <c r="EF547" s="346"/>
      <c r="EG547" s="346"/>
      <c r="EH547" s="346"/>
      <c r="EI547" s="346"/>
      <c r="EJ547" s="346"/>
      <c r="EK547" s="346"/>
      <c r="EL547" s="348"/>
      <c r="EM547" s="346"/>
      <c r="EN547" s="346"/>
      <c r="EO547" s="346"/>
      <c r="EP547" s="346"/>
      <c r="EQ547" s="346"/>
      <c r="ER547" s="346"/>
      <c r="ES547" s="346"/>
      <c r="ET547" s="346"/>
      <c r="EU547" s="346"/>
      <c r="EV547" s="346"/>
      <c r="EW547" s="346"/>
      <c r="EX547" s="348"/>
      <c r="EY547" s="346"/>
      <c r="EZ547" s="346"/>
      <c r="FA547" s="346"/>
      <c r="FB547" s="346"/>
      <c r="FC547" s="346"/>
      <c r="FD547" s="346"/>
      <c r="FE547" s="346"/>
      <c r="FF547" s="346"/>
      <c r="FG547" s="346"/>
      <c r="FH547" s="346"/>
      <c r="FI547" s="346"/>
      <c r="FJ547" s="348"/>
      <c r="FK547" s="346"/>
      <c r="FL547" s="346"/>
      <c r="FM547" s="346"/>
      <c r="FN547" s="346"/>
      <c r="FO547" s="346"/>
      <c r="FP547" s="346"/>
      <c r="FQ547" s="346"/>
      <c r="FR547" s="346"/>
      <c r="FS547" s="346"/>
      <c r="FT547" s="346"/>
      <c r="FU547" s="346"/>
      <c r="FV547" s="346"/>
      <c r="FW547" s="346"/>
      <c r="FX547" s="346"/>
      <c r="FY547" s="346"/>
      <c r="FZ547" s="346"/>
      <c r="GA547" s="346"/>
      <c r="GB547" s="346"/>
      <c r="GC547" s="346"/>
      <c r="GD547" s="346"/>
      <c r="GE547" s="346"/>
      <c r="GF547" s="346"/>
      <c r="GG547" s="346"/>
      <c r="GH547" s="346"/>
      <c r="GI547" s="346"/>
      <c r="GJ547" s="346"/>
      <c r="GK547" s="346"/>
      <c r="GL547" s="346"/>
      <c r="GM547" s="346"/>
      <c r="GN547" s="346"/>
      <c r="GO547" s="346"/>
      <c r="GP547" s="346"/>
      <c r="GQ547" s="346"/>
      <c r="GR547" s="346"/>
      <c r="GS547" s="346"/>
      <c r="GT547" s="346"/>
      <c r="GU547" s="346"/>
      <c r="GV547" s="346"/>
      <c r="GW547" s="346"/>
      <c r="GX547" s="346"/>
      <c r="GY547" s="346"/>
      <c r="GZ547" s="346"/>
      <c r="HA547" s="346"/>
      <c r="HB547" s="346"/>
      <c r="HC547" s="346"/>
      <c r="HD547" s="346"/>
      <c r="HE547" s="346"/>
      <c r="HF547" s="346"/>
      <c r="HG547" s="346"/>
      <c r="HH547" s="346"/>
      <c r="HI547" s="346"/>
      <c r="HJ547" s="346"/>
      <c r="HK547" s="346"/>
      <c r="HL547" s="346"/>
      <c r="HM547" s="346"/>
      <c r="HN547" s="349"/>
      <c r="HO547" s="351" t="s">
        <v>670</v>
      </c>
      <c r="HP547" s="351"/>
      <c r="HQ547" s="351"/>
      <c r="HR547" s="346">
        <f>+FISC!Z766</f>
        <v>0</v>
      </c>
      <c r="HS547" s="302">
        <f>SUM(CQ547:CV547)</f>
        <v>0</v>
      </c>
      <c r="HT547" s="302">
        <f>SUM(CW547:DB547)</f>
        <v>0</v>
      </c>
      <c r="HU547" s="346">
        <f>SUM(CQ547:DB547)</f>
        <v>0</v>
      </c>
      <c r="HX547" s="346">
        <v>0</v>
      </c>
      <c r="HY547" s="302">
        <f>+SUM(DO547:DT547)</f>
        <v>0</v>
      </c>
      <c r="HZ547" s="302">
        <f t="shared" si="311"/>
        <v>0</v>
      </c>
      <c r="IA547" s="346">
        <f t="shared" si="297"/>
        <v>0</v>
      </c>
      <c r="IC547" s="350"/>
      <c r="ID547" s="346">
        <f>FISC!AC766</f>
        <v>0</v>
      </c>
      <c r="IE547" s="302">
        <f t="shared" si="252"/>
        <v>0</v>
      </c>
      <c r="IF547" s="302">
        <f t="shared" si="253"/>
        <v>0</v>
      </c>
      <c r="IG547" s="346">
        <f t="shared" si="201"/>
        <v>0</v>
      </c>
      <c r="IH547" s="350"/>
      <c r="II547" s="350"/>
      <c r="IJ547" s="346">
        <f>+FISC!AE766</f>
        <v>0</v>
      </c>
      <c r="IK547" s="302">
        <f t="shared" si="312"/>
        <v>0</v>
      </c>
      <c r="IL547" s="302">
        <f t="shared" si="280"/>
        <v>0</v>
      </c>
      <c r="IM547" s="346">
        <f>+FISC!AF766</f>
        <v>0</v>
      </c>
      <c r="IN547" s="302">
        <f t="shared" si="292"/>
        <v>0</v>
      </c>
      <c r="IO547" s="302">
        <f t="shared" si="154"/>
        <v>0</v>
      </c>
      <c r="IP547" s="346">
        <f>+FISC!AG766</f>
        <v>0</v>
      </c>
      <c r="IQ547" s="302">
        <f t="shared" si="293"/>
        <v>0</v>
      </c>
      <c r="IR547" s="302">
        <f t="shared" si="281"/>
        <v>0</v>
      </c>
      <c r="IS547" s="346">
        <f>+FISC!AH766</f>
        <v>0</v>
      </c>
      <c r="IT547" s="302">
        <f t="shared" si="294"/>
        <v>0</v>
      </c>
      <c r="IU547" s="302">
        <f t="shared" si="282"/>
        <v>0</v>
      </c>
      <c r="IV547" s="346">
        <f>+FISC!AI766</f>
        <v>0</v>
      </c>
      <c r="IW547" s="302">
        <f t="shared" si="295"/>
        <v>0</v>
      </c>
      <c r="IX547" s="302">
        <f t="shared" si="283"/>
        <v>0</v>
      </c>
      <c r="IY547" s="346">
        <f>+FISC!AJ766</f>
        <v>0</v>
      </c>
      <c r="IZ547" s="302">
        <f t="shared" si="296"/>
        <v>0</v>
      </c>
      <c r="JA547" s="302">
        <f t="shared" si="284"/>
        <v>0</v>
      </c>
      <c r="JB547" s="346">
        <f>+FISC!AK766</f>
        <v>0</v>
      </c>
      <c r="JC547" s="346"/>
      <c r="KI547" s="349"/>
      <c r="KJ547" s="350"/>
    </row>
    <row r="548" spans="1:302">
      <c r="A548" s="302"/>
      <c r="B548" s="117" t="s">
        <v>361</v>
      </c>
      <c r="D548" s="351" t="str">
        <f>+FISC!D767</f>
        <v>Of which: Sovereign Bonds proceeds/Energy</v>
      </c>
      <c r="E548" s="346"/>
      <c r="F548" s="346"/>
      <c r="G548" s="346"/>
      <c r="H548" s="346"/>
      <c r="I548" s="346"/>
      <c r="J548" s="346"/>
      <c r="K548" s="346"/>
      <c r="L548" s="346"/>
      <c r="M548" s="346"/>
      <c r="N548" s="346"/>
      <c r="O548" s="346"/>
      <c r="P548" s="346"/>
      <c r="Q548" s="346"/>
      <c r="R548" s="346"/>
      <c r="S548" s="346"/>
      <c r="T548" s="346"/>
      <c r="U548" s="346"/>
      <c r="V548" s="346"/>
      <c r="W548" s="346"/>
      <c r="X548" s="346"/>
      <c r="Y548" s="346"/>
      <c r="Z548" s="346"/>
      <c r="AA548" s="346"/>
      <c r="AB548" s="346"/>
      <c r="AC548" s="346"/>
      <c r="AD548" s="346"/>
      <c r="AE548" s="346"/>
      <c r="AF548" s="346"/>
      <c r="AG548" s="346"/>
      <c r="AH548" s="346"/>
      <c r="AI548" s="346"/>
      <c r="AJ548" s="346"/>
      <c r="AK548" s="346"/>
      <c r="AL548" s="346"/>
      <c r="AM548" s="346"/>
      <c r="AN548" s="346"/>
      <c r="AO548" s="346"/>
      <c r="AP548" s="346"/>
      <c r="AQ548" s="346"/>
      <c r="AR548" s="346"/>
      <c r="AS548" s="346"/>
      <c r="AT548" s="346"/>
      <c r="AU548" s="346"/>
      <c r="AV548" s="346"/>
      <c r="AW548" s="346"/>
      <c r="AX548" s="346"/>
      <c r="AY548" s="346"/>
      <c r="AZ548" s="346"/>
      <c r="BA548" s="346"/>
      <c r="BB548" s="346"/>
      <c r="BC548" s="346"/>
      <c r="BD548" s="346"/>
      <c r="BE548" s="346"/>
      <c r="BF548" s="346"/>
      <c r="BG548" s="346"/>
      <c r="BH548" s="346"/>
      <c r="BI548" s="346"/>
      <c r="BJ548" s="346"/>
      <c r="BK548" s="346"/>
      <c r="BL548" s="346"/>
      <c r="BM548" s="346"/>
      <c r="BN548" s="346"/>
      <c r="BO548" s="346"/>
      <c r="BP548" s="346"/>
      <c r="BQ548" s="346"/>
      <c r="BR548" s="346"/>
      <c r="BS548" s="346"/>
      <c r="BT548" s="346"/>
      <c r="BU548" s="346"/>
      <c r="BV548" s="346"/>
      <c r="BW548" s="346"/>
      <c r="BX548" s="346"/>
      <c r="BY548" s="346"/>
      <c r="BZ548" s="346"/>
      <c r="CA548" s="346"/>
      <c r="CB548" s="346"/>
      <c r="CC548" s="346"/>
      <c r="CD548" s="346"/>
      <c r="CE548" s="347">
        <f t="shared" ref="CE548:CP548" si="314">CE233</f>
        <v>5.9806559970000004</v>
      </c>
      <c r="CF548" s="346">
        <f t="shared" si="314"/>
        <v>0</v>
      </c>
      <c r="CG548" s="346">
        <f t="shared" si="314"/>
        <v>2.4868241860000002</v>
      </c>
      <c r="CH548" s="346">
        <f t="shared" si="314"/>
        <v>5.7063252359999996</v>
      </c>
      <c r="CI548" s="346">
        <f t="shared" si="314"/>
        <v>0.115232735</v>
      </c>
      <c r="CJ548" s="346">
        <f t="shared" si="314"/>
        <v>0.171666657</v>
      </c>
      <c r="CK548" s="346">
        <f t="shared" si="314"/>
        <v>1.8893802909999999</v>
      </c>
      <c r="CL548" s="346">
        <f t="shared" si="314"/>
        <v>0.154772415</v>
      </c>
      <c r="CM548" s="346">
        <f t="shared" si="314"/>
        <v>0.79095841600000005</v>
      </c>
      <c r="CN548" s="346">
        <f t="shared" si="314"/>
        <v>4.2216037030000004</v>
      </c>
      <c r="CO548" s="346">
        <f t="shared" si="314"/>
        <v>0.83095245100000004</v>
      </c>
      <c r="CP548" s="348">
        <f t="shared" si="314"/>
        <v>5.8514820000000002E-2</v>
      </c>
      <c r="CQ548" s="346"/>
      <c r="CR548" s="346"/>
      <c r="CS548" s="346"/>
      <c r="CT548" s="346"/>
      <c r="CU548" s="346"/>
      <c r="CV548" s="346"/>
      <c r="CW548" s="346"/>
      <c r="CX548" s="346"/>
      <c r="CY548" s="346"/>
      <c r="CZ548" s="346"/>
      <c r="DA548" s="346"/>
      <c r="DB548" s="1479"/>
      <c r="DC548" s="346"/>
      <c r="DD548" s="346"/>
      <c r="DE548" s="346"/>
      <c r="DF548" s="346"/>
      <c r="DG548" s="346"/>
      <c r="DH548" s="346"/>
      <c r="DI548" s="346"/>
      <c r="DJ548" s="346"/>
      <c r="DK548" s="346"/>
      <c r="DL548" s="346"/>
      <c r="DM548" s="346"/>
      <c r="DN548" s="348"/>
      <c r="DO548" s="346"/>
      <c r="DP548" s="346"/>
      <c r="DQ548" s="346"/>
      <c r="DR548" s="346"/>
      <c r="DS548" s="346"/>
      <c r="DT548" s="346"/>
      <c r="DU548" s="346"/>
      <c r="DV548" s="346"/>
      <c r="DW548" s="346"/>
      <c r="DX548" s="346"/>
      <c r="DY548" s="346"/>
      <c r="DZ548" s="348"/>
      <c r="EA548" s="346"/>
      <c r="EB548" s="346"/>
      <c r="EC548" s="346"/>
      <c r="ED548" s="346"/>
      <c r="EE548" s="346"/>
      <c r="EF548" s="346"/>
      <c r="EG548" s="346"/>
      <c r="EH548" s="346"/>
      <c r="EI548" s="346"/>
      <c r="EJ548" s="346"/>
      <c r="EK548" s="346"/>
      <c r="EL548" s="348"/>
      <c r="EM548" s="346"/>
      <c r="EN548" s="346"/>
      <c r="EO548" s="346"/>
      <c r="EP548" s="346"/>
      <c r="EQ548" s="346"/>
      <c r="ER548" s="346"/>
      <c r="ES548" s="346"/>
      <c r="ET548" s="346"/>
      <c r="EU548" s="346"/>
      <c r="EV548" s="346"/>
      <c r="EW548" s="346"/>
      <c r="EX548" s="348"/>
      <c r="EY548" s="346"/>
      <c r="EZ548" s="346"/>
      <c r="FA548" s="346"/>
      <c r="FB548" s="346"/>
      <c r="FC548" s="346"/>
      <c r="FD548" s="346"/>
      <c r="FE548" s="346"/>
      <c r="FF548" s="346"/>
      <c r="FG548" s="346"/>
      <c r="FH548" s="346"/>
      <c r="FI548" s="346"/>
      <c r="FJ548" s="348"/>
      <c r="FK548" s="346"/>
      <c r="FL548" s="346"/>
      <c r="FM548" s="346"/>
      <c r="FN548" s="346"/>
      <c r="FO548" s="346"/>
      <c r="FP548" s="346"/>
      <c r="FQ548" s="346"/>
      <c r="FR548" s="346"/>
      <c r="FS548" s="346"/>
      <c r="FT548" s="346"/>
      <c r="FU548" s="346"/>
      <c r="FV548" s="346"/>
      <c r="FW548" s="346"/>
      <c r="FX548" s="346"/>
      <c r="FY548" s="346"/>
      <c r="FZ548" s="346"/>
      <c r="GA548" s="346"/>
      <c r="GB548" s="346"/>
      <c r="GC548" s="346"/>
      <c r="GD548" s="346"/>
      <c r="GE548" s="346"/>
      <c r="GF548" s="346"/>
      <c r="GG548" s="346"/>
      <c r="GH548" s="346"/>
      <c r="GI548" s="346"/>
      <c r="GJ548" s="346"/>
      <c r="GK548" s="346"/>
      <c r="GL548" s="346"/>
      <c r="GM548" s="346"/>
      <c r="GN548" s="346"/>
      <c r="GO548" s="346"/>
      <c r="GP548" s="346"/>
      <c r="GQ548" s="346"/>
      <c r="GR548" s="346"/>
      <c r="GS548" s="346"/>
      <c r="GT548" s="346"/>
      <c r="GU548" s="346"/>
      <c r="GV548" s="346"/>
      <c r="GW548" s="346"/>
      <c r="GX548" s="346"/>
      <c r="GY548" s="346"/>
      <c r="GZ548" s="346"/>
      <c r="HA548" s="346"/>
      <c r="HB548" s="346"/>
      <c r="HC548" s="346"/>
      <c r="HD548" s="346"/>
      <c r="HE548" s="346"/>
      <c r="HF548" s="346"/>
      <c r="HG548" s="346"/>
      <c r="HH548" s="346"/>
      <c r="HI548" s="346"/>
      <c r="HJ548" s="346"/>
      <c r="HK548" s="346"/>
      <c r="HL548" s="346"/>
      <c r="HM548" s="346"/>
      <c r="HN548" s="349"/>
      <c r="HO548" s="351" t="s">
        <v>666</v>
      </c>
      <c r="HP548" s="351"/>
      <c r="HQ548" s="351"/>
      <c r="HR548" s="346">
        <f>+FISC!Z767</f>
        <v>0</v>
      </c>
      <c r="HS548" s="302">
        <f>SUM(CQ548:CV548)</f>
        <v>0</v>
      </c>
      <c r="HT548" s="302">
        <f>SUM(CW548:DB548)</f>
        <v>0</v>
      </c>
      <c r="HU548" s="346">
        <f>SUM(CQ548:DB548)</f>
        <v>0</v>
      </c>
      <c r="HX548" s="346">
        <v>0</v>
      </c>
      <c r="HY548" s="302">
        <f>+SUM(DO548:DT548)</f>
        <v>0</v>
      </c>
      <c r="HZ548" s="302">
        <f t="shared" si="311"/>
        <v>0</v>
      </c>
      <c r="IA548" s="346">
        <f t="shared" si="297"/>
        <v>0</v>
      </c>
      <c r="IC548" s="350"/>
      <c r="ID548" s="346">
        <f>FISC!AC767</f>
        <v>0</v>
      </c>
      <c r="IE548" s="302">
        <f t="shared" si="252"/>
        <v>0</v>
      </c>
      <c r="IF548" s="302">
        <f t="shared" si="253"/>
        <v>0</v>
      </c>
      <c r="IG548" s="346">
        <f t="shared" si="201"/>
        <v>0</v>
      </c>
      <c r="IH548" s="350"/>
      <c r="II548" s="350"/>
      <c r="IJ548" s="346">
        <f>+FISC!AE767</f>
        <v>0</v>
      </c>
      <c r="IK548" s="302">
        <f t="shared" si="312"/>
        <v>0</v>
      </c>
      <c r="IL548" s="302">
        <f t="shared" si="280"/>
        <v>0</v>
      </c>
      <c r="IM548" s="346">
        <f>+FISC!AF767</f>
        <v>0</v>
      </c>
      <c r="IN548" s="302">
        <f t="shared" si="292"/>
        <v>0</v>
      </c>
      <c r="IO548" s="302">
        <f t="shared" si="154"/>
        <v>0</v>
      </c>
      <c r="IP548" s="346">
        <f>+FISC!AG767</f>
        <v>0</v>
      </c>
      <c r="IQ548" s="302">
        <f t="shared" si="293"/>
        <v>0</v>
      </c>
      <c r="IR548" s="302">
        <f t="shared" si="281"/>
        <v>0</v>
      </c>
      <c r="IS548" s="346">
        <f>+FISC!AH767</f>
        <v>0</v>
      </c>
      <c r="IT548" s="302">
        <f t="shared" si="294"/>
        <v>0</v>
      </c>
      <c r="IU548" s="302">
        <f t="shared" si="282"/>
        <v>0</v>
      </c>
      <c r="IV548" s="346">
        <f>+FISC!AI767</f>
        <v>0</v>
      </c>
      <c r="IW548" s="302">
        <f t="shared" si="295"/>
        <v>0</v>
      </c>
      <c r="IX548" s="302">
        <f t="shared" si="283"/>
        <v>0</v>
      </c>
      <c r="IY548" s="346">
        <f>+FISC!AJ767</f>
        <v>0</v>
      </c>
      <c r="IZ548" s="302">
        <f t="shared" si="296"/>
        <v>0</v>
      </c>
      <c r="JA548" s="302">
        <f t="shared" si="284"/>
        <v>0</v>
      </c>
      <c r="JB548" s="346">
        <f>+FISC!AK767</f>
        <v>0</v>
      </c>
      <c r="JC548" s="346"/>
      <c r="KI548" s="349"/>
      <c r="KJ548" s="350"/>
    </row>
    <row r="549" spans="1:302">
      <c r="A549" s="302"/>
      <c r="B549" s="117" t="s">
        <v>361</v>
      </c>
      <c r="D549" s="351" t="str">
        <f>+FISC!D768</f>
        <v>Of which: drawdown/accumulation of other deposits</v>
      </c>
      <c r="E549" s="346"/>
      <c r="F549" s="346"/>
      <c r="G549" s="346"/>
      <c r="H549" s="346"/>
      <c r="I549" s="346"/>
      <c r="J549" s="346"/>
      <c r="K549" s="346"/>
      <c r="L549" s="346"/>
      <c r="M549" s="346"/>
      <c r="N549" s="346"/>
      <c r="O549" s="346"/>
      <c r="P549" s="346"/>
      <c r="Q549" s="346"/>
      <c r="R549" s="346"/>
      <c r="S549" s="346"/>
      <c r="T549" s="346"/>
      <c r="U549" s="346"/>
      <c r="V549" s="346"/>
      <c r="W549" s="346"/>
      <c r="X549" s="346"/>
      <c r="Y549" s="346"/>
      <c r="Z549" s="346"/>
      <c r="AA549" s="346"/>
      <c r="AB549" s="346"/>
      <c r="AC549" s="346"/>
      <c r="AD549" s="346"/>
      <c r="AE549" s="346"/>
      <c r="AF549" s="346"/>
      <c r="AG549" s="346"/>
      <c r="AH549" s="346"/>
      <c r="AI549" s="346"/>
      <c r="AJ549" s="346"/>
      <c r="AK549" s="346"/>
      <c r="AL549" s="346"/>
      <c r="AM549" s="346"/>
      <c r="AN549" s="346"/>
      <c r="AO549" s="346"/>
      <c r="AP549" s="346"/>
      <c r="AQ549" s="346"/>
      <c r="AR549" s="346"/>
      <c r="AS549" s="346"/>
      <c r="AT549" s="346"/>
      <c r="AU549" s="346"/>
      <c r="AV549" s="346"/>
      <c r="AW549" s="346"/>
      <c r="AX549" s="346"/>
      <c r="AY549" s="346"/>
      <c r="AZ549" s="346"/>
      <c r="BA549" s="346"/>
      <c r="BB549" s="346"/>
      <c r="BC549" s="346"/>
      <c r="BD549" s="346"/>
      <c r="BE549" s="346"/>
      <c r="BF549" s="346"/>
      <c r="BG549" s="346"/>
      <c r="BH549" s="346"/>
      <c r="BI549" s="346"/>
      <c r="BJ549" s="346"/>
      <c r="BK549" s="346"/>
      <c r="BL549" s="346"/>
      <c r="BM549" s="346"/>
      <c r="BN549" s="346"/>
      <c r="BO549" s="346"/>
      <c r="BP549" s="346"/>
      <c r="BQ549" s="346"/>
      <c r="BR549" s="346"/>
      <c r="BS549" s="346"/>
      <c r="BT549" s="346"/>
      <c r="BU549" s="346"/>
      <c r="BV549" s="346"/>
      <c r="BW549" s="346"/>
      <c r="BX549" s="346"/>
      <c r="BY549" s="346"/>
      <c r="BZ549" s="346"/>
      <c r="CA549" s="346"/>
      <c r="CB549" s="346"/>
      <c r="CC549" s="346"/>
      <c r="CD549" s="346"/>
      <c r="CE549" s="347"/>
      <c r="CF549" s="346"/>
      <c r="CG549" s="346"/>
      <c r="CH549" s="346"/>
      <c r="CI549" s="346"/>
      <c r="CJ549" s="346"/>
      <c r="CK549" s="346"/>
      <c r="CL549" s="346"/>
      <c r="CM549" s="346"/>
      <c r="CN549" s="346"/>
      <c r="CO549" s="346"/>
      <c r="CP549" s="348"/>
      <c r="CQ549" s="346">
        <v>0</v>
      </c>
      <c r="CR549" s="346">
        <v>0</v>
      </c>
      <c r="CS549" s="346">
        <v>0</v>
      </c>
      <c r="CT549" s="346">
        <v>0</v>
      </c>
      <c r="CU549" s="346">
        <v>0</v>
      </c>
      <c r="CV549" s="346">
        <v>0</v>
      </c>
      <c r="CW549" s="346">
        <v>0</v>
      </c>
      <c r="CX549" s="346">
        <v>0</v>
      </c>
      <c r="CY549" s="346">
        <v>0</v>
      </c>
      <c r="CZ549" s="346">
        <v>0</v>
      </c>
      <c r="DA549" s="346">
        <v>0</v>
      </c>
      <c r="DB549" s="1479">
        <v>0</v>
      </c>
      <c r="DC549" s="346"/>
      <c r="DD549" s="346"/>
      <c r="DE549" s="346"/>
      <c r="DF549" s="346"/>
      <c r="DG549" s="346"/>
      <c r="DH549" s="346"/>
      <c r="DI549" s="346"/>
      <c r="DJ549" s="346"/>
      <c r="DK549" s="346"/>
      <c r="DL549" s="346"/>
      <c r="DM549" s="346"/>
      <c r="DN549" s="348"/>
      <c r="DO549" s="346"/>
      <c r="DP549" s="346"/>
      <c r="DQ549" s="346"/>
      <c r="DR549" s="346"/>
      <c r="DS549" s="346"/>
      <c r="DT549" s="346"/>
      <c r="DU549" s="346"/>
      <c r="DV549" s="346"/>
      <c r="DW549" s="346"/>
      <c r="DX549" s="346"/>
      <c r="DY549" s="346"/>
      <c r="DZ549" s="348"/>
      <c r="EA549" s="346"/>
      <c r="EB549" s="346"/>
      <c r="EC549" s="346"/>
      <c r="ED549" s="346"/>
      <c r="EE549" s="346"/>
      <c r="EF549" s="346"/>
      <c r="EG549" s="346"/>
      <c r="EH549" s="346"/>
      <c r="EI549" s="346"/>
      <c r="EJ549" s="346"/>
      <c r="EK549" s="346"/>
      <c r="EL549" s="348"/>
      <c r="EM549" s="346"/>
      <c r="EN549" s="346"/>
      <c r="EO549" s="346"/>
      <c r="EP549" s="346"/>
      <c r="EQ549" s="346"/>
      <c r="ER549" s="346"/>
      <c r="ES549" s="346"/>
      <c r="ET549" s="346"/>
      <c r="EU549" s="346"/>
      <c r="EV549" s="346"/>
      <c r="EW549" s="346"/>
      <c r="EX549" s="348"/>
      <c r="EY549" s="346"/>
      <c r="EZ549" s="346"/>
      <c r="FA549" s="346"/>
      <c r="FB549" s="346"/>
      <c r="FC549" s="346"/>
      <c r="FD549" s="346"/>
      <c r="FE549" s="346"/>
      <c r="FF549" s="346"/>
      <c r="FG549" s="346"/>
      <c r="FH549" s="346"/>
      <c r="FI549" s="346"/>
      <c r="FJ549" s="348"/>
      <c r="FK549" s="346"/>
      <c r="FL549" s="346"/>
      <c r="FM549" s="346"/>
      <c r="FN549" s="346"/>
      <c r="FO549" s="346"/>
      <c r="FP549" s="346"/>
      <c r="FQ549" s="346"/>
      <c r="FR549" s="346"/>
      <c r="FS549" s="346"/>
      <c r="FT549" s="346"/>
      <c r="FU549" s="346"/>
      <c r="FV549" s="346"/>
      <c r="FW549" s="346"/>
      <c r="FX549" s="346"/>
      <c r="FY549" s="346"/>
      <c r="FZ549" s="346"/>
      <c r="GA549" s="346"/>
      <c r="GB549" s="346"/>
      <c r="GC549" s="346"/>
      <c r="GD549" s="346"/>
      <c r="GE549" s="346"/>
      <c r="GF549" s="346"/>
      <c r="GG549" s="346"/>
      <c r="GH549" s="346"/>
      <c r="GI549" s="346"/>
      <c r="GJ549" s="346"/>
      <c r="GK549" s="346"/>
      <c r="GL549" s="346"/>
      <c r="GM549" s="346"/>
      <c r="GN549" s="346"/>
      <c r="GO549" s="346"/>
      <c r="GP549" s="346"/>
      <c r="GQ549" s="346"/>
      <c r="GR549" s="346"/>
      <c r="GS549" s="346"/>
      <c r="GT549" s="346"/>
      <c r="GU549" s="346"/>
      <c r="GV549" s="346"/>
      <c r="GW549" s="346"/>
      <c r="GX549" s="346"/>
      <c r="GY549" s="346"/>
      <c r="GZ549" s="346"/>
      <c r="HA549" s="346"/>
      <c r="HB549" s="346"/>
      <c r="HC549" s="346"/>
      <c r="HD549" s="346"/>
      <c r="HE549" s="346"/>
      <c r="HF549" s="346"/>
      <c r="HG549" s="346"/>
      <c r="HH549" s="346"/>
      <c r="HI549" s="346"/>
      <c r="HJ549" s="346"/>
      <c r="HK549" s="346"/>
      <c r="HL549" s="346"/>
      <c r="HM549" s="346"/>
      <c r="HN549" s="349"/>
      <c r="HO549" s="351" t="s">
        <v>671</v>
      </c>
      <c r="HP549" s="351"/>
      <c r="HQ549" s="351"/>
      <c r="HR549" s="346">
        <f>+FISC!Z768</f>
        <v>41</v>
      </c>
      <c r="HS549" s="302">
        <f>SUM(CQ549:CV549)</f>
        <v>0</v>
      </c>
      <c r="HT549" s="302">
        <f>SUM(CW549:DB549)</f>
        <v>0</v>
      </c>
      <c r="HU549" s="346">
        <f>SUM(CQ549:DB549)</f>
        <v>0</v>
      </c>
      <c r="HX549" s="346">
        <v>0</v>
      </c>
      <c r="HY549" s="302">
        <f>+SUM(DO549:DT549)</f>
        <v>0</v>
      </c>
      <c r="HZ549" s="302">
        <f t="shared" si="311"/>
        <v>0</v>
      </c>
      <c r="IA549" s="1106">
        <f t="shared" si="297"/>
        <v>0</v>
      </c>
      <c r="IC549" s="350"/>
      <c r="ID549" s="346">
        <f>FISC!AC768</f>
        <v>48</v>
      </c>
      <c r="IE549" s="302">
        <f t="shared" si="252"/>
        <v>0</v>
      </c>
      <c r="IF549" s="302">
        <f t="shared" si="253"/>
        <v>0</v>
      </c>
      <c r="IG549" s="346">
        <f t="shared" si="201"/>
        <v>0</v>
      </c>
      <c r="IH549" s="350"/>
      <c r="II549" s="350"/>
      <c r="IJ549" s="346">
        <f>+FISC!AE768</f>
        <v>16.604127645284251</v>
      </c>
      <c r="IK549" s="302">
        <f t="shared" si="312"/>
        <v>0</v>
      </c>
      <c r="IL549" s="302">
        <f t="shared" si="280"/>
        <v>6.7554251173838518</v>
      </c>
      <c r="IM549" s="346">
        <f>+FISC!AF768</f>
        <v>6.7554251173838518</v>
      </c>
      <c r="IN549" s="302">
        <f t="shared" si="292"/>
        <v>0</v>
      </c>
      <c r="IO549" s="302">
        <f t="shared" si="154"/>
        <v>0</v>
      </c>
      <c r="IP549" s="346">
        <f>+FISC!AG768</f>
        <v>0</v>
      </c>
      <c r="IQ549" s="302">
        <f t="shared" si="293"/>
        <v>0</v>
      </c>
      <c r="IR549" s="302">
        <f t="shared" si="281"/>
        <v>0</v>
      </c>
      <c r="IS549" s="346">
        <f>+FISC!AH768</f>
        <v>0</v>
      </c>
      <c r="IT549" s="302">
        <f t="shared" si="294"/>
        <v>0</v>
      </c>
      <c r="IU549" s="302">
        <f t="shared" si="282"/>
        <v>0</v>
      </c>
      <c r="IV549" s="346">
        <f>+FISC!AI768</f>
        <v>0</v>
      </c>
      <c r="IW549" s="302">
        <f t="shared" si="295"/>
        <v>0</v>
      </c>
      <c r="IX549" s="302">
        <f t="shared" si="283"/>
        <v>0</v>
      </c>
      <c r="IY549" s="346">
        <f>+FISC!AJ768</f>
        <v>0</v>
      </c>
      <c r="IZ549" s="302">
        <f t="shared" si="296"/>
        <v>0</v>
      </c>
      <c r="JA549" s="302">
        <f t="shared" si="284"/>
        <v>0</v>
      </c>
      <c r="JB549" s="346">
        <f>+FISC!AK768</f>
        <v>0</v>
      </c>
      <c r="JC549" s="346"/>
      <c r="KI549" s="349"/>
      <c r="KJ549" s="350"/>
    </row>
    <row r="550" spans="1:302">
      <c r="A550" s="302"/>
      <c r="B550" s="117" t="s">
        <v>361</v>
      </c>
      <c r="D550" s="345" t="str">
        <f>+FISC!D770</f>
        <v>Net lending</v>
      </c>
      <c r="E550" s="346">
        <v>4.4808999999999992</v>
      </c>
      <c r="F550" s="346">
        <v>0.57850000000000001</v>
      </c>
      <c r="G550" s="346">
        <v>0.15159999999999998</v>
      </c>
      <c r="H550" s="346">
        <v>0.72110000000000007</v>
      </c>
      <c r="I550" s="346">
        <v>1.4757</v>
      </c>
      <c r="J550" s="346">
        <v>0.59010000000000007</v>
      </c>
      <c r="K550" s="346">
        <v>-0.26730000000000004</v>
      </c>
      <c r="L550" s="346">
        <v>-1.0087000000000002</v>
      </c>
      <c r="M550" s="346">
        <v>0.75060000000000004</v>
      </c>
      <c r="N550" s="346">
        <v>4.8931000000000004</v>
      </c>
      <c r="O550" s="346">
        <v>-21.798400000000001</v>
      </c>
      <c r="P550" s="346">
        <v>1.3607</v>
      </c>
      <c r="Q550" s="346">
        <v>0.31260000000000004</v>
      </c>
      <c r="R550" s="346">
        <v>1.4419999999999999</v>
      </c>
      <c r="S550" s="346">
        <v>1.0884</v>
      </c>
      <c r="T550" s="346">
        <v>5.3588999999999993</v>
      </c>
      <c r="U550" s="346">
        <v>0.35420000000000001</v>
      </c>
      <c r="V550" s="346">
        <v>-7.8616999999999999</v>
      </c>
      <c r="W550" s="346">
        <v>0.92549999999999999</v>
      </c>
      <c r="X550" s="346">
        <v>1.9539000000000002</v>
      </c>
      <c r="Y550" s="346">
        <v>4.4584999999999999</v>
      </c>
      <c r="Z550" s="346">
        <v>3.9155000000000002</v>
      </c>
      <c r="AA550" s="346">
        <v>4.3900000000000002E-2</v>
      </c>
      <c r="AB550" s="346">
        <v>1.4965999999999999</v>
      </c>
      <c r="AC550" s="346">
        <v>0.88112000000000001</v>
      </c>
      <c r="AD550" s="346">
        <v>0.87414000000000003</v>
      </c>
      <c r="AE550" s="346">
        <v>2.13029</v>
      </c>
      <c r="AF550" s="346">
        <v>3.5615399999999999</v>
      </c>
      <c r="AG550" s="346">
        <v>0.21575</v>
      </c>
      <c r="AH550" s="346">
        <v>0.72760999999999998</v>
      </c>
      <c r="AI550" s="346">
        <v>0.9607</v>
      </c>
      <c r="AJ550" s="346">
        <v>2.2653000000000003</v>
      </c>
      <c r="AK550" s="346">
        <v>18.787800000000001</v>
      </c>
      <c r="AL550" s="346">
        <v>1.1427400000000001</v>
      </c>
      <c r="AM550" s="346">
        <v>0</v>
      </c>
      <c r="AN550" s="346">
        <v>3.13571</v>
      </c>
      <c r="AO550" s="346">
        <v>-0.13950000000000001</v>
      </c>
      <c r="AP550" s="346">
        <v>1.3267</v>
      </c>
      <c r="AQ550" s="346">
        <v>3.6400999999999999</v>
      </c>
      <c r="AR550" s="346">
        <v>2.0970999999999997</v>
      </c>
      <c r="AS550" s="346">
        <v>-1.6924000000000001</v>
      </c>
      <c r="AT550" s="346">
        <v>-1.0112999999999999</v>
      </c>
      <c r="AU550" s="346">
        <v>3.3176300000000003</v>
      </c>
      <c r="AV550" s="346">
        <v>11.5092</v>
      </c>
      <c r="AW550" s="346">
        <v>4.6128</v>
      </c>
      <c r="AX550" s="346">
        <v>2.8586999999999998</v>
      </c>
      <c r="AY550" s="346">
        <v>-2.7444999999999999</v>
      </c>
      <c r="AZ550" s="346">
        <v>4.5314399999999999</v>
      </c>
      <c r="BA550" s="346">
        <v>-14.367799999999999</v>
      </c>
      <c r="BB550" s="346">
        <v>1.4282000000000001</v>
      </c>
      <c r="BC550" s="346">
        <v>3.7641</v>
      </c>
      <c r="BD550" s="346">
        <v>2.3226999999999998</v>
      </c>
      <c r="BE550" s="346">
        <v>0.3296</v>
      </c>
      <c r="BF550" s="346">
        <v>0.90039999999999998</v>
      </c>
      <c r="BG550" s="346">
        <v>2.0684</v>
      </c>
      <c r="BH550" s="346">
        <v>2.0551399999999997</v>
      </c>
      <c r="BI550" s="346">
        <v>-15.192024999999997</v>
      </c>
      <c r="BJ550" s="346">
        <v>-9.2360449710000001</v>
      </c>
      <c r="BK550" s="346">
        <v>2.0120999999999998</v>
      </c>
      <c r="BL550" s="346">
        <v>1.6644000000000001</v>
      </c>
      <c r="BM550" s="346">
        <v>1.6830000000000001</v>
      </c>
      <c r="BN550" s="346">
        <v>2.7917700000000001</v>
      </c>
      <c r="BO550" s="346">
        <v>4.0394603039999994</v>
      </c>
      <c r="BP550" s="346">
        <v>4.2030000000000003</v>
      </c>
      <c r="BQ550" s="346">
        <v>2.6143000000000001</v>
      </c>
      <c r="BR550" s="346">
        <v>1.0662</v>
      </c>
      <c r="BS550" s="346">
        <v>4.0785999999999998</v>
      </c>
      <c r="BT550" s="346">
        <v>0.35580000000000001</v>
      </c>
      <c r="BU550" s="346">
        <v>2.0322999999999998</v>
      </c>
      <c r="BV550" s="346">
        <v>4.5972335040000001</v>
      </c>
      <c r="BW550" s="346">
        <v>2.9477860690000002</v>
      </c>
      <c r="BX550" s="346">
        <v>0.49817592700000002</v>
      </c>
      <c r="BY550" s="346">
        <v>4.1115559690000003</v>
      </c>
      <c r="BZ550" s="346">
        <v>3.1786107289999999</v>
      </c>
      <c r="CA550" s="346">
        <v>1.199526503</v>
      </c>
      <c r="CB550" s="346">
        <v>2.77495387</v>
      </c>
      <c r="CC550" s="346">
        <v>108.363833485</v>
      </c>
      <c r="CD550" s="346">
        <v>8.1158711050000001</v>
      </c>
      <c r="CE550" s="347">
        <f>SUM(CE552:CE564)</f>
        <v>-31.756337806999998</v>
      </c>
      <c r="CF550" s="346">
        <f t="shared" ref="CF550:DB550" si="315">SUM(CF552:CF564)</f>
        <v>21.540410693999998</v>
      </c>
      <c r="CG550" s="346">
        <f t="shared" si="315"/>
        <v>4.644406139</v>
      </c>
      <c r="CH550" s="346">
        <f t="shared" si="315"/>
        <v>3.6906665100000002</v>
      </c>
      <c r="CI550" s="346">
        <f t="shared" si="315"/>
        <v>4.000771845</v>
      </c>
      <c r="CJ550" s="346">
        <f t="shared" si="315"/>
        <v>2.8386170709999998</v>
      </c>
      <c r="CK550" s="346">
        <f t="shared" si="315"/>
        <v>9.5043488400000005</v>
      </c>
      <c r="CL550" s="346">
        <f t="shared" si="315"/>
        <v>1.934691419</v>
      </c>
      <c r="CM550" s="346">
        <f t="shared" si="315"/>
        <v>13.501548335997581</v>
      </c>
      <c r="CN550" s="346">
        <f t="shared" si="315"/>
        <v>0.34203537899999997</v>
      </c>
      <c r="CO550" s="346">
        <f t="shared" si="315"/>
        <v>3.1439371009999997</v>
      </c>
      <c r="CP550" s="348">
        <f t="shared" si="315"/>
        <v>15.697589456000001</v>
      </c>
      <c r="CQ550" s="346">
        <f t="shared" si="315"/>
        <v>3.3484510189305601</v>
      </c>
      <c r="CR550" s="346">
        <f t="shared" si="315"/>
        <v>5.5814872209999997</v>
      </c>
      <c r="CS550" s="346">
        <f>SUM(CS552:CS564)+23</f>
        <v>30.127451912000001</v>
      </c>
      <c r="CT550" s="346">
        <f t="shared" si="315"/>
        <v>1.7390629900000001</v>
      </c>
      <c r="CU550" s="346">
        <f t="shared" si="315"/>
        <v>4.0454566419999995</v>
      </c>
      <c r="CV550" s="346">
        <f t="shared" si="315"/>
        <v>2.8249999999999997</v>
      </c>
      <c r="CW550" s="346">
        <f t="shared" si="315"/>
        <v>3.7031724830000003</v>
      </c>
      <c r="CX550" s="346">
        <f t="shared" si="315"/>
        <v>6.7260049760000005</v>
      </c>
      <c r="CY550" s="346">
        <f t="shared" si="315"/>
        <v>6.6991230000000002</v>
      </c>
      <c r="CZ550" s="346">
        <f t="shared" si="315"/>
        <v>0</v>
      </c>
      <c r="DA550" s="346">
        <f t="shared" si="315"/>
        <v>3.4</v>
      </c>
      <c r="DB550" s="1479">
        <f t="shared" si="315"/>
        <v>3.3</v>
      </c>
      <c r="DC550" s="513">
        <f>SUM(DC551:DC564)</f>
        <v>5.3</v>
      </c>
      <c r="DD550" s="513">
        <f t="shared" ref="DD550:DN550" si="316">SUM(DD551:DD564)</f>
        <v>13.347593833000001</v>
      </c>
      <c r="DE550" s="513">
        <f t="shared" si="316"/>
        <v>8.9191911649999991</v>
      </c>
      <c r="DF550" s="513">
        <f t="shared" si="316"/>
        <v>3.5366866149999998</v>
      </c>
      <c r="DG550" s="513">
        <f t="shared" si="316"/>
        <v>4.3726213439999997</v>
      </c>
      <c r="DH550" s="513">
        <f t="shared" si="316"/>
        <v>3.514052623</v>
      </c>
      <c r="DI550" s="513">
        <f t="shared" si="316"/>
        <v>21.152643470999998</v>
      </c>
      <c r="DJ550" s="513">
        <f t="shared" si="316"/>
        <v>11.237692828</v>
      </c>
      <c r="DK550" s="513">
        <f t="shared" si="316"/>
        <v>2.812622325</v>
      </c>
      <c r="DL550" s="513">
        <f t="shared" si="316"/>
        <v>3.043442787</v>
      </c>
      <c r="DM550" s="513">
        <f t="shared" si="316"/>
        <v>2.875</v>
      </c>
      <c r="DN550" s="930">
        <f t="shared" si="316"/>
        <v>8.3103340330000002</v>
      </c>
      <c r="DO550" s="513">
        <f t="shared" ref="DO550:DT550" si="317">SUM(DO551:DO564)</f>
        <v>4.8980108539999998</v>
      </c>
      <c r="DP550" s="513">
        <f t="shared" si="317"/>
        <v>6.9066390129999995</v>
      </c>
      <c r="DQ550" s="513">
        <f t="shared" si="317"/>
        <v>6.81953502</v>
      </c>
      <c r="DR550" s="513">
        <f t="shared" si="317"/>
        <v>11.452914823999999</v>
      </c>
      <c r="DS550" s="513">
        <f t="shared" si="317"/>
        <v>7.6440726510000001</v>
      </c>
      <c r="DT550" s="513">
        <f t="shared" si="317"/>
        <v>5.9949982159999999</v>
      </c>
      <c r="DU550" s="513">
        <f t="shared" ref="DU550:DZ550" si="318">SUM(DU551:DU564)</f>
        <v>16.884331552999999</v>
      </c>
      <c r="DV550" s="513">
        <f t="shared" si="318"/>
        <v>6.81953502</v>
      </c>
      <c r="DW550" s="513">
        <f t="shared" si="318"/>
        <v>11.516505986</v>
      </c>
      <c r="DX550" s="513">
        <f t="shared" si="318"/>
        <v>2.6007439900000016</v>
      </c>
      <c r="DY550" s="513">
        <f t="shared" si="318"/>
        <v>14.771810901</v>
      </c>
      <c r="DZ550" s="348">
        <f t="shared" si="318"/>
        <v>17.527823183999999</v>
      </c>
      <c r="EA550" s="346">
        <f t="shared" ref="EA550:EK550" si="319">SUM(EA551:EA564)</f>
        <v>9.8000000000000007</v>
      </c>
      <c r="EB550" s="513">
        <f t="shared" si="319"/>
        <v>13.576148472</v>
      </c>
      <c r="EC550" s="513">
        <f t="shared" si="319"/>
        <v>29.073563082</v>
      </c>
      <c r="ED550" s="513">
        <f t="shared" si="319"/>
        <v>7.6661447689999997</v>
      </c>
      <c r="EE550" s="513">
        <f t="shared" si="319"/>
        <v>10.20881591</v>
      </c>
      <c r="EF550" s="513">
        <f t="shared" si="319"/>
        <v>22.273047569999999</v>
      </c>
      <c r="EG550" s="513">
        <f t="shared" si="319"/>
        <v>10.686760800000002</v>
      </c>
      <c r="EH550" s="513">
        <f t="shared" si="319"/>
        <v>8.4656675769999996</v>
      </c>
      <c r="EI550" s="513">
        <f t="shared" si="319"/>
        <v>19.679205226000001</v>
      </c>
      <c r="EJ550" s="513">
        <f t="shared" si="319"/>
        <v>16.116149442000001</v>
      </c>
      <c r="EK550" s="513">
        <f t="shared" si="319"/>
        <v>13.329649810999999</v>
      </c>
      <c r="EL550" s="930">
        <f t="shared" ref="EL550:ER550" si="320">SUM(EL551:EL564)</f>
        <v>-0.83253643600000005</v>
      </c>
      <c r="EM550" s="513">
        <f t="shared" si="320"/>
        <v>18.295088931999999</v>
      </c>
      <c r="EN550" s="513">
        <f t="shared" si="320"/>
        <v>16.743440358000001</v>
      </c>
      <c r="EO550" s="513">
        <f t="shared" si="320"/>
        <v>24.034113318000003</v>
      </c>
      <c r="EP550" s="513">
        <f t="shared" si="320"/>
        <v>11.731862779</v>
      </c>
      <c r="EQ550" s="513">
        <f t="shared" si="320"/>
        <v>19.160632412999998</v>
      </c>
      <c r="ER550" s="513">
        <f t="shared" si="320"/>
        <v>6.2761232199999997</v>
      </c>
      <c r="ES550" s="513">
        <f t="shared" ref="ES550:EX550" si="321">SUM(ES551:ES564)</f>
        <v>21.636654608000001</v>
      </c>
      <c r="ET550" s="513">
        <f t="shared" si="321"/>
        <v>8.9863226449999996</v>
      </c>
      <c r="EU550" s="513">
        <f>SUM(EU551:EU564)</f>
        <v>23.574493701000002</v>
      </c>
      <c r="EV550" s="513">
        <f t="shared" si="321"/>
        <v>11.875057798</v>
      </c>
      <c r="EW550" s="513">
        <f t="shared" si="321"/>
        <v>13.770363232999999</v>
      </c>
      <c r="EX550" s="930">
        <f t="shared" si="321"/>
        <v>20.239404674999999</v>
      </c>
      <c r="EY550" s="513"/>
      <c r="EZ550" s="513"/>
      <c r="FA550" s="513"/>
      <c r="FB550" s="513"/>
      <c r="FC550" s="513"/>
      <c r="FD550" s="513"/>
      <c r="FE550" s="513"/>
      <c r="FF550" s="513"/>
      <c r="FG550" s="513"/>
      <c r="FH550" s="513"/>
      <c r="FI550" s="513"/>
      <c r="FJ550" s="930"/>
      <c r="FK550" s="513"/>
      <c r="FL550" s="513"/>
      <c r="FM550" s="513"/>
      <c r="FN550" s="513"/>
      <c r="FO550" s="513"/>
      <c r="FP550" s="513"/>
      <c r="FQ550" s="513"/>
      <c r="FR550" s="513"/>
      <c r="FS550" s="513"/>
      <c r="FT550" s="513"/>
      <c r="FU550" s="513"/>
      <c r="FV550" s="513"/>
      <c r="FW550" s="513"/>
      <c r="FX550" s="513"/>
      <c r="FY550" s="513"/>
      <c r="FZ550" s="513"/>
      <c r="GA550" s="513"/>
      <c r="GB550" s="513"/>
      <c r="GC550" s="513"/>
      <c r="GD550" s="513"/>
      <c r="GE550" s="513"/>
      <c r="GF550" s="513"/>
      <c r="GG550" s="513"/>
      <c r="GH550" s="513"/>
      <c r="GI550" s="513"/>
      <c r="GJ550" s="513"/>
      <c r="GK550" s="513"/>
      <c r="GL550" s="513"/>
      <c r="GM550" s="513"/>
      <c r="GN550" s="513"/>
      <c r="GO550" s="513"/>
      <c r="GP550" s="513"/>
      <c r="GQ550" s="513"/>
      <c r="GR550" s="513"/>
      <c r="GS550" s="513"/>
      <c r="GT550" s="513"/>
      <c r="GU550" s="513"/>
      <c r="GV550" s="513"/>
      <c r="GW550" s="513"/>
      <c r="GX550" s="513"/>
      <c r="GY550" s="513"/>
      <c r="GZ550" s="513"/>
      <c r="HA550" s="513"/>
      <c r="HB550" s="513"/>
      <c r="HC550" s="513"/>
      <c r="HD550" s="513"/>
      <c r="HE550" s="513"/>
      <c r="HF550" s="513"/>
      <c r="HG550" s="513"/>
      <c r="HH550" s="513"/>
      <c r="HI550" s="513"/>
      <c r="HJ550" s="513"/>
      <c r="HK550" s="513"/>
      <c r="HL550" s="513"/>
      <c r="HM550" s="513"/>
      <c r="HN550" s="349"/>
      <c r="HO550" s="345" t="s">
        <v>167</v>
      </c>
      <c r="HP550" s="345"/>
      <c r="HQ550" s="345"/>
      <c r="HR550" s="346">
        <f>+FISC!Z770</f>
        <v>116.19999999999999</v>
      </c>
      <c r="HS550" s="302">
        <f>SUM(HS552:HS564)</f>
        <v>24.666909783930556</v>
      </c>
      <c r="HT550" s="302">
        <f>SUM(HT552:HT564)</f>
        <v>23.828300458999998</v>
      </c>
      <c r="HU550" s="346">
        <f>SUM(HU552:HU564)</f>
        <v>48.495210242930554</v>
      </c>
      <c r="HV550" s="302">
        <f>SUM(HV552:HV564)</f>
        <v>38.990145579999997</v>
      </c>
      <c r="HW550" s="302">
        <f>+SUM(DI550:DN550)</f>
        <v>49.431735443999997</v>
      </c>
      <c r="HX550" s="346">
        <f>HV550+HW550</f>
        <v>88.421881023999987</v>
      </c>
      <c r="HY550" s="302">
        <f>SUM(HY551:HY564)</f>
        <v>43.716170577999996</v>
      </c>
      <c r="HZ550" s="302">
        <f>SUM(HZ551:HZ566)</f>
        <v>70.120750634000004</v>
      </c>
      <c r="IA550" s="346">
        <f t="shared" si="297"/>
        <v>113.83692121199999</v>
      </c>
      <c r="IB550" s="302">
        <f>SUM(IB551:IB566)</f>
        <v>92.59771980299999</v>
      </c>
      <c r="IC550" s="302">
        <f>SUM(IC551:IC566)</f>
        <v>67.444896419999992</v>
      </c>
      <c r="ID550" s="346">
        <f>FISC!AC770</f>
        <v>160.04261622299998</v>
      </c>
      <c r="IE550" s="302">
        <f t="shared" si="252"/>
        <v>96.24126102000001</v>
      </c>
      <c r="IF550" s="302">
        <f t="shared" si="253"/>
        <v>100.08229666000001</v>
      </c>
      <c r="IG550" s="346">
        <f t="shared" si="201"/>
        <v>196.32355768000002</v>
      </c>
      <c r="IH550" s="681">
        <f>(SUM(IH551:IH564))*0+175.605266302</f>
        <v>175.60526630199999</v>
      </c>
      <c r="II550" s="681">
        <f>IJ550-IH550</f>
        <v>224.41892431833983</v>
      </c>
      <c r="IJ550" s="346">
        <f>+FISC!AE770</f>
        <v>400.02419062033982</v>
      </c>
      <c r="IK550" s="302">
        <f>SUM(IK551:IK564)</f>
        <v>160.81197923940596</v>
      </c>
      <c r="IL550" s="302">
        <f t="shared" si="280"/>
        <v>138.985002147903</v>
      </c>
      <c r="IM550" s="346">
        <f>+FISC!AF770</f>
        <v>299.79698138730896</v>
      </c>
      <c r="IN550" s="302">
        <f>SUM(IN551:IN564)</f>
        <v>130.86678536849675</v>
      </c>
      <c r="IO550" s="302">
        <f t="shared" si="154"/>
        <v>142.27220113649676</v>
      </c>
      <c r="IP550" s="346">
        <f>+FISC!AG770</f>
        <v>273.13898650499351</v>
      </c>
      <c r="IQ550" s="302">
        <f>SUM(IQ551:IQ564)</f>
        <v>140.80510402462261</v>
      </c>
      <c r="IR550" s="302">
        <f t="shared" si="281"/>
        <v>152.21051979262262</v>
      </c>
      <c r="IS550" s="346">
        <f>+FISC!AH770</f>
        <v>293.01562381724523</v>
      </c>
      <c r="IT550" s="302">
        <f>SUM(IT551:IT564)</f>
        <v>126.91117981441985</v>
      </c>
      <c r="IU550" s="302">
        <f t="shared" si="282"/>
        <v>126.91117981441985</v>
      </c>
      <c r="IV550" s="346">
        <f>+FISC!AI770</f>
        <v>253.82235962883971</v>
      </c>
      <c r="IW550" s="302">
        <f>SUM(IW551:IW564)</f>
        <v>10.214589907209929</v>
      </c>
      <c r="IX550" s="302">
        <f t="shared" si="283"/>
        <v>10.214589907209929</v>
      </c>
      <c r="IY550" s="346">
        <f>+FISC!AJ770</f>
        <v>20.429179814419857</v>
      </c>
      <c r="IZ550" s="302">
        <f>SUM(IZ551:IZ564)</f>
        <v>5.1072949536049643</v>
      </c>
      <c r="JA550" s="302">
        <f t="shared" si="284"/>
        <v>5.1072949536049643</v>
      </c>
      <c r="JB550" s="346">
        <f>+FISC!AK770</f>
        <v>10.214589907209929</v>
      </c>
      <c r="JC550" s="346"/>
      <c r="KI550" s="349"/>
      <c r="KJ550" s="350"/>
      <c r="KM550" s="302">
        <f>SUM(KM552:KM564)</f>
        <v>0</v>
      </c>
      <c r="KN550" s="302">
        <f>SUM(KN552:KN564)</f>
        <v>0</v>
      </c>
      <c r="KO550" s="302">
        <f>SUM(KO552:KO564)</f>
        <v>0</v>
      </c>
      <c r="KP550" s="302">
        <f>SUM(KP552:KP564)</f>
        <v>0</v>
      </c>
    </row>
    <row r="551" spans="1:302">
      <c r="A551" s="302"/>
      <c r="B551" s="117" t="s">
        <v>361</v>
      </c>
      <c r="D551" s="351" t="str">
        <f>+FISC!D771</f>
        <v>Of which Other: (incl Transfers Agaciro Fund)</v>
      </c>
      <c r="E551" s="346"/>
      <c r="F551" s="346"/>
      <c r="G551" s="346"/>
      <c r="H551" s="346"/>
      <c r="I551" s="346"/>
      <c r="J551" s="346"/>
      <c r="K551" s="346"/>
      <c r="L551" s="346"/>
      <c r="M551" s="346"/>
      <c r="N551" s="346"/>
      <c r="O551" s="346"/>
      <c r="P551" s="346"/>
      <c r="Q551" s="346"/>
      <c r="R551" s="346"/>
      <c r="S551" s="346"/>
      <c r="T551" s="346"/>
      <c r="U551" s="346"/>
      <c r="V551" s="346"/>
      <c r="W551" s="346"/>
      <c r="X551" s="346"/>
      <c r="Y551" s="346"/>
      <c r="Z551" s="346"/>
      <c r="AA551" s="346"/>
      <c r="AB551" s="346"/>
      <c r="AC551" s="346"/>
      <c r="AD551" s="346"/>
      <c r="AE551" s="346"/>
      <c r="AF551" s="346"/>
      <c r="AG551" s="346"/>
      <c r="AH551" s="346"/>
      <c r="AI551" s="346"/>
      <c r="AJ551" s="346"/>
      <c r="AK551" s="346"/>
      <c r="AL551" s="346"/>
      <c r="AM551" s="346"/>
      <c r="AN551" s="346"/>
      <c r="AO551" s="346"/>
      <c r="AP551" s="346"/>
      <c r="AQ551" s="346"/>
      <c r="AR551" s="346"/>
      <c r="AS551" s="346"/>
      <c r="AT551" s="346"/>
      <c r="AU551" s="346"/>
      <c r="AV551" s="346"/>
      <c r="AW551" s="346"/>
      <c r="AX551" s="346"/>
      <c r="AY551" s="346"/>
      <c r="AZ551" s="346"/>
      <c r="BA551" s="346"/>
      <c r="BB551" s="346"/>
      <c r="BC551" s="346"/>
      <c r="BD551" s="346"/>
      <c r="BE551" s="346"/>
      <c r="BF551" s="346"/>
      <c r="BG551" s="346"/>
      <c r="BH551" s="346"/>
      <c r="BI551" s="346"/>
      <c r="BJ551" s="346"/>
      <c r="BK551" s="346"/>
      <c r="BL551" s="346"/>
      <c r="BM551" s="346"/>
      <c r="BN551" s="346"/>
      <c r="BO551" s="346"/>
      <c r="BP551" s="346"/>
      <c r="BQ551" s="346"/>
      <c r="BR551" s="346"/>
      <c r="BS551" s="346"/>
      <c r="BT551" s="346"/>
      <c r="BU551" s="346"/>
      <c r="BV551" s="346"/>
      <c r="BW551" s="346"/>
      <c r="BX551" s="346"/>
      <c r="BY551" s="346"/>
      <c r="BZ551" s="346"/>
      <c r="CA551" s="346"/>
      <c r="CB551" s="346"/>
      <c r="CC551" s="346"/>
      <c r="CD551" s="346"/>
      <c r="CE551" s="347"/>
      <c r="CF551" s="346"/>
      <c r="CG551" s="346"/>
      <c r="CH551" s="346"/>
      <c r="CI551" s="346"/>
      <c r="CJ551" s="346"/>
      <c r="CK551" s="346"/>
      <c r="CL551" s="346"/>
      <c r="CM551" s="346"/>
      <c r="CN551" s="346"/>
      <c r="CO551" s="346"/>
      <c r="CP551" s="348"/>
      <c r="CQ551" s="346"/>
      <c r="CR551" s="346"/>
      <c r="CS551" s="346"/>
      <c r="CT551" s="346"/>
      <c r="CU551" s="346"/>
      <c r="CV551" s="346"/>
      <c r="CW551" s="346"/>
      <c r="CX551" s="346"/>
      <c r="CY551" s="346"/>
      <c r="CZ551" s="346"/>
      <c r="DA551" s="346"/>
      <c r="DB551" s="1479"/>
      <c r="DC551" s="346">
        <f t="shared" ref="DC551:EX551" si="322">+DC285</f>
        <v>0</v>
      </c>
      <c r="DD551" s="346">
        <f t="shared" si="322"/>
        <v>0</v>
      </c>
      <c r="DE551" s="346">
        <f t="shared" si="322"/>
        <v>0</v>
      </c>
      <c r="DF551" s="346">
        <f t="shared" si="322"/>
        <v>0</v>
      </c>
      <c r="DG551" s="346">
        <f t="shared" si="322"/>
        <v>0</v>
      </c>
      <c r="DH551" s="346">
        <f t="shared" si="322"/>
        <v>0</v>
      </c>
      <c r="DI551" s="346">
        <f t="shared" si="322"/>
        <v>3</v>
      </c>
      <c r="DJ551" s="346">
        <f t="shared" si="322"/>
        <v>0</v>
      </c>
      <c r="DK551" s="346">
        <f t="shared" si="322"/>
        <v>0</v>
      </c>
      <c r="DL551" s="346">
        <f t="shared" si="322"/>
        <v>0</v>
      </c>
      <c r="DM551" s="346">
        <f t="shared" si="322"/>
        <v>0</v>
      </c>
      <c r="DN551" s="348">
        <f t="shared" si="322"/>
        <v>0</v>
      </c>
      <c r="DO551" s="346">
        <f t="shared" si="322"/>
        <v>0</v>
      </c>
      <c r="DP551" s="346">
        <f t="shared" si="322"/>
        <v>0</v>
      </c>
      <c r="DQ551" s="346">
        <f t="shared" si="322"/>
        <v>0</v>
      </c>
      <c r="DR551" s="346">
        <f t="shared" si="322"/>
        <v>1.1499999999999999</v>
      </c>
      <c r="DS551" s="346">
        <f t="shared" si="322"/>
        <v>0</v>
      </c>
      <c r="DT551" s="346">
        <f t="shared" si="322"/>
        <v>0</v>
      </c>
      <c r="DU551" s="346">
        <f t="shared" si="322"/>
        <v>0.6</v>
      </c>
      <c r="DV551" s="346">
        <f t="shared" si="322"/>
        <v>0</v>
      </c>
      <c r="DW551" s="346">
        <f t="shared" si="322"/>
        <v>0</v>
      </c>
      <c r="DX551" s="346">
        <f t="shared" si="322"/>
        <v>0.4</v>
      </c>
      <c r="DY551" s="346">
        <f t="shared" si="322"/>
        <v>0</v>
      </c>
      <c r="DZ551" s="930">
        <f t="shared" si="322"/>
        <v>0</v>
      </c>
      <c r="EA551" s="513">
        <f t="shared" si="322"/>
        <v>0</v>
      </c>
      <c r="EB551" s="346">
        <f t="shared" si="322"/>
        <v>1.6</v>
      </c>
      <c r="EC551" s="346">
        <f t="shared" si="322"/>
        <v>0</v>
      </c>
      <c r="ED551" s="346">
        <f t="shared" si="322"/>
        <v>0</v>
      </c>
      <c r="EE551" s="346">
        <f t="shared" si="322"/>
        <v>0</v>
      </c>
      <c r="EF551" s="346">
        <f t="shared" si="322"/>
        <v>0</v>
      </c>
      <c r="EG551" s="346">
        <f t="shared" si="322"/>
        <v>0</v>
      </c>
      <c r="EH551" s="346">
        <f t="shared" si="322"/>
        <v>0</v>
      </c>
      <c r="EI551" s="346">
        <f t="shared" si="322"/>
        <v>0</v>
      </c>
      <c r="EJ551" s="346">
        <f t="shared" si="322"/>
        <v>0</v>
      </c>
      <c r="EK551" s="346">
        <f t="shared" si="322"/>
        <v>0</v>
      </c>
      <c r="EL551" s="348">
        <f t="shared" si="322"/>
        <v>0</v>
      </c>
      <c r="EM551" s="346">
        <f t="shared" si="322"/>
        <v>0</v>
      </c>
      <c r="EN551" s="346">
        <f t="shared" si="322"/>
        <v>3.06</v>
      </c>
      <c r="EO551" s="346">
        <f t="shared" si="322"/>
        <v>0</v>
      </c>
      <c r="EP551" s="346">
        <f t="shared" si="322"/>
        <v>0</v>
      </c>
      <c r="EQ551" s="346">
        <f t="shared" si="322"/>
        <v>0</v>
      </c>
      <c r="ER551" s="346">
        <f t="shared" si="322"/>
        <v>0</v>
      </c>
      <c r="ES551" s="346">
        <f t="shared" si="322"/>
        <v>0</v>
      </c>
      <c r="ET551" s="346">
        <f t="shared" si="322"/>
        <v>0</v>
      </c>
      <c r="EU551" s="346">
        <f t="shared" si="322"/>
        <v>0</v>
      </c>
      <c r="EV551" s="346">
        <f t="shared" si="322"/>
        <v>0</v>
      </c>
      <c r="EW551" s="346">
        <f t="shared" si="322"/>
        <v>0</v>
      </c>
      <c r="EX551" s="348">
        <f t="shared" si="322"/>
        <v>0</v>
      </c>
      <c r="EY551" s="346"/>
      <c r="EZ551" s="346"/>
      <c r="FA551" s="346"/>
      <c r="FB551" s="346"/>
      <c r="FC551" s="346"/>
      <c r="FD551" s="346"/>
      <c r="FE551" s="346"/>
      <c r="FF551" s="346"/>
      <c r="FG551" s="346"/>
      <c r="FH551" s="346"/>
      <c r="FI551" s="346"/>
      <c r="FJ551" s="348"/>
      <c r="FK551" s="346"/>
      <c r="FL551" s="346"/>
      <c r="FM551" s="346"/>
      <c r="FN551" s="346"/>
      <c r="FO551" s="346"/>
      <c r="FP551" s="346"/>
      <c r="FQ551" s="346"/>
      <c r="FR551" s="346"/>
      <c r="FS551" s="346"/>
      <c r="FT551" s="346"/>
      <c r="FU551" s="346"/>
      <c r="FV551" s="346"/>
      <c r="FW551" s="346"/>
      <c r="FX551" s="346"/>
      <c r="FY551" s="346"/>
      <c r="FZ551" s="346"/>
      <c r="GA551" s="346"/>
      <c r="GB551" s="346"/>
      <c r="GC551" s="346"/>
      <c r="GD551" s="346"/>
      <c r="GE551" s="346"/>
      <c r="GF551" s="346"/>
      <c r="GG551" s="346"/>
      <c r="GH551" s="346"/>
      <c r="GI551" s="346"/>
      <c r="GJ551" s="346"/>
      <c r="GK551" s="346"/>
      <c r="GL551" s="346"/>
      <c r="GM551" s="346"/>
      <c r="GN551" s="346"/>
      <c r="GO551" s="346"/>
      <c r="GP551" s="346"/>
      <c r="GQ551" s="346"/>
      <c r="GR551" s="346"/>
      <c r="GS551" s="346"/>
      <c r="GT551" s="346"/>
      <c r="GU551" s="346"/>
      <c r="GV551" s="346"/>
      <c r="GW551" s="346"/>
      <c r="GX551" s="346"/>
      <c r="GY551" s="346"/>
      <c r="GZ551" s="346"/>
      <c r="HA551" s="346"/>
      <c r="HB551" s="346"/>
      <c r="HC551" s="346"/>
      <c r="HD551" s="346"/>
      <c r="HE551" s="346"/>
      <c r="HF551" s="346"/>
      <c r="HG551" s="346"/>
      <c r="HH551" s="346"/>
      <c r="HI551" s="346"/>
      <c r="HJ551" s="346"/>
      <c r="HK551" s="346"/>
      <c r="HL551" s="346"/>
      <c r="HM551" s="346"/>
      <c r="HN551" s="349"/>
      <c r="HO551" s="351" t="s">
        <v>860</v>
      </c>
      <c r="HP551" s="351"/>
      <c r="HQ551" s="351"/>
      <c r="HR551" s="346">
        <f>+FISC!Z771</f>
        <v>23</v>
      </c>
      <c r="HS551" s="302">
        <f>SUM(CQ551:CV551)</f>
        <v>0</v>
      </c>
      <c r="HT551" s="302">
        <f>SUM(CW551:DB551)</f>
        <v>0</v>
      </c>
      <c r="HU551" s="346">
        <f>SUM(CQ551:DB551)</f>
        <v>0</v>
      </c>
      <c r="HV551" s="302">
        <f>+SUM(DC551:DH551)</f>
        <v>0</v>
      </c>
      <c r="HW551" s="302">
        <f>+SUM(DI551:DN551)</f>
        <v>3</v>
      </c>
      <c r="HX551" s="346">
        <f>HV551+HW551</f>
        <v>3</v>
      </c>
      <c r="HY551" s="302">
        <f>+SUM(DO551:DT551)</f>
        <v>1.1499999999999999</v>
      </c>
      <c r="HZ551" s="302">
        <f>SUM(DU551:DZ551)</f>
        <v>1</v>
      </c>
      <c r="IA551" s="346">
        <f t="shared" si="297"/>
        <v>2.15</v>
      </c>
      <c r="IC551" s="350"/>
      <c r="ID551" s="346">
        <f>FISC!AC771</f>
        <v>0</v>
      </c>
      <c r="IE551" s="302">
        <f t="shared" si="252"/>
        <v>3.06</v>
      </c>
      <c r="IF551" s="302">
        <f t="shared" si="253"/>
        <v>0</v>
      </c>
      <c r="IG551" s="346">
        <f t="shared" si="201"/>
        <v>3.06</v>
      </c>
      <c r="IH551" s="350"/>
      <c r="II551" s="350"/>
      <c r="IJ551" s="346">
        <f>+FISC!AE771</f>
        <v>0</v>
      </c>
      <c r="IK551" s="302">
        <f>IM551*JI551</f>
        <v>0</v>
      </c>
      <c r="IL551" s="302">
        <f t="shared" si="280"/>
        <v>0</v>
      </c>
      <c r="IM551" s="346">
        <f>+FISC!AF771</f>
        <v>0</v>
      </c>
      <c r="IN551" s="302">
        <f t="shared" si="292"/>
        <v>0</v>
      </c>
      <c r="IO551" s="302">
        <f t="shared" si="154"/>
        <v>0</v>
      </c>
      <c r="IP551" s="346">
        <f>+FISC!AG771</f>
        <v>0</v>
      </c>
      <c r="IQ551" s="302">
        <f t="shared" si="293"/>
        <v>0</v>
      </c>
      <c r="IR551" s="302">
        <f t="shared" si="281"/>
        <v>0</v>
      </c>
      <c r="IS551" s="346">
        <f>+FISC!AH771</f>
        <v>0</v>
      </c>
      <c r="IT551" s="302">
        <f t="shared" si="294"/>
        <v>0</v>
      </c>
      <c r="IU551" s="302">
        <f t="shared" si="282"/>
        <v>0</v>
      </c>
      <c r="IV551" s="346">
        <f>+FISC!AI771</f>
        <v>0</v>
      </c>
      <c r="IW551" s="302">
        <f t="shared" si="295"/>
        <v>0</v>
      </c>
      <c r="IX551" s="302">
        <f t="shared" si="283"/>
        <v>0</v>
      </c>
      <c r="IY551" s="346">
        <f>+FISC!AJ771</f>
        <v>0</v>
      </c>
      <c r="IZ551" s="302">
        <f t="shared" si="296"/>
        <v>0</v>
      </c>
      <c r="JA551" s="302">
        <f t="shared" si="284"/>
        <v>0</v>
      </c>
      <c r="JB551" s="346">
        <f>+FISC!AK771</f>
        <v>0</v>
      </c>
      <c r="JC551" s="346"/>
      <c r="KI551" s="349"/>
      <c r="KJ551" s="350"/>
    </row>
    <row r="552" spans="1:302">
      <c r="A552" s="302"/>
      <c r="B552" s="117" t="s">
        <v>361</v>
      </c>
      <c r="D552" s="351" t="str">
        <f>+FISC!D772</f>
        <v xml:space="preserve">       Marriot  Hotel Loan Repayement (princ.)</v>
      </c>
      <c r="E552" s="346"/>
      <c r="F552" s="346"/>
      <c r="G552" s="346"/>
      <c r="H552" s="346"/>
      <c r="I552" s="346"/>
      <c r="J552" s="346"/>
      <c r="K552" s="346"/>
      <c r="L552" s="346"/>
      <c r="M552" s="346"/>
      <c r="N552" s="346"/>
      <c r="O552" s="346"/>
      <c r="P552" s="346"/>
      <c r="Q552" s="346"/>
      <c r="R552" s="346"/>
      <c r="S552" s="346"/>
      <c r="T552" s="346"/>
      <c r="U552" s="346"/>
      <c r="V552" s="346"/>
      <c r="W552" s="346"/>
      <c r="X552" s="346"/>
      <c r="Y552" s="346"/>
      <c r="Z552" s="346"/>
      <c r="AA552" s="346"/>
      <c r="AB552" s="346"/>
      <c r="AC552" s="346"/>
      <c r="AD552" s="346"/>
      <c r="AE552" s="346"/>
      <c r="AF552" s="346"/>
      <c r="AG552" s="346"/>
      <c r="AH552" s="346"/>
      <c r="AI552" s="346"/>
      <c r="AJ552" s="346"/>
      <c r="AK552" s="346"/>
      <c r="AL552" s="346"/>
      <c r="AM552" s="346"/>
      <c r="AN552" s="346"/>
      <c r="AO552" s="346"/>
      <c r="AP552" s="346"/>
      <c r="AQ552" s="346"/>
      <c r="AR552" s="346"/>
      <c r="AS552" s="346"/>
      <c r="AT552" s="346"/>
      <c r="AU552" s="346"/>
      <c r="AV552" s="346"/>
      <c r="AW552" s="346"/>
      <c r="AX552" s="346"/>
      <c r="AY552" s="346"/>
      <c r="AZ552" s="346"/>
      <c r="BA552" s="346"/>
      <c r="BB552" s="346"/>
      <c r="BC552" s="346"/>
      <c r="BD552" s="346"/>
      <c r="BE552" s="346"/>
      <c r="BF552" s="346"/>
      <c r="BG552" s="346"/>
      <c r="BH552" s="346"/>
      <c r="BI552" s="346"/>
      <c r="BJ552" s="346"/>
      <c r="BK552" s="346"/>
      <c r="BL552" s="346"/>
      <c r="BM552" s="346"/>
      <c r="BN552" s="346"/>
      <c r="BO552" s="346"/>
      <c r="BP552" s="346"/>
      <c r="BQ552" s="346"/>
      <c r="BR552" s="346"/>
      <c r="BS552" s="346"/>
      <c r="BT552" s="346"/>
      <c r="BU552" s="346"/>
      <c r="BV552" s="346"/>
      <c r="BW552" s="346"/>
      <c r="BX552" s="346"/>
      <c r="BY552" s="346"/>
      <c r="BZ552" s="346"/>
      <c r="CA552" s="346"/>
      <c r="CB552" s="346"/>
      <c r="CC552" s="346"/>
      <c r="CD552" s="346"/>
      <c r="CE552" s="347"/>
      <c r="CF552" s="346"/>
      <c r="CG552" s="346"/>
      <c r="CH552" s="346"/>
      <c r="CI552" s="346"/>
      <c r="CJ552" s="346"/>
      <c r="CK552" s="346"/>
      <c r="CL552" s="346"/>
      <c r="CM552" s="346"/>
      <c r="CN552" s="346"/>
      <c r="CO552" s="346"/>
      <c r="CP552" s="348"/>
      <c r="CQ552" s="346"/>
      <c r="CR552" s="346"/>
      <c r="CS552" s="346"/>
      <c r="CT552" s="346"/>
      <c r="CU552" s="346"/>
      <c r="CV552" s="346"/>
      <c r="CW552" s="346"/>
      <c r="CX552" s="346"/>
      <c r="CY552" s="346"/>
      <c r="CZ552" s="346"/>
      <c r="DA552" s="346"/>
      <c r="DB552" s="1479"/>
      <c r="DC552" s="346">
        <f t="shared" ref="DC552:EX552" si="323">+DC284+DC286</f>
        <v>0</v>
      </c>
      <c r="DD552" s="346">
        <f t="shared" si="323"/>
        <v>0</v>
      </c>
      <c r="DE552" s="346">
        <f t="shared" si="323"/>
        <v>0.36849867800000002</v>
      </c>
      <c r="DF552" s="346">
        <f t="shared" si="323"/>
        <v>0.23668661499999999</v>
      </c>
      <c r="DG552" s="346">
        <f t="shared" si="323"/>
        <v>0.37262134400000002</v>
      </c>
      <c r="DH552" s="346">
        <f t="shared" si="323"/>
        <v>0</v>
      </c>
      <c r="DI552" s="346">
        <f t="shared" si="323"/>
        <v>0.37845983700000002</v>
      </c>
      <c r="DJ552" s="346">
        <f t="shared" si="323"/>
        <v>0</v>
      </c>
      <c r="DK552" s="346">
        <f t="shared" si="323"/>
        <v>0</v>
      </c>
      <c r="DL552" s="346">
        <f t="shared" si="323"/>
        <v>0.389861544</v>
      </c>
      <c r="DM552" s="346">
        <f t="shared" si="323"/>
        <v>0</v>
      </c>
      <c r="DN552" s="348">
        <f t="shared" si="323"/>
        <v>0</v>
      </c>
      <c r="DO552" s="346">
        <f t="shared" si="323"/>
        <v>0</v>
      </c>
      <c r="DP552" s="346">
        <f t="shared" si="323"/>
        <v>0.30663901399999999</v>
      </c>
      <c r="DQ552" s="346">
        <f t="shared" si="323"/>
        <v>0</v>
      </c>
      <c r="DR552" s="346">
        <f t="shared" si="323"/>
        <v>0.31163317499999998</v>
      </c>
      <c r="DS552" s="346">
        <f t="shared" si="323"/>
        <v>0</v>
      </c>
      <c r="DT552" s="346">
        <f t="shared" si="323"/>
        <v>0</v>
      </c>
      <c r="DU552" s="346">
        <f t="shared" si="323"/>
        <v>0.643098795</v>
      </c>
      <c r="DV552" s="346">
        <f t="shared" si="323"/>
        <v>0</v>
      </c>
      <c r="DW552" s="346">
        <f t="shared" si="323"/>
        <v>0</v>
      </c>
      <c r="DX552" s="346">
        <f t="shared" si="323"/>
        <v>0.31770605200000002</v>
      </c>
      <c r="DY552" s="346">
        <f t="shared" si="323"/>
        <v>0.996028527</v>
      </c>
      <c r="DZ552" s="348">
        <f t="shared" si="323"/>
        <v>0</v>
      </c>
      <c r="EA552" s="346">
        <f t="shared" si="323"/>
        <v>0</v>
      </c>
      <c r="EB552" s="346">
        <f t="shared" si="323"/>
        <v>0</v>
      </c>
      <c r="EC552" s="346">
        <f t="shared" si="323"/>
        <v>0</v>
      </c>
      <c r="ED552" s="346">
        <f t="shared" si="323"/>
        <v>0.84660976499999996</v>
      </c>
      <c r="EE552" s="346">
        <f t="shared" si="323"/>
        <v>0</v>
      </c>
      <c r="EF552" s="346">
        <f t="shared" si="323"/>
        <v>0</v>
      </c>
      <c r="EG552" s="346">
        <f t="shared" si="323"/>
        <v>0.21356771699999999</v>
      </c>
      <c r="EH552" s="346">
        <f t="shared" si="323"/>
        <v>0</v>
      </c>
      <c r="EI552" s="346">
        <f t="shared" si="323"/>
        <v>0</v>
      </c>
      <c r="EJ552" s="346">
        <f t="shared" si="323"/>
        <v>0.215527204</v>
      </c>
      <c r="EK552" s="346">
        <f t="shared" si="323"/>
        <v>0</v>
      </c>
      <c r="EL552" s="348">
        <f t="shared" si="323"/>
        <v>0</v>
      </c>
      <c r="EM552" s="346">
        <f t="shared" si="323"/>
        <v>0</v>
      </c>
      <c r="EN552" s="346">
        <f t="shared" si="323"/>
        <v>0</v>
      </c>
      <c r="EO552" s="346">
        <f t="shared" si="323"/>
        <v>0</v>
      </c>
      <c r="EP552" s="346">
        <f t="shared" si="323"/>
        <v>0.17596346099999999</v>
      </c>
      <c r="EQ552" s="346">
        <f t="shared" si="323"/>
        <v>0.17690678800000001</v>
      </c>
      <c r="ER552" s="346">
        <f t="shared" si="323"/>
        <v>0</v>
      </c>
      <c r="ES552" s="346">
        <f t="shared" si="323"/>
        <v>0.17803535500000001</v>
      </c>
      <c r="ET552" s="346">
        <f t="shared" si="323"/>
        <v>0</v>
      </c>
      <c r="EU552" s="346">
        <f t="shared" si="323"/>
        <v>0.64876636600000004</v>
      </c>
      <c r="EV552" s="346">
        <f t="shared" si="323"/>
        <v>0</v>
      </c>
      <c r="EW552" s="346">
        <f t="shared" si="323"/>
        <v>0</v>
      </c>
      <c r="EX552" s="348">
        <f t="shared" si="323"/>
        <v>0</v>
      </c>
      <c r="EY552" s="346"/>
      <c r="EZ552" s="346"/>
      <c r="FA552" s="346"/>
      <c r="FB552" s="346"/>
      <c r="FC552" s="346"/>
      <c r="FD552" s="346"/>
      <c r="FE552" s="346"/>
      <c r="FF552" s="346"/>
      <c r="FG552" s="346"/>
      <c r="FH552" s="346"/>
      <c r="FI552" s="346"/>
      <c r="FJ552" s="348"/>
      <c r="FK552" s="346"/>
      <c r="FL552" s="346"/>
      <c r="FM552" s="346"/>
      <c r="FN552" s="346"/>
      <c r="FO552" s="346"/>
      <c r="FP552" s="346"/>
      <c r="FQ552" s="346"/>
      <c r="FR552" s="346"/>
      <c r="FS552" s="346"/>
      <c r="FT552" s="346"/>
      <c r="FU552" s="346"/>
      <c r="FV552" s="346"/>
      <c r="FW552" s="346"/>
      <c r="FX552" s="346"/>
      <c r="FY552" s="346"/>
      <c r="FZ552" s="346"/>
      <c r="GA552" s="346"/>
      <c r="GB552" s="346"/>
      <c r="GC552" s="346"/>
      <c r="GD552" s="346"/>
      <c r="GE552" s="346"/>
      <c r="GF552" s="346"/>
      <c r="GG552" s="346"/>
      <c r="GH552" s="346"/>
      <c r="GI552" s="346"/>
      <c r="GJ552" s="346"/>
      <c r="GK552" s="346"/>
      <c r="GL552" s="346"/>
      <c r="GM552" s="346"/>
      <c r="GN552" s="346"/>
      <c r="GO552" s="346"/>
      <c r="GP552" s="346"/>
      <c r="GQ552" s="346"/>
      <c r="GR552" s="346"/>
      <c r="GS552" s="346"/>
      <c r="GT552" s="346"/>
      <c r="GU552" s="346"/>
      <c r="GV552" s="346"/>
      <c r="GW552" s="346"/>
      <c r="GX552" s="346"/>
      <c r="GY552" s="346"/>
      <c r="GZ552" s="346"/>
      <c r="HA552" s="346"/>
      <c r="HB552" s="346"/>
      <c r="HC552" s="346"/>
      <c r="HD552" s="346"/>
      <c r="HE552" s="346"/>
      <c r="HF552" s="346"/>
      <c r="HG552" s="346"/>
      <c r="HH552" s="346"/>
      <c r="HI552" s="346"/>
      <c r="HJ552" s="346"/>
      <c r="HK552" s="346"/>
      <c r="HL552" s="346"/>
      <c r="HM552" s="346"/>
      <c r="HN552" s="349"/>
      <c r="HO552" s="1247" t="s">
        <v>1265</v>
      </c>
      <c r="HP552" s="1247"/>
      <c r="HQ552" s="1247"/>
      <c r="HR552" s="346">
        <f>+FISC!Z772</f>
        <v>1.6</v>
      </c>
      <c r="HS552" s="302">
        <f>SUM(CQ552:CV552)</f>
        <v>0</v>
      </c>
      <c r="HT552" s="302">
        <f>SUM(CW552:DB552)</f>
        <v>0</v>
      </c>
      <c r="HU552" s="346">
        <f>SUM(CQ552:DB552)</f>
        <v>0</v>
      </c>
      <c r="HV552" s="302">
        <f>+SUM(DC552:DH552)</f>
        <v>0.97780663700000003</v>
      </c>
      <c r="HW552" s="302">
        <f>+SUM(DI552:DN552)</f>
        <v>0.76832138100000003</v>
      </c>
      <c r="HX552" s="346">
        <f>HV552+HW552</f>
        <v>1.7461280180000001</v>
      </c>
      <c r="HY552" s="302">
        <f>+SUM(DO552:DT552)</f>
        <v>0.61827218900000003</v>
      </c>
      <c r="HZ552" s="302">
        <f>SUM(DU552:DZ552)</f>
        <v>1.9568333739999999</v>
      </c>
      <c r="IA552" s="346">
        <f t="shared" si="297"/>
        <v>2.5751055630000002</v>
      </c>
      <c r="IB552" s="302">
        <f>(+ID552/2)*0+2.446609765</f>
        <v>2.4466097649999998</v>
      </c>
      <c r="IC552" s="302">
        <f t="shared" ref="IC552:IC566" si="324">+ID552-IB552</f>
        <v>0.42909492099999991</v>
      </c>
      <c r="ID552" s="346">
        <f>FISC!AC772</f>
        <v>2.8757046859999997</v>
      </c>
      <c r="IE552" s="302">
        <f t="shared" si="252"/>
        <v>0.35287024899999997</v>
      </c>
      <c r="IF552" s="302">
        <f t="shared" si="253"/>
        <v>0.82680172100000004</v>
      </c>
      <c r="IG552" s="346">
        <f t="shared" si="201"/>
        <v>1.17967197</v>
      </c>
      <c r="IH552" s="302">
        <f>IJ552</f>
        <v>80</v>
      </c>
      <c r="II552" s="302">
        <f>IJ552-IH552</f>
        <v>0</v>
      </c>
      <c r="IJ552" s="346">
        <f>FISC!AE772</f>
        <v>80</v>
      </c>
      <c r="IK552" s="302">
        <f>IM552*JI552</f>
        <v>0</v>
      </c>
      <c r="IL552" s="302">
        <f t="shared" si="280"/>
        <v>0</v>
      </c>
      <c r="IM552" s="346">
        <f>+FISC!AF772</f>
        <v>0</v>
      </c>
      <c r="IN552" s="302">
        <f t="shared" si="292"/>
        <v>0</v>
      </c>
      <c r="IO552" s="302">
        <f t="shared" si="154"/>
        <v>0</v>
      </c>
      <c r="IP552" s="346">
        <f>+FISC!AG772</f>
        <v>0</v>
      </c>
      <c r="IQ552" s="302">
        <f t="shared" si="293"/>
        <v>0</v>
      </c>
      <c r="IR552" s="302">
        <f t="shared" si="281"/>
        <v>0</v>
      </c>
      <c r="IS552" s="346">
        <f>+FISC!AH772</f>
        <v>0</v>
      </c>
      <c r="IT552" s="302">
        <f t="shared" si="294"/>
        <v>0</v>
      </c>
      <c r="IU552" s="302">
        <f t="shared" si="282"/>
        <v>0</v>
      </c>
      <c r="IV552" s="346">
        <f>+FISC!AI772</f>
        <v>0</v>
      </c>
      <c r="IW552" s="302">
        <f t="shared" si="295"/>
        <v>0</v>
      </c>
      <c r="IX552" s="302">
        <f t="shared" si="283"/>
        <v>0</v>
      </c>
      <c r="IY552" s="346">
        <f>+FISC!AJ772</f>
        <v>0</v>
      </c>
      <c r="IZ552" s="302">
        <f t="shared" si="296"/>
        <v>0</v>
      </c>
      <c r="JA552" s="302">
        <f t="shared" si="284"/>
        <v>0</v>
      </c>
      <c r="JB552" s="346">
        <f>+FISC!AK772</f>
        <v>0</v>
      </c>
      <c r="JC552" s="346"/>
      <c r="KI552" s="349"/>
      <c r="KJ552" s="350"/>
    </row>
    <row r="553" spans="1:302">
      <c r="A553" s="302"/>
      <c r="B553" s="117" t="s">
        <v>361</v>
      </c>
      <c r="D553" s="351" t="str">
        <f>+FISC!D773</f>
        <v>Additional Expenditure Cimerwa</v>
      </c>
      <c r="E553" s="346"/>
      <c r="F553" s="346"/>
      <c r="G553" s="346"/>
      <c r="H553" s="346"/>
      <c r="I553" s="346"/>
      <c r="J553" s="346"/>
      <c r="K553" s="346"/>
      <c r="L553" s="346"/>
      <c r="M553" s="346"/>
      <c r="N553" s="346"/>
      <c r="O553" s="346"/>
      <c r="P553" s="346"/>
      <c r="Q553" s="346"/>
      <c r="R553" s="346"/>
      <c r="S553" s="346"/>
      <c r="T553" s="346"/>
      <c r="U553" s="346"/>
      <c r="V553" s="346"/>
      <c r="W553" s="346"/>
      <c r="X553" s="346"/>
      <c r="Y553" s="346"/>
      <c r="Z553" s="346"/>
      <c r="AA553" s="346"/>
      <c r="AB553" s="346"/>
      <c r="AC553" s="346"/>
      <c r="AD553" s="346"/>
      <c r="AE553" s="346"/>
      <c r="AF553" s="346"/>
      <c r="AG553" s="346"/>
      <c r="AH553" s="346"/>
      <c r="AI553" s="346"/>
      <c r="AJ553" s="346"/>
      <c r="AK553" s="346"/>
      <c r="AL553" s="346"/>
      <c r="AM553" s="346"/>
      <c r="AN553" s="346"/>
      <c r="AO553" s="346"/>
      <c r="AP553" s="346"/>
      <c r="AQ553" s="346"/>
      <c r="AR553" s="346"/>
      <c r="AS553" s="346"/>
      <c r="AT553" s="346"/>
      <c r="AU553" s="346"/>
      <c r="AV553" s="346"/>
      <c r="AW553" s="346"/>
      <c r="AX553" s="346"/>
      <c r="AY553" s="346"/>
      <c r="AZ553" s="346"/>
      <c r="BA553" s="346"/>
      <c r="BB553" s="346"/>
      <c r="BC553" s="346"/>
      <c r="BD553" s="346"/>
      <c r="BE553" s="346"/>
      <c r="BF553" s="346"/>
      <c r="BG553" s="346"/>
      <c r="BH553" s="346"/>
      <c r="BI553" s="346"/>
      <c r="BJ553" s="346"/>
      <c r="BK553" s="346"/>
      <c r="BL553" s="346"/>
      <c r="BM553" s="346"/>
      <c r="BN553" s="346"/>
      <c r="BO553" s="346"/>
      <c r="BP553" s="346"/>
      <c r="BQ553" s="346"/>
      <c r="BR553" s="346"/>
      <c r="BS553" s="346"/>
      <c r="BT553" s="346"/>
      <c r="BU553" s="346"/>
      <c r="BV553" s="346"/>
      <c r="BW553" s="346"/>
      <c r="BX553" s="346"/>
      <c r="BY553" s="346"/>
      <c r="BZ553" s="346"/>
      <c r="CA553" s="346"/>
      <c r="CB553" s="346"/>
      <c r="CC553" s="346"/>
      <c r="CD553" s="346"/>
      <c r="CE553" s="347"/>
      <c r="CF553" s="346"/>
      <c r="CG553" s="346"/>
      <c r="CH553" s="346"/>
      <c r="CI553" s="346"/>
      <c r="CJ553" s="346"/>
      <c r="CK553" s="346"/>
      <c r="CL553" s="346"/>
      <c r="CM553" s="346"/>
      <c r="CN553" s="346"/>
      <c r="CO553" s="346"/>
      <c r="CP553" s="348"/>
      <c r="CQ553" s="346"/>
      <c r="CR553" s="346"/>
      <c r="CS553" s="346"/>
      <c r="CT553" s="346"/>
      <c r="CU553" s="346"/>
      <c r="CV553" s="346"/>
      <c r="CW553" s="346"/>
      <c r="CX553" s="346"/>
      <c r="CY553" s="346"/>
      <c r="CZ553" s="346"/>
      <c r="DA553" s="346"/>
      <c r="DB553" s="1479"/>
      <c r="DC553" s="346">
        <f t="shared" ref="DC553:EX553" si="325">+DC287</f>
        <v>0</v>
      </c>
      <c r="DD553" s="346">
        <f t="shared" si="325"/>
        <v>0</v>
      </c>
      <c r="DE553" s="346">
        <f t="shared" si="325"/>
        <v>0</v>
      </c>
      <c r="DF553" s="346">
        <f t="shared" si="325"/>
        <v>0</v>
      </c>
      <c r="DG553" s="346">
        <f t="shared" si="325"/>
        <v>0</v>
      </c>
      <c r="DH553" s="346">
        <f t="shared" si="325"/>
        <v>0</v>
      </c>
      <c r="DI553" s="346">
        <f t="shared" si="325"/>
        <v>0</v>
      </c>
      <c r="DJ553" s="346">
        <f t="shared" si="325"/>
        <v>0</v>
      </c>
      <c r="DK553" s="346">
        <f t="shared" si="325"/>
        <v>0</v>
      </c>
      <c r="DL553" s="346">
        <f t="shared" si="325"/>
        <v>0</v>
      </c>
      <c r="DM553" s="346">
        <f t="shared" si="325"/>
        <v>0</v>
      </c>
      <c r="DN553" s="348">
        <f t="shared" si="325"/>
        <v>0</v>
      </c>
      <c r="DO553" s="346">
        <f t="shared" si="325"/>
        <v>0</v>
      </c>
      <c r="DP553" s="346">
        <f t="shared" si="325"/>
        <v>0</v>
      </c>
      <c r="DQ553" s="346">
        <f t="shared" si="325"/>
        <v>0</v>
      </c>
      <c r="DR553" s="346">
        <f t="shared" si="325"/>
        <v>0</v>
      </c>
      <c r="DS553" s="346">
        <f t="shared" si="325"/>
        <v>0</v>
      </c>
      <c r="DT553" s="346">
        <f t="shared" si="325"/>
        <v>0</v>
      </c>
      <c r="DU553" s="346">
        <f t="shared" si="325"/>
        <v>0</v>
      </c>
      <c r="DV553" s="346">
        <f t="shared" si="325"/>
        <v>0</v>
      </c>
      <c r="DW553" s="346">
        <f t="shared" si="325"/>
        <v>0</v>
      </c>
      <c r="DX553" s="346">
        <f t="shared" si="325"/>
        <v>0</v>
      </c>
      <c r="DY553" s="346">
        <f t="shared" si="325"/>
        <v>0</v>
      </c>
      <c r="DZ553" s="348">
        <f t="shared" si="325"/>
        <v>0</v>
      </c>
      <c r="EA553" s="346">
        <f t="shared" si="325"/>
        <v>0</v>
      </c>
      <c r="EB553" s="346">
        <f t="shared" si="325"/>
        <v>0</v>
      </c>
      <c r="EC553" s="346">
        <f t="shared" si="325"/>
        <v>0</v>
      </c>
      <c r="ED553" s="346">
        <f t="shared" si="325"/>
        <v>0</v>
      </c>
      <c r="EE553" s="346">
        <f t="shared" si="325"/>
        <v>0</v>
      </c>
      <c r="EF553" s="346">
        <f t="shared" si="325"/>
        <v>0</v>
      </c>
      <c r="EG553" s="346">
        <f t="shared" si="325"/>
        <v>0</v>
      </c>
      <c r="EH553" s="346">
        <f t="shared" si="325"/>
        <v>0</v>
      </c>
      <c r="EI553" s="346">
        <f t="shared" si="325"/>
        <v>0</v>
      </c>
      <c r="EJ553" s="346">
        <f t="shared" si="325"/>
        <v>0</v>
      </c>
      <c r="EK553" s="346">
        <f t="shared" si="325"/>
        <v>0</v>
      </c>
      <c r="EL553" s="348">
        <f t="shared" si="325"/>
        <v>0</v>
      </c>
      <c r="EM553" s="346">
        <f t="shared" si="325"/>
        <v>0</v>
      </c>
      <c r="EN553" s="346">
        <f t="shared" si="325"/>
        <v>0</v>
      </c>
      <c r="EO553" s="346">
        <f t="shared" si="325"/>
        <v>0</v>
      </c>
      <c r="EP553" s="346">
        <f t="shared" si="325"/>
        <v>0</v>
      </c>
      <c r="EQ553" s="346">
        <f t="shared" si="325"/>
        <v>0</v>
      </c>
      <c r="ER553" s="346">
        <f t="shared" si="325"/>
        <v>0</v>
      </c>
      <c r="ES553" s="346">
        <f t="shared" si="325"/>
        <v>0</v>
      </c>
      <c r="ET553" s="346">
        <f t="shared" si="325"/>
        <v>0</v>
      </c>
      <c r="EU553" s="346">
        <f t="shared" si="325"/>
        <v>0</v>
      </c>
      <c r="EV553" s="346">
        <f t="shared" si="325"/>
        <v>0</v>
      </c>
      <c r="EW553" s="346">
        <f t="shared" si="325"/>
        <v>0</v>
      </c>
      <c r="EX553" s="348">
        <f t="shared" si="325"/>
        <v>0</v>
      </c>
      <c r="EY553" s="346"/>
      <c r="EZ553" s="346"/>
      <c r="FA553" s="346"/>
      <c r="FB553" s="346"/>
      <c r="FC553" s="346"/>
      <c r="FD553" s="346"/>
      <c r="FE553" s="346"/>
      <c r="FF553" s="346"/>
      <c r="FG553" s="346"/>
      <c r="FH553" s="346"/>
      <c r="FI553" s="346"/>
      <c r="FJ553" s="348"/>
      <c r="FK553" s="346"/>
      <c r="FL553" s="346"/>
      <c r="FM553" s="346"/>
      <c r="FN553" s="346"/>
      <c r="FO553" s="346"/>
      <c r="FP553" s="346"/>
      <c r="FQ553" s="346"/>
      <c r="FR553" s="346"/>
      <c r="FS553" s="346"/>
      <c r="FT553" s="346"/>
      <c r="FU553" s="346"/>
      <c r="FV553" s="346"/>
      <c r="FW553" s="346"/>
      <c r="FX553" s="346"/>
      <c r="FY553" s="346"/>
      <c r="FZ553" s="346"/>
      <c r="GA553" s="346"/>
      <c r="GB553" s="346"/>
      <c r="GC553" s="346"/>
      <c r="GD553" s="346"/>
      <c r="GE553" s="346"/>
      <c r="GF553" s="346"/>
      <c r="GG553" s="346"/>
      <c r="GH553" s="346"/>
      <c r="GI553" s="346"/>
      <c r="GJ553" s="346"/>
      <c r="GK553" s="346"/>
      <c r="GL553" s="346"/>
      <c r="GM553" s="346"/>
      <c r="GN553" s="346"/>
      <c r="GO553" s="346"/>
      <c r="GP553" s="346"/>
      <c r="GQ553" s="346"/>
      <c r="GR553" s="346"/>
      <c r="GS553" s="346"/>
      <c r="GT553" s="346"/>
      <c r="GU553" s="346"/>
      <c r="GV553" s="346"/>
      <c r="GW553" s="346"/>
      <c r="GX553" s="346"/>
      <c r="GY553" s="346"/>
      <c r="GZ553" s="346"/>
      <c r="HA553" s="346"/>
      <c r="HB553" s="346"/>
      <c r="HC553" s="346"/>
      <c r="HD553" s="346"/>
      <c r="HE553" s="346"/>
      <c r="HF553" s="346"/>
      <c r="HG553" s="346"/>
      <c r="HH553" s="346"/>
      <c r="HI553" s="346"/>
      <c r="HJ553" s="346"/>
      <c r="HK553" s="346"/>
      <c r="HL553" s="346"/>
      <c r="HM553" s="346"/>
      <c r="HN553" s="349"/>
      <c r="HO553" s="351" t="s">
        <v>168</v>
      </c>
      <c r="HP553" s="351"/>
      <c r="HQ553" s="351"/>
      <c r="HR553" s="346">
        <f>+FISC!Z773</f>
        <v>0</v>
      </c>
      <c r="HS553" s="302">
        <f>SUM(CQ553:CV553)</f>
        <v>0</v>
      </c>
      <c r="HT553" s="302">
        <f>SUM(CW553:DB553)</f>
        <v>0</v>
      </c>
      <c r="HU553" s="346">
        <f>SUM(CQ553:DB553)</f>
        <v>0</v>
      </c>
      <c r="HV553" s="302">
        <f>+SUM(DC553:DH553)</f>
        <v>0</v>
      </c>
      <c r="HW553" s="302">
        <f>+SUM(DI553:DN553)</f>
        <v>0</v>
      </c>
      <c r="HX553" s="346">
        <f>HV553+HW553</f>
        <v>0</v>
      </c>
      <c r="HY553" s="302">
        <f>+SUM(DO553:DT553)</f>
        <v>0</v>
      </c>
      <c r="HZ553" s="302">
        <f>SUM(DU553:DZ553)</f>
        <v>0</v>
      </c>
      <c r="IA553" s="346">
        <f t="shared" si="297"/>
        <v>0</v>
      </c>
      <c r="IB553" s="302">
        <v>0</v>
      </c>
      <c r="IC553" s="302">
        <f t="shared" si="324"/>
        <v>0</v>
      </c>
      <c r="ID553" s="346">
        <f>FISC!AC773</f>
        <v>0</v>
      </c>
      <c r="IE553" s="302">
        <f t="shared" si="252"/>
        <v>0</v>
      </c>
      <c r="IF553" s="302">
        <f t="shared" si="253"/>
        <v>0</v>
      </c>
      <c r="IG553" s="346">
        <f t="shared" si="201"/>
        <v>0</v>
      </c>
      <c r="IH553" s="350">
        <f>(IJ553/2)</f>
        <v>0</v>
      </c>
      <c r="II553" s="302">
        <f>+IJ553-IH553</f>
        <v>0</v>
      </c>
      <c r="IJ553" s="346">
        <f>+FISC!AE773</f>
        <v>0</v>
      </c>
      <c r="IK553" s="350">
        <f>(IM553/2)</f>
        <v>0</v>
      </c>
      <c r="IL553" s="302">
        <f t="shared" si="280"/>
        <v>0</v>
      </c>
      <c r="IM553" s="346">
        <f>+FISC!AF773</f>
        <v>0</v>
      </c>
      <c r="IN553" s="350">
        <f>(IP553/2)</f>
        <v>0</v>
      </c>
      <c r="IO553" s="302">
        <f t="shared" si="154"/>
        <v>0</v>
      </c>
      <c r="IP553" s="346">
        <f>+FISC!AG773</f>
        <v>0</v>
      </c>
      <c r="IQ553" s="350">
        <f>(IS553/2)</f>
        <v>0</v>
      </c>
      <c r="IR553" s="302">
        <f t="shared" si="281"/>
        <v>0</v>
      </c>
      <c r="IS553" s="346">
        <f>+FISC!AH773</f>
        <v>0</v>
      </c>
      <c r="IT553" s="350">
        <f>(IV553/2)</f>
        <v>0</v>
      </c>
      <c r="IU553" s="302">
        <f t="shared" si="282"/>
        <v>0</v>
      </c>
      <c r="IV553" s="346">
        <f>+FISC!AI773</f>
        <v>0</v>
      </c>
      <c r="IW553" s="350">
        <f>(IY553/2)</f>
        <v>0</v>
      </c>
      <c r="IX553" s="302">
        <f t="shared" si="283"/>
        <v>0</v>
      </c>
      <c r="IY553" s="346">
        <f>+FISC!AJ773</f>
        <v>0</v>
      </c>
      <c r="IZ553" s="350">
        <f>(JB553/2)</f>
        <v>0</v>
      </c>
      <c r="JA553" s="302">
        <f t="shared" si="284"/>
        <v>0</v>
      </c>
      <c r="JB553" s="346">
        <f>+FISC!AK773</f>
        <v>0</v>
      </c>
      <c r="JC553" s="346"/>
      <c r="KI553" s="349"/>
      <c r="KJ553" s="350"/>
    </row>
    <row r="554" spans="1:302">
      <c r="A554" s="302"/>
      <c r="B554" s="117" t="s">
        <v>361</v>
      </c>
      <c r="D554" s="351" t="str">
        <f>+FISC!D774</f>
        <v>Rwandair (working capital)</v>
      </c>
      <c r="E554" s="346"/>
      <c r="F554" s="346"/>
      <c r="G554" s="346"/>
      <c r="H554" s="346"/>
      <c r="I554" s="346"/>
      <c r="J554" s="346"/>
      <c r="K554" s="346"/>
      <c r="L554" s="346"/>
      <c r="M554" s="346"/>
      <c r="N554" s="346"/>
      <c r="O554" s="346"/>
      <c r="P554" s="346"/>
      <c r="Q554" s="346"/>
      <c r="R554" s="346"/>
      <c r="S554" s="346"/>
      <c r="T554" s="346"/>
      <c r="U554" s="346"/>
      <c r="V554" s="346"/>
      <c r="W554" s="346"/>
      <c r="X554" s="346"/>
      <c r="Y554" s="346"/>
      <c r="Z554" s="346"/>
      <c r="AA554" s="346"/>
      <c r="AB554" s="346"/>
      <c r="AC554" s="346"/>
      <c r="AD554" s="346"/>
      <c r="AE554" s="346"/>
      <c r="AF554" s="346"/>
      <c r="AG554" s="346"/>
      <c r="AH554" s="346"/>
      <c r="AI554" s="346"/>
      <c r="AJ554" s="346"/>
      <c r="AK554" s="346"/>
      <c r="AL554" s="346"/>
      <c r="AM554" s="346"/>
      <c r="AN554" s="346"/>
      <c r="AO554" s="346"/>
      <c r="AP554" s="346"/>
      <c r="AQ554" s="346"/>
      <c r="AR554" s="346"/>
      <c r="AS554" s="346"/>
      <c r="AT554" s="346"/>
      <c r="AU554" s="346"/>
      <c r="AV554" s="346"/>
      <c r="AW554" s="346"/>
      <c r="AX554" s="346"/>
      <c r="AY554" s="346"/>
      <c r="AZ554" s="346"/>
      <c r="BA554" s="346"/>
      <c r="BB554" s="346"/>
      <c r="BC554" s="346"/>
      <c r="BD554" s="346"/>
      <c r="BE554" s="346"/>
      <c r="BF554" s="346"/>
      <c r="BG554" s="346"/>
      <c r="BH554" s="346"/>
      <c r="BI554" s="346"/>
      <c r="BJ554" s="346"/>
      <c r="BK554" s="346"/>
      <c r="BL554" s="346"/>
      <c r="BM554" s="346"/>
      <c r="BN554" s="346"/>
      <c r="BO554" s="346"/>
      <c r="BP554" s="346"/>
      <c r="BQ554" s="346"/>
      <c r="BR554" s="346"/>
      <c r="BS554" s="346"/>
      <c r="BT554" s="346"/>
      <c r="BU554" s="346"/>
      <c r="BV554" s="346"/>
      <c r="BW554" s="346"/>
      <c r="BX554" s="346"/>
      <c r="BY554" s="346"/>
      <c r="BZ554" s="346"/>
      <c r="CA554" s="346"/>
      <c r="CB554" s="346"/>
      <c r="CC554" s="346"/>
      <c r="CD554" s="346"/>
      <c r="CE554" s="347">
        <f t="shared" ref="CE554:DJ554" si="326">CE288</f>
        <v>2.390504993</v>
      </c>
      <c r="CF554" s="346">
        <f t="shared" si="326"/>
        <v>7.4228355150000001</v>
      </c>
      <c r="CG554" s="346">
        <f t="shared" si="326"/>
        <v>3.3296801729999999</v>
      </c>
      <c r="CH554" s="346">
        <f t="shared" si="326"/>
        <v>3.6924955100000001</v>
      </c>
      <c r="CI554" s="346">
        <f t="shared" si="326"/>
        <v>4</v>
      </c>
      <c r="CJ554" s="346">
        <f t="shared" si="326"/>
        <v>2.8368251789999999</v>
      </c>
      <c r="CK554" s="346">
        <f t="shared" si="326"/>
        <v>2.7035992700000002</v>
      </c>
      <c r="CL554" s="346">
        <f t="shared" si="326"/>
        <v>2.8833706860000001</v>
      </c>
      <c r="CM554" s="346">
        <f t="shared" si="326"/>
        <v>1.6852193000000001E-2</v>
      </c>
      <c r="CN554" s="346">
        <f t="shared" si="326"/>
        <v>0.34203537899999997</v>
      </c>
      <c r="CO554" s="346">
        <f t="shared" si="326"/>
        <v>8.5795100999999999E-2</v>
      </c>
      <c r="CP554" s="348">
        <f t="shared" si="326"/>
        <v>1.722784256</v>
      </c>
      <c r="CQ554" s="346">
        <f t="shared" si="326"/>
        <v>3.3838203980000001</v>
      </c>
      <c r="CR554" s="346">
        <f t="shared" si="326"/>
        <v>5.7186317999999998</v>
      </c>
      <c r="CS554" s="346">
        <f t="shared" si="326"/>
        <v>6.1350750520000004</v>
      </c>
      <c r="CT554" s="346">
        <f t="shared" si="326"/>
        <v>2.87493949</v>
      </c>
      <c r="CU554" s="346">
        <f t="shared" si="326"/>
        <v>4.2249999999999996</v>
      </c>
      <c r="CV554" s="346">
        <f t="shared" si="326"/>
        <v>3.3</v>
      </c>
      <c r="CW554" s="346">
        <f t="shared" si="326"/>
        <v>3.7043971180000002</v>
      </c>
      <c r="CX554" s="346">
        <f t="shared" si="326"/>
        <v>3.3</v>
      </c>
      <c r="CY554" s="346">
        <f t="shared" si="326"/>
        <v>6.7</v>
      </c>
      <c r="CZ554" s="346">
        <f t="shared" si="326"/>
        <v>0</v>
      </c>
      <c r="DA554" s="346">
        <f t="shared" si="326"/>
        <v>3.4</v>
      </c>
      <c r="DB554" s="1479">
        <f t="shared" si="326"/>
        <v>3.3</v>
      </c>
      <c r="DC554" s="346">
        <f t="shared" si="326"/>
        <v>3.3</v>
      </c>
      <c r="DD554" s="346">
        <f t="shared" si="326"/>
        <v>3.3</v>
      </c>
      <c r="DE554" s="346">
        <f t="shared" si="326"/>
        <v>3.3</v>
      </c>
      <c r="DF554" s="346">
        <f t="shared" si="326"/>
        <v>3.3</v>
      </c>
      <c r="DG554" s="346">
        <f t="shared" si="326"/>
        <v>4</v>
      </c>
      <c r="DH554" s="346">
        <f t="shared" si="326"/>
        <v>4</v>
      </c>
      <c r="DI554" s="346">
        <f t="shared" si="326"/>
        <v>3.3</v>
      </c>
      <c r="DJ554" s="346">
        <f t="shared" si="326"/>
        <v>4</v>
      </c>
      <c r="DK554" s="346">
        <f t="shared" ref="DK554:EP554" si="327">DK288</f>
        <v>2.875</v>
      </c>
      <c r="DL554" s="346">
        <f t="shared" si="327"/>
        <v>2.875</v>
      </c>
      <c r="DM554" s="346">
        <f t="shared" si="327"/>
        <v>2.875</v>
      </c>
      <c r="DN554" s="348">
        <f t="shared" si="327"/>
        <v>2.966221956</v>
      </c>
      <c r="DO554" s="346">
        <f t="shared" si="327"/>
        <v>4.8980108539999998</v>
      </c>
      <c r="DP554" s="346">
        <f t="shared" si="327"/>
        <v>6.5999999989999996</v>
      </c>
      <c r="DQ554" s="346">
        <f t="shared" si="327"/>
        <v>6.81953502</v>
      </c>
      <c r="DR554" s="346">
        <f t="shared" si="327"/>
        <v>6.81953502</v>
      </c>
      <c r="DS554" s="346">
        <f t="shared" si="327"/>
        <v>7.6440726510000001</v>
      </c>
      <c r="DT554" s="346">
        <f t="shared" si="327"/>
        <v>5.9949982159999999</v>
      </c>
      <c r="DU554" s="346">
        <f t="shared" si="327"/>
        <v>6.81953502</v>
      </c>
      <c r="DV554" s="346">
        <f t="shared" si="327"/>
        <v>6.81953502</v>
      </c>
      <c r="DW554" s="346">
        <f t="shared" si="327"/>
        <v>6.81953502</v>
      </c>
      <c r="DX554" s="346">
        <f t="shared" si="327"/>
        <v>6.8195348039999999</v>
      </c>
      <c r="DY554" s="346">
        <f t="shared" si="327"/>
        <v>7.9879124170000004</v>
      </c>
      <c r="DZ554" s="348">
        <f t="shared" si="327"/>
        <v>6.8195350120000002</v>
      </c>
      <c r="EA554" s="346">
        <f t="shared" si="327"/>
        <v>9.8000000000000007</v>
      </c>
      <c r="EB554" s="346">
        <f t="shared" si="327"/>
        <v>3.81953502</v>
      </c>
      <c r="EC554" s="346">
        <f t="shared" si="327"/>
        <v>21.81953502</v>
      </c>
      <c r="ED554" s="346">
        <f t="shared" si="327"/>
        <v>6.8195350039999996</v>
      </c>
      <c r="EE554" s="346">
        <f t="shared" si="327"/>
        <v>6.81953502</v>
      </c>
      <c r="EF554" s="346">
        <f t="shared" si="327"/>
        <v>6.8195350279999998</v>
      </c>
      <c r="EG554" s="346">
        <f t="shared" si="327"/>
        <v>6.81953502</v>
      </c>
      <c r="EH554" s="346">
        <f t="shared" si="327"/>
        <v>6.81953502</v>
      </c>
      <c r="EI554" s="346">
        <f t="shared" si="327"/>
        <v>12.721860212999999</v>
      </c>
      <c r="EJ554" s="346">
        <f t="shared" si="327"/>
        <v>4.3411505400000001</v>
      </c>
      <c r="EK554" s="346">
        <f t="shared" si="327"/>
        <v>8.6823010800000002</v>
      </c>
      <c r="EL554" s="348">
        <f t="shared" si="327"/>
        <v>0</v>
      </c>
      <c r="EM554" s="346">
        <f t="shared" si="327"/>
        <v>14.730464983999999</v>
      </c>
      <c r="EN554" s="346">
        <f t="shared" si="327"/>
        <v>3.2421803100000002</v>
      </c>
      <c r="EO554" s="346">
        <f t="shared" si="327"/>
        <v>17.972645320000002</v>
      </c>
      <c r="EP554" s="346">
        <f t="shared" si="327"/>
        <v>8.9863226459999996</v>
      </c>
      <c r="EQ554" s="346">
        <f t="shared" ref="EQ554:EX554" si="328">EQ288</f>
        <v>18.986322625</v>
      </c>
      <c r="ER554" s="346">
        <f t="shared" si="328"/>
        <v>0</v>
      </c>
      <c r="ES554" s="346">
        <f t="shared" si="328"/>
        <v>17.972645289999999</v>
      </c>
      <c r="ET554" s="346">
        <f t="shared" si="328"/>
        <v>8.9863226449999996</v>
      </c>
      <c r="EU554" s="346">
        <f t="shared" si="328"/>
        <v>8.9863226600000008</v>
      </c>
      <c r="EV554" s="346">
        <f t="shared" si="328"/>
        <v>8.9863226449999996</v>
      </c>
      <c r="EW554" s="346">
        <f t="shared" si="328"/>
        <v>8.9863226479999998</v>
      </c>
      <c r="EX554" s="348">
        <f t="shared" si="328"/>
        <v>0</v>
      </c>
      <c r="EY554" s="346"/>
      <c r="EZ554" s="346"/>
      <c r="FA554" s="346"/>
      <c r="FB554" s="346"/>
      <c r="FC554" s="346"/>
      <c r="FD554" s="346"/>
      <c r="FE554" s="346"/>
      <c r="FF554" s="346"/>
      <c r="FG554" s="346"/>
      <c r="FH554" s="346"/>
      <c r="FI554" s="346"/>
      <c r="FJ554" s="348"/>
      <c r="FK554" s="346"/>
      <c r="FL554" s="346"/>
      <c r="FM554" s="346"/>
      <c r="FN554" s="346"/>
      <c r="FO554" s="346"/>
      <c r="FP554" s="346"/>
      <c r="FQ554" s="346"/>
      <c r="FR554" s="346"/>
      <c r="FS554" s="346"/>
      <c r="FT554" s="346"/>
      <c r="FU554" s="346"/>
      <c r="FV554" s="346"/>
      <c r="FW554" s="346"/>
      <c r="FX554" s="346"/>
      <c r="FY554" s="346"/>
      <c r="FZ554" s="346"/>
      <c r="GA554" s="346"/>
      <c r="GB554" s="346"/>
      <c r="GC554" s="346"/>
      <c r="GD554" s="346"/>
      <c r="GE554" s="346"/>
      <c r="GF554" s="346"/>
      <c r="GG554" s="346"/>
      <c r="GH554" s="346"/>
      <c r="GI554" s="346"/>
      <c r="GJ554" s="346"/>
      <c r="GK554" s="346"/>
      <c r="GL554" s="346"/>
      <c r="GM554" s="346"/>
      <c r="GN554" s="346"/>
      <c r="GO554" s="346"/>
      <c r="GP554" s="346"/>
      <c r="GQ554" s="346"/>
      <c r="GR554" s="346"/>
      <c r="GS554" s="346"/>
      <c r="GT554" s="346"/>
      <c r="GU554" s="346"/>
      <c r="GV554" s="346"/>
      <c r="GW554" s="346"/>
      <c r="GX554" s="346"/>
      <c r="GY554" s="346"/>
      <c r="GZ554" s="346"/>
      <c r="HA554" s="346"/>
      <c r="HB554" s="346"/>
      <c r="HC554" s="346"/>
      <c r="HD554" s="346"/>
      <c r="HE554" s="346"/>
      <c r="HF554" s="346"/>
      <c r="HG554" s="346"/>
      <c r="HH554" s="346"/>
      <c r="HI554" s="346"/>
      <c r="HJ554" s="346"/>
      <c r="HK554" s="346"/>
      <c r="HL554" s="346"/>
      <c r="HM554" s="346"/>
      <c r="HN554" s="349"/>
      <c r="HO554" s="351" t="s">
        <v>169</v>
      </c>
      <c r="HP554" s="351"/>
      <c r="HQ554" s="351"/>
      <c r="HR554" s="346">
        <f>+FISC!Z774</f>
        <v>36</v>
      </c>
      <c r="HS554" s="302">
        <f>SUM(CQ554:CV554)</f>
        <v>25.637466739999997</v>
      </c>
      <c r="HT554" s="302">
        <f>SUM(CW554:DB554)</f>
        <v>20.404397117999999</v>
      </c>
      <c r="HU554" s="346">
        <f>SUM(CQ554:DB554)</f>
        <v>46.041863857999992</v>
      </c>
      <c r="HV554" s="302">
        <f>+SUM(DC554:DH554)</f>
        <v>21.2</v>
      </c>
      <c r="HW554" s="302">
        <f>+SUM(DI554:DN554)</f>
        <v>18.891221956000003</v>
      </c>
      <c r="HX554" s="346">
        <f>HV554+HW554</f>
        <v>40.091221955999998</v>
      </c>
      <c r="HY554" s="302">
        <f>+SUM(DO554:DT554)</f>
        <v>38.776151759999998</v>
      </c>
      <c r="HZ554" s="302">
        <f>SUM(DU554:DZ554)</f>
        <v>42.085587293000003</v>
      </c>
      <c r="IA554" s="346">
        <f t="shared" si="297"/>
        <v>80.861739053000008</v>
      </c>
      <c r="IB554" s="302">
        <f>55.897675092</f>
        <v>55.897675092</v>
      </c>
      <c r="IC554" s="302">
        <f t="shared" si="324"/>
        <v>39.384381872999995</v>
      </c>
      <c r="ID554" s="346">
        <f>FISC!AC774</f>
        <v>95.282056964999995</v>
      </c>
      <c r="IE554" s="302">
        <f t="shared" si="252"/>
        <v>63.917935884999999</v>
      </c>
      <c r="IF554" s="302">
        <f t="shared" si="253"/>
        <v>53.917935887999995</v>
      </c>
      <c r="IG554" s="346">
        <f t="shared" si="201"/>
        <v>117.83587177299999</v>
      </c>
      <c r="IH554" s="350">
        <f>+(IJ554/2)*0+59.7038436624336</f>
        <v>59.703843662433599</v>
      </c>
      <c r="II554" s="302">
        <f>+IJ554-IH554</f>
        <v>80.140735240492404</v>
      </c>
      <c r="IJ554" s="346">
        <f>+FISC!AE774</f>
        <v>139.844578902926</v>
      </c>
      <c r="IK554" s="350">
        <f>+(IM554/2)*0+70.5673681944844</f>
        <v>70.567368194484402</v>
      </c>
      <c r="IL554" s="302">
        <f t="shared" si="280"/>
        <v>74.518160978029954</v>
      </c>
      <c r="IM554" s="346">
        <f>+FISC!AF774</f>
        <v>145.08552917251436</v>
      </c>
      <c r="IN554" s="350">
        <f>+(IP554/2)</f>
        <v>69.922289451463001</v>
      </c>
      <c r="IO554" s="302">
        <f t="shared" si="154"/>
        <v>69.922289451463001</v>
      </c>
      <c r="IP554" s="346">
        <f>+FISC!AG774</f>
        <v>139.844578902926</v>
      </c>
      <c r="IQ554" s="350">
        <f>+(IS554/2)</f>
        <v>91.745999999999995</v>
      </c>
      <c r="IR554" s="302">
        <f t="shared" si="281"/>
        <v>91.745999999999995</v>
      </c>
      <c r="IS554" s="346">
        <f>+FISC!AH774</f>
        <v>183.49199999999999</v>
      </c>
      <c r="IT554" s="350">
        <f>+(IV554/2)</f>
        <v>106.482</v>
      </c>
      <c r="IU554" s="302">
        <f t="shared" si="282"/>
        <v>106.482</v>
      </c>
      <c r="IV554" s="346">
        <f>+FISC!AI774</f>
        <v>212.964</v>
      </c>
      <c r="IW554" s="350">
        <f>+(IY554/2)</f>
        <v>0</v>
      </c>
      <c r="IX554" s="302">
        <f t="shared" si="283"/>
        <v>0</v>
      </c>
      <c r="IY554" s="346">
        <f>+FISC!AJ774</f>
        <v>0</v>
      </c>
      <c r="IZ554" s="350">
        <f>+(JB554/2)</f>
        <v>0</v>
      </c>
      <c r="JA554" s="302">
        <f t="shared" si="284"/>
        <v>0</v>
      </c>
      <c r="JB554" s="346">
        <f>+FISC!AK774</f>
        <v>0</v>
      </c>
      <c r="JC554" s="346"/>
      <c r="KI554" s="349"/>
      <c r="KJ554" s="350"/>
    </row>
    <row r="555" spans="1:302">
      <c r="A555" s="302"/>
      <c r="B555" s="117" t="s">
        <v>361</v>
      </c>
      <c r="D555" s="351" t="str">
        <f>+FISC!D775</f>
        <v>Rwandair loan repayment</v>
      </c>
      <c r="E555" s="346"/>
      <c r="F555" s="346"/>
      <c r="G555" s="346"/>
      <c r="H555" s="346"/>
      <c r="I555" s="346"/>
      <c r="J555" s="346"/>
      <c r="K555" s="346"/>
      <c r="L555" s="346"/>
      <c r="M555" s="346"/>
      <c r="N555" s="346"/>
      <c r="O555" s="346"/>
      <c r="P555" s="346"/>
      <c r="Q555" s="346"/>
      <c r="R555" s="346"/>
      <c r="S555" s="346"/>
      <c r="T555" s="346"/>
      <c r="U555" s="346"/>
      <c r="V555" s="346"/>
      <c r="W555" s="346"/>
      <c r="X555" s="346"/>
      <c r="Y555" s="346"/>
      <c r="Z555" s="346"/>
      <c r="AA555" s="346"/>
      <c r="AB555" s="346"/>
      <c r="AC555" s="346"/>
      <c r="AD555" s="346"/>
      <c r="AE555" s="346"/>
      <c r="AF555" s="346"/>
      <c r="AG555" s="346"/>
      <c r="AH555" s="346"/>
      <c r="AI555" s="346"/>
      <c r="AJ555" s="346"/>
      <c r="AK555" s="346"/>
      <c r="AL555" s="346"/>
      <c r="AM555" s="346"/>
      <c r="AN555" s="346"/>
      <c r="AO555" s="346"/>
      <c r="AP555" s="346"/>
      <c r="AQ555" s="346"/>
      <c r="AR555" s="346"/>
      <c r="AS555" s="346"/>
      <c r="AT555" s="346"/>
      <c r="AU555" s="346"/>
      <c r="AV555" s="346"/>
      <c r="AW555" s="346"/>
      <c r="AX555" s="346"/>
      <c r="AY555" s="346"/>
      <c r="AZ555" s="346"/>
      <c r="BA555" s="346"/>
      <c r="BB555" s="346"/>
      <c r="BC555" s="346"/>
      <c r="BD555" s="346"/>
      <c r="BE555" s="346"/>
      <c r="BF555" s="346"/>
      <c r="BG555" s="346"/>
      <c r="BH555" s="346"/>
      <c r="BI555" s="346"/>
      <c r="BJ555" s="346"/>
      <c r="BK555" s="346"/>
      <c r="BL555" s="346"/>
      <c r="BM555" s="346"/>
      <c r="BN555" s="346"/>
      <c r="BO555" s="346"/>
      <c r="BP555" s="346"/>
      <c r="BQ555" s="346"/>
      <c r="BR555" s="346"/>
      <c r="BS555" s="346"/>
      <c r="BT555" s="346"/>
      <c r="BU555" s="346"/>
      <c r="BV555" s="346"/>
      <c r="BW555" s="346"/>
      <c r="BX555" s="346"/>
      <c r="BY555" s="346"/>
      <c r="BZ555" s="346"/>
      <c r="CA555" s="346"/>
      <c r="CB555" s="346"/>
      <c r="CC555" s="346"/>
      <c r="CD555" s="346"/>
      <c r="CE555" s="347">
        <v>-32.5</v>
      </c>
      <c r="CF555" s="346">
        <v>0</v>
      </c>
      <c r="CG555" s="346">
        <v>0</v>
      </c>
      <c r="CH555" s="346">
        <v>0</v>
      </c>
      <c r="CI555" s="346">
        <v>0</v>
      </c>
      <c r="CJ555" s="346">
        <v>0</v>
      </c>
      <c r="CK555" s="346">
        <v>0</v>
      </c>
      <c r="CL555" s="346">
        <v>0</v>
      </c>
      <c r="CM555" s="346">
        <v>0</v>
      </c>
      <c r="CN555" s="346">
        <v>0</v>
      </c>
      <c r="CO555" s="346">
        <v>0</v>
      </c>
      <c r="CP555" s="348">
        <v>0</v>
      </c>
      <c r="CQ555" s="346">
        <v>0</v>
      </c>
      <c r="CR555" s="346">
        <v>0</v>
      </c>
      <c r="CS555" s="346">
        <v>0</v>
      </c>
      <c r="CT555" s="346">
        <v>0</v>
      </c>
      <c r="CU555" s="346">
        <v>0</v>
      </c>
      <c r="CV555" s="346">
        <v>0</v>
      </c>
      <c r="CW555" s="346">
        <v>0</v>
      </c>
      <c r="CX555" s="346">
        <v>0</v>
      </c>
      <c r="CY555" s="346">
        <v>0</v>
      </c>
      <c r="CZ555" s="346">
        <v>0</v>
      </c>
      <c r="DA555" s="346">
        <v>0</v>
      </c>
      <c r="DB555" s="1479">
        <v>0</v>
      </c>
      <c r="DC555" s="346"/>
      <c r="DD555" s="346"/>
      <c r="DE555" s="346"/>
      <c r="DF555" s="346"/>
      <c r="DG555" s="346"/>
      <c r="DH555" s="346"/>
      <c r="DI555" s="346"/>
      <c r="DJ555" s="346"/>
      <c r="DK555" s="346"/>
      <c r="DL555" s="346"/>
      <c r="DM555" s="346"/>
      <c r="DN555" s="348"/>
      <c r="DO555" s="346"/>
      <c r="DP555" s="346"/>
      <c r="DQ555" s="346"/>
      <c r="DR555" s="346"/>
      <c r="DS555" s="346"/>
      <c r="DT555" s="346"/>
      <c r="DU555" s="346"/>
      <c r="DV555" s="346"/>
      <c r="DW555" s="346"/>
      <c r="DX555" s="346"/>
      <c r="DY555" s="346"/>
      <c r="DZ555" s="348"/>
      <c r="EA555" s="346"/>
      <c r="EB555" s="346"/>
      <c r="EC555" s="346"/>
      <c r="ED555" s="346"/>
      <c r="EE555" s="346"/>
      <c r="EF555" s="346"/>
      <c r="EG555" s="346"/>
      <c r="EH555" s="346"/>
      <c r="EI555" s="346"/>
      <c r="EJ555" s="346"/>
      <c r="EK555" s="346"/>
      <c r="EL555" s="348"/>
      <c r="EM555" s="346"/>
      <c r="EN555" s="346"/>
      <c r="EO555" s="346"/>
      <c r="EP555" s="346"/>
      <c r="EQ555" s="346"/>
      <c r="ER555" s="346"/>
      <c r="ES555" s="346"/>
      <c r="ET555" s="346"/>
      <c r="EU555" s="346"/>
      <c r="EV555" s="346"/>
      <c r="EW555" s="346"/>
      <c r="EX555" s="348"/>
      <c r="EY555" s="346"/>
      <c r="EZ555" s="346"/>
      <c r="FA555" s="346"/>
      <c r="FB555" s="346"/>
      <c r="FC555" s="346"/>
      <c r="FD555" s="346"/>
      <c r="FE555" s="346"/>
      <c r="FF555" s="346"/>
      <c r="FG555" s="346"/>
      <c r="FH555" s="346"/>
      <c r="FI555" s="346"/>
      <c r="FJ555" s="348"/>
      <c r="FK555" s="346"/>
      <c r="FL555" s="346"/>
      <c r="FM555" s="346"/>
      <c r="FN555" s="346"/>
      <c r="FO555" s="346"/>
      <c r="FP555" s="346"/>
      <c r="FQ555" s="346"/>
      <c r="FR555" s="346"/>
      <c r="FS555" s="346"/>
      <c r="FT555" s="346"/>
      <c r="FU555" s="346"/>
      <c r="FV555" s="346"/>
      <c r="FW555" s="346"/>
      <c r="FX555" s="346"/>
      <c r="FY555" s="346"/>
      <c r="FZ555" s="346"/>
      <c r="GA555" s="346"/>
      <c r="GB555" s="346"/>
      <c r="GC555" s="346"/>
      <c r="GD555" s="346"/>
      <c r="GE555" s="346"/>
      <c r="GF555" s="346"/>
      <c r="GG555" s="346"/>
      <c r="GH555" s="346"/>
      <c r="GI555" s="346"/>
      <c r="GJ555" s="346"/>
      <c r="GK555" s="346"/>
      <c r="GL555" s="346"/>
      <c r="GM555" s="346"/>
      <c r="GN555" s="346"/>
      <c r="GO555" s="346"/>
      <c r="GP555" s="346"/>
      <c r="GQ555" s="346"/>
      <c r="GR555" s="346"/>
      <c r="GS555" s="346"/>
      <c r="GT555" s="346"/>
      <c r="GU555" s="346"/>
      <c r="GV555" s="346"/>
      <c r="GW555" s="346"/>
      <c r="GX555" s="346"/>
      <c r="GY555" s="346"/>
      <c r="GZ555" s="346"/>
      <c r="HA555" s="346"/>
      <c r="HB555" s="346"/>
      <c r="HC555" s="346"/>
      <c r="HD555" s="346"/>
      <c r="HE555" s="346"/>
      <c r="HF555" s="346"/>
      <c r="HG555" s="346"/>
      <c r="HH555" s="346"/>
      <c r="HI555" s="346"/>
      <c r="HJ555" s="346"/>
      <c r="HK555" s="346"/>
      <c r="HL555" s="346"/>
      <c r="HM555" s="346"/>
      <c r="HN555" s="349"/>
      <c r="HO555" s="1247" t="s">
        <v>1245</v>
      </c>
      <c r="HP555" s="1247"/>
      <c r="HQ555" s="1247"/>
      <c r="HR555" s="346">
        <f>+FISC!Z775</f>
        <v>0</v>
      </c>
      <c r="HS555" s="302">
        <f>SUM(CQ555:CV555)</f>
        <v>0</v>
      </c>
      <c r="HT555" s="302">
        <f>SUM(CW555:DB555)</f>
        <v>0</v>
      </c>
      <c r="HU555" s="346">
        <f>SUM(CQ555:DB555)</f>
        <v>0</v>
      </c>
      <c r="HV555" s="302">
        <f>+SUM(DC555:DH555)</f>
        <v>0</v>
      </c>
      <c r="HW555" s="302">
        <f>+HX555-HV555</f>
        <v>0</v>
      </c>
      <c r="HX555" s="346">
        <v>0</v>
      </c>
      <c r="HY555" s="302">
        <f>+SUM(DO555:DT555)</f>
        <v>0</v>
      </c>
      <c r="HZ555" s="302">
        <f>SUM(DU555:DZ555)</f>
        <v>0</v>
      </c>
      <c r="IA555" s="346">
        <f t="shared" si="297"/>
        <v>0</v>
      </c>
      <c r="IB555" s="302">
        <f>+ID555/2</f>
        <v>0</v>
      </c>
      <c r="IC555" s="302">
        <f t="shared" si="324"/>
        <v>0</v>
      </c>
      <c r="ID555" s="346">
        <f>FISC!AC775</f>
        <v>0</v>
      </c>
      <c r="IE555" s="302">
        <f t="shared" si="252"/>
        <v>0</v>
      </c>
      <c r="IF555" s="302">
        <f t="shared" si="253"/>
        <v>0</v>
      </c>
      <c r="IG555" s="346">
        <f t="shared" si="201"/>
        <v>0</v>
      </c>
      <c r="IH555" s="1248">
        <v>7</v>
      </c>
      <c r="II555" s="681">
        <f>+IJ555-IH555</f>
        <v>-6.4</v>
      </c>
      <c r="IJ555" s="346">
        <f>FISC!AE777+FISC!AE778</f>
        <v>0.59999999999999964</v>
      </c>
      <c r="IK555" s="302">
        <f>IM555*JI555</f>
        <v>0</v>
      </c>
      <c r="IL555" s="302">
        <f t="shared" si="280"/>
        <v>0</v>
      </c>
      <c r="IM555" s="346">
        <f>+FISC!AF775</f>
        <v>0</v>
      </c>
      <c r="IN555" s="302">
        <f t="shared" si="292"/>
        <v>0</v>
      </c>
      <c r="IO555" s="302">
        <f t="shared" si="154"/>
        <v>0</v>
      </c>
      <c r="IP555" s="346">
        <f>+FISC!AG775</f>
        <v>0</v>
      </c>
      <c r="IQ555" s="302">
        <f t="shared" si="293"/>
        <v>0</v>
      </c>
      <c r="IR555" s="302">
        <f t="shared" si="281"/>
        <v>0</v>
      </c>
      <c r="IS555" s="346">
        <f>+FISC!AH775</f>
        <v>0</v>
      </c>
      <c r="IT555" s="302">
        <f t="shared" si="294"/>
        <v>0</v>
      </c>
      <c r="IU555" s="302">
        <f t="shared" si="282"/>
        <v>0</v>
      </c>
      <c r="IV555" s="346">
        <f>+FISC!AI775</f>
        <v>0</v>
      </c>
      <c r="IW555" s="302">
        <f t="shared" si="295"/>
        <v>0</v>
      </c>
      <c r="IX555" s="302">
        <f t="shared" si="283"/>
        <v>0</v>
      </c>
      <c r="IY555" s="346">
        <f>+FISC!AJ775</f>
        <v>0</v>
      </c>
      <c r="IZ555" s="302">
        <f t="shared" si="296"/>
        <v>0</v>
      </c>
      <c r="JA555" s="302">
        <f t="shared" si="284"/>
        <v>0</v>
      </c>
      <c r="JB555" s="346">
        <f>+FISC!AK775</f>
        <v>0</v>
      </c>
      <c r="JC555" s="346"/>
      <c r="KI555" s="349"/>
      <c r="KJ555" s="350"/>
    </row>
    <row r="556" spans="1:302">
      <c r="A556" s="302"/>
      <c r="D556" s="351"/>
      <c r="E556" s="346"/>
      <c r="F556" s="346"/>
      <c r="G556" s="346"/>
      <c r="H556" s="346"/>
      <c r="I556" s="346"/>
      <c r="J556" s="346"/>
      <c r="K556" s="346"/>
      <c r="L556" s="346"/>
      <c r="M556" s="346"/>
      <c r="N556" s="346"/>
      <c r="O556" s="346"/>
      <c r="P556" s="346"/>
      <c r="Q556" s="346"/>
      <c r="R556" s="346"/>
      <c r="S556" s="346"/>
      <c r="T556" s="346"/>
      <c r="U556" s="346"/>
      <c r="V556" s="346"/>
      <c r="W556" s="346"/>
      <c r="X556" s="346"/>
      <c r="Y556" s="346"/>
      <c r="Z556" s="346"/>
      <c r="AA556" s="346"/>
      <c r="AB556" s="346"/>
      <c r="AC556" s="346"/>
      <c r="AD556" s="346"/>
      <c r="AE556" s="346"/>
      <c r="AF556" s="346"/>
      <c r="AG556" s="346"/>
      <c r="AH556" s="346"/>
      <c r="AI556" s="346"/>
      <c r="AJ556" s="346"/>
      <c r="AK556" s="346"/>
      <c r="AL556" s="346"/>
      <c r="AM556" s="346"/>
      <c r="AN556" s="346"/>
      <c r="AO556" s="346"/>
      <c r="AP556" s="346"/>
      <c r="AQ556" s="346"/>
      <c r="AR556" s="346"/>
      <c r="AS556" s="346"/>
      <c r="AT556" s="346"/>
      <c r="AU556" s="346"/>
      <c r="AV556" s="346"/>
      <c r="AW556" s="346"/>
      <c r="AX556" s="346"/>
      <c r="AY556" s="346"/>
      <c r="AZ556" s="346"/>
      <c r="BA556" s="346"/>
      <c r="BB556" s="346"/>
      <c r="BC556" s="346"/>
      <c r="BD556" s="346"/>
      <c r="BE556" s="346"/>
      <c r="BF556" s="346"/>
      <c r="BG556" s="346"/>
      <c r="BH556" s="346"/>
      <c r="BI556" s="346"/>
      <c r="BJ556" s="346"/>
      <c r="BK556" s="346"/>
      <c r="BL556" s="346"/>
      <c r="BM556" s="346"/>
      <c r="BN556" s="346"/>
      <c r="BO556" s="346"/>
      <c r="BP556" s="346"/>
      <c r="BQ556" s="346"/>
      <c r="BR556" s="346"/>
      <c r="BS556" s="346"/>
      <c r="BT556" s="346"/>
      <c r="BU556" s="346"/>
      <c r="BV556" s="346"/>
      <c r="BW556" s="346"/>
      <c r="BX556" s="346"/>
      <c r="BY556" s="346"/>
      <c r="BZ556" s="346"/>
      <c r="CA556" s="346"/>
      <c r="CB556" s="346"/>
      <c r="CC556" s="346"/>
      <c r="CD556" s="346"/>
      <c r="CE556" s="347"/>
      <c r="CF556" s="346"/>
      <c r="CG556" s="346"/>
      <c r="CH556" s="346"/>
      <c r="CI556" s="346"/>
      <c r="CJ556" s="346"/>
      <c r="CK556" s="346"/>
      <c r="CL556" s="346"/>
      <c r="CM556" s="346"/>
      <c r="CN556" s="346"/>
      <c r="CO556" s="346"/>
      <c r="CP556" s="348"/>
      <c r="CQ556" s="346"/>
      <c r="CR556" s="346"/>
      <c r="CS556" s="346"/>
      <c r="CT556" s="346"/>
      <c r="CU556" s="346"/>
      <c r="CV556" s="346"/>
      <c r="CW556" s="346"/>
      <c r="CX556" s="346"/>
      <c r="CY556" s="346"/>
      <c r="CZ556" s="346"/>
      <c r="DA556" s="346"/>
      <c r="DB556" s="1479"/>
      <c r="DC556" s="346"/>
      <c r="DD556" s="346"/>
      <c r="DE556" s="346"/>
      <c r="DF556" s="346"/>
      <c r="DG556" s="346"/>
      <c r="DH556" s="346"/>
      <c r="DI556" s="346"/>
      <c r="DJ556" s="346"/>
      <c r="DK556" s="346"/>
      <c r="DL556" s="346"/>
      <c r="DM556" s="346"/>
      <c r="DN556" s="348"/>
      <c r="DO556" s="346"/>
      <c r="DP556" s="346"/>
      <c r="DQ556" s="346"/>
      <c r="DR556" s="346"/>
      <c r="DS556" s="346"/>
      <c r="DT556" s="346"/>
      <c r="DU556" s="346"/>
      <c r="DV556" s="346"/>
      <c r="DW556" s="346"/>
      <c r="DX556" s="346"/>
      <c r="DY556" s="346"/>
      <c r="DZ556" s="348"/>
      <c r="EA556" s="346"/>
      <c r="EB556" s="346"/>
      <c r="EC556" s="346"/>
      <c r="ED556" s="346"/>
      <c r="EE556" s="346"/>
      <c r="EF556" s="346"/>
      <c r="EG556" s="346"/>
      <c r="EH556" s="346"/>
      <c r="EI556" s="346"/>
      <c r="EJ556" s="346"/>
      <c r="EK556" s="346"/>
      <c r="EL556" s="348"/>
      <c r="EM556" s="346"/>
      <c r="EN556" s="346"/>
      <c r="EO556" s="346"/>
      <c r="EP556" s="346"/>
      <c r="EQ556" s="346"/>
      <c r="ER556" s="346"/>
      <c r="ES556" s="346"/>
      <c r="ET556" s="346"/>
      <c r="EU556" s="346"/>
      <c r="EV556" s="346"/>
      <c r="EW556" s="346"/>
      <c r="EX556" s="348"/>
      <c r="EY556" s="346"/>
      <c r="EZ556" s="346"/>
      <c r="FA556" s="346"/>
      <c r="FB556" s="346"/>
      <c r="FC556" s="346"/>
      <c r="FD556" s="346"/>
      <c r="FE556" s="346"/>
      <c r="FF556" s="346"/>
      <c r="FG556" s="346"/>
      <c r="FH556" s="346"/>
      <c r="FI556" s="346"/>
      <c r="FJ556" s="348"/>
      <c r="FK556" s="346"/>
      <c r="FL556" s="346"/>
      <c r="FM556" s="346"/>
      <c r="FN556" s="346"/>
      <c r="FO556" s="346"/>
      <c r="FP556" s="346"/>
      <c r="FQ556" s="346"/>
      <c r="FR556" s="346"/>
      <c r="FS556" s="346"/>
      <c r="FT556" s="346"/>
      <c r="FU556" s="346"/>
      <c r="FV556" s="346"/>
      <c r="FW556" s="346"/>
      <c r="FX556" s="346"/>
      <c r="FY556" s="346"/>
      <c r="FZ556" s="346"/>
      <c r="GA556" s="346"/>
      <c r="GB556" s="346"/>
      <c r="GC556" s="346"/>
      <c r="GD556" s="346"/>
      <c r="GE556" s="346"/>
      <c r="GF556" s="346"/>
      <c r="GG556" s="346"/>
      <c r="GH556" s="346"/>
      <c r="GI556" s="346"/>
      <c r="GJ556" s="346"/>
      <c r="GK556" s="346"/>
      <c r="GL556" s="346"/>
      <c r="GM556" s="346"/>
      <c r="GN556" s="346"/>
      <c r="GO556" s="346"/>
      <c r="GP556" s="346"/>
      <c r="GQ556" s="346"/>
      <c r="GR556" s="346"/>
      <c r="GS556" s="346"/>
      <c r="GT556" s="346"/>
      <c r="GU556" s="346"/>
      <c r="GV556" s="346"/>
      <c r="GW556" s="346"/>
      <c r="GX556" s="346"/>
      <c r="GY556" s="346"/>
      <c r="GZ556" s="346"/>
      <c r="HA556" s="346"/>
      <c r="HB556" s="346"/>
      <c r="HC556" s="346"/>
      <c r="HD556" s="346"/>
      <c r="HE556" s="346"/>
      <c r="HF556" s="346"/>
      <c r="HG556" s="346"/>
      <c r="HH556" s="346"/>
      <c r="HI556" s="346"/>
      <c r="HJ556" s="346"/>
      <c r="HK556" s="346"/>
      <c r="HL556" s="346"/>
      <c r="HM556" s="346"/>
      <c r="HN556" s="349"/>
      <c r="HO556" s="1247" t="s">
        <v>1246</v>
      </c>
      <c r="HP556" s="1247"/>
      <c r="HQ556" s="1247"/>
      <c r="HR556" s="346"/>
      <c r="HU556" s="346"/>
      <c r="HX556" s="346"/>
      <c r="IA556" s="346"/>
      <c r="ID556" s="346"/>
      <c r="IG556" s="346"/>
      <c r="IH556" s="1248"/>
      <c r="II556" s="681"/>
      <c r="IJ556" s="346"/>
      <c r="IM556" s="346"/>
      <c r="IP556" s="346"/>
      <c r="IS556" s="346"/>
      <c r="IV556" s="346"/>
      <c r="IY556" s="346"/>
      <c r="JB556" s="346"/>
      <c r="JC556" s="346"/>
      <c r="KI556" s="349"/>
      <c r="KJ556" s="350"/>
    </row>
    <row r="557" spans="1:302">
      <c r="A557" s="302"/>
      <c r="B557" s="117" t="s">
        <v>361</v>
      </c>
      <c r="D557" s="351" t="str">
        <f>+FISC!D776</f>
        <v>Rwandair loan (PTA debt service)</v>
      </c>
      <c r="E557" s="346"/>
      <c r="F557" s="346"/>
      <c r="G557" s="346"/>
      <c r="H557" s="346"/>
      <c r="I557" s="346"/>
      <c r="J557" s="346"/>
      <c r="K557" s="346"/>
      <c r="L557" s="346"/>
      <c r="M557" s="346"/>
      <c r="N557" s="346"/>
      <c r="O557" s="346"/>
      <c r="P557" s="346"/>
      <c r="Q557" s="346"/>
      <c r="R557" s="346"/>
      <c r="S557" s="346"/>
      <c r="T557" s="346"/>
      <c r="U557" s="346"/>
      <c r="V557" s="346"/>
      <c r="W557" s="346"/>
      <c r="X557" s="346"/>
      <c r="Y557" s="346"/>
      <c r="Z557" s="346"/>
      <c r="AA557" s="346"/>
      <c r="AB557" s="346"/>
      <c r="AC557" s="346"/>
      <c r="AD557" s="346"/>
      <c r="AE557" s="346"/>
      <c r="AF557" s="346"/>
      <c r="AG557" s="346"/>
      <c r="AH557" s="346"/>
      <c r="AI557" s="346"/>
      <c r="AJ557" s="346"/>
      <c r="AK557" s="346"/>
      <c r="AL557" s="346"/>
      <c r="AM557" s="346"/>
      <c r="AN557" s="346"/>
      <c r="AO557" s="346"/>
      <c r="AP557" s="346"/>
      <c r="AQ557" s="346"/>
      <c r="AR557" s="346"/>
      <c r="AS557" s="346"/>
      <c r="AT557" s="346"/>
      <c r="AU557" s="346"/>
      <c r="AV557" s="346"/>
      <c r="AW557" s="346"/>
      <c r="AX557" s="346"/>
      <c r="AY557" s="346"/>
      <c r="AZ557" s="346"/>
      <c r="BA557" s="346"/>
      <c r="BB557" s="346"/>
      <c r="BC557" s="346"/>
      <c r="BD557" s="346"/>
      <c r="BE557" s="346"/>
      <c r="BF557" s="346"/>
      <c r="BG557" s="346"/>
      <c r="BH557" s="346"/>
      <c r="BI557" s="346"/>
      <c r="BJ557" s="346"/>
      <c r="BK557" s="346"/>
      <c r="BL557" s="346"/>
      <c r="BM557" s="346"/>
      <c r="BN557" s="346"/>
      <c r="BO557" s="346"/>
      <c r="BP557" s="346"/>
      <c r="BQ557" s="346"/>
      <c r="BR557" s="346"/>
      <c r="BS557" s="346"/>
      <c r="BT557" s="346"/>
      <c r="BU557" s="346"/>
      <c r="BV557" s="346"/>
      <c r="BW557" s="346"/>
      <c r="BX557" s="346"/>
      <c r="BY557" s="346"/>
      <c r="BZ557" s="346"/>
      <c r="CA557" s="346"/>
      <c r="CB557" s="346"/>
      <c r="CC557" s="346"/>
      <c r="CD557" s="346"/>
      <c r="CE557" s="347"/>
      <c r="CF557" s="346"/>
      <c r="CG557" s="346"/>
      <c r="CH557" s="346"/>
      <c r="CI557" s="346"/>
      <c r="CJ557" s="346"/>
      <c r="CK557" s="346"/>
      <c r="CL557" s="346"/>
      <c r="CM557" s="346"/>
      <c r="CN557" s="346"/>
      <c r="CO557" s="346"/>
      <c r="CP557" s="348"/>
      <c r="CQ557" s="346"/>
      <c r="CR557" s="346"/>
      <c r="CS557" s="346"/>
      <c r="CT557" s="346"/>
      <c r="CU557" s="346"/>
      <c r="CV557" s="346"/>
      <c r="CW557" s="346"/>
      <c r="CX557" s="346"/>
      <c r="CY557" s="346"/>
      <c r="CZ557" s="346"/>
      <c r="DA557" s="346"/>
      <c r="DB557" s="1479"/>
      <c r="DC557" s="346"/>
      <c r="DD557" s="346"/>
      <c r="DE557" s="346"/>
      <c r="DF557" s="346"/>
      <c r="DG557" s="346"/>
      <c r="DH557" s="346"/>
      <c r="DI557" s="346"/>
      <c r="DJ557" s="346"/>
      <c r="DK557" s="346"/>
      <c r="DL557" s="346"/>
      <c r="DM557" s="346"/>
      <c r="DN557" s="348"/>
      <c r="DO557" s="346"/>
      <c r="DP557" s="346"/>
      <c r="DQ557" s="346"/>
      <c r="DR557" s="346"/>
      <c r="DS557" s="346"/>
      <c r="DT557" s="346"/>
      <c r="DU557" s="346"/>
      <c r="DV557" s="346"/>
      <c r="DW557" s="346"/>
      <c r="DX557" s="346"/>
      <c r="DY557" s="346"/>
      <c r="DZ557" s="348"/>
      <c r="EA557" s="346"/>
      <c r="EB557" s="346"/>
      <c r="EC557" s="346"/>
      <c r="ED557" s="346"/>
      <c r="EE557" s="346"/>
      <c r="EF557" s="346"/>
      <c r="EG557" s="346"/>
      <c r="EH557" s="346"/>
      <c r="EI557" s="346"/>
      <c r="EJ557" s="346"/>
      <c r="EK557" s="346"/>
      <c r="EL557" s="348"/>
      <c r="EM557" s="346"/>
      <c r="EN557" s="346"/>
      <c r="EO557" s="346"/>
      <c r="EP557" s="346"/>
      <c r="EQ557" s="346"/>
      <c r="ER557" s="346"/>
      <c r="ES557" s="346"/>
      <c r="ET557" s="346"/>
      <c r="EU557" s="346"/>
      <c r="EV557" s="346"/>
      <c r="EW557" s="346"/>
      <c r="EX557" s="348"/>
      <c r="EY557" s="346"/>
      <c r="EZ557" s="346"/>
      <c r="FA557" s="346"/>
      <c r="FB557" s="346"/>
      <c r="FC557" s="346"/>
      <c r="FD557" s="346"/>
      <c r="FE557" s="346"/>
      <c r="FF557" s="346"/>
      <c r="FG557" s="346"/>
      <c r="FH557" s="346"/>
      <c r="FI557" s="346"/>
      <c r="FJ557" s="348"/>
      <c r="FK557" s="346"/>
      <c r="FL557" s="346"/>
      <c r="FM557" s="346"/>
      <c r="FN557" s="346"/>
      <c r="FO557" s="346"/>
      <c r="FP557" s="346"/>
      <c r="FQ557" s="346"/>
      <c r="FR557" s="346"/>
      <c r="FS557" s="346"/>
      <c r="FT557" s="346"/>
      <c r="FU557" s="346"/>
      <c r="FV557" s="346"/>
      <c r="FW557" s="346"/>
      <c r="FX557" s="346"/>
      <c r="FY557" s="346"/>
      <c r="FZ557" s="346"/>
      <c r="GA557" s="346"/>
      <c r="GB557" s="346"/>
      <c r="GC557" s="346"/>
      <c r="GD557" s="346"/>
      <c r="GE557" s="346"/>
      <c r="GF557" s="346"/>
      <c r="GG557" s="346"/>
      <c r="GH557" s="346"/>
      <c r="GI557" s="346"/>
      <c r="GJ557" s="346"/>
      <c r="GK557" s="346"/>
      <c r="GL557" s="346"/>
      <c r="GM557" s="346"/>
      <c r="GN557" s="346"/>
      <c r="GO557" s="346"/>
      <c r="GP557" s="346"/>
      <c r="GQ557" s="346"/>
      <c r="GR557" s="346"/>
      <c r="GS557" s="346"/>
      <c r="GT557" s="346"/>
      <c r="GU557" s="346"/>
      <c r="GV557" s="346"/>
      <c r="GW557" s="346"/>
      <c r="GX557" s="346"/>
      <c r="GY557" s="346"/>
      <c r="GZ557" s="346"/>
      <c r="HA557" s="346"/>
      <c r="HB557" s="346"/>
      <c r="HC557" s="346"/>
      <c r="HD557" s="346"/>
      <c r="HE557" s="346"/>
      <c r="HF557" s="346"/>
      <c r="HG557" s="346"/>
      <c r="HH557" s="346"/>
      <c r="HI557" s="346"/>
      <c r="HJ557" s="346"/>
      <c r="HK557" s="346"/>
      <c r="HL557" s="346"/>
      <c r="HM557" s="346"/>
      <c r="HN557" s="349"/>
      <c r="HO557" s="1247" t="s">
        <v>1237</v>
      </c>
      <c r="HP557" s="1247"/>
      <c r="HQ557" s="1247"/>
      <c r="HR557" s="346">
        <f>+FISC!Z776</f>
        <v>0</v>
      </c>
      <c r="HS557" s="302">
        <f>SUM(CQ557:CV557)</f>
        <v>0</v>
      </c>
      <c r="HT557" s="302">
        <f>SUM(CW557:DB557)</f>
        <v>0</v>
      </c>
      <c r="HU557" s="346">
        <f>SUM(CQ557:DB557)</f>
        <v>0</v>
      </c>
      <c r="HV557" s="302">
        <f>+SUM(DC557:DH557)</f>
        <v>0</v>
      </c>
      <c r="HW557" s="302">
        <f>+SUM(DI557:DN557)</f>
        <v>0</v>
      </c>
      <c r="HX557" s="346">
        <f>HV557+HW557</f>
        <v>0</v>
      </c>
      <c r="HY557" s="302">
        <f>+SUM(DO557:DT557)</f>
        <v>0</v>
      </c>
      <c r="HZ557" s="302">
        <f t="shared" ref="HZ557:HZ562" si="329">SUM(DU557:DZ557)</f>
        <v>0</v>
      </c>
      <c r="IA557" s="346">
        <f t="shared" si="297"/>
        <v>0</v>
      </c>
      <c r="IB557" s="302">
        <v>0</v>
      </c>
      <c r="IC557" s="302">
        <f t="shared" si="324"/>
        <v>0</v>
      </c>
      <c r="ID557" s="346">
        <f>FISC!AC776</f>
        <v>0</v>
      </c>
      <c r="IE557" s="302">
        <f t="shared" ref="IE557:IE562" si="330">SUM(EM557:ER557)</f>
        <v>0</v>
      </c>
      <c r="IF557" s="302">
        <f t="shared" ref="IF557:IF562" si="331">SUM(ES557:EX557)</f>
        <v>0</v>
      </c>
      <c r="IG557" s="346">
        <f t="shared" si="201"/>
        <v>0</v>
      </c>
      <c r="IH557" s="1248">
        <f>+IJ557/2</f>
        <v>5</v>
      </c>
      <c r="II557" s="681">
        <f>+IJ557-IH557</f>
        <v>5</v>
      </c>
      <c r="IJ557" s="1141">
        <f>+FISC!AE779</f>
        <v>10</v>
      </c>
      <c r="IK557" s="302">
        <v>3.2</v>
      </c>
      <c r="IL557" s="302">
        <f t="shared" si="280"/>
        <v>4.3194208804500001</v>
      </c>
      <c r="IM557" s="1141">
        <f>+FISC!AF779</f>
        <v>7.5194208804500002</v>
      </c>
      <c r="IN557" s="302">
        <f t="shared" si="292"/>
        <v>0</v>
      </c>
      <c r="IO557" s="302">
        <f t="shared" si="154"/>
        <v>0</v>
      </c>
      <c r="IP557" s="1141">
        <f>+FISC!AG776</f>
        <v>0</v>
      </c>
      <c r="IQ557" s="302">
        <f t="shared" si="293"/>
        <v>0</v>
      </c>
      <c r="IR557" s="302">
        <f t="shared" si="281"/>
        <v>0</v>
      </c>
      <c r="IS557" s="1141">
        <f>+FISC!AH776</f>
        <v>0</v>
      </c>
      <c r="IT557" s="302">
        <f t="shared" si="294"/>
        <v>0</v>
      </c>
      <c r="IU557" s="302">
        <f t="shared" si="282"/>
        <v>0</v>
      </c>
      <c r="IV557" s="1141">
        <f>+FISC!AI776</f>
        <v>0</v>
      </c>
      <c r="IW557" s="302">
        <f t="shared" si="295"/>
        <v>0</v>
      </c>
      <c r="IX557" s="302">
        <f t="shared" si="283"/>
        <v>0</v>
      </c>
      <c r="IY557" s="1141">
        <f>+FISC!AJ776</f>
        <v>0</v>
      </c>
      <c r="IZ557" s="302">
        <f t="shared" si="296"/>
        <v>0</v>
      </c>
      <c r="JA557" s="302">
        <f t="shared" si="284"/>
        <v>0</v>
      </c>
      <c r="JB557" s="1141">
        <f>+FISC!AK776</f>
        <v>0</v>
      </c>
      <c r="JC557" s="1141"/>
      <c r="KI557" s="349"/>
      <c r="KJ557" s="350"/>
    </row>
    <row r="558" spans="1:302">
      <c r="A558" s="302"/>
      <c r="B558" s="117" t="s">
        <v>361</v>
      </c>
      <c r="D558" s="351" t="str">
        <f>+FISC!D780</f>
        <v>Privatization receipts ( - receipt)</v>
      </c>
      <c r="E558" s="346"/>
      <c r="F558" s="346"/>
      <c r="G558" s="346"/>
      <c r="H558" s="346"/>
      <c r="I558" s="346"/>
      <c r="J558" s="346"/>
      <c r="K558" s="346"/>
      <c r="L558" s="346"/>
      <c r="M558" s="346"/>
      <c r="N558" s="346"/>
      <c r="O558" s="346"/>
      <c r="P558" s="346"/>
      <c r="Q558" s="346"/>
      <c r="R558" s="346"/>
      <c r="S558" s="346"/>
      <c r="T558" s="346"/>
      <c r="U558" s="346"/>
      <c r="V558" s="346"/>
      <c r="W558" s="346"/>
      <c r="X558" s="346"/>
      <c r="Y558" s="346"/>
      <c r="Z558" s="346"/>
      <c r="AA558" s="346"/>
      <c r="AB558" s="346"/>
      <c r="AC558" s="346"/>
      <c r="AD558" s="346"/>
      <c r="AE558" s="346"/>
      <c r="AF558" s="346"/>
      <c r="AG558" s="346"/>
      <c r="AH558" s="346"/>
      <c r="AI558" s="346"/>
      <c r="AJ558" s="346"/>
      <c r="AK558" s="346"/>
      <c r="AL558" s="346"/>
      <c r="AM558" s="346"/>
      <c r="AN558" s="346"/>
      <c r="AO558" s="346"/>
      <c r="AP558" s="346"/>
      <c r="AQ558" s="346"/>
      <c r="AR558" s="346"/>
      <c r="AS558" s="346"/>
      <c r="AT558" s="346"/>
      <c r="AU558" s="346"/>
      <c r="AV558" s="346"/>
      <c r="AW558" s="346"/>
      <c r="AX558" s="346"/>
      <c r="AY558" s="346"/>
      <c r="AZ558" s="346"/>
      <c r="BA558" s="346"/>
      <c r="BB558" s="346"/>
      <c r="BC558" s="346"/>
      <c r="BD558" s="346"/>
      <c r="BE558" s="346"/>
      <c r="BF558" s="346"/>
      <c r="BG558" s="346"/>
      <c r="BH558" s="346"/>
      <c r="BI558" s="346"/>
      <c r="BJ558" s="346"/>
      <c r="BK558" s="346"/>
      <c r="BL558" s="346"/>
      <c r="BM558" s="346"/>
      <c r="BN558" s="346"/>
      <c r="BO558" s="346"/>
      <c r="BP558" s="346"/>
      <c r="BQ558" s="346"/>
      <c r="BR558" s="346"/>
      <c r="BS558" s="346"/>
      <c r="BT558" s="346"/>
      <c r="BU558" s="346"/>
      <c r="BV558" s="346"/>
      <c r="BW558" s="346"/>
      <c r="BX558" s="346"/>
      <c r="BY558" s="346"/>
      <c r="BZ558" s="346"/>
      <c r="CA558" s="346"/>
      <c r="CB558" s="346"/>
      <c r="CC558" s="346"/>
      <c r="CD558" s="346"/>
      <c r="CE558" s="347">
        <f t="shared" ref="CE558:DB558" si="332">CE279</f>
        <v>-1.6468438000000001</v>
      </c>
      <c r="CF558" s="346">
        <f t="shared" si="332"/>
        <v>-8.4087999999999996E-2</v>
      </c>
      <c r="CG558" s="346">
        <f t="shared" si="332"/>
        <v>-2.7999999999999998E-4</v>
      </c>
      <c r="CH558" s="346">
        <f t="shared" si="332"/>
        <v>-1.83E-3</v>
      </c>
      <c r="CI558" s="346">
        <f t="shared" si="332"/>
        <v>-6.4999999999999997E-4</v>
      </c>
      <c r="CJ558" s="346">
        <f t="shared" si="332"/>
        <v>-0.21287973299999999</v>
      </c>
      <c r="CK558" s="346">
        <f t="shared" si="332"/>
        <v>-4.8000000000000001E-4</v>
      </c>
      <c r="CL558" s="346">
        <f t="shared" si="332"/>
        <v>-0.95079999999999998</v>
      </c>
      <c r="CM558" s="346">
        <f t="shared" si="332"/>
        <v>-0.38655285700241937</v>
      </c>
      <c r="CN558" s="346">
        <f t="shared" si="332"/>
        <v>0</v>
      </c>
      <c r="CO558" s="346">
        <f t="shared" si="332"/>
        <v>-1.8600000000000001E-3</v>
      </c>
      <c r="CP558" s="348">
        <f t="shared" si="332"/>
        <v>0</v>
      </c>
      <c r="CQ558" s="346">
        <f t="shared" si="332"/>
        <v>-3.5496379069439997E-2</v>
      </c>
      <c r="CR558" s="346">
        <f t="shared" si="332"/>
        <v>-0.26348023300000001</v>
      </c>
      <c r="CS558" s="346">
        <f t="shared" si="332"/>
        <v>-9.2253200000000004E-3</v>
      </c>
      <c r="CT558" s="346">
        <f t="shared" si="332"/>
        <v>-1.1358765</v>
      </c>
      <c r="CU558" s="346">
        <f t="shared" si="332"/>
        <v>-0.17954335799999999</v>
      </c>
      <c r="CV558" s="346">
        <f t="shared" si="332"/>
        <v>-0.47499999999999998</v>
      </c>
      <c r="CW558" s="346">
        <f t="shared" si="332"/>
        <v>-1.2276349999999999E-3</v>
      </c>
      <c r="CX558" s="346">
        <f t="shared" si="332"/>
        <v>-1.8229569000000001E-2</v>
      </c>
      <c r="CY558" s="346">
        <f t="shared" si="332"/>
        <v>-8.8000000000000003E-4</v>
      </c>
      <c r="CZ558" s="346">
        <f t="shared" si="332"/>
        <v>0</v>
      </c>
      <c r="DA558" s="346">
        <f t="shared" si="332"/>
        <v>0</v>
      </c>
      <c r="DB558" s="1479">
        <f t="shared" si="332"/>
        <v>0</v>
      </c>
      <c r="DC558" s="346">
        <f t="shared" ref="DC558:EX558" si="333">-DC279</f>
        <v>0</v>
      </c>
      <c r="DD558" s="347">
        <f t="shared" si="333"/>
        <v>0</v>
      </c>
      <c r="DE558" s="346">
        <f t="shared" si="333"/>
        <v>-0.70431847800000003</v>
      </c>
      <c r="DF558" s="346">
        <f t="shared" si="333"/>
        <v>0</v>
      </c>
      <c r="DG558" s="346">
        <f t="shared" si="333"/>
        <v>0</v>
      </c>
      <c r="DH558" s="346">
        <f t="shared" si="333"/>
        <v>-0.48594737700000001</v>
      </c>
      <c r="DI558" s="346">
        <f t="shared" si="333"/>
        <v>0</v>
      </c>
      <c r="DJ558" s="346">
        <f t="shared" si="333"/>
        <v>0</v>
      </c>
      <c r="DK558" s="346">
        <f t="shared" si="333"/>
        <v>-6.2377675E-2</v>
      </c>
      <c r="DL558" s="346">
        <f t="shared" si="333"/>
        <v>-0.22141875699999999</v>
      </c>
      <c r="DM558" s="346">
        <f t="shared" si="333"/>
        <v>0</v>
      </c>
      <c r="DN558" s="348">
        <f t="shared" si="333"/>
        <v>0</v>
      </c>
      <c r="DO558" s="346">
        <f t="shared" si="333"/>
        <v>0</v>
      </c>
      <c r="DP558" s="346">
        <f t="shared" si="333"/>
        <v>0</v>
      </c>
      <c r="DQ558" s="346">
        <f t="shared" si="333"/>
        <v>0</v>
      </c>
      <c r="DR558" s="346">
        <f t="shared" si="333"/>
        <v>0</v>
      </c>
      <c r="DS558" s="346">
        <f t="shared" si="333"/>
        <v>0</v>
      </c>
      <c r="DT558" s="346">
        <f t="shared" si="333"/>
        <v>0</v>
      </c>
      <c r="DU558" s="346">
        <f t="shared" si="333"/>
        <v>0</v>
      </c>
      <c r="DV558" s="346">
        <f t="shared" si="333"/>
        <v>0</v>
      </c>
      <c r="DW558" s="346">
        <f t="shared" si="333"/>
        <v>0</v>
      </c>
      <c r="DX558" s="346">
        <f t="shared" si="333"/>
        <v>-9.0864968659999992</v>
      </c>
      <c r="DY558" s="346">
        <f t="shared" si="333"/>
        <v>0</v>
      </c>
      <c r="DZ558" s="348">
        <f t="shared" si="333"/>
        <v>0</v>
      </c>
      <c r="EA558" s="346">
        <f t="shared" si="333"/>
        <v>0</v>
      </c>
      <c r="EB558" s="346">
        <f t="shared" si="333"/>
        <v>0</v>
      </c>
      <c r="EC558" s="346">
        <f t="shared" si="333"/>
        <v>0</v>
      </c>
      <c r="ED558" s="346">
        <f t="shared" si="333"/>
        <v>0</v>
      </c>
      <c r="EE558" s="346">
        <f t="shared" si="333"/>
        <v>0</v>
      </c>
      <c r="EF558" s="346">
        <f t="shared" si="333"/>
        <v>0</v>
      </c>
      <c r="EG558" s="346">
        <f t="shared" si="333"/>
        <v>-0.14000000000000001</v>
      </c>
      <c r="EH558" s="346">
        <f t="shared" si="333"/>
        <v>0</v>
      </c>
      <c r="EI558" s="346">
        <f t="shared" si="333"/>
        <v>0</v>
      </c>
      <c r="EJ558" s="346">
        <f t="shared" si="333"/>
        <v>-1.7452326000000001E-2</v>
      </c>
      <c r="EK558" s="346">
        <f t="shared" si="333"/>
        <v>0</v>
      </c>
      <c r="EL558" s="348">
        <f t="shared" si="333"/>
        <v>-0.83253643600000005</v>
      </c>
      <c r="EM558" s="346">
        <f t="shared" si="333"/>
        <v>-3.6000000000000002E-4</v>
      </c>
      <c r="EN558" s="346">
        <f t="shared" si="333"/>
        <v>-1.94E-4</v>
      </c>
      <c r="EO558" s="346">
        <f t="shared" si="333"/>
        <v>-7.9699999999999997E-4</v>
      </c>
      <c r="EP558" s="346">
        <f t="shared" si="333"/>
        <v>-0.27348586600000002</v>
      </c>
      <c r="EQ558" s="346">
        <f t="shared" si="333"/>
        <v>-2.5969999999999999E-3</v>
      </c>
      <c r="ER558" s="346">
        <f t="shared" si="333"/>
        <v>-3.97E-4</v>
      </c>
      <c r="ES558" s="346">
        <f t="shared" si="333"/>
        <v>0</v>
      </c>
      <c r="ET558" s="346">
        <f t="shared" si="333"/>
        <v>0</v>
      </c>
      <c r="EU558" s="346">
        <f t="shared" si="333"/>
        <v>0</v>
      </c>
      <c r="EV558" s="346">
        <f t="shared" si="333"/>
        <v>0</v>
      </c>
      <c r="EW558" s="346">
        <f t="shared" si="333"/>
        <v>0</v>
      </c>
      <c r="EX558" s="348">
        <f t="shared" si="333"/>
        <v>0</v>
      </c>
      <c r="EY558" s="346"/>
      <c r="EZ558" s="346"/>
      <c r="FA558" s="346"/>
      <c r="FB558" s="346"/>
      <c r="FC558" s="346"/>
      <c r="FD558" s="346"/>
      <c r="FE558" s="346"/>
      <c r="FF558" s="346"/>
      <c r="FG558" s="346"/>
      <c r="FH558" s="346"/>
      <c r="FI558" s="346"/>
      <c r="FJ558" s="348"/>
      <c r="FK558" s="346"/>
      <c r="FL558" s="346"/>
      <c r="FM558" s="346"/>
      <c r="FN558" s="346"/>
      <c r="FO558" s="346"/>
      <c r="FP558" s="346"/>
      <c r="FQ558" s="346"/>
      <c r="FR558" s="346"/>
      <c r="FS558" s="346"/>
      <c r="FT558" s="346"/>
      <c r="FU558" s="346"/>
      <c r="FV558" s="346"/>
      <c r="FW558" s="346"/>
      <c r="FX558" s="346"/>
      <c r="FY558" s="346"/>
      <c r="FZ558" s="346"/>
      <c r="GA558" s="346"/>
      <c r="GB558" s="346"/>
      <c r="GC558" s="346"/>
      <c r="GD558" s="346"/>
      <c r="GE558" s="346"/>
      <c r="GF558" s="346"/>
      <c r="GG558" s="346"/>
      <c r="GH558" s="346"/>
      <c r="GI558" s="346"/>
      <c r="GJ558" s="346"/>
      <c r="GK558" s="346"/>
      <c r="GL558" s="346"/>
      <c r="GM558" s="346"/>
      <c r="GN558" s="346"/>
      <c r="GO558" s="346"/>
      <c r="GP558" s="346"/>
      <c r="GQ558" s="346"/>
      <c r="GR558" s="346"/>
      <c r="GS558" s="346"/>
      <c r="GT558" s="346"/>
      <c r="GU558" s="346"/>
      <c r="GV558" s="346"/>
      <c r="GW558" s="346"/>
      <c r="GX558" s="346"/>
      <c r="GY558" s="346"/>
      <c r="GZ558" s="346"/>
      <c r="HA558" s="346"/>
      <c r="HB558" s="346"/>
      <c r="HC558" s="346"/>
      <c r="HD558" s="346"/>
      <c r="HE558" s="346"/>
      <c r="HF558" s="346"/>
      <c r="HG558" s="346"/>
      <c r="HH558" s="346"/>
      <c r="HI558" s="346"/>
      <c r="HJ558" s="346"/>
      <c r="HK558" s="346"/>
      <c r="HL558" s="346"/>
      <c r="HM558" s="346"/>
      <c r="HN558" s="349"/>
      <c r="HO558" s="351" t="s">
        <v>999</v>
      </c>
      <c r="HP558" s="351"/>
      <c r="HQ558" s="351"/>
      <c r="HR558" s="346">
        <f>+FISC!Z780</f>
        <v>-2.5</v>
      </c>
      <c r="HS558" s="302">
        <f>SUM(CQ558:CV558)</f>
        <v>-2.0986217900694402</v>
      </c>
      <c r="HT558" s="302">
        <f>SUM(CW558:DB558)</f>
        <v>-2.0337204000000001E-2</v>
      </c>
      <c r="HU558" s="346">
        <f>SUM(CQ558:DB558)</f>
        <v>-2.1189589940694398</v>
      </c>
      <c r="HV558" s="302">
        <f>+SUM(DC558:DH558)</f>
        <v>-1.190265855</v>
      </c>
      <c r="HW558" s="302">
        <f>+SUM(DI558:DN558)</f>
        <v>-0.28379643199999999</v>
      </c>
      <c r="HX558" s="346">
        <f>HV558+HW558</f>
        <v>-1.474062287</v>
      </c>
      <c r="HY558" s="302">
        <f>+SUM(DO558:DT558)</f>
        <v>0</v>
      </c>
      <c r="HZ558" s="302">
        <f t="shared" si="329"/>
        <v>-9.0864968659999992</v>
      </c>
      <c r="IA558" s="346">
        <f t="shared" si="297"/>
        <v>-9.0864968659999992</v>
      </c>
      <c r="IB558" s="302">
        <v>0</v>
      </c>
      <c r="IC558" s="302">
        <f t="shared" si="324"/>
        <v>-0.98998876200000008</v>
      </c>
      <c r="ID558" s="346">
        <f>FISC!AC780</f>
        <v>-0.98998876200000008</v>
      </c>
      <c r="IE558" s="302">
        <f t="shared" si="330"/>
        <v>-0.27783086600000001</v>
      </c>
      <c r="IF558" s="302">
        <f t="shared" si="331"/>
        <v>0</v>
      </c>
      <c r="IG558" s="346">
        <f t="shared" si="201"/>
        <v>-0.27783086600000001</v>
      </c>
      <c r="IH558" s="350"/>
      <c r="II558" s="350"/>
      <c r="IJ558" s="1141">
        <f>+FISC!AE780</f>
        <v>0</v>
      </c>
      <c r="IK558" s="302">
        <f>IM558*JI558</f>
        <v>0</v>
      </c>
      <c r="IL558" s="302">
        <f t="shared" si="280"/>
        <v>0</v>
      </c>
      <c r="IM558" s="346">
        <f>+FISC!AF780</f>
        <v>0</v>
      </c>
      <c r="IN558" s="302">
        <f t="shared" si="292"/>
        <v>0</v>
      </c>
      <c r="IO558" s="302">
        <f t="shared" ref="IO558:IO615" si="334">IP558-IN558</f>
        <v>0</v>
      </c>
      <c r="IP558" s="346">
        <f>+FISC!AG780</f>
        <v>0</v>
      </c>
      <c r="IQ558" s="302">
        <f t="shared" si="293"/>
        <v>0</v>
      </c>
      <c r="IR558" s="302">
        <f t="shared" si="281"/>
        <v>0</v>
      </c>
      <c r="IS558" s="346">
        <f>+FISC!AH780</f>
        <v>0</v>
      </c>
      <c r="IT558" s="302">
        <f t="shared" si="294"/>
        <v>0</v>
      </c>
      <c r="IU558" s="302">
        <f t="shared" si="282"/>
        <v>0</v>
      </c>
      <c r="IV558" s="346">
        <f>+FISC!AI780</f>
        <v>0</v>
      </c>
      <c r="IW558" s="302">
        <f t="shared" si="295"/>
        <v>0</v>
      </c>
      <c r="IX558" s="302">
        <f t="shared" si="283"/>
        <v>0</v>
      </c>
      <c r="IY558" s="346">
        <f>+FISC!AJ780</f>
        <v>0</v>
      </c>
      <c r="IZ558" s="302">
        <f t="shared" si="296"/>
        <v>0</v>
      </c>
      <c r="JA558" s="302">
        <f t="shared" si="284"/>
        <v>0</v>
      </c>
      <c r="JB558" s="346">
        <f>+FISC!AK780</f>
        <v>0</v>
      </c>
      <c r="JC558" s="346"/>
      <c r="KI558" s="349"/>
      <c r="KJ558" s="350"/>
    </row>
    <row r="559" spans="1:302">
      <c r="A559" s="302"/>
      <c r="D559" s="351" t="str">
        <f>+FISC!D781</f>
        <v>Bugesera airport (govt equity contribution, local spending)</v>
      </c>
      <c r="E559" s="346"/>
      <c r="F559" s="346"/>
      <c r="G559" s="346"/>
      <c r="H559" s="346"/>
      <c r="I559" s="346"/>
      <c r="J559" s="346"/>
      <c r="K559" s="346"/>
      <c r="L559" s="346"/>
      <c r="M559" s="346"/>
      <c r="N559" s="346"/>
      <c r="O559" s="346"/>
      <c r="P559" s="346"/>
      <c r="Q559" s="346"/>
      <c r="R559" s="346"/>
      <c r="S559" s="346"/>
      <c r="T559" s="346"/>
      <c r="U559" s="346"/>
      <c r="V559" s="346"/>
      <c r="W559" s="346"/>
      <c r="X559" s="346"/>
      <c r="Y559" s="346"/>
      <c r="Z559" s="346"/>
      <c r="AA559" s="346"/>
      <c r="AB559" s="346"/>
      <c r="AC559" s="346"/>
      <c r="AD559" s="346"/>
      <c r="AE559" s="346"/>
      <c r="AF559" s="346"/>
      <c r="AG559" s="346"/>
      <c r="AH559" s="346"/>
      <c r="AI559" s="346"/>
      <c r="AJ559" s="346"/>
      <c r="AK559" s="346"/>
      <c r="AL559" s="346"/>
      <c r="AM559" s="346"/>
      <c r="AN559" s="346"/>
      <c r="AO559" s="346"/>
      <c r="AP559" s="346"/>
      <c r="AQ559" s="346"/>
      <c r="AR559" s="346"/>
      <c r="AS559" s="346"/>
      <c r="AT559" s="346"/>
      <c r="AU559" s="346"/>
      <c r="AV559" s="346"/>
      <c r="AW559" s="346"/>
      <c r="AX559" s="346"/>
      <c r="AY559" s="346"/>
      <c r="AZ559" s="346"/>
      <c r="BA559" s="346"/>
      <c r="BB559" s="346"/>
      <c r="BC559" s="346"/>
      <c r="BD559" s="346"/>
      <c r="BE559" s="346"/>
      <c r="BF559" s="346"/>
      <c r="BG559" s="346"/>
      <c r="BH559" s="346"/>
      <c r="BI559" s="346"/>
      <c r="BJ559" s="346"/>
      <c r="BK559" s="346"/>
      <c r="BL559" s="346"/>
      <c r="BM559" s="346"/>
      <c r="BN559" s="346"/>
      <c r="BO559" s="346"/>
      <c r="BP559" s="346"/>
      <c r="BQ559" s="346"/>
      <c r="BR559" s="346"/>
      <c r="BS559" s="346"/>
      <c r="BT559" s="346"/>
      <c r="BU559" s="346"/>
      <c r="BV559" s="346"/>
      <c r="BW559" s="346"/>
      <c r="BX559" s="346"/>
      <c r="BY559" s="346"/>
      <c r="BZ559" s="346"/>
      <c r="CA559" s="346"/>
      <c r="CB559" s="346"/>
      <c r="CC559" s="346"/>
      <c r="CD559" s="346"/>
      <c r="CE559" s="347"/>
      <c r="CF559" s="346"/>
      <c r="CG559" s="346"/>
      <c r="CH559" s="346"/>
      <c r="CI559" s="346"/>
      <c r="CJ559" s="346"/>
      <c r="CK559" s="346"/>
      <c r="CL559" s="346"/>
      <c r="CM559" s="346"/>
      <c r="CN559" s="346"/>
      <c r="CO559" s="346"/>
      <c r="CP559" s="348"/>
      <c r="CQ559" s="346"/>
      <c r="CR559" s="346"/>
      <c r="CS559" s="346"/>
      <c r="CT559" s="346"/>
      <c r="CU559" s="346"/>
      <c r="CV559" s="346"/>
      <c r="CW559" s="346"/>
      <c r="CX559" s="346"/>
      <c r="CY559" s="346"/>
      <c r="CZ559" s="346"/>
      <c r="DA559" s="346"/>
      <c r="DB559" s="1479"/>
      <c r="DC559" s="346"/>
      <c r="DD559" s="346"/>
      <c r="DE559" s="346"/>
      <c r="DF559" s="346"/>
      <c r="DG559" s="346"/>
      <c r="DH559" s="346"/>
      <c r="DI559" s="346"/>
      <c r="DJ559" s="346"/>
      <c r="DK559" s="346"/>
      <c r="DL559" s="346"/>
      <c r="DM559" s="346"/>
      <c r="DN559" s="348"/>
      <c r="DO559" s="346">
        <f t="shared" ref="DO559:EX559" si="335">DO292</f>
        <v>0</v>
      </c>
      <c r="DP559" s="346">
        <f t="shared" si="335"/>
        <v>0</v>
      </c>
      <c r="DQ559" s="346">
        <f t="shared" si="335"/>
        <v>0</v>
      </c>
      <c r="DR559" s="346">
        <f t="shared" si="335"/>
        <v>0</v>
      </c>
      <c r="DS559" s="346">
        <f t="shared" si="335"/>
        <v>0</v>
      </c>
      <c r="DT559" s="346">
        <f t="shared" si="335"/>
        <v>0</v>
      </c>
      <c r="DU559" s="346">
        <f t="shared" si="335"/>
        <v>0</v>
      </c>
      <c r="DV559" s="346">
        <f t="shared" si="335"/>
        <v>0</v>
      </c>
      <c r="DW559" s="346">
        <f t="shared" si="335"/>
        <v>0</v>
      </c>
      <c r="DX559" s="346">
        <f t="shared" si="335"/>
        <v>4.1500000000000004</v>
      </c>
      <c r="DY559" s="346">
        <f t="shared" si="335"/>
        <v>0</v>
      </c>
      <c r="DZ559" s="348">
        <f t="shared" si="335"/>
        <v>7.35</v>
      </c>
      <c r="EA559" s="346">
        <f t="shared" si="335"/>
        <v>0</v>
      </c>
      <c r="EB559" s="346">
        <f t="shared" si="335"/>
        <v>0</v>
      </c>
      <c r="EC559" s="346">
        <f t="shared" si="335"/>
        <v>0</v>
      </c>
      <c r="ED559" s="346">
        <f t="shared" si="335"/>
        <v>0</v>
      </c>
      <c r="EE559" s="346">
        <f t="shared" si="335"/>
        <v>0</v>
      </c>
      <c r="EF559" s="346">
        <f t="shared" si="335"/>
        <v>9.6253578439999998</v>
      </c>
      <c r="EG559" s="346">
        <f t="shared" si="335"/>
        <v>0</v>
      </c>
      <c r="EH559" s="346">
        <f t="shared" si="335"/>
        <v>0</v>
      </c>
      <c r="EI559" s="346">
        <f t="shared" si="335"/>
        <v>0</v>
      </c>
      <c r="EJ559" s="346">
        <f t="shared" si="335"/>
        <v>0</v>
      </c>
      <c r="EK559" s="346">
        <f t="shared" si="335"/>
        <v>0</v>
      </c>
      <c r="EL559" s="348">
        <f t="shared" si="335"/>
        <v>0</v>
      </c>
      <c r="EM559" s="346">
        <f t="shared" si="335"/>
        <v>0</v>
      </c>
      <c r="EN559" s="346">
        <f t="shared" si="335"/>
        <v>5</v>
      </c>
      <c r="EO559" s="346">
        <f t="shared" si="335"/>
        <v>0</v>
      </c>
      <c r="EP559" s="346">
        <f t="shared" si="335"/>
        <v>0</v>
      </c>
      <c r="EQ559" s="346">
        <f t="shared" si="335"/>
        <v>0</v>
      </c>
      <c r="ER559" s="346">
        <f t="shared" si="335"/>
        <v>0</v>
      </c>
      <c r="ES559" s="346">
        <f t="shared" si="335"/>
        <v>0</v>
      </c>
      <c r="ET559" s="346">
        <f t="shared" si="335"/>
        <v>0</v>
      </c>
      <c r="EU559" s="346">
        <f t="shared" si="335"/>
        <v>0</v>
      </c>
      <c r="EV559" s="346">
        <f t="shared" si="335"/>
        <v>0</v>
      </c>
      <c r="EW559" s="346">
        <f t="shared" si="335"/>
        <v>0</v>
      </c>
      <c r="EX559" s="348">
        <f t="shared" si="335"/>
        <v>0</v>
      </c>
      <c r="EY559" s="346"/>
      <c r="EZ559" s="346"/>
      <c r="FA559" s="346"/>
      <c r="FB559" s="346"/>
      <c r="FC559" s="346"/>
      <c r="FD559" s="346"/>
      <c r="FE559" s="346"/>
      <c r="FF559" s="346"/>
      <c r="FG559" s="346"/>
      <c r="FH559" s="346"/>
      <c r="FI559" s="346"/>
      <c r="FJ559" s="348"/>
      <c r="FK559" s="346"/>
      <c r="FL559" s="346"/>
      <c r="FM559" s="346"/>
      <c r="FN559" s="346"/>
      <c r="FO559" s="346"/>
      <c r="FP559" s="346"/>
      <c r="FQ559" s="346"/>
      <c r="FR559" s="346"/>
      <c r="FS559" s="346"/>
      <c r="FT559" s="346"/>
      <c r="FU559" s="346"/>
      <c r="FV559" s="346"/>
      <c r="FW559" s="346"/>
      <c r="FX559" s="346"/>
      <c r="FY559" s="346"/>
      <c r="FZ559" s="346"/>
      <c r="GA559" s="346"/>
      <c r="GB559" s="346"/>
      <c r="GC559" s="346"/>
      <c r="GD559" s="346"/>
      <c r="GE559" s="346"/>
      <c r="GF559" s="346"/>
      <c r="GG559" s="346"/>
      <c r="GH559" s="346"/>
      <c r="GI559" s="346"/>
      <c r="GJ559" s="346"/>
      <c r="GK559" s="346"/>
      <c r="GL559" s="346"/>
      <c r="GM559" s="346"/>
      <c r="GN559" s="346"/>
      <c r="GO559" s="346"/>
      <c r="GP559" s="346"/>
      <c r="GQ559" s="346"/>
      <c r="GR559" s="346"/>
      <c r="GS559" s="346"/>
      <c r="GT559" s="346"/>
      <c r="GU559" s="346"/>
      <c r="GV559" s="346"/>
      <c r="GW559" s="346"/>
      <c r="GX559" s="346"/>
      <c r="GY559" s="346"/>
      <c r="GZ559" s="346"/>
      <c r="HA559" s="346"/>
      <c r="HB559" s="346"/>
      <c r="HC559" s="346"/>
      <c r="HD559" s="346"/>
      <c r="HE559" s="346"/>
      <c r="HF559" s="346"/>
      <c r="HG559" s="346"/>
      <c r="HH559" s="346"/>
      <c r="HI559" s="346"/>
      <c r="HJ559" s="346"/>
      <c r="HK559" s="346"/>
      <c r="HL559" s="346"/>
      <c r="HM559" s="346"/>
      <c r="HN559" s="349"/>
      <c r="HO559" s="351" t="s">
        <v>844</v>
      </c>
      <c r="HP559" s="351"/>
      <c r="HQ559" s="351"/>
      <c r="HR559" s="346"/>
      <c r="HU559" s="346"/>
      <c r="HX559" s="346"/>
      <c r="HY559" s="302">
        <f>SUM(DO559:DT559)</f>
        <v>0</v>
      </c>
      <c r="HZ559" s="302">
        <f t="shared" si="329"/>
        <v>11.5</v>
      </c>
      <c r="IA559" s="346">
        <f t="shared" si="297"/>
        <v>11.5</v>
      </c>
      <c r="IB559" s="302">
        <f>+ID559</f>
        <v>9.6253578439999998</v>
      </c>
      <c r="IC559" s="302">
        <f t="shared" si="324"/>
        <v>0</v>
      </c>
      <c r="ID559" s="346">
        <f>FISC!AC781</f>
        <v>9.6253578439999998</v>
      </c>
      <c r="IE559" s="302">
        <f t="shared" si="330"/>
        <v>5</v>
      </c>
      <c r="IF559" s="302">
        <f t="shared" si="331"/>
        <v>0</v>
      </c>
      <c r="IG559" s="346">
        <f t="shared" si="201"/>
        <v>5</v>
      </c>
      <c r="IH559" s="350"/>
      <c r="II559" s="350"/>
      <c r="IJ559" s="346"/>
      <c r="IK559" s="302">
        <f>IM559*JI559</f>
        <v>0</v>
      </c>
      <c r="IL559" s="302">
        <f t="shared" si="280"/>
        <v>0</v>
      </c>
      <c r="IM559" s="346"/>
      <c r="IN559" s="302">
        <f t="shared" si="292"/>
        <v>0</v>
      </c>
      <c r="IO559" s="302">
        <f t="shared" si="334"/>
        <v>0</v>
      </c>
      <c r="IP559" s="346"/>
      <c r="IQ559" s="302">
        <f t="shared" si="293"/>
        <v>0</v>
      </c>
      <c r="IR559" s="302">
        <f t="shared" si="281"/>
        <v>0</v>
      </c>
      <c r="IS559" s="346"/>
      <c r="IT559" s="302">
        <f t="shared" si="294"/>
        <v>0</v>
      </c>
      <c r="IU559" s="302">
        <f t="shared" si="282"/>
        <v>0</v>
      </c>
      <c r="IV559" s="346"/>
      <c r="IW559" s="302">
        <f t="shared" si="295"/>
        <v>0</v>
      </c>
      <c r="IX559" s="302">
        <f t="shared" si="283"/>
        <v>0</v>
      </c>
      <c r="IY559" s="346"/>
      <c r="IZ559" s="302">
        <f t="shared" si="296"/>
        <v>0</v>
      </c>
      <c r="JA559" s="302">
        <f t="shared" si="284"/>
        <v>0</v>
      </c>
      <c r="JB559" s="346"/>
      <c r="JC559" s="346"/>
      <c r="KI559" s="349"/>
      <c r="KJ559" s="350"/>
    </row>
    <row r="560" spans="1:302">
      <c r="A560" s="302"/>
      <c r="B560" s="117" t="s">
        <v>361</v>
      </c>
      <c r="D560" s="351" t="str">
        <f>+FISC!D782</f>
        <v>KCC Loan repayment</v>
      </c>
      <c r="E560" s="346"/>
      <c r="F560" s="346"/>
      <c r="G560" s="346"/>
      <c r="H560" s="346"/>
      <c r="I560" s="346"/>
      <c r="J560" s="346"/>
      <c r="K560" s="346"/>
      <c r="L560" s="346"/>
      <c r="M560" s="346"/>
      <c r="N560" s="346"/>
      <c r="O560" s="346"/>
      <c r="P560" s="346"/>
      <c r="Q560" s="346"/>
      <c r="R560" s="346"/>
      <c r="S560" s="346"/>
      <c r="T560" s="346"/>
      <c r="U560" s="346"/>
      <c r="V560" s="346"/>
      <c r="W560" s="346"/>
      <c r="X560" s="346"/>
      <c r="Y560" s="346"/>
      <c r="Z560" s="346"/>
      <c r="AA560" s="346"/>
      <c r="AB560" s="346"/>
      <c r="AC560" s="346"/>
      <c r="AD560" s="346"/>
      <c r="AE560" s="346"/>
      <c r="AF560" s="346"/>
      <c r="AG560" s="346"/>
      <c r="AH560" s="346"/>
      <c r="AI560" s="346"/>
      <c r="AJ560" s="346"/>
      <c r="AK560" s="346"/>
      <c r="AL560" s="346"/>
      <c r="AM560" s="346"/>
      <c r="AN560" s="346"/>
      <c r="AO560" s="346"/>
      <c r="AP560" s="346"/>
      <c r="AQ560" s="346"/>
      <c r="AR560" s="346"/>
      <c r="AS560" s="346"/>
      <c r="AT560" s="346"/>
      <c r="AU560" s="346"/>
      <c r="AV560" s="346"/>
      <c r="AW560" s="346"/>
      <c r="AX560" s="346"/>
      <c r="AY560" s="346"/>
      <c r="AZ560" s="346"/>
      <c r="BA560" s="346"/>
      <c r="BB560" s="346"/>
      <c r="BC560" s="346"/>
      <c r="BD560" s="346"/>
      <c r="BE560" s="346"/>
      <c r="BF560" s="346"/>
      <c r="BG560" s="346"/>
      <c r="BH560" s="346"/>
      <c r="BI560" s="346"/>
      <c r="BJ560" s="346"/>
      <c r="BK560" s="346"/>
      <c r="BL560" s="346"/>
      <c r="BM560" s="346"/>
      <c r="BN560" s="346"/>
      <c r="BO560" s="346"/>
      <c r="BP560" s="346"/>
      <c r="BQ560" s="346"/>
      <c r="BR560" s="346"/>
      <c r="BS560" s="346"/>
      <c r="BT560" s="346"/>
      <c r="BU560" s="346"/>
      <c r="BV560" s="346"/>
      <c r="BW560" s="346"/>
      <c r="BX560" s="346"/>
      <c r="BY560" s="346"/>
      <c r="BZ560" s="346"/>
      <c r="CA560" s="346"/>
      <c r="CB560" s="346"/>
      <c r="CC560" s="346"/>
      <c r="CD560" s="346"/>
      <c r="CE560" s="347"/>
      <c r="CF560" s="346"/>
      <c r="CG560" s="346"/>
      <c r="CH560" s="346"/>
      <c r="CI560" s="346"/>
      <c r="CJ560" s="346"/>
      <c r="CK560" s="346"/>
      <c r="CL560" s="346"/>
      <c r="CM560" s="346"/>
      <c r="CN560" s="346"/>
      <c r="CO560" s="346"/>
      <c r="CP560" s="348"/>
      <c r="CQ560" s="346"/>
      <c r="CR560" s="346"/>
      <c r="CS560" s="346"/>
      <c r="CT560" s="346"/>
      <c r="CU560" s="346"/>
      <c r="CV560" s="346"/>
      <c r="CW560" s="346"/>
      <c r="CX560" s="346"/>
      <c r="CY560" s="346"/>
      <c r="CZ560" s="346"/>
      <c r="DA560" s="346"/>
      <c r="DB560" s="1479"/>
      <c r="DC560" s="346"/>
      <c r="DD560" s="346"/>
      <c r="DE560" s="346"/>
      <c r="DF560" s="346"/>
      <c r="DG560" s="346"/>
      <c r="DH560" s="346"/>
      <c r="DI560" s="346"/>
      <c r="DJ560" s="346"/>
      <c r="DK560" s="346"/>
      <c r="DL560" s="346"/>
      <c r="DM560" s="346"/>
      <c r="DN560" s="348"/>
      <c r="DO560" s="346"/>
      <c r="DP560" s="346"/>
      <c r="DQ560" s="346"/>
      <c r="DR560" s="346"/>
      <c r="DS560" s="346"/>
      <c r="DT560" s="346"/>
      <c r="DU560" s="346"/>
      <c r="DV560" s="346"/>
      <c r="DW560" s="346"/>
      <c r="DX560" s="346"/>
      <c r="DY560" s="346"/>
      <c r="DZ560" s="348"/>
      <c r="EA560" s="346"/>
      <c r="EB560" s="346"/>
      <c r="EC560" s="346"/>
      <c r="ED560" s="346"/>
      <c r="EE560" s="346"/>
      <c r="EF560" s="346"/>
      <c r="EG560" s="346"/>
      <c r="EH560" s="346"/>
      <c r="EI560" s="346"/>
      <c r="EJ560" s="346"/>
      <c r="EK560" s="346"/>
      <c r="EL560" s="348"/>
      <c r="EM560" s="346"/>
      <c r="EN560" s="346"/>
      <c r="EO560" s="346"/>
      <c r="EP560" s="346"/>
      <c r="EQ560" s="346"/>
      <c r="ER560" s="346"/>
      <c r="ES560" s="346"/>
      <c r="ET560" s="346"/>
      <c r="EU560" s="346"/>
      <c r="EV560" s="346"/>
      <c r="EW560" s="346"/>
      <c r="EX560" s="348"/>
      <c r="EY560" s="346"/>
      <c r="EZ560" s="346"/>
      <c r="FA560" s="346"/>
      <c r="FB560" s="346"/>
      <c r="FC560" s="346"/>
      <c r="FD560" s="346"/>
      <c r="FE560" s="346"/>
      <c r="FF560" s="346"/>
      <c r="FG560" s="346"/>
      <c r="FH560" s="346"/>
      <c r="FI560" s="346"/>
      <c r="FJ560" s="348"/>
      <c r="FK560" s="346"/>
      <c r="FL560" s="346"/>
      <c r="FM560" s="346"/>
      <c r="FN560" s="346"/>
      <c r="FO560" s="346"/>
      <c r="FP560" s="346"/>
      <c r="FQ560" s="346"/>
      <c r="FR560" s="346"/>
      <c r="FS560" s="346"/>
      <c r="FT560" s="346"/>
      <c r="FU560" s="346"/>
      <c r="FV560" s="346"/>
      <c r="FW560" s="346"/>
      <c r="FX560" s="346"/>
      <c r="FY560" s="346"/>
      <c r="FZ560" s="346"/>
      <c r="GA560" s="346"/>
      <c r="GB560" s="346"/>
      <c r="GC560" s="346"/>
      <c r="GD560" s="346"/>
      <c r="GE560" s="346"/>
      <c r="GF560" s="346"/>
      <c r="GG560" s="346"/>
      <c r="GH560" s="346"/>
      <c r="GI560" s="346"/>
      <c r="GJ560" s="346"/>
      <c r="GK560" s="346"/>
      <c r="GL560" s="346"/>
      <c r="GM560" s="346"/>
      <c r="GN560" s="346"/>
      <c r="GO560" s="346"/>
      <c r="GP560" s="346"/>
      <c r="GQ560" s="346"/>
      <c r="GR560" s="346"/>
      <c r="GS560" s="346"/>
      <c r="GT560" s="346"/>
      <c r="GU560" s="346"/>
      <c r="GV560" s="346"/>
      <c r="GW560" s="346"/>
      <c r="GX560" s="346"/>
      <c r="GY560" s="346"/>
      <c r="GZ560" s="346"/>
      <c r="HA560" s="346"/>
      <c r="HB560" s="346"/>
      <c r="HC560" s="346"/>
      <c r="HD560" s="346"/>
      <c r="HE560" s="346"/>
      <c r="HF560" s="346"/>
      <c r="HG560" s="346"/>
      <c r="HH560" s="346"/>
      <c r="HI560" s="346"/>
      <c r="HJ560" s="346"/>
      <c r="HK560" s="346"/>
      <c r="HL560" s="346"/>
      <c r="HM560" s="346"/>
      <c r="HN560" s="349"/>
      <c r="HO560" s="351" t="s">
        <v>1175</v>
      </c>
      <c r="HP560" s="351"/>
      <c r="HQ560" s="351"/>
      <c r="HR560" s="346">
        <f>+FISC!Z782</f>
        <v>0</v>
      </c>
      <c r="HS560" s="302">
        <f>SUM(CQ560:CV560)</f>
        <v>0</v>
      </c>
      <c r="HT560" s="302">
        <f>SUM(CW560:DB560)</f>
        <v>0</v>
      </c>
      <c r="HU560" s="346">
        <f>SUM(CQ560:DB560)</f>
        <v>0</v>
      </c>
      <c r="HV560" s="302">
        <f>+SUM(DC560:DH560)</f>
        <v>0</v>
      </c>
      <c r="HW560" s="302">
        <f>+SUM(DI560:DN560)</f>
        <v>0</v>
      </c>
      <c r="HX560" s="346">
        <v>0</v>
      </c>
      <c r="HY560" s="302">
        <f>+SUM(DO560:DT560)</f>
        <v>0</v>
      </c>
      <c r="HZ560" s="302">
        <f t="shared" si="329"/>
        <v>0</v>
      </c>
      <c r="IA560" s="346">
        <f t="shared" si="297"/>
        <v>0</v>
      </c>
      <c r="IB560" s="302">
        <f>+ID560/2</f>
        <v>0</v>
      </c>
      <c r="IC560" s="302">
        <f t="shared" si="324"/>
        <v>0</v>
      </c>
      <c r="ID560" s="346">
        <f>FISC!AC782</f>
        <v>0</v>
      </c>
      <c r="IE560" s="302">
        <f t="shared" si="330"/>
        <v>0</v>
      </c>
      <c r="IF560" s="302">
        <f t="shared" si="331"/>
        <v>0</v>
      </c>
      <c r="IG560" s="346">
        <f t="shared" si="201"/>
        <v>0</v>
      </c>
      <c r="IH560" s="302">
        <f>IJ560</f>
        <v>0</v>
      </c>
      <c r="II560" s="302">
        <f>(IJ560-IH560)</f>
        <v>0</v>
      </c>
      <c r="IJ560" s="346">
        <f>+FISC!AE782</f>
        <v>0</v>
      </c>
      <c r="IK560" s="302">
        <f>IM560</f>
        <v>0</v>
      </c>
      <c r="IL560" s="302">
        <f t="shared" si="280"/>
        <v>0</v>
      </c>
      <c r="IM560" s="346">
        <f>+FISC!AF782</f>
        <v>0</v>
      </c>
      <c r="IN560" s="302">
        <f t="shared" si="292"/>
        <v>0</v>
      </c>
      <c r="IO560" s="302">
        <f t="shared" si="334"/>
        <v>0</v>
      </c>
      <c r="IP560" s="346">
        <f>+FISC!AG782</f>
        <v>0</v>
      </c>
      <c r="IQ560" s="302">
        <f t="shared" si="293"/>
        <v>0</v>
      </c>
      <c r="IR560" s="302">
        <f t="shared" si="281"/>
        <v>0</v>
      </c>
      <c r="IS560" s="346">
        <f>+FISC!AH782</f>
        <v>0</v>
      </c>
      <c r="IT560" s="302">
        <f t="shared" si="294"/>
        <v>0</v>
      </c>
      <c r="IU560" s="302">
        <f t="shared" si="282"/>
        <v>0</v>
      </c>
      <c r="IV560" s="346">
        <f>+FISC!AI782</f>
        <v>0</v>
      </c>
      <c r="IW560" s="302">
        <f t="shared" si="295"/>
        <v>0</v>
      </c>
      <c r="IX560" s="302">
        <f t="shared" si="283"/>
        <v>0</v>
      </c>
      <c r="IY560" s="346">
        <f>+FISC!AJ782</f>
        <v>0</v>
      </c>
      <c r="IZ560" s="302">
        <f t="shared" si="296"/>
        <v>0</v>
      </c>
      <c r="JA560" s="302">
        <f t="shared" si="284"/>
        <v>0</v>
      </c>
      <c r="JB560" s="346">
        <f>+FISC!AK782</f>
        <v>0</v>
      </c>
      <c r="JC560" s="346"/>
      <c r="KI560" s="349"/>
      <c r="KJ560" s="350"/>
    </row>
    <row r="561" spans="1:302">
      <c r="A561" s="302"/>
      <c r="B561" s="117" t="s">
        <v>361</v>
      </c>
      <c r="D561" s="351" t="str">
        <f>+FISC!D783</f>
        <v>KCC Working capital (interest)</v>
      </c>
      <c r="E561" s="346"/>
      <c r="F561" s="346"/>
      <c r="G561" s="346"/>
      <c r="H561" s="346"/>
      <c r="I561" s="346"/>
      <c r="J561" s="346"/>
      <c r="K561" s="346"/>
      <c r="L561" s="346"/>
      <c r="M561" s="346"/>
      <c r="N561" s="346"/>
      <c r="O561" s="346"/>
      <c r="P561" s="346"/>
      <c r="Q561" s="346"/>
      <c r="R561" s="346"/>
      <c r="S561" s="346"/>
      <c r="T561" s="346"/>
      <c r="U561" s="346"/>
      <c r="V561" s="346"/>
      <c r="W561" s="346"/>
      <c r="X561" s="346"/>
      <c r="Y561" s="346"/>
      <c r="Z561" s="346"/>
      <c r="AA561" s="346"/>
      <c r="AB561" s="346"/>
      <c r="AC561" s="346"/>
      <c r="AD561" s="346"/>
      <c r="AE561" s="346"/>
      <c r="AF561" s="346"/>
      <c r="AG561" s="346"/>
      <c r="AH561" s="346"/>
      <c r="AI561" s="346"/>
      <c r="AJ561" s="346"/>
      <c r="AK561" s="346"/>
      <c r="AL561" s="346"/>
      <c r="AM561" s="346"/>
      <c r="AN561" s="346"/>
      <c r="AO561" s="346"/>
      <c r="AP561" s="346"/>
      <c r="AQ561" s="346"/>
      <c r="AR561" s="346"/>
      <c r="AS561" s="346"/>
      <c r="AT561" s="346"/>
      <c r="AU561" s="346"/>
      <c r="AV561" s="346"/>
      <c r="AW561" s="346"/>
      <c r="AX561" s="346"/>
      <c r="AY561" s="346"/>
      <c r="AZ561" s="346"/>
      <c r="BA561" s="346"/>
      <c r="BB561" s="346"/>
      <c r="BC561" s="346"/>
      <c r="BD561" s="346"/>
      <c r="BE561" s="346"/>
      <c r="BF561" s="346"/>
      <c r="BG561" s="346"/>
      <c r="BH561" s="346"/>
      <c r="BI561" s="346"/>
      <c r="BJ561" s="346"/>
      <c r="BK561" s="346"/>
      <c r="BL561" s="346"/>
      <c r="BM561" s="346"/>
      <c r="BN561" s="346"/>
      <c r="BO561" s="346"/>
      <c r="BP561" s="346"/>
      <c r="BQ561" s="346"/>
      <c r="BR561" s="346"/>
      <c r="BS561" s="346"/>
      <c r="BT561" s="346"/>
      <c r="BU561" s="346"/>
      <c r="BV561" s="346"/>
      <c r="BW561" s="346"/>
      <c r="BX561" s="346"/>
      <c r="BY561" s="346"/>
      <c r="BZ561" s="346"/>
      <c r="CA561" s="346"/>
      <c r="CB561" s="346"/>
      <c r="CC561" s="346"/>
      <c r="CD561" s="346"/>
      <c r="CE561" s="347">
        <f t="shared" ref="CE561:DB561" si="336">CE290</f>
        <v>0</v>
      </c>
      <c r="CF561" s="346">
        <f t="shared" si="336"/>
        <v>14.183386008999999</v>
      </c>
      <c r="CG561" s="346">
        <f t="shared" si="336"/>
        <v>1.3150049660000001</v>
      </c>
      <c r="CH561" s="346">
        <f t="shared" si="336"/>
        <v>0</v>
      </c>
      <c r="CI561" s="346">
        <f t="shared" si="336"/>
        <v>0</v>
      </c>
      <c r="CJ561" s="346">
        <f t="shared" si="336"/>
        <v>0</v>
      </c>
      <c r="CK561" s="346">
        <f t="shared" si="336"/>
        <v>6.8012285700000001</v>
      </c>
      <c r="CL561" s="346">
        <f t="shared" si="336"/>
        <v>0</v>
      </c>
      <c r="CM561" s="346">
        <f t="shared" si="336"/>
        <v>13.671248</v>
      </c>
      <c r="CN561" s="346">
        <f t="shared" si="336"/>
        <v>0</v>
      </c>
      <c r="CO561" s="346">
        <f t="shared" si="336"/>
        <v>0</v>
      </c>
      <c r="CP561" s="348">
        <f t="shared" si="336"/>
        <v>13.7748042</v>
      </c>
      <c r="CQ561" s="346">
        <f t="shared" si="336"/>
        <v>0</v>
      </c>
      <c r="CR561" s="346">
        <f t="shared" si="336"/>
        <v>0</v>
      </c>
      <c r="CS561" s="346">
        <f t="shared" si="336"/>
        <v>0</v>
      </c>
      <c r="CT561" s="346">
        <f t="shared" si="336"/>
        <v>0</v>
      </c>
      <c r="CU561" s="346">
        <f t="shared" si="336"/>
        <v>0</v>
      </c>
      <c r="CV561" s="346">
        <f t="shared" si="336"/>
        <v>0</v>
      </c>
      <c r="CW561" s="346">
        <f t="shared" si="336"/>
        <v>0</v>
      </c>
      <c r="CX561" s="346">
        <f t="shared" si="336"/>
        <v>0</v>
      </c>
      <c r="CY561" s="346">
        <f t="shared" si="336"/>
        <v>0</v>
      </c>
      <c r="CZ561" s="346">
        <f t="shared" si="336"/>
        <v>0</v>
      </c>
      <c r="DA561" s="346">
        <f t="shared" si="336"/>
        <v>0</v>
      </c>
      <c r="DB561" s="1479">
        <f t="shared" si="336"/>
        <v>0</v>
      </c>
      <c r="DC561" s="346">
        <f t="shared" ref="DC561:EX561" si="337">DC290+DC289</f>
        <v>0</v>
      </c>
      <c r="DD561" s="346">
        <f t="shared" si="337"/>
        <v>10.047593833000001</v>
      </c>
      <c r="DE561" s="346">
        <f t="shared" si="337"/>
        <v>5.2989860530000001</v>
      </c>
      <c r="DF561" s="346">
        <f t="shared" si="337"/>
        <v>0</v>
      </c>
      <c r="DG561" s="346">
        <f t="shared" si="337"/>
        <v>0</v>
      </c>
      <c r="DH561" s="346">
        <f t="shared" si="337"/>
        <v>0</v>
      </c>
      <c r="DI561" s="346">
        <f t="shared" si="337"/>
        <v>0</v>
      </c>
      <c r="DJ561" s="346">
        <f t="shared" si="337"/>
        <v>0</v>
      </c>
      <c r="DK561" s="346">
        <f t="shared" si="337"/>
        <v>0</v>
      </c>
      <c r="DL561" s="346">
        <f t="shared" si="337"/>
        <v>0</v>
      </c>
      <c r="DM561" s="346">
        <f t="shared" si="337"/>
        <v>0</v>
      </c>
      <c r="DN561" s="348">
        <f t="shared" si="337"/>
        <v>4</v>
      </c>
      <c r="DO561" s="346">
        <f t="shared" si="337"/>
        <v>0</v>
      </c>
      <c r="DP561" s="346">
        <f t="shared" si="337"/>
        <v>0</v>
      </c>
      <c r="DQ561" s="346">
        <f t="shared" si="337"/>
        <v>0</v>
      </c>
      <c r="DR561" s="346">
        <f t="shared" si="337"/>
        <v>0</v>
      </c>
      <c r="DS561" s="346">
        <f t="shared" si="337"/>
        <v>0</v>
      </c>
      <c r="DT561" s="346">
        <f t="shared" si="337"/>
        <v>0</v>
      </c>
      <c r="DU561" s="346">
        <f t="shared" si="337"/>
        <v>0</v>
      </c>
      <c r="DV561" s="346">
        <f t="shared" si="337"/>
        <v>0</v>
      </c>
      <c r="DW561" s="346">
        <f t="shared" si="337"/>
        <v>0</v>
      </c>
      <c r="DX561" s="346">
        <f t="shared" si="337"/>
        <v>0</v>
      </c>
      <c r="DY561" s="346">
        <f t="shared" si="337"/>
        <v>0</v>
      </c>
      <c r="DZ561" s="348">
        <f t="shared" si="337"/>
        <v>0</v>
      </c>
      <c r="EA561" s="346">
        <f t="shared" si="337"/>
        <v>0</v>
      </c>
      <c r="EB561" s="346">
        <f t="shared" si="337"/>
        <v>2.4822225320000002</v>
      </c>
      <c r="EC561" s="346">
        <f t="shared" si="337"/>
        <v>2.301061716</v>
      </c>
      <c r="ED561" s="346">
        <f t="shared" si="337"/>
        <v>0</v>
      </c>
      <c r="EE561" s="346">
        <f t="shared" si="337"/>
        <v>2.2010924460000001</v>
      </c>
      <c r="EF561" s="346">
        <f t="shared" si="337"/>
        <v>0</v>
      </c>
      <c r="EG561" s="346">
        <f t="shared" si="337"/>
        <v>0</v>
      </c>
      <c r="EH561" s="346">
        <f t="shared" si="337"/>
        <v>0.31044890400000003</v>
      </c>
      <c r="EI561" s="346">
        <f t="shared" si="337"/>
        <v>0</v>
      </c>
      <c r="EJ561" s="346">
        <f t="shared" si="337"/>
        <v>3.8319179239999999</v>
      </c>
      <c r="EK561" s="346">
        <f t="shared" si="337"/>
        <v>0</v>
      </c>
      <c r="EL561" s="348">
        <f t="shared" si="337"/>
        <v>0</v>
      </c>
      <c r="EM561" s="346">
        <f t="shared" si="337"/>
        <v>0</v>
      </c>
      <c r="EN561" s="346">
        <f t="shared" si="337"/>
        <v>3.8014540480000001</v>
      </c>
      <c r="EO561" s="346">
        <f t="shared" si="337"/>
        <v>3.5872649980000002</v>
      </c>
      <c r="EP561" s="346">
        <f t="shared" si="337"/>
        <v>0</v>
      </c>
      <c r="EQ561" s="346">
        <f t="shared" si="337"/>
        <v>0</v>
      </c>
      <c r="ER561" s="346">
        <f t="shared" si="337"/>
        <v>1.50152022</v>
      </c>
      <c r="ES561" s="346">
        <f t="shared" si="337"/>
        <v>2.8859739630000001</v>
      </c>
      <c r="ET561" s="346">
        <f t="shared" si="337"/>
        <v>0</v>
      </c>
      <c r="EU561" s="346">
        <f t="shared" si="337"/>
        <v>1.4644046749999999</v>
      </c>
      <c r="EV561" s="346">
        <f t="shared" si="337"/>
        <v>2.8887351529999998</v>
      </c>
      <c r="EW561" s="346">
        <f t="shared" si="337"/>
        <v>0</v>
      </c>
      <c r="EX561" s="348">
        <f t="shared" si="337"/>
        <v>1.4644046749999999</v>
      </c>
      <c r="EY561" s="346"/>
      <c r="EZ561" s="346"/>
      <c r="FA561" s="346"/>
      <c r="FB561" s="346"/>
      <c r="FC561" s="346"/>
      <c r="FD561" s="346"/>
      <c r="FE561" s="346"/>
      <c r="FF561" s="346"/>
      <c r="FG561" s="346"/>
      <c r="FH561" s="346"/>
      <c r="FI561" s="346"/>
      <c r="FJ561" s="348"/>
      <c r="FK561" s="346"/>
      <c r="FL561" s="346"/>
      <c r="FM561" s="346"/>
      <c r="FN561" s="346"/>
      <c r="FO561" s="346"/>
      <c r="FP561" s="346"/>
      <c r="FQ561" s="346"/>
      <c r="FR561" s="346"/>
      <c r="FS561" s="346"/>
      <c r="FT561" s="346"/>
      <c r="FU561" s="346"/>
      <c r="FV561" s="346"/>
      <c r="FW561" s="346"/>
      <c r="FX561" s="346"/>
      <c r="FY561" s="346"/>
      <c r="FZ561" s="346"/>
      <c r="GA561" s="346"/>
      <c r="GB561" s="346"/>
      <c r="GC561" s="346"/>
      <c r="GD561" s="346"/>
      <c r="GE561" s="346"/>
      <c r="GF561" s="346"/>
      <c r="GG561" s="346"/>
      <c r="GH561" s="346"/>
      <c r="GI561" s="346"/>
      <c r="GJ561" s="346"/>
      <c r="GK561" s="346"/>
      <c r="GL561" s="346"/>
      <c r="GM561" s="346"/>
      <c r="GN561" s="346"/>
      <c r="GO561" s="346"/>
      <c r="GP561" s="346"/>
      <c r="GQ561" s="346"/>
      <c r="GR561" s="346"/>
      <c r="GS561" s="346"/>
      <c r="GT561" s="346"/>
      <c r="GU561" s="346"/>
      <c r="GV561" s="346"/>
      <c r="GW561" s="346"/>
      <c r="GX561" s="346"/>
      <c r="GY561" s="346"/>
      <c r="GZ561" s="346"/>
      <c r="HA561" s="346"/>
      <c r="HB561" s="346"/>
      <c r="HC561" s="346"/>
      <c r="HD561" s="346"/>
      <c r="HE561" s="346"/>
      <c r="HF561" s="346"/>
      <c r="HG561" s="346"/>
      <c r="HH561" s="346"/>
      <c r="HI561" s="346"/>
      <c r="HJ561" s="346"/>
      <c r="HK561" s="346"/>
      <c r="HL561" s="346"/>
      <c r="HM561" s="346"/>
      <c r="HN561" s="349"/>
      <c r="HO561" s="351" t="s">
        <v>1135</v>
      </c>
      <c r="HP561" s="351"/>
      <c r="HQ561" s="351"/>
      <c r="HR561" s="346">
        <f>+FISC!Z783</f>
        <v>25.7</v>
      </c>
      <c r="HS561" s="302">
        <f>SUM(CQ561:CV561)</f>
        <v>0</v>
      </c>
      <c r="HT561" s="302">
        <f>SUM(CW561:DB561)</f>
        <v>0</v>
      </c>
      <c r="HU561" s="346">
        <f>SUM(CQ561:DB561)</f>
        <v>0</v>
      </c>
      <c r="HV561" s="302">
        <f>+SUM(DC561:DH561)</f>
        <v>15.346579886000001</v>
      </c>
      <c r="HW561" s="302">
        <f>+SUM(DI561:DN561)</f>
        <v>4</v>
      </c>
      <c r="HX561" s="346">
        <f>HV561+HW561</f>
        <v>19.346579886000001</v>
      </c>
      <c r="HY561" s="302">
        <f>+SUM(DO561:DT561)</f>
        <v>0</v>
      </c>
      <c r="HZ561" s="302">
        <f t="shared" si="329"/>
        <v>0</v>
      </c>
      <c r="IA561" s="346">
        <f t="shared" si="297"/>
        <v>0</v>
      </c>
      <c r="IB561" s="302">
        <v>6.9843766939999998</v>
      </c>
      <c r="IC561" s="302">
        <f t="shared" si="324"/>
        <v>4.1423668280000001</v>
      </c>
      <c r="ID561" s="346">
        <f>FISC!AC783</f>
        <v>11.126743522</v>
      </c>
      <c r="IE561" s="302">
        <f t="shared" si="330"/>
        <v>8.890239266</v>
      </c>
      <c r="IF561" s="302">
        <f t="shared" si="331"/>
        <v>8.7035184660000002</v>
      </c>
      <c r="IG561" s="346">
        <f t="shared" si="201"/>
        <v>17.593757732</v>
      </c>
      <c r="IH561" s="302">
        <f>+(IJ561/2)*0+8.881724847</f>
        <v>8.8817248469999992</v>
      </c>
      <c r="II561" s="302">
        <f>(IJ561-IH561)</f>
        <v>0.15428301113949949</v>
      </c>
      <c r="IJ561" s="346">
        <f>+FISC!AE783</f>
        <v>9.0360078581394987</v>
      </c>
      <c r="IK561" s="302">
        <f>+(IM561/2)</f>
        <v>8.0140661550321806</v>
      </c>
      <c r="IL561" s="302">
        <f t="shared" si="280"/>
        <v>8.0140661550321806</v>
      </c>
      <c r="IM561" s="346">
        <f>+FISC!AF783+FISC!AF784</f>
        <v>16.028132310064361</v>
      </c>
      <c r="IN561" s="302">
        <f>+(IP561/2)</f>
        <v>7.7897671762712504</v>
      </c>
      <c r="IO561" s="302">
        <f t="shared" si="334"/>
        <v>7.7897671762712504</v>
      </c>
      <c r="IP561" s="346">
        <f>+FISC!AG783</f>
        <v>15.579534352542501</v>
      </c>
      <c r="IQ561" s="302">
        <f>+(IS561/2)</f>
        <v>8.2007443957829</v>
      </c>
      <c r="IR561" s="302">
        <f t="shared" si="281"/>
        <v>8.2007443957829</v>
      </c>
      <c r="IS561" s="346">
        <f>+FISC!AH783</f>
        <v>16.4014887915658</v>
      </c>
      <c r="IT561" s="302">
        <f>+(IV561/2)</f>
        <v>0</v>
      </c>
      <c r="IU561" s="302">
        <f t="shared" si="282"/>
        <v>0</v>
      </c>
      <c r="IV561" s="346">
        <f>+FISC!AI783</f>
        <v>0</v>
      </c>
      <c r="IW561" s="302">
        <f>+(IY561/2)</f>
        <v>0</v>
      </c>
      <c r="IX561" s="302">
        <f t="shared" si="283"/>
        <v>0</v>
      </c>
      <c r="IY561" s="346">
        <f>+FISC!AJ783</f>
        <v>0</v>
      </c>
      <c r="IZ561" s="302">
        <f>+(JB561/2)</f>
        <v>0</v>
      </c>
      <c r="JA561" s="302">
        <f t="shared" si="284"/>
        <v>0</v>
      </c>
      <c r="JB561" s="346">
        <f>+FISC!AK783</f>
        <v>0</v>
      </c>
      <c r="JC561" s="346"/>
      <c r="KI561" s="349"/>
    </row>
    <row r="562" spans="1:302">
      <c r="A562" s="302"/>
      <c r="D562" s="351" t="s">
        <v>1198</v>
      </c>
      <c r="E562" s="346"/>
      <c r="F562" s="346"/>
      <c r="G562" s="346"/>
      <c r="H562" s="346"/>
      <c r="I562" s="346"/>
      <c r="J562" s="346"/>
      <c r="K562" s="346"/>
      <c r="L562" s="346"/>
      <c r="M562" s="346"/>
      <c r="N562" s="346"/>
      <c r="O562" s="346"/>
      <c r="P562" s="346"/>
      <c r="Q562" s="346"/>
      <c r="R562" s="346"/>
      <c r="S562" s="346"/>
      <c r="T562" s="346"/>
      <c r="U562" s="346"/>
      <c r="V562" s="346"/>
      <c r="W562" s="346"/>
      <c r="X562" s="346"/>
      <c r="Y562" s="346"/>
      <c r="Z562" s="346"/>
      <c r="AA562" s="346"/>
      <c r="AB562" s="346"/>
      <c r="AC562" s="346"/>
      <c r="AD562" s="346"/>
      <c r="AE562" s="346"/>
      <c r="AF562" s="346"/>
      <c r="AG562" s="346"/>
      <c r="AH562" s="346"/>
      <c r="AI562" s="346"/>
      <c r="AJ562" s="346"/>
      <c r="AK562" s="346"/>
      <c r="AL562" s="346"/>
      <c r="AM562" s="346"/>
      <c r="AN562" s="346"/>
      <c r="AO562" s="346"/>
      <c r="AP562" s="346"/>
      <c r="AQ562" s="346"/>
      <c r="AR562" s="346"/>
      <c r="AS562" s="346"/>
      <c r="AT562" s="346"/>
      <c r="AU562" s="346"/>
      <c r="AV562" s="346"/>
      <c r="AW562" s="346"/>
      <c r="AX562" s="346"/>
      <c r="AY562" s="346"/>
      <c r="AZ562" s="346"/>
      <c r="BA562" s="346"/>
      <c r="BB562" s="346"/>
      <c r="BC562" s="346"/>
      <c r="BD562" s="346"/>
      <c r="BE562" s="346"/>
      <c r="BF562" s="346"/>
      <c r="BG562" s="346"/>
      <c r="BH562" s="346"/>
      <c r="BI562" s="346"/>
      <c r="BJ562" s="346"/>
      <c r="BK562" s="346"/>
      <c r="BL562" s="346"/>
      <c r="BM562" s="346"/>
      <c r="BN562" s="346"/>
      <c r="BO562" s="346"/>
      <c r="BP562" s="346"/>
      <c r="BQ562" s="346"/>
      <c r="BR562" s="346"/>
      <c r="BS562" s="346"/>
      <c r="BT562" s="346"/>
      <c r="BU562" s="346"/>
      <c r="BV562" s="346"/>
      <c r="BW562" s="346"/>
      <c r="BX562" s="346"/>
      <c r="BY562" s="346"/>
      <c r="BZ562" s="346"/>
      <c r="CA562" s="346"/>
      <c r="CB562" s="346"/>
      <c r="CC562" s="346"/>
      <c r="CD562" s="346"/>
      <c r="CE562" s="347"/>
      <c r="CF562" s="346"/>
      <c r="CG562" s="346"/>
      <c r="CH562" s="346"/>
      <c r="CI562" s="346"/>
      <c r="CJ562" s="346"/>
      <c r="CK562" s="346"/>
      <c r="CL562" s="346"/>
      <c r="CM562" s="346"/>
      <c r="CN562" s="346"/>
      <c r="CO562" s="346"/>
      <c r="CP562" s="348"/>
      <c r="CQ562" s="346"/>
      <c r="CR562" s="346"/>
      <c r="CS562" s="346"/>
      <c r="CT562" s="346"/>
      <c r="CU562" s="346"/>
      <c r="CV562" s="346"/>
      <c r="CW562" s="346"/>
      <c r="CX562" s="346"/>
      <c r="CY562" s="346"/>
      <c r="CZ562" s="346"/>
      <c r="DA562" s="346"/>
      <c r="DB562" s="1479"/>
      <c r="DC562" s="346"/>
      <c r="DD562" s="346"/>
      <c r="DE562" s="346"/>
      <c r="DF562" s="346"/>
      <c r="DG562" s="346"/>
      <c r="DH562" s="346"/>
      <c r="DI562" s="346"/>
      <c r="DJ562" s="346"/>
      <c r="DK562" s="346"/>
      <c r="DL562" s="346"/>
      <c r="DM562" s="346">
        <f t="shared" ref="DM562:EX562" si="338">DM293</f>
        <v>0</v>
      </c>
      <c r="DN562" s="348">
        <f t="shared" si="338"/>
        <v>0</v>
      </c>
      <c r="DO562" s="346">
        <f t="shared" si="338"/>
        <v>0</v>
      </c>
      <c r="DP562" s="346">
        <f t="shared" si="338"/>
        <v>0</v>
      </c>
      <c r="DQ562" s="346">
        <f t="shared" si="338"/>
        <v>0</v>
      </c>
      <c r="DR562" s="346">
        <f t="shared" si="338"/>
        <v>0</v>
      </c>
      <c r="DS562" s="346">
        <f t="shared" si="338"/>
        <v>0</v>
      </c>
      <c r="DT562" s="346">
        <f t="shared" si="338"/>
        <v>0</v>
      </c>
      <c r="DU562" s="346">
        <f t="shared" si="338"/>
        <v>0</v>
      </c>
      <c r="DV562" s="346">
        <f t="shared" si="338"/>
        <v>0</v>
      </c>
      <c r="DW562" s="346">
        <f t="shared" si="338"/>
        <v>0</v>
      </c>
      <c r="DX562" s="346">
        <f t="shared" si="338"/>
        <v>0</v>
      </c>
      <c r="DY562" s="346">
        <f t="shared" si="338"/>
        <v>0</v>
      </c>
      <c r="DZ562" s="348">
        <f t="shared" si="338"/>
        <v>0</v>
      </c>
      <c r="EA562" s="346">
        <f t="shared" si="338"/>
        <v>0</v>
      </c>
      <c r="EB562" s="346">
        <f t="shared" si="338"/>
        <v>0</v>
      </c>
      <c r="EC562" s="346">
        <f t="shared" si="338"/>
        <v>2.4750000000000001</v>
      </c>
      <c r="ED562" s="346">
        <f t="shared" si="338"/>
        <v>0</v>
      </c>
      <c r="EE562" s="346">
        <f t="shared" si="338"/>
        <v>0</v>
      </c>
      <c r="EF562" s="346">
        <f t="shared" si="338"/>
        <v>0</v>
      </c>
      <c r="EG562" s="346">
        <f t="shared" si="338"/>
        <v>2.4750000000000001</v>
      </c>
      <c r="EH562" s="346">
        <f t="shared" si="338"/>
        <v>0</v>
      </c>
      <c r="EI562" s="346">
        <f t="shared" si="338"/>
        <v>0</v>
      </c>
      <c r="EJ562" s="346">
        <f t="shared" si="338"/>
        <v>2.4750000000000001</v>
      </c>
      <c r="EK562" s="346">
        <f t="shared" si="338"/>
        <v>0</v>
      </c>
      <c r="EL562" s="348">
        <f t="shared" si="338"/>
        <v>0</v>
      </c>
      <c r="EM562" s="346">
        <f t="shared" si="338"/>
        <v>2.4750000000000001</v>
      </c>
      <c r="EN562" s="346">
        <f t="shared" si="338"/>
        <v>0</v>
      </c>
      <c r="EO562" s="346">
        <f t="shared" si="338"/>
        <v>2.4750000000000001</v>
      </c>
      <c r="EP562" s="346">
        <f t="shared" si="338"/>
        <v>0</v>
      </c>
      <c r="EQ562" s="346">
        <f t="shared" si="338"/>
        <v>0</v>
      </c>
      <c r="ER562" s="346">
        <f t="shared" si="338"/>
        <v>2.4750000000000001</v>
      </c>
      <c r="ES562" s="346">
        <f t="shared" si="338"/>
        <v>0</v>
      </c>
      <c r="ET562" s="346">
        <f t="shared" si="338"/>
        <v>0</v>
      </c>
      <c r="EU562" s="346">
        <f t="shared" si="338"/>
        <v>2.4750000000000001</v>
      </c>
      <c r="EV562" s="346">
        <f t="shared" si="338"/>
        <v>0</v>
      </c>
      <c r="EW562" s="346">
        <f t="shared" si="338"/>
        <v>0</v>
      </c>
      <c r="EX562" s="348">
        <f t="shared" si="338"/>
        <v>2.4750000000000001</v>
      </c>
      <c r="EY562" s="346"/>
      <c r="EZ562" s="346"/>
      <c r="FA562" s="346"/>
      <c r="FB562" s="346"/>
      <c r="FC562" s="346"/>
      <c r="FD562" s="346"/>
      <c r="FE562" s="346"/>
      <c r="FF562" s="346"/>
      <c r="FG562" s="346"/>
      <c r="FH562" s="346"/>
      <c r="FI562" s="346"/>
      <c r="FJ562" s="348"/>
      <c r="FK562" s="346"/>
      <c r="FL562" s="346"/>
      <c r="FM562" s="346"/>
      <c r="FN562" s="346"/>
      <c r="FO562" s="346"/>
      <c r="FP562" s="346"/>
      <c r="FQ562" s="346"/>
      <c r="FR562" s="346"/>
      <c r="FS562" s="346"/>
      <c r="FT562" s="346"/>
      <c r="FU562" s="346"/>
      <c r="FV562" s="346"/>
      <c r="FW562" s="346"/>
      <c r="FX562" s="346"/>
      <c r="FY562" s="346"/>
      <c r="FZ562" s="346"/>
      <c r="GA562" s="346"/>
      <c r="GB562" s="346"/>
      <c r="GC562" s="346"/>
      <c r="GD562" s="346"/>
      <c r="GE562" s="346"/>
      <c r="GF562" s="346"/>
      <c r="GG562" s="346"/>
      <c r="GH562" s="346"/>
      <c r="GI562" s="346"/>
      <c r="GJ562" s="346"/>
      <c r="GK562" s="346"/>
      <c r="GL562" s="346"/>
      <c r="GM562" s="346"/>
      <c r="GN562" s="346"/>
      <c r="GO562" s="346"/>
      <c r="GP562" s="346"/>
      <c r="GQ562" s="346"/>
      <c r="GR562" s="346"/>
      <c r="GS562" s="346"/>
      <c r="GT562" s="346"/>
      <c r="GU562" s="346"/>
      <c r="GV562" s="346"/>
      <c r="GW562" s="346"/>
      <c r="GX562" s="346"/>
      <c r="GY562" s="346"/>
      <c r="GZ562" s="346"/>
      <c r="HA562" s="346"/>
      <c r="HB562" s="346"/>
      <c r="HC562" s="346"/>
      <c r="HD562" s="346"/>
      <c r="HE562" s="346"/>
      <c r="HF562" s="346"/>
      <c r="HG562" s="346"/>
      <c r="HH562" s="346"/>
      <c r="HI562" s="346"/>
      <c r="HJ562" s="346"/>
      <c r="HK562" s="346"/>
      <c r="HL562" s="346"/>
      <c r="HM562" s="346"/>
      <c r="HN562" s="349"/>
      <c r="HO562" s="351" t="s">
        <v>1198</v>
      </c>
      <c r="HP562" s="351"/>
      <c r="HQ562" s="351"/>
      <c r="HR562" s="346"/>
      <c r="HS562" s="350"/>
      <c r="HU562" s="346"/>
      <c r="HX562" s="346"/>
      <c r="HY562" s="302">
        <f>+SUM(DO562:DT562)</f>
        <v>0</v>
      </c>
      <c r="HZ562" s="302">
        <f t="shared" si="329"/>
        <v>0</v>
      </c>
      <c r="IA562" s="346">
        <f>HY562+HZ562</f>
        <v>0</v>
      </c>
      <c r="IB562" s="302">
        <f>(ID562/2)*0+2.475</f>
        <v>2.4750000000000001</v>
      </c>
      <c r="IC562" s="302">
        <f t="shared" si="324"/>
        <v>4.9500000000000011</v>
      </c>
      <c r="ID562" s="346">
        <f>FISC!AC785</f>
        <v>7.4250000000000007</v>
      </c>
      <c r="IE562" s="302">
        <f t="shared" si="330"/>
        <v>7.4250000000000007</v>
      </c>
      <c r="IF562" s="302">
        <f t="shared" si="331"/>
        <v>4.95</v>
      </c>
      <c r="IG562" s="346">
        <f t="shared" si="201"/>
        <v>12.375</v>
      </c>
      <c r="IH562" s="1248">
        <v>0</v>
      </c>
      <c r="II562" s="302">
        <v>0</v>
      </c>
      <c r="IJ562" s="302">
        <v>0</v>
      </c>
      <c r="IK562" s="350">
        <f>+(IM562/2)</f>
        <v>0</v>
      </c>
      <c r="IL562" s="302">
        <f t="shared" si="280"/>
        <v>0</v>
      </c>
      <c r="IM562" s="346">
        <f>+FISC!AF785</f>
        <v>0</v>
      </c>
      <c r="IN562" s="350">
        <f>+(IP562/2)</f>
        <v>0</v>
      </c>
      <c r="IO562" s="302">
        <f t="shared" si="334"/>
        <v>0</v>
      </c>
      <c r="IP562" s="346">
        <f>+FISC!AG785</f>
        <v>0</v>
      </c>
      <c r="IQ562" s="350">
        <f>+(IS562/2)</f>
        <v>0</v>
      </c>
      <c r="IR562" s="302">
        <f t="shared" si="281"/>
        <v>0</v>
      </c>
      <c r="IS562" s="346">
        <f>+FISC!AH785</f>
        <v>0</v>
      </c>
      <c r="IT562" s="350">
        <f>+(IV562/2)</f>
        <v>0</v>
      </c>
      <c r="IU562" s="302">
        <f t="shared" si="282"/>
        <v>0</v>
      </c>
      <c r="IV562" s="346">
        <f>+FISC!AI785</f>
        <v>0</v>
      </c>
      <c r="IW562" s="350">
        <f>+(IY562/2)</f>
        <v>0</v>
      </c>
      <c r="IX562" s="302">
        <f t="shared" si="283"/>
        <v>0</v>
      </c>
      <c r="IY562" s="346">
        <f>+FISC!AJ785</f>
        <v>0</v>
      </c>
      <c r="IZ562" s="350">
        <f>+(JB562/2)</f>
        <v>0</v>
      </c>
      <c r="JA562" s="302">
        <f t="shared" si="284"/>
        <v>0</v>
      </c>
      <c r="JB562" s="346">
        <f>+FISC!AK785</f>
        <v>0</v>
      </c>
      <c r="JC562" s="346"/>
      <c r="KI562" s="349"/>
      <c r="KL562" s="350"/>
    </row>
    <row r="563" spans="1:302">
      <c r="A563" s="302"/>
      <c r="D563" s="351"/>
      <c r="E563" s="346"/>
      <c r="F563" s="346"/>
      <c r="G563" s="346"/>
      <c r="H563" s="346"/>
      <c r="I563" s="346"/>
      <c r="J563" s="346"/>
      <c r="K563" s="346"/>
      <c r="L563" s="346"/>
      <c r="M563" s="346"/>
      <c r="N563" s="346"/>
      <c r="O563" s="346"/>
      <c r="P563" s="346"/>
      <c r="Q563" s="346"/>
      <c r="R563" s="346"/>
      <c r="S563" s="346"/>
      <c r="T563" s="346"/>
      <c r="U563" s="346"/>
      <c r="V563" s="346"/>
      <c r="W563" s="346"/>
      <c r="X563" s="346"/>
      <c r="Y563" s="346"/>
      <c r="Z563" s="346"/>
      <c r="AA563" s="346"/>
      <c r="AB563" s="346"/>
      <c r="AC563" s="346"/>
      <c r="AD563" s="346"/>
      <c r="AE563" s="346"/>
      <c r="AF563" s="346"/>
      <c r="AG563" s="346"/>
      <c r="AH563" s="346"/>
      <c r="AI563" s="346"/>
      <c r="AJ563" s="346"/>
      <c r="AK563" s="346"/>
      <c r="AL563" s="346"/>
      <c r="AM563" s="346"/>
      <c r="AN563" s="346"/>
      <c r="AO563" s="346"/>
      <c r="AP563" s="346"/>
      <c r="AQ563" s="346"/>
      <c r="AR563" s="346"/>
      <c r="AS563" s="346"/>
      <c r="AT563" s="346"/>
      <c r="AU563" s="346"/>
      <c r="AV563" s="346"/>
      <c r="AW563" s="346"/>
      <c r="AX563" s="346"/>
      <c r="AY563" s="346"/>
      <c r="AZ563" s="346"/>
      <c r="BA563" s="346"/>
      <c r="BB563" s="346"/>
      <c r="BC563" s="346"/>
      <c r="BD563" s="346"/>
      <c r="BE563" s="346"/>
      <c r="BF563" s="346"/>
      <c r="BG563" s="346"/>
      <c r="BH563" s="346"/>
      <c r="BI563" s="346"/>
      <c r="BJ563" s="346"/>
      <c r="BK563" s="346"/>
      <c r="BL563" s="346"/>
      <c r="BM563" s="346"/>
      <c r="BN563" s="346"/>
      <c r="BO563" s="346"/>
      <c r="BP563" s="346"/>
      <c r="BQ563" s="346"/>
      <c r="BR563" s="346"/>
      <c r="BS563" s="346"/>
      <c r="BT563" s="346"/>
      <c r="BU563" s="346"/>
      <c r="BV563" s="346"/>
      <c r="BW563" s="346"/>
      <c r="BX563" s="346"/>
      <c r="BY563" s="346"/>
      <c r="BZ563" s="346"/>
      <c r="CA563" s="346"/>
      <c r="CB563" s="346"/>
      <c r="CC563" s="346"/>
      <c r="CD563" s="346"/>
      <c r="CE563" s="347"/>
      <c r="CF563" s="346"/>
      <c r="CG563" s="346"/>
      <c r="CH563" s="346"/>
      <c r="CI563" s="346"/>
      <c r="CJ563" s="346"/>
      <c r="CK563" s="346"/>
      <c r="CL563" s="346"/>
      <c r="CM563" s="346"/>
      <c r="CN563" s="346"/>
      <c r="CO563" s="346"/>
      <c r="CP563" s="348"/>
      <c r="CQ563" s="346"/>
      <c r="CR563" s="346"/>
      <c r="CS563" s="346"/>
      <c r="CT563" s="346"/>
      <c r="CU563" s="346"/>
      <c r="CV563" s="346"/>
      <c r="CW563" s="346"/>
      <c r="CX563" s="346"/>
      <c r="CY563" s="346"/>
      <c r="CZ563" s="346"/>
      <c r="DA563" s="346"/>
      <c r="DB563" s="1479"/>
      <c r="DC563" s="346"/>
      <c r="DD563" s="346"/>
      <c r="DE563" s="346"/>
      <c r="DF563" s="346"/>
      <c r="DG563" s="346"/>
      <c r="DH563" s="346"/>
      <c r="DI563" s="346"/>
      <c r="DJ563" s="346"/>
      <c r="DK563" s="346"/>
      <c r="DL563" s="346"/>
      <c r="DM563" s="346"/>
      <c r="DN563" s="348"/>
      <c r="DO563" s="346"/>
      <c r="DP563" s="346"/>
      <c r="DQ563" s="346"/>
      <c r="DR563" s="346"/>
      <c r="DS563" s="346"/>
      <c r="DT563" s="346"/>
      <c r="DU563" s="346"/>
      <c r="DV563" s="346"/>
      <c r="DW563" s="346"/>
      <c r="DX563" s="346"/>
      <c r="DY563" s="346"/>
      <c r="DZ563" s="348"/>
      <c r="EA563" s="346"/>
      <c r="EB563" s="346"/>
      <c r="EC563" s="346"/>
      <c r="ED563" s="346"/>
      <c r="EE563" s="346"/>
      <c r="EF563" s="346"/>
      <c r="EG563" s="346"/>
      <c r="EH563" s="346"/>
      <c r="EI563" s="346"/>
      <c r="EJ563" s="346"/>
      <c r="EK563" s="346"/>
      <c r="EL563" s="348"/>
      <c r="EM563" s="346"/>
      <c r="EN563" s="346"/>
      <c r="EO563" s="346"/>
      <c r="EP563" s="346"/>
      <c r="EQ563" s="346"/>
      <c r="ER563" s="346"/>
      <c r="ES563" s="346"/>
      <c r="ET563" s="346"/>
      <c r="EU563" s="346"/>
      <c r="EV563" s="346"/>
      <c r="EW563" s="346"/>
      <c r="EX563" s="348"/>
      <c r="EY563" s="346"/>
      <c r="EZ563" s="346"/>
      <c r="FA563" s="346"/>
      <c r="FB563" s="346"/>
      <c r="FC563" s="346"/>
      <c r="FD563" s="346"/>
      <c r="FE563" s="346"/>
      <c r="FF563" s="346"/>
      <c r="FG563" s="346"/>
      <c r="FH563" s="346"/>
      <c r="FI563" s="346"/>
      <c r="FJ563" s="348"/>
      <c r="FK563" s="346"/>
      <c r="FL563" s="346"/>
      <c r="FM563" s="346"/>
      <c r="FN563" s="346"/>
      <c r="FO563" s="346"/>
      <c r="FP563" s="346"/>
      <c r="FQ563" s="346"/>
      <c r="FR563" s="346"/>
      <c r="FS563" s="346"/>
      <c r="FT563" s="346"/>
      <c r="FU563" s="346"/>
      <c r="FV563" s="346"/>
      <c r="FW563" s="346"/>
      <c r="FX563" s="346"/>
      <c r="FY563" s="346"/>
      <c r="FZ563" s="346"/>
      <c r="GA563" s="346"/>
      <c r="GB563" s="346"/>
      <c r="GC563" s="346"/>
      <c r="GD563" s="346"/>
      <c r="GE563" s="346"/>
      <c r="GF563" s="346"/>
      <c r="GG563" s="346"/>
      <c r="GH563" s="346"/>
      <c r="GI563" s="346"/>
      <c r="GJ563" s="346"/>
      <c r="GK563" s="346"/>
      <c r="GL563" s="346"/>
      <c r="GM563" s="346"/>
      <c r="GN563" s="346"/>
      <c r="GO563" s="346"/>
      <c r="GP563" s="346"/>
      <c r="GQ563" s="346"/>
      <c r="GR563" s="346"/>
      <c r="GS563" s="346"/>
      <c r="GT563" s="346"/>
      <c r="GU563" s="346"/>
      <c r="GV563" s="346"/>
      <c r="GW563" s="346"/>
      <c r="GX563" s="346"/>
      <c r="GY563" s="346"/>
      <c r="GZ563" s="346"/>
      <c r="HA563" s="346"/>
      <c r="HB563" s="346"/>
      <c r="HC563" s="346"/>
      <c r="HD563" s="346"/>
      <c r="HE563" s="346"/>
      <c r="HF563" s="346"/>
      <c r="HG563" s="346"/>
      <c r="HH563" s="346"/>
      <c r="HI563" s="346"/>
      <c r="HJ563" s="346"/>
      <c r="HK563" s="346"/>
      <c r="HL563" s="346"/>
      <c r="HM563" s="346"/>
      <c r="HN563" s="349"/>
      <c r="HO563" s="1240" t="str">
        <f>FISC!D786</f>
        <v>Business Support Fund</v>
      </c>
      <c r="HP563" s="1240"/>
      <c r="HQ563" s="1240"/>
      <c r="HR563" s="346"/>
      <c r="HS563" s="350"/>
      <c r="HU563" s="346"/>
      <c r="HX563" s="346"/>
      <c r="IA563" s="346"/>
      <c r="ID563" s="346"/>
      <c r="IG563" s="346"/>
      <c r="IH563" s="1248"/>
      <c r="II563" s="302">
        <f>IJ563</f>
        <v>56.234146377749013</v>
      </c>
      <c r="IJ563" s="302">
        <f>FISC!AE786</f>
        <v>56.234146377749013</v>
      </c>
      <c r="IK563" s="350">
        <f>IM563</f>
        <v>38.579909886519495</v>
      </c>
      <c r="IL563" s="302">
        <v>0</v>
      </c>
      <c r="IM563" s="346">
        <f>FISC!AF786</f>
        <v>38.579909886519495</v>
      </c>
      <c r="IN563" s="350"/>
      <c r="IP563" s="346"/>
      <c r="IQ563" s="350"/>
      <c r="IS563" s="346"/>
      <c r="IT563" s="350"/>
      <c r="IV563" s="346"/>
      <c r="IW563" s="350"/>
      <c r="IY563" s="346"/>
      <c r="IZ563" s="350"/>
      <c r="JB563" s="346"/>
      <c r="JC563" s="346"/>
      <c r="KI563" s="349"/>
      <c r="KL563" s="350"/>
    </row>
    <row r="564" spans="1:302">
      <c r="A564" s="302"/>
      <c r="B564" s="117" t="s">
        <v>361</v>
      </c>
      <c r="D564" s="351" t="str">
        <f>+FISC!D787</f>
        <v>Export Promotion</v>
      </c>
      <c r="E564" s="346"/>
      <c r="F564" s="346"/>
      <c r="G564" s="346"/>
      <c r="H564" s="346"/>
      <c r="I564" s="346"/>
      <c r="J564" s="346"/>
      <c r="K564" s="346"/>
      <c r="L564" s="346"/>
      <c r="M564" s="346"/>
      <c r="N564" s="346"/>
      <c r="O564" s="346"/>
      <c r="P564" s="346"/>
      <c r="Q564" s="346"/>
      <c r="R564" s="346"/>
      <c r="S564" s="346"/>
      <c r="T564" s="346"/>
      <c r="U564" s="346"/>
      <c r="V564" s="346"/>
      <c r="W564" s="346"/>
      <c r="X564" s="346"/>
      <c r="Y564" s="346"/>
      <c r="Z564" s="346"/>
      <c r="AA564" s="346"/>
      <c r="AB564" s="346"/>
      <c r="AC564" s="346"/>
      <c r="AD564" s="346"/>
      <c r="AE564" s="346"/>
      <c r="AF564" s="346"/>
      <c r="AG564" s="346"/>
      <c r="AH564" s="346"/>
      <c r="AI564" s="346"/>
      <c r="AJ564" s="346"/>
      <c r="AK564" s="346"/>
      <c r="AL564" s="346"/>
      <c r="AM564" s="346"/>
      <c r="AN564" s="346"/>
      <c r="AO564" s="346"/>
      <c r="AP564" s="346"/>
      <c r="AQ564" s="346"/>
      <c r="AR564" s="346"/>
      <c r="AS564" s="346"/>
      <c r="AT564" s="346"/>
      <c r="AU564" s="346"/>
      <c r="AV564" s="346"/>
      <c r="AW564" s="346"/>
      <c r="AX564" s="346"/>
      <c r="AY564" s="346"/>
      <c r="AZ564" s="346"/>
      <c r="BA564" s="346"/>
      <c r="BB564" s="346"/>
      <c r="BC564" s="346"/>
      <c r="BD564" s="346"/>
      <c r="BE564" s="346"/>
      <c r="BF564" s="346"/>
      <c r="BG564" s="346"/>
      <c r="BH564" s="346"/>
      <c r="BI564" s="346"/>
      <c r="BJ564" s="346"/>
      <c r="BK564" s="346"/>
      <c r="BL564" s="346"/>
      <c r="BM564" s="346"/>
      <c r="BN564" s="346"/>
      <c r="BO564" s="346"/>
      <c r="BP564" s="346"/>
      <c r="BQ564" s="346"/>
      <c r="BR564" s="346"/>
      <c r="BS564" s="346"/>
      <c r="BT564" s="346"/>
      <c r="BU564" s="346"/>
      <c r="BV564" s="346"/>
      <c r="BW564" s="346"/>
      <c r="BX564" s="346"/>
      <c r="BY564" s="346"/>
      <c r="BZ564" s="346"/>
      <c r="CA564" s="346"/>
      <c r="CB564" s="346"/>
      <c r="CC564" s="346"/>
      <c r="CD564" s="346"/>
      <c r="CE564" s="347">
        <f t="shared" ref="CE564:DJ564" si="339">CE291</f>
        <v>9.9999999999999995E-7</v>
      </c>
      <c r="CF564" s="346">
        <f t="shared" si="339"/>
        <v>1.8277169999999999E-2</v>
      </c>
      <c r="CG564" s="346">
        <f t="shared" si="339"/>
        <v>9.9999999999999995E-7</v>
      </c>
      <c r="CH564" s="346">
        <f t="shared" si="339"/>
        <v>9.9999999999999995E-7</v>
      </c>
      <c r="CI564" s="346">
        <f t="shared" si="339"/>
        <v>1.4218449999999999E-3</v>
      </c>
      <c r="CJ564" s="346">
        <f t="shared" si="339"/>
        <v>0.214671625</v>
      </c>
      <c r="CK564" s="346">
        <f t="shared" si="339"/>
        <v>9.9999999999999995E-7</v>
      </c>
      <c r="CL564" s="346">
        <f t="shared" si="339"/>
        <v>2.1207330000000001E-3</v>
      </c>
      <c r="CM564" s="346">
        <f t="shared" si="339"/>
        <v>0.20000100000000001</v>
      </c>
      <c r="CN564" s="346">
        <f t="shared" si="339"/>
        <v>0</v>
      </c>
      <c r="CO564" s="346">
        <f t="shared" si="339"/>
        <v>3.0600019999999999</v>
      </c>
      <c r="CP564" s="348">
        <f t="shared" si="339"/>
        <v>0.20000100000000001</v>
      </c>
      <c r="CQ564" s="346">
        <f t="shared" si="339"/>
        <v>1.27E-4</v>
      </c>
      <c r="CR564" s="346">
        <f t="shared" si="339"/>
        <v>0.12633565399999999</v>
      </c>
      <c r="CS564" s="346">
        <f t="shared" si="339"/>
        <v>1.0016021799999999</v>
      </c>
      <c r="CT564" s="346">
        <f t="shared" si="339"/>
        <v>0</v>
      </c>
      <c r="CU564" s="346">
        <f t="shared" si="339"/>
        <v>0</v>
      </c>
      <c r="CV564" s="346">
        <f t="shared" si="339"/>
        <v>0</v>
      </c>
      <c r="CW564" s="346">
        <f t="shared" si="339"/>
        <v>3.0000000000000001E-6</v>
      </c>
      <c r="CX564" s="346">
        <f t="shared" si="339"/>
        <v>3.444234545</v>
      </c>
      <c r="CY564" s="346">
        <f t="shared" si="339"/>
        <v>3.0000000000000001E-6</v>
      </c>
      <c r="CZ564" s="346">
        <f t="shared" si="339"/>
        <v>0</v>
      </c>
      <c r="DA564" s="346">
        <f t="shared" si="339"/>
        <v>0</v>
      </c>
      <c r="DB564" s="1479">
        <f t="shared" si="339"/>
        <v>0</v>
      </c>
      <c r="DC564" s="346">
        <f t="shared" si="339"/>
        <v>2</v>
      </c>
      <c r="DD564" s="346">
        <f t="shared" si="339"/>
        <v>0</v>
      </c>
      <c r="DE564" s="346">
        <f t="shared" si="339"/>
        <v>0.65602491200000002</v>
      </c>
      <c r="DF564" s="346">
        <f t="shared" si="339"/>
        <v>0</v>
      </c>
      <c r="DG564" s="346">
        <f t="shared" si="339"/>
        <v>0</v>
      </c>
      <c r="DH564" s="346">
        <f t="shared" si="339"/>
        <v>0</v>
      </c>
      <c r="DI564" s="346">
        <f t="shared" si="339"/>
        <v>14.474183633999999</v>
      </c>
      <c r="DJ564" s="346">
        <f t="shared" si="339"/>
        <v>7.2376928280000001</v>
      </c>
      <c r="DK564" s="346">
        <f t="shared" ref="DK564:EP564" si="340">DK291</f>
        <v>0</v>
      </c>
      <c r="DL564" s="346">
        <f t="shared" si="340"/>
        <v>0</v>
      </c>
      <c r="DM564" s="346">
        <f t="shared" si="340"/>
        <v>0</v>
      </c>
      <c r="DN564" s="348">
        <f t="shared" si="340"/>
        <v>1.3441120769999999</v>
      </c>
      <c r="DO564" s="346">
        <f t="shared" si="340"/>
        <v>0</v>
      </c>
      <c r="DP564" s="346">
        <f t="shared" si="340"/>
        <v>0</v>
      </c>
      <c r="DQ564" s="346">
        <f t="shared" si="340"/>
        <v>0</v>
      </c>
      <c r="DR564" s="346">
        <f t="shared" si="340"/>
        <v>3.1717466289999998</v>
      </c>
      <c r="DS564" s="346">
        <f t="shared" si="340"/>
        <v>0</v>
      </c>
      <c r="DT564" s="346">
        <f t="shared" si="340"/>
        <v>0</v>
      </c>
      <c r="DU564" s="346">
        <f t="shared" si="340"/>
        <v>8.8216977379999992</v>
      </c>
      <c r="DV564" s="346">
        <f t="shared" si="340"/>
        <v>0</v>
      </c>
      <c r="DW564" s="346">
        <f t="shared" si="340"/>
        <v>4.6969709660000003</v>
      </c>
      <c r="DX564" s="346">
        <f t="shared" si="340"/>
        <v>0</v>
      </c>
      <c r="DY564" s="346">
        <f t="shared" si="340"/>
        <v>5.7878699569999998</v>
      </c>
      <c r="DZ564" s="348">
        <f t="shared" si="340"/>
        <v>3.358288172</v>
      </c>
      <c r="EA564" s="346">
        <f t="shared" si="340"/>
        <v>0</v>
      </c>
      <c r="EB564" s="346">
        <f t="shared" si="340"/>
        <v>5.6743909199999996</v>
      </c>
      <c r="EC564" s="346">
        <f t="shared" si="340"/>
        <v>2.4779663460000001</v>
      </c>
      <c r="ED564" s="346">
        <f t="shared" si="340"/>
        <v>0</v>
      </c>
      <c r="EE564" s="346">
        <f t="shared" si="340"/>
        <v>1.1881884439999999</v>
      </c>
      <c r="EF564" s="346">
        <f t="shared" si="340"/>
        <v>5.8281546979999996</v>
      </c>
      <c r="EG564" s="346">
        <f t="shared" si="340"/>
        <v>1.318658063</v>
      </c>
      <c r="EH564" s="346">
        <f t="shared" si="340"/>
        <v>1.335683653</v>
      </c>
      <c r="EI564" s="346">
        <f t="shared" si="340"/>
        <v>6.9573450130000003</v>
      </c>
      <c r="EJ564" s="346">
        <f t="shared" si="340"/>
        <v>5.2700060999999998</v>
      </c>
      <c r="EK564" s="346">
        <f t="shared" si="340"/>
        <v>4.6473487310000001</v>
      </c>
      <c r="EL564" s="348">
        <f t="shared" si="340"/>
        <v>0</v>
      </c>
      <c r="EM564" s="346">
        <f t="shared" si="340"/>
        <v>1.089983948</v>
      </c>
      <c r="EN564" s="346">
        <f t="shared" si="340"/>
        <v>1.64</v>
      </c>
      <c r="EO564" s="346">
        <f t="shared" si="340"/>
        <v>0</v>
      </c>
      <c r="EP564" s="346">
        <f t="shared" si="340"/>
        <v>2.8430625379999999</v>
      </c>
      <c r="EQ564" s="346">
        <f t="shared" ref="EQ564:EX564" si="341">EQ291</f>
        <v>0</v>
      </c>
      <c r="ER564" s="346">
        <f t="shared" si="341"/>
        <v>2.2999999999999998</v>
      </c>
      <c r="ES564" s="346">
        <f t="shared" si="341"/>
        <v>0.6</v>
      </c>
      <c r="ET564" s="346">
        <f t="shared" si="341"/>
        <v>0</v>
      </c>
      <c r="EU564" s="346">
        <f t="shared" si="341"/>
        <v>10</v>
      </c>
      <c r="EV564" s="346">
        <f t="shared" si="341"/>
        <v>0</v>
      </c>
      <c r="EW564" s="346">
        <f t="shared" si="341"/>
        <v>4.7840405849999996</v>
      </c>
      <c r="EX564" s="348">
        <f t="shared" si="341"/>
        <v>16.3</v>
      </c>
      <c r="EY564" s="346"/>
      <c r="EZ564" s="346"/>
      <c r="FA564" s="346"/>
      <c r="FB564" s="346"/>
      <c r="FC564" s="346"/>
      <c r="FD564" s="346"/>
      <c r="FE564" s="346"/>
      <c r="FF564" s="346"/>
      <c r="FG564" s="346"/>
      <c r="FH564" s="346"/>
      <c r="FI564" s="346"/>
      <c r="FJ564" s="348"/>
      <c r="FK564" s="346"/>
      <c r="FL564" s="346"/>
      <c r="FM564" s="346"/>
      <c r="FN564" s="346"/>
      <c r="FO564" s="346"/>
      <c r="FP564" s="346"/>
      <c r="FQ564" s="346"/>
      <c r="FR564" s="346"/>
      <c r="FS564" s="346"/>
      <c r="FT564" s="346"/>
      <c r="FU564" s="346"/>
      <c r="FV564" s="346"/>
      <c r="FW564" s="346"/>
      <c r="FX564" s="346"/>
      <c r="FY564" s="346"/>
      <c r="FZ564" s="346"/>
      <c r="GA564" s="346"/>
      <c r="GB564" s="346"/>
      <c r="GC564" s="346"/>
      <c r="GD564" s="346"/>
      <c r="GE564" s="346"/>
      <c r="GF564" s="346"/>
      <c r="GG564" s="346"/>
      <c r="GH564" s="346"/>
      <c r="GI564" s="346"/>
      <c r="GJ564" s="346"/>
      <c r="GK564" s="346"/>
      <c r="GL564" s="346"/>
      <c r="GM564" s="346"/>
      <c r="GN564" s="346"/>
      <c r="GO564" s="346"/>
      <c r="GP564" s="346"/>
      <c r="GQ564" s="346"/>
      <c r="GR564" s="346"/>
      <c r="GS564" s="346"/>
      <c r="GT564" s="346"/>
      <c r="GU564" s="346"/>
      <c r="GV564" s="346"/>
      <c r="GW564" s="346"/>
      <c r="GX564" s="346"/>
      <c r="GY564" s="346"/>
      <c r="GZ564" s="346"/>
      <c r="HA564" s="346"/>
      <c r="HB564" s="346"/>
      <c r="HC564" s="346"/>
      <c r="HD564" s="346"/>
      <c r="HE564" s="346"/>
      <c r="HF564" s="346"/>
      <c r="HG564" s="346"/>
      <c r="HH564" s="346"/>
      <c r="HI564" s="346"/>
      <c r="HJ564" s="346"/>
      <c r="HK564" s="346"/>
      <c r="HL564" s="346"/>
      <c r="HM564" s="346"/>
      <c r="HN564" s="349"/>
      <c r="HO564" s="351" t="s">
        <v>172</v>
      </c>
      <c r="HP564" s="351"/>
      <c r="HQ564" s="351"/>
      <c r="HR564" s="346">
        <f>+FISC!Z787</f>
        <v>32.4</v>
      </c>
      <c r="HS564" s="302">
        <f>SUM(CQ564:CV564)</f>
        <v>1.1280648339999999</v>
      </c>
      <c r="HT564" s="302">
        <f>SUM(CW564:DB564)</f>
        <v>3.444240545</v>
      </c>
      <c r="HU564" s="346">
        <f>SUM(CQ564:DB564)</f>
        <v>4.5723053790000003</v>
      </c>
      <c r="HV564" s="302">
        <f>+SUM(DC564:DH564)</f>
        <v>2.6560249119999999</v>
      </c>
      <c r="HW564" s="302">
        <f>+SUM(DI564:DN564)</f>
        <v>23.055988538999998</v>
      </c>
      <c r="HX564" s="346">
        <f>HV564+HW564</f>
        <v>25.712013450999997</v>
      </c>
      <c r="HY564" s="302">
        <f>+SUM(DO564:DT564)</f>
        <v>3.1717466289999998</v>
      </c>
      <c r="HZ564" s="302">
        <f>SUM(DU564:DZ564)</f>
        <v>22.664826832999999</v>
      </c>
      <c r="IA564" s="346">
        <f t="shared" si="297"/>
        <v>25.836573462</v>
      </c>
      <c r="IB564" s="302">
        <v>15.168700407999999</v>
      </c>
      <c r="IC564" s="302">
        <f t="shared" si="324"/>
        <v>19.529041560000003</v>
      </c>
      <c r="ID564" s="346">
        <f>FISC!AC787</f>
        <v>34.697741968000003</v>
      </c>
      <c r="IE564" s="302">
        <f t="shared" ref="IE564:IE576" si="342">SUM(EM564:ER564)</f>
        <v>7.8730464859999998</v>
      </c>
      <c r="IF564" s="302">
        <f t="shared" ref="IF564:IF576" si="343">SUM(ES564:EX564)</f>
        <v>31.684040584999998</v>
      </c>
      <c r="IG564" s="346">
        <f t="shared" si="201"/>
        <v>39.557087070999998</v>
      </c>
      <c r="IH564" s="302">
        <v>16.639381263000001</v>
      </c>
      <c r="II564" s="302">
        <f>+IJ564-IH564</f>
        <v>87.670076218525296</v>
      </c>
      <c r="IJ564" s="346">
        <f>+FISC!AE787</f>
        <v>104.3094574815253</v>
      </c>
      <c r="IK564" s="302">
        <f>+(IM564/2)*0+40.4506350033699</f>
        <v>40.450635003369896</v>
      </c>
      <c r="IL564" s="302">
        <f t="shared" si="280"/>
        <v>51.833354134390802</v>
      </c>
      <c r="IM564" s="346">
        <f>+FISC!AF787</f>
        <v>92.283989137760699</v>
      </c>
      <c r="IN564" s="302">
        <f>+(IP564/2)</f>
        <v>53.154728740762501</v>
      </c>
      <c r="IO564" s="302">
        <f t="shared" si="334"/>
        <v>53.154728740762501</v>
      </c>
      <c r="IP564" s="346">
        <f>+FISC!AG787</f>
        <v>106.309457481525</v>
      </c>
      <c r="IQ564" s="302">
        <f>+(IS564/2)</f>
        <v>40.858359628839715</v>
      </c>
      <c r="IR564" s="302">
        <f t="shared" si="281"/>
        <v>40.858359628839715</v>
      </c>
      <c r="IS564" s="346">
        <f>+FISC!AH787</f>
        <v>81.716719257679429</v>
      </c>
      <c r="IT564" s="302">
        <f>+(IV564/2)</f>
        <v>20.429179814419857</v>
      </c>
      <c r="IU564" s="302">
        <f t="shared" si="282"/>
        <v>20.429179814419857</v>
      </c>
      <c r="IV564" s="346">
        <f>+FISC!AI787</f>
        <v>40.858359628839715</v>
      </c>
      <c r="IW564" s="302">
        <f>+(IY564/2)</f>
        <v>10.214589907209929</v>
      </c>
      <c r="IX564" s="302">
        <f t="shared" si="283"/>
        <v>10.214589907209929</v>
      </c>
      <c r="IY564" s="346">
        <f>+FISC!AJ787</f>
        <v>20.429179814419857</v>
      </c>
      <c r="IZ564" s="302">
        <f>+(JB564/2)</f>
        <v>5.1072949536049643</v>
      </c>
      <c r="JA564" s="302">
        <f t="shared" si="284"/>
        <v>5.1072949536049643</v>
      </c>
      <c r="JB564" s="346">
        <f>+FISC!AK787</f>
        <v>10.214589907209929</v>
      </c>
      <c r="JC564" s="346"/>
      <c r="KI564" s="349"/>
      <c r="KJ564" s="350"/>
    </row>
    <row r="565" spans="1:302">
      <c r="A565" s="302"/>
      <c r="B565" s="117" t="s">
        <v>361</v>
      </c>
      <c r="D565" s="351" t="str">
        <f>+FISC!D788</f>
        <v>Loan</v>
      </c>
      <c r="E565" s="346"/>
      <c r="F565" s="346"/>
      <c r="G565" s="346"/>
      <c r="H565" s="346"/>
      <c r="I565" s="346"/>
      <c r="J565" s="346"/>
      <c r="K565" s="346"/>
      <c r="L565" s="346"/>
      <c r="M565" s="346"/>
      <c r="N565" s="346"/>
      <c r="O565" s="346"/>
      <c r="P565" s="346"/>
      <c r="Q565" s="346"/>
      <c r="R565" s="346"/>
      <c r="S565" s="346"/>
      <c r="T565" s="346"/>
      <c r="U565" s="346"/>
      <c r="V565" s="346"/>
      <c r="W565" s="346"/>
      <c r="X565" s="346"/>
      <c r="Y565" s="346"/>
      <c r="Z565" s="346"/>
      <c r="AA565" s="346"/>
      <c r="AB565" s="346"/>
      <c r="AC565" s="346"/>
      <c r="AD565" s="346"/>
      <c r="AE565" s="346"/>
      <c r="AF565" s="346"/>
      <c r="AG565" s="346"/>
      <c r="AH565" s="346"/>
      <c r="AI565" s="346"/>
      <c r="AJ565" s="346"/>
      <c r="AK565" s="346"/>
      <c r="AL565" s="346"/>
      <c r="AM565" s="346"/>
      <c r="AN565" s="346"/>
      <c r="AO565" s="346"/>
      <c r="AP565" s="346"/>
      <c r="AQ565" s="346"/>
      <c r="AR565" s="346"/>
      <c r="AS565" s="346"/>
      <c r="AT565" s="346"/>
      <c r="AU565" s="346"/>
      <c r="AV565" s="346"/>
      <c r="AW565" s="346"/>
      <c r="AX565" s="346"/>
      <c r="AY565" s="346"/>
      <c r="AZ565" s="346"/>
      <c r="BA565" s="346"/>
      <c r="BB565" s="346"/>
      <c r="BC565" s="346"/>
      <c r="BD565" s="346"/>
      <c r="BE565" s="346"/>
      <c r="BF565" s="346"/>
      <c r="BG565" s="346"/>
      <c r="BH565" s="346"/>
      <c r="BI565" s="346"/>
      <c r="BJ565" s="346"/>
      <c r="BK565" s="346"/>
      <c r="BL565" s="346"/>
      <c r="BM565" s="346"/>
      <c r="BN565" s="346"/>
      <c r="BO565" s="346"/>
      <c r="BP565" s="346"/>
      <c r="BQ565" s="346"/>
      <c r="BR565" s="346"/>
      <c r="BS565" s="346"/>
      <c r="BT565" s="346"/>
      <c r="BU565" s="346"/>
      <c r="BV565" s="346"/>
      <c r="BW565" s="346"/>
      <c r="BX565" s="346"/>
      <c r="BY565" s="346"/>
      <c r="BZ565" s="346"/>
      <c r="CA565" s="346"/>
      <c r="CB565" s="346"/>
      <c r="CC565" s="346"/>
      <c r="CD565" s="346"/>
      <c r="CE565" s="347"/>
      <c r="CF565" s="346"/>
      <c r="CG565" s="346"/>
      <c r="CH565" s="346"/>
      <c r="CI565" s="346"/>
      <c r="CJ565" s="346"/>
      <c r="CK565" s="346"/>
      <c r="CL565" s="346"/>
      <c r="CM565" s="346"/>
      <c r="CN565" s="346"/>
      <c r="CO565" s="346"/>
      <c r="CP565" s="348"/>
      <c r="CQ565" s="346"/>
      <c r="CR565" s="346"/>
      <c r="CS565" s="346"/>
      <c r="CT565" s="346"/>
      <c r="CU565" s="346"/>
      <c r="CV565" s="346"/>
      <c r="CW565" s="346"/>
      <c r="CX565" s="346"/>
      <c r="CY565" s="346"/>
      <c r="CZ565" s="346"/>
      <c r="DA565" s="346"/>
      <c r="DB565" s="1479"/>
      <c r="DC565" s="346"/>
      <c r="DD565" s="346"/>
      <c r="DE565" s="346"/>
      <c r="DF565" s="346"/>
      <c r="DG565" s="346"/>
      <c r="DH565" s="346"/>
      <c r="DI565" s="346"/>
      <c r="DJ565" s="346"/>
      <c r="DK565" s="346"/>
      <c r="DL565" s="346"/>
      <c r="DM565" s="346"/>
      <c r="DN565" s="348"/>
      <c r="DO565" s="346"/>
      <c r="DP565" s="346"/>
      <c r="DQ565" s="346"/>
      <c r="DR565" s="346"/>
      <c r="DS565" s="346"/>
      <c r="DT565" s="346"/>
      <c r="DU565" s="346"/>
      <c r="DV565" s="346"/>
      <c r="DW565" s="346"/>
      <c r="DX565" s="346"/>
      <c r="DY565" s="346"/>
      <c r="DZ565" s="348"/>
      <c r="EA565" s="346"/>
      <c r="EB565" s="346"/>
      <c r="EC565" s="346"/>
      <c r="ED565" s="346"/>
      <c r="EE565" s="346"/>
      <c r="EF565" s="346"/>
      <c r="EG565" s="346"/>
      <c r="EH565" s="346"/>
      <c r="EI565" s="346"/>
      <c r="EJ565" s="346"/>
      <c r="EK565" s="346"/>
      <c r="EL565" s="348"/>
      <c r="EM565" s="346"/>
      <c r="EN565" s="346"/>
      <c r="EO565" s="346"/>
      <c r="EP565" s="346"/>
      <c r="EQ565" s="346"/>
      <c r="ER565" s="346"/>
      <c r="ES565" s="346"/>
      <c r="ET565" s="346"/>
      <c r="EU565" s="346"/>
      <c r="EV565" s="346"/>
      <c r="EW565" s="346"/>
      <c r="EX565" s="348"/>
      <c r="EY565" s="346"/>
      <c r="EZ565" s="346"/>
      <c r="FA565" s="346"/>
      <c r="FB565" s="346"/>
      <c r="FC565" s="346"/>
      <c r="FD565" s="346"/>
      <c r="FE565" s="346"/>
      <c r="FF565" s="346"/>
      <c r="FG565" s="346"/>
      <c r="FH565" s="346"/>
      <c r="FI565" s="346"/>
      <c r="FJ565" s="348"/>
      <c r="FK565" s="346"/>
      <c r="FL565" s="346"/>
      <c r="FM565" s="346"/>
      <c r="FN565" s="346"/>
      <c r="FO565" s="346"/>
      <c r="FP565" s="346"/>
      <c r="FQ565" s="346"/>
      <c r="FR565" s="346"/>
      <c r="FS565" s="346"/>
      <c r="FT565" s="346"/>
      <c r="FU565" s="346"/>
      <c r="FV565" s="346"/>
      <c r="FW565" s="346"/>
      <c r="FX565" s="346"/>
      <c r="FY565" s="346"/>
      <c r="FZ565" s="346"/>
      <c r="GA565" s="346"/>
      <c r="GB565" s="346"/>
      <c r="GC565" s="346"/>
      <c r="GD565" s="346"/>
      <c r="GE565" s="346"/>
      <c r="GF565" s="346"/>
      <c r="GG565" s="346"/>
      <c r="GH565" s="346"/>
      <c r="GI565" s="346"/>
      <c r="GJ565" s="346"/>
      <c r="GK565" s="346"/>
      <c r="GL565" s="346"/>
      <c r="GM565" s="346"/>
      <c r="GN565" s="346"/>
      <c r="GO565" s="346"/>
      <c r="GP565" s="346"/>
      <c r="GQ565" s="346"/>
      <c r="GR565" s="346"/>
      <c r="GS565" s="346"/>
      <c r="GT565" s="346"/>
      <c r="GU565" s="346"/>
      <c r="GV565" s="346"/>
      <c r="GW565" s="346"/>
      <c r="GX565" s="346"/>
      <c r="GY565" s="346"/>
      <c r="GZ565" s="346"/>
      <c r="HA565" s="346"/>
      <c r="HB565" s="346"/>
      <c r="HC565" s="346"/>
      <c r="HD565" s="346"/>
      <c r="HE565" s="346"/>
      <c r="HF565" s="346"/>
      <c r="HG565" s="346"/>
      <c r="HH565" s="346"/>
      <c r="HI565" s="346"/>
      <c r="HJ565" s="346"/>
      <c r="HK565" s="346"/>
      <c r="HL565" s="346"/>
      <c r="HM565" s="346"/>
      <c r="HN565" s="349"/>
      <c r="HO565" s="351" t="s">
        <v>173</v>
      </c>
      <c r="HP565" s="351"/>
      <c r="HQ565" s="351"/>
      <c r="HR565" s="346">
        <f>+FISC!Z788</f>
        <v>0</v>
      </c>
      <c r="HS565" s="302">
        <f>SUM(CQ565:CV565)</f>
        <v>0</v>
      </c>
      <c r="HT565" s="302">
        <f>SUM(CW565:DB565)</f>
        <v>0</v>
      </c>
      <c r="HU565" s="346">
        <f>SUM(CQ565:DB565)</f>
        <v>0</v>
      </c>
      <c r="HV565" s="302">
        <f>+SUM(DC565:DH565)</f>
        <v>0</v>
      </c>
      <c r="HW565" s="302">
        <f>+HX565-HV565</f>
        <v>0</v>
      </c>
      <c r="HX565" s="346">
        <v>0</v>
      </c>
      <c r="HY565" s="302">
        <f>+SUM(DO565:DT565)</f>
        <v>0</v>
      </c>
      <c r="HZ565" s="302">
        <f>SUM(DU565:DZ565)</f>
        <v>0</v>
      </c>
      <c r="IA565" s="346">
        <f t="shared" si="297"/>
        <v>0</v>
      </c>
      <c r="IB565" s="302">
        <f>+ID565/2</f>
        <v>0</v>
      </c>
      <c r="IC565" s="302">
        <f t="shared" si="324"/>
        <v>0</v>
      </c>
      <c r="ID565" s="346">
        <f>FISC!AC788</f>
        <v>0</v>
      </c>
      <c r="IE565" s="302">
        <f t="shared" si="342"/>
        <v>0</v>
      </c>
      <c r="IF565" s="302">
        <f t="shared" si="343"/>
        <v>0</v>
      </c>
      <c r="IG565" s="346">
        <f t="shared" si="201"/>
        <v>0</v>
      </c>
      <c r="IH565" s="350"/>
      <c r="II565" s="350"/>
      <c r="IJ565" s="346">
        <f>+FISC!AE788</f>
        <v>0</v>
      </c>
      <c r="IK565" s="302">
        <f>IM565*JI565</f>
        <v>0</v>
      </c>
      <c r="IL565" s="302">
        <f t="shared" si="280"/>
        <v>0</v>
      </c>
      <c r="IM565" s="346">
        <f>+FISC!AF788</f>
        <v>0</v>
      </c>
      <c r="IN565" s="302">
        <f t="shared" si="292"/>
        <v>0</v>
      </c>
      <c r="IO565" s="302">
        <f t="shared" si="334"/>
        <v>0</v>
      </c>
      <c r="IP565" s="346">
        <f>+FISC!AG788</f>
        <v>0</v>
      </c>
      <c r="IQ565" s="302">
        <f t="shared" si="293"/>
        <v>0</v>
      </c>
      <c r="IR565" s="302">
        <f t="shared" si="281"/>
        <v>0</v>
      </c>
      <c r="IS565" s="346">
        <f>+FISC!AH788</f>
        <v>0</v>
      </c>
      <c r="IT565" s="302">
        <f t="shared" si="294"/>
        <v>0</v>
      </c>
      <c r="IU565" s="302">
        <f t="shared" si="282"/>
        <v>0</v>
      </c>
      <c r="IV565" s="346">
        <f>+FISC!AI788</f>
        <v>0</v>
      </c>
      <c r="IW565" s="302">
        <f t="shared" si="295"/>
        <v>0</v>
      </c>
      <c r="IX565" s="302">
        <f t="shared" si="283"/>
        <v>0</v>
      </c>
      <c r="IY565" s="346">
        <f>+FISC!AJ788</f>
        <v>0</v>
      </c>
      <c r="IZ565" s="302">
        <f t="shared" si="296"/>
        <v>0</v>
      </c>
      <c r="JA565" s="302">
        <f t="shared" si="284"/>
        <v>0</v>
      </c>
      <c r="JB565" s="346">
        <f>+FISC!AK788</f>
        <v>0</v>
      </c>
      <c r="JC565" s="346"/>
      <c r="KI565" s="349"/>
      <c r="KJ565" s="350"/>
    </row>
    <row r="566" spans="1:302">
      <c r="A566" s="302"/>
      <c r="B566" s="117" t="s">
        <v>361</v>
      </c>
      <c r="D566" s="351" t="str">
        <f>+FISC!D789</f>
        <v>Equity</v>
      </c>
      <c r="E566" s="346"/>
      <c r="F566" s="346"/>
      <c r="G566" s="346"/>
      <c r="H566" s="346"/>
      <c r="I566" s="346"/>
      <c r="J566" s="346"/>
      <c r="K566" s="346"/>
      <c r="L566" s="346"/>
      <c r="M566" s="346"/>
      <c r="N566" s="346"/>
      <c r="O566" s="346"/>
      <c r="P566" s="346"/>
      <c r="Q566" s="346"/>
      <c r="R566" s="346"/>
      <c r="S566" s="346"/>
      <c r="T566" s="346"/>
      <c r="U566" s="346"/>
      <c r="V566" s="346"/>
      <c r="W566" s="346"/>
      <c r="X566" s="346"/>
      <c r="Y566" s="346"/>
      <c r="Z566" s="346"/>
      <c r="AA566" s="346"/>
      <c r="AB566" s="346"/>
      <c r="AC566" s="346"/>
      <c r="AD566" s="346"/>
      <c r="AE566" s="346"/>
      <c r="AF566" s="346"/>
      <c r="AG566" s="346"/>
      <c r="AH566" s="346"/>
      <c r="AI566" s="346"/>
      <c r="AJ566" s="346"/>
      <c r="AK566" s="346"/>
      <c r="AL566" s="346"/>
      <c r="AM566" s="346"/>
      <c r="AN566" s="346"/>
      <c r="AO566" s="346"/>
      <c r="AP566" s="346"/>
      <c r="AQ566" s="346"/>
      <c r="AR566" s="346"/>
      <c r="AS566" s="346"/>
      <c r="AT566" s="346"/>
      <c r="AU566" s="346"/>
      <c r="AV566" s="346"/>
      <c r="AW566" s="346"/>
      <c r="AX566" s="346"/>
      <c r="AY566" s="346"/>
      <c r="AZ566" s="346"/>
      <c r="BA566" s="346"/>
      <c r="BB566" s="346"/>
      <c r="BC566" s="346"/>
      <c r="BD566" s="346"/>
      <c r="BE566" s="346"/>
      <c r="BF566" s="346"/>
      <c r="BG566" s="346"/>
      <c r="BH566" s="346"/>
      <c r="BI566" s="346"/>
      <c r="BJ566" s="346"/>
      <c r="BK566" s="346"/>
      <c r="BL566" s="346"/>
      <c r="BM566" s="346"/>
      <c r="BN566" s="346"/>
      <c r="BO566" s="346"/>
      <c r="BP566" s="346"/>
      <c r="BQ566" s="346"/>
      <c r="BR566" s="346"/>
      <c r="BS566" s="346"/>
      <c r="BT566" s="346"/>
      <c r="BU566" s="346"/>
      <c r="BV566" s="346"/>
      <c r="BW566" s="346"/>
      <c r="BX566" s="346"/>
      <c r="BY566" s="346"/>
      <c r="BZ566" s="346"/>
      <c r="CA566" s="346"/>
      <c r="CB566" s="346"/>
      <c r="CC566" s="346"/>
      <c r="CD566" s="346"/>
      <c r="CE566" s="347"/>
      <c r="CF566" s="346"/>
      <c r="CG566" s="346"/>
      <c r="CH566" s="346"/>
      <c r="CI566" s="346"/>
      <c r="CJ566" s="346"/>
      <c r="CK566" s="346"/>
      <c r="CL566" s="346"/>
      <c r="CM566" s="346"/>
      <c r="CN566" s="346"/>
      <c r="CO566" s="346"/>
      <c r="CP566" s="348"/>
      <c r="CQ566" s="346"/>
      <c r="CR566" s="346"/>
      <c r="CS566" s="346"/>
      <c r="CT566" s="346"/>
      <c r="CU566" s="346"/>
      <c r="CV566" s="346"/>
      <c r="CW566" s="346"/>
      <c r="CX566" s="346"/>
      <c r="CY566" s="346"/>
      <c r="CZ566" s="346"/>
      <c r="DA566" s="346"/>
      <c r="DB566" s="1479"/>
      <c r="DC566" s="346"/>
      <c r="DD566" s="346"/>
      <c r="DE566" s="346"/>
      <c r="DF566" s="346"/>
      <c r="DG566" s="346"/>
      <c r="DH566" s="346"/>
      <c r="DI566" s="346"/>
      <c r="DJ566" s="346"/>
      <c r="DK566" s="346"/>
      <c r="DL566" s="346"/>
      <c r="DM566" s="346"/>
      <c r="DN566" s="348"/>
      <c r="DO566" s="346"/>
      <c r="DP566" s="346"/>
      <c r="DQ566" s="346"/>
      <c r="DR566" s="346"/>
      <c r="DS566" s="346"/>
      <c r="DT566" s="346"/>
      <c r="DU566" s="346"/>
      <c r="DV566" s="346"/>
      <c r="DW566" s="346"/>
      <c r="DX566" s="346"/>
      <c r="DY566" s="346"/>
      <c r="DZ566" s="348"/>
      <c r="EA566" s="346"/>
      <c r="EB566" s="346"/>
      <c r="EC566" s="346"/>
      <c r="ED566" s="346"/>
      <c r="EE566" s="346"/>
      <c r="EF566" s="346"/>
      <c r="EG566" s="346"/>
      <c r="EH566" s="346"/>
      <c r="EI566" s="346"/>
      <c r="EJ566" s="346"/>
      <c r="EK566" s="346"/>
      <c r="EL566" s="348"/>
      <c r="EM566" s="346"/>
      <c r="EN566" s="346"/>
      <c r="EO566" s="346"/>
      <c r="EP566" s="346"/>
      <c r="EQ566" s="346"/>
      <c r="ER566" s="346"/>
      <c r="ES566" s="346"/>
      <c r="ET566" s="346"/>
      <c r="EU566" s="346"/>
      <c r="EV566" s="346"/>
      <c r="EW566" s="346"/>
      <c r="EX566" s="348"/>
      <c r="EY566" s="346"/>
      <c r="EZ566" s="346"/>
      <c r="FA566" s="346"/>
      <c r="FB566" s="346"/>
      <c r="FC566" s="346"/>
      <c r="FD566" s="346"/>
      <c r="FE566" s="346"/>
      <c r="FF566" s="346"/>
      <c r="FG566" s="346"/>
      <c r="FH566" s="346"/>
      <c r="FI566" s="346"/>
      <c r="FJ566" s="348"/>
      <c r="FK566" s="346"/>
      <c r="FL566" s="346"/>
      <c r="FM566" s="346"/>
      <c r="FN566" s="346"/>
      <c r="FO566" s="346"/>
      <c r="FP566" s="346"/>
      <c r="FQ566" s="346"/>
      <c r="FR566" s="346"/>
      <c r="FS566" s="346"/>
      <c r="FT566" s="346"/>
      <c r="FU566" s="346"/>
      <c r="FV566" s="346"/>
      <c r="FW566" s="346"/>
      <c r="FX566" s="346"/>
      <c r="FY566" s="346"/>
      <c r="FZ566" s="346"/>
      <c r="GA566" s="346"/>
      <c r="GB566" s="346"/>
      <c r="GC566" s="346"/>
      <c r="GD566" s="346"/>
      <c r="GE566" s="346"/>
      <c r="GF566" s="346"/>
      <c r="GG566" s="346"/>
      <c r="GH566" s="346"/>
      <c r="GI566" s="346"/>
      <c r="GJ566" s="346"/>
      <c r="GK566" s="346"/>
      <c r="GL566" s="346"/>
      <c r="GM566" s="346"/>
      <c r="GN566" s="346"/>
      <c r="GO566" s="346"/>
      <c r="GP566" s="346"/>
      <c r="GQ566" s="346"/>
      <c r="GR566" s="346"/>
      <c r="GS566" s="346"/>
      <c r="GT566" s="346"/>
      <c r="GU566" s="346"/>
      <c r="GV566" s="346"/>
      <c r="GW566" s="346"/>
      <c r="GX566" s="346"/>
      <c r="GY566" s="346"/>
      <c r="GZ566" s="346"/>
      <c r="HA566" s="346"/>
      <c r="HB566" s="346"/>
      <c r="HC566" s="346"/>
      <c r="HD566" s="346"/>
      <c r="HE566" s="346"/>
      <c r="HF566" s="346"/>
      <c r="HG566" s="346"/>
      <c r="HH566" s="346"/>
      <c r="HI566" s="346"/>
      <c r="HJ566" s="346"/>
      <c r="HK566" s="346"/>
      <c r="HL566" s="346"/>
      <c r="HM566" s="346"/>
      <c r="HN566" s="349"/>
      <c r="HO566" s="351" t="s">
        <v>174</v>
      </c>
      <c r="HP566" s="351"/>
      <c r="HQ566" s="351"/>
      <c r="HR566" s="346">
        <f>+FISC!Z789</f>
        <v>0</v>
      </c>
      <c r="HS566" s="302">
        <f>SUM(CQ566:CV566)</f>
        <v>0</v>
      </c>
      <c r="HT566" s="302">
        <f>SUM(CW566:DB566)</f>
        <v>0</v>
      </c>
      <c r="HU566" s="346">
        <f>SUM(CQ566:DB566)</f>
        <v>0</v>
      </c>
      <c r="HV566" s="302">
        <f>+SUM(DC566:DH566)</f>
        <v>0</v>
      </c>
      <c r="HW566" s="302">
        <f>+HX566-HV566</f>
        <v>0</v>
      </c>
      <c r="HX566" s="346">
        <v>0</v>
      </c>
      <c r="HY566" s="302">
        <f>+SUM(DO566:DT566)</f>
        <v>0</v>
      </c>
      <c r="HZ566" s="302">
        <f>SUM(DC566:DH566)</f>
        <v>0</v>
      </c>
      <c r="IA566" s="346">
        <f>HY566+HZ566</f>
        <v>0</v>
      </c>
      <c r="IB566" s="302">
        <f>+ID566/2</f>
        <v>0</v>
      </c>
      <c r="IC566" s="302">
        <f t="shared" si="324"/>
        <v>0</v>
      </c>
      <c r="ID566" s="346">
        <f>FISC!AC789</f>
        <v>0</v>
      </c>
      <c r="IE566" s="302">
        <f t="shared" si="342"/>
        <v>0</v>
      </c>
      <c r="IF566" s="302">
        <f t="shared" si="343"/>
        <v>0</v>
      </c>
      <c r="IG566" s="346">
        <f t="shared" si="201"/>
        <v>0</v>
      </c>
      <c r="IH566" s="350"/>
      <c r="II566" s="350"/>
      <c r="IJ566" s="346">
        <f>+FISC!AE789</f>
        <v>0</v>
      </c>
      <c r="IK566" s="302">
        <f>IM566*JI566</f>
        <v>0</v>
      </c>
      <c r="IL566" s="302">
        <f t="shared" si="280"/>
        <v>0</v>
      </c>
      <c r="IM566" s="346">
        <f>+FISC!AF789</f>
        <v>0</v>
      </c>
      <c r="IN566" s="302">
        <f t="shared" si="292"/>
        <v>0</v>
      </c>
      <c r="IO566" s="302">
        <f t="shared" si="334"/>
        <v>0</v>
      </c>
      <c r="IP566" s="346">
        <f>+FISC!AG789</f>
        <v>0</v>
      </c>
      <c r="IQ566" s="302">
        <f t="shared" si="293"/>
        <v>0</v>
      </c>
      <c r="IR566" s="302">
        <f t="shared" si="281"/>
        <v>0</v>
      </c>
      <c r="IS566" s="346">
        <f>+FISC!AH789</f>
        <v>0</v>
      </c>
      <c r="IT566" s="302">
        <f t="shared" si="294"/>
        <v>0</v>
      </c>
      <c r="IU566" s="302">
        <f t="shared" si="282"/>
        <v>0</v>
      </c>
      <c r="IV566" s="346">
        <f>+FISC!AI789</f>
        <v>0</v>
      </c>
      <c r="IW566" s="302">
        <f t="shared" si="295"/>
        <v>0</v>
      </c>
      <c r="IX566" s="302">
        <f t="shared" si="283"/>
        <v>0</v>
      </c>
      <c r="IY566" s="346">
        <f>+FISC!AJ789</f>
        <v>0</v>
      </c>
      <c r="IZ566" s="302">
        <f t="shared" si="296"/>
        <v>0</v>
      </c>
      <c r="JA566" s="302">
        <f t="shared" si="284"/>
        <v>0</v>
      </c>
      <c r="JB566" s="346">
        <f>+FISC!AK789</f>
        <v>0</v>
      </c>
      <c r="JC566" s="346"/>
      <c r="KI566" s="349"/>
      <c r="KJ566" s="350"/>
    </row>
    <row r="567" spans="1:302">
      <c r="A567" s="302"/>
      <c r="B567" s="117" t="s">
        <v>361</v>
      </c>
      <c r="D567" s="345" t="str">
        <f>+FISC!D790</f>
        <v>Primary deficit (incl. exceptional; excl. interest &amp; foreign financed capital spending)</v>
      </c>
      <c r="E567" s="346">
        <f t="shared" ref="E567:AJ567" si="344">E467-(E505-E514)-E537</f>
        <v>-9.9092199999999977</v>
      </c>
      <c r="F567" s="346">
        <f t="shared" si="344"/>
        <v>-17.023680000000002</v>
      </c>
      <c r="G567" s="346">
        <f t="shared" si="344"/>
        <v>3.2319300000000024</v>
      </c>
      <c r="H567" s="346">
        <f t="shared" si="344"/>
        <v>-18.284849999999999</v>
      </c>
      <c r="I567" s="346">
        <f t="shared" si="344"/>
        <v>-1.6549999999999976</v>
      </c>
      <c r="J567" s="346">
        <f t="shared" si="344"/>
        <v>12.029062116000002</v>
      </c>
      <c r="K567" s="346">
        <f t="shared" si="344"/>
        <v>-35.872765037000008</v>
      </c>
      <c r="L567" s="346">
        <f t="shared" si="344"/>
        <v>-12.971401338000002</v>
      </c>
      <c r="M567" s="346">
        <f t="shared" si="344"/>
        <v>-1.2431277150000057</v>
      </c>
      <c r="N567" s="346">
        <f t="shared" si="344"/>
        <v>-12.914998775000001</v>
      </c>
      <c r="O567" s="346">
        <f t="shared" si="344"/>
        <v>-29.213741562999999</v>
      </c>
      <c r="P567" s="346">
        <f t="shared" si="344"/>
        <v>11.430528894</v>
      </c>
      <c r="Q567" s="346">
        <f t="shared" si="344"/>
        <v>-14.725483694000001</v>
      </c>
      <c r="R567" s="346">
        <f t="shared" si="344"/>
        <v>-12.251068073000003</v>
      </c>
      <c r="S567" s="346">
        <f t="shared" si="344"/>
        <v>-3.2367274239999988</v>
      </c>
      <c r="T567" s="346">
        <f t="shared" si="344"/>
        <v>-29.289382078000003</v>
      </c>
      <c r="U567" s="346">
        <f t="shared" si="344"/>
        <v>-7.3410082369999996</v>
      </c>
      <c r="V567" s="346">
        <f t="shared" si="344"/>
        <v>14.839930498999998</v>
      </c>
      <c r="W567" s="346">
        <f t="shared" si="344"/>
        <v>-33.611692805999994</v>
      </c>
      <c r="X567" s="346">
        <f t="shared" si="344"/>
        <v>-14.584052370000009</v>
      </c>
      <c r="Y567" s="346">
        <f t="shared" si="344"/>
        <v>7.4963292999999709E-2</v>
      </c>
      <c r="Z567" s="346">
        <f t="shared" si="344"/>
        <v>-52.571382885999995</v>
      </c>
      <c r="AA567" s="346">
        <f t="shared" si="344"/>
        <v>-1.6199037370000031</v>
      </c>
      <c r="AB567" s="346">
        <f t="shared" si="344"/>
        <v>60.193334633000006</v>
      </c>
      <c r="AC567" s="346">
        <f t="shared" si="344"/>
        <v>-18.736995409999999</v>
      </c>
      <c r="AD567" s="346">
        <f t="shared" si="344"/>
        <v>-5.9142593690000016</v>
      </c>
      <c r="AE567" s="346">
        <f t="shared" si="344"/>
        <v>-23.081530907999998</v>
      </c>
      <c r="AF567" s="346">
        <f t="shared" si="344"/>
        <v>-28.569594062</v>
      </c>
      <c r="AG567" s="346">
        <f t="shared" si="344"/>
        <v>-12.020092695999997</v>
      </c>
      <c r="AH567" s="346">
        <f t="shared" si="344"/>
        <v>13.79123472099999</v>
      </c>
      <c r="AI567" s="346">
        <f t="shared" si="344"/>
        <v>-17.711958442</v>
      </c>
      <c r="AJ567" s="346">
        <f t="shared" si="344"/>
        <v>-13.822479862999991</v>
      </c>
      <c r="AK567" s="346">
        <f t="shared" ref="AK567:BP567" si="345">AK467-(AK505-AK514)-AK537</f>
        <v>-7.2357611609999957</v>
      </c>
      <c r="AL567" s="346">
        <f t="shared" si="345"/>
        <v>-43.610793737999998</v>
      </c>
      <c r="AM567" s="346">
        <f t="shared" si="345"/>
        <v>-20.666030000000003</v>
      </c>
      <c r="AN567" s="346">
        <f t="shared" si="345"/>
        <v>4.6134200000000014</v>
      </c>
      <c r="AO567" s="346">
        <f t="shared" si="345"/>
        <v>-36.070443640999997</v>
      </c>
      <c r="AP567" s="346">
        <f t="shared" si="345"/>
        <v>-10.609500604000003</v>
      </c>
      <c r="AQ567" s="346">
        <f t="shared" si="345"/>
        <v>0.24705696299999502</v>
      </c>
      <c r="AR567" s="346">
        <f t="shared" si="345"/>
        <v>-33.070978670999999</v>
      </c>
      <c r="AS567" s="346">
        <f t="shared" si="345"/>
        <v>-35.786151999999987</v>
      </c>
      <c r="AT567" s="346">
        <f t="shared" si="345"/>
        <v>-1.3212442129999982</v>
      </c>
      <c r="AU567" s="346">
        <f t="shared" si="345"/>
        <v>-16.286516090000003</v>
      </c>
      <c r="AV567" s="346">
        <f t="shared" si="345"/>
        <v>-26.443454875000004</v>
      </c>
      <c r="AW567" s="346">
        <f t="shared" si="345"/>
        <v>-12.345760294999998</v>
      </c>
      <c r="AX567" s="346">
        <f t="shared" si="345"/>
        <v>-38.116715264</v>
      </c>
      <c r="AY567" s="346">
        <f t="shared" si="345"/>
        <v>-20.462872940999993</v>
      </c>
      <c r="AZ567" s="346">
        <f t="shared" si="345"/>
        <v>-17.53015280499999</v>
      </c>
      <c r="BA567" s="346">
        <f t="shared" si="345"/>
        <v>-37.703387418999995</v>
      </c>
      <c r="BB567" s="346">
        <f t="shared" si="345"/>
        <v>-11.253909670999999</v>
      </c>
      <c r="BC567" s="346">
        <f t="shared" si="345"/>
        <v>4.2784338900000023</v>
      </c>
      <c r="BD567" s="346">
        <f t="shared" si="345"/>
        <v>-44.729874713000001</v>
      </c>
      <c r="BE567" s="346">
        <f t="shared" si="345"/>
        <v>-51.514488002999997</v>
      </c>
      <c r="BF567" s="346">
        <f t="shared" si="345"/>
        <v>25.189530926999996</v>
      </c>
      <c r="BG567" s="346">
        <f t="shared" si="345"/>
        <v>-10.963814687199998</v>
      </c>
      <c r="BH567" s="346">
        <f t="shared" si="345"/>
        <v>-39.554216921800005</v>
      </c>
      <c r="BI567" s="346">
        <f t="shared" si="345"/>
        <v>10.548396880900007</v>
      </c>
      <c r="BJ567" s="346">
        <f t="shared" si="345"/>
        <v>-59.524933322999999</v>
      </c>
      <c r="BK567" s="346">
        <f t="shared" si="345"/>
        <v>-20.675780279000012</v>
      </c>
      <c r="BL567" s="346">
        <f t="shared" si="345"/>
        <v>11.861924300999993</v>
      </c>
      <c r="BM567" s="346">
        <f t="shared" si="345"/>
        <v>-38.728858946000003</v>
      </c>
      <c r="BN567" s="346">
        <f t="shared" si="345"/>
        <v>-11.068437587</v>
      </c>
      <c r="BO567" s="346">
        <f t="shared" si="345"/>
        <v>10.234710514999993</v>
      </c>
      <c r="BP567" s="346">
        <f t="shared" si="345"/>
        <v>-62.100308585000015</v>
      </c>
      <c r="BQ567" s="346">
        <f t="shared" ref="BQ567:CV567" si="346">BQ467-(BQ505-BQ514)-BQ537</f>
        <v>-51.908089635999993</v>
      </c>
      <c r="BR567" s="346">
        <f t="shared" si="346"/>
        <v>26.502456860999995</v>
      </c>
      <c r="BS567" s="346">
        <f t="shared" si="346"/>
        <v>-18.309499999999996</v>
      </c>
      <c r="BT567" s="346">
        <f t="shared" si="346"/>
        <v>-16.135899999999985</v>
      </c>
      <c r="BU567" s="346">
        <f t="shared" si="346"/>
        <v>11.881499999999997</v>
      </c>
      <c r="BV567" s="346">
        <f t="shared" si="346"/>
        <v>-49.667038638367643</v>
      </c>
      <c r="BW567" s="346">
        <f t="shared" si="346"/>
        <v>-20.455534435341178</v>
      </c>
      <c r="BX567" s="346">
        <f t="shared" si="346"/>
        <v>29.211094087505174</v>
      </c>
      <c r="BY567" s="346">
        <f t="shared" si="346"/>
        <v>-22.34511392508367</v>
      </c>
      <c r="BZ567" s="346">
        <f t="shared" si="346"/>
        <v>-24.169416216196566</v>
      </c>
      <c r="CA567" s="346">
        <f t="shared" si="346"/>
        <v>31.637890027590302</v>
      </c>
      <c r="CB567" s="346">
        <f t="shared" si="346"/>
        <v>-69.918107199119532</v>
      </c>
      <c r="CC567" s="346">
        <f t="shared" si="346"/>
        <v>-37.518169376777053</v>
      </c>
      <c r="CD567" s="346">
        <f t="shared" si="346"/>
        <v>31.165373847880797</v>
      </c>
      <c r="CE567" s="347">
        <f t="shared" si="346"/>
        <v>-11.271510273302734</v>
      </c>
      <c r="CF567" s="346">
        <f t="shared" si="346"/>
        <v>-20.878310956427207</v>
      </c>
      <c r="CG567" s="346">
        <f t="shared" si="346"/>
        <v>8.2530406952934303</v>
      </c>
      <c r="CH567" s="346">
        <f t="shared" si="346"/>
        <v>-35.722659719249762</v>
      </c>
      <c r="CI567" s="346">
        <f t="shared" si="346"/>
        <v>-12.194797963175283</v>
      </c>
      <c r="CJ567" s="346">
        <f t="shared" si="346"/>
        <v>32.382983393932797</v>
      </c>
      <c r="CK567" s="346">
        <f t="shared" si="346"/>
        <v>-45.707484686174965</v>
      </c>
      <c r="CL567" s="346">
        <f t="shared" si="346"/>
        <v>-14.354390594916932</v>
      </c>
      <c r="CM567" s="346">
        <f t="shared" si="346"/>
        <v>8.5077581974562122</v>
      </c>
      <c r="CN567" s="346">
        <f t="shared" si="346"/>
        <v>-60.926900050082651</v>
      </c>
      <c r="CO567" s="346">
        <f t="shared" si="346"/>
        <v>-67.248360757800413</v>
      </c>
      <c r="CP567" s="348">
        <f t="shared" si="346"/>
        <v>36.604281829119849</v>
      </c>
      <c r="CQ567" s="346">
        <f t="shared" si="346"/>
        <v>-38.694943419576674</v>
      </c>
      <c r="CR567" s="346">
        <f t="shared" si="346"/>
        <v>-24.158878653288536</v>
      </c>
      <c r="CS567" s="346">
        <f t="shared" si="346"/>
        <v>-9.3771184982774685</v>
      </c>
      <c r="CT567" s="346">
        <f t="shared" si="346"/>
        <v>-22.480842294160901</v>
      </c>
      <c r="CU567" s="346">
        <f t="shared" si="346"/>
        <v>-17.514150587850846</v>
      </c>
      <c r="CV567" s="346">
        <f t="shared" si="346"/>
        <v>19.178654490080877</v>
      </c>
      <c r="CW567" s="346">
        <f t="shared" ref="CW567:EB567" si="347">CW467-(CW505-CW514)-CW537</f>
        <v>-33.758949627711225</v>
      </c>
      <c r="CX567" s="346">
        <f t="shared" si="347"/>
        <v>-14.07863135273692</v>
      </c>
      <c r="CY567" s="346">
        <f t="shared" si="347"/>
        <v>1.7647442752496403</v>
      </c>
      <c r="CZ567" s="346">
        <f t="shared" si="347"/>
        <v>-93.118640305311459</v>
      </c>
      <c r="DA567" s="346">
        <f t="shared" si="347"/>
        <v>-49.073807594898014</v>
      </c>
      <c r="DB567" s="1479">
        <f t="shared" si="347"/>
        <v>54.234219023139531</v>
      </c>
      <c r="DC567" s="346">
        <f t="shared" si="347"/>
        <v>-35.499331671622429</v>
      </c>
      <c r="DD567" s="346">
        <f t="shared" si="347"/>
        <v>-26.041358510310005</v>
      </c>
      <c r="DE567" s="346">
        <f t="shared" si="347"/>
        <v>-0.37674140524227084</v>
      </c>
      <c r="DF567" s="346">
        <f t="shared" si="347"/>
        <v>-50.228143815516113</v>
      </c>
      <c r="DG567" s="346">
        <f t="shared" si="347"/>
        <v>-17.854596028450842</v>
      </c>
      <c r="DH567" s="346">
        <f t="shared" si="347"/>
        <v>42.486355913800146</v>
      </c>
      <c r="DI567" s="346">
        <f t="shared" si="347"/>
        <v>-79.136056802460047</v>
      </c>
      <c r="DJ567" s="346">
        <f t="shared" si="347"/>
        <v>-8.7281880841523432</v>
      </c>
      <c r="DK567" s="346">
        <f t="shared" si="347"/>
        <v>49.432568712237064</v>
      </c>
      <c r="DL567" s="346">
        <f t="shared" si="347"/>
        <v>-70.413335720808433</v>
      </c>
      <c r="DM567" s="346">
        <f t="shared" si="347"/>
        <v>-38.569851199605999</v>
      </c>
      <c r="DN567" s="348">
        <f t="shared" si="347"/>
        <v>65.127903313441394</v>
      </c>
      <c r="DO567" s="346">
        <f t="shared" si="347"/>
        <v>-43.997158736100005</v>
      </c>
      <c r="DP567" s="346">
        <f t="shared" si="347"/>
        <v>-45.792925499610696</v>
      </c>
      <c r="DQ567" s="346">
        <f t="shared" si="347"/>
        <v>49.149872144863522</v>
      </c>
      <c r="DR567" s="346">
        <f t="shared" si="347"/>
        <v>-66.638535047449423</v>
      </c>
      <c r="DS567" s="346">
        <f t="shared" si="347"/>
        <v>-28.939800392246006</v>
      </c>
      <c r="DT567" s="346">
        <f t="shared" si="347"/>
        <v>55.585860259792476</v>
      </c>
      <c r="DU567" s="346">
        <f t="shared" si="347"/>
        <v>-78.005862701899986</v>
      </c>
      <c r="DV567" s="346">
        <f t="shared" si="347"/>
        <v>-18.914229349900005</v>
      </c>
      <c r="DW567" s="346">
        <f t="shared" si="347"/>
        <v>88.204950185510015</v>
      </c>
      <c r="DX567" s="346">
        <f t="shared" si="347"/>
        <v>-96.824307868759618</v>
      </c>
      <c r="DY567" s="346">
        <f t="shared" si="347"/>
        <v>-43.373257701202171</v>
      </c>
      <c r="DZ567" s="348">
        <f t="shared" si="347"/>
        <v>56.647260816619465</v>
      </c>
      <c r="EA567" s="346">
        <f t="shared" si="347"/>
        <v>-48.577360104749999</v>
      </c>
      <c r="EB567" s="346">
        <f t="shared" si="347"/>
        <v>-49.510321674460009</v>
      </c>
      <c r="EC567" s="346">
        <f t="shared" ref="EC567:EK567" si="348">EC467-(EC505-EC514)-EC537</f>
        <v>-9.3030804909300073</v>
      </c>
      <c r="ED567" s="346">
        <f t="shared" si="348"/>
        <v>-37.786830553479987</v>
      </c>
      <c r="EE567" s="346">
        <f t="shared" si="348"/>
        <v>-29.531972218839982</v>
      </c>
      <c r="EF567" s="346">
        <f t="shared" si="348"/>
        <v>63.677382125129981</v>
      </c>
      <c r="EG567" s="346">
        <f t="shared" si="348"/>
        <v>-59.228789281080751</v>
      </c>
      <c r="EH567" s="346">
        <f t="shared" si="348"/>
        <v>-15.649808537696011</v>
      </c>
      <c r="EI567" s="346">
        <f t="shared" si="348"/>
        <v>21.397336908841353</v>
      </c>
      <c r="EJ567" s="346">
        <f t="shared" si="348"/>
        <v>6.4123823034452272</v>
      </c>
      <c r="EK567" s="346">
        <f t="shared" si="348"/>
        <v>-34.271595798472134</v>
      </c>
      <c r="EL567" s="348">
        <f t="shared" ref="EL567:ER567" si="349">EL467-(EL505-EL514)-EL537</f>
        <v>85.209201669788484</v>
      </c>
      <c r="EM567" s="346">
        <f t="shared" si="349"/>
        <v>-22.995605227159999</v>
      </c>
      <c r="EN567" s="346">
        <f t="shared" si="349"/>
        <v>4.0578105321513789</v>
      </c>
      <c r="EO567" s="346">
        <f t="shared" si="349"/>
        <v>35.47607562112163</v>
      </c>
      <c r="EP567" s="346">
        <f t="shared" si="349"/>
        <v>-57.40803263121132</v>
      </c>
      <c r="EQ567" s="346">
        <f t="shared" si="349"/>
        <v>-48.460858690854259</v>
      </c>
      <c r="ER567" s="346">
        <f t="shared" si="349"/>
        <v>18.892929858994066</v>
      </c>
      <c r="ES567" s="346">
        <f t="shared" ref="ES567:EX567" si="350">ES467-(ES505-ES514)-ES537</f>
        <v>-12.615648818427331</v>
      </c>
      <c r="ET567" s="346">
        <f t="shared" si="350"/>
        <v>-19.570315294450062</v>
      </c>
      <c r="EU567" s="346">
        <f t="shared" si="350"/>
        <v>-10.485897715179952</v>
      </c>
      <c r="EV567" s="346">
        <f t="shared" si="350"/>
        <v>-80.096867197168692</v>
      </c>
      <c r="EW567" s="346">
        <f t="shared" si="350"/>
        <v>-70.457288939719959</v>
      </c>
      <c r="EX567" s="348">
        <f t="shared" si="350"/>
        <v>69.227866394828226</v>
      </c>
      <c r="EY567" s="346"/>
      <c r="EZ567" s="346"/>
      <c r="FA567" s="346"/>
      <c r="FB567" s="346"/>
      <c r="FC567" s="346"/>
      <c r="FD567" s="346"/>
      <c r="FE567" s="346"/>
      <c r="FF567" s="346"/>
      <c r="FG567" s="346"/>
      <c r="FH567" s="346"/>
      <c r="FI567" s="346"/>
      <c r="FJ567" s="348"/>
      <c r="FK567" s="346"/>
      <c r="FL567" s="346"/>
      <c r="FM567" s="346"/>
      <c r="FN567" s="346"/>
      <c r="FO567" s="346"/>
      <c r="FP567" s="346"/>
      <c r="FQ567" s="346"/>
      <c r="FR567" s="346"/>
      <c r="FS567" s="346"/>
      <c r="FT567" s="346"/>
      <c r="FU567" s="346"/>
      <c r="FV567" s="346"/>
      <c r="FW567" s="346"/>
      <c r="FX567" s="346"/>
      <c r="FY567" s="346"/>
      <c r="FZ567" s="346"/>
      <c r="GA567" s="346"/>
      <c r="GB567" s="346"/>
      <c r="GC567" s="346"/>
      <c r="GD567" s="346"/>
      <c r="GE567" s="346"/>
      <c r="GF567" s="346"/>
      <c r="GG567" s="346"/>
      <c r="GH567" s="346"/>
      <c r="GI567" s="346"/>
      <c r="GJ567" s="346"/>
      <c r="GK567" s="346"/>
      <c r="GL567" s="346"/>
      <c r="GM567" s="346"/>
      <c r="GN567" s="346"/>
      <c r="GO567" s="346"/>
      <c r="GP567" s="346"/>
      <c r="GQ567" s="346"/>
      <c r="GR567" s="346"/>
      <c r="GS567" s="346"/>
      <c r="GT567" s="346"/>
      <c r="GU567" s="346"/>
      <c r="GV567" s="346"/>
      <c r="GW567" s="346"/>
      <c r="GX567" s="346"/>
      <c r="GY567" s="346"/>
      <c r="GZ567" s="346"/>
      <c r="HA567" s="346"/>
      <c r="HB567" s="346"/>
      <c r="HC567" s="346"/>
      <c r="HD567" s="346"/>
      <c r="HE567" s="346"/>
      <c r="HF567" s="346"/>
      <c r="HG567" s="346"/>
      <c r="HH567" s="346"/>
      <c r="HI567" s="346"/>
      <c r="HJ567" s="346"/>
      <c r="HK567" s="346"/>
      <c r="HL567" s="346"/>
      <c r="HM567" s="346"/>
      <c r="HN567" s="349"/>
      <c r="HO567" s="345" t="s">
        <v>239</v>
      </c>
      <c r="HP567" s="345"/>
      <c r="HQ567" s="345"/>
      <c r="HR567" s="346">
        <f>+FISC!Z790</f>
        <v>-174.67319804200014</v>
      </c>
      <c r="HS567" s="302">
        <f t="shared" ref="HS567:HZ567" si="351">HS467-(HS505-HS514)-HS537</f>
        <v>-93.047278963073552</v>
      </c>
      <c r="HT567" s="302">
        <f t="shared" si="351"/>
        <v>-134.03106558226835</v>
      </c>
      <c r="HU567" s="346">
        <f t="shared" si="351"/>
        <v>-227.07834454534196</v>
      </c>
      <c r="HV567" s="302">
        <f t="shared" si="351"/>
        <v>-87.513815517341527</v>
      </c>
      <c r="HW567" s="302">
        <f t="shared" si="351"/>
        <v>-82.286959781348401</v>
      </c>
      <c r="HX567" s="346">
        <f t="shared" si="351"/>
        <v>-169.80077529869004</v>
      </c>
      <c r="HY567" s="302">
        <f t="shared" si="351"/>
        <v>-80.63268727075021</v>
      </c>
      <c r="HZ567" s="302">
        <f t="shared" si="351"/>
        <v>-92.265446619632343</v>
      </c>
      <c r="IA567" s="346">
        <f t="shared" si="297"/>
        <v>-172.89813389038255</v>
      </c>
      <c r="IB567" s="302">
        <f>IB467-(IB505-IB514)-IB537</f>
        <v>-72.724644029329937</v>
      </c>
      <c r="IC567" s="302">
        <f>IC467-(IC505-IC514)-IC537</f>
        <v>-14.629766555173916</v>
      </c>
      <c r="ID567" s="346">
        <f>FISC!AC790</f>
        <v>-87.354410584503853</v>
      </c>
      <c r="IE567" s="302">
        <f t="shared" si="342"/>
        <v>-70.437680536958496</v>
      </c>
      <c r="IF567" s="302">
        <f t="shared" si="343"/>
        <v>-123.99815157011776</v>
      </c>
      <c r="IG567" s="346">
        <f t="shared" si="201"/>
        <v>-194.43583210707624</v>
      </c>
      <c r="IH567" s="302" t="e">
        <f>IH467-(IH505-IH514)-IH537</f>
        <v>#REF!</v>
      </c>
      <c r="II567" s="302" t="e">
        <f>IJ567-IH567</f>
        <v>#REF!</v>
      </c>
      <c r="IJ567" s="346">
        <f>+FISC!AE790</f>
        <v>-503.7175289549682</v>
      </c>
      <c r="IK567" s="302">
        <f>IK467-(IK505-IK514)-IK537</f>
        <v>-82.430166087247983</v>
      </c>
      <c r="IL567" s="302">
        <f t="shared" si="280"/>
        <v>-260.6128307890886</v>
      </c>
      <c r="IM567" s="346">
        <f>+FISC!AF790</f>
        <v>-343.04299687633659</v>
      </c>
      <c r="IN567" s="302">
        <f>IN467-(IN505-IN514)-IN537</f>
        <v>2379.5426221130033</v>
      </c>
      <c r="IO567" s="302">
        <f t="shared" si="334"/>
        <v>2725.536957549914</v>
      </c>
      <c r="IP567" s="346">
        <f>+FISC!AG790</f>
        <v>5105.0795796629172</v>
      </c>
      <c r="IQ567" s="302">
        <f>IQ467-(IQ505-IQ514)-IQ537</f>
        <v>3724.8423924712451</v>
      </c>
      <c r="IR567" s="302">
        <f t="shared" si="281"/>
        <v>4444.6475171214061</v>
      </c>
      <c r="IS567" s="346">
        <f>+FISC!AH790</f>
        <v>8169.4899095926512</v>
      </c>
      <c r="IT567" s="302">
        <f>IT467-(IT505-IT514)-IT537</f>
        <v>4583.0559712694039</v>
      </c>
      <c r="IU567" s="302">
        <f t="shared" si="282"/>
        <v>4638.1045210782877</v>
      </c>
      <c r="IV567" s="346">
        <f>+FISC!AI790</f>
        <v>9221.1604923476916</v>
      </c>
      <c r="IW567" s="302">
        <f>IW467-(IW505-IW514)-IW537</f>
        <v>-1275.5309046914331</v>
      </c>
      <c r="IX567" s="302">
        <f t="shared" si="283"/>
        <v>-1840.1519234304192</v>
      </c>
      <c r="IY567" s="346">
        <f>+FISC!AJ790</f>
        <v>-3115.6828281218523</v>
      </c>
      <c r="IZ567" s="302" t="e">
        <f>IZ467-(IZ505-IZ514)-IZ537</f>
        <v>#DIV/0!</v>
      </c>
      <c r="JA567" s="302" t="e">
        <f t="shared" si="284"/>
        <v>#DIV/0!</v>
      </c>
      <c r="JB567" s="346" t="e">
        <f>+FISC!AK790</f>
        <v>#DIV/0!</v>
      </c>
      <c r="JC567" s="346"/>
      <c r="KI567" s="349"/>
      <c r="KJ567" s="350"/>
      <c r="KM567" s="302">
        <f>KM467-(KM505-KM514)-KM537</f>
        <v>0</v>
      </c>
      <c r="KN567" s="302">
        <f>KN467-(KN505-KN514)-KN537</f>
        <v>0</v>
      </c>
      <c r="KO567" s="302">
        <f>KO467-(KO505-KO514)-KO537</f>
        <v>0</v>
      </c>
      <c r="KP567" s="302">
        <f>KP467-(KP505-KP514)-KP537</f>
        <v>0</v>
      </c>
    </row>
    <row r="568" spans="1:302">
      <c r="A568" s="302"/>
      <c r="B568" s="117" t="s">
        <v>361</v>
      </c>
      <c r="D568" s="345" t="str">
        <f>+FISC!D791</f>
        <v>Primary deficit (excluding exceptional)</v>
      </c>
      <c r="E568" s="346">
        <f t="shared" ref="E568:AJ568" si="352">E467-(E505-E514-E529)-E537</f>
        <v>-6.1964599999999992</v>
      </c>
      <c r="F568" s="346">
        <f t="shared" si="352"/>
        <v>-12.224350000000001</v>
      </c>
      <c r="G568" s="346">
        <f t="shared" si="352"/>
        <v>6.0669900000000005</v>
      </c>
      <c r="H568" s="346">
        <f t="shared" si="352"/>
        <v>-14.328950000000001</v>
      </c>
      <c r="I568" s="346">
        <f t="shared" si="352"/>
        <v>0.90000000000000213</v>
      </c>
      <c r="J568" s="346">
        <f t="shared" si="352"/>
        <v>14.037562116000002</v>
      </c>
      <c r="K568" s="346">
        <f t="shared" si="352"/>
        <v>-28.041105037000005</v>
      </c>
      <c r="L568" s="346">
        <f t="shared" si="352"/>
        <v>-7.3189213380000009</v>
      </c>
      <c r="M568" s="346">
        <f t="shared" si="352"/>
        <v>2.842772284999993</v>
      </c>
      <c r="N568" s="346">
        <f t="shared" si="352"/>
        <v>-8.7428687750000016</v>
      </c>
      <c r="O568" s="346">
        <f t="shared" si="352"/>
        <v>-24.836081563</v>
      </c>
      <c r="P568" s="346">
        <f t="shared" si="352"/>
        <v>12.392718894</v>
      </c>
      <c r="Q568" s="346">
        <f t="shared" si="352"/>
        <v>-10.578433694000001</v>
      </c>
      <c r="R568" s="346">
        <f t="shared" si="352"/>
        <v>-6.3800680730000003</v>
      </c>
      <c r="S568" s="346">
        <f t="shared" si="352"/>
        <v>-0.61409742399999789</v>
      </c>
      <c r="T568" s="346">
        <f t="shared" si="352"/>
        <v>-21.439222078</v>
      </c>
      <c r="U568" s="346">
        <f t="shared" si="352"/>
        <v>-1.8547682369999974</v>
      </c>
      <c r="V568" s="346">
        <f t="shared" si="352"/>
        <v>17.519700498999999</v>
      </c>
      <c r="W568" s="346">
        <f t="shared" si="352"/>
        <v>-23.975492805999991</v>
      </c>
      <c r="X568" s="346">
        <f t="shared" si="352"/>
        <v>-9.7138923700000106</v>
      </c>
      <c r="Y568" s="346">
        <f t="shared" si="352"/>
        <v>3.5846932930000008</v>
      </c>
      <c r="Z568" s="346">
        <f t="shared" si="352"/>
        <v>-44.573712885999996</v>
      </c>
      <c r="AA568" s="346">
        <f t="shared" si="352"/>
        <v>3.067526262999996</v>
      </c>
      <c r="AB568" s="346">
        <f t="shared" si="352"/>
        <v>61.772784633000001</v>
      </c>
      <c r="AC568" s="346">
        <f t="shared" si="352"/>
        <v>-15.809905409999997</v>
      </c>
      <c r="AD568" s="346">
        <f t="shared" si="352"/>
        <v>-2.6994693690000009</v>
      </c>
      <c r="AE568" s="346">
        <f t="shared" si="352"/>
        <v>-14.257550907999999</v>
      </c>
      <c r="AF568" s="346">
        <f t="shared" si="352"/>
        <v>-23.169284062000003</v>
      </c>
      <c r="AG568" s="346">
        <f t="shared" si="352"/>
        <v>-11.134552695999998</v>
      </c>
      <c r="AH568" s="346">
        <f t="shared" si="352"/>
        <v>14.208994720999991</v>
      </c>
      <c r="AI568" s="346">
        <f t="shared" si="352"/>
        <v>-15.165908441999999</v>
      </c>
      <c r="AJ568" s="346">
        <f t="shared" si="352"/>
        <v>-11.001259862999991</v>
      </c>
      <c r="AK568" s="346">
        <f t="shared" ref="AK568:BP568" si="353">AK467-(AK505-AK514-AK529)-AK537</f>
        <v>2.8413688390000011</v>
      </c>
      <c r="AL568" s="346">
        <f t="shared" si="353"/>
        <v>-37.923793738000001</v>
      </c>
      <c r="AM568" s="346">
        <f t="shared" si="353"/>
        <v>-18.166270000000004</v>
      </c>
      <c r="AN568" s="346">
        <f t="shared" si="353"/>
        <v>7.6245900000000013</v>
      </c>
      <c r="AO568" s="346">
        <f t="shared" si="353"/>
        <v>-26.689003640999992</v>
      </c>
      <c r="AP568" s="346">
        <f t="shared" si="353"/>
        <v>-6.9260906040000041</v>
      </c>
      <c r="AQ568" s="346">
        <f t="shared" si="353"/>
        <v>1.2241169629999966</v>
      </c>
      <c r="AR568" s="346">
        <f t="shared" si="353"/>
        <v>-31.671378670999999</v>
      </c>
      <c r="AS568" s="346">
        <f t="shared" si="353"/>
        <v>-30.128121999999991</v>
      </c>
      <c r="AT568" s="346">
        <f t="shared" si="353"/>
        <v>2.458875787000002</v>
      </c>
      <c r="AU568" s="346">
        <f t="shared" si="353"/>
        <v>-12.169976090000002</v>
      </c>
      <c r="AV568" s="346">
        <f t="shared" si="353"/>
        <v>-15.854754875000001</v>
      </c>
      <c r="AW568" s="346">
        <f t="shared" si="353"/>
        <v>-8.8442802949999972</v>
      </c>
      <c r="AX568" s="346">
        <f t="shared" si="353"/>
        <v>-30.130565263999998</v>
      </c>
      <c r="AY568" s="346">
        <f t="shared" si="353"/>
        <v>-15.446052940999991</v>
      </c>
      <c r="AZ568" s="346">
        <f t="shared" si="353"/>
        <v>-11.88955280499999</v>
      </c>
      <c r="BA568" s="346">
        <f t="shared" si="353"/>
        <v>-30.986907418999998</v>
      </c>
      <c r="BB568" s="346">
        <f t="shared" si="353"/>
        <v>-5.7944996710000005</v>
      </c>
      <c r="BC568" s="346">
        <f t="shared" si="353"/>
        <v>6.1992238900000025</v>
      </c>
      <c r="BD568" s="346">
        <f t="shared" si="353"/>
        <v>-38.714474713000001</v>
      </c>
      <c r="BE568" s="346">
        <f t="shared" si="353"/>
        <v>-40.984668002999996</v>
      </c>
      <c r="BF568" s="346">
        <f t="shared" si="353"/>
        <v>25.584640926999995</v>
      </c>
      <c r="BG568" s="346">
        <f t="shared" si="353"/>
        <v>-4.0104046871999994</v>
      </c>
      <c r="BH568" s="346">
        <f t="shared" si="353"/>
        <v>-33.424146921800002</v>
      </c>
      <c r="BI568" s="346">
        <f t="shared" si="353"/>
        <v>13.195196880900006</v>
      </c>
      <c r="BJ568" s="346">
        <f t="shared" si="353"/>
        <v>-54.211163323000001</v>
      </c>
      <c r="BK568" s="346">
        <f t="shared" si="353"/>
        <v>-13.210290279000009</v>
      </c>
      <c r="BL568" s="346">
        <f t="shared" si="353"/>
        <v>15.877934300999994</v>
      </c>
      <c r="BM568" s="346">
        <f t="shared" si="353"/>
        <v>-30.108928945999999</v>
      </c>
      <c r="BN568" s="346">
        <f t="shared" si="353"/>
        <v>-1.2808375870000024</v>
      </c>
      <c r="BO568" s="346">
        <f t="shared" si="353"/>
        <v>18.580790514999993</v>
      </c>
      <c r="BP568" s="346">
        <f t="shared" si="353"/>
        <v>-55.837938585000011</v>
      </c>
      <c r="BQ568" s="346">
        <f t="shared" ref="BQ568:CV568" si="354">BQ467-(BQ505-BQ514-BQ529)-BQ537</f>
        <v>-44.472409635999995</v>
      </c>
      <c r="BR568" s="346">
        <f t="shared" si="354"/>
        <v>28.003186861</v>
      </c>
      <c r="BS568" s="346">
        <f t="shared" si="354"/>
        <v>-13.280199999999997</v>
      </c>
      <c r="BT568" s="346">
        <f t="shared" si="354"/>
        <v>-8.8293999999999855</v>
      </c>
      <c r="BU568" s="346">
        <f t="shared" si="354"/>
        <v>16.871099999999998</v>
      </c>
      <c r="BV568" s="346">
        <f t="shared" si="354"/>
        <v>-41.030705077367642</v>
      </c>
      <c r="BW568" s="346">
        <f t="shared" si="354"/>
        <v>-15.547882664341181</v>
      </c>
      <c r="BX568" s="346">
        <f t="shared" si="354"/>
        <v>34.982122133505172</v>
      </c>
      <c r="BY568" s="346">
        <f t="shared" si="354"/>
        <v>-12.569637339083666</v>
      </c>
      <c r="BZ568" s="346">
        <f t="shared" si="354"/>
        <v>-17.704044196196563</v>
      </c>
      <c r="CA568" s="346">
        <f t="shared" si="354"/>
        <v>36.485136263590299</v>
      </c>
      <c r="CB568" s="346">
        <f t="shared" si="354"/>
        <v>-60.119566557119533</v>
      </c>
      <c r="CC568" s="346">
        <f t="shared" si="354"/>
        <v>-27.119989313777051</v>
      </c>
      <c r="CD568" s="346">
        <f t="shared" si="354"/>
        <v>33.187163922880799</v>
      </c>
      <c r="CE568" s="347">
        <f t="shared" si="354"/>
        <v>-7.1496424613027374</v>
      </c>
      <c r="CF568" s="346">
        <f t="shared" si="354"/>
        <v>-17.825518420427208</v>
      </c>
      <c r="CG568" s="346">
        <f t="shared" si="354"/>
        <v>12.632798810293432</v>
      </c>
      <c r="CH568" s="346">
        <f t="shared" si="354"/>
        <v>-27.521408795249766</v>
      </c>
      <c r="CI568" s="346">
        <f t="shared" si="354"/>
        <v>-7.5315064691752838</v>
      </c>
      <c r="CJ568" s="346">
        <f t="shared" si="354"/>
        <v>41.978482621932798</v>
      </c>
      <c r="CK568" s="346">
        <f t="shared" si="354"/>
        <v>-25.918856978174972</v>
      </c>
      <c r="CL568" s="346">
        <f t="shared" si="354"/>
        <v>-5.0252124879169351</v>
      </c>
      <c r="CM568" s="346">
        <f t="shared" si="354"/>
        <v>12.480628130456211</v>
      </c>
      <c r="CN568" s="346">
        <f t="shared" si="354"/>
        <v>-24.885959966082655</v>
      </c>
      <c r="CO568" s="346">
        <f t="shared" si="354"/>
        <v>-56.860169667800413</v>
      </c>
      <c r="CP568" s="348">
        <f t="shared" si="354"/>
        <v>42.178499971119855</v>
      </c>
      <c r="CQ568" s="346">
        <f t="shared" si="354"/>
        <v>-30.570965628576673</v>
      </c>
      <c r="CR568" s="346">
        <f t="shared" si="354"/>
        <v>-15.996246409288535</v>
      </c>
      <c r="CS568" s="346">
        <f t="shared" si="354"/>
        <v>8.2568194327225299</v>
      </c>
      <c r="CT568" s="346">
        <f t="shared" si="354"/>
        <v>-18.160780794160907</v>
      </c>
      <c r="CU568" s="346">
        <f t="shared" si="354"/>
        <v>-4.2012647428508494</v>
      </c>
      <c r="CV568" s="346">
        <f t="shared" si="354"/>
        <v>29.974939827080878</v>
      </c>
      <c r="CW568" s="346">
        <f t="shared" ref="CW568:EB568" si="355">CW467-(CW505-CW514-CW529)-CW537</f>
        <v>-27.756210477711228</v>
      </c>
      <c r="CX568" s="346">
        <f t="shared" si="355"/>
        <v>2.4432346272630809</v>
      </c>
      <c r="CY568" s="346">
        <f t="shared" si="355"/>
        <v>28.064693498249639</v>
      </c>
      <c r="CZ568" s="346">
        <f t="shared" si="355"/>
        <v>-64.739453272311465</v>
      </c>
      <c r="DA568" s="346">
        <f t="shared" si="355"/>
        <v>-31.03663273189801</v>
      </c>
      <c r="DB568" s="1479">
        <f t="shared" si="355"/>
        <v>58.107105481139527</v>
      </c>
      <c r="DC568" s="346">
        <f t="shared" si="355"/>
        <v>-15.467665231622423</v>
      </c>
      <c r="DD568" s="346">
        <f t="shared" si="355"/>
        <v>-20.282878166310006</v>
      </c>
      <c r="DE568" s="346">
        <f t="shared" si="355"/>
        <v>15.170340264757726</v>
      </c>
      <c r="DF568" s="346">
        <f t="shared" si="355"/>
        <v>-28.73951576551611</v>
      </c>
      <c r="DG568" s="346">
        <f t="shared" si="355"/>
        <v>-8.7630612434508421</v>
      </c>
      <c r="DH568" s="346">
        <f t="shared" si="355"/>
        <v>47.567092171800148</v>
      </c>
      <c r="DI568" s="346">
        <f t="shared" si="355"/>
        <v>-51.827407776460049</v>
      </c>
      <c r="DJ568" s="346">
        <f t="shared" si="355"/>
        <v>-3.1694332691523428</v>
      </c>
      <c r="DK568" s="346">
        <f t="shared" si="355"/>
        <v>59.87161794523707</v>
      </c>
      <c r="DL568" s="346">
        <f t="shared" si="355"/>
        <v>-50.938972446808435</v>
      </c>
      <c r="DM568" s="346">
        <f t="shared" si="355"/>
        <v>-27.148871234605998</v>
      </c>
      <c r="DN568" s="348">
        <f t="shared" si="355"/>
        <v>73.139966077441386</v>
      </c>
      <c r="DO568" s="346">
        <f t="shared" si="355"/>
        <v>-26.166771896099998</v>
      </c>
      <c r="DP568" s="346">
        <f t="shared" si="355"/>
        <v>-21.334471575610699</v>
      </c>
      <c r="DQ568" s="346">
        <f t="shared" si="355"/>
        <v>58.143531827863526</v>
      </c>
      <c r="DR568" s="346">
        <f t="shared" si="355"/>
        <v>-48.608991935449424</v>
      </c>
      <c r="DS568" s="346">
        <f t="shared" si="355"/>
        <v>-15.19186159324601</v>
      </c>
      <c r="DT568" s="346">
        <f t="shared" si="355"/>
        <v>75.904534808792476</v>
      </c>
      <c r="DU568" s="346">
        <f t="shared" si="355"/>
        <v>-62.973221332899989</v>
      </c>
      <c r="DV568" s="346">
        <f t="shared" si="355"/>
        <v>-10.530563307900003</v>
      </c>
      <c r="DW568" s="346">
        <f t="shared" si="355"/>
        <v>93.447964986510001</v>
      </c>
      <c r="DX568" s="346">
        <f t="shared" si="355"/>
        <v>-81.715929164759615</v>
      </c>
      <c r="DY568" s="346">
        <f t="shared" si="355"/>
        <v>-32.126928648202174</v>
      </c>
      <c r="DZ568" s="348">
        <f t="shared" si="355"/>
        <v>57.608456982619458</v>
      </c>
      <c r="EA568" s="346">
        <f t="shared" si="355"/>
        <v>-22.704479423750001</v>
      </c>
      <c r="EB568" s="346">
        <f t="shared" si="355"/>
        <v>-36.585210575460017</v>
      </c>
      <c r="EC568" s="346">
        <f t="shared" ref="EC568:EK568" si="356">EC467-(EC505-EC514-EC529)-EC537</f>
        <v>16.550926380069988</v>
      </c>
      <c r="ED568" s="346">
        <f t="shared" si="356"/>
        <v>-4.5075963544799862</v>
      </c>
      <c r="EE568" s="346">
        <f t="shared" si="356"/>
        <v>-15.217541806839975</v>
      </c>
      <c r="EF568" s="346">
        <f t="shared" si="356"/>
        <v>75.389666784129986</v>
      </c>
      <c r="EG568" s="346">
        <f t="shared" si="356"/>
        <v>-50.497780953080749</v>
      </c>
      <c r="EH568" s="346">
        <f t="shared" si="356"/>
        <v>-8.0159014666960147</v>
      </c>
      <c r="EI568" s="346">
        <f t="shared" si="356"/>
        <v>32.98285727084135</v>
      </c>
      <c r="EJ568" s="346">
        <f t="shared" si="356"/>
        <v>17.845554318445224</v>
      </c>
      <c r="EK568" s="346">
        <f t="shared" si="356"/>
        <v>-19.653935684472131</v>
      </c>
      <c r="EL568" s="348">
        <f t="shared" ref="EL568:ER568" si="357">EL467-(EL505-EL514-EL529)-EL537</f>
        <v>89.089108363788483</v>
      </c>
      <c r="EM568" s="346">
        <f t="shared" si="357"/>
        <v>-17.322808714160004</v>
      </c>
      <c r="EN568" s="346">
        <f t="shared" si="357"/>
        <v>37.798249884151375</v>
      </c>
      <c r="EO568" s="346">
        <f t="shared" si="357"/>
        <v>49.269964631121631</v>
      </c>
      <c r="EP568" s="346">
        <f t="shared" si="357"/>
        <v>-31.695370351211317</v>
      </c>
      <c r="EQ568" s="346">
        <f t="shared" si="357"/>
        <v>-31.464976412854263</v>
      </c>
      <c r="ER568" s="346">
        <f t="shared" si="357"/>
        <v>34.947324369994064</v>
      </c>
      <c r="ES568" s="346">
        <f t="shared" ref="ES568:EX568" si="358">ES467-(ES505-ES514-ES529)-ES537</f>
        <v>-0.8909811264273344</v>
      </c>
      <c r="ET568" s="346">
        <f t="shared" si="358"/>
        <v>-13.849206272450068</v>
      </c>
      <c r="EU568" s="346">
        <f t="shared" si="358"/>
        <v>24.094544013320053</v>
      </c>
      <c r="EV568" s="346">
        <f t="shared" si="358"/>
        <v>-47.144954335668686</v>
      </c>
      <c r="EW568" s="346">
        <f t="shared" si="358"/>
        <v>-51.756030308219962</v>
      </c>
      <c r="EX568" s="348">
        <f t="shared" si="358"/>
        <v>91.27758999032821</v>
      </c>
      <c r="EY568" s="346"/>
      <c r="EZ568" s="346"/>
      <c r="FA568" s="346"/>
      <c r="FB568" s="346"/>
      <c r="FC568" s="346"/>
      <c r="FD568" s="346"/>
      <c r="FE568" s="346"/>
      <c r="FF568" s="346"/>
      <c r="FG568" s="346"/>
      <c r="FH568" s="346"/>
      <c r="FI568" s="346"/>
      <c r="FJ568" s="348"/>
      <c r="FK568" s="346"/>
      <c r="FL568" s="346"/>
      <c r="FM568" s="346"/>
      <c r="FN568" s="346"/>
      <c r="FO568" s="346"/>
      <c r="FP568" s="346"/>
      <c r="FQ568" s="346"/>
      <c r="FR568" s="346"/>
      <c r="FS568" s="346"/>
      <c r="FT568" s="346"/>
      <c r="FU568" s="346"/>
      <c r="FV568" s="346"/>
      <c r="FW568" s="346"/>
      <c r="FX568" s="346"/>
      <c r="FY568" s="346"/>
      <c r="FZ568" s="346"/>
      <c r="GA568" s="346"/>
      <c r="GB568" s="346"/>
      <c r="GC568" s="346"/>
      <c r="GD568" s="346"/>
      <c r="GE568" s="346"/>
      <c r="GF568" s="346"/>
      <c r="GG568" s="346"/>
      <c r="GH568" s="346"/>
      <c r="GI568" s="346"/>
      <c r="GJ568" s="346"/>
      <c r="GK568" s="346"/>
      <c r="GL568" s="346"/>
      <c r="GM568" s="346"/>
      <c r="GN568" s="346"/>
      <c r="GO568" s="346"/>
      <c r="GP568" s="346"/>
      <c r="GQ568" s="346"/>
      <c r="GR568" s="346"/>
      <c r="GS568" s="346"/>
      <c r="GT568" s="346"/>
      <c r="GU568" s="346"/>
      <c r="GV568" s="346"/>
      <c r="GW568" s="346"/>
      <c r="GX568" s="346"/>
      <c r="GY568" s="346"/>
      <c r="GZ568" s="346"/>
      <c r="HA568" s="346"/>
      <c r="HB568" s="346"/>
      <c r="HC568" s="346"/>
      <c r="HD568" s="346"/>
      <c r="HE568" s="346"/>
      <c r="HF568" s="346"/>
      <c r="HG568" s="346"/>
      <c r="HH568" s="346"/>
      <c r="HI568" s="346"/>
      <c r="HJ568" s="346"/>
      <c r="HK568" s="346"/>
      <c r="HL568" s="346"/>
      <c r="HM568" s="346"/>
      <c r="HN568" s="349"/>
      <c r="HO568" s="345" t="s">
        <v>175</v>
      </c>
      <c r="HP568" s="345"/>
      <c r="HQ568" s="345"/>
      <c r="HR568" s="346">
        <f>+FISC!Z791</f>
        <v>-53.593198042000125</v>
      </c>
      <c r="HS568" s="302">
        <f t="shared" ref="HS568:HZ568" si="359">HS467-(HS505-HS514-HS529)-HS537</f>
        <v>-30.697498315073574</v>
      </c>
      <c r="HT568" s="302">
        <f t="shared" si="359"/>
        <v>-34.917262875268364</v>
      </c>
      <c r="HU568" s="346">
        <f t="shared" si="359"/>
        <v>-65.614761190341994</v>
      </c>
      <c r="HV568" s="302">
        <f t="shared" si="359"/>
        <v>-10.51568797034156</v>
      </c>
      <c r="HW568" s="302">
        <f t="shared" si="359"/>
        <v>-7.3100704348405543E-2</v>
      </c>
      <c r="HX568" s="346">
        <f t="shared" si="359"/>
        <v>-10.588788674690022</v>
      </c>
      <c r="HY568" s="302">
        <f t="shared" si="359"/>
        <v>22.745969636249839</v>
      </c>
      <c r="HZ568" s="302">
        <f t="shared" si="359"/>
        <v>-36.290220484632329</v>
      </c>
      <c r="IA568" s="346">
        <f t="shared" si="297"/>
        <v>-13.544250848382489</v>
      </c>
      <c r="ID568" s="346">
        <f>FISC!AC791</f>
        <v>94.484711920496125</v>
      </c>
      <c r="IE568" s="302">
        <f t="shared" si="342"/>
        <v>41.532383407041493</v>
      </c>
      <c r="IF568" s="302">
        <f t="shared" si="343"/>
        <v>1.7309619608822118</v>
      </c>
      <c r="IG568" s="346">
        <f t="shared" si="201"/>
        <v>43.263345367923705</v>
      </c>
      <c r="IH568" s="302" t="e">
        <f>IH467-(IH505-IH514-IH529)-IH537</f>
        <v>#REF!</v>
      </c>
      <c r="II568" s="302" t="e">
        <f>IJ568-IH568</f>
        <v>#REF!</v>
      </c>
      <c r="IJ568" s="346">
        <f>+FISC!AE791</f>
        <v>-273.35751798031038</v>
      </c>
      <c r="IK568" s="302">
        <f>IK467-(IK505-IK514-IK529)-IK537</f>
        <v>1.5837450539084443</v>
      </c>
      <c r="IL568" s="302">
        <f t="shared" si="280"/>
        <v>-159.85631650699094</v>
      </c>
      <c r="IM568" s="346">
        <f>+FISC!AF791</f>
        <v>-158.27257145308249</v>
      </c>
      <c r="IN568" s="302">
        <f>IN467-(IN505-IN514-IN529)-IN537</f>
        <v>2459.0086083068218</v>
      </c>
      <c r="IO568" s="302">
        <f t="shared" si="334"/>
        <v>2826.6490147286841</v>
      </c>
      <c r="IP568" s="346">
        <f>+FISC!AG791</f>
        <v>5285.6576230355058</v>
      </c>
      <c r="IQ568" s="302">
        <f>IQ467-(IQ505-IQ514-IQ529)-IQ537</f>
        <v>3817.1401779485277</v>
      </c>
      <c r="IR568" s="302">
        <f t="shared" si="281"/>
        <v>4567.7657174667893</v>
      </c>
      <c r="IS568" s="346">
        <f>+FISC!AH791</f>
        <v>8384.905895415317</v>
      </c>
      <c r="IT568" s="302">
        <f>IT467-(IT505-IT514-IT529)-IT537</f>
        <v>4685.1996829664904</v>
      </c>
      <c r="IU568" s="302">
        <f t="shared" si="282"/>
        <v>4776.0829048946807</v>
      </c>
      <c r="IV568" s="346">
        <f>+FISC!AI791</f>
        <v>9461.2825878611711</v>
      </c>
      <c r="IW568" s="302">
        <f>IW467-(IW505-IW514-IW529)-IW537</f>
        <v>-1275.5309046914331</v>
      </c>
      <c r="IX568" s="302">
        <f t="shared" si="283"/>
        <v>-1840.1519234304192</v>
      </c>
      <c r="IY568" s="346">
        <f>+FISC!AJ791</f>
        <v>-3115.6828281218523</v>
      </c>
      <c r="IZ568" s="302" t="e">
        <f>IZ467-(IZ505-IZ514-IZ529)-IZ537</f>
        <v>#DIV/0!</v>
      </c>
      <c r="JA568" s="302" t="e">
        <f t="shared" si="284"/>
        <v>#DIV/0!</v>
      </c>
      <c r="JB568" s="346" t="e">
        <f>+FISC!AK791</f>
        <v>#DIV/0!</v>
      </c>
      <c r="JC568" s="346"/>
      <c r="KI568" s="349"/>
      <c r="KJ568" s="350"/>
      <c r="KM568" s="302">
        <f>KM467-(KM505-KM514-KM529)-KM537</f>
        <v>0</v>
      </c>
      <c r="KN568" s="302">
        <f>KN467-(KN505-KN514-KN529)-KN537</f>
        <v>0</v>
      </c>
      <c r="KO568" s="302">
        <f>KO467-(KO505-KO514-KO529)-KO537</f>
        <v>0</v>
      </c>
      <c r="KP568" s="302">
        <f>KP467-(KP505-KP514-KP529)-KP537</f>
        <v>0</v>
      </c>
    </row>
    <row r="569" spans="1:302">
      <c r="A569" s="302"/>
      <c r="B569" s="117" t="s">
        <v>361</v>
      </c>
      <c r="D569" s="351" t="str">
        <f>+FISC!D792</f>
        <v>Domestic Fiscal Balance ( excl. Demob and PKO; incl. net lending)</v>
      </c>
      <c r="E569" s="346">
        <f t="shared" ref="E569:AJ569" si="360">E467-(E505-E531-E532)-E537-E550</f>
        <v>-14.233886187904123</v>
      </c>
      <c r="F569" s="346">
        <f t="shared" si="360"/>
        <v>-16.028930033720002</v>
      </c>
      <c r="G569" s="346">
        <f t="shared" si="360"/>
        <v>2.7810474829675003</v>
      </c>
      <c r="H569" s="346">
        <f t="shared" si="360"/>
        <v>-19.644421869128273</v>
      </c>
      <c r="I569" s="346">
        <f t="shared" si="360"/>
        <v>-2.8403267278979989</v>
      </c>
      <c r="J569" s="346">
        <f t="shared" si="360"/>
        <v>11.115585093274102</v>
      </c>
      <c r="K569" s="346">
        <f t="shared" si="360"/>
        <v>-34.985963882326296</v>
      </c>
      <c r="L569" s="346">
        <f t="shared" si="360"/>
        <v>-10.626439664849602</v>
      </c>
      <c r="M569" s="346">
        <f t="shared" si="360"/>
        <v>0.37811662411599645</v>
      </c>
      <c r="N569" s="346">
        <f t="shared" si="360"/>
        <v>-20.00922741774</v>
      </c>
      <c r="O569" s="346">
        <f t="shared" si="360"/>
        <v>-9.8075644591</v>
      </c>
      <c r="P569" s="346">
        <f t="shared" si="360"/>
        <v>9.2619059639200003</v>
      </c>
      <c r="Q569" s="346">
        <f t="shared" si="360"/>
        <v>-13.865071703391603</v>
      </c>
      <c r="R569" s="346">
        <f t="shared" si="360"/>
        <v>-12.265642172342702</v>
      </c>
      <c r="S569" s="346">
        <f t="shared" si="360"/>
        <v>-5.4735609407249983</v>
      </c>
      <c r="T569" s="346">
        <f t="shared" si="360"/>
        <v>-34.910256866264</v>
      </c>
      <c r="U569" s="346">
        <f t="shared" si="360"/>
        <v>-7.7655313026555</v>
      </c>
      <c r="V569" s="346">
        <f t="shared" si="360"/>
        <v>21.036395106607994</v>
      </c>
      <c r="W569" s="346">
        <f t="shared" si="360"/>
        <v>-31.848971646349995</v>
      </c>
      <c r="X569" s="346">
        <f t="shared" si="360"/>
        <v>-17.568588405408008</v>
      </c>
      <c r="Y569" s="346">
        <f t="shared" si="360"/>
        <v>-4.4014634746048023</v>
      </c>
      <c r="Z569" s="346">
        <f t="shared" si="360"/>
        <v>-54.000833341573397</v>
      </c>
      <c r="AA569" s="346">
        <f t="shared" si="360"/>
        <v>-1.1482740607894055</v>
      </c>
      <c r="AB569" s="346">
        <f t="shared" si="360"/>
        <v>57.848960559293005</v>
      </c>
      <c r="AC569" s="346">
        <f t="shared" si="360"/>
        <v>-19.592073761999995</v>
      </c>
      <c r="AD569" s="346">
        <f t="shared" si="360"/>
        <v>-5.9573582730000014</v>
      </c>
      <c r="AE569" s="346">
        <f t="shared" si="360"/>
        <v>-21.207371200999997</v>
      </c>
      <c r="AF569" s="346">
        <f t="shared" si="360"/>
        <v>-31.359601740999999</v>
      </c>
      <c r="AG569" s="346">
        <f t="shared" si="360"/>
        <v>-12.151371835999997</v>
      </c>
      <c r="AH569" s="346">
        <f t="shared" si="360"/>
        <v>11.138690524999987</v>
      </c>
      <c r="AI569" s="346">
        <f t="shared" si="360"/>
        <v>-19.379199536999998</v>
      </c>
      <c r="AJ569" s="346">
        <f t="shared" si="360"/>
        <v>-17.386593312999988</v>
      </c>
      <c r="AK569" s="346">
        <f t="shared" ref="AK569:BP569" si="361">AK467-(AK505-AK531-AK532)-AK537-AK550</f>
        <v>-19.419854707999995</v>
      </c>
      <c r="AL569" s="346">
        <f t="shared" si="361"/>
        <v>-43.936916423</v>
      </c>
      <c r="AM569" s="346">
        <f t="shared" si="361"/>
        <v>-21.271677526000001</v>
      </c>
      <c r="AN569" s="346">
        <f t="shared" si="361"/>
        <v>3.6063337170000014</v>
      </c>
      <c r="AO569" s="346">
        <f t="shared" si="361"/>
        <v>-33.096451070259995</v>
      </c>
      <c r="AP569" s="346">
        <f t="shared" si="361"/>
        <v>-9.630509702060003</v>
      </c>
      <c r="AQ569" s="346">
        <f t="shared" si="361"/>
        <v>-4.9492014493272265</v>
      </c>
      <c r="AR569" s="346">
        <f t="shared" si="361"/>
        <v>-35.75655154012</v>
      </c>
      <c r="AS569" s="346">
        <f t="shared" si="361"/>
        <v>-33.968573150347993</v>
      </c>
      <c r="AT569" s="346">
        <f t="shared" si="361"/>
        <v>-1.0169723060655973</v>
      </c>
      <c r="AU569" s="346">
        <f t="shared" si="361"/>
        <v>-19.329165807240006</v>
      </c>
      <c r="AV569" s="346">
        <f t="shared" si="361"/>
        <v>-30.457725937880003</v>
      </c>
      <c r="AW569" s="346">
        <f t="shared" si="361"/>
        <v>-17.929744642549998</v>
      </c>
      <c r="AX569" s="346">
        <f t="shared" si="361"/>
        <v>-37.765149914079998</v>
      </c>
      <c r="AY569" s="346">
        <f t="shared" si="361"/>
        <v>-15.803348913900793</v>
      </c>
      <c r="AZ569" s="346">
        <f t="shared" si="361"/>
        <v>-21.319542182367492</v>
      </c>
      <c r="BA569" s="346">
        <f t="shared" si="361"/>
        <v>-21.338917546999998</v>
      </c>
      <c r="BB569" s="346">
        <f t="shared" si="361"/>
        <v>-9.7965596749999975</v>
      </c>
      <c r="BC569" s="346">
        <f t="shared" si="361"/>
        <v>0.26538117200000411</v>
      </c>
      <c r="BD569" s="346">
        <f t="shared" si="361"/>
        <v>-47.066709641000003</v>
      </c>
      <c r="BE569" s="346">
        <f t="shared" si="361"/>
        <v>-47.494406820999998</v>
      </c>
      <c r="BF569" s="346">
        <f t="shared" si="361"/>
        <v>22.133160808999996</v>
      </c>
      <c r="BG569" s="346">
        <f t="shared" si="361"/>
        <v>-13.992362122200001</v>
      </c>
      <c r="BH569" s="346">
        <f t="shared" si="361"/>
        <v>-42.184293322800009</v>
      </c>
      <c r="BI569" s="346">
        <f t="shared" si="361"/>
        <v>22.417770648900007</v>
      </c>
      <c r="BJ569" s="346">
        <f t="shared" si="361"/>
        <v>-46.780275205819997</v>
      </c>
      <c r="BK569" s="346">
        <f t="shared" si="361"/>
        <v>-20.316114221000014</v>
      </c>
      <c r="BL569" s="346">
        <f t="shared" si="361"/>
        <v>9.5720922639999895</v>
      </c>
      <c r="BM569" s="346">
        <f t="shared" si="361"/>
        <v>-41.626092870890005</v>
      </c>
      <c r="BN569" s="346">
        <f t="shared" si="361"/>
        <v>-15.183143720479999</v>
      </c>
      <c r="BO569" s="346">
        <f t="shared" si="361"/>
        <v>3.1221963169999958</v>
      </c>
      <c r="BP569" s="346">
        <f t="shared" si="361"/>
        <v>-66.680798585000005</v>
      </c>
      <c r="BQ569" s="346">
        <f t="shared" ref="BQ569:CV569" si="362">BQ467-(BQ505-BQ531-BQ532)-BQ537-BQ550</f>
        <v>-55.172659059849991</v>
      </c>
      <c r="BR569" s="346">
        <f t="shared" si="362"/>
        <v>23.469093098419997</v>
      </c>
      <c r="BS569" s="346">
        <f t="shared" si="362"/>
        <v>-23.553099999999993</v>
      </c>
      <c r="BT569" s="346">
        <f t="shared" si="362"/>
        <v>-17.300199999999986</v>
      </c>
      <c r="BU569" s="346">
        <f t="shared" si="362"/>
        <v>7.0096999999999969</v>
      </c>
      <c r="BV569" s="346">
        <f t="shared" si="362"/>
        <v>-54.264272142367645</v>
      </c>
      <c r="BW569" s="346">
        <f t="shared" si="362"/>
        <v>-23.403320504341178</v>
      </c>
      <c r="BX569" s="346">
        <f t="shared" si="362"/>
        <v>28.712918160505176</v>
      </c>
      <c r="BY569" s="346">
        <f t="shared" si="362"/>
        <v>-27.046293615118035</v>
      </c>
      <c r="BZ569" s="346">
        <f t="shared" si="362"/>
        <v>-27.610120997842117</v>
      </c>
      <c r="CA569" s="346">
        <f t="shared" si="362"/>
        <v>28.914320175343413</v>
      </c>
      <c r="CB569" s="346">
        <f t="shared" si="362"/>
        <v>-73.642175424903499</v>
      </c>
      <c r="CC569" s="346">
        <f t="shared" si="362"/>
        <v>-146.71936144099061</v>
      </c>
      <c r="CD569" s="346">
        <f t="shared" si="362"/>
        <v>22.732394966439301</v>
      </c>
      <c r="CE569" s="347">
        <f t="shared" si="362"/>
        <v>19.6991389764896</v>
      </c>
      <c r="CF569" s="346">
        <f t="shared" si="362"/>
        <v>-43.201459545251737</v>
      </c>
      <c r="CG569" s="346">
        <f t="shared" si="362"/>
        <v>3.56427807963692</v>
      </c>
      <c r="CH569" s="346">
        <f t="shared" si="362"/>
        <v>-45.292515637624916</v>
      </c>
      <c r="CI569" s="346">
        <f t="shared" si="362"/>
        <v>-16.01056692213697</v>
      </c>
      <c r="CJ569" s="346">
        <f t="shared" si="362"/>
        <v>37.427609612026302</v>
      </c>
      <c r="CK569" s="346">
        <f t="shared" si="362"/>
        <v>-39.676778950083481</v>
      </c>
      <c r="CL569" s="346">
        <f t="shared" si="362"/>
        <v>-11.30766673951311</v>
      </c>
      <c r="CM569" s="346">
        <f t="shared" si="362"/>
        <v>-5.7226403776384398</v>
      </c>
      <c r="CN569" s="346">
        <f t="shared" si="362"/>
        <v>-39.544450946732631</v>
      </c>
      <c r="CO569" s="346">
        <f t="shared" si="362"/>
        <v>-65.423080736861891</v>
      </c>
      <c r="CP569" s="348">
        <f t="shared" si="362"/>
        <v>24.124966377802387</v>
      </c>
      <c r="CQ569" s="346">
        <f t="shared" si="362"/>
        <v>-40.313190791211341</v>
      </c>
      <c r="CR569" s="346">
        <f t="shared" si="362"/>
        <v>-25.554178699746451</v>
      </c>
      <c r="CS569" s="346">
        <f t="shared" si="362"/>
        <v>-25.28537981215246</v>
      </c>
      <c r="CT569" s="346">
        <f t="shared" si="362"/>
        <v>-32.492522395282535</v>
      </c>
      <c r="CU569" s="346">
        <f t="shared" si="362"/>
        <v>-12.690189745083734</v>
      </c>
      <c r="CV569" s="346">
        <f t="shared" si="362"/>
        <v>24.767444382675208</v>
      </c>
      <c r="CW569" s="346">
        <f t="shared" ref="CW569:EB569" si="363">CW467-(CW505-CW531-CW532)-CW537-CW550</f>
        <v>-33.658043101819707</v>
      </c>
      <c r="CX569" s="346">
        <f t="shared" si="363"/>
        <v>-8.48761834745215</v>
      </c>
      <c r="CY569" s="346">
        <f t="shared" si="363"/>
        <v>14.36446933779294</v>
      </c>
      <c r="CZ569" s="346">
        <f t="shared" si="363"/>
        <v>-81.409167131566434</v>
      </c>
      <c r="DA569" s="346">
        <f t="shared" si="363"/>
        <v>-41.402854056951163</v>
      </c>
      <c r="DB569" s="1479">
        <f t="shared" si="363"/>
        <v>52.415520944441312</v>
      </c>
      <c r="DC569" s="346">
        <f t="shared" si="363"/>
        <v>-24.165813664497144</v>
      </c>
      <c r="DD569" s="346">
        <f t="shared" si="363"/>
        <v>-39.780860904310018</v>
      </c>
      <c r="DE569" s="346">
        <f t="shared" si="363"/>
        <v>1.6262864593577238</v>
      </c>
      <c r="DF569" s="346">
        <f t="shared" si="363"/>
        <v>-48.349737315097229</v>
      </c>
      <c r="DG569" s="346">
        <f t="shared" si="363"/>
        <v>-19.323761551450847</v>
      </c>
      <c r="DH569" s="346">
        <f t="shared" si="363"/>
        <v>41.309462105800144</v>
      </c>
      <c r="DI569" s="346">
        <f t="shared" si="363"/>
        <v>-78.338406448448495</v>
      </c>
      <c r="DJ569" s="346">
        <f t="shared" si="363"/>
        <v>-22.396967455021745</v>
      </c>
      <c r="DK569" s="346">
        <f t="shared" si="363"/>
        <v>52.006877722155707</v>
      </c>
      <c r="DL569" s="346">
        <f t="shared" si="363"/>
        <v>-71.567136491590233</v>
      </c>
      <c r="DM569" s="346">
        <f t="shared" si="363"/>
        <v>-36.681385974064455</v>
      </c>
      <c r="DN569" s="348">
        <f t="shared" si="363"/>
        <v>62.972833683980255</v>
      </c>
      <c r="DO569" s="346">
        <f t="shared" si="363"/>
        <v>-34.290205673226616</v>
      </c>
      <c r="DP569" s="346">
        <f t="shared" si="363"/>
        <v>-38.046154326116067</v>
      </c>
      <c r="DQ569" s="346">
        <f t="shared" si="363"/>
        <v>45.831526965385919</v>
      </c>
      <c r="DR569" s="346">
        <f t="shared" si="363"/>
        <v>-76.052065756127973</v>
      </c>
      <c r="DS569" s="346">
        <f t="shared" si="363"/>
        <v>-30.613377565346845</v>
      </c>
      <c r="DT569" s="346">
        <f t="shared" si="363"/>
        <v>64.28128014370759</v>
      </c>
      <c r="DU569" s="346">
        <f t="shared" si="363"/>
        <v>-84.751957514877532</v>
      </c>
      <c r="DV569" s="346">
        <f t="shared" si="363"/>
        <v>-29.049877374432288</v>
      </c>
      <c r="DW569" s="346">
        <f t="shared" si="363"/>
        <v>76.421483013486466</v>
      </c>
      <c r="DX569" s="346">
        <f t="shared" si="363"/>
        <v>-104.29494769221076</v>
      </c>
      <c r="DY569" s="346">
        <f t="shared" si="363"/>
        <v>-59.385611612994936</v>
      </c>
      <c r="DZ569" s="348">
        <f t="shared" si="363"/>
        <v>36.502635457103338</v>
      </c>
      <c r="EA569" s="346">
        <f t="shared" si="363"/>
        <v>-39.448847270364837</v>
      </c>
      <c r="EB569" s="346">
        <f t="shared" si="363"/>
        <v>-61.403508181567624</v>
      </c>
      <c r="EC569" s="346">
        <f t="shared" ref="EC569:EK569" si="364">EC467-(EC505-EC531-EC532)-EC537-EC550</f>
        <v>-20.134859400066489</v>
      </c>
      <c r="ED569" s="346">
        <f t="shared" si="364"/>
        <v>-30.589119695929426</v>
      </c>
      <c r="EE569" s="346">
        <f t="shared" si="364"/>
        <v>-35.509731916628269</v>
      </c>
      <c r="EF569" s="346">
        <f t="shared" si="364"/>
        <v>49.585464296529878</v>
      </c>
      <c r="EG569" s="346">
        <f t="shared" si="364"/>
        <v>-70.330992408684736</v>
      </c>
      <c r="EH569" s="346">
        <f t="shared" si="364"/>
        <v>-30.826306680732657</v>
      </c>
      <c r="EI569" s="346">
        <f t="shared" si="364"/>
        <v>3.6239029842918384</v>
      </c>
      <c r="EJ569" s="346">
        <f t="shared" si="364"/>
        <v>-17.955578626484787</v>
      </c>
      <c r="EK569" s="346">
        <f t="shared" si="364"/>
        <v>-44.490594760335782</v>
      </c>
      <c r="EL569" s="348">
        <f t="shared" ref="EL569:ER569" si="365">EL467-(EL505-EL531-EL532)-EL537-EL550</f>
        <v>85.474412094985865</v>
      </c>
      <c r="EM569" s="346">
        <f t="shared" si="365"/>
        <v>-40.895842063702958</v>
      </c>
      <c r="EN569" s="346">
        <f t="shared" si="365"/>
        <v>8.7375737079666322</v>
      </c>
      <c r="EO569" s="346">
        <f t="shared" si="365"/>
        <v>19.348147024861319</v>
      </c>
      <c r="EP569" s="346">
        <f t="shared" si="365"/>
        <v>-62.325959919571403</v>
      </c>
      <c r="EQ569" s="346">
        <f t="shared" si="365"/>
        <v>-57.379280008518194</v>
      </c>
      <c r="ER569" s="346">
        <f t="shared" si="365"/>
        <v>13.098496587235676</v>
      </c>
      <c r="ES569" s="346">
        <f t="shared" ref="ES569:EX569" si="366">ES467-(ES505-ES531-ES532)-ES537-ES550</f>
        <v>-31.634206517941251</v>
      </c>
      <c r="ET569" s="346">
        <f t="shared" si="366"/>
        <v>-36.121535619771315</v>
      </c>
      <c r="EU569" s="346">
        <f t="shared" si="366"/>
        <v>-6.3855836932948336</v>
      </c>
      <c r="EV569" s="346">
        <f t="shared" si="366"/>
        <v>-73.623208439795775</v>
      </c>
      <c r="EW569" s="346">
        <f t="shared" si="366"/>
        <v>-78.352481124808307</v>
      </c>
      <c r="EX569" s="348">
        <f t="shared" si="366"/>
        <v>67.519239952055358</v>
      </c>
      <c r="EY569" s="346"/>
      <c r="EZ569" s="346"/>
      <c r="FA569" s="346"/>
      <c r="FB569" s="346"/>
      <c r="FC569" s="346"/>
      <c r="FD569" s="346"/>
      <c r="FE569" s="346"/>
      <c r="FF569" s="346"/>
      <c r="FG569" s="346"/>
      <c r="FH569" s="346"/>
      <c r="FI569" s="346"/>
      <c r="FJ569" s="348"/>
      <c r="FK569" s="346"/>
      <c r="FL569" s="346"/>
      <c r="FM569" s="346"/>
      <c r="FN569" s="346"/>
      <c r="FO569" s="346"/>
      <c r="FP569" s="346"/>
      <c r="FQ569" s="346"/>
      <c r="FR569" s="346"/>
      <c r="FS569" s="346"/>
      <c r="FT569" s="346"/>
      <c r="FU569" s="346"/>
      <c r="FV569" s="346"/>
      <c r="FW569" s="346"/>
      <c r="FX569" s="346"/>
      <c r="FY569" s="346"/>
      <c r="FZ569" s="346"/>
      <c r="GA569" s="346"/>
      <c r="GB569" s="346"/>
      <c r="GC569" s="346"/>
      <c r="GD569" s="346"/>
      <c r="GE569" s="346"/>
      <c r="GF569" s="346"/>
      <c r="GG569" s="346"/>
      <c r="GH569" s="346"/>
      <c r="GI569" s="346"/>
      <c r="GJ569" s="346"/>
      <c r="GK569" s="346"/>
      <c r="GL569" s="346"/>
      <c r="GM569" s="346"/>
      <c r="GN569" s="346"/>
      <c r="GO569" s="346"/>
      <c r="GP569" s="346"/>
      <c r="GQ569" s="346"/>
      <c r="GR569" s="346"/>
      <c r="GS569" s="346"/>
      <c r="GT569" s="346"/>
      <c r="GU569" s="346"/>
      <c r="GV569" s="346"/>
      <c r="GW569" s="346"/>
      <c r="GX569" s="346"/>
      <c r="GY569" s="346"/>
      <c r="GZ569" s="346"/>
      <c r="HA569" s="346"/>
      <c r="HB569" s="346"/>
      <c r="HC569" s="346"/>
      <c r="HD569" s="346"/>
      <c r="HE569" s="346"/>
      <c r="HF569" s="346"/>
      <c r="HG569" s="346"/>
      <c r="HH569" s="346"/>
      <c r="HI569" s="346"/>
      <c r="HJ569" s="346"/>
      <c r="HK569" s="346"/>
      <c r="HL569" s="346"/>
      <c r="HM569" s="346"/>
      <c r="HN569" s="349"/>
      <c r="HO569" s="351" t="s">
        <v>240</v>
      </c>
      <c r="HP569" s="351"/>
      <c r="HQ569" s="351"/>
      <c r="HR569" s="346">
        <f>+FISC!Z792</f>
        <v>-242.39319804200005</v>
      </c>
      <c r="HS569" s="302">
        <f t="shared" ref="HS569:HZ569" si="367">HS467-(HS505-HS531-HS532)-HS537-HS550</f>
        <v>-88.568017060801282</v>
      </c>
      <c r="HT569" s="302">
        <f t="shared" si="367"/>
        <v>-98.177692355555109</v>
      </c>
      <c r="HU569" s="346">
        <f t="shared" si="367"/>
        <v>-186.74570941635648</v>
      </c>
      <c r="HV569" s="302">
        <f t="shared" si="367"/>
        <v>-88.68442487019729</v>
      </c>
      <c r="HW569" s="302">
        <f t="shared" si="367"/>
        <v>-94.004184962989001</v>
      </c>
      <c r="HX569" s="346">
        <f t="shared" si="367"/>
        <v>-182.68860983318646</v>
      </c>
      <c r="HY569" s="302">
        <f t="shared" si="367"/>
        <v>-68.888996211724105</v>
      </c>
      <c r="HZ569" s="302">
        <f t="shared" si="367"/>
        <v>-164.55827572392576</v>
      </c>
      <c r="IA569" s="346">
        <f t="shared" si="297"/>
        <v>-233.44727193564987</v>
      </c>
      <c r="ID569" s="346">
        <f>FISC!AC792</f>
        <v>-189.57230382755449</v>
      </c>
      <c r="IE569" s="302">
        <f t="shared" si="342"/>
        <v>-119.41686467172894</v>
      </c>
      <c r="IF569" s="302">
        <f t="shared" si="343"/>
        <v>-158.59777544355612</v>
      </c>
      <c r="IG569" s="346">
        <f t="shared" si="201"/>
        <v>-278.01464011528503</v>
      </c>
      <c r="IH569" s="302" t="e">
        <f>IH467-(IH505-IH531-IH532)-IH537-IH550</f>
        <v>#REF!</v>
      </c>
      <c r="II569" s="302" t="e">
        <f>IJ569-IH569</f>
        <v>#REF!</v>
      </c>
      <c r="IJ569" s="346">
        <f>+FISC!AE792</f>
        <v>-863.60372409370552</v>
      </c>
      <c r="IK569" s="302">
        <f>IK467-(IK505-IK531-IK532)-IK537-IK550</f>
        <v>-261.8138707854838</v>
      </c>
      <c r="IL569" s="302">
        <f t="shared" si="280"/>
        <v>-429.8998748229352</v>
      </c>
      <c r="IM569" s="346">
        <f>+FISC!AF792</f>
        <v>-691.713745608419</v>
      </c>
      <c r="IN569" s="302">
        <f>IN467-(IN505-IN531-IN532)-IN537-IN550</f>
        <v>2204.0165117691449</v>
      </c>
      <c r="IO569" s="302">
        <f t="shared" si="334"/>
        <v>2555.153336124361</v>
      </c>
      <c r="IP569" s="346">
        <f>+FISC!AG792</f>
        <v>4759.1698478935059</v>
      </c>
      <c r="IQ569" s="302">
        <f>IQ467-(IQ505-IQ531-IQ532)-IQ537-IQ550</f>
        <v>3518.6010492358778</v>
      </c>
      <c r="IR569" s="302">
        <f t="shared" si="281"/>
        <v>4256.827743758291</v>
      </c>
      <c r="IS569" s="346">
        <f>+FISC!AH792</f>
        <v>7775.4287929941693</v>
      </c>
      <c r="IT569" s="302">
        <f>IT467-(IT505-IT531-IT532)-IT537-IT550</f>
        <v>4328.4194830026081</v>
      </c>
      <c r="IU569" s="302">
        <f t="shared" si="282"/>
        <v>4402.9956901333971</v>
      </c>
      <c r="IV569" s="346">
        <f>+FISC!AI792</f>
        <v>8731.4151731360053</v>
      </c>
      <c r="IW569" s="302">
        <f>IW467-(IW505-IW531-IW532)-IW537-IW550</f>
        <v>-1534.5395617745683</v>
      </c>
      <c r="IX569" s="302">
        <f t="shared" si="283"/>
        <v>-2104.51541388428</v>
      </c>
      <c r="IY569" s="346">
        <f>+FISC!AJ792</f>
        <v>-3639.054975658848</v>
      </c>
      <c r="IZ569" s="302" t="e">
        <f>IZ467-(IZ505-IZ531-IZ532)-IZ537-IZ550</f>
        <v>#DIV/0!</v>
      </c>
      <c r="JA569" s="302" t="e">
        <f t="shared" si="284"/>
        <v>#DIV/0!</v>
      </c>
      <c r="JB569" s="346" t="e">
        <f>+FISC!AK792</f>
        <v>#DIV/0!</v>
      </c>
      <c r="JC569" s="346"/>
      <c r="KI569" s="349"/>
      <c r="KJ569" s="350"/>
      <c r="KM569" s="302">
        <f>KM467-(KM505-KM531-KM532)-KM537-KM550</f>
        <v>0</v>
      </c>
      <c r="KN569" s="302">
        <f>KN467-(KN505-KN531-KN532)-KN537-KN550</f>
        <v>0</v>
      </c>
      <c r="KO569" s="302">
        <f>KO467-(KO505-KO531-KO532)-KO537-KO550</f>
        <v>0</v>
      </c>
      <c r="KP569" s="302">
        <f>KP467-(KP505-KP531-KP532)-KP537-KP550</f>
        <v>0</v>
      </c>
    </row>
    <row r="570" spans="1:302">
      <c r="A570" s="302"/>
      <c r="D570" s="351"/>
      <c r="E570" s="346"/>
      <c r="F570" s="346"/>
      <c r="G570" s="346"/>
      <c r="H570" s="346"/>
      <c r="I570" s="346"/>
      <c r="J570" s="346"/>
      <c r="K570" s="346"/>
      <c r="L570" s="346"/>
      <c r="M570" s="346"/>
      <c r="N570" s="346"/>
      <c r="O570" s="346"/>
      <c r="P570" s="346"/>
      <c r="Q570" s="346"/>
      <c r="R570" s="346"/>
      <c r="S570" s="346"/>
      <c r="T570" s="346"/>
      <c r="U570" s="346"/>
      <c r="V570" s="346"/>
      <c r="W570" s="346"/>
      <c r="X570" s="346"/>
      <c r="Y570" s="346"/>
      <c r="Z570" s="346"/>
      <c r="AA570" s="346"/>
      <c r="AB570" s="346"/>
      <c r="AC570" s="346"/>
      <c r="AD570" s="346"/>
      <c r="AE570" s="346"/>
      <c r="AF570" s="346"/>
      <c r="AG570" s="346"/>
      <c r="AH570" s="346"/>
      <c r="AI570" s="346"/>
      <c r="AJ570" s="346"/>
      <c r="AK570" s="346"/>
      <c r="AL570" s="346"/>
      <c r="AM570" s="346"/>
      <c r="AN570" s="346"/>
      <c r="AO570" s="346"/>
      <c r="AP570" s="346"/>
      <c r="AQ570" s="346"/>
      <c r="AR570" s="346"/>
      <c r="AS570" s="346"/>
      <c r="AT570" s="346"/>
      <c r="AU570" s="346"/>
      <c r="AV570" s="346"/>
      <c r="AW570" s="346"/>
      <c r="AX570" s="346"/>
      <c r="AY570" s="346"/>
      <c r="AZ570" s="346"/>
      <c r="BA570" s="346"/>
      <c r="BB570" s="346"/>
      <c r="BC570" s="346"/>
      <c r="BD570" s="346"/>
      <c r="BE570" s="346"/>
      <c r="BF570" s="346"/>
      <c r="BG570" s="346"/>
      <c r="BH570" s="346"/>
      <c r="BI570" s="346"/>
      <c r="BJ570" s="346"/>
      <c r="BK570" s="346"/>
      <c r="BL570" s="346"/>
      <c r="BM570" s="346"/>
      <c r="BN570" s="346"/>
      <c r="BO570" s="346"/>
      <c r="BP570" s="346"/>
      <c r="BQ570" s="346"/>
      <c r="BR570" s="346"/>
      <c r="BS570" s="346"/>
      <c r="BT570" s="346"/>
      <c r="BU570" s="346"/>
      <c r="BV570" s="346"/>
      <c r="BW570" s="346"/>
      <c r="BX570" s="346"/>
      <c r="BY570" s="346"/>
      <c r="BZ570" s="346"/>
      <c r="CA570" s="346"/>
      <c r="CB570" s="346"/>
      <c r="CC570" s="346"/>
      <c r="CD570" s="346"/>
      <c r="CE570" s="347"/>
      <c r="CF570" s="346"/>
      <c r="CG570" s="346"/>
      <c r="CH570" s="346"/>
      <c r="CI570" s="346"/>
      <c r="CJ570" s="346"/>
      <c r="CK570" s="346"/>
      <c r="CL570" s="346"/>
      <c r="CM570" s="346"/>
      <c r="CN570" s="346"/>
      <c r="CO570" s="346"/>
      <c r="CP570" s="348"/>
      <c r="CQ570" s="346"/>
      <c r="CR570" s="346"/>
      <c r="CS570" s="346"/>
      <c r="CT570" s="346"/>
      <c r="CU570" s="346"/>
      <c r="CV570" s="346"/>
      <c r="CW570" s="346"/>
      <c r="CX570" s="346"/>
      <c r="CY570" s="346"/>
      <c r="CZ570" s="346"/>
      <c r="DA570" s="346"/>
      <c r="DB570" s="1479"/>
      <c r="DC570" s="346"/>
      <c r="DD570" s="346"/>
      <c r="DE570" s="346"/>
      <c r="DF570" s="346"/>
      <c r="DG570" s="346"/>
      <c r="DH570" s="346"/>
      <c r="DI570" s="346"/>
      <c r="DJ570" s="346"/>
      <c r="DK570" s="346"/>
      <c r="DL570" s="346"/>
      <c r="DM570" s="346"/>
      <c r="DN570" s="348"/>
      <c r="DO570" s="346"/>
      <c r="DP570" s="346"/>
      <c r="DQ570" s="346"/>
      <c r="DR570" s="346"/>
      <c r="DS570" s="346"/>
      <c r="DT570" s="346"/>
      <c r="DU570" s="346"/>
      <c r="DV570" s="346"/>
      <c r="DW570" s="346"/>
      <c r="DX570" s="346"/>
      <c r="DY570" s="346"/>
      <c r="DZ570" s="348"/>
      <c r="EA570" s="346"/>
      <c r="EB570" s="346"/>
      <c r="EC570" s="346"/>
      <c r="ED570" s="346"/>
      <c r="EE570" s="346"/>
      <c r="EF570" s="346"/>
      <c r="EG570" s="346"/>
      <c r="EH570" s="346"/>
      <c r="EI570" s="346"/>
      <c r="EJ570" s="346"/>
      <c r="EK570" s="346"/>
      <c r="EL570" s="348"/>
      <c r="EM570" s="346"/>
      <c r="EN570" s="346"/>
      <c r="EO570" s="346"/>
      <c r="EP570" s="346"/>
      <c r="EQ570" s="346"/>
      <c r="ER570" s="346"/>
      <c r="ES570" s="346"/>
      <c r="ET570" s="346"/>
      <c r="EU570" s="346"/>
      <c r="EV570" s="346"/>
      <c r="EW570" s="346"/>
      <c r="EX570" s="348"/>
      <c r="EY570" s="346"/>
      <c r="EZ570" s="346"/>
      <c r="FA570" s="346"/>
      <c r="FB570" s="346"/>
      <c r="FC570" s="346"/>
      <c r="FD570" s="346"/>
      <c r="FE570" s="346"/>
      <c r="FF570" s="346"/>
      <c r="FG570" s="346"/>
      <c r="FH570" s="346"/>
      <c r="FI570" s="346"/>
      <c r="FJ570" s="348"/>
      <c r="FK570" s="346"/>
      <c r="FL570" s="346"/>
      <c r="FM570" s="346"/>
      <c r="FN570" s="346"/>
      <c r="FO570" s="346"/>
      <c r="FP570" s="346"/>
      <c r="FQ570" s="346"/>
      <c r="FR570" s="346"/>
      <c r="FS570" s="346"/>
      <c r="FT570" s="346"/>
      <c r="FU570" s="346"/>
      <c r="FV570" s="346"/>
      <c r="FW570" s="346"/>
      <c r="FX570" s="346"/>
      <c r="FY570" s="346"/>
      <c r="FZ570" s="346"/>
      <c r="GA570" s="346"/>
      <c r="GB570" s="346"/>
      <c r="GC570" s="346"/>
      <c r="GD570" s="346"/>
      <c r="GE570" s="346"/>
      <c r="GF570" s="346"/>
      <c r="GG570" s="346"/>
      <c r="GH570" s="346"/>
      <c r="GI570" s="346"/>
      <c r="GJ570" s="346"/>
      <c r="GK570" s="346"/>
      <c r="GL570" s="346"/>
      <c r="GM570" s="346"/>
      <c r="GN570" s="346"/>
      <c r="GO570" s="346"/>
      <c r="GP570" s="346"/>
      <c r="GQ570" s="346"/>
      <c r="GR570" s="346"/>
      <c r="GS570" s="346"/>
      <c r="GT570" s="346"/>
      <c r="GU570" s="346"/>
      <c r="GV570" s="346"/>
      <c r="GW570" s="346"/>
      <c r="GX570" s="346"/>
      <c r="GY570" s="346"/>
      <c r="GZ570" s="346"/>
      <c r="HA570" s="346"/>
      <c r="HB570" s="346"/>
      <c r="HC570" s="346"/>
      <c r="HD570" s="346"/>
      <c r="HE570" s="346"/>
      <c r="HF570" s="346"/>
      <c r="HG570" s="346"/>
      <c r="HH570" s="346"/>
      <c r="HI570" s="346"/>
      <c r="HJ570" s="346"/>
      <c r="HK570" s="346"/>
      <c r="HL570" s="346"/>
      <c r="HM570" s="346"/>
      <c r="HN570" s="349"/>
      <c r="HO570" s="351"/>
      <c r="HP570" s="351"/>
      <c r="HQ570" s="351"/>
      <c r="HR570" s="346" t="e">
        <f>+FISC!#REF!</f>
        <v>#REF!</v>
      </c>
      <c r="HU570" s="346"/>
      <c r="HX570" s="346"/>
      <c r="IA570" s="346"/>
      <c r="IC570" s="350"/>
      <c r="ID570" s="346">
        <f>FISC!AC793</f>
        <v>0</v>
      </c>
      <c r="IE570" s="302">
        <f t="shared" si="342"/>
        <v>0</v>
      </c>
      <c r="IF570" s="302">
        <f t="shared" si="343"/>
        <v>0</v>
      </c>
      <c r="IG570" s="346">
        <f t="shared" si="201"/>
        <v>0</v>
      </c>
      <c r="IH570" s="350"/>
      <c r="II570" s="350"/>
      <c r="IJ570" s="346"/>
      <c r="IK570" s="302">
        <f>IM570*JI570</f>
        <v>0</v>
      </c>
      <c r="IL570" s="302">
        <f t="shared" si="280"/>
        <v>0</v>
      </c>
      <c r="IM570" s="346"/>
      <c r="IN570" s="302">
        <f t="shared" si="292"/>
        <v>0</v>
      </c>
      <c r="IO570" s="302">
        <f t="shared" si="334"/>
        <v>0</v>
      </c>
      <c r="IP570" s="346"/>
      <c r="IQ570" s="302">
        <f t="shared" si="293"/>
        <v>0</v>
      </c>
      <c r="IR570" s="302">
        <f t="shared" si="281"/>
        <v>0</v>
      </c>
      <c r="IS570" s="346"/>
      <c r="IT570" s="302">
        <f t="shared" si="294"/>
        <v>0</v>
      </c>
      <c r="IU570" s="302">
        <f t="shared" si="282"/>
        <v>0</v>
      </c>
      <c r="IV570" s="346"/>
      <c r="IW570" s="302">
        <f t="shared" si="295"/>
        <v>0</v>
      </c>
      <c r="IX570" s="302">
        <f t="shared" si="283"/>
        <v>0</v>
      </c>
      <c r="IY570" s="346"/>
      <c r="IZ570" s="302">
        <f t="shared" si="296"/>
        <v>0</v>
      </c>
      <c r="JA570" s="302">
        <f t="shared" si="284"/>
        <v>0</v>
      </c>
      <c r="JB570" s="346"/>
      <c r="JC570" s="346"/>
      <c r="KI570" s="349"/>
      <c r="KJ570" s="350"/>
    </row>
    <row r="571" spans="1:302">
      <c r="A571" s="302"/>
      <c r="B571" s="117" t="s">
        <v>361</v>
      </c>
      <c r="D571" s="345" t="str">
        <f>+FISC!D793</f>
        <v>Overall deficit (payment order)</v>
      </c>
      <c r="E571" s="346"/>
      <c r="F571" s="346"/>
      <c r="G571" s="346"/>
      <c r="H571" s="346"/>
      <c r="I571" s="346"/>
      <c r="J571" s="346"/>
      <c r="K571" s="346"/>
      <c r="L571" s="346"/>
      <c r="M571" s="346"/>
      <c r="N571" s="346"/>
      <c r="O571" s="346"/>
      <c r="P571" s="346"/>
      <c r="Q571" s="346"/>
      <c r="R571" s="346"/>
      <c r="S571" s="346"/>
      <c r="T571" s="346"/>
      <c r="U571" s="346"/>
      <c r="V571" s="346"/>
      <c r="W571" s="346"/>
      <c r="X571" s="346"/>
      <c r="Y571" s="346"/>
      <c r="Z571" s="346"/>
      <c r="AA571" s="346"/>
      <c r="AB571" s="346"/>
      <c r="AC571" s="346"/>
      <c r="AD571" s="346"/>
      <c r="AE571" s="346"/>
      <c r="AF571" s="346"/>
      <c r="AG571" s="346"/>
      <c r="AH571" s="346"/>
      <c r="AI571" s="346"/>
      <c r="AJ571" s="346"/>
      <c r="AK571" s="346"/>
      <c r="AL571" s="346"/>
      <c r="AM571" s="346"/>
      <c r="AN571" s="346"/>
      <c r="AO571" s="346"/>
      <c r="AP571" s="346"/>
      <c r="AQ571" s="346"/>
      <c r="AR571" s="346"/>
      <c r="AS571" s="346"/>
      <c r="AT571" s="346"/>
      <c r="AU571" s="346"/>
      <c r="AV571" s="346"/>
      <c r="AW571" s="346"/>
      <c r="AX571" s="346"/>
      <c r="AY571" s="346"/>
      <c r="AZ571" s="346"/>
      <c r="BA571" s="346"/>
      <c r="BB571" s="346"/>
      <c r="BC571" s="346"/>
      <c r="BD571" s="346"/>
      <c r="BE571" s="346"/>
      <c r="BF571" s="346"/>
      <c r="BG571" s="346"/>
      <c r="BH571" s="346"/>
      <c r="BI571" s="346"/>
      <c r="BJ571" s="346"/>
      <c r="BK571" s="346"/>
      <c r="BL571" s="346"/>
      <c r="BM571" s="346"/>
      <c r="BN571" s="346"/>
      <c r="BO571" s="346"/>
      <c r="BP571" s="346"/>
      <c r="BQ571" s="346"/>
      <c r="BR571" s="346"/>
      <c r="BS571" s="346"/>
      <c r="BT571" s="346"/>
      <c r="BU571" s="346"/>
      <c r="BV571" s="346"/>
      <c r="BW571" s="346"/>
      <c r="BX571" s="346"/>
      <c r="BY571" s="346"/>
      <c r="BZ571" s="346"/>
      <c r="CA571" s="346"/>
      <c r="CB571" s="346"/>
      <c r="CC571" s="346"/>
      <c r="CD571" s="346"/>
      <c r="CE571" s="347"/>
      <c r="CF571" s="346"/>
      <c r="CG571" s="346"/>
      <c r="CH571" s="346"/>
      <c r="CI571" s="346"/>
      <c r="CJ571" s="346"/>
      <c r="CK571" s="346"/>
      <c r="CL571" s="346"/>
      <c r="CM571" s="346"/>
      <c r="CN571" s="346"/>
      <c r="CO571" s="346"/>
      <c r="CP571" s="348"/>
      <c r="CQ571" s="346"/>
      <c r="CR571" s="346"/>
      <c r="CS571" s="346"/>
      <c r="CT571" s="346"/>
      <c r="CU571" s="346"/>
      <c r="CV571" s="346"/>
      <c r="CW571" s="346"/>
      <c r="CX571" s="346"/>
      <c r="CY571" s="346"/>
      <c r="CZ571" s="346"/>
      <c r="DA571" s="346"/>
      <c r="DB571" s="1479"/>
      <c r="DC571" s="346"/>
      <c r="DD571" s="346"/>
      <c r="DE571" s="346"/>
      <c r="DF571" s="346"/>
      <c r="DG571" s="346"/>
      <c r="DH571" s="346"/>
      <c r="DI571" s="346"/>
      <c r="DJ571" s="346"/>
      <c r="DK571" s="346"/>
      <c r="DL571" s="346"/>
      <c r="DM571" s="346"/>
      <c r="DN571" s="348"/>
      <c r="DO571" s="346"/>
      <c r="DP571" s="346"/>
      <c r="DQ571" s="346"/>
      <c r="DR571" s="346"/>
      <c r="DS571" s="346"/>
      <c r="DT571" s="346"/>
      <c r="DU571" s="346"/>
      <c r="DV571" s="346"/>
      <c r="DW571" s="346"/>
      <c r="DX571" s="346"/>
      <c r="DY571" s="346"/>
      <c r="DZ571" s="348"/>
      <c r="EA571" s="346"/>
      <c r="EB571" s="346"/>
      <c r="EC571" s="346"/>
      <c r="ED571" s="346"/>
      <c r="EE571" s="346"/>
      <c r="EF571" s="346"/>
      <c r="EG571" s="346"/>
      <c r="EH571" s="346"/>
      <c r="EI571" s="346"/>
      <c r="EJ571" s="346"/>
      <c r="EK571" s="346"/>
      <c r="EL571" s="348"/>
      <c r="EM571" s="346"/>
      <c r="EN571" s="346"/>
      <c r="EO571" s="346"/>
      <c r="EP571" s="346"/>
      <c r="EQ571" s="346"/>
      <c r="ER571" s="346"/>
      <c r="ES571" s="346"/>
      <c r="ET571" s="346"/>
      <c r="EU571" s="346"/>
      <c r="EV571" s="346"/>
      <c r="EW571" s="346"/>
      <c r="EX571" s="348"/>
      <c r="EY571" s="346"/>
      <c r="EZ571" s="346"/>
      <c r="FA571" s="346"/>
      <c r="FB571" s="346"/>
      <c r="FC571" s="346"/>
      <c r="FD571" s="346"/>
      <c r="FE571" s="346"/>
      <c r="FF571" s="346"/>
      <c r="FG571" s="346"/>
      <c r="FH571" s="346"/>
      <c r="FI571" s="346"/>
      <c r="FJ571" s="348"/>
      <c r="FK571" s="346"/>
      <c r="FL571" s="346"/>
      <c r="FM571" s="346"/>
      <c r="FN571" s="346"/>
      <c r="FO571" s="346"/>
      <c r="FP571" s="346"/>
      <c r="FQ571" s="346"/>
      <c r="FR571" s="346"/>
      <c r="FS571" s="346"/>
      <c r="FT571" s="346"/>
      <c r="FU571" s="346"/>
      <c r="FV571" s="346"/>
      <c r="FW571" s="346"/>
      <c r="FX571" s="346"/>
      <c r="FY571" s="346"/>
      <c r="FZ571" s="346"/>
      <c r="GA571" s="346"/>
      <c r="GB571" s="346"/>
      <c r="GC571" s="346"/>
      <c r="GD571" s="346"/>
      <c r="GE571" s="346"/>
      <c r="GF571" s="346"/>
      <c r="GG571" s="346"/>
      <c r="GH571" s="346"/>
      <c r="GI571" s="346"/>
      <c r="GJ571" s="346"/>
      <c r="GK571" s="346"/>
      <c r="GL571" s="346"/>
      <c r="GM571" s="346"/>
      <c r="GN571" s="346"/>
      <c r="GO571" s="346"/>
      <c r="GP571" s="346"/>
      <c r="GQ571" s="346"/>
      <c r="GR571" s="346"/>
      <c r="GS571" s="346"/>
      <c r="GT571" s="346"/>
      <c r="GU571" s="346"/>
      <c r="GV571" s="346"/>
      <c r="GW571" s="346"/>
      <c r="GX571" s="346"/>
      <c r="GY571" s="346"/>
      <c r="GZ571" s="346"/>
      <c r="HA571" s="346"/>
      <c r="HB571" s="346"/>
      <c r="HC571" s="346"/>
      <c r="HD571" s="346"/>
      <c r="HE571" s="346"/>
      <c r="HF571" s="346"/>
      <c r="HG571" s="346"/>
      <c r="HH571" s="346"/>
      <c r="HI571" s="346"/>
      <c r="HJ571" s="346"/>
      <c r="HK571" s="346"/>
      <c r="HL571" s="346"/>
      <c r="HM571" s="346"/>
      <c r="HN571" s="349"/>
      <c r="HO571" s="345" t="s">
        <v>176</v>
      </c>
      <c r="HP571" s="345"/>
      <c r="HQ571" s="345"/>
      <c r="HR571" s="346">
        <f>+FISC!Z793</f>
        <v>0</v>
      </c>
      <c r="HU571" s="346"/>
      <c r="HX571" s="346"/>
      <c r="IA571" s="346"/>
      <c r="IC571" s="350"/>
      <c r="ID571" s="346">
        <f>FISC!AC793</f>
        <v>0</v>
      </c>
      <c r="IE571" s="302">
        <f t="shared" si="342"/>
        <v>0</v>
      </c>
      <c r="IF571" s="302">
        <f t="shared" si="343"/>
        <v>0</v>
      </c>
      <c r="IG571" s="346">
        <f t="shared" si="201"/>
        <v>0</v>
      </c>
      <c r="IH571" s="350"/>
      <c r="II571" s="350"/>
      <c r="IJ571" s="346"/>
      <c r="IK571" s="302">
        <f>IM571*JI571</f>
        <v>0</v>
      </c>
      <c r="IL571" s="302">
        <f t="shared" si="280"/>
        <v>0</v>
      </c>
      <c r="IM571" s="346"/>
      <c r="IN571" s="302">
        <f t="shared" si="292"/>
        <v>0</v>
      </c>
      <c r="IO571" s="302">
        <f t="shared" si="334"/>
        <v>0</v>
      </c>
      <c r="IP571" s="346"/>
      <c r="IQ571" s="302">
        <f t="shared" si="293"/>
        <v>0</v>
      </c>
      <c r="IR571" s="302">
        <f t="shared" si="281"/>
        <v>0</v>
      </c>
      <c r="IS571" s="346"/>
      <c r="IT571" s="302">
        <f t="shared" si="294"/>
        <v>0</v>
      </c>
      <c r="IU571" s="302">
        <f t="shared" si="282"/>
        <v>0</v>
      </c>
      <c r="IV571" s="346"/>
      <c r="IW571" s="302">
        <f t="shared" si="295"/>
        <v>0</v>
      </c>
      <c r="IX571" s="302">
        <f t="shared" si="283"/>
        <v>0</v>
      </c>
      <c r="IY571" s="346"/>
      <c r="IZ571" s="302">
        <f t="shared" si="296"/>
        <v>0</v>
      </c>
      <c r="JA571" s="302">
        <f t="shared" si="284"/>
        <v>0</v>
      </c>
      <c r="JB571" s="346"/>
      <c r="JC571" s="346"/>
      <c r="KI571" s="349"/>
      <c r="KJ571" s="350"/>
    </row>
    <row r="572" spans="1:302">
      <c r="A572" s="302"/>
      <c r="B572" s="117" t="s">
        <v>361</v>
      </c>
      <c r="D572" s="351" t="str">
        <f>+FISC!D794</f>
        <v>Including grants</v>
      </c>
      <c r="E572" s="346">
        <f t="shared" ref="E572:AJ572" si="368">E465-E503</f>
        <v>-13.545924874904124</v>
      </c>
      <c r="F572" s="346">
        <f t="shared" si="368"/>
        <v>-15.111897078719998</v>
      </c>
      <c r="G572" s="346">
        <f t="shared" si="368"/>
        <v>-6.7308821770324982</v>
      </c>
      <c r="H572" s="346">
        <f t="shared" si="368"/>
        <v>-15.826163773128272</v>
      </c>
      <c r="I572" s="346">
        <f t="shared" si="368"/>
        <v>27.303176618102004</v>
      </c>
      <c r="J572" s="346">
        <f t="shared" si="368"/>
        <v>52.036496188274114</v>
      </c>
      <c r="K572" s="346">
        <f t="shared" si="368"/>
        <v>-36.024085140326306</v>
      </c>
      <c r="L572" s="346">
        <f t="shared" si="368"/>
        <v>-3.5785336018496032</v>
      </c>
      <c r="M572" s="346">
        <f t="shared" si="368"/>
        <v>-12.513872831884001</v>
      </c>
      <c r="N572" s="346">
        <f t="shared" si="368"/>
        <v>-9.9633517617400074</v>
      </c>
      <c r="O572" s="346">
        <f t="shared" si="368"/>
        <v>-7.7721341200999952</v>
      </c>
      <c r="P572" s="346">
        <f t="shared" si="368"/>
        <v>11.213933569920002</v>
      </c>
      <c r="Q572" s="346">
        <f t="shared" si="368"/>
        <v>-8.3487547393916053</v>
      </c>
      <c r="R572" s="346">
        <f t="shared" si="368"/>
        <v>-13.712132172342702</v>
      </c>
      <c r="S572" s="346">
        <f t="shared" si="368"/>
        <v>34.21382851527499</v>
      </c>
      <c r="T572" s="346">
        <f t="shared" si="368"/>
        <v>-35.176068408264001</v>
      </c>
      <c r="U572" s="346">
        <f t="shared" si="368"/>
        <v>28.091144588344505</v>
      </c>
      <c r="V572" s="346">
        <f t="shared" si="368"/>
        <v>43.064725121608006</v>
      </c>
      <c r="W572" s="346">
        <f t="shared" si="368"/>
        <v>-33.28238236835</v>
      </c>
      <c r="X572" s="346">
        <f t="shared" si="368"/>
        <v>-9.3963562444080111</v>
      </c>
      <c r="Y572" s="346">
        <f t="shared" si="368"/>
        <v>-4.0471040646048095</v>
      </c>
      <c r="Z572" s="346">
        <f t="shared" si="368"/>
        <v>-38.341310834573392</v>
      </c>
      <c r="AA572" s="346">
        <f t="shared" si="368"/>
        <v>-0.68846342278940398</v>
      </c>
      <c r="AB572" s="346">
        <f t="shared" si="368"/>
        <v>48.632516468292991</v>
      </c>
      <c r="AC572" s="346">
        <f t="shared" si="368"/>
        <v>-19.946153762000002</v>
      </c>
      <c r="AD572" s="346">
        <f t="shared" si="368"/>
        <v>0.70963372700000349</v>
      </c>
      <c r="AE572" s="346">
        <f t="shared" si="368"/>
        <v>-34.957143658000007</v>
      </c>
      <c r="AF572" s="346">
        <f t="shared" si="368"/>
        <v>18.329967364999995</v>
      </c>
      <c r="AG572" s="346">
        <f t="shared" si="368"/>
        <v>-10.402599280999997</v>
      </c>
      <c r="AH572" s="346">
        <f t="shared" si="368"/>
        <v>33.935078960999974</v>
      </c>
      <c r="AI572" s="346">
        <f t="shared" si="368"/>
        <v>-6.0659643000000045</v>
      </c>
      <c r="AJ572" s="346">
        <f t="shared" si="368"/>
        <v>-13.831625335999995</v>
      </c>
      <c r="AK572" s="346">
        <f t="shared" ref="AK572:BP572" si="369">AK465-AK503</f>
        <v>9.6328844279999828</v>
      </c>
      <c r="AL572" s="346">
        <f t="shared" si="369"/>
        <v>6.7180648329999997</v>
      </c>
      <c r="AM572" s="346">
        <f t="shared" si="369"/>
        <v>-14.503372352000007</v>
      </c>
      <c r="AN572" s="346">
        <f t="shared" si="369"/>
        <v>2.8512626429999841</v>
      </c>
      <c r="AO572" s="346">
        <f t="shared" si="369"/>
        <v>-14.884929483259995</v>
      </c>
      <c r="AP572" s="346">
        <f t="shared" si="369"/>
        <v>-12.384099702060006</v>
      </c>
      <c r="AQ572" s="346">
        <f t="shared" si="369"/>
        <v>-2.8934327713272268</v>
      </c>
      <c r="AR572" s="346">
        <f t="shared" si="369"/>
        <v>-23.704007978120003</v>
      </c>
      <c r="AS572" s="346">
        <f t="shared" si="369"/>
        <v>-25.35360045334798</v>
      </c>
      <c r="AT572" s="346">
        <f t="shared" si="369"/>
        <v>85.311307890934401</v>
      </c>
      <c r="AU572" s="346">
        <f t="shared" si="369"/>
        <v>-14.320414325240002</v>
      </c>
      <c r="AV572" s="346">
        <f t="shared" si="369"/>
        <v>-34.509555937880016</v>
      </c>
      <c r="AW572" s="346">
        <f t="shared" si="369"/>
        <v>33.963160797450001</v>
      </c>
      <c r="AX572" s="346">
        <f t="shared" si="369"/>
        <v>-15.61426871007999</v>
      </c>
      <c r="AY572" s="346">
        <f t="shared" si="369"/>
        <v>-12.103643022900791</v>
      </c>
      <c r="AZ572" s="346">
        <f t="shared" si="369"/>
        <v>32.589938675632496</v>
      </c>
      <c r="BA572" s="346">
        <f t="shared" si="369"/>
        <v>-23.534854044999989</v>
      </c>
      <c r="BB572" s="346">
        <f t="shared" si="369"/>
        <v>-8.0614272179999986</v>
      </c>
      <c r="BC572" s="346">
        <f t="shared" si="369"/>
        <v>-53.883373991000013</v>
      </c>
      <c r="BD572" s="346">
        <f t="shared" si="369"/>
        <v>19.115847685759988</v>
      </c>
      <c r="BE572" s="346">
        <f t="shared" si="369"/>
        <v>-51.235469479769996</v>
      </c>
      <c r="BF572" s="346">
        <f t="shared" si="369"/>
        <v>7.3467480659999893</v>
      </c>
      <c r="BG572" s="346">
        <f t="shared" si="369"/>
        <v>27.019351216800011</v>
      </c>
      <c r="BH572" s="346">
        <f t="shared" si="369"/>
        <v>-4.5530742487999873</v>
      </c>
      <c r="BI572" s="346">
        <f t="shared" si="369"/>
        <v>42.826081442900019</v>
      </c>
      <c r="BJ572" s="346">
        <f t="shared" si="369"/>
        <v>25.558706230180007</v>
      </c>
      <c r="BK572" s="346">
        <f t="shared" si="369"/>
        <v>-18.900513657000019</v>
      </c>
      <c r="BL572" s="346">
        <f t="shared" si="369"/>
        <v>34.954289046000014</v>
      </c>
      <c r="BM572" s="346">
        <f t="shared" si="369"/>
        <v>-39.334774219890015</v>
      </c>
      <c r="BN572" s="346">
        <f t="shared" si="369"/>
        <v>-11.069792138479997</v>
      </c>
      <c r="BO572" s="346">
        <f t="shared" si="369"/>
        <v>-31.440789898999995</v>
      </c>
      <c r="BP572" s="346">
        <f t="shared" si="369"/>
        <v>-66.436309080000029</v>
      </c>
      <c r="BQ572" s="346">
        <f t="shared" ref="BQ572:CV572" si="370">BQ465-BQ503</f>
        <v>-54.962618634849996</v>
      </c>
      <c r="BR572" s="346">
        <f t="shared" si="370"/>
        <v>43.356731865045759</v>
      </c>
      <c r="BS572" s="346">
        <f t="shared" si="370"/>
        <v>17.786499451901648</v>
      </c>
      <c r="BT572" s="346">
        <f t="shared" si="370"/>
        <v>-2.4362905400688817</v>
      </c>
      <c r="BU572" s="346">
        <f t="shared" si="370"/>
        <v>-55.579897323727891</v>
      </c>
      <c r="BV572" s="346">
        <f t="shared" si="370"/>
        <v>-5.9118956241095049</v>
      </c>
      <c r="BW572" s="346">
        <f t="shared" si="370"/>
        <v>18.135569673433722</v>
      </c>
      <c r="BX572" s="346">
        <f t="shared" si="370"/>
        <v>60.787193092690352</v>
      </c>
      <c r="BY572" s="346">
        <f t="shared" si="370"/>
        <v>-27.04576118312729</v>
      </c>
      <c r="BZ572" s="346">
        <f t="shared" si="370"/>
        <v>-23.568025528720547</v>
      </c>
      <c r="CA572" s="346">
        <f t="shared" si="370"/>
        <v>50.831770706868106</v>
      </c>
      <c r="CB572" s="346">
        <f t="shared" si="370"/>
        <v>-35.736301905905833</v>
      </c>
      <c r="CC572" s="346">
        <f t="shared" si="370"/>
        <v>-96.394358296720782</v>
      </c>
      <c r="CD572" s="346">
        <f t="shared" si="370"/>
        <v>65.857510147153519</v>
      </c>
      <c r="CE572" s="347">
        <f t="shared" si="370"/>
        <v>17.151230777623653</v>
      </c>
      <c r="CF572" s="346">
        <f t="shared" si="370"/>
        <v>-16.474969873585721</v>
      </c>
      <c r="CG572" s="346">
        <f t="shared" si="370"/>
        <v>37.14843473216041</v>
      </c>
      <c r="CH572" s="346">
        <f t="shared" si="370"/>
        <v>-53.745036734760674</v>
      </c>
      <c r="CI572" s="346">
        <f t="shared" si="370"/>
        <v>-19.289153699511417</v>
      </c>
      <c r="CJ572" s="346">
        <f t="shared" si="370"/>
        <v>60.868479839149288</v>
      </c>
      <c r="CK572" s="346">
        <f t="shared" si="370"/>
        <v>-69.683228279789645</v>
      </c>
      <c r="CL572" s="346">
        <f t="shared" si="370"/>
        <v>-19.337111315684623</v>
      </c>
      <c r="CM572" s="346">
        <f t="shared" si="370"/>
        <v>-11.341678101886288</v>
      </c>
      <c r="CN572" s="346">
        <f t="shared" si="370"/>
        <v>-74.499377395552216</v>
      </c>
      <c r="CO572" s="346">
        <f t="shared" si="370"/>
        <v>-60.168905135218409</v>
      </c>
      <c r="CP572" s="348">
        <f t="shared" si="370"/>
        <v>19.867277297434342</v>
      </c>
      <c r="CQ572" s="346">
        <f t="shared" si="370"/>
        <v>-31.915295952207501</v>
      </c>
      <c r="CR572" s="346">
        <f t="shared" si="370"/>
        <v>-36.118236051970612</v>
      </c>
      <c r="CS572" s="346">
        <f t="shared" si="370"/>
        <v>-36.466125832989619</v>
      </c>
      <c r="CT572" s="346">
        <f t="shared" si="370"/>
        <v>-38.035865078794203</v>
      </c>
      <c r="CU572" s="346">
        <f t="shared" si="370"/>
        <v>-24.969688114928772</v>
      </c>
      <c r="CV572" s="346">
        <f t="shared" si="370"/>
        <v>66.783808950031101</v>
      </c>
      <c r="CW572" s="346">
        <f t="shared" ref="CW572:EB572" si="371">CW465-CW503</f>
        <v>-38.785451981949137</v>
      </c>
      <c r="CX572" s="346">
        <f t="shared" si="371"/>
        <v>-27.478449866427965</v>
      </c>
      <c r="CY572" s="346">
        <f t="shared" si="371"/>
        <v>0.90995547683496625</v>
      </c>
      <c r="CZ572" s="346">
        <f t="shared" si="371"/>
        <v>-103.65809021745133</v>
      </c>
      <c r="DA572" s="346">
        <f t="shared" si="371"/>
        <v>-34.681201265939919</v>
      </c>
      <c r="DB572" s="1479">
        <f t="shared" si="371"/>
        <v>35.609228488723375</v>
      </c>
      <c r="DC572" s="346">
        <f t="shared" si="371"/>
        <v>-24.040702800996925</v>
      </c>
      <c r="DD572" s="346">
        <f t="shared" si="371"/>
        <v>-42.090531040640002</v>
      </c>
      <c r="DE572" s="346">
        <f t="shared" si="371"/>
        <v>-2.0773389538492779</v>
      </c>
      <c r="DF572" s="346">
        <f t="shared" si="371"/>
        <v>-74.250354790972239</v>
      </c>
      <c r="DG572" s="346">
        <f t="shared" si="371"/>
        <v>1.6271789206506355</v>
      </c>
      <c r="DH572" s="346">
        <f t="shared" si="371"/>
        <v>38.035634554363781</v>
      </c>
      <c r="DI572" s="346">
        <f t="shared" si="371"/>
        <v>-108.71454591424086</v>
      </c>
      <c r="DJ572" s="346">
        <f t="shared" si="371"/>
        <v>-27.908005611944219</v>
      </c>
      <c r="DK572" s="346">
        <f t="shared" si="371"/>
        <v>30.630481470478969</v>
      </c>
      <c r="DL572" s="346">
        <f t="shared" si="371"/>
        <v>-44.633326629374011</v>
      </c>
      <c r="DM572" s="346">
        <f t="shared" si="371"/>
        <v>-52.81811487514797</v>
      </c>
      <c r="DN572" s="348">
        <f t="shared" si="371"/>
        <v>93.257350825579891</v>
      </c>
      <c r="DO572" s="346">
        <f t="shared" si="371"/>
        <v>-32.46912917160536</v>
      </c>
      <c r="DP572" s="346">
        <f t="shared" si="371"/>
        <v>-63.138319807523288</v>
      </c>
      <c r="DQ572" s="346">
        <f t="shared" si="371"/>
        <v>17.995470359763459</v>
      </c>
      <c r="DR572" s="346">
        <f t="shared" si="371"/>
        <v>-96.819477732566355</v>
      </c>
      <c r="DS572" s="346">
        <f t="shared" si="371"/>
        <v>-38.121527286445342</v>
      </c>
      <c r="DT572" s="346">
        <f t="shared" si="371"/>
        <v>73.734630816347192</v>
      </c>
      <c r="DU572" s="346">
        <f t="shared" si="371"/>
        <v>-93.109449818766237</v>
      </c>
      <c r="DV572" s="346">
        <f t="shared" si="371"/>
        <v>-37.055971400011728</v>
      </c>
      <c r="DW572" s="346">
        <f t="shared" si="371"/>
        <v>60.461566865265041</v>
      </c>
      <c r="DX572" s="346">
        <f t="shared" si="371"/>
        <v>-122.00200651322494</v>
      </c>
      <c r="DY572" s="346">
        <f t="shared" si="371"/>
        <v>-77.853675396514546</v>
      </c>
      <c r="DZ572" s="348">
        <f t="shared" si="371"/>
        <v>67.549064307321885</v>
      </c>
      <c r="EA572" s="346">
        <f t="shared" si="371"/>
        <v>-49.252480151187854</v>
      </c>
      <c r="EB572" s="346">
        <f t="shared" si="371"/>
        <v>-78.749782080364596</v>
      </c>
      <c r="EC572" s="346">
        <f t="shared" ref="EC572:EK572" si="372">EC465-EC503</f>
        <v>-42.814120988404483</v>
      </c>
      <c r="ED572" s="346">
        <f t="shared" si="372"/>
        <v>-60.041332193951945</v>
      </c>
      <c r="EE572" s="346">
        <f t="shared" si="372"/>
        <v>-46.754611411674261</v>
      </c>
      <c r="EF572" s="346">
        <f t="shared" si="372"/>
        <v>70.71400462297936</v>
      </c>
      <c r="EG572" s="346">
        <f t="shared" si="372"/>
        <v>-54.069376997270183</v>
      </c>
      <c r="EH572" s="346">
        <f t="shared" si="372"/>
        <v>-36.042777700973062</v>
      </c>
      <c r="EI572" s="346">
        <f t="shared" si="372"/>
        <v>-6.2674034832705274</v>
      </c>
      <c r="EJ572" s="346">
        <f t="shared" si="372"/>
        <v>-16.716869218854924</v>
      </c>
      <c r="EK572" s="346">
        <f t="shared" si="372"/>
        <v>-75.350727921322203</v>
      </c>
      <c r="EL572" s="348">
        <f t="shared" ref="EL572:ER572" si="373">EL465-EL503</f>
        <v>53.782949550454816</v>
      </c>
      <c r="EM572" s="346">
        <f t="shared" si="373"/>
        <v>-47.370293747286567</v>
      </c>
      <c r="EN572" s="346">
        <f t="shared" si="373"/>
        <v>-8.8194809813771258</v>
      </c>
      <c r="EO572" s="346">
        <f t="shared" si="373"/>
        <v>-8.0655217816534162</v>
      </c>
      <c r="EP572" s="346">
        <f t="shared" si="373"/>
        <v>-88.933636625888852</v>
      </c>
      <c r="EQ572" s="346">
        <f t="shared" si="373"/>
        <v>-84.160042306592203</v>
      </c>
      <c r="ER572" s="346">
        <f t="shared" si="373"/>
        <v>53.414417118504701</v>
      </c>
      <c r="ES572" s="346">
        <f t="shared" ref="ES572:EX572" si="374">ES465-ES503</f>
        <v>-48.395410941914093</v>
      </c>
      <c r="ET572" s="346">
        <f t="shared" si="374"/>
        <v>-30.264306119193265</v>
      </c>
      <c r="EU572" s="346">
        <f t="shared" si="374"/>
        <v>-58.154560450756236</v>
      </c>
      <c r="EV572" s="346">
        <f t="shared" si="374"/>
        <v>-106.11165531270987</v>
      </c>
      <c r="EW572" s="346">
        <f t="shared" si="374"/>
        <v>-116.23210999496931</v>
      </c>
      <c r="EX572" s="348">
        <f t="shared" si="374"/>
        <v>-3.568628019915252</v>
      </c>
      <c r="EY572" s="346"/>
      <c r="EZ572" s="346"/>
      <c r="FA572" s="346"/>
      <c r="FB572" s="346"/>
      <c r="FC572" s="346"/>
      <c r="FD572" s="346"/>
      <c r="FE572" s="346"/>
      <c r="FF572" s="346"/>
      <c r="FG572" s="346"/>
      <c r="FH572" s="346"/>
      <c r="FI572" s="346"/>
      <c r="FJ572" s="348"/>
      <c r="FK572" s="346"/>
      <c r="FL572" s="346"/>
      <c r="FM572" s="346"/>
      <c r="FN572" s="346"/>
      <c r="FO572" s="346"/>
      <c r="FP572" s="346"/>
      <c r="FQ572" s="346"/>
      <c r="FR572" s="346"/>
      <c r="FS572" s="346"/>
      <c r="FT572" s="346"/>
      <c r="FU572" s="346"/>
      <c r="FV572" s="346"/>
      <c r="FW572" s="346"/>
      <c r="FX572" s="346"/>
      <c r="FY572" s="346"/>
      <c r="FZ572" s="346"/>
      <c r="GA572" s="346"/>
      <c r="GB572" s="346"/>
      <c r="GC572" s="346"/>
      <c r="GD572" s="346"/>
      <c r="GE572" s="346"/>
      <c r="GF572" s="346"/>
      <c r="GG572" s="346"/>
      <c r="GH572" s="346"/>
      <c r="GI572" s="346"/>
      <c r="GJ572" s="346"/>
      <c r="GK572" s="346"/>
      <c r="GL572" s="346"/>
      <c r="GM572" s="346"/>
      <c r="GN572" s="346"/>
      <c r="GO572" s="346"/>
      <c r="GP572" s="346"/>
      <c r="GQ572" s="346"/>
      <c r="GR572" s="346"/>
      <c r="GS572" s="346"/>
      <c r="GT572" s="346"/>
      <c r="GU572" s="346"/>
      <c r="GV572" s="346"/>
      <c r="GW572" s="346"/>
      <c r="GX572" s="346"/>
      <c r="GY572" s="346"/>
      <c r="GZ572" s="346"/>
      <c r="HA572" s="346"/>
      <c r="HB572" s="346"/>
      <c r="HC572" s="346"/>
      <c r="HD572" s="346"/>
      <c r="HE572" s="346"/>
      <c r="HF572" s="346"/>
      <c r="HG572" s="346"/>
      <c r="HH572" s="346"/>
      <c r="HI572" s="346"/>
      <c r="HJ572" s="346"/>
      <c r="HK572" s="346"/>
      <c r="HL572" s="346"/>
      <c r="HM572" s="346"/>
      <c r="HN572" s="349"/>
      <c r="HO572" s="351" t="s">
        <v>177</v>
      </c>
      <c r="HP572" s="351"/>
      <c r="HQ572" s="351"/>
      <c r="HR572" s="346">
        <f>+FISC!Z794</f>
        <v>-302.05950052759749</v>
      </c>
      <c r="HS572" s="302">
        <f t="shared" ref="HS572:HZ572" si="375">HS465-HS503</f>
        <v>-77.721402080859548</v>
      </c>
      <c r="HT572" s="302">
        <f t="shared" si="375"/>
        <v>-168.08400936621001</v>
      </c>
      <c r="HU572" s="346">
        <f t="shared" si="375"/>
        <v>-245.80541144706967</v>
      </c>
      <c r="HV572" s="302">
        <f t="shared" si="375"/>
        <v>-102.79611411144401</v>
      </c>
      <c r="HW572" s="302">
        <f t="shared" si="375"/>
        <v>-110.1861607346483</v>
      </c>
      <c r="HX572" s="346">
        <f t="shared" si="375"/>
        <v>-212.98227484609242</v>
      </c>
      <c r="HY572" s="302">
        <f t="shared" si="375"/>
        <v>-138.81835282202974</v>
      </c>
      <c r="HZ572" s="302">
        <f t="shared" si="375"/>
        <v>-202.01047195593048</v>
      </c>
      <c r="IA572" s="346">
        <f t="shared" si="297"/>
        <v>-340.82882477796022</v>
      </c>
      <c r="IB572" s="302">
        <f>IB465-IB503</f>
        <v>-167.4713859075822</v>
      </c>
      <c r="IC572" s="302">
        <f>IC465-IC503</f>
        <v>-199.65596218942187</v>
      </c>
      <c r="ID572" s="346">
        <f>FISC!AC794</f>
        <v>-367.12734809700419</v>
      </c>
      <c r="IE572" s="302">
        <f t="shared" si="342"/>
        <v>-183.93455832429345</v>
      </c>
      <c r="IF572" s="302">
        <f t="shared" si="343"/>
        <v>-362.726670839458</v>
      </c>
      <c r="IG572" s="346">
        <f t="shared" si="201"/>
        <v>-546.66122916375139</v>
      </c>
      <c r="IH572" s="477" t="e">
        <f>IH465-IH503</f>
        <v>#REF!</v>
      </c>
      <c r="II572" s="477" t="e">
        <f>II465-II503</f>
        <v>#REF!</v>
      </c>
      <c r="IJ572" s="346">
        <f>+FISC!AE794</f>
        <v>-1171.0971334578217</v>
      </c>
      <c r="IK572" s="477">
        <f>IK465-IK503</f>
        <v>-477.08977009902139</v>
      </c>
      <c r="IL572" s="302">
        <f t="shared" si="280"/>
        <v>-461.63933146005445</v>
      </c>
      <c r="IM572" s="346">
        <f>+FISC!AF794</f>
        <v>-938.72910155907584</v>
      </c>
      <c r="IN572" s="477">
        <f>IN465-IN503</f>
        <v>2037.6219495679616</v>
      </c>
      <c r="IO572" s="302">
        <f t="shared" si="334"/>
        <v>2636.0314683444367</v>
      </c>
      <c r="IP572" s="346">
        <f>+FISC!AG794</f>
        <v>4673.6534179123983</v>
      </c>
      <c r="IQ572" s="477">
        <f>IQ465-IQ503</f>
        <v>3328.2909250234943</v>
      </c>
      <c r="IR572" s="302">
        <f t="shared" si="281"/>
        <v>4158.3422636443465</v>
      </c>
      <c r="IS572" s="346">
        <f>+FISC!AH794</f>
        <v>7486.6331886678408</v>
      </c>
      <c r="IT572" s="477">
        <f>IT465-IT503</f>
        <v>4089.505107007375</v>
      </c>
      <c r="IU572" s="302">
        <f t="shared" si="282"/>
        <v>4075.9780713984173</v>
      </c>
      <c r="IV572" s="346">
        <f>+FISC!AI794</f>
        <v>8165.4831784057924</v>
      </c>
      <c r="IW572" s="477">
        <f>IW465-IW503</f>
        <v>-1780.2405431422944</v>
      </c>
      <c r="IX572" s="302">
        <f t="shared" si="283"/>
        <v>-2284.5270350929436</v>
      </c>
      <c r="IY572" s="346">
        <f>+FISC!AJ794</f>
        <v>-4064.767578235238</v>
      </c>
      <c r="IZ572" s="477" t="e">
        <f>IZ465-IZ503</f>
        <v>#DIV/0!</v>
      </c>
      <c r="JA572" s="302" t="e">
        <f t="shared" si="284"/>
        <v>#DIV/0!</v>
      </c>
      <c r="JB572" s="346" t="e">
        <f>+FISC!AK794</f>
        <v>#DIV/0!</v>
      </c>
      <c r="JC572" s="346"/>
      <c r="KI572" s="349"/>
      <c r="KJ572" s="350"/>
      <c r="KM572" s="302">
        <f>KM465-KM503</f>
        <v>0</v>
      </c>
      <c r="KN572" s="302">
        <f>KN465-KN503</f>
        <v>0</v>
      </c>
      <c r="KO572" s="302">
        <f>KO465-KO503</f>
        <v>0</v>
      </c>
      <c r="KP572" s="302">
        <f>KP465-KP503</f>
        <v>0</v>
      </c>
    </row>
    <row r="573" spans="1:302">
      <c r="A573" s="302"/>
      <c r="B573" s="117" t="s">
        <v>361</v>
      </c>
      <c r="D573" s="351" t="str">
        <f>+FISC!D795</f>
        <v>Excluding grants</v>
      </c>
      <c r="E573" s="346">
        <f t="shared" ref="E573:AJ573" si="376">E467-E503</f>
        <v>-14.575546187904123</v>
      </c>
      <c r="F573" s="346">
        <f t="shared" si="376"/>
        <v>-18.05384003372</v>
      </c>
      <c r="G573" s="346">
        <f t="shared" si="376"/>
        <v>-26.9774625170325</v>
      </c>
      <c r="H573" s="346">
        <f t="shared" si="376"/>
        <v>-19.804611869128273</v>
      </c>
      <c r="I573" s="346">
        <f t="shared" si="376"/>
        <v>-3.3127367278979989</v>
      </c>
      <c r="J573" s="346">
        <f t="shared" si="376"/>
        <v>-18.8490549067259</v>
      </c>
      <c r="K573" s="346">
        <f t="shared" si="376"/>
        <v>-37.141283882326306</v>
      </c>
      <c r="L573" s="346">
        <f t="shared" si="376"/>
        <v>-12.241079664849604</v>
      </c>
      <c r="M573" s="346">
        <f t="shared" si="376"/>
        <v>-33.667313375884007</v>
      </c>
      <c r="N573" s="346">
        <f t="shared" si="376"/>
        <v>-20.237377417740007</v>
      </c>
      <c r="O573" s="346">
        <f t="shared" si="376"/>
        <v>-9.8075644590999964</v>
      </c>
      <c r="P573" s="346">
        <f t="shared" si="376"/>
        <v>-23.138094036080002</v>
      </c>
      <c r="Q573" s="346">
        <f t="shared" si="376"/>
        <v>-15.420081703391606</v>
      </c>
      <c r="R573" s="346">
        <f t="shared" si="376"/>
        <v>-13.712132172342702</v>
      </c>
      <c r="S573" s="346">
        <f t="shared" si="376"/>
        <v>-27.368400940725</v>
      </c>
      <c r="T573" s="346">
        <f t="shared" si="376"/>
        <v>-35.416386866264006</v>
      </c>
      <c r="U573" s="346">
        <f t="shared" si="376"/>
        <v>-8.5599013026554971</v>
      </c>
      <c r="V573" s="346">
        <f t="shared" si="376"/>
        <v>-8.5674448933920004</v>
      </c>
      <c r="W573" s="346">
        <f t="shared" si="376"/>
        <v>-35.095391646349995</v>
      </c>
      <c r="X573" s="346">
        <f t="shared" si="376"/>
        <v>-18.290978405408008</v>
      </c>
      <c r="Y573" s="346">
        <f t="shared" si="376"/>
        <v>-35.25423347460481</v>
      </c>
      <c r="Z573" s="346">
        <f t="shared" si="376"/>
        <v>-57.1926833415734</v>
      </c>
      <c r="AA573" s="346">
        <f t="shared" si="376"/>
        <v>-3.4334140607894028</v>
      </c>
      <c r="AB573" s="346">
        <f t="shared" si="376"/>
        <v>-10.454689440706986</v>
      </c>
      <c r="AC573" s="346">
        <f t="shared" si="376"/>
        <v>-19.946153762000002</v>
      </c>
      <c r="AD573" s="346">
        <f t="shared" si="376"/>
        <v>-6.8364282729999992</v>
      </c>
      <c r="AE573" s="346">
        <f t="shared" si="376"/>
        <v>-66.032931200999997</v>
      </c>
      <c r="AF573" s="346">
        <f t="shared" si="376"/>
        <v>-32.802881740999993</v>
      </c>
      <c r="AG573" s="346">
        <f t="shared" si="376"/>
        <v>-12.325251835999996</v>
      </c>
      <c r="AH573" s="346">
        <f t="shared" si="376"/>
        <v>-17.857780487000021</v>
      </c>
      <c r="AI573" s="346">
        <f t="shared" si="376"/>
        <v>-19.469199537000005</v>
      </c>
      <c r="AJ573" s="346">
        <f t="shared" si="376"/>
        <v>-17.403393312999995</v>
      </c>
      <c r="AK573" s="346">
        <f t="shared" ref="AK573:BP573" si="377">AK467-AK503</f>
        <v>-66.424416653000009</v>
      </c>
      <c r="AL573" s="346">
        <f t="shared" si="377"/>
        <v>-46.477236422999994</v>
      </c>
      <c r="AM573" s="346">
        <f t="shared" si="377"/>
        <v>-22.079827526000006</v>
      </c>
      <c r="AN573" s="346">
        <f t="shared" si="377"/>
        <v>-47.271603753999997</v>
      </c>
      <c r="AO573" s="346">
        <f t="shared" si="377"/>
        <v>-36.534131070259988</v>
      </c>
      <c r="AP573" s="346">
        <f t="shared" si="377"/>
        <v>-12.384099702060006</v>
      </c>
      <c r="AQ573" s="346">
        <f t="shared" si="377"/>
        <v>-38.214777051327218</v>
      </c>
      <c r="AR573" s="346">
        <f t="shared" si="377"/>
        <v>-36.285851540120007</v>
      </c>
      <c r="AS573" s="346">
        <f t="shared" si="377"/>
        <v>-34.410293150347982</v>
      </c>
      <c r="AT573" s="346">
        <f t="shared" si="377"/>
        <v>-39.253981634065596</v>
      </c>
      <c r="AU573" s="346">
        <f t="shared" si="377"/>
        <v>-20.480145807240003</v>
      </c>
      <c r="AV573" s="346">
        <f t="shared" si="377"/>
        <v>-39.286925937880014</v>
      </c>
      <c r="AW573" s="346">
        <f t="shared" si="377"/>
        <v>-58.959101202549981</v>
      </c>
      <c r="AX573" s="346">
        <f t="shared" si="377"/>
        <v>-42.009039914079992</v>
      </c>
      <c r="AY573" s="346">
        <f t="shared" si="377"/>
        <v>-19.08472891390079</v>
      </c>
      <c r="AZ573" s="346">
        <f t="shared" si="377"/>
        <v>-71.552374323367502</v>
      </c>
      <c r="BA573" s="346">
        <f t="shared" si="377"/>
        <v>-24.066177546999988</v>
      </c>
      <c r="BB573" s="346">
        <f t="shared" si="377"/>
        <v>-13.295689674999998</v>
      </c>
      <c r="BC573" s="346">
        <f t="shared" si="377"/>
        <v>-80.343476183000007</v>
      </c>
      <c r="BD573" s="346">
        <f t="shared" si="377"/>
        <v>-48.820259641000007</v>
      </c>
      <c r="BE573" s="346">
        <f t="shared" si="377"/>
        <v>-52.270636820999997</v>
      </c>
      <c r="BF573" s="346">
        <f t="shared" si="377"/>
        <v>-30.471802820000008</v>
      </c>
      <c r="BG573" s="346">
        <f t="shared" si="377"/>
        <v>-13.992362122199999</v>
      </c>
      <c r="BH573" s="346">
        <f t="shared" si="377"/>
        <v>-42.184293322799995</v>
      </c>
      <c r="BI573" s="346">
        <f t="shared" si="377"/>
        <v>-15.378224060099981</v>
      </c>
      <c r="BJ573" s="346">
        <f t="shared" si="377"/>
        <v>-51.024165205819997</v>
      </c>
      <c r="BK573" s="346">
        <f t="shared" si="377"/>
        <v>-23.597494221000019</v>
      </c>
      <c r="BL573" s="346">
        <f t="shared" si="377"/>
        <v>-65.664661136999996</v>
      </c>
      <c r="BM573" s="346">
        <f t="shared" si="377"/>
        <v>-41.626092870890012</v>
      </c>
      <c r="BN573" s="346">
        <f t="shared" si="377"/>
        <v>-15.183143720479997</v>
      </c>
      <c r="BO573" s="346">
        <f t="shared" si="377"/>
        <v>-71.320963919999997</v>
      </c>
      <c r="BP573" s="346">
        <f t="shared" si="377"/>
        <v>-66.680798585000019</v>
      </c>
      <c r="BQ573" s="346">
        <f t="shared" ref="BQ573:CV573" si="378">BQ467-BQ503</f>
        <v>-55.172659059849998</v>
      </c>
      <c r="BR573" s="346">
        <f t="shared" si="378"/>
        <v>-56.116491725580005</v>
      </c>
      <c r="BS573" s="346">
        <f t="shared" si="378"/>
        <v>-23.553099999999986</v>
      </c>
      <c r="BT573" s="346">
        <f t="shared" si="378"/>
        <v>-17.30019999999999</v>
      </c>
      <c r="BU573" s="346">
        <f t="shared" si="378"/>
        <v>-78.524900000000002</v>
      </c>
      <c r="BV573" s="346">
        <f t="shared" si="378"/>
        <v>-54.264272142367645</v>
      </c>
      <c r="BW573" s="346">
        <f t="shared" si="378"/>
        <v>-23.403320504341181</v>
      </c>
      <c r="BX573" s="346">
        <f t="shared" si="378"/>
        <v>28.712918160505176</v>
      </c>
      <c r="BY573" s="346">
        <f t="shared" si="378"/>
        <v>-27.046293615118032</v>
      </c>
      <c r="BZ573" s="346">
        <f t="shared" si="378"/>
        <v>-27.610120997842124</v>
      </c>
      <c r="CA573" s="346">
        <f t="shared" si="378"/>
        <v>28.914320175343413</v>
      </c>
      <c r="CB573" s="346">
        <f t="shared" si="378"/>
        <v>-73.642175424903485</v>
      </c>
      <c r="CC573" s="346">
        <f t="shared" si="378"/>
        <v>-146.71936144099058</v>
      </c>
      <c r="CD573" s="346">
        <f t="shared" si="378"/>
        <v>22.732394966439301</v>
      </c>
      <c r="CE573" s="347">
        <f t="shared" si="378"/>
        <v>-14.567574778282108</v>
      </c>
      <c r="CF573" s="346">
        <f t="shared" si="378"/>
        <v>-55.381971946985558</v>
      </c>
      <c r="CG573" s="346">
        <f t="shared" si="378"/>
        <v>-39.215360138657573</v>
      </c>
      <c r="CH573" s="346">
        <f t="shared" si="378"/>
        <v>-102.40138397757451</v>
      </c>
      <c r="CI573" s="346">
        <f t="shared" si="378"/>
        <v>-55.528204040272428</v>
      </c>
      <c r="CJ573" s="346">
        <f t="shared" si="378"/>
        <v>-2.3044556399746483</v>
      </c>
      <c r="CK573" s="346">
        <f t="shared" si="378"/>
        <v>-92.503092491051788</v>
      </c>
      <c r="CL573" s="346">
        <f t="shared" si="378"/>
        <v>-34.768998114947813</v>
      </c>
      <c r="CM573" s="346">
        <f t="shared" si="378"/>
        <v>-26.953600170557436</v>
      </c>
      <c r="CN573" s="346">
        <f t="shared" si="378"/>
        <v>-135.01400908165786</v>
      </c>
      <c r="CO573" s="346">
        <f t="shared" si="378"/>
        <v>-96.99271386874608</v>
      </c>
      <c r="CP573" s="348">
        <f t="shared" si="378"/>
        <v>-11.959417978859207</v>
      </c>
      <c r="CQ573" s="346">
        <f t="shared" si="378"/>
        <v>-66.363729254784431</v>
      </c>
      <c r="CR573" s="346">
        <f t="shared" si="378"/>
        <v>-56.753573044400468</v>
      </c>
      <c r="CS573" s="346">
        <f t="shared" si="378"/>
        <v>-68.554072733282339</v>
      </c>
      <c r="CT573" s="346">
        <f t="shared" si="378"/>
        <v>-65.647899482725308</v>
      </c>
      <c r="CU573" s="346">
        <f t="shared" si="378"/>
        <v>-62.406371291747078</v>
      </c>
      <c r="CV573" s="346">
        <f t="shared" si="378"/>
        <v>-21.915136064391405</v>
      </c>
      <c r="CW573" s="346">
        <f t="shared" ref="CW573:EB573" si="379">CW467-CW503</f>
        <v>-65.947517640739832</v>
      </c>
      <c r="CX573" s="346">
        <f t="shared" si="379"/>
        <v>-48.225397638396316</v>
      </c>
      <c r="CY573" s="346">
        <f t="shared" si="379"/>
        <v>-34.959160229630754</v>
      </c>
      <c r="CZ573" s="346">
        <f t="shared" si="379"/>
        <v>-121.64315299989502</v>
      </c>
      <c r="DA573" s="346">
        <f t="shared" si="379"/>
        <v>-86.616147091188466</v>
      </c>
      <c r="DB573" s="1479">
        <f t="shared" si="379"/>
        <v>14.332917715650197</v>
      </c>
      <c r="DC573" s="346">
        <f t="shared" si="379"/>
        <v>-55.934262893810171</v>
      </c>
      <c r="DD573" s="346">
        <f t="shared" si="379"/>
        <v>-67.260164022667084</v>
      </c>
      <c r="DE573" s="346">
        <f t="shared" si="379"/>
        <v>-39.896997009692143</v>
      </c>
      <c r="DF573" s="346">
        <f t="shared" si="379"/>
        <v>-77.292089823622106</v>
      </c>
      <c r="DG573" s="346">
        <f t="shared" si="379"/>
        <v>-60.37867172770703</v>
      </c>
      <c r="DH573" s="346">
        <f t="shared" si="379"/>
        <v>-1.6610424249258102</v>
      </c>
      <c r="DI573" s="346">
        <f t="shared" si="379"/>
        <v>-118.70059639510299</v>
      </c>
      <c r="DJ573" s="346">
        <f t="shared" si="379"/>
        <v>-42.454584425466379</v>
      </c>
      <c r="DK573" s="346">
        <f t="shared" si="379"/>
        <v>15.21550597280384</v>
      </c>
      <c r="DL573" s="346">
        <f t="shared" si="379"/>
        <v>-109.86679213150023</v>
      </c>
      <c r="DM573" s="346">
        <f t="shared" si="379"/>
        <v>-72.354525949629007</v>
      </c>
      <c r="DN573" s="348">
        <f t="shared" si="379"/>
        <v>43.854935707499777</v>
      </c>
      <c r="DO573" s="346">
        <f t="shared" si="379"/>
        <v>-58.324274386799857</v>
      </c>
      <c r="DP573" s="346">
        <f t="shared" si="379"/>
        <v>-71.295093729484961</v>
      </c>
      <c r="DQ573" s="346">
        <f t="shared" si="379"/>
        <v>-2.2312551796234743</v>
      </c>
      <c r="DR573" s="346">
        <f t="shared" si="379"/>
        <v>-100.1467663545194</v>
      </c>
      <c r="DS573" s="346">
        <f t="shared" si="379"/>
        <v>-54.367963694559833</v>
      </c>
      <c r="DT573" s="346">
        <f t="shared" si="379"/>
        <v>25.631140829476578</v>
      </c>
      <c r="DU573" s="346">
        <f t="shared" si="379"/>
        <v>-124.90791953391957</v>
      </c>
      <c r="DV573" s="346">
        <f t="shared" si="379"/>
        <v>-37.113979164607301</v>
      </c>
      <c r="DW573" s="346">
        <f t="shared" si="379"/>
        <v>49.920206460119459</v>
      </c>
      <c r="DX573" s="346">
        <f t="shared" si="379"/>
        <v>-146.36013641933616</v>
      </c>
      <c r="DY573" s="346">
        <f t="shared" si="379"/>
        <v>-77.898659086067923</v>
      </c>
      <c r="DZ573" s="348">
        <f t="shared" si="379"/>
        <v>14.591806946638314</v>
      </c>
      <c r="EA573" s="346">
        <f t="shared" si="379"/>
        <v>-83.626508056879615</v>
      </c>
      <c r="EB573" s="346">
        <f t="shared" si="379"/>
        <v>-98.684944660762341</v>
      </c>
      <c r="EC573" s="346">
        <f t="shared" ref="EC573:EK573" si="380">EC467-EC503</f>
        <v>-68.156787016314979</v>
      </c>
      <c r="ED573" s="346">
        <f t="shared" si="380"/>
        <v>-83.362285040048334</v>
      </c>
      <c r="EE573" s="346">
        <f t="shared" si="380"/>
        <v>-74.941985924624589</v>
      </c>
      <c r="EF573" s="346">
        <f t="shared" si="380"/>
        <v>7.0866174264131132</v>
      </c>
      <c r="EG573" s="346">
        <f t="shared" si="380"/>
        <v>-101.23407614130032</v>
      </c>
      <c r="EH573" s="346">
        <f t="shared" si="380"/>
        <v>-52.093291000740209</v>
      </c>
      <c r="EI573" s="346">
        <f t="shared" si="380"/>
        <v>-43.656190826666062</v>
      </c>
      <c r="EJ573" s="346">
        <f t="shared" si="380"/>
        <v>-41.205589107405729</v>
      </c>
      <c r="EK573" s="346">
        <f t="shared" si="380"/>
        <v>-83.486738318692787</v>
      </c>
      <c r="EL573" s="348">
        <f t="shared" ref="EL573:ER573" si="381">EL467-EL503</f>
        <v>22.892297963874853</v>
      </c>
      <c r="EM573" s="346">
        <f t="shared" si="381"/>
        <v>-71.293348938797791</v>
      </c>
      <c r="EN573" s="346">
        <f t="shared" si="381"/>
        <v>-41.832035097389479</v>
      </c>
      <c r="EO573" s="346">
        <f t="shared" si="381"/>
        <v>-40.225461523353687</v>
      </c>
      <c r="EP573" s="346">
        <f t="shared" si="381"/>
        <v>-114.64721080463805</v>
      </c>
      <c r="EQ573" s="346">
        <f t="shared" si="381"/>
        <v>-92.749205209003208</v>
      </c>
      <c r="ER573" s="346">
        <f t="shared" si="381"/>
        <v>-57.739484267396307</v>
      </c>
      <c r="ES573" s="346">
        <f t="shared" ref="ES573:EX573" si="382">ES467-ES503</f>
        <v>-74.200232099660823</v>
      </c>
      <c r="ET573" s="346">
        <f t="shared" si="382"/>
        <v>-70.525870345661474</v>
      </c>
      <c r="EU573" s="346">
        <f t="shared" si="382"/>
        <v>-84.571284928127739</v>
      </c>
      <c r="EV573" s="346">
        <f t="shared" si="382"/>
        <v>-138.04219722436238</v>
      </c>
      <c r="EW573" s="346">
        <f t="shared" si="382"/>
        <v>-125.50569133088557</v>
      </c>
      <c r="EX573" s="348">
        <f t="shared" si="382"/>
        <v>-30.102831898790129</v>
      </c>
      <c r="EY573" s="346"/>
      <c r="EZ573" s="346"/>
      <c r="FA573" s="346"/>
      <c r="FB573" s="346"/>
      <c r="FC573" s="346"/>
      <c r="FD573" s="346"/>
      <c r="FE573" s="346"/>
      <c r="FF573" s="346"/>
      <c r="FG573" s="346"/>
      <c r="FH573" s="346"/>
      <c r="FI573" s="346"/>
      <c r="FJ573" s="348"/>
      <c r="FK573" s="346"/>
      <c r="FL573" s="346"/>
      <c r="FM573" s="346"/>
      <c r="FN573" s="346"/>
      <c r="FO573" s="346"/>
      <c r="FP573" s="346"/>
      <c r="FQ573" s="346"/>
      <c r="FR573" s="346"/>
      <c r="FS573" s="346"/>
      <c r="FT573" s="346"/>
      <c r="FU573" s="346"/>
      <c r="FV573" s="346"/>
      <c r="FW573" s="346"/>
      <c r="FX573" s="346"/>
      <c r="FY573" s="346"/>
      <c r="FZ573" s="346"/>
      <c r="GA573" s="346"/>
      <c r="GB573" s="346"/>
      <c r="GC573" s="346"/>
      <c r="GD573" s="346"/>
      <c r="GE573" s="346"/>
      <c r="GF573" s="346"/>
      <c r="GG573" s="346"/>
      <c r="GH573" s="346"/>
      <c r="GI573" s="346"/>
      <c r="GJ573" s="346"/>
      <c r="GK573" s="346"/>
      <c r="GL573" s="346"/>
      <c r="GM573" s="346"/>
      <c r="GN573" s="346"/>
      <c r="GO573" s="346"/>
      <c r="GP573" s="346"/>
      <c r="GQ573" s="346"/>
      <c r="GR573" s="346"/>
      <c r="GS573" s="346"/>
      <c r="GT573" s="346"/>
      <c r="GU573" s="346"/>
      <c r="GV573" s="346"/>
      <c r="GW573" s="346"/>
      <c r="GX573" s="346"/>
      <c r="GY573" s="346"/>
      <c r="GZ573" s="346"/>
      <c r="HA573" s="346"/>
      <c r="HB573" s="346"/>
      <c r="HC573" s="346"/>
      <c r="HD573" s="346"/>
      <c r="HE573" s="346"/>
      <c r="HF573" s="346"/>
      <c r="HG573" s="346"/>
      <c r="HH573" s="346"/>
      <c r="HI573" s="346"/>
      <c r="HJ573" s="346"/>
      <c r="HK573" s="346"/>
      <c r="HL573" s="346"/>
      <c r="HM573" s="346"/>
      <c r="HN573" s="349"/>
      <c r="HO573" s="351" t="s">
        <v>178</v>
      </c>
      <c r="HP573" s="351"/>
      <c r="HQ573" s="351"/>
      <c r="HR573" s="346">
        <f>+FISC!Z795</f>
        <v>-717.97319804200015</v>
      </c>
      <c r="HS573" s="302">
        <f t="shared" ref="HS573:HZ573" si="383">HS467-HS503</f>
        <v>-318.640781871331</v>
      </c>
      <c r="HT573" s="302">
        <f t="shared" si="383"/>
        <v>-343.05845788420015</v>
      </c>
      <c r="HU573" s="346">
        <f t="shared" si="383"/>
        <v>-661.69923975553115</v>
      </c>
      <c r="HV573" s="302">
        <f t="shared" si="383"/>
        <v>-302.42322790242429</v>
      </c>
      <c r="HW573" s="302">
        <f t="shared" si="383"/>
        <v>-284.30605722139501</v>
      </c>
      <c r="HX573" s="346">
        <f t="shared" si="383"/>
        <v>-586.72928512381941</v>
      </c>
      <c r="HY573" s="302">
        <f t="shared" si="383"/>
        <v>-260.73421251551099</v>
      </c>
      <c r="HZ573" s="302">
        <f t="shared" si="383"/>
        <v>-321.76868079717315</v>
      </c>
      <c r="IA573" s="346">
        <f t="shared" si="297"/>
        <v>-582.50289331268414</v>
      </c>
      <c r="IB573" s="302">
        <f>IB467-IB503</f>
        <v>-362.23600502257068</v>
      </c>
      <c r="IC573" s="302">
        <f>IC467-IC503</f>
        <v>-363.80001994314387</v>
      </c>
      <c r="ID573" s="346">
        <f>FISC!AC795</f>
        <v>-726.03602496571466</v>
      </c>
      <c r="IE573" s="302">
        <f t="shared" si="342"/>
        <v>-418.48674584057858</v>
      </c>
      <c r="IF573" s="302">
        <f t="shared" si="343"/>
        <v>-522.94810782748812</v>
      </c>
      <c r="IG573" s="346">
        <f t="shared" ref="IG573:IG615" si="384">IE573+IF573</f>
        <v>-941.43485366806669</v>
      </c>
      <c r="IH573" s="302" t="e">
        <f>IH467-IH503</f>
        <v>#REF!</v>
      </c>
      <c r="II573" s="477" t="e">
        <f>II467-II503</f>
        <v>#REF!</v>
      </c>
      <c r="IJ573" s="346">
        <f>+FISC!AE795</f>
        <v>-1603.1794113359817</v>
      </c>
      <c r="IK573" s="302">
        <f>IK467-IK503</f>
        <v>-719.2599504137479</v>
      </c>
      <c r="IL573" s="302">
        <f t="shared" si="280"/>
        <v>-711.79283613606822</v>
      </c>
      <c r="IM573" s="346">
        <f>+FISC!AF795</f>
        <v>-1431.0527865498161</v>
      </c>
      <c r="IN573" s="302">
        <f>IN467-IN503</f>
        <v>1697.6015123889993</v>
      </c>
      <c r="IO573" s="302">
        <f t="shared" si="334"/>
        <v>2139.8417710312051</v>
      </c>
      <c r="IP573" s="346">
        <f>+FISC!AG795</f>
        <v>3837.4432834202044</v>
      </c>
      <c r="IQ573" s="302">
        <f>IQ467-IQ503</f>
        <v>3053.4035256942771</v>
      </c>
      <c r="IR573" s="302">
        <f t="shared" si="281"/>
        <v>3721.9355100140228</v>
      </c>
      <c r="IS573" s="346">
        <f>+FISC!AH795</f>
        <v>6775.3390357082999</v>
      </c>
      <c r="IT573" s="302">
        <f>IT467-IT503</f>
        <v>3743.9248818479673</v>
      </c>
      <c r="IU573" s="302">
        <f t="shared" si="282"/>
        <v>3663.741655967764</v>
      </c>
      <c r="IV573" s="346">
        <f>+FISC!AI795</f>
        <v>7407.6665378157313</v>
      </c>
      <c r="IW573" s="302">
        <f>IW467-IW503</f>
        <v>-2142.4914058650234</v>
      </c>
      <c r="IX573" s="302">
        <f t="shared" si="283"/>
        <v>-2548.0449116043278</v>
      </c>
      <c r="IY573" s="346">
        <f>+FISC!AJ795</f>
        <v>-4690.5363174693512</v>
      </c>
      <c r="IZ573" s="302" t="e">
        <f>IZ467-IZ503</f>
        <v>#DIV/0!</v>
      </c>
      <c r="JA573" s="302" t="e">
        <f t="shared" si="284"/>
        <v>#DIV/0!</v>
      </c>
      <c r="JB573" s="346" t="e">
        <f>+FISC!AK795</f>
        <v>#DIV/0!</v>
      </c>
      <c r="JC573" s="346"/>
      <c r="KI573" s="349"/>
      <c r="KJ573" s="350"/>
      <c r="KM573" s="302">
        <f>KM467-KM503</f>
        <v>0</v>
      </c>
      <c r="KN573" s="302">
        <f>KN467-KN503</f>
        <v>0</v>
      </c>
      <c r="KO573" s="302">
        <f>KO467-KO503</f>
        <v>0</v>
      </c>
      <c r="KP573" s="302">
        <f>KP467-KP503</f>
        <v>0</v>
      </c>
    </row>
    <row r="574" spans="1:302">
      <c r="A574" s="302"/>
      <c r="D574" s="351"/>
      <c r="E574" s="346"/>
      <c r="F574" s="346"/>
      <c r="G574" s="346"/>
      <c r="H574" s="346"/>
      <c r="I574" s="346"/>
      <c r="J574" s="346"/>
      <c r="K574" s="346"/>
      <c r="L574" s="346"/>
      <c r="M574" s="346"/>
      <c r="N574" s="346"/>
      <c r="O574" s="346"/>
      <c r="P574" s="346"/>
      <c r="Q574" s="346"/>
      <c r="R574" s="346"/>
      <c r="S574" s="346"/>
      <c r="T574" s="346"/>
      <c r="U574" s="346"/>
      <c r="V574" s="346"/>
      <c r="W574" s="346"/>
      <c r="X574" s="346"/>
      <c r="Y574" s="346"/>
      <c r="Z574" s="346"/>
      <c r="AA574" s="346"/>
      <c r="AB574" s="346"/>
      <c r="AC574" s="346"/>
      <c r="AD574" s="346"/>
      <c r="AE574" s="346"/>
      <c r="AF574" s="346"/>
      <c r="AG574" s="346"/>
      <c r="AH574" s="346"/>
      <c r="AI574" s="346"/>
      <c r="AJ574" s="346"/>
      <c r="AK574" s="346"/>
      <c r="AL574" s="346"/>
      <c r="AM574" s="346"/>
      <c r="AN574" s="346"/>
      <c r="AO574" s="346"/>
      <c r="AP574" s="346"/>
      <c r="AQ574" s="346"/>
      <c r="AR574" s="346"/>
      <c r="AS574" s="346"/>
      <c r="AT574" s="346"/>
      <c r="AU574" s="346"/>
      <c r="AV574" s="346"/>
      <c r="AW574" s="346"/>
      <c r="AX574" s="346"/>
      <c r="AY574" s="346"/>
      <c r="AZ574" s="346"/>
      <c r="BA574" s="346"/>
      <c r="BB574" s="346"/>
      <c r="BC574" s="346"/>
      <c r="BD574" s="346"/>
      <c r="BE574" s="346"/>
      <c r="BF574" s="346"/>
      <c r="BG574" s="346"/>
      <c r="BH574" s="346"/>
      <c r="BI574" s="346"/>
      <c r="BJ574" s="346"/>
      <c r="BK574" s="346"/>
      <c r="BL574" s="346"/>
      <c r="BM574" s="346"/>
      <c r="BN574" s="346"/>
      <c r="BO574" s="346"/>
      <c r="BP574" s="346"/>
      <c r="BQ574" s="346"/>
      <c r="BR574" s="346"/>
      <c r="BS574" s="346"/>
      <c r="BT574" s="346"/>
      <c r="BU574" s="346"/>
      <c r="BV574" s="346"/>
      <c r="BW574" s="346"/>
      <c r="BX574" s="346"/>
      <c r="BY574" s="346"/>
      <c r="BZ574" s="346"/>
      <c r="CA574" s="346"/>
      <c r="CB574" s="346"/>
      <c r="CC574" s="346"/>
      <c r="CD574" s="346"/>
      <c r="CE574" s="347"/>
      <c r="CF574" s="346"/>
      <c r="CG574" s="346"/>
      <c r="CH574" s="346"/>
      <c r="CI574" s="346"/>
      <c r="CJ574" s="346"/>
      <c r="CK574" s="346"/>
      <c r="CL574" s="346"/>
      <c r="CM574" s="346"/>
      <c r="CN574" s="346"/>
      <c r="CO574" s="346"/>
      <c r="CP574" s="348"/>
      <c r="CQ574" s="346"/>
      <c r="CR574" s="346"/>
      <c r="CS574" s="346"/>
      <c r="CT574" s="346"/>
      <c r="CU574" s="346"/>
      <c r="CV574" s="346"/>
      <c r="CW574" s="346"/>
      <c r="CX574" s="346"/>
      <c r="CY574" s="346"/>
      <c r="CZ574" s="346"/>
      <c r="DA574" s="346"/>
      <c r="DB574" s="1479"/>
      <c r="DC574" s="346"/>
      <c r="DD574" s="346"/>
      <c r="DE574" s="346"/>
      <c r="DF574" s="346"/>
      <c r="DG574" s="346"/>
      <c r="DH574" s="346"/>
      <c r="DI574" s="346"/>
      <c r="DJ574" s="346"/>
      <c r="DK574" s="346"/>
      <c r="DL574" s="346"/>
      <c r="DM574" s="346"/>
      <c r="DN574" s="348"/>
      <c r="DO574" s="346"/>
      <c r="DP574" s="346"/>
      <c r="DQ574" s="346"/>
      <c r="DR574" s="346"/>
      <c r="DS574" s="346"/>
      <c r="DT574" s="346"/>
      <c r="DU574" s="346"/>
      <c r="DV574" s="346"/>
      <c r="DW574" s="346"/>
      <c r="DX574" s="346"/>
      <c r="DY574" s="346"/>
      <c r="DZ574" s="348"/>
      <c r="EA574" s="346"/>
      <c r="EB574" s="346"/>
      <c r="EC574" s="346"/>
      <c r="ED574" s="346"/>
      <c r="EE574" s="346"/>
      <c r="EF574" s="346"/>
      <c r="EG574" s="346"/>
      <c r="EH574" s="346"/>
      <c r="EI574" s="346"/>
      <c r="EJ574" s="346"/>
      <c r="EK574" s="346"/>
      <c r="EL574" s="348"/>
      <c r="EM574" s="346"/>
      <c r="EN574" s="346"/>
      <c r="EO574" s="346"/>
      <c r="EP574" s="346"/>
      <c r="EQ574" s="346"/>
      <c r="ER574" s="346"/>
      <c r="ES574" s="346"/>
      <c r="ET574" s="346"/>
      <c r="EU574" s="346"/>
      <c r="EV574" s="346"/>
      <c r="EW574" s="346"/>
      <c r="EX574" s="348"/>
      <c r="EY574" s="346"/>
      <c r="EZ574" s="346"/>
      <c r="FA574" s="346"/>
      <c r="FB574" s="346"/>
      <c r="FC574" s="346"/>
      <c r="FD574" s="346"/>
      <c r="FE574" s="346"/>
      <c r="FF574" s="346"/>
      <c r="FG574" s="346"/>
      <c r="FH574" s="346"/>
      <c r="FI574" s="346"/>
      <c r="FJ574" s="348"/>
      <c r="FK574" s="346"/>
      <c r="FL574" s="346"/>
      <c r="FM574" s="346"/>
      <c r="FN574" s="346"/>
      <c r="FO574" s="346"/>
      <c r="FP574" s="346"/>
      <c r="FQ574" s="346"/>
      <c r="FR574" s="346"/>
      <c r="FS574" s="346"/>
      <c r="FT574" s="346"/>
      <c r="FU574" s="346"/>
      <c r="FV574" s="346"/>
      <c r="FW574" s="346"/>
      <c r="FX574" s="346"/>
      <c r="FY574" s="346"/>
      <c r="FZ574" s="346"/>
      <c r="GA574" s="346"/>
      <c r="GB574" s="346"/>
      <c r="GC574" s="346"/>
      <c r="GD574" s="346"/>
      <c r="GE574" s="346"/>
      <c r="GF574" s="346"/>
      <c r="GG574" s="346"/>
      <c r="GH574" s="346"/>
      <c r="GI574" s="346"/>
      <c r="GJ574" s="346"/>
      <c r="GK574" s="346"/>
      <c r="GL574" s="346"/>
      <c r="GM574" s="346"/>
      <c r="GN574" s="346"/>
      <c r="GO574" s="346"/>
      <c r="GP574" s="346"/>
      <c r="GQ574" s="346"/>
      <c r="GR574" s="346"/>
      <c r="GS574" s="346"/>
      <c r="GT574" s="346"/>
      <c r="GU574" s="346"/>
      <c r="GV574" s="346"/>
      <c r="GW574" s="346"/>
      <c r="GX574" s="346"/>
      <c r="GY574" s="346"/>
      <c r="GZ574" s="346"/>
      <c r="HA574" s="346"/>
      <c r="HB574" s="346"/>
      <c r="HC574" s="346"/>
      <c r="HD574" s="346"/>
      <c r="HE574" s="346"/>
      <c r="HF574" s="346"/>
      <c r="HG574" s="346"/>
      <c r="HH574" s="346"/>
      <c r="HI574" s="346"/>
      <c r="HJ574" s="346"/>
      <c r="HK574" s="346"/>
      <c r="HL574" s="346"/>
      <c r="HM574" s="346"/>
      <c r="HN574" s="349"/>
      <c r="HO574" s="351"/>
      <c r="HP574" s="351"/>
      <c r="HQ574" s="351"/>
      <c r="HR574" s="346">
        <f>+FISC!Z796</f>
        <v>-301.71950052759757</v>
      </c>
      <c r="HU574" s="346"/>
      <c r="HX574" s="346"/>
      <c r="IA574" s="346"/>
      <c r="IC574" s="350"/>
      <c r="ID574" s="346">
        <f>FISC!AC796</f>
        <v>-371.40946294800415</v>
      </c>
      <c r="IE574" s="302">
        <f t="shared" si="342"/>
        <v>0</v>
      </c>
      <c r="IF574" s="302">
        <f t="shared" si="343"/>
        <v>0</v>
      </c>
      <c r="IG574" s="346">
        <f t="shared" si="384"/>
        <v>0</v>
      </c>
      <c r="IH574" s="350"/>
      <c r="II574" s="350"/>
      <c r="IJ574" s="346">
        <f>+FISC!AE796</f>
        <v>-1156.104743164371</v>
      </c>
      <c r="IK574" s="302">
        <f>IM574*JI574</f>
        <v>0</v>
      </c>
      <c r="IL574" s="302">
        <f t="shared" si="280"/>
        <v>-944.94633527590759</v>
      </c>
      <c r="IM574" s="346">
        <f>+FISC!AF796</f>
        <v>-944.94633527590759</v>
      </c>
      <c r="IN574" s="302">
        <f t="shared" si="292"/>
        <v>0</v>
      </c>
      <c r="IO574" s="302">
        <f t="shared" si="334"/>
        <v>4665.5537564225615</v>
      </c>
      <c r="IP574" s="346">
        <f>+FISC!AG796</f>
        <v>4665.5537564225615</v>
      </c>
      <c r="IQ574" s="302">
        <f t="shared" si="293"/>
        <v>0</v>
      </c>
      <c r="IR574" s="302">
        <f t="shared" si="281"/>
        <v>7486.6331886678408</v>
      </c>
      <c r="IS574" s="346">
        <f>+FISC!AH796</f>
        <v>7486.6331886678408</v>
      </c>
      <c r="IT574" s="302">
        <f t="shared" si="294"/>
        <v>0</v>
      </c>
      <c r="IU574" s="302">
        <f t="shared" si="282"/>
        <v>8165.4831784057924</v>
      </c>
      <c r="IV574" s="346">
        <f>+FISC!AI796</f>
        <v>8165.4831784057924</v>
      </c>
      <c r="IW574" s="302">
        <f t="shared" si="295"/>
        <v>0</v>
      </c>
      <c r="IX574" s="302">
        <f t="shared" si="283"/>
        <v>-4064.767578235238</v>
      </c>
      <c r="IY574" s="346">
        <f>+FISC!AJ796</f>
        <v>-4064.767578235238</v>
      </c>
      <c r="IZ574" s="302" t="e">
        <f t="shared" si="296"/>
        <v>#DIV/0!</v>
      </c>
      <c r="JA574" s="302" t="e">
        <f t="shared" si="284"/>
        <v>#DIV/0!</v>
      </c>
      <c r="JB574" s="346" t="e">
        <f>+FISC!AK796</f>
        <v>#DIV/0!</v>
      </c>
      <c r="JC574" s="346"/>
      <c r="KI574" s="349"/>
      <c r="KJ574" s="350"/>
    </row>
    <row r="575" spans="1:302">
      <c r="A575" s="302"/>
      <c r="B575" s="117" t="s">
        <v>361</v>
      </c>
      <c r="D575" s="351" t="str">
        <f>+FISC!D800</f>
        <v>Change in arrears (net reduction-)</v>
      </c>
      <c r="E575" s="346">
        <v>10.6554</v>
      </c>
      <c r="F575" s="346">
        <v>5.8456099999999998</v>
      </c>
      <c r="G575" s="346">
        <v>-15.183400000000001</v>
      </c>
      <c r="H575" s="346">
        <v>9.8549799999999994</v>
      </c>
      <c r="I575" s="346">
        <v>-9.1612799999999996</v>
      </c>
      <c r="J575" s="346">
        <v>-7.0667900000000001</v>
      </c>
      <c r="K575" s="346">
        <v>21.487389999999998</v>
      </c>
      <c r="L575" s="346">
        <v>-1.3441399999999999</v>
      </c>
      <c r="M575" s="346">
        <v>-12.681389999999999</v>
      </c>
      <c r="N575" s="346">
        <v>-1.64195</v>
      </c>
      <c r="O575" s="346">
        <v>2.20912</v>
      </c>
      <c r="P575" s="346">
        <v>-11.5212</v>
      </c>
      <c r="Q575" s="346">
        <v>12.82325</v>
      </c>
      <c r="R575" s="346">
        <v>-0.33189000000000035</v>
      </c>
      <c r="S575" s="346">
        <v>-6.0977399999999999</v>
      </c>
      <c r="T575" s="346">
        <v>9.3417400000000015</v>
      </c>
      <c r="U575" s="346">
        <v>-10.999739999999999</v>
      </c>
      <c r="V575" s="346">
        <v>-8.7369800000000062</v>
      </c>
      <c r="W575" s="346">
        <v>14.96668</v>
      </c>
      <c r="X575" s="346">
        <v>2.7358400000000067</v>
      </c>
      <c r="Y575" s="346">
        <v>-9.1756099999999989</v>
      </c>
      <c r="Z575" s="346">
        <v>22.001330000000003</v>
      </c>
      <c r="AA575" s="346">
        <v>-24.827919999999999</v>
      </c>
      <c r="AB575" s="346">
        <v>-9.7205099999999991</v>
      </c>
      <c r="AC575" s="346">
        <v>-0.87727999999999995</v>
      </c>
      <c r="AD575" s="346">
        <v>-0.53175000000000117</v>
      </c>
      <c r="AE575" s="346">
        <v>-0.56568999999999992</v>
      </c>
      <c r="AF575" s="346">
        <v>-1.8588699999999976</v>
      </c>
      <c r="AG575" s="346">
        <v>-0.91006999999999993</v>
      </c>
      <c r="AH575" s="346">
        <v>-0.43952000000000002</v>
      </c>
      <c r="AI575" s="346">
        <v>15.669499999999999</v>
      </c>
      <c r="AJ575" s="346">
        <v>-11.648299999999999</v>
      </c>
      <c r="AK575" s="346">
        <v>-1.3377000000000001</v>
      </c>
      <c r="AL575" s="346">
        <v>11.607200000000001</v>
      </c>
      <c r="AM575" s="346">
        <v>-11.101100000000001</v>
      </c>
      <c r="AN575" s="346">
        <v>-9.0562999999999985</v>
      </c>
      <c r="AO575" s="346">
        <v>21.638860000000001</v>
      </c>
      <c r="AP575" s="346">
        <v>2.7073199999999948</v>
      </c>
      <c r="AQ575" s="346">
        <v>-6.5569200000000141</v>
      </c>
      <c r="AR575" s="346">
        <v>7.6063799999999979</v>
      </c>
      <c r="AS575" s="346">
        <v>17.792059999999996</v>
      </c>
      <c r="AT575" s="346">
        <v>-49.276220000000002</v>
      </c>
      <c r="AU575" s="346">
        <v>5.9401999999999999</v>
      </c>
      <c r="AV575" s="346">
        <v>-0.78819999999999979</v>
      </c>
      <c r="AW575" s="346">
        <v>0.17479999999999996</v>
      </c>
      <c r="AX575" s="346">
        <v>-15.1335</v>
      </c>
      <c r="AY575" s="346">
        <v>5.4844000000000008</v>
      </c>
      <c r="AZ575" s="346">
        <v>-2.8403</v>
      </c>
      <c r="BA575" s="346">
        <v>27.045399999999997</v>
      </c>
      <c r="BB575" s="346">
        <v>0.25485000000000013</v>
      </c>
      <c r="BC575" s="346">
        <v>-2.4120499999999998</v>
      </c>
      <c r="BD575" s="346">
        <v>16.939349999999997</v>
      </c>
      <c r="BE575" s="346">
        <v>0.3079599999999999</v>
      </c>
      <c r="BF575" s="346">
        <v>-46.825299999999999</v>
      </c>
      <c r="BG575" s="346">
        <v>-2.1658000000000004</v>
      </c>
      <c r="BH575" s="346">
        <v>41.469000000000001</v>
      </c>
      <c r="BI575" s="346">
        <v>-29.6478</v>
      </c>
      <c r="BJ575" s="346">
        <v>31.784700000000001</v>
      </c>
      <c r="BK575" s="346">
        <v>-14.7141</v>
      </c>
      <c r="BL575" s="346">
        <v>-34.624499999999998</v>
      </c>
      <c r="BM575" s="346">
        <v>22.7043</v>
      </c>
      <c r="BN575" s="346">
        <v>-5.3937400000000002</v>
      </c>
      <c r="BO575" s="346">
        <v>-19.66197</v>
      </c>
      <c r="BP575" s="346">
        <v>36.031199999999998</v>
      </c>
      <c r="BQ575" s="346">
        <v>16.442199999999996</v>
      </c>
      <c r="BR575" s="346">
        <v>-55.916100000000007</v>
      </c>
      <c r="BS575" s="346">
        <v>35.2239</v>
      </c>
      <c r="BT575" s="346">
        <v>-3.8731</v>
      </c>
      <c r="BU575" s="346">
        <v>-17.4802</v>
      </c>
      <c r="BV575" s="346"/>
      <c r="BW575" s="346"/>
      <c r="BX575" s="346"/>
      <c r="BY575" s="346"/>
      <c r="BZ575" s="346"/>
      <c r="CA575" s="346"/>
      <c r="CB575" s="346"/>
      <c r="CC575" s="346"/>
      <c r="CD575" s="346"/>
      <c r="CE575" s="347">
        <f>CE576</f>
        <v>25.459926414999998</v>
      </c>
      <c r="CF575" s="346">
        <f t="shared" ref="CF575:EQ575" si="385">CF576</f>
        <v>-2.1916458300000095</v>
      </c>
      <c r="CG575" s="346">
        <f t="shared" si="385"/>
        <v>0.86049975999999662</v>
      </c>
      <c r="CH575" s="346">
        <f t="shared" si="385"/>
        <v>15.230367965000001</v>
      </c>
      <c r="CI575" s="346">
        <f t="shared" si="385"/>
        <v>-2.490232345000003</v>
      </c>
      <c r="CJ575" s="346">
        <f t="shared" si="385"/>
        <v>-44.462359226000011</v>
      </c>
      <c r="CK575" s="346">
        <f t="shared" si="385"/>
        <v>33.882002667999998</v>
      </c>
      <c r="CL575" s="346">
        <f t="shared" si="385"/>
        <v>1.5864573310000027</v>
      </c>
      <c r="CM575" s="346">
        <f t="shared" si="385"/>
        <v>-2.2788276409999981</v>
      </c>
      <c r="CN575" s="346">
        <f t="shared" si="385"/>
        <v>21.917290953999998</v>
      </c>
      <c r="CO575" s="346">
        <f t="shared" si="385"/>
        <v>15.121927161999997</v>
      </c>
      <c r="CP575" s="348">
        <f t="shared" si="385"/>
        <v>-77.886949827000009</v>
      </c>
      <c r="CQ575" s="346">
        <f t="shared" si="385"/>
        <v>43.993544946</v>
      </c>
      <c r="CR575" s="346">
        <f t="shared" si="385"/>
        <v>7.5001968780000023</v>
      </c>
      <c r="CS575" s="346">
        <f t="shared" si="385"/>
        <v>-8.1648560099999994</v>
      </c>
      <c r="CT575" s="346">
        <f t="shared" si="385"/>
        <v>7.7556771840000014</v>
      </c>
      <c r="CU575" s="346">
        <f t="shared" si="385"/>
        <v>13.614128800999996</v>
      </c>
      <c r="CV575" s="346">
        <f t="shared" si="385"/>
        <v>-15.375084401999995</v>
      </c>
      <c r="CW575" s="346">
        <f t="shared" si="385"/>
        <v>9.5578973139999999</v>
      </c>
      <c r="CX575" s="346">
        <f t="shared" si="385"/>
        <v>18.724819482000001</v>
      </c>
      <c r="CY575" s="346">
        <f t="shared" si="385"/>
        <v>-5.0054926209999993</v>
      </c>
      <c r="CZ575" s="346">
        <f t="shared" si="385"/>
        <v>34.482325734</v>
      </c>
      <c r="DA575" s="346">
        <f t="shared" si="385"/>
        <v>0.97493965699999618</v>
      </c>
      <c r="DB575" s="1479">
        <f t="shared" si="385"/>
        <v>-84.906245957999985</v>
      </c>
      <c r="DC575" s="346">
        <f t="shared" si="385"/>
        <v>45.051045941000005</v>
      </c>
      <c r="DD575" s="346">
        <f t="shared" si="385"/>
        <v>2.4522030739999972</v>
      </c>
      <c r="DE575" s="346">
        <f t="shared" si="385"/>
        <v>-11.525068235999996</v>
      </c>
      <c r="DF575" s="346">
        <f t="shared" si="385"/>
        <v>24.155134145999995</v>
      </c>
      <c r="DG575" s="346">
        <f t="shared" si="385"/>
        <v>4.7692401899999961</v>
      </c>
      <c r="DH575" s="346">
        <f t="shared" si="385"/>
        <v>-50.081889140000001</v>
      </c>
      <c r="DI575" s="346">
        <f t="shared" si="385"/>
        <v>39.04344991899999</v>
      </c>
      <c r="DJ575" s="346">
        <f t="shared" si="385"/>
        <v>-12.661360148</v>
      </c>
      <c r="DK575" s="346">
        <f t="shared" si="385"/>
        <v>2.5686521749999995</v>
      </c>
      <c r="DL575" s="346">
        <f t="shared" si="385"/>
        <v>8.1482137590000008</v>
      </c>
      <c r="DM575" s="346">
        <f t="shared" si="385"/>
        <v>27.100130161999999</v>
      </c>
      <c r="DN575" s="348">
        <f t="shared" si="385"/>
        <v>-106.637777396</v>
      </c>
      <c r="DO575" s="346">
        <f t="shared" si="385"/>
        <v>5.7541547349999931</v>
      </c>
      <c r="DP575" s="346">
        <f t="shared" si="385"/>
        <v>67.927479993000006</v>
      </c>
      <c r="DQ575" s="346">
        <f t="shared" si="385"/>
        <v>-6.7416281189999925</v>
      </c>
      <c r="DR575" s="346">
        <f t="shared" si="385"/>
        <v>22.302948236000002</v>
      </c>
      <c r="DS575" s="346">
        <f t="shared" si="385"/>
        <v>1.6517766149999982</v>
      </c>
      <c r="DT575" s="346">
        <f t="shared" si="385"/>
        <v>-103.077576081</v>
      </c>
      <c r="DU575" s="346">
        <f t="shared" si="385"/>
        <v>72.040236409999991</v>
      </c>
      <c r="DV575" s="346">
        <f t="shared" si="385"/>
        <v>3.8685099279999964</v>
      </c>
      <c r="DW575" s="346">
        <f t="shared" si="385"/>
        <v>-51.810127059000003</v>
      </c>
      <c r="DX575" s="346">
        <f t="shared" si="385"/>
        <v>88.399945051999993</v>
      </c>
      <c r="DY575" s="346">
        <f t="shared" si="385"/>
        <v>18.782829167999999</v>
      </c>
      <c r="DZ575" s="348">
        <f t="shared" si="385"/>
        <v>-79.13331905199999</v>
      </c>
      <c r="EA575" s="346">
        <f t="shared" si="385"/>
        <v>50.555999823000001</v>
      </c>
      <c r="EB575" s="346">
        <f t="shared" si="385"/>
        <v>28.586233752000005</v>
      </c>
      <c r="EC575" s="346">
        <f t="shared" si="385"/>
        <v>27.044963971000001</v>
      </c>
      <c r="ED575" s="346">
        <f t="shared" si="385"/>
        <v>0.725604204999998</v>
      </c>
      <c r="EE575" s="346">
        <f t="shared" si="385"/>
        <v>5.2141258529999961</v>
      </c>
      <c r="EF575" s="346">
        <f t="shared" si="385"/>
        <v>-77.150921148000023</v>
      </c>
      <c r="EG575" s="346">
        <f t="shared" si="385"/>
        <v>19.283678564999999</v>
      </c>
      <c r="EH575" s="346">
        <f t="shared" si="385"/>
        <v>11.539384766000001</v>
      </c>
      <c r="EI575" s="346">
        <f t="shared" si="385"/>
        <v>-13.339600471000001</v>
      </c>
      <c r="EJ575" s="346">
        <f t="shared" si="385"/>
        <v>40.832480689</v>
      </c>
      <c r="EK575" s="346">
        <f t="shared" si="385"/>
        <v>1.1411995740000016</v>
      </c>
      <c r="EL575" s="348">
        <f t="shared" si="385"/>
        <v>-119.494381867</v>
      </c>
      <c r="EM575" s="346">
        <f t="shared" si="385"/>
        <v>20.906582503999996</v>
      </c>
      <c r="EN575" s="346">
        <f t="shared" si="385"/>
        <v>38.534375723000025</v>
      </c>
      <c r="EO575" s="346">
        <f t="shared" si="385"/>
        <v>1.7081313110000025</v>
      </c>
      <c r="EP575" s="346">
        <f t="shared" si="385"/>
        <v>40.776698555999999</v>
      </c>
      <c r="EQ575" s="346">
        <f t="shared" si="385"/>
        <v>62.199166380000008</v>
      </c>
      <c r="ER575" s="346">
        <f t="shared" ref="ER575:EX575" si="386">ER576</f>
        <v>-111.86544021499999</v>
      </c>
      <c r="ES575" s="346">
        <f t="shared" si="386"/>
        <v>-53.196056255000009</v>
      </c>
      <c r="ET575" s="346">
        <f t="shared" si="386"/>
        <v>-4.1803346760000011</v>
      </c>
      <c r="EU575" s="346">
        <f t="shared" si="386"/>
        <v>48.686548283999997</v>
      </c>
      <c r="EV575" s="346">
        <f t="shared" si="386"/>
        <v>66.64271675900001</v>
      </c>
      <c r="EW575" s="346">
        <f t="shared" si="386"/>
        <v>99.212840006999997</v>
      </c>
      <c r="EX575" s="348">
        <f t="shared" si="386"/>
        <v>-154.30260818600001</v>
      </c>
      <c r="EY575" s="346"/>
      <c r="EZ575" s="346"/>
      <c r="FA575" s="346"/>
      <c r="FB575" s="346"/>
      <c r="FC575" s="346"/>
      <c r="FD575" s="346"/>
      <c r="FE575" s="346"/>
      <c r="FF575" s="346"/>
      <c r="FG575" s="346"/>
      <c r="FH575" s="346"/>
      <c r="FI575" s="346"/>
      <c r="FJ575" s="348"/>
      <c r="FK575" s="346"/>
      <c r="FL575" s="346"/>
      <c r="FM575" s="346"/>
      <c r="FN575" s="346"/>
      <c r="FO575" s="346"/>
      <c r="FP575" s="346"/>
      <c r="FQ575" s="346"/>
      <c r="FR575" s="346"/>
      <c r="FS575" s="346"/>
      <c r="FT575" s="346"/>
      <c r="FU575" s="346"/>
      <c r="FV575" s="346"/>
      <c r="FW575" s="346"/>
      <c r="FX575" s="346"/>
      <c r="FY575" s="346"/>
      <c r="FZ575" s="346"/>
      <c r="GA575" s="346"/>
      <c r="GB575" s="346"/>
      <c r="GC575" s="346"/>
      <c r="GD575" s="346"/>
      <c r="GE575" s="346"/>
      <c r="GF575" s="346"/>
      <c r="GG575" s="346"/>
      <c r="GH575" s="346"/>
      <c r="GI575" s="346"/>
      <c r="GJ575" s="346"/>
      <c r="GK575" s="346"/>
      <c r="GL575" s="346"/>
      <c r="GM575" s="346"/>
      <c r="GN575" s="346"/>
      <c r="GO575" s="346"/>
      <c r="GP575" s="346"/>
      <c r="GQ575" s="346"/>
      <c r="GR575" s="346"/>
      <c r="GS575" s="346"/>
      <c r="GT575" s="346"/>
      <c r="GU575" s="346"/>
      <c r="GV575" s="346"/>
      <c r="GW575" s="346"/>
      <c r="GX575" s="346"/>
      <c r="GY575" s="346"/>
      <c r="GZ575" s="346"/>
      <c r="HA575" s="346"/>
      <c r="HB575" s="346"/>
      <c r="HC575" s="346"/>
      <c r="HD575" s="346"/>
      <c r="HE575" s="346"/>
      <c r="HF575" s="346"/>
      <c r="HG575" s="346"/>
      <c r="HH575" s="346"/>
      <c r="HI575" s="346"/>
      <c r="HJ575" s="346"/>
      <c r="HK575" s="346"/>
      <c r="HL575" s="346"/>
      <c r="HM575" s="346"/>
      <c r="HN575" s="349"/>
      <c r="HO575" s="351" t="s">
        <v>179</v>
      </c>
      <c r="HP575" s="351"/>
      <c r="HQ575" s="351"/>
      <c r="HR575" s="346">
        <f>+FISC!Z800</f>
        <v>5</v>
      </c>
      <c r="HS575" s="302">
        <f>HS576</f>
        <v>49.323607397000004</v>
      </c>
      <c r="HT575" s="302">
        <f>HT576</f>
        <v>-26.171756391999992</v>
      </c>
      <c r="HU575" s="346">
        <f>HU576</f>
        <v>23.151851005000012</v>
      </c>
      <c r="HV575" s="302">
        <f>HV576</f>
        <v>14.820665974999997</v>
      </c>
      <c r="HW575" s="302">
        <f>HW576</f>
        <v>-42.43869152900001</v>
      </c>
      <c r="HX575" s="346">
        <f>HV575+HW575</f>
        <v>-27.618025554000013</v>
      </c>
      <c r="HY575" s="302">
        <f>HY576</f>
        <v>-12.182844620999987</v>
      </c>
      <c r="HZ575" s="302">
        <f>SUM(DU575:DZ575)</f>
        <v>52.148074446999999</v>
      </c>
      <c r="IA575" s="346">
        <f t="shared" si="297"/>
        <v>39.965229826000012</v>
      </c>
      <c r="IB575" s="302">
        <f>IB576</f>
        <v>34.976006456</v>
      </c>
      <c r="IC575" s="302">
        <f>IC576</f>
        <v>-60.037238744000014</v>
      </c>
      <c r="ID575" s="346">
        <f>FISC!AC800</f>
        <v>-25.061232288000014</v>
      </c>
      <c r="IE575" s="302">
        <f t="shared" si="342"/>
        <v>52.259514259000056</v>
      </c>
      <c r="IF575" s="302">
        <f t="shared" si="343"/>
        <v>2.8631059329999857</v>
      </c>
      <c r="IG575" s="346">
        <f t="shared" si="384"/>
        <v>55.122620192000042</v>
      </c>
      <c r="IH575" s="638">
        <f>IH576</f>
        <v>66.228221879000003</v>
      </c>
      <c r="II575" s="638">
        <f>II576</f>
        <v>-121.32822187900001</v>
      </c>
      <c r="IJ575" s="346">
        <f>+FISC!AE800</f>
        <v>-55.1</v>
      </c>
      <c r="IK575" s="638" t="e">
        <f>IK576</f>
        <v>#REF!</v>
      </c>
      <c r="IL575" s="302" t="e">
        <f t="shared" si="280"/>
        <v>#REF!</v>
      </c>
      <c r="IM575" s="346">
        <f>+FISC!AF800</f>
        <v>-35.228921278959099</v>
      </c>
      <c r="IN575" s="638" t="e">
        <f>IN576</f>
        <v>#REF!</v>
      </c>
      <c r="IO575" s="302" t="e">
        <f t="shared" si="334"/>
        <v>#REF!</v>
      </c>
      <c r="IP575" s="346">
        <f>+FISC!AG800</f>
        <v>-40</v>
      </c>
      <c r="IQ575" s="638">
        <f>IQ576</f>
        <v>-20</v>
      </c>
      <c r="IR575" s="302">
        <f t="shared" si="281"/>
        <v>-20</v>
      </c>
      <c r="IS575" s="346">
        <f>+FISC!AH800</f>
        <v>-40</v>
      </c>
      <c r="IT575" s="638">
        <f>IT576</f>
        <v>-20</v>
      </c>
      <c r="IU575" s="302">
        <f t="shared" si="282"/>
        <v>-20</v>
      </c>
      <c r="IV575" s="346">
        <f>+FISC!AI800</f>
        <v>-40</v>
      </c>
      <c r="IW575" s="638">
        <f>IW576</f>
        <v>-20</v>
      </c>
      <c r="IX575" s="302">
        <f t="shared" si="283"/>
        <v>-20</v>
      </c>
      <c r="IY575" s="346">
        <f>+FISC!AJ800</f>
        <v>-40</v>
      </c>
      <c r="IZ575" s="638">
        <f>IZ576</f>
        <v>-20</v>
      </c>
      <c r="JA575" s="302">
        <f t="shared" si="284"/>
        <v>-20</v>
      </c>
      <c r="JB575" s="346">
        <f>+FISC!AK800</f>
        <v>-40</v>
      </c>
      <c r="JC575" s="346"/>
      <c r="KI575" s="349"/>
      <c r="KJ575" s="350"/>
      <c r="KM575" s="302">
        <f>KM576</f>
        <v>0</v>
      </c>
      <c r="KN575" s="302">
        <f>KN576</f>
        <v>0</v>
      </c>
      <c r="KO575" s="302">
        <f>KO576</f>
        <v>0</v>
      </c>
      <c r="KP575" s="302">
        <f>KP576</f>
        <v>0</v>
      </c>
    </row>
    <row r="576" spans="1:302">
      <c r="A576" s="302"/>
      <c r="B576" s="117" t="s">
        <v>361</v>
      </c>
      <c r="D576" s="351" t="str">
        <f>+FISC!D801</f>
        <v>Domestic</v>
      </c>
      <c r="E576" s="346">
        <v>10.6554</v>
      </c>
      <c r="F576" s="346">
        <v>5.8456099999999998</v>
      </c>
      <c r="G576" s="346">
        <v>-15.183400000000001</v>
      </c>
      <c r="H576" s="346">
        <v>9.8549799999999994</v>
      </c>
      <c r="I576" s="346">
        <v>-9.1612799999999996</v>
      </c>
      <c r="J576" s="346">
        <v>-7.0667900000000001</v>
      </c>
      <c r="K576" s="346">
        <v>21.487389999999998</v>
      </c>
      <c r="L576" s="346">
        <v>-1.3441399999999999</v>
      </c>
      <c r="M576" s="346">
        <v>-12.681389999999999</v>
      </c>
      <c r="N576" s="346">
        <v>-1.64195</v>
      </c>
      <c r="O576" s="346">
        <v>2.20912</v>
      </c>
      <c r="P576" s="346">
        <v>-11.5212</v>
      </c>
      <c r="Q576" s="346">
        <v>12.82325</v>
      </c>
      <c r="R576" s="346">
        <v>-0.33189000000000035</v>
      </c>
      <c r="S576" s="346">
        <v>-6.0977399999999999</v>
      </c>
      <c r="T576" s="346">
        <v>9.3417400000000015</v>
      </c>
      <c r="U576" s="346">
        <v>-10.999739999999999</v>
      </c>
      <c r="V576" s="346">
        <v>-8.7369800000000062</v>
      </c>
      <c r="W576" s="346">
        <v>14.96668</v>
      </c>
      <c r="X576" s="346">
        <v>2.7358400000000067</v>
      </c>
      <c r="Y576" s="346">
        <v>-9.1756099999999989</v>
      </c>
      <c r="Z576" s="346">
        <v>22.001330000000003</v>
      </c>
      <c r="AA576" s="346">
        <v>-24.827919999999999</v>
      </c>
      <c r="AB576" s="346">
        <v>-9.7205099999999991</v>
      </c>
      <c r="AC576" s="346">
        <v>-0.87727999999999995</v>
      </c>
      <c r="AD576" s="346">
        <v>-0.53175000000000117</v>
      </c>
      <c r="AE576" s="346">
        <v>-0.56568999999999992</v>
      </c>
      <c r="AF576" s="346">
        <v>-1.8588699999999976</v>
      </c>
      <c r="AG576" s="346">
        <v>-0.91006999999999993</v>
      </c>
      <c r="AH576" s="346">
        <v>-0.43952000000000002</v>
      </c>
      <c r="AI576" s="346">
        <v>15.669499999999999</v>
      </c>
      <c r="AJ576" s="346">
        <v>-11.648299999999999</v>
      </c>
      <c r="AK576" s="346">
        <v>-1.3377000000000001</v>
      </c>
      <c r="AL576" s="346">
        <v>11.607200000000001</v>
      </c>
      <c r="AM576" s="346">
        <v>-11.101100000000001</v>
      </c>
      <c r="AN576" s="346">
        <v>-9.0562999999999985</v>
      </c>
      <c r="AO576" s="346">
        <v>21.638860000000001</v>
      </c>
      <c r="AP576" s="346">
        <v>2.7073199999999948</v>
      </c>
      <c r="AQ576" s="346">
        <v>-6.5569200000000141</v>
      </c>
      <c r="AR576" s="346">
        <v>7.6063799999999979</v>
      </c>
      <c r="AS576" s="346">
        <v>17.792059999999996</v>
      </c>
      <c r="AT576" s="346">
        <v>-49.276220000000002</v>
      </c>
      <c r="AU576" s="346">
        <v>5.9401999999999999</v>
      </c>
      <c r="AV576" s="346">
        <v>-0.78819999999999979</v>
      </c>
      <c r="AW576" s="346">
        <v>0.17479999999999996</v>
      </c>
      <c r="AX576" s="346">
        <v>-15.1335</v>
      </c>
      <c r="AY576" s="346">
        <v>5.4844000000000008</v>
      </c>
      <c r="AZ576" s="346">
        <v>-2.8403</v>
      </c>
      <c r="BA576" s="346">
        <v>27.045399999999997</v>
      </c>
      <c r="BB576" s="346">
        <v>0.25485000000000013</v>
      </c>
      <c r="BC576" s="346">
        <v>-2.4120499999999998</v>
      </c>
      <c r="BD576" s="346">
        <v>16.939349999999997</v>
      </c>
      <c r="BE576" s="346">
        <v>0.3079599999999999</v>
      </c>
      <c r="BF576" s="346">
        <v>-46.825299999999999</v>
      </c>
      <c r="BG576" s="346">
        <v>-2.1658000000000004</v>
      </c>
      <c r="BH576" s="346">
        <v>41.469000000000001</v>
      </c>
      <c r="BI576" s="346">
        <v>-29.6478</v>
      </c>
      <c r="BJ576" s="346">
        <v>31.784700000000001</v>
      </c>
      <c r="BK576" s="346">
        <v>-14.7141</v>
      </c>
      <c r="BL576" s="346">
        <v>-34.624499999999998</v>
      </c>
      <c r="BM576" s="346">
        <v>22.7043</v>
      </c>
      <c r="BN576" s="346">
        <v>-5.3937400000000002</v>
      </c>
      <c r="BO576" s="346">
        <v>-19.66197</v>
      </c>
      <c r="BP576" s="346">
        <v>36.031199999999998</v>
      </c>
      <c r="BQ576" s="346">
        <v>16.442199999999996</v>
      </c>
      <c r="BR576" s="346">
        <v>-55.916100000000007</v>
      </c>
      <c r="BS576" s="346">
        <v>35.2239</v>
      </c>
      <c r="BT576" s="346">
        <v>-3.8731</v>
      </c>
      <c r="BU576" s="346">
        <v>-17.4802</v>
      </c>
      <c r="BV576" s="346"/>
      <c r="BW576" s="346"/>
      <c r="BX576" s="346"/>
      <c r="BY576" s="346"/>
      <c r="BZ576" s="346"/>
      <c r="CA576" s="346"/>
      <c r="CB576" s="346"/>
      <c r="CC576" s="346"/>
      <c r="CD576" s="346"/>
      <c r="CE576" s="347">
        <f t="shared" ref="CE576:DJ576" si="387">CE259</f>
        <v>25.459926414999998</v>
      </c>
      <c r="CF576" s="346">
        <f t="shared" si="387"/>
        <v>-2.1916458300000095</v>
      </c>
      <c r="CG576" s="346">
        <f t="shared" si="387"/>
        <v>0.86049975999999662</v>
      </c>
      <c r="CH576" s="346">
        <f t="shared" si="387"/>
        <v>15.230367965000001</v>
      </c>
      <c r="CI576" s="346">
        <f t="shared" si="387"/>
        <v>-2.490232345000003</v>
      </c>
      <c r="CJ576" s="346">
        <f t="shared" si="387"/>
        <v>-44.462359226000011</v>
      </c>
      <c r="CK576" s="346">
        <f t="shared" si="387"/>
        <v>33.882002667999998</v>
      </c>
      <c r="CL576" s="346">
        <f t="shared" si="387"/>
        <v>1.5864573310000027</v>
      </c>
      <c r="CM576" s="346">
        <f t="shared" si="387"/>
        <v>-2.2788276409999981</v>
      </c>
      <c r="CN576" s="346">
        <f t="shared" si="387"/>
        <v>21.917290953999998</v>
      </c>
      <c r="CO576" s="346">
        <f t="shared" si="387"/>
        <v>15.121927161999997</v>
      </c>
      <c r="CP576" s="348">
        <f t="shared" si="387"/>
        <v>-77.886949827000009</v>
      </c>
      <c r="CQ576" s="346">
        <f t="shared" si="387"/>
        <v>43.993544946</v>
      </c>
      <c r="CR576" s="346">
        <f t="shared" si="387"/>
        <v>7.5001968780000023</v>
      </c>
      <c r="CS576" s="346">
        <f t="shared" si="387"/>
        <v>-8.1648560099999994</v>
      </c>
      <c r="CT576" s="346">
        <f t="shared" si="387"/>
        <v>7.7556771840000014</v>
      </c>
      <c r="CU576" s="346">
        <f t="shared" si="387"/>
        <v>13.614128800999996</v>
      </c>
      <c r="CV576" s="346">
        <f t="shared" si="387"/>
        <v>-15.375084401999995</v>
      </c>
      <c r="CW576" s="346">
        <f t="shared" si="387"/>
        <v>9.5578973139999999</v>
      </c>
      <c r="CX576" s="346">
        <f t="shared" si="387"/>
        <v>18.724819482000001</v>
      </c>
      <c r="CY576" s="346">
        <f t="shared" si="387"/>
        <v>-5.0054926209999993</v>
      </c>
      <c r="CZ576" s="346">
        <f t="shared" si="387"/>
        <v>34.482325734</v>
      </c>
      <c r="DA576" s="346">
        <f t="shared" si="387"/>
        <v>0.97493965699999618</v>
      </c>
      <c r="DB576" s="1479">
        <f t="shared" si="387"/>
        <v>-84.906245957999985</v>
      </c>
      <c r="DC576" s="346">
        <f t="shared" si="387"/>
        <v>45.051045941000005</v>
      </c>
      <c r="DD576" s="346">
        <f t="shared" si="387"/>
        <v>2.4522030739999972</v>
      </c>
      <c r="DE576" s="346">
        <f t="shared" si="387"/>
        <v>-11.525068235999996</v>
      </c>
      <c r="DF576" s="346">
        <f t="shared" si="387"/>
        <v>24.155134145999995</v>
      </c>
      <c r="DG576" s="346">
        <f t="shared" si="387"/>
        <v>4.7692401899999961</v>
      </c>
      <c r="DH576" s="346">
        <f t="shared" si="387"/>
        <v>-50.081889140000001</v>
      </c>
      <c r="DI576" s="346">
        <f t="shared" si="387"/>
        <v>39.04344991899999</v>
      </c>
      <c r="DJ576" s="346">
        <f t="shared" si="387"/>
        <v>-12.661360148</v>
      </c>
      <c r="DK576" s="346">
        <f t="shared" ref="DK576:EP576" si="388">DK259</f>
        <v>2.5686521749999995</v>
      </c>
      <c r="DL576" s="346">
        <f t="shared" si="388"/>
        <v>8.1482137590000008</v>
      </c>
      <c r="DM576" s="346">
        <f t="shared" si="388"/>
        <v>27.100130161999999</v>
      </c>
      <c r="DN576" s="348">
        <f t="shared" si="388"/>
        <v>-106.637777396</v>
      </c>
      <c r="DO576" s="346">
        <f t="shared" si="388"/>
        <v>5.7541547349999931</v>
      </c>
      <c r="DP576" s="346">
        <f t="shared" si="388"/>
        <v>67.927479993000006</v>
      </c>
      <c r="DQ576" s="346">
        <f t="shared" si="388"/>
        <v>-6.7416281189999925</v>
      </c>
      <c r="DR576" s="346">
        <f t="shared" si="388"/>
        <v>22.302948236000002</v>
      </c>
      <c r="DS576" s="346">
        <f t="shared" si="388"/>
        <v>1.6517766149999982</v>
      </c>
      <c r="DT576" s="346">
        <f t="shared" si="388"/>
        <v>-103.077576081</v>
      </c>
      <c r="DU576" s="346">
        <f t="shared" si="388"/>
        <v>72.040236409999991</v>
      </c>
      <c r="DV576" s="346">
        <f t="shared" si="388"/>
        <v>3.8685099279999964</v>
      </c>
      <c r="DW576" s="346">
        <f t="shared" si="388"/>
        <v>-51.810127059000003</v>
      </c>
      <c r="DX576" s="346">
        <f t="shared" si="388"/>
        <v>88.399945051999993</v>
      </c>
      <c r="DY576" s="346">
        <f t="shared" si="388"/>
        <v>18.782829167999999</v>
      </c>
      <c r="DZ576" s="348">
        <f t="shared" si="388"/>
        <v>-79.13331905199999</v>
      </c>
      <c r="EA576" s="346">
        <f t="shared" si="388"/>
        <v>50.555999823000001</v>
      </c>
      <c r="EB576" s="346">
        <f t="shared" si="388"/>
        <v>28.586233752000005</v>
      </c>
      <c r="EC576" s="346">
        <f t="shared" si="388"/>
        <v>27.044963971000001</v>
      </c>
      <c r="ED576" s="346">
        <f t="shared" si="388"/>
        <v>0.725604204999998</v>
      </c>
      <c r="EE576" s="346">
        <f t="shared" si="388"/>
        <v>5.2141258529999961</v>
      </c>
      <c r="EF576" s="346">
        <f t="shared" si="388"/>
        <v>-77.150921148000023</v>
      </c>
      <c r="EG576" s="346">
        <f t="shared" si="388"/>
        <v>19.283678564999999</v>
      </c>
      <c r="EH576" s="346">
        <f t="shared" si="388"/>
        <v>11.539384766000001</v>
      </c>
      <c r="EI576" s="346">
        <f t="shared" si="388"/>
        <v>-13.339600471000001</v>
      </c>
      <c r="EJ576" s="346">
        <f t="shared" si="388"/>
        <v>40.832480689</v>
      </c>
      <c r="EK576" s="346">
        <f t="shared" si="388"/>
        <v>1.1411995740000016</v>
      </c>
      <c r="EL576" s="348">
        <f t="shared" si="388"/>
        <v>-119.494381867</v>
      </c>
      <c r="EM576" s="346">
        <f t="shared" si="388"/>
        <v>20.906582503999996</v>
      </c>
      <c r="EN576" s="346">
        <f t="shared" si="388"/>
        <v>38.534375723000025</v>
      </c>
      <c r="EO576" s="346">
        <f t="shared" si="388"/>
        <v>1.7081313110000025</v>
      </c>
      <c r="EP576" s="346">
        <f t="shared" si="388"/>
        <v>40.776698555999999</v>
      </c>
      <c r="EQ576" s="346">
        <f t="shared" ref="EQ576:EX576" si="389">EQ259</f>
        <v>62.199166380000008</v>
      </c>
      <c r="ER576" s="346">
        <f t="shared" si="389"/>
        <v>-111.86544021499999</v>
      </c>
      <c r="ES576" s="346">
        <f t="shared" si="389"/>
        <v>-53.196056255000009</v>
      </c>
      <c r="ET576" s="346">
        <f t="shared" si="389"/>
        <v>-4.1803346760000011</v>
      </c>
      <c r="EU576" s="346">
        <f t="shared" si="389"/>
        <v>48.686548283999997</v>
      </c>
      <c r="EV576" s="346">
        <f t="shared" si="389"/>
        <v>66.64271675900001</v>
      </c>
      <c r="EW576" s="346">
        <f t="shared" si="389"/>
        <v>99.212840006999997</v>
      </c>
      <c r="EX576" s="348">
        <f t="shared" si="389"/>
        <v>-154.30260818600001</v>
      </c>
      <c r="EY576" s="346"/>
      <c r="EZ576" s="346"/>
      <c r="FA576" s="346"/>
      <c r="FB576" s="346"/>
      <c r="FC576" s="346"/>
      <c r="FD576" s="346"/>
      <c r="FE576" s="346"/>
      <c r="FF576" s="346"/>
      <c r="FG576" s="346"/>
      <c r="FH576" s="346"/>
      <c r="FI576" s="346"/>
      <c r="FJ576" s="348"/>
      <c r="FK576" s="346"/>
      <c r="FL576" s="346"/>
      <c r="FM576" s="346"/>
      <c r="FN576" s="346"/>
      <c r="FO576" s="346"/>
      <c r="FP576" s="346"/>
      <c r="FQ576" s="346"/>
      <c r="FR576" s="346"/>
      <c r="FS576" s="346"/>
      <c r="FT576" s="346"/>
      <c r="FU576" s="346"/>
      <c r="FV576" s="346"/>
      <c r="FW576" s="346"/>
      <c r="FX576" s="346"/>
      <c r="FY576" s="346"/>
      <c r="FZ576" s="346"/>
      <c r="GA576" s="346"/>
      <c r="GB576" s="346"/>
      <c r="GC576" s="346"/>
      <c r="GD576" s="346"/>
      <c r="GE576" s="346"/>
      <c r="GF576" s="346"/>
      <c r="GG576" s="346"/>
      <c r="GH576" s="346"/>
      <c r="GI576" s="346"/>
      <c r="GJ576" s="346"/>
      <c r="GK576" s="346"/>
      <c r="GL576" s="346"/>
      <c r="GM576" s="346"/>
      <c r="GN576" s="346"/>
      <c r="GO576" s="346"/>
      <c r="GP576" s="346"/>
      <c r="GQ576" s="346"/>
      <c r="GR576" s="346"/>
      <c r="GS576" s="346"/>
      <c r="GT576" s="346"/>
      <c r="GU576" s="346"/>
      <c r="GV576" s="346"/>
      <c r="GW576" s="346"/>
      <c r="GX576" s="346"/>
      <c r="GY576" s="346"/>
      <c r="GZ576" s="346"/>
      <c r="HA576" s="346"/>
      <c r="HB576" s="346"/>
      <c r="HC576" s="346"/>
      <c r="HD576" s="346"/>
      <c r="HE576" s="346"/>
      <c r="HF576" s="346"/>
      <c r="HG576" s="346"/>
      <c r="HH576" s="346"/>
      <c r="HI576" s="346"/>
      <c r="HJ576" s="346"/>
      <c r="HK576" s="346"/>
      <c r="HL576" s="346"/>
      <c r="HM576" s="346"/>
      <c r="HN576" s="349"/>
      <c r="HO576" s="351" t="s">
        <v>35</v>
      </c>
      <c r="HP576" s="351"/>
      <c r="HQ576" s="351"/>
      <c r="HR576" s="346">
        <f>+FISC!Z801</f>
        <v>5</v>
      </c>
      <c r="HS576" s="302">
        <f>SUM(CQ576:CV576)</f>
        <v>49.323607397000004</v>
      </c>
      <c r="HT576" s="302">
        <f>SUM(CW576:DB576)</f>
        <v>-26.171756391999992</v>
      </c>
      <c r="HU576" s="346">
        <f>SUM(CQ576:DB576)</f>
        <v>23.151851005000012</v>
      </c>
      <c r="HV576" s="302">
        <f>+SUM(DC576:DH576)</f>
        <v>14.820665974999997</v>
      </c>
      <c r="HW576" s="302">
        <f>+SUM(DI576:DN576)</f>
        <v>-42.43869152900001</v>
      </c>
      <c r="HX576" s="346">
        <f>HV576+HW576</f>
        <v>-27.618025554000013</v>
      </c>
      <c r="HY576" s="302">
        <f>+SUM(DO576:DT576)</f>
        <v>-12.182844620999987</v>
      </c>
      <c r="HZ576" s="302">
        <f>SUM(DU576:DZ576)</f>
        <v>52.148074446999999</v>
      </c>
      <c r="IA576" s="346">
        <f t="shared" si="297"/>
        <v>39.965229826000012</v>
      </c>
      <c r="IB576" s="302">
        <v>34.976006456</v>
      </c>
      <c r="IC576" s="302">
        <f>+ID576-IB576</f>
        <v>-60.037238744000014</v>
      </c>
      <c r="ID576" s="346">
        <f>FISC!AC801</f>
        <v>-25.061232288000014</v>
      </c>
      <c r="IE576" s="302">
        <f t="shared" si="342"/>
        <v>52.259514259000056</v>
      </c>
      <c r="IF576" s="302">
        <f t="shared" si="343"/>
        <v>2.8631059329999857</v>
      </c>
      <c r="IG576" s="346">
        <f t="shared" si="384"/>
        <v>55.122620192000042</v>
      </c>
      <c r="IH576" s="638">
        <f>IJ576/2*0+66.228221879</f>
        <v>66.228221879000003</v>
      </c>
      <c r="II576" s="579">
        <f>+IJ576-IH576</f>
        <v>-121.32822187900001</v>
      </c>
      <c r="IJ576" s="346">
        <f>+FISC!AE801</f>
        <v>-55.1</v>
      </c>
      <c r="IK576" s="638" t="e">
        <f>IM576/2*0+#REF!</f>
        <v>#REF!</v>
      </c>
      <c r="IL576" s="302" t="e">
        <f t="shared" si="280"/>
        <v>#REF!</v>
      </c>
      <c r="IM576" s="346">
        <f>+FISC!AF801</f>
        <v>-35.228921278959099</v>
      </c>
      <c r="IN576" s="638" t="e">
        <f>IP576/2*0+#REF!</f>
        <v>#REF!</v>
      </c>
      <c r="IO576" s="302" t="e">
        <f t="shared" si="334"/>
        <v>#REF!</v>
      </c>
      <c r="IP576" s="346">
        <f>+FISC!AG801</f>
        <v>-40</v>
      </c>
      <c r="IQ576" s="638">
        <f>IS576/2</f>
        <v>-20</v>
      </c>
      <c r="IR576" s="302">
        <f t="shared" si="281"/>
        <v>-20</v>
      </c>
      <c r="IS576" s="346">
        <f>+FISC!AH801</f>
        <v>-40</v>
      </c>
      <c r="IT576" s="638">
        <f>IV576/2</f>
        <v>-20</v>
      </c>
      <c r="IU576" s="302">
        <f t="shared" si="282"/>
        <v>-20</v>
      </c>
      <c r="IV576" s="346">
        <f>+FISC!AI801</f>
        <v>-40</v>
      </c>
      <c r="IW576" s="638">
        <f>IY576/2</f>
        <v>-20</v>
      </c>
      <c r="IX576" s="302">
        <f t="shared" si="283"/>
        <v>-20</v>
      </c>
      <c r="IY576" s="346">
        <f>+FISC!AJ801</f>
        <v>-40</v>
      </c>
      <c r="IZ576" s="638">
        <f>JB576/2</f>
        <v>-20</v>
      </c>
      <c r="JA576" s="302">
        <f t="shared" si="284"/>
        <v>-20</v>
      </c>
      <c r="JB576" s="346">
        <f>+FISC!AK801</f>
        <v>-40</v>
      </c>
      <c r="JC576" s="346"/>
      <c r="KI576" s="349"/>
      <c r="KJ576" s="350"/>
    </row>
    <row r="577" spans="1:302">
      <c r="A577" s="302"/>
      <c r="D577" s="353"/>
      <c r="E577" s="346"/>
      <c r="F577" s="346"/>
      <c r="G577" s="346"/>
      <c r="H577" s="346"/>
      <c r="I577" s="346"/>
      <c r="J577" s="346"/>
      <c r="K577" s="346"/>
      <c r="L577" s="346"/>
      <c r="M577" s="346"/>
      <c r="N577" s="346"/>
      <c r="O577" s="346"/>
      <c r="P577" s="346"/>
      <c r="Q577" s="346"/>
      <c r="R577" s="346"/>
      <c r="S577" s="346"/>
      <c r="T577" s="346"/>
      <c r="U577" s="346"/>
      <c r="V577" s="346"/>
      <c r="W577" s="346"/>
      <c r="X577" s="346"/>
      <c r="Y577" s="346"/>
      <c r="Z577" s="346"/>
      <c r="AA577" s="346"/>
      <c r="AB577" s="346"/>
      <c r="AC577" s="346"/>
      <c r="AD577" s="346"/>
      <c r="AE577" s="346"/>
      <c r="AF577" s="346"/>
      <c r="AG577" s="346"/>
      <c r="AH577" s="346"/>
      <c r="AI577" s="346"/>
      <c r="AJ577" s="346"/>
      <c r="AK577" s="346"/>
      <c r="AL577" s="346"/>
      <c r="AM577" s="346"/>
      <c r="AN577" s="346"/>
      <c r="AO577" s="346"/>
      <c r="AP577" s="346"/>
      <c r="AQ577" s="346"/>
      <c r="AR577" s="346"/>
      <c r="AS577" s="346"/>
      <c r="AT577" s="346"/>
      <c r="AU577" s="346"/>
      <c r="AV577" s="346"/>
      <c r="AW577" s="346"/>
      <c r="AX577" s="346"/>
      <c r="AY577" s="346"/>
      <c r="AZ577" s="346"/>
      <c r="BA577" s="346"/>
      <c r="BB577" s="346"/>
      <c r="BC577" s="346"/>
      <c r="BD577" s="346"/>
      <c r="BE577" s="346"/>
      <c r="BF577" s="346"/>
      <c r="BG577" s="346"/>
      <c r="BH577" s="346"/>
      <c r="BI577" s="346"/>
      <c r="BJ577" s="346"/>
      <c r="BK577" s="346"/>
      <c r="BL577" s="346"/>
      <c r="BM577" s="346"/>
      <c r="BN577" s="346"/>
      <c r="BO577" s="346"/>
      <c r="BP577" s="346"/>
      <c r="BQ577" s="346"/>
      <c r="BR577" s="346"/>
      <c r="BS577" s="346"/>
      <c r="BT577" s="346"/>
      <c r="BU577" s="346"/>
      <c r="BV577" s="346"/>
      <c r="BW577" s="346"/>
      <c r="BX577" s="346"/>
      <c r="BY577" s="346"/>
      <c r="BZ577" s="346"/>
      <c r="CA577" s="346"/>
      <c r="CB577" s="346"/>
      <c r="CC577" s="346"/>
      <c r="CD577" s="346"/>
      <c r="CE577" s="347"/>
      <c r="CF577" s="346"/>
      <c r="CG577" s="346"/>
      <c r="CH577" s="346"/>
      <c r="CI577" s="346"/>
      <c r="CJ577" s="346"/>
      <c r="CK577" s="346"/>
      <c r="CL577" s="346"/>
      <c r="CM577" s="346"/>
      <c r="CN577" s="346"/>
      <c r="CO577" s="346"/>
      <c r="CP577" s="348"/>
      <c r="CQ577" s="346"/>
      <c r="CR577" s="346"/>
      <c r="CS577" s="346"/>
      <c r="CT577" s="346"/>
      <c r="CU577" s="346"/>
      <c r="CV577" s="346"/>
      <c r="CW577" s="346"/>
      <c r="CX577" s="346"/>
      <c r="CY577" s="346"/>
      <c r="CZ577" s="346"/>
      <c r="DA577" s="346"/>
      <c r="DB577" s="1479"/>
      <c r="DC577" s="346"/>
      <c r="DD577" s="346"/>
      <c r="DE577" s="346"/>
      <c r="DF577" s="346"/>
      <c r="DG577" s="346"/>
      <c r="DH577" s="346"/>
      <c r="DI577" s="346"/>
      <c r="DJ577" s="346"/>
      <c r="DK577" s="346"/>
      <c r="DL577" s="346"/>
      <c r="DM577" s="346"/>
      <c r="DN577" s="348"/>
      <c r="DO577" s="346"/>
      <c r="DP577" s="346"/>
      <c r="DQ577" s="346"/>
      <c r="DR577" s="346"/>
      <c r="DS577" s="346"/>
      <c r="DT577" s="346"/>
      <c r="DU577" s="346"/>
      <c r="DV577" s="346"/>
      <c r="DW577" s="346"/>
      <c r="DX577" s="346"/>
      <c r="DY577" s="346"/>
      <c r="DZ577" s="348"/>
      <c r="EA577" s="346"/>
      <c r="EB577" s="346"/>
      <c r="EC577" s="346"/>
      <c r="ED577" s="346"/>
      <c r="EE577" s="346"/>
      <c r="EF577" s="346"/>
      <c r="EG577" s="346"/>
      <c r="EH577" s="346"/>
      <c r="EI577" s="346"/>
      <c r="EJ577" s="346"/>
      <c r="EK577" s="346"/>
      <c r="EL577" s="348"/>
      <c r="EM577" s="346"/>
      <c r="EN577" s="346"/>
      <c r="EO577" s="346"/>
      <c r="EP577" s="346"/>
      <c r="EQ577" s="346"/>
      <c r="ER577" s="346"/>
      <c r="ES577" s="346"/>
      <c r="ET577" s="346"/>
      <c r="EU577" s="346"/>
      <c r="EV577" s="346"/>
      <c r="EW577" s="346"/>
      <c r="EX577" s="348"/>
      <c r="EY577" s="346"/>
      <c r="EZ577" s="346"/>
      <c r="FA577" s="346"/>
      <c r="FB577" s="346"/>
      <c r="FC577" s="346"/>
      <c r="FD577" s="346"/>
      <c r="FE577" s="346"/>
      <c r="FF577" s="346"/>
      <c r="FG577" s="346"/>
      <c r="FH577" s="346"/>
      <c r="FI577" s="346"/>
      <c r="FJ577" s="348"/>
      <c r="FK577" s="346"/>
      <c r="FL577" s="346"/>
      <c r="FM577" s="346"/>
      <c r="FN577" s="346"/>
      <c r="FO577" s="346"/>
      <c r="FP577" s="346"/>
      <c r="FQ577" s="346"/>
      <c r="FR577" s="346"/>
      <c r="FS577" s="346"/>
      <c r="FT577" s="346"/>
      <c r="FU577" s="346"/>
      <c r="FV577" s="346"/>
      <c r="FW577" s="346"/>
      <c r="FX577" s="346"/>
      <c r="FY577" s="346"/>
      <c r="FZ577" s="346"/>
      <c r="GA577" s="346"/>
      <c r="GB577" s="346"/>
      <c r="GC577" s="346"/>
      <c r="GD577" s="346"/>
      <c r="GE577" s="346"/>
      <c r="GF577" s="346"/>
      <c r="GG577" s="346"/>
      <c r="GH577" s="346"/>
      <c r="GI577" s="346"/>
      <c r="GJ577" s="346"/>
      <c r="GK577" s="346"/>
      <c r="GL577" s="346"/>
      <c r="GM577" s="346"/>
      <c r="GN577" s="346"/>
      <c r="GO577" s="346"/>
      <c r="GP577" s="346"/>
      <c r="GQ577" s="346"/>
      <c r="GR577" s="346"/>
      <c r="GS577" s="346"/>
      <c r="GT577" s="346"/>
      <c r="GU577" s="346"/>
      <c r="GV577" s="346"/>
      <c r="GW577" s="346"/>
      <c r="GX577" s="346"/>
      <c r="GY577" s="346"/>
      <c r="GZ577" s="346"/>
      <c r="HA577" s="346"/>
      <c r="HB577" s="346"/>
      <c r="HC577" s="346"/>
      <c r="HD577" s="346"/>
      <c r="HE577" s="346"/>
      <c r="HF577" s="346"/>
      <c r="HG577" s="346"/>
      <c r="HH577" s="346"/>
      <c r="HI577" s="346"/>
      <c r="HJ577" s="346"/>
      <c r="HK577" s="346"/>
      <c r="HL577" s="346"/>
      <c r="HM577" s="346"/>
      <c r="HN577" s="349"/>
      <c r="HO577" s="353"/>
      <c r="HP577" s="353"/>
      <c r="HQ577" s="353"/>
      <c r="HR577" s="346"/>
      <c r="HU577" s="346"/>
      <c r="HX577" s="346"/>
      <c r="IA577" s="346"/>
      <c r="IC577" s="350"/>
      <c r="ID577" s="346"/>
      <c r="IG577" s="346"/>
      <c r="IH577" s="350"/>
      <c r="II577" s="350"/>
      <c r="IJ577" s="346">
        <f>+FISC!AE802</f>
        <v>0</v>
      </c>
      <c r="IK577" s="302">
        <f>IM577*JI577</f>
        <v>0</v>
      </c>
      <c r="IL577" s="302">
        <f t="shared" si="280"/>
        <v>0</v>
      </c>
      <c r="IM577" s="346">
        <f>+FISC!AF802</f>
        <v>0</v>
      </c>
      <c r="IN577" s="302">
        <f t="shared" si="292"/>
        <v>0</v>
      </c>
      <c r="IO577" s="302">
        <f t="shared" si="334"/>
        <v>0</v>
      </c>
      <c r="IP577" s="346">
        <f>+FISC!AG802</f>
        <v>0</v>
      </c>
      <c r="IQ577" s="302">
        <f t="shared" si="293"/>
        <v>0</v>
      </c>
      <c r="IR577" s="302">
        <f t="shared" si="281"/>
        <v>0</v>
      </c>
      <c r="IS577" s="346">
        <f>+FISC!AH802</f>
        <v>0</v>
      </c>
      <c r="IT577" s="302">
        <f t="shared" si="294"/>
        <v>0</v>
      </c>
      <c r="IU577" s="302">
        <f t="shared" si="282"/>
        <v>0</v>
      </c>
      <c r="IV577" s="346">
        <f>+FISC!AI802</f>
        <v>0</v>
      </c>
      <c r="IW577" s="302">
        <f t="shared" si="295"/>
        <v>0</v>
      </c>
      <c r="IX577" s="302">
        <f t="shared" si="283"/>
        <v>0</v>
      </c>
      <c r="IY577" s="346">
        <f>+FISC!AJ802</f>
        <v>0</v>
      </c>
      <c r="IZ577" s="302">
        <f t="shared" si="296"/>
        <v>0</v>
      </c>
      <c r="JA577" s="302">
        <f t="shared" si="284"/>
        <v>0</v>
      </c>
      <c r="JB577" s="346">
        <f>+FISC!AK802</f>
        <v>0</v>
      </c>
      <c r="JC577" s="346"/>
      <c r="KI577" s="349"/>
      <c r="KJ577" s="350"/>
    </row>
    <row r="578" spans="1:302">
      <c r="A578" s="302"/>
      <c r="B578" s="117" t="s">
        <v>361</v>
      </c>
      <c r="D578" s="345" t="str">
        <f>+FISC!D803</f>
        <v>Overall Deficit (cash basis)</v>
      </c>
      <c r="E578" s="346"/>
      <c r="F578" s="346"/>
      <c r="G578" s="346"/>
      <c r="H578" s="346"/>
      <c r="I578" s="346"/>
      <c r="J578" s="346"/>
      <c r="K578" s="346"/>
      <c r="L578" s="346"/>
      <c r="M578" s="346"/>
      <c r="N578" s="346"/>
      <c r="O578" s="346"/>
      <c r="P578" s="346"/>
      <c r="Q578" s="346"/>
      <c r="R578" s="346"/>
      <c r="S578" s="346"/>
      <c r="T578" s="346"/>
      <c r="U578" s="346"/>
      <c r="V578" s="346"/>
      <c r="W578" s="346"/>
      <c r="X578" s="346"/>
      <c r="Y578" s="346"/>
      <c r="Z578" s="346"/>
      <c r="AA578" s="346"/>
      <c r="AB578" s="346"/>
      <c r="AC578" s="346"/>
      <c r="AD578" s="346"/>
      <c r="AE578" s="346"/>
      <c r="AF578" s="346"/>
      <c r="AG578" s="346"/>
      <c r="AH578" s="346"/>
      <c r="AI578" s="346"/>
      <c r="AJ578" s="346"/>
      <c r="AK578" s="346"/>
      <c r="AL578" s="346"/>
      <c r="AM578" s="346"/>
      <c r="AN578" s="346"/>
      <c r="AO578" s="346"/>
      <c r="AP578" s="346"/>
      <c r="AQ578" s="346"/>
      <c r="AR578" s="346"/>
      <c r="AS578" s="346"/>
      <c r="AT578" s="346"/>
      <c r="AU578" s="346"/>
      <c r="AV578" s="346"/>
      <c r="AW578" s="346"/>
      <c r="AX578" s="346"/>
      <c r="AY578" s="346"/>
      <c r="AZ578" s="346"/>
      <c r="BA578" s="346"/>
      <c r="BB578" s="346"/>
      <c r="BC578" s="346"/>
      <c r="BD578" s="346"/>
      <c r="BE578" s="346"/>
      <c r="BF578" s="346"/>
      <c r="BG578" s="346"/>
      <c r="BH578" s="346"/>
      <c r="BI578" s="346"/>
      <c r="BJ578" s="346"/>
      <c r="BK578" s="346"/>
      <c r="BL578" s="346"/>
      <c r="BM578" s="346"/>
      <c r="BN578" s="346"/>
      <c r="BO578" s="346"/>
      <c r="BP578" s="346"/>
      <c r="BQ578" s="346"/>
      <c r="BR578" s="346"/>
      <c r="BS578" s="346"/>
      <c r="BT578" s="346"/>
      <c r="BU578" s="346"/>
      <c r="BV578" s="346"/>
      <c r="BW578" s="346"/>
      <c r="BX578" s="346"/>
      <c r="BY578" s="346"/>
      <c r="BZ578" s="346"/>
      <c r="CA578" s="346"/>
      <c r="CB578" s="346"/>
      <c r="CC578" s="346"/>
      <c r="CD578" s="346"/>
      <c r="CE578" s="347"/>
      <c r="CF578" s="346"/>
      <c r="CG578" s="346"/>
      <c r="CH578" s="346"/>
      <c r="CI578" s="346"/>
      <c r="CJ578" s="346"/>
      <c r="CK578" s="346"/>
      <c r="CL578" s="346"/>
      <c r="CM578" s="346"/>
      <c r="CN578" s="346"/>
      <c r="CO578" s="346"/>
      <c r="CP578" s="348"/>
      <c r="CQ578" s="346"/>
      <c r="CR578" s="346"/>
      <c r="CS578" s="346"/>
      <c r="CT578" s="346"/>
      <c r="CU578" s="346"/>
      <c r="CV578" s="346"/>
      <c r="CW578" s="346"/>
      <c r="CX578" s="346"/>
      <c r="CY578" s="346"/>
      <c r="CZ578" s="346"/>
      <c r="DA578" s="346"/>
      <c r="DB578" s="1479"/>
      <c r="DC578" s="346"/>
      <c r="DD578" s="346"/>
      <c r="DE578" s="346"/>
      <c r="DF578" s="346"/>
      <c r="DG578" s="346"/>
      <c r="DH578" s="346"/>
      <c r="DI578" s="346"/>
      <c r="DJ578" s="346"/>
      <c r="DK578" s="346"/>
      <c r="DL578" s="346"/>
      <c r="DM578" s="346"/>
      <c r="DN578" s="348"/>
      <c r="DO578" s="346"/>
      <c r="DP578" s="346"/>
      <c r="DQ578" s="346"/>
      <c r="DR578" s="346"/>
      <c r="DS578" s="346"/>
      <c r="DT578" s="346"/>
      <c r="DU578" s="346"/>
      <c r="DV578" s="346"/>
      <c r="DW578" s="346"/>
      <c r="DX578" s="346"/>
      <c r="DY578" s="346"/>
      <c r="DZ578" s="348"/>
      <c r="EA578" s="346"/>
      <c r="EB578" s="346"/>
      <c r="EC578" s="346"/>
      <c r="ED578" s="346"/>
      <c r="EE578" s="346"/>
      <c r="EF578" s="346"/>
      <c r="EG578" s="346"/>
      <c r="EH578" s="346"/>
      <c r="EI578" s="346"/>
      <c r="EJ578" s="346"/>
      <c r="EK578" s="346"/>
      <c r="EL578" s="348"/>
      <c r="EM578" s="346"/>
      <c r="EN578" s="346"/>
      <c r="EO578" s="346"/>
      <c r="EP578" s="346"/>
      <c r="EQ578" s="346"/>
      <c r="ER578" s="346"/>
      <c r="ES578" s="346"/>
      <c r="ET578" s="346"/>
      <c r="EU578" s="346"/>
      <c r="EV578" s="346"/>
      <c r="EW578" s="346"/>
      <c r="EX578" s="348"/>
      <c r="EY578" s="346"/>
      <c r="EZ578" s="346"/>
      <c r="FA578" s="346"/>
      <c r="FB578" s="346"/>
      <c r="FC578" s="346"/>
      <c r="FD578" s="346"/>
      <c r="FE578" s="346"/>
      <c r="FF578" s="346"/>
      <c r="FG578" s="346"/>
      <c r="FH578" s="346"/>
      <c r="FI578" s="346"/>
      <c r="FJ578" s="348"/>
      <c r="FK578" s="346"/>
      <c r="FL578" s="346"/>
      <c r="FM578" s="346"/>
      <c r="FN578" s="346"/>
      <c r="FO578" s="346"/>
      <c r="FP578" s="346"/>
      <c r="FQ578" s="346"/>
      <c r="FR578" s="346"/>
      <c r="FS578" s="346"/>
      <c r="FT578" s="346"/>
      <c r="FU578" s="346"/>
      <c r="FV578" s="346"/>
      <c r="FW578" s="346"/>
      <c r="FX578" s="346"/>
      <c r="FY578" s="346"/>
      <c r="FZ578" s="346"/>
      <c r="GA578" s="346"/>
      <c r="GB578" s="346"/>
      <c r="GC578" s="346"/>
      <c r="GD578" s="346"/>
      <c r="GE578" s="346"/>
      <c r="GF578" s="346"/>
      <c r="GG578" s="346"/>
      <c r="GH578" s="346"/>
      <c r="GI578" s="346"/>
      <c r="GJ578" s="346"/>
      <c r="GK578" s="346"/>
      <c r="GL578" s="346"/>
      <c r="GM578" s="346"/>
      <c r="GN578" s="346"/>
      <c r="GO578" s="346"/>
      <c r="GP578" s="346"/>
      <c r="GQ578" s="346"/>
      <c r="GR578" s="346"/>
      <c r="GS578" s="346"/>
      <c r="GT578" s="346"/>
      <c r="GU578" s="346"/>
      <c r="GV578" s="346"/>
      <c r="GW578" s="346"/>
      <c r="GX578" s="346"/>
      <c r="GY578" s="346"/>
      <c r="GZ578" s="346"/>
      <c r="HA578" s="346"/>
      <c r="HB578" s="346"/>
      <c r="HC578" s="346"/>
      <c r="HD578" s="346"/>
      <c r="HE578" s="346"/>
      <c r="HF578" s="346"/>
      <c r="HG578" s="346"/>
      <c r="HH578" s="346"/>
      <c r="HI578" s="346"/>
      <c r="HJ578" s="346"/>
      <c r="HK578" s="346"/>
      <c r="HL578" s="346"/>
      <c r="HM578" s="346"/>
      <c r="HN578" s="349"/>
      <c r="HO578" s="345" t="s">
        <v>180</v>
      </c>
      <c r="HP578" s="345"/>
      <c r="HQ578" s="345"/>
      <c r="HR578" s="346"/>
      <c r="HU578" s="346"/>
      <c r="HX578" s="346"/>
      <c r="IA578" s="346"/>
      <c r="IC578" s="350"/>
      <c r="ID578" s="346"/>
      <c r="IG578" s="346"/>
      <c r="IH578" s="350"/>
      <c r="II578" s="350"/>
      <c r="IJ578" s="346">
        <f>+FISC!AE803</f>
        <v>0</v>
      </c>
      <c r="IK578" s="302">
        <f>IM578*JI578</f>
        <v>0</v>
      </c>
      <c r="IL578" s="302">
        <f t="shared" si="280"/>
        <v>0</v>
      </c>
      <c r="IM578" s="346">
        <f>+FISC!AF803</f>
        <v>0</v>
      </c>
      <c r="IN578" s="302">
        <f t="shared" si="292"/>
        <v>0</v>
      </c>
      <c r="IO578" s="302">
        <f t="shared" si="334"/>
        <v>0</v>
      </c>
      <c r="IP578" s="346">
        <f>+FISC!AG803</f>
        <v>0</v>
      </c>
      <c r="IQ578" s="302">
        <f t="shared" si="293"/>
        <v>0</v>
      </c>
      <c r="IR578" s="302">
        <f t="shared" si="281"/>
        <v>0</v>
      </c>
      <c r="IS578" s="346">
        <f>+FISC!AH803</f>
        <v>0</v>
      </c>
      <c r="IT578" s="302">
        <f t="shared" si="294"/>
        <v>0</v>
      </c>
      <c r="IU578" s="302">
        <f t="shared" si="282"/>
        <v>0</v>
      </c>
      <c r="IV578" s="346">
        <f>+FISC!AI803</f>
        <v>0</v>
      </c>
      <c r="IW578" s="302">
        <f t="shared" si="295"/>
        <v>0</v>
      </c>
      <c r="IX578" s="302">
        <f t="shared" si="283"/>
        <v>0</v>
      </c>
      <c r="IY578" s="346">
        <f>+FISC!AJ803</f>
        <v>0</v>
      </c>
      <c r="IZ578" s="302">
        <f t="shared" si="296"/>
        <v>0</v>
      </c>
      <c r="JA578" s="302">
        <f t="shared" si="284"/>
        <v>0</v>
      </c>
      <c r="JB578" s="346">
        <f>+FISC!AK803</f>
        <v>0</v>
      </c>
      <c r="JC578" s="346"/>
      <c r="KI578" s="349"/>
      <c r="KJ578" s="350"/>
    </row>
    <row r="579" spans="1:302">
      <c r="A579" s="302"/>
      <c r="B579" s="117" t="s">
        <v>361</v>
      </c>
      <c r="D579" s="351" t="str">
        <f>+FISC!D804</f>
        <v>Including grants</v>
      </c>
      <c r="E579" s="346">
        <f t="shared" ref="E579:BP579" si="390">E572+E576</f>
        <v>-2.8905248749041235</v>
      </c>
      <c r="F579" s="346">
        <f t="shared" si="390"/>
        <v>-9.2662870787199978</v>
      </c>
      <c r="G579" s="346">
        <f t="shared" si="390"/>
        <v>-21.914282177032497</v>
      </c>
      <c r="H579" s="346">
        <f t="shared" si="390"/>
        <v>-5.9711837731282724</v>
      </c>
      <c r="I579" s="346">
        <f t="shared" si="390"/>
        <v>18.141896618102002</v>
      </c>
      <c r="J579" s="346">
        <f t="shared" si="390"/>
        <v>44.969706188274117</v>
      </c>
      <c r="K579" s="346">
        <f t="shared" si="390"/>
        <v>-14.536695140326309</v>
      </c>
      <c r="L579" s="346">
        <f t="shared" si="390"/>
        <v>-4.9226736018496027</v>
      </c>
      <c r="M579" s="346">
        <f t="shared" si="390"/>
        <v>-25.195262831884001</v>
      </c>
      <c r="N579" s="346">
        <f t="shared" si="390"/>
        <v>-11.605301761740007</v>
      </c>
      <c r="O579" s="346">
        <f t="shared" si="390"/>
        <v>-5.5630141200999947</v>
      </c>
      <c r="P579" s="346">
        <f t="shared" si="390"/>
        <v>-0.30726643007999854</v>
      </c>
      <c r="Q579" s="346">
        <f t="shared" si="390"/>
        <v>4.4744952606083945</v>
      </c>
      <c r="R579" s="346">
        <f t="shared" si="390"/>
        <v>-14.044022172342702</v>
      </c>
      <c r="S579" s="346">
        <f t="shared" si="390"/>
        <v>28.116088515274988</v>
      </c>
      <c r="T579" s="346">
        <f t="shared" si="390"/>
        <v>-25.834328408264</v>
      </c>
      <c r="U579" s="346">
        <f t="shared" si="390"/>
        <v>17.091404588344506</v>
      </c>
      <c r="V579" s="346">
        <f t="shared" si="390"/>
        <v>34.327745121608004</v>
      </c>
      <c r="W579" s="346">
        <f t="shared" si="390"/>
        <v>-18.315702368349999</v>
      </c>
      <c r="X579" s="346">
        <f t="shared" si="390"/>
        <v>-6.6605162444080044</v>
      </c>
      <c r="Y579" s="346">
        <f t="shared" si="390"/>
        <v>-13.222714064604808</v>
      </c>
      <c r="Z579" s="346">
        <f t="shared" si="390"/>
        <v>-16.339980834573389</v>
      </c>
      <c r="AA579" s="346">
        <f t="shared" si="390"/>
        <v>-25.516383422789403</v>
      </c>
      <c r="AB579" s="346">
        <f t="shared" si="390"/>
        <v>38.912006468292994</v>
      </c>
      <c r="AC579" s="346">
        <f t="shared" si="390"/>
        <v>-20.823433762000001</v>
      </c>
      <c r="AD579" s="346">
        <f t="shared" si="390"/>
        <v>0.17788372700000232</v>
      </c>
      <c r="AE579" s="346">
        <f t="shared" si="390"/>
        <v>-35.522833658000003</v>
      </c>
      <c r="AF579" s="346">
        <f t="shared" si="390"/>
        <v>16.471097364999999</v>
      </c>
      <c r="AG579" s="346">
        <f t="shared" si="390"/>
        <v>-11.312669280999996</v>
      </c>
      <c r="AH579" s="346">
        <f t="shared" si="390"/>
        <v>33.495558960999972</v>
      </c>
      <c r="AI579" s="346">
        <f t="shared" si="390"/>
        <v>9.6035356999999948</v>
      </c>
      <c r="AJ579" s="346">
        <f t="shared" si="390"/>
        <v>-25.479925335999994</v>
      </c>
      <c r="AK579" s="346">
        <f t="shared" si="390"/>
        <v>8.2951844279999829</v>
      </c>
      <c r="AL579" s="346">
        <f t="shared" si="390"/>
        <v>18.325264832999999</v>
      </c>
      <c r="AM579" s="346">
        <f t="shared" si="390"/>
        <v>-25.604472352000009</v>
      </c>
      <c r="AN579" s="346">
        <f t="shared" si="390"/>
        <v>-6.2050373570000144</v>
      </c>
      <c r="AO579" s="346">
        <f t="shared" si="390"/>
        <v>6.7539305167400059</v>
      </c>
      <c r="AP579" s="346">
        <f t="shared" si="390"/>
        <v>-9.6767797020600099</v>
      </c>
      <c r="AQ579" s="346">
        <f t="shared" si="390"/>
        <v>-9.4503527713272408</v>
      </c>
      <c r="AR579" s="346">
        <f t="shared" si="390"/>
        <v>-16.097627978120006</v>
      </c>
      <c r="AS579" s="346">
        <f t="shared" si="390"/>
        <v>-7.561540453347984</v>
      </c>
      <c r="AT579" s="346">
        <f t="shared" si="390"/>
        <v>36.035087890934399</v>
      </c>
      <c r="AU579" s="346">
        <f t="shared" si="390"/>
        <v>-8.3802143252400008</v>
      </c>
      <c r="AV579" s="346">
        <f t="shared" si="390"/>
        <v>-35.297755937880012</v>
      </c>
      <c r="AW579" s="346">
        <f t="shared" si="390"/>
        <v>34.137960797449999</v>
      </c>
      <c r="AX579" s="346">
        <f t="shared" si="390"/>
        <v>-30.747768710079988</v>
      </c>
      <c r="AY579" s="346">
        <f t="shared" si="390"/>
        <v>-6.6192430229007897</v>
      </c>
      <c r="AZ579" s="346">
        <f t="shared" si="390"/>
        <v>29.749638675632497</v>
      </c>
      <c r="BA579" s="346">
        <f t="shared" si="390"/>
        <v>3.5105459550000084</v>
      </c>
      <c r="BB579" s="346">
        <f t="shared" si="390"/>
        <v>-7.8065772179999984</v>
      </c>
      <c r="BC579" s="346">
        <f t="shared" si="390"/>
        <v>-56.295423991000014</v>
      </c>
      <c r="BD579" s="346">
        <f t="shared" si="390"/>
        <v>36.055197685759985</v>
      </c>
      <c r="BE579" s="346">
        <f t="shared" si="390"/>
        <v>-50.927509479769995</v>
      </c>
      <c r="BF579" s="346">
        <f t="shared" si="390"/>
        <v>-39.478551934000009</v>
      </c>
      <c r="BG579" s="346">
        <f t="shared" si="390"/>
        <v>24.85355121680001</v>
      </c>
      <c r="BH579" s="346">
        <f t="shared" si="390"/>
        <v>36.915925751200014</v>
      </c>
      <c r="BI579" s="346">
        <f t="shared" si="390"/>
        <v>13.178281442900019</v>
      </c>
      <c r="BJ579" s="346">
        <f t="shared" si="390"/>
        <v>57.343406230180008</v>
      </c>
      <c r="BK579" s="346">
        <f t="shared" si="390"/>
        <v>-33.614613657000021</v>
      </c>
      <c r="BL579" s="346">
        <f t="shared" si="390"/>
        <v>0.32978904600001613</v>
      </c>
      <c r="BM579" s="346">
        <f t="shared" si="390"/>
        <v>-16.630474219890015</v>
      </c>
      <c r="BN579" s="346">
        <f t="shared" si="390"/>
        <v>-16.463532138479998</v>
      </c>
      <c r="BO579" s="346">
        <f t="shared" si="390"/>
        <v>-51.102759898999992</v>
      </c>
      <c r="BP579" s="346">
        <f t="shared" si="390"/>
        <v>-30.405109080000031</v>
      </c>
      <c r="BQ579" s="346">
        <f t="shared" ref="BQ579:DN579" si="391">BQ572+BQ576</f>
        <v>-38.520418634850003</v>
      </c>
      <c r="BR579" s="346">
        <f t="shared" si="391"/>
        <v>-12.559368134954248</v>
      </c>
      <c r="BS579" s="346">
        <f t="shared" si="391"/>
        <v>53.010399451901648</v>
      </c>
      <c r="BT579" s="346">
        <f t="shared" si="391"/>
        <v>-6.3093905400688817</v>
      </c>
      <c r="BU579" s="346">
        <f t="shared" si="391"/>
        <v>-73.060097323727888</v>
      </c>
      <c r="BV579" s="346">
        <f t="shared" si="391"/>
        <v>-5.9118956241095049</v>
      </c>
      <c r="BW579" s="346">
        <f t="shared" si="391"/>
        <v>18.135569673433722</v>
      </c>
      <c r="BX579" s="346">
        <f t="shared" si="391"/>
        <v>60.787193092690352</v>
      </c>
      <c r="BY579" s="346">
        <f t="shared" si="391"/>
        <v>-27.04576118312729</v>
      </c>
      <c r="BZ579" s="346">
        <f t="shared" si="391"/>
        <v>-23.568025528720547</v>
      </c>
      <c r="CA579" s="346">
        <f t="shared" si="391"/>
        <v>50.831770706868106</v>
      </c>
      <c r="CB579" s="346">
        <f t="shared" si="391"/>
        <v>-35.736301905905833</v>
      </c>
      <c r="CC579" s="346">
        <f t="shared" si="391"/>
        <v>-96.394358296720782</v>
      </c>
      <c r="CD579" s="346">
        <f t="shared" si="391"/>
        <v>65.857510147153519</v>
      </c>
      <c r="CE579" s="347">
        <f t="shared" si="391"/>
        <v>42.611157192623651</v>
      </c>
      <c r="CF579" s="346">
        <f t="shared" si="391"/>
        <v>-18.66661570358573</v>
      </c>
      <c r="CG579" s="346">
        <f t="shared" si="391"/>
        <v>38.008934492160407</v>
      </c>
      <c r="CH579" s="346">
        <f t="shared" si="391"/>
        <v>-38.514668769760675</v>
      </c>
      <c r="CI579" s="346">
        <f t="shared" si="391"/>
        <v>-21.779386044511419</v>
      </c>
      <c r="CJ579" s="346">
        <f t="shared" si="391"/>
        <v>16.406120613149277</v>
      </c>
      <c r="CK579" s="346">
        <f t="shared" si="391"/>
        <v>-35.801225611789647</v>
      </c>
      <c r="CL579" s="346">
        <f t="shared" si="391"/>
        <v>-17.750653984684622</v>
      </c>
      <c r="CM579" s="346">
        <f t="shared" si="391"/>
        <v>-13.620505742886285</v>
      </c>
      <c r="CN579" s="346">
        <f t="shared" si="391"/>
        <v>-52.582086441552221</v>
      </c>
      <c r="CO579" s="346">
        <f t="shared" si="391"/>
        <v>-45.046977973218411</v>
      </c>
      <c r="CP579" s="348">
        <f t="shared" si="391"/>
        <v>-58.019672529565668</v>
      </c>
      <c r="CQ579" s="346">
        <f t="shared" si="391"/>
        <v>12.078248993792499</v>
      </c>
      <c r="CR579" s="346">
        <f t="shared" si="391"/>
        <v>-28.618039173970608</v>
      </c>
      <c r="CS579" s="346">
        <f t="shared" si="391"/>
        <v>-44.63098184298962</v>
      </c>
      <c r="CT579" s="346">
        <f t="shared" si="391"/>
        <v>-30.280187894794203</v>
      </c>
      <c r="CU579" s="346">
        <f t="shared" si="391"/>
        <v>-11.355559313928776</v>
      </c>
      <c r="CV579" s="346">
        <f t="shared" si="391"/>
        <v>51.408724548031103</v>
      </c>
      <c r="CW579" s="346">
        <f t="shared" si="391"/>
        <v>-29.227554667949136</v>
      </c>
      <c r="CX579" s="346">
        <f t="shared" si="391"/>
        <v>-8.7536303844279644</v>
      </c>
      <c r="CY579" s="346">
        <f t="shared" si="391"/>
        <v>-4.095537144165033</v>
      </c>
      <c r="CZ579" s="346">
        <f t="shared" si="391"/>
        <v>-69.175764483451331</v>
      </c>
      <c r="DA579" s="346">
        <f t="shared" si="391"/>
        <v>-33.706261608939926</v>
      </c>
      <c r="DB579" s="1479">
        <f t="shared" si="391"/>
        <v>-49.297017469276611</v>
      </c>
      <c r="DC579" s="346">
        <f t="shared" si="391"/>
        <v>21.01034314000308</v>
      </c>
      <c r="DD579" s="346">
        <f t="shared" si="391"/>
        <v>-39.638327966640006</v>
      </c>
      <c r="DE579" s="346">
        <f t="shared" si="391"/>
        <v>-13.602407189849274</v>
      </c>
      <c r="DF579" s="346">
        <f t="shared" si="391"/>
        <v>-50.095220644972244</v>
      </c>
      <c r="DG579" s="346">
        <f t="shared" si="391"/>
        <v>6.3964191106506316</v>
      </c>
      <c r="DH579" s="346">
        <f t="shared" si="391"/>
        <v>-12.04625458563622</v>
      </c>
      <c r="DI579" s="346">
        <f t="shared" si="391"/>
        <v>-69.671095995240876</v>
      </c>
      <c r="DJ579" s="346">
        <f t="shared" si="391"/>
        <v>-40.569365759944219</v>
      </c>
      <c r="DK579" s="346">
        <f t="shared" si="391"/>
        <v>33.199133645478966</v>
      </c>
      <c r="DL579" s="346">
        <f t="shared" si="391"/>
        <v>-36.48511287037401</v>
      </c>
      <c r="DM579" s="346">
        <f t="shared" si="391"/>
        <v>-25.71798471314797</v>
      </c>
      <c r="DN579" s="348">
        <f t="shared" si="391"/>
        <v>-13.380426570420113</v>
      </c>
      <c r="DO579" s="346">
        <f t="shared" ref="DO579:DT579" si="392">DO572+DO576</f>
        <v>-26.714974436605367</v>
      </c>
      <c r="DP579" s="346">
        <f t="shared" si="392"/>
        <v>4.7891601854767174</v>
      </c>
      <c r="DQ579" s="346">
        <f t="shared" si="392"/>
        <v>11.253842240763467</v>
      </c>
      <c r="DR579" s="346">
        <f t="shared" si="392"/>
        <v>-74.516529496566349</v>
      </c>
      <c r="DS579" s="346">
        <f t="shared" si="392"/>
        <v>-36.469750671445347</v>
      </c>
      <c r="DT579" s="346">
        <f t="shared" si="392"/>
        <v>-29.342945264652812</v>
      </c>
      <c r="DU579" s="346">
        <f t="shared" ref="DU579:DZ579" si="393">DU572+DU576</f>
        <v>-21.069213408766245</v>
      </c>
      <c r="DV579" s="346">
        <f t="shared" si="393"/>
        <v>-33.187461472011734</v>
      </c>
      <c r="DW579" s="346">
        <f t="shared" si="393"/>
        <v>8.6514398062650386</v>
      </c>
      <c r="DX579" s="346">
        <f t="shared" si="393"/>
        <v>-33.602061461224949</v>
      </c>
      <c r="DY579" s="346">
        <f t="shared" si="393"/>
        <v>-59.070846228514547</v>
      </c>
      <c r="DZ579" s="348">
        <f t="shared" si="393"/>
        <v>-11.584254744678105</v>
      </c>
      <c r="EA579" s="346">
        <f t="shared" ref="EA579:EK579" si="394">EA572+EA576</f>
        <v>1.3035196718121469</v>
      </c>
      <c r="EB579" s="346">
        <f t="shared" si="394"/>
        <v>-50.163548328364591</v>
      </c>
      <c r="EC579" s="346">
        <f t="shared" si="394"/>
        <v>-15.769157017404481</v>
      </c>
      <c r="ED579" s="346">
        <f t="shared" si="394"/>
        <v>-59.315727988951949</v>
      </c>
      <c r="EE579" s="346">
        <f t="shared" si="394"/>
        <v>-41.540485558674263</v>
      </c>
      <c r="EF579" s="346">
        <f t="shared" si="394"/>
        <v>-6.4369165250206635</v>
      </c>
      <c r="EG579" s="346">
        <f t="shared" si="394"/>
        <v>-34.785698432270181</v>
      </c>
      <c r="EH579" s="346">
        <f t="shared" si="394"/>
        <v>-24.503392934973061</v>
      </c>
      <c r="EI579" s="346">
        <f t="shared" si="394"/>
        <v>-19.607003954270528</v>
      </c>
      <c r="EJ579" s="346">
        <f t="shared" si="394"/>
        <v>24.115611470145076</v>
      </c>
      <c r="EK579" s="346">
        <f t="shared" si="394"/>
        <v>-74.209528347322205</v>
      </c>
      <c r="EL579" s="348">
        <f t="shared" ref="EL579:ER579" si="395">EL572+EL576</f>
        <v>-65.711432316545185</v>
      </c>
      <c r="EM579" s="346">
        <f t="shared" si="395"/>
        <v>-26.463711243286571</v>
      </c>
      <c r="EN579" s="346">
        <f t="shared" si="395"/>
        <v>29.714894741622899</v>
      </c>
      <c r="EO579" s="346">
        <f t="shared" si="395"/>
        <v>-6.3573904706534137</v>
      </c>
      <c r="EP579" s="346">
        <f t="shared" si="395"/>
        <v>-48.156938069888852</v>
      </c>
      <c r="EQ579" s="346">
        <f t="shared" si="395"/>
        <v>-21.960875926592195</v>
      </c>
      <c r="ER579" s="346">
        <f t="shared" si="395"/>
        <v>-58.451023096495291</v>
      </c>
      <c r="ES579" s="346">
        <f t="shared" ref="ES579:EX579" si="396">ES572+ES576</f>
        <v>-101.5914671969141</v>
      </c>
      <c r="ET579" s="346">
        <f t="shared" si="396"/>
        <v>-34.444640795193266</v>
      </c>
      <c r="EU579" s="346">
        <f t="shared" si="396"/>
        <v>-9.4680121667562389</v>
      </c>
      <c r="EV579" s="346">
        <f t="shared" si="396"/>
        <v>-39.468938553709862</v>
      </c>
      <c r="EW579" s="346">
        <f t="shared" si="396"/>
        <v>-17.019269987969309</v>
      </c>
      <c r="EX579" s="348">
        <f t="shared" si="396"/>
        <v>-157.87123620591527</v>
      </c>
      <c r="EY579" s="346"/>
      <c r="EZ579" s="346"/>
      <c r="FA579" s="346"/>
      <c r="FB579" s="346"/>
      <c r="FC579" s="346"/>
      <c r="FD579" s="346"/>
      <c r="FE579" s="346"/>
      <c r="FF579" s="346"/>
      <c r="FG579" s="346"/>
      <c r="FH579" s="346"/>
      <c r="FI579" s="346"/>
      <c r="FJ579" s="348"/>
      <c r="FK579" s="346"/>
      <c r="FL579" s="346"/>
      <c r="FM579" s="346"/>
      <c r="FN579" s="346"/>
      <c r="FO579" s="346"/>
      <c r="FP579" s="346"/>
      <c r="FQ579" s="346"/>
      <c r="FR579" s="346"/>
      <c r="FS579" s="346"/>
      <c r="FT579" s="346"/>
      <c r="FU579" s="346"/>
      <c r="FV579" s="346"/>
      <c r="FW579" s="346"/>
      <c r="FX579" s="346"/>
      <c r="FY579" s="346"/>
      <c r="FZ579" s="346"/>
      <c r="GA579" s="346"/>
      <c r="GB579" s="346"/>
      <c r="GC579" s="346"/>
      <c r="GD579" s="346"/>
      <c r="GE579" s="346"/>
      <c r="GF579" s="346"/>
      <c r="GG579" s="346"/>
      <c r="GH579" s="346"/>
      <c r="GI579" s="346"/>
      <c r="GJ579" s="346"/>
      <c r="GK579" s="346"/>
      <c r="GL579" s="346"/>
      <c r="GM579" s="346"/>
      <c r="GN579" s="346"/>
      <c r="GO579" s="346"/>
      <c r="GP579" s="346"/>
      <c r="GQ579" s="346"/>
      <c r="GR579" s="346"/>
      <c r="GS579" s="346"/>
      <c r="GT579" s="346"/>
      <c r="GU579" s="346"/>
      <c r="GV579" s="346"/>
      <c r="GW579" s="346"/>
      <c r="GX579" s="346"/>
      <c r="GY579" s="346"/>
      <c r="GZ579" s="346"/>
      <c r="HA579" s="346"/>
      <c r="HB579" s="346"/>
      <c r="HC579" s="346"/>
      <c r="HD579" s="346"/>
      <c r="HE579" s="346"/>
      <c r="HF579" s="346"/>
      <c r="HG579" s="346"/>
      <c r="HH579" s="346"/>
      <c r="HI579" s="346"/>
      <c r="HJ579" s="346"/>
      <c r="HK579" s="346"/>
      <c r="HL579" s="346"/>
      <c r="HM579" s="346"/>
      <c r="HN579" s="349"/>
      <c r="HO579" s="351" t="s">
        <v>177</v>
      </c>
      <c r="HP579" s="351"/>
      <c r="HQ579" s="351"/>
      <c r="HR579" s="346">
        <f>+FISC!Z804</f>
        <v>-297.05950052759749</v>
      </c>
      <c r="HS579" s="302">
        <f t="shared" ref="HS579:HZ579" si="397">HS572+HS576</f>
        <v>-28.397794683859544</v>
      </c>
      <c r="HT579" s="302">
        <f t="shared" si="397"/>
        <v>-194.25576575821</v>
      </c>
      <c r="HU579" s="346">
        <f t="shared" si="397"/>
        <v>-222.65356044206965</v>
      </c>
      <c r="HV579" s="302">
        <f t="shared" si="397"/>
        <v>-87.975448136444015</v>
      </c>
      <c r="HW579" s="302">
        <f t="shared" si="397"/>
        <v>-152.62485226364831</v>
      </c>
      <c r="HX579" s="346">
        <f t="shared" si="397"/>
        <v>-240.60030040009244</v>
      </c>
      <c r="HY579" s="302">
        <f t="shared" si="397"/>
        <v>-151.00119744302972</v>
      </c>
      <c r="HZ579" s="302">
        <f t="shared" si="397"/>
        <v>-149.86239750893048</v>
      </c>
      <c r="IA579" s="346">
        <f t="shared" si="297"/>
        <v>-300.86359495196018</v>
      </c>
      <c r="IB579" s="302">
        <f>IB572+IB576</f>
        <v>-132.49537945158221</v>
      </c>
      <c r="IC579" s="302">
        <f>IC572+IC576</f>
        <v>-259.69320093342191</v>
      </c>
      <c r="ID579" s="346">
        <f>FISC!AC804</f>
        <v>-392.18858038500423</v>
      </c>
      <c r="IE579" s="302">
        <f>SUM(EM579:ER579)</f>
        <v>-131.67504406529343</v>
      </c>
      <c r="IF579" s="302">
        <f>SUM(ES579:EX579)</f>
        <v>-359.86356490645801</v>
      </c>
      <c r="IG579" s="346">
        <f t="shared" si="384"/>
        <v>-491.53860897175144</v>
      </c>
      <c r="IH579" s="302" t="e">
        <f>IH572+IH576</f>
        <v>#REF!</v>
      </c>
      <c r="II579" s="477" t="e">
        <f>II572+II576</f>
        <v>#REF!</v>
      </c>
      <c r="IJ579" s="346">
        <f>+FISC!AE804</f>
        <v>-1226.1971334578216</v>
      </c>
      <c r="IK579" s="302" t="e">
        <f>IK572+IK576</f>
        <v>#REF!</v>
      </c>
      <c r="IL579" s="302" t="e">
        <f t="shared" si="280"/>
        <v>#REF!</v>
      </c>
      <c r="IM579" s="346">
        <f>+FISC!AF804</f>
        <v>-973.95802283803494</v>
      </c>
      <c r="IN579" s="302" t="e">
        <f>IN572+IN576</f>
        <v>#REF!</v>
      </c>
      <c r="IO579" s="302" t="e">
        <f t="shared" si="334"/>
        <v>#REF!</v>
      </c>
      <c r="IP579" s="346">
        <f>+FISC!AG804</f>
        <v>4633.6534179123983</v>
      </c>
      <c r="IQ579" s="302">
        <f>IQ572+IQ576</f>
        <v>3308.2909250234943</v>
      </c>
      <c r="IR579" s="302">
        <f t="shared" si="281"/>
        <v>4138.3422636443465</v>
      </c>
      <c r="IS579" s="346">
        <f>+FISC!AH804</f>
        <v>7446.6331886678408</v>
      </c>
      <c r="IT579" s="302">
        <f>IT572+IT576</f>
        <v>4069.505107007375</v>
      </c>
      <c r="IU579" s="302">
        <f t="shared" si="282"/>
        <v>4055.9780713984173</v>
      </c>
      <c r="IV579" s="346">
        <f>+FISC!AI804</f>
        <v>8125.4831784057924</v>
      </c>
      <c r="IW579" s="302">
        <f>IW572+IW576</f>
        <v>-1800.2405431422944</v>
      </c>
      <c r="IX579" s="302">
        <f t="shared" si="283"/>
        <v>-2304.5270350929436</v>
      </c>
      <c r="IY579" s="346">
        <f>+FISC!AJ804</f>
        <v>-4104.767578235238</v>
      </c>
      <c r="IZ579" s="302" t="e">
        <f>IZ572+IZ576</f>
        <v>#DIV/0!</v>
      </c>
      <c r="JA579" s="302" t="e">
        <f t="shared" si="284"/>
        <v>#DIV/0!</v>
      </c>
      <c r="JB579" s="346" t="e">
        <f>+FISC!AK804</f>
        <v>#DIV/0!</v>
      </c>
      <c r="JC579" s="346"/>
      <c r="KI579" s="349"/>
      <c r="KJ579" s="350"/>
      <c r="KM579" s="302">
        <f>KM572+KM576</f>
        <v>0</v>
      </c>
      <c r="KN579" s="302">
        <f>KN572+KN576</f>
        <v>0</v>
      </c>
      <c r="KO579" s="302">
        <f>KO572+KO576</f>
        <v>0</v>
      </c>
      <c r="KP579" s="302">
        <f>KP572+KP576</f>
        <v>0</v>
      </c>
    </row>
    <row r="580" spans="1:302">
      <c r="A580" s="302"/>
      <c r="B580" s="117" t="s">
        <v>361</v>
      </c>
      <c r="D580" s="351" t="str">
        <f>+FISC!D805</f>
        <v>Excluding grants</v>
      </c>
      <c r="E580" s="346">
        <f t="shared" ref="E580:BP580" si="398">E573+E576</f>
        <v>-3.9201461879041233</v>
      </c>
      <c r="F580" s="346">
        <f t="shared" si="398"/>
        <v>-12.20823003372</v>
      </c>
      <c r="G580" s="346">
        <f t="shared" si="398"/>
        <v>-42.160862517032498</v>
      </c>
      <c r="H580" s="346">
        <f t="shared" si="398"/>
        <v>-9.9496318691282735</v>
      </c>
      <c r="I580" s="346">
        <f t="shared" si="398"/>
        <v>-12.474016727897999</v>
      </c>
      <c r="J580" s="346">
        <f t="shared" si="398"/>
        <v>-25.915844906725901</v>
      </c>
      <c r="K580" s="346">
        <f t="shared" si="398"/>
        <v>-15.653893882326308</v>
      </c>
      <c r="L580" s="346">
        <f t="shared" si="398"/>
        <v>-13.585219664849603</v>
      </c>
      <c r="M580" s="346">
        <f t="shared" si="398"/>
        <v>-46.348703375884007</v>
      </c>
      <c r="N580" s="346">
        <f t="shared" si="398"/>
        <v>-21.879327417740008</v>
      </c>
      <c r="O580" s="346">
        <f t="shared" si="398"/>
        <v>-7.598444459099996</v>
      </c>
      <c r="P580" s="346">
        <f t="shared" si="398"/>
        <v>-34.659294036079999</v>
      </c>
      <c r="Q580" s="346">
        <f t="shared" si="398"/>
        <v>-2.5968317033916062</v>
      </c>
      <c r="R580" s="346">
        <f t="shared" si="398"/>
        <v>-14.044022172342702</v>
      </c>
      <c r="S580" s="346">
        <f t="shared" si="398"/>
        <v>-33.466140940724998</v>
      </c>
      <c r="T580" s="346">
        <f t="shared" si="398"/>
        <v>-26.074646866264004</v>
      </c>
      <c r="U580" s="346">
        <f t="shared" si="398"/>
        <v>-19.559641302655496</v>
      </c>
      <c r="V580" s="346">
        <f t="shared" si="398"/>
        <v>-17.304424893392007</v>
      </c>
      <c r="W580" s="346">
        <f t="shared" si="398"/>
        <v>-20.128711646349995</v>
      </c>
      <c r="X580" s="346">
        <f t="shared" si="398"/>
        <v>-15.555138405408002</v>
      </c>
      <c r="Y580" s="346">
        <f t="shared" si="398"/>
        <v>-44.429843474604809</v>
      </c>
      <c r="Z580" s="346">
        <f t="shared" si="398"/>
        <v>-35.191353341573397</v>
      </c>
      <c r="AA580" s="346">
        <f t="shared" si="398"/>
        <v>-28.261334060789402</v>
      </c>
      <c r="AB580" s="346">
        <f t="shared" si="398"/>
        <v>-20.175199440706983</v>
      </c>
      <c r="AC580" s="346">
        <f t="shared" si="398"/>
        <v>-20.823433762000001</v>
      </c>
      <c r="AD580" s="346">
        <f t="shared" si="398"/>
        <v>-7.3681782730000007</v>
      </c>
      <c r="AE580" s="346">
        <f t="shared" si="398"/>
        <v>-66.598621201</v>
      </c>
      <c r="AF580" s="346">
        <f t="shared" si="398"/>
        <v>-34.661751740999989</v>
      </c>
      <c r="AG580" s="346">
        <f t="shared" si="398"/>
        <v>-13.235321835999995</v>
      </c>
      <c r="AH580" s="346">
        <f t="shared" si="398"/>
        <v>-18.297300487000022</v>
      </c>
      <c r="AI580" s="346">
        <f t="shared" si="398"/>
        <v>-3.7996995370000057</v>
      </c>
      <c r="AJ580" s="346">
        <f t="shared" si="398"/>
        <v>-29.051693312999994</v>
      </c>
      <c r="AK580" s="346">
        <f t="shared" si="398"/>
        <v>-67.762116653000007</v>
      </c>
      <c r="AL580" s="346">
        <f t="shared" si="398"/>
        <v>-34.870036422999995</v>
      </c>
      <c r="AM580" s="346">
        <f t="shared" si="398"/>
        <v>-33.180927526000005</v>
      </c>
      <c r="AN580" s="346">
        <f t="shared" si="398"/>
        <v>-56.327903753999998</v>
      </c>
      <c r="AO580" s="346">
        <f t="shared" si="398"/>
        <v>-14.895271070259987</v>
      </c>
      <c r="AP580" s="346">
        <f t="shared" si="398"/>
        <v>-9.6767797020600099</v>
      </c>
      <c r="AQ580" s="346">
        <f t="shared" si="398"/>
        <v>-44.77169705132723</v>
      </c>
      <c r="AR580" s="346">
        <f t="shared" si="398"/>
        <v>-28.679471540120009</v>
      </c>
      <c r="AS580" s="346">
        <f t="shared" si="398"/>
        <v>-16.618233150347987</v>
      </c>
      <c r="AT580" s="346">
        <f t="shared" si="398"/>
        <v>-88.530201634065605</v>
      </c>
      <c r="AU580" s="346">
        <f t="shared" si="398"/>
        <v>-14.539945807240002</v>
      </c>
      <c r="AV580" s="346">
        <f t="shared" si="398"/>
        <v>-40.075125937880017</v>
      </c>
      <c r="AW580" s="346">
        <f t="shared" si="398"/>
        <v>-58.784301202549983</v>
      </c>
      <c r="AX580" s="346">
        <f t="shared" si="398"/>
        <v>-57.14253991407999</v>
      </c>
      <c r="AY580" s="346">
        <f t="shared" si="398"/>
        <v>-13.600328913900789</v>
      </c>
      <c r="AZ580" s="346">
        <f t="shared" si="398"/>
        <v>-74.392674323367501</v>
      </c>
      <c r="BA580" s="346">
        <f t="shared" si="398"/>
        <v>2.9792224530000091</v>
      </c>
      <c r="BB580" s="346">
        <f t="shared" si="398"/>
        <v>-13.040839674999999</v>
      </c>
      <c r="BC580" s="346">
        <f t="shared" si="398"/>
        <v>-82.755526183000001</v>
      </c>
      <c r="BD580" s="346">
        <f t="shared" si="398"/>
        <v>-31.880909641000009</v>
      </c>
      <c r="BE580" s="346">
        <f t="shared" si="398"/>
        <v>-51.962676820999995</v>
      </c>
      <c r="BF580" s="346">
        <f t="shared" si="398"/>
        <v>-77.297102820000006</v>
      </c>
      <c r="BG580" s="346">
        <f t="shared" si="398"/>
        <v>-16.1581621222</v>
      </c>
      <c r="BH580" s="346">
        <f t="shared" si="398"/>
        <v>-0.7152933227999938</v>
      </c>
      <c r="BI580" s="346">
        <f t="shared" si="398"/>
        <v>-45.026024060099985</v>
      </c>
      <c r="BJ580" s="346">
        <f t="shared" si="398"/>
        <v>-19.239465205819997</v>
      </c>
      <c r="BK580" s="346">
        <f t="shared" si="398"/>
        <v>-38.311594221000021</v>
      </c>
      <c r="BL580" s="346">
        <f t="shared" si="398"/>
        <v>-100.28916113699999</v>
      </c>
      <c r="BM580" s="346">
        <f t="shared" si="398"/>
        <v>-18.921792870890012</v>
      </c>
      <c r="BN580" s="346">
        <f t="shared" si="398"/>
        <v>-20.576883720479998</v>
      </c>
      <c r="BO580" s="346">
        <f t="shared" si="398"/>
        <v>-90.982933919999994</v>
      </c>
      <c r="BP580" s="346">
        <f t="shared" si="398"/>
        <v>-30.649598585000021</v>
      </c>
      <c r="BQ580" s="346">
        <f t="shared" ref="BQ580:DN580" si="399">BQ573+BQ576</f>
        <v>-38.730459059850006</v>
      </c>
      <c r="BR580" s="346">
        <f t="shared" si="399"/>
        <v>-112.03259172558001</v>
      </c>
      <c r="BS580" s="346">
        <f t="shared" si="399"/>
        <v>11.670800000000014</v>
      </c>
      <c r="BT580" s="346">
        <f t="shared" si="399"/>
        <v>-21.17329999999999</v>
      </c>
      <c r="BU580" s="346">
        <f t="shared" si="399"/>
        <v>-96.005099999999999</v>
      </c>
      <c r="BV580" s="346">
        <f t="shared" si="399"/>
        <v>-54.264272142367645</v>
      </c>
      <c r="BW580" s="346">
        <f t="shared" si="399"/>
        <v>-23.403320504341181</v>
      </c>
      <c r="BX580" s="346">
        <f t="shared" si="399"/>
        <v>28.712918160505176</v>
      </c>
      <c r="BY580" s="346">
        <f t="shared" si="399"/>
        <v>-27.046293615118032</v>
      </c>
      <c r="BZ580" s="346">
        <f t="shared" si="399"/>
        <v>-27.610120997842124</v>
      </c>
      <c r="CA580" s="346">
        <f t="shared" si="399"/>
        <v>28.914320175343413</v>
      </c>
      <c r="CB580" s="346">
        <f t="shared" si="399"/>
        <v>-73.642175424903485</v>
      </c>
      <c r="CC580" s="346">
        <f t="shared" si="399"/>
        <v>-146.71936144099058</v>
      </c>
      <c r="CD580" s="346">
        <f t="shared" si="399"/>
        <v>22.732394966439301</v>
      </c>
      <c r="CE580" s="347">
        <f t="shared" si="399"/>
        <v>10.892351636717891</v>
      </c>
      <c r="CF580" s="346">
        <f t="shared" si="399"/>
        <v>-57.573617776985571</v>
      </c>
      <c r="CG580" s="346">
        <f t="shared" si="399"/>
        <v>-38.354860378657577</v>
      </c>
      <c r="CH580" s="346">
        <f t="shared" si="399"/>
        <v>-87.171016012574512</v>
      </c>
      <c r="CI580" s="346">
        <f t="shared" si="399"/>
        <v>-58.01843638527243</v>
      </c>
      <c r="CJ580" s="346">
        <f t="shared" si="399"/>
        <v>-46.766814865974659</v>
      </c>
      <c r="CK580" s="346">
        <f t="shared" si="399"/>
        <v>-58.62108982305179</v>
      </c>
      <c r="CL580" s="346">
        <f t="shared" si="399"/>
        <v>-33.182540783947807</v>
      </c>
      <c r="CM580" s="346">
        <f t="shared" si="399"/>
        <v>-29.232427811557436</v>
      </c>
      <c r="CN580" s="346">
        <f t="shared" si="399"/>
        <v>-113.09671812765787</v>
      </c>
      <c r="CO580" s="346">
        <f t="shared" si="399"/>
        <v>-81.870786706746088</v>
      </c>
      <c r="CP580" s="348">
        <f t="shared" si="399"/>
        <v>-89.846367805859217</v>
      </c>
      <c r="CQ580" s="346">
        <f t="shared" si="399"/>
        <v>-22.370184308784431</v>
      </c>
      <c r="CR580" s="346">
        <f t="shared" si="399"/>
        <v>-49.253376166400464</v>
      </c>
      <c r="CS580" s="346">
        <f t="shared" si="399"/>
        <v>-76.718928743282333</v>
      </c>
      <c r="CT580" s="346">
        <f t="shared" si="399"/>
        <v>-57.892222298725308</v>
      </c>
      <c r="CU580" s="346">
        <f t="shared" si="399"/>
        <v>-48.792242490747086</v>
      </c>
      <c r="CV580" s="346">
        <f t="shared" si="399"/>
        <v>-37.290220466391403</v>
      </c>
      <c r="CW580" s="346">
        <f t="shared" si="399"/>
        <v>-56.389620326739831</v>
      </c>
      <c r="CX580" s="346">
        <f t="shared" si="399"/>
        <v>-29.500578156396315</v>
      </c>
      <c r="CY580" s="346">
        <f t="shared" si="399"/>
        <v>-39.964652850630756</v>
      </c>
      <c r="CZ580" s="346">
        <f t="shared" si="399"/>
        <v>-87.160827265895023</v>
      </c>
      <c r="DA580" s="346">
        <f t="shared" si="399"/>
        <v>-85.641207434188473</v>
      </c>
      <c r="DB580" s="1479">
        <f t="shared" si="399"/>
        <v>-70.573328242349788</v>
      </c>
      <c r="DC580" s="346">
        <f t="shared" si="399"/>
        <v>-10.883216952810166</v>
      </c>
      <c r="DD580" s="346">
        <f t="shared" si="399"/>
        <v>-64.807960948667088</v>
      </c>
      <c r="DE580" s="346">
        <f t="shared" si="399"/>
        <v>-51.422065245692139</v>
      </c>
      <c r="DF580" s="346">
        <f t="shared" si="399"/>
        <v>-53.136955677622112</v>
      </c>
      <c r="DG580" s="346">
        <f t="shared" si="399"/>
        <v>-55.609431537707032</v>
      </c>
      <c r="DH580" s="346">
        <f t="shared" si="399"/>
        <v>-51.742931564925811</v>
      </c>
      <c r="DI580" s="346">
        <f t="shared" si="399"/>
        <v>-79.657146476103009</v>
      </c>
      <c r="DJ580" s="346">
        <f t="shared" si="399"/>
        <v>-55.115944573466379</v>
      </c>
      <c r="DK580" s="346">
        <f t="shared" si="399"/>
        <v>17.78415814780384</v>
      </c>
      <c r="DL580" s="346">
        <f t="shared" si="399"/>
        <v>-101.71857837250023</v>
      </c>
      <c r="DM580" s="346">
        <f t="shared" si="399"/>
        <v>-45.254395787629008</v>
      </c>
      <c r="DN580" s="348">
        <f t="shared" si="399"/>
        <v>-62.782841688500227</v>
      </c>
      <c r="DO580" s="346">
        <f t="shared" ref="DO580:DT580" si="400">DO573+DO576</f>
        <v>-52.570119651799864</v>
      </c>
      <c r="DP580" s="346">
        <f t="shared" si="400"/>
        <v>-3.3676137364849552</v>
      </c>
      <c r="DQ580" s="346">
        <f t="shared" si="400"/>
        <v>-8.9728832986234668</v>
      </c>
      <c r="DR580" s="346">
        <f t="shared" si="400"/>
        <v>-77.843818118519394</v>
      </c>
      <c r="DS580" s="346">
        <f t="shared" si="400"/>
        <v>-52.716187079559838</v>
      </c>
      <c r="DT580" s="346">
        <f t="shared" si="400"/>
        <v>-77.446435251523425</v>
      </c>
      <c r="DU580" s="346">
        <f t="shared" ref="DU580:DZ580" si="401">DU573+DU576</f>
        <v>-52.867683123919576</v>
      </c>
      <c r="DV580" s="346">
        <f t="shared" si="401"/>
        <v>-33.245469236607306</v>
      </c>
      <c r="DW580" s="346">
        <f t="shared" si="401"/>
        <v>-1.8899205988805434</v>
      </c>
      <c r="DX580" s="346">
        <f t="shared" si="401"/>
        <v>-57.960191367336165</v>
      </c>
      <c r="DY580" s="346">
        <f t="shared" si="401"/>
        <v>-59.115829918067924</v>
      </c>
      <c r="DZ580" s="348">
        <f t="shared" si="401"/>
        <v>-64.541512105361676</v>
      </c>
      <c r="EA580" s="346">
        <f t="shared" ref="EA580:EK580" si="402">EA573+EA576</f>
        <v>-33.070508233879615</v>
      </c>
      <c r="EB580" s="346">
        <f t="shared" si="402"/>
        <v>-70.098710908762342</v>
      </c>
      <c r="EC580" s="346">
        <f t="shared" si="402"/>
        <v>-41.111823045314978</v>
      </c>
      <c r="ED580" s="346">
        <f t="shared" si="402"/>
        <v>-82.636680835048338</v>
      </c>
      <c r="EE580" s="346">
        <f t="shared" si="402"/>
        <v>-69.72786007162459</v>
      </c>
      <c r="EF580" s="346">
        <f t="shared" si="402"/>
        <v>-70.06430372158691</v>
      </c>
      <c r="EG580" s="346">
        <f t="shared" si="402"/>
        <v>-81.950397576300318</v>
      </c>
      <c r="EH580" s="346">
        <f t="shared" si="402"/>
        <v>-40.553906234740211</v>
      </c>
      <c r="EI580" s="346">
        <f t="shared" si="402"/>
        <v>-56.995791297666059</v>
      </c>
      <c r="EJ580" s="346">
        <f t="shared" si="402"/>
        <v>-0.37310841840572806</v>
      </c>
      <c r="EK580" s="346">
        <f t="shared" si="402"/>
        <v>-82.345538744692789</v>
      </c>
      <c r="EL580" s="348">
        <f t="shared" ref="EL580:ER580" si="403">EL573+EL576</f>
        <v>-96.602083903125148</v>
      </c>
      <c r="EM580" s="346">
        <f t="shared" si="403"/>
        <v>-50.386766434797792</v>
      </c>
      <c r="EN580" s="346">
        <f t="shared" si="403"/>
        <v>-3.297659374389454</v>
      </c>
      <c r="EO580" s="346">
        <f t="shared" si="403"/>
        <v>-38.517330212353684</v>
      </c>
      <c r="EP580" s="346">
        <f t="shared" si="403"/>
        <v>-73.87051224863805</v>
      </c>
      <c r="EQ580" s="346">
        <f t="shared" si="403"/>
        <v>-30.550038829003199</v>
      </c>
      <c r="ER580" s="346">
        <f t="shared" si="403"/>
        <v>-169.60492448239631</v>
      </c>
      <c r="ES580" s="346">
        <f t="shared" ref="ES580:EX580" si="404">ES573+ES576</f>
        <v>-127.39628835466084</v>
      </c>
      <c r="ET580" s="346">
        <f t="shared" si="404"/>
        <v>-74.706205021661475</v>
      </c>
      <c r="EU580" s="346">
        <f t="shared" si="404"/>
        <v>-35.884736644127742</v>
      </c>
      <c r="EV580" s="346">
        <f t="shared" si="404"/>
        <v>-71.399480465362373</v>
      </c>
      <c r="EW580" s="346">
        <f t="shared" si="404"/>
        <v>-26.292851323885571</v>
      </c>
      <c r="EX580" s="348">
        <f t="shared" si="404"/>
        <v>-184.40544008479014</v>
      </c>
      <c r="EY580" s="346"/>
      <c r="EZ580" s="346"/>
      <c r="FA580" s="346"/>
      <c r="FB580" s="346"/>
      <c r="FC580" s="346"/>
      <c r="FD580" s="346"/>
      <c r="FE580" s="346"/>
      <c r="FF580" s="346"/>
      <c r="FG580" s="346"/>
      <c r="FH580" s="346"/>
      <c r="FI580" s="346"/>
      <c r="FJ580" s="348"/>
      <c r="FK580" s="346"/>
      <c r="FL580" s="346"/>
      <c r="FM580" s="346"/>
      <c r="FN580" s="346"/>
      <c r="FO580" s="346"/>
      <c r="FP580" s="346"/>
      <c r="FQ580" s="346"/>
      <c r="FR580" s="346"/>
      <c r="FS580" s="346"/>
      <c r="FT580" s="346"/>
      <c r="FU580" s="346"/>
      <c r="FV580" s="346"/>
      <c r="FW580" s="346"/>
      <c r="FX580" s="346"/>
      <c r="FY580" s="346"/>
      <c r="FZ580" s="346"/>
      <c r="GA580" s="346"/>
      <c r="GB580" s="346"/>
      <c r="GC580" s="346"/>
      <c r="GD580" s="346"/>
      <c r="GE580" s="346"/>
      <c r="GF580" s="346"/>
      <c r="GG580" s="346"/>
      <c r="GH580" s="346"/>
      <c r="GI580" s="346"/>
      <c r="GJ580" s="346"/>
      <c r="GK580" s="346"/>
      <c r="GL580" s="346"/>
      <c r="GM580" s="346"/>
      <c r="GN580" s="346"/>
      <c r="GO580" s="346"/>
      <c r="GP580" s="346"/>
      <c r="GQ580" s="346"/>
      <c r="GR580" s="346"/>
      <c r="GS580" s="346"/>
      <c r="GT580" s="346"/>
      <c r="GU580" s="346"/>
      <c r="GV580" s="346"/>
      <c r="GW580" s="346"/>
      <c r="GX580" s="346"/>
      <c r="GY580" s="346"/>
      <c r="GZ580" s="346"/>
      <c r="HA580" s="346"/>
      <c r="HB580" s="346"/>
      <c r="HC580" s="346"/>
      <c r="HD580" s="346"/>
      <c r="HE580" s="346"/>
      <c r="HF580" s="346"/>
      <c r="HG580" s="346"/>
      <c r="HH580" s="346"/>
      <c r="HI580" s="346"/>
      <c r="HJ580" s="346"/>
      <c r="HK580" s="346"/>
      <c r="HL580" s="346"/>
      <c r="HM580" s="346"/>
      <c r="HN580" s="349"/>
      <c r="HO580" s="351" t="s">
        <v>178</v>
      </c>
      <c r="HP580" s="351"/>
      <c r="HQ580" s="351"/>
      <c r="HR580" s="346">
        <f>+FISC!Z805</f>
        <v>-712.97319804200015</v>
      </c>
      <c r="HS580" s="302">
        <f t="shared" ref="HS580:HZ580" si="405">HS573+HS576</f>
        <v>-269.31717447433101</v>
      </c>
      <c r="HT580" s="302">
        <f t="shared" si="405"/>
        <v>-369.23021427620017</v>
      </c>
      <c r="HU580" s="346">
        <f t="shared" si="405"/>
        <v>-638.54738875053113</v>
      </c>
      <c r="HV580" s="302">
        <f t="shared" si="405"/>
        <v>-287.60256192742429</v>
      </c>
      <c r="HW580" s="302">
        <f t="shared" si="405"/>
        <v>-326.74474875039505</v>
      </c>
      <c r="HX580" s="346">
        <f t="shared" si="405"/>
        <v>-614.34731067781945</v>
      </c>
      <c r="HY580" s="302">
        <f t="shared" si="405"/>
        <v>-272.91705713651095</v>
      </c>
      <c r="HZ580" s="302">
        <f t="shared" si="405"/>
        <v>-269.62060635017315</v>
      </c>
      <c r="IA580" s="346">
        <f t="shared" si="297"/>
        <v>-542.5376634866841</v>
      </c>
      <c r="IB580" s="302">
        <f>IB573+IB576</f>
        <v>-327.25999856657069</v>
      </c>
      <c r="IC580" s="302">
        <f>IC573+IC576</f>
        <v>-423.8372586871439</v>
      </c>
      <c r="ID580" s="346">
        <f>FISC!AC805</f>
        <v>-751.0972572537147</v>
      </c>
      <c r="IE580" s="302">
        <f>SUM(EM580:ER580)</f>
        <v>-366.22723158157851</v>
      </c>
      <c r="IF580" s="302">
        <f>SUM(ES580:EX580)</f>
        <v>-520.08500189448819</v>
      </c>
      <c r="IG580" s="346">
        <f t="shared" si="384"/>
        <v>-886.31223347606669</v>
      </c>
      <c r="IH580" s="302" t="e">
        <f>IH573+IH576</f>
        <v>#REF!</v>
      </c>
      <c r="II580" s="477" t="e">
        <f>II573+II576</f>
        <v>#REF!</v>
      </c>
      <c r="IJ580" s="346">
        <f>+FISC!AE805</f>
        <v>-1658.2794113359816</v>
      </c>
      <c r="IK580" s="302" t="e">
        <f>IK573+IK576</f>
        <v>#REF!</v>
      </c>
      <c r="IL580" s="302" t="e">
        <f t="shared" si="280"/>
        <v>#REF!</v>
      </c>
      <c r="IM580" s="346">
        <f>+FISC!AF805</f>
        <v>-1466.2817078287753</v>
      </c>
      <c r="IN580" s="302" t="e">
        <f>IN573+IN576</f>
        <v>#REF!</v>
      </c>
      <c r="IO580" s="302" t="e">
        <f t="shared" si="334"/>
        <v>#REF!</v>
      </c>
      <c r="IP580" s="346">
        <f>+FISC!AG805</f>
        <v>3797.4432834202044</v>
      </c>
      <c r="IQ580" s="302">
        <f>IQ573+IQ576</f>
        <v>3033.4035256942771</v>
      </c>
      <c r="IR580" s="302">
        <f t="shared" si="281"/>
        <v>3701.9355100140228</v>
      </c>
      <c r="IS580" s="346">
        <f>+FISC!AH805</f>
        <v>6735.3390357082999</v>
      </c>
      <c r="IT580" s="302">
        <f>IT573+IT576</f>
        <v>3723.9248818479673</v>
      </c>
      <c r="IU580" s="302">
        <f t="shared" si="282"/>
        <v>3643.741655967764</v>
      </c>
      <c r="IV580" s="346">
        <f>+FISC!AI805</f>
        <v>7367.6665378157313</v>
      </c>
      <c r="IW580" s="302">
        <f>IW573+IW576</f>
        <v>-2162.4914058650234</v>
      </c>
      <c r="IX580" s="302">
        <f t="shared" si="283"/>
        <v>-2568.0449116043278</v>
      </c>
      <c r="IY580" s="346">
        <f>+FISC!AJ805</f>
        <v>-4730.5363174693512</v>
      </c>
      <c r="IZ580" s="302" t="e">
        <f>IZ573+IZ576</f>
        <v>#DIV/0!</v>
      </c>
      <c r="JA580" s="302" t="e">
        <f t="shared" si="284"/>
        <v>#DIV/0!</v>
      </c>
      <c r="JB580" s="346" t="e">
        <f>+FISC!AK805</f>
        <v>#DIV/0!</v>
      </c>
      <c r="JC580" s="346"/>
      <c r="KI580" s="349"/>
      <c r="KJ580" s="350"/>
      <c r="KM580" s="302">
        <f>KM573+KM576</f>
        <v>0</v>
      </c>
      <c r="KN580" s="302">
        <f>KN573+KN576</f>
        <v>0</v>
      </c>
      <c r="KO580" s="302">
        <f>KO573+KO576</f>
        <v>0</v>
      </c>
      <c r="KP580" s="302">
        <f>KP573+KP576</f>
        <v>0</v>
      </c>
    </row>
    <row r="581" spans="1:302">
      <c r="A581" s="302"/>
      <c r="D581" s="351"/>
      <c r="E581" s="346"/>
      <c r="F581" s="346"/>
      <c r="G581" s="346"/>
      <c r="H581" s="346"/>
      <c r="I581" s="346"/>
      <c r="J581" s="346"/>
      <c r="K581" s="346"/>
      <c r="L581" s="346"/>
      <c r="M581" s="346"/>
      <c r="N581" s="346"/>
      <c r="O581" s="346"/>
      <c r="P581" s="346"/>
      <c r="Q581" s="346"/>
      <c r="R581" s="346"/>
      <c r="S581" s="346"/>
      <c r="T581" s="346"/>
      <c r="U581" s="346"/>
      <c r="V581" s="346"/>
      <c r="W581" s="346"/>
      <c r="X581" s="346"/>
      <c r="Y581" s="346"/>
      <c r="Z581" s="346"/>
      <c r="AA581" s="346"/>
      <c r="AB581" s="346"/>
      <c r="AC581" s="346"/>
      <c r="AD581" s="346"/>
      <c r="AE581" s="346"/>
      <c r="AF581" s="346"/>
      <c r="AG581" s="346"/>
      <c r="AH581" s="346"/>
      <c r="AI581" s="346"/>
      <c r="AJ581" s="346"/>
      <c r="AK581" s="346"/>
      <c r="AL581" s="346"/>
      <c r="AM581" s="346"/>
      <c r="AN581" s="346"/>
      <c r="AO581" s="346"/>
      <c r="AP581" s="346"/>
      <c r="AQ581" s="346"/>
      <c r="AR581" s="346"/>
      <c r="AS581" s="346"/>
      <c r="AT581" s="346"/>
      <c r="AU581" s="346"/>
      <c r="AV581" s="346"/>
      <c r="AW581" s="346"/>
      <c r="AX581" s="346"/>
      <c r="AY581" s="346"/>
      <c r="AZ581" s="346"/>
      <c r="BA581" s="346"/>
      <c r="BB581" s="346"/>
      <c r="BC581" s="346"/>
      <c r="BD581" s="346"/>
      <c r="BE581" s="346"/>
      <c r="BF581" s="346"/>
      <c r="BG581" s="346"/>
      <c r="BH581" s="346"/>
      <c r="BI581" s="346"/>
      <c r="BJ581" s="346"/>
      <c r="BK581" s="346"/>
      <c r="BL581" s="346"/>
      <c r="BM581" s="346"/>
      <c r="BN581" s="346"/>
      <c r="BO581" s="346"/>
      <c r="BP581" s="346"/>
      <c r="BQ581" s="346"/>
      <c r="BR581" s="346"/>
      <c r="BS581" s="346"/>
      <c r="BT581" s="346"/>
      <c r="BU581" s="346"/>
      <c r="BV581" s="346"/>
      <c r="BW581" s="346"/>
      <c r="BX581" s="346"/>
      <c r="BY581" s="346"/>
      <c r="BZ581" s="346"/>
      <c r="CA581" s="346"/>
      <c r="CB581" s="346"/>
      <c r="CC581" s="346"/>
      <c r="CD581" s="346"/>
      <c r="CE581" s="347"/>
      <c r="CF581" s="346"/>
      <c r="CG581" s="346"/>
      <c r="CH581" s="346"/>
      <c r="CI581" s="346"/>
      <c r="CJ581" s="346"/>
      <c r="CK581" s="346"/>
      <c r="CL581" s="346"/>
      <c r="CM581" s="346"/>
      <c r="CN581" s="346"/>
      <c r="CO581" s="346"/>
      <c r="CP581" s="348"/>
      <c r="CQ581" s="346"/>
      <c r="CR581" s="346"/>
      <c r="CS581" s="346"/>
      <c r="CT581" s="346"/>
      <c r="CU581" s="346"/>
      <c r="CV581" s="346"/>
      <c r="CW581" s="346"/>
      <c r="CX581" s="346"/>
      <c r="CY581" s="346"/>
      <c r="CZ581" s="346"/>
      <c r="DA581" s="346"/>
      <c r="DB581" s="1479"/>
      <c r="DC581" s="346"/>
      <c r="DD581" s="346"/>
      <c r="DE581" s="346"/>
      <c r="DF581" s="346"/>
      <c r="DG581" s="346"/>
      <c r="DH581" s="346"/>
      <c r="DI581" s="346"/>
      <c r="DJ581" s="346"/>
      <c r="DK581" s="346"/>
      <c r="DL581" s="346"/>
      <c r="DM581" s="346"/>
      <c r="DN581" s="348"/>
      <c r="DO581" s="346"/>
      <c r="DP581" s="346"/>
      <c r="DQ581" s="346"/>
      <c r="DR581" s="346"/>
      <c r="DS581" s="346"/>
      <c r="DT581" s="346"/>
      <c r="DU581" s="346"/>
      <c r="DV581" s="346"/>
      <c r="DW581" s="346"/>
      <c r="DX581" s="346"/>
      <c r="DY581" s="346"/>
      <c r="DZ581" s="348"/>
      <c r="EA581" s="346"/>
      <c r="EB581" s="346"/>
      <c r="EC581" s="346"/>
      <c r="ED581" s="346"/>
      <c r="EE581" s="346"/>
      <c r="EF581" s="346"/>
      <c r="EG581" s="346"/>
      <c r="EH581" s="346"/>
      <c r="EI581" s="346"/>
      <c r="EJ581" s="346"/>
      <c r="EK581" s="346"/>
      <c r="EL581" s="348"/>
      <c r="EM581" s="346"/>
      <c r="EN581" s="346"/>
      <c r="EO581" s="346"/>
      <c r="EP581" s="346"/>
      <c r="EQ581" s="346"/>
      <c r="ER581" s="346"/>
      <c r="ES581" s="346"/>
      <c r="ET581" s="346"/>
      <c r="EU581" s="346"/>
      <c r="EV581" s="346"/>
      <c r="EW581" s="346"/>
      <c r="EX581" s="348"/>
      <c r="EY581" s="346"/>
      <c r="EZ581" s="346"/>
      <c r="FA581" s="346"/>
      <c r="FB581" s="346"/>
      <c r="FC581" s="346"/>
      <c r="FD581" s="346"/>
      <c r="FE581" s="346"/>
      <c r="FF581" s="346"/>
      <c r="FG581" s="346"/>
      <c r="FH581" s="346"/>
      <c r="FI581" s="346"/>
      <c r="FJ581" s="348"/>
      <c r="FK581" s="346"/>
      <c r="FL581" s="346"/>
      <c r="FM581" s="346"/>
      <c r="FN581" s="346"/>
      <c r="FO581" s="346"/>
      <c r="FP581" s="346"/>
      <c r="FQ581" s="346"/>
      <c r="FR581" s="346"/>
      <c r="FS581" s="346"/>
      <c r="FT581" s="346"/>
      <c r="FU581" s="346"/>
      <c r="FV581" s="346"/>
      <c r="FW581" s="346"/>
      <c r="FX581" s="346"/>
      <c r="FY581" s="346"/>
      <c r="FZ581" s="346"/>
      <c r="GA581" s="346"/>
      <c r="GB581" s="346"/>
      <c r="GC581" s="346"/>
      <c r="GD581" s="346"/>
      <c r="GE581" s="346"/>
      <c r="GF581" s="346"/>
      <c r="GG581" s="346"/>
      <c r="GH581" s="346"/>
      <c r="GI581" s="346"/>
      <c r="GJ581" s="346"/>
      <c r="GK581" s="346"/>
      <c r="GL581" s="346"/>
      <c r="GM581" s="346"/>
      <c r="GN581" s="346"/>
      <c r="GO581" s="346"/>
      <c r="GP581" s="346"/>
      <c r="GQ581" s="346"/>
      <c r="GR581" s="346"/>
      <c r="GS581" s="346"/>
      <c r="GT581" s="346"/>
      <c r="GU581" s="346"/>
      <c r="GV581" s="346"/>
      <c r="GW581" s="346"/>
      <c r="GX581" s="346"/>
      <c r="GY581" s="346"/>
      <c r="GZ581" s="346"/>
      <c r="HA581" s="346"/>
      <c r="HB581" s="346"/>
      <c r="HC581" s="346"/>
      <c r="HD581" s="346"/>
      <c r="HE581" s="346"/>
      <c r="HF581" s="346"/>
      <c r="HG581" s="346"/>
      <c r="HH581" s="346"/>
      <c r="HI581" s="346"/>
      <c r="HJ581" s="346"/>
      <c r="HK581" s="346"/>
      <c r="HL581" s="346"/>
      <c r="HM581" s="346"/>
      <c r="HN581" s="349"/>
      <c r="HO581" s="351"/>
      <c r="HP581" s="351"/>
      <c r="HQ581" s="351"/>
      <c r="HR581" s="346">
        <f>+FISC!Z806</f>
        <v>0</v>
      </c>
      <c r="HU581" s="346"/>
      <c r="HX581" s="346"/>
      <c r="IA581" s="346"/>
      <c r="IC581" s="350"/>
      <c r="ID581" s="346"/>
      <c r="IG581" s="346"/>
      <c r="IH581" s="350"/>
      <c r="II581" s="350"/>
      <c r="IJ581" s="346">
        <f>+FISC!AE806</f>
        <v>0</v>
      </c>
      <c r="IK581" s="302">
        <f>IM581*JI581</f>
        <v>0</v>
      </c>
      <c r="IL581" s="302">
        <f t="shared" si="280"/>
        <v>0</v>
      </c>
      <c r="IM581" s="346">
        <f>+FISC!AF806</f>
        <v>0</v>
      </c>
      <c r="IN581" s="302">
        <f t="shared" si="292"/>
        <v>0</v>
      </c>
      <c r="IO581" s="302">
        <f t="shared" si="334"/>
        <v>0</v>
      </c>
      <c r="IP581" s="346">
        <f>+FISC!AG806</f>
        <v>0</v>
      </c>
      <c r="IQ581" s="302">
        <f t="shared" si="293"/>
        <v>0</v>
      </c>
      <c r="IR581" s="302">
        <f t="shared" si="281"/>
        <v>0</v>
      </c>
      <c r="IS581" s="346">
        <f>+FISC!AH806</f>
        <v>0</v>
      </c>
      <c r="IT581" s="302">
        <f t="shared" si="294"/>
        <v>0</v>
      </c>
      <c r="IU581" s="302">
        <f t="shared" si="282"/>
        <v>0</v>
      </c>
      <c r="IV581" s="346">
        <f>+FISC!AI806</f>
        <v>0</v>
      </c>
      <c r="IW581" s="302">
        <f t="shared" si="295"/>
        <v>0</v>
      </c>
      <c r="IX581" s="302">
        <f t="shared" si="283"/>
        <v>0</v>
      </c>
      <c r="IY581" s="346">
        <f>+FISC!AJ806</f>
        <v>0</v>
      </c>
      <c r="IZ581" s="302">
        <f t="shared" si="296"/>
        <v>0</v>
      </c>
      <c r="JA581" s="302">
        <f t="shared" si="284"/>
        <v>0</v>
      </c>
      <c r="JB581" s="346">
        <f>+FISC!AK806</f>
        <v>0</v>
      </c>
      <c r="JC581" s="346"/>
      <c r="KI581" s="349"/>
      <c r="KJ581" s="350"/>
    </row>
    <row r="582" spans="1:302">
      <c r="A582" s="302"/>
      <c r="B582" s="117" t="s">
        <v>361</v>
      </c>
      <c r="D582" s="345" t="str">
        <f>+FISC!D807</f>
        <v>Financing</v>
      </c>
      <c r="E582" s="346">
        <f t="shared" ref="E582:BP582" si="406">-E579</f>
        <v>2.8905248749041235</v>
      </c>
      <c r="F582" s="346">
        <f t="shared" si="406"/>
        <v>9.2662870787199978</v>
      </c>
      <c r="G582" s="346">
        <f t="shared" si="406"/>
        <v>21.914282177032497</v>
      </c>
      <c r="H582" s="346">
        <f t="shared" si="406"/>
        <v>5.9711837731282724</v>
      </c>
      <c r="I582" s="346">
        <f t="shared" si="406"/>
        <v>-18.141896618102002</v>
      </c>
      <c r="J582" s="346">
        <f t="shared" si="406"/>
        <v>-44.969706188274117</v>
      </c>
      <c r="K582" s="346">
        <f t="shared" si="406"/>
        <v>14.536695140326309</v>
      </c>
      <c r="L582" s="346">
        <f t="shared" si="406"/>
        <v>4.9226736018496027</v>
      </c>
      <c r="M582" s="346">
        <f t="shared" si="406"/>
        <v>25.195262831884001</v>
      </c>
      <c r="N582" s="346">
        <f t="shared" si="406"/>
        <v>11.605301761740007</v>
      </c>
      <c r="O582" s="346">
        <f t="shared" si="406"/>
        <v>5.5630141200999947</v>
      </c>
      <c r="P582" s="346">
        <f t="shared" si="406"/>
        <v>0.30726643007999854</v>
      </c>
      <c r="Q582" s="346">
        <f t="shared" si="406"/>
        <v>-4.4744952606083945</v>
      </c>
      <c r="R582" s="346">
        <f t="shared" si="406"/>
        <v>14.044022172342702</v>
      </c>
      <c r="S582" s="346">
        <f t="shared" si="406"/>
        <v>-28.116088515274988</v>
      </c>
      <c r="T582" s="346">
        <f t="shared" si="406"/>
        <v>25.834328408264</v>
      </c>
      <c r="U582" s="346">
        <f t="shared" si="406"/>
        <v>-17.091404588344506</v>
      </c>
      <c r="V582" s="346">
        <f t="shared" si="406"/>
        <v>-34.327745121608004</v>
      </c>
      <c r="W582" s="346">
        <f t="shared" si="406"/>
        <v>18.315702368349999</v>
      </c>
      <c r="X582" s="346">
        <f t="shared" si="406"/>
        <v>6.6605162444080044</v>
      </c>
      <c r="Y582" s="346">
        <f t="shared" si="406"/>
        <v>13.222714064604808</v>
      </c>
      <c r="Z582" s="346">
        <f t="shared" si="406"/>
        <v>16.339980834573389</v>
      </c>
      <c r="AA582" s="346">
        <f t="shared" si="406"/>
        <v>25.516383422789403</v>
      </c>
      <c r="AB582" s="346">
        <f t="shared" si="406"/>
        <v>-38.912006468292994</v>
      </c>
      <c r="AC582" s="346">
        <f t="shared" si="406"/>
        <v>20.823433762000001</v>
      </c>
      <c r="AD582" s="346">
        <f t="shared" si="406"/>
        <v>-0.17788372700000232</v>
      </c>
      <c r="AE582" s="346">
        <f t="shared" si="406"/>
        <v>35.522833658000003</v>
      </c>
      <c r="AF582" s="346">
        <f t="shared" si="406"/>
        <v>-16.471097364999999</v>
      </c>
      <c r="AG582" s="346">
        <f t="shared" si="406"/>
        <v>11.312669280999996</v>
      </c>
      <c r="AH582" s="346">
        <f t="shared" si="406"/>
        <v>-33.495558960999972</v>
      </c>
      <c r="AI582" s="346">
        <f t="shared" si="406"/>
        <v>-9.6035356999999948</v>
      </c>
      <c r="AJ582" s="346">
        <f t="shared" si="406"/>
        <v>25.479925335999994</v>
      </c>
      <c r="AK582" s="346">
        <f t="shared" si="406"/>
        <v>-8.2951844279999829</v>
      </c>
      <c r="AL582" s="346">
        <f t="shared" si="406"/>
        <v>-18.325264832999999</v>
      </c>
      <c r="AM582" s="346">
        <f t="shared" si="406"/>
        <v>25.604472352000009</v>
      </c>
      <c r="AN582" s="346">
        <f t="shared" si="406"/>
        <v>6.2050373570000144</v>
      </c>
      <c r="AO582" s="346">
        <f t="shared" si="406"/>
        <v>-6.7539305167400059</v>
      </c>
      <c r="AP582" s="346">
        <f t="shared" si="406"/>
        <v>9.6767797020600099</v>
      </c>
      <c r="AQ582" s="346">
        <f t="shared" si="406"/>
        <v>9.4503527713272408</v>
      </c>
      <c r="AR582" s="346">
        <f t="shared" si="406"/>
        <v>16.097627978120006</v>
      </c>
      <c r="AS582" s="346">
        <f t="shared" si="406"/>
        <v>7.561540453347984</v>
      </c>
      <c r="AT582" s="346">
        <f t="shared" si="406"/>
        <v>-36.035087890934399</v>
      </c>
      <c r="AU582" s="346">
        <f t="shared" si="406"/>
        <v>8.3802143252400008</v>
      </c>
      <c r="AV582" s="346">
        <f t="shared" si="406"/>
        <v>35.297755937880012</v>
      </c>
      <c r="AW582" s="346">
        <f t="shared" si="406"/>
        <v>-34.137960797449999</v>
      </c>
      <c r="AX582" s="346">
        <f t="shared" si="406"/>
        <v>30.747768710079988</v>
      </c>
      <c r="AY582" s="346">
        <f t="shared" si="406"/>
        <v>6.6192430229007897</v>
      </c>
      <c r="AZ582" s="346">
        <f t="shared" si="406"/>
        <v>-29.749638675632497</v>
      </c>
      <c r="BA582" s="346">
        <f t="shared" si="406"/>
        <v>-3.5105459550000084</v>
      </c>
      <c r="BB582" s="346">
        <f t="shared" si="406"/>
        <v>7.8065772179999984</v>
      </c>
      <c r="BC582" s="346">
        <f t="shared" si="406"/>
        <v>56.295423991000014</v>
      </c>
      <c r="BD582" s="346">
        <f t="shared" si="406"/>
        <v>-36.055197685759985</v>
      </c>
      <c r="BE582" s="346">
        <f t="shared" si="406"/>
        <v>50.927509479769995</v>
      </c>
      <c r="BF582" s="346">
        <f t="shared" si="406"/>
        <v>39.478551934000009</v>
      </c>
      <c r="BG582" s="346">
        <f t="shared" si="406"/>
        <v>-24.85355121680001</v>
      </c>
      <c r="BH582" s="346">
        <f t="shared" si="406"/>
        <v>-36.915925751200014</v>
      </c>
      <c r="BI582" s="346">
        <f t="shared" si="406"/>
        <v>-13.178281442900019</v>
      </c>
      <c r="BJ582" s="346">
        <f t="shared" si="406"/>
        <v>-57.343406230180008</v>
      </c>
      <c r="BK582" s="346">
        <f t="shared" si="406"/>
        <v>33.614613657000021</v>
      </c>
      <c r="BL582" s="346">
        <f t="shared" si="406"/>
        <v>-0.32978904600001613</v>
      </c>
      <c r="BM582" s="346">
        <f t="shared" si="406"/>
        <v>16.630474219890015</v>
      </c>
      <c r="BN582" s="346">
        <f t="shared" si="406"/>
        <v>16.463532138479998</v>
      </c>
      <c r="BO582" s="346">
        <f t="shared" si="406"/>
        <v>51.102759898999992</v>
      </c>
      <c r="BP582" s="346">
        <f t="shared" si="406"/>
        <v>30.405109080000031</v>
      </c>
      <c r="BQ582" s="346">
        <f t="shared" ref="BQ582:DN582" si="407">-BQ579</f>
        <v>38.520418634850003</v>
      </c>
      <c r="BR582" s="346">
        <f t="shared" si="407"/>
        <v>12.559368134954248</v>
      </c>
      <c r="BS582" s="346">
        <f t="shared" si="407"/>
        <v>-53.010399451901648</v>
      </c>
      <c r="BT582" s="346">
        <f t="shared" si="407"/>
        <v>6.3093905400688817</v>
      </c>
      <c r="BU582" s="346">
        <f t="shared" si="407"/>
        <v>73.060097323727888</v>
      </c>
      <c r="BV582" s="346">
        <f t="shared" si="407"/>
        <v>5.9118956241095049</v>
      </c>
      <c r="BW582" s="346">
        <f t="shared" si="407"/>
        <v>-18.135569673433722</v>
      </c>
      <c r="BX582" s="346">
        <f t="shared" si="407"/>
        <v>-60.787193092690352</v>
      </c>
      <c r="BY582" s="346">
        <f t="shared" si="407"/>
        <v>27.04576118312729</v>
      </c>
      <c r="BZ582" s="346">
        <f t="shared" si="407"/>
        <v>23.568025528720547</v>
      </c>
      <c r="CA582" s="346">
        <f t="shared" si="407"/>
        <v>-50.831770706868106</v>
      </c>
      <c r="CB582" s="346">
        <f t="shared" si="407"/>
        <v>35.736301905905833</v>
      </c>
      <c r="CC582" s="346">
        <f t="shared" si="407"/>
        <v>96.394358296720782</v>
      </c>
      <c r="CD582" s="346">
        <f t="shared" si="407"/>
        <v>-65.857510147153519</v>
      </c>
      <c r="CE582" s="347">
        <f t="shared" si="407"/>
        <v>-42.611157192623651</v>
      </c>
      <c r="CF582" s="346">
        <f t="shared" si="407"/>
        <v>18.66661570358573</v>
      </c>
      <c r="CG582" s="346">
        <f t="shared" si="407"/>
        <v>-38.008934492160407</v>
      </c>
      <c r="CH582" s="346">
        <f t="shared" si="407"/>
        <v>38.514668769760675</v>
      </c>
      <c r="CI582" s="346">
        <f t="shared" si="407"/>
        <v>21.779386044511419</v>
      </c>
      <c r="CJ582" s="346">
        <f t="shared" si="407"/>
        <v>-16.406120613149277</v>
      </c>
      <c r="CK582" s="346">
        <f t="shared" si="407"/>
        <v>35.801225611789647</v>
      </c>
      <c r="CL582" s="346">
        <f t="shared" si="407"/>
        <v>17.750653984684622</v>
      </c>
      <c r="CM582" s="346">
        <f t="shared" si="407"/>
        <v>13.620505742886285</v>
      </c>
      <c r="CN582" s="346">
        <f t="shared" si="407"/>
        <v>52.582086441552221</v>
      </c>
      <c r="CO582" s="346">
        <f t="shared" si="407"/>
        <v>45.046977973218411</v>
      </c>
      <c r="CP582" s="348">
        <f t="shared" si="407"/>
        <v>58.019672529565668</v>
      </c>
      <c r="CQ582" s="346">
        <f t="shared" si="407"/>
        <v>-12.078248993792499</v>
      </c>
      <c r="CR582" s="346">
        <f t="shared" si="407"/>
        <v>28.618039173970608</v>
      </c>
      <c r="CS582" s="346">
        <f t="shared" si="407"/>
        <v>44.63098184298962</v>
      </c>
      <c r="CT582" s="346">
        <f t="shared" si="407"/>
        <v>30.280187894794203</v>
      </c>
      <c r="CU582" s="346">
        <f t="shared" si="407"/>
        <v>11.355559313928776</v>
      </c>
      <c r="CV582" s="346">
        <f t="shared" si="407"/>
        <v>-51.408724548031103</v>
      </c>
      <c r="CW582" s="346">
        <f t="shared" si="407"/>
        <v>29.227554667949136</v>
      </c>
      <c r="CX582" s="346">
        <f t="shared" si="407"/>
        <v>8.7536303844279644</v>
      </c>
      <c r="CY582" s="346">
        <f t="shared" si="407"/>
        <v>4.095537144165033</v>
      </c>
      <c r="CZ582" s="346">
        <f t="shared" si="407"/>
        <v>69.175764483451331</v>
      </c>
      <c r="DA582" s="346">
        <f t="shared" si="407"/>
        <v>33.706261608939926</v>
      </c>
      <c r="DB582" s="1479">
        <f t="shared" si="407"/>
        <v>49.297017469276611</v>
      </c>
      <c r="DC582" s="346">
        <f t="shared" si="407"/>
        <v>-21.01034314000308</v>
      </c>
      <c r="DD582" s="346">
        <f t="shared" si="407"/>
        <v>39.638327966640006</v>
      </c>
      <c r="DE582" s="346">
        <f t="shared" si="407"/>
        <v>13.602407189849274</v>
      </c>
      <c r="DF582" s="346">
        <f t="shared" si="407"/>
        <v>50.095220644972244</v>
      </c>
      <c r="DG582" s="346">
        <f t="shared" si="407"/>
        <v>-6.3964191106506316</v>
      </c>
      <c r="DH582" s="346">
        <f t="shared" si="407"/>
        <v>12.04625458563622</v>
      </c>
      <c r="DI582" s="346">
        <f t="shared" si="407"/>
        <v>69.671095995240876</v>
      </c>
      <c r="DJ582" s="346">
        <f t="shared" si="407"/>
        <v>40.569365759944219</v>
      </c>
      <c r="DK582" s="346">
        <f t="shared" si="407"/>
        <v>-33.199133645478966</v>
      </c>
      <c r="DL582" s="346">
        <f t="shared" si="407"/>
        <v>36.48511287037401</v>
      </c>
      <c r="DM582" s="346">
        <f t="shared" si="407"/>
        <v>25.71798471314797</v>
      </c>
      <c r="DN582" s="348">
        <f t="shared" si="407"/>
        <v>13.380426570420113</v>
      </c>
      <c r="DO582" s="346">
        <f t="shared" ref="DO582:DT582" si="408">+DO584+DO596</f>
        <v>-18.610115880517696</v>
      </c>
      <c r="DP582" s="346">
        <f t="shared" si="408"/>
        <v>29.155063210428587</v>
      </c>
      <c r="DQ582" s="346">
        <f t="shared" si="408"/>
        <v>-12.218061145951339</v>
      </c>
      <c r="DR582" s="346">
        <f t="shared" si="408"/>
        <v>72.328972403040794</v>
      </c>
      <c r="DS582" s="346">
        <f t="shared" si="408"/>
        <v>36.737540294562955</v>
      </c>
      <c r="DT582" s="346">
        <f t="shared" si="408"/>
        <v>36.768730068418087</v>
      </c>
      <c r="DU582" s="346">
        <f t="shared" ref="DU582:DZ582" si="409">+DU584+DU596</f>
        <v>12.125211315510146</v>
      </c>
      <c r="DV582" s="346">
        <f t="shared" si="409"/>
        <v>63.874829682758644</v>
      </c>
      <c r="DW582" s="346">
        <f t="shared" si="409"/>
        <v>2.8679683300332286</v>
      </c>
      <c r="DX582" s="346">
        <f t="shared" si="409"/>
        <v>25.709592050473869</v>
      </c>
      <c r="DY582" s="346">
        <f t="shared" si="409"/>
        <v>83.880716954586859</v>
      </c>
      <c r="DZ582" s="348">
        <f t="shared" si="409"/>
        <v>48.901542297074172</v>
      </c>
      <c r="EA582" s="346">
        <f t="shared" ref="EA582:EJ582" si="410">+EA584+EA596</f>
        <v>8.4169905017107176</v>
      </c>
      <c r="EB582" s="346">
        <f t="shared" si="410"/>
        <v>59.088171074886105</v>
      </c>
      <c r="EC582" s="346">
        <f t="shared" si="410"/>
        <v>0.28666200017915955</v>
      </c>
      <c r="ED582" s="346">
        <f t="shared" si="410"/>
        <v>2.755653387457123</v>
      </c>
      <c r="EE582" s="346">
        <f t="shared" si="410"/>
        <v>117.17384742338236</v>
      </c>
      <c r="EF582" s="346">
        <f t="shared" si="410"/>
        <v>-86.746691540263029</v>
      </c>
      <c r="EG582" s="346">
        <f t="shared" si="410"/>
        <v>128.27609278499025</v>
      </c>
      <c r="EH582" s="346">
        <f t="shared" si="410"/>
        <v>12.76256905200119</v>
      </c>
      <c r="EI582" s="346">
        <f t="shared" si="410"/>
        <v>8.5029710223638393</v>
      </c>
      <c r="EJ582" s="346">
        <f t="shared" si="410"/>
        <v>29.056036548076975</v>
      </c>
      <c r="EK582" s="346">
        <f>+EK584+EK596</f>
        <v>84.696124022647822</v>
      </c>
      <c r="EL582" s="348">
        <f t="shared" ref="EL582:ER582" si="411">+EL584+EL596</f>
        <v>65.07914533846504</v>
      </c>
      <c r="EM582" s="346">
        <f t="shared" si="411"/>
        <v>11.285573385744014</v>
      </c>
      <c r="EN582" s="346">
        <f t="shared" si="411"/>
        <v>-12.72294946070102</v>
      </c>
      <c r="EO582" s="346">
        <f t="shared" si="411"/>
        <v>11.762117759693398</v>
      </c>
      <c r="EP582" s="346">
        <f t="shared" si="411"/>
        <v>69.213732095022209</v>
      </c>
      <c r="EQ582" s="346">
        <f t="shared" si="411"/>
        <v>18.542038231682909</v>
      </c>
      <c r="ER582" s="346">
        <f t="shared" si="411"/>
        <v>13.324061532422633</v>
      </c>
      <c r="ES582" s="346">
        <f t="shared" ref="ES582:EX582" si="412">+ES584+ES596</f>
        <v>66.55942431927312</v>
      </c>
      <c r="ET582" s="346">
        <f t="shared" si="412"/>
        <v>62.898686387428093</v>
      </c>
      <c r="EU582" s="346">
        <f t="shared" si="412"/>
        <v>45.388465364769402</v>
      </c>
      <c r="EV582" s="346">
        <f t="shared" si="412"/>
        <v>50.973734079675822</v>
      </c>
      <c r="EW582" s="346">
        <f t="shared" si="412"/>
        <v>46.819650288966571</v>
      </c>
      <c r="EX582" s="348">
        <f t="shared" si="412"/>
        <v>118.33613928008216</v>
      </c>
      <c r="EY582" s="346"/>
      <c r="EZ582" s="346"/>
      <c r="FA582" s="346"/>
      <c r="FB582" s="346"/>
      <c r="FC582" s="346"/>
      <c r="FD582" s="346"/>
      <c r="FE582" s="346"/>
      <c r="FF582" s="346"/>
      <c r="FG582" s="346"/>
      <c r="FH582" s="346"/>
      <c r="FI582" s="346"/>
      <c r="FJ582" s="348"/>
      <c r="FK582" s="346"/>
      <c r="FL582" s="346"/>
      <c r="FM582" s="346"/>
      <c r="FN582" s="346"/>
      <c r="FO582" s="346"/>
      <c r="FP582" s="346"/>
      <c r="FQ582" s="346"/>
      <c r="FR582" s="346"/>
      <c r="FS582" s="346"/>
      <c r="FT582" s="346"/>
      <c r="FU582" s="346"/>
      <c r="FV582" s="346"/>
      <c r="FW582" s="346"/>
      <c r="FX582" s="346"/>
      <c r="FY582" s="346"/>
      <c r="FZ582" s="346"/>
      <c r="GA582" s="346"/>
      <c r="GB582" s="346"/>
      <c r="GC582" s="346"/>
      <c r="GD582" s="346"/>
      <c r="GE582" s="346"/>
      <c r="GF582" s="346"/>
      <c r="GG582" s="346"/>
      <c r="GH582" s="346"/>
      <c r="GI582" s="346"/>
      <c r="GJ582" s="346"/>
      <c r="GK582" s="346"/>
      <c r="GL582" s="346"/>
      <c r="GM582" s="346"/>
      <c r="GN582" s="346"/>
      <c r="GO582" s="346"/>
      <c r="GP582" s="346"/>
      <c r="GQ582" s="346"/>
      <c r="GR582" s="346"/>
      <c r="GS582" s="346"/>
      <c r="GT582" s="346"/>
      <c r="GU582" s="346"/>
      <c r="GV582" s="346"/>
      <c r="GW582" s="346"/>
      <c r="GX582" s="346"/>
      <c r="GY582" s="346"/>
      <c r="GZ582" s="346"/>
      <c r="HA582" s="346"/>
      <c r="HB582" s="346"/>
      <c r="HC582" s="346"/>
      <c r="HD582" s="346"/>
      <c r="HE582" s="346"/>
      <c r="HF582" s="346"/>
      <c r="HG582" s="346"/>
      <c r="HH582" s="346"/>
      <c r="HI582" s="346"/>
      <c r="HJ582" s="346"/>
      <c r="HK582" s="346"/>
      <c r="HL582" s="346"/>
      <c r="HM582" s="346"/>
      <c r="HN582" s="349"/>
      <c r="HO582" s="345" t="s">
        <v>181</v>
      </c>
      <c r="HP582" s="345"/>
      <c r="HQ582" s="345"/>
      <c r="HR582" s="346">
        <f>+FISC!Z807</f>
        <v>197.61254199818421</v>
      </c>
      <c r="HS582" s="302">
        <f>-HS579</f>
        <v>28.397794683859544</v>
      </c>
      <c r="HT582" s="302">
        <f>-HT579</f>
        <v>194.25576575821</v>
      </c>
      <c r="HU582" s="346">
        <f>-HU579</f>
        <v>222.65356044206965</v>
      </c>
      <c r="HV582" s="302">
        <f>+HV584+HV596</f>
        <v>88.378745591420241</v>
      </c>
      <c r="HW582" s="302">
        <f>+HW584+HW596</f>
        <v>183.11622497139447</v>
      </c>
      <c r="HX582" s="346">
        <f>HV582+HW582</f>
        <v>271.49497056281473</v>
      </c>
      <c r="HY582" s="302">
        <f>+HY584+HY596</f>
        <v>144.16212894998142</v>
      </c>
      <c r="HZ582" s="302">
        <f>+HZ584+HZ596</f>
        <v>237.35986063043688</v>
      </c>
      <c r="IA582" s="346">
        <f t="shared" si="297"/>
        <v>381.52198958041834</v>
      </c>
      <c r="IB582" s="302">
        <f>-IB579</f>
        <v>132.49537945158221</v>
      </c>
      <c r="IC582" s="302">
        <f>-IC579</f>
        <v>259.69320093342191</v>
      </c>
      <c r="ID582" s="346">
        <f>FISC!AC807</f>
        <v>398.9867656101726</v>
      </c>
      <c r="IE582" s="302">
        <f>SUM(EM582:ER582)</f>
        <v>111.40457354386415</v>
      </c>
      <c r="IF582" s="302">
        <f>SUM(ES582:EX582)</f>
        <v>390.97609972019518</v>
      </c>
      <c r="IG582" s="346">
        <f t="shared" si="384"/>
        <v>502.38067326405934</v>
      </c>
      <c r="IH582" s="350" t="e">
        <f>-IH579</f>
        <v>#REF!</v>
      </c>
      <c r="II582" s="350" t="e">
        <f>-II579*0+IJ582-IH582</f>
        <v>#REF!</v>
      </c>
      <c r="IJ582" s="346">
        <f>+FISC!AE807</f>
        <v>1226.1509467500846</v>
      </c>
      <c r="IK582" s="350" t="e">
        <f>-IK579</f>
        <v>#REF!</v>
      </c>
      <c r="IL582" s="302" t="e">
        <f t="shared" si="280"/>
        <v>#REF!</v>
      </c>
      <c r="IM582" s="346">
        <f>+FISC!AF807</f>
        <v>973.99842550595372</v>
      </c>
      <c r="IN582" s="350" t="e">
        <f>-IN579</f>
        <v>#REF!</v>
      </c>
      <c r="IO582" s="302" t="e">
        <f t="shared" si="334"/>
        <v>#REF!</v>
      </c>
      <c r="IP582" s="346">
        <f>+FISC!AG807</f>
        <v>987.3478790734473</v>
      </c>
      <c r="IQ582" s="350">
        <f>-IQ579</f>
        <v>-3308.2909250234943</v>
      </c>
      <c r="IR582" s="302">
        <f t="shared" si="281"/>
        <v>4249.4190936229215</v>
      </c>
      <c r="IS582" s="346">
        <f>+FISC!AH807</f>
        <v>941.12816859942711</v>
      </c>
      <c r="IT582" s="350">
        <f>-IT579</f>
        <v>-4069.505107007375</v>
      </c>
      <c r="IU582" s="302">
        <f t="shared" si="282"/>
        <v>5647.1210763497893</v>
      </c>
      <c r="IV582" s="346">
        <f>+FISC!AI807</f>
        <v>1577.615969342414</v>
      </c>
      <c r="IW582" s="350">
        <f>-IW579</f>
        <v>1800.2405431422944</v>
      </c>
      <c r="IX582" s="302">
        <f t="shared" si="283"/>
        <v>-340.71703967753911</v>
      </c>
      <c r="IY582" s="346">
        <f>+FISC!AJ807</f>
        <v>1459.5235034647553</v>
      </c>
      <c r="IZ582" s="350" t="e">
        <f>-IZ579</f>
        <v>#DIV/0!</v>
      </c>
      <c r="JA582" s="302" t="e">
        <f t="shared" si="284"/>
        <v>#DIV/0!</v>
      </c>
      <c r="JB582" s="346" t="e">
        <f>+FISC!AK807</f>
        <v>#DIV/0!</v>
      </c>
      <c r="JC582" s="346"/>
      <c r="KI582" s="349"/>
      <c r="KJ582" s="350"/>
      <c r="KK582" s="302">
        <f>IB584-IB582</f>
        <v>76.513563812377328</v>
      </c>
      <c r="KM582" s="302">
        <f>-KM579</f>
        <v>0</v>
      </c>
      <c r="KN582" s="302">
        <f>-KN579</f>
        <v>0</v>
      </c>
      <c r="KO582" s="302">
        <f>-KO579</f>
        <v>0</v>
      </c>
      <c r="KP582" s="302">
        <f>-KP579</f>
        <v>0</v>
      </c>
    </row>
    <row r="583" spans="1:302">
      <c r="A583" s="302"/>
      <c r="D583" s="351"/>
      <c r="E583" s="346"/>
      <c r="F583" s="346"/>
      <c r="G583" s="346"/>
      <c r="H583" s="346"/>
      <c r="I583" s="346"/>
      <c r="J583" s="346"/>
      <c r="K583" s="346"/>
      <c r="L583" s="346"/>
      <c r="M583" s="346"/>
      <c r="N583" s="346"/>
      <c r="O583" s="346"/>
      <c r="P583" s="346"/>
      <c r="Q583" s="346"/>
      <c r="R583" s="346"/>
      <c r="S583" s="346"/>
      <c r="T583" s="346"/>
      <c r="U583" s="346"/>
      <c r="V583" s="346"/>
      <c r="W583" s="346"/>
      <c r="X583" s="346"/>
      <c r="Y583" s="346"/>
      <c r="Z583" s="346"/>
      <c r="AA583" s="346"/>
      <c r="AB583" s="346"/>
      <c r="AC583" s="346"/>
      <c r="AD583" s="346"/>
      <c r="AE583" s="346"/>
      <c r="AF583" s="346"/>
      <c r="AG583" s="346"/>
      <c r="AH583" s="346"/>
      <c r="AI583" s="346"/>
      <c r="AJ583" s="346"/>
      <c r="AK583" s="346"/>
      <c r="AL583" s="346"/>
      <c r="AM583" s="346"/>
      <c r="AN583" s="346"/>
      <c r="AO583" s="346"/>
      <c r="AP583" s="346"/>
      <c r="AQ583" s="346"/>
      <c r="AR583" s="346"/>
      <c r="AS583" s="346"/>
      <c r="AT583" s="346"/>
      <c r="AU583" s="346"/>
      <c r="AV583" s="346"/>
      <c r="AW583" s="346"/>
      <c r="AX583" s="346"/>
      <c r="AY583" s="346"/>
      <c r="AZ583" s="346"/>
      <c r="BA583" s="346"/>
      <c r="BB583" s="346"/>
      <c r="BC583" s="346"/>
      <c r="BD583" s="346"/>
      <c r="BE583" s="346"/>
      <c r="BF583" s="346"/>
      <c r="BG583" s="346"/>
      <c r="BH583" s="346"/>
      <c r="BI583" s="346"/>
      <c r="BJ583" s="346"/>
      <c r="BK583" s="346"/>
      <c r="BL583" s="346"/>
      <c r="BM583" s="346"/>
      <c r="BN583" s="346"/>
      <c r="BO583" s="346"/>
      <c r="BP583" s="346"/>
      <c r="BQ583" s="346"/>
      <c r="BR583" s="346"/>
      <c r="BS583" s="346"/>
      <c r="BT583" s="346"/>
      <c r="BU583" s="346"/>
      <c r="BV583" s="346"/>
      <c r="BW583" s="346"/>
      <c r="BX583" s="346"/>
      <c r="BY583" s="346"/>
      <c r="BZ583" s="346"/>
      <c r="CA583" s="346"/>
      <c r="CB583" s="346"/>
      <c r="CC583" s="346"/>
      <c r="CD583" s="346"/>
      <c r="CE583" s="347"/>
      <c r="CF583" s="346"/>
      <c r="CG583" s="346"/>
      <c r="CH583" s="346"/>
      <c r="CI583" s="346"/>
      <c r="CJ583" s="346"/>
      <c r="CK583" s="346"/>
      <c r="CL583" s="346"/>
      <c r="CM583" s="346"/>
      <c r="CN583" s="346"/>
      <c r="CO583" s="346"/>
      <c r="CP583" s="348"/>
      <c r="CQ583" s="346"/>
      <c r="CR583" s="346"/>
      <c r="CS583" s="346"/>
      <c r="CT583" s="346"/>
      <c r="CU583" s="346"/>
      <c r="CV583" s="346"/>
      <c r="CW583" s="346"/>
      <c r="CX583" s="346"/>
      <c r="CY583" s="346"/>
      <c r="CZ583" s="346"/>
      <c r="DA583" s="346"/>
      <c r="DB583" s="1479"/>
      <c r="DC583" s="346"/>
      <c r="DD583" s="346"/>
      <c r="DE583" s="346"/>
      <c r="DF583" s="346"/>
      <c r="DG583" s="346"/>
      <c r="DH583" s="346"/>
      <c r="DI583" s="346"/>
      <c r="DJ583" s="346"/>
      <c r="DK583" s="346"/>
      <c r="DL583" s="346"/>
      <c r="DM583" s="346"/>
      <c r="DN583" s="348"/>
      <c r="DO583" s="346"/>
      <c r="DP583" s="346"/>
      <c r="DQ583" s="346"/>
      <c r="DR583" s="346"/>
      <c r="DS583" s="346"/>
      <c r="DT583" s="346"/>
      <c r="DU583" s="346"/>
      <c r="DV583" s="346"/>
      <c r="DW583" s="346"/>
      <c r="DX583" s="346"/>
      <c r="DY583" s="346"/>
      <c r="DZ583" s="348"/>
      <c r="EA583" s="346"/>
      <c r="EB583" s="346"/>
      <c r="EC583" s="346"/>
      <c r="ED583" s="346"/>
      <c r="EE583" s="346"/>
      <c r="EF583" s="346"/>
      <c r="EG583" s="346"/>
      <c r="EH583" s="346"/>
      <c r="EI583" s="346"/>
      <c r="EJ583" s="346"/>
      <c r="EK583" s="346"/>
      <c r="EL583" s="348"/>
      <c r="EM583" s="346"/>
      <c r="EN583" s="346"/>
      <c r="EO583" s="346"/>
      <c r="EP583" s="346"/>
      <c r="EQ583" s="346"/>
      <c r="ER583" s="346"/>
      <c r="ES583" s="346"/>
      <c r="ET583" s="346"/>
      <c r="EU583" s="346"/>
      <c r="EV583" s="346"/>
      <c r="EW583" s="346"/>
      <c r="EX583" s="348"/>
      <c r="EY583" s="346"/>
      <c r="EZ583" s="346"/>
      <c r="FA583" s="346"/>
      <c r="FB583" s="346"/>
      <c r="FC583" s="346"/>
      <c r="FD583" s="346"/>
      <c r="FE583" s="346"/>
      <c r="FF583" s="346"/>
      <c r="FG583" s="346"/>
      <c r="FH583" s="346"/>
      <c r="FI583" s="346"/>
      <c r="FJ583" s="348"/>
      <c r="FK583" s="346"/>
      <c r="FL583" s="346"/>
      <c r="FM583" s="346"/>
      <c r="FN583" s="346"/>
      <c r="FO583" s="346"/>
      <c r="FP583" s="346"/>
      <c r="FQ583" s="346"/>
      <c r="FR583" s="346"/>
      <c r="FS583" s="346"/>
      <c r="FT583" s="346"/>
      <c r="FU583" s="346"/>
      <c r="FV583" s="346"/>
      <c r="FW583" s="346"/>
      <c r="FX583" s="346"/>
      <c r="FY583" s="346"/>
      <c r="FZ583" s="346"/>
      <c r="GA583" s="346"/>
      <c r="GB583" s="346"/>
      <c r="GC583" s="346"/>
      <c r="GD583" s="346"/>
      <c r="GE583" s="346"/>
      <c r="GF583" s="346"/>
      <c r="GG583" s="346"/>
      <c r="GH583" s="346"/>
      <c r="GI583" s="346"/>
      <c r="GJ583" s="346"/>
      <c r="GK583" s="346"/>
      <c r="GL583" s="346"/>
      <c r="GM583" s="346"/>
      <c r="GN583" s="346"/>
      <c r="GO583" s="346"/>
      <c r="GP583" s="346"/>
      <c r="GQ583" s="346"/>
      <c r="GR583" s="346"/>
      <c r="GS583" s="346"/>
      <c r="GT583" s="346"/>
      <c r="GU583" s="346"/>
      <c r="GV583" s="346"/>
      <c r="GW583" s="346"/>
      <c r="GX583" s="346"/>
      <c r="GY583" s="346"/>
      <c r="GZ583" s="346"/>
      <c r="HA583" s="346"/>
      <c r="HB583" s="346"/>
      <c r="HC583" s="346"/>
      <c r="HD583" s="346"/>
      <c r="HE583" s="346"/>
      <c r="HF583" s="346"/>
      <c r="HG583" s="346"/>
      <c r="HH583" s="346"/>
      <c r="HI583" s="346"/>
      <c r="HJ583" s="346"/>
      <c r="HK583" s="346"/>
      <c r="HL583" s="346"/>
      <c r="HM583" s="346"/>
      <c r="HN583" s="349"/>
      <c r="HO583" s="351"/>
      <c r="HP583" s="351"/>
      <c r="HQ583" s="351"/>
      <c r="HR583" s="346">
        <f>+FISC!Z808</f>
        <v>0</v>
      </c>
      <c r="HU583" s="346"/>
      <c r="HX583" s="346"/>
      <c r="IA583" s="346"/>
      <c r="IC583" s="350"/>
      <c r="ID583" s="346"/>
      <c r="IG583" s="346"/>
      <c r="IH583" s="350"/>
      <c r="II583" s="350"/>
      <c r="IJ583" s="346" t="str">
        <f>+FISC!AE808</f>
        <v xml:space="preserve"> </v>
      </c>
      <c r="IK583" s="302">
        <f>IM583*JI583</f>
        <v>0</v>
      </c>
      <c r="IL583" s="302">
        <f t="shared" si="280"/>
        <v>0</v>
      </c>
      <c r="IM583" s="346">
        <f>+FISC!AF808</f>
        <v>0</v>
      </c>
      <c r="IN583" s="302">
        <f t="shared" si="292"/>
        <v>0</v>
      </c>
      <c r="IO583" s="302">
        <f t="shared" si="334"/>
        <v>0</v>
      </c>
      <c r="IP583" s="346">
        <f>+FISC!AG808</f>
        <v>0</v>
      </c>
      <c r="IQ583" s="302">
        <f t="shared" si="293"/>
        <v>0</v>
      </c>
      <c r="IR583" s="302">
        <f t="shared" si="281"/>
        <v>0</v>
      </c>
      <c r="IS583" s="346">
        <f>+FISC!AH808</f>
        <v>0</v>
      </c>
      <c r="IT583" s="302">
        <f t="shared" si="294"/>
        <v>0</v>
      </c>
      <c r="IU583" s="302">
        <f t="shared" si="282"/>
        <v>0</v>
      </c>
      <c r="IV583" s="346">
        <f>+FISC!AI808</f>
        <v>0</v>
      </c>
      <c r="IW583" s="302">
        <f t="shared" si="295"/>
        <v>0</v>
      </c>
      <c r="IX583" s="302">
        <f t="shared" si="283"/>
        <v>0</v>
      </c>
      <c r="IY583" s="346">
        <f>+FISC!AJ808</f>
        <v>0</v>
      </c>
      <c r="IZ583" s="302">
        <f t="shared" si="296"/>
        <v>0</v>
      </c>
      <c r="JA583" s="302">
        <f t="shared" si="284"/>
        <v>0</v>
      </c>
      <c r="JB583" s="346">
        <f>+FISC!AK808</f>
        <v>0</v>
      </c>
      <c r="JC583" s="346"/>
      <c r="KI583" s="349"/>
      <c r="KJ583" s="350"/>
    </row>
    <row r="584" spans="1:302">
      <c r="A584" s="302"/>
      <c r="B584" s="117" t="s">
        <v>361</v>
      </c>
      <c r="D584" s="345" t="str">
        <f>+FISC!D809</f>
        <v>Foreign financing (net)</v>
      </c>
      <c r="E584" s="346">
        <f t="shared" ref="E584:BP584" si="413">E585+E595</f>
        <v>-0.50807036317380805</v>
      </c>
      <c r="F584" s="346">
        <f t="shared" si="413"/>
        <v>-3.3610918306800006E-2</v>
      </c>
      <c r="G584" s="346">
        <f t="shared" si="413"/>
        <v>10.397457793368302</v>
      </c>
      <c r="H584" s="346">
        <f t="shared" si="413"/>
        <v>-0.276455737578432</v>
      </c>
      <c r="I584" s="346">
        <f t="shared" si="413"/>
        <v>-0.12798318832220001</v>
      </c>
      <c r="J584" s="346">
        <f t="shared" si="413"/>
        <v>9.0944597461261001</v>
      </c>
      <c r="K584" s="346">
        <f t="shared" si="413"/>
        <v>-0.10911409420939988</v>
      </c>
      <c r="L584" s="346">
        <f t="shared" si="413"/>
        <v>-4.2709927436400001E-2</v>
      </c>
      <c r="M584" s="346">
        <f t="shared" si="413"/>
        <v>10.7865610018056</v>
      </c>
      <c r="N584" s="346">
        <f t="shared" si="413"/>
        <v>-3.807155156E-2</v>
      </c>
      <c r="O584" s="346">
        <f t="shared" si="413"/>
        <v>-0.77784387055999993</v>
      </c>
      <c r="P584" s="346">
        <f t="shared" si="413"/>
        <v>16.191599324879999</v>
      </c>
      <c r="Q584" s="346">
        <f t="shared" si="413"/>
        <v>-0.50161116085360002</v>
      </c>
      <c r="R584" s="346">
        <f t="shared" si="413"/>
        <v>-5.3357941889999996E-2</v>
      </c>
      <c r="S584" s="346">
        <f t="shared" si="413"/>
        <v>11.317881237878</v>
      </c>
      <c r="T584" s="346">
        <f t="shared" si="413"/>
        <v>0.67169293220400006</v>
      </c>
      <c r="U584" s="346">
        <f t="shared" si="413"/>
        <v>-0.163856145684</v>
      </c>
      <c r="V584" s="346">
        <f t="shared" si="413"/>
        <v>6.8213523351239997</v>
      </c>
      <c r="W584" s="346">
        <f t="shared" si="413"/>
        <v>1.3005350759400014E-2</v>
      </c>
      <c r="X584" s="346">
        <f t="shared" si="413"/>
        <v>3.998650096000006E-3</v>
      </c>
      <c r="Y584" s="346">
        <f t="shared" si="413"/>
        <v>9.6128784730768011</v>
      </c>
      <c r="Z584" s="346">
        <f t="shared" si="413"/>
        <v>-1.9543495164899977E-2</v>
      </c>
      <c r="AA584" s="346">
        <f t="shared" si="413"/>
        <v>-0.10399395625040002</v>
      </c>
      <c r="AB584" s="346">
        <f t="shared" si="413"/>
        <v>28.782368222892</v>
      </c>
      <c r="AC584" s="346">
        <f t="shared" si="413"/>
        <v>-0.52907199999999999</v>
      </c>
      <c r="AD584" s="346">
        <f t="shared" si="413"/>
        <v>-4.1878385000000004E-2</v>
      </c>
      <c r="AE584" s="346">
        <f t="shared" si="413"/>
        <v>12.106708015000001</v>
      </c>
      <c r="AF584" s="346">
        <f t="shared" si="413"/>
        <v>-0.26076719500000001</v>
      </c>
      <c r="AG584" s="346">
        <f t="shared" si="413"/>
        <v>-0.15922959</v>
      </c>
      <c r="AH584" s="346">
        <f t="shared" si="413"/>
        <v>12.245775637000001</v>
      </c>
      <c r="AI584" s="346">
        <f t="shared" si="413"/>
        <v>-0.54568328499999996</v>
      </c>
      <c r="AJ584" s="346">
        <f t="shared" si="413"/>
        <v>-4.7101027999999996E-2</v>
      </c>
      <c r="AK584" s="346">
        <f t="shared" si="413"/>
        <v>7.2460043950000008</v>
      </c>
      <c r="AL584" s="346">
        <f t="shared" si="413"/>
        <v>-0.17289784</v>
      </c>
      <c r="AM584" s="346">
        <f t="shared" si="413"/>
        <v>-0.21172326799999999</v>
      </c>
      <c r="AN584" s="346">
        <f t="shared" si="413"/>
        <v>8.1221169589999995</v>
      </c>
      <c r="AO584" s="346">
        <f t="shared" si="413"/>
        <v>-0.50290532316275993</v>
      </c>
      <c r="AP584" s="346">
        <f t="shared" si="413"/>
        <v>-0.15814870683429999</v>
      </c>
      <c r="AQ584" s="346">
        <f t="shared" si="413"/>
        <v>5.2097932474452797</v>
      </c>
      <c r="AR584" s="346">
        <f t="shared" si="413"/>
        <v>-0.2297994379254</v>
      </c>
      <c r="AS584" s="346">
        <f t="shared" si="413"/>
        <v>-0.20176501846710002</v>
      </c>
      <c r="AT584" s="346">
        <f t="shared" si="413"/>
        <v>7.0226782051887504</v>
      </c>
      <c r="AU584" s="346">
        <f t="shared" si="413"/>
        <v>-1.0774999999999999</v>
      </c>
      <c r="AV584" s="346">
        <f t="shared" si="413"/>
        <v>-0.1545</v>
      </c>
      <c r="AW584" s="346">
        <f t="shared" si="413"/>
        <v>6.3510565599999991</v>
      </c>
      <c r="AX584" s="346">
        <f t="shared" si="413"/>
        <v>-0.68194363155999993</v>
      </c>
      <c r="AY584" s="346">
        <f t="shared" si="413"/>
        <v>-0.38759797281340003</v>
      </c>
      <c r="AZ584" s="346">
        <f t="shared" si="413"/>
        <v>13.8662032493305</v>
      </c>
      <c r="BA584" s="346">
        <f t="shared" si="413"/>
        <v>-1.158766612</v>
      </c>
      <c r="BB584" s="346">
        <f t="shared" si="413"/>
        <v>-0.101139462</v>
      </c>
      <c r="BC584" s="346">
        <f t="shared" si="413"/>
        <v>19.235095475000001</v>
      </c>
      <c r="BD584" s="346">
        <f t="shared" si="413"/>
        <v>-0.155374504</v>
      </c>
      <c r="BE584" s="346">
        <f t="shared" si="413"/>
        <v>20.975846718000003</v>
      </c>
      <c r="BF584" s="346">
        <f t="shared" si="413"/>
        <v>11.376847363</v>
      </c>
      <c r="BG584" s="346">
        <f t="shared" si="413"/>
        <v>-1.2117479499999999</v>
      </c>
      <c r="BH584" s="346">
        <f t="shared" si="413"/>
        <v>-0.10368931131</v>
      </c>
      <c r="BI584" s="346">
        <f t="shared" si="413"/>
        <v>8.5563409086000011</v>
      </c>
      <c r="BJ584" s="346">
        <f t="shared" si="413"/>
        <v>3.3630518521599999</v>
      </c>
      <c r="BK584" s="346">
        <f t="shared" si="413"/>
        <v>-0.94509411099999996</v>
      </c>
      <c r="BL584" s="346">
        <f t="shared" si="413"/>
        <v>64.984093047999991</v>
      </c>
      <c r="BM584" s="346">
        <f t="shared" si="413"/>
        <v>-1.1393097170000002</v>
      </c>
      <c r="BN584" s="346">
        <f t="shared" si="413"/>
        <v>-0.10130504225</v>
      </c>
      <c r="BO584" s="346">
        <f t="shared" si="413"/>
        <v>12.096889067999999</v>
      </c>
      <c r="BP584" s="346">
        <f t="shared" si="413"/>
        <v>-0.37928600191000006</v>
      </c>
      <c r="BQ584" s="346">
        <f t="shared" ref="BQ584:DN584" si="414">BQ585+BQ595</f>
        <v>-1.1134900000000001</v>
      </c>
      <c r="BR584" s="346">
        <f t="shared" si="414"/>
        <v>11.045804823999999</v>
      </c>
      <c r="BS584" s="346">
        <f t="shared" si="414"/>
        <v>-1.2683</v>
      </c>
      <c r="BT584" s="346">
        <f t="shared" si="414"/>
        <v>-9.9900000000000003E-2</v>
      </c>
      <c r="BU584" s="346">
        <f t="shared" si="414"/>
        <v>35.908200000000001</v>
      </c>
      <c r="BV584" s="346">
        <f t="shared" si="414"/>
        <v>1.5956689506576198</v>
      </c>
      <c r="BW584" s="346">
        <f t="shared" si="414"/>
        <v>5.4647202718430172</v>
      </c>
      <c r="BX584" s="346">
        <f t="shared" si="414"/>
        <v>4.6916419250035108</v>
      </c>
      <c r="BY584" s="346">
        <f t="shared" si="414"/>
        <v>0.75260748222076534</v>
      </c>
      <c r="BZ584" s="346">
        <f t="shared" si="414"/>
        <v>4.077499622103451</v>
      </c>
      <c r="CA584" s="346">
        <f t="shared" si="414"/>
        <v>4.7181280788894915</v>
      </c>
      <c r="CB584" s="346">
        <f t="shared" si="414"/>
        <v>3.4099613564677433</v>
      </c>
      <c r="CC584" s="346">
        <f t="shared" si="414"/>
        <v>4.8829959041910262</v>
      </c>
      <c r="CD584" s="346">
        <f t="shared" si="414"/>
        <v>24.361956062990608</v>
      </c>
      <c r="CE584" s="347">
        <f t="shared" si="414"/>
        <v>6.0648673378900142</v>
      </c>
      <c r="CF584" s="346">
        <f t="shared" si="414"/>
        <v>3.7943198551050905</v>
      </c>
      <c r="CG584" s="346">
        <f t="shared" si="414"/>
        <v>3.4143455195842343</v>
      </c>
      <c r="CH584" s="346">
        <f t="shared" si="414"/>
        <v>4.8064493127320151</v>
      </c>
      <c r="CI584" s="346">
        <f t="shared" si="414"/>
        <v>2.9333864288658735</v>
      </c>
      <c r="CJ584" s="346">
        <f t="shared" si="414"/>
        <v>6.0664323475203208</v>
      </c>
      <c r="CK584" s="346">
        <f t="shared" si="414"/>
        <v>10.54974338072898</v>
      </c>
      <c r="CL584" s="346">
        <f t="shared" si="414"/>
        <v>1.6094141646601652</v>
      </c>
      <c r="CM584" s="346">
        <f t="shared" si="414"/>
        <v>2.0088474897454565</v>
      </c>
      <c r="CN584" s="346">
        <f t="shared" si="414"/>
        <v>1.2718415560240695</v>
      </c>
      <c r="CO584" s="346">
        <f t="shared" si="414"/>
        <v>38.10535375062684</v>
      </c>
      <c r="CP584" s="348">
        <f t="shared" si="414"/>
        <v>24.531914229255314</v>
      </c>
      <c r="CQ584" s="346">
        <f t="shared" si="414"/>
        <v>4.9420193008418858</v>
      </c>
      <c r="CR584" s="346">
        <f t="shared" si="414"/>
        <v>3.8308939451566677</v>
      </c>
      <c r="CS584" s="346">
        <f t="shared" si="414"/>
        <v>12.00286724258406</v>
      </c>
      <c r="CT584" s="346">
        <f t="shared" si="414"/>
        <v>5.1893339261600904</v>
      </c>
      <c r="CU584" s="346">
        <f t="shared" si="414"/>
        <v>10.46585883733734</v>
      </c>
      <c r="CV584" s="346">
        <f t="shared" si="414"/>
        <v>67.021078465884145</v>
      </c>
      <c r="CW584" s="346">
        <f t="shared" si="414"/>
        <v>7.8762359651259253</v>
      </c>
      <c r="CX584" s="346">
        <f t="shared" si="414"/>
        <v>3.5485909032750431</v>
      </c>
      <c r="CY584" s="346">
        <f t="shared" si="414"/>
        <v>8.6557670022827384</v>
      </c>
      <c r="CZ584" s="346">
        <f t="shared" si="414"/>
        <v>48.213086059450021</v>
      </c>
      <c r="DA584" s="346">
        <f t="shared" si="414"/>
        <v>4.8957815003413128</v>
      </c>
      <c r="DB584" s="1479">
        <f t="shared" si="414"/>
        <v>11.545065657792968</v>
      </c>
      <c r="DC584" s="346">
        <f t="shared" si="414"/>
        <v>-0.32746269399886818</v>
      </c>
      <c r="DD584" s="346">
        <f t="shared" si="414"/>
        <v>3.5305284776444301</v>
      </c>
      <c r="DE584" s="346">
        <f t="shared" si="414"/>
        <v>55.40402819682587</v>
      </c>
      <c r="DF584" s="346">
        <f t="shared" si="414"/>
        <v>13.837937548729254</v>
      </c>
      <c r="DG584" s="346">
        <f t="shared" si="414"/>
        <v>4.0517228288185114</v>
      </c>
      <c r="DH584" s="346">
        <f t="shared" si="414"/>
        <v>90.018144492537417</v>
      </c>
      <c r="DI584" s="346">
        <f t="shared" si="414"/>
        <v>5.8757694289489741</v>
      </c>
      <c r="DJ584" s="346">
        <f t="shared" si="414"/>
        <v>21.472344372958734</v>
      </c>
      <c r="DK584" s="346">
        <f t="shared" si="414"/>
        <v>11.427946944314153</v>
      </c>
      <c r="DL584" s="346">
        <f t="shared" si="414"/>
        <v>10.494451571476269</v>
      </c>
      <c r="DM584" s="346">
        <f t="shared" si="414"/>
        <v>4.9315520607593966</v>
      </c>
      <c r="DN584" s="348">
        <f t="shared" si="414"/>
        <v>3.691164430675272</v>
      </c>
      <c r="DO584" s="346">
        <f t="shared" ref="DO584:DT584" si="415">DO585+DO595</f>
        <v>2.4828976559227027</v>
      </c>
      <c r="DP584" s="346">
        <f t="shared" si="415"/>
        <v>8.2479295940122039</v>
      </c>
      <c r="DQ584" s="346">
        <f t="shared" si="415"/>
        <v>34.80290039343646</v>
      </c>
      <c r="DR584" s="346">
        <f t="shared" si="415"/>
        <v>68.234891521118072</v>
      </c>
      <c r="DS584" s="346">
        <f t="shared" si="415"/>
        <v>9.7368212350321457</v>
      </c>
      <c r="DT584" s="346">
        <f t="shared" si="415"/>
        <v>93.306756981791452</v>
      </c>
      <c r="DU584" s="346">
        <f t="shared" ref="DU584:DZ584" si="416">DU585+DU595</f>
        <v>10.523081388542748</v>
      </c>
      <c r="DV584" s="346">
        <f t="shared" si="416"/>
        <v>2.9753375645376945</v>
      </c>
      <c r="DW584" s="346">
        <f t="shared" si="416"/>
        <v>16.285524088676041</v>
      </c>
      <c r="DX584" s="346">
        <f t="shared" si="416"/>
        <v>19.930253277965207</v>
      </c>
      <c r="DY584" s="346">
        <f t="shared" si="416"/>
        <v>36.579671090306043</v>
      </c>
      <c r="DZ584" s="348">
        <f t="shared" si="416"/>
        <v>19.882869600030467</v>
      </c>
      <c r="EA584" s="346">
        <f t="shared" ref="EA584:EK584" si="417">EA585+EA595</f>
        <v>8.4231752763884664</v>
      </c>
      <c r="EB584" s="346">
        <f t="shared" si="417"/>
        <v>31.683600606302893</v>
      </c>
      <c r="EC584" s="346">
        <f t="shared" si="417"/>
        <v>24.658814769659362</v>
      </c>
      <c r="ED584" s="346">
        <f t="shared" si="417"/>
        <v>18.683836442856141</v>
      </c>
      <c r="EE584" s="346">
        <f t="shared" si="417"/>
        <v>110.96608495911359</v>
      </c>
      <c r="EF584" s="346">
        <f t="shared" si="417"/>
        <v>14.51405999831908</v>
      </c>
      <c r="EG584" s="346">
        <f t="shared" si="417"/>
        <v>55.423346475873529</v>
      </c>
      <c r="EH584" s="346">
        <f t="shared" si="417"/>
        <v>3.8959698821168445</v>
      </c>
      <c r="EI584" s="346">
        <f t="shared" si="417"/>
        <v>14.580064284231812</v>
      </c>
      <c r="EJ584" s="346">
        <f t="shared" si="417"/>
        <v>8.8538571553240697</v>
      </c>
      <c r="EK584" s="346">
        <f t="shared" si="417"/>
        <v>38.389474378554652</v>
      </c>
      <c r="EL584" s="348">
        <f t="shared" ref="EL584:ER584" si="418">EL585+EL595</f>
        <v>25.956846648486049</v>
      </c>
      <c r="EM584" s="346">
        <f t="shared" si="418"/>
        <v>9.1306091178664825</v>
      </c>
      <c r="EN584" s="346">
        <f t="shared" si="418"/>
        <v>1.63542145193674</v>
      </c>
      <c r="EO584" s="346">
        <f t="shared" si="418"/>
        <v>10.987169894132018</v>
      </c>
      <c r="EP584" s="346">
        <f t="shared" si="418"/>
        <v>4.562096771518064</v>
      </c>
      <c r="EQ584" s="346">
        <f t="shared" si="418"/>
        <v>13.176531811450971</v>
      </c>
      <c r="ER584" s="346">
        <f t="shared" si="418"/>
        <v>219.27680270007269</v>
      </c>
      <c r="ES584" s="346">
        <f t="shared" ref="ES584:EX584" si="419">ES585+ES595</f>
        <v>22.37974998625814</v>
      </c>
      <c r="ET584" s="346">
        <f t="shared" si="419"/>
        <v>15.159283741393457</v>
      </c>
      <c r="EU584" s="346">
        <f t="shared" si="419"/>
        <v>11.394298316027328</v>
      </c>
      <c r="EV584" s="346">
        <f t="shared" si="419"/>
        <v>18.450060664160304</v>
      </c>
      <c r="EW584" s="346">
        <f t="shared" si="419"/>
        <v>16.139738200652342</v>
      </c>
      <c r="EX584" s="348">
        <f t="shared" si="419"/>
        <v>106.02020398827491</v>
      </c>
      <c r="EY584" s="346"/>
      <c r="EZ584" s="346"/>
      <c r="FA584" s="346"/>
      <c r="FB584" s="346"/>
      <c r="FC584" s="346"/>
      <c r="FD584" s="346"/>
      <c r="FE584" s="346"/>
      <c r="FF584" s="346"/>
      <c r="FG584" s="346"/>
      <c r="FH584" s="346"/>
      <c r="FI584" s="346"/>
      <c r="FJ584" s="348"/>
      <c r="FK584" s="346"/>
      <c r="FL584" s="346"/>
      <c r="FM584" s="346"/>
      <c r="FN584" s="346"/>
      <c r="FO584" s="346"/>
      <c r="FP584" s="346"/>
      <c r="FQ584" s="346"/>
      <c r="FR584" s="346"/>
      <c r="FS584" s="346"/>
      <c r="FT584" s="346"/>
      <c r="FU584" s="346"/>
      <c r="FV584" s="346"/>
      <c r="FW584" s="346"/>
      <c r="FX584" s="346"/>
      <c r="FY584" s="346"/>
      <c r="FZ584" s="346"/>
      <c r="GA584" s="346"/>
      <c r="GB584" s="346"/>
      <c r="GC584" s="346"/>
      <c r="GD584" s="346"/>
      <c r="GE584" s="346"/>
      <c r="GF584" s="346"/>
      <c r="GG584" s="346"/>
      <c r="GH584" s="346"/>
      <c r="GI584" s="346"/>
      <c r="GJ584" s="346"/>
      <c r="GK584" s="346"/>
      <c r="GL584" s="346"/>
      <c r="GM584" s="346"/>
      <c r="GN584" s="346"/>
      <c r="GO584" s="346"/>
      <c r="GP584" s="346"/>
      <c r="GQ584" s="346"/>
      <c r="GR584" s="346"/>
      <c r="GS584" s="346"/>
      <c r="GT584" s="346"/>
      <c r="GU584" s="346"/>
      <c r="GV584" s="346"/>
      <c r="GW584" s="346"/>
      <c r="GX584" s="346"/>
      <c r="GY584" s="346"/>
      <c r="GZ584" s="346"/>
      <c r="HA584" s="346"/>
      <c r="HB584" s="346"/>
      <c r="HC584" s="346"/>
      <c r="HD584" s="346"/>
      <c r="HE584" s="346"/>
      <c r="HF584" s="346"/>
      <c r="HG584" s="346"/>
      <c r="HH584" s="346"/>
      <c r="HI584" s="346"/>
      <c r="HJ584" s="346"/>
      <c r="HK584" s="346"/>
      <c r="HL584" s="346"/>
      <c r="HM584" s="346"/>
      <c r="HN584" s="349"/>
      <c r="HO584" s="345" t="s">
        <v>182</v>
      </c>
      <c r="HP584" s="345"/>
      <c r="HQ584" s="345"/>
      <c r="HR584" s="346">
        <f>+FISC!Z809</f>
        <v>188.3125419981842</v>
      </c>
      <c r="HS584" s="302">
        <f>HS585+HS595</f>
        <v>103.4520517179642</v>
      </c>
      <c r="HT584" s="302">
        <f>HT585+HT595</f>
        <v>84.73452708826801</v>
      </c>
      <c r="HU584" s="346">
        <f>SUM(CQ584:DB584)</f>
        <v>188.18657880623221</v>
      </c>
      <c r="HV584" s="302">
        <f>HV585+HV595</f>
        <v>166.51489885055659</v>
      </c>
      <c r="HW584" s="302">
        <f>HW585+HW595</f>
        <v>57.893228809132779</v>
      </c>
      <c r="HX584" s="346">
        <f>HX585+HX595</f>
        <v>224.4081276596894</v>
      </c>
      <c r="HY584" s="302">
        <f>HY585+HY595</f>
        <v>216.81219738131307</v>
      </c>
      <c r="HZ584" s="302">
        <f>HZ585+HZ595</f>
        <v>106.17673701005819</v>
      </c>
      <c r="IA584" s="346">
        <f t="shared" si="297"/>
        <v>322.98893439137123</v>
      </c>
      <c r="IB584" s="302">
        <f>IB585+IB595</f>
        <v>209.00894326395954</v>
      </c>
      <c r="IC584" s="302">
        <f>IC585+IC595</f>
        <v>147.02018761326696</v>
      </c>
      <c r="ID584" s="346">
        <f>FISC!AC809</f>
        <v>356.02913087722652</v>
      </c>
      <c r="IE584" s="302">
        <f>SUM(EM584:ER584)</f>
        <v>258.76863174697695</v>
      </c>
      <c r="IF584" s="302">
        <f>SUM(ES584:EX584)</f>
        <v>189.54333489676651</v>
      </c>
      <c r="IG584" s="346">
        <f t="shared" si="384"/>
        <v>448.31196664374346</v>
      </c>
      <c r="IH584" s="302">
        <f>(IH585+IH595)</f>
        <v>432.88968834181458</v>
      </c>
      <c r="II584" s="302">
        <f>II585+II595</f>
        <v>704.60893334524667</v>
      </c>
      <c r="IJ584" s="346">
        <f>+FISC!AE809</f>
        <v>1137.4986216870611</v>
      </c>
      <c r="IK584" s="302">
        <f>IK585+IK595</f>
        <v>437.89473914326157</v>
      </c>
      <c r="IL584" s="302">
        <f t="shared" si="280"/>
        <v>270.52368920369219</v>
      </c>
      <c r="IM584" s="346">
        <f>+FISC!AF809</f>
        <v>708.41842834695376</v>
      </c>
      <c r="IN584" s="302">
        <f>IN585+IN595</f>
        <v>491.72796325124045</v>
      </c>
      <c r="IO584" s="302">
        <f t="shared" si="334"/>
        <v>270.61991582220685</v>
      </c>
      <c r="IP584" s="346">
        <f>+FISC!AG809</f>
        <v>762.3478790734473</v>
      </c>
      <c r="IQ584" s="302">
        <f>IQ585+IQ595</f>
        <v>174.21931717378774</v>
      </c>
      <c r="IR584" s="302">
        <f t="shared" si="281"/>
        <v>606.36742572253627</v>
      </c>
      <c r="IS584" s="346">
        <f>+FISC!AH809</f>
        <v>780.58674289632404</v>
      </c>
      <c r="IT584" s="302">
        <f>IT585+IT595</f>
        <v>514.3699381378425</v>
      </c>
      <c r="IU584" s="302">
        <f t="shared" si="282"/>
        <v>762.18129884836196</v>
      </c>
      <c r="IV584" s="346">
        <f>+FISC!AI809</f>
        <v>1276.5512369862045</v>
      </c>
      <c r="IW584" s="302">
        <f>IW585+IW595</f>
        <v>1032.4082001035163</v>
      </c>
      <c r="IX584" s="302">
        <f t="shared" si="283"/>
        <v>252.21530336123897</v>
      </c>
      <c r="IY584" s="346">
        <f>+FISC!AJ809</f>
        <v>1284.6235034647552</v>
      </c>
      <c r="IZ584" s="302">
        <f>IZ585+IZ595</f>
        <v>1443.4456981983878</v>
      </c>
      <c r="JA584" s="302">
        <f t="shared" si="284"/>
        <v>368.34171420739267</v>
      </c>
      <c r="JB584" s="346">
        <f>+FISC!AK809</f>
        <v>1811.7874124057805</v>
      </c>
      <c r="JC584" s="346"/>
      <c r="KI584" s="349"/>
      <c r="KJ584" s="350"/>
      <c r="KM584" s="302">
        <f>KM585+KM595</f>
        <v>0</v>
      </c>
      <c r="KN584" s="302">
        <f>KN585+KN595</f>
        <v>0</v>
      </c>
      <c r="KO584" s="302">
        <f>KO585+KO595</f>
        <v>0</v>
      </c>
      <c r="KP584" s="302">
        <f>KP585+KP595</f>
        <v>0</v>
      </c>
    </row>
    <row r="585" spans="1:302">
      <c r="A585" s="302"/>
      <c r="B585" s="117" t="s">
        <v>361</v>
      </c>
      <c r="D585" s="599" t="str">
        <f>+FISC!D810</f>
        <v>Drawings</v>
      </c>
      <c r="E585" s="346">
        <f t="shared" ref="E585:BP585" si="420">E586+E591</f>
        <v>0</v>
      </c>
      <c r="F585" s="346">
        <f t="shared" si="420"/>
        <v>7.6695603000000001E-2</v>
      </c>
      <c r="G585" s="346">
        <f t="shared" si="420"/>
        <v>10.507307067000001</v>
      </c>
      <c r="H585" s="346">
        <f t="shared" si="420"/>
        <v>0</v>
      </c>
      <c r="I585" s="346">
        <f t="shared" si="420"/>
        <v>0</v>
      </c>
      <c r="J585" s="346">
        <f t="shared" si="420"/>
        <v>10.3</v>
      </c>
      <c r="K585" s="346">
        <f t="shared" si="420"/>
        <v>0.27223934000000005</v>
      </c>
      <c r="L585" s="346">
        <f t="shared" si="420"/>
        <v>0</v>
      </c>
      <c r="M585" s="346">
        <f t="shared" si="420"/>
        <v>10.9</v>
      </c>
      <c r="N585" s="346">
        <f t="shared" si="420"/>
        <v>0</v>
      </c>
      <c r="O585" s="346">
        <f t="shared" si="420"/>
        <v>0</v>
      </c>
      <c r="P585" s="346">
        <f t="shared" si="420"/>
        <v>17</v>
      </c>
      <c r="Q585" s="346">
        <f t="shared" si="420"/>
        <v>0</v>
      </c>
      <c r="R585" s="346">
        <f t="shared" si="420"/>
        <v>0</v>
      </c>
      <c r="S585" s="346">
        <f t="shared" si="420"/>
        <v>11.440704424</v>
      </c>
      <c r="T585" s="346">
        <f t="shared" si="420"/>
        <v>0.85609026600000004</v>
      </c>
      <c r="U585" s="346">
        <f t="shared" si="420"/>
        <v>0</v>
      </c>
      <c r="V585" s="346">
        <f t="shared" si="420"/>
        <v>8.4950942400000002</v>
      </c>
      <c r="W585" s="346">
        <f t="shared" si="420"/>
        <v>0.50553046499999998</v>
      </c>
      <c r="X585" s="346">
        <f t="shared" si="420"/>
        <v>5.9410344000000004E-2</v>
      </c>
      <c r="Y585" s="346">
        <f t="shared" si="420"/>
        <v>9.7330000000000005</v>
      </c>
      <c r="Z585" s="346">
        <f t="shared" si="420"/>
        <v>0.11423541600000001</v>
      </c>
      <c r="AA585" s="346">
        <f t="shared" si="420"/>
        <v>4.4888796999999994E-2</v>
      </c>
      <c r="AB585" s="346">
        <f t="shared" si="420"/>
        <v>29.1327</v>
      </c>
      <c r="AC585" s="346">
        <f t="shared" si="420"/>
        <v>0</v>
      </c>
      <c r="AD585" s="346">
        <f t="shared" si="420"/>
        <v>0</v>
      </c>
      <c r="AE585" s="346">
        <f t="shared" si="420"/>
        <v>12.218307508000001</v>
      </c>
      <c r="AF585" s="346">
        <f t="shared" si="420"/>
        <v>0</v>
      </c>
      <c r="AG585" s="346">
        <f t="shared" si="420"/>
        <v>0</v>
      </c>
      <c r="AH585" s="346">
        <f t="shared" si="420"/>
        <v>14.020674116000002</v>
      </c>
      <c r="AI585" s="346">
        <f t="shared" si="420"/>
        <v>0</v>
      </c>
      <c r="AJ585" s="346">
        <f t="shared" si="420"/>
        <v>0</v>
      </c>
      <c r="AK585" s="346">
        <f t="shared" si="420"/>
        <v>7.3704405540000009</v>
      </c>
      <c r="AL585" s="346">
        <f t="shared" si="420"/>
        <v>0</v>
      </c>
      <c r="AM585" s="346">
        <f t="shared" si="420"/>
        <v>0</v>
      </c>
      <c r="AN585" s="346">
        <f t="shared" si="420"/>
        <v>8.4654792749999999</v>
      </c>
      <c r="AO585" s="346">
        <f t="shared" si="420"/>
        <v>0</v>
      </c>
      <c r="AP585" s="346">
        <f t="shared" si="420"/>
        <v>0</v>
      </c>
      <c r="AQ585" s="346">
        <f t="shared" si="420"/>
        <v>5.335025602</v>
      </c>
      <c r="AR585" s="346">
        <f t="shared" si="420"/>
        <v>0</v>
      </c>
      <c r="AS585" s="346">
        <f t="shared" si="420"/>
        <v>0</v>
      </c>
      <c r="AT585" s="346">
        <f t="shared" si="420"/>
        <v>9.3015493279999983</v>
      </c>
      <c r="AU585" s="346">
        <f t="shared" si="420"/>
        <v>0</v>
      </c>
      <c r="AV585" s="346">
        <f t="shared" si="420"/>
        <v>0</v>
      </c>
      <c r="AW585" s="346">
        <f t="shared" si="420"/>
        <v>6.4644565599999995</v>
      </c>
      <c r="AX585" s="346">
        <f t="shared" si="420"/>
        <v>0</v>
      </c>
      <c r="AY585" s="346">
        <f t="shared" si="420"/>
        <v>0</v>
      </c>
      <c r="AZ585" s="346">
        <f t="shared" si="420"/>
        <v>15.076462141</v>
      </c>
      <c r="BA585" s="346">
        <f t="shared" si="420"/>
        <v>0</v>
      </c>
      <c r="BB585" s="346">
        <f t="shared" si="420"/>
        <v>0</v>
      </c>
      <c r="BC585" s="346">
        <f t="shared" si="420"/>
        <v>19.836167355000001</v>
      </c>
      <c r="BD585" s="346">
        <f t="shared" si="420"/>
        <v>0</v>
      </c>
      <c r="BE585" s="346">
        <f t="shared" si="420"/>
        <v>21.355354726000002</v>
      </c>
      <c r="BF585" s="346">
        <f t="shared" si="420"/>
        <v>13.678343629</v>
      </c>
      <c r="BG585" s="346">
        <f t="shared" si="420"/>
        <v>0</v>
      </c>
      <c r="BH585" s="346">
        <f t="shared" si="420"/>
        <v>0</v>
      </c>
      <c r="BI585" s="346">
        <f t="shared" si="420"/>
        <v>9.3559947090000009</v>
      </c>
      <c r="BJ585" s="346">
        <f t="shared" si="420"/>
        <v>3.7486000989999999</v>
      </c>
      <c r="BK585" s="346">
        <f t="shared" si="420"/>
        <v>0</v>
      </c>
      <c r="BL585" s="346">
        <f t="shared" si="420"/>
        <v>65.895172044999995</v>
      </c>
      <c r="BM585" s="346">
        <f t="shared" si="420"/>
        <v>0</v>
      </c>
      <c r="BN585" s="346">
        <f t="shared" si="420"/>
        <v>0</v>
      </c>
      <c r="BO585" s="346">
        <f t="shared" si="420"/>
        <v>13.054760237</v>
      </c>
      <c r="BP585" s="346">
        <f t="shared" si="420"/>
        <v>0</v>
      </c>
      <c r="BQ585" s="346">
        <f t="shared" ref="BQ585:DN585" si="421">BQ586+BQ591</f>
        <v>0</v>
      </c>
      <c r="BR585" s="346">
        <f t="shared" si="421"/>
        <v>12.670284823999999</v>
      </c>
      <c r="BS585" s="346">
        <f t="shared" si="421"/>
        <v>0</v>
      </c>
      <c r="BT585" s="346">
        <f t="shared" si="421"/>
        <v>0</v>
      </c>
      <c r="BU585" s="346">
        <f t="shared" si="421"/>
        <v>36.356500000000004</v>
      </c>
      <c r="BV585" s="346">
        <f t="shared" si="421"/>
        <v>1.5956689506576198</v>
      </c>
      <c r="BW585" s="346">
        <f t="shared" si="421"/>
        <v>5.4647202718430172</v>
      </c>
      <c r="BX585" s="346">
        <f t="shared" si="421"/>
        <v>4.6916419250035108</v>
      </c>
      <c r="BY585" s="346">
        <f t="shared" si="421"/>
        <v>2.100093706</v>
      </c>
      <c r="BZ585" s="346">
        <f t="shared" si="421"/>
        <v>4.2026710249999999</v>
      </c>
      <c r="CA585" s="346">
        <f t="shared" si="421"/>
        <v>5.1768626690000001</v>
      </c>
      <c r="CB585" s="346">
        <f t="shared" si="421"/>
        <v>4.7995237739999999</v>
      </c>
      <c r="CC585" s="346">
        <f t="shared" si="421"/>
        <v>6.0480418489999996</v>
      </c>
      <c r="CD585" s="346">
        <f t="shared" si="421"/>
        <v>26.128625507999999</v>
      </c>
      <c r="CE585" s="347">
        <f t="shared" si="421"/>
        <v>6.8171795699999995</v>
      </c>
      <c r="CF585" s="346">
        <f t="shared" si="421"/>
        <v>3.9039883389999996</v>
      </c>
      <c r="CG585" s="346">
        <f t="shared" si="421"/>
        <v>3.8882203720000001</v>
      </c>
      <c r="CH585" s="346">
        <f t="shared" si="421"/>
        <v>6.2578329159999999</v>
      </c>
      <c r="CI585" s="346">
        <f t="shared" si="421"/>
        <v>3.5211649989999998</v>
      </c>
      <c r="CJ585" s="346">
        <f t="shared" si="421"/>
        <v>6.7397221740000006</v>
      </c>
      <c r="CK585" s="346">
        <f t="shared" si="421"/>
        <v>11.206712712286999</v>
      </c>
      <c r="CL585" s="346">
        <f t="shared" si="421"/>
        <v>1.744920303962</v>
      </c>
      <c r="CM585" s="346">
        <f t="shared" si="421"/>
        <v>2.9498687050729999</v>
      </c>
      <c r="CN585" s="346">
        <f t="shared" si="421"/>
        <v>2.9364516164649999</v>
      </c>
      <c r="CO585" s="346">
        <f t="shared" si="421"/>
        <v>39.605139809473997</v>
      </c>
      <c r="CP585" s="348">
        <f t="shared" si="421"/>
        <v>26.624339026651</v>
      </c>
      <c r="CQ585" s="346">
        <f t="shared" si="421"/>
        <v>5.7607435347770011</v>
      </c>
      <c r="CR585" s="346">
        <f t="shared" si="421"/>
        <v>3.9472671107080002</v>
      </c>
      <c r="CS585" s="346">
        <f t="shared" si="421"/>
        <v>12.991094179872</v>
      </c>
      <c r="CT585" s="346">
        <f t="shared" si="421"/>
        <v>7.097023092573</v>
      </c>
      <c r="CU585" s="346">
        <f t="shared" si="421"/>
        <v>12.102969035651</v>
      </c>
      <c r="CV585" s="346">
        <f t="shared" si="421"/>
        <v>68.303412766199003</v>
      </c>
      <c r="CW585" s="346">
        <f t="shared" si="421"/>
        <v>8.4188352186079989</v>
      </c>
      <c r="CX585" s="346">
        <f t="shared" si="421"/>
        <v>3.7151717103489998</v>
      </c>
      <c r="CY585" s="346">
        <f t="shared" si="421"/>
        <v>9.2964163726490003</v>
      </c>
      <c r="CZ585" s="346">
        <f t="shared" si="421"/>
        <v>50.874632982232669</v>
      </c>
      <c r="DA585" s="346">
        <f t="shared" si="421"/>
        <v>6.3830912553159997</v>
      </c>
      <c r="DB585" s="1479">
        <f t="shared" si="421"/>
        <v>13.932984784080002</v>
      </c>
      <c r="DC585" s="346">
        <f t="shared" si="421"/>
        <v>0.42216898336300002</v>
      </c>
      <c r="DD585" s="346">
        <f t="shared" si="421"/>
        <v>3.7189687297299998</v>
      </c>
      <c r="DE585" s="346">
        <f t="shared" si="421"/>
        <v>56.569147230663937</v>
      </c>
      <c r="DF585" s="346">
        <f t="shared" si="421"/>
        <v>16.191702111213541</v>
      </c>
      <c r="DG585" s="346">
        <f t="shared" si="421"/>
        <v>4.8652677647420006</v>
      </c>
      <c r="DH585" s="346">
        <f t="shared" si="421"/>
        <v>92.409478866284672</v>
      </c>
      <c r="DI585" s="346">
        <f t="shared" si="421"/>
        <v>6.7047741122170006</v>
      </c>
      <c r="DJ585" s="346">
        <f t="shared" si="421"/>
        <v>21.592177564827999</v>
      </c>
      <c r="DK585" s="346">
        <f t="shared" si="421"/>
        <v>13.796249482406001</v>
      </c>
      <c r="DL585" s="346">
        <f t="shared" si="421"/>
        <v>13.128120131547998</v>
      </c>
      <c r="DM585" s="346">
        <f t="shared" si="421"/>
        <v>6.8738819535209998</v>
      </c>
      <c r="DN585" s="348">
        <f t="shared" si="421"/>
        <v>5.2576456738859996</v>
      </c>
      <c r="DO585" s="346">
        <f t="shared" ref="DO585:DT585" si="422">DO586+DO591</f>
        <v>3.2977253905239996</v>
      </c>
      <c r="DP585" s="346">
        <f t="shared" si="422"/>
        <v>8.4289872174100005</v>
      </c>
      <c r="DQ585" s="346">
        <f t="shared" si="422"/>
        <v>38.947821298748593</v>
      </c>
      <c r="DR585" s="346">
        <f t="shared" si="422"/>
        <v>69.911567446748407</v>
      </c>
      <c r="DS585" s="346">
        <f t="shared" si="422"/>
        <v>11.369225287213002</v>
      </c>
      <c r="DT585" s="346">
        <f t="shared" si="422"/>
        <v>95.228024634377917</v>
      </c>
      <c r="DU585" s="346">
        <f t="shared" ref="DU585:DZ585" si="423">DU586+DU591</f>
        <v>11.223212818042001</v>
      </c>
      <c r="DV585" s="346">
        <f t="shared" si="423"/>
        <v>3.1183098931750002</v>
      </c>
      <c r="DW585" s="346">
        <f t="shared" si="423"/>
        <v>21.614232810366996</v>
      </c>
      <c r="DX585" s="346">
        <f t="shared" si="423"/>
        <v>21.526583004928</v>
      </c>
      <c r="DY585" s="346">
        <f t="shared" si="423"/>
        <v>38.739548051481563</v>
      </c>
      <c r="DZ585" s="348">
        <f t="shared" si="423"/>
        <v>21.164277456465001</v>
      </c>
      <c r="EA585" s="346">
        <f t="shared" ref="EA585:EK585" si="424">EA586+EA591</f>
        <v>9.7045831328230001</v>
      </c>
      <c r="EB585" s="346">
        <f t="shared" si="424"/>
        <v>31.83445564578</v>
      </c>
      <c r="EC585" s="346">
        <f t="shared" si="424"/>
        <v>29.649617502337996</v>
      </c>
      <c r="ED585" s="346">
        <f t="shared" si="424"/>
        <v>20.755101479647003</v>
      </c>
      <c r="EE585" s="346">
        <f t="shared" si="424"/>
        <v>112.84523325464001</v>
      </c>
      <c r="EF585" s="346">
        <f t="shared" si="424"/>
        <v>16.683415901944997</v>
      </c>
      <c r="EG585" s="346">
        <f t="shared" si="424"/>
        <v>56.585149008911998</v>
      </c>
      <c r="EH585" s="346">
        <f t="shared" si="424"/>
        <v>4.4105177353120002</v>
      </c>
      <c r="EI585" s="346">
        <f t="shared" si="424"/>
        <v>18.571578294357</v>
      </c>
      <c r="EJ585" s="346">
        <f t="shared" si="424"/>
        <v>12.140062738398001</v>
      </c>
      <c r="EK585" s="346">
        <f t="shared" si="424"/>
        <v>39.979994321071999</v>
      </c>
      <c r="EL585" s="348">
        <f t="shared" ref="EL585:ER585" si="425">EL586+EL591</f>
        <v>28.687180347918996</v>
      </c>
      <c r="EM585" s="346">
        <f t="shared" si="425"/>
        <v>10.477656590839999</v>
      </c>
      <c r="EN585" s="346">
        <f t="shared" si="425"/>
        <v>2.1647688006760002</v>
      </c>
      <c r="EO585" s="346">
        <f t="shared" si="425"/>
        <v>15.058106803279999</v>
      </c>
      <c r="EP585" s="346">
        <f t="shared" si="425"/>
        <v>7.9470246404072729</v>
      </c>
      <c r="EQ585" s="346">
        <f t="shared" si="425"/>
        <v>15.281142754074001</v>
      </c>
      <c r="ER585" s="346">
        <f t="shared" si="425"/>
        <v>221.13910890712106</v>
      </c>
      <c r="ES585" s="346">
        <f t="shared" ref="ES585:EX585" si="426">ES586+ES591</f>
        <v>23.575918671628003</v>
      </c>
      <c r="ET585" s="346">
        <f t="shared" si="426"/>
        <v>16.006098219428999</v>
      </c>
      <c r="EU585" s="346">
        <f t="shared" si="426"/>
        <v>17.722634921015</v>
      </c>
      <c r="EV585" s="346">
        <f t="shared" si="426"/>
        <v>20.243834101887</v>
      </c>
      <c r="EW585" s="346">
        <f t="shared" si="426"/>
        <v>19.614621516160998</v>
      </c>
      <c r="EX585" s="348">
        <f t="shared" si="426"/>
        <v>107.7460570152754</v>
      </c>
      <c r="EY585" s="346"/>
      <c r="EZ585" s="346"/>
      <c r="FA585" s="346"/>
      <c r="FB585" s="346"/>
      <c r="FC585" s="346"/>
      <c r="FD585" s="346"/>
      <c r="FE585" s="346"/>
      <c r="FF585" s="346"/>
      <c r="FG585" s="346"/>
      <c r="FH585" s="346"/>
      <c r="FI585" s="346"/>
      <c r="FJ585" s="348"/>
      <c r="FK585" s="346"/>
      <c r="FL585" s="346"/>
      <c r="FM585" s="346"/>
      <c r="FN585" s="346"/>
      <c r="FO585" s="346"/>
      <c r="FP585" s="346"/>
      <c r="FQ585" s="346"/>
      <c r="FR585" s="346"/>
      <c r="FS585" s="346"/>
      <c r="FT585" s="346"/>
      <c r="FU585" s="346"/>
      <c r="FV585" s="346"/>
      <c r="FW585" s="346"/>
      <c r="FX585" s="346"/>
      <c r="FY585" s="346"/>
      <c r="FZ585" s="346"/>
      <c r="GA585" s="346"/>
      <c r="GB585" s="346"/>
      <c r="GC585" s="346"/>
      <c r="GD585" s="346"/>
      <c r="GE585" s="346"/>
      <c r="GF585" s="346"/>
      <c r="GG585" s="346"/>
      <c r="GH585" s="346"/>
      <c r="GI585" s="346"/>
      <c r="GJ585" s="346"/>
      <c r="GK585" s="346"/>
      <c r="GL585" s="346"/>
      <c r="GM585" s="346"/>
      <c r="GN585" s="346"/>
      <c r="GO585" s="346"/>
      <c r="GP585" s="346"/>
      <c r="GQ585" s="346"/>
      <c r="GR585" s="346"/>
      <c r="GS585" s="346"/>
      <c r="GT585" s="346"/>
      <c r="GU585" s="346"/>
      <c r="GV585" s="346"/>
      <c r="GW585" s="346"/>
      <c r="GX585" s="346"/>
      <c r="GY585" s="346"/>
      <c r="GZ585" s="346"/>
      <c r="HA585" s="346"/>
      <c r="HB585" s="346"/>
      <c r="HC585" s="346"/>
      <c r="HD585" s="346"/>
      <c r="HE585" s="346"/>
      <c r="HF585" s="346"/>
      <c r="HG585" s="346"/>
      <c r="HH585" s="346"/>
      <c r="HI585" s="346"/>
      <c r="HJ585" s="346"/>
      <c r="HK585" s="346"/>
      <c r="HL585" s="346"/>
      <c r="HM585" s="346"/>
      <c r="HN585" s="349"/>
      <c r="HO585" s="599" t="s">
        <v>183</v>
      </c>
      <c r="HP585" s="599"/>
      <c r="HQ585" s="599"/>
      <c r="HR585" s="346">
        <f>+FISC!Z810</f>
        <v>202.863</v>
      </c>
      <c r="HS585" s="302">
        <f t="shared" ref="HS585:HZ585" si="427">HS586+HS591</f>
        <v>110.20250971978001</v>
      </c>
      <c r="HT585" s="302">
        <f t="shared" si="427"/>
        <v>92.621132323234661</v>
      </c>
      <c r="HU585" s="346">
        <f t="shared" si="427"/>
        <v>202.82364204301467</v>
      </c>
      <c r="HV585" s="302">
        <f t="shared" si="427"/>
        <v>174.17673368599714</v>
      </c>
      <c r="HW585" s="302">
        <f t="shared" si="427"/>
        <v>67.352848918405982</v>
      </c>
      <c r="HX585" s="346">
        <f t="shared" si="427"/>
        <v>241.52958260440315</v>
      </c>
      <c r="HY585" s="302">
        <f t="shared" si="427"/>
        <v>227.18335127502195</v>
      </c>
      <c r="HZ585" s="302">
        <f t="shared" si="427"/>
        <v>117.38616403445856</v>
      </c>
      <c r="IA585" s="346">
        <f t="shared" si="297"/>
        <v>344.56951530948049</v>
      </c>
      <c r="IB585" s="302">
        <f>IB586+IB591</f>
        <v>221.472406917173</v>
      </c>
      <c r="IC585" s="302">
        <f>IC586+IC591</f>
        <v>160.37448244597002</v>
      </c>
      <c r="ID585" s="346">
        <f>FISC!AC810</f>
        <v>381.84688936314302</v>
      </c>
      <c r="IE585" s="302">
        <f>SUM(EM585:ER585)</f>
        <v>272.06780849639836</v>
      </c>
      <c r="IF585" s="302">
        <f>SUM(ES585:EX585)</f>
        <v>204.90916444539539</v>
      </c>
      <c r="IG585" s="346">
        <f t="shared" si="384"/>
        <v>476.97697294179375</v>
      </c>
      <c r="IH585" s="302">
        <f>IH586+IH591</f>
        <v>451.54193455558487</v>
      </c>
      <c r="II585" s="302">
        <f>II586+II591</f>
        <v>742.31398899936721</v>
      </c>
      <c r="IJ585" s="346">
        <f>+FISC!AE810</f>
        <v>1193.8559235549519</v>
      </c>
      <c r="IK585" s="302">
        <f>IK586+IK591</f>
        <v>492.16432669715732</v>
      </c>
      <c r="IL585" s="302">
        <f t="shared" si="280"/>
        <v>291.24502923925024</v>
      </c>
      <c r="IM585" s="346">
        <f>+FISC!AF810</f>
        <v>783.40935593640756</v>
      </c>
      <c r="IN585" s="302">
        <f>IN586+IN591</f>
        <v>925.58206080302648</v>
      </c>
      <c r="IO585" s="302">
        <f t="shared" si="334"/>
        <v>321.3952820465388</v>
      </c>
      <c r="IP585" s="346">
        <f>+FISC!AG810</f>
        <v>1246.9773428495653</v>
      </c>
      <c r="IQ585" s="302">
        <f>IQ586+IQ591</f>
        <v>222.24536558886271</v>
      </c>
      <c r="IR585" s="302">
        <f t="shared" si="281"/>
        <v>725.15789124960236</v>
      </c>
      <c r="IS585" s="346">
        <f>+FISC!AH810</f>
        <v>947.40325683846504</v>
      </c>
      <c r="IT585" s="302">
        <f>IT586+IT591</f>
        <v>571.80764213963221</v>
      </c>
      <c r="IU585" s="302">
        <f t="shared" si="282"/>
        <v>830.41029756247826</v>
      </c>
      <c r="IV585" s="346">
        <f>+FISC!AI810</f>
        <v>1402.2179397021105</v>
      </c>
      <c r="IW585" s="302">
        <f>IW586+IW591</f>
        <v>1120.9070652294777</v>
      </c>
      <c r="IX585" s="302">
        <f t="shared" si="283"/>
        <v>351.84384507549794</v>
      </c>
      <c r="IY585" s="346">
        <f>+FISC!AJ810</f>
        <v>1472.7509103049756</v>
      </c>
      <c r="IZ585" s="302">
        <f>IZ586+IZ591</f>
        <v>1598.005596340166</v>
      </c>
      <c r="JA585" s="302">
        <f t="shared" si="284"/>
        <v>553.84918070003278</v>
      </c>
      <c r="JB585" s="346">
        <f>+FISC!AK810</f>
        <v>2151.8547770401988</v>
      </c>
      <c r="JC585" s="346"/>
      <c r="KI585" s="349"/>
      <c r="KJ585" s="350"/>
      <c r="KM585" s="302">
        <f>KM586+KM591</f>
        <v>0</v>
      </c>
      <c r="KN585" s="302">
        <f>KN586+KN591</f>
        <v>0</v>
      </c>
      <c r="KO585" s="302">
        <f>KO586+KO591</f>
        <v>0</v>
      </c>
      <c r="KP585" s="302">
        <f>KP586+KP591</f>
        <v>0</v>
      </c>
    </row>
    <row r="586" spans="1:302">
      <c r="A586" s="302"/>
      <c r="B586" s="117" t="s">
        <v>361</v>
      </c>
      <c r="D586" s="345" t="str">
        <f>+FISC!D811</f>
        <v>Budgetary loans</v>
      </c>
      <c r="E586" s="346">
        <v>0</v>
      </c>
      <c r="F586" s="346">
        <v>7.6695603000000001E-2</v>
      </c>
      <c r="G586" s="346">
        <v>0.20730706699999998</v>
      </c>
      <c r="H586" s="346">
        <v>0</v>
      </c>
      <c r="I586" s="346">
        <v>0</v>
      </c>
      <c r="J586" s="346">
        <v>0</v>
      </c>
      <c r="K586" s="346">
        <v>0.27223934000000005</v>
      </c>
      <c r="L586" s="346">
        <v>0</v>
      </c>
      <c r="M586" s="346">
        <v>0</v>
      </c>
      <c r="N586" s="346">
        <v>0</v>
      </c>
      <c r="O586" s="346">
        <v>0</v>
      </c>
      <c r="P586" s="346">
        <v>0</v>
      </c>
      <c r="Q586" s="346">
        <v>0</v>
      </c>
      <c r="R586" s="346">
        <v>0</v>
      </c>
      <c r="S586" s="346">
        <v>3.8087044240000001</v>
      </c>
      <c r="T586" s="346">
        <v>0.85609026600000004</v>
      </c>
      <c r="U586" s="346">
        <v>0</v>
      </c>
      <c r="V586" s="346">
        <v>0.54509424000000006</v>
      </c>
      <c r="W586" s="346">
        <v>0.50553046499999998</v>
      </c>
      <c r="X586" s="346">
        <v>5.9410344000000004E-2</v>
      </c>
      <c r="Y586" s="346">
        <v>0</v>
      </c>
      <c r="Z586" s="346">
        <v>0.11423541600000001</v>
      </c>
      <c r="AA586" s="346">
        <v>4.4888796999999994E-2</v>
      </c>
      <c r="AB586" s="346">
        <v>0</v>
      </c>
      <c r="AC586" s="346">
        <v>0</v>
      </c>
      <c r="AD586" s="346">
        <v>0</v>
      </c>
      <c r="AE586" s="346">
        <v>0</v>
      </c>
      <c r="AF586" s="346">
        <v>0</v>
      </c>
      <c r="AG586" s="346">
        <v>0</v>
      </c>
      <c r="AH586" s="346">
        <v>0</v>
      </c>
      <c r="AI586" s="346">
        <v>0</v>
      </c>
      <c r="AJ586" s="346">
        <v>0</v>
      </c>
      <c r="AK586" s="346">
        <v>0</v>
      </c>
      <c r="AL586" s="346">
        <v>0</v>
      </c>
      <c r="AM586" s="346">
        <v>0</v>
      </c>
      <c r="AN586" s="346">
        <v>0</v>
      </c>
      <c r="AO586" s="346">
        <v>0</v>
      </c>
      <c r="AP586" s="346">
        <v>0</v>
      </c>
      <c r="AQ586" s="346">
        <v>0</v>
      </c>
      <c r="AR586" s="346">
        <v>0</v>
      </c>
      <c r="AS586" s="346">
        <v>0</v>
      </c>
      <c r="AT586" s="346">
        <v>0</v>
      </c>
      <c r="AU586" s="346">
        <v>0</v>
      </c>
      <c r="AV586" s="346">
        <v>0</v>
      </c>
      <c r="AW586" s="346">
        <v>0</v>
      </c>
      <c r="AX586" s="346">
        <v>0</v>
      </c>
      <c r="AY586" s="346">
        <v>0</v>
      </c>
      <c r="AZ586" s="346">
        <v>0</v>
      </c>
      <c r="BA586" s="346">
        <v>0</v>
      </c>
      <c r="BB586" s="346">
        <v>0</v>
      </c>
      <c r="BC586" s="346">
        <v>0</v>
      </c>
      <c r="BD586" s="346">
        <v>0</v>
      </c>
      <c r="BE586" s="346">
        <v>21.355354726000002</v>
      </c>
      <c r="BF586" s="346">
        <v>0</v>
      </c>
      <c r="BG586" s="346">
        <v>0</v>
      </c>
      <c r="BH586" s="346">
        <v>0</v>
      </c>
      <c r="BI586" s="346">
        <v>0</v>
      </c>
      <c r="BJ586" s="346">
        <v>3.7486000989999999</v>
      </c>
      <c r="BK586" s="346">
        <v>0</v>
      </c>
      <c r="BL586" s="346">
        <v>49.702158643999994</v>
      </c>
      <c r="BM586" s="346">
        <v>0</v>
      </c>
      <c r="BN586" s="346">
        <v>0</v>
      </c>
      <c r="BO586" s="346">
        <v>0</v>
      </c>
      <c r="BP586" s="346">
        <v>0</v>
      </c>
      <c r="BQ586" s="346">
        <v>0</v>
      </c>
      <c r="BR586" s="346">
        <v>0</v>
      </c>
      <c r="BS586" s="346">
        <v>0</v>
      </c>
      <c r="BT586" s="346">
        <v>0</v>
      </c>
      <c r="BU586" s="346">
        <v>8.2565000000000008</v>
      </c>
      <c r="BV586" s="346"/>
      <c r="BW586" s="346"/>
      <c r="BX586" s="346"/>
      <c r="BY586" s="346">
        <v>0</v>
      </c>
      <c r="BZ586" s="346">
        <v>0</v>
      </c>
      <c r="CA586" s="346">
        <v>0</v>
      </c>
      <c r="CB586" s="346">
        <v>0</v>
      </c>
      <c r="CC586" s="346">
        <v>0</v>
      </c>
      <c r="CD586" s="346">
        <v>8.2463667340000004</v>
      </c>
      <c r="CE586" s="347">
        <f t="shared" ref="CE586:DJ586" si="428">CE29</f>
        <v>0</v>
      </c>
      <c r="CF586" s="346">
        <f t="shared" si="428"/>
        <v>0</v>
      </c>
      <c r="CG586" s="346">
        <f t="shared" si="428"/>
        <v>0</v>
      </c>
      <c r="CH586" s="346">
        <f t="shared" si="428"/>
        <v>0</v>
      </c>
      <c r="CI586" s="346">
        <f t="shared" si="428"/>
        <v>0</v>
      </c>
      <c r="CJ586" s="346">
        <f t="shared" si="428"/>
        <v>0</v>
      </c>
      <c r="CK586" s="346">
        <f t="shared" si="428"/>
        <v>0</v>
      </c>
      <c r="CL586" s="346">
        <f t="shared" si="428"/>
        <v>0</v>
      </c>
      <c r="CM586" s="346">
        <f t="shared" si="428"/>
        <v>0</v>
      </c>
      <c r="CN586" s="346">
        <f t="shared" si="428"/>
        <v>0</v>
      </c>
      <c r="CO586" s="346">
        <f t="shared" si="428"/>
        <v>31.631566856500001</v>
      </c>
      <c r="CP586" s="348">
        <f t="shared" si="428"/>
        <v>17.854694282301999</v>
      </c>
      <c r="CQ586" s="346">
        <f t="shared" si="428"/>
        <v>0</v>
      </c>
      <c r="CR586" s="346">
        <f t="shared" si="428"/>
        <v>0</v>
      </c>
      <c r="CS586" s="346">
        <f t="shared" si="428"/>
        <v>0</v>
      </c>
      <c r="CT586" s="346">
        <f t="shared" si="428"/>
        <v>0</v>
      </c>
      <c r="CU586" s="346">
        <f t="shared" si="428"/>
        <v>0</v>
      </c>
      <c r="CV586" s="346">
        <f t="shared" si="428"/>
        <v>56.682335553289001</v>
      </c>
      <c r="CW586" s="346">
        <f t="shared" si="428"/>
        <v>0</v>
      </c>
      <c r="CX586" s="346">
        <f t="shared" si="428"/>
        <v>0</v>
      </c>
      <c r="CY586" s="346">
        <f t="shared" si="428"/>
        <v>0</v>
      </c>
      <c r="CZ586" s="346">
        <f t="shared" si="428"/>
        <v>46.908105421953671</v>
      </c>
      <c r="DA586" s="346">
        <f t="shared" si="428"/>
        <v>0</v>
      </c>
      <c r="DB586" s="1479">
        <f t="shared" si="428"/>
        <v>0</v>
      </c>
      <c r="DC586" s="346">
        <f t="shared" si="428"/>
        <v>0</v>
      </c>
      <c r="DD586" s="346">
        <f t="shared" si="428"/>
        <v>0</v>
      </c>
      <c r="DE586" s="346">
        <f t="shared" si="428"/>
        <v>44.87491947503694</v>
      </c>
      <c r="DF586" s="346">
        <f t="shared" si="428"/>
        <v>7.6787741383385413</v>
      </c>
      <c r="DG586" s="346">
        <f t="shared" si="428"/>
        <v>0</v>
      </c>
      <c r="DH586" s="346">
        <f t="shared" si="428"/>
        <v>70.05920556739467</v>
      </c>
      <c r="DI586" s="346">
        <f t="shared" si="428"/>
        <v>0</v>
      </c>
      <c r="DJ586" s="346">
        <f t="shared" si="428"/>
        <v>16.048668081999999</v>
      </c>
      <c r="DK586" s="346">
        <f t="shared" ref="DK586:EP586" si="429">DK29</f>
        <v>0</v>
      </c>
      <c r="DL586" s="346">
        <f t="shared" si="429"/>
        <v>0</v>
      </c>
      <c r="DM586" s="346">
        <f t="shared" si="429"/>
        <v>0</v>
      </c>
      <c r="DN586" s="348">
        <f t="shared" si="429"/>
        <v>0</v>
      </c>
      <c r="DO586" s="346">
        <f t="shared" si="429"/>
        <v>0</v>
      </c>
      <c r="DP586" s="346">
        <f t="shared" si="429"/>
        <v>0</v>
      </c>
      <c r="DQ586" s="346">
        <f t="shared" si="429"/>
        <v>19.271476517449592</v>
      </c>
      <c r="DR586" s="346">
        <f t="shared" si="429"/>
        <v>63.686505457646405</v>
      </c>
      <c r="DS586" s="346">
        <f t="shared" si="429"/>
        <v>0</v>
      </c>
      <c r="DT586" s="346">
        <f t="shared" si="429"/>
        <v>74.902879725146917</v>
      </c>
      <c r="DU586" s="346">
        <f t="shared" si="429"/>
        <v>0</v>
      </c>
      <c r="DV586" s="346">
        <f t="shared" si="429"/>
        <v>0</v>
      </c>
      <c r="DW586" s="346">
        <f t="shared" si="429"/>
        <v>0</v>
      </c>
      <c r="DX586" s="346">
        <f t="shared" si="429"/>
        <v>0</v>
      </c>
      <c r="DY586" s="346">
        <f t="shared" si="429"/>
        <v>25.959476439408562</v>
      </c>
      <c r="DZ586" s="348">
        <f t="shared" si="429"/>
        <v>0</v>
      </c>
      <c r="EA586" s="346">
        <f t="shared" si="429"/>
        <v>0</v>
      </c>
      <c r="EB586" s="346">
        <f t="shared" si="429"/>
        <v>17.655663775983001</v>
      </c>
      <c r="EC586" s="346">
        <f t="shared" si="429"/>
        <v>25.542790115999999</v>
      </c>
      <c r="ED586" s="346">
        <f t="shared" si="429"/>
        <v>6.2556475300000001</v>
      </c>
      <c r="EE586" s="346">
        <f t="shared" si="429"/>
        <v>104.77629606000001</v>
      </c>
      <c r="EF586" s="346">
        <f t="shared" si="429"/>
        <v>0</v>
      </c>
      <c r="EG586" s="346">
        <f t="shared" si="429"/>
        <v>36.409625616</v>
      </c>
      <c r="EH586" s="346">
        <f t="shared" si="429"/>
        <v>0</v>
      </c>
      <c r="EI586" s="346">
        <f t="shared" si="429"/>
        <v>0</v>
      </c>
      <c r="EJ586" s="346">
        <f t="shared" si="429"/>
        <v>0</v>
      </c>
      <c r="EK586" s="346">
        <f t="shared" si="429"/>
        <v>20.856450759000001</v>
      </c>
      <c r="EL586" s="348">
        <f t="shared" si="429"/>
        <v>0</v>
      </c>
      <c r="EM586" s="346">
        <f t="shared" si="429"/>
        <v>0</v>
      </c>
      <c r="EN586" s="346">
        <f t="shared" si="429"/>
        <v>0</v>
      </c>
      <c r="EO586" s="346">
        <f t="shared" si="429"/>
        <v>0</v>
      </c>
      <c r="EP586" s="346">
        <f t="shared" si="429"/>
        <v>4.4390382572712728</v>
      </c>
      <c r="EQ586" s="346">
        <f t="shared" ref="EQ586:EX586" si="430">EQ29</f>
        <v>0</v>
      </c>
      <c r="ER586" s="346">
        <f t="shared" si="430"/>
        <v>194.16733567142407</v>
      </c>
      <c r="ES586" s="346">
        <f t="shared" si="430"/>
        <v>0</v>
      </c>
      <c r="ET586" s="346">
        <f t="shared" si="430"/>
        <v>0</v>
      </c>
      <c r="EU586" s="346">
        <f t="shared" si="430"/>
        <v>0</v>
      </c>
      <c r="EV586" s="346">
        <f t="shared" si="430"/>
        <v>5.3858014281060003</v>
      </c>
      <c r="EW586" s="346">
        <f t="shared" si="430"/>
        <v>0</v>
      </c>
      <c r="EX586" s="348">
        <f t="shared" si="430"/>
        <v>58.056333345380395</v>
      </c>
      <c r="EY586" s="346"/>
      <c r="EZ586" s="346"/>
      <c r="FA586" s="346"/>
      <c r="FB586" s="346"/>
      <c r="FC586" s="346"/>
      <c r="FD586" s="346"/>
      <c r="FE586" s="346"/>
      <c r="FF586" s="346"/>
      <c r="FG586" s="346"/>
      <c r="FH586" s="346"/>
      <c r="FI586" s="346"/>
      <c r="FJ586" s="348"/>
      <c r="FK586" s="346"/>
      <c r="FL586" s="346"/>
      <c r="FM586" s="346"/>
      <c r="FN586" s="346"/>
      <c r="FO586" s="346"/>
      <c r="FP586" s="346"/>
      <c r="FQ586" s="346"/>
      <c r="FR586" s="346"/>
      <c r="FS586" s="346"/>
      <c r="FT586" s="346"/>
      <c r="FU586" s="346"/>
      <c r="FV586" s="346"/>
      <c r="FW586" s="346"/>
      <c r="FX586" s="346"/>
      <c r="FY586" s="346"/>
      <c r="FZ586" s="346"/>
      <c r="GA586" s="346"/>
      <c r="GB586" s="346"/>
      <c r="GC586" s="346"/>
      <c r="GD586" s="346"/>
      <c r="GE586" s="346"/>
      <c r="GF586" s="346"/>
      <c r="GG586" s="346"/>
      <c r="GH586" s="346"/>
      <c r="GI586" s="346"/>
      <c r="GJ586" s="346"/>
      <c r="GK586" s="346"/>
      <c r="GL586" s="346"/>
      <c r="GM586" s="346"/>
      <c r="GN586" s="346"/>
      <c r="GO586" s="346"/>
      <c r="GP586" s="346"/>
      <c r="GQ586" s="346"/>
      <c r="GR586" s="346"/>
      <c r="GS586" s="346"/>
      <c r="GT586" s="346"/>
      <c r="GU586" s="346"/>
      <c r="GV586" s="346"/>
      <c r="GW586" s="346"/>
      <c r="GX586" s="346"/>
      <c r="GY586" s="346"/>
      <c r="GZ586" s="346"/>
      <c r="HA586" s="346"/>
      <c r="HB586" s="346"/>
      <c r="HC586" s="346"/>
      <c r="HD586" s="346"/>
      <c r="HE586" s="346"/>
      <c r="HF586" s="346"/>
      <c r="HG586" s="346"/>
      <c r="HH586" s="346"/>
      <c r="HI586" s="346"/>
      <c r="HJ586" s="346"/>
      <c r="HK586" s="346"/>
      <c r="HL586" s="346"/>
      <c r="HM586" s="346"/>
      <c r="HN586" s="349"/>
      <c r="HO586" s="345" t="s">
        <v>1108</v>
      </c>
      <c r="HP586" s="345"/>
      <c r="HQ586" s="345"/>
      <c r="HR586" s="346">
        <f>+FISC!Z811</f>
        <v>103.63</v>
      </c>
      <c r="HS586" s="302">
        <f>SUM(CQ586:CV586)</f>
        <v>56.682335553289001</v>
      </c>
      <c r="HT586" s="302">
        <f>SUM(CW586:DB586)</f>
        <v>46.908105421953671</v>
      </c>
      <c r="HU586" s="346">
        <f>SUM(CQ586:DB586)</f>
        <v>103.59044097524267</v>
      </c>
      <c r="HV586" s="302">
        <f>+SUM(DC586:DH586)</f>
        <v>122.61289918077014</v>
      </c>
      <c r="HW586" s="302">
        <f>+SUM(DI586:DN586)</f>
        <v>16.048668081999999</v>
      </c>
      <c r="HX586" s="346">
        <f>HV586+HW586</f>
        <v>138.66156726277015</v>
      </c>
      <c r="HY586" s="302">
        <f>+SUM(DO586:DT586)</f>
        <v>157.86086170024294</v>
      </c>
      <c r="HZ586" s="302">
        <f>SUM(DU586:DZ586)</f>
        <v>25.959476439408562</v>
      </c>
      <c r="IA586" s="346">
        <f t="shared" si="297"/>
        <v>183.82033813965148</v>
      </c>
      <c r="IB586" s="302">
        <f>(FISC!AB72*FISC!AC253/1000)*0+154.230397481983</f>
        <v>154.230397481983</v>
      </c>
      <c r="IC586" s="302">
        <f>+(ID586-IB586)</f>
        <v>57.266076375000011</v>
      </c>
      <c r="ID586" s="346">
        <f>FISC!AC811</f>
        <v>211.49647385698302</v>
      </c>
      <c r="IE586" s="302">
        <f>SUM(EM586:ER586)</f>
        <v>198.60637392869535</v>
      </c>
      <c r="IF586" s="302">
        <f>SUM(ES586:EX586)</f>
        <v>63.442134773486394</v>
      </c>
      <c r="IG586" s="346">
        <f t="shared" si="384"/>
        <v>262.04850870218172</v>
      </c>
      <c r="IH586" s="302">
        <f>(((FISC!AD72*FISC!AE253)/1000)+(FISC!AD77*FISC!AE253)/1000)+IH587</f>
        <v>314.72003730731018</v>
      </c>
      <c r="II586" s="302">
        <f>+IJ586-IH586</f>
        <v>591.16483555152558</v>
      </c>
      <c r="IJ586" s="346">
        <f>+FISC!AE811</f>
        <v>905.88487285883571</v>
      </c>
      <c r="IK586" s="302">
        <f>(((FISC!AE72*FISC!AF253)/1000)+(FISC!AE77*FISC!AF253)/1000)</f>
        <v>238.83947735517793</v>
      </c>
      <c r="IL586" s="302">
        <f t="shared" si="280"/>
        <v>104.23216523999994</v>
      </c>
      <c r="IM586" s="346">
        <f>+FISC!AF1249</f>
        <v>343.07164259517788</v>
      </c>
      <c r="IN586" s="302">
        <f>((FISC!AF72*FISC!AG253)/1000)+(FISC!AF77*FISC!AG253)/1000</f>
        <v>701.2328893890276</v>
      </c>
      <c r="IO586" s="302">
        <f t="shared" si="334"/>
        <v>139.21318679131775</v>
      </c>
      <c r="IP586" s="346">
        <f>+FISC!AG811</f>
        <v>840.44607618034536</v>
      </c>
      <c r="IQ586" s="302">
        <f>((FISC!AG72*FISC!AH253)/1000)+(FISC!AG77*FISC!AH253)/1000</f>
        <v>9.3783248148558389</v>
      </c>
      <c r="IR586" s="302">
        <f t="shared" si="281"/>
        <v>509.02327559558404</v>
      </c>
      <c r="IS586" s="346">
        <f>+FISC!AH811</f>
        <v>518.40160041043987</v>
      </c>
      <c r="IT586" s="302">
        <f>((FISC!AH72*FISC!AI253)/1000)+(FISC!AH77*FISC!AI253)/1000</f>
        <v>306.26707488262497</v>
      </c>
      <c r="IU586" s="302">
        <f t="shared" si="282"/>
        <v>466.55883943401903</v>
      </c>
      <c r="IV586" s="346">
        <f>+FISC!AI811</f>
        <v>772.825914316644</v>
      </c>
      <c r="IW586" s="302">
        <f>((FISC!AI72*FISC!AJ253)/1000)+(FISC!AI77*FISC!AJ253)/1000</f>
        <v>752.99939366310059</v>
      </c>
      <c r="IX586" s="302">
        <f t="shared" si="283"/>
        <v>111.07689370610854</v>
      </c>
      <c r="IY586" s="346">
        <f>+FISC!AJ811</f>
        <v>864.07628736920913</v>
      </c>
      <c r="IZ586" s="302">
        <f>((FISC!AJ72*FISC!AK253)/1000)+(FISC!AJ77*FISC!AK253)/1000</f>
        <v>1282.5677261226106</v>
      </c>
      <c r="JA586" s="302">
        <f t="shared" si="284"/>
        <v>246.96987924347332</v>
      </c>
      <c r="JB586" s="346">
        <f>+FISC!AK811</f>
        <v>1529.5376053660839</v>
      </c>
      <c r="JC586" s="346"/>
      <c r="KI586" s="349"/>
      <c r="KJ586" s="350"/>
    </row>
    <row r="587" spans="1:302">
      <c r="A587" s="302"/>
      <c r="D587" s="345"/>
      <c r="E587" s="346"/>
      <c r="F587" s="346"/>
      <c r="G587" s="346"/>
      <c r="H587" s="346"/>
      <c r="I587" s="346"/>
      <c r="J587" s="346"/>
      <c r="K587" s="346"/>
      <c r="L587" s="346"/>
      <c r="M587" s="346"/>
      <c r="N587" s="346"/>
      <c r="O587" s="346"/>
      <c r="P587" s="346"/>
      <c r="Q587" s="346"/>
      <c r="R587" s="346"/>
      <c r="S587" s="346"/>
      <c r="T587" s="346"/>
      <c r="U587" s="346"/>
      <c r="V587" s="346"/>
      <c r="W587" s="346"/>
      <c r="X587" s="346"/>
      <c r="Y587" s="346"/>
      <c r="Z587" s="346"/>
      <c r="AA587" s="346"/>
      <c r="AB587" s="346"/>
      <c r="AC587" s="346"/>
      <c r="AD587" s="346"/>
      <c r="AE587" s="346"/>
      <c r="AF587" s="346"/>
      <c r="AG587" s="346"/>
      <c r="AH587" s="346"/>
      <c r="AI587" s="346"/>
      <c r="AJ587" s="346"/>
      <c r="AK587" s="346"/>
      <c r="AL587" s="346"/>
      <c r="AM587" s="346"/>
      <c r="AN587" s="346"/>
      <c r="AO587" s="346"/>
      <c r="AP587" s="346"/>
      <c r="AQ587" s="346"/>
      <c r="AR587" s="346"/>
      <c r="AS587" s="346"/>
      <c r="AT587" s="346"/>
      <c r="AU587" s="346"/>
      <c r="AV587" s="346"/>
      <c r="AW587" s="346"/>
      <c r="AX587" s="346"/>
      <c r="AY587" s="346"/>
      <c r="AZ587" s="346"/>
      <c r="BA587" s="346"/>
      <c r="BB587" s="346"/>
      <c r="BC587" s="346"/>
      <c r="BD587" s="346"/>
      <c r="BE587" s="346"/>
      <c r="BF587" s="346"/>
      <c r="BG587" s="346"/>
      <c r="BH587" s="346"/>
      <c r="BI587" s="346"/>
      <c r="BJ587" s="346"/>
      <c r="BK587" s="346"/>
      <c r="BL587" s="346"/>
      <c r="BM587" s="346"/>
      <c r="BN587" s="346"/>
      <c r="BO587" s="346"/>
      <c r="BP587" s="346"/>
      <c r="BQ587" s="346"/>
      <c r="BR587" s="346"/>
      <c r="BS587" s="346"/>
      <c r="BT587" s="346"/>
      <c r="BU587" s="346"/>
      <c r="BV587" s="346"/>
      <c r="BW587" s="346"/>
      <c r="BX587" s="346"/>
      <c r="BY587" s="346"/>
      <c r="BZ587" s="346"/>
      <c r="CA587" s="346"/>
      <c r="CB587" s="346"/>
      <c r="CC587" s="346"/>
      <c r="CD587" s="346"/>
      <c r="CE587" s="347"/>
      <c r="CF587" s="346"/>
      <c r="CG587" s="346"/>
      <c r="CH587" s="346"/>
      <c r="CI587" s="346"/>
      <c r="CJ587" s="346"/>
      <c r="CK587" s="346"/>
      <c r="CL587" s="346"/>
      <c r="CM587" s="346"/>
      <c r="CN587" s="346"/>
      <c r="CO587" s="346"/>
      <c r="CP587" s="348"/>
      <c r="CQ587" s="346"/>
      <c r="CR587" s="346"/>
      <c r="CS587" s="346"/>
      <c r="CT587" s="346"/>
      <c r="CU587" s="346"/>
      <c r="CV587" s="346"/>
      <c r="CW587" s="346"/>
      <c r="CX587" s="346"/>
      <c r="CY587" s="346"/>
      <c r="CZ587" s="346"/>
      <c r="DA587" s="346"/>
      <c r="DB587" s="1479"/>
      <c r="DC587" s="346"/>
      <c r="DD587" s="346"/>
      <c r="DE587" s="346"/>
      <c r="DF587" s="346"/>
      <c r="DG587" s="346"/>
      <c r="DH587" s="346"/>
      <c r="DI587" s="346"/>
      <c r="DJ587" s="346"/>
      <c r="DK587" s="346"/>
      <c r="DL587" s="346"/>
      <c r="DM587" s="346"/>
      <c r="DN587" s="348"/>
      <c r="DO587" s="346"/>
      <c r="DP587" s="346"/>
      <c r="DQ587" s="346"/>
      <c r="DR587" s="346"/>
      <c r="DS587" s="346"/>
      <c r="DT587" s="346"/>
      <c r="DU587" s="346"/>
      <c r="DV587" s="346"/>
      <c r="DW587" s="346"/>
      <c r="DX587" s="346"/>
      <c r="DY587" s="346"/>
      <c r="DZ587" s="348"/>
      <c r="EA587" s="346"/>
      <c r="EB587" s="346"/>
      <c r="EC587" s="346"/>
      <c r="ED587" s="346"/>
      <c r="EE587" s="346"/>
      <c r="EF587" s="346"/>
      <c r="EG587" s="346"/>
      <c r="EH587" s="346"/>
      <c r="EI587" s="346"/>
      <c r="EJ587" s="346"/>
      <c r="EK587" s="346"/>
      <c r="EL587" s="348"/>
      <c r="EM587" s="346"/>
      <c r="EN587" s="346"/>
      <c r="EO587" s="346"/>
      <c r="EP587" s="346"/>
      <c r="EQ587" s="346"/>
      <c r="ER587" s="346"/>
      <c r="ES587" s="346"/>
      <c r="ET587" s="346"/>
      <c r="EU587" s="346"/>
      <c r="EV587" s="346"/>
      <c r="EW587" s="346"/>
      <c r="EX587" s="348"/>
      <c r="EY587" s="346"/>
      <c r="EZ587" s="346"/>
      <c r="FA587" s="346"/>
      <c r="FB587" s="346"/>
      <c r="FC587" s="346"/>
      <c r="FD587" s="346"/>
      <c r="FE587" s="346"/>
      <c r="FF587" s="346"/>
      <c r="FG587" s="346"/>
      <c r="FH587" s="346"/>
      <c r="FI587" s="346"/>
      <c r="FJ587" s="348"/>
      <c r="FK587" s="346"/>
      <c r="FL587" s="346"/>
      <c r="FM587" s="346"/>
      <c r="FN587" s="346"/>
      <c r="FO587" s="346"/>
      <c r="FP587" s="346"/>
      <c r="FQ587" s="346"/>
      <c r="FR587" s="346"/>
      <c r="FS587" s="346"/>
      <c r="FT587" s="346"/>
      <c r="FU587" s="346"/>
      <c r="FV587" s="346"/>
      <c r="FW587" s="346"/>
      <c r="FX587" s="346"/>
      <c r="FY587" s="346"/>
      <c r="FZ587" s="346"/>
      <c r="GA587" s="346"/>
      <c r="GB587" s="346"/>
      <c r="GC587" s="346"/>
      <c r="GD587" s="346"/>
      <c r="GE587" s="346"/>
      <c r="GF587" s="346"/>
      <c r="GG587" s="346"/>
      <c r="GH587" s="346"/>
      <c r="GI587" s="346"/>
      <c r="GJ587" s="346"/>
      <c r="GK587" s="346"/>
      <c r="GL587" s="346"/>
      <c r="GM587" s="346"/>
      <c r="GN587" s="346"/>
      <c r="GO587" s="346"/>
      <c r="GP587" s="346"/>
      <c r="GQ587" s="346"/>
      <c r="GR587" s="346"/>
      <c r="GS587" s="346"/>
      <c r="GT587" s="346"/>
      <c r="GU587" s="346"/>
      <c r="GV587" s="346"/>
      <c r="GW587" s="346"/>
      <c r="GX587" s="346"/>
      <c r="GY587" s="346"/>
      <c r="GZ587" s="346"/>
      <c r="HA587" s="346"/>
      <c r="HB587" s="346"/>
      <c r="HC587" s="346"/>
      <c r="HD587" s="346"/>
      <c r="HE587" s="346"/>
      <c r="HF587" s="346"/>
      <c r="HG587" s="346"/>
      <c r="HH587" s="346"/>
      <c r="HI587" s="346"/>
      <c r="HJ587" s="346"/>
      <c r="HK587" s="346"/>
      <c r="HL587" s="346"/>
      <c r="HM587" s="346"/>
      <c r="HN587" s="349"/>
      <c r="HO587" s="131" t="s">
        <v>1280</v>
      </c>
      <c r="HP587" s="131"/>
      <c r="HQ587" s="131"/>
      <c r="HR587" s="346"/>
      <c r="HU587" s="346"/>
      <c r="HX587" s="346"/>
      <c r="IA587" s="346"/>
      <c r="ID587" s="346"/>
      <c r="IG587" s="346"/>
      <c r="IH587" s="302">
        <f>IJ587</f>
        <v>54.4</v>
      </c>
      <c r="IJ587" s="346">
        <f>+FISC!AE812</f>
        <v>54.4</v>
      </c>
      <c r="IM587" s="346"/>
      <c r="IP587" s="346"/>
      <c r="IS587" s="346"/>
      <c r="IV587" s="346"/>
      <c r="IY587" s="346"/>
      <c r="JB587" s="346"/>
      <c r="JC587" s="346"/>
      <c r="KI587" s="349"/>
      <c r="KJ587" s="350"/>
    </row>
    <row r="588" spans="1:302">
      <c r="A588" s="302"/>
      <c r="B588" s="117" t="s">
        <v>361</v>
      </c>
      <c r="D588" s="351" t="str">
        <f>+FISC!D813</f>
        <v>Budgetary loan [ AfDB Sector budgetary loan ]</v>
      </c>
      <c r="E588" s="346"/>
      <c r="F588" s="346"/>
      <c r="G588" s="346"/>
      <c r="H588" s="346"/>
      <c r="I588" s="346"/>
      <c r="J588" s="346"/>
      <c r="K588" s="346"/>
      <c r="L588" s="346"/>
      <c r="M588" s="346"/>
      <c r="N588" s="346"/>
      <c r="O588" s="346"/>
      <c r="P588" s="346"/>
      <c r="Q588" s="346"/>
      <c r="R588" s="346"/>
      <c r="S588" s="346"/>
      <c r="T588" s="346"/>
      <c r="U588" s="346"/>
      <c r="V588" s="346"/>
      <c r="W588" s="346"/>
      <c r="X588" s="346"/>
      <c r="Y588" s="346"/>
      <c r="Z588" s="346"/>
      <c r="AA588" s="346"/>
      <c r="AB588" s="346"/>
      <c r="AC588" s="346"/>
      <c r="AD588" s="346"/>
      <c r="AE588" s="346"/>
      <c r="AF588" s="346"/>
      <c r="AG588" s="346"/>
      <c r="AH588" s="346"/>
      <c r="AI588" s="346"/>
      <c r="AJ588" s="346"/>
      <c r="AK588" s="346"/>
      <c r="AL588" s="346"/>
      <c r="AM588" s="346"/>
      <c r="AN588" s="346"/>
      <c r="AO588" s="346"/>
      <c r="AP588" s="346"/>
      <c r="AQ588" s="346"/>
      <c r="AR588" s="346"/>
      <c r="AS588" s="346"/>
      <c r="AT588" s="346"/>
      <c r="AU588" s="346"/>
      <c r="AV588" s="346"/>
      <c r="AW588" s="346"/>
      <c r="AX588" s="346"/>
      <c r="AY588" s="346"/>
      <c r="AZ588" s="346"/>
      <c r="BA588" s="346"/>
      <c r="BB588" s="346"/>
      <c r="BC588" s="346"/>
      <c r="BD588" s="346"/>
      <c r="BE588" s="346"/>
      <c r="BF588" s="346"/>
      <c r="BG588" s="346"/>
      <c r="BH588" s="346"/>
      <c r="BI588" s="346"/>
      <c r="BJ588" s="346"/>
      <c r="BK588" s="346"/>
      <c r="BL588" s="346"/>
      <c r="BM588" s="346"/>
      <c r="BN588" s="346"/>
      <c r="BO588" s="346"/>
      <c r="BP588" s="346"/>
      <c r="BQ588" s="346"/>
      <c r="BR588" s="346"/>
      <c r="BS588" s="346"/>
      <c r="BT588" s="346"/>
      <c r="BU588" s="346"/>
      <c r="BV588" s="346"/>
      <c r="BW588" s="346"/>
      <c r="BX588" s="346"/>
      <c r="BY588" s="346"/>
      <c r="BZ588" s="346"/>
      <c r="CA588" s="346"/>
      <c r="CB588" s="346"/>
      <c r="CC588" s="346"/>
      <c r="CD588" s="346"/>
      <c r="CE588" s="347">
        <f t="shared" ref="CE588:DJ588" si="431">CE27</f>
        <v>0</v>
      </c>
      <c r="CF588" s="346">
        <f t="shared" si="431"/>
        <v>0</v>
      </c>
      <c r="CG588" s="346">
        <f t="shared" si="431"/>
        <v>0</v>
      </c>
      <c r="CH588" s="346">
        <f t="shared" si="431"/>
        <v>0</v>
      </c>
      <c r="CI588" s="346">
        <f t="shared" si="431"/>
        <v>0</v>
      </c>
      <c r="CJ588" s="346">
        <f t="shared" si="431"/>
        <v>0</v>
      </c>
      <c r="CK588" s="346">
        <f t="shared" si="431"/>
        <v>0</v>
      </c>
      <c r="CL588" s="346">
        <f t="shared" si="431"/>
        <v>0</v>
      </c>
      <c r="CM588" s="346">
        <f t="shared" si="431"/>
        <v>0</v>
      </c>
      <c r="CN588" s="346">
        <f t="shared" si="431"/>
        <v>0</v>
      </c>
      <c r="CO588" s="346">
        <f t="shared" si="431"/>
        <v>0</v>
      </c>
      <c r="CP588" s="348">
        <f t="shared" si="431"/>
        <v>17.854694282301999</v>
      </c>
      <c r="CQ588" s="346">
        <f t="shared" si="431"/>
        <v>0</v>
      </c>
      <c r="CR588" s="346">
        <f t="shared" si="431"/>
        <v>0</v>
      </c>
      <c r="CS588" s="346">
        <f t="shared" si="431"/>
        <v>0</v>
      </c>
      <c r="CT588" s="346">
        <f t="shared" si="431"/>
        <v>0</v>
      </c>
      <c r="CU588" s="346">
        <f t="shared" si="431"/>
        <v>0</v>
      </c>
      <c r="CV588" s="346">
        <f t="shared" si="431"/>
        <v>17.141914232569</v>
      </c>
      <c r="CW588" s="346">
        <f t="shared" si="431"/>
        <v>0</v>
      </c>
      <c r="CX588" s="346">
        <f t="shared" si="431"/>
        <v>0</v>
      </c>
      <c r="CY588" s="346">
        <f t="shared" si="431"/>
        <v>0</v>
      </c>
      <c r="CZ588" s="346">
        <f t="shared" si="431"/>
        <v>0</v>
      </c>
      <c r="DA588" s="346">
        <f t="shared" si="431"/>
        <v>0</v>
      </c>
      <c r="DB588" s="1479">
        <f t="shared" si="431"/>
        <v>0</v>
      </c>
      <c r="DC588" s="346">
        <f t="shared" si="431"/>
        <v>0</v>
      </c>
      <c r="DD588" s="346">
        <f t="shared" si="431"/>
        <v>0</v>
      </c>
      <c r="DE588" s="346">
        <f t="shared" si="431"/>
        <v>0</v>
      </c>
      <c r="DF588" s="346">
        <f t="shared" si="431"/>
        <v>0</v>
      </c>
      <c r="DG588" s="346">
        <f t="shared" si="431"/>
        <v>0</v>
      </c>
      <c r="DH588" s="346">
        <f t="shared" si="431"/>
        <v>0</v>
      </c>
      <c r="DI588" s="346">
        <f t="shared" si="431"/>
        <v>0</v>
      </c>
      <c r="DJ588" s="346">
        <f t="shared" si="431"/>
        <v>16.048668081999999</v>
      </c>
      <c r="DK588" s="346">
        <f t="shared" ref="DK588:EP588" si="432">DK27</f>
        <v>0</v>
      </c>
      <c r="DL588" s="346">
        <f t="shared" si="432"/>
        <v>0</v>
      </c>
      <c r="DM588" s="346">
        <f t="shared" si="432"/>
        <v>0</v>
      </c>
      <c r="DN588" s="348">
        <f t="shared" si="432"/>
        <v>0</v>
      </c>
      <c r="DO588" s="346">
        <f t="shared" si="432"/>
        <v>0</v>
      </c>
      <c r="DP588" s="346">
        <f t="shared" si="432"/>
        <v>0</v>
      </c>
      <c r="DQ588" s="346">
        <f t="shared" si="432"/>
        <v>0</v>
      </c>
      <c r="DR588" s="346">
        <f t="shared" si="432"/>
        <v>40.211763817859129</v>
      </c>
      <c r="DS588" s="346">
        <f t="shared" si="432"/>
        <v>0</v>
      </c>
      <c r="DT588" s="346">
        <f t="shared" si="432"/>
        <v>0</v>
      </c>
      <c r="DU588" s="346">
        <f t="shared" si="432"/>
        <v>0</v>
      </c>
      <c r="DV588" s="346">
        <f t="shared" si="432"/>
        <v>0</v>
      </c>
      <c r="DW588" s="346">
        <f t="shared" si="432"/>
        <v>0</v>
      </c>
      <c r="DX588" s="346">
        <f t="shared" si="432"/>
        <v>0</v>
      </c>
      <c r="DY588" s="346">
        <f t="shared" si="432"/>
        <v>0</v>
      </c>
      <c r="DZ588" s="348">
        <f t="shared" si="432"/>
        <v>0</v>
      </c>
      <c r="EA588" s="346">
        <f t="shared" si="432"/>
        <v>0</v>
      </c>
      <c r="EB588" s="346">
        <f t="shared" si="432"/>
        <v>0</v>
      </c>
      <c r="EC588" s="346">
        <f t="shared" si="432"/>
        <v>0</v>
      </c>
      <c r="ED588" s="346">
        <f t="shared" si="432"/>
        <v>0</v>
      </c>
      <c r="EE588" s="346">
        <f t="shared" si="432"/>
        <v>0</v>
      </c>
      <c r="EF588" s="346">
        <f t="shared" si="432"/>
        <v>0</v>
      </c>
      <c r="EG588" s="346">
        <f t="shared" si="432"/>
        <v>0</v>
      </c>
      <c r="EH588" s="346">
        <f t="shared" si="432"/>
        <v>0</v>
      </c>
      <c r="EI588" s="346">
        <f t="shared" si="432"/>
        <v>0</v>
      </c>
      <c r="EJ588" s="346">
        <f t="shared" si="432"/>
        <v>0</v>
      </c>
      <c r="EK588" s="346">
        <f t="shared" si="432"/>
        <v>20.856450759000001</v>
      </c>
      <c r="EL588" s="348">
        <f t="shared" si="432"/>
        <v>0</v>
      </c>
      <c r="EM588" s="346">
        <f t="shared" si="432"/>
        <v>0</v>
      </c>
      <c r="EN588" s="346">
        <f t="shared" si="432"/>
        <v>0</v>
      </c>
      <c r="EO588" s="346">
        <f t="shared" si="432"/>
        <v>0</v>
      </c>
      <c r="EP588" s="346">
        <f t="shared" si="432"/>
        <v>0</v>
      </c>
      <c r="EQ588" s="346">
        <f t="shared" ref="EQ588:EX588" si="433">EQ27</f>
        <v>0</v>
      </c>
      <c r="ER588" s="346">
        <f t="shared" si="433"/>
        <v>76.131426722094361</v>
      </c>
      <c r="ES588" s="346">
        <f t="shared" si="433"/>
        <v>0</v>
      </c>
      <c r="ET588" s="346">
        <f t="shared" si="433"/>
        <v>0</v>
      </c>
      <c r="EU588" s="346">
        <f t="shared" si="433"/>
        <v>0</v>
      </c>
      <c r="EV588" s="346">
        <f t="shared" si="433"/>
        <v>5.3858014279999997</v>
      </c>
      <c r="EW588" s="346">
        <f t="shared" si="433"/>
        <v>0</v>
      </c>
      <c r="EX588" s="348">
        <f t="shared" si="433"/>
        <v>41.546851434980397</v>
      </c>
      <c r="EY588" s="346"/>
      <c r="EZ588" s="346"/>
      <c r="FA588" s="346"/>
      <c r="FB588" s="346"/>
      <c r="FC588" s="346"/>
      <c r="FD588" s="346"/>
      <c r="FE588" s="346"/>
      <c r="FF588" s="346"/>
      <c r="FG588" s="346"/>
      <c r="FH588" s="346"/>
      <c r="FI588" s="346"/>
      <c r="FJ588" s="348"/>
      <c r="FK588" s="346"/>
      <c r="FL588" s="346"/>
      <c r="FM588" s="346"/>
      <c r="FN588" s="346"/>
      <c r="FO588" s="346"/>
      <c r="FP588" s="346"/>
      <c r="FQ588" s="346"/>
      <c r="FR588" s="346"/>
      <c r="FS588" s="346"/>
      <c r="FT588" s="346"/>
      <c r="FU588" s="346"/>
      <c r="FV588" s="346"/>
      <c r="FW588" s="346"/>
      <c r="FX588" s="346"/>
      <c r="FY588" s="346"/>
      <c r="FZ588" s="346"/>
      <c r="GA588" s="346"/>
      <c r="GB588" s="346"/>
      <c r="GC588" s="346"/>
      <c r="GD588" s="346"/>
      <c r="GE588" s="346"/>
      <c r="GF588" s="346"/>
      <c r="GG588" s="346"/>
      <c r="GH588" s="346"/>
      <c r="GI588" s="346"/>
      <c r="GJ588" s="346"/>
      <c r="GK588" s="346"/>
      <c r="GL588" s="346"/>
      <c r="GM588" s="346"/>
      <c r="GN588" s="346"/>
      <c r="GO588" s="346"/>
      <c r="GP588" s="346"/>
      <c r="GQ588" s="346"/>
      <c r="GR588" s="346"/>
      <c r="GS588" s="346"/>
      <c r="GT588" s="346"/>
      <c r="GU588" s="346"/>
      <c r="GV588" s="346"/>
      <c r="GW588" s="346"/>
      <c r="GX588" s="346"/>
      <c r="GY588" s="346"/>
      <c r="GZ588" s="346"/>
      <c r="HA588" s="346"/>
      <c r="HB588" s="346"/>
      <c r="HC588" s="346"/>
      <c r="HD588" s="346"/>
      <c r="HE588" s="346"/>
      <c r="HF588" s="346"/>
      <c r="HG588" s="346"/>
      <c r="HH588" s="346"/>
      <c r="HI588" s="346"/>
      <c r="HJ588" s="346"/>
      <c r="HK588" s="346"/>
      <c r="HL588" s="346"/>
      <c r="HM588" s="346"/>
      <c r="HN588" s="349"/>
      <c r="HO588" s="351" t="s">
        <v>184</v>
      </c>
      <c r="HP588" s="351"/>
      <c r="HQ588" s="351"/>
      <c r="HR588" s="346">
        <f>+FISC!Z813</f>
        <v>0</v>
      </c>
      <c r="HS588" s="302">
        <f>SUM(CQ588:CV588)</f>
        <v>17.141914232569</v>
      </c>
      <c r="HT588" s="302">
        <f>SUM(CW588:DB588)</f>
        <v>0</v>
      </c>
      <c r="HU588" s="346">
        <f>SUM(CQ588:DB588)</f>
        <v>17.141914232569</v>
      </c>
      <c r="HX588" s="346">
        <v>0</v>
      </c>
      <c r="HY588" s="302">
        <f t="shared" ref="HY588:HY595" si="434">+SUM(DO588:DT588)</f>
        <v>40.211763817859129</v>
      </c>
      <c r="HZ588" s="302">
        <f t="shared" ref="HZ588:HZ595" si="435">SUM(DU588:DZ588)</f>
        <v>0</v>
      </c>
      <c r="IA588" s="346">
        <f t="shared" si="297"/>
        <v>40.211763817859129</v>
      </c>
      <c r="IC588" s="350"/>
      <c r="ID588" s="346">
        <f>FISC!AC813</f>
        <v>54.065289391982986</v>
      </c>
      <c r="IE588" s="302">
        <f t="shared" ref="IE588:IE602" si="436">SUM(EM588:ER588)</f>
        <v>76.131426722094361</v>
      </c>
      <c r="IF588" s="302">
        <f t="shared" ref="IF588:IF602" si="437">SUM(ES588:EX588)</f>
        <v>46.932652862980397</v>
      </c>
      <c r="IG588" s="346">
        <f t="shared" si="384"/>
        <v>123.06407958507475</v>
      </c>
      <c r="IH588" s="350"/>
      <c r="II588" s="350"/>
      <c r="IJ588" s="346">
        <f>+FISC!AE813</f>
        <v>86.43933586343168</v>
      </c>
      <c r="IM588" s="346">
        <f>+FISC!AF813</f>
        <v>112.28298244284116</v>
      </c>
      <c r="IP588" s="346">
        <f>+FISC!AG813</f>
        <v>0</v>
      </c>
      <c r="IS588" s="346">
        <f>+FISC!AH813</f>
        <v>0</v>
      </c>
      <c r="IV588" s="346">
        <f>+FISC!AI813</f>
        <v>0</v>
      </c>
      <c r="IX588" s="302">
        <f t="shared" si="283"/>
        <v>0</v>
      </c>
      <c r="IY588" s="346">
        <f>+FISC!AJ813</f>
        <v>0</v>
      </c>
      <c r="JA588" s="302">
        <f t="shared" si="284"/>
        <v>0</v>
      </c>
      <c r="JB588" s="346">
        <f>+FISC!AK813</f>
        <v>0</v>
      </c>
      <c r="JC588" s="346"/>
      <c r="KI588" s="349"/>
      <c r="KJ588" s="350"/>
    </row>
    <row r="589" spans="1:302">
      <c r="A589" s="302"/>
      <c r="B589" s="117" t="s">
        <v>361</v>
      </c>
      <c r="D589" s="351" t="str">
        <f>+FISC!D814</f>
        <v>Budgetary loan [ WB PRSG loan ]</v>
      </c>
      <c r="E589" s="346"/>
      <c r="F589" s="346"/>
      <c r="G589" s="346"/>
      <c r="H589" s="346"/>
      <c r="I589" s="346"/>
      <c r="J589" s="346"/>
      <c r="K589" s="346"/>
      <c r="L589" s="346"/>
      <c r="M589" s="346"/>
      <c r="N589" s="346"/>
      <c r="O589" s="346"/>
      <c r="P589" s="346"/>
      <c r="Q589" s="346"/>
      <c r="R589" s="346"/>
      <c r="S589" s="346"/>
      <c r="T589" s="346"/>
      <c r="U589" s="346"/>
      <c r="V589" s="346"/>
      <c r="W589" s="346"/>
      <c r="X589" s="346"/>
      <c r="Y589" s="346"/>
      <c r="Z589" s="346"/>
      <c r="AA589" s="346"/>
      <c r="AB589" s="346"/>
      <c r="AC589" s="346"/>
      <c r="AD589" s="346"/>
      <c r="AE589" s="346"/>
      <c r="AF589" s="346"/>
      <c r="AG589" s="346"/>
      <c r="AH589" s="346"/>
      <c r="AI589" s="346"/>
      <c r="AJ589" s="346"/>
      <c r="AK589" s="346"/>
      <c r="AL589" s="346"/>
      <c r="AM589" s="346"/>
      <c r="AN589" s="346"/>
      <c r="AO589" s="346"/>
      <c r="AP589" s="346"/>
      <c r="AQ589" s="346"/>
      <c r="AR589" s="346"/>
      <c r="AS589" s="346"/>
      <c r="AT589" s="346"/>
      <c r="AU589" s="346"/>
      <c r="AV589" s="346"/>
      <c r="AW589" s="346"/>
      <c r="AX589" s="346"/>
      <c r="AY589" s="346"/>
      <c r="AZ589" s="346"/>
      <c r="BA589" s="346"/>
      <c r="BB589" s="346"/>
      <c r="BC589" s="346"/>
      <c r="BD589" s="346"/>
      <c r="BE589" s="346"/>
      <c r="BF589" s="346"/>
      <c r="BG589" s="346"/>
      <c r="BH589" s="346"/>
      <c r="BI589" s="346"/>
      <c r="BJ589" s="346"/>
      <c r="BK589" s="346"/>
      <c r="BL589" s="346"/>
      <c r="BM589" s="346"/>
      <c r="BN589" s="346"/>
      <c r="BO589" s="346"/>
      <c r="BP589" s="346"/>
      <c r="BQ589" s="346"/>
      <c r="BR589" s="346"/>
      <c r="BS589" s="346"/>
      <c r="BT589" s="346"/>
      <c r="BU589" s="346"/>
      <c r="BV589" s="346"/>
      <c r="BW589" s="346"/>
      <c r="BX589" s="346"/>
      <c r="BY589" s="346"/>
      <c r="BZ589" s="346"/>
      <c r="CA589" s="346"/>
      <c r="CB589" s="346"/>
      <c r="CC589" s="346"/>
      <c r="CD589" s="346"/>
      <c r="CE589" s="347">
        <f t="shared" ref="CE589:DJ589" si="438">CE28</f>
        <v>0</v>
      </c>
      <c r="CF589" s="346">
        <f t="shared" si="438"/>
        <v>0</v>
      </c>
      <c r="CG589" s="346">
        <f t="shared" si="438"/>
        <v>0</v>
      </c>
      <c r="CH589" s="346">
        <f t="shared" si="438"/>
        <v>0</v>
      </c>
      <c r="CI589" s="346">
        <f t="shared" si="438"/>
        <v>0</v>
      </c>
      <c r="CJ589" s="346">
        <f t="shared" si="438"/>
        <v>0</v>
      </c>
      <c r="CK589" s="346">
        <f t="shared" si="438"/>
        <v>0</v>
      </c>
      <c r="CL589" s="346">
        <f t="shared" si="438"/>
        <v>0</v>
      </c>
      <c r="CM589" s="346">
        <f t="shared" si="438"/>
        <v>0</v>
      </c>
      <c r="CN589" s="346">
        <f t="shared" si="438"/>
        <v>0</v>
      </c>
      <c r="CO589" s="346">
        <f t="shared" si="438"/>
        <v>31.631566856500001</v>
      </c>
      <c r="CP589" s="348">
        <f t="shared" si="438"/>
        <v>0</v>
      </c>
      <c r="CQ589" s="346">
        <f t="shared" si="438"/>
        <v>0</v>
      </c>
      <c r="CR589" s="346">
        <f t="shared" si="438"/>
        <v>0</v>
      </c>
      <c r="CS589" s="346">
        <f t="shared" si="438"/>
        <v>0</v>
      </c>
      <c r="CT589" s="346">
        <f t="shared" si="438"/>
        <v>0</v>
      </c>
      <c r="CU589" s="346">
        <f t="shared" si="438"/>
        <v>0</v>
      </c>
      <c r="CV589" s="346">
        <f t="shared" si="438"/>
        <v>39.54042132072</v>
      </c>
      <c r="CW589" s="346">
        <f t="shared" si="438"/>
        <v>0</v>
      </c>
      <c r="CX589" s="346">
        <f t="shared" si="438"/>
        <v>0</v>
      </c>
      <c r="CY589" s="346">
        <f t="shared" si="438"/>
        <v>0</v>
      </c>
      <c r="CZ589" s="346">
        <f t="shared" si="438"/>
        <v>46.908105421953671</v>
      </c>
      <c r="DA589" s="346">
        <f t="shared" si="438"/>
        <v>0</v>
      </c>
      <c r="DB589" s="1479">
        <f t="shared" si="438"/>
        <v>0</v>
      </c>
      <c r="DC589" s="346">
        <f t="shared" si="438"/>
        <v>0</v>
      </c>
      <c r="DD589" s="346">
        <f t="shared" si="438"/>
        <v>0</v>
      </c>
      <c r="DE589" s="346">
        <f t="shared" si="438"/>
        <v>44.87491947503694</v>
      </c>
      <c r="DF589" s="346">
        <f t="shared" si="438"/>
        <v>7.6787741383385413</v>
      </c>
      <c r="DG589" s="346">
        <f t="shared" si="438"/>
        <v>0</v>
      </c>
      <c r="DH589" s="346">
        <f t="shared" si="438"/>
        <v>70.05920556739467</v>
      </c>
      <c r="DI589" s="346">
        <f t="shared" si="438"/>
        <v>0</v>
      </c>
      <c r="DJ589" s="346">
        <f t="shared" si="438"/>
        <v>0</v>
      </c>
      <c r="DK589" s="346">
        <f t="shared" ref="DK589:EP589" si="439">DK28</f>
        <v>0</v>
      </c>
      <c r="DL589" s="346">
        <f t="shared" si="439"/>
        <v>0</v>
      </c>
      <c r="DM589" s="346">
        <f t="shared" si="439"/>
        <v>0</v>
      </c>
      <c r="DN589" s="348">
        <f t="shared" si="439"/>
        <v>0</v>
      </c>
      <c r="DO589" s="346">
        <f t="shared" si="439"/>
        <v>0</v>
      </c>
      <c r="DP589" s="346">
        <f t="shared" si="439"/>
        <v>0</v>
      </c>
      <c r="DQ589" s="346">
        <f t="shared" si="439"/>
        <v>19.271476517449592</v>
      </c>
      <c r="DR589" s="346">
        <f t="shared" si="439"/>
        <v>23.474741639787275</v>
      </c>
      <c r="DS589" s="346">
        <f t="shared" si="439"/>
        <v>0</v>
      </c>
      <c r="DT589" s="346">
        <f t="shared" si="439"/>
        <v>74.902879725146917</v>
      </c>
      <c r="DU589" s="346">
        <f t="shared" si="439"/>
        <v>0</v>
      </c>
      <c r="DV589" s="346">
        <f t="shared" si="439"/>
        <v>0</v>
      </c>
      <c r="DW589" s="346">
        <f t="shared" si="439"/>
        <v>0</v>
      </c>
      <c r="DX589" s="346">
        <f t="shared" si="439"/>
        <v>0</v>
      </c>
      <c r="DY589" s="346">
        <f t="shared" si="439"/>
        <v>25.959476439408562</v>
      </c>
      <c r="DZ589" s="348">
        <f t="shared" si="439"/>
        <v>0</v>
      </c>
      <c r="EA589" s="346">
        <f t="shared" si="439"/>
        <v>0</v>
      </c>
      <c r="EB589" s="346">
        <f t="shared" si="439"/>
        <v>0</v>
      </c>
      <c r="EC589" s="346">
        <f t="shared" si="439"/>
        <v>0</v>
      </c>
      <c r="ED589" s="346">
        <f t="shared" si="439"/>
        <v>0</v>
      </c>
      <c r="EE589" s="346">
        <f t="shared" si="439"/>
        <v>0</v>
      </c>
      <c r="EF589" s="346">
        <f t="shared" si="439"/>
        <v>0</v>
      </c>
      <c r="EG589" s="346">
        <f t="shared" si="439"/>
        <v>36.409625616</v>
      </c>
      <c r="EH589" s="346">
        <f t="shared" si="439"/>
        <v>0</v>
      </c>
      <c r="EI589" s="346">
        <f t="shared" si="439"/>
        <v>0</v>
      </c>
      <c r="EJ589" s="346">
        <f t="shared" si="439"/>
        <v>0</v>
      </c>
      <c r="EK589" s="346">
        <f t="shared" si="439"/>
        <v>20.856450759000001</v>
      </c>
      <c r="EL589" s="348">
        <f t="shared" si="439"/>
        <v>0</v>
      </c>
      <c r="EM589" s="346">
        <f t="shared" si="439"/>
        <v>0</v>
      </c>
      <c r="EN589" s="346">
        <f t="shared" si="439"/>
        <v>0</v>
      </c>
      <c r="EO589" s="346">
        <f t="shared" si="439"/>
        <v>0</v>
      </c>
      <c r="EP589" s="346">
        <f t="shared" si="439"/>
        <v>4.4390382572712728</v>
      </c>
      <c r="EQ589" s="346">
        <f t="shared" ref="EQ589:EX589" si="440">EQ28</f>
        <v>0</v>
      </c>
      <c r="ER589" s="346">
        <f t="shared" si="440"/>
        <v>118.03590894932972</v>
      </c>
      <c r="ES589" s="346">
        <f t="shared" si="440"/>
        <v>0</v>
      </c>
      <c r="ET589" s="346">
        <f t="shared" si="440"/>
        <v>0</v>
      </c>
      <c r="EU589" s="346">
        <f t="shared" si="440"/>
        <v>0</v>
      </c>
      <c r="EV589" s="346">
        <f t="shared" si="440"/>
        <v>0</v>
      </c>
      <c r="EW589" s="346">
        <f t="shared" si="440"/>
        <v>0</v>
      </c>
      <c r="EX589" s="348">
        <f t="shared" si="440"/>
        <v>16.20009202</v>
      </c>
      <c r="EY589" s="346"/>
      <c r="EZ589" s="346"/>
      <c r="FA589" s="346"/>
      <c r="FB589" s="346"/>
      <c r="FC589" s="346"/>
      <c r="FD589" s="346"/>
      <c r="FE589" s="346"/>
      <c r="FF589" s="346"/>
      <c r="FG589" s="346"/>
      <c r="FH589" s="346"/>
      <c r="FI589" s="346"/>
      <c r="FJ589" s="348"/>
      <c r="FK589" s="346"/>
      <c r="FL589" s="346"/>
      <c r="FM589" s="346"/>
      <c r="FN589" s="346"/>
      <c r="FO589" s="346"/>
      <c r="FP589" s="346"/>
      <c r="FQ589" s="346"/>
      <c r="FR589" s="346"/>
      <c r="FS589" s="346"/>
      <c r="FT589" s="346"/>
      <c r="FU589" s="346"/>
      <c r="FV589" s="346"/>
      <c r="FW589" s="346"/>
      <c r="FX589" s="346"/>
      <c r="FY589" s="346"/>
      <c r="FZ589" s="346"/>
      <c r="GA589" s="346"/>
      <c r="GB589" s="346"/>
      <c r="GC589" s="346"/>
      <c r="GD589" s="346"/>
      <c r="GE589" s="346"/>
      <c r="GF589" s="346"/>
      <c r="GG589" s="346"/>
      <c r="GH589" s="346"/>
      <c r="GI589" s="346"/>
      <c r="GJ589" s="346"/>
      <c r="GK589" s="346"/>
      <c r="GL589" s="346"/>
      <c r="GM589" s="346"/>
      <c r="GN589" s="346"/>
      <c r="GO589" s="346"/>
      <c r="GP589" s="346"/>
      <c r="GQ589" s="346"/>
      <c r="GR589" s="346"/>
      <c r="GS589" s="346"/>
      <c r="GT589" s="346"/>
      <c r="GU589" s="346"/>
      <c r="GV589" s="346"/>
      <c r="GW589" s="346"/>
      <c r="GX589" s="346"/>
      <c r="GY589" s="346"/>
      <c r="GZ589" s="346"/>
      <c r="HA589" s="346"/>
      <c r="HB589" s="346"/>
      <c r="HC589" s="346"/>
      <c r="HD589" s="346"/>
      <c r="HE589" s="346"/>
      <c r="HF589" s="346"/>
      <c r="HG589" s="346"/>
      <c r="HH589" s="346"/>
      <c r="HI589" s="346"/>
      <c r="HJ589" s="346"/>
      <c r="HK589" s="346"/>
      <c r="HL589" s="346"/>
      <c r="HM589" s="346"/>
      <c r="HN589" s="349"/>
      <c r="HO589" s="351" t="s">
        <v>185</v>
      </c>
      <c r="HP589" s="351"/>
      <c r="HQ589" s="351"/>
      <c r="HR589" s="346">
        <f>+FISC!Z814</f>
        <v>0</v>
      </c>
      <c r="HS589" s="302">
        <f>SUM(CQ589:CV589)</f>
        <v>39.54042132072</v>
      </c>
      <c r="HT589" s="302">
        <f>SUM(CW589:DB589)</f>
        <v>46.908105421953671</v>
      </c>
      <c r="HU589" s="346">
        <f>SUM(CQ589:DB589)</f>
        <v>86.448526742673664</v>
      </c>
      <c r="HX589" s="346">
        <v>0</v>
      </c>
      <c r="HY589" s="302">
        <f t="shared" si="434"/>
        <v>117.64909788238378</v>
      </c>
      <c r="HZ589" s="302">
        <f t="shared" si="435"/>
        <v>25.959476439408562</v>
      </c>
      <c r="IA589" s="346">
        <f>HY589+HZ589</f>
        <v>143.60857432179233</v>
      </c>
      <c r="IB589" s="302">
        <v>154.230397481983</v>
      </c>
      <c r="IC589" s="350"/>
      <c r="ID589" s="346">
        <f>FISC!AC814</f>
        <v>157.43118446500003</v>
      </c>
      <c r="IE589" s="302">
        <f t="shared" si="436"/>
        <v>122.474947206601</v>
      </c>
      <c r="IF589" s="302">
        <f t="shared" si="437"/>
        <v>16.20009202</v>
      </c>
      <c r="IG589" s="346">
        <f t="shared" si="384"/>
        <v>138.675039226601</v>
      </c>
      <c r="IH589" s="350"/>
      <c r="II589" s="350"/>
      <c r="IJ589" s="346">
        <f>+FISC!AE814</f>
        <v>1</v>
      </c>
      <c r="IM589" s="346">
        <f>+FISC!AF814</f>
        <v>2</v>
      </c>
      <c r="IP589" s="346">
        <f>+FISC!AG814</f>
        <v>3</v>
      </c>
      <c r="IS589" s="346">
        <f>+FISC!AH814</f>
        <v>0</v>
      </c>
      <c r="IV589" s="346">
        <f>+FISC!AI814</f>
        <v>0</v>
      </c>
      <c r="IX589" s="302">
        <f t="shared" si="283"/>
        <v>0</v>
      </c>
      <c r="IY589" s="346">
        <f>+FISC!AJ814</f>
        <v>0</v>
      </c>
      <c r="JA589" s="302">
        <f t="shared" si="284"/>
        <v>0</v>
      </c>
      <c r="JB589" s="346">
        <f>+FISC!AK814</f>
        <v>0</v>
      </c>
      <c r="JC589" s="346"/>
      <c r="KI589" s="349"/>
      <c r="KJ589" s="350"/>
    </row>
    <row r="590" spans="1:302">
      <c r="A590" s="302"/>
      <c r="D590" s="351" t="s">
        <v>779</v>
      </c>
      <c r="E590" s="346"/>
      <c r="F590" s="346"/>
      <c r="G590" s="346"/>
      <c r="H590" s="346"/>
      <c r="I590" s="346"/>
      <c r="J590" s="346"/>
      <c r="K590" s="346"/>
      <c r="L590" s="346"/>
      <c r="M590" s="346"/>
      <c r="N590" s="346"/>
      <c r="O590" s="346"/>
      <c r="P590" s="346"/>
      <c r="Q590" s="346"/>
      <c r="R590" s="346"/>
      <c r="S590" s="346"/>
      <c r="T590" s="346"/>
      <c r="U590" s="346"/>
      <c r="V590" s="346"/>
      <c r="W590" s="346"/>
      <c r="X590" s="346"/>
      <c r="Y590" s="346"/>
      <c r="Z590" s="346"/>
      <c r="AA590" s="346"/>
      <c r="AB590" s="346"/>
      <c r="AC590" s="346"/>
      <c r="AD590" s="346"/>
      <c r="AE590" s="346"/>
      <c r="AF590" s="346"/>
      <c r="AG590" s="346"/>
      <c r="AH590" s="346"/>
      <c r="AI590" s="346"/>
      <c r="AJ590" s="346"/>
      <c r="AK590" s="346"/>
      <c r="AL590" s="346"/>
      <c r="AM590" s="346"/>
      <c r="AN590" s="346"/>
      <c r="AO590" s="346"/>
      <c r="AP590" s="346"/>
      <c r="AQ590" s="346"/>
      <c r="AR590" s="346"/>
      <c r="AS590" s="346"/>
      <c r="AT590" s="346"/>
      <c r="AU590" s="346"/>
      <c r="AV590" s="346"/>
      <c r="AW590" s="346"/>
      <c r="AX590" s="346"/>
      <c r="AY590" s="346"/>
      <c r="AZ590" s="346"/>
      <c r="BA590" s="346"/>
      <c r="BB590" s="346"/>
      <c r="BC590" s="346"/>
      <c r="BD590" s="346"/>
      <c r="BE590" s="346"/>
      <c r="BF590" s="346"/>
      <c r="BG590" s="346"/>
      <c r="BH590" s="346"/>
      <c r="BI590" s="346"/>
      <c r="BJ590" s="346"/>
      <c r="BK590" s="346"/>
      <c r="BL590" s="346"/>
      <c r="BM590" s="346"/>
      <c r="BN590" s="346"/>
      <c r="BO590" s="346"/>
      <c r="BP590" s="346"/>
      <c r="BQ590" s="346"/>
      <c r="BR590" s="346"/>
      <c r="BS590" s="346"/>
      <c r="BT590" s="346"/>
      <c r="BU590" s="346"/>
      <c r="BV590" s="346"/>
      <c r="BW590" s="346"/>
      <c r="BX590" s="346"/>
      <c r="BY590" s="346"/>
      <c r="BZ590" s="346"/>
      <c r="CA590" s="346"/>
      <c r="CB590" s="346"/>
      <c r="CC590" s="346"/>
      <c r="CD590" s="346"/>
      <c r="CE590" s="347"/>
      <c r="CF590" s="346"/>
      <c r="CG590" s="346"/>
      <c r="CH590" s="346"/>
      <c r="CI590" s="346"/>
      <c r="CJ590" s="346"/>
      <c r="CK590" s="346"/>
      <c r="CL590" s="346"/>
      <c r="CM590" s="346"/>
      <c r="CN590" s="346"/>
      <c r="CO590" s="346"/>
      <c r="CP590" s="348"/>
      <c r="CQ590" s="346"/>
      <c r="CR590" s="346"/>
      <c r="CS590" s="346"/>
      <c r="CT590" s="346"/>
      <c r="CU590" s="346"/>
      <c r="CV590" s="346"/>
      <c r="CW590" s="346"/>
      <c r="CX590" s="346"/>
      <c r="CY590" s="346"/>
      <c r="CZ590" s="346"/>
      <c r="DA590" s="346"/>
      <c r="DB590" s="1479"/>
      <c r="DC590" s="346"/>
      <c r="DD590" s="346"/>
      <c r="DE590" s="346"/>
      <c r="DF590" s="346"/>
      <c r="DG590" s="346"/>
      <c r="DH590" s="346"/>
      <c r="DI590" s="346"/>
      <c r="DJ590" s="346"/>
      <c r="DK590" s="346"/>
      <c r="DL590" s="346"/>
      <c r="DM590" s="346"/>
      <c r="DN590" s="348"/>
      <c r="DO590" s="346"/>
      <c r="DP590" s="346"/>
      <c r="DQ590" s="346"/>
      <c r="DR590" s="346"/>
      <c r="DS590" s="346"/>
      <c r="DT590" s="346"/>
      <c r="DU590" s="346"/>
      <c r="DV590" s="346"/>
      <c r="DW590" s="346"/>
      <c r="DX590" s="346"/>
      <c r="DY590" s="346"/>
      <c r="DZ590" s="348"/>
      <c r="EA590" s="346"/>
      <c r="EB590" s="346"/>
      <c r="EC590" s="346"/>
      <c r="ED590" s="346"/>
      <c r="EE590" s="346"/>
      <c r="EF590" s="346"/>
      <c r="EG590" s="346"/>
      <c r="EH590" s="346"/>
      <c r="EI590" s="346"/>
      <c r="EJ590" s="346"/>
      <c r="EK590" s="346"/>
      <c r="EL590" s="348"/>
      <c r="EM590" s="346"/>
      <c r="EN590" s="346"/>
      <c r="EO590" s="346"/>
      <c r="EP590" s="346"/>
      <c r="EQ590" s="346"/>
      <c r="ER590" s="346"/>
      <c r="ES590" s="346"/>
      <c r="ET590" s="346"/>
      <c r="EU590" s="346"/>
      <c r="EV590" s="346"/>
      <c r="EW590" s="346"/>
      <c r="EX590" s="348"/>
      <c r="EY590" s="346"/>
      <c r="EZ590" s="346"/>
      <c r="FA590" s="346"/>
      <c r="FB590" s="346"/>
      <c r="FC590" s="346"/>
      <c r="FD590" s="346"/>
      <c r="FE590" s="346"/>
      <c r="FF590" s="346"/>
      <c r="FG590" s="346"/>
      <c r="FH590" s="346"/>
      <c r="FI590" s="346"/>
      <c r="FJ590" s="348"/>
      <c r="FK590" s="346"/>
      <c r="FL590" s="346"/>
      <c r="FM590" s="346"/>
      <c r="FN590" s="346"/>
      <c r="FO590" s="346"/>
      <c r="FP590" s="346"/>
      <c r="FQ590" s="346"/>
      <c r="FR590" s="346"/>
      <c r="FS590" s="346"/>
      <c r="FT590" s="346"/>
      <c r="FU590" s="346"/>
      <c r="FV590" s="346"/>
      <c r="FW590" s="346"/>
      <c r="FX590" s="346"/>
      <c r="FY590" s="346"/>
      <c r="FZ590" s="346"/>
      <c r="GA590" s="346"/>
      <c r="GB590" s="346"/>
      <c r="GC590" s="346"/>
      <c r="GD590" s="346"/>
      <c r="GE590" s="346"/>
      <c r="GF590" s="346"/>
      <c r="GG590" s="346"/>
      <c r="GH590" s="346"/>
      <c r="GI590" s="346"/>
      <c r="GJ590" s="346"/>
      <c r="GK590" s="346"/>
      <c r="GL590" s="346"/>
      <c r="GM590" s="346"/>
      <c r="GN590" s="346"/>
      <c r="GO590" s="346"/>
      <c r="GP590" s="346"/>
      <c r="GQ590" s="346"/>
      <c r="GR590" s="346"/>
      <c r="GS590" s="346"/>
      <c r="GT590" s="346"/>
      <c r="GU590" s="346"/>
      <c r="GV590" s="346"/>
      <c r="GW590" s="346"/>
      <c r="GX590" s="346"/>
      <c r="GY590" s="346"/>
      <c r="GZ590" s="346"/>
      <c r="HA590" s="346"/>
      <c r="HB590" s="346"/>
      <c r="HC590" s="346"/>
      <c r="HD590" s="346"/>
      <c r="HE590" s="346"/>
      <c r="HF590" s="346"/>
      <c r="HG590" s="346"/>
      <c r="HH590" s="346"/>
      <c r="HI590" s="346"/>
      <c r="HJ590" s="346"/>
      <c r="HK590" s="346"/>
      <c r="HL590" s="346"/>
      <c r="HM590" s="346"/>
      <c r="HN590" s="349"/>
      <c r="HO590" s="351" t="s">
        <v>779</v>
      </c>
      <c r="HP590" s="351"/>
      <c r="HQ590" s="351"/>
      <c r="HR590" s="346"/>
      <c r="HU590" s="346"/>
      <c r="HX590" s="346"/>
      <c r="HY590" s="302">
        <f t="shared" si="434"/>
        <v>0</v>
      </c>
      <c r="HZ590" s="302">
        <f t="shared" si="435"/>
        <v>0</v>
      </c>
      <c r="IA590" s="346">
        <f>HY590+HZ590</f>
        <v>0</v>
      </c>
      <c r="IC590" s="350"/>
      <c r="ID590" s="346">
        <f>FISC!AC819</f>
        <v>0</v>
      </c>
      <c r="IE590" s="302">
        <f t="shared" si="436"/>
        <v>0</v>
      </c>
      <c r="IF590" s="302">
        <f t="shared" si="437"/>
        <v>0</v>
      </c>
      <c r="IG590" s="346">
        <f t="shared" si="384"/>
        <v>0</v>
      </c>
      <c r="IJ590" s="346">
        <f>FISC!AE819</f>
        <v>0</v>
      </c>
      <c r="IK590" s="350">
        <f>FISC!AE77*FISC!AF253/1000</f>
        <v>0</v>
      </c>
      <c r="IL590" s="302">
        <f>+IM590-IK590</f>
        <v>0</v>
      </c>
      <c r="IM590" s="346">
        <f>FISC!AF1253</f>
        <v>0</v>
      </c>
      <c r="IN590" s="350">
        <f>FISC!AF77*FISC!AG253/1000</f>
        <v>0</v>
      </c>
      <c r="IO590" s="302">
        <f>IP590-IN590</f>
        <v>0</v>
      </c>
      <c r="IP590" s="346">
        <f>FISC!AG819</f>
        <v>0</v>
      </c>
      <c r="IQ590" s="302">
        <f>IS590*JI590</f>
        <v>0</v>
      </c>
      <c r="IR590" s="302">
        <f t="shared" si="281"/>
        <v>0</v>
      </c>
      <c r="IS590" s="346"/>
      <c r="IT590" s="302">
        <f t="shared" si="294"/>
        <v>0</v>
      </c>
      <c r="IU590" s="302">
        <f t="shared" si="282"/>
        <v>0</v>
      </c>
      <c r="IV590" s="346"/>
      <c r="IW590" s="302">
        <f t="shared" si="295"/>
        <v>0</v>
      </c>
      <c r="IX590" s="302">
        <f t="shared" si="283"/>
        <v>0</v>
      </c>
      <c r="IY590" s="346"/>
      <c r="IZ590" s="302">
        <f t="shared" si="296"/>
        <v>0</v>
      </c>
      <c r="JA590" s="302">
        <f t="shared" si="284"/>
        <v>0</v>
      </c>
      <c r="JB590" s="346"/>
      <c r="JC590" s="346"/>
      <c r="KI590" s="349"/>
      <c r="KJ590" s="350"/>
    </row>
    <row r="591" spans="1:302">
      <c r="A591" s="302"/>
      <c r="B591" s="117" t="s">
        <v>361</v>
      </c>
      <c r="D591" s="345" t="str">
        <f>+FISC!D822</f>
        <v>Project loans</v>
      </c>
      <c r="E591" s="346">
        <v>0</v>
      </c>
      <c r="F591" s="346">
        <v>0</v>
      </c>
      <c r="G591" s="346">
        <v>10.3</v>
      </c>
      <c r="H591" s="346">
        <v>0</v>
      </c>
      <c r="I591" s="346">
        <v>0</v>
      </c>
      <c r="J591" s="346">
        <v>10.3</v>
      </c>
      <c r="K591" s="346">
        <v>0</v>
      </c>
      <c r="L591" s="346">
        <v>0</v>
      </c>
      <c r="M591" s="346">
        <v>10.9</v>
      </c>
      <c r="N591" s="346">
        <v>0</v>
      </c>
      <c r="O591" s="346">
        <v>0</v>
      </c>
      <c r="P591" s="346">
        <v>17</v>
      </c>
      <c r="Q591" s="346">
        <v>0</v>
      </c>
      <c r="R591" s="346">
        <v>0</v>
      </c>
      <c r="S591" s="346">
        <v>7.6319999999999997</v>
      </c>
      <c r="T591" s="346">
        <v>0</v>
      </c>
      <c r="U591" s="346">
        <v>0</v>
      </c>
      <c r="V591" s="346">
        <v>7.95</v>
      </c>
      <c r="W591" s="346">
        <v>0</v>
      </c>
      <c r="X591" s="346">
        <v>0</v>
      </c>
      <c r="Y591" s="346">
        <v>9.7330000000000005</v>
      </c>
      <c r="Z591" s="346">
        <v>0</v>
      </c>
      <c r="AA591" s="346">
        <v>0</v>
      </c>
      <c r="AB591" s="346">
        <v>29.1327</v>
      </c>
      <c r="AC591" s="346">
        <v>0</v>
      </c>
      <c r="AD591" s="346">
        <v>0</v>
      </c>
      <c r="AE591" s="346">
        <v>12.218307508000001</v>
      </c>
      <c r="AF591" s="346">
        <v>0</v>
      </c>
      <c r="AG591" s="346">
        <v>0</v>
      </c>
      <c r="AH591" s="346">
        <v>14.020674116000002</v>
      </c>
      <c r="AI591" s="346">
        <v>0</v>
      </c>
      <c r="AJ591" s="346">
        <v>0</v>
      </c>
      <c r="AK591" s="346">
        <v>7.3704405540000009</v>
      </c>
      <c r="AL591" s="346">
        <v>0</v>
      </c>
      <c r="AM591" s="346">
        <v>0</v>
      </c>
      <c r="AN591" s="346">
        <v>8.4654792749999999</v>
      </c>
      <c r="AO591" s="346">
        <v>0</v>
      </c>
      <c r="AP591" s="346">
        <v>0</v>
      </c>
      <c r="AQ591" s="346">
        <v>5.335025602</v>
      </c>
      <c r="AR591" s="346">
        <v>0</v>
      </c>
      <c r="AS591" s="346">
        <v>0</v>
      </c>
      <c r="AT591" s="346">
        <v>9.3015493279999983</v>
      </c>
      <c r="AU591" s="346">
        <v>0</v>
      </c>
      <c r="AV591" s="346">
        <v>0</v>
      </c>
      <c r="AW591" s="346">
        <v>6.4644565599999995</v>
      </c>
      <c r="AX591" s="346">
        <v>0</v>
      </c>
      <c r="AY591" s="346">
        <v>0</v>
      </c>
      <c r="AZ591" s="346">
        <v>15.076462141</v>
      </c>
      <c r="BA591" s="346">
        <v>0</v>
      </c>
      <c r="BB591" s="346">
        <v>0</v>
      </c>
      <c r="BC591" s="346">
        <v>19.836167355000001</v>
      </c>
      <c r="BD591" s="346">
        <v>0</v>
      </c>
      <c r="BE591" s="346">
        <v>0</v>
      </c>
      <c r="BF591" s="346">
        <v>13.678343629</v>
      </c>
      <c r="BG591" s="346">
        <v>0</v>
      </c>
      <c r="BH591" s="346">
        <v>0</v>
      </c>
      <c r="BI591" s="346">
        <v>9.3559947090000009</v>
      </c>
      <c r="BJ591" s="346">
        <v>0</v>
      </c>
      <c r="BK591" s="346">
        <v>0</v>
      </c>
      <c r="BL591" s="346">
        <v>16.193013401000002</v>
      </c>
      <c r="BM591" s="346">
        <v>0</v>
      </c>
      <c r="BN591" s="346">
        <v>0</v>
      </c>
      <c r="BO591" s="346">
        <v>13.054760237</v>
      </c>
      <c r="BP591" s="346">
        <v>0</v>
      </c>
      <c r="BQ591" s="346">
        <v>0</v>
      </c>
      <c r="BR591" s="346">
        <v>12.670284823999999</v>
      </c>
      <c r="BS591" s="346">
        <v>0</v>
      </c>
      <c r="BT591" s="346">
        <v>0</v>
      </c>
      <c r="BU591" s="346">
        <v>28.1</v>
      </c>
      <c r="BV591" s="346">
        <v>1.5956689506576198</v>
      </c>
      <c r="BW591" s="346">
        <v>5.4647202718430172</v>
      </c>
      <c r="BX591" s="346">
        <v>4.6916419250035108</v>
      </c>
      <c r="BY591" s="346">
        <v>2.100093706</v>
      </c>
      <c r="BZ591" s="346">
        <v>4.2026710249999999</v>
      </c>
      <c r="CA591" s="346">
        <v>5.1768626690000001</v>
      </c>
      <c r="CB591" s="346">
        <v>4.7995237739999999</v>
      </c>
      <c r="CC591" s="346">
        <v>6.0480418489999996</v>
      </c>
      <c r="CD591" s="346">
        <v>17.882258774</v>
      </c>
      <c r="CE591" s="347">
        <f t="shared" ref="CE591:DJ591" si="441">CE24</f>
        <v>6.8171795699999995</v>
      </c>
      <c r="CF591" s="346">
        <f t="shared" si="441"/>
        <v>3.9039883389999996</v>
      </c>
      <c r="CG591" s="346">
        <f t="shared" si="441"/>
        <v>3.8882203720000001</v>
      </c>
      <c r="CH591" s="346">
        <f t="shared" si="441"/>
        <v>6.2578329159999999</v>
      </c>
      <c r="CI591" s="346">
        <f t="shared" si="441"/>
        <v>3.5211649989999998</v>
      </c>
      <c r="CJ591" s="346">
        <f t="shared" si="441"/>
        <v>6.7397221740000006</v>
      </c>
      <c r="CK591" s="346">
        <f t="shared" si="441"/>
        <v>11.206712712286999</v>
      </c>
      <c r="CL591" s="346">
        <f t="shared" si="441"/>
        <v>1.744920303962</v>
      </c>
      <c r="CM591" s="346">
        <f t="shared" si="441"/>
        <v>2.9498687050729999</v>
      </c>
      <c r="CN591" s="346">
        <f t="shared" si="441"/>
        <v>2.9364516164649999</v>
      </c>
      <c r="CO591" s="346">
        <f t="shared" si="441"/>
        <v>7.9735729529739992</v>
      </c>
      <c r="CP591" s="348">
        <f t="shared" si="441"/>
        <v>8.7696447443489998</v>
      </c>
      <c r="CQ591" s="346">
        <f t="shared" si="441"/>
        <v>5.7607435347770011</v>
      </c>
      <c r="CR591" s="346">
        <f t="shared" si="441"/>
        <v>3.9472671107080002</v>
      </c>
      <c r="CS591" s="346">
        <f t="shared" si="441"/>
        <v>12.991094179872</v>
      </c>
      <c r="CT591" s="346">
        <f t="shared" si="441"/>
        <v>7.097023092573</v>
      </c>
      <c r="CU591" s="346">
        <f t="shared" si="441"/>
        <v>12.102969035651</v>
      </c>
      <c r="CV591" s="346">
        <f t="shared" si="441"/>
        <v>11.621077212909999</v>
      </c>
      <c r="CW591" s="346">
        <f t="shared" si="441"/>
        <v>8.4188352186079989</v>
      </c>
      <c r="CX591" s="346">
        <f t="shared" si="441"/>
        <v>3.7151717103489998</v>
      </c>
      <c r="CY591" s="346">
        <f t="shared" si="441"/>
        <v>9.2964163726490003</v>
      </c>
      <c r="CZ591" s="346">
        <f t="shared" si="441"/>
        <v>3.9665275602789998</v>
      </c>
      <c r="DA591" s="346">
        <f t="shared" si="441"/>
        <v>6.3830912553159997</v>
      </c>
      <c r="DB591" s="1479">
        <f t="shared" si="441"/>
        <v>13.932984784080002</v>
      </c>
      <c r="DC591" s="346">
        <f t="shared" si="441"/>
        <v>0.42216898336300002</v>
      </c>
      <c r="DD591" s="346">
        <f t="shared" si="441"/>
        <v>3.7189687297299998</v>
      </c>
      <c r="DE591" s="346">
        <f t="shared" si="441"/>
        <v>11.694227755626997</v>
      </c>
      <c r="DF591" s="346">
        <f t="shared" si="441"/>
        <v>8.5129279728749996</v>
      </c>
      <c r="DG591" s="346">
        <f t="shared" si="441"/>
        <v>4.8652677647420006</v>
      </c>
      <c r="DH591" s="346">
        <f t="shared" si="441"/>
        <v>22.350273298890002</v>
      </c>
      <c r="DI591" s="346">
        <f t="shared" si="441"/>
        <v>6.7047741122170006</v>
      </c>
      <c r="DJ591" s="346">
        <f t="shared" si="441"/>
        <v>5.5435094828279992</v>
      </c>
      <c r="DK591" s="346">
        <f t="shared" ref="DK591:EP591" si="442">DK24</f>
        <v>13.796249482406001</v>
      </c>
      <c r="DL591" s="346">
        <f t="shared" si="442"/>
        <v>13.128120131547998</v>
      </c>
      <c r="DM591" s="346">
        <f t="shared" si="442"/>
        <v>6.8738819535209998</v>
      </c>
      <c r="DN591" s="348">
        <f t="shared" si="442"/>
        <v>5.2576456738859996</v>
      </c>
      <c r="DO591" s="346">
        <f t="shared" si="442"/>
        <v>3.2977253905239996</v>
      </c>
      <c r="DP591" s="346">
        <f t="shared" si="442"/>
        <v>8.4289872174100005</v>
      </c>
      <c r="DQ591" s="346">
        <f t="shared" si="442"/>
        <v>19.676344781299001</v>
      </c>
      <c r="DR591" s="346">
        <f t="shared" si="442"/>
        <v>6.2250619891019987</v>
      </c>
      <c r="DS591" s="346">
        <f t="shared" si="442"/>
        <v>11.369225287213002</v>
      </c>
      <c r="DT591" s="346">
        <f t="shared" si="442"/>
        <v>20.325144909231</v>
      </c>
      <c r="DU591" s="346">
        <f t="shared" si="442"/>
        <v>11.223212818042001</v>
      </c>
      <c r="DV591" s="346">
        <f t="shared" si="442"/>
        <v>3.1183098931750002</v>
      </c>
      <c r="DW591" s="346">
        <f t="shared" si="442"/>
        <v>21.614232810366996</v>
      </c>
      <c r="DX591" s="346">
        <f t="shared" si="442"/>
        <v>21.526583004928</v>
      </c>
      <c r="DY591" s="346">
        <f t="shared" si="442"/>
        <v>12.780071612072998</v>
      </c>
      <c r="DZ591" s="348">
        <f t="shared" si="442"/>
        <v>21.164277456465001</v>
      </c>
      <c r="EA591" s="346">
        <f t="shared" si="442"/>
        <v>9.7045831328230001</v>
      </c>
      <c r="EB591" s="346">
        <f t="shared" si="442"/>
        <v>14.178791869796999</v>
      </c>
      <c r="EC591" s="346">
        <f t="shared" si="442"/>
        <v>4.1068273863379989</v>
      </c>
      <c r="ED591" s="346">
        <f t="shared" si="442"/>
        <v>14.499453949647002</v>
      </c>
      <c r="EE591" s="346">
        <f t="shared" si="442"/>
        <v>8.0689371946400001</v>
      </c>
      <c r="EF591" s="346">
        <f t="shared" si="442"/>
        <v>16.683415901944997</v>
      </c>
      <c r="EG591" s="346">
        <f t="shared" si="442"/>
        <v>20.175523392911998</v>
      </c>
      <c r="EH591" s="346">
        <f t="shared" si="442"/>
        <v>4.4105177353120002</v>
      </c>
      <c r="EI591" s="346">
        <f t="shared" si="442"/>
        <v>18.571578294357</v>
      </c>
      <c r="EJ591" s="346">
        <f t="shared" si="442"/>
        <v>12.140062738398001</v>
      </c>
      <c r="EK591" s="346">
        <f t="shared" si="442"/>
        <v>19.123543562072001</v>
      </c>
      <c r="EL591" s="348">
        <f t="shared" si="442"/>
        <v>28.687180347918996</v>
      </c>
      <c r="EM591" s="346">
        <f t="shared" si="442"/>
        <v>10.477656590839999</v>
      </c>
      <c r="EN591" s="346">
        <f t="shared" si="442"/>
        <v>2.1647688006760002</v>
      </c>
      <c r="EO591" s="346">
        <f t="shared" si="442"/>
        <v>15.058106803279999</v>
      </c>
      <c r="EP591" s="346">
        <f t="shared" si="442"/>
        <v>3.5079863831359996</v>
      </c>
      <c r="EQ591" s="346">
        <f t="shared" ref="EQ591:EX591" si="443">EQ24</f>
        <v>15.281142754074001</v>
      </c>
      <c r="ER591" s="346">
        <f t="shared" si="443"/>
        <v>26.971773235696993</v>
      </c>
      <c r="ES591" s="346">
        <f t="shared" si="443"/>
        <v>23.575918671628003</v>
      </c>
      <c r="ET591" s="346">
        <f t="shared" si="443"/>
        <v>16.006098219428999</v>
      </c>
      <c r="EU591" s="346">
        <f t="shared" si="443"/>
        <v>17.722634921015</v>
      </c>
      <c r="EV591" s="346">
        <f t="shared" si="443"/>
        <v>14.858032673780999</v>
      </c>
      <c r="EW591" s="346">
        <f t="shared" si="443"/>
        <v>19.614621516160998</v>
      </c>
      <c r="EX591" s="348">
        <f t="shared" si="443"/>
        <v>49.68972366989501</v>
      </c>
      <c r="EY591" s="346"/>
      <c r="EZ591" s="346"/>
      <c r="FA591" s="346"/>
      <c r="FB591" s="346"/>
      <c r="FC591" s="346"/>
      <c r="FD591" s="346"/>
      <c r="FE591" s="346"/>
      <c r="FF591" s="346"/>
      <c r="FG591" s="346"/>
      <c r="FH591" s="346"/>
      <c r="FI591" s="346"/>
      <c r="FJ591" s="348"/>
      <c r="FK591" s="346"/>
      <c r="FL591" s="346"/>
      <c r="FM591" s="346"/>
      <c r="FN591" s="346"/>
      <c r="FO591" s="346"/>
      <c r="FP591" s="346"/>
      <c r="FQ591" s="346"/>
      <c r="FR591" s="346"/>
      <c r="FS591" s="346"/>
      <c r="FT591" s="346"/>
      <c r="FU591" s="346"/>
      <c r="FV591" s="346"/>
      <c r="FW591" s="346"/>
      <c r="FX591" s="346"/>
      <c r="FY591" s="346"/>
      <c r="FZ591" s="346"/>
      <c r="GA591" s="346"/>
      <c r="GB591" s="346"/>
      <c r="GC591" s="346"/>
      <c r="GD591" s="346"/>
      <c r="GE591" s="346"/>
      <c r="GF591" s="346"/>
      <c r="GG591" s="346"/>
      <c r="GH591" s="346"/>
      <c r="GI591" s="346"/>
      <c r="GJ591" s="346"/>
      <c r="GK591" s="346"/>
      <c r="GL591" s="346"/>
      <c r="GM591" s="346"/>
      <c r="GN591" s="346"/>
      <c r="GO591" s="346"/>
      <c r="GP591" s="346"/>
      <c r="GQ591" s="346"/>
      <c r="GR591" s="346"/>
      <c r="GS591" s="346"/>
      <c r="GT591" s="346"/>
      <c r="GU591" s="346"/>
      <c r="GV591" s="346"/>
      <c r="GW591" s="346"/>
      <c r="GX591" s="346"/>
      <c r="GY591" s="346"/>
      <c r="GZ591" s="346"/>
      <c r="HA591" s="346"/>
      <c r="HB591" s="346"/>
      <c r="HC591" s="346"/>
      <c r="HD591" s="346"/>
      <c r="HE591" s="346"/>
      <c r="HF591" s="346"/>
      <c r="HG591" s="346"/>
      <c r="HH591" s="346"/>
      <c r="HI591" s="346"/>
      <c r="HJ591" s="346"/>
      <c r="HK591" s="346"/>
      <c r="HL591" s="346"/>
      <c r="HM591" s="346"/>
      <c r="HN591" s="349"/>
      <c r="HO591" s="345" t="s">
        <v>186</v>
      </c>
      <c r="HP591" s="345"/>
      <c r="HQ591" s="345"/>
      <c r="HR591" s="346">
        <f>+FISC!Z822</f>
        <v>99.233000000000004</v>
      </c>
      <c r="HS591" s="302">
        <f>SUM(CQ591:CV591)</f>
        <v>53.520174166491003</v>
      </c>
      <c r="HT591" s="302">
        <f>SUM(CW591:DB591)</f>
        <v>45.713026901280998</v>
      </c>
      <c r="HU591" s="346">
        <f>SUM(CQ591:DB591)</f>
        <v>99.233201067772015</v>
      </c>
      <c r="HV591" s="302">
        <f>+SUM(DC591:DH591)</f>
        <v>51.563834505227</v>
      </c>
      <c r="HW591" s="302">
        <f>+SUM(DI591:DN591)</f>
        <v>51.30418083640599</v>
      </c>
      <c r="HX591" s="346">
        <f>HV591+HW591</f>
        <v>102.868015341633</v>
      </c>
      <c r="HY591" s="302">
        <f t="shared" si="434"/>
        <v>69.322489574778999</v>
      </c>
      <c r="HZ591" s="302">
        <f t="shared" si="435"/>
        <v>91.426687595049998</v>
      </c>
      <c r="IA591" s="346">
        <f t="shared" si="297"/>
        <v>160.74917716982901</v>
      </c>
      <c r="IB591" s="302">
        <f>(FISC!AB61*FISC!AC253/1000)*0+67.24200943519</f>
        <v>67.242009435189999</v>
      </c>
      <c r="IC591" s="302">
        <f>+ID591-IB591</f>
        <v>103.10840607097001</v>
      </c>
      <c r="ID591" s="346">
        <f>FISC!AC822</f>
        <v>170.35041550616</v>
      </c>
      <c r="IE591" s="302">
        <f t="shared" si="436"/>
        <v>73.46143456770298</v>
      </c>
      <c r="IF591" s="302">
        <f t="shared" si="437"/>
        <v>141.46702967190902</v>
      </c>
      <c r="IG591" s="346">
        <f t="shared" si="384"/>
        <v>214.928464239612</v>
      </c>
      <c r="IH591" s="302">
        <f>((FISC!AD61*FISC!AE253)/1000)</f>
        <v>136.82189724827469</v>
      </c>
      <c r="II591" s="302">
        <f>+IJ591-IH591</f>
        <v>151.14915344784163</v>
      </c>
      <c r="IJ591" s="346">
        <f>+FISC!AE822</f>
        <v>287.97105069611632</v>
      </c>
      <c r="IK591" s="302">
        <f>((FISC!AE61*FISC!AF253)/1000)</f>
        <v>253.32484934197942</v>
      </c>
      <c r="IL591" s="302">
        <f t="shared" si="280"/>
        <v>137.24518850692959</v>
      </c>
      <c r="IM591" s="346">
        <f>+FISC!AF1255</f>
        <v>390.57003784890901</v>
      </c>
      <c r="IN591" s="302">
        <f>((FISC!AF61*FISC!AG253)/1000)</f>
        <v>224.34917141399893</v>
      </c>
      <c r="IO591" s="302">
        <f t="shared" si="334"/>
        <v>182.18209525522093</v>
      </c>
      <c r="IP591" s="346">
        <f>+FISC!AG822</f>
        <v>406.53126666921986</v>
      </c>
      <c r="IQ591" s="302">
        <f>((FISC!AG61*FISC!AH253)/1000)</f>
        <v>212.86704077400688</v>
      </c>
      <c r="IR591" s="302">
        <f t="shared" si="281"/>
        <v>216.13461565401835</v>
      </c>
      <c r="IS591" s="346">
        <f>+FISC!AH822</f>
        <v>429.00165642802523</v>
      </c>
      <c r="IT591" s="302">
        <f>((FISC!AH61*FISC!AI253)/1000)</f>
        <v>265.54056725700718</v>
      </c>
      <c r="IU591" s="302">
        <f t="shared" si="282"/>
        <v>363.85145812845917</v>
      </c>
      <c r="IV591" s="346">
        <f>+FISC!AI822</f>
        <v>629.39202538546635</v>
      </c>
      <c r="IW591" s="302">
        <f>((FISC!AI61*FISC!AJ253)/1000)</f>
        <v>367.90767156637708</v>
      </c>
      <c r="IX591" s="302">
        <f t="shared" si="283"/>
        <v>240.76695136938952</v>
      </c>
      <c r="IY591" s="346">
        <f>+FISC!AJ822</f>
        <v>608.67462293576659</v>
      </c>
      <c r="IZ591" s="302">
        <f>((FISC!AJ61*FISC!AK253)/1000)</f>
        <v>315.43787021755537</v>
      </c>
      <c r="JA591" s="302">
        <f t="shared" si="284"/>
        <v>306.87930145655952</v>
      </c>
      <c r="JB591" s="346">
        <f>+FISC!AK822</f>
        <v>622.31717167411489</v>
      </c>
      <c r="JC591" s="346"/>
      <c r="KI591" s="349"/>
      <c r="KJ591" s="350"/>
    </row>
    <row r="592" spans="1:302">
      <c r="A592" s="302"/>
      <c r="B592" s="117" t="s">
        <v>361</v>
      </c>
      <c r="D592" s="351" t="str">
        <f>+FISC!D823</f>
        <v>of which Sovereign Bond proceeds</v>
      </c>
      <c r="E592" s="346"/>
      <c r="F592" s="346"/>
      <c r="G592" s="346"/>
      <c r="H592" s="346"/>
      <c r="I592" s="346"/>
      <c r="J592" s="346"/>
      <c r="K592" s="346"/>
      <c r="L592" s="346"/>
      <c r="M592" s="346"/>
      <c r="N592" s="346"/>
      <c r="O592" s="346"/>
      <c r="P592" s="346"/>
      <c r="Q592" s="346"/>
      <c r="R592" s="346"/>
      <c r="S592" s="346"/>
      <c r="T592" s="346"/>
      <c r="U592" s="346"/>
      <c r="V592" s="346"/>
      <c r="W592" s="346"/>
      <c r="X592" s="346"/>
      <c r="Y592" s="346"/>
      <c r="Z592" s="346"/>
      <c r="AA592" s="346"/>
      <c r="AB592" s="346"/>
      <c r="AC592" s="346"/>
      <c r="AD592" s="346"/>
      <c r="AE592" s="346"/>
      <c r="AF592" s="346"/>
      <c r="AG592" s="346"/>
      <c r="AH592" s="346"/>
      <c r="AI592" s="346"/>
      <c r="AJ592" s="346"/>
      <c r="AK592" s="346"/>
      <c r="AL592" s="346"/>
      <c r="AM592" s="346"/>
      <c r="AN592" s="346"/>
      <c r="AO592" s="346"/>
      <c r="AP592" s="346"/>
      <c r="AQ592" s="346"/>
      <c r="AR592" s="346"/>
      <c r="AS592" s="346"/>
      <c r="AT592" s="346"/>
      <c r="AU592" s="346"/>
      <c r="AV592" s="346"/>
      <c r="AW592" s="346"/>
      <c r="AX592" s="346"/>
      <c r="AY592" s="346"/>
      <c r="AZ592" s="346"/>
      <c r="BA592" s="346"/>
      <c r="BB592" s="346"/>
      <c r="BC592" s="346"/>
      <c r="BD592" s="346"/>
      <c r="BE592" s="346"/>
      <c r="BF592" s="346"/>
      <c r="BG592" s="346"/>
      <c r="BH592" s="346"/>
      <c r="BI592" s="346"/>
      <c r="BJ592" s="346"/>
      <c r="BK592" s="346"/>
      <c r="BL592" s="346"/>
      <c r="BM592" s="346"/>
      <c r="BN592" s="346"/>
      <c r="BO592" s="346"/>
      <c r="BP592" s="346"/>
      <c r="BQ592" s="346"/>
      <c r="BR592" s="346"/>
      <c r="BS592" s="346"/>
      <c r="BT592" s="346"/>
      <c r="BU592" s="346"/>
      <c r="BV592" s="346"/>
      <c r="BW592" s="346"/>
      <c r="BX592" s="346"/>
      <c r="BY592" s="346"/>
      <c r="BZ592" s="346"/>
      <c r="CA592" s="346"/>
      <c r="CB592" s="346"/>
      <c r="CC592" s="346"/>
      <c r="CD592" s="346"/>
      <c r="CE592" s="347">
        <v>0</v>
      </c>
      <c r="CF592" s="346">
        <v>0</v>
      </c>
      <c r="CG592" s="346">
        <v>0</v>
      </c>
      <c r="CH592" s="346">
        <v>0</v>
      </c>
      <c r="CI592" s="346">
        <v>0</v>
      </c>
      <c r="CJ592" s="346">
        <v>0</v>
      </c>
      <c r="CK592" s="346">
        <v>0</v>
      </c>
      <c r="CL592" s="346">
        <v>0</v>
      </c>
      <c r="CM592" s="346">
        <v>0</v>
      </c>
      <c r="CN592" s="346">
        <v>0</v>
      </c>
      <c r="CO592" s="346">
        <v>0</v>
      </c>
      <c r="CP592" s="348">
        <v>0</v>
      </c>
      <c r="CQ592" s="346">
        <v>0</v>
      </c>
      <c r="CR592" s="346">
        <v>0</v>
      </c>
      <c r="CS592" s="346">
        <v>0</v>
      </c>
      <c r="CT592" s="346">
        <v>0</v>
      </c>
      <c r="CU592" s="346">
        <v>0</v>
      </c>
      <c r="CV592" s="346">
        <v>0</v>
      </c>
      <c r="CW592" s="346">
        <v>0</v>
      </c>
      <c r="CX592" s="346">
        <v>0</v>
      </c>
      <c r="CY592" s="346">
        <v>0</v>
      </c>
      <c r="CZ592" s="346">
        <v>0</v>
      </c>
      <c r="DA592" s="346">
        <v>0</v>
      </c>
      <c r="DB592" s="1479">
        <v>0</v>
      </c>
      <c r="DC592" s="346"/>
      <c r="DD592" s="346"/>
      <c r="DE592" s="346"/>
      <c r="DF592" s="346"/>
      <c r="DG592" s="346"/>
      <c r="DH592" s="346"/>
      <c r="DI592" s="346"/>
      <c r="DJ592" s="346"/>
      <c r="DK592" s="346"/>
      <c r="DL592" s="346"/>
      <c r="DM592" s="346"/>
      <c r="DN592" s="348"/>
      <c r="DO592" s="346"/>
      <c r="DP592" s="346"/>
      <c r="DQ592" s="346"/>
      <c r="DR592" s="346"/>
      <c r="DS592" s="346"/>
      <c r="DT592" s="346"/>
      <c r="DU592" s="346"/>
      <c r="DV592" s="346"/>
      <c r="DW592" s="346"/>
      <c r="DX592" s="346"/>
      <c r="DY592" s="346"/>
      <c r="DZ592" s="348"/>
      <c r="EA592" s="346"/>
      <c r="EB592" s="346"/>
      <c r="EC592" s="346"/>
      <c r="ED592" s="346"/>
      <c r="EE592" s="346"/>
      <c r="EF592" s="346"/>
      <c r="EG592" s="346"/>
      <c r="EH592" s="346"/>
      <c r="EI592" s="346"/>
      <c r="EJ592" s="346"/>
      <c r="EK592" s="346"/>
      <c r="EL592" s="348"/>
      <c r="EM592" s="346"/>
      <c r="EN592" s="346"/>
      <c r="EO592" s="346"/>
      <c r="EP592" s="346"/>
      <c r="EQ592" s="346"/>
      <c r="ER592" s="346"/>
      <c r="ES592" s="346"/>
      <c r="ET592" s="346"/>
      <c r="EU592" s="346"/>
      <c r="EV592" s="346"/>
      <c r="EW592" s="346"/>
      <c r="EX592" s="348"/>
      <c r="EY592" s="346"/>
      <c r="EZ592" s="346"/>
      <c r="FA592" s="346"/>
      <c r="FB592" s="346"/>
      <c r="FC592" s="346"/>
      <c r="FD592" s="346"/>
      <c r="FE592" s="346"/>
      <c r="FF592" s="346"/>
      <c r="FG592" s="346"/>
      <c r="FH592" s="346"/>
      <c r="FI592" s="346"/>
      <c r="FJ592" s="348"/>
      <c r="FK592" s="346"/>
      <c r="FL592" s="346"/>
      <c r="FM592" s="346"/>
      <c r="FN592" s="346"/>
      <c r="FO592" s="346"/>
      <c r="FP592" s="346"/>
      <c r="FQ592" s="346"/>
      <c r="FR592" s="346"/>
      <c r="FS592" s="346"/>
      <c r="FT592" s="346"/>
      <c r="FU592" s="346"/>
      <c r="FV592" s="346"/>
      <c r="FW592" s="346"/>
      <c r="FX592" s="346"/>
      <c r="FY592" s="346"/>
      <c r="FZ592" s="346"/>
      <c r="GA592" s="346"/>
      <c r="GB592" s="346"/>
      <c r="GC592" s="346"/>
      <c r="GD592" s="346"/>
      <c r="GE592" s="346"/>
      <c r="GF592" s="346"/>
      <c r="GG592" s="346"/>
      <c r="GH592" s="346"/>
      <c r="GI592" s="346"/>
      <c r="GJ592" s="346"/>
      <c r="GK592" s="346"/>
      <c r="GL592" s="346"/>
      <c r="GM592" s="346"/>
      <c r="GN592" s="346"/>
      <c r="GO592" s="346"/>
      <c r="GP592" s="346"/>
      <c r="GQ592" s="346"/>
      <c r="GR592" s="346"/>
      <c r="GS592" s="346"/>
      <c r="GT592" s="346"/>
      <c r="GU592" s="346"/>
      <c r="GV592" s="346"/>
      <c r="GW592" s="346"/>
      <c r="GX592" s="346"/>
      <c r="GY592" s="346"/>
      <c r="GZ592" s="346"/>
      <c r="HA592" s="346"/>
      <c r="HB592" s="346"/>
      <c r="HC592" s="346"/>
      <c r="HD592" s="346"/>
      <c r="HE592" s="346"/>
      <c r="HF592" s="346"/>
      <c r="HG592" s="346"/>
      <c r="HH592" s="346"/>
      <c r="HI592" s="346"/>
      <c r="HJ592" s="346"/>
      <c r="HK592" s="346"/>
      <c r="HL592" s="346"/>
      <c r="HM592" s="346"/>
      <c r="HN592" s="349"/>
      <c r="HO592" s="351" t="s">
        <v>187</v>
      </c>
      <c r="HP592" s="351"/>
      <c r="HQ592" s="351"/>
      <c r="HR592" s="346">
        <f>+FISC!Z823</f>
        <v>0</v>
      </c>
      <c r="HS592" s="302">
        <f>SUM(CQ592:CV592)</f>
        <v>0</v>
      </c>
      <c r="HT592" s="302">
        <f>SUM(CW592:DB592)</f>
        <v>0</v>
      </c>
      <c r="HU592" s="346">
        <f>SUM(CQ592:DB592)</f>
        <v>0</v>
      </c>
      <c r="HX592" s="346">
        <v>0</v>
      </c>
      <c r="HY592" s="302">
        <f t="shared" si="434"/>
        <v>0</v>
      </c>
      <c r="HZ592" s="302">
        <f t="shared" si="435"/>
        <v>0</v>
      </c>
      <c r="IA592" s="346">
        <f t="shared" si="297"/>
        <v>0</v>
      </c>
      <c r="IC592" s="350"/>
      <c r="ID592" s="346">
        <f>FISC!AC823</f>
        <v>0</v>
      </c>
      <c r="IE592" s="302">
        <f t="shared" si="436"/>
        <v>0</v>
      </c>
      <c r="IF592" s="302">
        <f t="shared" si="437"/>
        <v>0</v>
      </c>
      <c r="IG592" s="346">
        <f t="shared" si="384"/>
        <v>0</v>
      </c>
      <c r="IH592" s="350"/>
      <c r="II592" s="350"/>
      <c r="IJ592" s="346">
        <f>+FISC!AE823</f>
        <v>0</v>
      </c>
      <c r="IK592" s="302">
        <f>IM592*JI592</f>
        <v>0</v>
      </c>
      <c r="IL592" s="302">
        <f t="shared" si="280"/>
        <v>0</v>
      </c>
      <c r="IM592" s="346">
        <f>+FISC!AF823</f>
        <v>0</v>
      </c>
      <c r="IN592" s="302">
        <f t="shared" si="292"/>
        <v>0</v>
      </c>
      <c r="IO592" s="302">
        <f t="shared" si="334"/>
        <v>0</v>
      </c>
      <c r="IP592" s="346">
        <f>+FISC!AG823</f>
        <v>0</v>
      </c>
      <c r="IQ592" s="302">
        <f t="shared" si="293"/>
        <v>0</v>
      </c>
      <c r="IR592" s="302">
        <f t="shared" si="281"/>
        <v>0</v>
      </c>
      <c r="IS592" s="346">
        <f>+FISC!AH823</f>
        <v>0</v>
      </c>
      <c r="IT592" s="302">
        <f t="shared" si="294"/>
        <v>0</v>
      </c>
      <c r="IU592" s="302">
        <f t="shared" si="282"/>
        <v>0</v>
      </c>
      <c r="IV592" s="346">
        <f>+FISC!AI823</f>
        <v>0</v>
      </c>
      <c r="IW592" s="302">
        <f t="shared" si="295"/>
        <v>0</v>
      </c>
      <c r="IX592" s="302">
        <f t="shared" si="283"/>
        <v>0</v>
      </c>
      <c r="IY592" s="346">
        <f>+FISC!AJ823</f>
        <v>0</v>
      </c>
      <c r="IZ592" s="302">
        <f t="shared" si="296"/>
        <v>0</v>
      </c>
      <c r="JA592" s="302">
        <f t="shared" si="284"/>
        <v>0</v>
      </c>
      <c r="JB592" s="346">
        <f>+FISC!AK823</f>
        <v>0</v>
      </c>
      <c r="JC592" s="346"/>
      <c r="KI592" s="349"/>
      <c r="KJ592" s="350"/>
    </row>
    <row r="593" spans="1:302">
      <c r="A593" s="302"/>
      <c r="B593" s="117" t="s">
        <v>361</v>
      </c>
      <c r="D593" s="351" t="str">
        <f>+FISC!D824</f>
        <v>of Which Bugesera airport</v>
      </c>
      <c r="E593" s="346"/>
      <c r="F593" s="346"/>
      <c r="G593" s="346"/>
      <c r="H593" s="346"/>
      <c r="I593" s="346"/>
      <c r="J593" s="346"/>
      <c r="K593" s="346"/>
      <c r="L593" s="346"/>
      <c r="M593" s="346"/>
      <c r="N593" s="346"/>
      <c r="O593" s="346"/>
      <c r="P593" s="346"/>
      <c r="Q593" s="346"/>
      <c r="R593" s="346"/>
      <c r="S593" s="346"/>
      <c r="T593" s="346"/>
      <c r="U593" s="346"/>
      <c r="V593" s="346"/>
      <c r="W593" s="346"/>
      <c r="X593" s="346"/>
      <c r="Y593" s="346"/>
      <c r="Z593" s="346"/>
      <c r="AA593" s="346"/>
      <c r="AB593" s="346"/>
      <c r="AC593" s="346"/>
      <c r="AD593" s="346"/>
      <c r="AE593" s="346"/>
      <c r="AF593" s="346"/>
      <c r="AG593" s="346"/>
      <c r="AH593" s="346"/>
      <c r="AI593" s="346"/>
      <c r="AJ593" s="346"/>
      <c r="AK593" s="346"/>
      <c r="AL593" s="346"/>
      <c r="AM593" s="346"/>
      <c r="AN593" s="346"/>
      <c r="AO593" s="346"/>
      <c r="AP593" s="346"/>
      <c r="AQ593" s="346"/>
      <c r="AR593" s="346"/>
      <c r="AS593" s="346"/>
      <c r="AT593" s="346"/>
      <c r="AU593" s="346"/>
      <c r="AV593" s="346"/>
      <c r="AW593" s="346"/>
      <c r="AX593" s="346"/>
      <c r="AY593" s="346"/>
      <c r="AZ593" s="346"/>
      <c r="BA593" s="346"/>
      <c r="BB593" s="346"/>
      <c r="BC593" s="346"/>
      <c r="BD593" s="346"/>
      <c r="BE593" s="346"/>
      <c r="BF593" s="346"/>
      <c r="BG593" s="346"/>
      <c r="BH593" s="346"/>
      <c r="BI593" s="346"/>
      <c r="BJ593" s="346"/>
      <c r="BK593" s="346"/>
      <c r="BL593" s="346"/>
      <c r="BM593" s="346"/>
      <c r="BN593" s="346"/>
      <c r="BO593" s="346"/>
      <c r="BP593" s="346"/>
      <c r="BQ593" s="346"/>
      <c r="BR593" s="346"/>
      <c r="BS593" s="346"/>
      <c r="BT593" s="346"/>
      <c r="BU593" s="346"/>
      <c r="BV593" s="346"/>
      <c r="BW593" s="346"/>
      <c r="BX593" s="346"/>
      <c r="BY593" s="346"/>
      <c r="BZ593" s="346"/>
      <c r="CA593" s="346"/>
      <c r="CB593" s="346"/>
      <c r="CC593" s="346"/>
      <c r="CD593" s="346"/>
      <c r="CE593" s="347">
        <v>0</v>
      </c>
      <c r="CF593" s="346">
        <v>0</v>
      </c>
      <c r="CG593" s="346">
        <v>0</v>
      </c>
      <c r="CH593" s="346">
        <v>0</v>
      </c>
      <c r="CI593" s="346">
        <v>0</v>
      </c>
      <c r="CJ593" s="346">
        <v>0</v>
      </c>
      <c r="CK593" s="346">
        <v>0</v>
      </c>
      <c r="CL593" s="346">
        <v>0</v>
      </c>
      <c r="CM593" s="346">
        <v>0</v>
      </c>
      <c r="CN593" s="346">
        <v>0</v>
      </c>
      <c r="CO593" s="346">
        <v>0</v>
      </c>
      <c r="CP593" s="348">
        <v>0</v>
      </c>
      <c r="CQ593" s="346">
        <v>0</v>
      </c>
      <c r="CR593" s="346">
        <v>0</v>
      </c>
      <c r="CS593" s="346">
        <v>0</v>
      </c>
      <c r="CT593" s="346">
        <v>0</v>
      </c>
      <c r="CU593" s="346">
        <v>0</v>
      </c>
      <c r="CV593" s="346">
        <v>0</v>
      </c>
      <c r="CW593" s="346">
        <v>0</v>
      </c>
      <c r="CX593" s="346">
        <v>0</v>
      </c>
      <c r="CY593" s="346">
        <v>0</v>
      </c>
      <c r="CZ593" s="346">
        <v>0</v>
      </c>
      <c r="DA593" s="346">
        <v>0</v>
      </c>
      <c r="DB593" s="1479">
        <v>0</v>
      </c>
      <c r="DC593" s="346"/>
      <c r="DD593" s="346"/>
      <c r="DE593" s="346"/>
      <c r="DF593" s="346"/>
      <c r="DG593" s="346"/>
      <c r="DH593" s="346"/>
      <c r="DI593" s="346"/>
      <c r="DJ593" s="346"/>
      <c r="DK593" s="346"/>
      <c r="DL593" s="346"/>
      <c r="DM593" s="346"/>
      <c r="DN593" s="348"/>
      <c r="DO593" s="346"/>
      <c r="DP593" s="346"/>
      <c r="DQ593" s="346"/>
      <c r="DR593" s="346"/>
      <c r="DS593" s="346"/>
      <c r="DT593" s="346"/>
      <c r="DU593" s="346"/>
      <c r="DV593" s="346"/>
      <c r="DW593" s="346"/>
      <c r="DX593" s="346"/>
      <c r="DY593" s="346"/>
      <c r="DZ593" s="348"/>
      <c r="EA593" s="346"/>
      <c r="EB593" s="346"/>
      <c r="EC593" s="346"/>
      <c r="ED593" s="346"/>
      <c r="EE593" s="346"/>
      <c r="EF593" s="346"/>
      <c r="EG593" s="346"/>
      <c r="EH593" s="346"/>
      <c r="EI593" s="346"/>
      <c r="EJ593" s="346"/>
      <c r="EK593" s="346"/>
      <c r="EL593" s="348"/>
      <c r="EM593" s="346"/>
      <c r="EN593" s="346"/>
      <c r="EO593" s="346"/>
      <c r="EP593" s="346"/>
      <c r="EQ593" s="346"/>
      <c r="ER593" s="346"/>
      <c r="ES593" s="346"/>
      <c r="ET593" s="346"/>
      <c r="EU593" s="346"/>
      <c r="EV593" s="346"/>
      <c r="EW593" s="346"/>
      <c r="EX593" s="348"/>
      <c r="EY593" s="346"/>
      <c r="EZ593" s="346"/>
      <c r="FA593" s="346"/>
      <c r="FB593" s="346"/>
      <c r="FC593" s="346"/>
      <c r="FD593" s="346"/>
      <c r="FE593" s="346"/>
      <c r="FF593" s="346"/>
      <c r="FG593" s="346"/>
      <c r="FH593" s="346"/>
      <c r="FI593" s="346"/>
      <c r="FJ593" s="348"/>
      <c r="FK593" s="346"/>
      <c r="FL593" s="346"/>
      <c r="FM593" s="346"/>
      <c r="FN593" s="346"/>
      <c r="FO593" s="346"/>
      <c r="FP593" s="346"/>
      <c r="FQ593" s="346"/>
      <c r="FR593" s="346"/>
      <c r="FS593" s="346"/>
      <c r="FT593" s="346"/>
      <c r="FU593" s="346"/>
      <c r="FV593" s="346"/>
      <c r="FW593" s="346"/>
      <c r="FX593" s="346"/>
      <c r="FY593" s="346"/>
      <c r="FZ593" s="346"/>
      <c r="GA593" s="346"/>
      <c r="GB593" s="346"/>
      <c r="GC593" s="346"/>
      <c r="GD593" s="346"/>
      <c r="GE593" s="346"/>
      <c r="GF593" s="346"/>
      <c r="GG593" s="346"/>
      <c r="GH593" s="346"/>
      <c r="GI593" s="346"/>
      <c r="GJ593" s="346"/>
      <c r="GK593" s="346"/>
      <c r="GL593" s="346"/>
      <c r="GM593" s="346"/>
      <c r="GN593" s="346"/>
      <c r="GO593" s="346"/>
      <c r="GP593" s="346"/>
      <c r="GQ593" s="346"/>
      <c r="GR593" s="346"/>
      <c r="GS593" s="346"/>
      <c r="GT593" s="346"/>
      <c r="GU593" s="346"/>
      <c r="GV593" s="346"/>
      <c r="GW593" s="346"/>
      <c r="GX593" s="346"/>
      <c r="GY593" s="346"/>
      <c r="GZ593" s="346"/>
      <c r="HA593" s="346"/>
      <c r="HB593" s="346"/>
      <c r="HC593" s="346"/>
      <c r="HD593" s="346"/>
      <c r="HE593" s="346"/>
      <c r="HF593" s="346"/>
      <c r="HG593" s="346"/>
      <c r="HH593" s="346"/>
      <c r="HI593" s="346"/>
      <c r="HJ593" s="346"/>
      <c r="HK593" s="346"/>
      <c r="HL593" s="346"/>
      <c r="HM593" s="346"/>
      <c r="HN593" s="349"/>
      <c r="HO593" s="351" t="s">
        <v>188</v>
      </c>
      <c r="HP593" s="351"/>
      <c r="HQ593" s="351"/>
      <c r="HR593" s="346">
        <f>+FISC!Z824</f>
        <v>0</v>
      </c>
      <c r="HS593" s="302">
        <f>SUM(CQ593:CV593)</f>
        <v>0</v>
      </c>
      <c r="HT593" s="302">
        <f>SUM(CW593:DB593)</f>
        <v>0</v>
      </c>
      <c r="HU593" s="346">
        <f>SUM(CQ593:DB593)</f>
        <v>0</v>
      </c>
      <c r="HX593" s="346">
        <v>0</v>
      </c>
      <c r="HY593" s="302">
        <f t="shared" si="434"/>
        <v>0</v>
      </c>
      <c r="HZ593" s="302">
        <f t="shared" si="435"/>
        <v>0</v>
      </c>
      <c r="IA593" s="346">
        <f t="shared" si="297"/>
        <v>0</v>
      </c>
      <c r="IC593" s="350"/>
      <c r="ID593" s="346">
        <f>FISC!AC824</f>
        <v>0</v>
      </c>
      <c r="IE593" s="302">
        <f t="shared" si="436"/>
        <v>0</v>
      </c>
      <c r="IF593" s="302">
        <f t="shared" si="437"/>
        <v>0</v>
      </c>
      <c r="IG593" s="346">
        <f t="shared" si="384"/>
        <v>0</v>
      </c>
      <c r="IH593" s="350"/>
      <c r="II593" s="350"/>
      <c r="IJ593" s="346">
        <f>+FISC!AE824</f>
        <v>0</v>
      </c>
      <c r="IK593" s="302">
        <f>IM593*JI593</f>
        <v>0</v>
      </c>
      <c r="IL593" s="302">
        <f t="shared" si="280"/>
        <v>0</v>
      </c>
      <c r="IM593" s="346">
        <f>+FISC!AF824</f>
        <v>0</v>
      </c>
      <c r="IN593" s="302">
        <f t="shared" si="292"/>
        <v>0</v>
      </c>
      <c r="IO593" s="302">
        <f t="shared" si="334"/>
        <v>0</v>
      </c>
      <c r="IP593" s="346">
        <f>+FISC!AG824</f>
        <v>0</v>
      </c>
      <c r="IQ593" s="302">
        <f t="shared" si="293"/>
        <v>0</v>
      </c>
      <c r="IR593" s="302">
        <f t="shared" si="281"/>
        <v>0</v>
      </c>
      <c r="IS593" s="346">
        <f>+FISC!AH824</f>
        <v>0</v>
      </c>
      <c r="IT593" s="302">
        <f t="shared" si="294"/>
        <v>0</v>
      </c>
      <c r="IU593" s="302">
        <f t="shared" si="282"/>
        <v>0</v>
      </c>
      <c r="IV593" s="346">
        <f>+FISC!AI824</f>
        <v>0</v>
      </c>
      <c r="IW593" s="302">
        <f t="shared" si="295"/>
        <v>0</v>
      </c>
      <c r="IX593" s="302">
        <f t="shared" si="283"/>
        <v>0</v>
      </c>
      <c r="IY593" s="346">
        <f>+FISC!AJ824</f>
        <v>0</v>
      </c>
      <c r="IZ593" s="302">
        <f t="shared" si="296"/>
        <v>0</v>
      </c>
      <c r="JA593" s="302">
        <f t="shared" si="284"/>
        <v>0</v>
      </c>
      <c r="JB593" s="346">
        <f>+FISC!AK824</f>
        <v>0</v>
      </c>
      <c r="JC593" s="346"/>
      <c r="KI593" s="349"/>
      <c r="KJ593" s="350"/>
    </row>
    <row r="594" spans="1:302">
      <c r="A594" s="302"/>
      <c r="B594" s="117" t="s">
        <v>361</v>
      </c>
      <c r="D594" s="351" t="str">
        <f>+FISC!D825</f>
        <v>of Which Additional energy</v>
      </c>
      <c r="E594" s="346"/>
      <c r="F594" s="346"/>
      <c r="G594" s="346"/>
      <c r="H594" s="346"/>
      <c r="I594" s="346"/>
      <c r="J594" s="346"/>
      <c r="K594" s="346"/>
      <c r="L594" s="346"/>
      <c r="M594" s="346"/>
      <c r="N594" s="346"/>
      <c r="O594" s="346"/>
      <c r="P594" s="346"/>
      <c r="Q594" s="346"/>
      <c r="R594" s="346"/>
      <c r="S594" s="346"/>
      <c r="T594" s="346"/>
      <c r="U594" s="346"/>
      <c r="V594" s="346"/>
      <c r="W594" s="346"/>
      <c r="X594" s="346"/>
      <c r="Y594" s="346"/>
      <c r="Z594" s="346"/>
      <c r="AA594" s="346"/>
      <c r="AB594" s="346"/>
      <c r="AC594" s="346"/>
      <c r="AD594" s="346"/>
      <c r="AE594" s="346"/>
      <c r="AF594" s="346"/>
      <c r="AG594" s="346"/>
      <c r="AH594" s="346"/>
      <c r="AI594" s="346"/>
      <c r="AJ594" s="346"/>
      <c r="AK594" s="346"/>
      <c r="AL594" s="346"/>
      <c r="AM594" s="346"/>
      <c r="AN594" s="346"/>
      <c r="AO594" s="346"/>
      <c r="AP594" s="346"/>
      <c r="AQ594" s="346"/>
      <c r="AR594" s="346"/>
      <c r="AS594" s="346"/>
      <c r="AT594" s="346"/>
      <c r="AU594" s="346"/>
      <c r="AV594" s="346"/>
      <c r="AW594" s="346"/>
      <c r="AX594" s="346"/>
      <c r="AY594" s="346"/>
      <c r="AZ594" s="346"/>
      <c r="BA594" s="346"/>
      <c r="BB594" s="346"/>
      <c r="BC594" s="346"/>
      <c r="BD594" s="346"/>
      <c r="BE594" s="346"/>
      <c r="BF594" s="346"/>
      <c r="BG594" s="346"/>
      <c r="BH594" s="346"/>
      <c r="BI594" s="346"/>
      <c r="BJ594" s="346"/>
      <c r="BK594" s="346"/>
      <c r="BL594" s="346"/>
      <c r="BM594" s="346"/>
      <c r="BN594" s="346"/>
      <c r="BO594" s="346"/>
      <c r="BP594" s="346"/>
      <c r="BQ594" s="346"/>
      <c r="BR594" s="346"/>
      <c r="BS594" s="346"/>
      <c r="BT594" s="346"/>
      <c r="BU594" s="346"/>
      <c r="BV594" s="346"/>
      <c r="BW594" s="346"/>
      <c r="BX594" s="346"/>
      <c r="BY594" s="346"/>
      <c r="BZ594" s="346"/>
      <c r="CA594" s="346"/>
      <c r="CB594" s="346"/>
      <c r="CC594" s="346"/>
      <c r="CD594" s="346"/>
      <c r="CE594" s="347">
        <v>0</v>
      </c>
      <c r="CF594" s="346">
        <v>0</v>
      </c>
      <c r="CG594" s="346">
        <v>0</v>
      </c>
      <c r="CH594" s="346">
        <v>0</v>
      </c>
      <c r="CI594" s="346">
        <v>0</v>
      </c>
      <c r="CJ594" s="346">
        <v>0</v>
      </c>
      <c r="CK594" s="346">
        <v>0</v>
      </c>
      <c r="CL594" s="346">
        <v>0</v>
      </c>
      <c r="CM594" s="346">
        <v>0</v>
      </c>
      <c r="CN594" s="346">
        <v>0</v>
      </c>
      <c r="CO594" s="346">
        <v>0</v>
      </c>
      <c r="CP594" s="348">
        <v>0</v>
      </c>
      <c r="CQ594" s="346">
        <v>0</v>
      </c>
      <c r="CR594" s="346">
        <v>0</v>
      </c>
      <c r="CS594" s="346">
        <v>0</v>
      </c>
      <c r="CT594" s="346">
        <v>0</v>
      </c>
      <c r="CU594" s="346">
        <v>0</v>
      </c>
      <c r="CV594" s="346">
        <v>0</v>
      </c>
      <c r="CW594" s="346">
        <v>0</v>
      </c>
      <c r="CX594" s="346">
        <v>0</v>
      </c>
      <c r="CY594" s="346">
        <v>0</v>
      </c>
      <c r="CZ594" s="346">
        <v>0</v>
      </c>
      <c r="DA594" s="346">
        <v>0</v>
      </c>
      <c r="DB594" s="1479">
        <v>0</v>
      </c>
      <c r="DC594" s="346"/>
      <c r="DD594" s="346"/>
      <c r="DE594" s="346"/>
      <c r="DF594" s="346"/>
      <c r="DG594" s="346"/>
      <c r="DH594" s="346"/>
      <c r="DI594" s="346"/>
      <c r="DJ594" s="346"/>
      <c r="DK594" s="346"/>
      <c r="DL594" s="346"/>
      <c r="DM594" s="346"/>
      <c r="DN594" s="348"/>
      <c r="DO594" s="346"/>
      <c r="DP594" s="346"/>
      <c r="DQ594" s="346"/>
      <c r="DR594" s="346"/>
      <c r="DS594" s="346"/>
      <c r="DT594" s="346"/>
      <c r="DU594" s="346"/>
      <c r="DV594" s="346"/>
      <c r="DW594" s="346"/>
      <c r="DX594" s="346"/>
      <c r="DY594" s="346"/>
      <c r="DZ594" s="348"/>
      <c r="EA594" s="346"/>
      <c r="EB594" s="346"/>
      <c r="EC594" s="346"/>
      <c r="ED594" s="346"/>
      <c r="EE594" s="346"/>
      <c r="EF594" s="346"/>
      <c r="EG594" s="346"/>
      <c r="EH594" s="346"/>
      <c r="EI594" s="346"/>
      <c r="EJ594" s="346"/>
      <c r="EK594" s="346"/>
      <c r="EL594" s="348"/>
      <c r="EM594" s="346"/>
      <c r="EN594" s="346"/>
      <c r="EO594" s="346"/>
      <c r="EP594" s="346"/>
      <c r="EQ594" s="346"/>
      <c r="ER594" s="346"/>
      <c r="ES594" s="346"/>
      <c r="ET594" s="346"/>
      <c r="EU594" s="346"/>
      <c r="EV594" s="346"/>
      <c r="EW594" s="346"/>
      <c r="EX594" s="348"/>
      <c r="EY594" s="346"/>
      <c r="EZ594" s="346"/>
      <c r="FA594" s="346"/>
      <c r="FB594" s="346"/>
      <c r="FC594" s="346"/>
      <c r="FD594" s="346"/>
      <c r="FE594" s="346"/>
      <c r="FF594" s="346"/>
      <c r="FG594" s="346"/>
      <c r="FH594" s="346"/>
      <c r="FI594" s="346"/>
      <c r="FJ594" s="348"/>
      <c r="FK594" s="346"/>
      <c r="FL594" s="346"/>
      <c r="FM594" s="346"/>
      <c r="FN594" s="346"/>
      <c r="FO594" s="346"/>
      <c r="FP594" s="346"/>
      <c r="FQ594" s="346"/>
      <c r="FR594" s="346"/>
      <c r="FS594" s="346"/>
      <c r="FT594" s="346"/>
      <c r="FU594" s="346"/>
      <c r="FV594" s="346"/>
      <c r="FW594" s="346"/>
      <c r="FX594" s="346"/>
      <c r="FY594" s="346"/>
      <c r="FZ594" s="346"/>
      <c r="GA594" s="346"/>
      <c r="GB594" s="346"/>
      <c r="GC594" s="346"/>
      <c r="GD594" s="346"/>
      <c r="GE594" s="346"/>
      <c r="GF594" s="346"/>
      <c r="GG594" s="346"/>
      <c r="GH594" s="346"/>
      <c r="GI594" s="346"/>
      <c r="GJ594" s="346"/>
      <c r="GK594" s="346"/>
      <c r="GL594" s="346"/>
      <c r="GM594" s="346"/>
      <c r="GN594" s="346"/>
      <c r="GO594" s="346"/>
      <c r="GP594" s="346"/>
      <c r="GQ594" s="346"/>
      <c r="GR594" s="346"/>
      <c r="GS594" s="346"/>
      <c r="GT594" s="346"/>
      <c r="GU594" s="346"/>
      <c r="GV594" s="346"/>
      <c r="GW594" s="346"/>
      <c r="GX594" s="346"/>
      <c r="GY594" s="346"/>
      <c r="GZ594" s="346"/>
      <c r="HA594" s="346"/>
      <c r="HB594" s="346"/>
      <c r="HC594" s="346"/>
      <c r="HD594" s="346"/>
      <c r="HE594" s="346"/>
      <c r="HF594" s="346"/>
      <c r="HG594" s="346"/>
      <c r="HH594" s="346"/>
      <c r="HI594" s="346"/>
      <c r="HJ594" s="346"/>
      <c r="HK594" s="346"/>
      <c r="HL594" s="346"/>
      <c r="HM594" s="346"/>
      <c r="HN594" s="349"/>
      <c r="HO594" s="351" t="s">
        <v>189</v>
      </c>
      <c r="HP594" s="351"/>
      <c r="HQ594" s="351"/>
      <c r="HR594" s="346">
        <f>+FISC!Z825</f>
        <v>0</v>
      </c>
      <c r="HS594" s="302">
        <f>SUM(CQ594:CV594)</f>
        <v>0</v>
      </c>
      <c r="HT594" s="302">
        <f>SUM(CW594:DB594)</f>
        <v>0</v>
      </c>
      <c r="HU594" s="346">
        <f>SUM(CQ594:DB594)</f>
        <v>0</v>
      </c>
      <c r="HX594" s="346">
        <v>0</v>
      </c>
      <c r="HY594" s="302">
        <f t="shared" si="434"/>
        <v>0</v>
      </c>
      <c r="HZ594" s="302">
        <f t="shared" si="435"/>
        <v>0</v>
      </c>
      <c r="IA594" s="346">
        <f t="shared" si="297"/>
        <v>0</v>
      </c>
      <c r="IC594" s="350"/>
      <c r="ID594" s="346">
        <f>FISC!AC825</f>
        <v>0</v>
      </c>
      <c r="IE594" s="302">
        <f t="shared" si="436"/>
        <v>0</v>
      </c>
      <c r="IF594" s="302">
        <f t="shared" si="437"/>
        <v>0</v>
      </c>
      <c r="IG594" s="346">
        <f t="shared" si="384"/>
        <v>0</v>
      </c>
      <c r="IH594" s="350"/>
      <c r="II594" s="350"/>
      <c r="IJ594" s="346">
        <f>+FISC!AE825</f>
        <v>0</v>
      </c>
      <c r="IK594" s="302">
        <f>IM594*JI594</f>
        <v>0</v>
      </c>
      <c r="IL594" s="302">
        <f t="shared" si="280"/>
        <v>0</v>
      </c>
      <c r="IM594" s="346">
        <f>+FISC!AF825</f>
        <v>0</v>
      </c>
      <c r="IN594" s="302">
        <f t="shared" si="292"/>
        <v>0</v>
      </c>
      <c r="IO594" s="302">
        <f t="shared" si="334"/>
        <v>0</v>
      </c>
      <c r="IP594" s="346">
        <f>+FISC!AG825</f>
        <v>0</v>
      </c>
      <c r="IQ594" s="302">
        <f t="shared" si="293"/>
        <v>0</v>
      </c>
      <c r="IR594" s="302">
        <f t="shared" si="281"/>
        <v>0</v>
      </c>
      <c r="IS594" s="346">
        <f>+FISC!AH825</f>
        <v>0</v>
      </c>
      <c r="IT594" s="302">
        <f t="shared" si="294"/>
        <v>0</v>
      </c>
      <c r="IU594" s="302">
        <f t="shared" si="282"/>
        <v>0</v>
      </c>
      <c r="IV594" s="346">
        <f>+FISC!AI825</f>
        <v>0</v>
      </c>
      <c r="IW594" s="302">
        <f t="shared" si="295"/>
        <v>0</v>
      </c>
      <c r="IX594" s="302">
        <f t="shared" si="283"/>
        <v>0</v>
      </c>
      <c r="IY594" s="346">
        <f>+FISC!AJ825</f>
        <v>0</v>
      </c>
      <c r="IZ594" s="302">
        <f t="shared" si="296"/>
        <v>0</v>
      </c>
      <c r="JA594" s="302">
        <f t="shared" si="284"/>
        <v>0</v>
      </c>
      <c r="JB594" s="346">
        <f>+FISC!AK825</f>
        <v>0</v>
      </c>
      <c r="JC594" s="346"/>
      <c r="KI594" s="349"/>
      <c r="KJ594" s="350"/>
    </row>
    <row r="595" spans="1:302">
      <c r="A595" s="302"/>
      <c r="B595" s="117" t="s">
        <v>361</v>
      </c>
      <c r="D595" s="351" t="str">
        <f>+FISC!D826</f>
        <v>Amortization (due)</v>
      </c>
      <c r="E595" s="346">
        <v>-0.50807036317380805</v>
      </c>
      <c r="F595" s="346">
        <v>-0.11030652130680001</v>
      </c>
      <c r="G595" s="346">
        <v>-0.1098492736317</v>
      </c>
      <c r="H595" s="346">
        <v>-0.276455737578432</v>
      </c>
      <c r="I595" s="346">
        <v>-0.12798318832220001</v>
      </c>
      <c r="J595" s="346">
        <v>-1.2055402538739002</v>
      </c>
      <c r="K595" s="346">
        <v>-0.38135343420939993</v>
      </c>
      <c r="L595" s="346">
        <v>-4.2709927436400001E-2</v>
      </c>
      <c r="M595" s="346">
        <v>-0.1134389981944</v>
      </c>
      <c r="N595" s="346">
        <v>-3.807155156E-2</v>
      </c>
      <c r="O595" s="346">
        <v>-0.77784387055999993</v>
      </c>
      <c r="P595" s="346">
        <v>-0.80840067511999991</v>
      </c>
      <c r="Q595" s="346">
        <v>-0.50161116085360002</v>
      </c>
      <c r="R595" s="346">
        <v>-5.3357941889999996E-2</v>
      </c>
      <c r="S595" s="346">
        <v>-0.12282318612200001</v>
      </c>
      <c r="T595" s="346">
        <v>-0.18439733379599998</v>
      </c>
      <c r="U595" s="346">
        <v>-0.163856145684</v>
      </c>
      <c r="V595" s="346">
        <v>-1.6737419048760003</v>
      </c>
      <c r="W595" s="346">
        <v>-0.49252511424059997</v>
      </c>
      <c r="X595" s="346">
        <v>-5.5411693903999998E-2</v>
      </c>
      <c r="Y595" s="346">
        <v>-0.12012152692320001</v>
      </c>
      <c r="Z595" s="346">
        <v>-0.13377891116489998</v>
      </c>
      <c r="AA595" s="346">
        <v>-0.14888275325040001</v>
      </c>
      <c r="AB595" s="346">
        <v>-0.35033177710800001</v>
      </c>
      <c r="AC595" s="346">
        <v>-0.52907199999999999</v>
      </c>
      <c r="AD595" s="346">
        <v>-4.1878385000000004E-2</v>
      </c>
      <c r="AE595" s="346">
        <v>-0.11159949299999999</v>
      </c>
      <c r="AF595" s="346">
        <v>-0.26076719500000001</v>
      </c>
      <c r="AG595" s="346">
        <v>-0.15922959</v>
      </c>
      <c r="AH595" s="346">
        <v>-1.774898479</v>
      </c>
      <c r="AI595" s="346">
        <v>-0.54568328499999996</v>
      </c>
      <c r="AJ595" s="346">
        <v>-4.7101027999999996E-2</v>
      </c>
      <c r="AK595" s="346">
        <v>-0.124436159</v>
      </c>
      <c r="AL595" s="346">
        <v>-0.17289784</v>
      </c>
      <c r="AM595" s="346">
        <v>-0.21172326799999999</v>
      </c>
      <c r="AN595" s="346">
        <v>-0.343362316</v>
      </c>
      <c r="AO595" s="346">
        <v>-0.50290532316275993</v>
      </c>
      <c r="AP595" s="346">
        <v>-0.15814870683429999</v>
      </c>
      <c r="AQ595" s="346">
        <v>-0.12523235455472001</v>
      </c>
      <c r="AR595" s="346">
        <v>-0.2297994379254</v>
      </c>
      <c r="AS595" s="346">
        <v>-0.20176501846710002</v>
      </c>
      <c r="AT595" s="346">
        <v>-2.2788711228112479</v>
      </c>
      <c r="AU595" s="346">
        <v>-1.0774999999999999</v>
      </c>
      <c r="AV595" s="346">
        <v>-0.1545</v>
      </c>
      <c r="AW595" s="346">
        <v>-0.1134</v>
      </c>
      <c r="AX595" s="346">
        <v>-0.68194363155999993</v>
      </c>
      <c r="AY595" s="346">
        <v>-0.38759797281340003</v>
      </c>
      <c r="AZ595" s="346">
        <v>-1.2102588916695001</v>
      </c>
      <c r="BA595" s="346">
        <v>-1.158766612</v>
      </c>
      <c r="BB595" s="346">
        <v>-0.101139462</v>
      </c>
      <c r="BC595" s="346">
        <v>-0.60107188</v>
      </c>
      <c r="BD595" s="346">
        <v>-0.155374504</v>
      </c>
      <c r="BE595" s="346">
        <v>-0.37950800800000001</v>
      </c>
      <c r="BF595" s="346">
        <v>-2.301496266</v>
      </c>
      <c r="BG595" s="346">
        <v>-1.2117479499999999</v>
      </c>
      <c r="BH595" s="346">
        <v>-0.10368931131</v>
      </c>
      <c r="BI595" s="346">
        <v>-0.7996538004</v>
      </c>
      <c r="BJ595" s="346">
        <v>-0.38554824684</v>
      </c>
      <c r="BK595" s="346">
        <v>-0.94509411099999996</v>
      </c>
      <c r="BL595" s="346">
        <v>-0.91107899699999995</v>
      </c>
      <c r="BM595" s="346">
        <v>-1.1393097170000002</v>
      </c>
      <c r="BN595" s="346">
        <v>-0.10130504225</v>
      </c>
      <c r="BO595" s="346">
        <v>-0.95787116900000002</v>
      </c>
      <c r="BP595" s="346">
        <v>-0.37928600191000006</v>
      </c>
      <c r="BQ595" s="346">
        <v>-1.1134900000000001</v>
      </c>
      <c r="BR595" s="346">
        <v>-1.6244799999999999</v>
      </c>
      <c r="BS595" s="346">
        <v>-1.2683</v>
      </c>
      <c r="BT595" s="346">
        <v>-9.9900000000000003E-2</v>
      </c>
      <c r="BU595" s="346">
        <v>-0.44830000000000003</v>
      </c>
      <c r="BV595" s="346"/>
      <c r="BW595" s="346"/>
      <c r="BX595" s="346"/>
      <c r="BY595" s="346">
        <v>-1.3474862237792347</v>
      </c>
      <c r="BZ595" s="346">
        <v>-0.12517140289654885</v>
      </c>
      <c r="CA595" s="346">
        <v>-0.45873459011050866</v>
      </c>
      <c r="CB595" s="346">
        <v>-1.3895624175322565</v>
      </c>
      <c r="CC595" s="346">
        <v>-1.1650459448089734</v>
      </c>
      <c r="CD595" s="346">
        <v>-1.766669445009392</v>
      </c>
      <c r="CE595" s="347">
        <f t="shared" ref="CE595:DJ595" si="444">CE34*-1</f>
        <v>-0.75231223210998577</v>
      </c>
      <c r="CF595" s="346">
        <f t="shared" si="444"/>
        <v>-0.10966848389490923</v>
      </c>
      <c r="CG595" s="346">
        <f t="shared" si="444"/>
        <v>-0.47387485241576605</v>
      </c>
      <c r="CH595" s="346">
        <f t="shared" si="444"/>
        <v>-1.4513836032679843</v>
      </c>
      <c r="CI595" s="346">
        <f t="shared" si="444"/>
        <v>-0.58777857013412638</v>
      </c>
      <c r="CJ595" s="346">
        <f t="shared" si="444"/>
        <v>-0.67328982647967961</v>
      </c>
      <c r="CK595" s="346">
        <f t="shared" si="444"/>
        <v>-0.65696933155801895</v>
      </c>
      <c r="CL595" s="346">
        <f t="shared" si="444"/>
        <v>-0.13550613930183492</v>
      </c>
      <c r="CM595" s="346">
        <f t="shared" si="444"/>
        <v>-0.94102121532754346</v>
      </c>
      <c r="CN595" s="346">
        <f t="shared" si="444"/>
        <v>-1.6646100604409304</v>
      </c>
      <c r="CO595" s="346">
        <f t="shared" si="444"/>
        <v>-1.4997860588471599</v>
      </c>
      <c r="CP595" s="348">
        <f t="shared" si="444"/>
        <v>-2.092424797395688</v>
      </c>
      <c r="CQ595" s="346">
        <f t="shared" si="444"/>
        <v>-0.81872423393511529</v>
      </c>
      <c r="CR595" s="346">
        <f t="shared" si="444"/>
        <v>-0.11637316555133259</v>
      </c>
      <c r="CS595" s="346">
        <f t="shared" si="444"/>
        <v>-0.98822693728794064</v>
      </c>
      <c r="CT595" s="346">
        <f t="shared" si="444"/>
        <v>-1.9076891664129094</v>
      </c>
      <c r="CU595" s="346">
        <f t="shared" si="444"/>
        <v>-1.6371101983136604</v>
      </c>
      <c r="CV595" s="346">
        <f t="shared" si="444"/>
        <v>-1.2823343003148511</v>
      </c>
      <c r="CW595" s="346">
        <f t="shared" si="444"/>
        <v>-0.54259925348207405</v>
      </c>
      <c r="CX595" s="346">
        <f t="shared" si="444"/>
        <v>-0.16658080707395662</v>
      </c>
      <c r="CY595" s="346">
        <f t="shared" si="444"/>
        <v>-0.64064937036626235</v>
      </c>
      <c r="CZ595" s="346">
        <f t="shared" si="444"/>
        <v>-2.6615469227826445</v>
      </c>
      <c r="DA595" s="346">
        <f t="shared" si="444"/>
        <v>-1.4873097549746874</v>
      </c>
      <c r="DB595" s="1479">
        <f t="shared" si="444"/>
        <v>-2.3879191262870338</v>
      </c>
      <c r="DC595" s="346">
        <f t="shared" si="444"/>
        <v>-0.7496316773618682</v>
      </c>
      <c r="DD595" s="346">
        <f t="shared" si="444"/>
        <v>-0.18844025208556964</v>
      </c>
      <c r="DE595" s="346">
        <f t="shared" si="444"/>
        <v>-1.1651190338380673</v>
      </c>
      <c r="DF595" s="346">
        <f t="shared" si="444"/>
        <v>-2.3537645624842876</v>
      </c>
      <c r="DG595" s="346">
        <f t="shared" si="444"/>
        <v>-0.81354493592348931</v>
      </c>
      <c r="DH595" s="346">
        <f t="shared" si="444"/>
        <v>-2.3913343737472514</v>
      </c>
      <c r="DI595" s="346">
        <f t="shared" si="444"/>
        <v>-0.82900468326802634</v>
      </c>
      <c r="DJ595" s="346">
        <f t="shared" si="444"/>
        <v>-0.11983319186926601</v>
      </c>
      <c r="DK595" s="346">
        <f t="shared" ref="DK595:EP595" si="445">DK34*-1</f>
        <v>-2.3683025380918479</v>
      </c>
      <c r="DL595" s="346">
        <f t="shared" si="445"/>
        <v>-2.6336685600717291</v>
      </c>
      <c r="DM595" s="346">
        <f t="shared" si="445"/>
        <v>-1.9423298927616031</v>
      </c>
      <c r="DN595" s="348">
        <f t="shared" si="445"/>
        <v>-1.5664812432107276</v>
      </c>
      <c r="DO595" s="346">
        <f t="shared" si="445"/>
        <v>-0.81482773460129687</v>
      </c>
      <c r="DP595" s="346">
        <f t="shared" si="445"/>
        <v>-0.18105762339779582</v>
      </c>
      <c r="DQ595" s="346">
        <f t="shared" si="445"/>
        <v>-4.1449209053121328</v>
      </c>
      <c r="DR595" s="346">
        <f t="shared" si="445"/>
        <v>-1.6766759256303281</v>
      </c>
      <c r="DS595" s="346">
        <f t="shared" si="445"/>
        <v>-1.6324040521808563</v>
      </c>
      <c r="DT595" s="346">
        <f t="shared" si="445"/>
        <v>-1.9212676525864625</v>
      </c>
      <c r="DU595" s="346">
        <f t="shared" si="445"/>
        <v>-0.70013142949925244</v>
      </c>
      <c r="DV595" s="346">
        <f t="shared" si="445"/>
        <v>-0.1429723286373058</v>
      </c>
      <c r="DW595" s="346">
        <f t="shared" si="445"/>
        <v>-5.3287087216909566</v>
      </c>
      <c r="DX595" s="346">
        <f t="shared" si="445"/>
        <v>-1.5963297269627943</v>
      </c>
      <c r="DY595" s="346">
        <f t="shared" si="445"/>
        <v>-2.1598769611755211</v>
      </c>
      <c r="DZ595" s="348">
        <f t="shared" si="445"/>
        <v>-1.2814078564345341</v>
      </c>
      <c r="EA595" s="346">
        <f t="shared" si="445"/>
        <v>-1.2814078564345341</v>
      </c>
      <c r="EB595" s="346">
        <f t="shared" si="445"/>
        <v>-0.1508550394771061</v>
      </c>
      <c r="EC595" s="346">
        <f t="shared" si="445"/>
        <v>-4.9908027326786346</v>
      </c>
      <c r="ED595" s="346">
        <f t="shared" si="445"/>
        <v>-2.0712650367908614</v>
      </c>
      <c r="EE595" s="346">
        <f t="shared" si="445"/>
        <v>-1.8791482955264269</v>
      </c>
      <c r="EF595" s="346">
        <f t="shared" si="445"/>
        <v>-2.1693559036259176</v>
      </c>
      <c r="EG595" s="346">
        <f t="shared" si="445"/>
        <v>-1.1618025330384665</v>
      </c>
      <c r="EH595" s="346">
        <f t="shared" si="445"/>
        <v>-0.51454785319515561</v>
      </c>
      <c r="EI595" s="346">
        <f t="shared" si="445"/>
        <v>-3.9915140101251882</v>
      </c>
      <c r="EJ595" s="346">
        <f t="shared" si="445"/>
        <v>-3.2862055830739316</v>
      </c>
      <c r="EK595" s="346">
        <f t="shared" si="445"/>
        <v>-1.5905199425173457</v>
      </c>
      <c r="EL595" s="348">
        <f t="shared" si="445"/>
        <v>-2.7303336994329461</v>
      </c>
      <c r="EM595" s="346">
        <f t="shared" si="445"/>
        <v>-1.3470474729735158</v>
      </c>
      <c r="EN595" s="346">
        <f t="shared" si="445"/>
        <v>-0.52934734873926026</v>
      </c>
      <c r="EO595" s="346">
        <f t="shared" si="445"/>
        <v>-4.0709369091479815</v>
      </c>
      <c r="EP595" s="346">
        <f t="shared" si="445"/>
        <v>-3.3849278688892088</v>
      </c>
      <c r="EQ595" s="346">
        <f t="shared" ref="EQ595:EX595" si="446">EQ34*-1</f>
        <v>-2.1046109426230299</v>
      </c>
      <c r="ER595" s="346">
        <f t="shared" si="446"/>
        <v>-1.862306207048356</v>
      </c>
      <c r="ES595" s="346">
        <f t="shared" si="446"/>
        <v>-1.1961686853698605</v>
      </c>
      <c r="ET595" s="346">
        <f t="shared" si="446"/>
        <v>-0.84681447803554177</v>
      </c>
      <c r="EU595" s="346">
        <f t="shared" si="446"/>
        <v>-6.3283366049876717</v>
      </c>
      <c r="EV595" s="346">
        <f t="shared" si="446"/>
        <v>-1.7937734377266965</v>
      </c>
      <c r="EW595" s="346">
        <f t="shared" si="446"/>
        <v>-3.4748833155086563</v>
      </c>
      <c r="EX595" s="348">
        <f t="shared" si="446"/>
        <v>-1.7258530270004859</v>
      </c>
      <c r="EY595" s="346"/>
      <c r="EZ595" s="346"/>
      <c r="FA595" s="346"/>
      <c r="FB595" s="346"/>
      <c r="FC595" s="346"/>
      <c r="FD595" s="346"/>
      <c r="FE595" s="346"/>
      <c r="FF595" s="346"/>
      <c r="FG595" s="346"/>
      <c r="FH595" s="346"/>
      <c r="FI595" s="346"/>
      <c r="FJ595" s="348"/>
      <c r="FK595" s="346"/>
      <c r="FL595" s="346"/>
      <c r="FM595" s="346"/>
      <c r="FN595" s="346"/>
      <c r="FO595" s="346"/>
      <c r="FP595" s="346"/>
      <c r="FQ595" s="346"/>
      <c r="FR595" s="346"/>
      <c r="FS595" s="346"/>
      <c r="FT595" s="346"/>
      <c r="FU595" s="346"/>
      <c r="FV595" s="346"/>
      <c r="FW595" s="346"/>
      <c r="FX595" s="346"/>
      <c r="FY595" s="346"/>
      <c r="FZ595" s="346"/>
      <c r="GA595" s="346"/>
      <c r="GB595" s="346"/>
      <c r="GC595" s="346"/>
      <c r="GD595" s="346"/>
      <c r="GE595" s="346"/>
      <c r="GF595" s="346"/>
      <c r="GG595" s="346"/>
      <c r="GH595" s="346"/>
      <c r="GI595" s="346"/>
      <c r="GJ595" s="346"/>
      <c r="GK595" s="346"/>
      <c r="GL595" s="346"/>
      <c r="GM595" s="346"/>
      <c r="GN595" s="346"/>
      <c r="GO595" s="346"/>
      <c r="GP595" s="346"/>
      <c r="GQ595" s="346"/>
      <c r="GR595" s="346"/>
      <c r="GS595" s="346"/>
      <c r="GT595" s="346"/>
      <c r="GU595" s="346"/>
      <c r="GV595" s="346"/>
      <c r="GW595" s="346"/>
      <c r="GX595" s="346"/>
      <c r="GY595" s="346"/>
      <c r="GZ595" s="346"/>
      <c r="HA595" s="346"/>
      <c r="HB595" s="346"/>
      <c r="HC595" s="346"/>
      <c r="HD595" s="346"/>
      <c r="HE595" s="346"/>
      <c r="HF595" s="346"/>
      <c r="HG595" s="346"/>
      <c r="HH595" s="346"/>
      <c r="HI595" s="346"/>
      <c r="HJ595" s="346"/>
      <c r="HK595" s="346"/>
      <c r="HL595" s="346"/>
      <c r="HM595" s="346"/>
      <c r="HN595" s="349"/>
      <c r="HO595" s="351" t="s">
        <v>190</v>
      </c>
      <c r="HP595" s="351"/>
      <c r="HQ595" s="351"/>
      <c r="HR595" s="346">
        <f>+FISC!Z826</f>
        <v>-14.550458001815809</v>
      </c>
      <c r="HS595" s="302">
        <f>SUM(CQ595:CV595)</f>
        <v>-6.7504580018158089</v>
      </c>
      <c r="HT595" s="302">
        <f>SUM(CW595:DB595)</f>
        <v>-7.8866052349666589</v>
      </c>
      <c r="HU595" s="346">
        <f>SUM(CQ595:DB595)</f>
        <v>-14.637063236782469</v>
      </c>
      <c r="HV595" s="302">
        <f>+SUM(DC595:DH595)</f>
        <v>-7.6618348354405335</v>
      </c>
      <c r="HW595" s="302">
        <f>+SUM(DI595:DN595)</f>
        <v>-9.4596201092731995</v>
      </c>
      <c r="HX595" s="346">
        <f>HV595+HW595</f>
        <v>-17.121454944713733</v>
      </c>
      <c r="HY595" s="302">
        <f t="shared" si="434"/>
        <v>-10.371153893708872</v>
      </c>
      <c r="HZ595" s="302">
        <f t="shared" si="435"/>
        <v>-11.209427024400362</v>
      </c>
      <c r="IA595" s="346">
        <f t="shared" si="297"/>
        <v>-21.580580918109234</v>
      </c>
      <c r="IB595" s="302">
        <v>-12.463463653213461</v>
      </c>
      <c r="IC595" s="302">
        <f>+ID595-IB595</f>
        <v>-13.354294832703053</v>
      </c>
      <c r="ID595" s="346">
        <f>FISC!AC826</f>
        <v>-25.817758485916514</v>
      </c>
      <c r="IE595" s="302">
        <f t="shared" si="436"/>
        <v>-13.299176749421351</v>
      </c>
      <c r="IF595" s="302">
        <f t="shared" si="437"/>
        <v>-15.365829548628913</v>
      </c>
      <c r="IG595" s="346">
        <f t="shared" si="384"/>
        <v>-28.665006298050265</v>
      </c>
      <c r="IH595" s="302">
        <f>-((FISC!AD121+FISC!AD126)*FISC!AE253/1000)*0+-18.6522462137703</f>
        <v>-18.652246213770301</v>
      </c>
      <c r="II595" s="302">
        <f>+IJ595-IH595</f>
        <v>-37.705055654120514</v>
      </c>
      <c r="IJ595" s="346">
        <f>+FISC!AE826</f>
        <v>-56.357301867890811</v>
      </c>
      <c r="IK595" s="302">
        <f>-((FISC!AE121+FISC!AE126)*FISC!AF253/1000)</f>
        <v>-54.269587553895725</v>
      </c>
      <c r="IL595" s="302">
        <f>IM595-IK595</f>
        <v>130.63882786849587</v>
      </c>
      <c r="IM595" s="346">
        <f>+FISC!AF1258</f>
        <v>76.369240314600148</v>
      </c>
      <c r="IN595" s="302">
        <f>-((FISC!AF121+FISC!AF126)*FISC!AG253/1000)</f>
        <v>-433.85409755178603</v>
      </c>
      <c r="IO595" s="302">
        <f t="shared" si="334"/>
        <v>-50.77536622433189</v>
      </c>
      <c r="IP595" s="346">
        <f>+FISC!AG826</f>
        <v>-484.62946377611792</v>
      </c>
      <c r="IQ595" s="302">
        <f>-((FISC!AG121+FISC!AG126)*FISC!AH253/1000)</f>
        <v>-48.026048415074968</v>
      </c>
      <c r="IR595" s="302">
        <f t="shared" si="281"/>
        <v>-118.79046552706609</v>
      </c>
      <c r="IS595" s="346">
        <f>+FISC!AH826</f>
        <v>-166.81651394214106</v>
      </c>
      <c r="IT595" s="302">
        <f>-((FISC!AH121+FISC!AH126)*FISC!AI253/1000)</f>
        <v>-57.437704001789697</v>
      </c>
      <c r="IU595" s="302">
        <f t="shared" si="282"/>
        <v>-68.228998714116372</v>
      </c>
      <c r="IV595" s="346">
        <f>+FISC!AI826</f>
        <v>-125.66670271590607</v>
      </c>
      <c r="IW595" s="302">
        <f>-((FISC!AI121+FISC!AI126)*FISC!AJ253/1000)</f>
        <v>-88.498865125961316</v>
      </c>
      <c r="IX595" s="302">
        <f t="shared" si="283"/>
        <v>-99.628541714259171</v>
      </c>
      <c r="IY595" s="346">
        <f>+FISC!AJ826</f>
        <v>-188.12740684022049</v>
      </c>
      <c r="IZ595" s="302">
        <f>-((FISC!AJ121+FISC!AJ126)*FISC!AK253/1000)</f>
        <v>-154.55989814177818</v>
      </c>
      <c r="JA595" s="302">
        <f t="shared" si="284"/>
        <v>-185.50746649264013</v>
      </c>
      <c r="JB595" s="346">
        <f>+FISC!AK826</f>
        <v>-340.06736463441831</v>
      </c>
      <c r="JC595" s="346"/>
      <c r="KI595" s="349"/>
      <c r="KJ595" s="350"/>
    </row>
    <row r="596" spans="1:302">
      <c r="A596" s="302"/>
      <c r="B596" s="117" t="s">
        <v>361</v>
      </c>
      <c r="D596" s="578" t="str">
        <f>+FISC!D828</f>
        <v>Net domestic financing</v>
      </c>
      <c r="E596" s="346">
        <f t="shared" ref="E596:BP596" si="447">E582-E584</f>
        <v>3.3985952380779314</v>
      </c>
      <c r="F596" s="346">
        <f t="shared" si="447"/>
        <v>9.2998979970267985</v>
      </c>
      <c r="G596" s="346">
        <f t="shared" si="447"/>
        <v>11.516824383664195</v>
      </c>
      <c r="H596" s="346">
        <f t="shared" si="447"/>
        <v>6.2476395107067049</v>
      </c>
      <c r="I596" s="346">
        <f t="shared" si="447"/>
        <v>-18.013913429779802</v>
      </c>
      <c r="J596" s="346">
        <f t="shared" si="447"/>
        <v>-54.064165934400215</v>
      </c>
      <c r="K596" s="346">
        <f t="shared" si="447"/>
        <v>14.645809234535708</v>
      </c>
      <c r="L596" s="346">
        <f t="shared" si="447"/>
        <v>4.9653835292860027</v>
      </c>
      <c r="M596" s="346">
        <f t="shared" si="447"/>
        <v>14.408701830078401</v>
      </c>
      <c r="N596" s="346">
        <f t="shared" si="447"/>
        <v>11.643373313300007</v>
      </c>
      <c r="O596" s="346">
        <f t="shared" si="447"/>
        <v>6.3408579906599947</v>
      </c>
      <c r="P596" s="346">
        <f t="shared" si="447"/>
        <v>-15.8843328948</v>
      </c>
      <c r="Q596" s="346">
        <f t="shared" si="447"/>
        <v>-3.9728840997547943</v>
      </c>
      <c r="R596" s="346">
        <f t="shared" si="447"/>
        <v>14.097380114232703</v>
      </c>
      <c r="S596" s="346">
        <f t="shared" si="447"/>
        <v>-39.433969753152986</v>
      </c>
      <c r="T596" s="346">
        <f t="shared" si="447"/>
        <v>25.16263547606</v>
      </c>
      <c r="U596" s="346">
        <f t="shared" si="447"/>
        <v>-16.927548442660505</v>
      </c>
      <c r="V596" s="346">
        <f t="shared" si="447"/>
        <v>-41.149097456732001</v>
      </c>
      <c r="W596" s="346">
        <f t="shared" si="447"/>
        <v>18.302697017590599</v>
      </c>
      <c r="X596" s="346">
        <f t="shared" si="447"/>
        <v>6.6565175943120041</v>
      </c>
      <c r="Y596" s="346">
        <f t="shared" si="447"/>
        <v>3.6098355915280074</v>
      </c>
      <c r="Z596" s="346">
        <f t="shared" si="447"/>
        <v>16.359524329738289</v>
      </c>
      <c r="AA596" s="346">
        <f t="shared" si="447"/>
        <v>25.620377379039802</v>
      </c>
      <c r="AB596" s="346">
        <f t="shared" si="447"/>
        <v>-67.69437469118499</v>
      </c>
      <c r="AC596" s="346">
        <f t="shared" si="447"/>
        <v>21.352505762</v>
      </c>
      <c r="AD596" s="346">
        <f t="shared" si="447"/>
        <v>-0.13600534200000231</v>
      </c>
      <c r="AE596" s="346">
        <f t="shared" si="447"/>
        <v>23.416125643000001</v>
      </c>
      <c r="AF596" s="346">
        <f t="shared" si="447"/>
        <v>-16.210330169999999</v>
      </c>
      <c r="AG596" s="346">
        <f t="shared" si="447"/>
        <v>11.471898870999997</v>
      </c>
      <c r="AH596" s="346">
        <f t="shared" si="447"/>
        <v>-45.741334597999973</v>
      </c>
      <c r="AI596" s="346">
        <f t="shared" si="447"/>
        <v>-9.0578524149999957</v>
      </c>
      <c r="AJ596" s="346">
        <f t="shared" si="447"/>
        <v>25.527026363999994</v>
      </c>
      <c r="AK596" s="346">
        <f t="shared" si="447"/>
        <v>-15.541188822999985</v>
      </c>
      <c r="AL596" s="346">
        <f t="shared" si="447"/>
        <v>-18.152366992999998</v>
      </c>
      <c r="AM596" s="346">
        <f t="shared" si="447"/>
        <v>25.816195620000009</v>
      </c>
      <c r="AN596" s="346">
        <f t="shared" si="447"/>
        <v>-1.9170796019999852</v>
      </c>
      <c r="AO596" s="346">
        <f t="shared" si="447"/>
        <v>-6.2510251935772461</v>
      </c>
      <c r="AP596" s="346">
        <f t="shared" si="447"/>
        <v>9.8349284088943101</v>
      </c>
      <c r="AQ596" s="346">
        <f t="shared" si="447"/>
        <v>4.2405595238819611</v>
      </c>
      <c r="AR596" s="346">
        <f t="shared" si="447"/>
        <v>16.327427416045406</v>
      </c>
      <c r="AS596" s="346">
        <f t="shared" si="447"/>
        <v>7.7633054718150838</v>
      </c>
      <c r="AT596" s="346">
        <f t="shared" si="447"/>
        <v>-43.057766096123146</v>
      </c>
      <c r="AU596" s="346">
        <f t="shared" si="447"/>
        <v>9.4577143252400013</v>
      </c>
      <c r="AV596" s="346">
        <f t="shared" si="447"/>
        <v>35.452255937880011</v>
      </c>
      <c r="AW596" s="346">
        <f t="shared" si="447"/>
        <v>-40.489017357449995</v>
      </c>
      <c r="AX596" s="346">
        <f t="shared" si="447"/>
        <v>31.429712341639988</v>
      </c>
      <c r="AY596" s="346">
        <f t="shared" si="447"/>
        <v>7.0068409957141897</v>
      </c>
      <c r="AZ596" s="346">
        <f t="shared" si="447"/>
        <v>-43.615841924962993</v>
      </c>
      <c r="BA596" s="346">
        <f t="shared" si="447"/>
        <v>-2.3517793430000085</v>
      </c>
      <c r="BB596" s="346">
        <f t="shared" si="447"/>
        <v>7.9077166799999983</v>
      </c>
      <c r="BC596" s="346">
        <f t="shared" si="447"/>
        <v>37.060328516000013</v>
      </c>
      <c r="BD596" s="346">
        <f t="shared" si="447"/>
        <v>-35.899823181759984</v>
      </c>
      <c r="BE596" s="346">
        <f t="shared" si="447"/>
        <v>29.951662761769992</v>
      </c>
      <c r="BF596" s="346">
        <f t="shared" si="447"/>
        <v>28.10170457100001</v>
      </c>
      <c r="BG596" s="346">
        <f t="shared" si="447"/>
        <v>-23.641803266800011</v>
      </c>
      <c r="BH596" s="346">
        <f t="shared" si="447"/>
        <v>-36.812236439890015</v>
      </c>
      <c r="BI596" s="346">
        <f t="shared" si="447"/>
        <v>-21.734622351500022</v>
      </c>
      <c r="BJ596" s="346">
        <f t="shared" si="447"/>
        <v>-60.706458082340006</v>
      </c>
      <c r="BK596" s="346">
        <f t="shared" si="447"/>
        <v>34.559707768000024</v>
      </c>
      <c r="BL596" s="346">
        <f t="shared" si="447"/>
        <v>-65.313882094000007</v>
      </c>
      <c r="BM596" s="346">
        <f t="shared" si="447"/>
        <v>17.769783936890015</v>
      </c>
      <c r="BN596" s="346">
        <f t="shared" si="447"/>
        <v>16.564837180729999</v>
      </c>
      <c r="BO596" s="346">
        <f t="shared" si="447"/>
        <v>39.005870830999996</v>
      </c>
      <c r="BP596" s="346">
        <f t="shared" si="447"/>
        <v>30.784395081910031</v>
      </c>
      <c r="BQ596" s="346">
        <f t="shared" ref="BQ596:DN596" si="448">BQ582-BQ584</f>
        <v>39.633908634850002</v>
      </c>
      <c r="BR596" s="346">
        <f t="shared" si="448"/>
        <v>1.5135633109542486</v>
      </c>
      <c r="BS596" s="346">
        <f t="shared" si="448"/>
        <v>-51.742099451901652</v>
      </c>
      <c r="BT596" s="346">
        <f t="shared" si="448"/>
        <v>6.4092905400688815</v>
      </c>
      <c r="BU596" s="346">
        <f t="shared" si="448"/>
        <v>37.151897323727887</v>
      </c>
      <c r="BV596" s="346">
        <f t="shared" si="448"/>
        <v>4.3162266734518848</v>
      </c>
      <c r="BW596" s="346">
        <f t="shared" si="448"/>
        <v>-23.600289945276739</v>
      </c>
      <c r="BX596" s="346">
        <f t="shared" si="448"/>
        <v>-65.478835017693868</v>
      </c>
      <c r="BY596" s="346">
        <f t="shared" si="448"/>
        <v>26.293153700906526</v>
      </c>
      <c r="BZ596" s="346">
        <f t="shared" si="448"/>
        <v>19.490525906617094</v>
      </c>
      <c r="CA596" s="346">
        <f t="shared" si="448"/>
        <v>-55.549898785757598</v>
      </c>
      <c r="CB596" s="346">
        <f t="shared" si="448"/>
        <v>32.326340549438086</v>
      </c>
      <c r="CC596" s="346">
        <f t="shared" si="448"/>
        <v>91.511362392529762</v>
      </c>
      <c r="CD596" s="346">
        <f t="shared" si="448"/>
        <v>-90.219466210144134</v>
      </c>
      <c r="CE596" s="347">
        <f t="shared" si="448"/>
        <v>-48.676024530513665</v>
      </c>
      <c r="CF596" s="346">
        <f t="shared" si="448"/>
        <v>14.87229584848064</v>
      </c>
      <c r="CG596" s="346">
        <f t="shared" si="448"/>
        <v>-41.423280011744637</v>
      </c>
      <c r="CH596" s="346">
        <f t="shared" si="448"/>
        <v>33.708219457028662</v>
      </c>
      <c r="CI596" s="346">
        <f t="shared" si="448"/>
        <v>18.845999615645546</v>
      </c>
      <c r="CJ596" s="346">
        <f t="shared" si="448"/>
        <v>-22.472552960669596</v>
      </c>
      <c r="CK596" s="346">
        <f t="shared" si="448"/>
        <v>25.251482231060667</v>
      </c>
      <c r="CL596" s="346">
        <f t="shared" si="448"/>
        <v>16.141239820024456</v>
      </c>
      <c r="CM596" s="346">
        <f t="shared" si="448"/>
        <v>11.611658253140829</v>
      </c>
      <c r="CN596" s="346">
        <f t="shared" si="448"/>
        <v>51.310244885528149</v>
      </c>
      <c r="CO596" s="346">
        <f t="shared" si="448"/>
        <v>6.941624222591571</v>
      </c>
      <c r="CP596" s="348">
        <f t="shared" si="448"/>
        <v>33.487758300310354</v>
      </c>
      <c r="CQ596" s="346">
        <f t="shared" si="448"/>
        <v>-17.020268294634384</v>
      </c>
      <c r="CR596" s="346">
        <f t="shared" si="448"/>
        <v>24.787145228813941</v>
      </c>
      <c r="CS596" s="346">
        <f t="shared" si="448"/>
        <v>32.62811460040556</v>
      </c>
      <c r="CT596" s="346">
        <f t="shared" si="448"/>
        <v>25.090853968634114</v>
      </c>
      <c r="CU596" s="346">
        <f t="shared" si="448"/>
        <v>0.88970047659143603</v>
      </c>
      <c r="CV596" s="346">
        <f t="shared" si="448"/>
        <v>-118.42980301391525</v>
      </c>
      <c r="CW596" s="346">
        <f t="shared" si="448"/>
        <v>21.35131870282321</v>
      </c>
      <c r="CX596" s="346">
        <f t="shared" si="448"/>
        <v>5.2050394811529213</v>
      </c>
      <c r="CY596" s="346">
        <f t="shared" si="448"/>
        <v>-4.5602298581177054</v>
      </c>
      <c r="CZ596" s="346">
        <f t="shared" si="448"/>
        <v>20.962678424001311</v>
      </c>
      <c r="DA596" s="346">
        <f t="shared" si="448"/>
        <v>28.810480108598611</v>
      </c>
      <c r="DB596" s="1479">
        <f t="shared" si="448"/>
        <v>37.751951811483643</v>
      </c>
      <c r="DC596" s="346">
        <f t="shared" si="448"/>
        <v>-20.682880446004212</v>
      </c>
      <c r="DD596" s="346">
        <f t="shared" si="448"/>
        <v>36.107799488995575</v>
      </c>
      <c r="DE596" s="346">
        <f t="shared" si="448"/>
        <v>-41.801621006976596</v>
      </c>
      <c r="DF596" s="346">
        <f t="shared" si="448"/>
        <v>36.257283096242986</v>
      </c>
      <c r="DG596" s="346">
        <f t="shared" si="448"/>
        <v>-10.448141939469142</v>
      </c>
      <c r="DH596" s="346">
        <f t="shared" si="448"/>
        <v>-77.971889906901197</v>
      </c>
      <c r="DI596" s="346">
        <f t="shared" si="448"/>
        <v>63.795326566291905</v>
      </c>
      <c r="DJ596" s="346">
        <f t="shared" si="448"/>
        <v>19.097021386985485</v>
      </c>
      <c r="DK596" s="346">
        <f t="shared" si="448"/>
        <v>-44.627080589793117</v>
      </c>
      <c r="DL596" s="346">
        <f t="shared" si="448"/>
        <v>25.990661298897741</v>
      </c>
      <c r="DM596" s="346">
        <f t="shared" si="448"/>
        <v>20.786432652388573</v>
      </c>
      <c r="DN596" s="348">
        <f t="shared" si="448"/>
        <v>9.6892621397448409</v>
      </c>
      <c r="DO596" s="346">
        <f t="shared" ref="DO596:DT596" si="449">+DO597+DO610</f>
        <v>-21.093013536440399</v>
      </c>
      <c r="DP596" s="346">
        <f t="shared" si="449"/>
        <v>20.907133616416381</v>
      </c>
      <c r="DQ596" s="346">
        <f t="shared" si="449"/>
        <v>-47.020961539387798</v>
      </c>
      <c r="DR596" s="346">
        <f t="shared" si="449"/>
        <v>4.0940808819227259</v>
      </c>
      <c r="DS596" s="346">
        <f t="shared" si="449"/>
        <v>27.000719059530809</v>
      </c>
      <c r="DT596" s="346">
        <f t="shared" si="449"/>
        <v>-56.538026913373365</v>
      </c>
      <c r="DU596" s="346">
        <f t="shared" ref="DU596:DZ596" si="450">+DU597+DU610</f>
        <v>1.6021299269673976</v>
      </c>
      <c r="DV596" s="346">
        <f t="shared" si="450"/>
        <v>60.899492118220948</v>
      </c>
      <c r="DW596" s="346">
        <f t="shared" si="450"/>
        <v>-13.417555758642813</v>
      </c>
      <c r="DX596" s="346">
        <f t="shared" si="450"/>
        <v>5.7793387725086625</v>
      </c>
      <c r="DY596" s="346">
        <f t="shared" si="450"/>
        <v>47.301045864280809</v>
      </c>
      <c r="DZ596" s="348">
        <f t="shared" si="450"/>
        <v>29.018672697043705</v>
      </c>
      <c r="EA596" s="346">
        <f t="shared" ref="EA596:EK596" si="451">+EA597+EA610</f>
        <v>-6.1847746777488055E-3</v>
      </c>
      <c r="EB596" s="346">
        <f t="shared" si="451"/>
        <v>27.404570468583216</v>
      </c>
      <c r="EC596" s="346">
        <f t="shared" si="451"/>
        <v>-24.372152769480202</v>
      </c>
      <c r="ED596" s="346">
        <f t="shared" si="451"/>
        <v>-15.928183055399018</v>
      </c>
      <c r="EE596" s="346">
        <f t="shared" si="451"/>
        <v>6.2077624642687681</v>
      </c>
      <c r="EF596" s="346">
        <f t="shared" si="451"/>
        <v>-101.26075153858211</v>
      </c>
      <c r="EG596" s="346">
        <f t="shared" si="451"/>
        <v>72.852746309116725</v>
      </c>
      <c r="EH596" s="346">
        <f t="shared" si="451"/>
        <v>8.8665991698843456</v>
      </c>
      <c r="EI596" s="346">
        <f t="shared" si="451"/>
        <v>-6.0770932618679723</v>
      </c>
      <c r="EJ596" s="346">
        <f t="shared" si="451"/>
        <v>20.202179392752903</v>
      </c>
      <c r="EK596" s="346">
        <f t="shared" si="451"/>
        <v>46.30664964409317</v>
      </c>
      <c r="EL596" s="348">
        <f t="shared" ref="EL596:ER596" si="452">+EL597+EL610</f>
        <v>39.12229868997899</v>
      </c>
      <c r="EM596" s="346">
        <f t="shared" si="452"/>
        <v>2.1549642678775314</v>
      </c>
      <c r="EN596" s="346">
        <f t="shared" si="452"/>
        <v>-14.35837091263776</v>
      </c>
      <c r="EO596" s="346">
        <f t="shared" si="452"/>
        <v>0.77494786556137996</v>
      </c>
      <c r="EP596" s="346">
        <f t="shared" si="452"/>
        <v>64.651635323504138</v>
      </c>
      <c r="EQ596" s="346">
        <f t="shared" si="452"/>
        <v>5.365506420231938</v>
      </c>
      <c r="ER596" s="346">
        <f t="shared" si="452"/>
        <v>-205.95274116765006</v>
      </c>
      <c r="ES596" s="346">
        <f t="shared" ref="ES596:EX596" si="453">+ES597+ES610</f>
        <v>44.179674333014972</v>
      </c>
      <c r="ET596" s="346">
        <f t="shared" si="453"/>
        <v>47.739402646034634</v>
      </c>
      <c r="EU596" s="346">
        <f t="shared" si="453"/>
        <v>33.994167048742071</v>
      </c>
      <c r="EV596" s="346">
        <f t="shared" si="453"/>
        <v>32.523673415515518</v>
      </c>
      <c r="EW596" s="346">
        <f t="shared" si="453"/>
        <v>30.679912088314229</v>
      </c>
      <c r="EX596" s="348">
        <f t="shared" si="453"/>
        <v>12.315935291807252</v>
      </c>
      <c r="EY596" s="346"/>
      <c r="EZ596" s="346"/>
      <c r="FA596" s="346"/>
      <c r="FB596" s="346"/>
      <c r="FC596" s="346"/>
      <c r="FD596" s="346"/>
      <c r="FE596" s="346"/>
      <c r="FF596" s="346"/>
      <c r="FG596" s="346"/>
      <c r="FH596" s="346"/>
      <c r="FI596" s="346"/>
      <c r="FJ596" s="348"/>
      <c r="FK596" s="346"/>
      <c r="FL596" s="346"/>
      <c r="FM596" s="346"/>
      <c r="FN596" s="346"/>
      <c r="FO596" s="346"/>
      <c r="FP596" s="346"/>
      <c r="FQ596" s="346"/>
      <c r="FR596" s="346"/>
      <c r="FS596" s="346"/>
      <c r="FT596" s="346"/>
      <c r="FU596" s="346"/>
      <c r="FV596" s="346"/>
      <c r="FW596" s="346"/>
      <c r="FX596" s="346"/>
      <c r="FY596" s="346"/>
      <c r="FZ596" s="346"/>
      <c r="GA596" s="346"/>
      <c r="GB596" s="346"/>
      <c r="GC596" s="346"/>
      <c r="GD596" s="346"/>
      <c r="GE596" s="346"/>
      <c r="GF596" s="346"/>
      <c r="GG596" s="346"/>
      <c r="GH596" s="346"/>
      <c r="GI596" s="346"/>
      <c r="GJ596" s="346"/>
      <c r="GK596" s="346"/>
      <c r="GL596" s="346"/>
      <c r="GM596" s="346"/>
      <c r="GN596" s="346"/>
      <c r="GO596" s="346"/>
      <c r="GP596" s="346"/>
      <c r="GQ596" s="346"/>
      <c r="GR596" s="346"/>
      <c r="GS596" s="346"/>
      <c r="GT596" s="346"/>
      <c r="GU596" s="346"/>
      <c r="GV596" s="346"/>
      <c r="GW596" s="346"/>
      <c r="GX596" s="346"/>
      <c r="GY596" s="346"/>
      <c r="GZ596" s="346"/>
      <c r="HA596" s="346"/>
      <c r="HB596" s="346"/>
      <c r="HC596" s="346"/>
      <c r="HD596" s="346"/>
      <c r="HE596" s="346"/>
      <c r="HF596" s="346"/>
      <c r="HG596" s="346"/>
      <c r="HH596" s="346"/>
      <c r="HI596" s="346"/>
      <c r="HJ596" s="346"/>
      <c r="HK596" s="346"/>
      <c r="HL596" s="346"/>
      <c r="HM596" s="346"/>
      <c r="HN596" s="349"/>
      <c r="HO596" s="578" t="s">
        <v>873</v>
      </c>
      <c r="HP596" s="578"/>
      <c r="HQ596" s="578"/>
      <c r="HR596" s="346">
        <f>+FISC!Z828</f>
        <v>9.2999999999999972</v>
      </c>
      <c r="HS596" s="302">
        <f>HS582-HS584</f>
        <v>-75.054257034104651</v>
      </c>
      <c r="HT596" s="302">
        <f>HT582-HT584</f>
        <v>109.52123866994199</v>
      </c>
      <c r="HU596" s="346">
        <f>HU582-HU584</f>
        <v>34.466981635837442</v>
      </c>
      <c r="HV596" s="302">
        <f>+HV597+HV610</f>
        <v>-78.13615325913635</v>
      </c>
      <c r="HW596" s="302">
        <f>+HW597+HW610</f>
        <v>125.22299616226169</v>
      </c>
      <c r="HX596" s="346">
        <f>HV596+HW596</f>
        <v>47.086842903125344</v>
      </c>
      <c r="HY596" s="302">
        <f>+HY597+HY610</f>
        <v>-72.650068431331647</v>
      </c>
      <c r="HZ596" s="302">
        <f>+HZ597+HZ610</f>
        <v>131.18312362037869</v>
      </c>
      <c r="IA596" s="346">
        <f t="shared" si="297"/>
        <v>58.533055189047047</v>
      </c>
      <c r="IB596" s="302">
        <f>(IB582-IB584)</f>
        <v>-76.513563812377328</v>
      </c>
      <c r="IC596" s="302">
        <f>((IC582-IC584))</f>
        <v>112.67301332015495</v>
      </c>
      <c r="ID596" s="346">
        <f>FISC!AC828</f>
        <v>42.957634732946076</v>
      </c>
      <c r="IE596" s="302">
        <f t="shared" si="436"/>
        <v>-147.36405820311285</v>
      </c>
      <c r="IF596" s="302">
        <f t="shared" si="437"/>
        <v>201.4327648234287</v>
      </c>
      <c r="IG596" s="346">
        <f t="shared" si="384"/>
        <v>54.068706620315851</v>
      </c>
      <c r="IH596" s="302" t="e">
        <f>(IH582-IH584)</f>
        <v>#REF!</v>
      </c>
      <c r="II596" s="302" t="e">
        <f>IJ596-IH596</f>
        <v>#REF!</v>
      </c>
      <c r="IJ596" s="346">
        <f>+FISC!AE828</f>
        <v>88.652325063023426</v>
      </c>
      <c r="IK596" s="302" t="e">
        <f>IK582-IK584</f>
        <v>#REF!</v>
      </c>
      <c r="IL596" s="302" t="e">
        <f>IM596-IK596</f>
        <v>#REF!</v>
      </c>
      <c r="IM596" s="346">
        <f>+FISC!AF828</f>
        <v>265.5799971589999</v>
      </c>
      <c r="IN596" s="302" t="e">
        <f>IN582-IN584</f>
        <v>#REF!</v>
      </c>
      <c r="IO596" s="302" t="e">
        <f t="shared" si="334"/>
        <v>#REF!</v>
      </c>
      <c r="IP596" s="346">
        <f>+FISC!AG828</f>
        <v>225.00000000000006</v>
      </c>
      <c r="IQ596" s="302">
        <f>IQ582-IQ584</f>
        <v>-3482.510242197282</v>
      </c>
      <c r="IR596" s="302">
        <f t="shared" si="281"/>
        <v>3643.0516679003849</v>
      </c>
      <c r="IS596" s="346">
        <f>+FISC!AH828</f>
        <v>160.5414257031031</v>
      </c>
      <c r="IT596" s="302">
        <f>IT582-IT584</f>
        <v>-4583.8750451452179</v>
      </c>
      <c r="IU596" s="302">
        <f t="shared" si="282"/>
        <v>4884.9397775014277</v>
      </c>
      <c r="IV596" s="346">
        <f>+FISC!AI828</f>
        <v>301.06473235620956</v>
      </c>
      <c r="IW596" s="302">
        <f>IW582-IW584</f>
        <v>767.83234303877816</v>
      </c>
      <c r="IX596" s="302">
        <f t="shared" si="283"/>
        <v>-592.93234303877819</v>
      </c>
      <c r="IY596" s="346">
        <f>+FISC!AJ828</f>
        <v>174.89999999999998</v>
      </c>
      <c r="IZ596" s="302" t="e">
        <f>IZ582-IZ584</f>
        <v>#DIV/0!</v>
      </c>
      <c r="JA596" s="302" t="e">
        <f t="shared" si="284"/>
        <v>#DIV/0!</v>
      </c>
      <c r="JB596" s="346" t="e">
        <f>+FISC!AK828</f>
        <v>#DIV/0!</v>
      </c>
      <c r="JC596" s="346"/>
      <c r="KI596" s="349"/>
      <c r="KJ596" s="350"/>
      <c r="KM596" s="302">
        <f>KM582-KM584</f>
        <v>0</v>
      </c>
      <c r="KN596" s="302">
        <f>KN582-KN584</f>
        <v>0</v>
      </c>
      <c r="KO596" s="302">
        <f>KO582-KO584</f>
        <v>0</v>
      </c>
      <c r="KP596" s="302">
        <f>KP582-KP584</f>
        <v>0</v>
      </c>
    </row>
    <row r="597" spans="1:302">
      <c r="A597" s="302"/>
      <c r="B597" s="117" t="s">
        <v>361</v>
      </c>
      <c r="D597" s="351" t="s">
        <v>878</v>
      </c>
      <c r="E597" s="346">
        <v>-8.4</v>
      </c>
      <c r="F597" s="346">
        <v>7.7</v>
      </c>
      <c r="G597" s="346">
        <v>10.4</v>
      </c>
      <c r="H597" s="346">
        <v>9.3000000000000007</v>
      </c>
      <c r="I597" s="346">
        <v>-20.399999999999999</v>
      </c>
      <c r="J597" s="346">
        <v>-54.3</v>
      </c>
      <c r="K597" s="346">
        <v>16.899999999999999</v>
      </c>
      <c r="L597" s="346">
        <v>12.1</v>
      </c>
      <c r="M597" s="346">
        <v>22.8</v>
      </c>
      <c r="N597" s="346">
        <v>10</v>
      </c>
      <c r="O597" s="346">
        <v>7.4</v>
      </c>
      <c r="P597" s="346">
        <v>-8.6999999999999993</v>
      </c>
      <c r="Q597" s="346">
        <v>1.0495999999999999</v>
      </c>
      <c r="R597" s="346">
        <v>16.851800000000001</v>
      </c>
      <c r="S597" s="346">
        <v>-40.393999999999998</v>
      </c>
      <c r="T597" s="346">
        <v>25.288599999999999</v>
      </c>
      <c r="U597" s="346">
        <v>-16.461400000000001</v>
      </c>
      <c r="V597" s="346">
        <v>-45.681899999999999</v>
      </c>
      <c r="W597" s="346">
        <v>19.973099999999999</v>
      </c>
      <c r="X597" s="346">
        <v>5.257299999999999</v>
      </c>
      <c r="Y597" s="346">
        <v>6.4409000000000001</v>
      </c>
      <c r="Z597" s="346">
        <v>22.9618</v>
      </c>
      <c r="AA597" s="346">
        <v>23.6174</v>
      </c>
      <c r="AB597" s="346">
        <v>-62.616300000000003</v>
      </c>
      <c r="AC597" s="346">
        <v>2.1999999999999886</v>
      </c>
      <c r="AD597" s="346">
        <v>-2.0999999999999948</v>
      </c>
      <c r="AE597" s="346">
        <v>-22.599999999999994</v>
      </c>
      <c r="AF597" s="346">
        <v>24.900000000000006</v>
      </c>
      <c r="AG597" s="346">
        <v>-17.200000000000003</v>
      </c>
      <c r="AH597" s="346">
        <v>12.100000000000009</v>
      </c>
      <c r="AI597" s="346">
        <v>3.0999999999999948</v>
      </c>
      <c r="AJ597" s="346">
        <v>-21.800000000000011</v>
      </c>
      <c r="AK597" s="346">
        <v>27.400000000000006</v>
      </c>
      <c r="AL597" s="346">
        <v>19.900000000000006</v>
      </c>
      <c r="AM597" s="346">
        <v>-14.200000000000017</v>
      </c>
      <c r="AN597" s="346">
        <v>-6.5999999999999943</v>
      </c>
      <c r="AO597" s="346">
        <v>-8.0999999999999943</v>
      </c>
      <c r="AP597" s="346">
        <v>22</v>
      </c>
      <c r="AQ597" s="346">
        <v>7.5</v>
      </c>
      <c r="AR597" s="346">
        <v>6.9000000000000057</v>
      </c>
      <c r="AS597" s="346">
        <v>16.299999999999997</v>
      </c>
      <c r="AT597" s="346">
        <v>-29.099999999999994</v>
      </c>
      <c r="AU597" s="346">
        <v>14.5</v>
      </c>
      <c r="AV597" s="346">
        <v>33.899999999999991</v>
      </c>
      <c r="AW597" s="346">
        <v>-55.099999999999994</v>
      </c>
      <c r="AX597" s="346">
        <v>8.5999999999999943</v>
      </c>
      <c r="AY597" s="346">
        <v>34.800000000000011</v>
      </c>
      <c r="AZ597" s="346">
        <v>-42.200000000000017</v>
      </c>
      <c r="BA597" s="346">
        <v>8.8000000000000114</v>
      </c>
      <c r="BB597" s="346">
        <v>-0.5</v>
      </c>
      <c r="BC597" s="346">
        <v>24.400000000000006</v>
      </c>
      <c r="BD597" s="346">
        <v>-48.300000000000011</v>
      </c>
      <c r="BE597" s="346">
        <v>56.400000000000006</v>
      </c>
      <c r="BF597" s="346">
        <v>42.3</v>
      </c>
      <c r="BG597" s="346">
        <v>-17.099999999999994</v>
      </c>
      <c r="BH597" s="346">
        <v>-23.600000000000009</v>
      </c>
      <c r="BI597" s="346">
        <v>-25.699999999999989</v>
      </c>
      <c r="BJ597" s="346">
        <v>-66.400000000000006</v>
      </c>
      <c r="BK597" s="346">
        <v>34.900000000000006</v>
      </c>
      <c r="BL597" s="346">
        <v>-77.5</v>
      </c>
      <c r="BM597" s="346">
        <v>27</v>
      </c>
      <c r="BN597" s="346">
        <v>39</v>
      </c>
      <c r="BO597" s="346">
        <v>19.099999999999994</v>
      </c>
      <c r="BP597" s="346">
        <v>32.799999999999997</v>
      </c>
      <c r="BQ597" s="346">
        <v>61.5</v>
      </c>
      <c r="BR597" s="346">
        <v>-7.7999999999999972</v>
      </c>
      <c r="BS597" s="346">
        <v>-36.1</v>
      </c>
      <c r="BT597" s="346">
        <v>10</v>
      </c>
      <c r="BU597" s="346">
        <v>-10.54</v>
      </c>
      <c r="BV597" s="346">
        <v>-14.118382069999996</v>
      </c>
      <c r="BW597" s="346">
        <v>-1.110039860000029</v>
      </c>
      <c r="BX597" s="346">
        <v>-20.428834503999951</v>
      </c>
      <c r="BY597" s="346">
        <v>42.30872003199994</v>
      </c>
      <c r="BZ597" s="346">
        <v>32.507076406000024</v>
      </c>
      <c r="CA597" s="346">
        <v>-14.280795951999991</v>
      </c>
      <c r="CB597" s="346">
        <v>8.8957754699999612</v>
      </c>
      <c r="CC597" s="346">
        <v>-146.489910474</v>
      </c>
      <c r="CD597" s="346">
        <v>50.032514074000005</v>
      </c>
      <c r="CE597" s="347">
        <f t="shared" ref="CE597:DJ597" si="454">CE309-CD309</f>
        <v>-35.190015329000033</v>
      </c>
      <c r="CF597" s="346">
        <f t="shared" si="454"/>
        <v>26.105961152000077</v>
      </c>
      <c r="CG597" s="346">
        <f t="shared" si="454"/>
        <v>-19.124953893000026</v>
      </c>
      <c r="CH597" s="346">
        <f t="shared" si="454"/>
        <v>-5.6921006460000001</v>
      </c>
      <c r="CI597" s="346">
        <f t="shared" si="454"/>
        <v>23.454107406999981</v>
      </c>
      <c r="CJ597" s="346">
        <f t="shared" si="454"/>
        <v>-12.888181615000008</v>
      </c>
      <c r="CK597" s="346">
        <f t="shared" si="454"/>
        <v>33.588823249302379</v>
      </c>
      <c r="CL597" s="346">
        <f t="shared" si="454"/>
        <v>27.397410988511098</v>
      </c>
      <c r="CM597" s="346">
        <f t="shared" si="454"/>
        <v>21.179449936643408</v>
      </c>
      <c r="CN597" s="346">
        <f t="shared" si="454"/>
        <v>23.058029623929031</v>
      </c>
      <c r="CO597" s="346">
        <f t="shared" si="454"/>
        <v>1.3864568804731334</v>
      </c>
      <c r="CP597" s="348">
        <f t="shared" si="454"/>
        <v>67.374657316288562</v>
      </c>
      <c r="CQ597" s="346">
        <f t="shared" si="454"/>
        <v>33.316331730395973</v>
      </c>
      <c r="CR597" s="346">
        <f t="shared" si="454"/>
        <v>2.0355756140683638</v>
      </c>
      <c r="CS597" s="346">
        <f t="shared" si="454"/>
        <v>31.993860479802578</v>
      </c>
      <c r="CT597" s="346">
        <f t="shared" si="454"/>
        <v>27.808196661250577</v>
      </c>
      <c r="CU597" s="346">
        <f t="shared" si="454"/>
        <v>-15.246527991337558</v>
      </c>
      <c r="CV597" s="346">
        <f t="shared" si="454"/>
        <v>-88.056370374511175</v>
      </c>
      <c r="CW597" s="346">
        <f t="shared" si="454"/>
        <v>32.673985904489371</v>
      </c>
      <c r="CX597" s="346">
        <f t="shared" si="454"/>
        <v>-16.358181633659257</v>
      </c>
      <c r="CY597" s="346">
        <f t="shared" si="454"/>
        <v>1.7133043652061133</v>
      </c>
      <c r="CZ597" s="346">
        <f t="shared" si="454"/>
        <v>25.197120323166445</v>
      </c>
      <c r="DA597" s="346">
        <f t="shared" si="454"/>
        <v>42.309816371743921</v>
      </c>
      <c r="DB597" s="1479">
        <f t="shared" si="454"/>
        <v>60.929165610549745</v>
      </c>
      <c r="DC597" s="346">
        <f t="shared" si="454"/>
        <v>3.6101350954144777</v>
      </c>
      <c r="DD597" s="346">
        <f t="shared" si="454"/>
        <v>12.161574197082246</v>
      </c>
      <c r="DE597" s="346">
        <f t="shared" si="454"/>
        <v>-42.106457005131659</v>
      </c>
      <c r="DF597" s="346">
        <f t="shared" si="454"/>
        <v>42.136293127718801</v>
      </c>
      <c r="DG597" s="346">
        <f t="shared" si="454"/>
        <v>-17.122663730923506</v>
      </c>
      <c r="DH597" s="346">
        <f t="shared" si="454"/>
        <v>-84.176418409892165</v>
      </c>
      <c r="DI597" s="346">
        <f t="shared" si="454"/>
        <v>46.596078617294609</v>
      </c>
      <c r="DJ597" s="346">
        <f t="shared" si="454"/>
        <v>-10.275546578094861</v>
      </c>
      <c r="DK597" s="346">
        <f t="shared" ref="DK597:EP597" si="455">DK309-DJ309</f>
        <v>-2.6376034209590102</v>
      </c>
      <c r="DL597" s="346">
        <f t="shared" si="455"/>
        <v>-32.414948460631706</v>
      </c>
      <c r="DM597" s="346">
        <f t="shared" si="455"/>
        <v>31.05010582154739</v>
      </c>
      <c r="DN597" s="348">
        <f t="shared" si="455"/>
        <v>52.548934250210294</v>
      </c>
      <c r="DO597" s="346">
        <f t="shared" si="455"/>
        <v>-23.685951171574487</v>
      </c>
      <c r="DP597" s="346">
        <f t="shared" si="455"/>
        <v>-0.10811435058363372</v>
      </c>
      <c r="DQ597" s="346">
        <f t="shared" si="455"/>
        <v>-52.841335186387795</v>
      </c>
      <c r="DR597" s="346">
        <f t="shared" si="455"/>
        <v>-1.893608006240413</v>
      </c>
      <c r="DS597" s="346">
        <f t="shared" si="455"/>
        <v>17.651785444530816</v>
      </c>
      <c r="DT597" s="346">
        <f t="shared" si="455"/>
        <v>-51.29353142037337</v>
      </c>
      <c r="DU597" s="346">
        <f t="shared" si="455"/>
        <v>-3.9178462034948573</v>
      </c>
      <c r="DV597" s="346">
        <f t="shared" si="455"/>
        <v>55.279404350220943</v>
      </c>
      <c r="DW597" s="346">
        <f t="shared" si="455"/>
        <v>-9.3025711216428135</v>
      </c>
      <c r="DX597" s="346">
        <f t="shared" si="455"/>
        <v>5.7283324507679936</v>
      </c>
      <c r="DY597" s="346">
        <f t="shared" si="455"/>
        <v>40.365145864280805</v>
      </c>
      <c r="DZ597" s="348">
        <f t="shared" si="455"/>
        <v>41.36150474946578</v>
      </c>
      <c r="EA597" s="346">
        <f t="shared" si="455"/>
        <v>15.844836880597313</v>
      </c>
      <c r="EB597" s="346">
        <f t="shared" si="455"/>
        <v>27.67237046858321</v>
      </c>
      <c r="EC597" s="346">
        <f t="shared" si="455"/>
        <v>-17.804308847902377</v>
      </c>
      <c r="ED597" s="346">
        <f t="shared" si="455"/>
        <v>-9.3852211293990138</v>
      </c>
      <c r="EE597" s="346">
        <f t="shared" si="455"/>
        <v>3.33136246426875</v>
      </c>
      <c r="EF597" s="346">
        <f t="shared" si="455"/>
        <v>-102.99215153258211</v>
      </c>
      <c r="EG597" s="346">
        <f t="shared" si="455"/>
        <v>54.368924009116824</v>
      </c>
      <c r="EH597" s="346">
        <f t="shared" si="455"/>
        <v>22.323899169884328</v>
      </c>
      <c r="EI597" s="346">
        <f t="shared" si="455"/>
        <v>-6.6064932618679677</v>
      </c>
      <c r="EJ597" s="346">
        <f t="shared" si="455"/>
        <v>-0.2501494362471135</v>
      </c>
      <c r="EK597" s="346">
        <f t="shared" si="455"/>
        <v>48.044194211093185</v>
      </c>
      <c r="EL597" s="348">
        <f t="shared" si="455"/>
        <v>14.283498689978984</v>
      </c>
      <c r="EM597" s="346">
        <f t="shared" si="455"/>
        <v>1.8643088348775336</v>
      </c>
      <c r="EN597" s="346">
        <f t="shared" si="455"/>
        <v>-14.03037091263775</v>
      </c>
      <c r="EO597" s="346">
        <f t="shared" si="455"/>
        <v>-12.169952134438574</v>
      </c>
      <c r="EP597" s="346">
        <f t="shared" si="455"/>
        <v>48.469635441504124</v>
      </c>
      <c r="EQ597" s="346">
        <f t="shared" ref="EQ597:EX597" si="456">EQ309-EP309</f>
        <v>8.3897064202319029</v>
      </c>
      <c r="ER597" s="346">
        <f t="shared" si="456"/>
        <v>-225.98814116765004</v>
      </c>
      <c r="ES597" s="346">
        <f t="shared" si="456"/>
        <v>47.834374333014978</v>
      </c>
      <c r="ET597" s="346">
        <f t="shared" si="456"/>
        <v>28.052602646034643</v>
      </c>
      <c r="EU597" s="346">
        <f t="shared" si="456"/>
        <v>35.699667048742072</v>
      </c>
      <c r="EV597" s="346">
        <f t="shared" si="456"/>
        <v>36.72441555651551</v>
      </c>
      <c r="EW597" s="346">
        <f t="shared" si="456"/>
        <v>33.355402058314212</v>
      </c>
      <c r="EX597" s="348">
        <f t="shared" si="456"/>
        <v>-1.0396165951927401</v>
      </c>
      <c r="EY597" s="346"/>
      <c r="EZ597" s="346"/>
      <c r="FA597" s="346"/>
      <c r="FB597" s="346"/>
      <c r="FC597" s="346"/>
      <c r="FD597" s="346"/>
      <c r="FE597" s="346"/>
      <c r="FF597" s="346"/>
      <c r="FG597" s="346"/>
      <c r="FH597" s="346"/>
      <c r="FI597" s="346"/>
      <c r="FJ597" s="348"/>
      <c r="FK597" s="346"/>
      <c r="FL597" s="346"/>
      <c r="FM597" s="346"/>
      <c r="FN597" s="346"/>
      <c r="FO597" s="346"/>
      <c r="FP597" s="346"/>
      <c r="FQ597" s="346"/>
      <c r="FR597" s="346"/>
      <c r="FS597" s="346"/>
      <c r="FT597" s="346"/>
      <c r="FU597" s="346"/>
      <c r="FV597" s="346"/>
      <c r="FW597" s="346"/>
      <c r="FX597" s="346"/>
      <c r="FY597" s="346"/>
      <c r="FZ597" s="346"/>
      <c r="GA597" s="346"/>
      <c r="GB597" s="346"/>
      <c r="GC597" s="346"/>
      <c r="GD597" s="346"/>
      <c r="GE597" s="346"/>
      <c r="GF597" s="346"/>
      <c r="GG597" s="346"/>
      <c r="GH597" s="346"/>
      <c r="GI597" s="346"/>
      <c r="GJ597" s="346"/>
      <c r="GK597" s="346"/>
      <c r="GL597" s="346"/>
      <c r="GM597" s="346"/>
      <c r="GN597" s="346"/>
      <c r="GO597" s="346"/>
      <c r="GP597" s="346"/>
      <c r="GQ597" s="346"/>
      <c r="GR597" s="346"/>
      <c r="GS597" s="346"/>
      <c r="GT597" s="346"/>
      <c r="GU597" s="346"/>
      <c r="GV597" s="346"/>
      <c r="GW597" s="346"/>
      <c r="GX597" s="346"/>
      <c r="GY597" s="346"/>
      <c r="GZ597" s="346"/>
      <c r="HA597" s="346"/>
      <c r="HB597" s="346"/>
      <c r="HC597" s="346"/>
      <c r="HD597" s="346"/>
      <c r="HE597" s="346"/>
      <c r="HF597" s="346"/>
      <c r="HG597" s="346"/>
      <c r="HH597" s="346"/>
      <c r="HI597" s="346"/>
      <c r="HJ597" s="346"/>
      <c r="HK597" s="346"/>
      <c r="HL597" s="346"/>
      <c r="HM597" s="346"/>
      <c r="HN597" s="349"/>
      <c r="HO597" s="351" t="s">
        <v>878</v>
      </c>
      <c r="HP597" s="351"/>
      <c r="HQ597" s="351"/>
      <c r="HR597" s="346">
        <f>+FISC!Z829</f>
        <v>0</v>
      </c>
      <c r="HS597" s="302">
        <f>SUM(CQ597:CV597)</f>
        <v>-8.1489338803312421</v>
      </c>
      <c r="HT597" s="302">
        <f>SUM(CW597:DB597)</f>
        <v>146.46521094149634</v>
      </c>
      <c r="HU597" s="346">
        <f>SUM(CQ597:DB597)</f>
        <v>138.3162770611651</v>
      </c>
      <c r="HV597" s="579">
        <f>+SUM(DC597:DH597)</f>
        <v>-85.497536725731806</v>
      </c>
      <c r="HW597" s="302">
        <f>+SUM(DI597:DN597)</f>
        <v>84.867020229366716</v>
      </c>
      <c r="HX597" s="346">
        <f>HV597+HW597</f>
        <v>-0.63051649636508955</v>
      </c>
      <c r="HY597" s="579">
        <f>+SUM(DO597:DT597)</f>
        <v>-112.17075469062888</v>
      </c>
      <c r="HZ597" s="302">
        <f>SUM(DU597:DZ597)</f>
        <v>129.51397008959785</v>
      </c>
      <c r="IA597" s="346">
        <f t="shared" si="297"/>
        <v>17.343215398968965</v>
      </c>
      <c r="IB597" s="477">
        <f>(IB598+SUM(IB600:IB609))*0+-83.3331116964342</f>
        <v>-83.333111696434202</v>
      </c>
      <c r="IC597" s="477">
        <f>ID597-IB597</f>
        <v>132.16387338195821</v>
      </c>
      <c r="ID597" s="346">
        <f>FISC!AC829</f>
        <v>48.83076168552401</v>
      </c>
      <c r="IE597" s="302">
        <f t="shared" si="436"/>
        <v>-193.46481351811281</v>
      </c>
      <c r="IF597" s="302">
        <f t="shared" si="437"/>
        <v>180.62684504742867</v>
      </c>
      <c r="IG597" s="346">
        <f t="shared" si="384"/>
        <v>-12.837968470684132</v>
      </c>
      <c r="IH597" s="477" t="e">
        <f>(IH598+SUM(IH600:IH609))*0-131.801258859095</f>
        <v>#REF!</v>
      </c>
      <c r="II597" s="477" t="e">
        <f>(II598+SUM(II600:II609))*0+IJ597-IH597</f>
        <v>#REF!</v>
      </c>
      <c r="IJ597" s="346">
        <f>+FISC!AE829</f>
        <v>88.652325063023426</v>
      </c>
      <c r="IK597" s="477" t="e">
        <f>(IK598+SUM(IK600:IK609))</f>
        <v>#REF!</v>
      </c>
      <c r="IL597" s="302" t="e">
        <f t="shared" si="280"/>
        <v>#REF!</v>
      </c>
      <c r="IM597" s="346">
        <f>+FISC!AF829</f>
        <v>265.5799971589999</v>
      </c>
      <c r="IN597" s="477" t="e">
        <f>(IN598+SUM(IN600:IN609))</f>
        <v>#REF!</v>
      </c>
      <c r="IO597" s="302" t="e">
        <f t="shared" si="334"/>
        <v>#REF!</v>
      </c>
      <c r="IP597" s="346">
        <f>+FISC!AG829</f>
        <v>225.00000000000006</v>
      </c>
      <c r="IQ597" s="477">
        <f>(IQ598+SUM(IQ600:IQ609))</f>
        <v>20.420712851551571</v>
      </c>
      <c r="IR597" s="302">
        <f t="shared" si="281"/>
        <v>140.12071285155153</v>
      </c>
      <c r="IS597" s="346">
        <f>+FISC!AH829</f>
        <v>160.5414257031031</v>
      </c>
      <c r="IT597" s="477">
        <f>(IT598+SUM(IT600:IT609))</f>
        <v>48.632366178104725</v>
      </c>
      <c r="IU597" s="302">
        <f t="shared" si="282"/>
        <v>252.43236617810484</v>
      </c>
      <c r="IV597" s="346">
        <f>+FISC!AI829</f>
        <v>301.06473235620956</v>
      </c>
      <c r="IW597" s="477">
        <f>(IW598+SUM(IW600:IW609))</f>
        <v>-81.2</v>
      </c>
      <c r="IX597" s="302">
        <f t="shared" si="283"/>
        <v>256.09999999999997</v>
      </c>
      <c r="IY597" s="346">
        <f>+FISC!AJ829</f>
        <v>174.89999999999998</v>
      </c>
      <c r="IZ597" s="477" t="e">
        <f>(IZ598+SUM(IZ600:IZ609))</f>
        <v>#DIV/0!</v>
      </c>
      <c r="JA597" s="302" t="e">
        <f t="shared" si="284"/>
        <v>#DIV/0!</v>
      </c>
      <c r="JB597" s="346" t="e">
        <f>+FISC!AK829</f>
        <v>#DIV/0!</v>
      </c>
      <c r="JC597" s="346"/>
      <c r="KI597" s="349"/>
      <c r="KJ597" s="350"/>
    </row>
    <row r="598" spans="1:302">
      <c r="A598" s="302"/>
      <c r="B598" s="117" t="s">
        <v>361</v>
      </c>
      <c r="D598" s="351" t="str">
        <f>+FISC!D830</f>
        <v xml:space="preserve">o/w: bank borrowing/use (+) or built-up (-) other deposits </v>
      </c>
      <c r="E598" s="346"/>
      <c r="F598" s="346"/>
      <c r="G598" s="346"/>
      <c r="H598" s="346"/>
      <c r="I598" s="346"/>
      <c r="J598" s="346"/>
      <c r="K598" s="346"/>
      <c r="L598" s="346"/>
      <c r="M598" s="346"/>
      <c r="N598" s="346"/>
      <c r="O598" s="346"/>
      <c r="P598" s="346"/>
      <c r="Q598" s="346"/>
      <c r="R598" s="346"/>
      <c r="S598" s="346"/>
      <c r="T598" s="346"/>
      <c r="U598" s="346"/>
      <c r="V598" s="346"/>
      <c r="W598" s="346"/>
      <c r="X598" s="346"/>
      <c r="Y598" s="346"/>
      <c r="Z598" s="346"/>
      <c r="AA598" s="346"/>
      <c r="AB598" s="346"/>
      <c r="AC598" s="346"/>
      <c r="AD598" s="346"/>
      <c r="AE598" s="346"/>
      <c r="AF598" s="346"/>
      <c r="AG598" s="346"/>
      <c r="AH598" s="346"/>
      <c r="AI598" s="346"/>
      <c r="AJ598" s="346"/>
      <c r="AK598" s="346"/>
      <c r="AL598" s="346"/>
      <c r="AM598" s="346"/>
      <c r="AN598" s="346"/>
      <c r="AO598" s="346"/>
      <c r="AP598" s="346"/>
      <c r="AQ598" s="346"/>
      <c r="AR598" s="346"/>
      <c r="AS598" s="346"/>
      <c r="AT598" s="346"/>
      <c r="AU598" s="346"/>
      <c r="AV598" s="346"/>
      <c r="AW598" s="346"/>
      <c r="AX598" s="346"/>
      <c r="AY598" s="346"/>
      <c r="AZ598" s="346"/>
      <c r="BA598" s="346"/>
      <c r="BB598" s="346"/>
      <c r="BC598" s="346"/>
      <c r="BD598" s="346"/>
      <c r="BE598" s="346"/>
      <c r="BF598" s="346"/>
      <c r="BG598" s="346"/>
      <c r="BH598" s="346"/>
      <c r="BI598" s="346"/>
      <c r="BJ598" s="346"/>
      <c r="BK598" s="346"/>
      <c r="BL598" s="346"/>
      <c r="BM598" s="346"/>
      <c r="BN598" s="346"/>
      <c r="BO598" s="346"/>
      <c r="BP598" s="346"/>
      <c r="BQ598" s="346"/>
      <c r="BR598" s="346"/>
      <c r="BS598" s="346"/>
      <c r="BT598" s="346"/>
      <c r="BU598" s="346"/>
      <c r="BV598" s="346"/>
      <c r="BW598" s="346"/>
      <c r="BX598" s="346"/>
      <c r="BY598" s="346"/>
      <c r="BZ598" s="346"/>
      <c r="CA598" s="346"/>
      <c r="CB598" s="346"/>
      <c r="CC598" s="346"/>
      <c r="CD598" s="346"/>
      <c r="CE598" s="347">
        <f t="shared" ref="CE598:DN598" si="457">CE597-SUM(CE600:CE609)</f>
        <v>-41.170671326000033</v>
      </c>
      <c r="CF598" s="346">
        <f t="shared" si="457"/>
        <v>11.922575143000078</v>
      </c>
      <c r="CG598" s="346">
        <f t="shared" si="457"/>
        <v>-22.926783045000025</v>
      </c>
      <c r="CH598" s="346">
        <f t="shared" si="457"/>
        <v>-11.398425882</v>
      </c>
      <c r="CI598" s="346">
        <f t="shared" si="457"/>
        <v>23.338874671999982</v>
      </c>
      <c r="CJ598" s="346">
        <f t="shared" si="457"/>
        <v>-13.059848272000007</v>
      </c>
      <c r="CK598" s="346">
        <f t="shared" si="457"/>
        <v>24.898214388302378</v>
      </c>
      <c r="CL598" s="346">
        <f t="shared" si="457"/>
        <v>27.242638573511098</v>
      </c>
      <c r="CM598" s="346">
        <f t="shared" si="457"/>
        <v>6.7172435206434074</v>
      </c>
      <c r="CN598" s="346">
        <f t="shared" si="457"/>
        <v>18.836425920929031</v>
      </c>
      <c r="CO598" s="346">
        <f t="shared" si="457"/>
        <v>0.55550442947313339</v>
      </c>
      <c r="CP598" s="348">
        <f t="shared" si="457"/>
        <v>53.541338296288565</v>
      </c>
      <c r="CQ598" s="346">
        <f t="shared" si="457"/>
        <v>28.977871790395973</v>
      </c>
      <c r="CR598" s="346">
        <f t="shared" si="457"/>
        <v>-0.79787384793163607</v>
      </c>
      <c r="CS598" s="346">
        <f t="shared" si="457"/>
        <v>26.399793508802578</v>
      </c>
      <c r="CT598" s="346">
        <f t="shared" si="457"/>
        <v>27.780297227250578</v>
      </c>
      <c r="CU598" s="346">
        <f t="shared" si="457"/>
        <v>-15.246527991337558</v>
      </c>
      <c r="CV598" s="346">
        <f t="shared" si="457"/>
        <v>-88.056370374511175</v>
      </c>
      <c r="CW598" s="346">
        <f t="shared" si="457"/>
        <v>29.64517860848937</v>
      </c>
      <c r="CX598" s="346">
        <f t="shared" si="457"/>
        <v>-16.507817383659258</v>
      </c>
      <c r="CY598" s="346">
        <f t="shared" si="457"/>
        <v>-2.6519222317938871</v>
      </c>
      <c r="CZ598" s="346">
        <f t="shared" si="457"/>
        <v>21.379032618166445</v>
      </c>
      <c r="DA598" s="346">
        <f t="shared" si="457"/>
        <v>41.43465461674392</v>
      </c>
      <c r="DB598" s="1479">
        <f t="shared" si="457"/>
        <v>57.350646447549742</v>
      </c>
      <c r="DC598" s="346">
        <f t="shared" si="457"/>
        <v>3.6101350954144777</v>
      </c>
      <c r="DD598" s="346">
        <f t="shared" si="457"/>
        <v>2.113980364082245</v>
      </c>
      <c r="DE598" s="346">
        <f t="shared" si="457"/>
        <v>-48.252695685131656</v>
      </c>
      <c r="DF598" s="346">
        <f t="shared" si="457"/>
        <v>40.716188364718803</v>
      </c>
      <c r="DG598" s="346">
        <f t="shared" si="457"/>
        <v>-17.293612730923506</v>
      </c>
      <c r="DH598" s="346">
        <f t="shared" si="457"/>
        <v>-85.015738029892162</v>
      </c>
      <c r="DI598" s="346">
        <f t="shared" si="457"/>
        <v>43.940070560294608</v>
      </c>
      <c r="DJ598" s="346">
        <f t="shared" si="457"/>
        <v>-10.275546578094861</v>
      </c>
      <c r="DK598" s="346">
        <f t="shared" si="457"/>
        <v>-3.1340840069590103</v>
      </c>
      <c r="DL598" s="346">
        <f t="shared" si="457"/>
        <v>-32.901960912631708</v>
      </c>
      <c r="DM598" s="346">
        <f t="shared" si="457"/>
        <v>27.74647742654739</v>
      </c>
      <c r="DN598" s="348">
        <f t="shared" si="457"/>
        <v>48.548934250210294</v>
      </c>
      <c r="DO598" s="346">
        <f t="shared" ref="DO598:DT598" si="458">DO597-SUM(DO600:DO609)</f>
        <v>-22.130719105574489</v>
      </c>
      <c r="DP598" s="346">
        <f t="shared" si="458"/>
        <v>1.6157589784163662</v>
      </c>
      <c r="DQ598" s="346">
        <f t="shared" si="458"/>
        <v>-51.080445879387796</v>
      </c>
      <c r="DR598" s="346">
        <f t="shared" si="458"/>
        <v>-0.44943958824041319</v>
      </c>
      <c r="DS598" s="346">
        <f t="shared" si="458"/>
        <v>19.331369006530817</v>
      </c>
      <c r="DT598" s="346">
        <f t="shared" si="458"/>
        <v>-49.316622722373367</v>
      </c>
      <c r="DU598" s="346">
        <f t="shared" ref="DU598:DZ598" si="459">DU597-SUM(DU600:DU609)</f>
        <v>-1.9740807994948575</v>
      </c>
      <c r="DV598" s="346">
        <f t="shared" si="459"/>
        <v>56.809879230220943</v>
      </c>
      <c r="DW598" s="346">
        <f t="shared" si="459"/>
        <v>-7.4608903386428134</v>
      </c>
      <c r="DX598" s="346">
        <f t="shared" si="459"/>
        <v>7.3313522337679933</v>
      </c>
      <c r="DY598" s="346">
        <f t="shared" si="459"/>
        <v>42.165568500280806</v>
      </c>
      <c r="DZ598" s="348">
        <f t="shared" si="459"/>
        <v>43.362748058465783</v>
      </c>
      <c r="EA598" s="346">
        <f t="shared" ref="EA598:EK598" si="460">EA597-SUM(EA600:EA609)</f>
        <v>17.488664627597313</v>
      </c>
      <c r="EB598" s="346">
        <f t="shared" si="460"/>
        <v>26.939336042583211</v>
      </c>
      <c r="EC598" s="346">
        <f t="shared" si="460"/>
        <v>-18.214452912902377</v>
      </c>
      <c r="ED598" s="346">
        <f t="shared" si="460"/>
        <v>-7.5839176183990133</v>
      </c>
      <c r="EE598" s="346">
        <f t="shared" si="460"/>
        <v>2.9051516312687502</v>
      </c>
      <c r="EF598" s="346">
        <f t="shared" si="460"/>
        <v>-101.05358512258212</v>
      </c>
      <c r="EG598" s="346">
        <f t="shared" si="460"/>
        <v>56.093769017116827</v>
      </c>
      <c r="EH598" s="346">
        <f t="shared" si="460"/>
        <v>23.651856150884328</v>
      </c>
      <c r="EI598" s="346">
        <f t="shared" si="460"/>
        <v>-4.7204533158679673</v>
      </c>
      <c r="EJ598" s="346">
        <f t="shared" si="460"/>
        <v>-2.4002334222471133</v>
      </c>
      <c r="EK598" s="346">
        <f t="shared" si="460"/>
        <v>49.922034675093187</v>
      </c>
      <c r="EL598" s="348">
        <f t="shared" ref="EL598:ER598" si="461">EL597-SUM(EL600:EL609)</f>
        <v>16.300420027978983</v>
      </c>
      <c r="EM598" s="346">
        <f t="shared" si="461"/>
        <v>3.7327246438775337</v>
      </c>
      <c r="EN598" s="346">
        <f t="shared" si="461"/>
        <v>-15.68152072563775</v>
      </c>
      <c r="EO598" s="346">
        <f t="shared" si="461"/>
        <v>-13.802454912438574</v>
      </c>
      <c r="EP598" s="346">
        <f t="shared" si="461"/>
        <v>50.297001710504126</v>
      </c>
      <c r="EQ598" s="346">
        <f t="shared" si="461"/>
        <v>10.380202150231902</v>
      </c>
      <c r="ER598" s="346">
        <f t="shared" si="461"/>
        <v>-225.37732236665005</v>
      </c>
      <c r="ES598" s="346">
        <f t="shared" ref="ES598:EX598" si="462">ES597-SUM(ES600:ES609)</f>
        <v>46.759666343014977</v>
      </c>
      <c r="ET598" s="346">
        <f t="shared" si="462"/>
        <v>30.027595411034643</v>
      </c>
      <c r="EU598" s="346">
        <f t="shared" si="462"/>
        <v>36.192516067742069</v>
      </c>
      <c r="EV598" s="346">
        <f t="shared" si="462"/>
        <v>35.922027015515511</v>
      </c>
      <c r="EW598" s="346">
        <f t="shared" si="462"/>
        <v>35.585495105314209</v>
      </c>
      <c r="EX598" s="348">
        <f t="shared" si="462"/>
        <v>-0.46958969319274002</v>
      </c>
      <c r="EY598" s="346"/>
      <c r="EZ598" s="346"/>
      <c r="FA598" s="346"/>
      <c r="FB598" s="346"/>
      <c r="FC598" s="346"/>
      <c r="FD598" s="346"/>
      <c r="FE598" s="346"/>
      <c r="FF598" s="346"/>
      <c r="FG598" s="346"/>
      <c r="FH598" s="346"/>
      <c r="FI598" s="346"/>
      <c r="FJ598" s="348"/>
      <c r="FK598" s="346"/>
      <c r="FL598" s="346"/>
      <c r="FM598" s="346"/>
      <c r="FN598" s="346"/>
      <c r="FO598" s="346"/>
      <c r="FP598" s="346"/>
      <c r="FQ598" s="346"/>
      <c r="FR598" s="346"/>
      <c r="FS598" s="346"/>
      <c r="FT598" s="346"/>
      <c r="FU598" s="346"/>
      <c r="FV598" s="346"/>
      <c r="FW598" s="346"/>
      <c r="FX598" s="346"/>
      <c r="FY598" s="346"/>
      <c r="FZ598" s="346"/>
      <c r="GA598" s="346"/>
      <c r="GB598" s="346"/>
      <c r="GC598" s="346"/>
      <c r="GD598" s="346"/>
      <c r="GE598" s="346"/>
      <c r="GF598" s="346"/>
      <c r="GG598" s="346"/>
      <c r="GH598" s="346"/>
      <c r="GI598" s="346"/>
      <c r="GJ598" s="346"/>
      <c r="GK598" s="346"/>
      <c r="GL598" s="346"/>
      <c r="GM598" s="346"/>
      <c r="GN598" s="346"/>
      <c r="GO598" s="346"/>
      <c r="GP598" s="346"/>
      <c r="GQ598" s="346"/>
      <c r="GR598" s="346"/>
      <c r="GS598" s="346"/>
      <c r="GT598" s="346"/>
      <c r="GU598" s="346"/>
      <c r="GV598" s="346"/>
      <c r="GW598" s="346"/>
      <c r="GX598" s="346"/>
      <c r="GY598" s="346"/>
      <c r="GZ598" s="346"/>
      <c r="HA598" s="346"/>
      <c r="HB598" s="346"/>
      <c r="HC598" s="346"/>
      <c r="HD598" s="346"/>
      <c r="HE598" s="346"/>
      <c r="HF598" s="346"/>
      <c r="HG598" s="346"/>
      <c r="HH598" s="346"/>
      <c r="HI598" s="346"/>
      <c r="HJ598" s="346"/>
      <c r="HK598" s="346"/>
      <c r="HL598" s="346"/>
      <c r="HM598" s="346"/>
      <c r="HN598" s="349"/>
      <c r="HO598" s="351" t="s">
        <v>879</v>
      </c>
      <c r="HP598" s="351"/>
      <c r="HQ598" s="351"/>
      <c r="HR598" s="346">
        <f>+FISC!Z830</f>
        <v>-54.3</v>
      </c>
      <c r="HS598" s="302">
        <f>SUM(CQ598:CV598)</f>
        <v>-20.942809687331248</v>
      </c>
      <c r="HT598" s="302">
        <f>SUM(CW598:DB598)</f>
        <v>130.64977267549634</v>
      </c>
      <c r="HU598" s="346">
        <f>SUM(CQ598:DB598)</f>
        <v>109.70696298816509</v>
      </c>
      <c r="HV598" s="302">
        <f>+HV597-SUM(HV600:HV609)</f>
        <v>-95.371742621731812</v>
      </c>
      <c r="HW598" s="302">
        <f>+HW597-SUM(HW600:HW609)</f>
        <v>82.673890739366712</v>
      </c>
      <c r="HX598" s="346">
        <f>HV598+HW598</f>
        <v>-12.6978518823651</v>
      </c>
      <c r="HY598" s="302">
        <f>HY597-SUM(HY600:HY609)</f>
        <v>-102.03009931062888</v>
      </c>
      <c r="HZ598" s="302">
        <f>HZ597-SUM(HZ600:HZ609)</f>
        <v>140.23457688459786</v>
      </c>
      <c r="IA598" s="346">
        <f t="shared" si="297"/>
        <v>38.204477573968973</v>
      </c>
      <c r="IB598" s="478">
        <f>-98.7-35.4-8.5+48.7+1.2-0.4+10.1-9+22.1+0.7+26.3+1.24+0.1-2.1-5.2+15.3+0.4+0.1-0.1+5.8-1.2+1-1</f>
        <v>-28.560000000000002</v>
      </c>
      <c r="IC598" s="302">
        <f>+ID598-IB598</f>
        <v>68.929999999999993</v>
      </c>
      <c r="ID598" s="346">
        <f>FISC!AC830</f>
        <v>40.36999999999999</v>
      </c>
      <c r="IE598" s="302">
        <f t="shared" si="436"/>
        <v>-190.4513695001128</v>
      </c>
      <c r="IF598" s="302">
        <f t="shared" si="437"/>
        <v>184.01771024942866</v>
      </c>
      <c r="IG598" s="346">
        <f t="shared" si="384"/>
        <v>-6.4336592506841441</v>
      </c>
      <c r="IH598" s="350">
        <f>-30+40.5-8.6-4.4-47.8+5-1.5-4.5-1.2+15.9-0.1+47.4+9.3-8.4-1+1.6-2-0.5+4.2+0.6+0.1-18+0.1-10-14.2+1.7+4.7+0.4-6.6-0.1+18.5+4-1.9+0.7-1.1+2.1-17.1+44.6-4.5+5-0.4-4.2+8.8-25.5-25.6+18.1+9.3+4.8+43.3-5.4+65.4-3.9-3.8-54.6+0.2-0.7+33.6</f>
        <v>82.3</v>
      </c>
      <c r="II598" s="302">
        <f>+IJ598-IH598</f>
        <v>29.100000000000094</v>
      </c>
      <c r="IJ598" s="346">
        <f>+FISC!AE830</f>
        <v>111.40000000000009</v>
      </c>
      <c r="IK598" s="302">
        <f>194.1-0.4+21.7-63.5-71-95-85.4-0.3-2-2.8-4.2+170.9-65.5-0.5</f>
        <v>-3.9000000000000199</v>
      </c>
      <c r="IL598" s="302">
        <f t="shared" si="280"/>
        <v>288.29999999999995</v>
      </c>
      <c r="IM598" s="346">
        <f>+FISC!AF830</f>
        <v>284.39999999999992</v>
      </c>
      <c r="IN598" s="302">
        <f>0+72.8+1.4-1-1-9.1-38.3-70.6-159.7+4.2-0.8+0.9+0.4+0.1+94.8+116.1-0.7</f>
        <v>9.5000000000000036</v>
      </c>
      <c r="IO598" s="302">
        <f t="shared" si="334"/>
        <v>215.50000000000006</v>
      </c>
      <c r="IP598" s="346">
        <f>+FISC!AG830</f>
        <v>225.00000000000006</v>
      </c>
      <c r="IQ598" s="302">
        <f>0+76.8+3.6+2.4-1.9+137.7+3-93.2+12-136.9+54.9-14.3-8+4.8-0.1+2.7-1.2</f>
        <v>42.299999999999962</v>
      </c>
      <c r="IR598" s="302">
        <f t="shared" si="281"/>
        <v>171.1999999999999</v>
      </c>
      <c r="IS598" s="346">
        <f>+FISC!AH830</f>
        <v>213.49999999999986</v>
      </c>
      <c r="IT598" s="302">
        <f>0+90.8+2.2+104.6+3.3-128.5+13.6-15.1-8-0.8+4.6+7.1+6.4-6.7</f>
        <v>73.5</v>
      </c>
      <c r="IU598" s="302">
        <f t="shared" si="282"/>
        <v>277.30000000000013</v>
      </c>
      <c r="IV598" s="346">
        <f>+FISC!AI830</f>
        <v>350.80000000000013</v>
      </c>
      <c r="IW598" s="302">
        <f>0+90.8-81.1+0.4-2.9+47+3.9-163.2+26-19.4-9.2-1+11.4+4.1+12</f>
        <v>-81.2</v>
      </c>
      <c r="IX598" s="302">
        <f t="shared" si="283"/>
        <v>256.09999999999997</v>
      </c>
      <c r="IY598" s="346">
        <f>+FISC!AJ830</f>
        <v>174.89999999999998</v>
      </c>
      <c r="IZ598" s="302">
        <f>0+90.8-125.7+119.2+4.3-272.6-1-20.5-10.1-0.9+7.6-30.9+50.3</f>
        <v>-189.50000000000006</v>
      </c>
      <c r="JA598" s="302">
        <f t="shared" si="284"/>
        <v>145.9</v>
      </c>
      <c r="JB598" s="346">
        <f>+FISC!AK830</f>
        <v>-43.600000000000058</v>
      </c>
      <c r="JC598" s="346"/>
      <c r="KI598" s="349"/>
      <c r="KJ598" s="350"/>
    </row>
    <row r="599" spans="1:302">
      <c r="A599" s="302"/>
      <c r="D599" s="688" t="str">
        <f>+FISC!D831</f>
        <v xml:space="preserve">       o/w: expected net issuance of govt securities</v>
      </c>
      <c r="E599" s="346"/>
      <c r="F599" s="346"/>
      <c r="G599" s="346"/>
      <c r="H599" s="346"/>
      <c r="I599" s="346"/>
      <c r="J599" s="346"/>
      <c r="K599" s="346"/>
      <c r="L599" s="346"/>
      <c r="M599" s="346"/>
      <c r="N599" s="346"/>
      <c r="O599" s="346"/>
      <c r="P599" s="346"/>
      <c r="Q599" s="346"/>
      <c r="R599" s="346"/>
      <c r="S599" s="346"/>
      <c r="T599" s="346"/>
      <c r="U599" s="346"/>
      <c r="V599" s="346"/>
      <c r="W599" s="346"/>
      <c r="X599" s="346"/>
      <c r="Y599" s="346"/>
      <c r="Z599" s="346"/>
      <c r="AA599" s="346"/>
      <c r="AB599" s="346"/>
      <c r="AC599" s="346"/>
      <c r="AD599" s="346"/>
      <c r="AE599" s="346"/>
      <c r="AF599" s="346"/>
      <c r="AG599" s="346"/>
      <c r="AH599" s="346"/>
      <c r="AI599" s="346"/>
      <c r="AJ599" s="346"/>
      <c r="AK599" s="346"/>
      <c r="AL599" s="346"/>
      <c r="AM599" s="346"/>
      <c r="AN599" s="346"/>
      <c r="AO599" s="346"/>
      <c r="AP599" s="346"/>
      <c r="AQ599" s="346"/>
      <c r="AR599" s="346"/>
      <c r="AS599" s="346"/>
      <c r="AT599" s="346"/>
      <c r="AU599" s="346"/>
      <c r="AV599" s="346"/>
      <c r="AW599" s="346"/>
      <c r="AX599" s="346"/>
      <c r="AY599" s="346"/>
      <c r="AZ599" s="346"/>
      <c r="BA599" s="346"/>
      <c r="BB599" s="346"/>
      <c r="BC599" s="346"/>
      <c r="BD599" s="346"/>
      <c r="BE599" s="346"/>
      <c r="BF599" s="346"/>
      <c r="BG599" s="346"/>
      <c r="BH599" s="346"/>
      <c r="BI599" s="346"/>
      <c r="BJ599" s="346"/>
      <c r="BK599" s="346"/>
      <c r="BL599" s="346"/>
      <c r="BM599" s="346"/>
      <c r="BN599" s="346"/>
      <c r="BO599" s="346"/>
      <c r="BP599" s="346"/>
      <c r="BQ599" s="346"/>
      <c r="BR599" s="346"/>
      <c r="BS599" s="346"/>
      <c r="BT599" s="346"/>
      <c r="BU599" s="346"/>
      <c r="BV599" s="346"/>
      <c r="BW599" s="346"/>
      <c r="BX599" s="346"/>
      <c r="BY599" s="346"/>
      <c r="BZ599" s="346"/>
      <c r="CA599" s="346"/>
      <c r="CB599" s="346"/>
      <c r="CC599" s="346"/>
      <c r="CD599" s="346"/>
      <c r="CE599" s="347"/>
      <c r="CF599" s="346"/>
      <c r="CG599" s="346"/>
      <c r="CH599" s="346"/>
      <c r="CI599" s="346"/>
      <c r="CJ599" s="346"/>
      <c r="CK599" s="346"/>
      <c r="CL599" s="346"/>
      <c r="CM599" s="346"/>
      <c r="CN599" s="346"/>
      <c r="CO599" s="346"/>
      <c r="CP599" s="348"/>
      <c r="CQ599" s="346"/>
      <c r="CR599" s="346"/>
      <c r="CS599" s="346"/>
      <c r="CT599" s="346"/>
      <c r="CU599" s="346"/>
      <c r="CV599" s="346"/>
      <c r="CW599" s="346"/>
      <c r="CX599" s="346"/>
      <c r="CY599" s="346"/>
      <c r="CZ599" s="346"/>
      <c r="DA599" s="346"/>
      <c r="DB599" s="1479"/>
      <c r="DC599" s="346"/>
      <c r="DD599" s="346"/>
      <c r="DE599" s="346"/>
      <c r="DF599" s="346"/>
      <c r="DG599" s="346"/>
      <c r="DH599" s="346"/>
      <c r="DI599" s="346"/>
      <c r="DJ599" s="346"/>
      <c r="DK599" s="346"/>
      <c r="DL599" s="346"/>
      <c r="DM599" s="346"/>
      <c r="DN599" s="348"/>
      <c r="DO599" s="346"/>
      <c r="DP599" s="346"/>
      <c r="DQ599" s="346"/>
      <c r="DR599" s="346"/>
      <c r="DS599" s="346"/>
      <c r="DT599" s="346"/>
      <c r="DU599" s="346"/>
      <c r="DV599" s="346"/>
      <c r="DW599" s="346"/>
      <c r="DX599" s="346"/>
      <c r="DY599" s="346"/>
      <c r="DZ599" s="348"/>
      <c r="EA599" s="346"/>
      <c r="EB599" s="346"/>
      <c r="EC599" s="346"/>
      <c r="ED599" s="346"/>
      <c r="EE599" s="346"/>
      <c r="EF599" s="346"/>
      <c r="EG599" s="346"/>
      <c r="EH599" s="346"/>
      <c r="EI599" s="346"/>
      <c r="EJ599" s="346"/>
      <c r="EK599" s="346"/>
      <c r="EL599" s="348"/>
      <c r="EM599" s="346"/>
      <c r="EN599" s="346"/>
      <c r="EO599" s="346"/>
      <c r="EP599" s="346"/>
      <c r="EQ599" s="346"/>
      <c r="ER599" s="346"/>
      <c r="ES599" s="346"/>
      <c r="ET599" s="346"/>
      <c r="EU599" s="346"/>
      <c r="EV599" s="346"/>
      <c r="EW599" s="346"/>
      <c r="EX599" s="348"/>
      <c r="EY599" s="346"/>
      <c r="EZ599" s="346"/>
      <c r="FA599" s="346"/>
      <c r="FB599" s="346"/>
      <c r="FC599" s="346"/>
      <c r="FD599" s="346"/>
      <c r="FE599" s="346"/>
      <c r="FF599" s="346"/>
      <c r="FG599" s="346"/>
      <c r="FH599" s="346"/>
      <c r="FI599" s="346"/>
      <c r="FJ599" s="348"/>
      <c r="FK599" s="346"/>
      <c r="FL599" s="346"/>
      <c r="FM599" s="346"/>
      <c r="FN599" s="346"/>
      <c r="FO599" s="346"/>
      <c r="FP599" s="346"/>
      <c r="FQ599" s="346"/>
      <c r="FR599" s="346"/>
      <c r="FS599" s="346"/>
      <c r="FT599" s="346"/>
      <c r="FU599" s="346"/>
      <c r="FV599" s="346"/>
      <c r="FW599" s="346"/>
      <c r="FX599" s="346"/>
      <c r="FY599" s="346"/>
      <c r="FZ599" s="346"/>
      <c r="GA599" s="346"/>
      <c r="GB599" s="346"/>
      <c r="GC599" s="346"/>
      <c r="GD599" s="346"/>
      <c r="GE599" s="346"/>
      <c r="GF599" s="346"/>
      <c r="GG599" s="346"/>
      <c r="GH599" s="346"/>
      <c r="GI599" s="346"/>
      <c r="GJ599" s="346"/>
      <c r="GK599" s="346"/>
      <c r="GL599" s="346"/>
      <c r="GM599" s="346"/>
      <c r="GN599" s="346"/>
      <c r="GO599" s="346"/>
      <c r="GP599" s="346"/>
      <c r="GQ599" s="346"/>
      <c r="GR599" s="346"/>
      <c r="GS599" s="346"/>
      <c r="GT599" s="346"/>
      <c r="GU599" s="346"/>
      <c r="GV599" s="346"/>
      <c r="GW599" s="346"/>
      <c r="GX599" s="346"/>
      <c r="GY599" s="346"/>
      <c r="GZ599" s="346"/>
      <c r="HA599" s="346"/>
      <c r="HB599" s="346"/>
      <c r="HC599" s="346"/>
      <c r="HD599" s="346"/>
      <c r="HE599" s="346"/>
      <c r="HF599" s="346"/>
      <c r="HG599" s="346"/>
      <c r="HH599" s="346"/>
      <c r="HI599" s="346"/>
      <c r="HJ599" s="346"/>
      <c r="HK599" s="346"/>
      <c r="HL599" s="346"/>
      <c r="HM599" s="346"/>
      <c r="HN599" s="349"/>
      <c r="HO599" s="688" t="s">
        <v>825</v>
      </c>
      <c r="HP599" s="688"/>
      <c r="HQ599" s="688"/>
      <c r="HR599" s="346"/>
      <c r="HU599" s="346"/>
      <c r="HX599" s="346"/>
      <c r="IA599" s="346"/>
      <c r="IB599" s="670">
        <v>0</v>
      </c>
      <c r="IC599" s="579">
        <f>+ID599-IB599</f>
        <v>40.36999999999999</v>
      </c>
      <c r="ID599" s="346">
        <f>FISC!AC831</f>
        <v>40.36999999999999</v>
      </c>
      <c r="IE599" s="302">
        <f t="shared" si="436"/>
        <v>0</v>
      </c>
      <c r="IF599" s="302">
        <f t="shared" si="437"/>
        <v>0</v>
      </c>
      <c r="IG599" s="346">
        <f t="shared" si="384"/>
        <v>0</v>
      </c>
      <c r="IH599" s="350">
        <f>IJ599/2</f>
        <v>55.700000000000045</v>
      </c>
      <c r="II599" s="579">
        <f>+IJ599-IH599</f>
        <v>55.700000000000045</v>
      </c>
      <c r="IJ599" s="638">
        <f>+FISC!AE831</f>
        <v>111.40000000000009</v>
      </c>
      <c r="IK599" s="350">
        <f>IM599/2</f>
        <v>142.19999999999996</v>
      </c>
      <c r="IL599" s="302">
        <f t="shared" si="280"/>
        <v>142.19999999999996</v>
      </c>
      <c r="IM599" s="638">
        <f>+FISC!AF831</f>
        <v>284.39999999999992</v>
      </c>
      <c r="IN599" s="350">
        <f>IP599/2</f>
        <v>112.50000000000003</v>
      </c>
      <c r="IO599" s="302">
        <f t="shared" si="334"/>
        <v>112.50000000000003</v>
      </c>
      <c r="IP599" s="638">
        <f>+FISC!AG831</f>
        <v>225.00000000000006</v>
      </c>
      <c r="IQ599" s="350">
        <f>IS599/2</f>
        <v>106.74999999999993</v>
      </c>
      <c r="IR599" s="302">
        <f t="shared" si="281"/>
        <v>106.74999999999993</v>
      </c>
      <c r="IS599" s="638">
        <f>+FISC!AH831</f>
        <v>213.49999999999986</v>
      </c>
      <c r="IT599" s="350">
        <f>IV599/2</f>
        <v>175.40000000000006</v>
      </c>
      <c r="IU599" s="302">
        <f t="shared" si="282"/>
        <v>175.40000000000006</v>
      </c>
      <c r="IV599" s="638">
        <f>+FISC!AI831</f>
        <v>350.80000000000013</v>
      </c>
      <c r="IW599" s="350">
        <f>IY599/2</f>
        <v>87.449999999999989</v>
      </c>
      <c r="IX599" s="302">
        <f t="shared" si="283"/>
        <v>87.449999999999989</v>
      </c>
      <c r="IY599" s="638">
        <f>+FISC!AJ831</f>
        <v>174.89999999999998</v>
      </c>
      <c r="IZ599" s="350">
        <f>JB599/2</f>
        <v>-21.800000000000029</v>
      </c>
      <c r="JA599" s="302">
        <f t="shared" si="284"/>
        <v>-21.800000000000029</v>
      </c>
      <c r="JB599" s="638">
        <f>+FISC!AK831</f>
        <v>-43.600000000000058</v>
      </c>
      <c r="JC599" s="638"/>
      <c r="KI599" s="349"/>
      <c r="KJ599" s="350"/>
      <c r="KK599" s="302">
        <f>78.9+13.7</f>
        <v>92.600000000000009</v>
      </c>
    </row>
    <row r="600" spans="1:302">
      <c r="A600" s="302"/>
      <c r="B600" s="117" t="s">
        <v>361</v>
      </c>
      <c r="D600" s="351" t="str">
        <f>+FISC!D832</f>
        <v>o/w: Sovereign Bonds proceeds/KCC</v>
      </c>
      <c r="E600" s="346"/>
      <c r="F600" s="346"/>
      <c r="G600" s="346"/>
      <c r="H600" s="346"/>
      <c r="I600" s="346"/>
      <c r="J600" s="346"/>
      <c r="K600" s="346"/>
      <c r="L600" s="346"/>
      <c r="M600" s="346"/>
      <c r="N600" s="346"/>
      <c r="O600" s="346"/>
      <c r="P600" s="346"/>
      <c r="Q600" s="346"/>
      <c r="R600" s="346"/>
      <c r="S600" s="346"/>
      <c r="T600" s="346"/>
      <c r="U600" s="346"/>
      <c r="V600" s="346"/>
      <c r="W600" s="346"/>
      <c r="X600" s="346"/>
      <c r="Y600" s="346"/>
      <c r="Z600" s="346"/>
      <c r="AA600" s="346"/>
      <c r="AB600" s="346"/>
      <c r="AC600" s="346"/>
      <c r="AD600" s="346"/>
      <c r="AE600" s="346"/>
      <c r="AF600" s="346"/>
      <c r="AG600" s="346"/>
      <c r="AH600" s="346"/>
      <c r="AI600" s="346"/>
      <c r="AJ600" s="346"/>
      <c r="AK600" s="346"/>
      <c r="AL600" s="346"/>
      <c r="AM600" s="346"/>
      <c r="AN600" s="346"/>
      <c r="AO600" s="346"/>
      <c r="AP600" s="346"/>
      <c r="AQ600" s="346"/>
      <c r="AR600" s="346"/>
      <c r="AS600" s="346"/>
      <c r="AT600" s="346"/>
      <c r="AU600" s="346"/>
      <c r="AV600" s="346"/>
      <c r="AW600" s="346"/>
      <c r="AX600" s="346"/>
      <c r="AY600" s="346"/>
      <c r="AZ600" s="346"/>
      <c r="BA600" s="346"/>
      <c r="BB600" s="346"/>
      <c r="BC600" s="346"/>
      <c r="BD600" s="346"/>
      <c r="BE600" s="346"/>
      <c r="BF600" s="346"/>
      <c r="BG600" s="346"/>
      <c r="BH600" s="346"/>
      <c r="BI600" s="346"/>
      <c r="BJ600" s="346"/>
      <c r="BK600" s="346"/>
      <c r="BL600" s="346"/>
      <c r="BM600" s="346"/>
      <c r="BN600" s="346"/>
      <c r="BO600" s="346"/>
      <c r="BP600" s="346"/>
      <c r="BQ600" s="346"/>
      <c r="BR600" s="346"/>
      <c r="BS600" s="346"/>
      <c r="BT600" s="346"/>
      <c r="BU600" s="346"/>
      <c r="BV600" s="346"/>
      <c r="BW600" s="346"/>
      <c r="BX600" s="346"/>
      <c r="BY600" s="346"/>
      <c r="BZ600" s="346"/>
      <c r="CA600" s="346"/>
      <c r="CB600" s="346"/>
      <c r="CC600" s="346"/>
      <c r="CD600" s="346"/>
      <c r="CE600" s="347">
        <f t="shared" ref="CE600:DT600" si="463">CE561</f>
        <v>0</v>
      </c>
      <c r="CF600" s="346">
        <f t="shared" si="463"/>
        <v>14.183386008999999</v>
      </c>
      <c r="CG600" s="346">
        <f t="shared" si="463"/>
        <v>1.3150049660000001</v>
      </c>
      <c r="CH600" s="346">
        <f t="shared" si="463"/>
        <v>0</v>
      </c>
      <c r="CI600" s="346">
        <f t="shared" si="463"/>
        <v>0</v>
      </c>
      <c r="CJ600" s="346">
        <f t="shared" si="463"/>
        <v>0</v>
      </c>
      <c r="CK600" s="346">
        <f t="shared" si="463"/>
        <v>6.8012285700000001</v>
      </c>
      <c r="CL600" s="346">
        <f t="shared" si="463"/>
        <v>0</v>
      </c>
      <c r="CM600" s="346">
        <f t="shared" si="463"/>
        <v>13.671248</v>
      </c>
      <c r="CN600" s="346">
        <f t="shared" si="463"/>
        <v>0</v>
      </c>
      <c r="CO600" s="346">
        <f t="shared" si="463"/>
        <v>0</v>
      </c>
      <c r="CP600" s="348">
        <f t="shared" si="463"/>
        <v>13.7748042</v>
      </c>
      <c r="CQ600" s="346">
        <f t="shared" si="463"/>
        <v>0</v>
      </c>
      <c r="CR600" s="346">
        <f t="shared" si="463"/>
        <v>0</v>
      </c>
      <c r="CS600" s="346">
        <f t="shared" si="463"/>
        <v>0</v>
      </c>
      <c r="CT600" s="346">
        <f t="shared" si="463"/>
        <v>0</v>
      </c>
      <c r="CU600" s="346">
        <f t="shared" si="463"/>
        <v>0</v>
      </c>
      <c r="CV600" s="346">
        <f t="shared" si="463"/>
        <v>0</v>
      </c>
      <c r="CW600" s="346">
        <f t="shared" si="463"/>
        <v>0</v>
      </c>
      <c r="CX600" s="346">
        <f t="shared" si="463"/>
        <v>0</v>
      </c>
      <c r="CY600" s="346">
        <f t="shared" si="463"/>
        <v>0</v>
      </c>
      <c r="CZ600" s="346">
        <f t="shared" si="463"/>
        <v>0</v>
      </c>
      <c r="DA600" s="346">
        <f t="shared" si="463"/>
        <v>0</v>
      </c>
      <c r="DB600" s="1479">
        <f t="shared" si="463"/>
        <v>0</v>
      </c>
      <c r="DC600" s="346">
        <f t="shared" si="463"/>
        <v>0</v>
      </c>
      <c r="DD600" s="346">
        <f t="shared" si="463"/>
        <v>10.047593833000001</v>
      </c>
      <c r="DE600" s="346">
        <f t="shared" si="463"/>
        <v>5.2989860530000001</v>
      </c>
      <c r="DF600" s="346">
        <f t="shared" si="463"/>
        <v>0</v>
      </c>
      <c r="DG600" s="346">
        <f t="shared" si="463"/>
        <v>0</v>
      </c>
      <c r="DH600" s="346">
        <f t="shared" si="463"/>
        <v>0</v>
      </c>
      <c r="DI600" s="346">
        <f t="shared" si="463"/>
        <v>0</v>
      </c>
      <c r="DJ600" s="346">
        <f t="shared" si="463"/>
        <v>0</v>
      </c>
      <c r="DK600" s="346">
        <f t="shared" si="463"/>
        <v>0</v>
      </c>
      <c r="DL600" s="346">
        <f t="shared" si="463"/>
        <v>0</v>
      </c>
      <c r="DM600" s="346">
        <f t="shared" si="463"/>
        <v>0</v>
      </c>
      <c r="DN600" s="348">
        <f t="shared" si="463"/>
        <v>4</v>
      </c>
      <c r="DO600" s="346">
        <f t="shared" si="463"/>
        <v>0</v>
      </c>
      <c r="DP600" s="346">
        <f t="shared" si="463"/>
        <v>0</v>
      </c>
      <c r="DQ600" s="346">
        <f t="shared" si="463"/>
        <v>0</v>
      </c>
      <c r="DR600" s="346">
        <f t="shared" si="463"/>
        <v>0</v>
      </c>
      <c r="DS600" s="346">
        <f t="shared" si="463"/>
        <v>0</v>
      </c>
      <c r="DT600" s="346">
        <f t="shared" si="463"/>
        <v>0</v>
      </c>
      <c r="DU600" s="346">
        <f t="shared" ref="DU600:DZ600" si="464">DU561</f>
        <v>0</v>
      </c>
      <c r="DV600" s="346">
        <f t="shared" si="464"/>
        <v>0</v>
      </c>
      <c r="DW600" s="346">
        <f t="shared" si="464"/>
        <v>0</v>
      </c>
      <c r="DX600" s="346">
        <f t="shared" si="464"/>
        <v>0</v>
      </c>
      <c r="DY600" s="346">
        <f t="shared" si="464"/>
        <v>0</v>
      </c>
      <c r="DZ600" s="348">
        <f t="shared" si="464"/>
        <v>0</v>
      </c>
      <c r="EA600" s="346">
        <f t="shared" ref="EA600:EK600" si="465">EA561</f>
        <v>0</v>
      </c>
      <c r="EB600" s="346">
        <f t="shared" si="465"/>
        <v>2.4822225320000002</v>
      </c>
      <c r="EC600" s="346">
        <f t="shared" si="465"/>
        <v>2.301061716</v>
      </c>
      <c r="ED600" s="346">
        <f t="shared" si="465"/>
        <v>0</v>
      </c>
      <c r="EE600" s="346">
        <f t="shared" si="465"/>
        <v>2.2010924460000001</v>
      </c>
      <c r="EF600" s="346">
        <f t="shared" si="465"/>
        <v>0</v>
      </c>
      <c r="EG600" s="346">
        <f t="shared" si="465"/>
        <v>0</v>
      </c>
      <c r="EH600" s="346">
        <f t="shared" si="465"/>
        <v>0.31044890400000003</v>
      </c>
      <c r="EI600" s="346">
        <f t="shared" si="465"/>
        <v>0</v>
      </c>
      <c r="EJ600" s="346">
        <f t="shared" si="465"/>
        <v>3.8319179239999999</v>
      </c>
      <c r="EK600" s="346">
        <f t="shared" si="465"/>
        <v>0</v>
      </c>
      <c r="EL600" s="348">
        <f t="shared" ref="EL600:ER600" si="466">EL561</f>
        <v>0</v>
      </c>
      <c r="EM600" s="346">
        <f t="shared" si="466"/>
        <v>0</v>
      </c>
      <c r="EN600" s="346">
        <f t="shared" si="466"/>
        <v>3.8014540480000001</v>
      </c>
      <c r="EO600" s="346">
        <f t="shared" si="466"/>
        <v>3.5872649980000002</v>
      </c>
      <c r="EP600" s="346">
        <f t="shared" si="466"/>
        <v>0</v>
      </c>
      <c r="EQ600" s="346">
        <f t="shared" si="466"/>
        <v>0</v>
      </c>
      <c r="ER600" s="346">
        <f t="shared" si="466"/>
        <v>1.50152022</v>
      </c>
      <c r="ES600" s="346">
        <f t="shared" ref="ES600:EX600" si="467">ES561</f>
        <v>2.8859739630000001</v>
      </c>
      <c r="ET600" s="346">
        <f t="shared" si="467"/>
        <v>0</v>
      </c>
      <c r="EU600" s="346">
        <f t="shared" si="467"/>
        <v>1.4644046749999999</v>
      </c>
      <c r="EV600" s="346">
        <f t="shared" si="467"/>
        <v>2.8887351529999998</v>
      </c>
      <c r="EW600" s="346">
        <f t="shared" si="467"/>
        <v>0</v>
      </c>
      <c r="EX600" s="348">
        <f t="shared" si="467"/>
        <v>1.4644046749999999</v>
      </c>
      <c r="EY600" s="346"/>
      <c r="EZ600" s="346"/>
      <c r="FA600" s="346"/>
      <c r="FB600" s="346"/>
      <c r="FC600" s="346"/>
      <c r="FD600" s="346"/>
      <c r="FE600" s="346"/>
      <c r="FF600" s="346"/>
      <c r="FG600" s="346"/>
      <c r="FH600" s="346"/>
      <c r="FI600" s="346"/>
      <c r="FJ600" s="348"/>
      <c r="FK600" s="346"/>
      <c r="FL600" s="346"/>
      <c r="FM600" s="346"/>
      <c r="FN600" s="346"/>
      <c r="FO600" s="346"/>
      <c r="FP600" s="346"/>
      <c r="FQ600" s="346"/>
      <c r="FR600" s="346"/>
      <c r="FS600" s="346"/>
      <c r="FT600" s="346"/>
      <c r="FU600" s="346"/>
      <c r="FV600" s="346"/>
      <c r="FW600" s="346"/>
      <c r="FX600" s="346"/>
      <c r="FY600" s="346"/>
      <c r="FZ600" s="346"/>
      <c r="GA600" s="346"/>
      <c r="GB600" s="346"/>
      <c r="GC600" s="346"/>
      <c r="GD600" s="346"/>
      <c r="GE600" s="346"/>
      <c r="GF600" s="346"/>
      <c r="GG600" s="346"/>
      <c r="GH600" s="346"/>
      <c r="GI600" s="346"/>
      <c r="GJ600" s="346"/>
      <c r="GK600" s="346"/>
      <c r="GL600" s="346"/>
      <c r="GM600" s="346"/>
      <c r="GN600" s="346"/>
      <c r="GO600" s="346"/>
      <c r="GP600" s="346"/>
      <c r="GQ600" s="346"/>
      <c r="GR600" s="346"/>
      <c r="GS600" s="346"/>
      <c r="GT600" s="346"/>
      <c r="GU600" s="346"/>
      <c r="GV600" s="346"/>
      <c r="GW600" s="346"/>
      <c r="GX600" s="346"/>
      <c r="GY600" s="346"/>
      <c r="GZ600" s="346"/>
      <c r="HA600" s="346"/>
      <c r="HB600" s="346"/>
      <c r="HC600" s="346"/>
      <c r="HD600" s="346"/>
      <c r="HE600" s="346"/>
      <c r="HF600" s="346"/>
      <c r="HG600" s="346"/>
      <c r="HH600" s="346"/>
      <c r="HI600" s="346"/>
      <c r="HJ600" s="346"/>
      <c r="HK600" s="346"/>
      <c r="HL600" s="346"/>
      <c r="HM600" s="346"/>
      <c r="HN600" s="349"/>
      <c r="HO600" s="351" t="s">
        <v>880</v>
      </c>
      <c r="HP600" s="351"/>
      <c r="HQ600" s="351"/>
      <c r="HR600" s="346">
        <f>+FISC!Z832</f>
        <v>25.7</v>
      </c>
      <c r="HS600" s="302">
        <f>SUM(CQ600:CV600)</f>
        <v>0</v>
      </c>
      <c r="HT600" s="302">
        <f>SUM(CW600:DB600)</f>
        <v>0</v>
      </c>
      <c r="HU600" s="346">
        <f>SUM(CQ600:DB600)</f>
        <v>0</v>
      </c>
      <c r="HV600" s="302">
        <f>+SUM(DC600:DH600)</f>
        <v>15.346579886000001</v>
      </c>
      <c r="HW600" s="302">
        <f>+SUM(DI600:DN600)</f>
        <v>4</v>
      </c>
      <c r="HX600" s="346">
        <f>HV600+HW600</f>
        <v>19.346579886000001</v>
      </c>
      <c r="HY600" s="302">
        <v>0</v>
      </c>
      <c r="HZ600" s="302">
        <f>SUM(DU600:DZ600)</f>
        <v>0</v>
      </c>
      <c r="IA600" s="346"/>
      <c r="IB600" s="477">
        <v>0</v>
      </c>
      <c r="IC600" s="350"/>
      <c r="ID600" s="346">
        <f>FISC!AC832</f>
        <v>0</v>
      </c>
      <c r="IE600" s="302">
        <f t="shared" si="436"/>
        <v>8.890239266</v>
      </c>
      <c r="IF600" s="302">
        <f t="shared" si="437"/>
        <v>8.7035184660000002</v>
      </c>
      <c r="IG600" s="346">
        <f t="shared" si="384"/>
        <v>17.593757732</v>
      </c>
      <c r="IH600" s="350"/>
      <c r="II600" s="350"/>
      <c r="IJ600" s="346">
        <f>+FISC!AE832</f>
        <v>0</v>
      </c>
      <c r="IK600" s="302">
        <f>IM600*JI600</f>
        <v>0</v>
      </c>
      <c r="IL600" s="302">
        <f t="shared" si="280"/>
        <v>0</v>
      </c>
      <c r="IM600" s="346">
        <f>+FISC!AF832</f>
        <v>0</v>
      </c>
      <c r="IN600" s="302">
        <f t="shared" si="292"/>
        <v>0</v>
      </c>
      <c r="IO600" s="302">
        <f t="shared" si="334"/>
        <v>0</v>
      </c>
      <c r="IP600" s="346">
        <f>+FISC!AG832</f>
        <v>0</v>
      </c>
      <c r="IQ600" s="302">
        <f t="shared" si="293"/>
        <v>0</v>
      </c>
      <c r="IR600" s="302">
        <f t="shared" si="281"/>
        <v>-9.1999999999999993</v>
      </c>
      <c r="IS600" s="346">
        <f>+FISC!AH832</f>
        <v>-9.1999999999999993</v>
      </c>
      <c r="IT600" s="302">
        <f t="shared" si="294"/>
        <v>0</v>
      </c>
      <c r="IU600" s="302">
        <f t="shared" si="282"/>
        <v>0</v>
      </c>
      <c r="IV600" s="346">
        <f>+FISC!AI832</f>
        <v>0</v>
      </c>
      <c r="IW600" s="302">
        <f t="shared" si="295"/>
        <v>0</v>
      </c>
      <c r="IX600" s="302">
        <f t="shared" si="283"/>
        <v>0</v>
      </c>
      <c r="IY600" s="346">
        <f>+FISC!AJ832</f>
        <v>0</v>
      </c>
      <c r="IZ600" s="302">
        <f t="shared" si="296"/>
        <v>0</v>
      </c>
      <c r="JA600" s="302">
        <f t="shared" si="284"/>
        <v>0</v>
      </c>
      <c r="JB600" s="346">
        <f>+FISC!AK832</f>
        <v>0</v>
      </c>
      <c r="JC600" s="346"/>
      <c r="KI600" s="349"/>
      <c r="KJ600" s="350"/>
    </row>
    <row r="601" spans="1:302">
      <c r="A601" s="302"/>
      <c r="B601" s="117" t="s">
        <v>361</v>
      </c>
      <c r="D601" s="351" t="str">
        <f>+FISC!D833</f>
        <v>o/w: Global Fund (and Sovereign Bonds proceeds/Energy/Agaciro)</v>
      </c>
      <c r="E601" s="346"/>
      <c r="F601" s="346"/>
      <c r="G601" s="346"/>
      <c r="H601" s="346"/>
      <c r="I601" s="346"/>
      <c r="J601" s="346"/>
      <c r="K601" s="346"/>
      <c r="L601" s="346"/>
      <c r="M601" s="346"/>
      <c r="N601" s="346"/>
      <c r="O601" s="346"/>
      <c r="P601" s="346"/>
      <c r="Q601" s="346"/>
      <c r="R601" s="346"/>
      <c r="S601" s="346"/>
      <c r="T601" s="346"/>
      <c r="U601" s="346"/>
      <c r="V601" s="346"/>
      <c r="W601" s="346"/>
      <c r="X601" s="346"/>
      <c r="Y601" s="346"/>
      <c r="Z601" s="346"/>
      <c r="AA601" s="346"/>
      <c r="AB601" s="346"/>
      <c r="AC601" s="346"/>
      <c r="AD601" s="346"/>
      <c r="AE601" s="346"/>
      <c r="AF601" s="346"/>
      <c r="AG601" s="346"/>
      <c r="AH601" s="346"/>
      <c r="AI601" s="346"/>
      <c r="AJ601" s="346"/>
      <c r="AK601" s="346"/>
      <c r="AL601" s="346"/>
      <c r="AM601" s="346"/>
      <c r="AN601" s="346"/>
      <c r="AO601" s="346"/>
      <c r="AP601" s="346"/>
      <c r="AQ601" s="346"/>
      <c r="AR601" s="346"/>
      <c r="AS601" s="346"/>
      <c r="AT601" s="346"/>
      <c r="AU601" s="346"/>
      <c r="AV601" s="346"/>
      <c r="AW601" s="346"/>
      <c r="AX601" s="346"/>
      <c r="AY601" s="346"/>
      <c r="AZ601" s="346"/>
      <c r="BA601" s="346"/>
      <c r="BB601" s="346"/>
      <c r="BC601" s="346"/>
      <c r="BD601" s="346"/>
      <c r="BE601" s="346"/>
      <c r="BF601" s="346"/>
      <c r="BG601" s="346"/>
      <c r="BH601" s="346"/>
      <c r="BI601" s="346"/>
      <c r="BJ601" s="346"/>
      <c r="BK601" s="346"/>
      <c r="BL601" s="346"/>
      <c r="BM601" s="346"/>
      <c r="BN601" s="346"/>
      <c r="BO601" s="346"/>
      <c r="BP601" s="346"/>
      <c r="BQ601" s="346"/>
      <c r="BR601" s="346"/>
      <c r="BS601" s="346"/>
      <c r="BT601" s="346"/>
      <c r="BU601" s="346"/>
      <c r="BV601" s="346"/>
      <c r="BW601" s="346"/>
      <c r="BX601" s="346"/>
      <c r="BY601" s="346"/>
      <c r="BZ601" s="346"/>
      <c r="CA601" s="346"/>
      <c r="CB601" s="346"/>
      <c r="CC601" s="346"/>
      <c r="CD601" s="346"/>
      <c r="CE601" s="347">
        <f t="shared" ref="CE601:DJ601" si="468">CE233</f>
        <v>5.9806559970000004</v>
      </c>
      <c r="CF601" s="346">
        <f t="shared" si="468"/>
        <v>0</v>
      </c>
      <c r="CG601" s="346">
        <f t="shared" si="468"/>
        <v>2.4868241860000002</v>
      </c>
      <c r="CH601" s="346">
        <f t="shared" si="468"/>
        <v>5.7063252359999996</v>
      </c>
      <c r="CI601" s="346">
        <f t="shared" si="468"/>
        <v>0.115232735</v>
      </c>
      <c r="CJ601" s="346">
        <f t="shared" si="468"/>
        <v>0.171666657</v>
      </c>
      <c r="CK601" s="346">
        <f t="shared" si="468"/>
        <v>1.8893802909999999</v>
      </c>
      <c r="CL601" s="346">
        <f t="shared" si="468"/>
        <v>0.154772415</v>
      </c>
      <c r="CM601" s="346">
        <f t="shared" si="468"/>
        <v>0.79095841600000005</v>
      </c>
      <c r="CN601" s="346">
        <f t="shared" si="468"/>
        <v>4.2216037030000004</v>
      </c>
      <c r="CO601" s="346">
        <f t="shared" si="468"/>
        <v>0.83095245100000004</v>
      </c>
      <c r="CP601" s="348">
        <f t="shared" si="468"/>
        <v>5.8514820000000002E-2</v>
      </c>
      <c r="CQ601" s="346">
        <f t="shared" si="468"/>
        <v>4.3384599399999999</v>
      </c>
      <c r="CR601" s="346">
        <f t="shared" si="468"/>
        <v>2.8334494619999999</v>
      </c>
      <c r="CS601" s="346">
        <f t="shared" si="468"/>
        <v>5.5940669710000002</v>
      </c>
      <c r="CT601" s="346">
        <f t="shared" si="468"/>
        <v>2.7899434000000001E-2</v>
      </c>
      <c r="CU601" s="346">
        <f t="shared" si="468"/>
        <v>0</v>
      </c>
      <c r="CV601" s="346">
        <f t="shared" si="468"/>
        <v>0</v>
      </c>
      <c r="CW601" s="346">
        <f t="shared" si="468"/>
        <v>3.0288072960000001</v>
      </c>
      <c r="CX601" s="346">
        <f t="shared" si="468"/>
        <v>0.14963575000000001</v>
      </c>
      <c r="CY601" s="346">
        <f t="shared" si="468"/>
        <v>4.3652265970000004</v>
      </c>
      <c r="CZ601" s="346">
        <f t="shared" si="468"/>
        <v>3.8180877049999999</v>
      </c>
      <c r="DA601" s="346">
        <f t="shared" si="468"/>
        <v>0.87516175500000004</v>
      </c>
      <c r="DB601" s="1479">
        <f t="shared" si="468"/>
        <v>3.5785191630000002</v>
      </c>
      <c r="DC601" s="346">
        <f t="shared" si="468"/>
        <v>0</v>
      </c>
      <c r="DD601" s="346">
        <f t="shared" si="468"/>
        <v>0</v>
      </c>
      <c r="DE601" s="346">
        <f t="shared" si="468"/>
        <v>0.84725262700000004</v>
      </c>
      <c r="DF601" s="346">
        <f t="shared" si="468"/>
        <v>1.4201047630000001</v>
      </c>
      <c r="DG601" s="346">
        <f t="shared" si="468"/>
        <v>0.17094899999999999</v>
      </c>
      <c r="DH601" s="346">
        <f t="shared" si="468"/>
        <v>0.83931962000000004</v>
      </c>
      <c r="DI601" s="346">
        <f t="shared" si="468"/>
        <v>2.6560080570000002</v>
      </c>
      <c r="DJ601" s="346">
        <f t="shared" si="468"/>
        <v>0</v>
      </c>
      <c r="DK601" s="346">
        <f t="shared" ref="DK601:EP601" si="469">DK233</f>
        <v>0.496480586</v>
      </c>
      <c r="DL601" s="346">
        <f t="shared" si="469"/>
        <v>0.48701245199999998</v>
      </c>
      <c r="DM601" s="346">
        <f t="shared" si="469"/>
        <v>3.3036283950000001</v>
      </c>
      <c r="DN601" s="348">
        <f t="shared" si="469"/>
        <v>0</v>
      </c>
      <c r="DO601" s="346">
        <f t="shared" si="469"/>
        <v>0</v>
      </c>
      <c r="DP601" s="346">
        <f t="shared" si="469"/>
        <v>0</v>
      </c>
      <c r="DQ601" s="346">
        <f t="shared" si="469"/>
        <v>0</v>
      </c>
      <c r="DR601" s="346">
        <f t="shared" si="469"/>
        <v>0</v>
      </c>
      <c r="DS601" s="346">
        <f t="shared" si="469"/>
        <v>0</v>
      </c>
      <c r="DT601" s="346">
        <f t="shared" si="469"/>
        <v>0</v>
      </c>
      <c r="DU601" s="346">
        <f t="shared" si="469"/>
        <v>0</v>
      </c>
      <c r="DV601" s="346">
        <f t="shared" si="469"/>
        <v>0</v>
      </c>
      <c r="DW601" s="346">
        <f t="shared" si="469"/>
        <v>0</v>
      </c>
      <c r="DX601" s="346">
        <f t="shared" si="469"/>
        <v>0</v>
      </c>
      <c r="DY601" s="346">
        <f t="shared" si="469"/>
        <v>0</v>
      </c>
      <c r="DZ601" s="348">
        <f t="shared" si="469"/>
        <v>0</v>
      </c>
      <c r="EA601" s="346">
        <f t="shared" si="469"/>
        <v>0</v>
      </c>
      <c r="EB601" s="346">
        <f t="shared" si="469"/>
        <v>0</v>
      </c>
      <c r="EC601" s="346">
        <f t="shared" si="469"/>
        <v>0</v>
      </c>
      <c r="ED601" s="346">
        <f t="shared" si="469"/>
        <v>0</v>
      </c>
      <c r="EE601" s="346">
        <f t="shared" si="469"/>
        <v>0</v>
      </c>
      <c r="EF601" s="346">
        <f t="shared" si="469"/>
        <v>0</v>
      </c>
      <c r="EG601" s="346">
        <f t="shared" si="469"/>
        <v>0</v>
      </c>
      <c r="EH601" s="346">
        <f t="shared" si="469"/>
        <v>0</v>
      </c>
      <c r="EI601" s="346">
        <f t="shared" si="469"/>
        <v>0</v>
      </c>
      <c r="EJ601" s="346">
        <f t="shared" si="469"/>
        <v>0</v>
      </c>
      <c r="EK601" s="346">
        <f t="shared" si="469"/>
        <v>0</v>
      </c>
      <c r="EL601" s="348">
        <f t="shared" si="469"/>
        <v>0</v>
      </c>
      <c r="EM601" s="346">
        <f t="shared" si="469"/>
        <v>0</v>
      </c>
      <c r="EN601" s="346">
        <f t="shared" si="469"/>
        <v>0</v>
      </c>
      <c r="EO601" s="346">
        <f t="shared" si="469"/>
        <v>0</v>
      </c>
      <c r="EP601" s="346">
        <f t="shared" si="469"/>
        <v>0</v>
      </c>
      <c r="EQ601" s="346">
        <f t="shared" ref="EQ601:EX601" si="470">EQ233</f>
        <v>0</v>
      </c>
      <c r="ER601" s="346">
        <f t="shared" si="470"/>
        <v>0</v>
      </c>
      <c r="ES601" s="346">
        <f t="shared" si="470"/>
        <v>0</v>
      </c>
      <c r="ET601" s="346">
        <f t="shared" si="470"/>
        <v>0</v>
      </c>
      <c r="EU601" s="346">
        <f t="shared" si="470"/>
        <v>0</v>
      </c>
      <c r="EV601" s="346">
        <f t="shared" si="470"/>
        <v>0</v>
      </c>
      <c r="EW601" s="346">
        <f t="shared" si="470"/>
        <v>0</v>
      </c>
      <c r="EX601" s="348">
        <f t="shared" si="470"/>
        <v>0</v>
      </c>
      <c r="EY601" s="346"/>
      <c r="EZ601" s="346"/>
      <c r="FA601" s="346"/>
      <c r="FB601" s="346"/>
      <c r="FC601" s="346"/>
      <c r="FD601" s="346"/>
      <c r="FE601" s="346"/>
      <c r="FF601" s="346"/>
      <c r="FG601" s="346"/>
      <c r="FH601" s="346"/>
      <c r="FI601" s="346"/>
      <c r="FJ601" s="348"/>
      <c r="FK601" s="346"/>
      <c r="FL601" s="346"/>
      <c r="FM601" s="346"/>
      <c r="FN601" s="346"/>
      <c r="FO601" s="346"/>
      <c r="FP601" s="346"/>
      <c r="FQ601" s="346"/>
      <c r="FR601" s="346"/>
      <c r="FS601" s="346"/>
      <c r="FT601" s="346"/>
      <c r="FU601" s="346"/>
      <c r="FV601" s="346"/>
      <c r="FW601" s="346"/>
      <c r="FX601" s="346"/>
      <c r="FY601" s="346"/>
      <c r="FZ601" s="346"/>
      <c r="GA601" s="346"/>
      <c r="GB601" s="346"/>
      <c r="GC601" s="346"/>
      <c r="GD601" s="346"/>
      <c r="GE601" s="346"/>
      <c r="GF601" s="346"/>
      <c r="GG601" s="346"/>
      <c r="GH601" s="346"/>
      <c r="GI601" s="346"/>
      <c r="GJ601" s="346"/>
      <c r="GK601" s="346"/>
      <c r="GL601" s="346"/>
      <c r="GM601" s="346"/>
      <c r="GN601" s="346"/>
      <c r="GO601" s="346"/>
      <c r="GP601" s="346"/>
      <c r="GQ601" s="346"/>
      <c r="GR601" s="346"/>
      <c r="GS601" s="346"/>
      <c r="GT601" s="346"/>
      <c r="GU601" s="346"/>
      <c r="GV601" s="346"/>
      <c r="GW601" s="346"/>
      <c r="GX601" s="346"/>
      <c r="GY601" s="346"/>
      <c r="GZ601" s="346"/>
      <c r="HA601" s="346"/>
      <c r="HB601" s="346"/>
      <c r="HC601" s="346"/>
      <c r="HD601" s="346"/>
      <c r="HE601" s="346"/>
      <c r="HF601" s="346"/>
      <c r="HG601" s="346"/>
      <c r="HH601" s="346"/>
      <c r="HI601" s="346"/>
      <c r="HJ601" s="346"/>
      <c r="HK601" s="346"/>
      <c r="HL601" s="346"/>
      <c r="HM601" s="346"/>
      <c r="HN601" s="349"/>
      <c r="HO601" s="351" t="s">
        <v>1167</v>
      </c>
      <c r="HP601" s="351"/>
      <c r="HQ601" s="351"/>
      <c r="HR601" s="346">
        <f>+FISC!Z833</f>
        <v>28.6</v>
      </c>
      <c r="HS601" s="302">
        <f>SUM(CQ601:CV601)</f>
        <v>12.793875807000001</v>
      </c>
      <c r="HT601" s="302">
        <f>SUM(CW601:DB601)</f>
        <v>15.815438266000001</v>
      </c>
      <c r="HU601" s="346">
        <f>SUM(CQ601:DB601)</f>
        <v>28.609314073</v>
      </c>
      <c r="HV601" s="580">
        <f>+HV542</f>
        <v>3.2776260099999996</v>
      </c>
      <c r="HW601" s="302">
        <f>+SUM(DI601:DN601)</f>
        <v>6.9431294900000005</v>
      </c>
      <c r="HX601" s="346">
        <f>HV601+HW601</f>
        <v>10.220755499999999</v>
      </c>
      <c r="HY601" s="580">
        <v>0</v>
      </c>
      <c r="HZ601" s="302">
        <f>SUM(DU601:DZ601)</f>
        <v>0</v>
      </c>
      <c r="IA601" s="346">
        <f>+IA541-IA494</f>
        <v>19.200000000000003</v>
      </c>
      <c r="IB601" s="477">
        <v>0</v>
      </c>
      <c r="IC601" s="302">
        <f>+ID601-IB601</f>
        <v>3.8466942869999912</v>
      </c>
      <c r="ID601" s="346">
        <f>FISC!AC833</f>
        <v>3.8466942869999912</v>
      </c>
      <c r="IE601" s="302">
        <f t="shared" si="436"/>
        <v>0</v>
      </c>
      <c r="IF601" s="302">
        <f t="shared" si="437"/>
        <v>0</v>
      </c>
      <c r="IG601" s="346">
        <f t="shared" si="384"/>
        <v>0</v>
      </c>
      <c r="IH601" s="350"/>
      <c r="II601" s="350"/>
      <c r="IJ601" s="346">
        <f>+FISC!AE833</f>
        <v>0</v>
      </c>
      <c r="IK601" s="302">
        <f>IM601*JI601</f>
        <v>0</v>
      </c>
      <c r="IL601" s="302">
        <f t="shared" si="280"/>
        <v>0</v>
      </c>
      <c r="IM601" s="346">
        <f>+FISC!AF833</f>
        <v>0</v>
      </c>
      <c r="IN601" s="302">
        <f t="shared" si="292"/>
        <v>0</v>
      </c>
      <c r="IO601" s="302">
        <f t="shared" si="334"/>
        <v>0</v>
      </c>
      <c r="IP601" s="346">
        <f>+FISC!AG833</f>
        <v>0</v>
      </c>
      <c r="IQ601" s="302">
        <f t="shared" si="293"/>
        <v>0</v>
      </c>
      <c r="IR601" s="302">
        <f t="shared" si="281"/>
        <v>0</v>
      </c>
      <c r="IS601" s="346">
        <f>+FISC!AH833</f>
        <v>0</v>
      </c>
      <c r="IT601" s="302">
        <f t="shared" si="294"/>
        <v>0</v>
      </c>
      <c r="IU601" s="302">
        <f t="shared" si="282"/>
        <v>0</v>
      </c>
      <c r="IV601" s="346">
        <f>+FISC!AI833</f>
        <v>0</v>
      </c>
      <c r="IW601" s="302">
        <f t="shared" si="295"/>
        <v>0</v>
      </c>
      <c r="IX601" s="302">
        <f t="shared" si="283"/>
        <v>0</v>
      </c>
      <c r="IY601" s="346">
        <f>+FISC!AJ833</f>
        <v>0</v>
      </c>
      <c r="IZ601" s="302">
        <f t="shared" si="296"/>
        <v>0</v>
      </c>
      <c r="JA601" s="302">
        <f t="shared" si="284"/>
        <v>0</v>
      </c>
      <c r="JB601" s="346">
        <f>+FISC!AK833</f>
        <v>0</v>
      </c>
      <c r="JC601" s="346"/>
      <c r="KI601" s="349"/>
      <c r="KJ601" s="350"/>
    </row>
    <row r="602" spans="1:302">
      <c r="A602" s="302"/>
      <c r="B602" s="117" t="s">
        <v>361</v>
      </c>
      <c r="D602" s="351" t="str">
        <f>+FISC!D834</f>
        <v>o/w: Rwandair Loan receipt to Gov't</v>
      </c>
      <c r="E602" s="346"/>
      <c r="F602" s="346"/>
      <c r="G602" s="346"/>
      <c r="H602" s="346"/>
      <c r="I602" s="346"/>
      <c r="J602" s="346"/>
      <c r="K602" s="346"/>
      <c r="L602" s="346"/>
      <c r="M602" s="346"/>
      <c r="N602" s="346"/>
      <c r="O602" s="346"/>
      <c r="P602" s="346"/>
      <c r="Q602" s="346"/>
      <c r="R602" s="346"/>
      <c r="S602" s="346"/>
      <c r="T602" s="346"/>
      <c r="U602" s="346"/>
      <c r="V602" s="346"/>
      <c r="W602" s="346"/>
      <c r="X602" s="346"/>
      <c r="Y602" s="346"/>
      <c r="Z602" s="346"/>
      <c r="AA602" s="346"/>
      <c r="AB602" s="346"/>
      <c r="AC602" s="346"/>
      <c r="AD602" s="346"/>
      <c r="AE602" s="346"/>
      <c r="AF602" s="346"/>
      <c r="AG602" s="346"/>
      <c r="AH602" s="346"/>
      <c r="AI602" s="346"/>
      <c r="AJ602" s="346"/>
      <c r="AK602" s="346"/>
      <c r="AL602" s="346"/>
      <c r="AM602" s="346"/>
      <c r="AN602" s="346"/>
      <c r="AO602" s="346"/>
      <c r="AP602" s="346"/>
      <c r="AQ602" s="346"/>
      <c r="AR602" s="346"/>
      <c r="AS602" s="346"/>
      <c r="AT602" s="346"/>
      <c r="AU602" s="346"/>
      <c r="AV602" s="346"/>
      <c r="AW602" s="346"/>
      <c r="AX602" s="346"/>
      <c r="AY602" s="346"/>
      <c r="AZ602" s="346"/>
      <c r="BA602" s="346"/>
      <c r="BB602" s="346"/>
      <c r="BC602" s="346"/>
      <c r="BD602" s="346"/>
      <c r="BE602" s="346"/>
      <c r="BF602" s="346"/>
      <c r="BG602" s="346"/>
      <c r="BH602" s="346"/>
      <c r="BI602" s="346"/>
      <c r="BJ602" s="346"/>
      <c r="BK602" s="346"/>
      <c r="BL602" s="346"/>
      <c r="BM602" s="346"/>
      <c r="BN602" s="346"/>
      <c r="BO602" s="346"/>
      <c r="BP602" s="346"/>
      <c r="BQ602" s="346"/>
      <c r="BR602" s="346"/>
      <c r="BS602" s="346"/>
      <c r="BT602" s="346"/>
      <c r="BU602" s="346"/>
      <c r="BV602" s="346"/>
      <c r="BW602" s="346"/>
      <c r="BX602" s="346"/>
      <c r="BY602" s="346"/>
      <c r="BZ602" s="346"/>
      <c r="CA602" s="346"/>
      <c r="CB602" s="346"/>
      <c r="CC602" s="346"/>
      <c r="CD602" s="346"/>
      <c r="CE602" s="347"/>
      <c r="CF602" s="346"/>
      <c r="CG602" s="346"/>
      <c r="CH602" s="346"/>
      <c r="CI602" s="346"/>
      <c r="CJ602" s="346"/>
      <c r="CK602" s="346"/>
      <c r="CL602" s="346"/>
      <c r="CM602" s="346"/>
      <c r="CN602" s="346"/>
      <c r="CO602" s="346"/>
      <c r="CP602" s="348"/>
      <c r="CQ602" s="346"/>
      <c r="CR602" s="346"/>
      <c r="CS602" s="346"/>
      <c r="CT602" s="346"/>
      <c r="CU602" s="346"/>
      <c r="CV602" s="346"/>
      <c r="CW602" s="346"/>
      <c r="CX602" s="346"/>
      <c r="CY602" s="346"/>
      <c r="CZ602" s="346"/>
      <c r="DA602" s="346"/>
      <c r="DB602" s="1479"/>
      <c r="DC602" s="346"/>
      <c r="DD602" s="346"/>
      <c r="DE602" s="346"/>
      <c r="DF602" s="346"/>
      <c r="DG602" s="346"/>
      <c r="DH602" s="346"/>
      <c r="DI602" s="346"/>
      <c r="DJ602" s="346"/>
      <c r="DK602" s="346"/>
      <c r="DL602" s="346"/>
      <c r="DM602" s="346"/>
      <c r="DN602" s="348"/>
      <c r="DO602" s="346"/>
      <c r="DP602" s="346"/>
      <c r="DQ602" s="346"/>
      <c r="DR602" s="346"/>
      <c r="DS602" s="346"/>
      <c r="DT602" s="346"/>
      <c r="DU602" s="346"/>
      <c r="DV602" s="346"/>
      <c r="DW602" s="346"/>
      <c r="DX602" s="346"/>
      <c r="DY602" s="346"/>
      <c r="DZ602" s="348"/>
      <c r="EA602" s="346"/>
      <c r="EB602" s="346"/>
      <c r="EC602" s="346"/>
      <c r="ED602" s="346"/>
      <c r="EE602" s="346"/>
      <c r="EF602" s="346"/>
      <c r="EG602" s="346"/>
      <c r="EH602" s="346"/>
      <c r="EI602" s="346"/>
      <c r="EJ602" s="346"/>
      <c r="EK602" s="346"/>
      <c r="EL602" s="348"/>
      <c r="EM602" s="346"/>
      <c r="EN602" s="346"/>
      <c r="EO602" s="346"/>
      <c r="EP602" s="346"/>
      <c r="EQ602" s="346"/>
      <c r="ER602" s="346"/>
      <c r="ES602" s="346"/>
      <c r="ET602" s="346"/>
      <c r="EU602" s="346"/>
      <c r="EV602" s="346"/>
      <c r="EW602" s="346"/>
      <c r="EX602" s="348"/>
      <c r="EY602" s="346"/>
      <c r="EZ602" s="346"/>
      <c r="FA602" s="346"/>
      <c r="FB602" s="346"/>
      <c r="FC602" s="346"/>
      <c r="FD602" s="346"/>
      <c r="FE602" s="346"/>
      <c r="FF602" s="346"/>
      <c r="FG602" s="346"/>
      <c r="FH602" s="346"/>
      <c r="FI602" s="346"/>
      <c r="FJ602" s="348"/>
      <c r="FK602" s="346"/>
      <c r="FL602" s="346"/>
      <c r="FM602" s="346"/>
      <c r="FN602" s="346"/>
      <c r="FO602" s="346"/>
      <c r="FP602" s="346"/>
      <c r="FQ602" s="346"/>
      <c r="FR602" s="346"/>
      <c r="FS602" s="346"/>
      <c r="FT602" s="346"/>
      <c r="FU602" s="346"/>
      <c r="FV602" s="346"/>
      <c r="FW602" s="346"/>
      <c r="FX602" s="346"/>
      <c r="FY602" s="346"/>
      <c r="FZ602" s="346"/>
      <c r="GA602" s="346"/>
      <c r="GB602" s="346"/>
      <c r="GC602" s="346"/>
      <c r="GD602" s="346"/>
      <c r="GE602" s="346"/>
      <c r="GF602" s="346"/>
      <c r="GG602" s="346"/>
      <c r="GH602" s="346"/>
      <c r="GI602" s="346"/>
      <c r="GJ602" s="346"/>
      <c r="GK602" s="346"/>
      <c r="GL602" s="346"/>
      <c r="GM602" s="346"/>
      <c r="GN602" s="346"/>
      <c r="GO602" s="346"/>
      <c r="GP602" s="346"/>
      <c r="GQ602" s="346"/>
      <c r="GR602" s="346"/>
      <c r="GS602" s="346"/>
      <c r="GT602" s="346"/>
      <c r="GU602" s="346"/>
      <c r="GV602" s="346"/>
      <c r="GW602" s="346"/>
      <c r="GX602" s="346"/>
      <c r="GY602" s="346"/>
      <c r="GZ602" s="346"/>
      <c r="HA602" s="346"/>
      <c r="HB602" s="346"/>
      <c r="HC602" s="346"/>
      <c r="HD602" s="346"/>
      <c r="HE602" s="346"/>
      <c r="HF602" s="346"/>
      <c r="HG602" s="346"/>
      <c r="HH602" s="346"/>
      <c r="HI602" s="346"/>
      <c r="HJ602" s="346"/>
      <c r="HK602" s="346"/>
      <c r="HL602" s="346"/>
      <c r="HM602" s="346"/>
      <c r="HN602" s="349"/>
      <c r="HO602" s="351" t="s">
        <v>882</v>
      </c>
      <c r="HP602" s="351"/>
      <c r="HQ602" s="351"/>
      <c r="HR602" s="346">
        <f>+FISC!Z834</f>
        <v>0</v>
      </c>
      <c r="HS602" s="302">
        <f>SUM(CQ602:CV602)</f>
        <v>0</v>
      </c>
      <c r="HT602" s="302">
        <f>SUM(CW602:DB602)</f>
        <v>0</v>
      </c>
      <c r="HU602" s="346">
        <f>SUM(CQ602:DB602)</f>
        <v>0</v>
      </c>
      <c r="HV602" s="302">
        <f>+SUM(DC602:DH602)</f>
        <v>0</v>
      </c>
      <c r="HW602" s="302">
        <f>+SUM(DI602:DN602)</f>
        <v>0</v>
      </c>
      <c r="HX602" s="346">
        <f>HV602+HW602</f>
        <v>0</v>
      </c>
      <c r="HY602" s="302">
        <v>0</v>
      </c>
      <c r="HZ602" s="302">
        <f>SUM(DU602:DZ602)</f>
        <v>0</v>
      </c>
      <c r="IA602" s="346"/>
      <c r="IB602" s="477"/>
      <c r="IC602" s="350"/>
      <c r="ID602" s="346">
        <f>FISC!AC834</f>
        <v>0</v>
      </c>
      <c r="IE602" s="302">
        <f t="shared" si="436"/>
        <v>0</v>
      </c>
      <c r="IF602" s="302">
        <f t="shared" si="437"/>
        <v>0</v>
      </c>
      <c r="IG602" s="346">
        <f t="shared" si="384"/>
        <v>0</v>
      </c>
      <c r="IH602" s="477"/>
      <c r="II602" s="350"/>
      <c r="IJ602" s="346">
        <f>+FISC!AE834</f>
        <v>0</v>
      </c>
      <c r="IK602" s="302">
        <f>IM602*JI602</f>
        <v>0</v>
      </c>
      <c r="IL602" s="302">
        <f t="shared" si="280"/>
        <v>0</v>
      </c>
      <c r="IM602" s="346">
        <f>+FISC!AF834</f>
        <v>0</v>
      </c>
      <c r="IN602" s="302">
        <f t="shared" si="292"/>
        <v>0</v>
      </c>
      <c r="IO602" s="302">
        <f t="shared" si="334"/>
        <v>0</v>
      </c>
      <c r="IP602" s="346">
        <f>+FISC!AG834</f>
        <v>0</v>
      </c>
      <c r="IQ602" s="302">
        <f t="shared" si="293"/>
        <v>0</v>
      </c>
      <c r="IR602" s="302">
        <f t="shared" si="281"/>
        <v>0</v>
      </c>
      <c r="IS602" s="346">
        <f>+FISC!AH834</f>
        <v>0</v>
      </c>
      <c r="IT602" s="302">
        <f t="shared" si="294"/>
        <v>0</v>
      </c>
      <c r="IU602" s="302">
        <f t="shared" si="282"/>
        <v>0</v>
      </c>
      <c r="IV602" s="346">
        <f>+FISC!AI834</f>
        <v>0</v>
      </c>
      <c r="IW602" s="302">
        <f t="shared" si="295"/>
        <v>0</v>
      </c>
      <c r="IX602" s="302">
        <f t="shared" si="283"/>
        <v>0</v>
      </c>
      <c r="IY602" s="346">
        <f>+FISC!AJ834</f>
        <v>0</v>
      </c>
      <c r="IZ602" s="302">
        <f t="shared" si="296"/>
        <v>0</v>
      </c>
      <c r="JA602" s="302">
        <f t="shared" si="284"/>
        <v>0</v>
      </c>
      <c r="JB602" s="346">
        <f>+FISC!AK834</f>
        <v>0</v>
      </c>
      <c r="JC602" s="346"/>
      <c r="KI602" s="349"/>
      <c r="KJ602" s="350"/>
    </row>
    <row r="603" spans="1:302">
      <c r="A603" s="302"/>
      <c r="D603" s="351"/>
      <c r="E603" s="346"/>
      <c r="F603" s="346"/>
      <c r="G603" s="346"/>
      <c r="H603" s="346"/>
      <c r="I603" s="346"/>
      <c r="J603" s="346"/>
      <c r="K603" s="346"/>
      <c r="L603" s="346"/>
      <c r="M603" s="346"/>
      <c r="N603" s="346"/>
      <c r="O603" s="346"/>
      <c r="P603" s="346"/>
      <c r="Q603" s="346"/>
      <c r="R603" s="346"/>
      <c r="S603" s="346"/>
      <c r="T603" s="346"/>
      <c r="U603" s="346"/>
      <c r="V603" s="346"/>
      <c r="W603" s="346"/>
      <c r="X603" s="346"/>
      <c r="Y603" s="346"/>
      <c r="Z603" s="346"/>
      <c r="AA603" s="346"/>
      <c r="AB603" s="346"/>
      <c r="AC603" s="346"/>
      <c r="AD603" s="346"/>
      <c r="AE603" s="346"/>
      <c r="AF603" s="346"/>
      <c r="AG603" s="346"/>
      <c r="AH603" s="346"/>
      <c r="AI603" s="346"/>
      <c r="AJ603" s="346"/>
      <c r="AK603" s="346"/>
      <c r="AL603" s="346"/>
      <c r="AM603" s="346"/>
      <c r="AN603" s="346"/>
      <c r="AO603" s="346"/>
      <c r="AP603" s="346"/>
      <c r="AQ603" s="346"/>
      <c r="AR603" s="346"/>
      <c r="AS603" s="346"/>
      <c r="AT603" s="346"/>
      <c r="AU603" s="346"/>
      <c r="AV603" s="346"/>
      <c r="AW603" s="346"/>
      <c r="AX603" s="346"/>
      <c r="AY603" s="346"/>
      <c r="AZ603" s="346"/>
      <c r="BA603" s="346"/>
      <c r="BB603" s="346"/>
      <c r="BC603" s="346"/>
      <c r="BD603" s="346"/>
      <c r="BE603" s="346"/>
      <c r="BF603" s="346"/>
      <c r="BG603" s="346"/>
      <c r="BH603" s="346"/>
      <c r="BI603" s="346"/>
      <c r="BJ603" s="346"/>
      <c r="BK603" s="346"/>
      <c r="BL603" s="346"/>
      <c r="BM603" s="346"/>
      <c r="BN603" s="346"/>
      <c r="BO603" s="346"/>
      <c r="BP603" s="346"/>
      <c r="BQ603" s="346"/>
      <c r="BR603" s="346"/>
      <c r="BS603" s="346"/>
      <c r="BT603" s="346"/>
      <c r="BU603" s="346"/>
      <c r="BV603" s="346"/>
      <c r="BW603" s="346"/>
      <c r="BX603" s="346"/>
      <c r="BY603" s="346"/>
      <c r="BZ603" s="346"/>
      <c r="CA603" s="346"/>
      <c r="CB603" s="346"/>
      <c r="CC603" s="346"/>
      <c r="CD603" s="346"/>
      <c r="CE603" s="347"/>
      <c r="CF603" s="346"/>
      <c r="CG603" s="346"/>
      <c r="CH603" s="346"/>
      <c r="CI603" s="346"/>
      <c r="CJ603" s="346"/>
      <c r="CK603" s="346"/>
      <c r="CL603" s="346"/>
      <c r="CM603" s="346"/>
      <c r="CN603" s="346"/>
      <c r="CO603" s="346"/>
      <c r="CP603" s="348"/>
      <c r="CQ603" s="346"/>
      <c r="CR603" s="346"/>
      <c r="CS603" s="346"/>
      <c r="CT603" s="346"/>
      <c r="CU603" s="346"/>
      <c r="CV603" s="346"/>
      <c r="CW603" s="346"/>
      <c r="CX603" s="346"/>
      <c r="CY603" s="346"/>
      <c r="CZ603" s="346"/>
      <c r="DA603" s="346"/>
      <c r="DB603" s="1479"/>
      <c r="DC603" s="346"/>
      <c r="DD603" s="346"/>
      <c r="DE603" s="346"/>
      <c r="DF603" s="346"/>
      <c r="DG603" s="346"/>
      <c r="DH603" s="346"/>
      <c r="DI603" s="346"/>
      <c r="DJ603" s="346"/>
      <c r="DK603" s="346"/>
      <c r="DL603" s="346"/>
      <c r="DM603" s="346"/>
      <c r="DN603" s="348"/>
      <c r="DO603" s="346"/>
      <c r="DP603" s="346"/>
      <c r="DQ603" s="346"/>
      <c r="DR603" s="346"/>
      <c r="DS603" s="346"/>
      <c r="DT603" s="346"/>
      <c r="DU603" s="346"/>
      <c r="DV603" s="346"/>
      <c r="DW603" s="346"/>
      <c r="DX603" s="346"/>
      <c r="DY603" s="346"/>
      <c r="DZ603" s="348"/>
      <c r="EA603" s="346"/>
      <c r="EB603" s="346"/>
      <c r="EC603" s="346"/>
      <c r="ED603" s="346"/>
      <c r="EE603" s="346"/>
      <c r="EF603" s="346"/>
      <c r="EG603" s="346"/>
      <c r="EH603" s="346"/>
      <c r="EI603" s="346"/>
      <c r="EJ603" s="346"/>
      <c r="EK603" s="346"/>
      <c r="EL603" s="348"/>
      <c r="EM603" s="346"/>
      <c r="EN603" s="346"/>
      <c r="EO603" s="346"/>
      <c r="EP603" s="346"/>
      <c r="EQ603" s="346"/>
      <c r="ER603" s="346"/>
      <c r="ES603" s="346"/>
      <c r="ET603" s="346"/>
      <c r="EU603" s="346"/>
      <c r="EV603" s="346"/>
      <c r="EW603" s="346"/>
      <c r="EX603" s="348"/>
      <c r="EY603" s="346"/>
      <c r="EZ603" s="346"/>
      <c r="FA603" s="346"/>
      <c r="FB603" s="346"/>
      <c r="FC603" s="346"/>
      <c r="FD603" s="346"/>
      <c r="FE603" s="346"/>
      <c r="FF603" s="346"/>
      <c r="FG603" s="346"/>
      <c r="FH603" s="346"/>
      <c r="FI603" s="346"/>
      <c r="FJ603" s="348"/>
      <c r="FK603" s="346"/>
      <c r="FL603" s="346"/>
      <c r="FM603" s="346"/>
      <c r="FN603" s="346"/>
      <c r="FO603" s="346"/>
      <c r="FP603" s="346"/>
      <c r="FQ603" s="346"/>
      <c r="FR603" s="346"/>
      <c r="FS603" s="346"/>
      <c r="FT603" s="346"/>
      <c r="FU603" s="346"/>
      <c r="FV603" s="346"/>
      <c r="FW603" s="346"/>
      <c r="FX603" s="346"/>
      <c r="FY603" s="346"/>
      <c r="FZ603" s="346"/>
      <c r="GA603" s="346"/>
      <c r="GB603" s="346"/>
      <c r="GC603" s="346"/>
      <c r="GD603" s="346"/>
      <c r="GE603" s="346"/>
      <c r="GF603" s="346"/>
      <c r="GG603" s="346"/>
      <c r="GH603" s="346"/>
      <c r="GI603" s="346"/>
      <c r="GJ603" s="346"/>
      <c r="GK603" s="346"/>
      <c r="GL603" s="346"/>
      <c r="GM603" s="346"/>
      <c r="GN603" s="346"/>
      <c r="GO603" s="346"/>
      <c r="GP603" s="346"/>
      <c r="GQ603" s="346"/>
      <c r="GR603" s="346"/>
      <c r="GS603" s="346"/>
      <c r="GT603" s="346"/>
      <c r="GU603" s="346"/>
      <c r="GV603" s="346"/>
      <c r="GW603" s="346"/>
      <c r="GX603" s="346"/>
      <c r="GY603" s="346"/>
      <c r="GZ603" s="346"/>
      <c r="HA603" s="346"/>
      <c r="HB603" s="346"/>
      <c r="HC603" s="346"/>
      <c r="HD603" s="346"/>
      <c r="HE603" s="346"/>
      <c r="HF603" s="346"/>
      <c r="HG603" s="346"/>
      <c r="HH603" s="346"/>
      <c r="HI603" s="346"/>
      <c r="HJ603" s="346"/>
      <c r="HK603" s="346"/>
      <c r="HL603" s="346"/>
      <c r="HM603" s="346"/>
      <c r="HN603" s="349"/>
      <c r="HO603" s="1240" t="s">
        <v>1273</v>
      </c>
      <c r="HP603" s="1240"/>
      <c r="HQ603" s="1240"/>
      <c r="HR603" s="346"/>
      <c r="HU603" s="346"/>
      <c r="HX603" s="346"/>
      <c r="IA603" s="346"/>
      <c r="IB603" s="477"/>
      <c r="IC603" s="350"/>
      <c r="ID603" s="346"/>
      <c r="IG603" s="346"/>
      <c r="IH603" s="477">
        <f>IJ603</f>
        <v>25.6</v>
      </c>
      <c r="II603" s="350">
        <f>IJ603-IH603</f>
        <v>0</v>
      </c>
      <c r="IJ603" s="346">
        <f>+FISC!AE835</f>
        <v>25.6</v>
      </c>
      <c r="IL603" s="302">
        <f t="shared" si="280"/>
        <v>0</v>
      </c>
      <c r="IM603" s="346">
        <f>+FISC!AF835</f>
        <v>0</v>
      </c>
      <c r="IO603" s="302">
        <f t="shared" si="334"/>
        <v>0</v>
      </c>
      <c r="IP603" s="346">
        <f>+FISC!AG835</f>
        <v>0</v>
      </c>
      <c r="IS603" s="346"/>
      <c r="IV603" s="346"/>
      <c r="IY603" s="346"/>
      <c r="JB603" s="346"/>
      <c r="JC603" s="346"/>
      <c r="KI603" s="349"/>
      <c r="KJ603" s="350"/>
    </row>
    <row r="604" spans="1:302">
      <c r="A604" s="302"/>
      <c r="D604" s="351"/>
      <c r="E604" s="346"/>
      <c r="F604" s="346"/>
      <c r="G604" s="346"/>
      <c r="H604" s="346"/>
      <c r="I604" s="346"/>
      <c r="J604" s="346"/>
      <c r="K604" s="346"/>
      <c r="L604" s="346"/>
      <c r="M604" s="346"/>
      <c r="N604" s="346"/>
      <c r="O604" s="346"/>
      <c r="P604" s="346"/>
      <c r="Q604" s="346"/>
      <c r="R604" s="346"/>
      <c r="S604" s="346"/>
      <c r="T604" s="346"/>
      <c r="U604" s="346"/>
      <c r="V604" s="346"/>
      <c r="W604" s="346"/>
      <c r="X604" s="346"/>
      <c r="Y604" s="346"/>
      <c r="Z604" s="346"/>
      <c r="AA604" s="346"/>
      <c r="AB604" s="346"/>
      <c r="AC604" s="346"/>
      <c r="AD604" s="346"/>
      <c r="AE604" s="346"/>
      <c r="AF604" s="346"/>
      <c r="AG604" s="346"/>
      <c r="AH604" s="346"/>
      <c r="AI604" s="346"/>
      <c r="AJ604" s="346"/>
      <c r="AK604" s="346"/>
      <c r="AL604" s="346"/>
      <c r="AM604" s="346"/>
      <c r="AN604" s="346"/>
      <c r="AO604" s="346"/>
      <c r="AP604" s="346"/>
      <c r="AQ604" s="346"/>
      <c r="AR604" s="346"/>
      <c r="AS604" s="346"/>
      <c r="AT604" s="346"/>
      <c r="AU604" s="346"/>
      <c r="AV604" s="346"/>
      <c r="AW604" s="346"/>
      <c r="AX604" s="346"/>
      <c r="AY604" s="346"/>
      <c r="AZ604" s="346"/>
      <c r="BA604" s="346"/>
      <c r="BB604" s="346"/>
      <c r="BC604" s="346"/>
      <c r="BD604" s="346"/>
      <c r="BE604" s="346"/>
      <c r="BF604" s="346"/>
      <c r="BG604" s="346"/>
      <c r="BH604" s="346"/>
      <c r="BI604" s="346"/>
      <c r="BJ604" s="346"/>
      <c r="BK604" s="346"/>
      <c r="BL604" s="346"/>
      <c r="BM604" s="346"/>
      <c r="BN604" s="346"/>
      <c r="BO604" s="346"/>
      <c r="BP604" s="346"/>
      <c r="BQ604" s="346"/>
      <c r="BR604" s="346"/>
      <c r="BS604" s="346"/>
      <c r="BT604" s="346"/>
      <c r="BU604" s="346"/>
      <c r="BV604" s="346"/>
      <c r="BW604" s="346"/>
      <c r="BX604" s="346"/>
      <c r="BY604" s="346"/>
      <c r="BZ604" s="346"/>
      <c r="CA604" s="346"/>
      <c r="CB604" s="346"/>
      <c r="CC604" s="346"/>
      <c r="CD604" s="346"/>
      <c r="CE604" s="347"/>
      <c r="CF604" s="346"/>
      <c r="CG604" s="346"/>
      <c r="CH604" s="346"/>
      <c r="CI604" s="346"/>
      <c r="CJ604" s="346"/>
      <c r="CK604" s="346"/>
      <c r="CL604" s="346"/>
      <c r="CM604" s="346"/>
      <c r="CN604" s="346"/>
      <c r="CO604" s="346"/>
      <c r="CP604" s="348"/>
      <c r="CQ604" s="346"/>
      <c r="CR604" s="346"/>
      <c r="CS604" s="346"/>
      <c r="CT604" s="346"/>
      <c r="CU604" s="346"/>
      <c r="CV604" s="346"/>
      <c r="CW604" s="346"/>
      <c r="CX604" s="346"/>
      <c r="CY604" s="346"/>
      <c r="CZ604" s="346"/>
      <c r="DA604" s="346"/>
      <c r="DB604" s="1479"/>
      <c r="DC604" s="346"/>
      <c r="DD604" s="346"/>
      <c r="DE604" s="346"/>
      <c r="DF604" s="346"/>
      <c r="DG604" s="346"/>
      <c r="DH604" s="346"/>
      <c r="DI604" s="346"/>
      <c r="DJ604" s="346"/>
      <c r="DK604" s="346"/>
      <c r="DL604" s="346"/>
      <c r="DM604" s="346"/>
      <c r="DN604" s="348"/>
      <c r="DO604" s="346"/>
      <c r="DP604" s="346"/>
      <c r="DQ604" s="346"/>
      <c r="DR604" s="346"/>
      <c r="DS604" s="346"/>
      <c r="DT604" s="346"/>
      <c r="DU604" s="346"/>
      <c r="DV604" s="346"/>
      <c r="DW604" s="346"/>
      <c r="DX604" s="346"/>
      <c r="DY604" s="346"/>
      <c r="DZ604" s="348"/>
      <c r="EA604" s="346"/>
      <c r="EB604" s="346"/>
      <c r="EC604" s="346"/>
      <c r="ED604" s="346"/>
      <c r="EE604" s="346"/>
      <c r="EF604" s="346"/>
      <c r="EG604" s="346"/>
      <c r="EH604" s="346"/>
      <c r="EI604" s="346"/>
      <c r="EJ604" s="346"/>
      <c r="EK604" s="346"/>
      <c r="EL604" s="348"/>
      <c r="EM604" s="346"/>
      <c r="EN604" s="346"/>
      <c r="EO604" s="346"/>
      <c r="EP604" s="346"/>
      <c r="EQ604" s="346"/>
      <c r="ER604" s="346"/>
      <c r="ES604" s="346"/>
      <c r="ET604" s="346"/>
      <c r="EU604" s="346"/>
      <c r="EV604" s="346"/>
      <c r="EW604" s="346"/>
      <c r="EX604" s="348"/>
      <c r="EY604" s="346"/>
      <c r="EZ604" s="346"/>
      <c r="FA604" s="346"/>
      <c r="FB604" s="346"/>
      <c r="FC604" s="346"/>
      <c r="FD604" s="346"/>
      <c r="FE604" s="346"/>
      <c r="FF604" s="346"/>
      <c r="FG604" s="346"/>
      <c r="FH604" s="346"/>
      <c r="FI604" s="346"/>
      <c r="FJ604" s="348"/>
      <c r="FK604" s="346"/>
      <c r="FL604" s="346"/>
      <c r="FM604" s="346"/>
      <c r="FN604" s="346"/>
      <c r="FO604" s="346"/>
      <c r="FP604" s="346"/>
      <c r="FQ604" s="346"/>
      <c r="FR604" s="346"/>
      <c r="FS604" s="346"/>
      <c r="FT604" s="346"/>
      <c r="FU604" s="346"/>
      <c r="FV604" s="346"/>
      <c r="FW604" s="346"/>
      <c r="FX604" s="346"/>
      <c r="FY604" s="346"/>
      <c r="FZ604" s="346"/>
      <c r="GA604" s="346"/>
      <c r="GB604" s="346"/>
      <c r="GC604" s="346"/>
      <c r="GD604" s="346"/>
      <c r="GE604" s="346"/>
      <c r="GF604" s="346"/>
      <c r="GG604" s="346"/>
      <c r="GH604" s="346"/>
      <c r="GI604" s="346"/>
      <c r="GJ604" s="346"/>
      <c r="GK604" s="346"/>
      <c r="GL604" s="346"/>
      <c r="GM604" s="346"/>
      <c r="GN604" s="346"/>
      <c r="GO604" s="346"/>
      <c r="GP604" s="346"/>
      <c r="GQ604" s="346"/>
      <c r="GR604" s="346"/>
      <c r="GS604" s="346"/>
      <c r="GT604" s="346"/>
      <c r="GU604" s="346"/>
      <c r="GV604" s="346"/>
      <c r="GW604" s="346"/>
      <c r="GX604" s="346"/>
      <c r="GY604" s="346"/>
      <c r="GZ604" s="346"/>
      <c r="HA604" s="346"/>
      <c r="HB604" s="346"/>
      <c r="HC604" s="346"/>
      <c r="HD604" s="346"/>
      <c r="HE604" s="346"/>
      <c r="HF604" s="346"/>
      <c r="HG604" s="346"/>
      <c r="HH604" s="346"/>
      <c r="HI604" s="346"/>
      <c r="HJ604" s="346"/>
      <c r="HK604" s="346"/>
      <c r="HL604" s="346"/>
      <c r="HM604" s="346"/>
      <c r="HN604" s="349"/>
      <c r="HO604" s="1240" t="s">
        <v>1274</v>
      </c>
      <c r="HP604" s="1240"/>
      <c r="HQ604" s="1240"/>
      <c r="HR604" s="346"/>
      <c r="HU604" s="346"/>
      <c r="HX604" s="346"/>
      <c r="IA604" s="346"/>
      <c r="IB604" s="477"/>
      <c r="IC604" s="350"/>
      <c r="ID604" s="346"/>
      <c r="IG604" s="346"/>
      <c r="IH604" s="477">
        <f>-3646586535/1000000000</f>
        <v>-3.646586535</v>
      </c>
      <c r="II604" s="350">
        <f>IJ604-IH604</f>
        <v>-3.8855023749766575</v>
      </c>
      <c r="IJ604" s="346">
        <f>+FISC!AE836</f>
        <v>-7.5320889099766575</v>
      </c>
      <c r="IK604" s="302">
        <f>-4119228399/1000000000</f>
        <v>-4.1192283989999998</v>
      </c>
      <c r="IL604" s="302">
        <f>IM604-IK604</f>
        <v>-4.3919263042297461</v>
      </c>
      <c r="IM604" s="346">
        <f>+FISC!AF836</f>
        <v>-8.5111547032297459</v>
      </c>
      <c r="IN604" s="302">
        <f>-4653130383/1000000000</f>
        <v>-4.6531303829999997</v>
      </c>
      <c r="IO604" s="302">
        <f t="shared" si="334"/>
        <v>25.015434501326986</v>
      </c>
      <c r="IP604" s="346">
        <f>+FISC!AG836</f>
        <v>20.362304118326986</v>
      </c>
      <c r="IS604" s="346"/>
      <c r="IV604" s="346"/>
      <c r="IY604" s="346"/>
      <c r="JB604" s="346"/>
      <c r="JC604" s="346"/>
      <c r="KI604" s="349"/>
      <c r="KJ604" s="350"/>
    </row>
    <row r="605" spans="1:302">
      <c r="A605" s="302"/>
      <c r="B605" s="117" t="s">
        <v>361</v>
      </c>
      <c r="D605" s="351" t="str">
        <f>+FISC!D837</f>
        <v>o/w: PKO (CAR&amp;Juba)</v>
      </c>
      <c r="E605" s="346"/>
      <c r="F605" s="346"/>
      <c r="G605" s="346"/>
      <c r="H605" s="346"/>
      <c r="I605" s="346"/>
      <c r="J605" s="346"/>
      <c r="K605" s="346"/>
      <c r="L605" s="346"/>
      <c r="M605" s="346"/>
      <c r="N605" s="346"/>
      <c r="O605" s="346"/>
      <c r="P605" s="346"/>
      <c r="Q605" s="346"/>
      <c r="R605" s="346"/>
      <c r="S605" s="346"/>
      <c r="T605" s="346"/>
      <c r="U605" s="346"/>
      <c r="V605" s="346"/>
      <c r="W605" s="346"/>
      <c r="X605" s="346"/>
      <c r="Y605" s="346"/>
      <c r="Z605" s="346"/>
      <c r="AA605" s="346"/>
      <c r="AB605" s="346"/>
      <c r="AC605" s="346"/>
      <c r="AD605" s="346"/>
      <c r="AE605" s="346"/>
      <c r="AF605" s="346"/>
      <c r="AG605" s="346"/>
      <c r="AH605" s="346"/>
      <c r="AI605" s="346"/>
      <c r="AJ605" s="346"/>
      <c r="AK605" s="346"/>
      <c r="AL605" s="346"/>
      <c r="AM605" s="346"/>
      <c r="AN605" s="346"/>
      <c r="AO605" s="346"/>
      <c r="AP605" s="346"/>
      <c r="AQ605" s="346"/>
      <c r="AR605" s="346"/>
      <c r="AS605" s="346"/>
      <c r="AT605" s="346"/>
      <c r="AU605" s="346"/>
      <c r="AV605" s="346"/>
      <c r="AW605" s="346"/>
      <c r="AX605" s="346"/>
      <c r="AY605" s="346"/>
      <c r="AZ605" s="346"/>
      <c r="BA605" s="346"/>
      <c r="BB605" s="346"/>
      <c r="BC605" s="346"/>
      <c r="BD605" s="346"/>
      <c r="BE605" s="346"/>
      <c r="BF605" s="346"/>
      <c r="BG605" s="346"/>
      <c r="BH605" s="346"/>
      <c r="BI605" s="346"/>
      <c r="BJ605" s="346"/>
      <c r="BK605" s="346"/>
      <c r="BL605" s="346"/>
      <c r="BM605" s="346"/>
      <c r="BN605" s="346"/>
      <c r="BO605" s="346"/>
      <c r="BP605" s="346"/>
      <c r="BQ605" s="346"/>
      <c r="BR605" s="346"/>
      <c r="BS605" s="346"/>
      <c r="BT605" s="346"/>
      <c r="BU605" s="346"/>
      <c r="BV605" s="346"/>
      <c r="BW605" s="346"/>
      <c r="BX605" s="346"/>
      <c r="BY605" s="346"/>
      <c r="BZ605" s="346"/>
      <c r="CA605" s="346"/>
      <c r="CB605" s="346"/>
      <c r="CC605" s="346"/>
      <c r="CD605" s="346"/>
      <c r="CE605" s="347"/>
      <c r="CF605" s="346"/>
      <c r="CG605" s="346"/>
      <c r="CH605" s="346"/>
      <c r="CI605" s="346"/>
      <c r="CJ605" s="346"/>
      <c r="CK605" s="346"/>
      <c r="CL605" s="346"/>
      <c r="CM605" s="346"/>
      <c r="CN605" s="346"/>
      <c r="CO605" s="346"/>
      <c r="CP605" s="348"/>
      <c r="CQ605" s="346"/>
      <c r="CR605" s="346"/>
      <c r="CS605" s="346"/>
      <c r="CT605" s="346"/>
      <c r="CU605" s="346"/>
      <c r="CV605" s="346"/>
      <c r="CW605" s="346"/>
      <c r="CX605" s="346"/>
      <c r="CY605" s="346"/>
      <c r="CZ605" s="346"/>
      <c r="DA605" s="346"/>
      <c r="DB605" s="1479"/>
      <c r="DC605" s="346"/>
      <c r="DD605" s="346"/>
      <c r="DE605" s="346"/>
      <c r="DF605" s="346"/>
      <c r="DG605" s="346"/>
      <c r="DH605" s="346"/>
      <c r="DI605" s="346"/>
      <c r="DJ605" s="346"/>
      <c r="DK605" s="346"/>
      <c r="DL605" s="346"/>
      <c r="DM605" s="346"/>
      <c r="DN605" s="348"/>
      <c r="DO605" s="346"/>
      <c r="DP605" s="346"/>
      <c r="DQ605" s="346"/>
      <c r="DR605" s="346"/>
      <c r="DS605" s="346"/>
      <c r="DT605" s="346"/>
      <c r="DU605" s="346"/>
      <c r="DV605" s="346"/>
      <c r="DW605" s="346"/>
      <c r="DX605" s="346"/>
      <c r="DY605" s="346"/>
      <c r="DZ605" s="348"/>
      <c r="EA605" s="346"/>
      <c r="EB605" s="346"/>
      <c r="EC605" s="346"/>
      <c r="ED605" s="346"/>
      <c r="EE605" s="346"/>
      <c r="EF605" s="346"/>
      <c r="EG605" s="346"/>
      <c r="EH605" s="346"/>
      <c r="EI605" s="346"/>
      <c r="EJ605" s="346"/>
      <c r="EK605" s="346"/>
      <c r="EL605" s="348"/>
      <c r="EM605" s="346"/>
      <c r="EN605" s="346"/>
      <c r="EO605" s="346"/>
      <c r="EP605" s="346"/>
      <c r="EQ605" s="346"/>
      <c r="ER605" s="346"/>
      <c r="ES605" s="346"/>
      <c r="ET605" s="346"/>
      <c r="EU605" s="346"/>
      <c r="EV605" s="346"/>
      <c r="EW605" s="346"/>
      <c r="EX605" s="348"/>
      <c r="EY605" s="346"/>
      <c r="EZ605" s="346"/>
      <c r="FA605" s="346"/>
      <c r="FB605" s="346"/>
      <c r="FC605" s="346"/>
      <c r="FD605" s="346"/>
      <c r="FE605" s="346"/>
      <c r="FF605" s="346"/>
      <c r="FG605" s="346"/>
      <c r="FH605" s="346"/>
      <c r="FI605" s="346"/>
      <c r="FJ605" s="348"/>
      <c r="FK605" s="346"/>
      <c r="FL605" s="346"/>
      <c r="FM605" s="346"/>
      <c r="FN605" s="346"/>
      <c r="FO605" s="346"/>
      <c r="FP605" s="346"/>
      <c r="FQ605" s="346"/>
      <c r="FR605" s="346"/>
      <c r="FS605" s="346"/>
      <c r="FT605" s="346"/>
      <c r="FU605" s="346"/>
      <c r="FV605" s="346"/>
      <c r="FW605" s="346"/>
      <c r="FX605" s="346"/>
      <c r="FY605" s="346"/>
      <c r="FZ605" s="346"/>
      <c r="GA605" s="346"/>
      <c r="GB605" s="346"/>
      <c r="GC605" s="346"/>
      <c r="GD605" s="346"/>
      <c r="GE605" s="346"/>
      <c r="GF605" s="346"/>
      <c r="GG605" s="346"/>
      <c r="GH605" s="346"/>
      <c r="GI605" s="346"/>
      <c r="GJ605" s="346"/>
      <c r="GK605" s="346"/>
      <c r="GL605" s="346"/>
      <c r="GM605" s="346"/>
      <c r="GN605" s="346"/>
      <c r="GO605" s="346"/>
      <c r="GP605" s="346"/>
      <c r="GQ605" s="346"/>
      <c r="GR605" s="346"/>
      <c r="GS605" s="346"/>
      <c r="GT605" s="346"/>
      <c r="GU605" s="346"/>
      <c r="GV605" s="346"/>
      <c r="GW605" s="346"/>
      <c r="GX605" s="346"/>
      <c r="GY605" s="346"/>
      <c r="GZ605" s="346"/>
      <c r="HA605" s="346"/>
      <c r="HB605" s="346"/>
      <c r="HC605" s="346"/>
      <c r="HD605" s="346"/>
      <c r="HE605" s="346"/>
      <c r="HF605" s="346"/>
      <c r="HG605" s="346"/>
      <c r="HH605" s="346"/>
      <c r="HI605" s="346"/>
      <c r="HJ605" s="346"/>
      <c r="HK605" s="346"/>
      <c r="HL605" s="346"/>
      <c r="HM605" s="346"/>
      <c r="HN605" s="349"/>
      <c r="HO605" s="351" t="s">
        <v>883</v>
      </c>
      <c r="HP605" s="351"/>
      <c r="HQ605" s="351"/>
      <c r="HR605" s="346">
        <f>+FISC!Z837</f>
        <v>0</v>
      </c>
      <c r="HS605" s="302">
        <f>SUM(CQ605:CV605)</f>
        <v>0</v>
      </c>
      <c r="HT605" s="302">
        <f>SUM(CW605:DB605)</f>
        <v>0</v>
      </c>
      <c r="HU605" s="346">
        <f>SUM(CQ605:DB605)</f>
        <v>0</v>
      </c>
      <c r="HV605" s="302">
        <f>+SUM(DC605:DH605)</f>
        <v>0</v>
      </c>
      <c r="HW605" s="302">
        <f>+SUM(DI605:DN605)</f>
        <v>0</v>
      </c>
      <c r="HX605" s="346">
        <f>HV605+HW605</f>
        <v>0</v>
      </c>
      <c r="HY605" s="302">
        <v>0</v>
      </c>
      <c r="HZ605" s="302">
        <f>SUM(DU605:DZ605)</f>
        <v>0</v>
      </c>
      <c r="IA605" s="346">
        <f t="shared" si="297"/>
        <v>0</v>
      </c>
      <c r="IB605" s="477"/>
      <c r="IC605" s="350"/>
      <c r="ID605" s="346">
        <f>FISC!AC837</f>
        <v>0</v>
      </c>
      <c r="IE605" s="302">
        <f t="shared" ref="IE605:IE614" si="471">SUM(EM605:ER605)</f>
        <v>0</v>
      </c>
      <c r="IF605" s="302">
        <f t="shared" ref="IF605:IF615" si="472">SUM(ES605:EX605)</f>
        <v>0</v>
      </c>
      <c r="IG605" s="346">
        <f t="shared" si="384"/>
        <v>0</v>
      </c>
      <c r="IH605" s="477"/>
      <c r="II605" s="350"/>
      <c r="IJ605" s="346">
        <f>+FISC!AE837</f>
        <v>0</v>
      </c>
      <c r="IK605" s="302">
        <f>IM605*JI605</f>
        <v>0</v>
      </c>
      <c r="IL605" s="302">
        <f t="shared" ref="IL605:IL620" si="473">IM605-IK605</f>
        <v>0</v>
      </c>
      <c r="IM605" s="346">
        <f>+FISC!AF837</f>
        <v>0</v>
      </c>
      <c r="IN605" s="302">
        <f t="shared" ref="IN605:IN610" si="474">IP605*JI605</f>
        <v>0</v>
      </c>
      <c r="IO605" s="302">
        <f t="shared" si="334"/>
        <v>0</v>
      </c>
      <c r="IP605" s="346">
        <f>+FISC!AG837</f>
        <v>0</v>
      </c>
      <c r="IQ605" s="302">
        <f t="shared" ref="IQ605:IQ610" si="475">IS605*JI605</f>
        <v>0</v>
      </c>
      <c r="IR605" s="302">
        <f t="shared" ref="IR605:IR615" si="476">IS605-IQ605</f>
        <v>0</v>
      </c>
      <c r="IS605" s="346">
        <f>+FISC!AH837</f>
        <v>0</v>
      </c>
      <c r="IT605" s="302">
        <f t="shared" ref="IT605:IT610" si="477">IV605*JI605</f>
        <v>0</v>
      </c>
      <c r="IU605" s="302">
        <f t="shared" ref="IU605:IU615" si="478">IV605-IT605</f>
        <v>0</v>
      </c>
      <c r="IV605" s="346">
        <f>+FISC!AI837</f>
        <v>0</v>
      </c>
      <c r="IW605" s="302">
        <f t="shared" si="295"/>
        <v>0</v>
      </c>
      <c r="IX605" s="302">
        <f t="shared" ref="IX605:IX615" si="479">IY605-IW605</f>
        <v>0</v>
      </c>
      <c r="IY605" s="346">
        <f>+FISC!AJ837</f>
        <v>0</v>
      </c>
      <c r="IZ605" s="302">
        <f t="shared" si="296"/>
        <v>0</v>
      </c>
      <c r="JA605" s="302">
        <f t="shared" ref="JA605:JA615" si="480">JB605-IZ605</f>
        <v>0</v>
      </c>
      <c r="JB605" s="346">
        <f>+FISC!AK837</f>
        <v>0</v>
      </c>
      <c r="JC605" s="346"/>
      <c r="KI605" s="349"/>
      <c r="KJ605" s="350"/>
    </row>
    <row r="606" spans="1:302">
      <c r="A606" s="302"/>
      <c r="D606" s="688" t="s">
        <v>815</v>
      </c>
      <c r="E606" s="346"/>
      <c r="F606" s="346"/>
      <c r="G606" s="346"/>
      <c r="H606" s="346"/>
      <c r="I606" s="346"/>
      <c r="J606" s="346"/>
      <c r="K606" s="346"/>
      <c r="L606" s="346"/>
      <c r="M606" s="346"/>
      <c r="N606" s="346"/>
      <c r="O606" s="346"/>
      <c r="P606" s="346"/>
      <c r="Q606" s="346"/>
      <c r="R606" s="346"/>
      <c r="S606" s="346"/>
      <c r="T606" s="346"/>
      <c r="U606" s="346"/>
      <c r="V606" s="346"/>
      <c r="W606" s="346"/>
      <c r="X606" s="346"/>
      <c r="Y606" s="346"/>
      <c r="Z606" s="346"/>
      <c r="AA606" s="346"/>
      <c r="AB606" s="346"/>
      <c r="AC606" s="346"/>
      <c r="AD606" s="346"/>
      <c r="AE606" s="346"/>
      <c r="AF606" s="346"/>
      <c r="AG606" s="346"/>
      <c r="AH606" s="346"/>
      <c r="AI606" s="346"/>
      <c r="AJ606" s="346"/>
      <c r="AK606" s="346"/>
      <c r="AL606" s="346"/>
      <c r="AM606" s="346"/>
      <c r="AN606" s="346"/>
      <c r="AO606" s="346"/>
      <c r="AP606" s="346"/>
      <c r="AQ606" s="346"/>
      <c r="AR606" s="346"/>
      <c r="AS606" s="346"/>
      <c r="AT606" s="346"/>
      <c r="AU606" s="346"/>
      <c r="AV606" s="346"/>
      <c r="AW606" s="346"/>
      <c r="AX606" s="346"/>
      <c r="AY606" s="346"/>
      <c r="AZ606" s="346"/>
      <c r="BA606" s="346"/>
      <c r="BB606" s="346"/>
      <c r="BC606" s="346"/>
      <c r="BD606" s="346"/>
      <c r="BE606" s="346"/>
      <c r="BF606" s="346"/>
      <c r="BG606" s="346"/>
      <c r="BH606" s="346"/>
      <c r="BI606" s="346"/>
      <c r="BJ606" s="346"/>
      <c r="BK606" s="346"/>
      <c r="BL606" s="346"/>
      <c r="BM606" s="346"/>
      <c r="BN606" s="346"/>
      <c r="BO606" s="346"/>
      <c r="BP606" s="346"/>
      <c r="BQ606" s="346"/>
      <c r="BR606" s="346"/>
      <c r="BS606" s="346"/>
      <c r="BT606" s="346"/>
      <c r="BU606" s="346"/>
      <c r="BV606" s="346"/>
      <c r="BW606" s="346"/>
      <c r="BX606" s="346"/>
      <c r="BY606" s="346"/>
      <c r="BZ606" s="346"/>
      <c r="CA606" s="346"/>
      <c r="CB606" s="346"/>
      <c r="CC606" s="346"/>
      <c r="CD606" s="346"/>
      <c r="CE606" s="347"/>
      <c r="CF606" s="346"/>
      <c r="CG606" s="346"/>
      <c r="CH606" s="346"/>
      <c r="CI606" s="346"/>
      <c r="CJ606" s="346"/>
      <c r="CK606" s="346"/>
      <c r="CL606" s="346"/>
      <c r="CM606" s="346"/>
      <c r="CN606" s="346"/>
      <c r="CO606" s="346"/>
      <c r="CP606" s="348"/>
      <c r="CQ606" s="346"/>
      <c r="CR606" s="346"/>
      <c r="CS606" s="346"/>
      <c r="CT606" s="346"/>
      <c r="CU606" s="346"/>
      <c r="CV606" s="346"/>
      <c r="CW606" s="346"/>
      <c r="CX606" s="346"/>
      <c r="CY606" s="346"/>
      <c r="CZ606" s="346"/>
      <c r="DA606" s="346"/>
      <c r="DB606" s="1479"/>
      <c r="DC606" s="638">
        <f>+DC544-DC499</f>
        <v>0</v>
      </c>
      <c r="DD606" s="638"/>
      <c r="DE606" s="638"/>
      <c r="DF606" s="638"/>
      <c r="DG606" s="638"/>
      <c r="DH606" s="638"/>
      <c r="DI606" s="638"/>
      <c r="DJ606" s="638"/>
      <c r="DK606" s="638"/>
      <c r="DL606" s="638"/>
      <c r="DM606" s="638"/>
      <c r="DN606" s="673"/>
      <c r="DO606" s="638"/>
      <c r="DP606" s="638"/>
      <c r="DQ606" s="638"/>
      <c r="DR606" s="638"/>
      <c r="DS606" s="638"/>
      <c r="DT606" s="638"/>
      <c r="DU606" s="638"/>
      <c r="DV606" s="638"/>
      <c r="DW606" s="638"/>
      <c r="DX606" s="638"/>
      <c r="DY606" s="638"/>
      <c r="DZ606" s="348"/>
      <c r="EA606" s="346"/>
      <c r="EB606" s="638"/>
      <c r="EC606" s="638"/>
      <c r="ED606" s="638"/>
      <c r="EE606" s="638"/>
      <c r="EF606" s="638"/>
      <c r="EG606" s="638"/>
      <c r="EH606" s="638"/>
      <c r="EI606" s="638"/>
      <c r="EJ606" s="638"/>
      <c r="EK606" s="638"/>
      <c r="EL606" s="673"/>
      <c r="EM606" s="638"/>
      <c r="EN606" s="638"/>
      <c r="EO606" s="638"/>
      <c r="EP606" s="638"/>
      <c r="EQ606" s="638"/>
      <c r="ER606" s="638"/>
      <c r="ES606" s="638"/>
      <c r="ET606" s="638"/>
      <c r="EU606" s="638"/>
      <c r="EV606" s="638"/>
      <c r="EW606" s="638"/>
      <c r="EX606" s="673"/>
      <c r="EY606" s="638"/>
      <c r="EZ606" s="638"/>
      <c r="FA606" s="638"/>
      <c r="FB606" s="638"/>
      <c r="FC606" s="638"/>
      <c r="FD606" s="638"/>
      <c r="FE606" s="638"/>
      <c r="FF606" s="638"/>
      <c r="FG606" s="638"/>
      <c r="FH606" s="638"/>
      <c r="FI606" s="638"/>
      <c r="FJ606" s="673"/>
      <c r="FK606" s="638"/>
      <c r="FL606" s="638"/>
      <c r="FM606" s="638"/>
      <c r="FN606" s="638"/>
      <c r="FO606" s="638"/>
      <c r="FP606" s="638"/>
      <c r="FQ606" s="638"/>
      <c r="FR606" s="638"/>
      <c r="FS606" s="638"/>
      <c r="FT606" s="638"/>
      <c r="FU606" s="638"/>
      <c r="FV606" s="638"/>
      <c r="FW606" s="638"/>
      <c r="FX606" s="638"/>
      <c r="FY606" s="638"/>
      <c r="FZ606" s="638"/>
      <c r="GA606" s="638"/>
      <c r="GB606" s="638"/>
      <c r="GC606" s="638"/>
      <c r="GD606" s="638"/>
      <c r="GE606" s="638"/>
      <c r="GF606" s="638"/>
      <c r="GG606" s="638"/>
      <c r="GH606" s="638"/>
      <c r="GI606" s="638"/>
      <c r="GJ606" s="638"/>
      <c r="GK606" s="638"/>
      <c r="GL606" s="638"/>
      <c r="GM606" s="638"/>
      <c r="GN606" s="638"/>
      <c r="GO606" s="638"/>
      <c r="GP606" s="638"/>
      <c r="GQ606" s="638"/>
      <c r="GR606" s="638"/>
      <c r="GS606" s="638"/>
      <c r="GT606" s="638"/>
      <c r="GU606" s="638"/>
      <c r="GV606" s="638"/>
      <c r="GW606" s="638"/>
      <c r="GX606" s="638"/>
      <c r="GY606" s="638"/>
      <c r="GZ606" s="638"/>
      <c r="HA606" s="638"/>
      <c r="HB606" s="638"/>
      <c r="HC606" s="638"/>
      <c r="HD606" s="638"/>
      <c r="HE606" s="638"/>
      <c r="HF606" s="638"/>
      <c r="HG606" s="638"/>
      <c r="HH606" s="638"/>
      <c r="HI606" s="638"/>
      <c r="HJ606" s="638"/>
      <c r="HK606" s="638"/>
      <c r="HL606" s="638"/>
      <c r="HM606" s="638"/>
      <c r="HN606" s="349"/>
      <c r="HO606" s="688" t="s">
        <v>815</v>
      </c>
      <c r="HP606" s="688"/>
      <c r="HQ606" s="688"/>
      <c r="HR606" s="346"/>
      <c r="HS606" s="638"/>
      <c r="HT606" s="638"/>
      <c r="HU606" s="346"/>
      <c r="HV606" s="638"/>
      <c r="HW606" s="638"/>
      <c r="HX606" s="346"/>
      <c r="HY606" s="638">
        <v>0</v>
      </c>
      <c r="HZ606" s="638">
        <f>SUM(DU606:DZ606)</f>
        <v>0</v>
      </c>
      <c r="IA606" s="346">
        <f t="shared" si="297"/>
        <v>0</v>
      </c>
      <c r="IB606" s="638"/>
      <c r="IC606" s="638"/>
      <c r="ID606" s="346">
        <f>FISC!AC838</f>
        <v>0</v>
      </c>
      <c r="IE606" s="302">
        <f t="shared" si="471"/>
        <v>0</v>
      </c>
      <c r="IF606" s="302">
        <f t="shared" si="472"/>
        <v>0</v>
      </c>
      <c r="IG606" s="346">
        <f t="shared" si="384"/>
        <v>0</v>
      </c>
      <c r="IH606" s="638"/>
      <c r="II606" s="638"/>
      <c r="IJ606" s="346"/>
      <c r="IK606" s="302">
        <f>IM606*JI606</f>
        <v>0</v>
      </c>
      <c r="IL606" s="302">
        <f t="shared" si="473"/>
        <v>0</v>
      </c>
      <c r="IM606" s="346"/>
      <c r="IN606" s="302">
        <f t="shared" si="474"/>
        <v>0</v>
      </c>
      <c r="IO606" s="302">
        <f t="shared" si="334"/>
        <v>0</v>
      </c>
      <c r="IP606" s="346"/>
      <c r="IQ606" s="302">
        <f t="shared" si="475"/>
        <v>0</v>
      </c>
      <c r="IR606" s="302">
        <f t="shared" si="476"/>
        <v>0</v>
      </c>
      <c r="IS606" s="346"/>
      <c r="IT606" s="302">
        <f t="shared" si="477"/>
        <v>0</v>
      </c>
      <c r="IU606" s="302">
        <f t="shared" si="478"/>
        <v>0</v>
      </c>
      <c r="IV606" s="346"/>
      <c r="IW606" s="302">
        <f t="shared" si="295"/>
        <v>0</v>
      </c>
      <c r="IX606" s="302">
        <f t="shared" si="479"/>
        <v>0</v>
      </c>
      <c r="IY606" s="346"/>
      <c r="IZ606" s="302">
        <f t="shared" si="296"/>
        <v>0</v>
      </c>
      <c r="JA606" s="302">
        <f t="shared" si="480"/>
        <v>0</v>
      </c>
      <c r="JB606" s="346"/>
      <c r="JC606" s="346"/>
      <c r="KI606" s="349"/>
      <c r="KJ606" s="350"/>
    </row>
    <row r="607" spans="1:302">
      <c r="A607" s="302"/>
      <c r="D607" s="688" t="s">
        <v>817</v>
      </c>
      <c r="E607" s="346"/>
      <c r="F607" s="346"/>
      <c r="G607" s="346"/>
      <c r="H607" s="346"/>
      <c r="I607" s="346"/>
      <c r="J607" s="346"/>
      <c r="K607" s="346"/>
      <c r="L607" s="346"/>
      <c r="M607" s="346"/>
      <c r="N607" s="346"/>
      <c r="O607" s="346"/>
      <c r="P607" s="346"/>
      <c r="Q607" s="346"/>
      <c r="R607" s="346"/>
      <c r="S607" s="346"/>
      <c r="T607" s="346"/>
      <c r="U607" s="346"/>
      <c r="V607" s="346"/>
      <c r="W607" s="346"/>
      <c r="X607" s="346"/>
      <c r="Y607" s="346"/>
      <c r="Z607" s="346"/>
      <c r="AA607" s="346"/>
      <c r="AB607" s="346"/>
      <c r="AC607" s="346"/>
      <c r="AD607" s="346"/>
      <c r="AE607" s="346"/>
      <c r="AF607" s="346"/>
      <c r="AG607" s="346"/>
      <c r="AH607" s="346"/>
      <c r="AI607" s="346"/>
      <c r="AJ607" s="346"/>
      <c r="AK607" s="346"/>
      <c r="AL607" s="346"/>
      <c r="AM607" s="346"/>
      <c r="AN607" s="346"/>
      <c r="AO607" s="346"/>
      <c r="AP607" s="346"/>
      <c r="AQ607" s="346"/>
      <c r="AR607" s="346"/>
      <c r="AS607" s="346"/>
      <c r="AT607" s="346"/>
      <c r="AU607" s="346"/>
      <c r="AV607" s="346"/>
      <c r="AW607" s="346"/>
      <c r="AX607" s="346"/>
      <c r="AY607" s="346"/>
      <c r="AZ607" s="346"/>
      <c r="BA607" s="346"/>
      <c r="BB607" s="346"/>
      <c r="BC607" s="346"/>
      <c r="BD607" s="346"/>
      <c r="BE607" s="346"/>
      <c r="BF607" s="346"/>
      <c r="BG607" s="346"/>
      <c r="BH607" s="346"/>
      <c r="BI607" s="346"/>
      <c r="BJ607" s="346"/>
      <c r="BK607" s="346"/>
      <c r="BL607" s="346"/>
      <c r="BM607" s="346"/>
      <c r="BN607" s="346"/>
      <c r="BO607" s="346"/>
      <c r="BP607" s="346"/>
      <c r="BQ607" s="346"/>
      <c r="BR607" s="346"/>
      <c r="BS607" s="346"/>
      <c r="BT607" s="346"/>
      <c r="BU607" s="346"/>
      <c r="BV607" s="346"/>
      <c r="BW607" s="346"/>
      <c r="BX607" s="346"/>
      <c r="BY607" s="346"/>
      <c r="BZ607" s="346"/>
      <c r="CA607" s="346"/>
      <c r="CB607" s="346"/>
      <c r="CC607" s="346"/>
      <c r="CD607" s="346"/>
      <c r="CE607" s="347"/>
      <c r="CF607" s="346"/>
      <c r="CG607" s="346"/>
      <c r="CH607" s="346"/>
      <c r="CI607" s="346"/>
      <c r="CJ607" s="346"/>
      <c r="CK607" s="346"/>
      <c r="CL607" s="346"/>
      <c r="CM607" s="346"/>
      <c r="CN607" s="346"/>
      <c r="CO607" s="346"/>
      <c r="CP607" s="348"/>
      <c r="CQ607" s="346"/>
      <c r="CR607" s="346"/>
      <c r="CS607" s="346"/>
      <c r="CT607" s="346"/>
      <c r="CU607" s="346"/>
      <c r="CV607" s="346"/>
      <c r="CW607" s="346"/>
      <c r="CX607" s="346"/>
      <c r="CY607" s="346"/>
      <c r="CZ607" s="346"/>
      <c r="DA607" s="346"/>
      <c r="DB607" s="1479"/>
      <c r="DC607" s="638"/>
      <c r="DD607" s="638"/>
      <c r="DE607" s="638"/>
      <c r="DF607" s="638"/>
      <c r="DG607" s="638"/>
      <c r="DH607" s="638"/>
      <c r="DI607" s="638"/>
      <c r="DJ607" s="638"/>
      <c r="DK607" s="638"/>
      <c r="DL607" s="638"/>
      <c r="DM607" s="638"/>
      <c r="DN607" s="673"/>
      <c r="DO607" s="638"/>
      <c r="DP607" s="638"/>
      <c r="DQ607" s="638"/>
      <c r="DR607" s="638"/>
      <c r="DS607" s="638"/>
      <c r="DT607" s="638"/>
      <c r="DU607" s="638"/>
      <c r="DV607" s="638"/>
      <c r="DW607" s="638"/>
      <c r="DX607" s="638"/>
      <c r="DY607" s="638"/>
      <c r="DZ607" s="673"/>
      <c r="EA607" s="638"/>
      <c r="EB607" s="638"/>
      <c r="EC607" s="638"/>
      <c r="ED607" s="638"/>
      <c r="EE607" s="638"/>
      <c r="EF607" s="638"/>
      <c r="EG607" s="638"/>
      <c r="EH607" s="638"/>
      <c r="EI607" s="638"/>
      <c r="EJ607" s="638"/>
      <c r="EK607" s="638"/>
      <c r="EL607" s="673"/>
      <c r="EM607" s="638"/>
      <c r="EN607" s="638"/>
      <c r="EO607" s="638"/>
      <c r="EP607" s="638"/>
      <c r="EQ607" s="638"/>
      <c r="ER607" s="638"/>
      <c r="ES607" s="638"/>
      <c r="ET607" s="638"/>
      <c r="EU607" s="638"/>
      <c r="EV607" s="638"/>
      <c r="EW607" s="638"/>
      <c r="EX607" s="673"/>
      <c r="EY607" s="638"/>
      <c r="EZ607" s="638"/>
      <c r="FA607" s="638"/>
      <c r="FB607" s="638"/>
      <c r="FC607" s="638"/>
      <c r="FD607" s="638"/>
      <c r="FE607" s="638"/>
      <c r="FF607" s="638"/>
      <c r="FG607" s="638"/>
      <c r="FH607" s="638"/>
      <c r="FI607" s="638"/>
      <c r="FJ607" s="673"/>
      <c r="FK607" s="638"/>
      <c r="FL607" s="638"/>
      <c r="FM607" s="638"/>
      <c r="FN607" s="638"/>
      <c r="FO607" s="638"/>
      <c r="FP607" s="638"/>
      <c r="FQ607" s="638"/>
      <c r="FR607" s="638"/>
      <c r="FS607" s="638"/>
      <c r="FT607" s="638"/>
      <c r="FU607" s="638"/>
      <c r="FV607" s="638"/>
      <c r="FW607" s="638"/>
      <c r="FX607" s="638"/>
      <c r="FY607" s="638"/>
      <c r="FZ607" s="638"/>
      <c r="GA607" s="638"/>
      <c r="GB607" s="638"/>
      <c r="GC607" s="638"/>
      <c r="GD607" s="638"/>
      <c r="GE607" s="638"/>
      <c r="GF607" s="638"/>
      <c r="GG607" s="638"/>
      <c r="GH607" s="638"/>
      <c r="GI607" s="638"/>
      <c r="GJ607" s="638"/>
      <c r="GK607" s="638"/>
      <c r="GL607" s="638"/>
      <c r="GM607" s="638"/>
      <c r="GN607" s="638"/>
      <c r="GO607" s="638"/>
      <c r="GP607" s="638"/>
      <c r="GQ607" s="638"/>
      <c r="GR607" s="638"/>
      <c r="GS607" s="638"/>
      <c r="GT607" s="638"/>
      <c r="GU607" s="638"/>
      <c r="GV607" s="638"/>
      <c r="GW607" s="638"/>
      <c r="GX607" s="638"/>
      <c r="GY607" s="638"/>
      <c r="GZ607" s="638"/>
      <c r="HA607" s="638"/>
      <c r="HB607" s="638"/>
      <c r="HC607" s="638"/>
      <c r="HD607" s="638"/>
      <c r="HE607" s="638"/>
      <c r="HF607" s="638"/>
      <c r="HG607" s="638"/>
      <c r="HH607" s="638"/>
      <c r="HI607" s="638"/>
      <c r="HJ607" s="638"/>
      <c r="HK607" s="638"/>
      <c r="HL607" s="638"/>
      <c r="HM607" s="638"/>
      <c r="HN607" s="349"/>
      <c r="HO607" s="688" t="s">
        <v>817</v>
      </c>
      <c r="HP607" s="688"/>
      <c r="HQ607" s="688"/>
      <c r="HR607" s="346"/>
      <c r="HS607" s="638"/>
      <c r="HT607" s="638"/>
      <c r="HU607" s="346"/>
      <c r="HV607" s="638"/>
      <c r="HW607" s="638"/>
      <c r="HX607" s="346"/>
      <c r="HY607" s="638">
        <v>0</v>
      </c>
      <c r="HZ607" s="638">
        <f>SUM(DU607:DZ607)</f>
        <v>0</v>
      </c>
      <c r="IA607" s="346">
        <f t="shared" si="297"/>
        <v>0</v>
      </c>
      <c r="IB607" s="638"/>
      <c r="IC607" s="638"/>
      <c r="ID607" s="346">
        <f>FISC!AC839</f>
        <v>0</v>
      </c>
      <c r="IE607" s="302">
        <f t="shared" si="471"/>
        <v>0</v>
      </c>
      <c r="IF607" s="302">
        <f t="shared" si="472"/>
        <v>0</v>
      </c>
      <c r="IG607" s="346">
        <f t="shared" si="384"/>
        <v>0</v>
      </c>
      <c r="IH607" s="638"/>
      <c r="II607" s="638"/>
      <c r="IJ607" s="346"/>
      <c r="IK607" s="302">
        <f>IM607*JI607</f>
        <v>0</v>
      </c>
      <c r="IL607" s="302">
        <f t="shared" si="473"/>
        <v>0</v>
      </c>
      <c r="IM607" s="346"/>
      <c r="IN607" s="302">
        <f t="shared" si="474"/>
        <v>0</v>
      </c>
      <c r="IO607" s="302">
        <f t="shared" si="334"/>
        <v>0</v>
      </c>
      <c r="IP607" s="346"/>
      <c r="IQ607" s="302">
        <f t="shared" si="475"/>
        <v>0</v>
      </c>
      <c r="IR607" s="302">
        <f t="shared" si="476"/>
        <v>0</v>
      </c>
      <c r="IS607" s="346"/>
      <c r="IT607" s="302">
        <f t="shared" si="477"/>
        <v>0</v>
      </c>
      <c r="IU607" s="302">
        <f t="shared" si="478"/>
        <v>0</v>
      </c>
      <c r="IV607" s="346"/>
      <c r="IW607" s="302">
        <f>IY607*JL607</f>
        <v>0</v>
      </c>
      <c r="IX607" s="302">
        <f t="shared" si="479"/>
        <v>0</v>
      </c>
      <c r="IY607" s="346"/>
      <c r="IZ607" s="302">
        <f>JB607*JO607</f>
        <v>0</v>
      </c>
      <c r="JA607" s="302">
        <f t="shared" si="480"/>
        <v>0</v>
      </c>
      <c r="JB607" s="346"/>
      <c r="JC607" s="346"/>
      <c r="KI607" s="349"/>
      <c r="KJ607" s="350"/>
    </row>
    <row r="608" spans="1:302">
      <c r="A608" s="302"/>
      <c r="D608" s="351" t="str">
        <f>+FISC!D840</f>
        <v>o/w: Strategic reserves</v>
      </c>
      <c r="E608" s="346"/>
      <c r="F608" s="346"/>
      <c r="G608" s="346"/>
      <c r="H608" s="346"/>
      <c r="I608" s="346"/>
      <c r="J608" s="346"/>
      <c r="K608" s="346"/>
      <c r="L608" s="346"/>
      <c r="M608" s="346"/>
      <c r="N608" s="346"/>
      <c r="O608" s="346"/>
      <c r="P608" s="346"/>
      <c r="Q608" s="346"/>
      <c r="R608" s="346"/>
      <c r="S608" s="346"/>
      <c r="T608" s="346"/>
      <c r="U608" s="346"/>
      <c r="V608" s="346"/>
      <c r="W608" s="346"/>
      <c r="X608" s="346"/>
      <c r="Y608" s="346"/>
      <c r="Z608" s="346"/>
      <c r="AA608" s="346"/>
      <c r="AB608" s="346"/>
      <c r="AC608" s="346"/>
      <c r="AD608" s="346"/>
      <c r="AE608" s="346"/>
      <c r="AF608" s="346"/>
      <c r="AG608" s="346"/>
      <c r="AH608" s="346"/>
      <c r="AI608" s="346"/>
      <c r="AJ608" s="346"/>
      <c r="AK608" s="346"/>
      <c r="AL608" s="346"/>
      <c r="AM608" s="346"/>
      <c r="AN608" s="346"/>
      <c r="AO608" s="346"/>
      <c r="AP608" s="346"/>
      <c r="AQ608" s="346"/>
      <c r="AR608" s="346"/>
      <c r="AS608" s="346"/>
      <c r="AT608" s="346"/>
      <c r="AU608" s="346"/>
      <c r="AV608" s="346"/>
      <c r="AW608" s="346"/>
      <c r="AX608" s="346"/>
      <c r="AY608" s="346"/>
      <c r="AZ608" s="346"/>
      <c r="BA608" s="346"/>
      <c r="BB608" s="346"/>
      <c r="BC608" s="346"/>
      <c r="BD608" s="346"/>
      <c r="BE608" s="346"/>
      <c r="BF608" s="346"/>
      <c r="BG608" s="346"/>
      <c r="BH608" s="346"/>
      <c r="BI608" s="346"/>
      <c r="BJ608" s="346"/>
      <c r="BK608" s="346"/>
      <c r="BL608" s="346"/>
      <c r="BM608" s="346"/>
      <c r="BN608" s="346"/>
      <c r="BO608" s="346"/>
      <c r="BP608" s="346"/>
      <c r="BQ608" s="346"/>
      <c r="BR608" s="346"/>
      <c r="BS608" s="346"/>
      <c r="BT608" s="346"/>
      <c r="BU608" s="346"/>
      <c r="BV608" s="346"/>
      <c r="BW608" s="346"/>
      <c r="BX608" s="346"/>
      <c r="BY608" s="346"/>
      <c r="BZ608" s="346"/>
      <c r="CA608" s="346"/>
      <c r="CB608" s="346"/>
      <c r="CC608" s="346"/>
      <c r="CD608" s="346"/>
      <c r="CE608" s="347">
        <v>0</v>
      </c>
      <c r="CF608" s="346">
        <v>0</v>
      </c>
      <c r="CG608" s="346">
        <v>0</v>
      </c>
      <c r="CH608" s="346">
        <v>0</v>
      </c>
      <c r="CI608" s="346">
        <v>0</v>
      </c>
      <c r="CJ608" s="346">
        <v>0</v>
      </c>
      <c r="CK608" s="346">
        <v>0</v>
      </c>
      <c r="CL608" s="346">
        <v>0</v>
      </c>
      <c r="CM608" s="346">
        <v>0</v>
      </c>
      <c r="CN608" s="346">
        <v>0</v>
      </c>
      <c r="CO608" s="346">
        <v>0</v>
      </c>
      <c r="CP608" s="348">
        <v>0</v>
      </c>
      <c r="CQ608" s="346">
        <v>0</v>
      </c>
      <c r="CR608" s="346">
        <v>0</v>
      </c>
      <c r="CS608" s="346">
        <v>0</v>
      </c>
      <c r="CT608" s="346">
        <v>0</v>
      </c>
      <c r="CU608" s="346">
        <v>0</v>
      </c>
      <c r="CV608" s="346">
        <v>0</v>
      </c>
      <c r="CW608" s="346">
        <v>0</v>
      </c>
      <c r="CX608" s="346">
        <v>0</v>
      </c>
      <c r="CY608" s="346">
        <v>0</v>
      </c>
      <c r="CZ608" s="346">
        <v>0</v>
      </c>
      <c r="DA608" s="346">
        <v>0</v>
      </c>
      <c r="DB608" s="1479">
        <v>0</v>
      </c>
      <c r="DC608" s="346"/>
      <c r="DD608" s="346"/>
      <c r="DE608" s="346"/>
      <c r="DF608" s="346"/>
      <c r="DG608" s="346"/>
      <c r="DH608" s="346"/>
      <c r="DI608" s="346"/>
      <c r="DJ608" s="346"/>
      <c r="DK608" s="346"/>
      <c r="DL608" s="346"/>
      <c r="DM608" s="346"/>
      <c r="DN608" s="348"/>
      <c r="DO608" s="346">
        <f t="shared" ref="DO608:EX608" si="481">-DO188</f>
        <v>-0.73974856200000005</v>
      </c>
      <c r="DP608" s="346">
        <f t="shared" si="481"/>
        <v>-0.82919036700000004</v>
      </c>
      <c r="DQ608" s="346">
        <f t="shared" si="481"/>
        <v>-0.87094658000000003</v>
      </c>
      <c r="DR608" s="346">
        <f t="shared" si="481"/>
        <v>-0.70157835199999996</v>
      </c>
      <c r="DS608" s="346">
        <f t="shared" si="481"/>
        <v>-0.821549474</v>
      </c>
      <c r="DT608" s="346">
        <f t="shared" si="481"/>
        <v>-1.0244940810000001</v>
      </c>
      <c r="DU608" s="346">
        <f t="shared" si="481"/>
        <v>-1.1159677509999999</v>
      </c>
      <c r="DV608" s="346">
        <f t="shared" si="481"/>
        <v>-0.74446658200000004</v>
      </c>
      <c r="DW608" s="346">
        <f t="shared" si="481"/>
        <v>-0.91216096800000002</v>
      </c>
      <c r="DX608" s="346">
        <f t="shared" si="481"/>
        <v>-0.79233381999999997</v>
      </c>
      <c r="DY608" s="346">
        <f t="shared" si="481"/>
        <v>-0.80858132599999999</v>
      </c>
      <c r="DZ608" s="673">
        <f t="shared" si="481"/>
        <v>-0.88013021899999999</v>
      </c>
      <c r="EA608" s="638">
        <f t="shared" si="481"/>
        <v>-0.77951761200000003</v>
      </c>
      <c r="EB608" s="346">
        <f t="shared" si="481"/>
        <v>-0.85310538599999997</v>
      </c>
      <c r="EC608" s="346">
        <f t="shared" si="481"/>
        <v>-0.85846891700000005</v>
      </c>
      <c r="ED608" s="346">
        <f t="shared" si="481"/>
        <v>-0.81156610799999995</v>
      </c>
      <c r="EE608" s="346">
        <f t="shared" si="481"/>
        <v>-0.89398497700000001</v>
      </c>
      <c r="EF608" s="346">
        <f t="shared" si="481"/>
        <v>-0.90503010500000003</v>
      </c>
      <c r="EG608" s="346">
        <f t="shared" si="481"/>
        <v>-0.74971463000000005</v>
      </c>
      <c r="EH608" s="346">
        <f t="shared" si="481"/>
        <v>-0.81065723899999997</v>
      </c>
      <c r="EI608" s="346">
        <f t="shared" si="481"/>
        <v>-0.88320536900000002</v>
      </c>
      <c r="EJ608" s="346">
        <f t="shared" si="481"/>
        <v>-0.77698077300000001</v>
      </c>
      <c r="EK608" s="346">
        <f t="shared" si="481"/>
        <v>-0.89142172200000003</v>
      </c>
      <c r="EL608" s="348">
        <f t="shared" si="481"/>
        <v>-0.97563938900000002</v>
      </c>
      <c r="EM608" s="346">
        <f t="shared" si="481"/>
        <v>-0.83848702600000002</v>
      </c>
      <c r="EN608" s="346">
        <f t="shared" si="481"/>
        <v>-1.013353685</v>
      </c>
      <c r="EO608" s="346">
        <f t="shared" si="481"/>
        <v>-0.94132519000000003</v>
      </c>
      <c r="EP608" s="346">
        <f t="shared" si="481"/>
        <v>-0.84642424299999997</v>
      </c>
      <c r="EQ608" s="346">
        <f t="shared" si="481"/>
        <v>-0.88327053200000005</v>
      </c>
      <c r="ER608" s="346">
        <f t="shared" si="481"/>
        <v>-0.89122966599999998</v>
      </c>
      <c r="ES608" s="346">
        <f t="shared" si="481"/>
        <v>-0.78034427100000003</v>
      </c>
      <c r="ET608" s="346">
        <f t="shared" si="481"/>
        <v>-0.93406694999999995</v>
      </c>
      <c r="EU608" s="346">
        <f t="shared" si="481"/>
        <v>-0.93166332100000004</v>
      </c>
      <c r="EV608" s="346">
        <f t="shared" si="481"/>
        <v>-0.90874494699999997</v>
      </c>
      <c r="EW608" s="346">
        <f t="shared" si="481"/>
        <v>-1.0802803459999999</v>
      </c>
      <c r="EX608" s="348">
        <f t="shared" si="481"/>
        <v>-0.93492535499999996</v>
      </c>
      <c r="EY608" s="346"/>
      <c r="EZ608" s="346"/>
      <c r="FA608" s="346"/>
      <c r="FB608" s="346"/>
      <c r="FC608" s="346"/>
      <c r="FD608" s="346"/>
      <c r="FE608" s="346"/>
      <c r="FF608" s="346"/>
      <c r="FG608" s="346"/>
      <c r="FH608" s="346"/>
      <c r="FI608" s="346"/>
      <c r="FJ608" s="348"/>
      <c r="FK608" s="346"/>
      <c r="FL608" s="346"/>
      <c r="FM608" s="346"/>
      <c r="FN608" s="346"/>
      <c r="FO608" s="346"/>
      <c r="FP608" s="346"/>
      <c r="FQ608" s="346"/>
      <c r="FR608" s="346"/>
      <c r="FS608" s="346"/>
      <c r="FT608" s="346"/>
      <c r="FU608" s="346"/>
      <c r="FV608" s="346"/>
      <c r="FW608" s="346"/>
      <c r="FX608" s="346"/>
      <c r="FY608" s="346"/>
      <c r="FZ608" s="346"/>
      <c r="GA608" s="346"/>
      <c r="GB608" s="346"/>
      <c r="GC608" s="346"/>
      <c r="GD608" s="346"/>
      <c r="GE608" s="346"/>
      <c r="GF608" s="346"/>
      <c r="GG608" s="346"/>
      <c r="GH608" s="346"/>
      <c r="GI608" s="346"/>
      <c r="GJ608" s="346"/>
      <c r="GK608" s="346"/>
      <c r="GL608" s="346"/>
      <c r="GM608" s="346"/>
      <c r="GN608" s="346"/>
      <c r="GO608" s="346"/>
      <c r="GP608" s="346"/>
      <c r="GQ608" s="346"/>
      <c r="GR608" s="346"/>
      <c r="GS608" s="346"/>
      <c r="GT608" s="346"/>
      <c r="GU608" s="346"/>
      <c r="GV608" s="346"/>
      <c r="GW608" s="346"/>
      <c r="GX608" s="346"/>
      <c r="GY608" s="346"/>
      <c r="GZ608" s="346"/>
      <c r="HA608" s="346"/>
      <c r="HB608" s="346"/>
      <c r="HC608" s="346"/>
      <c r="HD608" s="346"/>
      <c r="HE608" s="346"/>
      <c r="HF608" s="346"/>
      <c r="HG608" s="346"/>
      <c r="HH608" s="346"/>
      <c r="HI608" s="346"/>
      <c r="HJ608" s="346"/>
      <c r="HK608" s="346"/>
      <c r="HL608" s="346"/>
      <c r="HM608" s="346"/>
      <c r="HN608" s="349"/>
      <c r="HO608" s="351" t="s">
        <v>884</v>
      </c>
      <c r="HP608" s="351"/>
      <c r="HQ608" s="351"/>
      <c r="HR608" s="346">
        <f>+FISC!Z840</f>
        <v>0</v>
      </c>
      <c r="HS608" s="302">
        <f>SUM(CQ608:CV608)</f>
        <v>0</v>
      </c>
      <c r="HT608" s="302">
        <f>SUM(CW608:DB608)</f>
        <v>0</v>
      </c>
      <c r="HU608" s="346">
        <f>SUM(CQ608:DB608)</f>
        <v>0</v>
      </c>
      <c r="HV608" s="302">
        <f>+SUM(DC608:DH608)*0-8.7/2</f>
        <v>-4.3499999999999996</v>
      </c>
      <c r="HW608" s="302">
        <f>+SUM(DI608:DN608)-8.7/2</f>
        <v>-4.3499999999999996</v>
      </c>
      <c r="HX608" s="346">
        <f t="shared" ref="HX608:HX615" si="482">HV608+HW608</f>
        <v>-8.6999999999999993</v>
      </c>
      <c r="HY608" s="302">
        <f>+SUM(DO608:DT608)</f>
        <v>-4.9875074160000006</v>
      </c>
      <c r="HZ608" s="302">
        <f>SUM(DU608:DZ608)</f>
        <v>-5.2536406659999999</v>
      </c>
      <c r="IA608" s="346">
        <f t="shared" ref="IA608:IA615" si="483">HY608+HZ608</f>
        <v>-10.241148082</v>
      </c>
      <c r="IB608" s="477">
        <f>+((ID608/2))*0+1.143047465</f>
        <v>1.143047465</v>
      </c>
      <c r="IC608" s="302">
        <f>+ID608-IB608</f>
        <v>2.1898058840000005</v>
      </c>
      <c r="ID608" s="346">
        <f>FISC!AC840</f>
        <v>3.3328533490000005</v>
      </c>
      <c r="IE608" s="302">
        <f t="shared" si="471"/>
        <v>-5.4140903420000006</v>
      </c>
      <c r="IF608" s="302">
        <f t="shared" si="472"/>
        <v>-5.57002519</v>
      </c>
      <c r="IG608" s="346">
        <f t="shared" si="384"/>
        <v>-10.984115532000001</v>
      </c>
      <c r="IH608" s="477" t="e">
        <f>(IJ608/2)*0+#REF!</f>
        <v>#REF!</v>
      </c>
      <c r="II608" s="302" t="e">
        <f>+IJ608-IH608</f>
        <v>#REF!</v>
      </c>
      <c r="IJ608" s="346">
        <f>+FISC!AE840</f>
        <v>-0.88282153700000165</v>
      </c>
      <c r="IK608" s="350" t="e">
        <f>IM608/2+#REF!</f>
        <v>#REF!</v>
      </c>
      <c r="IL608" s="302" t="e">
        <f t="shared" si="473"/>
        <v>#REF!</v>
      </c>
      <c r="IM608" s="346">
        <f>+FISC!AF840</f>
        <v>-3.3520687910000007</v>
      </c>
      <c r="IN608" s="350" t="e">
        <f>IP608/2+#REF!</f>
        <v>#REF!</v>
      </c>
      <c r="IO608" s="302" t="e">
        <f t="shared" si="334"/>
        <v>#REF!</v>
      </c>
      <c r="IP608" s="346">
        <f>+FISC!AG840</f>
        <v>0</v>
      </c>
      <c r="IQ608" s="350">
        <f>IS608/2</f>
        <v>-12.299850439408702</v>
      </c>
      <c r="IR608" s="302">
        <f t="shared" si="476"/>
        <v>-12.299850439408702</v>
      </c>
      <c r="IS608" s="346">
        <f>+FISC!AH840</f>
        <v>-24.599700878817405</v>
      </c>
      <c r="IT608" s="350">
        <f>IV608/2</f>
        <v>-12.782859870921291</v>
      </c>
      <c r="IU608" s="302">
        <f t="shared" si="478"/>
        <v>-12.782859870921291</v>
      </c>
      <c r="IV608" s="346">
        <f>+FISC!AI840</f>
        <v>-25.565719741842582</v>
      </c>
      <c r="IW608" s="350">
        <f>IY608/2</f>
        <v>0</v>
      </c>
      <c r="IX608" s="302">
        <f t="shared" si="479"/>
        <v>0</v>
      </c>
      <c r="IY608" s="346">
        <f>+FISC!AJ840</f>
        <v>0</v>
      </c>
      <c r="IZ608" s="350">
        <f>JB608/2</f>
        <v>0</v>
      </c>
      <c r="JA608" s="302">
        <f t="shared" si="480"/>
        <v>0</v>
      </c>
      <c r="JB608" s="346">
        <f>+FISC!AK840</f>
        <v>0</v>
      </c>
      <c r="JC608" s="346"/>
      <c r="KI608" s="349"/>
      <c r="KJ608" s="350"/>
    </row>
    <row r="609" spans="1:302">
      <c r="A609" s="302"/>
      <c r="B609" s="117" t="s">
        <v>361</v>
      </c>
      <c r="D609" s="351" t="str">
        <f>+FISC!D842</f>
        <v>o/w: levy on imports</v>
      </c>
      <c r="E609" s="346"/>
      <c r="F609" s="346"/>
      <c r="G609" s="346"/>
      <c r="H609" s="346"/>
      <c r="I609" s="346"/>
      <c r="J609" s="346"/>
      <c r="K609" s="346"/>
      <c r="L609" s="346"/>
      <c r="M609" s="346"/>
      <c r="N609" s="346"/>
      <c r="O609" s="346"/>
      <c r="P609" s="346"/>
      <c r="Q609" s="346"/>
      <c r="R609" s="346"/>
      <c r="S609" s="346"/>
      <c r="T609" s="346"/>
      <c r="U609" s="346"/>
      <c r="V609" s="346"/>
      <c r="W609" s="346"/>
      <c r="X609" s="346"/>
      <c r="Y609" s="346"/>
      <c r="Z609" s="346"/>
      <c r="AA609" s="346"/>
      <c r="AB609" s="346"/>
      <c r="AC609" s="346"/>
      <c r="AD609" s="346"/>
      <c r="AE609" s="346"/>
      <c r="AF609" s="346"/>
      <c r="AG609" s="346"/>
      <c r="AH609" s="346"/>
      <c r="AI609" s="346"/>
      <c r="AJ609" s="346"/>
      <c r="AK609" s="346"/>
      <c r="AL609" s="346"/>
      <c r="AM609" s="346"/>
      <c r="AN609" s="346"/>
      <c r="AO609" s="346"/>
      <c r="AP609" s="346"/>
      <c r="AQ609" s="346"/>
      <c r="AR609" s="346"/>
      <c r="AS609" s="346"/>
      <c r="AT609" s="346"/>
      <c r="AU609" s="346"/>
      <c r="AV609" s="346"/>
      <c r="AW609" s="346"/>
      <c r="AX609" s="346"/>
      <c r="AY609" s="346"/>
      <c r="AZ609" s="346"/>
      <c r="BA609" s="346"/>
      <c r="BB609" s="346"/>
      <c r="BC609" s="346"/>
      <c r="BD609" s="346"/>
      <c r="BE609" s="346"/>
      <c r="BF609" s="346"/>
      <c r="BG609" s="346"/>
      <c r="BH609" s="346"/>
      <c r="BI609" s="346"/>
      <c r="BJ609" s="346"/>
      <c r="BK609" s="346"/>
      <c r="BL609" s="346"/>
      <c r="BM609" s="346"/>
      <c r="BN609" s="346"/>
      <c r="BO609" s="346"/>
      <c r="BP609" s="346"/>
      <c r="BQ609" s="346"/>
      <c r="BR609" s="346"/>
      <c r="BS609" s="346"/>
      <c r="BT609" s="346"/>
      <c r="BU609" s="346"/>
      <c r="BV609" s="346"/>
      <c r="BW609" s="346"/>
      <c r="BX609" s="346"/>
      <c r="BY609" s="346"/>
      <c r="BZ609" s="346"/>
      <c r="CA609" s="346"/>
      <c r="CB609" s="346"/>
      <c r="CC609" s="346"/>
      <c r="CD609" s="346"/>
      <c r="CE609" s="347"/>
      <c r="CF609" s="346"/>
      <c r="CG609" s="346"/>
      <c r="CH609" s="346"/>
      <c r="CI609" s="346"/>
      <c r="CJ609" s="346"/>
      <c r="CK609" s="346"/>
      <c r="CL609" s="346"/>
      <c r="CM609" s="346"/>
      <c r="CN609" s="346"/>
      <c r="CO609" s="346"/>
      <c r="CP609" s="348"/>
      <c r="CQ609" s="346"/>
      <c r="CR609" s="346"/>
      <c r="CS609" s="346"/>
      <c r="CT609" s="346"/>
      <c r="CU609" s="346"/>
      <c r="CV609" s="346"/>
      <c r="CW609" s="346"/>
      <c r="CX609" s="346"/>
      <c r="CY609" s="346"/>
      <c r="CZ609" s="346"/>
      <c r="DA609" s="346"/>
      <c r="DB609" s="1479"/>
      <c r="DC609" s="346"/>
      <c r="DD609" s="346"/>
      <c r="DE609" s="346"/>
      <c r="DF609" s="346"/>
      <c r="DG609" s="346"/>
      <c r="DH609" s="346"/>
      <c r="DI609" s="346"/>
      <c r="DJ609" s="346"/>
      <c r="DK609" s="346"/>
      <c r="DL609" s="346"/>
      <c r="DM609" s="346"/>
      <c r="DN609" s="348"/>
      <c r="DO609" s="346">
        <f t="shared" ref="DO609:EX609" si="484">-DO199</f>
        <v>-0.81548350400000003</v>
      </c>
      <c r="DP609" s="346">
        <f t="shared" si="484"/>
        <v>-0.89468296199999997</v>
      </c>
      <c r="DQ609" s="346">
        <f t="shared" si="484"/>
        <v>-0.88994272699999999</v>
      </c>
      <c r="DR609" s="346">
        <f t="shared" si="484"/>
        <v>-0.74259006599999999</v>
      </c>
      <c r="DS609" s="346">
        <f t="shared" si="484"/>
        <v>-0.85803408800000003</v>
      </c>
      <c r="DT609" s="346">
        <f t="shared" si="484"/>
        <v>-0.95241461699999996</v>
      </c>
      <c r="DU609" s="346">
        <f t="shared" si="484"/>
        <v>-0.82779765299999997</v>
      </c>
      <c r="DV609" s="346">
        <f t="shared" si="484"/>
        <v>-0.78600829800000005</v>
      </c>
      <c r="DW609" s="346">
        <f t="shared" si="484"/>
        <v>-0.92951981500000003</v>
      </c>
      <c r="DX609" s="346">
        <f t="shared" si="484"/>
        <v>-0.81068596299999995</v>
      </c>
      <c r="DY609" s="346">
        <f t="shared" si="484"/>
        <v>-0.99184130999999998</v>
      </c>
      <c r="DZ609" s="348">
        <f t="shared" si="484"/>
        <v>-1.1211130899999999</v>
      </c>
      <c r="EA609" s="346">
        <f t="shared" si="484"/>
        <v>-0.86431013499999998</v>
      </c>
      <c r="EB609" s="346">
        <f t="shared" si="484"/>
        <v>-0.89608272</v>
      </c>
      <c r="EC609" s="346">
        <f t="shared" si="484"/>
        <v>-1.0324487339999999</v>
      </c>
      <c r="ED609" s="346">
        <f t="shared" si="484"/>
        <v>-0.98973740300000002</v>
      </c>
      <c r="EE609" s="346">
        <f t="shared" si="484"/>
        <v>-0.88089663600000001</v>
      </c>
      <c r="EF609" s="346">
        <f t="shared" si="484"/>
        <v>-1.0335363049999999</v>
      </c>
      <c r="EG609" s="346">
        <f t="shared" si="484"/>
        <v>-0.97513037800000002</v>
      </c>
      <c r="EH609" s="346">
        <f t="shared" si="484"/>
        <v>-0.82774864599999998</v>
      </c>
      <c r="EI609" s="346">
        <f t="shared" si="484"/>
        <v>-1.002834577</v>
      </c>
      <c r="EJ609" s="346">
        <f t="shared" si="484"/>
        <v>-0.90485316500000001</v>
      </c>
      <c r="EK609" s="346">
        <f t="shared" si="484"/>
        <v>-0.98641874200000002</v>
      </c>
      <c r="EL609" s="348">
        <f t="shared" si="484"/>
        <v>-1.041281949</v>
      </c>
      <c r="EM609" s="346">
        <f t="shared" si="484"/>
        <v>-1.0299287829999999</v>
      </c>
      <c r="EN609" s="346">
        <f t="shared" si="484"/>
        <v>-1.1369505499999999</v>
      </c>
      <c r="EO609" s="346">
        <f t="shared" si="484"/>
        <v>-1.01343703</v>
      </c>
      <c r="EP609" s="346">
        <f t="shared" si="484"/>
        <v>-0.98094202600000002</v>
      </c>
      <c r="EQ609" s="346">
        <f t="shared" si="484"/>
        <v>-1.1072251980000001</v>
      </c>
      <c r="ER609" s="346">
        <f t="shared" si="484"/>
        <v>-1.2211093550000001</v>
      </c>
      <c r="ES609" s="346">
        <f t="shared" si="484"/>
        <v>-1.0309217020000001</v>
      </c>
      <c r="ET609" s="346">
        <f t="shared" si="484"/>
        <v>-1.040925815</v>
      </c>
      <c r="EU609" s="346">
        <f t="shared" si="484"/>
        <v>-1.025590373</v>
      </c>
      <c r="EV609" s="346">
        <f t="shared" si="484"/>
        <v>-1.1776016650000001</v>
      </c>
      <c r="EW609" s="346">
        <f t="shared" si="484"/>
        <v>-1.1498127010000001</v>
      </c>
      <c r="EX609" s="348">
        <f t="shared" si="484"/>
        <v>-1.099506222</v>
      </c>
      <c r="EY609" s="346"/>
      <c r="EZ609" s="346"/>
      <c r="FA609" s="346"/>
      <c r="FB609" s="346"/>
      <c r="FC609" s="346"/>
      <c r="FD609" s="346"/>
      <c r="FE609" s="346"/>
      <c r="FF609" s="346"/>
      <c r="FG609" s="346"/>
      <c r="FH609" s="346"/>
      <c r="FI609" s="346"/>
      <c r="FJ609" s="348"/>
      <c r="FK609" s="346"/>
      <c r="FL609" s="346"/>
      <c r="FM609" s="346"/>
      <c r="FN609" s="346"/>
      <c r="FO609" s="346"/>
      <c r="FP609" s="346"/>
      <c r="FQ609" s="346"/>
      <c r="FR609" s="346"/>
      <c r="FS609" s="346"/>
      <c r="FT609" s="346"/>
      <c r="FU609" s="346"/>
      <c r="FV609" s="346"/>
      <c r="FW609" s="346"/>
      <c r="FX609" s="346"/>
      <c r="FY609" s="346"/>
      <c r="FZ609" s="346"/>
      <c r="GA609" s="346"/>
      <c r="GB609" s="346"/>
      <c r="GC609" s="346"/>
      <c r="GD609" s="346"/>
      <c r="GE609" s="346"/>
      <c r="GF609" s="346"/>
      <c r="GG609" s="346"/>
      <c r="GH609" s="346"/>
      <c r="GI609" s="346"/>
      <c r="GJ609" s="346"/>
      <c r="GK609" s="346"/>
      <c r="GL609" s="346"/>
      <c r="GM609" s="346"/>
      <c r="GN609" s="346"/>
      <c r="GO609" s="346"/>
      <c r="GP609" s="346"/>
      <c r="GQ609" s="346"/>
      <c r="GR609" s="346"/>
      <c r="GS609" s="346"/>
      <c r="GT609" s="346"/>
      <c r="GU609" s="346"/>
      <c r="GV609" s="346"/>
      <c r="GW609" s="346"/>
      <c r="GX609" s="346"/>
      <c r="GY609" s="346"/>
      <c r="GZ609" s="346"/>
      <c r="HA609" s="346"/>
      <c r="HB609" s="346"/>
      <c r="HC609" s="346"/>
      <c r="HD609" s="346"/>
      <c r="HE609" s="346"/>
      <c r="HF609" s="346"/>
      <c r="HG609" s="346"/>
      <c r="HH609" s="346"/>
      <c r="HI609" s="346"/>
      <c r="HJ609" s="346"/>
      <c r="HK609" s="346"/>
      <c r="HL609" s="346"/>
      <c r="HM609" s="346"/>
      <c r="HN609" s="349"/>
      <c r="HO609" s="351" t="s">
        <v>885</v>
      </c>
      <c r="HP609" s="351"/>
      <c r="HQ609" s="351"/>
      <c r="HR609" s="346">
        <f>+FISC!Z842</f>
        <v>0</v>
      </c>
      <c r="HS609" s="302">
        <f>SUM(CQ609:CV609)</f>
        <v>0</v>
      </c>
      <c r="HT609" s="302">
        <f>SUM(CW609:DB609)</f>
        <v>0</v>
      </c>
      <c r="HU609" s="346">
        <f>SUM(CQ609:DB609)</f>
        <v>0</v>
      </c>
      <c r="HV609" s="302">
        <f>+SUM(DC609:DH609)*0-8.8/2</f>
        <v>-4.4000000000000004</v>
      </c>
      <c r="HW609" s="302">
        <f>+SUM(DI609:DN609)-8.8/2</f>
        <v>-4.4000000000000004</v>
      </c>
      <c r="HX609" s="346">
        <f t="shared" si="482"/>
        <v>-8.8000000000000007</v>
      </c>
      <c r="HY609" s="302">
        <f>+SUM(DO609:DT609)</f>
        <v>-5.1531479639999995</v>
      </c>
      <c r="HZ609" s="302">
        <f>SUM(DU609:DZ609)</f>
        <v>-5.4669661290000002</v>
      </c>
      <c r="IA609" s="346">
        <f t="shared" si="483"/>
        <v>-10.620114093</v>
      </c>
      <c r="IB609" s="477">
        <f>+ID609/2</f>
        <v>-5.7065401065000003</v>
      </c>
      <c r="IC609" s="302">
        <f>+ID609-IB609</f>
        <v>-5.7065401065000003</v>
      </c>
      <c r="ID609" s="346">
        <f>FISC!AC842</f>
        <v>-11.413080213000001</v>
      </c>
      <c r="IE609" s="302">
        <f t="shared" si="471"/>
        <v>-6.4895929419999998</v>
      </c>
      <c r="IF609" s="302">
        <f t="shared" si="472"/>
        <v>-6.5243584779999999</v>
      </c>
      <c r="IG609" s="346">
        <f t="shared" si="384"/>
        <v>-13.01395142</v>
      </c>
      <c r="IH609" s="477" t="e">
        <f>(IJ609/2)*0+#REF!</f>
        <v>#REF!</v>
      </c>
      <c r="II609" s="302" t="e">
        <f>+IJ609-IH609</f>
        <v>#REF!</v>
      </c>
      <c r="IJ609" s="346">
        <f>+FISC!AE842</f>
        <v>-14.332764489999999</v>
      </c>
      <c r="IK609" s="350" t="e">
        <f>IM609/2*0+#REF!</f>
        <v>#REF!</v>
      </c>
      <c r="IL609" s="302" t="e">
        <f t="shared" si="473"/>
        <v>#REF!</v>
      </c>
      <c r="IM609" s="346">
        <f>+FISC!AF842</f>
        <v>-15.46793405</v>
      </c>
      <c r="IN609" s="350" t="e">
        <f>IP609/2*0+#REF!</f>
        <v>#REF!</v>
      </c>
      <c r="IO609" s="302" t="e">
        <f t="shared" si="334"/>
        <v>#REF!</v>
      </c>
      <c r="IP609" s="346">
        <f>+FISC!AG842</f>
        <v>0</v>
      </c>
      <c r="IQ609" s="350">
        <f>IS609/2</f>
        <v>-9.5794367090396868</v>
      </c>
      <c r="IR609" s="302">
        <f t="shared" si="476"/>
        <v>-9.5794367090396868</v>
      </c>
      <c r="IS609" s="346">
        <f>+FISC!AH842</f>
        <v>-19.158873418079374</v>
      </c>
      <c r="IT609" s="350">
        <f>IV609/2</f>
        <v>-12.084773950973986</v>
      </c>
      <c r="IU609" s="302">
        <f t="shared" si="478"/>
        <v>-12.084773950973986</v>
      </c>
      <c r="IV609" s="346">
        <f>+FISC!AI842</f>
        <v>-24.169547901947972</v>
      </c>
      <c r="IW609" s="350">
        <f>IY609/2</f>
        <v>0</v>
      </c>
      <c r="IX609" s="302">
        <f t="shared" si="479"/>
        <v>0</v>
      </c>
      <c r="IY609" s="346">
        <f>+FISC!AJ842</f>
        <v>0</v>
      </c>
      <c r="IZ609" s="350" t="e">
        <f>JB609/2</f>
        <v>#DIV/0!</v>
      </c>
      <c r="JA609" s="302" t="e">
        <f t="shared" si="480"/>
        <v>#DIV/0!</v>
      </c>
      <c r="JB609" s="346" t="e">
        <f>+FISC!AK842</f>
        <v>#DIV/0!</v>
      </c>
      <c r="JC609" s="346"/>
      <c r="KI609" s="349"/>
      <c r="KJ609" s="350"/>
    </row>
    <row r="610" spans="1:302">
      <c r="A610" s="302"/>
      <c r="B610" s="117" t="s">
        <v>361</v>
      </c>
      <c r="D610" s="345" t="str">
        <f>+FISC!D843</f>
        <v>Non bank financing (Net)</v>
      </c>
      <c r="E610" s="346">
        <v>1.5446500000000001</v>
      </c>
      <c r="F610" s="346">
        <v>-1.4620000000000005E-2</v>
      </c>
      <c r="G610" s="346">
        <v>3.7025000000000001</v>
      </c>
      <c r="H610" s="346">
        <v>-0.69927000000000006</v>
      </c>
      <c r="I610" s="346">
        <v>-2.84707</v>
      </c>
      <c r="J610" s="346">
        <v>-4.02006</v>
      </c>
      <c r="K610" s="346">
        <v>-1.10934</v>
      </c>
      <c r="L610" s="346">
        <v>-0.87460000000000004</v>
      </c>
      <c r="M610" s="346">
        <v>-3.5034000000000001</v>
      </c>
      <c r="N610" s="346">
        <v>-0.97641000000000011</v>
      </c>
      <c r="O610" s="346">
        <v>1.80935</v>
      </c>
      <c r="P610" s="346">
        <v>-5.3193199999999994</v>
      </c>
      <c r="Q610" s="346">
        <v>-5.0225</v>
      </c>
      <c r="R610" s="346">
        <v>-2.7543699999999998</v>
      </c>
      <c r="S610" s="346">
        <v>0.96004000000000012</v>
      </c>
      <c r="T610" s="346">
        <v>-0.12595000000000003</v>
      </c>
      <c r="U610" s="346">
        <v>-0.46615000000000006</v>
      </c>
      <c r="V610" s="346">
        <v>4.5327431620000009</v>
      </c>
      <c r="W610" s="346">
        <v>-1.6704100000000002</v>
      </c>
      <c r="X610" s="346">
        <v>1.3991800000000001</v>
      </c>
      <c r="Y610" s="346">
        <v>-2.9094699999999998</v>
      </c>
      <c r="Z610" s="346">
        <v>-6.6022600000000002</v>
      </c>
      <c r="AA610" s="346">
        <v>2.0030000000000001</v>
      </c>
      <c r="AB610" s="346">
        <v>-5.0388600000000006</v>
      </c>
      <c r="AC610" s="346">
        <v>-0.9</v>
      </c>
      <c r="AD610" s="346">
        <v>-0.2</v>
      </c>
      <c r="AE610" s="346">
        <v>-1.4</v>
      </c>
      <c r="AF610" s="346">
        <v>-1.93472</v>
      </c>
      <c r="AG610" s="346">
        <v>-0.83784000000000003</v>
      </c>
      <c r="AH610" s="346">
        <v>-3.9935600000000004</v>
      </c>
      <c r="AI610" s="346">
        <v>-1.0940399999999999</v>
      </c>
      <c r="AJ610" s="346">
        <v>-2.88862</v>
      </c>
      <c r="AK610" s="346">
        <v>-0.54108000000000001</v>
      </c>
      <c r="AL610" s="346">
        <v>-1.1647100000000001</v>
      </c>
      <c r="AM610" s="346">
        <v>-0.27212000000000003</v>
      </c>
      <c r="AN610" s="346">
        <v>-3.7279100000000001</v>
      </c>
      <c r="AO610" s="346">
        <v>-0.53528999999999993</v>
      </c>
      <c r="AP610" s="346">
        <v>-3.9380000000000002</v>
      </c>
      <c r="AQ610" s="346">
        <v>-3.09334</v>
      </c>
      <c r="AR610" s="346">
        <v>-1.8817200000000001</v>
      </c>
      <c r="AS610" s="346">
        <v>3.6420000000000001E-2</v>
      </c>
      <c r="AT610" s="346">
        <v>-0.93137999999999987</v>
      </c>
      <c r="AU610" s="346">
        <v>-2.27536</v>
      </c>
      <c r="AV610" s="346">
        <v>-0.19690999999999997</v>
      </c>
      <c r="AW610" s="346">
        <v>1.25508</v>
      </c>
      <c r="AX610" s="346">
        <v>-1.0966200000000002</v>
      </c>
      <c r="AY610" s="346">
        <v>0.18771999999999991</v>
      </c>
      <c r="AZ610" s="346">
        <v>-1.5063299999999999</v>
      </c>
      <c r="BA610" s="346">
        <v>-1.77075</v>
      </c>
      <c r="BB610" s="346">
        <v>-7.9225799999999991</v>
      </c>
      <c r="BC610" s="346">
        <v>-0.84974000000000016</v>
      </c>
      <c r="BD610" s="346">
        <v>-3.6012</v>
      </c>
      <c r="BE610" s="346">
        <v>-0.73443000000000003</v>
      </c>
      <c r="BF610" s="346">
        <v>-1.1054800000000002</v>
      </c>
      <c r="BG610" s="346">
        <v>-1.6372280000000001</v>
      </c>
      <c r="BH610" s="346">
        <v>-1.5547900000000001</v>
      </c>
      <c r="BI610" s="346">
        <v>0.13500000000000001</v>
      </c>
      <c r="BJ610" s="346">
        <v>-0.63022596600000003</v>
      </c>
      <c r="BK610" s="346">
        <v>0.749320863</v>
      </c>
      <c r="BL610" s="346">
        <v>-1.4891595820000001</v>
      </c>
      <c r="BM610" s="346">
        <v>-3.3858699999999997</v>
      </c>
      <c r="BN610" s="346">
        <v>-2.7693400000000001</v>
      </c>
      <c r="BO610" s="346">
        <v>-2.18188</v>
      </c>
      <c r="BP610" s="346">
        <v>-2.5423800000000001</v>
      </c>
      <c r="BQ610" s="346">
        <v>-1.7143699999999999</v>
      </c>
      <c r="BR610" s="346">
        <v>-5.8809400000000007</v>
      </c>
      <c r="BS610" s="346">
        <f t="shared" ref="BS610:DN610" si="485">BS611+BS614</f>
        <v>-0.76349999999999996</v>
      </c>
      <c r="BT610" s="346">
        <f t="shared" si="485"/>
        <v>12.0663</v>
      </c>
      <c r="BU610" s="346">
        <f t="shared" si="485"/>
        <v>6.2743000000000002</v>
      </c>
      <c r="BV610" s="346">
        <f t="shared" si="485"/>
        <v>0</v>
      </c>
      <c r="BW610" s="346">
        <f t="shared" si="485"/>
        <v>0</v>
      </c>
      <c r="BX610" s="346">
        <f t="shared" si="485"/>
        <v>0</v>
      </c>
      <c r="BY610" s="346">
        <f t="shared" si="485"/>
        <v>0</v>
      </c>
      <c r="BZ610" s="346">
        <f t="shared" si="485"/>
        <v>0</v>
      </c>
      <c r="CA610" s="346">
        <f t="shared" si="485"/>
        <v>0</v>
      </c>
      <c r="CB610" s="346">
        <f t="shared" si="485"/>
        <v>0</v>
      </c>
      <c r="CC610" s="346">
        <f t="shared" si="485"/>
        <v>0</v>
      </c>
      <c r="CD610" s="346">
        <f t="shared" si="485"/>
        <v>0</v>
      </c>
      <c r="CE610" s="347">
        <f t="shared" si="485"/>
        <v>-7.9970229590000264</v>
      </c>
      <c r="CF610" s="346">
        <f t="shared" si="485"/>
        <v>-12.793651817000004</v>
      </c>
      <c r="CG610" s="346">
        <f t="shared" si="485"/>
        <v>6.0645420180000009</v>
      </c>
      <c r="CH610" s="346">
        <f t="shared" si="485"/>
        <v>-12.472275056999999</v>
      </c>
      <c r="CI610" s="346">
        <f t="shared" si="485"/>
        <v>-5.4014813710000027</v>
      </c>
      <c r="CJ610" s="346">
        <f t="shared" si="485"/>
        <v>-3.9224582569999984</v>
      </c>
      <c r="CK610" s="346">
        <f t="shared" si="485"/>
        <v>0.13948036199999869</v>
      </c>
      <c r="CL610" s="346">
        <f t="shared" si="485"/>
        <v>6.5064000000000011</v>
      </c>
      <c r="CM610" s="346">
        <f t="shared" si="485"/>
        <v>-5.3870247939999967</v>
      </c>
      <c r="CN610" s="346">
        <f t="shared" si="485"/>
        <v>-0.95571863300000004</v>
      </c>
      <c r="CO610" s="346">
        <f t="shared" si="485"/>
        <v>9.2343999999999991</v>
      </c>
      <c r="CP610" s="348">
        <f t="shared" si="485"/>
        <v>-3.7926579819999997</v>
      </c>
      <c r="CQ610" s="346">
        <f t="shared" si="485"/>
        <v>-0.28826511620255502</v>
      </c>
      <c r="CR610" s="346">
        <f t="shared" si="485"/>
        <v>8.2294999999999998</v>
      </c>
      <c r="CS610" s="346">
        <f t="shared" si="485"/>
        <v>-1.3861579820000001</v>
      </c>
      <c r="CT610" s="346">
        <f t="shared" si="485"/>
        <v>3.2993390698449137</v>
      </c>
      <c r="CU610" s="346">
        <f t="shared" si="485"/>
        <v>7.084100000000003</v>
      </c>
      <c r="CV610" s="346">
        <f t="shared" si="485"/>
        <v>-1.073357981999999</v>
      </c>
      <c r="CW610" s="346">
        <f t="shared" si="485"/>
        <v>-2.9510079417820263</v>
      </c>
      <c r="CX610" s="346">
        <f t="shared" si="485"/>
        <v>7.7061999999999991</v>
      </c>
      <c r="CY610" s="346">
        <f t="shared" si="485"/>
        <v>-8.4300000000000319E-2</v>
      </c>
      <c r="CZ610" s="346">
        <f t="shared" si="485"/>
        <v>-1.0044080410543001</v>
      </c>
      <c r="DA610" s="346">
        <f t="shared" si="485"/>
        <v>7.8123999999999985</v>
      </c>
      <c r="DB610" s="1479">
        <f t="shared" si="485"/>
        <v>-0.80925797399999999</v>
      </c>
      <c r="DC610" s="346">
        <f t="shared" si="485"/>
        <v>-4.5324631415674794</v>
      </c>
      <c r="DD610" s="346">
        <f t="shared" si="485"/>
        <v>5.4028999999999998</v>
      </c>
      <c r="DE610" s="346">
        <f t="shared" si="485"/>
        <v>-0.88775798200000045</v>
      </c>
      <c r="DF610" s="346">
        <f t="shared" si="485"/>
        <v>-1.1786751808370697</v>
      </c>
      <c r="DG610" s="346">
        <f t="shared" si="485"/>
        <v>4.3503000000000043</v>
      </c>
      <c r="DH610" s="346">
        <f t="shared" si="485"/>
        <v>4.2070797710000001</v>
      </c>
      <c r="DI610" s="346">
        <f t="shared" si="485"/>
        <v>5.1854538799999998</v>
      </c>
      <c r="DJ610" s="346">
        <f t="shared" si="485"/>
        <v>8.7312999999999832</v>
      </c>
      <c r="DK610" s="346">
        <f t="shared" si="485"/>
        <v>0.28000000000000114</v>
      </c>
      <c r="DL610" s="346">
        <f t="shared" si="485"/>
        <v>11.222922052894996</v>
      </c>
      <c r="DM610" s="346">
        <f t="shared" si="485"/>
        <v>8.0632999999999981</v>
      </c>
      <c r="DN610" s="348">
        <f t="shared" si="485"/>
        <v>6.8730000000000011</v>
      </c>
      <c r="DO610" s="346">
        <f t="shared" ref="DO610:DT610" si="486">DO611+DO614</f>
        <v>2.5929376351340894</v>
      </c>
      <c r="DP610" s="346">
        <f t="shared" si="486"/>
        <v>21.015247967000015</v>
      </c>
      <c r="DQ610" s="346">
        <f t="shared" si="486"/>
        <v>5.8203736469999976</v>
      </c>
      <c r="DR610" s="346">
        <f t="shared" si="486"/>
        <v>5.9876888881631389</v>
      </c>
      <c r="DS610" s="346">
        <f t="shared" si="486"/>
        <v>9.3489336149999929</v>
      </c>
      <c r="DT610" s="346">
        <f t="shared" si="486"/>
        <v>-5.2444954929999943</v>
      </c>
      <c r="DU610" s="346">
        <f t="shared" ref="DU610:DZ610" si="487">DU611+DU614</f>
        <v>5.519976130462255</v>
      </c>
      <c r="DV610" s="346">
        <f t="shared" si="487"/>
        <v>5.620087768000003</v>
      </c>
      <c r="DW610" s="346">
        <f t="shared" si="487"/>
        <v>-4.1149846369999992</v>
      </c>
      <c r="DX610" s="346">
        <f>DX611+DX614</f>
        <v>5.1006321740668881E-2</v>
      </c>
      <c r="DY610" s="346">
        <f t="shared" si="487"/>
        <v>6.9359000000000037</v>
      </c>
      <c r="DZ610" s="348">
        <f t="shared" si="487"/>
        <v>-12.342832052422075</v>
      </c>
      <c r="EA610" s="346">
        <f t="shared" ref="EA610:EK610" si="488">EA611+EA614</f>
        <v>-15.851021655275062</v>
      </c>
      <c r="EB610" s="346">
        <f t="shared" si="488"/>
        <v>-0.26779999999999538</v>
      </c>
      <c r="EC610" s="346">
        <f t="shared" si="488"/>
        <v>-6.5678439215778273</v>
      </c>
      <c r="ED610" s="346">
        <f t="shared" si="488"/>
        <v>-6.5429619260000047</v>
      </c>
      <c r="EE610" s="346">
        <f t="shared" si="488"/>
        <v>2.8764000000000181</v>
      </c>
      <c r="EF610" s="346">
        <f t="shared" si="488"/>
        <v>1.7313999939999976</v>
      </c>
      <c r="EG610" s="346">
        <f t="shared" si="488"/>
        <v>18.4838222999999</v>
      </c>
      <c r="EH610" s="346">
        <f t="shared" si="488"/>
        <v>-13.457299999999982</v>
      </c>
      <c r="EI610" s="346">
        <f t="shared" si="488"/>
        <v>0.52939999999999543</v>
      </c>
      <c r="EJ610" s="346">
        <f t="shared" si="488"/>
        <v>20.452328829000017</v>
      </c>
      <c r="EK610" s="346">
        <f t="shared" si="488"/>
        <v>-1.7375445670000147</v>
      </c>
      <c r="EL610" s="348">
        <f t="shared" ref="EL610:ER610" si="489">EL611+EL614</f>
        <v>24.838800000000006</v>
      </c>
      <c r="EM610" s="346">
        <f>EM611+EM614</f>
        <v>0.29065543299999774</v>
      </c>
      <c r="EN610" s="346">
        <f t="shared" si="489"/>
        <v>-0.32800000000001006</v>
      </c>
      <c r="EO610" s="346">
        <f t="shared" si="489"/>
        <v>12.944899999999954</v>
      </c>
      <c r="EP610" s="346">
        <f t="shared" si="489"/>
        <v>16.181999882000017</v>
      </c>
      <c r="EQ610" s="346">
        <f t="shared" si="489"/>
        <v>-3.0241999999999649</v>
      </c>
      <c r="ER610" s="346">
        <f t="shared" si="489"/>
        <v>20.035399999999996</v>
      </c>
      <c r="ES610" s="346">
        <f t="shared" ref="ES610:EX610" si="490">ES611+ES614</f>
        <v>-3.6547000000000054</v>
      </c>
      <c r="ET610" s="346">
        <f t="shared" si="490"/>
        <v>19.686799999999991</v>
      </c>
      <c r="EU610" s="346">
        <f t="shared" si="490"/>
        <v>-1.7055000000000007</v>
      </c>
      <c r="EV610" s="346">
        <f t="shared" si="490"/>
        <v>-4.2007421409999921</v>
      </c>
      <c r="EW610" s="346">
        <f t="shared" si="490"/>
        <v>-2.6754899699999832</v>
      </c>
      <c r="EX610" s="348">
        <f t="shared" si="490"/>
        <v>13.355551886999992</v>
      </c>
      <c r="EY610" s="346"/>
      <c r="EZ610" s="346"/>
      <c r="FA610" s="346"/>
      <c r="FB610" s="346"/>
      <c r="FC610" s="346"/>
      <c r="FD610" s="346"/>
      <c r="FE610" s="346"/>
      <c r="FF610" s="346"/>
      <c r="FG610" s="346"/>
      <c r="FH610" s="346"/>
      <c r="FI610" s="346"/>
      <c r="FJ610" s="348"/>
      <c r="FK610" s="346"/>
      <c r="FL610" s="346"/>
      <c r="FM610" s="346"/>
      <c r="FN610" s="346"/>
      <c r="FO610" s="346"/>
      <c r="FP610" s="346"/>
      <c r="FQ610" s="346"/>
      <c r="FR610" s="346"/>
      <c r="FS610" s="346"/>
      <c r="FT610" s="346"/>
      <c r="FU610" s="346"/>
      <c r="FV610" s="346"/>
      <c r="FW610" s="346"/>
      <c r="FX610" s="346"/>
      <c r="FY610" s="346"/>
      <c r="FZ610" s="346"/>
      <c r="GA610" s="346"/>
      <c r="GB610" s="346"/>
      <c r="GC610" s="346"/>
      <c r="GD610" s="346"/>
      <c r="GE610" s="346"/>
      <c r="GF610" s="346"/>
      <c r="GG610" s="346"/>
      <c r="GH610" s="346"/>
      <c r="GI610" s="346"/>
      <c r="GJ610" s="346"/>
      <c r="GK610" s="346"/>
      <c r="GL610" s="346"/>
      <c r="GM610" s="346"/>
      <c r="GN610" s="346"/>
      <c r="GO610" s="346"/>
      <c r="GP610" s="346"/>
      <c r="GQ610" s="346"/>
      <c r="GR610" s="346"/>
      <c r="GS610" s="346"/>
      <c r="GT610" s="346"/>
      <c r="GU610" s="346"/>
      <c r="GV610" s="346"/>
      <c r="GW610" s="346"/>
      <c r="GX610" s="346"/>
      <c r="GY610" s="346"/>
      <c r="GZ610" s="346"/>
      <c r="HA610" s="346"/>
      <c r="HB610" s="346"/>
      <c r="HC610" s="346"/>
      <c r="HD610" s="346"/>
      <c r="HE610" s="346"/>
      <c r="HF610" s="346"/>
      <c r="HG610" s="346"/>
      <c r="HH610" s="346"/>
      <c r="HI610" s="346"/>
      <c r="HJ610" s="346"/>
      <c r="HK610" s="346"/>
      <c r="HL610" s="346"/>
      <c r="HM610" s="346"/>
      <c r="HN610" s="349"/>
      <c r="HO610" s="345" t="s">
        <v>876</v>
      </c>
      <c r="HP610" s="345"/>
      <c r="HQ610" s="345"/>
      <c r="HR610" s="346">
        <f>+FISC!Z843</f>
        <v>9.2999999999999972</v>
      </c>
      <c r="HS610" s="302">
        <f>HS611+HS614</f>
        <v>15.865157989642363</v>
      </c>
      <c r="HT610" s="302">
        <f>HT611+HT614</f>
        <v>10.669626043163671</v>
      </c>
      <c r="HU610" s="346">
        <f>HU611+HU614</f>
        <v>26.53478403280603</v>
      </c>
      <c r="HV610" s="477">
        <f>HV611+HV614</f>
        <v>7.3613834665954556</v>
      </c>
      <c r="HW610" s="302">
        <f t="shared" ref="HW610:HW615" si="491">+SUM(DI610:DN610)</f>
        <v>40.355975932894978</v>
      </c>
      <c r="HX610" s="346">
        <f t="shared" si="482"/>
        <v>47.717359399490434</v>
      </c>
      <c r="HY610" s="477">
        <f>HY611+HY614</f>
        <v>39.520686259297236</v>
      </c>
      <c r="HZ610" s="1100">
        <f>HZ611+HZ614</f>
        <v>1.6691535307808563</v>
      </c>
      <c r="IA610" s="346">
        <f t="shared" si="483"/>
        <v>41.189839790078089</v>
      </c>
      <c r="IB610" s="477">
        <f>IB611+IB614</f>
        <v>-24.621827508577802</v>
      </c>
      <c r="IC610" s="302">
        <f>+ID610-IB610</f>
        <v>18.748700555999868</v>
      </c>
      <c r="ID610" s="346">
        <f>FISC!AC843</f>
        <v>-5.8731269525779339</v>
      </c>
      <c r="IE610" s="302">
        <f t="shared" si="471"/>
        <v>46.100755314999986</v>
      </c>
      <c r="IF610" s="302">
        <f t="shared" si="472"/>
        <v>20.805919776000003</v>
      </c>
      <c r="IG610" s="346">
        <f t="shared" si="384"/>
        <v>66.906675090999983</v>
      </c>
      <c r="IH610" s="477">
        <f>IH611+IH614</f>
        <v>0.22709999999995034</v>
      </c>
      <c r="II610" s="302">
        <f>+IJ610-IH610</f>
        <v>-0.22709999999995034</v>
      </c>
      <c r="IJ610" s="346">
        <f>+FISC!AE843</f>
        <v>0</v>
      </c>
      <c r="IK610" s="302" t="e">
        <f>IK611+IK614</f>
        <v>#REF!</v>
      </c>
      <c r="IL610" s="302" t="e">
        <f t="shared" si="473"/>
        <v>#REF!</v>
      </c>
      <c r="IM610" s="346">
        <f>+FISC!AF843</f>
        <v>0</v>
      </c>
      <c r="IN610" s="302">
        <f t="shared" si="474"/>
        <v>0</v>
      </c>
      <c r="IO610" s="302">
        <f t="shared" si="334"/>
        <v>0</v>
      </c>
      <c r="IP610" s="346">
        <f>+FISC!AG843</f>
        <v>0</v>
      </c>
      <c r="IQ610" s="302">
        <f t="shared" si="475"/>
        <v>0</v>
      </c>
      <c r="IR610" s="302">
        <f t="shared" si="476"/>
        <v>0</v>
      </c>
      <c r="IS610" s="346">
        <f>+FISC!AH843</f>
        <v>0</v>
      </c>
      <c r="IT610" s="302">
        <f t="shared" si="477"/>
        <v>0</v>
      </c>
      <c r="IU610" s="302">
        <f t="shared" si="478"/>
        <v>0</v>
      </c>
      <c r="IV610" s="346">
        <f>+FISC!AI843</f>
        <v>0</v>
      </c>
      <c r="IW610" s="302">
        <f>IY610*JL610</f>
        <v>0</v>
      </c>
      <c r="IX610" s="302">
        <f t="shared" si="479"/>
        <v>0</v>
      </c>
      <c r="IY610" s="346">
        <f>+FISC!AJ843</f>
        <v>0</v>
      </c>
      <c r="IZ610" s="302">
        <f>JB610*JO610</f>
        <v>0</v>
      </c>
      <c r="JA610" s="302">
        <f t="shared" si="480"/>
        <v>0</v>
      </c>
      <c r="JB610" s="346">
        <f>+FISC!AK843</f>
        <v>0</v>
      </c>
      <c r="JC610" s="346"/>
      <c r="KI610" s="349"/>
      <c r="KJ610" s="350"/>
      <c r="KM610" s="302">
        <f>KM611+KM614</f>
        <v>0</v>
      </c>
      <c r="KN610" s="302">
        <f>KN611+KN614</f>
        <v>0</v>
      </c>
      <c r="KO610" s="302">
        <f>KO611+KO614</f>
        <v>0</v>
      </c>
      <c r="KP610" s="302">
        <f>KP611+KP614</f>
        <v>0</v>
      </c>
    </row>
    <row r="611" spans="1:302">
      <c r="A611" s="302"/>
      <c r="B611" s="117" t="s">
        <v>361</v>
      </c>
      <c r="D611" s="351" t="str">
        <f>+FISC!D844</f>
        <v>Government Securities (Net)</v>
      </c>
      <c r="E611" s="346">
        <v>0</v>
      </c>
      <c r="F611" s="346">
        <v>0</v>
      </c>
      <c r="G611" s="346">
        <v>0</v>
      </c>
      <c r="H611" s="346">
        <v>0</v>
      </c>
      <c r="I611" s="346">
        <v>0</v>
      </c>
      <c r="J611" s="346">
        <v>0</v>
      </c>
      <c r="K611" s="346">
        <v>0</v>
      </c>
      <c r="L611" s="346">
        <v>0</v>
      </c>
      <c r="M611" s="346">
        <v>0</v>
      </c>
      <c r="N611" s="346">
        <v>0</v>
      </c>
      <c r="O611" s="346">
        <v>0</v>
      </c>
      <c r="P611" s="346">
        <v>0</v>
      </c>
      <c r="Q611" s="346">
        <v>-5.0225</v>
      </c>
      <c r="R611" s="346">
        <v>1.0958999999999999</v>
      </c>
      <c r="S611" s="346">
        <v>1.0439000000000001</v>
      </c>
      <c r="T611" s="346">
        <v>0.56389999999999996</v>
      </c>
      <c r="U611" s="346">
        <v>1.5960999999999999</v>
      </c>
      <c r="V611" s="346">
        <v>8.8031000000000006</v>
      </c>
      <c r="W611" s="346">
        <v>-1.0435000000000001</v>
      </c>
      <c r="X611" s="346">
        <v>1.54125</v>
      </c>
      <c r="Y611" s="346">
        <v>-2.8788499999999999</v>
      </c>
      <c r="Z611" s="346">
        <v>-6.4791000000000007</v>
      </c>
      <c r="AA611" s="346">
        <v>2.1366000000000001</v>
      </c>
      <c r="AB611" s="346">
        <v>-3.6234000000000002</v>
      </c>
      <c r="AC611" s="346">
        <v>-0.9</v>
      </c>
      <c r="AD611" s="346">
        <v>-0.2</v>
      </c>
      <c r="AE611" s="346">
        <v>-1.4</v>
      </c>
      <c r="AF611" s="346">
        <v>-0.2</v>
      </c>
      <c r="AG611" s="346">
        <v>0</v>
      </c>
      <c r="AH611" s="346">
        <v>0</v>
      </c>
      <c r="AI611" s="346">
        <v>1.5</v>
      </c>
      <c r="AJ611" s="346">
        <v>0</v>
      </c>
      <c r="AK611" s="346">
        <v>0</v>
      </c>
      <c r="AL611" s="346">
        <v>0</v>
      </c>
      <c r="AM611" s="346">
        <v>0</v>
      </c>
      <c r="AN611" s="346">
        <v>0</v>
      </c>
      <c r="AO611" s="346">
        <v>0</v>
      </c>
      <c r="AP611" s="346">
        <v>0.378</v>
      </c>
      <c r="AQ611" s="346">
        <v>-1.903</v>
      </c>
      <c r="AR611" s="346">
        <v>-0.26700000000000002</v>
      </c>
      <c r="AS611" s="346">
        <v>9.7000000000000003E-2</v>
      </c>
      <c r="AT611" s="346">
        <v>1.6282000000000001</v>
      </c>
      <c r="AU611" s="346">
        <v>-1.0717000000000001</v>
      </c>
      <c r="AV611" s="346">
        <v>-0.15339999999999998</v>
      </c>
      <c r="AW611" s="346">
        <v>1.4056</v>
      </c>
      <c r="AX611" s="346">
        <v>-1.0532000000000001</v>
      </c>
      <c r="AY611" s="346">
        <v>0.71729999999999994</v>
      </c>
      <c r="AZ611" s="346">
        <v>-0.86470000000000002</v>
      </c>
      <c r="BA611" s="346">
        <v>0.18980000000000002</v>
      </c>
      <c r="BB611" s="346">
        <v>-0.74579999999999991</v>
      </c>
      <c r="BC611" s="346">
        <v>-1.35E-2</v>
      </c>
      <c r="BD611" s="346">
        <v>0.39879999999999999</v>
      </c>
      <c r="BE611" s="346">
        <v>-0.3422</v>
      </c>
      <c r="BF611" s="346">
        <v>4.0000000000000001E-3</v>
      </c>
      <c r="BG611" s="346">
        <v>0.13350000000000001</v>
      </c>
      <c r="BH611" s="346">
        <v>-7.990000000000004E-2</v>
      </c>
      <c r="BI611" s="346">
        <v>0.4723</v>
      </c>
      <c r="BJ611" s="346">
        <v>-0.47679999999999995</v>
      </c>
      <c r="BK611" s="346">
        <v>0.81820000000000004</v>
      </c>
      <c r="BL611" s="346">
        <v>-0.43420000000000003</v>
      </c>
      <c r="BM611" s="346">
        <v>0.12770000000000004</v>
      </c>
      <c r="BN611" s="346">
        <v>-0.58660000000000012</v>
      </c>
      <c r="BO611" s="346">
        <v>-1.6599999999999965E-2</v>
      </c>
      <c r="BP611" s="346">
        <v>0.66300000000000003</v>
      </c>
      <c r="BQ611" s="346">
        <v>1.5E-3</v>
      </c>
      <c r="BR611" s="346">
        <v>6.9899999999999976E-2</v>
      </c>
      <c r="BS611" s="346">
        <v>-0.76349999999999996</v>
      </c>
      <c r="BT611" s="346">
        <v>12.0663</v>
      </c>
      <c r="BU611" s="346">
        <v>6.2743000000000002</v>
      </c>
      <c r="BV611" s="346">
        <v>0</v>
      </c>
      <c r="BW611" s="346">
        <v>0</v>
      </c>
      <c r="BX611" s="346">
        <v>0</v>
      </c>
      <c r="BY611" s="346">
        <v>0</v>
      </c>
      <c r="BZ611" s="346">
        <v>0</v>
      </c>
      <c r="CA611" s="346">
        <v>0</v>
      </c>
      <c r="CB611" s="346">
        <v>0</v>
      </c>
      <c r="CC611" s="346">
        <v>0</v>
      </c>
      <c r="CD611" s="346">
        <v>0</v>
      </c>
      <c r="CE611" s="347">
        <f>SUM(CE612:CE613)</f>
        <v>-7.6275000000000261</v>
      </c>
      <c r="CF611" s="346">
        <f t="shared" ref="CF611:DN611" si="492">SUM(CF612:CF613)</f>
        <v>-11.176000000000002</v>
      </c>
      <c r="CG611" s="346">
        <f t="shared" si="492"/>
        <v>6.1718000000000011</v>
      </c>
      <c r="CH611" s="346">
        <f t="shared" si="492"/>
        <v>-12.2028</v>
      </c>
      <c r="CI611" s="346">
        <f t="shared" si="492"/>
        <v>-3.7353000000000023</v>
      </c>
      <c r="CJ611" s="346">
        <f t="shared" si="492"/>
        <v>-3.6592999999999982</v>
      </c>
      <c r="CK611" s="346">
        <f t="shared" si="492"/>
        <v>1.0833999999999993</v>
      </c>
      <c r="CL611" s="346">
        <f t="shared" si="492"/>
        <v>6.5064000000000011</v>
      </c>
      <c r="CM611" s="346">
        <f t="shared" si="492"/>
        <v>-3.5635999999999992</v>
      </c>
      <c r="CN611" s="346">
        <f t="shared" si="492"/>
        <v>0</v>
      </c>
      <c r="CO611" s="346">
        <f t="shared" si="492"/>
        <v>15.234399999999999</v>
      </c>
      <c r="CP611" s="348">
        <f t="shared" si="492"/>
        <v>1.3146000000000004</v>
      </c>
      <c r="CQ611" s="346">
        <f t="shared" si="492"/>
        <v>0.67939999999999934</v>
      </c>
      <c r="CR611" s="346">
        <f t="shared" si="492"/>
        <v>8.2294999999999998</v>
      </c>
      <c r="CS611" s="346">
        <f t="shared" si="492"/>
        <v>-1.2789000000000001</v>
      </c>
      <c r="CT611" s="346">
        <f t="shared" si="492"/>
        <v>4.2790999999999997</v>
      </c>
      <c r="CU611" s="346">
        <f t="shared" si="492"/>
        <v>7.084100000000003</v>
      </c>
      <c r="CV611" s="346">
        <f t="shared" si="492"/>
        <v>-0.96609999999999907</v>
      </c>
      <c r="CW611" s="346">
        <f t="shared" si="492"/>
        <v>-1.9590000000000014</v>
      </c>
      <c r="CX611" s="346">
        <f t="shared" si="492"/>
        <v>7.7061999999999991</v>
      </c>
      <c r="CY611" s="346">
        <f t="shared" si="492"/>
        <v>2.2999999999999687E-2</v>
      </c>
      <c r="CZ611" s="346">
        <f t="shared" si="492"/>
        <v>0</v>
      </c>
      <c r="DA611" s="346">
        <f t="shared" si="492"/>
        <v>7.8123999999999985</v>
      </c>
      <c r="DB611" s="1479">
        <f t="shared" si="492"/>
        <v>-0.70199999999999996</v>
      </c>
      <c r="DC611" s="346">
        <f t="shared" si="492"/>
        <v>-3.5155000000000003</v>
      </c>
      <c r="DD611" s="346">
        <f t="shared" si="492"/>
        <v>5.4028999999999998</v>
      </c>
      <c r="DE611" s="346">
        <f t="shared" si="492"/>
        <v>-0.78050000000000042</v>
      </c>
      <c r="DF611" s="346">
        <f t="shared" si="492"/>
        <v>-0.14899999999999958</v>
      </c>
      <c r="DG611" s="346">
        <f t="shared" si="492"/>
        <v>11.350300000000004</v>
      </c>
      <c r="DH611" s="346">
        <f t="shared" si="492"/>
        <v>4.4945000000000004</v>
      </c>
      <c r="DI611" s="346">
        <f t="shared" si="492"/>
        <v>6.2279999999999998</v>
      </c>
      <c r="DJ611" s="346">
        <f t="shared" si="492"/>
        <v>8.7312999999999832</v>
      </c>
      <c r="DK611" s="346">
        <f t="shared" si="492"/>
        <v>0.28000000000000114</v>
      </c>
      <c r="DL611" s="346">
        <f t="shared" si="492"/>
        <v>12.278500000000001</v>
      </c>
      <c r="DM611" s="346">
        <f t="shared" si="492"/>
        <v>8.0632999999999981</v>
      </c>
      <c r="DN611" s="348">
        <f t="shared" si="492"/>
        <v>6.8730000000000011</v>
      </c>
      <c r="DO611" s="346">
        <f t="shared" ref="DO611:DT611" si="493">SUM(DO612:DO613)</f>
        <v>3.6617103065779091</v>
      </c>
      <c r="DP611" s="346">
        <f t="shared" si="493"/>
        <v>21.870700000000014</v>
      </c>
      <c r="DQ611" s="346">
        <f t="shared" si="493"/>
        <v>6.6839999999999975</v>
      </c>
      <c r="DR611" s="346">
        <f t="shared" si="493"/>
        <v>7.9417000000000044</v>
      </c>
      <c r="DS611" s="346">
        <f t="shared" si="493"/>
        <v>9.3489336149999929</v>
      </c>
      <c r="DT611" s="346">
        <f t="shared" si="493"/>
        <v>-4.9627999999999943</v>
      </c>
      <c r="DU611" s="346">
        <f t="shared" ref="DU611:DZ611" si="494">SUM(DU612:DU613)</f>
        <v>7.5042560784220811</v>
      </c>
      <c r="DV611" s="346">
        <f t="shared" si="494"/>
        <v>6.5172000000000025</v>
      </c>
      <c r="DW611" s="346">
        <f t="shared" si="494"/>
        <v>-3.2092999999999989</v>
      </c>
      <c r="DX611" s="346">
        <f>SUM(DX612:DX613)</f>
        <v>2.0746999999999929</v>
      </c>
      <c r="DY611" s="346">
        <f t="shared" si="494"/>
        <v>6.9359000000000037</v>
      </c>
      <c r="DZ611" s="348">
        <f t="shared" si="494"/>
        <v>-11.419756078422076</v>
      </c>
      <c r="EA611" s="346">
        <f t="shared" ref="EA611:EK611" si="495">SUM(EA612:EA613)</f>
        <v>-12.827799999999996</v>
      </c>
      <c r="EB611" s="346">
        <f t="shared" si="495"/>
        <v>1.6322000000000045</v>
      </c>
      <c r="EC611" s="346">
        <f t="shared" si="495"/>
        <v>-4.6678439215778269</v>
      </c>
      <c r="ED611" s="346">
        <f t="shared" si="495"/>
        <v>-3.5057000000000045</v>
      </c>
      <c r="EE611" s="346">
        <f t="shared" si="495"/>
        <v>2.8764000000000181</v>
      </c>
      <c r="EF611" s="346">
        <f t="shared" si="495"/>
        <v>3.8395999999999972</v>
      </c>
      <c r="EG611" s="346">
        <f t="shared" si="495"/>
        <v>19.635299999999901</v>
      </c>
      <c r="EH611" s="346">
        <f t="shared" si="495"/>
        <v>-13.457299999999982</v>
      </c>
      <c r="EI611" s="346">
        <f t="shared" si="495"/>
        <v>0.52939999999999543</v>
      </c>
      <c r="EJ611" s="346">
        <f t="shared" si="495"/>
        <v>21.618200000000016</v>
      </c>
      <c r="EK611" s="346">
        <f t="shared" si="495"/>
        <v>-0.34890000000001464</v>
      </c>
      <c r="EL611" s="348">
        <f t="shared" ref="EL611:ER611" si="496">SUM(EL612:EL613)</f>
        <v>24.838800000000006</v>
      </c>
      <c r="EM611" s="346">
        <f>SUM(EM612:EM613)</f>
        <v>1.6792999999999978</v>
      </c>
      <c r="EN611" s="346">
        <f t="shared" si="496"/>
        <v>-0.32800000000001006</v>
      </c>
      <c r="EO611" s="346">
        <f t="shared" si="496"/>
        <v>12.944899999999954</v>
      </c>
      <c r="EP611" s="346">
        <f t="shared" si="496"/>
        <v>17.377200000000016</v>
      </c>
      <c r="EQ611" s="346">
        <f t="shared" si="496"/>
        <v>11.975800000000035</v>
      </c>
      <c r="ER611" s="346">
        <f t="shared" si="496"/>
        <v>20.035399999999996</v>
      </c>
      <c r="ES611" s="346">
        <f t="shared" ref="ES611:EX611" si="497">SUM(ES612:ES613)</f>
        <v>-3.6547000000000054</v>
      </c>
      <c r="ET611" s="346">
        <f t="shared" si="497"/>
        <v>19.686799999999991</v>
      </c>
      <c r="EU611" s="346">
        <f t="shared" si="497"/>
        <v>-1.7055000000000007</v>
      </c>
      <c r="EV611" s="346">
        <f t="shared" si="497"/>
        <v>-3.300699999999992</v>
      </c>
      <c r="EW611" s="346">
        <f t="shared" si="497"/>
        <v>12.770600000000016</v>
      </c>
      <c r="EX611" s="348">
        <f t="shared" si="497"/>
        <v>27.936399999999992</v>
      </c>
      <c r="EY611" s="346"/>
      <c r="EZ611" s="346"/>
      <c r="FA611" s="346"/>
      <c r="FB611" s="346"/>
      <c r="FC611" s="346"/>
      <c r="FD611" s="346"/>
      <c r="FE611" s="346"/>
      <c r="FF611" s="346"/>
      <c r="FG611" s="346"/>
      <c r="FH611" s="346"/>
      <c r="FI611" s="346"/>
      <c r="FJ611" s="348"/>
      <c r="FK611" s="346"/>
      <c r="FL611" s="346"/>
      <c r="FM611" s="346"/>
      <c r="FN611" s="346"/>
      <c r="FO611" s="346"/>
      <c r="FP611" s="346"/>
      <c r="FQ611" s="346"/>
      <c r="FR611" s="346"/>
      <c r="FS611" s="346"/>
      <c r="FT611" s="346"/>
      <c r="FU611" s="346"/>
      <c r="FV611" s="346"/>
      <c r="FW611" s="346"/>
      <c r="FX611" s="346"/>
      <c r="FY611" s="346"/>
      <c r="FZ611" s="346"/>
      <c r="GA611" s="346"/>
      <c r="GB611" s="346"/>
      <c r="GC611" s="346"/>
      <c r="GD611" s="346"/>
      <c r="GE611" s="346"/>
      <c r="GF611" s="346"/>
      <c r="GG611" s="346"/>
      <c r="GH611" s="346"/>
      <c r="GI611" s="346"/>
      <c r="GJ611" s="346"/>
      <c r="GK611" s="346"/>
      <c r="GL611" s="346"/>
      <c r="GM611" s="346"/>
      <c r="GN611" s="346"/>
      <c r="GO611" s="346"/>
      <c r="GP611" s="346"/>
      <c r="GQ611" s="346"/>
      <c r="GR611" s="346"/>
      <c r="GS611" s="346"/>
      <c r="GT611" s="346"/>
      <c r="GU611" s="346"/>
      <c r="GV611" s="346"/>
      <c r="GW611" s="346"/>
      <c r="GX611" s="346"/>
      <c r="GY611" s="346"/>
      <c r="GZ611" s="346"/>
      <c r="HA611" s="346"/>
      <c r="HB611" s="346"/>
      <c r="HC611" s="346"/>
      <c r="HD611" s="346"/>
      <c r="HE611" s="346"/>
      <c r="HF611" s="346"/>
      <c r="HG611" s="346"/>
      <c r="HH611" s="346"/>
      <c r="HI611" s="346"/>
      <c r="HJ611" s="346"/>
      <c r="HK611" s="346"/>
      <c r="HL611" s="346"/>
      <c r="HM611" s="346"/>
      <c r="HN611" s="349"/>
      <c r="HO611" s="351" t="s">
        <v>877</v>
      </c>
      <c r="HP611" s="351"/>
      <c r="HQ611" s="351"/>
      <c r="HR611" s="346">
        <f>+FISC!Z844</f>
        <v>30.9</v>
      </c>
      <c r="HS611" s="302">
        <f>SUM(HS612:HS613)</f>
        <v>18.027100000000004</v>
      </c>
      <c r="HT611" s="302">
        <f>SUM(HT612:HT613)</f>
        <v>12.880599999999996</v>
      </c>
      <c r="HU611" s="346">
        <f>SUM(HU612:HU613)</f>
        <v>30.907699999999995</v>
      </c>
      <c r="HV611" s="477">
        <f>+HV612+HV613</f>
        <v>16.802700000000005</v>
      </c>
      <c r="HW611" s="302">
        <f t="shared" si="491"/>
        <v>42.454099999999983</v>
      </c>
      <c r="HX611" s="346">
        <f t="shared" si="482"/>
        <v>59.256799999999984</v>
      </c>
      <c r="HY611" s="477">
        <f>+HY612+HY613</f>
        <v>44.544243921577923</v>
      </c>
      <c r="HZ611" s="302">
        <f>SUM(DU611:DZ611)</f>
        <v>8.4030000000000058</v>
      </c>
      <c r="IA611" s="346">
        <f t="shared" si="483"/>
        <v>52.947243921577929</v>
      </c>
      <c r="IB611" s="477">
        <f>(+IB612+IB613)*0-12.6531439215778</f>
        <v>-12.653143921577801</v>
      </c>
      <c r="IC611" s="477">
        <f>+(IC612+IC613)</f>
        <v>29.125483031000002</v>
      </c>
      <c r="ID611" s="346">
        <f>FISC!AC844</f>
        <v>23.252356078422068</v>
      </c>
      <c r="IE611" s="302">
        <f t="shared" si="471"/>
        <v>63.684599999999989</v>
      </c>
      <c r="IF611" s="302">
        <f t="shared" si="472"/>
        <v>51.732900000000001</v>
      </c>
      <c r="IG611" s="346">
        <f t="shared" si="384"/>
        <v>115.41749999999999</v>
      </c>
      <c r="IH611" s="477">
        <f>+(IH612+IH613)</f>
        <v>5.2270999999999503</v>
      </c>
      <c r="II611" s="477">
        <f>+II612+II613</f>
        <v>44.565886081200048</v>
      </c>
      <c r="IJ611" s="346">
        <f>+FISC!AE844</f>
        <v>49.792986081199999</v>
      </c>
      <c r="IK611" s="477" t="e">
        <f>+(IK612+IK613)*0+#REF!</f>
        <v>#REF!</v>
      </c>
      <c r="IL611" s="302" t="e">
        <f t="shared" si="473"/>
        <v>#REF!</v>
      </c>
      <c r="IM611" s="346">
        <f>+FISC!AF844</f>
        <v>57.334954867739597</v>
      </c>
      <c r="IN611" s="477" t="e">
        <f>+(IN612+IN613)*0+#REF!</f>
        <v>#REF!</v>
      </c>
      <c r="IO611" s="302" t="e">
        <f t="shared" si="334"/>
        <v>#REF!</v>
      </c>
      <c r="IP611" s="346">
        <f>+FISC!AG844</f>
        <v>0</v>
      </c>
      <c r="IQ611" s="477">
        <f>+(IQ612+IQ613)</f>
        <v>0</v>
      </c>
      <c r="IR611" s="302">
        <f t="shared" si="476"/>
        <v>0</v>
      </c>
      <c r="IS611" s="346">
        <f>+FISC!AH844</f>
        <v>0</v>
      </c>
      <c r="IT611" s="477">
        <f>+(IT612+IT613)</f>
        <v>0</v>
      </c>
      <c r="IU611" s="302">
        <f t="shared" si="478"/>
        <v>0</v>
      </c>
      <c r="IV611" s="346">
        <f>+FISC!AI844</f>
        <v>0</v>
      </c>
      <c r="IW611" s="477">
        <f>+(IW612+IW613)</f>
        <v>0</v>
      </c>
      <c r="IX611" s="302">
        <f t="shared" si="479"/>
        <v>0</v>
      </c>
      <c r="IY611" s="346">
        <f>+FISC!AJ844</f>
        <v>0</v>
      </c>
      <c r="IZ611" s="477">
        <f>+(IZ612+IZ613)</f>
        <v>0</v>
      </c>
      <c r="JA611" s="302">
        <f t="shared" si="480"/>
        <v>0</v>
      </c>
      <c r="JB611" s="346">
        <f>+FISC!AK844</f>
        <v>0</v>
      </c>
      <c r="JC611" s="346"/>
      <c r="KI611" s="349"/>
      <c r="KJ611" s="350"/>
      <c r="KM611" s="302">
        <f>SUM(KM612:KM613)</f>
        <v>0</v>
      </c>
      <c r="KN611" s="302">
        <f>SUM(KN612:KN613)</f>
        <v>0</v>
      </c>
      <c r="KO611" s="302">
        <f>SUM(KO612:KO613)</f>
        <v>0</v>
      </c>
      <c r="KP611" s="302">
        <f>SUM(KP612:KP613)</f>
        <v>0</v>
      </c>
    </row>
    <row r="612" spans="1:302">
      <c r="A612" s="302"/>
      <c r="B612" s="117" t="s">
        <v>361</v>
      </c>
      <c r="D612" s="351" t="str">
        <f>+FISC!D845</f>
        <v>Non bank T/Bills</v>
      </c>
      <c r="E612" s="346"/>
      <c r="F612" s="346"/>
      <c r="G612" s="346"/>
      <c r="H612" s="346"/>
      <c r="I612" s="346"/>
      <c r="J612" s="346"/>
      <c r="K612" s="346"/>
      <c r="L612" s="346"/>
      <c r="M612" s="346"/>
      <c r="N612" s="346"/>
      <c r="O612" s="346"/>
      <c r="P612" s="346"/>
      <c r="Q612" s="346">
        <v>-6.0225</v>
      </c>
      <c r="R612" s="346">
        <v>-0.6552</v>
      </c>
      <c r="S612" s="346">
        <v>1.0439000000000001</v>
      </c>
      <c r="T612" s="346">
        <v>0.56389999999999996</v>
      </c>
      <c r="U612" s="346">
        <v>1.5960999999999999</v>
      </c>
      <c r="V612" s="346">
        <v>8.8031000000000006</v>
      </c>
      <c r="W612" s="346">
        <v>-1.0435000000000001</v>
      </c>
      <c r="X612" s="346">
        <v>1.54125</v>
      </c>
      <c r="Y612" s="346">
        <v>-2.8788499999999999</v>
      </c>
      <c r="Z612" s="346">
        <v>-6.4791000000000007</v>
      </c>
      <c r="AA612" s="346">
        <v>2.1366000000000001</v>
      </c>
      <c r="AB612" s="346">
        <v>-3.6234000000000002</v>
      </c>
      <c r="AC612" s="346">
        <v>-0.9</v>
      </c>
      <c r="AD612" s="346">
        <v>-0.2</v>
      </c>
      <c r="AE612" s="346">
        <v>-1.4</v>
      </c>
      <c r="AF612" s="346">
        <v>-0.2</v>
      </c>
      <c r="AG612" s="346">
        <v>0</v>
      </c>
      <c r="AH612" s="346">
        <v>0</v>
      </c>
      <c r="AI612" s="346">
        <v>1.5</v>
      </c>
      <c r="AJ612" s="346">
        <v>0</v>
      </c>
      <c r="AK612" s="346">
        <v>0</v>
      </c>
      <c r="AL612" s="346">
        <v>0</v>
      </c>
      <c r="AM612" s="346">
        <v>0</v>
      </c>
      <c r="AN612" s="346">
        <v>0</v>
      </c>
      <c r="AO612" s="346">
        <v>0</v>
      </c>
      <c r="AP612" s="346">
        <v>0.378</v>
      </c>
      <c r="AQ612" s="346">
        <v>0</v>
      </c>
      <c r="AR612" s="346">
        <v>-0.26700000000000002</v>
      </c>
      <c r="AS612" s="346">
        <v>9.7000000000000003E-2</v>
      </c>
      <c r="AT612" s="346">
        <v>2.0222000000000002</v>
      </c>
      <c r="AU612" s="346">
        <v>-1.0717000000000001</v>
      </c>
      <c r="AV612" s="346">
        <v>-0.52300000000000002</v>
      </c>
      <c r="AW612" s="346">
        <v>1.4056</v>
      </c>
      <c r="AX612" s="346">
        <v>-1.0532000000000001</v>
      </c>
      <c r="AY612" s="346">
        <v>0.21730000000000002</v>
      </c>
      <c r="AZ612" s="346">
        <v>-0.86470000000000002</v>
      </c>
      <c r="BA612" s="346">
        <v>0.18980000000000002</v>
      </c>
      <c r="BB612" s="346">
        <v>-0.25190000000000001</v>
      </c>
      <c r="BC612" s="346">
        <v>-1.35E-2</v>
      </c>
      <c r="BD612" s="346">
        <v>0.39879999999999999</v>
      </c>
      <c r="BE612" s="346">
        <v>-0.3422</v>
      </c>
      <c r="BF612" s="346">
        <v>4.0000000000000001E-3</v>
      </c>
      <c r="BG612" s="346">
        <v>0.13350000000000001</v>
      </c>
      <c r="BH612" s="346">
        <v>-7.990000000000004E-2</v>
      </c>
      <c r="BI612" s="346">
        <v>0.4723</v>
      </c>
      <c r="BJ612" s="346">
        <v>-0.47679999999999995</v>
      </c>
      <c r="BK612" s="346">
        <v>0.81820000000000004</v>
      </c>
      <c r="BL612" s="346">
        <v>-0.43420000000000003</v>
      </c>
      <c r="BM612" s="346">
        <v>0.12770000000000004</v>
      </c>
      <c r="BN612" s="346">
        <v>-0.58660000000000012</v>
      </c>
      <c r="BO612" s="346">
        <v>-1.6599999999999965E-2</v>
      </c>
      <c r="BP612" s="346">
        <v>0.66300000000000003</v>
      </c>
      <c r="BQ612" s="346">
        <v>1.5E-3</v>
      </c>
      <c r="BR612" s="346">
        <v>6.9899999999999976E-2</v>
      </c>
      <c r="BS612" s="346">
        <v>-0.76349999999999996</v>
      </c>
      <c r="BT612" s="346">
        <v>12.4359</v>
      </c>
      <c r="BU612" s="346">
        <v>6.2743000000000002</v>
      </c>
      <c r="BV612" s="346"/>
      <c r="BW612" s="346"/>
      <c r="BX612" s="346"/>
      <c r="BY612" s="346"/>
      <c r="BZ612" s="346"/>
      <c r="CA612" s="346"/>
      <c r="CB612" s="346"/>
      <c r="CC612" s="346"/>
      <c r="CD612" s="346"/>
      <c r="CE612" s="347">
        <f t="shared" ref="CE612:DJ612" si="498">CE124-CD124</f>
        <v>-7.6275000000000261</v>
      </c>
      <c r="CF612" s="346">
        <f t="shared" si="498"/>
        <v>-11.176000000000002</v>
      </c>
      <c r="CG612" s="346">
        <f t="shared" si="498"/>
        <v>6.1718000000000011</v>
      </c>
      <c r="CH612" s="346">
        <f t="shared" si="498"/>
        <v>-12.2028</v>
      </c>
      <c r="CI612" s="346">
        <f t="shared" si="498"/>
        <v>-3.7353000000000023</v>
      </c>
      <c r="CJ612" s="346">
        <f t="shared" si="498"/>
        <v>-3.6592999999999982</v>
      </c>
      <c r="CK612" s="346">
        <f t="shared" si="498"/>
        <v>1.0833999999999993</v>
      </c>
      <c r="CL612" s="346">
        <f t="shared" si="498"/>
        <v>0.61240000000000094</v>
      </c>
      <c r="CM612" s="346">
        <f t="shared" si="498"/>
        <v>-3.5635999999999992</v>
      </c>
      <c r="CN612" s="346">
        <f t="shared" si="498"/>
        <v>0</v>
      </c>
      <c r="CO612" s="346">
        <f t="shared" si="498"/>
        <v>0.23439999999999905</v>
      </c>
      <c r="CP612" s="348">
        <f t="shared" si="498"/>
        <v>1.3146000000000004</v>
      </c>
      <c r="CQ612" s="346">
        <f t="shared" si="498"/>
        <v>0.67939999999999934</v>
      </c>
      <c r="CR612" s="346">
        <f t="shared" si="498"/>
        <v>-0.84109999999999907</v>
      </c>
      <c r="CS612" s="346">
        <f t="shared" si="498"/>
        <v>-1.2789000000000001</v>
      </c>
      <c r="CT612" s="346">
        <f t="shared" si="498"/>
        <v>4.2790999999999997</v>
      </c>
      <c r="CU612" s="346">
        <f t="shared" si="498"/>
        <v>-0.5730000000000004</v>
      </c>
      <c r="CV612" s="346">
        <f t="shared" si="498"/>
        <v>-0.96609999999999907</v>
      </c>
      <c r="CW612" s="346">
        <f t="shared" si="498"/>
        <v>-1.9590000000000014</v>
      </c>
      <c r="CX612" s="346">
        <f t="shared" si="498"/>
        <v>-8.0999999999999517E-2</v>
      </c>
      <c r="CY612" s="346">
        <f t="shared" si="498"/>
        <v>2.2999999999999687E-2</v>
      </c>
      <c r="CZ612" s="346">
        <f t="shared" si="498"/>
        <v>0</v>
      </c>
      <c r="DA612" s="346">
        <f t="shared" si="498"/>
        <v>-9.5499999999999474E-2</v>
      </c>
      <c r="DB612" s="1479">
        <f t="shared" si="498"/>
        <v>-0.70199999999999996</v>
      </c>
      <c r="DC612" s="346">
        <f t="shared" si="498"/>
        <v>-3.5155000000000003</v>
      </c>
      <c r="DD612" s="346">
        <f t="shared" si="498"/>
        <v>-2.0469999999999997</v>
      </c>
      <c r="DE612" s="346">
        <f t="shared" si="498"/>
        <v>-0.78050000000000042</v>
      </c>
      <c r="DF612" s="346">
        <f t="shared" si="498"/>
        <v>-0.14899999999999958</v>
      </c>
      <c r="DG612" s="346">
        <f t="shared" si="498"/>
        <v>4.8916999999999993</v>
      </c>
      <c r="DH612" s="346">
        <f t="shared" si="498"/>
        <v>4.4945000000000004</v>
      </c>
      <c r="DI612" s="346">
        <f t="shared" si="498"/>
        <v>6.2279999999999998</v>
      </c>
      <c r="DJ612" s="346">
        <f t="shared" si="498"/>
        <v>-0.48649999999999949</v>
      </c>
      <c r="DK612" s="346">
        <f t="shared" ref="DK612:EP612" si="499">DK124-DJ124</f>
        <v>0.28000000000000114</v>
      </c>
      <c r="DL612" s="346">
        <f t="shared" si="499"/>
        <v>12.278500000000001</v>
      </c>
      <c r="DM612" s="346">
        <f t="shared" si="499"/>
        <v>1.5632999999999981</v>
      </c>
      <c r="DN612" s="348">
        <f t="shared" si="499"/>
        <v>6.8730000000000011</v>
      </c>
      <c r="DO612" s="346">
        <f t="shared" si="499"/>
        <v>3.6617103065779091</v>
      </c>
      <c r="DP612" s="346">
        <f t="shared" si="499"/>
        <v>10.584800000000001</v>
      </c>
      <c r="DQ612" s="346">
        <f t="shared" si="499"/>
        <v>7.2609000000000066</v>
      </c>
      <c r="DR612" s="346">
        <f t="shared" si="499"/>
        <v>7.9417000000000044</v>
      </c>
      <c r="DS612" s="346">
        <f t="shared" si="499"/>
        <v>-2.0110663850000066</v>
      </c>
      <c r="DT612" s="346">
        <f t="shared" si="499"/>
        <v>-4.9627999999999943</v>
      </c>
      <c r="DU612" s="346">
        <f t="shared" si="499"/>
        <v>7.5042560784220811</v>
      </c>
      <c r="DV612" s="346">
        <f t="shared" si="499"/>
        <v>6.0050999999999988</v>
      </c>
      <c r="DW612" s="346">
        <f t="shared" si="499"/>
        <v>-3.2092999999999989</v>
      </c>
      <c r="DX612" s="346">
        <f t="shared" si="499"/>
        <v>2.0746999999999929</v>
      </c>
      <c r="DY612" s="346">
        <f t="shared" si="499"/>
        <v>-2.0640999999999963</v>
      </c>
      <c r="DZ612" s="348">
        <f t="shared" si="499"/>
        <v>-11.419756078422076</v>
      </c>
      <c r="EA612" s="346">
        <f t="shared" si="499"/>
        <v>-12.827799999999996</v>
      </c>
      <c r="EB612" s="346">
        <f t="shared" si="499"/>
        <v>-4.0705000000000027</v>
      </c>
      <c r="EC612" s="346">
        <f t="shared" si="499"/>
        <v>-4.6078439215778246</v>
      </c>
      <c r="ED612" s="346">
        <f t="shared" si="499"/>
        <v>-3.5057000000000045</v>
      </c>
      <c r="EE612" s="346">
        <f t="shared" si="499"/>
        <v>-4.573599999999999</v>
      </c>
      <c r="EF612" s="346">
        <f t="shared" si="499"/>
        <v>3.8395999999999972</v>
      </c>
      <c r="EG612" s="346">
        <f t="shared" si="499"/>
        <v>19.635299999999901</v>
      </c>
      <c r="EH612" s="346">
        <f t="shared" si="499"/>
        <v>-5.3600999999999956</v>
      </c>
      <c r="EI612" s="346">
        <f t="shared" si="499"/>
        <v>0.52939999999999543</v>
      </c>
      <c r="EJ612" s="346">
        <f t="shared" si="499"/>
        <v>21.618200000000016</v>
      </c>
      <c r="EK612" s="346">
        <f t="shared" si="499"/>
        <v>-7.808700000000016</v>
      </c>
      <c r="EL612" s="348">
        <f t="shared" si="499"/>
        <v>10.640300000000011</v>
      </c>
      <c r="EM612" s="346">
        <f t="shared" si="499"/>
        <v>1.6792999999999978</v>
      </c>
      <c r="EN612" s="346">
        <f t="shared" si="499"/>
        <v>-11.636900000000004</v>
      </c>
      <c r="EO612" s="346">
        <f t="shared" si="499"/>
        <v>2.6246999999999829</v>
      </c>
      <c r="EP612" s="346">
        <f t="shared" si="499"/>
        <v>17.377200000000016</v>
      </c>
      <c r="EQ612" s="346">
        <f t="shared" ref="EQ612:EX612" si="500">EQ124-EP124</f>
        <v>7.4844000000000079</v>
      </c>
      <c r="ER612" s="346">
        <f t="shared" si="500"/>
        <v>20.035399999999996</v>
      </c>
      <c r="ES612" s="346">
        <f t="shared" si="500"/>
        <v>-7.7836999999999961</v>
      </c>
      <c r="ET612" s="346">
        <f t="shared" si="500"/>
        <v>9.7003999999999877</v>
      </c>
      <c r="EU612" s="346">
        <f t="shared" si="500"/>
        <v>-8.7055000000000007</v>
      </c>
      <c r="EV612" s="346">
        <f t="shared" si="500"/>
        <v>-3.300699999999992</v>
      </c>
      <c r="EW612" s="346">
        <f t="shared" si="500"/>
        <v>14.963499999999996</v>
      </c>
      <c r="EX612" s="348">
        <f t="shared" si="500"/>
        <v>11.352699999999999</v>
      </c>
      <c r="EY612" s="346"/>
      <c r="EZ612" s="346"/>
      <c r="FA612" s="346"/>
      <c r="FB612" s="346"/>
      <c r="FC612" s="346"/>
      <c r="FD612" s="346"/>
      <c r="FE612" s="346"/>
      <c r="FF612" s="346"/>
      <c r="FG612" s="346"/>
      <c r="FH612" s="346"/>
      <c r="FI612" s="346"/>
      <c r="FJ612" s="348"/>
      <c r="FK612" s="346"/>
      <c r="FL612" s="346"/>
      <c r="FM612" s="346"/>
      <c r="FN612" s="346"/>
      <c r="FO612" s="346"/>
      <c r="FP612" s="346"/>
      <c r="FQ612" s="346"/>
      <c r="FR612" s="346"/>
      <c r="FS612" s="346"/>
      <c r="FT612" s="346"/>
      <c r="FU612" s="346"/>
      <c r="FV612" s="346"/>
      <c r="FW612" s="346"/>
      <c r="FX612" s="346"/>
      <c r="FY612" s="346"/>
      <c r="FZ612" s="346"/>
      <c r="GA612" s="346"/>
      <c r="GB612" s="346"/>
      <c r="GC612" s="346"/>
      <c r="GD612" s="346"/>
      <c r="GE612" s="346"/>
      <c r="GF612" s="346"/>
      <c r="GG612" s="346"/>
      <c r="GH612" s="346"/>
      <c r="GI612" s="346"/>
      <c r="GJ612" s="346"/>
      <c r="GK612" s="346"/>
      <c r="GL612" s="346"/>
      <c r="GM612" s="346"/>
      <c r="GN612" s="346"/>
      <c r="GO612" s="346"/>
      <c r="GP612" s="346"/>
      <c r="GQ612" s="346"/>
      <c r="GR612" s="346"/>
      <c r="GS612" s="346"/>
      <c r="GT612" s="346"/>
      <c r="GU612" s="346"/>
      <c r="GV612" s="346"/>
      <c r="GW612" s="346"/>
      <c r="GX612" s="346"/>
      <c r="GY612" s="346"/>
      <c r="GZ612" s="346"/>
      <c r="HA612" s="346"/>
      <c r="HB612" s="346"/>
      <c r="HC612" s="346"/>
      <c r="HD612" s="346"/>
      <c r="HE612" s="346"/>
      <c r="HF612" s="346"/>
      <c r="HG612" s="346"/>
      <c r="HH612" s="346"/>
      <c r="HI612" s="346"/>
      <c r="HJ612" s="346"/>
      <c r="HK612" s="346"/>
      <c r="HL612" s="346"/>
      <c r="HM612" s="346"/>
      <c r="HN612" s="349"/>
      <c r="HO612" s="351" t="s">
        <v>192</v>
      </c>
      <c r="HP612" s="351"/>
      <c r="HQ612" s="351"/>
      <c r="HR612" s="346">
        <f>+FISC!Z845</f>
        <v>0</v>
      </c>
      <c r="HS612" s="302">
        <f>SUM(CQ612:CV612)</f>
        <v>1.2994000000000003</v>
      </c>
      <c r="HT612" s="302">
        <f>SUM(CW612:DB612)</f>
        <v>-2.8145000000000007</v>
      </c>
      <c r="HU612" s="346">
        <f>SUM(CQ612:DB612)</f>
        <v>-1.5151000000000003</v>
      </c>
      <c r="HV612" s="302">
        <f>+SUM(DC612:DH612)</f>
        <v>2.8942000000000005</v>
      </c>
      <c r="HW612" s="302">
        <f t="shared" si="491"/>
        <v>26.736300000000004</v>
      </c>
      <c r="HX612" s="346">
        <f t="shared" si="482"/>
        <v>29.630500000000005</v>
      </c>
      <c r="HY612" s="302">
        <f>+SUM(DO612:DT612)</f>
        <v>22.475243921577921</v>
      </c>
      <c r="HZ612" s="302">
        <f>SUM(DU612:DZ612)</f>
        <v>-1.109099999999998</v>
      </c>
      <c r="IA612" s="346">
        <f t="shared" si="483"/>
        <v>21.366143921577923</v>
      </c>
      <c r="IB612" s="477">
        <f>+(ID612/2)*0</f>
        <v>0</v>
      </c>
      <c r="IC612" s="302">
        <f>+ID612-IB612</f>
        <v>14.562741515500001</v>
      </c>
      <c r="ID612" s="346">
        <f>FISC!AC845</f>
        <v>14.562741515500001</v>
      </c>
      <c r="IE612" s="302">
        <f t="shared" si="471"/>
        <v>37.564099999999996</v>
      </c>
      <c r="IF612" s="302">
        <f t="shared" si="472"/>
        <v>16.226699999999994</v>
      </c>
      <c r="IG612" s="346">
        <f t="shared" si="384"/>
        <v>53.79079999999999</v>
      </c>
      <c r="IH612" s="477">
        <f>+(IJ612/2)*0+5.22709999999995</f>
        <v>5.2270999999999503</v>
      </c>
      <c r="II612" s="302">
        <f>+IJ612-IH612</f>
        <v>19.669393040600049</v>
      </c>
      <c r="IJ612" s="346">
        <f>+FISC!AE845</f>
        <v>24.896493040599999</v>
      </c>
      <c r="IK612" s="477">
        <f>+IM612/2</f>
        <v>14.333738716934899</v>
      </c>
      <c r="IL612" s="302">
        <f t="shared" si="473"/>
        <v>14.333738716934899</v>
      </c>
      <c r="IM612" s="346">
        <f>+FISC!AF845</f>
        <v>28.667477433869799</v>
      </c>
      <c r="IN612" s="477">
        <f>+IP612/2</f>
        <v>0</v>
      </c>
      <c r="IO612" s="302">
        <f t="shared" si="334"/>
        <v>0</v>
      </c>
      <c r="IP612" s="346">
        <f>+FISC!AG845</f>
        <v>0</v>
      </c>
      <c r="IQ612" s="477">
        <f>+IS612/2</f>
        <v>0</v>
      </c>
      <c r="IR612" s="302">
        <f t="shared" si="476"/>
        <v>0</v>
      </c>
      <c r="IS612" s="346">
        <f>+FISC!AH845</f>
        <v>0</v>
      </c>
      <c r="IT612" s="477">
        <f>+IV612/2</f>
        <v>0</v>
      </c>
      <c r="IU612" s="302">
        <f t="shared" si="478"/>
        <v>0</v>
      </c>
      <c r="IV612" s="346">
        <f>+FISC!AI845</f>
        <v>0</v>
      </c>
      <c r="IW612" s="477">
        <f>+IY612/2</f>
        <v>0</v>
      </c>
      <c r="IX612" s="302">
        <f t="shared" si="479"/>
        <v>0</v>
      </c>
      <c r="IY612" s="346">
        <f>+FISC!AJ845</f>
        <v>0</v>
      </c>
      <c r="IZ612" s="477">
        <f>+JB612/2</f>
        <v>0</v>
      </c>
      <c r="JA612" s="302">
        <f t="shared" si="480"/>
        <v>0</v>
      </c>
      <c r="JB612" s="346">
        <f>+FISC!AK845</f>
        <v>0</v>
      </c>
      <c r="JC612" s="346"/>
      <c r="KI612" s="349"/>
      <c r="KJ612" s="350"/>
    </row>
    <row r="613" spans="1:302">
      <c r="A613" s="302"/>
      <c r="B613" s="117" t="s">
        <v>361</v>
      </c>
      <c r="D613" s="351" t="str">
        <f>+FISC!D846</f>
        <v>Non bank T/Bonds</v>
      </c>
      <c r="E613" s="346"/>
      <c r="F613" s="346"/>
      <c r="G613" s="346"/>
      <c r="H613" s="346"/>
      <c r="I613" s="346"/>
      <c r="J613" s="346"/>
      <c r="K613" s="346"/>
      <c r="L613" s="346"/>
      <c r="M613" s="346"/>
      <c r="N613" s="346"/>
      <c r="O613" s="346"/>
      <c r="P613" s="346"/>
      <c r="Q613" s="346">
        <v>1</v>
      </c>
      <c r="R613" s="346">
        <v>1.7510999999999999</v>
      </c>
      <c r="S613" s="346">
        <v>0</v>
      </c>
      <c r="T613" s="346">
        <v>0</v>
      </c>
      <c r="U613" s="346">
        <v>0</v>
      </c>
      <c r="V613" s="346">
        <v>0</v>
      </c>
      <c r="W613" s="346">
        <v>0</v>
      </c>
      <c r="X613" s="346">
        <v>0</v>
      </c>
      <c r="Y613" s="346">
        <v>0</v>
      </c>
      <c r="Z613" s="346">
        <v>0</v>
      </c>
      <c r="AA613" s="346">
        <v>0</v>
      </c>
      <c r="AB613" s="346">
        <v>0</v>
      </c>
      <c r="AC613" s="346">
        <v>0</v>
      </c>
      <c r="AD613" s="346">
        <v>0</v>
      </c>
      <c r="AE613" s="346">
        <v>0</v>
      </c>
      <c r="AF613" s="346">
        <v>0</v>
      </c>
      <c r="AG613" s="346">
        <v>0</v>
      </c>
      <c r="AH613" s="346">
        <v>0</v>
      </c>
      <c r="AI613" s="346">
        <v>0</v>
      </c>
      <c r="AJ613" s="346">
        <v>0</v>
      </c>
      <c r="AK613" s="346">
        <v>0</v>
      </c>
      <c r="AL613" s="346">
        <v>0</v>
      </c>
      <c r="AM613" s="346">
        <v>0</v>
      </c>
      <c r="AN613" s="346">
        <v>0</v>
      </c>
      <c r="AO613" s="346">
        <v>0</v>
      </c>
      <c r="AP613" s="346">
        <v>0</v>
      </c>
      <c r="AQ613" s="346">
        <v>-1.903</v>
      </c>
      <c r="AR613" s="346">
        <v>0</v>
      </c>
      <c r="AS613" s="346">
        <v>0</v>
      </c>
      <c r="AT613" s="346">
        <v>-0.39400000000000002</v>
      </c>
      <c r="AU613" s="346">
        <v>0</v>
      </c>
      <c r="AV613" s="346">
        <v>0.36960000000000004</v>
      </c>
      <c r="AW613" s="346">
        <v>0</v>
      </c>
      <c r="AX613" s="346">
        <v>0</v>
      </c>
      <c r="AY613" s="346">
        <v>0.5</v>
      </c>
      <c r="AZ613" s="346">
        <v>0</v>
      </c>
      <c r="BA613" s="346">
        <v>0</v>
      </c>
      <c r="BB613" s="346">
        <v>-0.49389999999999995</v>
      </c>
      <c r="BC613" s="346">
        <v>0</v>
      </c>
      <c r="BD613" s="346">
        <v>0</v>
      </c>
      <c r="BE613" s="346">
        <v>0</v>
      </c>
      <c r="BF613" s="346">
        <v>0</v>
      </c>
      <c r="BG613" s="346">
        <v>0</v>
      </c>
      <c r="BH613" s="346">
        <v>0</v>
      </c>
      <c r="BI613" s="346">
        <v>0</v>
      </c>
      <c r="BJ613" s="346">
        <v>0</v>
      </c>
      <c r="BK613" s="346">
        <v>0</v>
      </c>
      <c r="BL613" s="346">
        <v>0</v>
      </c>
      <c r="BM613" s="346">
        <v>0</v>
      </c>
      <c r="BN613" s="346">
        <v>0</v>
      </c>
      <c r="BO613" s="346">
        <v>0</v>
      </c>
      <c r="BP613" s="346">
        <v>0</v>
      </c>
      <c r="BQ613" s="346">
        <v>0</v>
      </c>
      <c r="BR613" s="346">
        <v>0</v>
      </c>
      <c r="BS613" s="346">
        <v>0</v>
      </c>
      <c r="BT613" s="346">
        <v>-0.36960000000000004</v>
      </c>
      <c r="BU613" s="346">
        <v>0</v>
      </c>
      <c r="BV613" s="346"/>
      <c r="BW613" s="346"/>
      <c r="BX613" s="346"/>
      <c r="BY613" s="346"/>
      <c r="BZ613" s="346"/>
      <c r="CA613" s="346"/>
      <c r="CB613" s="346"/>
      <c r="CC613" s="346"/>
      <c r="CD613" s="346"/>
      <c r="CE613" s="347">
        <f t="shared" ref="CE613:DJ613" si="501">CE127-CD127</f>
        <v>0</v>
      </c>
      <c r="CF613" s="346">
        <f t="shared" si="501"/>
        <v>0</v>
      </c>
      <c r="CG613" s="346">
        <f t="shared" si="501"/>
        <v>0</v>
      </c>
      <c r="CH613" s="346">
        <f t="shared" si="501"/>
        <v>0</v>
      </c>
      <c r="CI613" s="346">
        <f t="shared" si="501"/>
        <v>0</v>
      </c>
      <c r="CJ613" s="346">
        <f t="shared" si="501"/>
        <v>0</v>
      </c>
      <c r="CK613" s="346">
        <f t="shared" si="501"/>
        <v>0</v>
      </c>
      <c r="CL613" s="346">
        <f t="shared" si="501"/>
        <v>5.8940000000000001</v>
      </c>
      <c r="CM613" s="346">
        <f t="shared" si="501"/>
        <v>0</v>
      </c>
      <c r="CN613" s="346">
        <f t="shared" si="501"/>
        <v>0</v>
      </c>
      <c r="CO613" s="346">
        <f t="shared" si="501"/>
        <v>15</v>
      </c>
      <c r="CP613" s="348">
        <f t="shared" si="501"/>
        <v>0</v>
      </c>
      <c r="CQ613" s="346">
        <f t="shared" si="501"/>
        <v>0</v>
      </c>
      <c r="CR613" s="346">
        <f t="shared" si="501"/>
        <v>9.0705999999999989</v>
      </c>
      <c r="CS613" s="346">
        <f t="shared" si="501"/>
        <v>0</v>
      </c>
      <c r="CT613" s="346">
        <f t="shared" si="501"/>
        <v>0</v>
      </c>
      <c r="CU613" s="346">
        <f t="shared" si="501"/>
        <v>7.6571000000000033</v>
      </c>
      <c r="CV613" s="346">
        <f t="shared" si="501"/>
        <v>0</v>
      </c>
      <c r="CW613" s="346">
        <f t="shared" si="501"/>
        <v>0</v>
      </c>
      <c r="CX613" s="346">
        <f t="shared" si="501"/>
        <v>7.7871999999999986</v>
      </c>
      <c r="CY613" s="346">
        <f t="shared" si="501"/>
        <v>0</v>
      </c>
      <c r="CZ613" s="346">
        <f t="shared" si="501"/>
        <v>0</v>
      </c>
      <c r="DA613" s="346">
        <f t="shared" si="501"/>
        <v>7.9078999999999979</v>
      </c>
      <c r="DB613" s="1479">
        <f t="shared" si="501"/>
        <v>0</v>
      </c>
      <c r="DC613" s="346">
        <f t="shared" si="501"/>
        <v>0</v>
      </c>
      <c r="DD613" s="346">
        <f t="shared" si="501"/>
        <v>7.4498999999999995</v>
      </c>
      <c r="DE613" s="346">
        <f t="shared" si="501"/>
        <v>0</v>
      </c>
      <c r="DF613" s="346">
        <f t="shared" si="501"/>
        <v>0</v>
      </c>
      <c r="DG613" s="346">
        <f t="shared" si="501"/>
        <v>6.4586000000000041</v>
      </c>
      <c r="DH613" s="346">
        <f t="shared" si="501"/>
        <v>0</v>
      </c>
      <c r="DI613" s="346">
        <f t="shared" si="501"/>
        <v>0</v>
      </c>
      <c r="DJ613" s="346">
        <f t="shared" si="501"/>
        <v>9.2177999999999827</v>
      </c>
      <c r="DK613" s="346">
        <f t="shared" ref="DK613:EP613" si="502">DK127-DJ127</f>
        <v>0</v>
      </c>
      <c r="DL613" s="346">
        <f t="shared" si="502"/>
        <v>0</v>
      </c>
      <c r="DM613" s="346">
        <f t="shared" si="502"/>
        <v>6.5</v>
      </c>
      <c r="DN613" s="348">
        <f t="shared" si="502"/>
        <v>0</v>
      </c>
      <c r="DO613" s="346">
        <f t="shared" si="502"/>
        <v>0</v>
      </c>
      <c r="DP613" s="346">
        <f t="shared" si="502"/>
        <v>11.285900000000012</v>
      </c>
      <c r="DQ613" s="346">
        <f t="shared" si="502"/>
        <v>-0.57690000000000907</v>
      </c>
      <c r="DR613" s="346">
        <f t="shared" si="502"/>
        <v>0</v>
      </c>
      <c r="DS613" s="346">
        <f t="shared" si="502"/>
        <v>11.36</v>
      </c>
      <c r="DT613" s="346">
        <f t="shared" si="502"/>
        <v>0</v>
      </c>
      <c r="DU613" s="346">
        <f t="shared" si="502"/>
        <v>0</v>
      </c>
      <c r="DV613" s="346">
        <f t="shared" si="502"/>
        <v>0.51210000000000377</v>
      </c>
      <c r="DW613" s="346">
        <f t="shared" si="502"/>
        <v>0</v>
      </c>
      <c r="DX613" s="346">
        <f t="shared" si="502"/>
        <v>0</v>
      </c>
      <c r="DY613" s="346">
        <f t="shared" si="502"/>
        <v>9</v>
      </c>
      <c r="DZ613" s="348">
        <f t="shared" si="502"/>
        <v>0</v>
      </c>
      <c r="EA613" s="346">
        <f t="shared" si="502"/>
        <v>0</v>
      </c>
      <c r="EB613" s="346">
        <f t="shared" si="502"/>
        <v>5.7027000000000072</v>
      </c>
      <c r="EC613" s="346">
        <f t="shared" si="502"/>
        <v>-6.0000000000002274E-2</v>
      </c>
      <c r="ED613" s="346">
        <f t="shared" si="502"/>
        <v>0</v>
      </c>
      <c r="EE613" s="346">
        <f t="shared" si="502"/>
        <v>7.4500000000000171</v>
      </c>
      <c r="EF613" s="346">
        <f t="shared" si="502"/>
        <v>0</v>
      </c>
      <c r="EG613" s="346">
        <f t="shared" si="502"/>
        <v>0</v>
      </c>
      <c r="EH613" s="346">
        <f t="shared" si="502"/>
        <v>-8.0971999999999866</v>
      </c>
      <c r="EI613" s="346">
        <f t="shared" si="502"/>
        <v>0</v>
      </c>
      <c r="EJ613" s="346">
        <f t="shared" si="502"/>
        <v>0</v>
      </c>
      <c r="EK613" s="346">
        <f t="shared" si="502"/>
        <v>7.4598000000000013</v>
      </c>
      <c r="EL613" s="348">
        <f t="shared" si="502"/>
        <v>14.198499999999996</v>
      </c>
      <c r="EM613" s="346">
        <f t="shared" si="502"/>
        <v>0</v>
      </c>
      <c r="EN613" s="346">
        <f t="shared" si="502"/>
        <v>11.308899999999994</v>
      </c>
      <c r="EO613" s="346">
        <f t="shared" si="502"/>
        <v>10.320199999999971</v>
      </c>
      <c r="EP613" s="346">
        <f t="shared" si="502"/>
        <v>0</v>
      </c>
      <c r="EQ613" s="346">
        <f t="shared" ref="EQ613:EX613" si="503">EQ127-EP127</f>
        <v>4.4914000000000271</v>
      </c>
      <c r="ER613" s="346">
        <f t="shared" si="503"/>
        <v>0</v>
      </c>
      <c r="ES613" s="346">
        <f t="shared" si="503"/>
        <v>4.1289999999999907</v>
      </c>
      <c r="ET613" s="346">
        <f t="shared" si="503"/>
        <v>9.9864000000000033</v>
      </c>
      <c r="EU613" s="346">
        <f t="shared" si="503"/>
        <v>7</v>
      </c>
      <c r="EV613" s="346">
        <f t="shared" si="503"/>
        <v>0</v>
      </c>
      <c r="EW613" s="346">
        <f t="shared" si="503"/>
        <v>-2.1928999999999803</v>
      </c>
      <c r="EX613" s="348">
        <f t="shared" si="503"/>
        <v>16.583699999999993</v>
      </c>
      <c r="EY613" s="346"/>
      <c r="EZ613" s="346"/>
      <c r="FA613" s="346"/>
      <c r="FB613" s="346"/>
      <c r="FC613" s="346"/>
      <c r="FD613" s="346"/>
      <c r="FE613" s="346"/>
      <c r="FF613" s="346"/>
      <c r="FG613" s="346"/>
      <c r="FH613" s="346"/>
      <c r="FI613" s="346"/>
      <c r="FJ613" s="348"/>
      <c r="FK613" s="346"/>
      <c r="FL613" s="346"/>
      <c r="FM613" s="346"/>
      <c r="FN613" s="346"/>
      <c r="FO613" s="346"/>
      <c r="FP613" s="346"/>
      <c r="FQ613" s="346"/>
      <c r="FR613" s="346"/>
      <c r="FS613" s="346"/>
      <c r="FT613" s="346"/>
      <c r="FU613" s="346"/>
      <c r="FV613" s="346"/>
      <c r="FW613" s="346"/>
      <c r="FX613" s="346"/>
      <c r="FY613" s="346"/>
      <c r="FZ613" s="346"/>
      <c r="GA613" s="346"/>
      <c r="GB613" s="346"/>
      <c r="GC613" s="346"/>
      <c r="GD613" s="346"/>
      <c r="GE613" s="346"/>
      <c r="GF613" s="346"/>
      <c r="GG613" s="346"/>
      <c r="GH613" s="346"/>
      <c r="GI613" s="346"/>
      <c r="GJ613" s="346"/>
      <c r="GK613" s="346"/>
      <c r="GL613" s="346"/>
      <c r="GM613" s="346"/>
      <c r="GN613" s="346"/>
      <c r="GO613" s="346"/>
      <c r="GP613" s="346"/>
      <c r="GQ613" s="346"/>
      <c r="GR613" s="346"/>
      <c r="GS613" s="346"/>
      <c r="GT613" s="346"/>
      <c r="GU613" s="346"/>
      <c r="GV613" s="346"/>
      <c r="GW613" s="346"/>
      <c r="GX613" s="346"/>
      <c r="GY613" s="346"/>
      <c r="GZ613" s="346"/>
      <c r="HA613" s="346"/>
      <c r="HB613" s="346"/>
      <c r="HC613" s="346"/>
      <c r="HD613" s="346"/>
      <c r="HE613" s="346"/>
      <c r="HF613" s="346"/>
      <c r="HG613" s="346"/>
      <c r="HH613" s="346"/>
      <c r="HI613" s="346"/>
      <c r="HJ613" s="346"/>
      <c r="HK613" s="346"/>
      <c r="HL613" s="346"/>
      <c r="HM613" s="346"/>
      <c r="HN613" s="349"/>
      <c r="HO613" s="351" t="s">
        <v>193</v>
      </c>
      <c r="HP613" s="351"/>
      <c r="HQ613" s="351"/>
      <c r="HR613" s="346">
        <f>+FISC!Z846</f>
        <v>0</v>
      </c>
      <c r="HS613" s="302">
        <f>SUM(CQ613:CV613)</f>
        <v>16.727700000000002</v>
      </c>
      <c r="HT613" s="302">
        <f>SUM(CW613:DB613)</f>
        <v>15.695099999999996</v>
      </c>
      <c r="HU613" s="346">
        <f>SUM(CQ613:DB613)</f>
        <v>32.422799999999995</v>
      </c>
      <c r="HV613" s="302">
        <f>+SUM(DC613:DH613)</f>
        <v>13.908500000000004</v>
      </c>
      <c r="HW613" s="302">
        <f t="shared" si="491"/>
        <v>15.717799999999983</v>
      </c>
      <c r="HX613" s="346">
        <f t="shared" si="482"/>
        <v>29.626299999999986</v>
      </c>
      <c r="HY613" s="302">
        <f>+SUM(DO613:DT613)</f>
        <v>22.069000000000003</v>
      </c>
      <c r="HZ613" s="302">
        <f>SUM(DU613:DZ613)</f>
        <v>9.5121000000000038</v>
      </c>
      <c r="IA613" s="346">
        <f t="shared" si="483"/>
        <v>31.581100000000006</v>
      </c>
      <c r="IB613" s="477">
        <f>(+ID613/2)*0</f>
        <v>0</v>
      </c>
      <c r="IC613" s="302">
        <f>+ID613-IB613</f>
        <v>14.562741515500001</v>
      </c>
      <c r="ID613" s="346">
        <f>FISC!AC846</f>
        <v>14.562741515500001</v>
      </c>
      <c r="IE613" s="302">
        <f t="shared" si="471"/>
        <v>26.120499999999993</v>
      </c>
      <c r="IF613" s="302">
        <f t="shared" si="472"/>
        <v>35.506200000000007</v>
      </c>
      <c r="IG613" s="346">
        <f t="shared" si="384"/>
        <v>61.6267</v>
      </c>
      <c r="IH613" s="477">
        <f>+(IJ613/2)*0</f>
        <v>0</v>
      </c>
      <c r="II613" s="302">
        <f>+IJ613-IH613</f>
        <v>24.896493040599999</v>
      </c>
      <c r="IJ613" s="346">
        <f>+FISC!AE846</f>
        <v>24.896493040599999</v>
      </c>
      <c r="IK613" s="477">
        <f>+IM613/2</f>
        <v>14.333738716934899</v>
      </c>
      <c r="IL613" s="302">
        <f t="shared" si="473"/>
        <v>14.333738716934899</v>
      </c>
      <c r="IM613" s="346">
        <f>+FISC!AF846</f>
        <v>28.667477433869799</v>
      </c>
      <c r="IN613" s="477">
        <f>+IP613/2</f>
        <v>0</v>
      </c>
      <c r="IO613" s="302">
        <f t="shared" si="334"/>
        <v>0</v>
      </c>
      <c r="IP613" s="346">
        <f>+FISC!AG846</f>
        <v>0</v>
      </c>
      <c r="IQ613" s="477">
        <f>+IS613/2</f>
        <v>0</v>
      </c>
      <c r="IR613" s="302">
        <f t="shared" si="476"/>
        <v>0</v>
      </c>
      <c r="IS613" s="346">
        <f>+FISC!AH846</f>
        <v>0</v>
      </c>
      <c r="IT613" s="477">
        <f>+IV613/2</f>
        <v>0</v>
      </c>
      <c r="IU613" s="302">
        <f t="shared" si="478"/>
        <v>0</v>
      </c>
      <c r="IV613" s="346">
        <f>+FISC!AI846</f>
        <v>0</v>
      </c>
      <c r="IW613" s="477">
        <f>+IY613/2</f>
        <v>0</v>
      </c>
      <c r="IX613" s="302">
        <f t="shared" si="479"/>
        <v>0</v>
      </c>
      <c r="IY613" s="346">
        <f>+FISC!AJ846</f>
        <v>0</v>
      </c>
      <c r="IZ613" s="477">
        <f>+JB613/2</f>
        <v>0</v>
      </c>
      <c r="JA613" s="302">
        <f t="shared" si="480"/>
        <v>0</v>
      </c>
      <c r="JB613" s="346">
        <f>+FISC!AK846</f>
        <v>0</v>
      </c>
      <c r="JC613" s="346"/>
      <c r="KI613" s="349"/>
      <c r="KJ613" s="350"/>
    </row>
    <row r="614" spans="1:302">
      <c r="A614" s="302"/>
      <c r="B614" s="117" t="s">
        <v>361</v>
      </c>
      <c r="D614" s="351" t="str">
        <f>+FISC!D847</f>
        <v>Non Bank Sector Debt Repayment (&gt; 2016/17 from DMO)</v>
      </c>
      <c r="E614" s="346"/>
      <c r="F614" s="346"/>
      <c r="G614" s="346"/>
      <c r="H614" s="346"/>
      <c r="I614" s="346"/>
      <c r="J614" s="346"/>
      <c r="K614" s="346"/>
      <c r="L614" s="346"/>
      <c r="M614" s="346"/>
      <c r="N614" s="346"/>
      <c r="O614" s="346"/>
      <c r="P614" s="346"/>
      <c r="Q614" s="346">
        <v>0</v>
      </c>
      <c r="R614" s="346">
        <v>-3.8502700000000001</v>
      </c>
      <c r="S614" s="346">
        <v>-8.3860000000000004E-2</v>
      </c>
      <c r="T614" s="346">
        <v>-0.68985000000000007</v>
      </c>
      <c r="U614" s="346">
        <v>-2.0622500000000001</v>
      </c>
      <c r="V614" s="346">
        <v>-4.2703568379999997</v>
      </c>
      <c r="W614" s="346">
        <v>-0.62691000000000008</v>
      </c>
      <c r="X614" s="346">
        <v>-0.14207</v>
      </c>
      <c r="Y614" s="346">
        <v>-3.0620000000000001E-2</v>
      </c>
      <c r="Z614" s="346">
        <v>-0.12315999999999999</v>
      </c>
      <c r="AA614" s="346">
        <v>-0.1336</v>
      </c>
      <c r="AB614" s="346">
        <v>-1.4154599999999999</v>
      </c>
      <c r="AC614" s="346">
        <v>0</v>
      </c>
      <c r="AD614" s="346">
        <v>0</v>
      </c>
      <c r="AE614" s="346">
        <v>0</v>
      </c>
      <c r="AF614" s="346">
        <v>-1.73472</v>
      </c>
      <c r="AG614" s="346">
        <v>-0.83784000000000003</v>
      </c>
      <c r="AH614" s="346">
        <v>-3.9935600000000004</v>
      </c>
      <c r="AI614" s="346">
        <v>-2.5940400000000001</v>
      </c>
      <c r="AJ614" s="346">
        <v>-2.88862</v>
      </c>
      <c r="AK614" s="346">
        <v>-0.54108000000000001</v>
      </c>
      <c r="AL614" s="346">
        <v>-1.1647100000000001</v>
      </c>
      <c r="AM614" s="346">
        <v>-0.27212000000000003</v>
      </c>
      <c r="AN614" s="346">
        <v>-3.7279100000000001</v>
      </c>
      <c r="AO614" s="346">
        <v>-0.53528999999999993</v>
      </c>
      <c r="AP614" s="346">
        <v>-4.3159999999999998</v>
      </c>
      <c r="AQ614" s="346">
        <v>-1.19034</v>
      </c>
      <c r="AR614" s="346">
        <v>-1.6147199999999999</v>
      </c>
      <c r="AS614" s="346">
        <v>-6.0579999999999995E-2</v>
      </c>
      <c r="AT614" s="346">
        <v>-2.55958</v>
      </c>
      <c r="AU614" s="346">
        <v>-1.2036600000000002</v>
      </c>
      <c r="AV614" s="346">
        <v>-4.351E-2</v>
      </c>
      <c r="AW614" s="346">
        <v>-0.15052000000000001</v>
      </c>
      <c r="AX614" s="346">
        <v>-4.342E-2</v>
      </c>
      <c r="AY614" s="346">
        <v>-0.52958000000000005</v>
      </c>
      <c r="AZ614" s="346">
        <v>-0.64163000000000003</v>
      </c>
      <c r="BA614" s="346">
        <v>-1.96055</v>
      </c>
      <c r="BB614" s="346">
        <v>-7.176779999999999</v>
      </c>
      <c r="BC614" s="346">
        <v>-0.83624000000000009</v>
      </c>
      <c r="BD614" s="346">
        <v>-4</v>
      </c>
      <c r="BE614" s="346">
        <v>-0.39223000000000002</v>
      </c>
      <c r="BF614" s="346">
        <v>-1.1094800000000002</v>
      </c>
      <c r="BG614" s="346">
        <v>-1.7707280000000001</v>
      </c>
      <c r="BH614" s="346">
        <v>-1.47489</v>
      </c>
      <c r="BI614" s="346">
        <v>-0.33729999999999999</v>
      </c>
      <c r="BJ614" s="346">
        <v>-0.153425966</v>
      </c>
      <c r="BK614" s="346">
        <v>-6.8879137000000007E-2</v>
      </c>
      <c r="BL614" s="346">
        <v>-1.054959582</v>
      </c>
      <c r="BM614" s="346">
        <v>-3.5135700000000001</v>
      </c>
      <c r="BN614" s="346">
        <v>-2.1827399999999999</v>
      </c>
      <c r="BO614" s="346">
        <v>-2.1652800000000001</v>
      </c>
      <c r="BP614" s="346">
        <v>-3.2053799999999999</v>
      </c>
      <c r="BQ614" s="346">
        <v>-1.7158699999999998</v>
      </c>
      <c r="BR614" s="346">
        <v>-5.9508400000000004</v>
      </c>
      <c r="BS614" s="346">
        <v>0</v>
      </c>
      <c r="BT614" s="346">
        <v>0</v>
      </c>
      <c r="BU614" s="346">
        <v>0</v>
      </c>
      <c r="BV614" s="346"/>
      <c r="BW614" s="346"/>
      <c r="BX614" s="346"/>
      <c r="BY614" s="346"/>
      <c r="BZ614" s="346"/>
      <c r="CA614" s="346"/>
      <c r="CB614" s="346"/>
      <c r="CC614" s="346"/>
      <c r="CD614" s="346"/>
      <c r="CE614" s="347">
        <f t="shared" ref="CE614:DJ614" si="504">(CE92+CE95)*-1</f>
        <v>-0.36952295899999998</v>
      </c>
      <c r="CF614" s="346">
        <f t="shared" si="504"/>
        <v>-1.6176518170000023</v>
      </c>
      <c r="CG614" s="346">
        <f t="shared" si="504"/>
        <v>-0.107257982</v>
      </c>
      <c r="CH614" s="346">
        <f t="shared" si="504"/>
        <v>-0.26947505700000002</v>
      </c>
      <c r="CI614" s="346">
        <f t="shared" si="504"/>
        <v>-1.6661813710000004</v>
      </c>
      <c r="CJ614" s="346">
        <f t="shared" si="504"/>
        <v>-0.26315825700000001</v>
      </c>
      <c r="CK614" s="346">
        <f t="shared" si="504"/>
        <v>-0.94391963800000056</v>
      </c>
      <c r="CL614" s="346">
        <f t="shared" si="504"/>
        <v>0</v>
      </c>
      <c r="CM614" s="346">
        <f t="shared" si="504"/>
        <v>-1.8234247939999972</v>
      </c>
      <c r="CN614" s="346">
        <f t="shared" si="504"/>
        <v>-0.95571863300000004</v>
      </c>
      <c r="CO614" s="346">
        <f t="shared" si="504"/>
        <v>-6</v>
      </c>
      <c r="CP614" s="348">
        <f t="shared" si="504"/>
        <v>-5.1072579820000001</v>
      </c>
      <c r="CQ614" s="346">
        <f t="shared" si="504"/>
        <v>-0.96766511620255435</v>
      </c>
      <c r="CR614" s="346">
        <f t="shared" si="504"/>
        <v>0</v>
      </c>
      <c r="CS614" s="346">
        <f t="shared" si="504"/>
        <v>-0.107257982</v>
      </c>
      <c r="CT614" s="346">
        <f t="shared" si="504"/>
        <v>-0.97976093015508603</v>
      </c>
      <c r="CU614" s="346">
        <f t="shared" si="504"/>
        <v>0</v>
      </c>
      <c r="CV614" s="346">
        <f t="shared" si="504"/>
        <v>-0.107257982</v>
      </c>
      <c r="CW614" s="346">
        <f t="shared" si="504"/>
        <v>-0.992007941782025</v>
      </c>
      <c r="CX614" s="346">
        <f t="shared" si="504"/>
        <v>0</v>
      </c>
      <c r="CY614" s="346">
        <f t="shared" si="504"/>
        <v>-0.10730000000000001</v>
      </c>
      <c r="CZ614" s="346">
        <f t="shared" si="504"/>
        <v>-1.0044080410543001</v>
      </c>
      <c r="DA614" s="346">
        <f t="shared" si="504"/>
        <v>0</v>
      </c>
      <c r="DB614" s="1479">
        <f t="shared" si="504"/>
        <v>-0.10725797400000001</v>
      </c>
      <c r="DC614" s="346">
        <f t="shared" si="504"/>
        <v>-1.0169631415674789</v>
      </c>
      <c r="DD614" s="346">
        <f t="shared" si="504"/>
        <v>0</v>
      </c>
      <c r="DE614" s="346">
        <f t="shared" si="504"/>
        <v>-0.107257982</v>
      </c>
      <c r="DF614" s="346">
        <f t="shared" si="504"/>
        <v>-1.0296751808370701</v>
      </c>
      <c r="DG614" s="346">
        <f t="shared" si="504"/>
        <v>-7</v>
      </c>
      <c r="DH614" s="346">
        <f t="shared" si="504"/>
        <v>-0.28742022899999997</v>
      </c>
      <c r="DI614" s="346">
        <f t="shared" si="504"/>
        <v>-1.0425461199999999</v>
      </c>
      <c r="DJ614" s="346">
        <f t="shared" si="504"/>
        <v>0</v>
      </c>
      <c r="DK614" s="346">
        <f t="shared" ref="DK614:EJ614" si="505">(DK92+DK95)*-1</f>
        <v>0</v>
      </c>
      <c r="DL614" s="346">
        <f t="shared" si="505"/>
        <v>-1.0555779471050051</v>
      </c>
      <c r="DM614" s="346">
        <f t="shared" si="505"/>
        <v>0</v>
      </c>
      <c r="DN614" s="348">
        <f t="shared" si="505"/>
        <v>0</v>
      </c>
      <c r="DO614" s="346">
        <f t="shared" si="505"/>
        <v>-1.0687726714438199</v>
      </c>
      <c r="DP614" s="346">
        <f t="shared" si="505"/>
        <v>-0.85545203299999995</v>
      </c>
      <c r="DQ614" s="346">
        <f t="shared" si="505"/>
        <v>-0.86362635300000001</v>
      </c>
      <c r="DR614" s="346">
        <f t="shared" si="505"/>
        <v>-1.9540111118368653</v>
      </c>
      <c r="DS614" s="346">
        <f t="shared" si="505"/>
        <v>0</v>
      </c>
      <c r="DT614" s="346">
        <f t="shared" si="505"/>
        <v>-0.28169549300000002</v>
      </c>
      <c r="DU614" s="346">
        <f t="shared" si="505"/>
        <v>-1.9842799479598261</v>
      </c>
      <c r="DV614" s="346">
        <f t="shared" si="505"/>
        <v>-0.89711223200000001</v>
      </c>
      <c r="DW614" s="346">
        <f t="shared" si="505"/>
        <v>-0.90568463700000001</v>
      </c>
      <c r="DX614" s="346">
        <f t="shared" si="505"/>
        <v>-2.023693678259324</v>
      </c>
      <c r="DY614" s="346">
        <f t="shared" si="505"/>
        <v>0</v>
      </c>
      <c r="DZ614" s="348">
        <f t="shared" si="505"/>
        <v>-0.92307597399999997</v>
      </c>
      <c r="EA614" s="346">
        <f t="shared" si="505"/>
        <v>-3.0232216552750653</v>
      </c>
      <c r="EB614" s="346">
        <f t="shared" si="505"/>
        <v>-1.9</v>
      </c>
      <c r="EC614" s="346">
        <f t="shared" si="505"/>
        <v>-1.9</v>
      </c>
      <c r="ED614" s="346">
        <f t="shared" si="505"/>
        <v>-3.0372619260000002</v>
      </c>
      <c r="EE614" s="346">
        <f t="shared" si="505"/>
        <v>0</v>
      </c>
      <c r="EF614" s="346">
        <f t="shared" si="505"/>
        <v>-2.1082000059999997</v>
      </c>
      <c r="EG614" s="346">
        <f t="shared" si="505"/>
        <v>-1.1514777</v>
      </c>
      <c r="EH614" s="346">
        <f t="shared" si="505"/>
        <v>0</v>
      </c>
      <c r="EI614" s="346">
        <f t="shared" si="505"/>
        <v>0</v>
      </c>
      <c r="EJ614" s="346">
        <f t="shared" si="505"/>
        <v>-1.165871171</v>
      </c>
      <c r="EK614" s="346">
        <f>(EK92+EK95)*-1+-1.388644567</f>
        <v>-1.3886445670000001</v>
      </c>
      <c r="EL614" s="348">
        <f>(EL92+EL95)*-1</f>
        <v>0</v>
      </c>
      <c r="EM614" s="346">
        <f t="shared" ref="EM614:EX614" si="506">((EM92+EM95)*0+EM298)*-1</f>
        <v>-1.3886445670000001</v>
      </c>
      <c r="EN614" s="346">
        <f t="shared" si="506"/>
        <v>0</v>
      </c>
      <c r="EO614" s="346">
        <f t="shared" si="506"/>
        <v>0</v>
      </c>
      <c r="EP614" s="346">
        <f t="shared" si="506"/>
        <v>-1.195200118</v>
      </c>
      <c r="EQ614" s="346">
        <f t="shared" si="506"/>
        <v>-15</v>
      </c>
      <c r="ER614" s="346">
        <f t="shared" si="506"/>
        <v>0</v>
      </c>
      <c r="ES614" s="346">
        <f t="shared" si="506"/>
        <v>0</v>
      </c>
      <c r="ET614" s="346">
        <f t="shared" si="506"/>
        <v>0</v>
      </c>
      <c r="EU614" s="346">
        <f t="shared" si="506"/>
        <v>0</v>
      </c>
      <c r="EV614" s="346">
        <f t="shared" si="506"/>
        <v>-0.90004214100000002</v>
      </c>
      <c r="EW614" s="346">
        <f t="shared" si="506"/>
        <v>-15.446089969999999</v>
      </c>
      <c r="EX614" s="348">
        <f t="shared" si="506"/>
        <v>-14.580848113</v>
      </c>
      <c r="EY614" s="346"/>
      <c r="EZ614" s="346"/>
      <c r="FA614" s="346"/>
      <c r="FB614" s="346"/>
      <c r="FC614" s="346"/>
      <c r="FD614" s="346"/>
      <c r="FE614" s="346"/>
      <c r="FF614" s="346"/>
      <c r="FG614" s="346"/>
      <c r="FH614" s="346"/>
      <c r="FI614" s="346"/>
      <c r="FJ614" s="348"/>
      <c r="FK614" s="346"/>
      <c r="FL614" s="346"/>
      <c r="FM614" s="346"/>
      <c r="FN614" s="346"/>
      <c r="FO614" s="346"/>
      <c r="FP614" s="346"/>
      <c r="FQ614" s="346"/>
      <c r="FR614" s="346"/>
      <c r="FS614" s="346"/>
      <c r="FT614" s="346"/>
      <c r="FU614" s="346"/>
      <c r="FV614" s="346"/>
      <c r="FW614" s="346"/>
      <c r="FX614" s="346"/>
      <c r="FY614" s="346"/>
      <c r="FZ614" s="346"/>
      <c r="GA614" s="346"/>
      <c r="GB614" s="346"/>
      <c r="GC614" s="346"/>
      <c r="GD614" s="346"/>
      <c r="GE614" s="346"/>
      <c r="GF614" s="346"/>
      <c r="GG614" s="346"/>
      <c r="GH614" s="346"/>
      <c r="GI614" s="346"/>
      <c r="GJ614" s="346"/>
      <c r="GK614" s="346"/>
      <c r="GL614" s="346"/>
      <c r="GM614" s="346"/>
      <c r="GN614" s="346"/>
      <c r="GO614" s="346"/>
      <c r="GP614" s="346"/>
      <c r="GQ614" s="346"/>
      <c r="GR614" s="346"/>
      <c r="GS614" s="346"/>
      <c r="GT614" s="346"/>
      <c r="GU614" s="346"/>
      <c r="GV614" s="346"/>
      <c r="GW614" s="346"/>
      <c r="GX614" s="346"/>
      <c r="GY614" s="346"/>
      <c r="GZ614" s="346"/>
      <c r="HA614" s="346"/>
      <c r="HB614" s="346"/>
      <c r="HC614" s="346"/>
      <c r="HD614" s="346"/>
      <c r="HE614" s="346"/>
      <c r="HF614" s="346"/>
      <c r="HG614" s="346"/>
      <c r="HH614" s="346"/>
      <c r="HI614" s="346"/>
      <c r="HJ614" s="346"/>
      <c r="HK614" s="346"/>
      <c r="HL614" s="346"/>
      <c r="HM614" s="346"/>
      <c r="HN614" s="349"/>
      <c r="HO614" s="351" t="s">
        <v>1111</v>
      </c>
      <c r="HP614" s="351"/>
      <c r="HQ614" s="351"/>
      <c r="HR614" s="346">
        <f>+FISC!Z847</f>
        <v>-21.6</v>
      </c>
      <c r="HS614" s="302">
        <f>SUM(CQ614:CV614)</f>
        <v>-2.1619420103576408</v>
      </c>
      <c r="HT614" s="302">
        <f>SUM(CW614:DB614)</f>
        <v>-2.2109739568363254</v>
      </c>
      <c r="HU614" s="346">
        <f>SUM(CQ614:DB614)</f>
        <v>-4.3729159671939657</v>
      </c>
      <c r="HV614" s="579">
        <f>+SUM(DC614:DH614)</f>
        <v>-9.4413165334045495</v>
      </c>
      <c r="HW614" s="302">
        <f t="shared" si="491"/>
        <v>-2.098124067105005</v>
      </c>
      <c r="HX614" s="346">
        <f t="shared" si="482"/>
        <v>-11.539440600509554</v>
      </c>
      <c r="HY614" s="302">
        <f>+SUM(DO614:DT614)</f>
        <v>-5.0235576622806848</v>
      </c>
      <c r="HZ614" s="1100">
        <f>SUM(DU614:DZ614)</f>
        <v>-6.7338464692191495</v>
      </c>
      <c r="IA614" s="346">
        <f t="shared" si="483"/>
        <v>-11.757404131499834</v>
      </c>
      <c r="IB614" s="477">
        <f>(+ID614/2)*0++-11.968683587</f>
        <v>-11.968683586999999</v>
      </c>
      <c r="IC614" s="302">
        <f>+ID614-IB614</f>
        <v>-17.156799444000001</v>
      </c>
      <c r="ID614" s="346">
        <f>FISC!AC847</f>
        <v>-29.125483031000002</v>
      </c>
      <c r="IE614" s="302">
        <f t="shared" si="471"/>
        <v>-17.583844684999999</v>
      </c>
      <c r="IF614" s="302">
        <f t="shared" si="472"/>
        <v>-30.926980223999998</v>
      </c>
      <c r="IG614" s="346">
        <f t="shared" si="384"/>
        <v>-48.510824908999993</v>
      </c>
      <c r="IH614" s="477">
        <f>+(IJ614/2)*0-5</f>
        <v>-5</v>
      </c>
      <c r="II614" s="302">
        <f>+IJ614-IH614</f>
        <v>-44.792986081199999</v>
      </c>
      <c r="IJ614" s="346">
        <f>+FISC!AE847</f>
        <v>-49.792986081199999</v>
      </c>
      <c r="IK614" s="477" t="e">
        <f>+IM614/2*0+#REF!</f>
        <v>#REF!</v>
      </c>
      <c r="IL614" s="302" t="e">
        <f t="shared" si="473"/>
        <v>#REF!</v>
      </c>
      <c r="IM614" s="346">
        <f>+FISC!AF847</f>
        <v>-57.334954867739597</v>
      </c>
      <c r="IN614" s="477" t="e">
        <f>+IP614/2*0+#REF!</f>
        <v>#REF!</v>
      </c>
      <c r="IO614" s="302" t="e">
        <f t="shared" si="334"/>
        <v>#REF!</v>
      </c>
      <c r="IP614" s="346">
        <f>+FISC!AG847</f>
        <v>0</v>
      </c>
      <c r="IQ614" s="477">
        <f>+IS614/2</f>
        <v>0</v>
      </c>
      <c r="IR614" s="302">
        <f t="shared" si="476"/>
        <v>0</v>
      </c>
      <c r="IS614" s="346">
        <f>+FISC!AH847</f>
        <v>0</v>
      </c>
      <c r="IT614" s="477">
        <f>+IV614/2</f>
        <v>0</v>
      </c>
      <c r="IU614" s="302">
        <f t="shared" si="478"/>
        <v>0</v>
      </c>
      <c r="IV614" s="346">
        <f>+FISC!AI847</f>
        <v>0</v>
      </c>
      <c r="IW614" s="477">
        <f>+IY614/2</f>
        <v>0</v>
      </c>
      <c r="IX614" s="302">
        <f t="shared" si="479"/>
        <v>0</v>
      </c>
      <c r="IY614" s="346">
        <f>+FISC!AJ847</f>
        <v>0</v>
      </c>
      <c r="IZ614" s="477">
        <f>+JB614/2</f>
        <v>0</v>
      </c>
      <c r="JA614" s="302">
        <f t="shared" si="480"/>
        <v>0</v>
      </c>
      <c r="JB614" s="346">
        <f>+FISC!AK847</f>
        <v>0</v>
      </c>
      <c r="JC614" s="346"/>
      <c r="KI614" s="349"/>
      <c r="KJ614" s="350"/>
    </row>
    <row r="615" spans="1:302">
      <c r="A615" s="302"/>
      <c r="B615" s="117" t="s">
        <v>361</v>
      </c>
      <c r="D615" s="351" t="str">
        <f>+FISC!D848</f>
        <v>Errors and ommissions ( - financing surplus: spending)</v>
      </c>
      <c r="E615" s="346">
        <f t="shared" ref="E615:AJ615" si="507">E596-E597-E610</f>
        <v>10.253945238077931</v>
      </c>
      <c r="F615" s="346">
        <f t="shared" si="507"/>
        <v>1.6145179970267984</v>
      </c>
      <c r="G615" s="346">
        <f t="shared" si="507"/>
        <v>-2.5856756163358052</v>
      </c>
      <c r="H615" s="346">
        <f t="shared" si="507"/>
        <v>-2.3530904892932956</v>
      </c>
      <c r="I615" s="346">
        <f t="shared" si="507"/>
        <v>5.2331565702201974</v>
      </c>
      <c r="J615" s="346">
        <f t="shared" si="507"/>
        <v>4.2558940655997821</v>
      </c>
      <c r="K615" s="346">
        <f t="shared" si="507"/>
        <v>-1.1448507654642905</v>
      </c>
      <c r="L615" s="346">
        <f t="shared" si="507"/>
        <v>-6.2600164707139969</v>
      </c>
      <c r="M615" s="346">
        <f t="shared" si="507"/>
        <v>-4.8878981699215993</v>
      </c>
      <c r="N615" s="346">
        <f t="shared" si="507"/>
        <v>2.6197833133000068</v>
      </c>
      <c r="O615" s="346">
        <f t="shared" si="507"/>
        <v>-2.8684920093400059</v>
      </c>
      <c r="P615" s="346">
        <f t="shared" si="507"/>
        <v>-1.8650128948000013</v>
      </c>
      <c r="Q615" s="346">
        <f t="shared" si="507"/>
        <v>1.5900245205813235E-5</v>
      </c>
      <c r="R615" s="346">
        <f t="shared" si="507"/>
        <v>-4.9885767298363248E-5</v>
      </c>
      <c r="S615" s="346">
        <f t="shared" si="507"/>
        <v>-9.7531529882344259E-6</v>
      </c>
      <c r="T615" s="346">
        <f t="shared" si="507"/>
        <v>-1.4523939998650759E-5</v>
      </c>
      <c r="U615" s="346">
        <f t="shared" si="507"/>
        <v>1.5573394958057207E-6</v>
      </c>
      <c r="V615" s="346">
        <f t="shared" si="507"/>
        <v>5.9381267996982956E-5</v>
      </c>
      <c r="W615" s="346">
        <f t="shared" si="507"/>
        <v>7.0175906008440592E-6</v>
      </c>
      <c r="X615" s="346">
        <f t="shared" si="507"/>
        <v>3.7594312005007069E-5</v>
      </c>
      <c r="Y615" s="346">
        <f t="shared" si="507"/>
        <v>7.8405591528007079E-2</v>
      </c>
      <c r="Z615" s="346">
        <f t="shared" si="507"/>
        <v>-1.5670261711342448E-5</v>
      </c>
      <c r="AA615" s="346">
        <f t="shared" si="507"/>
        <v>-2.262096019833848E-5</v>
      </c>
      <c r="AB615" s="346">
        <f t="shared" si="507"/>
        <v>-3.9214691184986883E-2</v>
      </c>
      <c r="AC615" s="346">
        <f t="shared" si="507"/>
        <v>20.05250576200001</v>
      </c>
      <c r="AD615" s="346">
        <f t="shared" si="507"/>
        <v>2.1639946579999925</v>
      </c>
      <c r="AE615" s="346">
        <f t="shared" si="507"/>
        <v>47.416125642999994</v>
      </c>
      <c r="AF615" s="346">
        <f t="shared" si="507"/>
        <v>-39.175610170000006</v>
      </c>
      <c r="AG615" s="346">
        <f t="shared" si="507"/>
        <v>29.509738871</v>
      </c>
      <c r="AH615" s="346">
        <f t="shared" si="507"/>
        <v>-53.84777459799998</v>
      </c>
      <c r="AI615" s="346">
        <f t="shared" si="507"/>
        <v>-11.06381241499999</v>
      </c>
      <c r="AJ615" s="346">
        <f t="shared" si="507"/>
        <v>50.215646364000008</v>
      </c>
      <c r="AK615" s="346">
        <f t="shared" ref="AK615:BP615" si="508">AK596-AK597-AK610</f>
        <v>-42.400108822999989</v>
      </c>
      <c r="AL615" s="346">
        <f t="shared" si="508"/>
        <v>-36.887656993000007</v>
      </c>
      <c r="AM615" s="346">
        <f t="shared" si="508"/>
        <v>40.288315620000027</v>
      </c>
      <c r="AN615" s="346">
        <f t="shared" si="508"/>
        <v>8.4108303980000088</v>
      </c>
      <c r="AO615" s="346">
        <f t="shared" si="508"/>
        <v>2.3842648064227481</v>
      </c>
      <c r="AP615" s="346">
        <f t="shared" si="508"/>
        <v>-8.2270715911056893</v>
      </c>
      <c r="AQ615" s="346">
        <f t="shared" si="508"/>
        <v>-0.16610047611803891</v>
      </c>
      <c r="AR615" s="346">
        <f t="shared" si="508"/>
        <v>11.3091474160454</v>
      </c>
      <c r="AS615" s="346">
        <f t="shared" si="508"/>
        <v>-8.573114528184913</v>
      </c>
      <c r="AT615" s="346">
        <f t="shared" si="508"/>
        <v>-13.026386096123151</v>
      </c>
      <c r="AU615" s="346">
        <f t="shared" si="508"/>
        <v>-2.7669256747599986</v>
      </c>
      <c r="AV615" s="346">
        <f t="shared" si="508"/>
        <v>1.7491659378800195</v>
      </c>
      <c r="AW615" s="346">
        <f t="shared" si="508"/>
        <v>13.355902642549999</v>
      </c>
      <c r="AX615" s="346">
        <f t="shared" si="508"/>
        <v>23.926332341639995</v>
      </c>
      <c r="AY615" s="346">
        <f t="shared" si="508"/>
        <v>-27.980879004285821</v>
      </c>
      <c r="AZ615" s="346">
        <f t="shared" si="508"/>
        <v>9.0488075037024052E-2</v>
      </c>
      <c r="BA615" s="346">
        <f t="shared" si="508"/>
        <v>-9.3810293430000193</v>
      </c>
      <c r="BB615" s="346">
        <f t="shared" si="508"/>
        <v>16.330296679999996</v>
      </c>
      <c r="BC615" s="346">
        <f t="shared" si="508"/>
        <v>13.510068516000008</v>
      </c>
      <c r="BD615" s="346">
        <f t="shared" si="508"/>
        <v>16.001376818240026</v>
      </c>
      <c r="BE615" s="346">
        <f t="shared" si="508"/>
        <v>-25.713907238230014</v>
      </c>
      <c r="BF615" s="346">
        <f t="shared" si="508"/>
        <v>-13.092815428999987</v>
      </c>
      <c r="BG615" s="346">
        <f t="shared" si="508"/>
        <v>-4.9045752668000162</v>
      </c>
      <c r="BH615" s="346">
        <f t="shared" si="508"/>
        <v>-11.657446439890006</v>
      </c>
      <c r="BI615" s="346">
        <f t="shared" si="508"/>
        <v>3.830377648499967</v>
      </c>
      <c r="BJ615" s="346">
        <f t="shared" si="508"/>
        <v>6.3237678836599995</v>
      </c>
      <c r="BK615" s="346">
        <f t="shared" si="508"/>
        <v>-1.0896130949999816</v>
      </c>
      <c r="BL615" s="346">
        <f t="shared" si="508"/>
        <v>13.675277487999992</v>
      </c>
      <c r="BM615" s="346">
        <f t="shared" si="508"/>
        <v>-5.8443460631099855</v>
      </c>
      <c r="BN615" s="346">
        <f t="shared" si="508"/>
        <v>-19.665822819270002</v>
      </c>
      <c r="BO615" s="346">
        <f t="shared" si="508"/>
        <v>22.087750831000001</v>
      </c>
      <c r="BP615" s="346">
        <f t="shared" si="508"/>
        <v>0.52677508191003364</v>
      </c>
      <c r="BQ615" s="346">
        <f t="shared" ref="BQ615:CV615" si="509">BQ596-BQ597-BQ610</f>
        <v>-20.151721365149999</v>
      </c>
      <c r="BR615" s="346">
        <f t="shared" si="509"/>
        <v>15.194503310954246</v>
      </c>
      <c r="BS615" s="346">
        <f t="shared" si="509"/>
        <v>-14.87859945190165</v>
      </c>
      <c r="BT615" s="346">
        <f t="shared" si="509"/>
        <v>-15.657009459931118</v>
      </c>
      <c r="BU615" s="346">
        <f t="shared" si="509"/>
        <v>41.41759732372789</v>
      </c>
      <c r="BV615" s="346">
        <f t="shared" si="509"/>
        <v>18.434608743451882</v>
      </c>
      <c r="BW615" s="346">
        <f t="shared" si="509"/>
        <v>-22.49025008527671</v>
      </c>
      <c r="BX615" s="346">
        <f t="shared" si="509"/>
        <v>-45.050000513693917</v>
      </c>
      <c r="BY615" s="346">
        <f t="shared" si="509"/>
        <v>-16.015566331093414</v>
      </c>
      <c r="BZ615" s="346">
        <f t="shared" si="509"/>
        <v>-13.01655049938293</v>
      </c>
      <c r="CA615" s="346">
        <f t="shared" si="509"/>
        <v>-41.269102833757607</v>
      </c>
      <c r="CB615" s="346">
        <f t="shared" si="509"/>
        <v>23.430565079438125</v>
      </c>
      <c r="CC615" s="346">
        <f t="shared" si="509"/>
        <v>238.00127286652975</v>
      </c>
      <c r="CD615" s="346">
        <f t="shared" si="509"/>
        <v>-140.25198028414414</v>
      </c>
      <c r="CE615" s="347">
        <f t="shared" si="509"/>
        <v>-5.4889862425136053</v>
      </c>
      <c r="CF615" s="346">
        <f t="shared" si="509"/>
        <v>1.5599865134805668</v>
      </c>
      <c r="CG615" s="346">
        <f t="shared" si="509"/>
        <v>-28.362868136744613</v>
      </c>
      <c r="CH615" s="346">
        <f t="shared" si="509"/>
        <v>51.872595160028659</v>
      </c>
      <c r="CI615" s="346">
        <f t="shared" si="509"/>
        <v>0.79337357964556787</v>
      </c>
      <c r="CJ615" s="346">
        <f t="shared" si="509"/>
        <v>-5.6619130886695892</v>
      </c>
      <c r="CK615" s="346">
        <f t="shared" si="509"/>
        <v>-8.4768213802417112</v>
      </c>
      <c r="CL615" s="346">
        <f t="shared" si="509"/>
        <v>-17.762571168486645</v>
      </c>
      <c r="CM615" s="346">
        <f t="shared" si="509"/>
        <v>-4.180766889502582</v>
      </c>
      <c r="CN615" s="346">
        <f t="shared" si="509"/>
        <v>29.207933894599119</v>
      </c>
      <c r="CO615" s="346">
        <f t="shared" si="509"/>
        <v>-3.6792326578815615</v>
      </c>
      <c r="CP615" s="348">
        <f t="shared" si="509"/>
        <v>-30.094241033978207</v>
      </c>
      <c r="CQ615" s="346">
        <f t="shared" si="509"/>
        <v>-50.048334908827805</v>
      </c>
      <c r="CR615" s="346">
        <f t="shared" si="509"/>
        <v>14.522069614745577</v>
      </c>
      <c r="CS615" s="346">
        <f t="shared" si="509"/>
        <v>2.0204121026029824</v>
      </c>
      <c r="CT615" s="346">
        <f t="shared" si="509"/>
        <v>-6.016681762461376</v>
      </c>
      <c r="CU615" s="346">
        <f t="shared" si="509"/>
        <v>9.0521284679289913</v>
      </c>
      <c r="CV615" s="346">
        <f t="shared" si="509"/>
        <v>-29.300074657404075</v>
      </c>
      <c r="CW615" s="346">
        <f t="shared" ref="CW615:DN615" si="510">CW596-CW597-CW610</f>
        <v>-8.3716592598841331</v>
      </c>
      <c r="CX615" s="346">
        <f t="shared" si="510"/>
        <v>13.857021114812181</v>
      </c>
      <c r="CY615" s="346">
        <f t="shared" si="510"/>
        <v>-6.189234223323818</v>
      </c>
      <c r="CZ615" s="346">
        <f t="shared" si="510"/>
        <v>-3.2300338581108337</v>
      </c>
      <c r="DA615" s="346">
        <f t="shared" si="510"/>
        <v>-21.311736263145306</v>
      </c>
      <c r="DB615" s="1479">
        <f t="shared" si="510"/>
        <v>-22.367955825066101</v>
      </c>
      <c r="DC615" s="346">
        <f t="shared" si="510"/>
        <v>-19.76055239985121</v>
      </c>
      <c r="DD615" s="346">
        <f t="shared" si="510"/>
        <v>18.54332529191333</v>
      </c>
      <c r="DE615" s="346">
        <f t="shared" si="510"/>
        <v>1.1925939801550638</v>
      </c>
      <c r="DF615" s="346">
        <f t="shared" si="510"/>
        <v>-4.700334850638745</v>
      </c>
      <c r="DG615" s="346">
        <f t="shared" si="510"/>
        <v>2.3242217914543595</v>
      </c>
      <c r="DH615" s="346">
        <f t="shared" si="510"/>
        <v>1.9974487319909677</v>
      </c>
      <c r="DI615" s="346">
        <f t="shared" si="510"/>
        <v>12.013794068997296</v>
      </c>
      <c r="DJ615" s="346">
        <f t="shared" si="510"/>
        <v>20.641267965080363</v>
      </c>
      <c r="DK615" s="346">
        <f t="shared" si="510"/>
        <v>-42.269477168834108</v>
      </c>
      <c r="DL615" s="346">
        <f t="shared" si="510"/>
        <v>47.182687706634454</v>
      </c>
      <c r="DM615" s="346">
        <f t="shared" si="510"/>
        <v>-18.326973169158816</v>
      </c>
      <c r="DN615" s="348">
        <f t="shared" si="510"/>
        <v>-49.732672110465458</v>
      </c>
      <c r="DO615" s="346">
        <f t="shared" ref="DO615:DT615" si="511">-(DO579+DO582)</f>
        <v>45.325090317123063</v>
      </c>
      <c r="DP615" s="346">
        <f t="shared" si="511"/>
        <v>-33.944223395905304</v>
      </c>
      <c r="DQ615" s="346">
        <f t="shared" si="511"/>
        <v>0.96421890518787201</v>
      </c>
      <c r="DR615" s="346">
        <f t="shared" si="511"/>
        <v>2.1875570935255553</v>
      </c>
      <c r="DS615" s="346">
        <f t="shared" si="511"/>
        <v>-0.26778962311760779</v>
      </c>
      <c r="DT615" s="346">
        <f t="shared" si="511"/>
        <v>-7.4257848037652749</v>
      </c>
      <c r="DU615" s="346">
        <f t="shared" ref="DU615:DZ615" si="512">-(DU579+DU582)</f>
        <v>8.9440020932560991</v>
      </c>
      <c r="DV615" s="346">
        <f t="shared" si="512"/>
        <v>-30.687368210746911</v>
      </c>
      <c r="DW615" s="346">
        <f t="shared" si="512"/>
        <v>-11.519408136298267</v>
      </c>
      <c r="DX615" s="346">
        <f t="shared" si="512"/>
        <v>7.8924694107510796</v>
      </c>
      <c r="DY615" s="346">
        <f t="shared" si="512"/>
        <v>-24.809870726072312</v>
      </c>
      <c r="DZ615" s="348">
        <f t="shared" si="512"/>
        <v>-37.317287552396067</v>
      </c>
      <c r="EA615" s="346">
        <f t="shared" ref="EA615:EK615" si="513">-(EA579+EA582)</f>
        <v>-9.7205101735228645</v>
      </c>
      <c r="EB615" s="346">
        <f t="shared" si="513"/>
        <v>-8.9246227465215142</v>
      </c>
      <c r="EC615" s="346">
        <f t="shared" si="513"/>
        <v>15.482495017225322</v>
      </c>
      <c r="ED615" s="346">
        <f t="shared" si="513"/>
        <v>56.560074601494826</v>
      </c>
      <c r="EE615" s="346">
        <f t="shared" si="513"/>
        <v>-75.633361864708093</v>
      </c>
      <c r="EF615" s="346">
        <f t="shared" si="513"/>
        <v>93.183608065283693</v>
      </c>
      <c r="EG615" s="346">
        <f t="shared" si="513"/>
        <v>-93.490394352720074</v>
      </c>
      <c r="EH615" s="346">
        <f t="shared" si="513"/>
        <v>11.740823882971871</v>
      </c>
      <c r="EI615" s="346">
        <f t="shared" si="513"/>
        <v>11.104032931906689</v>
      </c>
      <c r="EJ615" s="346">
        <f t="shared" si="513"/>
        <v>-53.171648018222051</v>
      </c>
      <c r="EK615" s="346">
        <f t="shared" si="513"/>
        <v>-10.486595675325617</v>
      </c>
      <c r="EL615" s="348">
        <f t="shared" ref="EL615:ER615" si="514">-(EL579+EL582)</f>
        <v>0.63228697808014545</v>
      </c>
      <c r="EM615" s="346">
        <f>-(EM579+EM582)</f>
        <v>15.178137857542557</v>
      </c>
      <c r="EN615" s="346">
        <f t="shared" si="514"/>
        <v>-16.991945280921879</v>
      </c>
      <c r="EO615" s="346">
        <f t="shared" si="514"/>
        <v>-5.4047272890399842</v>
      </c>
      <c r="EP615" s="346">
        <f t="shared" si="514"/>
        <v>-21.056794025133357</v>
      </c>
      <c r="EQ615" s="346">
        <f t="shared" si="514"/>
        <v>3.4188376949092856</v>
      </c>
      <c r="ER615" s="346">
        <f t="shared" si="514"/>
        <v>45.126961564072658</v>
      </c>
      <c r="ES615" s="346">
        <f t="shared" ref="ES615:EX615" si="515">-(ES579+ES582)</f>
        <v>35.032042877640976</v>
      </c>
      <c r="ET615" s="346">
        <f t="shared" si="515"/>
        <v>-28.454045592234827</v>
      </c>
      <c r="EU615" s="346">
        <f t="shared" si="515"/>
        <v>-35.920453198013163</v>
      </c>
      <c r="EV615" s="346">
        <f t="shared" si="515"/>
        <v>-11.50479552596596</v>
      </c>
      <c r="EW615" s="346">
        <f t="shared" si="515"/>
        <v>-29.800380300997261</v>
      </c>
      <c r="EX615" s="348">
        <f t="shared" si="515"/>
        <v>39.535096925833102</v>
      </c>
      <c r="EY615" s="346"/>
      <c r="EZ615" s="346"/>
      <c r="FA615" s="346"/>
      <c r="FB615" s="346"/>
      <c r="FC615" s="346"/>
      <c r="FD615" s="346"/>
      <c r="FE615" s="346"/>
      <c r="FF615" s="346"/>
      <c r="FG615" s="346"/>
      <c r="FH615" s="346"/>
      <c r="FI615" s="346"/>
      <c r="FJ615" s="348"/>
      <c r="FK615" s="346"/>
      <c r="FL615" s="346"/>
      <c r="FM615" s="346"/>
      <c r="FN615" s="346"/>
      <c r="FO615" s="346"/>
      <c r="FP615" s="346"/>
      <c r="FQ615" s="346"/>
      <c r="FR615" s="346"/>
      <c r="FS615" s="346"/>
      <c r="FT615" s="346"/>
      <c r="FU615" s="346"/>
      <c r="FV615" s="346"/>
      <c r="FW615" s="346"/>
      <c r="FX615" s="346"/>
      <c r="FY615" s="346"/>
      <c r="FZ615" s="346"/>
      <c r="GA615" s="346"/>
      <c r="GB615" s="346"/>
      <c r="GC615" s="346"/>
      <c r="GD615" s="346"/>
      <c r="GE615" s="346"/>
      <c r="GF615" s="346"/>
      <c r="GG615" s="346"/>
      <c r="GH615" s="346"/>
      <c r="GI615" s="346"/>
      <c r="GJ615" s="346"/>
      <c r="GK615" s="346"/>
      <c r="GL615" s="346"/>
      <c r="GM615" s="346"/>
      <c r="GN615" s="346"/>
      <c r="GO615" s="346"/>
      <c r="GP615" s="346"/>
      <c r="GQ615" s="346"/>
      <c r="GR615" s="346"/>
      <c r="GS615" s="346"/>
      <c r="GT615" s="346"/>
      <c r="GU615" s="346"/>
      <c r="GV615" s="346"/>
      <c r="GW615" s="346"/>
      <c r="GX615" s="346"/>
      <c r="GY615" s="346"/>
      <c r="GZ615" s="346"/>
      <c r="HA615" s="346"/>
      <c r="HB615" s="346"/>
      <c r="HC615" s="346"/>
      <c r="HD615" s="346"/>
      <c r="HE615" s="346"/>
      <c r="HF615" s="346"/>
      <c r="HG615" s="346"/>
      <c r="HH615" s="346"/>
      <c r="HI615" s="346"/>
      <c r="HJ615" s="346"/>
      <c r="HK615" s="346"/>
      <c r="HL615" s="346"/>
      <c r="HM615" s="346"/>
      <c r="HN615" s="349"/>
      <c r="HO615" s="351" t="s">
        <v>348</v>
      </c>
      <c r="HP615" s="351"/>
      <c r="HQ615" s="351"/>
      <c r="HR615" s="346">
        <f>+FISC!Z848</f>
        <v>99.44695852941328</v>
      </c>
      <c r="HS615" s="302">
        <f>HS596-HS597-HS610</f>
        <v>-82.770481143415765</v>
      </c>
      <c r="HT615" s="302">
        <f>HT596-HT597-HT610</f>
        <v>-47.613598314718018</v>
      </c>
      <c r="HU615" s="346">
        <f>HU596-HU597-HU610</f>
        <v>-130.38407945813367</v>
      </c>
      <c r="HV615" s="579">
        <f>+SUM(DC615:DH615)</f>
        <v>-0.4032974549762347</v>
      </c>
      <c r="HW615" s="580">
        <f t="shared" si="491"/>
        <v>-30.491372707746269</v>
      </c>
      <c r="HX615" s="346">
        <f t="shared" si="482"/>
        <v>-30.894670162722505</v>
      </c>
      <c r="HY615" s="302">
        <f>-(HY579+HY582)</f>
        <v>6.8390684930483019</v>
      </c>
      <c r="HZ615" s="302">
        <f>-(HZ579+HZ582)</f>
        <v>-87.497463121506399</v>
      </c>
      <c r="IA615" s="346">
        <f t="shared" si="483"/>
        <v>-80.658394628458097</v>
      </c>
      <c r="IB615" s="477">
        <f>IB596-IB597-IB610</f>
        <v>31.441375392634676</v>
      </c>
      <c r="IC615" s="477">
        <f>(IC596-IC597-IC610)</f>
        <v>-38.239560617803129</v>
      </c>
      <c r="ID615" s="346">
        <f>FISC!AC848</f>
        <v>-6.7981852251683677</v>
      </c>
      <c r="IE615" s="302" t="e">
        <f>SUM(EM615:ER615)*0+#REF!</f>
        <v>#REF!</v>
      </c>
      <c r="IF615" s="302">
        <f t="shared" si="472"/>
        <v>-31.112534813737142</v>
      </c>
      <c r="IG615" s="346" t="e">
        <f t="shared" si="384"/>
        <v>#REF!</v>
      </c>
      <c r="IH615" s="477" t="e">
        <f>IH596-IH597-IH610</f>
        <v>#REF!</v>
      </c>
      <c r="II615" s="477" t="e">
        <f>II596-II597-II610</f>
        <v>#REF!</v>
      </c>
      <c r="IJ615" s="346">
        <f>+FISC!AE848</f>
        <v>4.618670773697886E-2</v>
      </c>
      <c r="IK615" s="477" t="e">
        <f>IK596-IK597-IK610</f>
        <v>#REF!</v>
      </c>
      <c r="IL615" s="302" t="e">
        <f t="shared" si="473"/>
        <v>#REF!</v>
      </c>
      <c r="IM615" s="346">
        <f>+FISC!AF848</f>
        <v>-4.0402667918783663E-2</v>
      </c>
      <c r="IN615" s="477" t="e">
        <f>IN596-IN597-IN610</f>
        <v>#REF!</v>
      </c>
      <c r="IO615" s="302" t="e">
        <f t="shared" si="334"/>
        <v>#REF!</v>
      </c>
      <c r="IP615" s="346">
        <f>+FISC!AG848</f>
        <v>-5621.0012969858453</v>
      </c>
      <c r="IQ615" s="477">
        <f>IQ596-IQ597-IQ610</f>
        <v>-3502.9309550488333</v>
      </c>
      <c r="IR615" s="302">
        <f t="shared" si="476"/>
        <v>-4884.8304022184338</v>
      </c>
      <c r="IS615" s="346">
        <f>+FISC!AH848</f>
        <v>-8387.7613572672672</v>
      </c>
      <c r="IT615" s="477">
        <f>IT596-IT597-IT610</f>
        <v>-4632.5074113233222</v>
      </c>
      <c r="IU615" s="302">
        <f t="shared" si="478"/>
        <v>-5070.5917364248835</v>
      </c>
      <c r="IV615" s="346">
        <f>+FISC!AI848</f>
        <v>-9703.0991477482057</v>
      </c>
      <c r="IW615" s="477">
        <f>IW596-IW597-IW610</f>
        <v>849.03234303877821</v>
      </c>
      <c r="IX615" s="302">
        <f t="shared" si="479"/>
        <v>1796.2117317317045</v>
      </c>
      <c r="IY615" s="346">
        <f>+FISC!AJ848</f>
        <v>2645.2440747704827</v>
      </c>
      <c r="IZ615" s="477" t="e">
        <f>IZ596-IZ597-IZ610</f>
        <v>#DIV/0!</v>
      </c>
      <c r="JA615" s="302" t="e">
        <f t="shared" si="480"/>
        <v>#DIV/0!</v>
      </c>
      <c r="JB615" s="346" t="e">
        <f>+FISC!AK848</f>
        <v>#DIV/0!</v>
      </c>
      <c r="JC615" s="346"/>
      <c r="KI615" s="349"/>
      <c r="KJ615" s="350"/>
      <c r="KM615" s="302">
        <f>KM596-KM597-KM610</f>
        <v>0</v>
      </c>
      <c r="KN615" s="302">
        <f>KN596-KN597-KN610</f>
        <v>0</v>
      </c>
      <c r="KO615" s="302">
        <f>KO596-KO597-KO610</f>
        <v>0</v>
      </c>
      <c r="KP615" s="302">
        <f>KP596-KP597-KP610</f>
        <v>0</v>
      </c>
    </row>
    <row r="616" spans="1:302">
      <c r="A616" s="302"/>
      <c r="B616" s="117" t="s">
        <v>361</v>
      </c>
      <c r="D616" s="688" t="str">
        <f>+FISC!D849</f>
        <v xml:space="preserve">   Difference PKO revenue -/- recorded spending  (- advance)</v>
      </c>
      <c r="E616" s="346"/>
      <c r="F616" s="346"/>
      <c r="G616" s="346"/>
      <c r="H616" s="346"/>
      <c r="I616" s="346"/>
      <c r="J616" s="346"/>
      <c r="K616" s="346"/>
      <c r="L616" s="346"/>
      <c r="M616" s="346"/>
      <c r="N616" s="346"/>
      <c r="O616" s="346"/>
      <c r="P616" s="346"/>
      <c r="Q616" s="346"/>
      <c r="R616" s="346"/>
      <c r="S616" s="346"/>
      <c r="T616" s="346"/>
      <c r="U616" s="346"/>
      <c r="V616" s="346"/>
      <c r="W616" s="346"/>
      <c r="X616" s="346"/>
      <c r="Y616" s="346"/>
      <c r="Z616" s="346"/>
      <c r="AA616" s="346"/>
      <c r="AB616" s="346"/>
      <c r="AC616" s="346"/>
      <c r="AD616" s="346"/>
      <c r="AE616" s="346"/>
      <c r="AF616" s="346"/>
      <c r="AG616" s="346"/>
      <c r="AH616" s="346"/>
      <c r="AI616" s="346"/>
      <c r="AJ616" s="346"/>
      <c r="AK616" s="346"/>
      <c r="AL616" s="346"/>
      <c r="AM616" s="346"/>
      <c r="AN616" s="346"/>
      <c r="AO616" s="346"/>
      <c r="AP616" s="346"/>
      <c r="AQ616" s="346"/>
      <c r="AR616" s="346"/>
      <c r="AS616" s="346"/>
      <c r="AT616" s="346"/>
      <c r="AU616" s="346"/>
      <c r="AV616" s="346"/>
      <c r="AW616" s="346"/>
      <c r="AX616" s="346"/>
      <c r="AY616" s="346"/>
      <c r="AZ616" s="346"/>
      <c r="BA616" s="346"/>
      <c r="BB616" s="346"/>
      <c r="BC616" s="346"/>
      <c r="BD616" s="346"/>
      <c r="BE616" s="346"/>
      <c r="BF616" s="346"/>
      <c r="BG616" s="346"/>
      <c r="BH616" s="346"/>
      <c r="BI616" s="346"/>
      <c r="BJ616" s="346"/>
      <c r="BK616" s="346"/>
      <c r="BL616" s="346"/>
      <c r="BM616" s="346"/>
      <c r="BN616" s="346"/>
      <c r="BO616" s="346"/>
      <c r="BP616" s="346"/>
      <c r="BQ616" s="346"/>
      <c r="BR616" s="346"/>
      <c r="BS616" s="346"/>
      <c r="BT616" s="346"/>
      <c r="BU616" s="346"/>
      <c r="BV616" s="346"/>
      <c r="BW616" s="346"/>
      <c r="BX616" s="346"/>
      <c r="BY616" s="346"/>
      <c r="BZ616" s="346"/>
      <c r="CA616" s="346"/>
      <c r="CB616" s="346"/>
      <c r="CC616" s="346"/>
      <c r="CD616" s="346"/>
      <c r="CE616" s="347"/>
      <c r="CF616" s="346"/>
      <c r="CG616" s="346"/>
      <c r="CH616" s="346"/>
      <c r="CI616" s="346"/>
      <c r="CJ616" s="346"/>
      <c r="CK616" s="346"/>
      <c r="CL616" s="346"/>
      <c r="CM616" s="346"/>
      <c r="CN616" s="346"/>
      <c r="CO616" s="346"/>
      <c r="CP616" s="348"/>
      <c r="CQ616" s="346"/>
      <c r="CR616" s="346"/>
      <c r="CS616" s="346"/>
      <c r="CT616" s="346"/>
      <c r="CU616" s="346"/>
      <c r="CV616" s="346"/>
      <c r="CW616" s="346"/>
      <c r="CX616" s="346"/>
      <c r="CY616" s="346"/>
      <c r="CZ616" s="346"/>
      <c r="DA616" s="346"/>
      <c r="DB616" s="1479"/>
      <c r="DC616" s="658"/>
      <c r="DD616" s="658"/>
      <c r="DE616" s="658"/>
      <c r="DF616" s="658"/>
      <c r="DG616" s="658"/>
      <c r="DH616" s="658"/>
      <c r="DI616" s="658"/>
      <c r="DJ616" s="658"/>
      <c r="DK616" s="658"/>
      <c r="DL616" s="658"/>
      <c r="DM616" s="658"/>
      <c r="DN616" s="1541"/>
      <c r="DO616" s="658"/>
      <c r="DP616" s="658"/>
      <c r="DQ616" s="658"/>
      <c r="DR616" s="658"/>
      <c r="DS616" s="658"/>
      <c r="DT616" s="711">
        <f>+SUM(DO615:DT615)</f>
        <v>6.8390684930483037</v>
      </c>
      <c r="DU616" s="711"/>
      <c r="DV616" s="711"/>
      <c r="DW616" s="711"/>
      <c r="DX616" s="711"/>
      <c r="DY616" s="711"/>
      <c r="DZ616" s="348"/>
      <c r="EA616" s="346"/>
      <c r="EB616" s="711"/>
      <c r="EC616" s="711"/>
      <c r="ED616" s="711"/>
      <c r="EE616" s="711"/>
      <c r="EF616" s="711"/>
      <c r="EG616" s="711"/>
      <c r="EH616" s="711"/>
      <c r="EI616" s="711"/>
      <c r="EJ616" s="711"/>
      <c r="EK616" s="711"/>
      <c r="EL616" s="1553"/>
      <c r="EM616" s="711"/>
      <c r="EN616" s="711"/>
      <c r="EO616" s="711"/>
      <c r="EP616" s="711"/>
      <c r="EQ616" s="711"/>
      <c r="ER616" s="711"/>
      <c r="ES616" s="711"/>
      <c r="ET616" s="711"/>
      <c r="EU616" s="711"/>
      <c r="EV616" s="711"/>
      <c r="EW616" s="711"/>
      <c r="EX616" s="1553"/>
      <c r="EY616" s="711"/>
      <c r="EZ616" s="711"/>
      <c r="FA616" s="711"/>
      <c r="FB616" s="711"/>
      <c r="FC616" s="711"/>
      <c r="FD616" s="711"/>
      <c r="FE616" s="711"/>
      <c r="FF616" s="711"/>
      <c r="FG616" s="711"/>
      <c r="FH616" s="711"/>
      <c r="FI616" s="711"/>
      <c r="FJ616" s="1553"/>
      <c r="FK616" s="711"/>
      <c r="FL616" s="711"/>
      <c r="FM616" s="711"/>
      <c r="FN616" s="711"/>
      <c r="FO616" s="711"/>
      <c r="FP616" s="711"/>
      <c r="FQ616" s="711"/>
      <c r="FR616" s="711"/>
      <c r="FS616" s="711"/>
      <c r="FT616" s="711"/>
      <c r="FU616" s="711"/>
      <c r="FV616" s="711"/>
      <c r="FW616" s="711"/>
      <c r="FX616" s="711"/>
      <c r="FY616" s="711"/>
      <c r="FZ616" s="711"/>
      <c r="GA616" s="711"/>
      <c r="GB616" s="711"/>
      <c r="GC616" s="711"/>
      <c r="GD616" s="711"/>
      <c r="GE616" s="711"/>
      <c r="GF616" s="711"/>
      <c r="GG616" s="711"/>
      <c r="GH616" s="711"/>
      <c r="GI616" s="711"/>
      <c r="GJ616" s="711"/>
      <c r="GK616" s="711"/>
      <c r="GL616" s="711"/>
      <c r="GM616" s="711"/>
      <c r="GN616" s="711"/>
      <c r="GO616" s="711"/>
      <c r="GP616" s="711"/>
      <c r="GQ616" s="711"/>
      <c r="GR616" s="711"/>
      <c r="GS616" s="711"/>
      <c r="GT616" s="711"/>
      <c r="GU616" s="711"/>
      <c r="GV616" s="711"/>
      <c r="GW616" s="711"/>
      <c r="GX616" s="711"/>
      <c r="GY616" s="711"/>
      <c r="GZ616" s="711"/>
      <c r="HA616" s="711"/>
      <c r="HB616" s="711"/>
      <c r="HC616" s="711"/>
      <c r="HD616" s="711"/>
      <c r="HE616" s="711"/>
      <c r="HF616" s="711"/>
      <c r="HG616" s="711"/>
      <c r="HH616" s="711"/>
      <c r="HI616" s="711"/>
      <c r="HJ616" s="711"/>
      <c r="HK616" s="711"/>
      <c r="HL616" s="711"/>
      <c r="HM616" s="711"/>
      <c r="HN616" s="349"/>
      <c r="HO616" s="688" t="s">
        <v>1109</v>
      </c>
      <c r="HP616" s="688"/>
      <c r="HQ616" s="688"/>
      <c r="HR616" s="659">
        <f>+FISC!Z849</f>
        <v>-0.34000000000000341</v>
      </c>
      <c r="HU616" s="659"/>
      <c r="HV616" s="307"/>
      <c r="HX616" s="660">
        <f>+FISC!AA849</f>
        <v>0</v>
      </c>
      <c r="HY616" s="946" t="str">
        <f>+IF(ABS(SUM(DO615:DT615)-HY615)&gt;0.1,"check","")</f>
        <v/>
      </c>
      <c r="HZ616" s="350"/>
      <c r="IA616" s="660"/>
      <c r="IB616" s="350"/>
      <c r="IC616" s="350"/>
      <c r="ID616" s="346">
        <f>FISC!AC849</f>
        <v>4.2821148510000171</v>
      </c>
      <c r="IE616" s="350"/>
      <c r="IF616" s="350"/>
      <c r="IG616" s="660">
        <f>+FISC!AD849</f>
        <v>-61.574603678451695</v>
      </c>
      <c r="IH616" s="350"/>
      <c r="II616" s="350"/>
      <c r="IJ616" s="660">
        <f>+FISC!AE849</f>
        <v>-14.992390293450597</v>
      </c>
      <c r="IL616" s="350">
        <f t="shared" si="473"/>
        <v>6.2172337168318563</v>
      </c>
      <c r="IM616" s="660">
        <f>+FISC!AF849</f>
        <v>6.2172337168318563</v>
      </c>
      <c r="IO616" s="350"/>
      <c r="IP616" s="660">
        <f>+FISC!AG849</f>
        <v>8.0996614898377288</v>
      </c>
      <c r="IR616" s="350"/>
      <c r="IS616" s="660">
        <f>+FISC!AH849</f>
        <v>0</v>
      </c>
      <c r="IU616" s="350"/>
      <c r="IV616" s="660">
        <f>+FISC!AI849</f>
        <v>0</v>
      </c>
      <c r="IX616" s="350"/>
      <c r="IY616" s="660">
        <f>+FISC!AJ849</f>
        <v>0</v>
      </c>
      <c r="JB616" s="660">
        <f>+FISC!AK849</f>
        <v>0</v>
      </c>
      <c r="JC616" s="660"/>
      <c r="KI616" s="349"/>
      <c r="KJ616" s="350"/>
    </row>
    <row r="617" spans="1:302">
      <c r="A617" s="302"/>
      <c r="D617" s="688" t="str">
        <f>+FISC!D850</f>
        <v xml:space="preserve">   Net withdrawal from government project accounts</v>
      </c>
      <c r="E617" s="346"/>
      <c r="F617" s="346"/>
      <c r="G617" s="346"/>
      <c r="H617" s="346"/>
      <c r="I617" s="346"/>
      <c r="J617" s="346"/>
      <c r="K617" s="346"/>
      <c r="L617" s="346"/>
      <c r="M617" s="346"/>
      <c r="N617" s="346"/>
      <c r="O617" s="346"/>
      <c r="P617" s="346"/>
      <c r="Q617" s="346"/>
      <c r="R617" s="346"/>
      <c r="S617" s="346"/>
      <c r="T617" s="346"/>
      <c r="U617" s="346"/>
      <c r="V617" s="346"/>
      <c r="W617" s="346"/>
      <c r="X617" s="346"/>
      <c r="Y617" s="346"/>
      <c r="Z617" s="346"/>
      <c r="AA617" s="346"/>
      <c r="AB617" s="346"/>
      <c r="AC617" s="346"/>
      <c r="AD617" s="346"/>
      <c r="AE617" s="346"/>
      <c r="AF617" s="346"/>
      <c r="AG617" s="346"/>
      <c r="AH617" s="346"/>
      <c r="AI617" s="346"/>
      <c r="AJ617" s="346"/>
      <c r="AK617" s="346"/>
      <c r="AL617" s="346"/>
      <c r="AM617" s="346"/>
      <c r="AN617" s="346"/>
      <c r="AO617" s="346"/>
      <c r="AP617" s="346"/>
      <c r="AQ617" s="346"/>
      <c r="AR617" s="346"/>
      <c r="AS617" s="346"/>
      <c r="AT617" s="346"/>
      <c r="AU617" s="346"/>
      <c r="AV617" s="346"/>
      <c r="AW617" s="346"/>
      <c r="AX617" s="346"/>
      <c r="AY617" s="346"/>
      <c r="AZ617" s="346"/>
      <c r="BA617" s="346"/>
      <c r="BB617" s="346"/>
      <c r="BC617" s="346"/>
      <c r="BD617" s="346"/>
      <c r="BE617" s="346"/>
      <c r="BF617" s="346"/>
      <c r="BG617" s="346"/>
      <c r="BH617" s="346"/>
      <c r="BI617" s="346"/>
      <c r="BJ617" s="346"/>
      <c r="BK617" s="346"/>
      <c r="BL617" s="346"/>
      <c r="BM617" s="346"/>
      <c r="BN617" s="346"/>
      <c r="BO617" s="346"/>
      <c r="BP617" s="346"/>
      <c r="BQ617" s="346"/>
      <c r="BR617" s="346"/>
      <c r="BS617" s="346"/>
      <c r="BT617" s="346"/>
      <c r="BU617" s="346"/>
      <c r="BV617" s="346"/>
      <c r="BW617" s="346"/>
      <c r="BX617" s="346"/>
      <c r="BY617" s="346"/>
      <c r="BZ617" s="346"/>
      <c r="CA617" s="346"/>
      <c r="CB617" s="346"/>
      <c r="CC617" s="346"/>
      <c r="CD617" s="346"/>
      <c r="CE617" s="347"/>
      <c r="CF617" s="346"/>
      <c r="CG617" s="346"/>
      <c r="CH617" s="346"/>
      <c r="CI617" s="346"/>
      <c r="CJ617" s="346"/>
      <c r="CK617" s="346"/>
      <c r="CL617" s="346"/>
      <c r="CM617" s="346"/>
      <c r="CN617" s="346"/>
      <c r="CO617" s="346"/>
      <c r="CP617" s="348"/>
      <c r="CQ617" s="346"/>
      <c r="CR617" s="346"/>
      <c r="CS617" s="346"/>
      <c r="CT617" s="346"/>
      <c r="CU617" s="346"/>
      <c r="CV617" s="346"/>
      <c r="CW617" s="346"/>
      <c r="CX617" s="346"/>
      <c r="CY617" s="346"/>
      <c r="CZ617" s="346"/>
      <c r="DA617" s="346"/>
      <c r="DB617" s="1479"/>
      <c r="DC617" s="658"/>
      <c r="DD617" s="658"/>
      <c r="DE617" s="658"/>
      <c r="DF617" s="658"/>
      <c r="DG617" s="658"/>
      <c r="DH617" s="658"/>
      <c r="DI617" s="658"/>
      <c r="DJ617" s="658"/>
      <c r="DK617" s="658"/>
      <c r="DL617" s="658"/>
      <c r="DM617" s="658"/>
      <c r="DN617" s="1541"/>
      <c r="DO617" s="658"/>
      <c r="DP617" s="658"/>
      <c r="DQ617" s="658"/>
      <c r="DR617" s="658"/>
      <c r="DS617" s="658"/>
      <c r="DT617" s="947"/>
      <c r="DU617" s="947"/>
      <c r="DV617" s="947"/>
      <c r="DW617" s="947"/>
      <c r="DX617" s="947"/>
      <c r="DY617" s="947"/>
      <c r="DZ617" s="1541"/>
      <c r="EA617" s="658"/>
      <c r="EB617" s="947"/>
      <c r="EC617" s="947"/>
      <c r="ED617" s="947"/>
      <c r="EE617" s="947"/>
      <c r="EF617" s="947"/>
      <c r="EG617" s="947"/>
      <c r="EH617" s="947"/>
      <c r="EI617" s="947"/>
      <c r="EJ617" s="947"/>
      <c r="EK617" s="947"/>
      <c r="EL617" s="1554"/>
      <c r="EM617" s="947"/>
      <c r="EN617" s="947"/>
      <c r="EO617" s="947"/>
      <c r="EP617" s="947"/>
      <c r="EQ617" s="947"/>
      <c r="ER617" s="947"/>
      <c r="ES617" s="947"/>
      <c r="ET617" s="947"/>
      <c r="EU617" s="947"/>
      <c r="EV617" s="947"/>
      <c r="EW617" s="947"/>
      <c r="EX617" s="1554"/>
      <c r="EY617" s="947"/>
      <c r="EZ617" s="947"/>
      <c r="FA617" s="947"/>
      <c r="FB617" s="947"/>
      <c r="FC617" s="947"/>
      <c r="FD617" s="947"/>
      <c r="FE617" s="947"/>
      <c r="FF617" s="947"/>
      <c r="FG617" s="947"/>
      <c r="FH617" s="947"/>
      <c r="FI617" s="947"/>
      <c r="FJ617" s="1554"/>
      <c r="FK617" s="947"/>
      <c r="FL617" s="947"/>
      <c r="FM617" s="947"/>
      <c r="FN617" s="947"/>
      <c r="FO617" s="947"/>
      <c r="FP617" s="947"/>
      <c r="FQ617" s="947"/>
      <c r="FR617" s="947"/>
      <c r="FS617" s="947"/>
      <c r="FT617" s="947"/>
      <c r="FU617" s="947"/>
      <c r="FV617" s="947"/>
      <c r="FW617" s="947"/>
      <c r="FX617" s="947"/>
      <c r="FY617" s="947"/>
      <c r="FZ617" s="947"/>
      <c r="GA617" s="947"/>
      <c r="GB617" s="947"/>
      <c r="GC617" s="947"/>
      <c r="GD617" s="947"/>
      <c r="GE617" s="947"/>
      <c r="GF617" s="947"/>
      <c r="GG617" s="947"/>
      <c r="GH617" s="947"/>
      <c r="GI617" s="947"/>
      <c r="GJ617" s="947"/>
      <c r="GK617" s="947"/>
      <c r="GL617" s="947"/>
      <c r="GM617" s="947"/>
      <c r="GN617" s="947"/>
      <c r="GO617" s="947"/>
      <c r="GP617" s="947"/>
      <c r="GQ617" s="947"/>
      <c r="GR617" s="947"/>
      <c r="GS617" s="947"/>
      <c r="GT617" s="947"/>
      <c r="GU617" s="947"/>
      <c r="GV617" s="947"/>
      <c r="GW617" s="947"/>
      <c r="GX617" s="947"/>
      <c r="GY617" s="947"/>
      <c r="GZ617" s="947"/>
      <c r="HA617" s="947"/>
      <c r="HB617" s="947"/>
      <c r="HC617" s="947"/>
      <c r="HD617" s="947"/>
      <c r="HE617" s="947"/>
      <c r="HF617" s="947"/>
      <c r="HG617" s="947"/>
      <c r="HH617" s="947"/>
      <c r="HI617" s="947"/>
      <c r="HJ617" s="947"/>
      <c r="HK617" s="947"/>
      <c r="HL617" s="947"/>
      <c r="HM617" s="947"/>
      <c r="HN617" s="349"/>
      <c r="HO617" s="688" t="s">
        <v>1110</v>
      </c>
      <c r="HP617" s="688"/>
      <c r="HQ617" s="688"/>
      <c r="HR617" s="659"/>
      <c r="HU617" s="659"/>
      <c r="HV617" s="307"/>
      <c r="HW617" s="899" t="s">
        <v>786</v>
      </c>
      <c r="HX617" s="945" t="str">
        <f>IF(ABS(-(HX579+HX582)-HX615)&gt;0.1,"check","")</f>
        <v/>
      </c>
      <c r="HY617" s="945" t="str">
        <f>IF(ABS(-(HY579+HY582)-HY615)&gt;0.1,"check","")</f>
        <v/>
      </c>
      <c r="HZ617" s="945"/>
      <c r="IA617" s="900" t="str">
        <f>IF(ABS(-(IA579+IA582)-IA615)&gt;0.1,"check","")</f>
        <v/>
      </c>
      <c r="IB617" s="350"/>
      <c r="IC617" s="350"/>
      <c r="ID617" s="346">
        <f>FISC!AC850</f>
        <v>0</v>
      </c>
      <c r="IE617" s="350"/>
      <c r="IF617" s="350"/>
      <c r="IG617" s="660"/>
      <c r="IH617" s="350"/>
      <c r="II617" s="350"/>
      <c r="IJ617" s="660"/>
      <c r="IL617" s="350">
        <f t="shared" si="473"/>
        <v>0</v>
      </c>
      <c r="IM617" s="660"/>
      <c r="IO617" s="350"/>
      <c r="IP617" s="660"/>
      <c r="IR617" s="350"/>
      <c r="IS617" s="660"/>
      <c r="IU617" s="350"/>
      <c r="IV617" s="660"/>
      <c r="IX617" s="350"/>
      <c r="IY617" s="660"/>
      <c r="JB617" s="660"/>
      <c r="JC617" s="660"/>
      <c r="KI617" s="349"/>
      <c r="KJ617" s="350"/>
    </row>
    <row r="618" spans="1:302">
      <c r="A618" s="302"/>
      <c r="B618" s="117" t="s">
        <v>361</v>
      </c>
      <c r="D618" s="690" t="str">
        <f>+FISC!D852</f>
        <v>Projected financing need (unidentified budget grants/loans) (- surplus)</v>
      </c>
      <c r="E618" s="346"/>
      <c r="F618" s="346"/>
      <c r="G618" s="346"/>
      <c r="H618" s="346"/>
      <c r="I618" s="346"/>
      <c r="J618" s="346"/>
      <c r="K618" s="346"/>
      <c r="L618" s="346"/>
      <c r="M618" s="346"/>
      <c r="N618" s="346"/>
      <c r="O618" s="346"/>
      <c r="P618" s="346"/>
      <c r="Q618" s="346"/>
      <c r="R618" s="346"/>
      <c r="S618" s="346"/>
      <c r="T618" s="346"/>
      <c r="U618" s="346"/>
      <c r="V618" s="346"/>
      <c r="W618" s="346"/>
      <c r="X618" s="346"/>
      <c r="Y618" s="346"/>
      <c r="Z618" s="346"/>
      <c r="AA618" s="346"/>
      <c r="AB618" s="346"/>
      <c r="AC618" s="346"/>
      <c r="AD618" s="346"/>
      <c r="AE618" s="346"/>
      <c r="AF618" s="346"/>
      <c r="AG618" s="346"/>
      <c r="AH618" s="346"/>
      <c r="AI618" s="346"/>
      <c r="AJ618" s="346"/>
      <c r="AK618" s="346"/>
      <c r="AL618" s="346"/>
      <c r="AM618" s="346"/>
      <c r="AN618" s="346"/>
      <c r="AO618" s="346"/>
      <c r="AP618" s="346"/>
      <c r="AQ618" s="346"/>
      <c r="AR618" s="346"/>
      <c r="AS618" s="346"/>
      <c r="AT618" s="346"/>
      <c r="AU618" s="346"/>
      <c r="AV618" s="346"/>
      <c r="AW618" s="346"/>
      <c r="AX618" s="346"/>
      <c r="AY618" s="346"/>
      <c r="AZ618" s="346"/>
      <c r="BA618" s="346"/>
      <c r="BB618" s="346"/>
      <c r="BC618" s="346"/>
      <c r="BD618" s="346"/>
      <c r="BE618" s="346"/>
      <c r="BF618" s="346"/>
      <c r="BG618" s="346"/>
      <c r="BH618" s="346"/>
      <c r="BI618" s="346"/>
      <c r="BJ618" s="346"/>
      <c r="BK618" s="346"/>
      <c r="BL618" s="346"/>
      <c r="BM618" s="346"/>
      <c r="BN618" s="346"/>
      <c r="BO618" s="346"/>
      <c r="BP618" s="346"/>
      <c r="BQ618" s="346"/>
      <c r="BR618" s="346"/>
      <c r="BS618" s="346"/>
      <c r="BT618" s="346"/>
      <c r="BU618" s="346"/>
      <c r="BV618" s="346"/>
      <c r="BW618" s="346"/>
      <c r="BX618" s="346"/>
      <c r="BY618" s="346"/>
      <c r="BZ618" s="346"/>
      <c r="CA618" s="346"/>
      <c r="CB618" s="346"/>
      <c r="CC618" s="346"/>
      <c r="CD618" s="346"/>
      <c r="CE618" s="347"/>
      <c r="CF618" s="346"/>
      <c r="CG618" s="346"/>
      <c r="CH618" s="346"/>
      <c r="CI618" s="346"/>
      <c r="CJ618" s="346"/>
      <c r="CK618" s="346"/>
      <c r="CL618" s="346"/>
      <c r="CM618" s="346"/>
      <c r="CN618" s="346"/>
      <c r="CO618" s="346"/>
      <c r="CP618" s="348"/>
      <c r="CQ618" s="346"/>
      <c r="CR618" s="346"/>
      <c r="CS618" s="346"/>
      <c r="CT618" s="346"/>
      <c r="CU618" s="346"/>
      <c r="CV618" s="346"/>
      <c r="CW618" s="346"/>
      <c r="CX618" s="346"/>
      <c r="CY618" s="346"/>
      <c r="CZ618" s="346"/>
      <c r="DA618" s="346"/>
      <c r="DB618" s="1479"/>
      <c r="DC618" s="658"/>
      <c r="DD618" s="658"/>
      <c r="DE618" s="658"/>
      <c r="DF618" s="658"/>
      <c r="DG618" s="658"/>
      <c r="DH618" s="658"/>
      <c r="DI618" s="658"/>
      <c r="DJ618" s="658"/>
      <c r="DK618" s="658"/>
      <c r="DL618" s="658"/>
      <c r="DM618" s="658"/>
      <c r="DN618" s="1541"/>
      <c r="DO618" s="658"/>
      <c r="DP618" s="658"/>
      <c r="DQ618" s="658"/>
      <c r="DR618" s="658"/>
      <c r="DS618" s="658"/>
      <c r="DT618" s="658"/>
      <c r="DU618" s="658"/>
      <c r="DV618" s="658"/>
      <c r="DW618" s="658"/>
      <c r="DX618" s="658"/>
      <c r="DY618" s="658"/>
      <c r="DZ618" s="1541"/>
      <c r="EA618" s="658"/>
      <c r="EB618" s="658"/>
      <c r="EC618" s="658"/>
      <c r="ED618" s="658"/>
      <c r="EE618" s="658"/>
      <c r="EF618" s="658"/>
      <c r="EG618" s="658"/>
      <c r="EH618" s="658"/>
      <c r="EI618" s="658"/>
      <c r="EJ618" s="658"/>
      <c r="EK618" s="658"/>
      <c r="EL618" s="1541"/>
      <c r="EM618" s="658"/>
      <c r="EN618" s="658"/>
      <c r="EO618" s="658"/>
      <c r="EP618" s="658"/>
      <c r="EQ618" s="658"/>
      <c r="ER618" s="658"/>
      <c r="ES618" s="658"/>
      <c r="ET618" s="658"/>
      <c r="EU618" s="658"/>
      <c r="EV618" s="658"/>
      <c r="EW618" s="658"/>
      <c r="EX618" s="1541"/>
      <c r="EY618" s="658"/>
      <c r="EZ618" s="658"/>
      <c r="FA618" s="658"/>
      <c r="FB618" s="658"/>
      <c r="FC618" s="658"/>
      <c r="FD618" s="658"/>
      <c r="FE618" s="658"/>
      <c r="FF618" s="658"/>
      <c r="FG618" s="658"/>
      <c r="FH618" s="658"/>
      <c r="FI618" s="658"/>
      <c r="FJ618" s="1541"/>
      <c r="FK618" s="658"/>
      <c r="FL618" s="658"/>
      <c r="FM618" s="658"/>
      <c r="FN618" s="658"/>
      <c r="FO618" s="658"/>
      <c r="FP618" s="658"/>
      <c r="FQ618" s="658"/>
      <c r="FR618" s="658"/>
      <c r="FS618" s="658"/>
      <c r="FT618" s="658"/>
      <c r="FU618" s="658"/>
      <c r="FV618" s="658"/>
      <c r="FW618" s="658"/>
      <c r="FX618" s="658"/>
      <c r="FY618" s="658"/>
      <c r="FZ618" s="658"/>
      <c r="GA618" s="658"/>
      <c r="GB618" s="658"/>
      <c r="GC618" s="658"/>
      <c r="GD618" s="658"/>
      <c r="GE618" s="658"/>
      <c r="GF618" s="658"/>
      <c r="GG618" s="658"/>
      <c r="GH618" s="658"/>
      <c r="GI618" s="658"/>
      <c r="GJ618" s="658"/>
      <c r="GK618" s="658"/>
      <c r="GL618" s="658"/>
      <c r="GM618" s="658"/>
      <c r="GN618" s="658"/>
      <c r="GO618" s="658"/>
      <c r="GP618" s="658"/>
      <c r="GQ618" s="658"/>
      <c r="GR618" s="658"/>
      <c r="GS618" s="658"/>
      <c r="GT618" s="658"/>
      <c r="GU618" s="658"/>
      <c r="GV618" s="658"/>
      <c r="GW618" s="658"/>
      <c r="GX618" s="658"/>
      <c r="GY618" s="658"/>
      <c r="GZ618" s="658"/>
      <c r="HA618" s="658"/>
      <c r="HB618" s="658"/>
      <c r="HC618" s="658"/>
      <c r="HD618" s="658"/>
      <c r="HE618" s="658"/>
      <c r="HF618" s="658"/>
      <c r="HG618" s="658"/>
      <c r="HH618" s="658"/>
      <c r="HI618" s="658"/>
      <c r="HJ618" s="658"/>
      <c r="HK618" s="658"/>
      <c r="HL618" s="658"/>
      <c r="HM618" s="658"/>
      <c r="HN618" s="349"/>
      <c r="HO618" s="690" t="s">
        <v>853</v>
      </c>
      <c r="HP618" s="690"/>
      <c r="HQ618" s="690"/>
      <c r="HR618" s="659">
        <f>+FISC!Z852</f>
        <v>0</v>
      </c>
      <c r="HU618" s="659"/>
      <c r="HV618" s="307"/>
      <c r="HX618" s="661">
        <f>+FISC!AA852</f>
        <v>0</v>
      </c>
      <c r="HY618" s="455"/>
      <c r="HZ618" s="455"/>
      <c r="IA618" s="661">
        <v>0</v>
      </c>
      <c r="IB618" s="455">
        <f>-(IB579+IB582)</f>
        <v>0</v>
      </c>
      <c r="IC618" s="455">
        <f>-(IC579+IC582)</f>
        <v>0</v>
      </c>
      <c r="ID618" s="346">
        <f>FISC!AC852</f>
        <v>0</v>
      </c>
      <c r="IE618" s="455"/>
      <c r="IF618" s="455"/>
      <c r="IG618" s="661">
        <f>+FISC!AD852</f>
        <v>0</v>
      </c>
      <c r="IH618" s="350"/>
      <c r="II618" s="350"/>
      <c r="IJ618" s="971">
        <f>+FISC!AE852</f>
        <v>0</v>
      </c>
      <c r="IL618" s="350">
        <f t="shared" si="473"/>
        <v>161.47709796857001</v>
      </c>
      <c r="IM618" s="971">
        <f>+FISC!AF852</f>
        <v>161.47709796857001</v>
      </c>
      <c r="IO618" s="350"/>
      <c r="IP618" s="971">
        <f>+FISC!AG852</f>
        <v>13.09276161209365</v>
      </c>
      <c r="IR618" s="350"/>
      <c r="IS618" s="971">
        <f>+FISC!AH852</f>
        <v>0</v>
      </c>
      <c r="IU618" s="350"/>
      <c r="IV618" s="971">
        <f>+FISC!AI852</f>
        <v>0</v>
      </c>
      <c r="IX618" s="350"/>
      <c r="IY618" s="971">
        <f>+FISC!AJ852</f>
        <v>0</v>
      </c>
      <c r="JB618" s="971">
        <f>+FISC!AK852</f>
        <v>0</v>
      </c>
      <c r="JC618" s="971"/>
      <c r="KI618" s="349"/>
      <c r="KJ618" s="350"/>
    </row>
    <row r="619" spans="1:302">
      <c r="A619" s="302"/>
      <c r="B619" s="117" t="s">
        <v>361</v>
      </c>
      <c r="D619" s="690" t="str">
        <f>+FISC!D853</f>
        <v xml:space="preserve">                           interest on financing need (not included in DU projection)</v>
      </c>
      <c r="E619" s="346"/>
      <c r="F619" s="346"/>
      <c r="G619" s="346"/>
      <c r="H619" s="346"/>
      <c r="I619" s="346"/>
      <c r="J619" s="346"/>
      <c r="K619" s="346"/>
      <c r="L619" s="346"/>
      <c r="M619" s="346"/>
      <c r="N619" s="346"/>
      <c r="O619" s="346"/>
      <c r="P619" s="346"/>
      <c r="Q619" s="346"/>
      <c r="R619" s="346"/>
      <c r="S619" s="346"/>
      <c r="T619" s="346"/>
      <c r="U619" s="346"/>
      <c r="V619" s="346"/>
      <c r="W619" s="346"/>
      <c r="X619" s="346"/>
      <c r="Y619" s="346"/>
      <c r="Z619" s="346"/>
      <c r="AA619" s="346"/>
      <c r="AB619" s="346"/>
      <c r="AC619" s="346"/>
      <c r="AD619" s="346"/>
      <c r="AE619" s="346"/>
      <c r="AF619" s="346"/>
      <c r="AG619" s="346"/>
      <c r="AH619" s="346"/>
      <c r="AI619" s="346"/>
      <c r="AJ619" s="346"/>
      <c r="AK619" s="346"/>
      <c r="AL619" s="346"/>
      <c r="AM619" s="346"/>
      <c r="AN619" s="346"/>
      <c r="AO619" s="346"/>
      <c r="AP619" s="346"/>
      <c r="AQ619" s="346"/>
      <c r="AR619" s="346"/>
      <c r="AS619" s="346"/>
      <c r="AT619" s="346"/>
      <c r="AU619" s="346"/>
      <c r="AV619" s="346"/>
      <c r="AW619" s="346"/>
      <c r="AX619" s="346"/>
      <c r="AY619" s="346"/>
      <c r="AZ619" s="346"/>
      <c r="BA619" s="346"/>
      <c r="BB619" s="346"/>
      <c r="BC619" s="346"/>
      <c r="BD619" s="346"/>
      <c r="BE619" s="346"/>
      <c r="BF619" s="346"/>
      <c r="BG619" s="346"/>
      <c r="BH619" s="346"/>
      <c r="BI619" s="346"/>
      <c r="BJ619" s="346"/>
      <c r="BK619" s="346"/>
      <c r="BL619" s="346"/>
      <c r="BM619" s="346"/>
      <c r="BN619" s="346"/>
      <c r="BO619" s="346"/>
      <c r="BP619" s="346"/>
      <c r="BQ619" s="346"/>
      <c r="BR619" s="346"/>
      <c r="BS619" s="346"/>
      <c r="BT619" s="346"/>
      <c r="BU619" s="346"/>
      <c r="BV619" s="346"/>
      <c r="BW619" s="346"/>
      <c r="BX619" s="346"/>
      <c r="BY619" s="346"/>
      <c r="BZ619" s="346"/>
      <c r="CA619" s="346"/>
      <c r="CB619" s="346"/>
      <c r="CC619" s="346"/>
      <c r="CD619" s="346"/>
      <c r="CE619" s="347"/>
      <c r="CF619" s="346"/>
      <c r="CG619" s="346"/>
      <c r="CH619" s="346"/>
      <c r="CI619" s="346"/>
      <c r="CJ619" s="346"/>
      <c r="CK619" s="346"/>
      <c r="CL619" s="346"/>
      <c r="CM619" s="346"/>
      <c r="CN619" s="346"/>
      <c r="CO619" s="346"/>
      <c r="CP619" s="348"/>
      <c r="CQ619" s="346"/>
      <c r="CR619" s="346"/>
      <c r="CS619" s="346"/>
      <c r="CT619" s="346"/>
      <c r="CU619" s="346"/>
      <c r="CV619" s="346"/>
      <c r="CW619" s="346"/>
      <c r="CX619" s="346"/>
      <c r="CY619" s="346"/>
      <c r="CZ619" s="346"/>
      <c r="DA619" s="346"/>
      <c r="DB619" s="1479"/>
      <c r="DC619" s="658"/>
      <c r="DD619" s="658"/>
      <c r="DE619" s="658"/>
      <c r="DF619" s="658"/>
      <c r="DG619" s="658"/>
      <c r="DH619" s="658"/>
      <c r="DI619" s="658"/>
      <c r="DJ619" s="658"/>
      <c r="DK619" s="658"/>
      <c r="DL619" s="658"/>
      <c r="DM619" s="658"/>
      <c r="DN619" s="1541"/>
      <c r="DO619" s="658"/>
      <c r="DP619" s="658"/>
      <c r="DQ619" s="658"/>
      <c r="DR619" s="658"/>
      <c r="DS619" s="658"/>
      <c r="DT619" s="658"/>
      <c r="DU619" s="658"/>
      <c r="DV619" s="658"/>
      <c r="DW619" s="658"/>
      <c r="DX619" s="658"/>
      <c r="DY619" s="658"/>
      <c r="DZ619" s="1541"/>
      <c r="EA619" s="658"/>
      <c r="EB619" s="658"/>
      <c r="EC619" s="658"/>
      <c r="ED619" s="658"/>
      <c r="EE619" s="658"/>
      <c r="EF619" s="658"/>
      <c r="EG619" s="658"/>
      <c r="EH619" s="658"/>
      <c r="EI619" s="658"/>
      <c r="EJ619" s="658"/>
      <c r="EK619" s="658"/>
      <c r="EL619" s="1541">
        <v>0</v>
      </c>
      <c r="EM619" s="658">
        <v>0</v>
      </c>
      <c r="EN619" s="658"/>
      <c r="EO619" s="658"/>
      <c r="EP619" s="658">
        <v>0</v>
      </c>
      <c r="EQ619" s="658"/>
      <c r="ER619" s="658"/>
      <c r="ES619" s="658"/>
      <c r="ET619" s="658"/>
      <c r="EU619" s="658"/>
      <c r="EV619" s="658"/>
      <c r="EW619" s="658"/>
      <c r="EX619" s="1541"/>
      <c r="EY619" s="658"/>
      <c r="EZ619" s="658"/>
      <c r="FA619" s="658"/>
      <c r="FB619" s="658"/>
      <c r="FC619" s="658"/>
      <c r="FD619" s="658"/>
      <c r="FE619" s="658"/>
      <c r="FF619" s="658"/>
      <c r="FG619" s="658"/>
      <c r="FH619" s="658"/>
      <c r="FI619" s="658"/>
      <c r="FJ619" s="1541"/>
      <c r="FK619" s="658"/>
      <c r="FL619" s="658"/>
      <c r="FM619" s="658"/>
      <c r="FN619" s="658"/>
      <c r="FO619" s="658"/>
      <c r="FP619" s="658"/>
      <c r="FQ619" s="658"/>
      <c r="FR619" s="658"/>
      <c r="FS619" s="658"/>
      <c r="FT619" s="658"/>
      <c r="FU619" s="658"/>
      <c r="FV619" s="658"/>
      <c r="FW619" s="658"/>
      <c r="FX619" s="658"/>
      <c r="FY619" s="658"/>
      <c r="FZ619" s="658"/>
      <c r="GA619" s="658"/>
      <c r="GB619" s="658"/>
      <c r="GC619" s="658"/>
      <c r="GD619" s="658"/>
      <c r="GE619" s="658"/>
      <c r="GF619" s="658"/>
      <c r="GG619" s="658"/>
      <c r="GH619" s="658"/>
      <c r="GI619" s="658"/>
      <c r="GJ619" s="658"/>
      <c r="GK619" s="658"/>
      <c r="GL619" s="658"/>
      <c r="GM619" s="658"/>
      <c r="GN619" s="658"/>
      <c r="GO619" s="658"/>
      <c r="GP619" s="658"/>
      <c r="GQ619" s="658"/>
      <c r="GR619" s="658"/>
      <c r="GS619" s="658"/>
      <c r="GT619" s="658"/>
      <c r="GU619" s="658"/>
      <c r="GV619" s="658"/>
      <c r="GW619" s="658"/>
      <c r="GX619" s="658"/>
      <c r="GY619" s="658"/>
      <c r="GZ619" s="658"/>
      <c r="HA619" s="658"/>
      <c r="HB619" s="658"/>
      <c r="HC619" s="658"/>
      <c r="HD619" s="658"/>
      <c r="HE619" s="658"/>
      <c r="HF619" s="658"/>
      <c r="HG619" s="658"/>
      <c r="HH619" s="658"/>
      <c r="HI619" s="658"/>
      <c r="HJ619" s="658"/>
      <c r="HK619" s="658"/>
      <c r="HL619" s="658"/>
      <c r="HM619" s="658"/>
      <c r="HN619" s="349"/>
      <c r="HO619" s="690" t="s">
        <v>270</v>
      </c>
      <c r="HP619" s="690"/>
      <c r="HQ619" s="690"/>
      <c r="HR619" s="659">
        <f>+FISC!Z853</f>
        <v>0</v>
      </c>
      <c r="HU619" s="659"/>
      <c r="HV619" s="307"/>
      <c r="HX619" s="661">
        <f>+FISC!AA853</f>
        <v>0</v>
      </c>
      <c r="HY619" s="455"/>
      <c r="HZ619" s="455"/>
      <c r="IA619" s="661">
        <v>0</v>
      </c>
      <c r="IB619" s="455"/>
      <c r="IC619" s="455"/>
      <c r="ID619" s="346">
        <f>FISC!AC853</f>
        <v>0</v>
      </c>
      <c r="IE619" s="455"/>
      <c r="IF619" s="455"/>
      <c r="IG619" s="661">
        <f>+FISC!AD853</f>
        <v>0</v>
      </c>
      <c r="IH619" s="350"/>
      <c r="II619" s="350"/>
      <c r="IJ619" s="661">
        <f>+FISC!AE853</f>
        <v>0</v>
      </c>
      <c r="IL619" s="350">
        <f t="shared" si="473"/>
        <v>4.8443129390571</v>
      </c>
      <c r="IM619" s="661">
        <f>+FISC!AF853</f>
        <v>4.8443129390571</v>
      </c>
      <c r="IO619" s="350"/>
      <c r="IP619" s="661">
        <f>+FISC!AG853</f>
        <v>13.48554446045646</v>
      </c>
      <c r="IR619" s="350"/>
      <c r="IS619" s="661">
        <f>+FISC!AH853</f>
        <v>0</v>
      </c>
      <c r="IU619" s="350"/>
      <c r="IV619" s="661">
        <f>+FISC!AI853</f>
        <v>0</v>
      </c>
      <c r="IX619" s="350"/>
      <c r="IY619" s="661">
        <f>+FISC!AJ853</f>
        <v>0</v>
      </c>
      <c r="JB619" s="661">
        <f>+FISC!AK853</f>
        <v>0</v>
      </c>
      <c r="JC619" s="661"/>
      <c r="KI619" s="349"/>
      <c r="KJ619" s="350"/>
    </row>
    <row r="620" spans="1:302" ht="15" customHeight="1">
      <c r="A620" s="302"/>
      <c r="D620" s="1028" t="s">
        <v>1137</v>
      </c>
      <c r="CP620" s="303"/>
      <c r="DZ620" s="1541"/>
      <c r="EA620" s="658"/>
      <c r="EB620" s="302"/>
      <c r="EC620" s="302"/>
      <c r="ED620" s="302"/>
      <c r="EE620" s="302"/>
      <c r="EF620" s="302"/>
      <c r="EG620" s="302"/>
      <c r="EH620" s="302"/>
      <c r="EI620" s="302"/>
      <c r="EJ620" s="302"/>
      <c r="EK620" s="302"/>
      <c r="EL620" s="303"/>
      <c r="EM620" s="302"/>
      <c r="EN620" s="302"/>
      <c r="EO620" s="302"/>
      <c r="EP620" s="302"/>
      <c r="EQ620" s="302"/>
      <c r="ER620" s="302"/>
      <c r="ES620" s="302"/>
      <c r="ET620" s="302"/>
      <c r="EU620" s="302"/>
      <c r="EV620" s="302"/>
      <c r="EW620" s="302"/>
      <c r="EX620" s="303"/>
      <c r="EY620" s="302"/>
      <c r="EZ620" s="302"/>
      <c r="FA620" s="302"/>
      <c r="FB620" s="302"/>
      <c r="FC620" s="302"/>
      <c r="FD620" s="302"/>
      <c r="FE620" s="302"/>
      <c r="FF620" s="302"/>
      <c r="FG620" s="302"/>
      <c r="FH620" s="302"/>
      <c r="FI620" s="302"/>
      <c r="FJ620" s="303"/>
      <c r="FK620" s="302"/>
      <c r="FL620" s="302"/>
      <c r="FM620" s="302"/>
      <c r="FN620" s="302"/>
      <c r="FO620" s="302"/>
      <c r="FP620" s="302"/>
      <c r="FQ620" s="302"/>
      <c r="FR620" s="302"/>
      <c r="FS620" s="302"/>
      <c r="FT620" s="302"/>
      <c r="FU620" s="302"/>
      <c r="FV620" s="302"/>
      <c r="FW620" s="302"/>
      <c r="FX620" s="302"/>
      <c r="FY620" s="302"/>
      <c r="FZ620" s="302"/>
      <c r="GA620" s="302"/>
      <c r="GB620" s="302"/>
      <c r="GC620" s="302"/>
      <c r="GD620" s="302"/>
      <c r="GE620" s="302"/>
      <c r="GF620" s="302"/>
      <c r="GG620" s="302"/>
      <c r="GH620" s="302"/>
      <c r="GI620" s="302"/>
      <c r="GJ620" s="302"/>
      <c r="GK620" s="302"/>
      <c r="GL620" s="302"/>
      <c r="GM620" s="302"/>
      <c r="GN620" s="302"/>
      <c r="GO620" s="302"/>
      <c r="GP620" s="302"/>
      <c r="GQ620" s="302"/>
      <c r="GR620" s="302"/>
      <c r="GS620" s="302"/>
      <c r="GT620" s="302"/>
      <c r="GU620" s="302"/>
      <c r="GV620" s="302"/>
      <c r="GW620" s="302"/>
      <c r="GX620" s="302"/>
      <c r="GY620" s="302"/>
      <c r="GZ620" s="302"/>
      <c r="HA620" s="302"/>
      <c r="HB620" s="302"/>
      <c r="HC620" s="302"/>
      <c r="HD620" s="302"/>
      <c r="HE620" s="302"/>
      <c r="HF620" s="302"/>
      <c r="HG620" s="302"/>
      <c r="HH620" s="302"/>
      <c r="HI620" s="302"/>
      <c r="HJ620" s="302"/>
      <c r="HK620" s="302"/>
      <c r="HL620" s="302"/>
      <c r="HM620" s="302"/>
      <c r="HO620" s="1028" t="s">
        <v>1229</v>
      </c>
      <c r="HP620" s="1028"/>
      <c r="HQ620" s="1028"/>
      <c r="HS620" s="396"/>
      <c r="HT620" s="396"/>
      <c r="HV620" s="582"/>
      <c r="HW620" s="582"/>
      <c r="HX620" s="582">
        <f t="shared" ref="HX620:IC620" si="516">+HX599+HX611</f>
        <v>59.256799999999984</v>
      </c>
      <c r="HY620" s="582">
        <f t="shared" si="516"/>
        <v>44.544243921577923</v>
      </c>
      <c r="HZ620" s="582">
        <f t="shared" si="516"/>
        <v>8.4030000000000058</v>
      </c>
      <c r="IA620" s="582">
        <f t="shared" si="516"/>
        <v>52.947243921577929</v>
      </c>
      <c r="IB620" s="582">
        <f t="shared" si="516"/>
        <v>-12.653143921577801</v>
      </c>
      <c r="IC620" s="582">
        <f t="shared" si="516"/>
        <v>69.495483030999992</v>
      </c>
      <c r="ID620" s="346">
        <f>FISC!AC854</f>
        <v>63.622356078422058</v>
      </c>
      <c r="IE620" s="582">
        <f>+IE599+IE611</f>
        <v>63.684599999999989</v>
      </c>
      <c r="IF620" s="582">
        <f>+IF599+IF611</f>
        <v>51.732900000000001</v>
      </c>
      <c r="IG620" s="582">
        <f>+IG599+IG611</f>
        <v>115.41749999999999</v>
      </c>
      <c r="IH620" s="350"/>
      <c r="II620" s="350"/>
      <c r="IK620" s="350"/>
      <c r="IL620" s="350">
        <f t="shared" si="473"/>
        <v>0</v>
      </c>
      <c r="IN620" s="350"/>
      <c r="IO620" s="350"/>
      <c r="IQ620" s="350"/>
      <c r="IR620" s="350"/>
      <c r="IT620" s="350"/>
      <c r="IU620" s="350"/>
      <c r="IW620" s="350"/>
      <c r="IX620" s="350"/>
      <c r="KM620" s="299"/>
      <c r="KN620" s="299"/>
      <c r="KO620" s="299"/>
      <c r="KP620" s="299"/>
    </row>
    <row r="621" spans="1:302" ht="15" customHeight="1">
      <c r="A621" s="302"/>
      <c r="D621" s="581"/>
      <c r="CP621" s="303"/>
      <c r="EA621" s="302"/>
      <c r="EB621" s="302"/>
      <c r="EC621" s="302"/>
      <c r="ED621" s="302"/>
      <c r="EE621" s="302"/>
      <c r="EF621" s="302"/>
      <c r="EG621" s="302"/>
      <c r="EH621" s="302"/>
      <c r="EI621" s="302"/>
      <c r="EJ621" s="302"/>
      <c r="EK621" s="302"/>
      <c r="EL621" s="303"/>
      <c r="EM621" s="302"/>
      <c r="EN621" s="302"/>
      <c r="EO621" s="302"/>
      <c r="EP621" s="302"/>
      <c r="EQ621" s="302"/>
      <c r="ER621" s="302"/>
      <c r="ES621" s="302"/>
      <c r="ET621" s="302"/>
      <c r="EU621" s="302"/>
      <c r="EV621" s="302"/>
      <c r="EW621" s="302"/>
      <c r="EX621" s="303"/>
      <c r="EY621" s="302"/>
      <c r="EZ621" s="302"/>
      <c r="FA621" s="302"/>
      <c r="FB621" s="302"/>
      <c r="FC621" s="302"/>
      <c r="FD621" s="302"/>
      <c r="FE621" s="302"/>
      <c r="FF621" s="302"/>
      <c r="FG621" s="302"/>
      <c r="FH621" s="302"/>
      <c r="FI621" s="302"/>
      <c r="FJ621" s="303"/>
      <c r="FK621" s="302"/>
      <c r="FL621" s="302"/>
      <c r="FM621" s="302"/>
      <c r="FN621" s="302"/>
      <c r="FO621" s="302"/>
      <c r="FP621" s="302"/>
      <c r="FQ621" s="302"/>
      <c r="FR621" s="302"/>
      <c r="FS621" s="302"/>
      <c r="FT621" s="302"/>
      <c r="FU621" s="302"/>
      <c r="FV621" s="302"/>
      <c r="FW621" s="302"/>
      <c r="FX621" s="302"/>
      <c r="FY621" s="302"/>
      <c r="FZ621" s="302"/>
      <c r="GA621" s="302"/>
      <c r="GB621" s="302"/>
      <c r="GC621" s="302"/>
      <c r="GD621" s="302"/>
      <c r="GE621" s="302"/>
      <c r="GF621" s="302"/>
      <c r="GG621" s="302"/>
      <c r="GH621" s="302"/>
      <c r="GI621" s="302"/>
      <c r="GJ621" s="302"/>
      <c r="GK621" s="302"/>
      <c r="GL621" s="302"/>
      <c r="GM621" s="302"/>
      <c r="GN621" s="302"/>
      <c r="GO621" s="302"/>
      <c r="GP621" s="302"/>
      <c r="GQ621" s="302"/>
      <c r="GR621" s="302"/>
      <c r="GS621" s="302"/>
      <c r="GT621" s="302"/>
      <c r="GU621" s="302"/>
      <c r="GV621" s="302"/>
      <c r="GW621" s="302"/>
      <c r="GX621" s="302"/>
      <c r="GY621" s="302"/>
      <c r="GZ621" s="302"/>
      <c r="HA621" s="302"/>
      <c r="HB621" s="302"/>
      <c r="HC621" s="302"/>
      <c r="HD621" s="302"/>
      <c r="HE621" s="302"/>
      <c r="HF621" s="302"/>
      <c r="HG621" s="302"/>
      <c r="HH621" s="302"/>
      <c r="HI621" s="302"/>
      <c r="HJ621" s="302"/>
      <c r="HK621" s="302"/>
      <c r="HL621" s="302"/>
      <c r="HM621" s="302"/>
      <c r="HS621" s="396"/>
      <c r="HT621" s="396"/>
      <c r="HV621" s="582"/>
      <c r="HW621" s="582"/>
      <c r="HX621" s="582"/>
      <c r="IH621" s="350"/>
      <c r="II621" s="350"/>
      <c r="IK621" s="350"/>
      <c r="IL621" s="350"/>
      <c r="IN621" s="350"/>
      <c r="IO621" s="350"/>
      <c r="IQ621" s="350"/>
      <c r="IR621" s="350"/>
      <c r="IT621" s="350"/>
      <c r="IU621" s="350"/>
      <c r="IW621" s="350"/>
      <c r="IX621" s="350"/>
      <c r="KM621" s="396"/>
      <c r="KN621" s="396"/>
      <c r="KO621" s="396"/>
      <c r="KP621" s="396"/>
    </row>
    <row r="622" spans="1:302" ht="12" customHeight="1">
      <c r="A622" s="302"/>
      <c r="D622" s="370"/>
      <c r="CP622" s="303"/>
      <c r="DN622" s="656"/>
      <c r="EA622" s="302"/>
      <c r="EB622" s="302"/>
      <c r="EC622" s="302"/>
      <c r="ED622" s="302"/>
      <c r="EE622" s="302"/>
      <c r="EF622" s="302"/>
      <c r="EG622" s="302"/>
      <c r="EH622" s="302"/>
      <c r="EI622" s="302"/>
      <c r="EJ622" s="302"/>
      <c r="EK622" s="302"/>
      <c r="EL622" s="303"/>
      <c r="EM622" s="302"/>
      <c r="EN622" s="302"/>
      <c r="EO622" s="302"/>
      <c r="EP622" s="302"/>
      <c r="EQ622" s="302"/>
      <c r="ER622" s="302"/>
      <c r="ES622" s="302"/>
      <c r="ET622" s="302"/>
      <c r="EU622" s="302"/>
      <c r="EV622" s="302"/>
      <c r="EW622" s="302"/>
      <c r="EX622" s="303"/>
      <c r="EY622" s="302"/>
      <c r="EZ622" s="302"/>
      <c r="FA622" s="302"/>
      <c r="FB622" s="302"/>
      <c r="FC622" s="302"/>
      <c r="FD622" s="302"/>
      <c r="FE622" s="302"/>
      <c r="FF622" s="302"/>
      <c r="FG622" s="302"/>
      <c r="FH622" s="302"/>
      <c r="FI622" s="302"/>
      <c r="FJ622" s="303"/>
      <c r="FK622" s="302"/>
      <c r="FL622" s="302"/>
      <c r="FM622" s="302"/>
      <c r="FN622" s="302"/>
      <c r="FO622" s="302"/>
      <c r="FP622" s="302"/>
      <c r="FQ622" s="302"/>
      <c r="FR622" s="302"/>
      <c r="FS622" s="302"/>
      <c r="FT622" s="302"/>
      <c r="FU622" s="302"/>
      <c r="FV622" s="302"/>
      <c r="FW622" s="302"/>
      <c r="FX622" s="302"/>
      <c r="FY622" s="302"/>
      <c r="FZ622" s="302"/>
      <c r="GA622" s="302"/>
      <c r="GB622" s="302"/>
      <c r="GC622" s="302"/>
      <c r="GD622" s="302"/>
      <c r="GE622" s="302"/>
      <c r="GF622" s="302"/>
      <c r="GG622" s="302"/>
      <c r="GH622" s="302"/>
      <c r="GI622" s="302"/>
      <c r="GJ622" s="302"/>
      <c r="GK622" s="302"/>
      <c r="GL622" s="302"/>
      <c r="GM622" s="302"/>
      <c r="GN622" s="302"/>
      <c r="GO622" s="302"/>
      <c r="GP622" s="302"/>
      <c r="GQ622" s="302"/>
      <c r="GR622" s="302"/>
      <c r="GS622" s="302"/>
      <c r="GT622" s="302"/>
      <c r="GU622" s="302"/>
      <c r="GV622" s="302"/>
      <c r="GW622" s="302"/>
      <c r="GX622" s="302"/>
      <c r="GY622" s="302"/>
      <c r="GZ622" s="302"/>
      <c r="HA622" s="302"/>
      <c r="HB622" s="302"/>
      <c r="HC622" s="302"/>
      <c r="HD622" s="302"/>
      <c r="HE622" s="302"/>
      <c r="HF622" s="302"/>
      <c r="HG622" s="302"/>
      <c r="HH622" s="302"/>
      <c r="HI622" s="302"/>
      <c r="HJ622" s="302"/>
      <c r="HK622" s="302"/>
      <c r="HL622" s="302"/>
      <c r="HM622" s="302"/>
      <c r="HR622" s="390">
        <f>+HR1</f>
        <v>2015</v>
      </c>
      <c r="HS622" s="305">
        <f>+HS461</f>
        <v>2014</v>
      </c>
      <c r="HT622" s="395">
        <f t="shared" ref="HT622:IG622" si="517">+HT1</f>
        <v>2015</v>
      </c>
      <c r="HU622" s="395">
        <f t="shared" si="517"/>
        <v>2015</v>
      </c>
      <c r="HV622" s="466">
        <f t="shared" si="517"/>
        <v>2015</v>
      </c>
      <c r="HW622" s="466">
        <f t="shared" si="517"/>
        <v>2016</v>
      </c>
      <c r="HX622" s="466">
        <f t="shared" si="517"/>
        <v>2016</v>
      </c>
      <c r="HY622" s="466">
        <f t="shared" si="517"/>
        <v>2016</v>
      </c>
      <c r="HZ622" s="466">
        <f t="shared" si="517"/>
        <v>2017</v>
      </c>
      <c r="IA622" s="466">
        <f t="shared" si="517"/>
        <v>2017</v>
      </c>
      <c r="IB622" s="466">
        <f t="shared" si="517"/>
        <v>2017</v>
      </c>
      <c r="IC622" s="466">
        <f t="shared" si="517"/>
        <v>2018</v>
      </c>
      <c r="ID622" s="466">
        <f t="shared" si="517"/>
        <v>2018</v>
      </c>
      <c r="IE622" s="466">
        <f t="shared" si="517"/>
        <v>2018</v>
      </c>
      <c r="IF622" s="466">
        <f t="shared" si="517"/>
        <v>2019</v>
      </c>
      <c r="IG622" s="466">
        <f t="shared" si="517"/>
        <v>2019</v>
      </c>
      <c r="IH622" s="350"/>
      <c r="II622" s="350"/>
      <c r="IJ622" s="466">
        <f>+IK1</f>
        <v>2020</v>
      </c>
      <c r="IK622" s="350"/>
      <c r="IL622" s="350"/>
      <c r="IM622" s="466">
        <f>+KH1</f>
        <v>2021</v>
      </c>
      <c r="IN622" s="350"/>
      <c r="IO622" s="350">
        <f>+CX461</f>
        <v>0</v>
      </c>
      <c r="IP622" s="466">
        <f>+CY461</f>
        <v>0</v>
      </c>
      <c r="IQ622" s="350">
        <f>+IQ462</f>
        <v>0</v>
      </c>
      <c r="IR622" s="350">
        <f>+IR462</f>
        <v>0</v>
      </c>
      <c r="IS622" s="466"/>
      <c r="IT622" s="350"/>
      <c r="IU622" s="350"/>
      <c r="IV622" s="466"/>
      <c r="IW622" s="350"/>
      <c r="IX622" s="350"/>
      <c r="IY622" s="466"/>
      <c r="KM622" s="305">
        <f>+HY461</f>
        <v>2016</v>
      </c>
      <c r="KN622" s="305">
        <f>+HZ461</f>
        <v>2017</v>
      </c>
      <c r="KO622" s="305">
        <f>+KO462</f>
        <v>2018</v>
      </c>
      <c r="KP622" s="305">
        <f>+KP462</f>
        <v>2018</v>
      </c>
    </row>
    <row r="623" spans="1:302" ht="18.75" customHeight="1">
      <c r="A623" s="302"/>
      <c r="D623" s="691"/>
      <c r="E623" s="371"/>
      <c r="F623" s="371"/>
      <c r="G623" s="371"/>
      <c r="H623" s="371"/>
      <c r="I623" s="371"/>
      <c r="J623" s="371"/>
      <c r="K623" s="371"/>
      <c r="L623" s="371"/>
      <c r="M623" s="371"/>
      <c r="N623" s="371"/>
      <c r="O623" s="371"/>
      <c r="P623" s="371"/>
      <c r="Q623" s="371"/>
      <c r="R623" s="371"/>
      <c r="S623" s="371"/>
      <c r="T623" s="371"/>
      <c r="U623" s="371"/>
      <c r="V623" s="371"/>
      <c r="W623" s="371"/>
      <c r="X623" s="371"/>
      <c r="Y623" s="371"/>
      <c r="Z623" s="371"/>
      <c r="AA623" s="371"/>
      <c r="AB623" s="371"/>
      <c r="AC623" s="371"/>
      <c r="AD623" s="371"/>
      <c r="AE623" s="371"/>
      <c r="AF623" s="371"/>
      <c r="AG623" s="371"/>
      <c r="AH623" s="371"/>
      <c r="AI623" s="371"/>
      <c r="AJ623" s="371"/>
      <c r="AK623" s="371"/>
      <c r="AL623" s="371"/>
      <c r="AM623" s="371"/>
      <c r="AN623" s="371"/>
      <c r="AO623" s="371"/>
      <c r="AP623" s="371"/>
      <c r="AQ623" s="371"/>
      <c r="AR623" s="371"/>
      <c r="AS623" s="371"/>
      <c r="AT623" s="371"/>
      <c r="AU623" s="371"/>
      <c r="AV623" s="371"/>
      <c r="AW623" s="371"/>
      <c r="AX623" s="371"/>
      <c r="AY623" s="371"/>
      <c r="AZ623" s="371"/>
      <c r="BA623" s="371"/>
      <c r="BB623" s="371"/>
      <c r="BC623" s="371"/>
      <c r="BD623" s="371"/>
      <c r="BE623" s="371"/>
      <c r="BF623" s="371"/>
      <c r="BG623" s="371"/>
      <c r="BH623" s="371"/>
      <c r="BI623" s="371"/>
      <c r="BJ623" s="371"/>
      <c r="BK623" s="371"/>
      <c r="BL623" s="371"/>
      <c r="BM623" s="371"/>
      <c r="BN623" s="371"/>
      <c r="BO623" s="371"/>
      <c r="BP623" s="371"/>
      <c r="BQ623" s="371"/>
      <c r="BR623" s="371"/>
      <c r="BS623" s="371"/>
      <c r="BT623" s="371"/>
      <c r="BU623" s="371"/>
      <c r="BV623" s="371"/>
      <c r="BW623" s="371"/>
      <c r="BX623" s="371"/>
      <c r="BY623" s="371"/>
      <c r="BZ623" s="371"/>
      <c r="CA623" s="371"/>
      <c r="CB623" s="371"/>
      <c r="CC623" s="371"/>
      <c r="CD623" s="371"/>
      <c r="CE623" s="371"/>
      <c r="CF623" s="371"/>
      <c r="CG623" s="371"/>
      <c r="CH623" s="371"/>
      <c r="CI623" s="371"/>
      <c r="CJ623" s="389"/>
      <c r="CK623" s="389"/>
      <c r="CL623" s="389"/>
      <c r="CM623" s="389"/>
      <c r="CN623" s="389"/>
      <c r="CO623" s="389"/>
      <c r="CP623" s="1493"/>
      <c r="CQ623" s="389"/>
      <c r="CR623" s="310"/>
      <c r="CS623" s="310"/>
      <c r="CT623" s="310"/>
      <c r="CU623" s="310"/>
      <c r="CV623" s="310"/>
      <c r="CW623" s="310"/>
      <c r="CX623" s="310"/>
      <c r="CY623" s="310"/>
      <c r="CZ623" s="310"/>
      <c r="DA623" s="310"/>
      <c r="DB623" s="313"/>
      <c r="DC623" s="310"/>
      <c r="DD623" s="310"/>
      <c r="DE623" s="310"/>
      <c r="DF623" s="310"/>
      <c r="DG623" s="310"/>
      <c r="DH623" s="310"/>
      <c r="DI623" s="310"/>
      <c r="DJ623" s="389"/>
      <c r="DK623" s="389"/>
      <c r="DL623" s="389"/>
      <c r="DM623" s="389"/>
      <c r="DN623" s="1493"/>
      <c r="DO623" s="926"/>
      <c r="DP623" s="926"/>
      <c r="DQ623" s="926"/>
      <c r="DR623" s="926"/>
      <c r="DS623" s="926"/>
      <c r="DT623" s="926"/>
      <c r="DU623" s="926"/>
      <c r="DV623" s="926"/>
      <c r="DW623" s="926"/>
      <c r="DX623" s="926"/>
      <c r="DY623" s="926"/>
      <c r="DZ623" s="656"/>
      <c r="EA623" s="302"/>
      <c r="EB623" s="926"/>
      <c r="EC623" s="926"/>
      <c r="ED623" s="926"/>
      <c r="EE623" s="926"/>
      <c r="EF623" s="926"/>
      <c r="EG623" s="926"/>
      <c r="EH623" s="926"/>
      <c r="EI623" s="926"/>
      <c r="EJ623" s="926"/>
      <c r="EK623" s="926"/>
      <c r="EL623" s="1555"/>
      <c r="EM623" s="926"/>
      <c r="EN623" s="926"/>
      <c r="EO623" s="926"/>
      <c r="EP623" s="926"/>
      <c r="EQ623" s="926"/>
      <c r="ER623" s="926"/>
      <c r="ES623" s="926"/>
      <c r="ET623" s="926"/>
      <c r="EU623" s="926"/>
      <c r="EV623" s="926"/>
      <c r="EW623" s="926"/>
      <c r="EX623" s="1555"/>
      <c r="EY623" s="926"/>
      <c r="EZ623" s="926"/>
      <c r="FA623" s="926"/>
      <c r="FB623" s="926"/>
      <c r="FC623" s="926"/>
      <c r="FD623" s="926"/>
      <c r="FE623" s="926"/>
      <c r="FF623" s="926"/>
      <c r="FG623" s="926"/>
      <c r="FH623" s="926"/>
      <c r="FI623" s="926"/>
      <c r="FJ623" s="1555"/>
      <c r="FK623" s="926"/>
      <c r="FL623" s="926"/>
      <c r="FM623" s="926"/>
      <c r="FN623" s="926"/>
      <c r="FO623" s="926"/>
      <c r="FP623" s="926"/>
      <c r="FQ623" s="926"/>
      <c r="FR623" s="926"/>
      <c r="FS623" s="926"/>
      <c r="FT623" s="926"/>
      <c r="FU623" s="926"/>
      <c r="FV623" s="926"/>
      <c r="FW623" s="926"/>
      <c r="FX623" s="926"/>
      <c r="FY623" s="926"/>
      <c r="FZ623" s="926"/>
      <c r="GA623" s="926"/>
      <c r="GB623" s="926"/>
      <c r="GC623" s="926"/>
      <c r="GD623" s="926"/>
      <c r="GE623" s="926"/>
      <c r="GF623" s="926"/>
      <c r="GG623" s="926"/>
      <c r="GH623" s="926"/>
      <c r="GI623" s="926"/>
      <c r="GJ623" s="926"/>
      <c r="GK623" s="926"/>
      <c r="GL623" s="926"/>
      <c r="GM623" s="926"/>
      <c r="GN623" s="926"/>
      <c r="GO623" s="926"/>
      <c r="GP623" s="926"/>
      <c r="GQ623" s="926"/>
      <c r="GR623" s="926"/>
      <c r="GS623" s="926"/>
      <c r="GT623" s="926"/>
      <c r="GU623" s="926"/>
      <c r="GV623" s="926"/>
      <c r="GW623" s="926"/>
      <c r="GX623" s="926"/>
      <c r="GY623" s="926"/>
      <c r="GZ623" s="926"/>
      <c r="HA623" s="926"/>
      <c r="HB623" s="926"/>
      <c r="HC623" s="926"/>
      <c r="HD623" s="926"/>
      <c r="HE623" s="926"/>
      <c r="HF623" s="926"/>
      <c r="HG623" s="926"/>
      <c r="HH623" s="926"/>
      <c r="HI623" s="926"/>
      <c r="HJ623" s="926"/>
      <c r="HK623" s="926"/>
      <c r="HL623" s="926"/>
      <c r="HM623" s="926"/>
      <c r="HO623" s="2349" t="s">
        <v>855</v>
      </c>
      <c r="HP623" s="1593"/>
      <c r="HQ623" s="1593"/>
      <c r="HR623" s="397" t="str">
        <f>+HR2</f>
        <v>2013/14</v>
      </c>
      <c r="HS623" s="307"/>
      <c r="HT623" s="460" t="str">
        <f>+HT2</f>
        <v>2014/15</v>
      </c>
      <c r="HU623" s="307" t="str">
        <f>+HU2</f>
        <v>2014/15</v>
      </c>
      <c r="HV623" s="460"/>
      <c r="HW623" s="460" t="str">
        <f>+HW2</f>
        <v>2015/16</v>
      </c>
      <c r="HX623" s="460" t="str">
        <f>+HX2</f>
        <v>2015/16</v>
      </c>
      <c r="HY623" s="460" t="str">
        <f>+HY2</f>
        <v>2016/17</v>
      </c>
      <c r="HZ623" s="460" t="str">
        <f>+HZ2</f>
        <v>2016/17</v>
      </c>
      <c r="IA623" s="460" t="str">
        <f>+IA2</f>
        <v>2016/17</v>
      </c>
      <c r="IB623" s="460"/>
      <c r="IC623" s="460" t="str">
        <f>+IC2</f>
        <v>2017/18</v>
      </c>
      <c r="ID623" s="460" t="str">
        <f>+ID2</f>
        <v>2017/18</v>
      </c>
      <c r="IE623" s="460"/>
      <c r="IF623" s="460" t="str">
        <f>+IF2</f>
        <v>2018/19</v>
      </c>
      <c r="IG623" s="460" t="str">
        <f>+IG2</f>
        <v>2018/19</v>
      </c>
      <c r="IH623" s="350"/>
      <c r="II623" s="350"/>
      <c r="IJ623" s="460" t="str">
        <f>+IJ2</f>
        <v>2019/20</v>
      </c>
      <c r="IK623" s="350"/>
      <c r="IL623" s="350"/>
      <c r="IM623" s="460" t="str">
        <f>+KH2</f>
        <v>2020/2021</v>
      </c>
      <c r="IN623" s="350"/>
      <c r="IO623" s="350">
        <f>+CX463</f>
        <v>0</v>
      </c>
      <c r="IP623" s="460">
        <f>+CY463</f>
        <v>0</v>
      </c>
      <c r="IQ623" s="350" t="str">
        <f>+IQ464</f>
        <v>Jul-Dec</v>
      </c>
      <c r="IR623" s="350" t="str">
        <f>+IR464</f>
        <v>Jan-Jun</v>
      </c>
      <c r="IS623" s="460"/>
      <c r="IT623" s="350"/>
      <c r="IU623" s="350"/>
      <c r="IV623" s="460"/>
      <c r="IW623" s="350"/>
      <c r="IX623" s="350"/>
      <c r="IY623" s="460"/>
      <c r="KM623" s="307" t="str">
        <f>+HY463</f>
        <v>Jul-Dec</v>
      </c>
      <c r="KN623" s="307" t="str">
        <f>+HZ463</f>
        <v>Jan-Jun</v>
      </c>
      <c r="KO623" s="307" t="str">
        <f>+KO464</f>
        <v>Jul-Dec</v>
      </c>
      <c r="KP623" s="307" t="str">
        <f>+KP464</f>
        <v>Jan-Jun</v>
      </c>
    </row>
    <row r="624" spans="1:302" ht="21" customHeight="1">
      <c r="A624" s="302"/>
      <c r="D624" s="740" t="str">
        <f>+FISC!D870</f>
        <v>IV.1 Summary FISCAL Output (bln RWF)</v>
      </c>
      <c r="E624" s="537"/>
      <c r="F624" s="537"/>
      <c r="G624" s="537"/>
      <c r="H624" s="537"/>
      <c r="I624" s="537"/>
      <c r="J624" s="537"/>
      <c r="K624" s="537"/>
      <c r="L624" s="537"/>
      <c r="M624" s="537"/>
      <c r="N624" s="537"/>
      <c r="O624" s="537"/>
      <c r="P624" s="537"/>
      <c r="Q624" s="537"/>
      <c r="R624" s="537"/>
      <c r="S624" s="537"/>
      <c r="T624" s="537"/>
      <c r="U624" s="537"/>
      <c r="V624" s="537"/>
      <c r="W624" s="537"/>
      <c r="X624" s="537"/>
      <c r="Y624" s="537"/>
      <c r="Z624" s="537"/>
      <c r="AA624" s="537"/>
      <c r="AB624" s="537"/>
      <c r="AC624" s="537"/>
      <c r="AD624" s="537"/>
      <c r="AE624" s="537"/>
      <c r="AF624" s="537"/>
      <c r="AG624" s="537"/>
      <c r="AH624" s="537"/>
      <c r="AI624" s="537"/>
      <c r="AJ624" s="537"/>
      <c r="AK624" s="537"/>
      <c r="AL624" s="537"/>
      <c r="AM624" s="537"/>
      <c r="AN624" s="537"/>
      <c r="AO624" s="537"/>
      <c r="AP624" s="537"/>
      <c r="AQ624" s="537"/>
      <c r="AR624" s="537"/>
      <c r="AS624" s="537"/>
      <c r="AT624" s="537"/>
      <c r="AU624" s="537"/>
      <c r="AV624" s="537"/>
      <c r="AW624" s="537"/>
      <c r="AX624" s="537"/>
      <c r="AY624" s="537"/>
      <c r="AZ624" s="537"/>
      <c r="BA624" s="537"/>
      <c r="BB624" s="537"/>
      <c r="BC624" s="537"/>
      <c r="BD624" s="537"/>
      <c r="BE624" s="537"/>
      <c r="BF624" s="537"/>
      <c r="BG624" s="537"/>
      <c r="BH624" s="537"/>
      <c r="BI624" s="537"/>
      <c r="BJ624" s="537"/>
      <c r="BK624" s="537"/>
      <c r="BL624" s="537"/>
      <c r="BM624" s="537"/>
      <c r="BN624" s="537"/>
      <c r="BO624" s="537"/>
      <c r="BP624" s="537"/>
      <c r="BQ624" s="537"/>
      <c r="BR624" s="537"/>
      <c r="BS624" s="537"/>
      <c r="BT624" s="537"/>
      <c r="BU624" s="537"/>
      <c r="BV624" s="537"/>
      <c r="BW624" s="537"/>
      <c r="BX624" s="537"/>
      <c r="BY624" s="537"/>
      <c r="BZ624" s="537"/>
      <c r="CA624" s="537"/>
      <c r="CB624" s="537"/>
      <c r="CC624" s="537"/>
      <c r="CD624" s="537"/>
      <c r="CE624" s="537"/>
      <c r="CF624" s="537"/>
      <c r="CG624" s="537"/>
      <c r="CH624" s="537"/>
      <c r="CI624" s="537"/>
      <c r="CJ624" s="537"/>
      <c r="CK624" s="537"/>
      <c r="CL624" s="537"/>
      <c r="CM624" s="537"/>
      <c r="CN624" s="537"/>
      <c r="CO624" s="537"/>
      <c r="CP624" s="540"/>
      <c r="CQ624" s="537"/>
      <c r="CR624" s="537"/>
      <c r="CS624" s="537"/>
      <c r="CT624" s="537"/>
      <c r="CU624" s="537"/>
      <c r="CV624" s="537"/>
      <c r="CW624" s="537"/>
      <c r="CX624" s="537"/>
      <c r="CY624" s="537"/>
      <c r="CZ624" s="537"/>
      <c r="DA624" s="537"/>
      <c r="DB624" s="1516"/>
      <c r="DC624" s="537"/>
      <c r="DD624" s="537"/>
      <c r="DE624" s="537"/>
      <c r="DF624" s="537"/>
      <c r="DG624" s="537"/>
      <c r="DH624" s="537"/>
      <c r="DI624" s="537"/>
      <c r="DJ624" s="537"/>
      <c r="DK624" s="537"/>
      <c r="DL624" s="537"/>
      <c r="DM624" s="537"/>
      <c r="DN624" s="540"/>
      <c r="DO624" s="537"/>
      <c r="DP624" s="537"/>
      <c r="DQ624" s="537"/>
      <c r="DR624" s="537"/>
      <c r="DS624" s="537"/>
      <c r="DT624" s="537"/>
      <c r="DU624" s="537"/>
      <c r="DV624" s="537"/>
      <c r="DW624" s="537"/>
      <c r="DX624" s="537"/>
      <c r="DY624" s="537"/>
      <c r="DZ624" s="1493"/>
      <c r="EA624" s="926"/>
      <c r="EB624" s="537"/>
      <c r="EC624" s="537"/>
      <c r="ED624" s="537"/>
      <c r="EE624" s="537"/>
      <c r="EF624" s="537"/>
      <c r="EG624" s="537"/>
      <c r="EH624" s="537"/>
      <c r="EI624" s="537"/>
      <c r="EJ624" s="537"/>
      <c r="EK624" s="537"/>
      <c r="EL624" s="540"/>
      <c r="EM624" s="537"/>
      <c r="EN624" s="537"/>
      <c r="EO624" s="537"/>
      <c r="EP624" s="537"/>
      <c r="EQ624" s="537"/>
      <c r="ER624" s="537"/>
      <c r="ES624" s="537"/>
      <c r="ET624" s="537"/>
      <c r="EU624" s="537"/>
      <c r="EV624" s="537"/>
      <c r="EW624" s="537"/>
      <c r="EX624" s="540"/>
      <c r="EY624" s="537"/>
      <c r="EZ624" s="537"/>
      <c r="FA624" s="537"/>
      <c r="FB624" s="537"/>
      <c r="FC624" s="537"/>
      <c r="FD624" s="537"/>
      <c r="FE624" s="537"/>
      <c r="FF624" s="537"/>
      <c r="FG624" s="537"/>
      <c r="FH624" s="537"/>
      <c r="FI624" s="537"/>
      <c r="FJ624" s="540"/>
      <c r="FK624" s="537"/>
      <c r="FL624" s="537"/>
      <c r="FM624" s="537"/>
      <c r="FN624" s="537"/>
      <c r="FO624" s="537"/>
      <c r="FP624" s="537"/>
      <c r="FQ624" s="537"/>
      <c r="FR624" s="537"/>
      <c r="FS624" s="537"/>
      <c r="FT624" s="537"/>
      <c r="FU624" s="537"/>
      <c r="FV624" s="537"/>
      <c r="FW624" s="537"/>
      <c r="FX624" s="537"/>
      <c r="FY624" s="537"/>
      <c r="FZ624" s="537"/>
      <c r="GA624" s="537"/>
      <c r="GB624" s="537"/>
      <c r="GC624" s="537"/>
      <c r="GD624" s="537"/>
      <c r="GE624" s="537"/>
      <c r="GF624" s="537"/>
      <c r="GG624" s="537"/>
      <c r="GH624" s="537"/>
      <c r="GI624" s="537"/>
      <c r="GJ624" s="537"/>
      <c r="GK624" s="537"/>
      <c r="GL624" s="537"/>
      <c r="GM624" s="537"/>
      <c r="GN624" s="537"/>
      <c r="GO624" s="537"/>
      <c r="GP624" s="537"/>
      <c r="GQ624" s="537"/>
      <c r="GR624" s="537"/>
      <c r="GS624" s="537"/>
      <c r="GT624" s="537"/>
      <c r="GU624" s="537"/>
      <c r="GV624" s="537"/>
      <c r="GW624" s="537"/>
      <c r="GX624" s="537"/>
      <c r="GY624" s="537"/>
      <c r="GZ624" s="537"/>
      <c r="HA624" s="537"/>
      <c r="HB624" s="537"/>
      <c r="HC624" s="537"/>
      <c r="HD624" s="537"/>
      <c r="HE624" s="537"/>
      <c r="HF624" s="537"/>
      <c r="HG624" s="537"/>
      <c r="HH624" s="537"/>
      <c r="HI624" s="537"/>
      <c r="HJ624" s="537"/>
      <c r="HK624" s="537"/>
      <c r="HL624" s="537"/>
      <c r="HM624" s="537"/>
      <c r="HO624" s="2350"/>
      <c r="HP624" s="1594"/>
      <c r="HQ624" s="1594"/>
      <c r="HR624" s="741" t="str">
        <f>+HR3</f>
        <v>Proj.</v>
      </c>
      <c r="HS624" s="741" t="str">
        <f>+HS3</f>
        <v>Jul-Dec</v>
      </c>
      <c r="HT624" s="741" t="str">
        <f>+HT3</f>
        <v>Jan-Jun</v>
      </c>
      <c r="HU624" s="741" t="str">
        <f>+HU3</f>
        <v>Est.</v>
      </c>
      <c r="HV624" s="742" t="str">
        <f>+HV3</f>
        <v>July-Dec</v>
      </c>
      <c r="HW624" s="742" t="str">
        <f>+HW3</f>
        <v>Jan-June</v>
      </c>
      <c r="HX624" s="742" t="s">
        <v>902</v>
      </c>
      <c r="HY624" s="948" t="str">
        <f>+HY3</f>
        <v>Jul-Dec</v>
      </c>
      <c r="HZ624" s="742" t="str">
        <f>+HZ3</f>
        <v>Jan-Jun</v>
      </c>
      <c r="IA624" s="742" t="str">
        <f>+IA3</f>
        <v>Proj.</v>
      </c>
      <c r="IB624" s="742" t="str">
        <f>+IB3</f>
        <v>Jul-Dec</v>
      </c>
      <c r="IC624" s="742" t="str">
        <f>+IC3</f>
        <v>Jan-Jun</v>
      </c>
      <c r="ID624" s="742" t="str">
        <f>+ID3</f>
        <v>Proj.</v>
      </c>
      <c r="IE624" s="742" t="str">
        <f>+IE3</f>
        <v>Jul-Dec</v>
      </c>
      <c r="IF624" s="742" t="str">
        <f>+IF3</f>
        <v>Jan-Jun</v>
      </c>
      <c r="IG624" s="742" t="str">
        <f>+IG3</f>
        <v>Proj.</v>
      </c>
      <c r="IH624" s="743"/>
      <c r="II624" s="743"/>
      <c r="IJ624" s="742" t="str">
        <f>+IJ3</f>
        <v>Proj.</v>
      </c>
      <c r="IK624" s="743"/>
      <c r="IL624" s="743"/>
      <c r="IM624" s="742" t="str">
        <f>+KH3</f>
        <v>Proj.</v>
      </c>
      <c r="IN624" s="743"/>
      <c r="IO624" s="743"/>
      <c r="IP624" s="742"/>
      <c r="IQ624" s="743"/>
      <c r="IR624" s="743"/>
      <c r="IS624" s="742"/>
      <c r="IT624" s="743"/>
      <c r="IU624" s="743"/>
      <c r="IV624" s="742"/>
      <c r="IW624" s="743"/>
      <c r="IX624" s="743"/>
      <c r="IY624" s="742"/>
      <c r="KM624" s="299"/>
      <c r="KN624" s="299"/>
      <c r="KO624" s="299"/>
      <c r="KP624" s="299"/>
    </row>
    <row r="625" spans="1:302">
      <c r="A625" s="302"/>
      <c r="D625" s="364" t="str">
        <f>+FISC!D871</f>
        <v>IV.1 FISCAL GFS 1986 PRESENTATION - SUMMARY</v>
      </c>
      <c r="E625" s="835">
        <f>E$468</f>
        <v>15.9003</v>
      </c>
      <c r="F625" s="835">
        <f t="shared" ref="F625:AW625" si="518">F$468</f>
        <v>15.1754</v>
      </c>
      <c r="G625" s="835">
        <f t="shared" si="518"/>
        <v>22.451000000000001</v>
      </c>
      <c r="H625" s="835">
        <f t="shared" si="518"/>
        <v>19.007999999999999</v>
      </c>
      <c r="I625" s="835">
        <f t="shared" si="518"/>
        <v>18.420400000000001</v>
      </c>
      <c r="J625" s="835">
        <f t="shared" si="518"/>
        <v>25.304200000000002</v>
      </c>
      <c r="K625" s="835">
        <f t="shared" si="518"/>
        <v>17.343899999999998</v>
      </c>
      <c r="L625" s="835">
        <f t="shared" si="518"/>
        <v>18.981099999999998</v>
      </c>
      <c r="M625" s="835">
        <f t="shared" si="518"/>
        <v>22.213000000000001</v>
      </c>
      <c r="N625" s="835">
        <f t="shared" si="518"/>
        <v>18.811399999999999</v>
      </c>
      <c r="O625" s="835">
        <f t="shared" si="518"/>
        <v>20.230499999999999</v>
      </c>
      <c r="P625" s="835">
        <f t="shared" si="518"/>
        <v>23.9694</v>
      </c>
      <c r="Q625" s="835">
        <f t="shared" si="518"/>
        <v>21.110899999999997</v>
      </c>
      <c r="R625" s="835">
        <f t="shared" si="518"/>
        <v>20.690200000000001</v>
      </c>
      <c r="S625" s="835">
        <f t="shared" si="518"/>
        <v>26.64</v>
      </c>
      <c r="T625" s="835">
        <f t="shared" si="518"/>
        <v>23.484750000000002</v>
      </c>
      <c r="U625" s="835">
        <f t="shared" si="518"/>
        <v>23.641500000000001</v>
      </c>
      <c r="V625" s="835">
        <f t="shared" si="518"/>
        <v>35.311700000000002</v>
      </c>
      <c r="W625" s="835">
        <f t="shared" si="518"/>
        <v>24.373000000000001</v>
      </c>
      <c r="X625" s="835">
        <f t="shared" si="518"/>
        <v>24.683499999999999</v>
      </c>
      <c r="Y625" s="835">
        <f t="shared" si="518"/>
        <v>35.0578</v>
      </c>
      <c r="Z625" s="835">
        <f t="shared" si="518"/>
        <v>29.308399999999999</v>
      </c>
      <c r="AA625" s="835">
        <f t="shared" si="518"/>
        <v>25.883399999999998</v>
      </c>
      <c r="AB625" s="835">
        <f t="shared" si="518"/>
        <v>38.509300000000003</v>
      </c>
      <c r="AC625" s="835">
        <f t="shared" si="518"/>
        <v>28.049999999999997</v>
      </c>
      <c r="AD625" s="835">
        <f t="shared" si="518"/>
        <v>28.991200000000003</v>
      </c>
      <c r="AE625" s="835">
        <f t="shared" si="518"/>
        <v>34.087299999999999</v>
      </c>
      <c r="AF625" s="835">
        <f t="shared" si="518"/>
        <v>27.322800000000001</v>
      </c>
      <c r="AG625" s="835">
        <f t="shared" si="518"/>
        <v>27.106300000000001</v>
      </c>
      <c r="AH625" s="835">
        <f t="shared" si="518"/>
        <v>37.998499999999993</v>
      </c>
      <c r="AI625" s="835">
        <f t="shared" si="518"/>
        <v>26.509099999999997</v>
      </c>
      <c r="AJ625" s="835">
        <f t="shared" si="518"/>
        <v>27.122990000000001</v>
      </c>
      <c r="AK625" s="835">
        <f t="shared" si="518"/>
        <v>32.590400000000002</v>
      </c>
      <c r="AL625" s="835">
        <f t="shared" si="518"/>
        <v>26.6496</v>
      </c>
      <c r="AM625" s="835">
        <f t="shared" si="518"/>
        <v>29.381499999999996</v>
      </c>
      <c r="AN625" s="835">
        <f t="shared" si="518"/>
        <v>37.007300000000001</v>
      </c>
      <c r="AO625" s="835">
        <f t="shared" si="518"/>
        <v>29.107900000000001</v>
      </c>
      <c r="AP625" s="835">
        <f t="shared" si="518"/>
        <v>27.5167</v>
      </c>
      <c r="AQ625" s="835">
        <f t="shared" si="518"/>
        <v>44.653700000000001</v>
      </c>
      <c r="AR625" s="835">
        <f t="shared" si="518"/>
        <v>29.591200000000001</v>
      </c>
      <c r="AS625" s="835">
        <f t="shared" si="518"/>
        <v>28.273</v>
      </c>
      <c r="AT625" s="835">
        <f t="shared" si="518"/>
        <v>36.551200000000001</v>
      </c>
      <c r="AU625" s="835">
        <f t="shared" si="518"/>
        <v>31.125599999999999</v>
      </c>
      <c r="AV625" s="835">
        <f t="shared" si="518"/>
        <v>33.959099999999999</v>
      </c>
      <c r="AW625" s="835">
        <f t="shared" si="518"/>
        <v>38.682940000000002</v>
      </c>
      <c r="AX625" s="835">
        <f t="shared" ref="AX625:BO625" si="519">AX$468</f>
        <v>32.815300000000001</v>
      </c>
      <c r="AY625" s="835">
        <f t="shared" si="519"/>
        <v>35.209800000000001</v>
      </c>
      <c r="AZ625" s="835">
        <f t="shared" si="519"/>
        <v>45.302300000000002</v>
      </c>
      <c r="BA625" s="835">
        <f t="shared" si="519"/>
        <v>38.839300000000001</v>
      </c>
      <c r="BB625" s="835">
        <f t="shared" si="519"/>
        <v>31.636660000000003</v>
      </c>
      <c r="BC625" s="835">
        <f t="shared" si="519"/>
        <v>49.993160000000003</v>
      </c>
      <c r="BD625" s="835">
        <f t="shared" si="519"/>
        <v>36.662460000000003</v>
      </c>
      <c r="BE625" s="835">
        <f t="shared" si="519"/>
        <v>40.415650000000007</v>
      </c>
      <c r="BF625" s="835">
        <f t="shared" si="519"/>
        <v>48.833599999999997</v>
      </c>
      <c r="BG625" s="835">
        <f t="shared" si="519"/>
        <v>35.186429093799994</v>
      </c>
      <c r="BH625" s="835">
        <f t="shared" si="519"/>
        <v>41.686628809200002</v>
      </c>
      <c r="BI625" s="835">
        <f t="shared" si="519"/>
        <v>46.983398117900009</v>
      </c>
      <c r="BJ625" s="835">
        <f t="shared" si="519"/>
        <v>39.902200000000001</v>
      </c>
      <c r="BK625" s="835">
        <f t="shared" si="519"/>
        <v>42.28022</v>
      </c>
      <c r="BL625" s="835">
        <f t="shared" si="519"/>
        <v>52.609954999999999</v>
      </c>
      <c r="BM625" s="835">
        <f t="shared" si="519"/>
        <v>43.249299999999998</v>
      </c>
      <c r="BN625" s="835">
        <f t="shared" si="519"/>
        <v>43.165999999999997</v>
      </c>
      <c r="BO625" s="835">
        <f t="shared" si="519"/>
        <v>58.716899999999995</v>
      </c>
      <c r="BP625" s="835">
        <f t="shared" ref="BP625:CO625" si="520">BP$468</f>
        <v>43.5837</v>
      </c>
      <c r="BQ625" s="835">
        <f t="shared" si="520"/>
        <v>53.3812</v>
      </c>
      <c r="BR625" s="835">
        <f t="shared" si="520"/>
        <v>56.333399999999997</v>
      </c>
      <c r="BS625" s="835">
        <f t="shared" si="520"/>
        <v>45.601099999999995</v>
      </c>
      <c r="BT625" s="835">
        <f t="shared" si="520"/>
        <v>49.536300000000004</v>
      </c>
      <c r="BU625" s="835">
        <f t="shared" si="520"/>
        <v>55.069699999999997</v>
      </c>
      <c r="BV625" s="835">
        <f t="shared" si="520"/>
        <v>50.460338782147375</v>
      </c>
      <c r="BW625" s="835">
        <f t="shared" si="520"/>
        <v>47.73854370565882</v>
      </c>
      <c r="BX625" s="835">
        <f t="shared" si="520"/>
        <v>55.734871901255175</v>
      </c>
      <c r="BY625" s="835">
        <f t="shared" si="520"/>
        <v>50.75937849946633</v>
      </c>
      <c r="BZ625" s="835">
        <f t="shared" si="520"/>
        <v>50.630494762198431</v>
      </c>
      <c r="CA625" s="835">
        <f t="shared" si="520"/>
        <v>70.645197296430297</v>
      </c>
      <c r="CB625" s="835">
        <f t="shared" si="520"/>
        <v>50.480923714506467</v>
      </c>
      <c r="CC625" s="835">
        <f t="shared" si="520"/>
        <v>51.997049962222945</v>
      </c>
      <c r="CD625" s="536">
        <f t="shared" ref="CD625:CJ625" si="521">+CD1</f>
        <v>41426</v>
      </c>
      <c r="CE625" s="536">
        <f t="shared" si="521"/>
        <v>41456</v>
      </c>
      <c r="CF625" s="536">
        <f t="shared" si="521"/>
        <v>41487</v>
      </c>
      <c r="CG625" s="536">
        <f t="shared" si="521"/>
        <v>41518</v>
      </c>
      <c r="CH625" s="536">
        <f t="shared" si="521"/>
        <v>41548</v>
      </c>
      <c r="CI625" s="536">
        <f t="shared" si="521"/>
        <v>41579</v>
      </c>
      <c r="CJ625" s="536">
        <f t="shared" si="521"/>
        <v>41609</v>
      </c>
      <c r="CK625" s="535">
        <f t="shared" si="520"/>
        <v>62.628570289825042</v>
      </c>
      <c r="CL625" s="535">
        <f t="shared" si="520"/>
        <v>58.387859632163071</v>
      </c>
      <c r="CM625" s="535">
        <f t="shared" si="520"/>
        <v>67.667474816064214</v>
      </c>
      <c r="CN625" s="535">
        <f t="shared" si="520"/>
        <v>58.232361492253354</v>
      </c>
      <c r="CO625" s="535">
        <f t="shared" si="520"/>
        <v>64.576853616357624</v>
      </c>
      <c r="CP625" s="1494">
        <f t="shared" ref="CP625:DZ625" si="522">+CP1</f>
        <v>41791</v>
      </c>
      <c r="CQ625" s="536">
        <f t="shared" si="522"/>
        <v>41821</v>
      </c>
      <c r="CR625" s="536">
        <f t="shared" si="522"/>
        <v>41852</v>
      </c>
      <c r="CS625" s="536">
        <f t="shared" si="522"/>
        <v>41883</v>
      </c>
      <c r="CT625" s="536">
        <f t="shared" si="522"/>
        <v>41913</v>
      </c>
      <c r="CU625" s="536">
        <f t="shared" si="522"/>
        <v>41944</v>
      </c>
      <c r="CV625" s="536">
        <f t="shared" si="522"/>
        <v>41974</v>
      </c>
      <c r="CW625" s="536">
        <f t="shared" si="522"/>
        <v>42005</v>
      </c>
      <c r="CX625" s="536">
        <f t="shared" si="522"/>
        <v>42036</v>
      </c>
      <c r="CY625" s="536">
        <f t="shared" si="522"/>
        <v>42064</v>
      </c>
      <c r="CZ625" s="536">
        <f t="shared" si="522"/>
        <v>42095</v>
      </c>
      <c r="DA625" s="536">
        <f t="shared" si="522"/>
        <v>42125</v>
      </c>
      <c r="DB625" s="1517">
        <f t="shared" si="522"/>
        <v>42156</v>
      </c>
      <c r="DC625" s="536">
        <f t="shared" si="522"/>
        <v>42186</v>
      </c>
      <c r="DD625" s="536">
        <f t="shared" si="522"/>
        <v>42217</v>
      </c>
      <c r="DE625" s="536">
        <f t="shared" si="522"/>
        <v>42248</v>
      </c>
      <c r="DF625" s="536">
        <f t="shared" si="522"/>
        <v>42278</v>
      </c>
      <c r="DG625" s="536">
        <f t="shared" si="522"/>
        <v>42309</v>
      </c>
      <c r="DH625" s="536">
        <f t="shared" si="522"/>
        <v>42339</v>
      </c>
      <c r="DI625" s="536">
        <f t="shared" si="522"/>
        <v>42370</v>
      </c>
      <c r="DJ625" s="536">
        <f t="shared" si="522"/>
        <v>42401</v>
      </c>
      <c r="DK625" s="536">
        <f t="shared" si="522"/>
        <v>42430</v>
      </c>
      <c r="DL625" s="536">
        <f t="shared" si="522"/>
        <v>42461</v>
      </c>
      <c r="DM625" s="536">
        <f t="shared" si="522"/>
        <v>42491</v>
      </c>
      <c r="DN625" s="1542">
        <f t="shared" si="522"/>
        <v>42522</v>
      </c>
      <c r="DO625" s="536">
        <f t="shared" si="522"/>
        <v>42552</v>
      </c>
      <c r="DP625" s="536">
        <f t="shared" si="522"/>
        <v>42583</v>
      </c>
      <c r="DQ625" s="536">
        <f t="shared" si="522"/>
        <v>42615</v>
      </c>
      <c r="DR625" s="536">
        <f t="shared" si="522"/>
        <v>42646</v>
      </c>
      <c r="DS625" s="536">
        <f t="shared" si="522"/>
        <v>42678</v>
      </c>
      <c r="DT625" s="536">
        <f t="shared" si="522"/>
        <v>42709</v>
      </c>
      <c r="DU625" s="536">
        <f t="shared" si="522"/>
        <v>42736</v>
      </c>
      <c r="DV625" s="536">
        <f t="shared" si="522"/>
        <v>42767</v>
      </c>
      <c r="DW625" s="536">
        <f t="shared" si="522"/>
        <v>42795</v>
      </c>
      <c r="DX625" s="536">
        <f t="shared" si="522"/>
        <v>42826</v>
      </c>
      <c r="DY625" s="536">
        <f t="shared" si="522"/>
        <v>42856</v>
      </c>
      <c r="DZ625" s="540">
        <f t="shared" si="522"/>
        <v>42887</v>
      </c>
      <c r="EA625" s="537"/>
      <c r="EB625" s="536"/>
      <c r="EC625" s="536"/>
      <c r="ED625" s="536"/>
      <c r="EE625" s="536"/>
      <c r="EF625" s="536"/>
      <c r="EG625" s="536"/>
      <c r="EH625" s="536"/>
      <c r="EI625" s="536"/>
      <c r="EJ625" s="536"/>
      <c r="EK625" s="536"/>
      <c r="EL625" s="1494"/>
      <c r="EM625" s="536"/>
      <c r="EN625" s="536"/>
      <c r="EO625" s="536"/>
      <c r="EP625" s="536"/>
      <c r="EQ625" s="536"/>
      <c r="ER625" s="536"/>
      <c r="ES625" s="536"/>
      <c r="ET625" s="536"/>
      <c r="EU625" s="536"/>
      <c r="EV625" s="536"/>
      <c r="EW625" s="536"/>
      <c r="EX625" s="1494"/>
      <c r="EY625" s="536"/>
      <c r="EZ625" s="536"/>
      <c r="FA625" s="536"/>
      <c r="FB625" s="536"/>
      <c r="FC625" s="536"/>
      <c r="FD625" s="536"/>
      <c r="FE625" s="536"/>
      <c r="FF625" s="536"/>
      <c r="FG625" s="536"/>
      <c r="FH625" s="536"/>
      <c r="FI625" s="536"/>
      <c r="FJ625" s="1494"/>
      <c r="FK625" s="536"/>
      <c r="FL625" s="536"/>
      <c r="FM625" s="536"/>
      <c r="FN625" s="536"/>
      <c r="FO625" s="536"/>
      <c r="FP625" s="536"/>
      <c r="FQ625" s="536"/>
      <c r="FR625" s="536"/>
      <c r="FS625" s="536"/>
      <c r="FT625" s="536"/>
      <c r="FU625" s="536"/>
      <c r="FV625" s="536"/>
      <c r="FW625" s="536"/>
      <c r="FX625" s="536"/>
      <c r="FY625" s="536"/>
      <c r="FZ625" s="536"/>
      <c r="GA625" s="536"/>
      <c r="GB625" s="536"/>
      <c r="GC625" s="536"/>
      <c r="GD625" s="536"/>
      <c r="GE625" s="536"/>
      <c r="GF625" s="536"/>
      <c r="GG625" s="536"/>
      <c r="GH625" s="536"/>
      <c r="GI625" s="536"/>
      <c r="GJ625" s="536"/>
      <c r="GK625" s="536"/>
      <c r="GL625" s="536"/>
      <c r="GM625" s="536"/>
      <c r="GN625" s="536"/>
      <c r="GO625" s="536"/>
      <c r="GP625" s="536"/>
      <c r="GQ625" s="536"/>
      <c r="GR625" s="536"/>
      <c r="GS625" s="536"/>
      <c r="GT625" s="536"/>
      <c r="GU625" s="536"/>
      <c r="GV625" s="536"/>
      <c r="GW625" s="536"/>
      <c r="GX625" s="536"/>
      <c r="GY625" s="536"/>
      <c r="GZ625" s="536"/>
      <c r="HA625" s="536"/>
      <c r="HB625" s="536"/>
      <c r="HC625" s="536"/>
      <c r="HD625" s="536"/>
      <c r="HE625" s="536"/>
      <c r="HF625" s="536"/>
      <c r="HG625" s="536"/>
      <c r="HH625" s="536"/>
      <c r="HI625" s="536"/>
      <c r="HJ625" s="536"/>
      <c r="HK625" s="536"/>
      <c r="HL625" s="536"/>
      <c r="HM625" s="536"/>
      <c r="HR625" s="456" t="s">
        <v>903</v>
      </c>
      <c r="HU625" s="456"/>
      <c r="HV625" s="460"/>
      <c r="HW625" s="350"/>
      <c r="HX625" s="456"/>
      <c r="HY625" s="949" t="s">
        <v>1112</v>
      </c>
      <c r="HZ625" s="456"/>
      <c r="IA625" s="456"/>
      <c r="IB625" s="456"/>
      <c r="IC625" s="456"/>
      <c r="ID625" s="456"/>
      <c r="IE625" s="456"/>
      <c r="IF625" s="456"/>
      <c r="IG625" s="456"/>
      <c r="IH625" s="350"/>
      <c r="II625" s="350"/>
      <c r="IJ625" s="456"/>
      <c r="IK625" s="350"/>
      <c r="IL625" s="350"/>
      <c r="IM625" s="456"/>
      <c r="IN625" s="350"/>
      <c r="IO625" s="350"/>
      <c r="IP625" s="456"/>
      <c r="IQ625" s="350"/>
      <c r="IR625" s="350"/>
      <c r="IS625" s="456"/>
      <c r="IT625" s="350"/>
      <c r="IU625" s="350"/>
      <c r="IV625" s="456"/>
      <c r="IW625" s="350"/>
      <c r="IX625" s="350"/>
      <c r="IY625" s="456"/>
    </row>
    <row r="626" spans="1:302">
      <c r="A626" s="302"/>
      <c r="B626" s="117" t="s">
        <v>361</v>
      </c>
      <c r="D626" s="538" t="str">
        <f>D$465</f>
        <v>Revenue and grants</v>
      </c>
      <c r="E626" s="537">
        <f>E$465</f>
        <v>17.567921312999999</v>
      </c>
      <c r="F626" s="537">
        <f t="shared" ref="F626:AW626" si="523">F$465</f>
        <v>18.817342955000001</v>
      </c>
      <c r="G626" s="537">
        <f t="shared" si="523"/>
        <v>44.459580340000002</v>
      </c>
      <c r="H626" s="537">
        <f t="shared" si="523"/>
        <v>24.441848096000001</v>
      </c>
      <c r="I626" s="537">
        <f t="shared" si="523"/>
        <v>51.516113346000004</v>
      </c>
      <c r="J626" s="537">
        <f t="shared" si="523"/>
        <v>97.216453211000015</v>
      </c>
      <c r="K626" s="537">
        <f t="shared" si="523"/>
        <v>19.786233704999997</v>
      </c>
      <c r="L626" s="537">
        <f t="shared" si="523"/>
        <v>28.826024725</v>
      </c>
      <c r="M626" s="537">
        <f t="shared" si="523"/>
        <v>44.354562829000002</v>
      </c>
      <c r="N626" s="537">
        <f t="shared" si="523"/>
        <v>30.151426880999999</v>
      </c>
      <c r="O626" s="537">
        <f t="shared" si="523"/>
        <v>23.413298776000001</v>
      </c>
      <c r="P626" s="537">
        <f t="shared" si="523"/>
        <v>59.678926500000003</v>
      </c>
      <c r="Q626" s="537">
        <f t="shared" si="523"/>
        <v>29.251193269999998</v>
      </c>
      <c r="R626" s="537">
        <f t="shared" si="523"/>
        <v>21.164371927000001</v>
      </c>
      <c r="S626" s="537">
        <f t="shared" si="523"/>
        <v>88.816242031999991</v>
      </c>
      <c r="T626" s="537">
        <f t="shared" si="523"/>
        <v>25.994996380000003</v>
      </c>
      <c r="U626" s="537">
        <f t="shared" si="523"/>
        <v>61.182207654000003</v>
      </c>
      <c r="V626" s="537">
        <f t="shared" si="523"/>
        <v>92.412830514000007</v>
      </c>
      <c r="W626" s="537">
        <f t="shared" si="523"/>
        <v>26.935916471999999</v>
      </c>
      <c r="X626" s="537">
        <f t="shared" si="523"/>
        <v>35.083569790999995</v>
      </c>
      <c r="Y626" s="537">
        <f t="shared" si="523"/>
        <v>67.762742703000001</v>
      </c>
      <c r="Z626" s="537">
        <f t="shared" si="523"/>
        <v>49.776869621000003</v>
      </c>
      <c r="AA626" s="537">
        <f t="shared" si="523"/>
        <v>29.930646900999996</v>
      </c>
      <c r="AB626" s="537">
        <f t="shared" si="523"/>
        <v>132.44269054199998</v>
      </c>
      <c r="AC626" s="537">
        <f t="shared" si="523"/>
        <v>29.319654589999999</v>
      </c>
      <c r="AD626" s="537">
        <f t="shared" si="523"/>
        <v>37.497062631000006</v>
      </c>
      <c r="AE626" s="537">
        <f t="shared" si="523"/>
        <v>65.882136634999995</v>
      </c>
      <c r="AF626" s="537">
        <f t="shared" si="523"/>
        <v>80.300595043999991</v>
      </c>
      <c r="AG626" s="537">
        <f t="shared" si="523"/>
        <v>31.634799859000001</v>
      </c>
      <c r="AH626" s="537">
        <f t="shared" si="523"/>
        <v>92.535884168999985</v>
      </c>
      <c r="AI626" s="537">
        <f t="shared" si="523"/>
        <v>40.661176794999996</v>
      </c>
      <c r="AJ626" s="537">
        <f t="shared" si="523"/>
        <v>31.365358114000003</v>
      </c>
      <c r="AK626" s="537">
        <f t="shared" si="523"/>
        <v>110.58222992</v>
      </c>
      <c r="AL626" s="537">
        <f t="shared" si="523"/>
        <v>80.469577517999994</v>
      </c>
      <c r="AM626" s="537">
        <f t="shared" si="523"/>
        <v>38.042655173999997</v>
      </c>
      <c r="AN626" s="537">
        <f t="shared" si="523"/>
        <v>88.467466396999981</v>
      </c>
      <c r="AO626" s="537">
        <f t="shared" si="523"/>
        <v>51.414137945999997</v>
      </c>
      <c r="AP626" s="537">
        <f t="shared" si="523"/>
        <v>28.208919395999999</v>
      </c>
      <c r="AQ626" s="537">
        <f t="shared" si="523"/>
        <v>81.923191242999991</v>
      </c>
      <c r="AR626" s="537">
        <f t="shared" si="523"/>
        <v>43.457104891</v>
      </c>
      <c r="AS626" s="537">
        <f t="shared" si="523"/>
        <v>40.239970697000004</v>
      </c>
      <c r="AT626" s="537">
        <f t="shared" si="523"/>
        <v>162.241365312</v>
      </c>
      <c r="AU626" s="537">
        <f t="shared" si="523"/>
        <v>38.026135392</v>
      </c>
      <c r="AV626" s="537">
        <f t="shared" si="523"/>
        <v>41.030005124999995</v>
      </c>
      <c r="AW626" s="537">
        <f t="shared" si="523"/>
        <v>133.22447170499998</v>
      </c>
      <c r="AX626" s="537">
        <f t="shared" ref="AX626:BP626" si="524">AX$465</f>
        <v>60.783805940000001</v>
      </c>
      <c r="AY626" s="537">
        <f t="shared" si="524"/>
        <v>44.310152950000003</v>
      </c>
      <c r="AZ626" s="537">
        <f t="shared" si="524"/>
        <v>150.604230194</v>
      </c>
      <c r="BA626" s="537">
        <f t="shared" si="524"/>
        <v>40.903606083</v>
      </c>
      <c r="BB626" s="537">
        <f t="shared" si="524"/>
        <v>37.697012786000002</v>
      </c>
      <c r="BC626" s="537">
        <f t="shared" si="524"/>
        <v>78.152326082000002</v>
      </c>
      <c r="BD626" s="537">
        <f t="shared" si="524"/>
        <v>105.66912261376</v>
      </c>
      <c r="BE626" s="537">
        <f t="shared" si="524"/>
        <v>43.306229338230004</v>
      </c>
      <c r="BF626" s="537">
        <f t="shared" si="524"/>
        <v>90.784551812999993</v>
      </c>
      <c r="BG626" s="537">
        <f t="shared" si="524"/>
        <v>77.180308651800004</v>
      </c>
      <c r="BH626" s="537">
        <f t="shared" si="524"/>
        <v>80.865502152200008</v>
      </c>
      <c r="BI626" s="537">
        <f t="shared" si="524"/>
        <v>123.79901238390001</v>
      </c>
      <c r="BJ626" s="537">
        <f t="shared" si="524"/>
        <v>117.794734113</v>
      </c>
      <c r="BK626" s="537">
        <f t="shared" si="524"/>
        <v>48.266520284999999</v>
      </c>
      <c r="BL626" s="537">
        <f t="shared" si="524"/>
        <v>155.04342448400001</v>
      </c>
      <c r="BM626" s="537">
        <f t="shared" si="524"/>
        <v>46.396559704999994</v>
      </c>
      <c r="BN626" s="537">
        <f t="shared" si="524"/>
        <v>48.426343994999996</v>
      </c>
      <c r="BO626" s="537">
        <f t="shared" si="524"/>
        <v>99.923344535999988</v>
      </c>
      <c r="BP626" s="537">
        <f t="shared" si="524"/>
        <v>44.821710919999994</v>
      </c>
      <c r="BQ626" s="537">
        <f t="shared" ref="BQ626:DT626" si="525">BQ$465</f>
        <v>56.859600789000005</v>
      </c>
      <c r="BR626" s="537">
        <f t="shared" si="525"/>
        <v>157.40981045162576</v>
      </c>
      <c r="BS626" s="537">
        <f t="shared" si="525"/>
        <v>91.514599451901631</v>
      </c>
      <c r="BT626" s="537">
        <f t="shared" si="525"/>
        <v>66.031509459931115</v>
      </c>
      <c r="BU626" s="537">
        <f t="shared" si="525"/>
        <v>80.967502676272119</v>
      </c>
      <c r="BV626" s="537">
        <f t="shared" si="525"/>
        <v>116.00640018889051</v>
      </c>
      <c r="BW626" s="537">
        <f t="shared" si="525"/>
        <v>90.734610517433723</v>
      </c>
      <c r="BX626" s="537">
        <f t="shared" si="525"/>
        <v>102.06086856069035</v>
      </c>
      <c r="BY626" s="537">
        <f t="shared" si="525"/>
        <v>53.00960789090707</v>
      </c>
      <c r="BZ626" s="537">
        <f t="shared" si="525"/>
        <v>56.690963510925009</v>
      </c>
      <c r="CA626" s="537">
        <f t="shared" si="525"/>
        <v>110.13507579811498</v>
      </c>
      <c r="CB626" s="537">
        <f t="shared" si="525"/>
        <v>91.61277264487812</v>
      </c>
      <c r="CC626" s="537">
        <f t="shared" si="525"/>
        <v>106.22123967949275</v>
      </c>
      <c r="CD626" s="539">
        <f t="shared" si="525"/>
        <v>128.45273046759502</v>
      </c>
      <c r="CE626" s="537">
        <f t="shared" si="525"/>
        <v>92.549278820603035</v>
      </c>
      <c r="CF626" s="537">
        <f t="shared" si="525"/>
        <v>99.938945574972621</v>
      </c>
      <c r="CG626" s="537">
        <f t="shared" si="525"/>
        <v>145.21032672111141</v>
      </c>
      <c r="CH626" s="537">
        <f t="shared" si="525"/>
        <v>130.78878670856406</v>
      </c>
      <c r="CI626" s="537">
        <f t="shared" si="525"/>
        <v>94.950408696585725</v>
      </c>
      <c r="CJ626" s="537">
        <f t="shared" si="525"/>
        <v>149.48953430005673</v>
      </c>
      <c r="CK626" s="537">
        <f t="shared" si="525"/>
        <v>86.393434501087185</v>
      </c>
      <c r="CL626" s="537">
        <f t="shared" si="525"/>
        <v>78.682708284346262</v>
      </c>
      <c r="CM626" s="537">
        <f t="shared" si="525"/>
        <v>103.60083830312736</v>
      </c>
      <c r="CN626" s="537">
        <f t="shared" si="525"/>
        <v>120.535313220023</v>
      </c>
      <c r="CO626" s="537">
        <f t="shared" si="525"/>
        <v>104.27172801772727</v>
      </c>
      <c r="CP626" s="540">
        <f t="shared" si="525"/>
        <v>145.54508084441341</v>
      </c>
      <c r="CQ626" s="537">
        <f t="shared" si="525"/>
        <v>97.444454177000253</v>
      </c>
      <c r="CR626" s="537">
        <f t="shared" si="525"/>
        <v>85.969450701141326</v>
      </c>
      <c r="CS626" s="537">
        <f t="shared" si="525"/>
        <v>117.18117262901525</v>
      </c>
      <c r="CT626" s="537">
        <f t="shared" si="525"/>
        <v>100.7405313627702</v>
      </c>
      <c r="CU626" s="537">
        <f t="shared" si="525"/>
        <v>97.125174263967466</v>
      </c>
      <c r="CV626" s="537">
        <f t="shared" si="525"/>
        <v>189.61397173250339</v>
      </c>
      <c r="CW626" s="537">
        <f t="shared" si="525"/>
        <v>104.38635464507948</v>
      </c>
      <c r="CX626" s="537">
        <f t="shared" si="525"/>
        <v>88.103058839231437</v>
      </c>
      <c r="CY626" s="537">
        <f t="shared" si="525"/>
        <v>166.29605454271535</v>
      </c>
      <c r="CZ626" s="537">
        <f t="shared" si="525"/>
        <v>92.532683637132237</v>
      </c>
      <c r="DA626" s="537">
        <f t="shared" si="525"/>
        <v>124.11159501935053</v>
      </c>
      <c r="DB626" s="1516">
        <f t="shared" si="525"/>
        <v>141.81188324721271</v>
      </c>
      <c r="DC626" s="537">
        <f t="shared" si="525"/>
        <v>101.86321793019081</v>
      </c>
      <c r="DD626" s="537">
        <f t="shared" si="525"/>
        <v>95.689750483962627</v>
      </c>
      <c r="DE626" s="537">
        <f t="shared" si="525"/>
        <v>138.18217431660059</v>
      </c>
      <c r="DF626" s="537">
        <f t="shared" si="525"/>
        <v>106.78077978713375</v>
      </c>
      <c r="DG626" s="537">
        <f t="shared" si="525"/>
        <v>135.21825395790682</v>
      </c>
      <c r="DH626" s="537">
        <f t="shared" si="525"/>
        <v>163.03360807208975</v>
      </c>
      <c r="DI626" s="537">
        <f t="shared" si="525"/>
        <v>91.863323715402089</v>
      </c>
      <c r="DJ626" s="537">
        <f t="shared" si="525"/>
        <v>92.444946682369817</v>
      </c>
      <c r="DK626" s="537">
        <f t="shared" si="525"/>
        <v>168.57032349691218</v>
      </c>
      <c r="DL626" s="537">
        <f t="shared" si="525"/>
        <v>149.27739043231779</v>
      </c>
      <c r="DM626" s="537">
        <f t="shared" si="525"/>
        <v>103.64606440587504</v>
      </c>
      <c r="DN626" s="540">
        <f t="shared" si="525"/>
        <v>195.08737509552151</v>
      </c>
      <c r="DO626" s="537">
        <f t="shared" si="525"/>
        <v>98.9957490220945</v>
      </c>
      <c r="DP626" s="537">
        <f t="shared" si="525"/>
        <v>95.018024768350983</v>
      </c>
      <c r="DQ626" s="537">
        <f t="shared" si="525"/>
        <v>150.70467332625046</v>
      </c>
      <c r="DR626" s="537">
        <f t="shared" si="525"/>
        <v>86.980250273503628</v>
      </c>
      <c r="DS626" s="537">
        <f t="shared" si="525"/>
        <v>98.099403332868491</v>
      </c>
      <c r="DT626" s="537">
        <f t="shared" si="525"/>
        <v>191.17310866466309</v>
      </c>
      <c r="DU626" s="537"/>
      <c r="DV626" s="537"/>
      <c r="DW626" s="537"/>
      <c r="DX626" s="537"/>
      <c r="DY626" s="537"/>
      <c r="DZ626" s="1542"/>
      <c r="EA626" s="536"/>
      <c r="EB626" s="537"/>
      <c r="EC626" s="537"/>
      <c r="ED626" s="537"/>
      <c r="EE626" s="537"/>
      <c r="EF626" s="537"/>
      <c r="EG626" s="537"/>
      <c r="EH626" s="537"/>
      <c r="EI626" s="537"/>
      <c r="EJ626" s="537"/>
      <c r="EK626" s="537"/>
      <c r="EL626" s="540"/>
      <c r="EM626" s="537"/>
      <c r="EN626" s="537"/>
      <c r="EO626" s="537"/>
      <c r="EP626" s="537"/>
      <c r="EQ626" s="537"/>
      <c r="ER626" s="537"/>
      <c r="ES626" s="537"/>
      <c r="ET626" s="537"/>
      <c r="EU626" s="537"/>
      <c r="EV626" s="537"/>
      <c r="EW626" s="537"/>
      <c r="EX626" s="540"/>
      <c r="EY626" s="537"/>
      <c r="EZ626" s="537"/>
      <c r="FA626" s="537"/>
      <c r="FB626" s="537"/>
      <c r="FC626" s="537"/>
      <c r="FD626" s="537"/>
      <c r="FE626" s="537"/>
      <c r="FF626" s="537"/>
      <c r="FG626" s="537"/>
      <c r="FH626" s="537"/>
      <c r="FI626" s="537"/>
      <c r="FJ626" s="540"/>
      <c r="FK626" s="537"/>
      <c r="FL626" s="537"/>
      <c r="FM626" s="537"/>
      <c r="FN626" s="537"/>
      <c r="FO626" s="537"/>
      <c r="FP626" s="537"/>
      <c r="FQ626" s="537"/>
      <c r="FR626" s="537"/>
      <c r="FS626" s="537"/>
      <c r="FT626" s="537"/>
      <c r="FU626" s="537"/>
      <c r="FV626" s="537"/>
      <c r="FW626" s="537"/>
      <c r="FX626" s="537"/>
      <c r="FY626" s="537"/>
      <c r="FZ626" s="537"/>
      <c r="GA626" s="537"/>
      <c r="GB626" s="537"/>
      <c r="GC626" s="537"/>
      <c r="GD626" s="537"/>
      <c r="GE626" s="537"/>
      <c r="GF626" s="537"/>
      <c r="GG626" s="537"/>
      <c r="GH626" s="537"/>
      <c r="GI626" s="537"/>
      <c r="GJ626" s="537"/>
      <c r="GK626" s="537"/>
      <c r="GL626" s="537"/>
      <c r="GM626" s="537"/>
      <c r="GN626" s="537"/>
      <c r="GO626" s="537"/>
      <c r="GP626" s="537"/>
      <c r="GQ626" s="537"/>
      <c r="GR626" s="537"/>
      <c r="GS626" s="537"/>
      <c r="GT626" s="537"/>
      <c r="GU626" s="537"/>
      <c r="GV626" s="537"/>
      <c r="GW626" s="537"/>
      <c r="GX626" s="537"/>
      <c r="GY626" s="537"/>
      <c r="GZ626" s="537"/>
      <c r="HA626" s="537"/>
      <c r="HB626" s="537"/>
      <c r="HC626" s="537"/>
      <c r="HD626" s="537"/>
      <c r="HE626" s="537"/>
      <c r="HF626" s="537"/>
      <c r="HG626" s="537"/>
      <c r="HH626" s="537"/>
      <c r="HI626" s="537"/>
      <c r="HJ626" s="537"/>
      <c r="HK626" s="537"/>
      <c r="HL626" s="537"/>
      <c r="HM626" s="537"/>
      <c r="HO626" s="537"/>
      <c r="HP626" s="537"/>
      <c r="HQ626" s="537"/>
      <c r="HR626" s="537">
        <f t="shared" ref="HR626:HW626" si="526">HR$465</f>
        <v>1418.6704994724025</v>
      </c>
      <c r="HS626" s="302">
        <f t="shared" si="526"/>
        <v>688.07475486639794</v>
      </c>
      <c r="HT626" s="302">
        <f t="shared" si="526"/>
        <v>717.24162993072173</v>
      </c>
      <c r="HU626" s="537">
        <f t="shared" si="526"/>
        <v>1405.3163847971196</v>
      </c>
      <c r="HV626" s="302">
        <f t="shared" si="526"/>
        <v>740.76778454788428</v>
      </c>
      <c r="HW626" s="302">
        <f t="shared" si="526"/>
        <v>800.88942382839832</v>
      </c>
      <c r="HX626" s="545">
        <f t="shared" ref="HX626:IJ626" si="527">HX$465</f>
        <v>1541.6572083762826</v>
      </c>
      <c r="HY626" s="302">
        <f t="shared" si="527"/>
        <v>720.97120938773105</v>
      </c>
      <c r="IA626" s="545">
        <f t="shared" si="527"/>
        <v>1527.2539140801612</v>
      </c>
      <c r="ID626" s="544">
        <f t="shared" si="527"/>
        <v>1820.4124327910465</v>
      </c>
      <c r="IG626" s="544">
        <f t="shared" si="527"/>
        <v>2064.9766652822391</v>
      </c>
      <c r="IH626" s="350"/>
      <c r="II626" s="350"/>
      <c r="IJ626" s="544">
        <f t="shared" si="527"/>
        <v>2082.0309719952802</v>
      </c>
      <c r="IK626" s="350"/>
      <c r="IL626" s="350"/>
      <c r="IM626" s="544">
        <f>IM$465</f>
        <v>2171.5351257992602</v>
      </c>
      <c r="IN626" s="350"/>
      <c r="IO626" s="350">
        <f>IO$465</f>
        <v>4748.4741557023408</v>
      </c>
      <c r="IP626" s="544" t="e">
        <f>#REF!</f>
        <v>#REF!</v>
      </c>
      <c r="IQ626" s="350">
        <f>IS$465</f>
        <v>12084.637094129259</v>
      </c>
      <c r="IR626" s="350">
        <f>IR$465</f>
        <v>6522.1576302448575</v>
      </c>
      <c r="IS626" s="544"/>
      <c r="IT626" s="350"/>
      <c r="IU626" s="350"/>
      <c r="IV626" s="544"/>
      <c r="IW626" s="350"/>
      <c r="IX626" s="350"/>
      <c r="IY626" s="544"/>
      <c r="KM626" s="302">
        <f>KM$465</f>
        <v>0</v>
      </c>
      <c r="KN626" s="302">
        <f>KN$465</f>
        <v>0</v>
      </c>
      <c r="KO626" s="302">
        <f>KO$465</f>
        <v>0</v>
      </c>
      <c r="KP626" s="302">
        <f>KP$465</f>
        <v>0</v>
      </c>
    </row>
    <row r="627" spans="1:302">
      <c r="A627" s="302"/>
      <c r="B627" s="117" t="s">
        <v>361</v>
      </c>
      <c r="D627" s="541" t="str">
        <f>D$467</f>
        <v>Total revenue</v>
      </c>
      <c r="E627" s="537">
        <f>E$467</f>
        <v>16.5383</v>
      </c>
      <c r="F627" s="537">
        <f t="shared" ref="F627:AW627" si="528">F$467</f>
        <v>15.875399999999999</v>
      </c>
      <c r="G627" s="537">
        <f t="shared" si="528"/>
        <v>24.213000000000001</v>
      </c>
      <c r="H627" s="537">
        <f t="shared" si="528"/>
        <v>20.4634</v>
      </c>
      <c r="I627" s="537">
        <f t="shared" si="528"/>
        <v>20.900200000000002</v>
      </c>
      <c r="J627" s="537">
        <f t="shared" si="528"/>
        <v>26.330902116000001</v>
      </c>
      <c r="K627" s="537">
        <f t="shared" si="528"/>
        <v>18.669034962999998</v>
      </c>
      <c r="L627" s="537">
        <f t="shared" si="528"/>
        <v>20.163478661999999</v>
      </c>
      <c r="M627" s="537">
        <f t="shared" si="528"/>
        <v>23.201122285</v>
      </c>
      <c r="N627" s="537">
        <f t="shared" si="528"/>
        <v>19.877401225</v>
      </c>
      <c r="O627" s="537">
        <f t="shared" si="528"/>
        <v>21.377868437</v>
      </c>
      <c r="P627" s="537">
        <f t="shared" si="528"/>
        <v>25.326898893999999</v>
      </c>
      <c r="Q627" s="537">
        <f t="shared" si="528"/>
        <v>22.179866305999997</v>
      </c>
      <c r="R627" s="537">
        <f t="shared" si="528"/>
        <v>21.164371927000001</v>
      </c>
      <c r="S627" s="537">
        <f t="shared" si="528"/>
        <v>27.234012576000001</v>
      </c>
      <c r="T627" s="537">
        <f t="shared" si="528"/>
        <v>25.754677922000003</v>
      </c>
      <c r="U627" s="537">
        <f t="shared" si="528"/>
        <v>24.531161763</v>
      </c>
      <c r="V627" s="537">
        <f t="shared" si="528"/>
        <v>40.780660499</v>
      </c>
      <c r="W627" s="537">
        <f t="shared" si="528"/>
        <v>25.122907194</v>
      </c>
      <c r="X627" s="537">
        <f t="shared" si="528"/>
        <v>26.188947629999998</v>
      </c>
      <c r="Y627" s="537">
        <f t="shared" si="528"/>
        <v>36.555613293</v>
      </c>
      <c r="Z627" s="537">
        <f t="shared" si="528"/>
        <v>30.925497113999999</v>
      </c>
      <c r="AA627" s="537">
        <f t="shared" si="528"/>
        <v>27.185696262999997</v>
      </c>
      <c r="AB627" s="537">
        <f t="shared" si="528"/>
        <v>73.355484633000003</v>
      </c>
      <c r="AC627" s="537">
        <f t="shared" si="528"/>
        <v>29.319654589999999</v>
      </c>
      <c r="AD627" s="537">
        <f t="shared" si="528"/>
        <v>29.951000631000003</v>
      </c>
      <c r="AE627" s="537">
        <f t="shared" si="528"/>
        <v>34.806349091999998</v>
      </c>
      <c r="AF627" s="537">
        <f t="shared" si="528"/>
        <v>29.167745937999999</v>
      </c>
      <c r="AG627" s="537">
        <f t="shared" si="528"/>
        <v>29.712147304000002</v>
      </c>
      <c r="AH627" s="537">
        <f t="shared" si="528"/>
        <v>40.743024720999991</v>
      </c>
      <c r="AI627" s="537">
        <f t="shared" si="528"/>
        <v>27.257941557999995</v>
      </c>
      <c r="AJ627" s="537">
        <f t="shared" si="528"/>
        <v>27.793590137000002</v>
      </c>
      <c r="AK627" s="537">
        <f t="shared" si="528"/>
        <v>34.524928839000005</v>
      </c>
      <c r="AL627" s="537">
        <f t="shared" si="528"/>
        <v>27.274276262000001</v>
      </c>
      <c r="AM627" s="537">
        <f t="shared" si="528"/>
        <v>30.466199999999997</v>
      </c>
      <c r="AN627" s="537">
        <f t="shared" si="528"/>
        <v>38.3446</v>
      </c>
      <c r="AO627" s="537">
        <f t="shared" si="528"/>
        <v>29.764936359</v>
      </c>
      <c r="AP627" s="537">
        <f t="shared" si="528"/>
        <v>28.208919395999999</v>
      </c>
      <c r="AQ627" s="537">
        <f t="shared" si="528"/>
        <v>46.601846963</v>
      </c>
      <c r="AR627" s="537">
        <f t="shared" si="528"/>
        <v>30.875261329000001</v>
      </c>
      <c r="AS627" s="537">
        <f t="shared" si="528"/>
        <v>31.183278000000001</v>
      </c>
      <c r="AT627" s="537">
        <f t="shared" si="528"/>
        <v>37.676075787000002</v>
      </c>
      <c r="AU627" s="537">
        <f t="shared" si="528"/>
        <v>31.866403909999999</v>
      </c>
      <c r="AV627" s="537">
        <f t="shared" si="528"/>
        <v>36.252635124999998</v>
      </c>
      <c r="AW627" s="537">
        <f t="shared" si="528"/>
        <v>40.302209705000003</v>
      </c>
      <c r="AX627" s="537">
        <f t="shared" ref="AX627:BP627" si="529">AX$467</f>
        <v>34.389034735999999</v>
      </c>
      <c r="AY627" s="537">
        <f t="shared" si="529"/>
        <v>37.329067059000003</v>
      </c>
      <c r="AZ627" s="537">
        <f t="shared" si="529"/>
        <v>46.461917195000005</v>
      </c>
      <c r="BA627" s="537">
        <f t="shared" si="529"/>
        <v>40.372282581</v>
      </c>
      <c r="BB627" s="537">
        <f t="shared" si="529"/>
        <v>32.462750329000002</v>
      </c>
      <c r="BC627" s="537">
        <f t="shared" si="529"/>
        <v>51.692223890000001</v>
      </c>
      <c r="BD627" s="537">
        <f t="shared" si="529"/>
        <v>37.733015287000001</v>
      </c>
      <c r="BE627" s="537">
        <f t="shared" si="529"/>
        <v>42.271061997000004</v>
      </c>
      <c r="BF627" s="537">
        <f t="shared" si="529"/>
        <v>52.966000926999996</v>
      </c>
      <c r="BG627" s="537">
        <f t="shared" si="529"/>
        <v>36.168595312799994</v>
      </c>
      <c r="BH627" s="537">
        <f t="shared" si="529"/>
        <v>43.234283078200001</v>
      </c>
      <c r="BI627" s="537">
        <f t="shared" si="529"/>
        <v>65.594706880900006</v>
      </c>
      <c r="BJ627" s="537">
        <f t="shared" si="529"/>
        <v>41.211862676999999</v>
      </c>
      <c r="BK627" s="537">
        <f t="shared" si="529"/>
        <v>43.569539720999998</v>
      </c>
      <c r="BL627" s="537">
        <f t="shared" si="529"/>
        <v>54.424474300999997</v>
      </c>
      <c r="BM627" s="537">
        <f t="shared" si="529"/>
        <v>44.105241053999997</v>
      </c>
      <c r="BN627" s="537">
        <f t="shared" si="529"/>
        <v>44.312992412999996</v>
      </c>
      <c r="BO627" s="537">
        <f t="shared" si="529"/>
        <v>60.043170514999993</v>
      </c>
      <c r="BP627" s="537">
        <f t="shared" si="529"/>
        <v>44.577221414999997</v>
      </c>
      <c r="BQ627" s="537">
        <f t="shared" ref="BQ627:DT627" si="530">BQ$467</f>
        <v>56.649560364000003</v>
      </c>
      <c r="BR627" s="537">
        <f t="shared" si="530"/>
        <v>57.936586860999995</v>
      </c>
      <c r="BS627" s="537">
        <f t="shared" si="530"/>
        <v>50.174999999999997</v>
      </c>
      <c r="BT627" s="537">
        <f t="shared" si="530"/>
        <v>51.167600000000007</v>
      </c>
      <c r="BU627" s="537">
        <f t="shared" si="530"/>
        <v>58.022500000000001</v>
      </c>
      <c r="BV627" s="537">
        <f t="shared" si="530"/>
        <v>67.65402367063237</v>
      </c>
      <c r="BW627" s="537">
        <f t="shared" si="530"/>
        <v>49.19572033965882</v>
      </c>
      <c r="BX627" s="537">
        <f t="shared" si="530"/>
        <v>69.986593628505176</v>
      </c>
      <c r="BY627" s="537">
        <f t="shared" si="530"/>
        <v>53.009075458916328</v>
      </c>
      <c r="BZ627" s="537">
        <f t="shared" si="530"/>
        <v>52.648868041803432</v>
      </c>
      <c r="CA627" s="537">
        <f t="shared" si="530"/>
        <v>88.217625266590289</v>
      </c>
      <c r="CB627" s="537">
        <f t="shared" si="530"/>
        <v>53.706899125880469</v>
      </c>
      <c r="CC627" s="537">
        <f t="shared" si="530"/>
        <v>55.896236535222947</v>
      </c>
      <c r="CD627" s="539">
        <f t="shared" si="530"/>
        <v>85.3276152868808</v>
      </c>
      <c r="CE627" s="537">
        <f t="shared" si="530"/>
        <v>60.830473264697275</v>
      </c>
      <c r="CF627" s="537">
        <f t="shared" si="530"/>
        <v>61.031943501572783</v>
      </c>
      <c r="CG627" s="537">
        <f t="shared" si="530"/>
        <v>68.846531850293431</v>
      </c>
      <c r="CH627" s="537">
        <f t="shared" si="530"/>
        <v>82.132439465750224</v>
      </c>
      <c r="CI627" s="537">
        <f t="shared" si="530"/>
        <v>58.711358355824714</v>
      </c>
      <c r="CJ627" s="537">
        <f t="shared" si="530"/>
        <v>86.316598820932796</v>
      </c>
      <c r="CK627" s="537">
        <f t="shared" si="530"/>
        <v>63.573570289825042</v>
      </c>
      <c r="CL627" s="537">
        <f t="shared" si="530"/>
        <v>63.250821485083073</v>
      </c>
      <c r="CM627" s="537">
        <f t="shared" si="530"/>
        <v>87.988916234456212</v>
      </c>
      <c r="CN627" s="537">
        <f t="shared" si="530"/>
        <v>60.020681533917354</v>
      </c>
      <c r="CO627" s="537">
        <f t="shared" si="530"/>
        <v>67.4479192841996</v>
      </c>
      <c r="CP627" s="540">
        <f t="shared" si="530"/>
        <v>113.71838556811986</v>
      </c>
      <c r="CQ627" s="537">
        <f t="shared" si="530"/>
        <v>62.99602087442333</v>
      </c>
      <c r="CR627" s="537">
        <f t="shared" si="530"/>
        <v>65.33411370871147</v>
      </c>
      <c r="CS627" s="537">
        <f t="shared" si="530"/>
        <v>85.09322572872253</v>
      </c>
      <c r="CT627" s="537">
        <f t="shared" si="530"/>
        <v>73.128496958839094</v>
      </c>
      <c r="CU627" s="537">
        <f t="shared" si="530"/>
        <v>59.68849108714916</v>
      </c>
      <c r="CV627" s="537">
        <f t="shared" si="530"/>
        <v>100.91502671808088</v>
      </c>
      <c r="CW627" s="537">
        <f t="shared" si="530"/>
        <v>77.224288986288784</v>
      </c>
      <c r="CX627" s="537">
        <f t="shared" si="530"/>
        <v>67.356111067263086</v>
      </c>
      <c r="CY627" s="537">
        <f t="shared" si="530"/>
        <v>130.42693883624963</v>
      </c>
      <c r="CZ627" s="537">
        <f t="shared" si="530"/>
        <v>74.547620854688546</v>
      </c>
      <c r="DA627" s="537">
        <f t="shared" si="530"/>
        <v>72.176649194101984</v>
      </c>
      <c r="DB627" s="1516">
        <f t="shared" si="530"/>
        <v>120.53557247413953</v>
      </c>
      <c r="DC627" s="537">
        <f t="shared" si="530"/>
        <v>69.969657837377568</v>
      </c>
      <c r="DD627" s="537">
        <f t="shared" si="530"/>
        <v>70.520117501935545</v>
      </c>
      <c r="DE627" s="537">
        <f t="shared" si="530"/>
        <v>100.36251626075773</v>
      </c>
      <c r="DF627" s="537">
        <f t="shared" si="530"/>
        <v>103.73904475448388</v>
      </c>
      <c r="DG627" s="537">
        <f t="shared" si="530"/>
        <v>73.21240330954916</v>
      </c>
      <c r="DH627" s="537">
        <f t="shared" si="530"/>
        <v>123.33693109280016</v>
      </c>
      <c r="DI627" s="537">
        <f t="shared" si="530"/>
        <v>81.877273234539956</v>
      </c>
      <c r="DJ627" s="537">
        <f t="shared" si="530"/>
        <v>77.898367868847657</v>
      </c>
      <c r="DK627" s="537">
        <f t="shared" si="530"/>
        <v>153.15534799923705</v>
      </c>
      <c r="DL627" s="537">
        <f t="shared" si="530"/>
        <v>84.043924930191565</v>
      </c>
      <c r="DM627" s="537">
        <f t="shared" si="530"/>
        <v>84.109653331394</v>
      </c>
      <c r="DN627" s="540">
        <f t="shared" si="530"/>
        <v>145.68495997744139</v>
      </c>
      <c r="DO627" s="537">
        <f t="shared" si="530"/>
        <v>73.140603806900003</v>
      </c>
      <c r="DP627" s="537">
        <f t="shared" si="530"/>
        <v>86.861250846389311</v>
      </c>
      <c r="DQ627" s="537">
        <f t="shared" si="530"/>
        <v>130.47794778686352</v>
      </c>
      <c r="DR627" s="537">
        <f t="shared" si="530"/>
        <v>83.652961651550584</v>
      </c>
      <c r="DS627" s="537">
        <f t="shared" si="530"/>
        <v>81.852966924754</v>
      </c>
      <c r="DT627" s="537">
        <f t="shared" si="530"/>
        <v>143.06961867779248</v>
      </c>
      <c r="DU627" s="537"/>
      <c r="DV627" s="537"/>
      <c r="DW627" s="537"/>
      <c r="DX627" s="537"/>
      <c r="DY627" s="537"/>
      <c r="DZ627" s="540"/>
      <c r="EA627" s="537"/>
      <c r="EB627" s="537"/>
      <c r="EC627" s="537"/>
      <c r="ED627" s="537"/>
      <c r="EE627" s="537"/>
      <c r="EF627" s="537"/>
      <c r="EG627" s="537"/>
      <c r="EH627" s="537"/>
      <c r="EI627" s="537"/>
      <c r="EJ627" s="537"/>
      <c r="EK627" s="537"/>
      <c r="EL627" s="540"/>
      <c r="EM627" s="537"/>
      <c r="EN627" s="537"/>
      <c r="EO627" s="537"/>
      <c r="EP627" s="537"/>
      <c r="EQ627" s="537"/>
      <c r="ER627" s="537"/>
      <c r="ES627" s="537"/>
      <c r="ET627" s="537"/>
      <c r="EU627" s="537"/>
      <c r="EV627" s="537"/>
      <c r="EW627" s="537"/>
      <c r="EX627" s="540"/>
      <c r="EY627" s="537"/>
      <c r="EZ627" s="537"/>
      <c r="FA627" s="537"/>
      <c r="FB627" s="537"/>
      <c r="FC627" s="537"/>
      <c r="FD627" s="537"/>
      <c r="FE627" s="537"/>
      <c r="FF627" s="537"/>
      <c r="FG627" s="537"/>
      <c r="FH627" s="537"/>
      <c r="FI627" s="537"/>
      <c r="FJ627" s="540"/>
      <c r="FK627" s="537"/>
      <c r="FL627" s="537"/>
      <c r="FM627" s="537"/>
      <c r="FN627" s="537"/>
      <c r="FO627" s="537"/>
      <c r="FP627" s="537"/>
      <c r="FQ627" s="537"/>
      <c r="FR627" s="537"/>
      <c r="FS627" s="537"/>
      <c r="FT627" s="537"/>
      <c r="FU627" s="537"/>
      <c r="FV627" s="537"/>
      <c r="FW627" s="537"/>
      <c r="FX627" s="537"/>
      <c r="FY627" s="537"/>
      <c r="FZ627" s="537"/>
      <c r="GA627" s="537"/>
      <c r="GB627" s="537"/>
      <c r="GC627" s="537"/>
      <c r="GD627" s="537"/>
      <c r="GE627" s="537"/>
      <c r="GF627" s="537"/>
      <c r="GG627" s="537"/>
      <c r="GH627" s="537"/>
      <c r="GI627" s="537"/>
      <c r="GJ627" s="537"/>
      <c r="GK627" s="537"/>
      <c r="GL627" s="537"/>
      <c r="GM627" s="537"/>
      <c r="GN627" s="537"/>
      <c r="GO627" s="537"/>
      <c r="GP627" s="537"/>
      <c r="GQ627" s="537"/>
      <c r="GR627" s="537"/>
      <c r="GS627" s="537"/>
      <c r="GT627" s="537"/>
      <c r="GU627" s="537"/>
      <c r="GV627" s="537"/>
      <c r="GW627" s="537"/>
      <c r="GX627" s="537"/>
      <c r="GY627" s="537"/>
      <c r="GZ627" s="537"/>
      <c r="HA627" s="537"/>
      <c r="HB627" s="537"/>
      <c r="HC627" s="537"/>
      <c r="HD627" s="537"/>
      <c r="HE627" s="537"/>
      <c r="HF627" s="537"/>
      <c r="HG627" s="537"/>
      <c r="HH627" s="537"/>
      <c r="HI627" s="537"/>
      <c r="HJ627" s="537"/>
      <c r="HK627" s="537"/>
      <c r="HL627" s="537"/>
      <c r="HM627" s="537"/>
      <c r="HO627" s="537"/>
      <c r="HP627" s="537"/>
      <c r="HQ627" s="537"/>
      <c r="HR627" s="537">
        <f t="shared" ref="HR627:HW627" si="531">HR$467</f>
        <v>1002.7568019579999</v>
      </c>
      <c r="HS627" s="302">
        <f t="shared" si="531"/>
        <v>447.15537507592649</v>
      </c>
      <c r="HT627" s="302">
        <f t="shared" si="531"/>
        <v>542.26718141273159</v>
      </c>
      <c r="HU627" s="537">
        <f t="shared" si="531"/>
        <v>989.42255648865807</v>
      </c>
      <c r="HV627" s="302">
        <f t="shared" si="531"/>
        <v>541.140670756904</v>
      </c>
      <c r="HW627" s="302">
        <f t="shared" si="531"/>
        <v>626.76952734165161</v>
      </c>
      <c r="HX627" s="545">
        <f t="shared" ref="HX627:IJ627" si="532">HX$467</f>
        <v>1167.9101980985556</v>
      </c>
      <c r="HY627" s="302">
        <f t="shared" si="532"/>
        <v>599.0553496942498</v>
      </c>
      <c r="IA627" s="545">
        <f t="shared" si="532"/>
        <v>1285.5798455454374</v>
      </c>
      <c r="ID627" s="544">
        <f t="shared" si="532"/>
        <v>1461.503755922336</v>
      </c>
      <c r="IG627" s="544">
        <f t="shared" si="532"/>
        <v>1670.2030407779237</v>
      </c>
      <c r="IH627" s="350"/>
      <c r="II627" s="350"/>
      <c r="IJ627" s="544">
        <f t="shared" si="532"/>
        <v>1649.9486941171201</v>
      </c>
      <c r="IK627" s="350"/>
      <c r="IL627" s="350"/>
      <c r="IM627" s="544">
        <f>IM$467</f>
        <v>1679.2114408085199</v>
      </c>
      <c r="IN627" s="350"/>
      <c r="IO627" s="350">
        <f>IO$467</f>
        <v>4252.2844583891092</v>
      </c>
      <c r="IP627" s="544" t="e">
        <f>#REF!</f>
        <v>#REF!</v>
      </c>
      <c r="IQ627" s="350">
        <f>IS$467</f>
        <v>11373.342941169718</v>
      </c>
      <c r="IR627" s="350">
        <f>IR$467</f>
        <v>6085.7508766145338</v>
      </c>
      <c r="IS627" s="544"/>
      <c r="IT627" s="350"/>
      <c r="IU627" s="350"/>
      <c r="IV627" s="544"/>
      <c r="IW627" s="350"/>
      <c r="IX627" s="350"/>
      <c r="IY627" s="544"/>
      <c r="KM627" s="302">
        <f>KM$467</f>
        <v>0</v>
      </c>
      <c r="KN627" s="302">
        <f>KN$467</f>
        <v>0</v>
      </c>
      <c r="KO627" s="302">
        <f>KO$467</f>
        <v>0</v>
      </c>
      <c r="KP627" s="302">
        <f>KP$467</f>
        <v>0</v>
      </c>
    </row>
    <row r="628" spans="1:302">
      <c r="A628" s="302"/>
      <c r="B628" s="117" t="s">
        <v>361</v>
      </c>
      <c r="D628" s="535" t="str">
        <f>D$468</f>
        <v>Tax revenue</v>
      </c>
      <c r="E628" s="537">
        <f>E$468</f>
        <v>15.9003</v>
      </c>
      <c r="F628" s="537">
        <f t="shared" ref="F628:AW628" si="533">F$468</f>
        <v>15.1754</v>
      </c>
      <c r="G628" s="537">
        <f t="shared" si="533"/>
        <v>22.451000000000001</v>
      </c>
      <c r="H628" s="537">
        <f t="shared" si="533"/>
        <v>19.007999999999999</v>
      </c>
      <c r="I628" s="537">
        <f t="shared" si="533"/>
        <v>18.420400000000001</v>
      </c>
      <c r="J628" s="537">
        <f t="shared" si="533"/>
        <v>25.304200000000002</v>
      </c>
      <c r="K628" s="537">
        <f t="shared" si="533"/>
        <v>17.343899999999998</v>
      </c>
      <c r="L628" s="537">
        <f t="shared" si="533"/>
        <v>18.981099999999998</v>
      </c>
      <c r="M628" s="537">
        <f t="shared" si="533"/>
        <v>22.213000000000001</v>
      </c>
      <c r="N628" s="537">
        <f t="shared" si="533"/>
        <v>18.811399999999999</v>
      </c>
      <c r="O628" s="537">
        <f t="shared" si="533"/>
        <v>20.230499999999999</v>
      </c>
      <c r="P628" s="537">
        <f t="shared" si="533"/>
        <v>23.9694</v>
      </c>
      <c r="Q628" s="537">
        <f t="shared" si="533"/>
        <v>21.110899999999997</v>
      </c>
      <c r="R628" s="537">
        <f t="shared" si="533"/>
        <v>20.690200000000001</v>
      </c>
      <c r="S628" s="537">
        <f t="shared" si="533"/>
        <v>26.64</v>
      </c>
      <c r="T628" s="537">
        <f t="shared" si="533"/>
        <v>23.484750000000002</v>
      </c>
      <c r="U628" s="537">
        <f t="shared" si="533"/>
        <v>23.641500000000001</v>
      </c>
      <c r="V628" s="537">
        <f t="shared" si="533"/>
        <v>35.311700000000002</v>
      </c>
      <c r="W628" s="537">
        <f t="shared" si="533"/>
        <v>24.373000000000001</v>
      </c>
      <c r="X628" s="537">
        <f t="shared" si="533"/>
        <v>24.683499999999999</v>
      </c>
      <c r="Y628" s="537">
        <f t="shared" si="533"/>
        <v>35.0578</v>
      </c>
      <c r="Z628" s="537">
        <f t="shared" si="533"/>
        <v>29.308399999999999</v>
      </c>
      <c r="AA628" s="537">
        <f t="shared" si="533"/>
        <v>25.883399999999998</v>
      </c>
      <c r="AB628" s="537">
        <f t="shared" si="533"/>
        <v>38.509300000000003</v>
      </c>
      <c r="AC628" s="537">
        <f t="shared" si="533"/>
        <v>28.049999999999997</v>
      </c>
      <c r="AD628" s="537">
        <f t="shared" si="533"/>
        <v>28.991200000000003</v>
      </c>
      <c r="AE628" s="537">
        <f t="shared" si="533"/>
        <v>34.087299999999999</v>
      </c>
      <c r="AF628" s="537">
        <f t="shared" si="533"/>
        <v>27.322800000000001</v>
      </c>
      <c r="AG628" s="537">
        <f t="shared" si="533"/>
        <v>27.106300000000001</v>
      </c>
      <c r="AH628" s="537">
        <f t="shared" si="533"/>
        <v>37.998499999999993</v>
      </c>
      <c r="AI628" s="537">
        <f t="shared" si="533"/>
        <v>26.509099999999997</v>
      </c>
      <c r="AJ628" s="537">
        <f t="shared" si="533"/>
        <v>27.122990000000001</v>
      </c>
      <c r="AK628" s="537">
        <f t="shared" si="533"/>
        <v>32.590400000000002</v>
      </c>
      <c r="AL628" s="537">
        <f t="shared" si="533"/>
        <v>26.6496</v>
      </c>
      <c r="AM628" s="537">
        <f t="shared" si="533"/>
        <v>29.381499999999996</v>
      </c>
      <c r="AN628" s="537">
        <f t="shared" si="533"/>
        <v>37.007300000000001</v>
      </c>
      <c r="AO628" s="537">
        <f t="shared" si="533"/>
        <v>29.107900000000001</v>
      </c>
      <c r="AP628" s="537">
        <f t="shared" si="533"/>
        <v>27.5167</v>
      </c>
      <c r="AQ628" s="537">
        <f t="shared" si="533"/>
        <v>44.653700000000001</v>
      </c>
      <c r="AR628" s="537">
        <f t="shared" si="533"/>
        <v>29.591200000000001</v>
      </c>
      <c r="AS628" s="537">
        <f t="shared" si="533"/>
        <v>28.273</v>
      </c>
      <c r="AT628" s="537">
        <f t="shared" si="533"/>
        <v>36.551200000000001</v>
      </c>
      <c r="AU628" s="537">
        <f t="shared" si="533"/>
        <v>31.125599999999999</v>
      </c>
      <c r="AV628" s="537">
        <f t="shared" si="533"/>
        <v>33.959099999999999</v>
      </c>
      <c r="AW628" s="537">
        <f t="shared" si="533"/>
        <v>38.682940000000002</v>
      </c>
      <c r="AX628" s="537">
        <f t="shared" ref="AX628:BP628" si="534">AX$468</f>
        <v>32.815300000000001</v>
      </c>
      <c r="AY628" s="537">
        <f t="shared" si="534"/>
        <v>35.209800000000001</v>
      </c>
      <c r="AZ628" s="537">
        <f t="shared" si="534"/>
        <v>45.302300000000002</v>
      </c>
      <c r="BA628" s="537">
        <f t="shared" si="534"/>
        <v>38.839300000000001</v>
      </c>
      <c r="BB628" s="537">
        <f t="shared" si="534"/>
        <v>31.636660000000003</v>
      </c>
      <c r="BC628" s="537">
        <f t="shared" si="534"/>
        <v>49.993160000000003</v>
      </c>
      <c r="BD628" s="537">
        <f t="shared" si="534"/>
        <v>36.662460000000003</v>
      </c>
      <c r="BE628" s="537">
        <f t="shared" si="534"/>
        <v>40.415650000000007</v>
      </c>
      <c r="BF628" s="537">
        <f t="shared" si="534"/>
        <v>48.833599999999997</v>
      </c>
      <c r="BG628" s="537">
        <f t="shared" si="534"/>
        <v>35.186429093799994</v>
      </c>
      <c r="BH628" s="537">
        <f t="shared" si="534"/>
        <v>41.686628809200002</v>
      </c>
      <c r="BI628" s="537">
        <f t="shared" si="534"/>
        <v>46.983398117900009</v>
      </c>
      <c r="BJ628" s="537">
        <f t="shared" si="534"/>
        <v>39.902200000000001</v>
      </c>
      <c r="BK628" s="537">
        <f t="shared" si="534"/>
        <v>42.28022</v>
      </c>
      <c r="BL628" s="537">
        <f t="shared" si="534"/>
        <v>52.609954999999999</v>
      </c>
      <c r="BM628" s="537">
        <f t="shared" si="534"/>
        <v>43.249299999999998</v>
      </c>
      <c r="BN628" s="537">
        <f t="shared" si="534"/>
        <v>43.165999999999997</v>
      </c>
      <c r="BO628" s="537">
        <f t="shared" si="534"/>
        <v>58.716899999999995</v>
      </c>
      <c r="BP628" s="537">
        <f t="shared" si="534"/>
        <v>43.5837</v>
      </c>
      <c r="BQ628" s="537">
        <f t="shared" ref="BQ628:DT628" si="535">BQ$468</f>
        <v>53.3812</v>
      </c>
      <c r="BR628" s="537">
        <f t="shared" si="535"/>
        <v>56.333399999999997</v>
      </c>
      <c r="BS628" s="537">
        <f t="shared" si="535"/>
        <v>45.601099999999995</v>
      </c>
      <c r="BT628" s="537">
        <f t="shared" si="535"/>
        <v>49.536300000000004</v>
      </c>
      <c r="BU628" s="537">
        <f t="shared" si="535"/>
        <v>55.069699999999997</v>
      </c>
      <c r="BV628" s="537">
        <f t="shared" si="535"/>
        <v>50.460338782147375</v>
      </c>
      <c r="BW628" s="537">
        <f t="shared" si="535"/>
        <v>47.73854370565882</v>
      </c>
      <c r="BX628" s="537">
        <f t="shared" si="535"/>
        <v>55.734871901255175</v>
      </c>
      <c r="BY628" s="537">
        <f t="shared" si="535"/>
        <v>50.75937849946633</v>
      </c>
      <c r="BZ628" s="537">
        <f t="shared" si="535"/>
        <v>50.630494762198431</v>
      </c>
      <c r="CA628" s="537">
        <f t="shared" si="535"/>
        <v>70.645197296430297</v>
      </c>
      <c r="CB628" s="537">
        <f t="shared" si="535"/>
        <v>50.480923714506467</v>
      </c>
      <c r="CC628" s="537">
        <f t="shared" si="535"/>
        <v>51.997049962222945</v>
      </c>
      <c r="CD628" s="539">
        <f t="shared" si="535"/>
        <v>72.8713855213188</v>
      </c>
      <c r="CE628" s="537">
        <f t="shared" si="535"/>
        <v>50.358473264697274</v>
      </c>
      <c r="CF628" s="537">
        <f t="shared" si="535"/>
        <v>56.400872537300785</v>
      </c>
      <c r="CG628" s="537">
        <f t="shared" si="535"/>
        <v>67.762531850293428</v>
      </c>
      <c r="CH628" s="537">
        <f t="shared" si="535"/>
        <v>56.569088801345231</v>
      </c>
      <c r="CI628" s="537">
        <f t="shared" si="535"/>
        <v>56.830358355824714</v>
      </c>
      <c r="CJ628" s="537">
        <f t="shared" si="535"/>
        <v>71.728807105693789</v>
      </c>
      <c r="CK628" s="537">
        <f t="shared" si="535"/>
        <v>62.628570289825042</v>
      </c>
      <c r="CL628" s="537">
        <f t="shared" si="535"/>
        <v>58.387859632163071</v>
      </c>
      <c r="CM628" s="537">
        <f t="shared" si="535"/>
        <v>67.667474816064214</v>
      </c>
      <c r="CN628" s="537">
        <f t="shared" si="535"/>
        <v>58.232361492253354</v>
      </c>
      <c r="CO628" s="537">
        <f t="shared" si="535"/>
        <v>64.576853616357624</v>
      </c>
      <c r="CP628" s="540">
        <f t="shared" si="535"/>
        <v>92.282024141505644</v>
      </c>
      <c r="CQ628" s="537">
        <f t="shared" si="535"/>
        <v>62.205020874423333</v>
      </c>
      <c r="CR628" s="537">
        <f t="shared" si="535"/>
        <v>61.577752156755217</v>
      </c>
      <c r="CS628" s="537">
        <f t="shared" si="535"/>
        <v>81.209225728722529</v>
      </c>
      <c r="CT628" s="537">
        <f t="shared" si="535"/>
        <v>60.439698774882224</v>
      </c>
      <c r="CU628" s="537">
        <f t="shared" si="535"/>
        <v>58.213373962794371</v>
      </c>
      <c r="CV628" s="537">
        <f t="shared" si="535"/>
        <v>82.503151977615133</v>
      </c>
      <c r="CW628" s="537">
        <f t="shared" si="535"/>
        <v>65.856604348482591</v>
      </c>
      <c r="CX628" s="537">
        <f t="shared" si="535"/>
        <v>58.716004557468082</v>
      </c>
      <c r="CY628" s="537">
        <f t="shared" si="535"/>
        <v>87.614972142911796</v>
      </c>
      <c r="CZ628" s="537">
        <f t="shared" si="535"/>
        <v>72.883829422090102</v>
      </c>
      <c r="DA628" s="537">
        <f t="shared" si="535"/>
        <v>68.82082806760269</v>
      </c>
      <c r="DB628" s="1516">
        <f t="shared" si="535"/>
        <v>98.309068731851184</v>
      </c>
      <c r="DC628" s="537">
        <f t="shared" si="535"/>
        <v>66.733951547846715</v>
      </c>
      <c r="DD628" s="537">
        <f t="shared" si="535"/>
        <v>68.245586880935548</v>
      </c>
      <c r="DE628" s="537">
        <f t="shared" si="535"/>
        <v>86.824346869568402</v>
      </c>
      <c r="DF628" s="537">
        <f t="shared" si="535"/>
        <v>77.768789279906329</v>
      </c>
      <c r="DG628" s="537">
        <f t="shared" si="535"/>
        <v>70.290688721549159</v>
      </c>
      <c r="DH628" s="537">
        <f t="shared" si="535"/>
        <v>94.437271875493849</v>
      </c>
      <c r="DI628" s="537">
        <f t="shared" si="535"/>
        <v>76.99888641831906</v>
      </c>
      <c r="DJ628" s="537">
        <f t="shared" si="535"/>
        <v>72.781232871814325</v>
      </c>
      <c r="DK628" s="537">
        <f t="shared" si="535"/>
        <v>113.69690742097913</v>
      </c>
      <c r="DL628" s="537">
        <f t="shared" si="535"/>
        <v>78.44569215335008</v>
      </c>
      <c r="DM628" s="537">
        <f t="shared" si="535"/>
        <v>78.436310386163555</v>
      </c>
      <c r="DN628" s="540">
        <f t="shared" si="535"/>
        <v>115.65428540618294</v>
      </c>
      <c r="DO628" s="537">
        <f t="shared" si="535"/>
        <v>70.001377174548537</v>
      </c>
      <c r="DP628" s="537">
        <f t="shared" si="535"/>
        <v>82.550819978066912</v>
      </c>
      <c r="DQ628" s="537">
        <f t="shared" si="535"/>
        <v>96.339551639584585</v>
      </c>
      <c r="DR628" s="537">
        <f t="shared" si="535"/>
        <v>75.236561436798738</v>
      </c>
      <c r="DS628" s="537">
        <f t="shared" si="535"/>
        <v>77.488918952174245</v>
      </c>
      <c r="DT628" s="537">
        <f t="shared" si="535"/>
        <v>106.98901336147306</v>
      </c>
      <c r="DU628" s="537"/>
      <c r="DV628" s="537"/>
      <c r="DW628" s="537"/>
      <c r="DX628" s="537"/>
      <c r="DY628" s="537"/>
      <c r="DZ628" s="540"/>
      <c r="EA628" s="537"/>
      <c r="EB628" s="537"/>
      <c r="EC628" s="537"/>
      <c r="ED628" s="537"/>
      <c r="EE628" s="537"/>
      <c r="EF628" s="537"/>
      <c r="EG628" s="537"/>
      <c r="EH628" s="537"/>
      <c r="EI628" s="537"/>
      <c r="EJ628" s="537"/>
      <c r="EK628" s="537"/>
      <c r="EL628" s="540"/>
      <c r="EM628" s="537"/>
      <c r="EN628" s="537"/>
      <c r="EO628" s="537"/>
      <c r="EP628" s="537"/>
      <c r="EQ628" s="537"/>
      <c r="ER628" s="537"/>
      <c r="ES628" s="537"/>
      <c r="ET628" s="537"/>
      <c r="EU628" s="537"/>
      <c r="EV628" s="537"/>
      <c r="EW628" s="537"/>
      <c r="EX628" s="540"/>
      <c r="EY628" s="537"/>
      <c r="EZ628" s="537"/>
      <c r="FA628" s="537"/>
      <c r="FB628" s="537"/>
      <c r="FC628" s="537"/>
      <c r="FD628" s="537"/>
      <c r="FE628" s="537"/>
      <c r="FF628" s="537"/>
      <c r="FG628" s="537"/>
      <c r="FH628" s="537"/>
      <c r="FI628" s="537"/>
      <c r="FJ628" s="540"/>
      <c r="FK628" s="537"/>
      <c r="FL628" s="537"/>
      <c r="FM628" s="537"/>
      <c r="FN628" s="537"/>
      <c r="FO628" s="537"/>
      <c r="FP628" s="537"/>
      <c r="FQ628" s="537"/>
      <c r="FR628" s="537"/>
      <c r="FS628" s="537"/>
      <c r="FT628" s="537"/>
      <c r="FU628" s="537"/>
      <c r="FV628" s="537"/>
      <c r="FW628" s="537"/>
      <c r="FX628" s="537"/>
      <c r="FY628" s="537"/>
      <c r="FZ628" s="537"/>
      <c r="GA628" s="537"/>
      <c r="GB628" s="537"/>
      <c r="GC628" s="537"/>
      <c r="GD628" s="537"/>
      <c r="GE628" s="537"/>
      <c r="GF628" s="537"/>
      <c r="GG628" s="537"/>
      <c r="GH628" s="537"/>
      <c r="GI628" s="537"/>
      <c r="GJ628" s="537"/>
      <c r="GK628" s="537"/>
      <c r="GL628" s="537"/>
      <c r="GM628" s="537"/>
      <c r="GN628" s="537"/>
      <c r="GO628" s="537"/>
      <c r="GP628" s="537"/>
      <c r="GQ628" s="537"/>
      <c r="GR628" s="537"/>
      <c r="GS628" s="537"/>
      <c r="GT628" s="537"/>
      <c r="GU628" s="537"/>
      <c r="GV628" s="537"/>
      <c r="GW628" s="537"/>
      <c r="GX628" s="537"/>
      <c r="GY628" s="537"/>
      <c r="GZ628" s="537"/>
      <c r="HA628" s="537"/>
      <c r="HB628" s="537"/>
      <c r="HC628" s="537"/>
      <c r="HD628" s="537"/>
      <c r="HE628" s="537"/>
      <c r="HF628" s="537"/>
      <c r="HG628" s="537"/>
      <c r="HH628" s="537"/>
      <c r="HI628" s="537"/>
      <c r="HJ628" s="537"/>
      <c r="HK628" s="537"/>
      <c r="HL628" s="537"/>
      <c r="HM628" s="537"/>
      <c r="HO628" s="537"/>
      <c r="HP628" s="537"/>
      <c r="HQ628" s="537"/>
      <c r="HR628" s="537">
        <f t="shared" ref="HR628:HW628" si="536">HR$468</f>
        <v>871.55680195799994</v>
      </c>
      <c r="HS628" s="302">
        <f t="shared" si="536"/>
        <v>406.14822347519282</v>
      </c>
      <c r="HT628" s="302">
        <f t="shared" si="536"/>
        <v>452.2013072704064</v>
      </c>
      <c r="HU628" s="537">
        <f t="shared" si="536"/>
        <v>858.34953074559928</v>
      </c>
      <c r="HV628" s="302">
        <f t="shared" si="536"/>
        <v>464.30063517529999</v>
      </c>
      <c r="HW628" s="302">
        <f t="shared" si="536"/>
        <v>536.01331465680903</v>
      </c>
      <c r="HX628" s="545">
        <f t="shared" ref="HX628:IJ628" si="537">HX$468</f>
        <v>1000.3139498321091</v>
      </c>
      <c r="HY628" s="302">
        <f t="shared" si="537"/>
        <v>508.60624254264599</v>
      </c>
      <c r="IA628" s="545">
        <f t="shared" si="537"/>
        <v>1104.143145074856</v>
      </c>
      <c r="ID628" s="544">
        <f t="shared" si="537"/>
        <v>1252.8836310898428</v>
      </c>
      <c r="IG628" s="544">
        <f t="shared" si="537"/>
        <v>1418.7907824792755</v>
      </c>
      <c r="IH628" s="350"/>
      <c r="II628" s="350"/>
      <c r="IJ628" s="544">
        <f t="shared" si="537"/>
        <v>1408.2817965614299</v>
      </c>
      <c r="IK628" s="350"/>
      <c r="IL628" s="350"/>
      <c r="IM628" s="544">
        <f>IM$468</f>
        <v>1459.87322506286</v>
      </c>
      <c r="IN628" s="350"/>
      <c r="IO628" s="350">
        <f>IO$468</f>
        <v>4033.4731886971208</v>
      </c>
      <c r="IP628" s="544" t="e">
        <f>#REF!</f>
        <v>#REF!</v>
      </c>
      <c r="IQ628" s="350">
        <f>IS$468</f>
        <v>10981.518626929459</v>
      </c>
      <c r="IR628" s="350">
        <f>IR$468</f>
        <v>5874.4285120603545</v>
      </c>
      <c r="IS628" s="544"/>
      <c r="IT628" s="350"/>
      <c r="IU628" s="350"/>
      <c r="IV628" s="544"/>
      <c r="IW628" s="350"/>
      <c r="IX628" s="350"/>
      <c r="IY628" s="544"/>
      <c r="KM628" s="302">
        <f>KM$468</f>
        <v>0</v>
      </c>
      <c r="KN628" s="302">
        <f>KN$468</f>
        <v>0</v>
      </c>
      <c r="KO628" s="302">
        <f>KO$468</f>
        <v>0</v>
      </c>
      <c r="KP628" s="302">
        <f>KP$468</f>
        <v>0</v>
      </c>
    </row>
    <row r="629" spans="1:302">
      <c r="A629" s="302"/>
      <c r="B629" s="117" t="s">
        <v>361</v>
      </c>
      <c r="D629" s="535" t="str">
        <f>D$485</f>
        <v>Non-tax revenue</v>
      </c>
      <c r="E629" s="537">
        <f>E$485</f>
        <v>0.63800000000000001</v>
      </c>
      <c r="F629" s="537">
        <f t="shared" ref="F629:AW629" si="538">F$485</f>
        <v>0.7</v>
      </c>
      <c r="G629" s="537">
        <f t="shared" si="538"/>
        <v>1.762</v>
      </c>
      <c r="H629" s="537">
        <f t="shared" si="538"/>
        <v>1.4554</v>
      </c>
      <c r="I629" s="537">
        <f t="shared" si="538"/>
        <v>2.4798</v>
      </c>
      <c r="J629" s="537">
        <f t="shared" si="538"/>
        <v>1.0267021159999998</v>
      </c>
      <c r="K629" s="537">
        <f t="shared" si="538"/>
        <v>1.325134963</v>
      </c>
      <c r="L629" s="537">
        <f t="shared" si="538"/>
        <v>1.1823786620000001</v>
      </c>
      <c r="M629" s="537">
        <f t="shared" si="538"/>
        <v>0.98812228499999999</v>
      </c>
      <c r="N629" s="537">
        <f t="shared" si="538"/>
        <v>1.0660012249999999</v>
      </c>
      <c r="O629" s="537">
        <f t="shared" si="538"/>
        <v>1.1473684370000001</v>
      </c>
      <c r="P629" s="537">
        <f t="shared" si="538"/>
        <v>1.3574988940000001</v>
      </c>
      <c r="Q629" s="537">
        <f t="shared" si="538"/>
        <v>1.0689663060000001</v>
      </c>
      <c r="R629" s="537">
        <f t="shared" si="538"/>
        <v>0.47417192699999999</v>
      </c>
      <c r="S629" s="537">
        <f t="shared" si="538"/>
        <v>0.59401257600000001</v>
      </c>
      <c r="T629" s="537">
        <f t="shared" si="538"/>
        <v>2.2699279219999999</v>
      </c>
      <c r="U629" s="537">
        <f t="shared" si="538"/>
        <v>0.88966176299999999</v>
      </c>
      <c r="V629" s="537">
        <f t="shared" si="538"/>
        <v>5.4689604989999996</v>
      </c>
      <c r="W629" s="537">
        <f t="shared" si="538"/>
        <v>0.74990719400000005</v>
      </c>
      <c r="X629" s="537">
        <f t="shared" si="538"/>
        <v>1.5054476299999999</v>
      </c>
      <c r="Y629" s="537">
        <f t="shared" si="538"/>
        <v>1.4978132929999999</v>
      </c>
      <c r="Z629" s="537">
        <f t="shared" si="538"/>
        <v>1.6170971139999999</v>
      </c>
      <c r="AA629" s="537">
        <f t="shared" si="538"/>
        <v>1.3022962629999999</v>
      </c>
      <c r="AB629" s="537">
        <f t="shared" si="538"/>
        <v>34.846184633</v>
      </c>
      <c r="AC629" s="537">
        <f t="shared" si="538"/>
        <v>1.26965459</v>
      </c>
      <c r="AD629" s="537">
        <f t="shared" si="538"/>
        <v>0.9598006309999999</v>
      </c>
      <c r="AE629" s="537">
        <f t="shared" si="538"/>
        <v>0.719049092</v>
      </c>
      <c r="AF629" s="537">
        <f t="shared" si="538"/>
        <v>1.8449459380000002</v>
      </c>
      <c r="AG629" s="537">
        <f t="shared" si="538"/>
        <v>2.6058473040000001</v>
      </c>
      <c r="AH629" s="537">
        <f t="shared" si="538"/>
        <v>2.7445247210000003</v>
      </c>
      <c r="AI629" s="537">
        <f t="shared" si="538"/>
        <v>0.74884155799999996</v>
      </c>
      <c r="AJ629" s="537">
        <f t="shared" si="538"/>
        <v>0.67060013699999999</v>
      </c>
      <c r="AK629" s="537">
        <f t="shared" si="538"/>
        <v>1.9345288390000002</v>
      </c>
      <c r="AL629" s="537">
        <f t="shared" si="538"/>
        <v>0.62467626199999993</v>
      </c>
      <c r="AM629" s="537">
        <f t="shared" si="538"/>
        <v>1.0847</v>
      </c>
      <c r="AN629" s="537">
        <f t="shared" si="538"/>
        <v>1.3372999999999999</v>
      </c>
      <c r="AO629" s="537">
        <f t="shared" si="538"/>
        <v>0.6570363589999999</v>
      </c>
      <c r="AP629" s="537">
        <f t="shared" si="538"/>
        <v>0.69221939599999993</v>
      </c>
      <c r="AQ629" s="537">
        <f t="shared" si="538"/>
        <v>1.9481469629999999</v>
      </c>
      <c r="AR629" s="537">
        <f t="shared" si="538"/>
        <v>1.2840613289999998</v>
      </c>
      <c r="AS629" s="537">
        <f t="shared" si="538"/>
        <v>2.9102779999999999</v>
      </c>
      <c r="AT629" s="537">
        <f t="shared" si="538"/>
        <v>1.1248757869999999</v>
      </c>
      <c r="AU629" s="537">
        <f t="shared" si="538"/>
        <v>0.74080391000000001</v>
      </c>
      <c r="AV629" s="537">
        <f t="shared" si="538"/>
        <v>2.293535125</v>
      </c>
      <c r="AW629" s="537">
        <f t="shared" si="538"/>
        <v>1.619269705</v>
      </c>
      <c r="AX629" s="537">
        <f t="shared" ref="AX629:BP629" si="539">AX$485</f>
        <v>1.573734736</v>
      </c>
      <c r="AY629" s="537">
        <f t="shared" si="539"/>
        <v>2.1192670589999998</v>
      </c>
      <c r="AZ629" s="537">
        <f t="shared" si="539"/>
        <v>1.159617195</v>
      </c>
      <c r="BA629" s="537">
        <f t="shared" si="539"/>
        <v>1.532982581</v>
      </c>
      <c r="BB629" s="537">
        <f t="shared" si="539"/>
        <v>0.82609032900000001</v>
      </c>
      <c r="BC629" s="537">
        <f t="shared" si="539"/>
        <v>1.6990638899999999</v>
      </c>
      <c r="BD629" s="537">
        <f t="shared" si="539"/>
        <v>1.0705552869999999</v>
      </c>
      <c r="BE629" s="537">
        <f t="shared" si="539"/>
        <v>1.855411997</v>
      </c>
      <c r="BF629" s="537">
        <f t="shared" si="539"/>
        <v>4.1324009269999999</v>
      </c>
      <c r="BG629" s="537">
        <f t="shared" si="539"/>
        <v>0.98216621900000001</v>
      </c>
      <c r="BH629" s="537">
        <f t="shared" si="539"/>
        <v>1.5476542690000001</v>
      </c>
      <c r="BI629" s="537">
        <f t="shared" si="539"/>
        <v>18.611308763</v>
      </c>
      <c r="BJ629" s="537">
        <f t="shared" si="539"/>
        <v>1.3096626769999999</v>
      </c>
      <c r="BK629" s="537">
        <f t="shared" si="539"/>
        <v>1.289319721</v>
      </c>
      <c r="BL629" s="537">
        <f t="shared" si="539"/>
        <v>1.814519301</v>
      </c>
      <c r="BM629" s="537">
        <f t="shared" si="539"/>
        <v>0.85594105399999998</v>
      </c>
      <c r="BN629" s="537">
        <f t="shared" si="539"/>
        <v>1.146992413</v>
      </c>
      <c r="BO629" s="537">
        <f t="shared" si="539"/>
        <v>1.326270515</v>
      </c>
      <c r="BP629" s="537">
        <f t="shared" si="539"/>
        <v>0.99352141500000002</v>
      </c>
      <c r="BQ629" s="537">
        <f t="shared" ref="BQ629:DT629" si="540">BQ$485</f>
        <v>3.2683603640000003</v>
      </c>
      <c r="BR629" s="537">
        <f t="shared" si="540"/>
        <v>1.603186861</v>
      </c>
      <c r="BS629" s="537">
        <f t="shared" si="540"/>
        <v>4.5739000000000001</v>
      </c>
      <c r="BT629" s="537">
        <f t="shared" si="540"/>
        <v>1.6313</v>
      </c>
      <c r="BU629" s="537">
        <f t="shared" si="540"/>
        <v>2.9528000000000003</v>
      </c>
      <c r="BV629" s="537">
        <f t="shared" si="540"/>
        <v>17.193684888484999</v>
      </c>
      <c r="BW629" s="537">
        <f t="shared" si="540"/>
        <v>1.4571766340000001</v>
      </c>
      <c r="BX629" s="537">
        <f t="shared" si="540"/>
        <v>14.251721727249999</v>
      </c>
      <c r="BY629" s="537">
        <f t="shared" si="540"/>
        <v>2.24969695945</v>
      </c>
      <c r="BZ629" s="537">
        <f t="shared" si="540"/>
        <v>2.018373279605</v>
      </c>
      <c r="CA629" s="537">
        <f t="shared" si="540"/>
        <v>17.57242797016</v>
      </c>
      <c r="CB629" s="537">
        <f t="shared" si="540"/>
        <v>3.2259754113740002</v>
      </c>
      <c r="CC629" s="537">
        <f t="shared" si="540"/>
        <v>3.8991865730000002</v>
      </c>
      <c r="CD629" s="539">
        <f t="shared" si="540"/>
        <v>12.456229765562</v>
      </c>
      <c r="CE629" s="537">
        <f t="shared" si="540"/>
        <v>10.472000000000001</v>
      </c>
      <c r="CF629" s="537">
        <f t="shared" si="540"/>
        <v>4.6310709642720003</v>
      </c>
      <c r="CG629" s="537">
        <f t="shared" si="540"/>
        <v>1.0840000000000001</v>
      </c>
      <c r="CH629" s="537">
        <f t="shared" si="540"/>
        <v>25.563350664405</v>
      </c>
      <c r="CI629" s="537">
        <f t="shared" si="540"/>
        <v>1.881</v>
      </c>
      <c r="CJ629" s="537">
        <f t="shared" si="540"/>
        <v>14.587791715239</v>
      </c>
      <c r="CK629" s="537">
        <f t="shared" si="540"/>
        <v>0.94499999999999995</v>
      </c>
      <c r="CL629" s="537">
        <f t="shared" si="540"/>
        <v>4.8629618529199998</v>
      </c>
      <c r="CM629" s="537">
        <f t="shared" si="540"/>
        <v>20.321441418391998</v>
      </c>
      <c r="CN629" s="537">
        <f t="shared" si="540"/>
        <v>1.7883200416640002</v>
      </c>
      <c r="CO629" s="537">
        <f t="shared" si="540"/>
        <v>2.8710656678419699</v>
      </c>
      <c r="CP629" s="540">
        <f t="shared" si="540"/>
        <v>21.436361426614216</v>
      </c>
      <c r="CQ629" s="537">
        <f t="shared" si="540"/>
        <v>0.79100000000000015</v>
      </c>
      <c r="CR629" s="537">
        <f t="shared" si="540"/>
        <v>3.7563615519562497</v>
      </c>
      <c r="CS629" s="537">
        <f t="shared" si="540"/>
        <v>3.8839999999999999</v>
      </c>
      <c r="CT629" s="537">
        <f t="shared" si="540"/>
        <v>12.68879818395687</v>
      </c>
      <c r="CU629" s="537">
        <f t="shared" si="540"/>
        <v>1.4751171243547898</v>
      </c>
      <c r="CV629" s="537">
        <f t="shared" si="540"/>
        <v>18.411874740465748</v>
      </c>
      <c r="CW629" s="537">
        <f t="shared" si="540"/>
        <v>11.367684637806196</v>
      </c>
      <c r="CX629" s="537">
        <f t="shared" si="540"/>
        <v>8.6401065097950003</v>
      </c>
      <c r="CY629" s="537">
        <f t="shared" si="540"/>
        <v>42.811966693337851</v>
      </c>
      <c r="CZ629" s="537">
        <f t="shared" si="540"/>
        <v>1.6637914325984489</v>
      </c>
      <c r="DA629" s="537">
        <f t="shared" si="540"/>
        <v>3.3558211264992943</v>
      </c>
      <c r="DB629" s="1516">
        <f t="shared" si="540"/>
        <v>22.226503742288347</v>
      </c>
      <c r="DC629" s="537">
        <f t="shared" si="540"/>
        <v>3.2357062895308539</v>
      </c>
      <c r="DD629" s="537">
        <f t="shared" si="540"/>
        <v>2.2745306210000003</v>
      </c>
      <c r="DE629" s="537">
        <f t="shared" si="540"/>
        <v>13.538169391189321</v>
      </c>
      <c r="DF629" s="537">
        <f t="shared" si="540"/>
        <v>25.970255474577556</v>
      </c>
      <c r="DG629" s="537">
        <f t="shared" si="540"/>
        <v>2.9217145879999999</v>
      </c>
      <c r="DH629" s="537">
        <f t="shared" si="540"/>
        <v>28.899659217306308</v>
      </c>
      <c r="DI629" s="537">
        <f t="shared" si="540"/>
        <v>4.8783868162208952</v>
      </c>
      <c r="DJ629" s="537">
        <f t="shared" si="540"/>
        <v>5.1171349970333333</v>
      </c>
      <c r="DK629" s="537">
        <f t="shared" si="540"/>
        <v>39.458440578257921</v>
      </c>
      <c r="DL629" s="537">
        <f t="shared" si="540"/>
        <v>5.5982327768414777</v>
      </c>
      <c r="DM629" s="537">
        <f t="shared" si="540"/>
        <v>5.6733429452304431</v>
      </c>
      <c r="DN629" s="540">
        <f t="shared" si="540"/>
        <v>30.030674571258459</v>
      </c>
      <c r="DO629" s="537">
        <f t="shared" si="540"/>
        <v>3.139226632351471</v>
      </c>
      <c r="DP629" s="537">
        <f t="shared" si="540"/>
        <v>4.3104308683223937</v>
      </c>
      <c r="DQ629" s="537">
        <f t="shared" si="540"/>
        <v>34.138396147278925</v>
      </c>
      <c r="DR629" s="537">
        <f t="shared" si="540"/>
        <v>8.4164002147518424</v>
      </c>
      <c r="DS629" s="537">
        <f t="shared" si="540"/>
        <v>4.3640479725797494</v>
      </c>
      <c r="DT629" s="537">
        <f t="shared" si="540"/>
        <v>36.080605316319414</v>
      </c>
      <c r="DU629" s="537"/>
      <c r="DV629" s="537"/>
      <c r="DW629" s="537"/>
      <c r="DX629" s="537"/>
      <c r="DY629" s="537"/>
      <c r="DZ629" s="540"/>
      <c r="EA629" s="537"/>
      <c r="EB629" s="537"/>
      <c r="EC629" s="537"/>
      <c r="ED629" s="537"/>
      <c r="EE629" s="537"/>
      <c r="EF629" s="537"/>
      <c r="EG629" s="537"/>
      <c r="EH629" s="537"/>
      <c r="EI629" s="537"/>
      <c r="EJ629" s="537"/>
      <c r="EK629" s="537"/>
      <c r="EL629" s="540"/>
      <c r="EM629" s="537"/>
      <c r="EN629" s="537"/>
      <c r="EO629" s="537"/>
      <c r="EP629" s="537"/>
      <c r="EQ629" s="537"/>
      <c r="ER629" s="537"/>
      <c r="ES629" s="537"/>
      <c r="ET629" s="537"/>
      <c r="EU629" s="537"/>
      <c r="EV629" s="537"/>
      <c r="EW629" s="537"/>
      <c r="EX629" s="540"/>
      <c r="EY629" s="537"/>
      <c r="EZ629" s="537"/>
      <c r="FA629" s="537"/>
      <c r="FB629" s="537"/>
      <c r="FC629" s="537"/>
      <c r="FD629" s="537"/>
      <c r="FE629" s="537"/>
      <c r="FF629" s="537"/>
      <c r="FG629" s="537"/>
      <c r="FH629" s="537"/>
      <c r="FI629" s="537"/>
      <c r="FJ629" s="540"/>
      <c r="FK629" s="537"/>
      <c r="FL629" s="537"/>
      <c r="FM629" s="537"/>
      <c r="FN629" s="537"/>
      <c r="FO629" s="537"/>
      <c r="FP629" s="537"/>
      <c r="FQ629" s="537"/>
      <c r="FR629" s="537"/>
      <c r="FS629" s="537"/>
      <c r="FT629" s="537"/>
      <c r="FU629" s="537"/>
      <c r="FV629" s="537"/>
      <c r="FW629" s="537"/>
      <c r="FX629" s="537"/>
      <c r="FY629" s="537"/>
      <c r="FZ629" s="537"/>
      <c r="GA629" s="537"/>
      <c r="GB629" s="537"/>
      <c r="GC629" s="537"/>
      <c r="GD629" s="537"/>
      <c r="GE629" s="537"/>
      <c r="GF629" s="537"/>
      <c r="GG629" s="537"/>
      <c r="GH629" s="537"/>
      <c r="GI629" s="537"/>
      <c r="GJ629" s="537"/>
      <c r="GK629" s="537"/>
      <c r="GL629" s="537"/>
      <c r="GM629" s="537"/>
      <c r="GN629" s="537"/>
      <c r="GO629" s="537"/>
      <c r="GP629" s="537"/>
      <c r="GQ629" s="537"/>
      <c r="GR629" s="537"/>
      <c r="GS629" s="537"/>
      <c r="GT629" s="537"/>
      <c r="GU629" s="537"/>
      <c r="GV629" s="537"/>
      <c r="GW629" s="537"/>
      <c r="GX629" s="537"/>
      <c r="GY629" s="537"/>
      <c r="GZ629" s="537"/>
      <c r="HA629" s="537"/>
      <c r="HB629" s="537"/>
      <c r="HC629" s="537"/>
      <c r="HD629" s="537"/>
      <c r="HE629" s="537"/>
      <c r="HF629" s="537"/>
      <c r="HG629" s="537"/>
      <c r="HH629" s="537"/>
      <c r="HI629" s="537"/>
      <c r="HJ629" s="537"/>
      <c r="HK629" s="537"/>
      <c r="HL629" s="537"/>
      <c r="HM629" s="537"/>
      <c r="HO629" s="537"/>
      <c r="HP629" s="537"/>
      <c r="HQ629" s="537"/>
      <c r="HR629" s="537">
        <f t="shared" ref="HR629:HW629" si="541">HR$485</f>
        <v>131.19999999999999</v>
      </c>
      <c r="HS629" s="302">
        <f t="shared" si="541"/>
        <v>41.00715160073365</v>
      </c>
      <c r="HT629" s="302">
        <f t="shared" si="541"/>
        <v>90.065874142325129</v>
      </c>
      <c r="HU629" s="537">
        <f t="shared" si="541"/>
        <v>131.07302574305879</v>
      </c>
      <c r="HV629" s="302">
        <f t="shared" si="541"/>
        <v>76.840035581604042</v>
      </c>
      <c r="HW629" s="302">
        <f t="shared" si="541"/>
        <v>90.756212684842524</v>
      </c>
      <c r="HX629" s="545">
        <f t="shared" ref="HX629:IJ629" si="542">HX$485</f>
        <v>167.59624826644657</v>
      </c>
      <c r="HY629" s="302">
        <f t="shared" si="542"/>
        <v>90.449107151603783</v>
      </c>
      <c r="IA629" s="545">
        <f t="shared" si="542"/>
        <v>181.4367004705814</v>
      </c>
      <c r="ID629" s="544">
        <f t="shared" si="542"/>
        <v>208.62012483249333</v>
      </c>
      <c r="IG629" s="544">
        <f t="shared" si="542"/>
        <v>251.41225829864834</v>
      </c>
      <c r="IH629" s="350"/>
      <c r="II629" s="350"/>
      <c r="IJ629" s="544">
        <f t="shared" si="542"/>
        <v>241.66689755569263</v>
      </c>
      <c r="IK629" s="350"/>
      <c r="IL629" s="350"/>
      <c r="IM629" s="544">
        <f>IM$485</f>
        <v>219.33821574565292</v>
      </c>
      <c r="IN629" s="350"/>
      <c r="IO629" s="350">
        <f>IO$485</f>
        <v>218.81126969198809</v>
      </c>
      <c r="IP629" s="544" t="e">
        <f>#REF!</f>
        <v>#REF!</v>
      </c>
      <c r="IQ629" s="350">
        <f>IS$485</f>
        <v>391.82431424025867</v>
      </c>
      <c r="IR629" s="350">
        <f>IR$485</f>
        <v>211.32236455417925</v>
      </c>
      <c r="IS629" s="544"/>
      <c r="IT629" s="350"/>
      <c r="IU629" s="350"/>
      <c r="IV629" s="544"/>
      <c r="IW629" s="350"/>
      <c r="IX629" s="350"/>
      <c r="IY629" s="544"/>
      <c r="KM629" s="302">
        <f>KM$485</f>
        <v>0</v>
      </c>
      <c r="KN629" s="302">
        <f>KN$485</f>
        <v>0</v>
      </c>
      <c r="KO629" s="302">
        <f>KO$485</f>
        <v>0</v>
      </c>
      <c r="KP629" s="302">
        <f>KP$485</f>
        <v>0</v>
      </c>
    </row>
    <row r="630" spans="1:302">
      <c r="A630" s="302"/>
      <c r="D630" s="535" t="str">
        <f>+FISC!D876</f>
        <v xml:space="preserve">      Of which: PKO revenue</v>
      </c>
      <c r="E630" s="537"/>
      <c r="F630" s="537"/>
      <c r="G630" s="537"/>
      <c r="H630" s="537"/>
      <c r="I630" s="537"/>
      <c r="J630" s="537"/>
      <c r="K630" s="537"/>
      <c r="L630" s="537"/>
      <c r="M630" s="537"/>
      <c r="N630" s="537"/>
      <c r="O630" s="537"/>
      <c r="P630" s="537"/>
      <c r="Q630" s="537"/>
      <c r="R630" s="537"/>
      <c r="S630" s="537"/>
      <c r="T630" s="537"/>
      <c r="U630" s="537"/>
      <c r="V630" s="537"/>
      <c r="W630" s="537"/>
      <c r="X630" s="537"/>
      <c r="Y630" s="537"/>
      <c r="Z630" s="537"/>
      <c r="AA630" s="537"/>
      <c r="AB630" s="537"/>
      <c r="AC630" s="537"/>
      <c r="AD630" s="537"/>
      <c r="AE630" s="537"/>
      <c r="AF630" s="537"/>
      <c r="AG630" s="537"/>
      <c r="AH630" s="537"/>
      <c r="AI630" s="537"/>
      <c r="AJ630" s="537"/>
      <c r="AK630" s="537"/>
      <c r="AL630" s="537"/>
      <c r="AM630" s="537"/>
      <c r="AN630" s="537"/>
      <c r="AO630" s="537"/>
      <c r="AP630" s="537"/>
      <c r="AQ630" s="537"/>
      <c r="AR630" s="537"/>
      <c r="AS630" s="537"/>
      <c r="AT630" s="537"/>
      <c r="AU630" s="537"/>
      <c r="AV630" s="537"/>
      <c r="AW630" s="537"/>
      <c r="AX630" s="537"/>
      <c r="AY630" s="537"/>
      <c r="AZ630" s="537"/>
      <c r="BA630" s="537"/>
      <c r="BB630" s="537"/>
      <c r="BC630" s="537"/>
      <c r="BD630" s="537"/>
      <c r="BE630" s="537"/>
      <c r="BF630" s="537"/>
      <c r="BG630" s="537"/>
      <c r="BH630" s="537"/>
      <c r="BI630" s="537"/>
      <c r="BJ630" s="537"/>
      <c r="BK630" s="537"/>
      <c r="BL630" s="537"/>
      <c r="BM630" s="537"/>
      <c r="BN630" s="537"/>
      <c r="BO630" s="537"/>
      <c r="BP630" s="537"/>
      <c r="BQ630" s="537"/>
      <c r="BR630" s="537"/>
      <c r="BS630" s="537"/>
      <c r="BT630" s="537"/>
      <c r="BU630" s="537"/>
      <c r="BV630" s="537"/>
      <c r="BW630" s="537"/>
      <c r="BX630" s="537"/>
      <c r="BY630" s="537"/>
      <c r="BZ630" s="537"/>
      <c r="CA630" s="537"/>
      <c r="CB630" s="537"/>
      <c r="CC630" s="537"/>
      <c r="CD630" s="539"/>
      <c r="CE630" s="537"/>
      <c r="CF630" s="537"/>
      <c r="CG630" s="537"/>
      <c r="CH630" s="537"/>
      <c r="CI630" s="537"/>
      <c r="CJ630" s="537"/>
      <c r="CK630" s="537"/>
      <c r="CL630" s="537"/>
      <c r="CM630" s="537"/>
      <c r="CN630" s="537"/>
      <c r="CO630" s="537"/>
      <c r="CP630" s="540"/>
      <c r="CQ630" s="537"/>
      <c r="CR630" s="537"/>
      <c r="CS630" s="537"/>
      <c r="CT630" s="537"/>
      <c r="CU630" s="537"/>
      <c r="CV630" s="537"/>
      <c r="CW630" s="537"/>
      <c r="CX630" s="537"/>
      <c r="CY630" s="537"/>
      <c r="CZ630" s="537"/>
      <c r="DA630" s="537"/>
      <c r="DB630" s="1516"/>
      <c r="DC630" s="537"/>
      <c r="DD630" s="537"/>
      <c r="DE630" s="537"/>
      <c r="DF630" s="537"/>
      <c r="DG630" s="537"/>
      <c r="DH630" s="537"/>
      <c r="DI630" s="537"/>
      <c r="DJ630" s="537"/>
      <c r="DK630" s="537"/>
      <c r="DL630" s="537"/>
      <c r="DM630" s="537"/>
      <c r="DN630" s="540"/>
      <c r="DO630" s="537"/>
      <c r="DP630" s="537"/>
      <c r="DQ630" s="537"/>
      <c r="DR630" s="537"/>
      <c r="DS630" s="537"/>
      <c r="DT630" s="537"/>
      <c r="DU630" s="537"/>
      <c r="DV630" s="537"/>
      <c r="DW630" s="537"/>
      <c r="DX630" s="537"/>
      <c r="DY630" s="537"/>
      <c r="DZ630" s="540"/>
      <c r="EA630" s="537"/>
      <c r="EB630" s="537"/>
      <c r="EC630" s="537"/>
      <c r="ED630" s="537"/>
      <c r="EE630" s="537"/>
      <c r="EF630" s="537"/>
      <c r="EG630" s="537"/>
      <c r="EH630" s="537"/>
      <c r="EI630" s="537"/>
      <c r="EJ630" s="537"/>
      <c r="EK630" s="537"/>
      <c r="EL630" s="540"/>
      <c r="EM630" s="537"/>
      <c r="EN630" s="537"/>
      <c r="EO630" s="537"/>
      <c r="EP630" s="537"/>
      <c r="EQ630" s="537"/>
      <c r="ER630" s="537"/>
      <c r="ES630" s="537"/>
      <c r="ET630" s="537"/>
      <c r="EU630" s="537"/>
      <c r="EV630" s="537"/>
      <c r="EW630" s="537"/>
      <c r="EX630" s="540"/>
      <c r="EY630" s="537"/>
      <c r="EZ630" s="537"/>
      <c r="FA630" s="537"/>
      <c r="FB630" s="537"/>
      <c r="FC630" s="537"/>
      <c r="FD630" s="537"/>
      <c r="FE630" s="537"/>
      <c r="FF630" s="537"/>
      <c r="FG630" s="537"/>
      <c r="FH630" s="537"/>
      <c r="FI630" s="537"/>
      <c r="FJ630" s="540"/>
      <c r="FK630" s="537"/>
      <c r="FL630" s="537"/>
      <c r="FM630" s="537"/>
      <c r="FN630" s="537"/>
      <c r="FO630" s="537"/>
      <c r="FP630" s="537"/>
      <c r="FQ630" s="537"/>
      <c r="FR630" s="537"/>
      <c r="FS630" s="537"/>
      <c r="FT630" s="537"/>
      <c r="FU630" s="537"/>
      <c r="FV630" s="537"/>
      <c r="FW630" s="537"/>
      <c r="FX630" s="537"/>
      <c r="FY630" s="537"/>
      <c r="FZ630" s="537"/>
      <c r="GA630" s="537"/>
      <c r="GB630" s="537"/>
      <c r="GC630" s="537"/>
      <c r="GD630" s="537"/>
      <c r="GE630" s="537"/>
      <c r="GF630" s="537"/>
      <c r="GG630" s="537"/>
      <c r="GH630" s="537"/>
      <c r="GI630" s="537"/>
      <c r="GJ630" s="537"/>
      <c r="GK630" s="537"/>
      <c r="GL630" s="537"/>
      <c r="GM630" s="537"/>
      <c r="GN630" s="537"/>
      <c r="GO630" s="537"/>
      <c r="GP630" s="537"/>
      <c r="GQ630" s="537"/>
      <c r="GR630" s="537"/>
      <c r="GS630" s="537"/>
      <c r="GT630" s="537"/>
      <c r="GU630" s="537"/>
      <c r="GV630" s="537"/>
      <c r="GW630" s="537"/>
      <c r="GX630" s="537"/>
      <c r="GY630" s="537"/>
      <c r="GZ630" s="537"/>
      <c r="HA630" s="537"/>
      <c r="HB630" s="537"/>
      <c r="HC630" s="537"/>
      <c r="HD630" s="537"/>
      <c r="HE630" s="537"/>
      <c r="HF630" s="537"/>
      <c r="HG630" s="537"/>
      <c r="HH630" s="537"/>
      <c r="HI630" s="537"/>
      <c r="HJ630" s="537"/>
      <c r="HK630" s="537"/>
      <c r="HL630" s="537"/>
      <c r="HM630" s="537"/>
      <c r="HO630" s="537"/>
      <c r="HP630" s="537"/>
      <c r="HQ630" s="537"/>
      <c r="HR630" s="537"/>
      <c r="HU630" s="537"/>
      <c r="HX630" s="545"/>
      <c r="IA630" s="545"/>
      <c r="ID630" s="544"/>
      <c r="IG630" s="544"/>
      <c r="IH630" s="350"/>
      <c r="II630" s="350"/>
      <c r="IJ630" s="544"/>
      <c r="IK630" s="350"/>
      <c r="IL630" s="350"/>
      <c r="IM630" s="544"/>
      <c r="IN630" s="350"/>
      <c r="IO630" s="350"/>
      <c r="IP630" s="544"/>
      <c r="IQ630" s="350"/>
      <c r="IR630" s="350"/>
      <c r="IS630" s="544"/>
      <c r="IT630" s="350"/>
      <c r="IU630" s="350"/>
      <c r="IV630" s="544"/>
      <c r="IW630" s="350"/>
      <c r="IX630" s="350"/>
      <c r="IY630" s="544"/>
    </row>
    <row r="631" spans="1:302">
      <c r="A631" s="302"/>
      <c r="B631" s="117" t="s">
        <v>361</v>
      </c>
      <c r="D631" s="541" t="str">
        <f>D$491</f>
        <v>Total Grants</v>
      </c>
      <c r="E631" s="537">
        <f>E$491</f>
        <v>1.029621313</v>
      </c>
      <c r="F631" s="537">
        <f t="shared" ref="F631:AW631" si="543">F$491</f>
        <v>2.941942955</v>
      </c>
      <c r="G631" s="537">
        <f t="shared" si="543"/>
        <v>20.246580340000001</v>
      </c>
      <c r="H631" s="537">
        <f t="shared" si="543"/>
        <v>3.9784480960000002</v>
      </c>
      <c r="I631" s="537">
        <f t="shared" si="543"/>
        <v>30.615913346000003</v>
      </c>
      <c r="J631" s="537">
        <f t="shared" si="543"/>
        <v>70.885551095000011</v>
      </c>
      <c r="K631" s="537">
        <f t="shared" si="543"/>
        <v>1.117198742</v>
      </c>
      <c r="L631" s="537">
        <f t="shared" si="543"/>
        <v>8.6625460630000006</v>
      </c>
      <c r="M631" s="537">
        <f t="shared" si="543"/>
        <v>21.153440543999999</v>
      </c>
      <c r="N631" s="537">
        <f t="shared" si="543"/>
        <v>10.274025655999999</v>
      </c>
      <c r="O631" s="537">
        <f t="shared" si="543"/>
        <v>2.0354303389999999</v>
      </c>
      <c r="P631" s="537">
        <f t="shared" si="543"/>
        <v>34.352027606</v>
      </c>
      <c r="Q631" s="537">
        <f t="shared" si="543"/>
        <v>7.0713269639999998</v>
      </c>
      <c r="R631" s="537">
        <f t="shared" si="543"/>
        <v>0</v>
      </c>
      <c r="S631" s="537">
        <f t="shared" si="543"/>
        <v>61.582229455999993</v>
      </c>
      <c r="T631" s="537">
        <f t="shared" si="543"/>
        <v>0.24031845799999998</v>
      </c>
      <c r="U631" s="537">
        <f t="shared" si="543"/>
        <v>36.651045891000003</v>
      </c>
      <c r="V631" s="537">
        <f t="shared" si="543"/>
        <v>51.632170015</v>
      </c>
      <c r="W631" s="537">
        <f t="shared" si="543"/>
        <v>1.813009278</v>
      </c>
      <c r="X631" s="537">
        <f t="shared" si="543"/>
        <v>8.8946221609999991</v>
      </c>
      <c r="Y631" s="537">
        <f t="shared" si="543"/>
        <v>31.20712941</v>
      </c>
      <c r="Z631" s="537">
        <f t="shared" si="543"/>
        <v>18.851372507000001</v>
      </c>
      <c r="AA631" s="537">
        <f t="shared" si="543"/>
        <v>2.7449506380000002</v>
      </c>
      <c r="AB631" s="537">
        <f t="shared" si="543"/>
        <v>59.087205908999991</v>
      </c>
      <c r="AC631" s="537">
        <f t="shared" si="543"/>
        <v>0</v>
      </c>
      <c r="AD631" s="537">
        <f t="shared" si="543"/>
        <v>7.5460620000000009</v>
      </c>
      <c r="AE631" s="537">
        <f t="shared" si="543"/>
        <v>31.075787542999997</v>
      </c>
      <c r="AF631" s="537">
        <f t="shared" si="543"/>
        <v>51.132849105999995</v>
      </c>
      <c r="AG631" s="537">
        <f t="shared" si="543"/>
        <v>1.922652555</v>
      </c>
      <c r="AH631" s="537">
        <f t="shared" si="543"/>
        <v>51.792859448000002</v>
      </c>
      <c r="AI631" s="537">
        <f t="shared" si="543"/>
        <v>13.403235237000001</v>
      </c>
      <c r="AJ631" s="537">
        <f t="shared" si="543"/>
        <v>3.5717679769999999</v>
      </c>
      <c r="AK631" s="537">
        <f t="shared" si="543"/>
        <v>76.057301081000006</v>
      </c>
      <c r="AL631" s="537">
        <f t="shared" si="543"/>
        <v>53.195301256</v>
      </c>
      <c r="AM631" s="537">
        <f t="shared" si="543"/>
        <v>7.5764551739999995</v>
      </c>
      <c r="AN631" s="537">
        <f t="shared" si="543"/>
        <v>50.122866396999989</v>
      </c>
      <c r="AO631" s="537">
        <f t="shared" si="543"/>
        <v>21.649201587</v>
      </c>
      <c r="AP631" s="537">
        <f t="shared" si="543"/>
        <v>0</v>
      </c>
      <c r="AQ631" s="537">
        <f t="shared" si="543"/>
        <v>35.321344279999998</v>
      </c>
      <c r="AR631" s="537">
        <f t="shared" si="543"/>
        <v>12.581843562</v>
      </c>
      <c r="AS631" s="537">
        <f t="shared" si="543"/>
        <v>9.056692696999999</v>
      </c>
      <c r="AT631" s="537">
        <f t="shared" si="543"/>
        <v>124.565289525</v>
      </c>
      <c r="AU631" s="537">
        <f t="shared" si="543"/>
        <v>6.1597314819999998</v>
      </c>
      <c r="AV631" s="537">
        <f t="shared" si="543"/>
        <v>4.7773699999999995</v>
      </c>
      <c r="AW631" s="537">
        <f t="shared" si="543"/>
        <v>92.922261999999989</v>
      </c>
      <c r="AX631" s="537">
        <f t="shared" ref="AX631:BP631" si="544">AX$491</f>
        <v>26.394771204000001</v>
      </c>
      <c r="AY631" s="537">
        <f t="shared" si="544"/>
        <v>6.9810858910000002</v>
      </c>
      <c r="AZ631" s="537">
        <f t="shared" si="544"/>
        <v>104.142312999</v>
      </c>
      <c r="BA631" s="537">
        <f t="shared" si="544"/>
        <v>0.531323502</v>
      </c>
      <c r="BB631" s="537">
        <f t="shared" si="544"/>
        <v>5.2342624570000007</v>
      </c>
      <c r="BC631" s="537">
        <f t="shared" si="544"/>
        <v>26.460102192000001</v>
      </c>
      <c r="BD631" s="537">
        <f t="shared" si="544"/>
        <v>67.936107326759995</v>
      </c>
      <c r="BE631" s="537">
        <f t="shared" si="544"/>
        <v>1.03516734123</v>
      </c>
      <c r="BF631" s="537">
        <f t="shared" si="544"/>
        <v>37.818550885999997</v>
      </c>
      <c r="BG631" s="537">
        <f t="shared" si="544"/>
        <v>41.011713339000003</v>
      </c>
      <c r="BH631" s="537">
        <f t="shared" si="544"/>
        <v>37.631219074000001</v>
      </c>
      <c r="BI631" s="537">
        <f t="shared" si="544"/>
        <v>58.204305503</v>
      </c>
      <c r="BJ631" s="537">
        <f t="shared" si="544"/>
        <v>76.582871436000005</v>
      </c>
      <c r="BK631" s="537">
        <f t="shared" si="544"/>
        <v>4.6969805640000004</v>
      </c>
      <c r="BL631" s="537">
        <f t="shared" si="544"/>
        <v>100.61895018300001</v>
      </c>
      <c r="BM631" s="537">
        <f t="shared" si="544"/>
        <v>2.2913186510000001</v>
      </c>
      <c r="BN631" s="537">
        <f t="shared" si="544"/>
        <v>4.1133515819999991</v>
      </c>
      <c r="BO631" s="537">
        <f t="shared" si="544"/>
        <v>39.880174020999995</v>
      </c>
      <c r="BP631" s="537">
        <f t="shared" si="544"/>
        <v>0.244489505</v>
      </c>
      <c r="BQ631" s="537">
        <f t="shared" ref="BQ631:DT631" si="545">BQ$491</f>
        <v>0.210040425</v>
      </c>
      <c r="BR631" s="537">
        <f t="shared" si="545"/>
        <v>99.473223590625764</v>
      </c>
      <c r="BS631" s="537">
        <f t="shared" si="545"/>
        <v>41.339599451901627</v>
      </c>
      <c r="BT631" s="537">
        <f t="shared" si="545"/>
        <v>14.863909459931111</v>
      </c>
      <c r="BU631" s="537">
        <f t="shared" si="545"/>
        <v>22.945002676272118</v>
      </c>
      <c r="BV631" s="537">
        <f t="shared" si="545"/>
        <v>48.35237651825814</v>
      </c>
      <c r="BW631" s="537">
        <f t="shared" si="545"/>
        <v>41.538890177774903</v>
      </c>
      <c r="BX631" s="537">
        <f t="shared" si="545"/>
        <v>32.074274932185176</v>
      </c>
      <c r="BY631" s="537">
        <f t="shared" si="545"/>
        <v>5.3243199074185432E-4</v>
      </c>
      <c r="BZ631" s="537">
        <f t="shared" si="545"/>
        <v>4.0420954691215796</v>
      </c>
      <c r="CA631" s="537">
        <f t="shared" si="545"/>
        <v>21.91745053152469</v>
      </c>
      <c r="CB631" s="537">
        <f t="shared" si="545"/>
        <v>37.905873518997652</v>
      </c>
      <c r="CC631" s="537">
        <f t="shared" si="545"/>
        <v>50.3250031442698</v>
      </c>
      <c r="CD631" s="539">
        <f t="shared" si="545"/>
        <v>43.125115180714218</v>
      </c>
      <c r="CE631" s="537">
        <f t="shared" si="545"/>
        <v>31.718805555905767</v>
      </c>
      <c r="CF631" s="537">
        <f t="shared" si="545"/>
        <v>38.907002073399845</v>
      </c>
      <c r="CG631" s="537">
        <f t="shared" si="545"/>
        <v>76.363794870817969</v>
      </c>
      <c r="CH631" s="537">
        <f t="shared" si="545"/>
        <v>48.656347242813837</v>
      </c>
      <c r="CI631" s="537">
        <f t="shared" si="545"/>
        <v>36.239050340761018</v>
      </c>
      <c r="CJ631" s="537">
        <f t="shared" si="545"/>
        <v>63.172935479123936</v>
      </c>
      <c r="CK631" s="537">
        <f t="shared" si="545"/>
        <v>22.819864211262146</v>
      </c>
      <c r="CL631" s="537">
        <f t="shared" si="545"/>
        <v>15.431886799263191</v>
      </c>
      <c r="CM631" s="537">
        <f t="shared" si="545"/>
        <v>15.611922068671143</v>
      </c>
      <c r="CN631" s="537">
        <f t="shared" si="545"/>
        <v>60.514631686105645</v>
      </c>
      <c r="CO631" s="537">
        <f t="shared" si="545"/>
        <v>36.823808733527677</v>
      </c>
      <c r="CP631" s="540">
        <f t="shared" si="545"/>
        <v>31.826695276293563</v>
      </c>
      <c r="CQ631" s="537">
        <f t="shared" si="545"/>
        <v>34.448433302576923</v>
      </c>
      <c r="CR631" s="537">
        <f t="shared" si="545"/>
        <v>20.63533699242986</v>
      </c>
      <c r="CS631" s="537">
        <f t="shared" si="545"/>
        <v>32.087946900292721</v>
      </c>
      <c r="CT631" s="537">
        <f t="shared" si="545"/>
        <v>27.612034403931105</v>
      </c>
      <c r="CU631" s="537">
        <f t="shared" si="545"/>
        <v>37.436683176818306</v>
      </c>
      <c r="CV631" s="537">
        <f t="shared" si="545"/>
        <v>88.698945014422492</v>
      </c>
      <c r="CW631" s="537">
        <f t="shared" si="545"/>
        <v>27.162065658790688</v>
      </c>
      <c r="CX631" s="537">
        <f t="shared" si="545"/>
        <v>20.746947771968355</v>
      </c>
      <c r="CY631" s="537">
        <f t="shared" si="545"/>
        <v>35.869115706465713</v>
      </c>
      <c r="CZ631" s="537">
        <f t="shared" si="545"/>
        <v>17.985062782443695</v>
      </c>
      <c r="DA631" s="537">
        <f t="shared" si="545"/>
        <v>51.934945825248548</v>
      </c>
      <c r="DB631" s="1516">
        <f t="shared" si="545"/>
        <v>21.276310773073181</v>
      </c>
      <c r="DC631" s="537">
        <f t="shared" si="545"/>
        <v>31.893560092813239</v>
      </c>
      <c r="DD631" s="537">
        <f t="shared" si="545"/>
        <v>25.169632982027082</v>
      </c>
      <c r="DE631" s="537">
        <f t="shared" si="545"/>
        <v>37.819658055842872</v>
      </c>
      <c r="DF631" s="537">
        <f t="shared" si="545"/>
        <v>3.04173503264987</v>
      </c>
      <c r="DG631" s="537">
        <f t="shared" si="545"/>
        <v>62.005850648357672</v>
      </c>
      <c r="DH631" s="537">
        <f t="shared" si="545"/>
        <v>39.696676979289592</v>
      </c>
      <c r="DI631" s="537">
        <f t="shared" si="545"/>
        <v>9.9860504808621329</v>
      </c>
      <c r="DJ631" s="537">
        <f t="shared" si="545"/>
        <v>14.546578813522158</v>
      </c>
      <c r="DK631" s="537">
        <f t="shared" si="545"/>
        <v>15.414975497675133</v>
      </c>
      <c r="DL631" s="537">
        <f t="shared" si="545"/>
        <v>65.233465502126222</v>
      </c>
      <c r="DM631" s="537">
        <f t="shared" si="545"/>
        <v>19.536411074481041</v>
      </c>
      <c r="DN631" s="540">
        <f t="shared" si="545"/>
        <v>49.4024151180801</v>
      </c>
      <c r="DO631" s="537">
        <f t="shared" si="545"/>
        <v>25.855145215194501</v>
      </c>
      <c r="DP631" s="537">
        <f t="shared" si="545"/>
        <v>8.1567739219616744</v>
      </c>
      <c r="DQ631" s="537">
        <f t="shared" si="545"/>
        <v>20.22672553938693</v>
      </c>
      <c r="DR631" s="537">
        <f t="shared" si="545"/>
        <v>3.3272886219530426</v>
      </c>
      <c r="DS631" s="537">
        <f t="shared" si="545"/>
        <v>16.246436408114487</v>
      </c>
      <c r="DT631" s="537">
        <f t="shared" si="545"/>
        <v>48.103489986870606</v>
      </c>
      <c r="DU631" s="537"/>
      <c r="DV631" s="537"/>
      <c r="DW631" s="537"/>
      <c r="DX631" s="537"/>
      <c r="DY631" s="537"/>
      <c r="DZ631" s="540"/>
      <c r="EA631" s="537"/>
      <c r="EB631" s="537"/>
      <c r="EC631" s="537"/>
      <c r="ED631" s="537"/>
      <c r="EE631" s="537"/>
      <c r="EF631" s="537"/>
      <c r="EG631" s="537"/>
      <c r="EH631" s="537"/>
      <c r="EI631" s="537"/>
      <c r="EJ631" s="537"/>
      <c r="EK631" s="537"/>
      <c r="EL631" s="540"/>
      <c r="EM631" s="537"/>
      <c r="EN631" s="537"/>
      <c r="EO631" s="537"/>
      <c r="EP631" s="537"/>
      <c r="EQ631" s="537"/>
      <c r="ER631" s="537"/>
      <c r="ES631" s="537"/>
      <c r="ET631" s="537"/>
      <c r="EU631" s="537"/>
      <c r="EV631" s="537"/>
      <c r="EW631" s="537"/>
      <c r="EX631" s="540"/>
      <c r="EY631" s="537"/>
      <c r="EZ631" s="537"/>
      <c r="FA631" s="537"/>
      <c r="FB631" s="537"/>
      <c r="FC631" s="537"/>
      <c r="FD631" s="537"/>
      <c r="FE631" s="537"/>
      <c r="FF631" s="537"/>
      <c r="FG631" s="537"/>
      <c r="FH631" s="537"/>
      <c r="FI631" s="537"/>
      <c r="FJ631" s="540"/>
      <c r="FK631" s="537"/>
      <c r="FL631" s="537"/>
      <c r="FM631" s="537"/>
      <c r="FN631" s="537"/>
      <c r="FO631" s="537"/>
      <c r="FP631" s="537"/>
      <c r="FQ631" s="537"/>
      <c r="FR631" s="537"/>
      <c r="FS631" s="537"/>
      <c r="FT631" s="537"/>
      <c r="FU631" s="537"/>
      <c r="FV631" s="537"/>
      <c r="FW631" s="537"/>
      <c r="FX631" s="537"/>
      <c r="FY631" s="537"/>
      <c r="FZ631" s="537"/>
      <c r="GA631" s="537"/>
      <c r="GB631" s="537"/>
      <c r="GC631" s="537"/>
      <c r="GD631" s="537"/>
      <c r="GE631" s="537"/>
      <c r="GF631" s="537"/>
      <c r="GG631" s="537"/>
      <c r="GH631" s="537"/>
      <c r="GI631" s="537"/>
      <c r="GJ631" s="537"/>
      <c r="GK631" s="537"/>
      <c r="GL631" s="537"/>
      <c r="GM631" s="537"/>
      <c r="GN631" s="537"/>
      <c r="GO631" s="537"/>
      <c r="GP631" s="537"/>
      <c r="GQ631" s="537"/>
      <c r="GR631" s="537"/>
      <c r="GS631" s="537"/>
      <c r="GT631" s="537"/>
      <c r="GU631" s="537"/>
      <c r="GV631" s="537"/>
      <c r="GW631" s="537"/>
      <c r="GX631" s="537"/>
      <c r="GY631" s="537"/>
      <c r="GZ631" s="537"/>
      <c r="HA631" s="537"/>
      <c r="HB631" s="537"/>
      <c r="HC631" s="537"/>
      <c r="HD631" s="537"/>
      <c r="HE631" s="537"/>
      <c r="HF631" s="537"/>
      <c r="HG631" s="537"/>
      <c r="HH631" s="537"/>
      <c r="HI631" s="537"/>
      <c r="HJ631" s="537"/>
      <c r="HK631" s="537"/>
      <c r="HL631" s="537"/>
      <c r="HM631" s="537"/>
      <c r="HO631" s="537"/>
      <c r="HP631" s="537"/>
      <c r="HQ631" s="537"/>
      <c r="HR631" s="537">
        <f t="shared" ref="HR631:HW631" si="546">HR$491</f>
        <v>415.91369751440271</v>
      </c>
      <c r="HS631" s="302">
        <f t="shared" si="546"/>
        <v>240.91937979047142</v>
      </c>
      <c r="HT631" s="302">
        <f t="shared" si="546"/>
        <v>174.9744485179902</v>
      </c>
      <c r="HU631" s="537">
        <f t="shared" si="546"/>
        <v>415.89382830846159</v>
      </c>
      <c r="HV631" s="302">
        <f t="shared" si="546"/>
        <v>199.62711379098033</v>
      </c>
      <c r="HW631" s="302">
        <f t="shared" si="546"/>
        <v>174.11989648674677</v>
      </c>
      <c r="HX631" s="545">
        <f t="shared" ref="HX631:IJ631" si="547">HX$491</f>
        <v>373.7470102777271</v>
      </c>
      <c r="HY631" s="302">
        <f t="shared" si="547"/>
        <v>121.91585969348124</v>
      </c>
      <c r="IA631" s="545">
        <f t="shared" si="547"/>
        <v>241.67406853472386</v>
      </c>
      <c r="ID631" s="544">
        <f t="shared" si="547"/>
        <v>358.90867686871047</v>
      </c>
      <c r="IG631" s="544">
        <f t="shared" si="547"/>
        <v>394.77362450431519</v>
      </c>
      <c r="IH631" s="350"/>
      <c r="II631" s="350"/>
      <c r="IJ631" s="544">
        <f t="shared" si="547"/>
        <v>432.08227787815542</v>
      </c>
      <c r="IK631" s="350"/>
      <c r="IL631" s="350"/>
      <c r="IM631" s="544">
        <f>IM$491</f>
        <v>492.32368499074391</v>
      </c>
      <c r="IN631" s="350"/>
      <c r="IO631" s="350">
        <f>IO$491</f>
        <v>496.18969731323097</v>
      </c>
      <c r="IP631" s="544" t="e">
        <f>#REF!</f>
        <v>#REF!</v>
      </c>
      <c r="IQ631" s="350">
        <f>IS$491</f>
        <v>711.29415295954027</v>
      </c>
      <c r="IR631" s="350">
        <f>IR$491</f>
        <v>436.40675363032256</v>
      </c>
      <c r="IS631" s="544"/>
      <c r="IT631" s="350"/>
      <c r="IU631" s="350"/>
      <c r="IV631" s="544"/>
      <c r="IW631" s="350"/>
      <c r="IX631" s="350"/>
      <c r="IY631" s="544"/>
      <c r="KM631" s="302">
        <f>KM$491</f>
        <v>0</v>
      </c>
      <c r="KN631" s="302">
        <f>KN$491</f>
        <v>0</v>
      </c>
      <c r="KO631" s="302">
        <f>KO$491</f>
        <v>0</v>
      </c>
      <c r="KP631" s="302">
        <f>KP$491</f>
        <v>0</v>
      </c>
    </row>
    <row r="632" spans="1:302">
      <c r="A632" s="302"/>
      <c r="B632" s="117" t="s">
        <v>361</v>
      </c>
      <c r="D632" s="535" t="str">
        <f>D$492</f>
        <v>Budgetary grants</v>
      </c>
      <c r="E632" s="537">
        <f>E$492</f>
        <v>1.029621313</v>
      </c>
      <c r="F632" s="537">
        <f t="shared" ref="F632:AW632" si="548">F$492</f>
        <v>2.941942955</v>
      </c>
      <c r="G632" s="537">
        <f t="shared" si="548"/>
        <v>1.1505803399999999</v>
      </c>
      <c r="H632" s="537">
        <f t="shared" si="548"/>
        <v>3.9784480960000002</v>
      </c>
      <c r="I632" s="537">
        <f t="shared" si="548"/>
        <v>30.615913346000003</v>
      </c>
      <c r="J632" s="537">
        <f t="shared" si="548"/>
        <v>51.965551095000002</v>
      </c>
      <c r="K632" s="537">
        <f t="shared" si="548"/>
        <v>1.117198742</v>
      </c>
      <c r="L632" s="537">
        <f t="shared" si="548"/>
        <v>8.6625460630000006</v>
      </c>
      <c r="M632" s="537">
        <f t="shared" si="548"/>
        <v>0.825440544</v>
      </c>
      <c r="N632" s="537">
        <f t="shared" si="548"/>
        <v>10.274025655999999</v>
      </c>
      <c r="O632" s="537">
        <f t="shared" si="548"/>
        <v>2.0354303389999999</v>
      </c>
      <c r="P632" s="537">
        <f t="shared" si="548"/>
        <v>18.696027606000001</v>
      </c>
      <c r="Q632" s="537">
        <f t="shared" si="548"/>
        <v>7.0713269639999998</v>
      </c>
      <c r="R632" s="537">
        <f t="shared" si="548"/>
        <v>0</v>
      </c>
      <c r="S632" s="537">
        <f t="shared" si="548"/>
        <v>47.972159455999993</v>
      </c>
      <c r="T632" s="537">
        <f t="shared" si="548"/>
        <v>0.24031845799999998</v>
      </c>
      <c r="U632" s="537">
        <f t="shared" si="548"/>
        <v>36.651045891000003</v>
      </c>
      <c r="V632" s="537">
        <f t="shared" si="548"/>
        <v>30.353750014999999</v>
      </c>
      <c r="W632" s="537">
        <f t="shared" si="548"/>
        <v>1.813009278</v>
      </c>
      <c r="X632" s="537">
        <f t="shared" si="548"/>
        <v>8.8946221609999991</v>
      </c>
      <c r="Y632" s="537">
        <f t="shared" si="548"/>
        <v>10.554829409999998</v>
      </c>
      <c r="Z632" s="537">
        <f t="shared" si="548"/>
        <v>18.851372507000001</v>
      </c>
      <c r="AA632" s="537">
        <f t="shared" si="548"/>
        <v>2.7449506380000002</v>
      </c>
      <c r="AB632" s="537">
        <f t="shared" si="548"/>
        <v>20.533005909</v>
      </c>
      <c r="AC632" s="537">
        <f t="shared" si="548"/>
        <v>0</v>
      </c>
      <c r="AD632" s="537">
        <f t="shared" si="548"/>
        <v>7.5460620000000009</v>
      </c>
      <c r="AE632" s="537">
        <f t="shared" si="548"/>
        <v>3.8527875429999998</v>
      </c>
      <c r="AF632" s="537">
        <f t="shared" si="548"/>
        <v>51.132849105999995</v>
      </c>
      <c r="AG632" s="537">
        <f t="shared" si="548"/>
        <v>1.922652555</v>
      </c>
      <c r="AH632" s="537">
        <f t="shared" si="548"/>
        <v>37.021962551999998</v>
      </c>
      <c r="AI632" s="537">
        <f t="shared" si="548"/>
        <v>13.403235237000001</v>
      </c>
      <c r="AJ632" s="537">
        <f t="shared" si="548"/>
        <v>3.5717679769999999</v>
      </c>
      <c r="AK632" s="537">
        <f t="shared" si="548"/>
        <v>44.113459689999999</v>
      </c>
      <c r="AL632" s="537">
        <f t="shared" si="548"/>
        <v>53.195301256</v>
      </c>
      <c r="AM632" s="537">
        <f t="shared" si="548"/>
        <v>7.5764551739999995</v>
      </c>
      <c r="AN632" s="537">
        <f t="shared" si="548"/>
        <v>10.268108200999999</v>
      </c>
      <c r="AO632" s="537">
        <f t="shared" si="548"/>
        <v>21.649201587</v>
      </c>
      <c r="AP632" s="537">
        <f t="shared" si="548"/>
        <v>0</v>
      </c>
      <c r="AQ632" s="537">
        <f t="shared" si="548"/>
        <v>8.0213442799999992</v>
      </c>
      <c r="AR632" s="537">
        <f t="shared" si="548"/>
        <v>12.581843562</v>
      </c>
      <c r="AS632" s="537">
        <f t="shared" si="548"/>
        <v>9.056692696999999</v>
      </c>
      <c r="AT632" s="537">
        <f t="shared" si="548"/>
        <v>97.265289525</v>
      </c>
      <c r="AU632" s="537">
        <f t="shared" si="548"/>
        <v>6.1597314819999998</v>
      </c>
      <c r="AV632" s="537">
        <f t="shared" si="548"/>
        <v>4.7773699999999995</v>
      </c>
      <c r="AW632" s="537">
        <f t="shared" si="548"/>
        <v>58.822261999999988</v>
      </c>
      <c r="AX632" s="537">
        <f t="shared" ref="AX632:BP632" si="549">AX$492</f>
        <v>26.394771204000001</v>
      </c>
      <c r="AY632" s="537">
        <f t="shared" si="549"/>
        <v>6.9810858910000002</v>
      </c>
      <c r="AZ632" s="537">
        <f t="shared" si="549"/>
        <v>24.142312999000001</v>
      </c>
      <c r="BA632" s="537">
        <f t="shared" si="549"/>
        <v>0.531323502</v>
      </c>
      <c r="BB632" s="537">
        <f t="shared" si="549"/>
        <v>5.2342624570000007</v>
      </c>
      <c r="BC632" s="537">
        <f t="shared" si="549"/>
        <v>1.0111021920000001</v>
      </c>
      <c r="BD632" s="537">
        <f t="shared" si="549"/>
        <v>67.936107326759995</v>
      </c>
      <c r="BE632" s="537">
        <f t="shared" si="549"/>
        <v>1.03516734123</v>
      </c>
      <c r="BF632" s="537">
        <f t="shared" si="549"/>
        <v>13.367550886</v>
      </c>
      <c r="BG632" s="537">
        <f t="shared" si="549"/>
        <v>41.011713339000003</v>
      </c>
      <c r="BH632" s="537">
        <f t="shared" si="549"/>
        <v>37.631219074000001</v>
      </c>
      <c r="BI632" s="537">
        <f t="shared" si="549"/>
        <v>29.764305502999996</v>
      </c>
      <c r="BJ632" s="537">
        <f t="shared" si="549"/>
        <v>25.662271436000001</v>
      </c>
      <c r="BK632" s="537">
        <f t="shared" si="549"/>
        <v>4.6969805640000004</v>
      </c>
      <c r="BL632" s="537">
        <f t="shared" si="549"/>
        <v>72.178950183000012</v>
      </c>
      <c r="BM632" s="537">
        <f t="shared" si="549"/>
        <v>2.2913186510000001</v>
      </c>
      <c r="BN632" s="537">
        <f t="shared" si="549"/>
        <v>4.1133515819999991</v>
      </c>
      <c r="BO632" s="537">
        <f t="shared" si="549"/>
        <v>11.480174020999998</v>
      </c>
      <c r="BP632" s="537">
        <f t="shared" si="549"/>
        <v>0.244489505</v>
      </c>
      <c r="BQ632" s="537">
        <f t="shared" ref="BQ632:DT632" si="550">BQ$492</f>
        <v>0.210040425</v>
      </c>
      <c r="BR632" s="537">
        <f t="shared" si="550"/>
        <v>36.401174263000001</v>
      </c>
      <c r="BS632" s="537">
        <f t="shared" si="550"/>
        <v>29.136299999999999</v>
      </c>
      <c r="BT632" s="537">
        <f t="shared" si="550"/>
        <v>5.0500000000000003E-2</v>
      </c>
      <c r="BU632" s="537">
        <f t="shared" si="550"/>
        <v>16.354800000000001</v>
      </c>
      <c r="BV632" s="537">
        <f t="shared" si="550"/>
        <v>40.385982536352834</v>
      </c>
      <c r="BW632" s="537">
        <f t="shared" si="550"/>
        <v>0</v>
      </c>
      <c r="BX632" s="537">
        <f t="shared" si="550"/>
        <v>3.0729541479283036</v>
      </c>
      <c r="BY632" s="537">
        <f t="shared" si="550"/>
        <v>5.260235500000876E-4</v>
      </c>
      <c r="BZ632" s="537">
        <f t="shared" si="550"/>
        <v>9.1826426500000002E-2</v>
      </c>
      <c r="CA632" s="537">
        <f t="shared" si="550"/>
        <v>12.982690138090351</v>
      </c>
      <c r="CB632" s="537">
        <f t="shared" si="550"/>
        <v>31.033814600552404</v>
      </c>
      <c r="CC632" s="537">
        <f t="shared" si="550"/>
        <v>17.757997552074478</v>
      </c>
      <c r="CD632" s="539">
        <f t="shared" si="550"/>
        <v>32.66273206789338</v>
      </c>
      <c r="CE632" s="537">
        <f t="shared" si="550"/>
        <v>11.074034852134075</v>
      </c>
      <c r="CF632" s="537">
        <f t="shared" si="550"/>
        <v>32.700150377666034</v>
      </c>
      <c r="CG632" s="537">
        <f t="shared" si="550"/>
        <v>42.709039008523469</v>
      </c>
      <c r="CH632" s="537">
        <f t="shared" si="550"/>
        <v>8.4914818258642306</v>
      </c>
      <c r="CI632" s="537">
        <f t="shared" si="550"/>
        <v>2.9367541546255658</v>
      </c>
      <c r="CJ632" s="537">
        <f t="shared" si="550"/>
        <v>39.867508568122986</v>
      </c>
      <c r="CK632" s="537">
        <f t="shared" si="550"/>
        <v>0.4505358125808413</v>
      </c>
      <c r="CL632" s="537">
        <f t="shared" si="550"/>
        <v>6.1572929790496084E-2</v>
      </c>
      <c r="CM632" s="537">
        <f t="shared" si="550"/>
        <v>0.3515643368251512</v>
      </c>
      <c r="CN632" s="537">
        <f t="shared" si="550"/>
        <v>5.4330064326454339</v>
      </c>
      <c r="CO632" s="537">
        <f t="shared" si="550"/>
        <v>20.722085809617504</v>
      </c>
      <c r="CP632" s="540">
        <f t="shared" si="550"/>
        <v>10.027234982980973</v>
      </c>
      <c r="CQ632" s="537">
        <f t="shared" si="550"/>
        <v>17.574926579780833</v>
      </c>
      <c r="CR632" s="537">
        <f t="shared" si="550"/>
        <v>6.1004475483840262E-2</v>
      </c>
      <c r="CS632" s="537">
        <f t="shared" si="550"/>
        <v>18.410786140034833</v>
      </c>
      <c r="CT632" s="537">
        <f t="shared" si="550"/>
        <v>4.6459715500613363</v>
      </c>
      <c r="CU632" s="537">
        <f t="shared" si="550"/>
        <v>11.644424817805959</v>
      </c>
      <c r="CV632" s="537">
        <f t="shared" si="550"/>
        <v>63.104221270265896</v>
      </c>
      <c r="CW632" s="537">
        <f t="shared" si="550"/>
        <v>8.3267635304785639</v>
      </c>
      <c r="CX632" s="537">
        <f t="shared" si="550"/>
        <v>5.3526167373176385E-2</v>
      </c>
      <c r="CY632" s="537">
        <f t="shared" si="550"/>
        <v>17.62001316069103</v>
      </c>
      <c r="CZ632" s="537">
        <f t="shared" si="550"/>
        <v>5.4375696773941051</v>
      </c>
      <c r="DA632" s="537">
        <f t="shared" si="550"/>
        <v>27.297930233327257</v>
      </c>
      <c r="DB632" s="1516">
        <f t="shared" si="550"/>
        <v>0.68299319136206749</v>
      </c>
      <c r="DC632" s="537">
        <f t="shared" si="550"/>
        <v>18.500350525863201</v>
      </c>
      <c r="DD632" s="537">
        <f t="shared" si="550"/>
        <v>6.1547591233999999</v>
      </c>
      <c r="DE632" s="537">
        <f t="shared" si="550"/>
        <v>21.85774148142</v>
      </c>
      <c r="DF632" s="537">
        <f t="shared" si="550"/>
        <v>0.27488678799999999</v>
      </c>
      <c r="DG632" s="537">
        <f t="shared" si="550"/>
        <v>33.148919335843495</v>
      </c>
      <c r="DH632" s="537">
        <f t="shared" si="550"/>
        <v>22.95045653645364</v>
      </c>
      <c r="DI632" s="537">
        <f t="shared" si="550"/>
        <v>0.45384504142463566</v>
      </c>
      <c r="DJ632" s="537">
        <f t="shared" si="550"/>
        <v>3.0471868759055294</v>
      </c>
      <c r="DK632" s="537">
        <f t="shared" si="550"/>
        <v>0.34657287472925635</v>
      </c>
      <c r="DL632" s="537">
        <f t="shared" si="550"/>
        <v>54.368579620764223</v>
      </c>
      <c r="DM632" s="537">
        <f t="shared" si="550"/>
        <v>0.23876751243749914</v>
      </c>
      <c r="DN632" s="540">
        <f t="shared" si="550"/>
        <v>43.464944561485638</v>
      </c>
      <c r="DO632" s="537">
        <f t="shared" si="550"/>
        <v>21.286172955145268</v>
      </c>
      <c r="DP632" s="537">
        <f t="shared" si="550"/>
        <v>6.15912446300276</v>
      </c>
      <c r="DQ632" s="537">
        <f t="shared" si="550"/>
        <v>0.36889618367652649</v>
      </c>
      <c r="DR632" s="537">
        <f t="shared" si="550"/>
        <v>0.3018041686636207</v>
      </c>
      <c r="DS632" s="537">
        <f t="shared" si="550"/>
        <v>16.246436408114487</v>
      </c>
      <c r="DT632" s="537">
        <f t="shared" si="550"/>
        <v>48.103489986870606</v>
      </c>
      <c r="DU632" s="537"/>
      <c r="DV632" s="537"/>
      <c r="DW632" s="537"/>
      <c r="DX632" s="537"/>
      <c r="DY632" s="537"/>
      <c r="DZ632" s="540"/>
      <c r="EA632" s="537"/>
      <c r="EB632" s="537"/>
      <c r="EC632" s="537"/>
      <c r="ED632" s="537"/>
      <c r="EE632" s="537"/>
      <c r="EF632" s="537"/>
      <c r="EG632" s="537"/>
      <c r="EH632" s="537"/>
      <c r="EI632" s="537"/>
      <c r="EJ632" s="537"/>
      <c r="EK632" s="537"/>
      <c r="EL632" s="540"/>
      <c r="EM632" s="537"/>
      <c r="EN632" s="537"/>
      <c r="EO632" s="537"/>
      <c r="EP632" s="537"/>
      <c r="EQ632" s="537"/>
      <c r="ER632" s="537"/>
      <c r="ES632" s="537"/>
      <c r="ET632" s="537"/>
      <c r="EU632" s="537"/>
      <c r="EV632" s="537"/>
      <c r="EW632" s="537"/>
      <c r="EX632" s="540"/>
      <c r="EY632" s="537"/>
      <c r="EZ632" s="537"/>
      <c r="FA632" s="537"/>
      <c r="FB632" s="537"/>
      <c r="FC632" s="537"/>
      <c r="FD632" s="537"/>
      <c r="FE632" s="537"/>
      <c r="FF632" s="537"/>
      <c r="FG632" s="537"/>
      <c r="FH632" s="537"/>
      <c r="FI632" s="537"/>
      <c r="FJ632" s="540"/>
      <c r="FK632" s="537"/>
      <c r="FL632" s="537"/>
      <c r="FM632" s="537"/>
      <c r="FN632" s="537"/>
      <c r="FO632" s="537"/>
      <c r="FP632" s="537"/>
      <c r="FQ632" s="537"/>
      <c r="FR632" s="537"/>
      <c r="FS632" s="537"/>
      <c r="FT632" s="537"/>
      <c r="FU632" s="537"/>
      <c r="FV632" s="537"/>
      <c r="FW632" s="537"/>
      <c r="FX632" s="537"/>
      <c r="FY632" s="537"/>
      <c r="FZ632" s="537"/>
      <c r="GA632" s="537"/>
      <c r="GB632" s="537"/>
      <c r="GC632" s="537"/>
      <c r="GD632" s="537"/>
      <c r="GE632" s="537"/>
      <c r="GF632" s="537"/>
      <c r="GG632" s="537"/>
      <c r="GH632" s="537"/>
      <c r="GI632" s="537"/>
      <c r="GJ632" s="537"/>
      <c r="GK632" s="537"/>
      <c r="GL632" s="537"/>
      <c r="GM632" s="537"/>
      <c r="GN632" s="537"/>
      <c r="GO632" s="537"/>
      <c r="GP632" s="537"/>
      <c r="GQ632" s="537"/>
      <c r="GR632" s="537"/>
      <c r="GS632" s="537"/>
      <c r="GT632" s="537"/>
      <c r="GU632" s="537"/>
      <c r="GV632" s="537"/>
      <c r="GW632" s="537"/>
      <c r="GX632" s="537"/>
      <c r="GY632" s="537"/>
      <c r="GZ632" s="537"/>
      <c r="HA632" s="537"/>
      <c r="HB632" s="537"/>
      <c r="HC632" s="537"/>
      <c r="HD632" s="537"/>
      <c r="HE632" s="537"/>
      <c r="HF632" s="537"/>
      <c r="HG632" s="537"/>
      <c r="HH632" s="537"/>
      <c r="HI632" s="537"/>
      <c r="HJ632" s="537"/>
      <c r="HK632" s="537"/>
      <c r="HL632" s="537"/>
      <c r="HM632" s="537"/>
      <c r="HO632" s="537"/>
      <c r="HP632" s="537"/>
      <c r="HQ632" s="537"/>
      <c r="HR632" s="537">
        <f t="shared" ref="HR632:HW632" si="551">HR$492</f>
        <v>174.88</v>
      </c>
      <c r="HS632" s="302">
        <f t="shared" si="551"/>
        <v>115.44133483343271</v>
      </c>
      <c r="HT632" s="302">
        <f t="shared" si="551"/>
        <v>59.418795960626198</v>
      </c>
      <c r="HU632" s="537">
        <f t="shared" si="551"/>
        <v>174.86013079405888</v>
      </c>
      <c r="HV632" s="302">
        <f t="shared" si="551"/>
        <v>102.88711379098034</v>
      </c>
      <c r="HW632" s="302">
        <f t="shared" si="551"/>
        <v>101.91989648674678</v>
      </c>
      <c r="HX632" s="545">
        <f t="shared" ref="HX632:IJ632" si="552">HX$492</f>
        <v>204.8070102777271</v>
      </c>
      <c r="HY632" s="302">
        <f t="shared" si="552"/>
        <v>92.465924165473268</v>
      </c>
      <c r="IA632" s="545">
        <f t="shared" si="552"/>
        <v>184.18208394651853</v>
      </c>
      <c r="ID632" s="544">
        <f t="shared" si="552"/>
        <v>190.19867686871044</v>
      </c>
      <c r="IG632" s="544">
        <f t="shared" si="552"/>
        <v>161.6980925101455</v>
      </c>
      <c r="IH632" s="350"/>
      <c r="II632" s="350"/>
      <c r="IJ632" s="544">
        <f t="shared" si="552"/>
        <v>172.38765230665402</v>
      </c>
      <c r="IK632" s="350"/>
      <c r="IL632" s="350"/>
      <c r="IM632" s="544">
        <f>IM$492</f>
        <v>203.37815939767054</v>
      </c>
      <c r="IN632" s="350"/>
      <c r="IO632" s="350">
        <f>IO$492</f>
        <v>344.947284654067</v>
      </c>
      <c r="IP632" s="544" t="e">
        <f>#REF!</f>
        <v>#REF!</v>
      </c>
      <c r="IQ632" s="350">
        <f>IS$492</f>
        <v>304.31395953240502</v>
      </c>
      <c r="IR632" s="350">
        <f>IR$492</f>
        <v>215.11329668947656</v>
      </c>
      <c r="IS632" s="544"/>
      <c r="IT632" s="350"/>
      <c r="IU632" s="350"/>
      <c r="IV632" s="544"/>
      <c r="IW632" s="350"/>
      <c r="IX632" s="350"/>
      <c r="IY632" s="544"/>
      <c r="KM632" s="302">
        <f>KM$492</f>
        <v>0</v>
      </c>
      <c r="KN632" s="302">
        <f>KN$492</f>
        <v>0</v>
      </c>
      <c r="KO632" s="302">
        <f>KO$492</f>
        <v>0</v>
      </c>
      <c r="KP632" s="302">
        <f>KP$492</f>
        <v>0</v>
      </c>
    </row>
    <row r="633" spans="1:302">
      <c r="A633" s="302"/>
      <c r="B633" s="117" t="s">
        <v>361</v>
      </c>
      <c r="D633" s="535" t="str">
        <f>D$497</f>
        <v>Capital grants</v>
      </c>
      <c r="E633" s="537">
        <f>E$497</f>
        <v>0</v>
      </c>
      <c r="F633" s="537">
        <f t="shared" ref="F633:L633" si="553">F$497</f>
        <v>0</v>
      </c>
      <c r="G633" s="537">
        <f t="shared" si="553"/>
        <v>19.096</v>
      </c>
      <c r="H633" s="537">
        <f t="shared" si="553"/>
        <v>0</v>
      </c>
      <c r="I633" s="537">
        <f t="shared" si="553"/>
        <v>0</v>
      </c>
      <c r="J633" s="537">
        <f t="shared" si="553"/>
        <v>18.920000000000002</v>
      </c>
      <c r="K633" s="537">
        <f t="shared" si="553"/>
        <v>0</v>
      </c>
      <c r="L633" s="537">
        <f t="shared" si="553"/>
        <v>0</v>
      </c>
      <c r="M633" s="537">
        <f t="shared" ref="M633:AW633" si="554">M$497</f>
        <v>20.327999999999999</v>
      </c>
      <c r="N633" s="537">
        <f t="shared" si="554"/>
        <v>0</v>
      </c>
      <c r="O633" s="537">
        <f t="shared" si="554"/>
        <v>0</v>
      </c>
      <c r="P633" s="537">
        <f t="shared" si="554"/>
        <v>15.656000000000001</v>
      </c>
      <c r="Q633" s="537">
        <f t="shared" si="554"/>
        <v>0</v>
      </c>
      <c r="R633" s="537">
        <f t="shared" si="554"/>
        <v>0</v>
      </c>
      <c r="S633" s="537">
        <f t="shared" si="554"/>
        <v>13.61007</v>
      </c>
      <c r="T633" s="537">
        <f t="shared" si="554"/>
        <v>0</v>
      </c>
      <c r="U633" s="537">
        <f t="shared" si="554"/>
        <v>0</v>
      </c>
      <c r="V633" s="537">
        <f t="shared" si="554"/>
        <v>21.278419999999997</v>
      </c>
      <c r="W633" s="537">
        <f t="shared" si="554"/>
        <v>0</v>
      </c>
      <c r="X633" s="537">
        <f t="shared" si="554"/>
        <v>0</v>
      </c>
      <c r="Y633" s="537">
        <f t="shared" si="554"/>
        <v>20.6523</v>
      </c>
      <c r="Z633" s="537">
        <f t="shared" si="554"/>
        <v>0</v>
      </c>
      <c r="AA633" s="537">
        <f t="shared" si="554"/>
        <v>0</v>
      </c>
      <c r="AB633" s="537">
        <f t="shared" si="554"/>
        <v>38.554199999999994</v>
      </c>
      <c r="AC633" s="537">
        <f t="shared" si="554"/>
        <v>0</v>
      </c>
      <c r="AD633" s="537">
        <f t="shared" si="554"/>
        <v>0</v>
      </c>
      <c r="AE633" s="537">
        <f t="shared" si="554"/>
        <v>27.222999999999999</v>
      </c>
      <c r="AF633" s="537">
        <f t="shared" si="554"/>
        <v>0</v>
      </c>
      <c r="AG633" s="537">
        <f t="shared" si="554"/>
        <v>0</v>
      </c>
      <c r="AH633" s="537">
        <f t="shared" si="554"/>
        <v>14.770896896000002</v>
      </c>
      <c r="AI633" s="537">
        <f t="shared" si="554"/>
        <v>0</v>
      </c>
      <c r="AJ633" s="537">
        <f t="shared" si="554"/>
        <v>0</v>
      </c>
      <c r="AK633" s="537">
        <f t="shared" si="554"/>
        <v>31.943841391000003</v>
      </c>
      <c r="AL633" s="537">
        <f t="shared" si="554"/>
        <v>0</v>
      </c>
      <c r="AM633" s="537">
        <f t="shared" si="554"/>
        <v>0</v>
      </c>
      <c r="AN633" s="537">
        <f t="shared" si="554"/>
        <v>39.854758195999992</v>
      </c>
      <c r="AO633" s="537">
        <f t="shared" si="554"/>
        <v>0</v>
      </c>
      <c r="AP633" s="537">
        <f t="shared" si="554"/>
        <v>0</v>
      </c>
      <c r="AQ633" s="537">
        <f t="shared" si="554"/>
        <v>27.3</v>
      </c>
      <c r="AR633" s="537">
        <f t="shared" si="554"/>
        <v>0</v>
      </c>
      <c r="AS633" s="537">
        <f t="shared" si="554"/>
        <v>0</v>
      </c>
      <c r="AT633" s="537">
        <f t="shared" si="554"/>
        <v>27.3</v>
      </c>
      <c r="AU633" s="537">
        <f t="shared" si="554"/>
        <v>0</v>
      </c>
      <c r="AV633" s="537">
        <f t="shared" si="554"/>
        <v>0</v>
      </c>
      <c r="AW633" s="537">
        <f t="shared" si="554"/>
        <v>34.1</v>
      </c>
      <c r="AX633" s="537">
        <f t="shared" ref="AX633:BP633" si="555">AX$497</f>
        <v>0</v>
      </c>
      <c r="AY633" s="537">
        <f t="shared" si="555"/>
        <v>0</v>
      </c>
      <c r="AZ633" s="537">
        <f t="shared" si="555"/>
        <v>80</v>
      </c>
      <c r="BA633" s="537">
        <f t="shared" si="555"/>
        <v>0</v>
      </c>
      <c r="BB633" s="537">
        <f t="shared" si="555"/>
        <v>0</v>
      </c>
      <c r="BC633" s="537">
        <f t="shared" si="555"/>
        <v>25.449000000000002</v>
      </c>
      <c r="BD633" s="537">
        <f t="shared" si="555"/>
        <v>0</v>
      </c>
      <c r="BE633" s="537">
        <f t="shared" si="555"/>
        <v>0</v>
      </c>
      <c r="BF633" s="537">
        <f t="shared" si="555"/>
        <v>24.451000000000001</v>
      </c>
      <c r="BG633" s="537">
        <f t="shared" si="555"/>
        <v>0</v>
      </c>
      <c r="BH633" s="537">
        <f t="shared" si="555"/>
        <v>0</v>
      </c>
      <c r="BI633" s="537">
        <f t="shared" si="555"/>
        <v>28.44</v>
      </c>
      <c r="BJ633" s="537">
        <f t="shared" si="555"/>
        <v>50.9206</v>
      </c>
      <c r="BK633" s="537">
        <f t="shared" si="555"/>
        <v>0</v>
      </c>
      <c r="BL633" s="537">
        <f t="shared" si="555"/>
        <v>28.44</v>
      </c>
      <c r="BM633" s="537">
        <f t="shared" si="555"/>
        <v>0</v>
      </c>
      <c r="BN633" s="537">
        <f t="shared" si="555"/>
        <v>0</v>
      </c>
      <c r="BO633" s="537">
        <f t="shared" si="555"/>
        <v>28.4</v>
      </c>
      <c r="BP633" s="537">
        <f t="shared" si="555"/>
        <v>0</v>
      </c>
      <c r="BQ633" s="537">
        <f t="shared" ref="BQ633:DT633" si="556">BQ$497</f>
        <v>0</v>
      </c>
      <c r="BR633" s="537">
        <f t="shared" si="556"/>
        <v>63.072049327625756</v>
      </c>
      <c r="BS633" s="537">
        <f t="shared" si="556"/>
        <v>12.203299451901628</v>
      </c>
      <c r="BT633" s="537">
        <f t="shared" si="556"/>
        <v>14.813409459931112</v>
      </c>
      <c r="BU633" s="537">
        <f t="shared" si="556"/>
        <v>6.5902026762721153</v>
      </c>
      <c r="BV633" s="537">
        <f t="shared" si="556"/>
        <v>7.9663939819053082</v>
      </c>
      <c r="BW633" s="537">
        <f t="shared" si="556"/>
        <v>41.538890177774903</v>
      </c>
      <c r="BX633" s="537">
        <f t="shared" si="556"/>
        <v>29.001320784256873</v>
      </c>
      <c r="BY633" s="537">
        <f t="shared" si="556"/>
        <v>6.4084407417666696E-6</v>
      </c>
      <c r="BZ633" s="537">
        <f t="shared" si="556"/>
        <v>3.9502690426215792</v>
      </c>
      <c r="CA633" s="537">
        <f t="shared" si="556"/>
        <v>8.9347603934343383</v>
      </c>
      <c r="CB633" s="537">
        <f t="shared" si="556"/>
        <v>6.8720589184452443</v>
      </c>
      <c r="CC633" s="537">
        <f t="shared" si="556"/>
        <v>32.567005592195322</v>
      </c>
      <c r="CD633" s="539">
        <f t="shared" si="556"/>
        <v>10.462383112820836</v>
      </c>
      <c r="CE633" s="537">
        <f t="shared" si="556"/>
        <v>20.644770703771695</v>
      </c>
      <c r="CF633" s="537">
        <f t="shared" si="556"/>
        <v>6.2068516957338105</v>
      </c>
      <c r="CG633" s="537">
        <f t="shared" si="556"/>
        <v>33.654755862294493</v>
      </c>
      <c r="CH633" s="537">
        <f t="shared" si="556"/>
        <v>40.164865416949603</v>
      </c>
      <c r="CI633" s="537">
        <f t="shared" si="556"/>
        <v>33.30229618613545</v>
      </c>
      <c r="CJ633" s="537">
        <f t="shared" si="556"/>
        <v>23.305426911000946</v>
      </c>
      <c r="CK633" s="537">
        <f t="shared" si="556"/>
        <v>22.369328398681304</v>
      </c>
      <c r="CL633" s="537">
        <f t="shared" si="556"/>
        <v>15.370313869472696</v>
      </c>
      <c r="CM633" s="537">
        <f t="shared" si="556"/>
        <v>15.260357731845993</v>
      </c>
      <c r="CN633" s="537">
        <f t="shared" si="556"/>
        <v>55.08162525346021</v>
      </c>
      <c r="CO633" s="537">
        <f t="shared" si="556"/>
        <v>16.101722923910174</v>
      </c>
      <c r="CP633" s="540">
        <f t="shared" si="556"/>
        <v>21.799460293312592</v>
      </c>
      <c r="CQ633" s="537">
        <f t="shared" si="556"/>
        <v>16.87350672279609</v>
      </c>
      <c r="CR633" s="537">
        <f t="shared" si="556"/>
        <v>20.574332516946019</v>
      </c>
      <c r="CS633" s="537">
        <f t="shared" si="556"/>
        <v>13.677160760257889</v>
      </c>
      <c r="CT633" s="537">
        <f t="shared" si="556"/>
        <v>22.966062853869769</v>
      </c>
      <c r="CU633" s="537">
        <f t="shared" si="556"/>
        <v>25.792258359012344</v>
      </c>
      <c r="CV633" s="537">
        <f t="shared" si="556"/>
        <v>25.594723744156603</v>
      </c>
      <c r="CW633" s="537">
        <f t="shared" si="556"/>
        <v>18.835302128312126</v>
      </c>
      <c r="CX633" s="537">
        <f t="shared" si="556"/>
        <v>20.69342160459518</v>
      </c>
      <c r="CY633" s="537">
        <f t="shared" si="556"/>
        <v>18.249102545774683</v>
      </c>
      <c r="CZ633" s="537">
        <f t="shared" si="556"/>
        <v>12.54749310504959</v>
      </c>
      <c r="DA633" s="537">
        <f t="shared" si="556"/>
        <v>24.637015591921291</v>
      </c>
      <c r="DB633" s="1516">
        <f t="shared" si="556"/>
        <v>20.593317581711112</v>
      </c>
      <c r="DC633" s="537">
        <f t="shared" si="556"/>
        <v>13.393209566950036</v>
      </c>
      <c r="DD633" s="537">
        <f t="shared" si="556"/>
        <v>19.014873858627084</v>
      </c>
      <c r="DE633" s="537">
        <f t="shared" si="556"/>
        <v>15.961916574422874</v>
      </c>
      <c r="DF633" s="537">
        <f t="shared" si="556"/>
        <v>2.7668482446498701</v>
      </c>
      <c r="DG633" s="537">
        <f t="shared" si="556"/>
        <v>28.856931312514178</v>
      </c>
      <c r="DH633" s="537">
        <f t="shared" si="556"/>
        <v>16.746220442835956</v>
      </c>
      <c r="DI633" s="537">
        <f t="shared" si="556"/>
        <v>9.5322054394374973</v>
      </c>
      <c r="DJ633" s="537">
        <f t="shared" si="556"/>
        <v>11.499391937616629</v>
      </c>
      <c r="DK633" s="537">
        <f t="shared" si="556"/>
        <v>15.068402622945877</v>
      </c>
      <c r="DL633" s="537">
        <f t="shared" si="556"/>
        <v>10.864885881361992</v>
      </c>
      <c r="DM633" s="537">
        <f t="shared" si="556"/>
        <v>19.297643562043543</v>
      </c>
      <c r="DN633" s="540">
        <f t="shared" si="556"/>
        <v>5.9374705565944614</v>
      </c>
      <c r="DO633" s="537">
        <f t="shared" si="556"/>
        <v>4.5689722600492333</v>
      </c>
      <c r="DP633" s="537">
        <f t="shared" si="556"/>
        <v>1.9976494589589138</v>
      </c>
      <c r="DQ633" s="537">
        <f t="shared" si="556"/>
        <v>19.857829355710404</v>
      </c>
      <c r="DR633" s="537">
        <f t="shared" si="556"/>
        <v>3.0254844532894221</v>
      </c>
      <c r="DS633" s="537">
        <f t="shared" si="556"/>
        <v>0</v>
      </c>
      <c r="DT633" s="537">
        <f t="shared" si="556"/>
        <v>0</v>
      </c>
      <c r="DU633" s="537"/>
      <c r="DV633" s="537"/>
      <c r="DW633" s="537"/>
      <c r="DX633" s="537"/>
      <c r="DY633" s="537"/>
      <c r="DZ633" s="540"/>
      <c r="EA633" s="537"/>
      <c r="EB633" s="537"/>
      <c r="EC633" s="537"/>
      <c r="ED633" s="537"/>
      <c r="EE633" s="537"/>
      <c r="EF633" s="537"/>
      <c r="EG633" s="537"/>
      <c r="EH633" s="537"/>
      <c r="EI633" s="537"/>
      <c r="EJ633" s="537"/>
      <c r="EK633" s="537"/>
      <c r="EL633" s="540"/>
      <c r="EM633" s="537"/>
      <c r="EN633" s="537"/>
      <c r="EO633" s="537"/>
      <c r="EP633" s="537"/>
      <c r="EQ633" s="537"/>
      <c r="ER633" s="537"/>
      <c r="ES633" s="537"/>
      <c r="ET633" s="537"/>
      <c r="EU633" s="537"/>
      <c r="EV633" s="537"/>
      <c r="EW633" s="537"/>
      <c r="EX633" s="540"/>
      <c r="EY633" s="537"/>
      <c r="EZ633" s="537"/>
      <c r="FA633" s="537"/>
      <c r="FB633" s="537"/>
      <c r="FC633" s="537"/>
      <c r="FD633" s="537"/>
      <c r="FE633" s="537"/>
      <c r="FF633" s="537"/>
      <c r="FG633" s="537"/>
      <c r="FH633" s="537"/>
      <c r="FI633" s="537"/>
      <c r="FJ633" s="540"/>
      <c r="FK633" s="537"/>
      <c r="FL633" s="537"/>
      <c r="FM633" s="537"/>
      <c r="FN633" s="537"/>
      <c r="FO633" s="537"/>
      <c r="FP633" s="537"/>
      <c r="FQ633" s="537"/>
      <c r="FR633" s="537"/>
      <c r="FS633" s="537"/>
      <c r="FT633" s="537"/>
      <c r="FU633" s="537"/>
      <c r="FV633" s="537"/>
      <c r="FW633" s="537"/>
      <c r="FX633" s="537"/>
      <c r="FY633" s="537"/>
      <c r="FZ633" s="537"/>
      <c r="GA633" s="537"/>
      <c r="GB633" s="537"/>
      <c r="GC633" s="537"/>
      <c r="GD633" s="537"/>
      <c r="GE633" s="537"/>
      <c r="GF633" s="537"/>
      <c r="GG633" s="537"/>
      <c r="GH633" s="537"/>
      <c r="GI633" s="537"/>
      <c r="GJ633" s="537"/>
      <c r="GK633" s="537"/>
      <c r="GL633" s="537"/>
      <c r="GM633" s="537"/>
      <c r="GN633" s="537"/>
      <c r="GO633" s="537"/>
      <c r="GP633" s="537"/>
      <c r="GQ633" s="537"/>
      <c r="GR633" s="537"/>
      <c r="GS633" s="537"/>
      <c r="GT633" s="537"/>
      <c r="GU633" s="537"/>
      <c r="GV633" s="537"/>
      <c r="GW633" s="537"/>
      <c r="GX633" s="537"/>
      <c r="GY633" s="537"/>
      <c r="GZ633" s="537"/>
      <c r="HA633" s="537"/>
      <c r="HB633" s="537"/>
      <c r="HC633" s="537"/>
      <c r="HD633" s="537"/>
      <c r="HE633" s="537"/>
      <c r="HF633" s="537"/>
      <c r="HG633" s="537"/>
      <c r="HH633" s="537"/>
      <c r="HI633" s="537"/>
      <c r="HJ633" s="537"/>
      <c r="HK633" s="537"/>
      <c r="HL633" s="537"/>
      <c r="HM633" s="537"/>
      <c r="HO633" s="537"/>
      <c r="HP633" s="537"/>
      <c r="HQ633" s="537"/>
      <c r="HR633" s="537">
        <f t="shared" ref="HR633:HW633" si="557">HR$497</f>
        <v>241.03369751440272</v>
      </c>
      <c r="HS633" s="302">
        <f t="shared" si="557"/>
        <v>125.47804495703872</v>
      </c>
      <c r="HT633" s="302">
        <f t="shared" si="557"/>
        <v>115.555652557364</v>
      </c>
      <c r="HU633" s="537">
        <f t="shared" si="557"/>
        <v>241.03369751440272</v>
      </c>
      <c r="HV633" s="302">
        <f t="shared" si="557"/>
        <v>96.739999999999981</v>
      </c>
      <c r="HW633" s="302">
        <f t="shared" si="557"/>
        <v>72.2</v>
      </c>
      <c r="HX633" s="545">
        <f t="shared" ref="HX633:IJ633" si="558">HX$497</f>
        <v>168.94</v>
      </c>
      <c r="HY633" s="302">
        <f t="shared" si="558"/>
        <v>29.449935528007973</v>
      </c>
      <c r="IA633" s="545">
        <f t="shared" si="558"/>
        <v>57.491984588205348</v>
      </c>
      <c r="ID633" s="544">
        <f t="shared" si="558"/>
        <v>168.71</v>
      </c>
      <c r="IG633" s="544">
        <f t="shared" si="558"/>
        <v>233.07553199416967</v>
      </c>
      <c r="IH633" s="350"/>
      <c r="II633" s="350"/>
      <c r="IJ633" s="544">
        <f t="shared" si="558"/>
        <v>259.69462557150138</v>
      </c>
      <c r="IK633" s="350"/>
      <c r="IL633" s="350"/>
      <c r="IM633" s="544">
        <f>IM$497</f>
        <v>288.9455255930734</v>
      </c>
      <c r="IN633" s="350"/>
      <c r="IO633" s="350">
        <f>IO$497</f>
        <v>151.24241265916393</v>
      </c>
      <c r="IP633" s="544" t="e">
        <f>#REF!</f>
        <v>#REF!</v>
      </c>
      <c r="IQ633" s="350">
        <f>IS$497</f>
        <v>406.9801934271353</v>
      </c>
      <c r="IR633" s="350">
        <f>IR$497</f>
        <v>221.29345694084606</v>
      </c>
      <c r="IS633" s="544"/>
      <c r="IT633" s="350"/>
      <c r="IU633" s="350"/>
      <c r="IV633" s="544"/>
      <c r="IW633" s="350"/>
      <c r="IX633" s="350"/>
      <c r="IY633" s="544"/>
      <c r="KM633" s="302">
        <f>KM$497</f>
        <v>0</v>
      </c>
      <c r="KN633" s="302">
        <f>KN$497</f>
        <v>0</v>
      </c>
      <c r="KO633" s="302">
        <f>KO$497</f>
        <v>0</v>
      </c>
      <c r="KP633" s="302">
        <f>KP$497</f>
        <v>0</v>
      </c>
    </row>
    <row r="634" spans="1:302">
      <c r="A634" s="302"/>
      <c r="D634" s="535" t="s">
        <v>868</v>
      </c>
      <c r="E634" s="537"/>
      <c r="F634" s="537"/>
      <c r="G634" s="537"/>
      <c r="H634" s="537"/>
      <c r="I634" s="537"/>
      <c r="J634" s="537"/>
      <c r="K634" s="537"/>
      <c r="L634" s="537"/>
      <c r="M634" s="537"/>
      <c r="N634" s="537"/>
      <c r="O634" s="537"/>
      <c r="P634" s="537"/>
      <c r="Q634" s="537"/>
      <c r="R634" s="537"/>
      <c r="S634" s="537"/>
      <c r="T634" s="537"/>
      <c r="U634" s="537"/>
      <c r="V634" s="537"/>
      <c r="W634" s="537"/>
      <c r="X634" s="537"/>
      <c r="Y634" s="537"/>
      <c r="Z634" s="537"/>
      <c r="AA634" s="537"/>
      <c r="AB634" s="537"/>
      <c r="AC634" s="537"/>
      <c r="AD634" s="537"/>
      <c r="AE634" s="537"/>
      <c r="AF634" s="537"/>
      <c r="AG634" s="537"/>
      <c r="AH634" s="537"/>
      <c r="AI634" s="537"/>
      <c r="AJ634" s="537"/>
      <c r="AK634" s="537"/>
      <c r="AL634" s="537"/>
      <c r="AM634" s="537"/>
      <c r="AN634" s="537"/>
      <c r="AO634" s="537"/>
      <c r="AP634" s="537"/>
      <c r="AQ634" s="537"/>
      <c r="AR634" s="537"/>
      <c r="AS634" s="537"/>
      <c r="AT634" s="537"/>
      <c r="AU634" s="537"/>
      <c r="AV634" s="537"/>
      <c r="AW634" s="537"/>
      <c r="AX634" s="537"/>
      <c r="AY634" s="537"/>
      <c r="AZ634" s="537"/>
      <c r="BA634" s="537"/>
      <c r="BB634" s="537"/>
      <c r="BC634" s="537"/>
      <c r="BD634" s="537"/>
      <c r="BE634" s="537"/>
      <c r="BF634" s="537"/>
      <c r="BG634" s="537"/>
      <c r="BH634" s="537"/>
      <c r="BI634" s="537"/>
      <c r="BJ634" s="537"/>
      <c r="BK634" s="537"/>
      <c r="BL634" s="537"/>
      <c r="BM634" s="537"/>
      <c r="BN634" s="537"/>
      <c r="BO634" s="537"/>
      <c r="BP634" s="537"/>
      <c r="BQ634" s="537"/>
      <c r="BR634" s="537"/>
      <c r="BS634" s="537"/>
      <c r="BT634" s="537"/>
      <c r="BU634" s="537"/>
      <c r="BV634" s="537"/>
      <c r="BW634" s="537"/>
      <c r="BX634" s="537"/>
      <c r="BY634" s="537"/>
      <c r="BZ634" s="537"/>
      <c r="CA634" s="537"/>
      <c r="CB634" s="537"/>
      <c r="CC634" s="537"/>
      <c r="CD634" s="539"/>
      <c r="CE634" s="537"/>
      <c r="CF634" s="537"/>
      <c r="CG634" s="537"/>
      <c r="CH634" s="537"/>
      <c r="CI634" s="537"/>
      <c r="CJ634" s="537"/>
      <c r="CK634" s="537"/>
      <c r="CL634" s="537"/>
      <c r="CM634" s="537"/>
      <c r="CN634" s="537"/>
      <c r="CO634" s="537"/>
      <c r="CP634" s="540"/>
      <c r="CQ634" s="537"/>
      <c r="CR634" s="537"/>
      <c r="CS634" s="537"/>
      <c r="CT634" s="537"/>
      <c r="CU634" s="537"/>
      <c r="CV634" s="537"/>
      <c r="CW634" s="537"/>
      <c r="CX634" s="537"/>
      <c r="CY634" s="537"/>
      <c r="CZ634" s="537"/>
      <c r="DA634" s="537"/>
      <c r="DB634" s="1516"/>
      <c r="DC634" s="537"/>
      <c r="DD634" s="537"/>
      <c r="DE634" s="537"/>
      <c r="DF634" s="537"/>
      <c r="DG634" s="537"/>
      <c r="DH634" s="537"/>
      <c r="DI634" s="537"/>
      <c r="DJ634" s="537"/>
      <c r="DK634" s="537"/>
      <c r="DL634" s="537"/>
      <c r="DM634" s="537"/>
      <c r="DN634" s="540"/>
      <c r="DO634" s="537"/>
      <c r="DP634" s="537"/>
      <c r="DQ634" s="537"/>
      <c r="DR634" s="537"/>
      <c r="DS634" s="537"/>
      <c r="DT634" s="537"/>
      <c r="DU634" s="537"/>
      <c r="DV634" s="537"/>
      <c r="DW634" s="537"/>
      <c r="DX634" s="537"/>
      <c r="DY634" s="537"/>
      <c r="DZ634" s="540"/>
      <c r="EA634" s="537"/>
      <c r="EB634" s="537"/>
      <c r="EC634" s="537"/>
      <c r="ED634" s="537"/>
      <c r="EE634" s="537"/>
      <c r="EF634" s="537"/>
      <c r="EG634" s="537"/>
      <c r="EH634" s="537"/>
      <c r="EI634" s="537"/>
      <c r="EJ634" s="537"/>
      <c r="EK634" s="537"/>
      <c r="EL634" s="540"/>
      <c r="EM634" s="537"/>
      <c r="EN634" s="537"/>
      <c r="EO634" s="537"/>
      <c r="EP634" s="537"/>
      <c r="EQ634" s="537"/>
      <c r="ER634" s="537"/>
      <c r="ES634" s="537"/>
      <c r="ET634" s="537"/>
      <c r="EU634" s="537"/>
      <c r="EV634" s="537"/>
      <c r="EW634" s="537"/>
      <c r="EX634" s="540"/>
      <c r="EY634" s="537"/>
      <c r="EZ634" s="537"/>
      <c r="FA634" s="537"/>
      <c r="FB634" s="537"/>
      <c r="FC634" s="537"/>
      <c r="FD634" s="537"/>
      <c r="FE634" s="537"/>
      <c r="FF634" s="537"/>
      <c r="FG634" s="537"/>
      <c r="FH634" s="537"/>
      <c r="FI634" s="537"/>
      <c r="FJ634" s="540"/>
      <c r="FK634" s="537"/>
      <c r="FL634" s="537"/>
      <c r="FM634" s="537"/>
      <c r="FN634" s="537"/>
      <c r="FO634" s="537"/>
      <c r="FP634" s="537"/>
      <c r="FQ634" s="537"/>
      <c r="FR634" s="537"/>
      <c r="FS634" s="537"/>
      <c r="FT634" s="537"/>
      <c r="FU634" s="537"/>
      <c r="FV634" s="537"/>
      <c r="FW634" s="537"/>
      <c r="FX634" s="537"/>
      <c r="FY634" s="537"/>
      <c r="FZ634" s="537"/>
      <c r="GA634" s="537"/>
      <c r="GB634" s="537"/>
      <c r="GC634" s="537"/>
      <c r="GD634" s="537"/>
      <c r="GE634" s="537"/>
      <c r="GF634" s="537"/>
      <c r="GG634" s="537"/>
      <c r="GH634" s="537"/>
      <c r="GI634" s="537"/>
      <c r="GJ634" s="537"/>
      <c r="GK634" s="537"/>
      <c r="GL634" s="537"/>
      <c r="GM634" s="537"/>
      <c r="GN634" s="537"/>
      <c r="GO634" s="537"/>
      <c r="GP634" s="537"/>
      <c r="GQ634" s="537"/>
      <c r="GR634" s="537"/>
      <c r="GS634" s="537"/>
      <c r="GT634" s="537"/>
      <c r="GU634" s="537"/>
      <c r="GV634" s="537"/>
      <c r="GW634" s="537"/>
      <c r="GX634" s="537"/>
      <c r="GY634" s="537"/>
      <c r="GZ634" s="537"/>
      <c r="HA634" s="537"/>
      <c r="HB634" s="537"/>
      <c r="HC634" s="537"/>
      <c r="HD634" s="537"/>
      <c r="HE634" s="537"/>
      <c r="HF634" s="537"/>
      <c r="HG634" s="537"/>
      <c r="HH634" s="537"/>
      <c r="HI634" s="537"/>
      <c r="HJ634" s="537"/>
      <c r="HK634" s="537"/>
      <c r="HL634" s="537"/>
      <c r="HM634" s="537"/>
      <c r="HO634" s="537"/>
      <c r="HP634" s="537"/>
      <c r="HQ634" s="537"/>
      <c r="HR634" s="537"/>
      <c r="HU634" s="537"/>
      <c r="HX634" s="545"/>
      <c r="IA634" s="545"/>
      <c r="ID634" s="544"/>
      <c r="IG634" s="544"/>
      <c r="IH634" s="350"/>
      <c r="II634" s="350"/>
      <c r="IJ634" s="544"/>
      <c r="IK634" s="350"/>
      <c r="IL634" s="350"/>
      <c r="IM634" s="544"/>
      <c r="IN634" s="350"/>
      <c r="IO634" s="350"/>
      <c r="IP634" s="544"/>
      <c r="IQ634" s="350"/>
      <c r="IR634" s="350"/>
      <c r="IS634" s="544"/>
      <c r="IT634" s="350"/>
      <c r="IU634" s="350"/>
      <c r="IV634" s="544"/>
      <c r="IW634" s="350"/>
      <c r="IX634" s="350"/>
      <c r="IY634" s="544"/>
    </row>
    <row r="635" spans="1:302">
      <c r="A635" s="302"/>
      <c r="B635" s="117" t="s">
        <v>361</v>
      </c>
      <c r="D635" s="538" t="str">
        <f>D$503</f>
        <v>Total expenditure and net lending</v>
      </c>
      <c r="E635" s="537">
        <f>E$503</f>
        <v>31.113846187904123</v>
      </c>
      <c r="F635" s="537">
        <f t="shared" ref="F635:L635" si="559">F$503</f>
        <v>33.929240033719999</v>
      </c>
      <c r="G635" s="537">
        <f t="shared" si="559"/>
        <v>51.190462517032501</v>
      </c>
      <c r="H635" s="537">
        <f t="shared" si="559"/>
        <v>40.268011869128273</v>
      </c>
      <c r="I635" s="537">
        <f t="shared" si="559"/>
        <v>24.212936727898001</v>
      </c>
      <c r="J635" s="537">
        <f t="shared" si="559"/>
        <v>45.179957022725901</v>
      </c>
      <c r="K635" s="537">
        <f t="shared" si="559"/>
        <v>55.8103188453263</v>
      </c>
      <c r="L635" s="537">
        <f t="shared" si="559"/>
        <v>32.404558326849603</v>
      </c>
      <c r="M635" s="537">
        <f t="shared" ref="M635:AW635" si="560">M$503</f>
        <v>56.868435660884003</v>
      </c>
      <c r="N635" s="537">
        <f t="shared" si="560"/>
        <v>40.114778642740006</v>
      </c>
      <c r="O635" s="537">
        <f t="shared" si="560"/>
        <v>31.185432896099996</v>
      </c>
      <c r="P635" s="537">
        <f t="shared" si="560"/>
        <v>48.464992930080001</v>
      </c>
      <c r="Q635" s="537">
        <f t="shared" si="560"/>
        <v>37.599948009391603</v>
      </c>
      <c r="R635" s="537">
        <f t="shared" si="560"/>
        <v>34.876504099342704</v>
      </c>
      <c r="S635" s="537">
        <f t="shared" si="560"/>
        <v>54.602413516725001</v>
      </c>
      <c r="T635" s="537">
        <f t="shared" si="560"/>
        <v>61.171064788264005</v>
      </c>
      <c r="U635" s="537">
        <f t="shared" si="560"/>
        <v>33.091063065655497</v>
      </c>
      <c r="V635" s="537">
        <f t="shared" si="560"/>
        <v>49.348105392392</v>
      </c>
      <c r="W635" s="537">
        <f t="shared" si="560"/>
        <v>60.218298840349995</v>
      </c>
      <c r="X635" s="537">
        <f t="shared" si="560"/>
        <v>44.479926035408006</v>
      </c>
      <c r="Y635" s="537">
        <f t="shared" si="560"/>
        <v>71.80984676760481</v>
      </c>
      <c r="Z635" s="537">
        <f t="shared" si="560"/>
        <v>88.118180455573395</v>
      </c>
      <c r="AA635" s="537">
        <f t="shared" si="560"/>
        <v>30.6191103237894</v>
      </c>
      <c r="AB635" s="537">
        <f t="shared" si="560"/>
        <v>83.810174073706989</v>
      </c>
      <c r="AC635" s="537">
        <f t="shared" si="560"/>
        <v>49.265808352000001</v>
      </c>
      <c r="AD635" s="537">
        <f t="shared" si="560"/>
        <v>36.787428904000002</v>
      </c>
      <c r="AE635" s="537">
        <f t="shared" si="560"/>
        <v>100.839280293</v>
      </c>
      <c r="AF635" s="537">
        <f t="shared" si="560"/>
        <v>61.970627678999996</v>
      </c>
      <c r="AG635" s="537">
        <f t="shared" si="560"/>
        <v>42.037399139999998</v>
      </c>
      <c r="AH635" s="537">
        <f t="shared" si="560"/>
        <v>58.600805208000011</v>
      </c>
      <c r="AI635" s="537">
        <f t="shared" si="560"/>
        <v>46.727141095</v>
      </c>
      <c r="AJ635" s="537">
        <f t="shared" si="560"/>
        <v>45.196983449999998</v>
      </c>
      <c r="AK635" s="537">
        <f t="shared" si="560"/>
        <v>100.94934549200002</v>
      </c>
      <c r="AL635" s="537">
        <f t="shared" si="560"/>
        <v>73.751512684999994</v>
      </c>
      <c r="AM635" s="537">
        <f t="shared" si="560"/>
        <v>52.546027526000003</v>
      </c>
      <c r="AN635" s="537">
        <f t="shared" si="560"/>
        <v>85.616203753999997</v>
      </c>
      <c r="AO635" s="537">
        <f t="shared" si="560"/>
        <v>66.299067429259992</v>
      </c>
      <c r="AP635" s="537">
        <f t="shared" si="560"/>
        <v>40.593019098060005</v>
      </c>
      <c r="AQ635" s="537">
        <f t="shared" si="560"/>
        <v>84.816624014327218</v>
      </c>
      <c r="AR635" s="537">
        <f t="shared" si="560"/>
        <v>67.161112869120004</v>
      </c>
      <c r="AS635" s="537">
        <f t="shared" si="560"/>
        <v>65.593571150347984</v>
      </c>
      <c r="AT635" s="537">
        <f t="shared" si="560"/>
        <v>76.930057421065598</v>
      </c>
      <c r="AU635" s="537">
        <f t="shared" si="560"/>
        <v>52.346549717240002</v>
      </c>
      <c r="AV635" s="537">
        <f t="shared" si="560"/>
        <v>75.539561062880011</v>
      </c>
      <c r="AW635" s="537">
        <f t="shared" si="560"/>
        <v>99.261310907549984</v>
      </c>
      <c r="AX635" s="537">
        <f t="shared" ref="AX635:BP635" si="561">AX$503</f>
        <v>76.398074650079991</v>
      </c>
      <c r="AY635" s="537">
        <f t="shared" si="561"/>
        <v>56.413795972900793</v>
      </c>
      <c r="AZ635" s="537">
        <f t="shared" si="561"/>
        <v>118.0142915183675</v>
      </c>
      <c r="BA635" s="537">
        <f t="shared" si="561"/>
        <v>64.438460127999988</v>
      </c>
      <c r="BB635" s="537">
        <f t="shared" si="561"/>
        <v>45.758440004000001</v>
      </c>
      <c r="BC635" s="537">
        <f t="shared" si="561"/>
        <v>132.03570007300002</v>
      </c>
      <c r="BD635" s="537">
        <f t="shared" si="561"/>
        <v>86.553274928000008</v>
      </c>
      <c r="BE635" s="537">
        <f t="shared" si="561"/>
        <v>94.541698818</v>
      </c>
      <c r="BF635" s="537">
        <f t="shared" si="561"/>
        <v>83.437803747000004</v>
      </c>
      <c r="BG635" s="537">
        <f t="shared" si="561"/>
        <v>50.160957434999993</v>
      </c>
      <c r="BH635" s="537">
        <f t="shared" si="561"/>
        <v>85.418576400999996</v>
      </c>
      <c r="BI635" s="537">
        <f t="shared" si="561"/>
        <v>80.972930940999987</v>
      </c>
      <c r="BJ635" s="537">
        <f t="shared" si="561"/>
        <v>92.236027882819997</v>
      </c>
      <c r="BK635" s="537">
        <f t="shared" si="561"/>
        <v>67.167033942000018</v>
      </c>
      <c r="BL635" s="537">
        <f t="shared" si="561"/>
        <v>120.089135438</v>
      </c>
      <c r="BM635" s="537">
        <f t="shared" si="561"/>
        <v>85.731333924890009</v>
      </c>
      <c r="BN635" s="537">
        <f t="shared" si="561"/>
        <v>59.496136133479993</v>
      </c>
      <c r="BO635" s="537">
        <f t="shared" si="561"/>
        <v>131.36413443499998</v>
      </c>
      <c r="BP635" s="537">
        <f t="shared" si="561"/>
        <v>111.25802000000002</v>
      </c>
      <c r="BQ635" s="537">
        <f t="shared" ref="BQ635:DT635" si="562">BQ$503</f>
        <v>111.82221942385</v>
      </c>
      <c r="BR635" s="537">
        <f t="shared" si="562"/>
        <v>114.05307858658</v>
      </c>
      <c r="BS635" s="537">
        <f t="shared" si="562"/>
        <v>73.728099999999984</v>
      </c>
      <c r="BT635" s="537">
        <f t="shared" si="562"/>
        <v>68.467799999999997</v>
      </c>
      <c r="BU635" s="537">
        <f t="shared" si="562"/>
        <v>136.54740000000001</v>
      </c>
      <c r="BV635" s="537">
        <f t="shared" si="562"/>
        <v>121.91829581300001</v>
      </c>
      <c r="BW635" s="537">
        <f t="shared" si="562"/>
        <v>72.599040844000001</v>
      </c>
      <c r="BX635" s="537">
        <f t="shared" si="562"/>
        <v>41.273675468</v>
      </c>
      <c r="BY635" s="537">
        <f t="shared" si="562"/>
        <v>80.05536907403436</v>
      </c>
      <c r="BZ635" s="537">
        <f t="shared" si="562"/>
        <v>80.258989039645556</v>
      </c>
      <c r="CA635" s="537">
        <f t="shared" si="562"/>
        <v>59.303305091246877</v>
      </c>
      <c r="CB635" s="537">
        <f t="shared" si="562"/>
        <v>127.34907455078395</v>
      </c>
      <c r="CC635" s="537">
        <f t="shared" si="562"/>
        <v>202.61559797621354</v>
      </c>
      <c r="CD635" s="539">
        <f t="shared" si="562"/>
        <v>62.595220320441499</v>
      </c>
      <c r="CE635" s="537">
        <f t="shared" si="562"/>
        <v>75.398048042979383</v>
      </c>
      <c r="CF635" s="537">
        <f t="shared" si="562"/>
        <v>116.41391544855834</v>
      </c>
      <c r="CG635" s="537">
        <f t="shared" si="562"/>
        <v>108.061891988951</v>
      </c>
      <c r="CH635" s="537">
        <f t="shared" si="562"/>
        <v>184.53382344332474</v>
      </c>
      <c r="CI635" s="537">
        <f t="shared" si="562"/>
        <v>114.23956239609714</v>
      </c>
      <c r="CJ635" s="537">
        <f t="shared" si="562"/>
        <v>88.621054460907445</v>
      </c>
      <c r="CK635" s="537">
        <f t="shared" si="562"/>
        <v>156.07666278087683</v>
      </c>
      <c r="CL635" s="537">
        <f t="shared" si="562"/>
        <v>98.019819600030885</v>
      </c>
      <c r="CM635" s="537">
        <f t="shared" si="562"/>
        <v>114.94251640501365</v>
      </c>
      <c r="CN635" s="537">
        <f t="shared" si="562"/>
        <v>195.03469061557522</v>
      </c>
      <c r="CO635" s="537">
        <f t="shared" si="562"/>
        <v>164.44063315294568</v>
      </c>
      <c r="CP635" s="540">
        <f t="shared" si="562"/>
        <v>125.67780354697906</v>
      </c>
      <c r="CQ635" s="537">
        <f t="shared" si="562"/>
        <v>129.35975012920775</v>
      </c>
      <c r="CR635" s="537">
        <f t="shared" si="562"/>
        <v>122.08768675311194</v>
      </c>
      <c r="CS635" s="537">
        <f t="shared" si="562"/>
        <v>153.64729846200487</v>
      </c>
      <c r="CT635" s="537">
        <f t="shared" si="562"/>
        <v>138.7763964415644</v>
      </c>
      <c r="CU635" s="537">
        <f t="shared" si="562"/>
        <v>122.09486237889624</v>
      </c>
      <c r="CV635" s="537">
        <f t="shared" si="562"/>
        <v>122.83016278247229</v>
      </c>
      <c r="CW635" s="537">
        <f t="shared" si="562"/>
        <v>143.17180662702862</v>
      </c>
      <c r="CX635" s="537">
        <f t="shared" si="562"/>
        <v>115.5815087056594</v>
      </c>
      <c r="CY635" s="537">
        <f t="shared" si="562"/>
        <v>165.38609906588039</v>
      </c>
      <c r="CZ635" s="537">
        <f t="shared" si="562"/>
        <v>196.19077385458357</v>
      </c>
      <c r="DA635" s="537">
        <f t="shared" si="562"/>
        <v>158.79279628529045</v>
      </c>
      <c r="DB635" s="1516">
        <f t="shared" si="562"/>
        <v>106.20265475848933</v>
      </c>
      <c r="DC635" s="537">
        <f t="shared" si="562"/>
        <v>125.90392073118774</v>
      </c>
      <c r="DD635" s="537">
        <f t="shared" si="562"/>
        <v>137.78028152460263</v>
      </c>
      <c r="DE635" s="537">
        <f t="shared" si="562"/>
        <v>140.25951327044987</v>
      </c>
      <c r="DF635" s="537">
        <f t="shared" si="562"/>
        <v>181.03113457810599</v>
      </c>
      <c r="DG635" s="537">
        <f t="shared" si="562"/>
        <v>133.59107503725619</v>
      </c>
      <c r="DH635" s="537">
        <f t="shared" si="562"/>
        <v>124.99797351772597</v>
      </c>
      <c r="DI635" s="537">
        <f t="shared" si="562"/>
        <v>200.57786962964295</v>
      </c>
      <c r="DJ635" s="537">
        <f t="shared" si="562"/>
        <v>120.35295229431404</v>
      </c>
      <c r="DK635" s="537">
        <f t="shared" si="562"/>
        <v>137.93984202643321</v>
      </c>
      <c r="DL635" s="537">
        <f t="shared" si="562"/>
        <v>193.9107170616918</v>
      </c>
      <c r="DM635" s="537">
        <f t="shared" si="562"/>
        <v>156.46417928102301</v>
      </c>
      <c r="DN635" s="540">
        <f t="shared" si="562"/>
        <v>101.83002426994162</v>
      </c>
      <c r="DO635" s="537">
        <f t="shared" si="562"/>
        <v>131.46487819369986</v>
      </c>
      <c r="DP635" s="537">
        <f t="shared" si="562"/>
        <v>158.15634457587427</v>
      </c>
      <c r="DQ635" s="537">
        <f t="shared" si="562"/>
        <v>132.709202966487</v>
      </c>
      <c r="DR635" s="537">
        <f t="shared" si="562"/>
        <v>183.79972800606998</v>
      </c>
      <c r="DS635" s="537">
        <f t="shared" si="562"/>
        <v>136.22093061931383</v>
      </c>
      <c r="DT635" s="537">
        <f t="shared" si="562"/>
        <v>117.4384778483159</v>
      </c>
      <c r="DU635" s="537"/>
      <c r="DV635" s="537"/>
      <c r="DW635" s="537"/>
      <c r="DX635" s="537"/>
      <c r="DY635" s="537"/>
      <c r="DZ635" s="540"/>
      <c r="EA635" s="537"/>
      <c r="EB635" s="537"/>
      <c r="EC635" s="537"/>
      <c r="ED635" s="537"/>
      <c r="EE635" s="537"/>
      <c r="EF635" s="537"/>
      <c r="EG635" s="537"/>
      <c r="EH635" s="537"/>
      <c r="EI635" s="537"/>
      <c r="EJ635" s="537"/>
      <c r="EK635" s="537"/>
      <c r="EL635" s="540"/>
      <c r="EM635" s="537"/>
      <c r="EN635" s="537"/>
      <c r="EO635" s="537"/>
      <c r="EP635" s="537"/>
      <c r="EQ635" s="537"/>
      <c r="ER635" s="537"/>
      <c r="ES635" s="537"/>
      <c r="ET635" s="537"/>
      <c r="EU635" s="537"/>
      <c r="EV635" s="537"/>
      <c r="EW635" s="537"/>
      <c r="EX635" s="540"/>
      <c r="EY635" s="537"/>
      <c r="EZ635" s="537"/>
      <c r="FA635" s="537"/>
      <c r="FB635" s="537"/>
      <c r="FC635" s="537"/>
      <c r="FD635" s="537"/>
      <c r="FE635" s="537"/>
      <c r="FF635" s="537"/>
      <c r="FG635" s="537"/>
      <c r="FH635" s="537"/>
      <c r="FI635" s="537"/>
      <c r="FJ635" s="540"/>
      <c r="FK635" s="537"/>
      <c r="FL635" s="537"/>
      <c r="FM635" s="537"/>
      <c r="FN635" s="537"/>
      <c r="FO635" s="537"/>
      <c r="FP635" s="537"/>
      <c r="FQ635" s="537"/>
      <c r="FR635" s="537"/>
      <c r="FS635" s="537"/>
      <c r="FT635" s="537"/>
      <c r="FU635" s="537"/>
      <c r="FV635" s="537"/>
      <c r="FW635" s="537"/>
      <c r="FX635" s="537"/>
      <c r="FY635" s="537"/>
      <c r="FZ635" s="537"/>
      <c r="GA635" s="537"/>
      <c r="GB635" s="537"/>
      <c r="GC635" s="537"/>
      <c r="GD635" s="537"/>
      <c r="GE635" s="537"/>
      <c r="GF635" s="537"/>
      <c r="GG635" s="537"/>
      <c r="GH635" s="537"/>
      <c r="GI635" s="537"/>
      <c r="GJ635" s="537"/>
      <c r="GK635" s="537"/>
      <c r="GL635" s="537"/>
      <c r="GM635" s="537"/>
      <c r="GN635" s="537"/>
      <c r="GO635" s="537"/>
      <c r="GP635" s="537"/>
      <c r="GQ635" s="537"/>
      <c r="GR635" s="537"/>
      <c r="GS635" s="537"/>
      <c r="GT635" s="537"/>
      <c r="GU635" s="537"/>
      <c r="GV635" s="537"/>
      <c r="GW635" s="537"/>
      <c r="GX635" s="537"/>
      <c r="GY635" s="537"/>
      <c r="GZ635" s="537"/>
      <c r="HA635" s="537"/>
      <c r="HB635" s="537"/>
      <c r="HC635" s="537"/>
      <c r="HD635" s="537"/>
      <c r="HE635" s="537"/>
      <c r="HF635" s="537"/>
      <c r="HG635" s="537"/>
      <c r="HH635" s="537"/>
      <c r="HI635" s="537"/>
      <c r="HJ635" s="537"/>
      <c r="HK635" s="537"/>
      <c r="HL635" s="537"/>
      <c r="HM635" s="537"/>
      <c r="HO635" s="537"/>
      <c r="HP635" s="537"/>
      <c r="HQ635" s="537"/>
      <c r="HR635" s="537">
        <f t="shared" ref="HR635:HW635" si="563">HR$503</f>
        <v>1720.73</v>
      </c>
      <c r="HS635" s="302">
        <f t="shared" si="563"/>
        <v>765.79615694725749</v>
      </c>
      <c r="HT635" s="302">
        <f t="shared" si="563"/>
        <v>885.32563929693174</v>
      </c>
      <c r="HU635" s="537">
        <f t="shared" si="563"/>
        <v>1651.1217962441892</v>
      </c>
      <c r="HV635" s="302">
        <f t="shared" si="563"/>
        <v>843.56389865932829</v>
      </c>
      <c r="HW635" s="302">
        <f t="shared" si="563"/>
        <v>911.07558456304662</v>
      </c>
      <c r="HX635" s="545">
        <f t="shared" ref="HX635:IJ635" si="564">HX$503</f>
        <v>1754.639483222375</v>
      </c>
      <c r="HY635" s="302">
        <f t="shared" si="564"/>
        <v>859.78956220976079</v>
      </c>
      <c r="IA635" s="545">
        <f t="shared" si="564"/>
        <v>1868.0827388581215</v>
      </c>
      <c r="ID635" s="544">
        <f t="shared" si="564"/>
        <v>2187.5397808880507</v>
      </c>
      <c r="IG635" s="544">
        <f t="shared" si="564"/>
        <v>2611.6378944459902</v>
      </c>
      <c r="IH635" s="350"/>
      <c r="II635" s="350"/>
      <c r="IJ635" s="544">
        <f t="shared" si="564"/>
        <v>3253.1281054531019</v>
      </c>
      <c r="IK635" s="350"/>
      <c r="IL635" s="350"/>
      <c r="IM635" s="544">
        <f>IM$503</f>
        <v>3110.264227358336</v>
      </c>
      <c r="IN635" s="350"/>
      <c r="IO635" s="350">
        <f>IO$503</f>
        <v>2112.4426873579041</v>
      </c>
      <c r="IP635" s="544" t="e">
        <f>#REF!</f>
        <v>#REF!</v>
      </c>
      <c r="IQ635" s="350">
        <f>IS$503</f>
        <v>4598.0039054614181</v>
      </c>
      <c r="IR635" s="350">
        <f>IR$503</f>
        <v>2363.815366600511</v>
      </c>
      <c r="IS635" s="544"/>
      <c r="IT635" s="350"/>
      <c r="IU635" s="350"/>
      <c r="IV635" s="544"/>
      <c r="IW635" s="350"/>
      <c r="IX635" s="350"/>
      <c r="IY635" s="544"/>
      <c r="KM635" s="302">
        <f>KM$503</f>
        <v>0</v>
      </c>
      <c r="KN635" s="302">
        <f>KN$503</f>
        <v>0</v>
      </c>
      <c r="KO635" s="302">
        <f>KO$503</f>
        <v>0</v>
      </c>
      <c r="KP635" s="302">
        <f>KP$503</f>
        <v>0</v>
      </c>
    </row>
    <row r="636" spans="1:302">
      <c r="A636" s="302"/>
      <c r="B636" s="117" t="s">
        <v>361</v>
      </c>
      <c r="D636" s="542" t="str">
        <f>D$505</f>
        <v>Current expenditure</v>
      </c>
      <c r="E636" s="537">
        <f>E$505</f>
        <v>23.049126187904125</v>
      </c>
      <c r="F636" s="537">
        <f t="shared" ref="F636:L636" si="565">F$505</f>
        <v>27.275290033720001</v>
      </c>
      <c r="G636" s="537">
        <f t="shared" si="565"/>
        <v>19.999892517032499</v>
      </c>
      <c r="H636" s="537">
        <f t="shared" si="565"/>
        <v>31.891371869128271</v>
      </c>
      <c r="I636" s="537">
        <f t="shared" si="565"/>
        <v>20.123406727898001</v>
      </c>
      <c r="J636" s="537">
        <f t="shared" si="565"/>
        <v>14.928457022725899</v>
      </c>
      <c r="K636" s="537">
        <f t="shared" si="565"/>
        <v>41.172398845326299</v>
      </c>
      <c r="L636" s="537">
        <f t="shared" si="565"/>
        <v>28.417058326849602</v>
      </c>
      <c r="M636" s="537">
        <f t="shared" ref="M636:AW636" si="566">M$505</f>
        <v>21.096905660884005</v>
      </c>
      <c r="N636" s="537">
        <f t="shared" si="566"/>
        <v>31.08143864274</v>
      </c>
      <c r="O636" s="537">
        <f t="shared" si="566"/>
        <v>40.3587728961</v>
      </c>
      <c r="P636" s="537">
        <f t="shared" si="566"/>
        <v>13.24238293008</v>
      </c>
      <c r="Q636" s="537">
        <f t="shared" si="566"/>
        <v>30.5934780093916</v>
      </c>
      <c r="R636" s="537">
        <f t="shared" si="566"/>
        <v>26.812794099342703</v>
      </c>
      <c r="S636" s="537">
        <f t="shared" si="566"/>
        <v>25.449283516725</v>
      </c>
      <c r="T636" s="537">
        <f t="shared" si="566"/>
        <v>42.512664788264004</v>
      </c>
      <c r="U636" s="537">
        <f t="shared" si="566"/>
        <v>27.189123065655501</v>
      </c>
      <c r="V636" s="537">
        <f t="shared" si="566"/>
        <v>21.386345392392002</v>
      </c>
      <c r="W636" s="537">
        <f t="shared" si="566"/>
        <v>47.767398840349998</v>
      </c>
      <c r="X636" s="537">
        <f t="shared" si="566"/>
        <v>30.550656035408004</v>
      </c>
      <c r="Y636" s="537">
        <f t="shared" si="566"/>
        <v>23.123316767604802</v>
      </c>
      <c r="Z636" s="537">
        <f t="shared" si="566"/>
        <v>55.261770455573398</v>
      </c>
      <c r="AA636" s="537">
        <f t="shared" si="566"/>
        <v>23.605660323789401</v>
      </c>
      <c r="AB636" s="537">
        <f t="shared" si="566"/>
        <v>14.248494073706999</v>
      </c>
      <c r="AC636" s="537">
        <f t="shared" si="566"/>
        <v>39.830018351999996</v>
      </c>
      <c r="AD636" s="537">
        <f t="shared" si="566"/>
        <v>26.946588904000002</v>
      </c>
      <c r="AE636" s="537">
        <f t="shared" si="566"/>
        <v>42.166690292999995</v>
      </c>
      <c r="AF636" s="537">
        <f t="shared" si="566"/>
        <v>46.080097678999998</v>
      </c>
      <c r="AG636" s="537">
        <f t="shared" si="566"/>
        <v>27.68391914</v>
      </c>
      <c r="AH636" s="537">
        <f t="shared" si="566"/>
        <v>24.199724196000002</v>
      </c>
      <c r="AI636" s="537">
        <f t="shared" si="566"/>
        <v>38.809691094999998</v>
      </c>
      <c r="AJ636" s="537">
        <f t="shared" si="566"/>
        <v>35.037253449999994</v>
      </c>
      <c r="AK636" s="537">
        <f t="shared" si="566"/>
        <v>33.525973547</v>
      </c>
      <c r="AL636" s="537">
        <f t="shared" si="566"/>
        <v>51.814672684999998</v>
      </c>
      <c r="AM636" s="537">
        <f t="shared" si="566"/>
        <v>31.345127525999999</v>
      </c>
      <c r="AN636" s="537">
        <f t="shared" si="566"/>
        <v>26.933146282999999</v>
      </c>
      <c r="AO636" s="537">
        <f t="shared" si="566"/>
        <v>51.332787429259994</v>
      </c>
      <c r="AP636" s="537">
        <f t="shared" si="566"/>
        <v>26.07999909806</v>
      </c>
      <c r="AQ636" s="537">
        <f t="shared" si="566"/>
        <v>41.740248412327226</v>
      </c>
      <c r="AR636" s="537">
        <f t="shared" si="566"/>
        <v>43.27045286912</v>
      </c>
      <c r="AS636" s="537">
        <f t="shared" si="566"/>
        <v>48.382281150347993</v>
      </c>
      <c r="AT636" s="537">
        <f t="shared" si="566"/>
        <v>31.764888093065601</v>
      </c>
      <c r="AU636" s="537">
        <f t="shared" si="566"/>
        <v>34.288099717240001</v>
      </c>
      <c r="AV636" s="537">
        <f t="shared" si="566"/>
        <v>50.097461062880001</v>
      </c>
      <c r="AW636" s="537">
        <f t="shared" si="566"/>
        <v>40.327094347550002</v>
      </c>
      <c r="AX636" s="537">
        <f t="shared" ref="AX636:BP636" si="567">AX$505</f>
        <v>52.639374650080001</v>
      </c>
      <c r="AY636" s="537">
        <f t="shared" si="567"/>
        <v>43.554295972900796</v>
      </c>
      <c r="AZ636" s="537">
        <f t="shared" si="567"/>
        <v>37.488739377367494</v>
      </c>
      <c r="BA636" s="537">
        <f t="shared" si="567"/>
        <v>56.695010128</v>
      </c>
      <c r="BB636" s="537">
        <f t="shared" si="567"/>
        <v>32.663080004000001</v>
      </c>
      <c r="BC636" s="537">
        <f t="shared" si="567"/>
        <v>32.521742717999999</v>
      </c>
      <c r="BD636" s="537">
        <f t="shared" si="567"/>
        <v>61.918554928000006</v>
      </c>
      <c r="BE636" s="537">
        <f t="shared" si="567"/>
        <v>61.159198818</v>
      </c>
      <c r="BF636" s="537">
        <f t="shared" si="567"/>
        <v>25.041280118</v>
      </c>
      <c r="BG636" s="537">
        <f t="shared" si="567"/>
        <v>41.716657434999995</v>
      </c>
      <c r="BH636" s="537">
        <f t="shared" si="567"/>
        <v>63.464046401000004</v>
      </c>
      <c r="BI636" s="537">
        <f t="shared" si="567"/>
        <v>38.801061231999995</v>
      </c>
      <c r="BJ636" s="537">
        <f t="shared" si="567"/>
        <v>68.23604685382</v>
      </c>
      <c r="BK636" s="537">
        <f t="shared" si="567"/>
        <v>47.743873942000008</v>
      </c>
      <c r="BL636" s="537">
        <f t="shared" si="567"/>
        <v>38.517362037000005</v>
      </c>
      <c r="BM636" s="537">
        <f t="shared" si="567"/>
        <v>62.76197392489</v>
      </c>
      <c r="BN636" s="537">
        <f t="shared" si="567"/>
        <v>44.670436133479996</v>
      </c>
      <c r="BO636" s="537">
        <f t="shared" si="567"/>
        <v>43.792253893999998</v>
      </c>
      <c r="BP636" s="537">
        <f t="shared" si="567"/>
        <v>75.347840000000005</v>
      </c>
      <c r="BQ636" s="537">
        <f t="shared" ref="BQ636:DT636" si="568">BQ$505</f>
        <v>62.355729423849994</v>
      </c>
      <c r="BR636" s="537">
        <f t="shared" si="568"/>
        <v>27.30003376258</v>
      </c>
      <c r="BS636" s="537">
        <f t="shared" si="568"/>
        <v>60.656699999999994</v>
      </c>
      <c r="BT636" s="537">
        <f t="shared" si="568"/>
        <v>53.924499999999995</v>
      </c>
      <c r="BU636" s="537">
        <f t="shared" si="568"/>
        <v>38.252100000000006</v>
      </c>
      <c r="BV636" s="537">
        <f t="shared" si="568"/>
        <v>79.040957728000009</v>
      </c>
      <c r="BW636" s="537">
        <f t="shared" si="568"/>
        <v>50.433012564999999</v>
      </c>
      <c r="BX636" s="537">
        <f t="shared" si="568"/>
        <v>37.282628350000003</v>
      </c>
      <c r="BY636" s="537">
        <f t="shared" si="568"/>
        <v>59.44014836103436</v>
      </c>
      <c r="BZ636" s="537">
        <f t="shared" si="568"/>
        <v>60.16820487764555</v>
      </c>
      <c r="CA636" s="537">
        <f t="shared" si="568"/>
        <v>43.445561018246877</v>
      </c>
      <c r="CB636" s="537">
        <f t="shared" si="568"/>
        <v>79.086111894783954</v>
      </c>
      <c r="CC636" s="537">
        <f t="shared" si="568"/>
        <v>63.566453566213539</v>
      </c>
      <c r="CD636" s="539">
        <f t="shared" si="568"/>
        <v>33.973535486441499</v>
      </c>
      <c r="CE636" s="537">
        <f t="shared" si="568"/>
        <v>65.89267279420767</v>
      </c>
      <c r="CF636" s="537">
        <f t="shared" si="568"/>
        <v>57.698124104824529</v>
      </c>
      <c r="CG636" s="537">
        <f t="shared" si="568"/>
        <v>49.971496275656513</v>
      </c>
      <c r="CH636" s="537">
        <f t="shared" si="568"/>
        <v>98.422676236375139</v>
      </c>
      <c r="CI636" s="537">
        <f t="shared" si="568"/>
        <v>49.352782366961684</v>
      </c>
      <c r="CJ636" s="537">
        <f t="shared" si="568"/>
        <v>43.202628906906497</v>
      </c>
      <c r="CK636" s="537">
        <f t="shared" si="568"/>
        <v>89.589499932908524</v>
      </c>
      <c r="CL636" s="537">
        <f t="shared" si="568"/>
        <v>55.132372310596182</v>
      </c>
      <c r="CM636" s="537">
        <f t="shared" si="568"/>
        <v>49.958458260097075</v>
      </c>
      <c r="CN636" s="537">
        <f t="shared" si="568"/>
        <v>105.69323725464999</v>
      </c>
      <c r="CO636" s="537">
        <f t="shared" si="568"/>
        <v>72.35638998306149</v>
      </c>
      <c r="CP636" s="540">
        <f t="shared" si="568"/>
        <v>42.576317655317467</v>
      </c>
      <c r="CQ636" s="537">
        <f t="shared" si="568"/>
        <v>84.6445758897041</v>
      </c>
      <c r="CR636" s="537">
        <f t="shared" si="568"/>
        <v>60.559389158457925</v>
      </c>
      <c r="CS636" s="537">
        <f t="shared" si="568"/>
        <v>68.815025306874986</v>
      </c>
      <c r="CT636" s="537">
        <f t="shared" si="568"/>
        <v>86.102977654121617</v>
      </c>
      <c r="CU636" s="537">
        <f t="shared" si="568"/>
        <v>61.145606517232892</v>
      </c>
      <c r="CV636" s="537">
        <f t="shared" si="568"/>
        <v>65.339231641405675</v>
      </c>
      <c r="CW636" s="537">
        <f t="shared" si="568"/>
        <v>79.098195164108489</v>
      </c>
      <c r="CX636" s="537">
        <f t="shared" si="568"/>
        <v>58.352478099715235</v>
      </c>
      <c r="CY636" s="537">
        <f t="shared" si="568"/>
        <v>86.142963752456694</v>
      </c>
      <c r="CZ636" s="537">
        <f t="shared" si="568"/>
        <v>100.77455196925499</v>
      </c>
      <c r="DA636" s="537">
        <f t="shared" si="568"/>
        <v>78.566557604053159</v>
      </c>
      <c r="DB636" s="1516">
        <f t="shared" si="568"/>
        <v>36.16869034069822</v>
      </c>
      <c r="DC636" s="537">
        <f t="shared" si="568"/>
        <v>90.299541103874702</v>
      </c>
      <c r="DD636" s="537">
        <f t="shared" si="568"/>
        <v>70.901540649245547</v>
      </c>
      <c r="DE636" s="537">
        <f t="shared" si="568"/>
        <v>63.539698355399999</v>
      </c>
      <c r="DF636" s="537">
        <f t="shared" si="568"/>
        <v>118.66696784858111</v>
      </c>
      <c r="DG636" s="537">
        <f t="shared" si="568"/>
        <v>66.753478653000002</v>
      </c>
      <c r="DH636" s="537">
        <f t="shared" si="568"/>
        <v>68.00374049700001</v>
      </c>
      <c r="DI636" s="537">
        <f t="shared" si="568"/>
        <v>106.18571900198846</v>
      </c>
      <c r="DJ636" s="537">
        <f t="shared" si="568"/>
        <v>54.857941337869406</v>
      </c>
      <c r="DK636" s="537">
        <f t="shared" si="568"/>
        <v>81.728672669081334</v>
      </c>
      <c r="DL636" s="537">
        <f t="shared" si="568"/>
        <v>109.20853714678179</v>
      </c>
      <c r="DM636" s="537">
        <f t="shared" si="568"/>
        <v>64.938635477458448</v>
      </c>
      <c r="DN636" s="540">
        <f t="shared" si="568"/>
        <v>52.447596811461146</v>
      </c>
      <c r="DO636" s="537">
        <f t="shared" si="568"/>
        <v>94.189350121126623</v>
      </c>
      <c r="DP636" s="537">
        <f t="shared" si="568"/>
        <v>109.63174863150537</v>
      </c>
      <c r="DQ636" s="537">
        <f t="shared" si="568"/>
        <v>66.574285182477595</v>
      </c>
      <c r="DR636" s="537">
        <f t="shared" si="568"/>
        <v>126.42570926667855</v>
      </c>
      <c r="DS636" s="537">
        <f t="shared" si="568"/>
        <v>77.289427144100856</v>
      </c>
      <c r="DT636" s="537">
        <f t="shared" si="568"/>
        <v>76.312393625084894</v>
      </c>
      <c r="DU636" s="537"/>
      <c r="DV636" s="537"/>
      <c r="DW636" s="537"/>
      <c r="DX636" s="537"/>
      <c r="DY636" s="537"/>
      <c r="DZ636" s="540"/>
      <c r="EA636" s="537"/>
      <c r="EB636" s="537"/>
      <c r="EC636" s="537"/>
      <c r="ED636" s="537"/>
      <c r="EE636" s="537"/>
      <c r="EF636" s="537"/>
      <c r="EG636" s="537"/>
      <c r="EH636" s="537"/>
      <c r="EI636" s="537"/>
      <c r="EJ636" s="537"/>
      <c r="EK636" s="537"/>
      <c r="EL636" s="540"/>
      <c r="EM636" s="537"/>
      <c r="EN636" s="537"/>
      <c r="EO636" s="537"/>
      <c r="EP636" s="537"/>
      <c r="EQ636" s="537"/>
      <c r="ER636" s="537"/>
      <c r="ES636" s="537"/>
      <c r="ET636" s="537"/>
      <c r="EU636" s="537"/>
      <c r="EV636" s="537"/>
      <c r="EW636" s="537"/>
      <c r="EX636" s="540"/>
      <c r="EY636" s="537"/>
      <c r="EZ636" s="537"/>
      <c r="FA636" s="537"/>
      <c r="FB636" s="537"/>
      <c r="FC636" s="537"/>
      <c r="FD636" s="537"/>
      <c r="FE636" s="537"/>
      <c r="FF636" s="537"/>
      <c r="FG636" s="537"/>
      <c r="FH636" s="537"/>
      <c r="FI636" s="537"/>
      <c r="FJ636" s="540"/>
      <c r="FK636" s="537"/>
      <c r="FL636" s="537"/>
      <c r="FM636" s="537"/>
      <c r="FN636" s="537"/>
      <c r="FO636" s="537"/>
      <c r="FP636" s="537"/>
      <c r="FQ636" s="537"/>
      <c r="FR636" s="537"/>
      <c r="FS636" s="537"/>
      <c r="FT636" s="537"/>
      <c r="FU636" s="537"/>
      <c r="FV636" s="537"/>
      <c r="FW636" s="537"/>
      <c r="FX636" s="537"/>
      <c r="FY636" s="537"/>
      <c r="FZ636" s="537"/>
      <c r="GA636" s="537"/>
      <c r="GB636" s="537"/>
      <c r="GC636" s="537"/>
      <c r="GD636" s="537"/>
      <c r="GE636" s="537"/>
      <c r="GF636" s="537"/>
      <c r="GG636" s="537"/>
      <c r="GH636" s="537"/>
      <c r="GI636" s="537"/>
      <c r="GJ636" s="537"/>
      <c r="GK636" s="537"/>
      <c r="GL636" s="537"/>
      <c r="GM636" s="537"/>
      <c r="GN636" s="537"/>
      <c r="GO636" s="537"/>
      <c r="GP636" s="537"/>
      <c r="GQ636" s="537"/>
      <c r="GR636" s="537"/>
      <c r="GS636" s="537"/>
      <c r="GT636" s="537"/>
      <c r="GU636" s="537"/>
      <c r="GV636" s="537"/>
      <c r="GW636" s="537"/>
      <c r="GX636" s="537"/>
      <c r="GY636" s="537"/>
      <c r="GZ636" s="537"/>
      <c r="HA636" s="537"/>
      <c r="HB636" s="537"/>
      <c r="HC636" s="537"/>
      <c r="HD636" s="537"/>
      <c r="HE636" s="537"/>
      <c r="HF636" s="537"/>
      <c r="HG636" s="537"/>
      <c r="HH636" s="537"/>
      <c r="HI636" s="537"/>
      <c r="HJ636" s="537"/>
      <c r="HK636" s="537"/>
      <c r="HL636" s="537"/>
      <c r="HM636" s="537"/>
      <c r="HO636" s="537"/>
      <c r="HP636" s="537"/>
      <c r="HQ636" s="537"/>
      <c r="HR636" s="537">
        <f t="shared" ref="HR636:HW636" si="569">HR$505</f>
        <v>834.73</v>
      </c>
      <c r="HS636" s="302">
        <f t="shared" si="569"/>
        <v>426.60680616779723</v>
      </c>
      <c r="HT636" s="302">
        <f t="shared" si="569"/>
        <v>439.10343693028676</v>
      </c>
      <c r="HU636" s="537">
        <f t="shared" si="569"/>
        <v>865.71024309808399</v>
      </c>
      <c r="HV636" s="302">
        <f t="shared" si="569"/>
        <v>478.16496710710135</v>
      </c>
      <c r="HW636" s="302">
        <f t="shared" si="569"/>
        <v>469.36710244464064</v>
      </c>
      <c r="HX636" s="545">
        <f t="shared" ref="HX636:IJ636" si="570">HX$505</f>
        <v>947.5320695517421</v>
      </c>
      <c r="HY636" s="302">
        <f t="shared" si="570"/>
        <v>550.42291397097392</v>
      </c>
      <c r="IA636" s="545">
        <f t="shared" si="570"/>
        <v>1135.0275583060873</v>
      </c>
      <c r="ID636" s="544">
        <f t="shared" si="570"/>
        <v>1177.2772642778905</v>
      </c>
      <c r="IG636" s="544">
        <f t="shared" si="570"/>
        <v>1343.6050912542087</v>
      </c>
      <c r="IH636" s="350"/>
      <c r="II636" s="350"/>
      <c r="IJ636" s="544">
        <f t="shared" si="570"/>
        <v>1558.3598845633098</v>
      </c>
      <c r="IK636" s="350"/>
      <c r="IL636" s="350"/>
      <c r="IM636" s="544">
        <f>IM$505</f>
        <v>1670.0482916625929</v>
      </c>
      <c r="IN636" s="350"/>
      <c r="IO636" s="350">
        <f>IO$505</f>
        <v>1358.5458449184598</v>
      </c>
      <c r="IP636" s="544" t="e">
        <f>#REF!</f>
        <v>#REF!</v>
      </c>
      <c r="IQ636" s="350">
        <f>IS$505</f>
        <v>2728.8843605583388</v>
      </c>
      <c r="IR636" s="350">
        <f>IR$505</f>
        <v>1396.7145178853812</v>
      </c>
      <c r="IS636" s="544"/>
      <c r="IT636" s="350"/>
      <c r="IU636" s="350"/>
      <c r="IV636" s="544"/>
      <c r="IW636" s="350"/>
      <c r="IX636" s="350"/>
      <c r="IY636" s="544"/>
      <c r="KM636" s="302">
        <f>KM$505</f>
        <v>0</v>
      </c>
      <c r="KN636" s="302">
        <f>KN$505</f>
        <v>0</v>
      </c>
      <c r="KO636" s="302">
        <f>KO$505</f>
        <v>0</v>
      </c>
      <c r="KP636" s="302">
        <f>KP$505</f>
        <v>0</v>
      </c>
    </row>
    <row r="637" spans="1:302">
      <c r="A637" s="302"/>
      <c r="D637" s="535" t="s">
        <v>870</v>
      </c>
      <c r="E637" s="537"/>
      <c r="F637" s="537"/>
      <c r="G637" s="537"/>
      <c r="H637" s="537"/>
      <c r="I637" s="537"/>
      <c r="J637" s="537"/>
      <c r="K637" s="537"/>
      <c r="L637" s="537"/>
      <c r="M637" s="537"/>
      <c r="N637" s="537"/>
      <c r="O637" s="537"/>
      <c r="P637" s="537"/>
      <c r="Q637" s="537"/>
      <c r="R637" s="537"/>
      <c r="S637" s="537"/>
      <c r="T637" s="537"/>
      <c r="U637" s="537"/>
      <c r="V637" s="537"/>
      <c r="W637" s="537"/>
      <c r="X637" s="537"/>
      <c r="Y637" s="537"/>
      <c r="Z637" s="537"/>
      <c r="AA637" s="537"/>
      <c r="AB637" s="537"/>
      <c r="AC637" s="537"/>
      <c r="AD637" s="537"/>
      <c r="AE637" s="537"/>
      <c r="AF637" s="537"/>
      <c r="AG637" s="537"/>
      <c r="AH637" s="537"/>
      <c r="AI637" s="537"/>
      <c r="AJ637" s="537"/>
      <c r="AK637" s="537"/>
      <c r="AL637" s="537"/>
      <c r="AM637" s="537"/>
      <c r="AN637" s="537"/>
      <c r="AO637" s="537"/>
      <c r="AP637" s="537"/>
      <c r="AQ637" s="537"/>
      <c r="AR637" s="537"/>
      <c r="AS637" s="537"/>
      <c r="AT637" s="537"/>
      <c r="AU637" s="537"/>
      <c r="AV637" s="537"/>
      <c r="AW637" s="537"/>
      <c r="AX637" s="537"/>
      <c r="AY637" s="537"/>
      <c r="AZ637" s="537"/>
      <c r="BA637" s="537"/>
      <c r="BB637" s="537"/>
      <c r="BC637" s="537"/>
      <c r="BD637" s="537"/>
      <c r="BE637" s="537"/>
      <c r="BF637" s="537"/>
      <c r="BG637" s="537"/>
      <c r="BH637" s="537"/>
      <c r="BI637" s="537"/>
      <c r="BJ637" s="537"/>
      <c r="BK637" s="537"/>
      <c r="BL637" s="537"/>
      <c r="BM637" s="537"/>
      <c r="BN637" s="537"/>
      <c r="BO637" s="537"/>
      <c r="BP637" s="537"/>
      <c r="BQ637" s="537"/>
      <c r="BR637" s="537"/>
      <c r="BS637" s="537"/>
      <c r="BT637" s="537"/>
      <c r="BU637" s="537"/>
      <c r="BV637" s="537"/>
      <c r="BW637" s="537"/>
      <c r="BX637" s="537"/>
      <c r="BY637" s="537"/>
      <c r="BZ637" s="537"/>
      <c r="CA637" s="537"/>
      <c r="CB637" s="537"/>
      <c r="CC637" s="537"/>
      <c r="CD637" s="539"/>
      <c r="CE637" s="537"/>
      <c r="CF637" s="537"/>
      <c r="CG637" s="537"/>
      <c r="CH637" s="537"/>
      <c r="CI637" s="537"/>
      <c r="CJ637" s="537"/>
      <c r="CK637" s="537"/>
      <c r="CL637" s="537"/>
      <c r="CM637" s="537"/>
      <c r="CN637" s="537"/>
      <c r="CO637" s="537"/>
      <c r="CP637" s="540"/>
      <c r="CQ637" s="537"/>
      <c r="CR637" s="537"/>
      <c r="CS637" s="537"/>
      <c r="CT637" s="537"/>
      <c r="CU637" s="537"/>
      <c r="CV637" s="537"/>
      <c r="CW637" s="537"/>
      <c r="CX637" s="537"/>
      <c r="CY637" s="537"/>
      <c r="CZ637" s="537"/>
      <c r="DA637" s="537"/>
      <c r="DB637" s="1516"/>
      <c r="DC637" s="537"/>
      <c r="DD637" s="537"/>
      <c r="DE637" s="537"/>
      <c r="DF637" s="537"/>
      <c r="DG637" s="537"/>
      <c r="DH637" s="537"/>
      <c r="DI637" s="537"/>
      <c r="DJ637" s="537"/>
      <c r="DK637" s="537"/>
      <c r="DL637" s="537"/>
      <c r="DM637" s="537"/>
      <c r="DN637" s="540"/>
      <c r="DO637" s="537"/>
      <c r="DP637" s="537"/>
      <c r="DQ637" s="537"/>
      <c r="DR637" s="537"/>
      <c r="DS637" s="537"/>
      <c r="DT637" s="537"/>
      <c r="DU637" s="537"/>
      <c r="DV637" s="537"/>
      <c r="DW637" s="537"/>
      <c r="DX637" s="537"/>
      <c r="DY637" s="537"/>
      <c r="DZ637" s="540"/>
      <c r="EA637" s="537"/>
      <c r="EB637" s="537"/>
      <c r="EC637" s="537"/>
      <c r="ED637" s="537"/>
      <c r="EE637" s="537"/>
      <c r="EF637" s="537"/>
      <c r="EG637" s="537"/>
      <c r="EH637" s="537"/>
      <c r="EI637" s="537"/>
      <c r="EJ637" s="537"/>
      <c r="EK637" s="537"/>
      <c r="EL637" s="540"/>
      <c r="EM637" s="537"/>
      <c r="EN637" s="537"/>
      <c r="EO637" s="537"/>
      <c r="EP637" s="537"/>
      <c r="EQ637" s="537"/>
      <c r="ER637" s="537"/>
      <c r="ES637" s="537"/>
      <c r="ET637" s="537"/>
      <c r="EU637" s="537"/>
      <c r="EV637" s="537"/>
      <c r="EW637" s="537"/>
      <c r="EX637" s="540"/>
      <c r="EY637" s="537"/>
      <c r="EZ637" s="537"/>
      <c r="FA637" s="537"/>
      <c r="FB637" s="537"/>
      <c r="FC637" s="537"/>
      <c r="FD637" s="537"/>
      <c r="FE637" s="537"/>
      <c r="FF637" s="537"/>
      <c r="FG637" s="537"/>
      <c r="FH637" s="537"/>
      <c r="FI637" s="537"/>
      <c r="FJ637" s="540"/>
      <c r="FK637" s="537"/>
      <c r="FL637" s="537"/>
      <c r="FM637" s="537"/>
      <c r="FN637" s="537"/>
      <c r="FO637" s="537"/>
      <c r="FP637" s="537"/>
      <c r="FQ637" s="537"/>
      <c r="FR637" s="537"/>
      <c r="FS637" s="537"/>
      <c r="FT637" s="537"/>
      <c r="FU637" s="537"/>
      <c r="FV637" s="537"/>
      <c r="FW637" s="537"/>
      <c r="FX637" s="537"/>
      <c r="FY637" s="537"/>
      <c r="FZ637" s="537"/>
      <c r="GA637" s="537"/>
      <c r="GB637" s="537"/>
      <c r="GC637" s="537"/>
      <c r="GD637" s="537"/>
      <c r="GE637" s="537"/>
      <c r="GF637" s="537"/>
      <c r="GG637" s="537"/>
      <c r="GH637" s="537"/>
      <c r="GI637" s="537"/>
      <c r="GJ637" s="537"/>
      <c r="GK637" s="537"/>
      <c r="GL637" s="537"/>
      <c r="GM637" s="537"/>
      <c r="GN637" s="537"/>
      <c r="GO637" s="537"/>
      <c r="GP637" s="537"/>
      <c r="GQ637" s="537"/>
      <c r="GR637" s="537"/>
      <c r="GS637" s="537"/>
      <c r="GT637" s="537"/>
      <c r="GU637" s="537"/>
      <c r="GV637" s="537"/>
      <c r="GW637" s="537"/>
      <c r="GX637" s="537"/>
      <c r="GY637" s="537"/>
      <c r="GZ637" s="537"/>
      <c r="HA637" s="537"/>
      <c r="HB637" s="537"/>
      <c r="HC637" s="537"/>
      <c r="HD637" s="537"/>
      <c r="HE637" s="537"/>
      <c r="HF637" s="537"/>
      <c r="HG637" s="537"/>
      <c r="HH637" s="537"/>
      <c r="HI637" s="537"/>
      <c r="HJ637" s="537"/>
      <c r="HK637" s="537"/>
      <c r="HL637" s="537"/>
      <c r="HM637" s="537"/>
      <c r="HO637" s="537"/>
      <c r="HP637" s="537"/>
      <c r="HQ637" s="537"/>
      <c r="HR637" s="537"/>
      <c r="HU637" s="537"/>
      <c r="HX637" s="545"/>
      <c r="IA637" s="545"/>
      <c r="ID637" s="544"/>
      <c r="IG637" s="544"/>
      <c r="IH637" s="350"/>
      <c r="II637" s="350"/>
      <c r="IJ637" s="544"/>
      <c r="IK637" s="350"/>
      <c r="IL637" s="350"/>
      <c r="IM637" s="544"/>
      <c r="IN637" s="350"/>
      <c r="IO637" s="350"/>
      <c r="IP637" s="544"/>
      <c r="IQ637" s="350"/>
      <c r="IR637" s="350"/>
      <c r="IS637" s="544"/>
      <c r="IT637" s="350"/>
      <c r="IU637" s="350"/>
      <c r="IV637" s="544"/>
      <c r="IW637" s="350"/>
      <c r="IX637" s="350"/>
      <c r="IY637" s="544"/>
    </row>
    <row r="638" spans="1:302">
      <c r="A638" s="302"/>
      <c r="B638" s="117" t="s">
        <v>361</v>
      </c>
      <c r="D638" s="542" t="str">
        <f>D$536</f>
        <v>Capital expenditure</v>
      </c>
      <c r="E638" s="537">
        <f>E$536</f>
        <v>3.5838200000000002</v>
      </c>
      <c r="F638" s="537">
        <f t="shared" ref="F638:L638" si="571">F$536</f>
        <v>6.07545</v>
      </c>
      <c r="G638" s="537">
        <f t="shared" si="571"/>
        <v>31.038969999999999</v>
      </c>
      <c r="H638" s="537">
        <f t="shared" si="571"/>
        <v>7.6555400000000002</v>
      </c>
      <c r="I638" s="537">
        <f t="shared" si="571"/>
        <v>2.6138300000000001</v>
      </c>
      <c r="J638" s="537">
        <f t="shared" si="571"/>
        <v>29.6614</v>
      </c>
      <c r="K638" s="537">
        <f t="shared" si="571"/>
        <v>14.90522</v>
      </c>
      <c r="L638" s="537">
        <f t="shared" si="571"/>
        <v>4.9962</v>
      </c>
      <c r="M638" s="537">
        <f t="shared" ref="M638:AW638" si="572">M$536</f>
        <v>35.02093</v>
      </c>
      <c r="N638" s="537">
        <f t="shared" si="572"/>
        <v>4.1402399999999995</v>
      </c>
      <c r="O638" s="537">
        <f t="shared" si="572"/>
        <v>12.62506</v>
      </c>
      <c r="P638" s="537">
        <f t="shared" si="572"/>
        <v>33.861910000000002</v>
      </c>
      <c r="Q638" s="537">
        <f t="shared" si="572"/>
        <v>6.6938699999999995</v>
      </c>
      <c r="R638" s="537">
        <f t="shared" si="572"/>
        <v>6.6217100000000002</v>
      </c>
      <c r="S638" s="537">
        <f t="shared" si="572"/>
        <v>28.064729999999997</v>
      </c>
      <c r="T638" s="537">
        <f t="shared" si="572"/>
        <v>13.2995</v>
      </c>
      <c r="U638" s="537">
        <f t="shared" si="572"/>
        <v>5.5477400000000001</v>
      </c>
      <c r="V638" s="537">
        <f t="shared" si="572"/>
        <v>35.823459999999997</v>
      </c>
      <c r="W638" s="537">
        <f t="shared" si="572"/>
        <v>11.525399999999999</v>
      </c>
      <c r="X638" s="537">
        <f t="shared" si="572"/>
        <v>11.975370000000002</v>
      </c>
      <c r="Y638" s="537">
        <f t="shared" si="572"/>
        <v>44.228030000000004</v>
      </c>
      <c r="Z638" s="537">
        <f t="shared" si="572"/>
        <v>28.940909999999999</v>
      </c>
      <c r="AA638" s="537">
        <f t="shared" si="572"/>
        <v>6.9695499999999999</v>
      </c>
      <c r="AB638" s="537">
        <f t="shared" si="572"/>
        <v>68.065079999999995</v>
      </c>
      <c r="AC638" s="537">
        <f t="shared" si="572"/>
        <v>8.5546699999999998</v>
      </c>
      <c r="AD638" s="537">
        <f t="shared" si="572"/>
        <v>8.9667000000000012</v>
      </c>
      <c r="AE638" s="537">
        <f t="shared" si="572"/>
        <v>56.542300000000004</v>
      </c>
      <c r="AF638" s="537">
        <f t="shared" si="572"/>
        <v>12.328989999999999</v>
      </c>
      <c r="AG638" s="537">
        <f t="shared" si="572"/>
        <v>14.137729999999999</v>
      </c>
      <c r="AH638" s="537">
        <f t="shared" si="572"/>
        <v>33.673471012000007</v>
      </c>
      <c r="AI638" s="537">
        <f t="shared" si="572"/>
        <v>6.9567500000000004</v>
      </c>
      <c r="AJ638" s="537">
        <f t="shared" si="572"/>
        <v>7.8944300000000007</v>
      </c>
      <c r="AK638" s="537">
        <f t="shared" si="572"/>
        <v>48.635571945000009</v>
      </c>
      <c r="AL638" s="537">
        <f t="shared" si="572"/>
        <v>20.7941</v>
      </c>
      <c r="AM638" s="537">
        <f t="shared" si="572"/>
        <v>21.200900000000001</v>
      </c>
      <c r="AN638" s="537">
        <f t="shared" si="572"/>
        <v>55.547347470999995</v>
      </c>
      <c r="AO638" s="537">
        <f t="shared" si="572"/>
        <v>15.105780000000001</v>
      </c>
      <c r="AP638" s="537">
        <f t="shared" si="572"/>
        <v>13.18632</v>
      </c>
      <c r="AQ638" s="537">
        <f t="shared" si="572"/>
        <v>39.436275601999995</v>
      </c>
      <c r="AR638" s="537">
        <f t="shared" si="572"/>
        <v>21.793560000000003</v>
      </c>
      <c r="AS638" s="537">
        <f t="shared" si="572"/>
        <v>18.903689999999997</v>
      </c>
      <c r="AT638" s="537">
        <f t="shared" si="572"/>
        <v>46.176469328000003</v>
      </c>
      <c r="AU638" s="537">
        <f t="shared" si="572"/>
        <v>14.740819999999999</v>
      </c>
      <c r="AV638" s="537">
        <f t="shared" si="572"/>
        <v>13.9329</v>
      </c>
      <c r="AW638" s="537">
        <f t="shared" si="572"/>
        <v>54.321416559999996</v>
      </c>
      <c r="AX638" s="537">
        <f t="shared" ref="AX638:BP638" si="573">AX$536</f>
        <v>20.9</v>
      </c>
      <c r="AY638" s="537">
        <f t="shared" si="573"/>
        <v>15.603999999999999</v>
      </c>
      <c r="AZ638" s="537">
        <f t="shared" si="573"/>
        <v>75.994112141000002</v>
      </c>
      <c r="BA638" s="537">
        <f t="shared" si="573"/>
        <v>22.111249999999998</v>
      </c>
      <c r="BB638" s="537">
        <f t="shared" si="573"/>
        <v>11.667159999999999</v>
      </c>
      <c r="BC638" s="537">
        <f t="shared" si="573"/>
        <v>95.749857354999989</v>
      </c>
      <c r="BD638" s="537">
        <f t="shared" si="573"/>
        <v>22.31202</v>
      </c>
      <c r="BE638" s="537">
        <f t="shared" si="573"/>
        <v>33.052900000000001</v>
      </c>
      <c r="BF638" s="537">
        <f t="shared" si="573"/>
        <v>57.496123629000003</v>
      </c>
      <c r="BG638" s="537">
        <f t="shared" si="573"/>
        <v>6.3758999999999997</v>
      </c>
      <c r="BH638" s="537">
        <f t="shared" si="573"/>
        <v>19.89939</v>
      </c>
      <c r="BI638" s="537">
        <f t="shared" si="573"/>
        <v>57.363894709</v>
      </c>
      <c r="BJ638" s="537">
        <f t="shared" si="573"/>
        <v>33.236025999999995</v>
      </c>
      <c r="BK638" s="537">
        <f t="shared" si="573"/>
        <v>17.411060000000003</v>
      </c>
      <c r="BL638" s="537">
        <f t="shared" si="573"/>
        <v>79.907373401000001</v>
      </c>
      <c r="BM638" s="537">
        <f t="shared" si="573"/>
        <v>21.286360000000002</v>
      </c>
      <c r="BN638" s="537">
        <f t="shared" si="573"/>
        <v>12.03393</v>
      </c>
      <c r="BO638" s="537">
        <f t="shared" si="573"/>
        <v>83.532420236999997</v>
      </c>
      <c r="BP638" s="537">
        <f t="shared" si="573"/>
        <v>31.707180000000001</v>
      </c>
      <c r="BQ638" s="537">
        <f t="shared" ref="BQ638:DT638" si="574">BQ$536</f>
        <v>46.85219</v>
      </c>
      <c r="BR638" s="537">
        <f t="shared" si="574"/>
        <v>85.686844824000005</v>
      </c>
      <c r="BS638" s="537">
        <f t="shared" si="574"/>
        <v>8.992799999999999</v>
      </c>
      <c r="BT638" s="537">
        <f t="shared" si="574"/>
        <v>14.1875</v>
      </c>
      <c r="BU638" s="537">
        <f t="shared" si="574"/>
        <v>96.263000000000005</v>
      </c>
      <c r="BV638" s="537">
        <f t="shared" si="574"/>
        <v>38.280104581000003</v>
      </c>
      <c r="BW638" s="537">
        <f t="shared" si="574"/>
        <v>19.21824221</v>
      </c>
      <c r="BX638" s="537">
        <f t="shared" si="574"/>
        <v>3.4928711909999999</v>
      </c>
      <c r="BY638" s="537">
        <f t="shared" si="574"/>
        <v>16.503664744000002</v>
      </c>
      <c r="BZ638" s="537">
        <f t="shared" si="574"/>
        <v>16.912173433</v>
      </c>
      <c r="CA638" s="537">
        <f t="shared" si="574"/>
        <v>14.65821757</v>
      </c>
      <c r="CB638" s="537">
        <f t="shared" si="574"/>
        <v>45.488008786000002</v>
      </c>
      <c r="CC638" s="537">
        <f t="shared" si="574"/>
        <v>30.685310925</v>
      </c>
      <c r="CD638" s="539">
        <f t="shared" si="574"/>
        <v>20.505813729</v>
      </c>
      <c r="CE638" s="537">
        <f t="shared" si="574"/>
        <v>41.2617130557717</v>
      </c>
      <c r="CF638" s="537">
        <f t="shared" si="574"/>
        <v>37.17538064973381</v>
      </c>
      <c r="CG638" s="537">
        <f t="shared" si="574"/>
        <v>53.445989574294494</v>
      </c>
      <c r="CH638" s="537">
        <f t="shared" si="574"/>
        <v>82.420480696949596</v>
      </c>
      <c r="CI638" s="537">
        <f t="shared" si="574"/>
        <v>60.886008184135449</v>
      </c>
      <c r="CJ638" s="537">
        <f t="shared" si="574"/>
        <v>42.579808483000946</v>
      </c>
      <c r="CK638" s="537">
        <f t="shared" si="574"/>
        <v>56.982814007968308</v>
      </c>
      <c r="CL638" s="537">
        <f t="shared" si="574"/>
        <v>40.9527558704347</v>
      </c>
      <c r="CM638" s="537">
        <f t="shared" si="574"/>
        <v>51.482509808918991</v>
      </c>
      <c r="CN638" s="537">
        <f t="shared" si="574"/>
        <v>88.999417981925205</v>
      </c>
      <c r="CO638" s="537">
        <f t="shared" si="574"/>
        <v>88.940306068884169</v>
      </c>
      <c r="CP638" s="540">
        <f t="shared" si="574"/>
        <v>67.403896435661594</v>
      </c>
      <c r="CQ638" s="537">
        <f t="shared" si="574"/>
        <v>41.366723220573093</v>
      </c>
      <c r="CR638" s="537">
        <f t="shared" si="574"/>
        <v>55.946810373654017</v>
      </c>
      <c r="CS638" s="537">
        <f t="shared" si="574"/>
        <v>54.704821243129892</v>
      </c>
      <c r="CT638" s="537">
        <f t="shared" si="574"/>
        <v>50.93435579744277</v>
      </c>
      <c r="CU638" s="537">
        <f t="shared" si="574"/>
        <v>56.903799219663341</v>
      </c>
      <c r="CV638" s="537">
        <f t="shared" si="574"/>
        <v>54.665931141066608</v>
      </c>
      <c r="CW638" s="537">
        <f t="shared" si="574"/>
        <v>60.370438979920124</v>
      </c>
      <c r="CX638" s="537">
        <f t="shared" si="574"/>
        <v>50.503025629944176</v>
      </c>
      <c r="CY638" s="537">
        <f t="shared" si="574"/>
        <v>72.544012313423679</v>
      </c>
      <c r="CZ638" s="537">
        <f t="shared" si="574"/>
        <v>95.416221885328582</v>
      </c>
      <c r="DA638" s="537">
        <f t="shared" si="574"/>
        <v>76.826238681237285</v>
      </c>
      <c r="DB638" s="1516">
        <f t="shared" si="574"/>
        <v>66.733964417791114</v>
      </c>
      <c r="DC638" s="537">
        <f t="shared" si="574"/>
        <v>30.304379627313036</v>
      </c>
      <c r="DD638" s="537">
        <f t="shared" si="574"/>
        <v>53.531147042357084</v>
      </c>
      <c r="DE638" s="537">
        <f t="shared" si="574"/>
        <v>67.80062375004988</v>
      </c>
      <c r="DF638" s="537">
        <f t="shared" si="574"/>
        <v>58.827480114524867</v>
      </c>
      <c r="DG638" s="537">
        <f t="shared" si="574"/>
        <v>62.464975040256178</v>
      </c>
      <c r="DH638" s="537">
        <f t="shared" si="574"/>
        <v>53.48018039772596</v>
      </c>
      <c r="DI638" s="537">
        <f t="shared" si="574"/>
        <v>73.239507156654497</v>
      </c>
      <c r="DJ638" s="537">
        <f t="shared" si="574"/>
        <v>54.257318128444631</v>
      </c>
      <c r="DK638" s="537">
        <f t="shared" si="574"/>
        <v>53.398547032351878</v>
      </c>
      <c r="DL638" s="537">
        <f t="shared" si="574"/>
        <v>81.658737127909987</v>
      </c>
      <c r="DM638" s="537">
        <f t="shared" si="574"/>
        <v>88.650543803564545</v>
      </c>
      <c r="DN638" s="540">
        <f t="shared" si="574"/>
        <v>41.07209342548046</v>
      </c>
      <c r="DO638" s="537">
        <f t="shared" si="574"/>
        <v>32.377517218573232</v>
      </c>
      <c r="DP638" s="537">
        <f t="shared" si="574"/>
        <v>41.617956931368916</v>
      </c>
      <c r="DQ638" s="537">
        <f t="shared" si="574"/>
        <v>59.315382764009399</v>
      </c>
      <c r="DR638" s="537">
        <f t="shared" si="574"/>
        <v>45.921103915391427</v>
      </c>
      <c r="DS638" s="537">
        <f t="shared" si="574"/>
        <v>51.287430824213004</v>
      </c>
      <c r="DT638" s="537">
        <f t="shared" si="574"/>
        <v>35.131086007230998</v>
      </c>
      <c r="DU638" s="537"/>
      <c r="DV638" s="537"/>
      <c r="DW638" s="537"/>
      <c r="DX638" s="537"/>
      <c r="DY638" s="537"/>
      <c r="DZ638" s="540"/>
      <c r="EA638" s="537"/>
      <c r="EB638" s="537"/>
      <c r="EC638" s="537"/>
      <c r="ED638" s="537"/>
      <c r="EE638" s="537"/>
      <c r="EF638" s="537"/>
      <c r="EG638" s="537"/>
      <c r="EH638" s="537"/>
      <c r="EI638" s="537"/>
      <c r="EJ638" s="537"/>
      <c r="EK638" s="537"/>
      <c r="EL638" s="540"/>
      <c r="EM638" s="537"/>
      <c r="EN638" s="537"/>
      <c r="EO638" s="537"/>
      <c r="EP638" s="537"/>
      <c r="EQ638" s="537"/>
      <c r="ER638" s="537"/>
      <c r="ES638" s="537"/>
      <c r="ET638" s="537"/>
      <c r="EU638" s="537"/>
      <c r="EV638" s="537"/>
      <c r="EW638" s="537"/>
      <c r="EX638" s="540"/>
      <c r="EY638" s="537"/>
      <c r="EZ638" s="537"/>
      <c r="FA638" s="537"/>
      <c r="FB638" s="537"/>
      <c r="FC638" s="537"/>
      <c r="FD638" s="537"/>
      <c r="FE638" s="537"/>
      <c r="FF638" s="537"/>
      <c r="FG638" s="537"/>
      <c r="FH638" s="537"/>
      <c r="FI638" s="537"/>
      <c r="FJ638" s="540"/>
      <c r="FK638" s="537"/>
      <c r="FL638" s="537"/>
      <c r="FM638" s="537"/>
      <c r="FN638" s="537"/>
      <c r="FO638" s="537"/>
      <c r="FP638" s="537"/>
      <c r="FQ638" s="537"/>
      <c r="FR638" s="537"/>
      <c r="FS638" s="537"/>
      <c r="FT638" s="537"/>
      <c r="FU638" s="537"/>
      <c r="FV638" s="537"/>
      <c r="FW638" s="537"/>
      <c r="FX638" s="537"/>
      <c r="FY638" s="537"/>
      <c r="FZ638" s="537"/>
      <c r="GA638" s="537"/>
      <c r="GB638" s="537"/>
      <c r="GC638" s="537"/>
      <c r="GD638" s="537"/>
      <c r="GE638" s="537"/>
      <c r="GF638" s="537"/>
      <c r="GG638" s="537"/>
      <c r="GH638" s="537"/>
      <c r="GI638" s="537"/>
      <c r="GJ638" s="537"/>
      <c r="GK638" s="537"/>
      <c r="GL638" s="537"/>
      <c r="GM638" s="537"/>
      <c r="GN638" s="537"/>
      <c r="GO638" s="537"/>
      <c r="GP638" s="537"/>
      <c r="GQ638" s="537"/>
      <c r="GR638" s="537"/>
      <c r="GS638" s="537"/>
      <c r="GT638" s="537"/>
      <c r="GU638" s="537"/>
      <c r="GV638" s="537"/>
      <c r="GW638" s="537"/>
      <c r="GX638" s="537"/>
      <c r="GY638" s="537"/>
      <c r="GZ638" s="537"/>
      <c r="HA638" s="537"/>
      <c r="HB638" s="537"/>
      <c r="HC638" s="537"/>
      <c r="HD638" s="537"/>
      <c r="HE638" s="537"/>
      <c r="HF638" s="537"/>
      <c r="HG638" s="537"/>
      <c r="HH638" s="537"/>
      <c r="HI638" s="537"/>
      <c r="HJ638" s="537"/>
      <c r="HK638" s="537"/>
      <c r="HL638" s="537"/>
      <c r="HM638" s="537"/>
      <c r="HO638" s="537"/>
      <c r="HP638" s="537"/>
      <c r="HQ638" s="537"/>
      <c r="HR638" s="537">
        <f t="shared" ref="HR638:HW638" si="575">HR$536</f>
        <v>769.8</v>
      </c>
      <c r="HS638" s="302">
        <f t="shared" si="575"/>
        <v>314.52244099552973</v>
      </c>
      <c r="HT638" s="302">
        <f t="shared" si="575"/>
        <v>422.39390190764493</v>
      </c>
      <c r="HU638" s="537">
        <f t="shared" si="575"/>
        <v>736.91634290317461</v>
      </c>
      <c r="HV638" s="302">
        <f t="shared" si="575"/>
        <v>326.40878597222695</v>
      </c>
      <c r="HW638" s="302">
        <f t="shared" si="575"/>
        <v>392.27674667440601</v>
      </c>
      <c r="HX638" s="545">
        <f t="shared" ref="HX638:IJ638" si="576">HX$536</f>
        <v>718.68553264663296</v>
      </c>
      <c r="HY638" s="302">
        <f t="shared" si="576"/>
        <v>265.65047766078698</v>
      </c>
      <c r="IA638" s="545">
        <f t="shared" si="576"/>
        <v>619.21825934003436</v>
      </c>
      <c r="ID638" s="544">
        <f t="shared" si="576"/>
        <v>850.21990038716001</v>
      </c>
      <c r="IG638" s="544">
        <f t="shared" si="576"/>
        <v>1071.7092455117818</v>
      </c>
      <c r="IH638" s="350"/>
      <c r="II638" s="350"/>
      <c r="IJ638" s="544">
        <f t="shared" si="576"/>
        <v>1294.7440302694517</v>
      </c>
      <c r="IK638" s="350"/>
      <c r="IL638" s="350"/>
      <c r="IM638" s="544">
        <f>IM$536</f>
        <v>1140.4189543084346</v>
      </c>
      <c r="IN638" s="350"/>
      <c r="IO638" s="350">
        <f>IO$536</f>
        <v>611.62464130294745</v>
      </c>
      <c r="IP638" s="544" t="e">
        <f>#REF!</f>
        <v>#REF!</v>
      </c>
      <c r="IQ638" s="350">
        <f>IS$536</f>
        <v>1576.1039210858348</v>
      </c>
      <c r="IR638" s="350">
        <f>IR$536</f>
        <v>814.89032892250839</v>
      </c>
      <c r="IS638" s="544"/>
      <c r="IT638" s="350"/>
      <c r="IU638" s="350"/>
      <c r="IV638" s="544"/>
      <c r="IW638" s="350"/>
      <c r="IX638" s="350"/>
      <c r="IY638" s="544"/>
      <c r="KM638" s="302">
        <f>KM$536</f>
        <v>0</v>
      </c>
      <c r="KN638" s="302">
        <f>KN$536</f>
        <v>0</v>
      </c>
      <c r="KO638" s="302">
        <f>KO$536</f>
        <v>0</v>
      </c>
      <c r="KP638" s="302">
        <f>KP$536</f>
        <v>0</v>
      </c>
    </row>
    <row r="639" spans="1:302">
      <c r="A639" s="302"/>
      <c r="D639" s="542" t="s">
        <v>869</v>
      </c>
      <c r="E639" s="537"/>
      <c r="F639" s="537"/>
      <c r="G639" s="537"/>
      <c r="H639" s="537"/>
      <c r="I639" s="537"/>
      <c r="J639" s="537"/>
      <c r="K639" s="537"/>
      <c r="L639" s="537"/>
      <c r="M639" s="537"/>
      <c r="N639" s="537"/>
      <c r="O639" s="537"/>
      <c r="P639" s="537"/>
      <c r="Q639" s="537"/>
      <c r="R639" s="537"/>
      <c r="S639" s="537"/>
      <c r="T639" s="537"/>
      <c r="U639" s="537"/>
      <c r="V639" s="537"/>
      <c r="W639" s="537"/>
      <c r="X639" s="537"/>
      <c r="Y639" s="537"/>
      <c r="Z639" s="537"/>
      <c r="AA639" s="537"/>
      <c r="AB639" s="537"/>
      <c r="AC639" s="537"/>
      <c r="AD639" s="537"/>
      <c r="AE639" s="537"/>
      <c r="AF639" s="537"/>
      <c r="AG639" s="537"/>
      <c r="AH639" s="537"/>
      <c r="AI639" s="537"/>
      <c r="AJ639" s="537"/>
      <c r="AK639" s="537"/>
      <c r="AL639" s="537"/>
      <c r="AM639" s="537"/>
      <c r="AN639" s="537"/>
      <c r="AO639" s="537"/>
      <c r="AP639" s="537"/>
      <c r="AQ639" s="537"/>
      <c r="AR639" s="537"/>
      <c r="AS639" s="537"/>
      <c r="AT639" s="537"/>
      <c r="AU639" s="537"/>
      <c r="AV639" s="537"/>
      <c r="AW639" s="537"/>
      <c r="AX639" s="537"/>
      <c r="AY639" s="537"/>
      <c r="AZ639" s="537"/>
      <c r="BA639" s="537"/>
      <c r="BB639" s="537"/>
      <c r="BC639" s="537"/>
      <c r="BD639" s="537"/>
      <c r="BE639" s="537"/>
      <c r="BF639" s="537"/>
      <c r="BG639" s="537"/>
      <c r="BH639" s="537"/>
      <c r="BI639" s="537"/>
      <c r="BJ639" s="537"/>
      <c r="BK639" s="537"/>
      <c r="BL639" s="537"/>
      <c r="BM639" s="537"/>
      <c r="BN639" s="537"/>
      <c r="BO639" s="537"/>
      <c r="BP639" s="537"/>
      <c r="BQ639" s="537"/>
      <c r="BR639" s="537"/>
      <c r="BS639" s="537"/>
      <c r="BT639" s="537"/>
      <c r="BU639" s="537"/>
      <c r="BV639" s="537"/>
      <c r="BW639" s="537"/>
      <c r="BX639" s="537"/>
      <c r="BY639" s="537"/>
      <c r="BZ639" s="537"/>
      <c r="CA639" s="537"/>
      <c r="CB639" s="537"/>
      <c r="CC639" s="537"/>
      <c r="CD639" s="539"/>
      <c r="CE639" s="537"/>
      <c r="CF639" s="537"/>
      <c r="CG639" s="537"/>
      <c r="CH639" s="537"/>
      <c r="CI639" s="537"/>
      <c r="CJ639" s="537"/>
      <c r="CK639" s="537"/>
      <c r="CL639" s="537"/>
      <c r="CM639" s="537"/>
      <c r="CN639" s="537"/>
      <c r="CO639" s="537"/>
      <c r="CP639" s="540"/>
      <c r="CQ639" s="537"/>
      <c r="CR639" s="537"/>
      <c r="CS639" s="537"/>
      <c r="CT639" s="537"/>
      <c r="CU639" s="537"/>
      <c r="CV639" s="537"/>
      <c r="CW639" s="537"/>
      <c r="CX639" s="537"/>
      <c r="CY639" s="537"/>
      <c r="CZ639" s="537"/>
      <c r="DA639" s="537"/>
      <c r="DB639" s="1516"/>
      <c r="DC639" s="537"/>
      <c r="DD639" s="537"/>
      <c r="DE639" s="537"/>
      <c r="DF639" s="537"/>
      <c r="DG639" s="537"/>
      <c r="DH639" s="537"/>
      <c r="DI639" s="537"/>
      <c r="DJ639" s="537"/>
      <c r="DK639" s="537"/>
      <c r="DL639" s="537"/>
      <c r="DM639" s="537"/>
      <c r="DN639" s="540"/>
      <c r="DO639" s="537"/>
      <c r="DP639" s="537"/>
      <c r="DQ639" s="537"/>
      <c r="DR639" s="537"/>
      <c r="DS639" s="537"/>
      <c r="DT639" s="537"/>
      <c r="DU639" s="537"/>
      <c r="DV639" s="537"/>
      <c r="DW639" s="537"/>
      <c r="DX639" s="537"/>
      <c r="DY639" s="537"/>
      <c r="DZ639" s="540"/>
      <c r="EA639" s="537"/>
      <c r="EB639" s="537"/>
      <c r="EC639" s="537"/>
      <c r="ED639" s="537"/>
      <c r="EE639" s="537"/>
      <c r="EF639" s="537"/>
      <c r="EG639" s="537"/>
      <c r="EH639" s="537"/>
      <c r="EI639" s="537"/>
      <c r="EJ639" s="537"/>
      <c r="EK639" s="537"/>
      <c r="EL639" s="540"/>
      <c r="EM639" s="537"/>
      <c r="EN639" s="537"/>
      <c r="EO639" s="537"/>
      <c r="EP639" s="537"/>
      <c r="EQ639" s="537"/>
      <c r="ER639" s="537"/>
      <c r="ES639" s="537"/>
      <c r="ET639" s="537"/>
      <c r="EU639" s="537"/>
      <c r="EV639" s="537"/>
      <c r="EW639" s="537"/>
      <c r="EX639" s="540"/>
      <c r="EY639" s="537"/>
      <c r="EZ639" s="537"/>
      <c r="FA639" s="537"/>
      <c r="FB639" s="537"/>
      <c r="FC639" s="537"/>
      <c r="FD639" s="537"/>
      <c r="FE639" s="537"/>
      <c r="FF639" s="537"/>
      <c r="FG639" s="537"/>
      <c r="FH639" s="537"/>
      <c r="FI639" s="537"/>
      <c r="FJ639" s="540"/>
      <c r="FK639" s="537"/>
      <c r="FL639" s="537"/>
      <c r="FM639" s="537"/>
      <c r="FN639" s="537"/>
      <c r="FO639" s="537"/>
      <c r="FP639" s="537"/>
      <c r="FQ639" s="537"/>
      <c r="FR639" s="537"/>
      <c r="FS639" s="537"/>
      <c r="FT639" s="537"/>
      <c r="FU639" s="537"/>
      <c r="FV639" s="537"/>
      <c r="FW639" s="537"/>
      <c r="FX639" s="537"/>
      <c r="FY639" s="537"/>
      <c r="FZ639" s="537"/>
      <c r="GA639" s="537"/>
      <c r="GB639" s="537"/>
      <c r="GC639" s="537"/>
      <c r="GD639" s="537"/>
      <c r="GE639" s="537"/>
      <c r="GF639" s="537"/>
      <c r="GG639" s="537"/>
      <c r="GH639" s="537"/>
      <c r="GI639" s="537"/>
      <c r="GJ639" s="537"/>
      <c r="GK639" s="537"/>
      <c r="GL639" s="537"/>
      <c r="GM639" s="537"/>
      <c r="GN639" s="537"/>
      <c r="GO639" s="537"/>
      <c r="GP639" s="537"/>
      <c r="GQ639" s="537"/>
      <c r="GR639" s="537"/>
      <c r="GS639" s="537"/>
      <c r="GT639" s="537"/>
      <c r="GU639" s="537"/>
      <c r="GV639" s="537"/>
      <c r="GW639" s="537"/>
      <c r="GX639" s="537"/>
      <c r="GY639" s="537"/>
      <c r="GZ639" s="537"/>
      <c r="HA639" s="537"/>
      <c r="HB639" s="537"/>
      <c r="HC639" s="537"/>
      <c r="HD639" s="537"/>
      <c r="HE639" s="537"/>
      <c r="HF639" s="537"/>
      <c r="HG639" s="537"/>
      <c r="HH639" s="537"/>
      <c r="HI639" s="537"/>
      <c r="HJ639" s="537"/>
      <c r="HK639" s="537"/>
      <c r="HL639" s="537"/>
      <c r="HM639" s="537"/>
      <c r="HO639" s="537"/>
      <c r="HP639" s="537"/>
      <c r="HQ639" s="537"/>
      <c r="HR639" s="537"/>
      <c r="HU639" s="537"/>
      <c r="HX639" s="545"/>
      <c r="IA639" s="545"/>
      <c r="ID639" s="544"/>
      <c r="IG639" s="544"/>
      <c r="IH639" s="350"/>
      <c r="II639" s="350"/>
      <c r="IJ639" s="544"/>
      <c r="IK639" s="350"/>
      <c r="IL639" s="350"/>
      <c r="IM639" s="544"/>
      <c r="IN639" s="350"/>
      <c r="IO639" s="350"/>
      <c r="IP639" s="544"/>
      <c r="IQ639" s="350"/>
      <c r="IR639" s="350"/>
      <c r="IS639" s="544"/>
      <c r="IT639" s="350"/>
      <c r="IU639" s="350"/>
      <c r="IV639" s="544"/>
      <c r="IW639" s="350"/>
      <c r="IX639" s="350"/>
      <c r="IY639" s="544"/>
    </row>
    <row r="640" spans="1:302">
      <c r="A640" s="302"/>
      <c r="B640" s="117" t="s">
        <v>361</v>
      </c>
      <c r="D640" s="542" t="str">
        <f>D$550</f>
        <v>Net lending</v>
      </c>
      <c r="E640" s="537">
        <f>E$550</f>
        <v>4.4808999999999992</v>
      </c>
      <c r="F640" s="537">
        <f t="shared" ref="F640:L640" si="577">F$550</f>
        <v>0.57850000000000001</v>
      </c>
      <c r="G640" s="537">
        <f t="shared" si="577"/>
        <v>0.15159999999999998</v>
      </c>
      <c r="H640" s="537">
        <f t="shared" si="577"/>
        <v>0.72110000000000007</v>
      </c>
      <c r="I640" s="537">
        <f t="shared" si="577"/>
        <v>1.4757</v>
      </c>
      <c r="J640" s="537">
        <f t="shared" si="577"/>
        <v>0.59010000000000007</v>
      </c>
      <c r="K640" s="537">
        <f t="shared" si="577"/>
        <v>-0.26730000000000004</v>
      </c>
      <c r="L640" s="537">
        <f t="shared" si="577"/>
        <v>-1.0087000000000002</v>
      </c>
      <c r="M640" s="537">
        <f t="shared" ref="M640:AW640" si="578">M$550</f>
        <v>0.75060000000000004</v>
      </c>
      <c r="N640" s="537">
        <f t="shared" si="578"/>
        <v>4.8931000000000004</v>
      </c>
      <c r="O640" s="537">
        <f t="shared" si="578"/>
        <v>-21.798400000000001</v>
      </c>
      <c r="P640" s="537">
        <f t="shared" si="578"/>
        <v>1.3607</v>
      </c>
      <c r="Q640" s="537">
        <f t="shared" si="578"/>
        <v>0.31260000000000004</v>
      </c>
      <c r="R640" s="537">
        <f t="shared" si="578"/>
        <v>1.4419999999999999</v>
      </c>
      <c r="S640" s="537">
        <f t="shared" si="578"/>
        <v>1.0884</v>
      </c>
      <c r="T640" s="537">
        <f t="shared" si="578"/>
        <v>5.3588999999999993</v>
      </c>
      <c r="U640" s="537">
        <f t="shared" si="578"/>
        <v>0.35420000000000001</v>
      </c>
      <c r="V640" s="537">
        <f t="shared" si="578"/>
        <v>-7.8616999999999999</v>
      </c>
      <c r="W640" s="537">
        <f t="shared" si="578"/>
        <v>0.92549999999999999</v>
      </c>
      <c r="X640" s="537">
        <f t="shared" si="578"/>
        <v>1.9539000000000002</v>
      </c>
      <c r="Y640" s="537">
        <f t="shared" si="578"/>
        <v>4.4584999999999999</v>
      </c>
      <c r="Z640" s="537">
        <f t="shared" si="578"/>
        <v>3.9155000000000002</v>
      </c>
      <c r="AA640" s="537">
        <f t="shared" si="578"/>
        <v>4.3900000000000002E-2</v>
      </c>
      <c r="AB640" s="537">
        <f t="shared" si="578"/>
        <v>1.4965999999999999</v>
      </c>
      <c r="AC640" s="537">
        <f t="shared" si="578"/>
        <v>0.88112000000000001</v>
      </c>
      <c r="AD640" s="537">
        <f t="shared" si="578"/>
        <v>0.87414000000000003</v>
      </c>
      <c r="AE640" s="537">
        <f t="shared" si="578"/>
        <v>2.13029</v>
      </c>
      <c r="AF640" s="537">
        <f t="shared" si="578"/>
        <v>3.5615399999999999</v>
      </c>
      <c r="AG640" s="537">
        <f t="shared" si="578"/>
        <v>0.21575</v>
      </c>
      <c r="AH640" s="537">
        <f t="shared" si="578"/>
        <v>0.72760999999999998</v>
      </c>
      <c r="AI640" s="537">
        <f t="shared" si="578"/>
        <v>0.9607</v>
      </c>
      <c r="AJ640" s="537">
        <f t="shared" si="578"/>
        <v>2.2653000000000003</v>
      </c>
      <c r="AK640" s="537">
        <f t="shared" si="578"/>
        <v>18.787800000000001</v>
      </c>
      <c r="AL640" s="537">
        <f t="shared" si="578"/>
        <v>1.1427400000000001</v>
      </c>
      <c r="AM640" s="537">
        <f t="shared" si="578"/>
        <v>0</v>
      </c>
      <c r="AN640" s="537">
        <f t="shared" si="578"/>
        <v>3.13571</v>
      </c>
      <c r="AO640" s="537">
        <f t="shared" si="578"/>
        <v>-0.13950000000000001</v>
      </c>
      <c r="AP640" s="537">
        <f t="shared" si="578"/>
        <v>1.3267</v>
      </c>
      <c r="AQ640" s="537">
        <f t="shared" si="578"/>
        <v>3.6400999999999999</v>
      </c>
      <c r="AR640" s="537">
        <f t="shared" si="578"/>
        <v>2.0970999999999997</v>
      </c>
      <c r="AS640" s="537">
        <f t="shared" si="578"/>
        <v>-1.6924000000000001</v>
      </c>
      <c r="AT640" s="537">
        <f t="shared" si="578"/>
        <v>-1.0112999999999999</v>
      </c>
      <c r="AU640" s="537">
        <f t="shared" si="578"/>
        <v>3.3176300000000003</v>
      </c>
      <c r="AV640" s="537">
        <f t="shared" si="578"/>
        <v>11.5092</v>
      </c>
      <c r="AW640" s="537">
        <f t="shared" si="578"/>
        <v>4.6128</v>
      </c>
      <c r="AX640" s="537">
        <f t="shared" ref="AX640:BP640" si="579">AX$550</f>
        <v>2.8586999999999998</v>
      </c>
      <c r="AY640" s="537">
        <f t="shared" si="579"/>
        <v>-2.7444999999999999</v>
      </c>
      <c r="AZ640" s="537">
        <f t="shared" si="579"/>
        <v>4.5314399999999999</v>
      </c>
      <c r="BA640" s="537">
        <f t="shared" si="579"/>
        <v>-14.367799999999999</v>
      </c>
      <c r="BB640" s="537">
        <f t="shared" si="579"/>
        <v>1.4282000000000001</v>
      </c>
      <c r="BC640" s="537">
        <f t="shared" si="579"/>
        <v>3.7641</v>
      </c>
      <c r="BD640" s="537">
        <f t="shared" si="579"/>
        <v>2.3226999999999998</v>
      </c>
      <c r="BE640" s="537">
        <f t="shared" si="579"/>
        <v>0.3296</v>
      </c>
      <c r="BF640" s="537">
        <f t="shared" si="579"/>
        <v>0.90039999999999998</v>
      </c>
      <c r="BG640" s="537">
        <f t="shared" si="579"/>
        <v>2.0684</v>
      </c>
      <c r="BH640" s="537">
        <f t="shared" si="579"/>
        <v>2.0551399999999997</v>
      </c>
      <c r="BI640" s="537">
        <f t="shared" si="579"/>
        <v>-15.192024999999997</v>
      </c>
      <c r="BJ640" s="537">
        <f t="shared" si="579"/>
        <v>-9.2360449710000001</v>
      </c>
      <c r="BK640" s="537">
        <f t="shared" si="579"/>
        <v>2.0120999999999998</v>
      </c>
      <c r="BL640" s="537">
        <f t="shared" si="579"/>
        <v>1.6644000000000001</v>
      </c>
      <c r="BM640" s="537">
        <f t="shared" si="579"/>
        <v>1.6830000000000001</v>
      </c>
      <c r="BN640" s="537">
        <f t="shared" si="579"/>
        <v>2.7917700000000001</v>
      </c>
      <c r="BO640" s="537">
        <f t="shared" si="579"/>
        <v>4.0394603039999994</v>
      </c>
      <c r="BP640" s="537">
        <f t="shared" si="579"/>
        <v>4.2030000000000003</v>
      </c>
      <c r="BQ640" s="537">
        <f t="shared" ref="BQ640:DT640" si="580">BQ$550</f>
        <v>2.6143000000000001</v>
      </c>
      <c r="BR640" s="537">
        <f t="shared" si="580"/>
        <v>1.0662</v>
      </c>
      <c r="BS640" s="537">
        <f t="shared" si="580"/>
        <v>4.0785999999999998</v>
      </c>
      <c r="BT640" s="537">
        <f t="shared" si="580"/>
        <v>0.35580000000000001</v>
      </c>
      <c r="BU640" s="537">
        <f t="shared" si="580"/>
        <v>2.0322999999999998</v>
      </c>
      <c r="BV640" s="537">
        <f t="shared" si="580"/>
        <v>4.5972335040000001</v>
      </c>
      <c r="BW640" s="537">
        <f t="shared" si="580"/>
        <v>2.9477860690000002</v>
      </c>
      <c r="BX640" s="537">
        <f t="shared" si="580"/>
        <v>0.49817592700000002</v>
      </c>
      <c r="BY640" s="537">
        <f t="shared" si="580"/>
        <v>4.1115559690000003</v>
      </c>
      <c r="BZ640" s="537">
        <f t="shared" si="580"/>
        <v>3.1786107289999999</v>
      </c>
      <c r="CA640" s="537">
        <f t="shared" si="580"/>
        <v>1.199526503</v>
      </c>
      <c r="CB640" s="537">
        <f t="shared" si="580"/>
        <v>2.77495387</v>
      </c>
      <c r="CC640" s="537">
        <f t="shared" si="580"/>
        <v>108.363833485</v>
      </c>
      <c r="CD640" s="539">
        <f t="shared" si="580"/>
        <v>8.1158711050000001</v>
      </c>
      <c r="CE640" s="537">
        <f t="shared" si="580"/>
        <v>-31.756337806999998</v>
      </c>
      <c r="CF640" s="537">
        <f t="shared" si="580"/>
        <v>21.540410693999998</v>
      </c>
      <c r="CG640" s="537">
        <f t="shared" si="580"/>
        <v>4.644406139</v>
      </c>
      <c r="CH640" s="537">
        <f t="shared" si="580"/>
        <v>3.6906665100000002</v>
      </c>
      <c r="CI640" s="537">
        <f t="shared" si="580"/>
        <v>4.000771845</v>
      </c>
      <c r="CJ640" s="537">
        <f t="shared" si="580"/>
        <v>2.8386170709999998</v>
      </c>
      <c r="CK640" s="537">
        <f t="shared" si="580"/>
        <v>9.5043488400000005</v>
      </c>
      <c r="CL640" s="537">
        <f t="shared" si="580"/>
        <v>1.934691419</v>
      </c>
      <c r="CM640" s="537">
        <f t="shared" si="580"/>
        <v>13.501548335997581</v>
      </c>
      <c r="CN640" s="537">
        <f t="shared" si="580"/>
        <v>0.34203537899999997</v>
      </c>
      <c r="CO640" s="537">
        <f t="shared" si="580"/>
        <v>3.1439371009999997</v>
      </c>
      <c r="CP640" s="540">
        <f t="shared" si="580"/>
        <v>15.697589456000001</v>
      </c>
      <c r="CQ640" s="537">
        <f t="shared" si="580"/>
        <v>3.3484510189305601</v>
      </c>
      <c r="CR640" s="537">
        <f t="shared" si="580"/>
        <v>5.5814872209999997</v>
      </c>
      <c r="CS640" s="537">
        <f t="shared" si="580"/>
        <v>30.127451912000001</v>
      </c>
      <c r="CT640" s="537">
        <f t="shared" si="580"/>
        <v>1.7390629900000001</v>
      </c>
      <c r="CU640" s="537">
        <f t="shared" si="580"/>
        <v>4.0454566419999995</v>
      </c>
      <c r="CV640" s="537">
        <f t="shared" si="580"/>
        <v>2.8249999999999997</v>
      </c>
      <c r="CW640" s="537">
        <f t="shared" si="580"/>
        <v>3.7031724830000003</v>
      </c>
      <c r="CX640" s="537">
        <f t="shared" si="580"/>
        <v>6.7260049760000005</v>
      </c>
      <c r="CY640" s="537">
        <f t="shared" si="580"/>
        <v>6.6991230000000002</v>
      </c>
      <c r="CZ640" s="537">
        <f t="shared" si="580"/>
        <v>0</v>
      </c>
      <c r="DA640" s="537">
        <f t="shared" si="580"/>
        <v>3.4</v>
      </c>
      <c r="DB640" s="1516">
        <f t="shared" si="580"/>
        <v>3.3</v>
      </c>
      <c r="DC640" s="537">
        <f t="shared" si="580"/>
        <v>5.3</v>
      </c>
      <c r="DD640" s="537">
        <f t="shared" si="580"/>
        <v>13.347593833000001</v>
      </c>
      <c r="DE640" s="537">
        <f t="shared" si="580"/>
        <v>8.9191911649999991</v>
      </c>
      <c r="DF640" s="537">
        <f t="shared" si="580"/>
        <v>3.5366866149999998</v>
      </c>
      <c r="DG640" s="537">
        <f t="shared" si="580"/>
        <v>4.3726213439999997</v>
      </c>
      <c r="DH640" s="537">
        <f t="shared" si="580"/>
        <v>3.514052623</v>
      </c>
      <c r="DI640" s="537">
        <f t="shared" si="580"/>
        <v>21.152643470999998</v>
      </c>
      <c r="DJ640" s="537">
        <f t="shared" si="580"/>
        <v>11.237692828</v>
      </c>
      <c r="DK640" s="537">
        <f t="shared" si="580"/>
        <v>2.812622325</v>
      </c>
      <c r="DL640" s="537">
        <f t="shared" si="580"/>
        <v>3.043442787</v>
      </c>
      <c r="DM640" s="537">
        <f t="shared" si="580"/>
        <v>2.875</v>
      </c>
      <c r="DN640" s="540">
        <f t="shared" si="580"/>
        <v>8.3103340330000002</v>
      </c>
      <c r="DO640" s="537">
        <f t="shared" si="580"/>
        <v>4.8980108539999998</v>
      </c>
      <c r="DP640" s="537">
        <f t="shared" si="580"/>
        <v>6.9066390129999995</v>
      </c>
      <c r="DQ640" s="537">
        <f t="shared" si="580"/>
        <v>6.81953502</v>
      </c>
      <c r="DR640" s="537">
        <f t="shared" si="580"/>
        <v>11.452914823999999</v>
      </c>
      <c r="DS640" s="537">
        <f t="shared" si="580"/>
        <v>7.6440726510000001</v>
      </c>
      <c r="DT640" s="537">
        <f t="shared" si="580"/>
        <v>5.9949982159999999</v>
      </c>
      <c r="DU640" s="537"/>
      <c r="DV640" s="537"/>
      <c r="DW640" s="537"/>
      <c r="DX640" s="537"/>
      <c r="DY640" s="537"/>
      <c r="DZ640" s="540"/>
      <c r="EA640" s="537"/>
      <c r="EB640" s="537"/>
      <c r="EC640" s="537"/>
      <c r="ED640" s="537"/>
      <c r="EE640" s="537"/>
      <c r="EF640" s="537"/>
      <c r="EG640" s="537"/>
      <c r="EH640" s="537"/>
      <c r="EI640" s="537"/>
      <c r="EJ640" s="537"/>
      <c r="EK640" s="537"/>
      <c r="EL640" s="540"/>
      <c r="EM640" s="537"/>
      <c r="EN640" s="537"/>
      <c r="EO640" s="537"/>
      <c r="EP640" s="537"/>
      <c r="EQ640" s="537"/>
      <c r="ER640" s="537"/>
      <c r="ES640" s="537"/>
      <c r="ET640" s="537"/>
      <c r="EU640" s="537"/>
      <c r="EV640" s="537"/>
      <c r="EW640" s="537"/>
      <c r="EX640" s="540"/>
      <c r="EY640" s="537"/>
      <c r="EZ640" s="537"/>
      <c r="FA640" s="537"/>
      <c r="FB640" s="537"/>
      <c r="FC640" s="537"/>
      <c r="FD640" s="537"/>
      <c r="FE640" s="537"/>
      <c r="FF640" s="537"/>
      <c r="FG640" s="537"/>
      <c r="FH640" s="537"/>
      <c r="FI640" s="537"/>
      <c r="FJ640" s="540"/>
      <c r="FK640" s="537"/>
      <c r="FL640" s="537"/>
      <c r="FM640" s="537"/>
      <c r="FN640" s="537"/>
      <c r="FO640" s="537"/>
      <c r="FP640" s="537"/>
      <c r="FQ640" s="537"/>
      <c r="FR640" s="537"/>
      <c r="FS640" s="537"/>
      <c r="FT640" s="537"/>
      <c r="FU640" s="537"/>
      <c r="FV640" s="537"/>
      <c r="FW640" s="537"/>
      <c r="FX640" s="537"/>
      <c r="FY640" s="537"/>
      <c r="FZ640" s="537"/>
      <c r="GA640" s="537"/>
      <c r="GB640" s="537"/>
      <c r="GC640" s="537"/>
      <c r="GD640" s="537"/>
      <c r="GE640" s="537"/>
      <c r="GF640" s="537"/>
      <c r="GG640" s="537"/>
      <c r="GH640" s="537"/>
      <c r="GI640" s="537"/>
      <c r="GJ640" s="537"/>
      <c r="GK640" s="537"/>
      <c r="GL640" s="537"/>
      <c r="GM640" s="537"/>
      <c r="GN640" s="537"/>
      <c r="GO640" s="537"/>
      <c r="GP640" s="537"/>
      <c r="GQ640" s="537"/>
      <c r="GR640" s="537"/>
      <c r="GS640" s="537"/>
      <c r="GT640" s="537"/>
      <c r="GU640" s="537"/>
      <c r="GV640" s="537"/>
      <c r="GW640" s="537"/>
      <c r="GX640" s="537"/>
      <c r="GY640" s="537"/>
      <c r="GZ640" s="537"/>
      <c r="HA640" s="537"/>
      <c r="HB640" s="537"/>
      <c r="HC640" s="537"/>
      <c r="HD640" s="537"/>
      <c r="HE640" s="537"/>
      <c r="HF640" s="537"/>
      <c r="HG640" s="537"/>
      <c r="HH640" s="537"/>
      <c r="HI640" s="537"/>
      <c r="HJ640" s="537"/>
      <c r="HK640" s="537"/>
      <c r="HL640" s="537"/>
      <c r="HM640" s="537"/>
      <c r="HO640" s="537"/>
      <c r="HP640" s="537"/>
      <c r="HQ640" s="537"/>
      <c r="HR640" s="537">
        <f t="shared" ref="HR640:HW640" si="581">HR$550</f>
        <v>116.19999999999999</v>
      </c>
      <c r="HS640" s="302">
        <f t="shared" si="581"/>
        <v>24.666909783930556</v>
      </c>
      <c r="HT640" s="302">
        <f t="shared" si="581"/>
        <v>23.828300458999998</v>
      </c>
      <c r="HU640" s="537">
        <f t="shared" si="581"/>
        <v>48.495210242930554</v>
      </c>
      <c r="HV640" s="302">
        <f t="shared" si="581"/>
        <v>38.990145579999997</v>
      </c>
      <c r="HW640" s="302">
        <f t="shared" si="581"/>
        <v>49.431735443999997</v>
      </c>
      <c r="HX640" s="545">
        <f t="shared" ref="HX640:IJ640" si="582">HX$550</f>
        <v>88.421881023999987</v>
      </c>
      <c r="HY640" s="302">
        <f t="shared" si="582"/>
        <v>43.716170577999996</v>
      </c>
      <c r="IA640" s="545">
        <f t="shared" si="582"/>
        <v>113.83692121199999</v>
      </c>
      <c r="ID640" s="544">
        <f t="shared" si="582"/>
        <v>160.04261622299998</v>
      </c>
      <c r="IG640" s="544">
        <f t="shared" si="582"/>
        <v>196.32355768000002</v>
      </c>
      <c r="IH640" s="350"/>
      <c r="II640" s="350"/>
      <c r="IJ640" s="544">
        <f t="shared" si="582"/>
        <v>400.02419062033982</v>
      </c>
      <c r="IK640" s="350"/>
      <c r="IL640" s="350"/>
      <c r="IM640" s="544">
        <f>IM$550</f>
        <v>299.79698138730896</v>
      </c>
      <c r="IN640" s="350"/>
      <c r="IO640" s="350">
        <f>IO$550</f>
        <v>142.27220113649676</v>
      </c>
      <c r="IP640" s="544" t="e">
        <f>#REF!</f>
        <v>#REF!</v>
      </c>
      <c r="IQ640" s="350">
        <f>IS$550</f>
        <v>293.01562381724523</v>
      </c>
      <c r="IR640" s="350">
        <f>IR$550</f>
        <v>152.21051979262262</v>
      </c>
      <c r="IS640" s="544"/>
      <c r="IT640" s="350"/>
      <c r="IU640" s="350"/>
      <c r="IV640" s="544"/>
      <c r="IW640" s="350"/>
      <c r="IX640" s="350"/>
      <c r="IY640" s="544"/>
      <c r="KM640" s="302">
        <f>KM$550</f>
        <v>0</v>
      </c>
      <c r="KN640" s="302">
        <f>KN$550</f>
        <v>0</v>
      </c>
      <c r="KO640" s="302">
        <f>KO$550</f>
        <v>0</v>
      </c>
      <c r="KP640" s="302">
        <f>KP$550</f>
        <v>0</v>
      </c>
    </row>
    <row r="641" spans="1:302">
      <c r="A641" s="302"/>
      <c r="B641" s="117" t="s">
        <v>361</v>
      </c>
      <c r="D641" s="538" t="str">
        <f>D$571</f>
        <v>Overall deficit (payment order)</v>
      </c>
      <c r="E641" s="537"/>
      <c r="F641" s="537"/>
      <c r="G641" s="537"/>
      <c r="H641" s="537"/>
      <c r="I641" s="537"/>
      <c r="J641" s="537"/>
      <c r="K641" s="537"/>
      <c r="L641" s="537"/>
      <c r="M641" s="537"/>
      <c r="N641" s="537"/>
      <c r="O641" s="537"/>
      <c r="P641" s="537"/>
      <c r="Q641" s="537"/>
      <c r="R641" s="537"/>
      <c r="S641" s="537"/>
      <c r="T641" s="537"/>
      <c r="U641" s="537"/>
      <c r="V641" s="537"/>
      <c r="W641" s="537"/>
      <c r="X641" s="537"/>
      <c r="Y641" s="537"/>
      <c r="Z641" s="537"/>
      <c r="AA641" s="537"/>
      <c r="AB641" s="537"/>
      <c r="AC641" s="537"/>
      <c r="AD641" s="537"/>
      <c r="AE641" s="537"/>
      <c r="AF641" s="537"/>
      <c r="AG641" s="537"/>
      <c r="AH641" s="537"/>
      <c r="AI641" s="537"/>
      <c r="AJ641" s="537"/>
      <c r="AK641" s="537"/>
      <c r="AL641" s="537"/>
      <c r="AM641" s="537"/>
      <c r="AN641" s="537"/>
      <c r="AO641" s="537"/>
      <c r="AP641" s="537"/>
      <c r="AQ641" s="537"/>
      <c r="AR641" s="537"/>
      <c r="AS641" s="537"/>
      <c r="AT641" s="537"/>
      <c r="AU641" s="537"/>
      <c r="AV641" s="537"/>
      <c r="AW641" s="537"/>
      <c r="AX641" s="537"/>
      <c r="AY641" s="537"/>
      <c r="AZ641" s="537"/>
      <c r="BA641" s="537"/>
      <c r="BB641" s="537"/>
      <c r="BC641" s="537"/>
      <c r="BD641" s="537"/>
      <c r="BE641" s="537"/>
      <c r="BF641" s="537"/>
      <c r="BG641" s="537"/>
      <c r="BH641" s="537"/>
      <c r="BI641" s="537"/>
      <c r="BJ641" s="537"/>
      <c r="BK641" s="537"/>
      <c r="BL641" s="537"/>
      <c r="BM641" s="537"/>
      <c r="BN641" s="537"/>
      <c r="BO641" s="537"/>
      <c r="BP641" s="537"/>
      <c r="BQ641" s="537"/>
      <c r="BR641" s="537"/>
      <c r="BS641" s="537"/>
      <c r="BT641" s="537"/>
      <c r="BU641" s="537"/>
      <c r="BV641" s="537"/>
      <c r="BW641" s="537"/>
      <c r="BX641" s="537"/>
      <c r="BY641" s="537"/>
      <c r="BZ641" s="537"/>
      <c r="CA641" s="537"/>
      <c r="CB641" s="537"/>
      <c r="CC641" s="537"/>
      <c r="CD641" s="539"/>
      <c r="CE641" s="537"/>
      <c r="CF641" s="537"/>
      <c r="CG641" s="537"/>
      <c r="CH641" s="537"/>
      <c r="CI641" s="537"/>
      <c r="CJ641" s="537"/>
      <c r="CK641" s="537"/>
      <c r="CL641" s="537"/>
      <c r="CM641" s="537"/>
      <c r="CN641" s="537"/>
      <c r="CO641" s="537"/>
      <c r="CP641" s="540"/>
      <c r="CQ641" s="537"/>
      <c r="CR641" s="537"/>
      <c r="CS641" s="537"/>
      <c r="CT641" s="537"/>
      <c r="CU641" s="537"/>
      <c r="CV641" s="537"/>
      <c r="CW641" s="537"/>
      <c r="CX641" s="537"/>
      <c r="CY641" s="537"/>
      <c r="CZ641" s="537"/>
      <c r="DA641" s="537"/>
      <c r="DB641" s="1516"/>
      <c r="DC641" s="537"/>
      <c r="DD641" s="537"/>
      <c r="DE641" s="537"/>
      <c r="DF641" s="537"/>
      <c r="DG641" s="537"/>
      <c r="DH641" s="537"/>
      <c r="DI641" s="537"/>
      <c r="DJ641" s="537"/>
      <c r="DK641" s="537"/>
      <c r="DL641" s="537"/>
      <c r="DM641" s="537"/>
      <c r="DN641" s="540"/>
      <c r="DO641" s="537"/>
      <c r="DP641" s="537"/>
      <c r="DQ641" s="537"/>
      <c r="DR641" s="537"/>
      <c r="DS641" s="537"/>
      <c r="DT641" s="537"/>
      <c r="DU641" s="537"/>
      <c r="DV641" s="537"/>
      <c r="DW641" s="537"/>
      <c r="DX641" s="537"/>
      <c r="DY641" s="537"/>
      <c r="DZ641" s="540"/>
      <c r="EA641" s="537"/>
      <c r="EB641" s="537"/>
      <c r="EC641" s="537"/>
      <c r="ED641" s="537"/>
      <c r="EE641" s="537"/>
      <c r="EF641" s="537"/>
      <c r="EG641" s="537"/>
      <c r="EH641" s="537"/>
      <c r="EI641" s="537"/>
      <c r="EJ641" s="537"/>
      <c r="EK641" s="537"/>
      <c r="EL641" s="540"/>
      <c r="EM641" s="537"/>
      <c r="EN641" s="537"/>
      <c r="EO641" s="537"/>
      <c r="EP641" s="537"/>
      <c r="EQ641" s="537"/>
      <c r="ER641" s="537"/>
      <c r="ES641" s="537"/>
      <c r="ET641" s="537"/>
      <c r="EU641" s="537"/>
      <c r="EV641" s="537"/>
      <c r="EW641" s="537"/>
      <c r="EX641" s="540"/>
      <c r="EY641" s="537"/>
      <c r="EZ641" s="537"/>
      <c r="FA641" s="537"/>
      <c r="FB641" s="537"/>
      <c r="FC641" s="537"/>
      <c r="FD641" s="537"/>
      <c r="FE641" s="537"/>
      <c r="FF641" s="537"/>
      <c r="FG641" s="537"/>
      <c r="FH641" s="537"/>
      <c r="FI641" s="537"/>
      <c r="FJ641" s="540"/>
      <c r="FK641" s="537"/>
      <c r="FL641" s="537"/>
      <c r="FM641" s="537"/>
      <c r="FN641" s="537"/>
      <c r="FO641" s="537"/>
      <c r="FP641" s="537"/>
      <c r="FQ641" s="537"/>
      <c r="FR641" s="537"/>
      <c r="FS641" s="537"/>
      <c r="FT641" s="537"/>
      <c r="FU641" s="537"/>
      <c r="FV641" s="537"/>
      <c r="FW641" s="537"/>
      <c r="FX641" s="537"/>
      <c r="FY641" s="537"/>
      <c r="FZ641" s="537"/>
      <c r="GA641" s="537"/>
      <c r="GB641" s="537"/>
      <c r="GC641" s="537"/>
      <c r="GD641" s="537"/>
      <c r="GE641" s="537"/>
      <c r="GF641" s="537"/>
      <c r="GG641" s="537"/>
      <c r="GH641" s="537"/>
      <c r="GI641" s="537"/>
      <c r="GJ641" s="537"/>
      <c r="GK641" s="537"/>
      <c r="GL641" s="537"/>
      <c r="GM641" s="537"/>
      <c r="GN641" s="537"/>
      <c r="GO641" s="537"/>
      <c r="GP641" s="537"/>
      <c r="GQ641" s="537"/>
      <c r="GR641" s="537"/>
      <c r="GS641" s="537"/>
      <c r="GT641" s="537"/>
      <c r="GU641" s="537"/>
      <c r="GV641" s="537"/>
      <c r="GW641" s="537"/>
      <c r="GX641" s="537"/>
      <c r="GY641" s="537"/>
      <c r="GZ641" s="537"/>
      <c r="HA641" s="537"/>
      <c r="HB641" s="537"/>
      <c r="HC641" s="537"/>
      <c r="HD641" s="537"/>
      <c r="HE641" s="537"/>
      <c r="HF641" s="537"/>
      <c r="HG641" s="537"/>
      <c r="HH641" s="537"/>
      <c r="HI641" s="537"/>
      <c r="HJ641" s="537"/>
      <c r="HK641" s="537"/>
      <c r="HL641" s="537"/>
      <c r="HM641" s="537"/>
      <c r="HO641" s="537"/>
      <c r="HP641" s="537"/>
      <c r="HQ641" s="537"/>
      <c r="HR641" s="537"/>
      <c r="HU641" s="537"/>
      <c r="HX641" s="545"/>
      <c r="IA641" s="545"/>
      <c r="ID641" s="544"/>
      <c r="IG641" s="544"/>
      <c r="IH641" s="350"/>
      <c r="II641" s="350"/>
      <c r="IJ641" s="544"/>
      <c r="IK641" s="350"/>
      <c r="IL641" s="350"/>
      <c r="IM641" s="544"/>
      <c r="IN641" s="350"/>
      <c r="IO641" s="350"/>
      <c r="IP641" s="544"/>
      <c r="IQ641" s="350"/>
      <c r="IR641" s="350"/>
      <c r="IS641" s="544"/>
      <c r="IT641" s="350"/>
      <c r="IU641" s="350"/>
      <c r="IV641" s="544"/>
      <c r="IW641" s="350"/>
      <c r="IX641" s="350"/>
      <c r="IY641" s="544"/>
    </row>
    <row r="642" spans="1:302">
      <c r="A642" s="302"/>
      <c r="B642" s="117" t="s">
        <v>361</v>
      </c>
      <c r="D642" s="542" t="str">
        <f>D$572</f>
        <v>Including grants</v>
      </c>
      <c r="E642" s="537">
        <f>E$572</f>
        <v>-13.545924874904124</v>
      </c>
      <c r="F642" s="537">
        <f t="shared" ref="F642:L642" si="583">F$572</f>
        <v>-15.111897078719998</v>
      </c>
      <c r="G642" s="537">
        <f t="shared" si="583"/>
        <v>-6.7308821770324982</v>
      </c>
      <c r="H642" s="537">
        <f t="shared" si="583"/>
        <v>-15.826163773128272</v>
      </c>
      <c r="I642" s="537">
        <f t="shared" si="583"/>
        <v>27.303176618102004</v>
      </c>
      <c r="J642" s="537">
        <f t="shared" si="583"/>
        <v>52.036496188274114</v>
      </c>
      <c r="K642" s="537">
        <f t="shared" si="583"/>
        <v>-36.024085140326306</v>
      </c>
      <c r="L642" s="537">
        <f t="shared" si="583"/>
        <v>-3.5785336018496032</v>
      </c>
      <c r="M642" s="537">
        <f t="shared" ref="M642:AW642" si="584">M$572</f>
        <v>-12.513872831884001</v>
      </c>
      <c r="N642" s="537">
        <f t="shared" si="584"/>
        <v>-9.9633517617400074</v>
      </c>
      <c r="O642" s="537">
        <f t="shared" si="584"/>
        <v>-7.7721341200999952</v>
      </c>
      <c r="P642" s="537">
        <f t="shared" si="584"/>
        <v>11.213933569920002</v>
      </c>
      <c r="Q642" s="537">
        <f t="shared" si="584"/>
        <v>-8.3487547393916053</v>
      </c>
      <c r="R642" s="537">
        <f t="shared" si="584"/>
        <v>-13.712132172342702</v>
      </c>
      <c r="S642" s="537">
        <f t="shared" si="584"/>
        <v>34.21382851527499</v>
      </c>
      <c r="T642" s="537">
        <f t="shared" si="584"/>
        <v>-35.176068408264001</v>
      </c>
      <c r="U642" s="537">
        <f t="shared" si="584"/>
        <v>28.091144588344505</v>
      </c>
      <c r="V642" s="537">
        <f t="shared" si="584"/>
        <v>43.064725121608006</v>
      </c>
      <c r="W642" s="537">
        <f t="shared" si="584"/>
        <v>-33.28238236835</v>
      </c>
      <c r="X642" s="537">
        <f t="shared" si="584"/>
        <v>-9.3963562444080111</v>
      </c>
      <c r="Y642" s="537">
        <f t="shared" si="584"/>
        <v>-4.0471040646048095</v>
      </c>
      <c r="Z642" s="537">
        <f t="shared" si="584"/>
        <v>-38.341310834573392</v>
      </c>
      <c r="AA642" s="537">
        <f t="shared" si="584"/>
        <v>-0.68846342278940398</v>
      </c>
      <c r="AB642" s="537">
        <f t="shared" si="584"/>
        <v>48.632516468292991</v>
      </c>
      <c r="AC642" s="537">
        <f t="shared" si="584"/>
        <v>-19.946153762000002</v>
      </c>
      <c r="AD642" s="537">
        <f t="shared" si="584"/>
        <v>0.70963372700000349</v>
      </c>
      <c r="AE642" s="537">
        <f t="shared" si="584"/>
        <v>-34.957143658000007</v>
      </c>
      <c r="AF642" s="537">
        <f t="shared" si="584"/>
        <v>18.329967364999995</v>
      </c>
      <c r="AG642" s="537">
        <f t="shared" si="584"/>
        <v>-10.402599280999997</v>
      </c>
      <c r="AH642" s="537">
        <f t="shared" si="584"/>
        <v>33.935078960999974</v>
      </c>
      <c r="AI642" s="537">
        <f t="shared" si="584"/>
        <v>-6.0659643000000045</v>
      </c>
      <c r="AJ642" s="537">
        <f t="shared" si="584"/>
        <v>-13.831625335999995</v>
      </c>
      <c r="AK642" s="537">
        <f t="shared" si="584"/>
        <v>9.6328844279999828</v>
      </c>
      <c r="AL642" s="537">
        <f t="shared" si="584"/>
        <v>6.7180648329999997</v>
      </c>
      <c r="AM642" s="537">
        <f t="shared" si="584"/>
        <v>-14.503372352000007</v>
      </c>
      <c r="AN642" s="537">
        <f t="shared" si="584"/>
        <v>2.8512626429999841</v>
      </c>
      <c r="AO642" s="537">
        <f t="shared" si="584"/>
        <v>-14.884929483259995</v>
      </c>
      <c r="AP642" s="537">
        <f t="shared" si="584"/>
        <v>-12.384099702060006</v>
      </c>
      <c r="AQ642" s="537">
        <f t="shared" si="584"/>
        <v>-2.8934327713272268</v>
      </c>
      <c r="AR642" s="537">
        <f t="shared" si="584"/>
        <v>-23.704007978120003</v>
      </c>
      <c r="AS642" s="537">
        <f t="shared" si="584"/>
        <v>-25.35360045334798</v>
      </c>
      <c r="AT642" s="537">
        <f t="shared" si="584"/>
        <v>85.311307890934401</v>
      </c>
      <c r="AU642" s="537">
        <f t="shared" si="584"/>
        <v>-14.320414325240002</v>
      </c>
      <c r="AV642" s="537">
        <f t="shared" si="584"/>
        <v>-34.509555937880016</v>
      </c>
      <c r="AW642" s="537">
        <f t="shared" si="584"/>
        <v>33.963160797450001</v>
      </c>
      <c r="AX642" s="537">
        <f t="shared" ref="AX642:BP642" si="585">AX$572</f>
        <v>-15.61426871007999</v>
      </c>
      <c r="AY642" s="537">
        <f t="shared" si="585"/>
        <v>-12.103643022900791</v>
      </c>
      <c r="AZ642" s="537">
        <f t="shared" si="585"/>
        <v>32.589938675632496</v>
      </c>
      <c r="BA642" s="537">
        <f t="shared" si="585"/>
        <v>-23.534854044999989</v>
      </c>
      <c r="BB642" s="537">
        <f t="shared" si="585"/>
        <v>-8.0614272179999986</v>
      </c>
      <c r="BC642" s="537">
        <f t="shared" si="585"/>
        <v>-53.883373991000013</v>
      </c>
      <c r="BD642" s="537">
        <f t="shared" si="585"/>
        <v>19.115847685759988</v>
      </c>
      <c r="BE642" s="537">
        <f t="shared" si="585"/>
        <v>-51.235469479769996</v>
      </c>
      <c r="BF642" s="537">
        <f t="shared" si="585"/>
        <v>7.3467480659999893</v>
      </c>
      <c r="BG642" s="537">
        <f t="shared" si="585"/>
        <v>27.019351216800011</v>
      </c>
      <c r="BH642" s="537">
        <f t="shared" si="585"/>
        <v>-4.5530742487999873</v>
      </c>
      <c r="BI642" s="537">
        <f t="shared" si="585"/>
        <v>42.826081442900019</v>
      </c>
      <c r="BJ642" s="537">
        <f t="shared" si="585"/>
        <v>25.558706230180007</v>
      </c>
      <c r="BK642" s="537">
        <f t="shared" si="585"/>
        <v>-18.900513657000019</v>
      </c>
      <c r="BL642" s="537">
        <f t="shared" si="585"/>
        <v>34.954289046000014</v>
      </c>
      <c r="BM642" s="537">
        <f t="shared" si="585"/>
        <v>-39.334774219890015</v>
      </c>
      <c r="BN642" s="537">
        <f t="shared" si="585"/>
        <v>-11.069792138479997</v>
      </c>
      <c r="BO642" s="537">
        <f t="shared" si="585"/>
        <v>-31.440789898999995</v>
      </c>
      <c r="BP642" s="537">
        <f t="shared" si="585"/>
        <v>-66.436309080000029</v>
      </c>
      <c r="BQ642" s="537">
        <f t="shared" ref="BQ642:DT642" si="586">BQ$572</f>
        <v>-54.962618634849996</v>
      </c>
      <c r="BR642" s="537">
        <f t="shared" si="586"/>
        <v>43.356731865045759</v>
      </c>
      <c r="BS642" s="537">
        <f t="shared" si="586"/>
        <v>17.786499451901648</v>
      </c>
      <c r="BT642" s="537">
        <f t="shared" si="586"/>
        <v>-2.4362905400688817</v>
      </c>
      <c r="BU642" s="537">
        <f t="shared" si="586"/>
        <v>-55.579897323727891</v>
      </c>
      <c r="BV642" s="537">
        <f t="shared" si="586"/>
        <v>-5.9118956241095049</v>
      </c>
      <c r="BW642" s="537">
        <f t="shared" si="586"/>
        <v>18.135569673433722</v>
      </c>
      <c r="BX642" s="537">
        <f t="shared" si="586"/>
        <v>60.787193092690352</v>
      </c>
      <c r="BY642" s="537">
        <f t="shared" si="586"/>
        <v>-27.04576118312729</v>
      </c>
      <c r="BZ642" s="537">
        <f t="shared" si="586"/>
        <v>-23.568025528720547</v>
      </c>
      <c r="CA642" s="537">
        <f t="shared" si="586"/>
        <v>50.831770706868106</v>
      </c>
      <c r="CB642" s="537">
        <f t="shared" si="586"/>
        <v>-35.736301905905833</v>
      </c>
      <c r="CC642" s="537">
        <f t="shared" si="586"/>
        <v>-96.394358296720782</v>
      </c>
      <c r="CD642" s="539">
        <f t="shared" si="586"/>
        <v>65.857510147153519</v>
      </c>
      <c r="CE642" s="537">
        <f t="shared" si="586"/>
        <v>17.151230777623653</v>
      </c>
      <c r="CF642" s="537">
        <f t="shared" si="586"/>
        <v>-16.474969873585721</v>
      </c>
      <c r="CG642" s="537">
        <f t="shared" si="586"/>
        <v>37.14843473216041</v>
      </c>
      <c r="CH642" s="537">
        <f t="shared" si="586"/>
        <v>-53.745036734760674</v>
      </c>
      <c r="CI642" s="537">
        <f t="shared" si="586"/>
        <v>-19.289153699511417</v>
      </c>
      <c r="CJ642" s="537">
        <f t="shared" si="586"/>
        <v>60.868479839149288</v>
      </c>
      <c r="CK642" s="537">
        <f t="shared" si="586"/>
        <v>-69.683228279789645</v>
      </c>
      <c r="CL642" s="537">
        <f t="shared" si="586"/>
        <v>-19.337111315684623</v>
      </c>
      <c r="CM642" s="537">
        <f t="shared" si="586"/>
        <v>-11.341678101886288</v>
      </c>
      <c r="CN642" s="537">
        <f t="shared" si="586"/>
        <v>-74.499377395552216</v>
      </c>
      <c r="CO642" s="537">
        <f t="shared" si="586"/>
        <v>-60.168905135218409</v>
      </c>
      <c r="CP642" s="540">
        <f t="shared" si="586"/>
        <v>19.867277297434342</v>
      </c>
      <c r="CQ642" s="537">
        <f t="shared" si="586"/>
        <v>-31.915295952207501</v>
      </c>
      <c r="CR642" s="537">
        <f t="shared" si="586"/>
        <v>-36.118236051970612</v>
      </c>
      <c r="CS642" s="537">
        <f t="shared" si="586"/>
        <v>-36.466125832989619</v>
      </c>
      <c r="CT642" s="537">
        <f t="shared" si="586"/>
        <v>-38.035865078794203</v>
      </c>
      <c r="CU642" s="537">
        <f t="shared" si="586"/>
        <v>-24.969688114928772</v>
      </c>
      <c r="CV642" s="537">
        <f t="shared" si="586"/>
        <v>66.783808950031101</v>
      </c>
      <c r="CW642" s="537">
        <f t="shared" si="586"/>
        <v>-38.785451981949137</v>
      </c>
      <c r="CX642" s="537">
        <f t="shared" si="586"/>
        <v>-27.478449866427965</v>
      </c>
      <c r="CY642" s="537">
        <f t="shared" si="586"/>
        <v>0.90995547683496625</v>
      </c>
      <c r="CZ642" s="537">
        <f t="shared" si="586"/>
        <v>-103.65809021745133</v>
      </c>
      <c r="DA642" s="537">
        <f t="shared" si="586"/>
        <v>-34.681201265939919</v>
      </c>
      <c r="DB642" s="1516">
        <f t="shared" si="586"/>
        <v>35.609228488723375</v>
      </c>
      <c r="DC642" s="537">
        <f t="shared" si="586"/>
        <v>-24.040702800996925</v>
      </c>
      <c r="DD642" s="537">
        <f t="shared" si="586"/>
        <v>-42.090531040640002</v>
      </c>
      <c r="DE642" s="537">
        <f t="shared" si="586"/>
        <v>-2.0773389538492779</v>
      </c>
      <c r="DF642" s="537">
        <f t="shared" si="586"/>
        <v>-74.250354790972239</v>
      </c>
      <c r="DG642" s="537">
        <f t="shared" si="586"/>
        <v>1.6271789206506355</v>
      </c>
      <c r="DH642" s="537">
        <f t="shared" si="586"/>
        <v>38.035634554363781</v>
      </c>
      <c r="DI642" s="537">
        <f t="shared" si="586"/>
        <v>-108.71454591424086</v>
      </c>
      <c r="DJ642" s="537">
        <f t="shared" si="586"/>
        <v>-27.908005611944219</v>
      </c>
      <c r="DK642" s="537">
        <f t="shared" si="586"/>
        <v>30.630481470478969</v>
      </c>
      <c r="DL642" s="537">
        <f t="shared" si="586"/>
        <v>-44.633326629374011</v>
      </c>
      <c r="DM642" s="537">
        <f t="shared" si="586"/>
        <v>-52.81811487514797</v>
      </c>
      <c r="DN642" s="540">
        <f t="shared" si="586"/>
        <v>93.257350825579891</v>
      </c>
      <c r="DO642" s="537">
        <f t="shared" si="586"/>
        <v>-32.46912917160536</v>
      </c>
      <c r="DP642" s="537">
        <f t="shared" si="586"/>
        <v>-63.138319807523288</v>
      </c>
      <c r="DQ642" s="537">
        <f t="shared" si="586"/>
        <v>17.995470359763459</v>
      </c>
      <c r="DR642" s="537">
        <f t="shared" si="586"/>
        <v>-96.819477732566355</v>
      </c>
      <c r="DS642" s="537">
        <f t="shared" si="586"/>
        <v>-38.121527286445342</v>
      </c>
      <c r="DT642" s="537">
        <f t="shared" si="586"/>
        <v>73.734630816347192</v>
      </c>
      <c r="DU642" s="537"/>
      <c r="DV642" s="537"/>
      <c r="DW642" s="537"/>
      <c r="DX642" s="537"/>
      <c r="DY642" s="537"/>
      <c r="DZ642" s="540"/>
      <c r="EA642" s="537"/>
      <c r="EB642" s="537"/>
      <c r="EC642" s="537"/>
      <c r="ED642" s="537"/>
      <c r="EE642" s="537"/>
      <c r="EF642" s="537"/>
      <c r="EG642" s="537"/>
      <c r="EH642" s="537"/>
      <c r="EI642" s="537"/>
      <c r="EJ642" s="537"/>
      <c r="EK642" s="537"/>
      <c r="EL642" s="540"/>
      <c r="EM642" s="537"/>
      <c r="EN642" s="537"/>
      <c r="EO642" s="537"/>
      <c r="EP642" s="537"/>
      <c r="EQ642" s="537"/>
      <c r="ER642" s="537"/>
      <c r="ES642" s="537"/>
      <c r="ET642" s="537"/>
      <c r="EU642" s="537"/>
      <c r="EV642" s="537"/>
      <c r="EW642" s="537"/>
      <c r="EX642" s="540"/>
      <c r="EY642" s="537"/>
      <c r="EZ642" s="537"/>
      <c r="FA642" s="537"/>
      <c r="FB642" s="537"/>
      <c r="FC642" s="537"/>
      <c r="FD642" s="537"/>
      <c r="FE642" s="537"/>
      <c r="FF642" s="537"/>
      <c r="FG642" s="537"/>
      <c r="FH642" s="537"/>
      <c r="FI642" s="537"/>
      <c r="FJ642" s="540"/>
      <c r="FK642" s="537"/>
      <c r="FL642" s="537"/>
      <c r="FM642" s="537"/>
      <c r="FN642" s="537"/>
      <c r="FO642" s="537"/>
      <c r="FP642" s="537"/>
      <c r="FQ642" s="537"/>
      <c r="FR642" s="537"/>
      <c r="FS642" s="537"/>
      <c r="FT642" s="537"/>
      <c r="FU642" s="537"/>
      <c r="FV642" s="537"/>
      <c r="FW642" s="537"/>
      <c r="FX642" s="537"/>
      <c r="FY642" s="537"/>
      <c r="FZ642" s="537"/>
      <c r="GA642" s="537"/>
      <c r="GB642" s="537"/>
      <c r="GC642" s="537"/>
      <c r="GD642" s="537"/>
      <c r="GE642" s="537"/>
      <c r="GF642" s="537"/>
      <c r="GG642" s="537"/>
      <c r="GH642" s="537"/>
      <c r="GI642" s="537"/>
      <c r="GJ642" s="537"/>
      <c r="GK642" s="537"/>
      <c r="GL642" s="537"/>
      <c r="GM642" s="537"/>
      <c r="GN642" s="537"/>
      <c r="GO642" s="537"/>
      <c r="GP642" s="537"/>
      <c r="GQ642" s="537"/>
      <c r="GR642" s="537"/>
      <c r="GS642" s="537"/>
      <c r="GT642" s="537"/>
      <c r="GU642" s="537"/>
      <c r="GV642" s="537"/>
      <c r="GW642" s="537"/>
      <c r="GX642" s="537"/>
      <c r="GY642" s="537"/>
      <c r="GZ642" s="537"/>
      <c r="HA642" s="537"/>
      <c r="HB642" s="537"/>
      <c r="HC642" s="537"/>
      <c r="HD642" s="537"/>
      <c r="HE642" s="537"/>
      <c r="HF642" s="537"/>
      <c r="HG642" s="537"/>
      <c r="HH642" s="537"/>
      <c r="HI642" s="537"/>
      <c r="HJ642" s="537"/>
      <c r="HK642" s="537"/>
      <c r="HL642" s="537"/>
      <c r="HM642" s="537"/>
      <c r="HO642" s="537"/>
      <c r="HP642" s="537"/>
      <c r="HQ642" s="537"/>
      <c r="HR642" s="537">
        <f t="shared" ref="HR642:HW642" si="587">HR$572</f>
        <v>-302.05950052759749</v>
      </c>
      <c r="HS642" s="302">
        <f t="shared" si="587"/>
        <v>-77.721402080859548</v>
      </c>
      <c r="HT642" s="302">
        <f t="shared" si="587"/>
        <v>-168.08400936621001</v>
      </c>
      <c r="HU642" s="537">
        <f t="shared" si="587"/>
        <v>-245.80541144706967</v>
      </c>
      <c r="HV642" s="302">
        <f t="shared" si="587"/>
        <v>-102.79611411144401</v>
      </c>
      <c r="HW642" s="302">
        <f t="shared" si="587"/>
        <v>-110.1861607346483</v>
      </c>
      <c r="HX642" s="545">
        <f t="shared" ref="HX642:IJ642" si="588">HX$572</f>
        <v>-212.98227484609242</v>
      </c>
      <c r="HY642" s="302">
        <f t="shared" si="588"/>
        <v>-138.81835282202974</v>
      </c>
      <c r="IA642" s="545">
        <f t="shared" si="588"/>
        <v>-340.82882477796022</v>
      </c>
      <c r="ID642" s="544">
        <f t="shared" si="588"/>
        <v>-367.12734809700419</v>
      </c>
      <c r="IG642" s="544">
        <f t="shared" si="588"/>
        <v>-546.66122916375139</v>
      </c>
      <c r="IH642" s="350"/>
      <c r="II642" s="350"/>
      <c r="IJ642" s="544">
        <f t="shared" si="588"/>
        <v>-1171.0971334578217</v>
      </c>
      <c r="IK642" s="350"/>
      <c r="IL642" s="350"/>
      <c r="IM642" s="544">
        <f>IM$572</f>
        <v>-938.72910155907584</v>
      </c>
      <c r="IN642" s="350"/>
      <c r="IO642" s="350">
        <f>IO$572</f>
        <v>2636.0314683444367</v>
      </c>
      <c r="IP642" s="544" t="e">
        <f>#REF!</f>
        <v>#REF!</v>
      </c>
      <c r="IQ642" s="350">
        <f>IS$572</f>
        <v>7486.6331886678408</v>
      </c>
      <c r="IR642" s="350">
        <f>IR$572</f>
        <v>4158.3422636443465</v>
      </c>
      <c r="IS642" s="544"/>
      <c r="IT642" s="350"/>
      <c r="IU642" s="350"/>
      <c r="IV642" s="544"/>
      <c r="IW642" s="350"/>
      <c r="IX642" s="350"/>
      <c r="IY642" s="544"/>
      <c r="KM642" s="302">
        <f>KM$572</f>
        <v>0</v>
      </c>
      <c r="KN642" s="302">
        <f>KN$572</f>
        <v>0</v>
      </c>
      <c r="KO642" s="302">
        <f>KO$572</f>
        <v>0</v>
      </c>
      <c r="KP642" s="302">
        <f>KP$572</f>
        <v>0</v>
      </c>
    </row>
    <row r="643" spans="1:302">
      <c r="A643" s="302"/>
      <c r="B643" s="117" t="s">
        <v>361</v>
      </c>
      <c r="D643" s="542" t="str">
        <f>D$573</f>
        <v>Excluding grants</v>
      </c>
      <c r="E643" s="537">
        <f>E$573</f>
        <v>-14.575546187904123</v>
      </c>
      <c r="F643" s="537">
        <f t="shared" ref="F643:L643" si="589">F$573</f>
        <v>-18.05384003372</v>
      </c>
      <c r="G643" s="537">
        <f t="shared" si="589"/>
        <v>-26.9774625170325</v>
      </c>
      <c r="H643" s="537">
        <f t="shared" si="589"/>
        <v>-19.804611869128273</v>
      </c>
      <c r="I643" s="537">
        <f t="shared" si="589"/>
        <v>-3.3127367278979989</v>
      </c>
      <c r="J643" s="537">
        <f t="shared" si="589"/>
        <v>-18.8490549067259</v>
      </c>
      <c r="K643" s="537">
        <f t="shared" si="589"/>
        <v>-37.141283882326306</v>
      </c>
      <c r="L643" s="537">
        <f t="shared" si="589"/>
        <v>-12.241079664849604</v>
      </c>
      <c r="M643" s="537">
        <f t="shared" ref="M643:AW643" si="590">M$573</f>
        <v>-33.667313375884007</v>
      </c>
      <c r="N643" s="537">
        <f t="shared" si="590"/>
        <v>-20.237377417740007</v>
      </c>
      <c r="O643" s="537">
        <f t="shared" si="590"/>
        <v>-9.8075644590999964</v>
      </c>
      <c r="P643" s="537">
        <f t="shared" si="590"/>
        <v>-23.138094036080002</v>
      </c>
      <c r="Q643" s="537">
        <f t="shared" si="590"/>
        <v>-15.420081703391606</v>
      </c>
      <c r="R643" s="537">
        <f t="shared" si="590"/>
        <v>-13.712132172342702</v>
      </c>
      <c r="S643" s="537">
        <f t="shared" si="590"/>
        <v>-27.368400940725</v>
      </c>
      <c r="T643" s="537">
        <f t="shared" si="590"/>
        <v>-35.416386866264006</v>
      </c>
      <c r="U643" s="537">
        <f t="shared" si="590"/>
        <v>-8.5599013026554971</v>
      </c>
      <c r="V643" s="537">
        <f t="shared" si="590"/>
        <v>-8.5674448933920004</v>
      </c>
      <c r="W643" s="537">
        <f t="shared" si="590"/>
        <v>-35.095391646349995</v>
      </c>
      <c r="X643" s="537">
        <f t="shared" si="590"/>
        <v>-18.290978405408008</v>
      </c>
      <c r="Y643" s="537">
        <f t="shared" si="590"/>
        <v>-35.25423347460481</v>
      </c>
      <c r="Z643" s="537">
        <f t="shared" si="590"/>
        <v>-57.1926833415734</v>
      </c>
      <c r="AA643" s="537">
        <f t="shared" si="590"/>
        <v>-3.4334140607894028</v>
      </c>
      <c r="AB643" s="537">
        <f t="shared" si="590"/>
        <v>-10.454689440706986</v>
      </c>
      <c r="AC643" s="537">
        <f t="shared" si="590"/>
        <v>-19.946153762000002</v>
      </c>
      <c r="AD643" s="537">
        <f t="shared" si="590"/>
        <v>-6.8364282729999992</v>
      </c>
      <c r="AE643" s="537">
        <f t="shared" si="590"/>
        <v>-66.032931200999997</v>
      </c>
      <c r="AF643" s="537">
        <f t="shared" si="590"/>
        <v>-32.802881740999993</v>
      </c>
      <c r="AG643" s="537">
        <f t="shared" si="590"/>
        <v>-12.325251835999996</v>
      </c>
      <c r="AH643" s="537">
        <f t="shared" si="590"/>
        <v>-17.857780487000021</v>
      </c>
      <c r="AI643" s="537">
        <f t="shared" si="590"/>
        <v>-19.469199537000005</v>
      </c>
      <c r="AJ643" s="537">
        <f t="shared" si="590"/>
        <v>-17.403393312999995</v>
      </c>
      <c r="AK643" s="537">
        <f t="shared" si="590"/>
        <v>-66.424416653000009</v>
      </c>
      <c r="AL643" s="537">
        <f t="shared" si="590"/>
        <v>-46.477236422999994</v>
      </c>
      <c r="AM643" s="537">
        <f t="shared" si="590"/>
        <v>-22.079827526000006</v>
      </c>
      <c r="AN643" s="537">
        <f t="shared" si="590"/>
        <v>-47.271603753999997</v>
      </c>
      <c r="AO643" s="537">
        <f t="shared" si="590"/>
        <v>-36.534131070259988</v>
      </c>
      <c r="AP643" s="537">
        <f t="shared" si="590"/>
        <v>-12.384099702060006</v>
      </c>
      <c r="AQ643" s="537">
        <f t="shared" si="590"/>
        <v>-38.214777051327218</v>
      </c>
      <c r="AR643" s="537">
        <f t="shared" si="590"/>
        <v>-36.285851540120007</v>
      </c>
      <c r="AS643" s="537">
        <f t="shared" si="590"/>
        <v>-34.410293150347982</v>
      </c>
      <c r="AT643" s="537">
        <f t="shared" si="590"/>
        <v>-39.253981634065596</v>
      </c>
      <c r="AU643" s="537">
        <f t="shared" si="590"/>
        <v>-20.480145807240003</v>
      </c>
      <c r="AV643" s="537">
        <f t="shared" si="590"/>
        <v>-39.286925937880014</v>
      </c>
      <c r="AW643" s="537">
        <f t="shared" si="590"/>
        <v>-58.959101202549981</v>
      </c>
      <c r="AX643" s="537">
        <f t="shared" ref="AX643:BP643" si="591">AX$573</f>
        <v>-42.009039914079992</v>
      </c>
      <c r="AY643" s="537">
        <f t="shared" si="591"/>
        <v>-19.08472891390079</v>
      </c>
      <c r="AZ643" s="537">
        <f t="shared" si="591"/>
        <v>-71.552374323367502</v>
      </c>
      <c r="BA643" s="537">
        <f t="shared" si="591"/>
        <v>-24.066177546999988</v>
      </c>
      <c r="BB643" s="537">
        <f t="shared" si="591"/>
        <v>-13.295689674999998</v>
      </c>
      <c r="BC643" s="537">
        <f t="shared" si="591"/>
        <v>-80.343476183000007</v>
      </c>
      <c r="BD643" s="537">
        <f t="shared" si="591"/>
        <v>-48.820259641000007</v>
      </c>
      <c r="BE643" s="537">
        <f t="shared" si="591"/>
        <v>-52.270636820999997</v>
      </c>
      <c r="BF643" s="537">
        <f t="shared" si="591"/>
        <v>-30.471802820000008</v>
      </c>
      <c r="BG643" s="537">
        <f t="shared" si="591"/>
        <v>-13.992362122199999</v>
      </c>
      <c r="BH643" s="537">
        <f t="shared" si="591"/>
        <v>-42.184293322799995</v>
      </c>
      <c r="BI643" s="537">
        <f t="shared" si="591"/>
        <v>-15.378224060099981</v>
      </c>
      <c r="BJ643" s="537">
        <f t="shared" si="591"/>
        <v>-51.024165205819997</v>
      </c>
      <c r="BK643" s="537">
        <f t="shared" si="591"/>
        <v>-23.597494221000019</v>
      </c>
      <c r="BL643" s="537">
        <f t="shared" si="591"/>
        <v>-65.664661136999996</v>
      </c>
      <c r="BM643" s="537">
        <f t="shared" si="591"/>
        <v>-41.626092870890012</v>
      </c>
      <c r="BN643" s="537">
        <f t="shared" si="591"/>
        <v>-15.183143720479997</v>
      </c>
      <c r="BO643" s="537">
        <f t="shared" si="591"/>
        <v>-71.320963919999997</v>
      </c>
      <c r="BP643" s="537">
        <f t="shared" si="591"/>
        <v>-66.680798585000019</v>
      </c>
      <c r="BQ643" s="537">
        <f t="shared" ref="BQ643:DT643" si="592">BQ$573</f>
        <v>-55.172659059849998</v>
      </c>
      <c r="BR643" s="537">
        <f t="shared" si="592"/>
        <v>-56.116491725580005</v>
      </c>
      <c r="BS643" s="537">
        <f t="shared" si="592"/>
        <v>-23.553099999999986</v>
      </c>
      <c r="BT643" s="537">
        <f t="shared" si="592"/>
        <v>-17.30019999999999</v>
      </c>
      <c r="BU643" s="537">
        <f t="shared" si="592"/>
        <v>-78.524900000000002</v>
      </c>
      <c r="BV643" s="537">
        <f t="shared" si="592"/>
        <v>-54.264272142367645</v>
      </c>
      <c r="BW643" s="537">
        <f t="shared" si="592"/>
        <v>-23.403320504341181</v>
      </c>
      <c r="BX643" s="537">
        <f t="shared" si="592"/>
        <v>28.712918160505176</v>
      </c>
      <c r="BY643" s="537">
        <f t="shared" si="592"/>
        <v>-27.046293615118032</v>
      </c>
      <c r="BZ643" s="537">
        <f t="shared" si="592"/>
        <v>-27.610120997842124</v>
      </c>
      <c r="CA643" s="537">
        <f t="shared" si="592"/>
        <v>28.914320175343413</v>
      </c>
      <c r="CB643" s="537">
        <f t="shared" si="592"/>
        <v>-73.642175424903485</v>
      </c>
      <c r="CC643" s="537">
        <f t="shared" si="592"/>
        <v>-146.71936144099058</v>
      </c>
      <c r="CD643" s="539">
        <f t="shared" si="592"/>
        <v>22.732394966439301</v>
      </c>
      <c r="CE643" s="537">
        <f t="shared" si="592"/>
        <v>-14.567574778282108</v>
      </c>
      <c r="CF643" s="537">
        <f t="shared" si="592"/>
        <v>-55.381971946985558</v>
      </c>
      <c r="CG643" s="537">
        <f t="shared" si="592"/>
        <v>-39.215360138657573</v>
      </c>
      <c r="CH643" s="537">
        <f t="shared" si="592"/>
        <v>-102.40138397757451</v>
      </c>
      <c r="CI643" s="537">
        <f t="shared" si="592"/>
        <v>-55.528204040272428</v>
      </c>
      <c r="CJ643" s="537">
        <f t="shared" si="592"/>
        <v>-2.3044556399746483</v>
      </c>
      <c r="CK643" s="537">
        <f t="shared" si="592"/>
        <v>-92.503092491051788</v>
      </c>
      <c r="CL643" s="537">
        <f t="shared" si="592"/>
        <v>-34.768998114947813</v>
      </c>
      <c r="CM643" s="537">
        <f t="shared" si="592"/>
        <v>-26.953600170557436</v>
      </c>
      <c r="CN643" s="537">
        <f t="shared" si="592"/>
        <v>-135.01400908165786</v>
      </c>
      <c r="CO643" s="537">
        <f t="shared" si="592"/>
        <v>-96.99271386874608</v>
      </c>
      <c r="CP643" s="540">
        <f t="shared" si="592"/>
        <v>-11.959417978859207</v>
      </c>
      <c r="CQ643" s="537">
        <f t="shared" si="592"/>
        <v>-66.363729254784431</v>
      </c>
      <c r="CR643" s="537">
        <f t="shared" si="592"/>
        <v>-56.753573044400468</v>
      </c>
      <c r="CS643" s="537">
        <f t="shared" si="592"/>
        <v>-68.554072733282339</v>
      </c>
      <c r="CT643" s="537">
        <f t="shared" si="592"/>
        <v>-65.647899482725308</v>
      </c>
      <c r="CU643" s="537">
        <f t="shared" si="592"/>
        <v>-62.406371291747078</v>
      </c>
      <c r="CV643" s="537">
        <f t="shared" si="592"/>
        <v>-21.915136064391405</v>
      </c>
      <c r="CW643" s="537">
        <f t="shared" si="592"/>
        <v>-65.947517640739832</v>
      </c>
      <c r="CX643" s="537">
        <f t="shared" si="592"/>
        <v>-48.225397638396316</v>
      </c>
      <c r="CY643" s="537">
        <f t="shared" si="592"/>
        <v>-34.959160229630754</v>
      </c>
      <c r="CZ643" s="537">
        <f t="shared" si="592"/>
        <v>-121.64315299989502</v>
      </c>
      <c r="DA643" s="537">
        <f t="shared" si="592"/>
        <v>-86.616147091188466</v>
      </c>
      <c r="DB643" s="1516">
        <f t="shared" si="592"/>
        <v>14.332917715650197</v>
      </c>
      <c r="DC643" s="537">
        <f t="shared" si="592"/>
        <v>-55.934262893810171</v>
      </c>
      <c r="DD643" s="537">
        <f t="shared" si="592"/>
        <v>-67.260164022667084</v>
      </c>
      <c r="DE643" s="537">
        <f t="shared" si="592"/>
        <v>-39.896997009692143</v>
      </c>
      <c r="DF643" s="537">
        <f t="shared" si="592"/>
        <v>-77.292089823622106</v>
      </c>
      <c r="DG643" s="537">
        <f t="shared" si="592"/>
        <v>-60.37867172770703</v>
      </c>
      <c r="DH643" s="537">
        <f t="shared" si="592"/>
        <v>-1.6610424249258102</v>
      </c>
      <c r="DI643" s="537">
        <f t="shared" si="592"/>
        <v>-118.70059639510299</v>
      </c>
      <c r="DJ643" s="537">
        <f t="shared" si="592"/>
        <v>-42.454584425466379</v>
      </c>
      <c r="DK643" s="537">
        <f t="shared" si="592"/>
        <v>15.21550597280384</v>
      </c>
      <c r="DL643" s="537">
        <f t="shared" si="592"/>
        <v>-109.86679213150023</v>
      </c>
      <c r="DM643" s="537">
        <f t="shared" si="592"/>
        <v>-72.354525949629007</v>
      </c>
      <c r="DN643" s="540">
        <f t="shared" si="592"/>
        <v>43.854935707499777</v>
      </c>
      <c r="DO643" s="537">
        <f t="shared" si="592"/>
        <v>-58.324274386799857</v>
      </c>
      <c r="DP643" s="537">
        <f t="shared" si="592"/>
        <v>-71.295093729484961</v>
      </c>
      <c r="DQ643" s="537">
        <f t="shared" si="592"/>
        <v>-2.2312551796234743</v>
      </c>
      <c r="DR643" s="537">
        <f t="shared" si="592"/>
        <v>-100.1467663545194</v>
      </c>
      <c r="DS643" s="537">
        <f t="shared" si="592"/>
        <v>-54.367963694559833</v>
      </c>
      <c r="DT643" s="537">
        <f t="shared" si="592"/>
        <v>25.631140829476578</v>
      </c>
      <c r="DU643" s="537"/>
      <c r="DV643" s="537"/>
      <c r="DW643" s="537"/>
      <c r="DX643" s="537"/>
      <c r="DY643" s="537"/>
      <c r="DZ643" s="540"/>
      <c r="EA643" s="537"/>
      <c r="EB643" s="537"/>
      <c r="EC643" s="537"/>
      <c r="ED643" s="537"/>
      <c r="EE643" s="537"/>
      <c r="EF643" s="537"/>
      <c r="EG643" s="537"/>
      <c r="EH643" s="537"/>
      <c r="EI643" s="537"/>
      <c r="EJ643" s="537"/>
      <c r="EK643" s="537"/>
      <c r="EL643" s="540"/>
      <c r="EM643" s="537"/>
      <c r="EN643" s="537"/>
      <c r="EO643" s="537"/>
      <c r="EP643" s="537"/>
      <c r="EQ643" s="537"/>
      <c r="ER643" s="537"/>
      <c r="ES643" s="537"/>
      <c r="ET643" s="537"/>
      <c r="EU643" s="537"/>
      <c r="EV643" s="537"/>
      <c r="EW643" s="537"/>
      <c r="EX643" s="540"/>
      <c r="EY643" s="537"/>
      <c r="EZ643" s="537"/>
      <c r="FA643" s="537"/>
      <c r="FB643" s="537"/>
      <c r="FC643" s="537"/>
      <c r="FD643" s="537"/>
      <c r="FE643" s="537"/>
      <c r="FF643" s="537"/>
      <c r="FG643" s="537"/>
      <c r="FH643" s="537"/>
      <c r="FI643" s="537"/>
      <c r="FJ643" s="540"/>
      <c r="FK643" s="537"/>
      <c r="FL643" s="537"/>
      <c r="FM643" s="537"/>
      <c r="FN643" s="537"/>
      <c r="FO643" s="537"/>
      <c r="FP643" s="537"/>
      <c r="FQ643" s="537"/>
      <c r="FR643" s="537"/>
      <c r="FS643" s="537"/>
      <c r="FT643" s="537"/>
      <c r="FU643" s="537"/>
      <c r="FV643" s="537"/>
      <c r="FW643" s="537"/>
      <c r="FX643" s="537"/>
      <c r="FY643" s="537"/>
      <c r="FZ643" s="537"/>
      <c r="GA643" s="537"/>
      <c r="GB643" s="537"/>
      <c r="GC643" s="537"/>
      <c r="GD643" s="537"/>
      <c r="GE643" s="537"/>
      <c r="GF643" s="537"/>
      <c r="GG643" s="537"/>
      <c r="GH643" s="537"/>
      <c r="GI643" s="537"/>
      <c r="GJ643" s="537"/>
      <c r="GK643" s="537"/>
      <c r="GL643" s="537"/>
      <c r="GM643" s="537"/>
      <c r="GN643" s="537"/>
      <c r="GO643" s="537"/>
      <c r="GP643" s="537"/>
      <c r="GQ643" s="537"/>
      <c r="GR643" s="537"/>
      <c r="GS643" s="537"/>
      <c r="GT643" s="537"/>
      <c r="GU643" s="537"/>
      <c r="GV643" s="537"/>
      <c r="GW643" s="537"/>
      <c r="GX643" s="537"/>
      <c r="GY643" s="537"/>
      <c r="GZ643" s="537"/>
      <c r="HA643" s="537"/>
      <c r="HB643" s="537"/>
      <c r="HC643" s="537"/>
      <c r="HD643" s="537"/>
      <c r="HE643" s="537"/>
      <c r="HF643" s="537"/>
      <c r="HG643" s="537"/>
      <c r="HH643" s="537"/>
      <c r="HI643" s="537"/>
      <c r="HJ643" s="537"/>
      <c r="HK643" s="537"/>
      <c r="HL643" s="537"/>
      <c r="HM643" s="537"/>
      <c r="HO643" s="537"/>
      <c r="HP643" s="537"/>
      <c r="HQ643" s="537"/>
      <c r="HR643" s="537">
        <f t="shared" ref="HR643:HW643" si="593">HR$573</f>
        <v>-717.97319804200015</v>
      </c>
      <c r="HS643" s="302">
        <f t="shared" si="593"/>
        <v>-318.640781871331</v>
      </c>
      <c r="HT643" s="302">
        <f t="shared" si="593"/>
        <v>-343.05845788420015</v>
      </c>
      <c r="HU643" s="537">
        <f t="shared" si="593"/>
        <v>-661.69923975553115</v>
      </c>
      <c r="HV643" s="302">
        <f t="shared" si="593"/>
        <v>-302.42322790242429</v>
      </c>
      <c r="HW643" s="302">
        <f t="shared" si="593"/>
        <v>-284.30605722139501</v>
      </c>
      <c r="HX643" s="545">
        <f t="shared" ref="HX643:IJ643" si="594">HX$573</f>
        <v>-586.72928512381941</v>
      </c>
      <c r="HY643" s="302">
        <f t="shared" si="594"/>
        <v>-260.73421251551099</v>
      </c>
      <c r="IA643" s="545">
        <f t="shared" si="594"/>
        <v>-582.50289331268414</v>
      </c>
      <c r="ID643" s="544">
        <f t="shared" si="594"/>
        <v>-726.03602496571466</v>
      </c>
      <c r="IG643" s="544">
        <f t="shared" si="594"/>
        <v>-941.43485366806669</v>
      </c>
      <c r="IH643" s="350"/>
      <c r="II643" s="350"/>
      <c r="IJ643" s="544">
        <f t="shared" si="594"/>
        <v>-1603.1794113359817</v>
      </c>
      <c r="IK643" s="350"/>
      <c r="IL643" s="350"/>
      <c r="IM643" s="544">
        <f>IM$573</f>
        <v>-1431.0527865498161</v>
      </c>
      <c r="IN643" s="350"/>
      <c r="IO643" s="350">
        <f>IO$573</f>
        <v>2139.8417710312051</v>
      </c>
      <c r="IP643" s="544" t="e">
        <f>#REF!</f>
        <v>#REF!</v>
      </c>
      <c r="IQ643" s="350">
        <f>IS$573</f>
        <v>6775.3390357082999</v>
      </c>
      <c r="IR643" s="350">
        <f>IR$573</f>
        <v>3721.9355100140228</v>
      </c>
      <c r="IS643" s="544"/>
      <c r="IT643" s="350"/>
      <c r="IU643" s="350"/>
      <c r="IV643" s="544"/>
      <c r="IW643" s="350"/>
      <c r="IX643" s="350"/>
      <c r="IY643" s="544"/>
      <c r="KM643" s="302">
        <f>KM$573</f>
        <v>0</v>
      </c>
      <c r="KN643" s="302">
        <f>KN$573</f>
        <v>0</v>
      </c>
      <c r="KO643" s="302">
        <f>KO$573</f>
        <v>0</v>
      </c>
      <c r="KP643" s="302">
        <f>KP$573</f>
        <v>0</v>
      </c>
    </row>
    <row r="644" spans="1:302">
      <c r="A644" s="302"/>
      <c r="B644" s="117" t="s">
        <v>361</v>
      </c>
      <c r="D644" s="543" t="str">
        <f>D$575</f>
        <v>Change in arrears (net reduction-)</v>
      </c>
      <c r="E644" s="537">
        <f>E$575</f>
        <v>10.6554</v>
      </c>
      <c r="F644" s="537">
        <f t="shared" ref="F644:L644" si="595">F$575</f>
        <v>5.8456099999999998</v>
      </c>
      <c r="G644" s="537">
        <f t="shared" si="595"/>
        <v>-15.183400000000001</v>
      </c>
      <c r="H644" s="537">
        <f t="shared" si="595"/>
        <v>9.8549799999999994</v>
      </c>
      <c r="I644" s="537">
        <f t="shared" si="595"/>
        <v>-9.1612799999999996</v>
      </c>
      <c r="J644" s="537">
        <f t="shared" si="595"/>
        <v>-7.0667900000000001</v>
      </c>
      <c r="K644" s="537">
        <f t="shared" si="595"/>
        <v>21.487389999999998</v>
      </c>
      <c r="L644" s="537">
        <f t="shared" si="595"/>
        <v>-1.3441399999999999</v>
      </c>
      <c r="M644" s="537">
        <f t="shared" ref="M644:AW644" si="596">M$575</f>
        <v>-12.681389999999999</v>
      </c>
      <c r="N644" s="537">
        <f t="shared" si="596"/>
        <v>-1.64195</v>
      </c>
      <c r="O644" s="537">
        <f t="shared" si="596"/>
        <v>2.20912</v>
      </c>
      <c r="P644" s="537">
        <f t="shared" si="596"/>
        <v>-11.5212</v>
      </c>
      <c r="Q644" s="537">
        <f t="shared" si="596"/>
        <v>12.82325</v>
      </c>
      <c r="R644" s="537">
        <f t="shared" si="596"/>
        <v>-0.33189000000000035</v>
      </c>
      <c r="S644" s="537">
        <f t="shared" si="596"/>
        <v>-6.0977399999999999</v>
      </c>
      <c r="T644" s="537">
        <f t="shared" si="596"/>
        <v>9.3417400000000015</v>
      </c>
      <c r="U644" s="537">
        <f t="shared" si="596"/>
        <v>-10.999739999999999</v>
      </c>
      <c r="V644" s="537">
        <f t="shared" si="596"/>
        <v>-8.7369800000000062</v>
      </c>
      <c r="W644" s="537">
        <f t="shared" si="596"/>
        <v>14.96668</v>
      </c>
      <c r="X644" s="537">
        <f t="shared" si="596"/>
        <v>2.7358400000000067</v>
      </c>
      <c r="Y644" s="537">
        <f t="shared" si="596"/>
        <v>-9.1756099999999989</v>
      </c>
      <c r="Z644" s="537">
        <f t="shared" si="596"/>
        <v>22.001330000000003</v>
      </c>
      <c r="AA644" s="537">
        <f t="shared" si="596"/>
        <v>-24.827919999999999</v>
      </c>
      <c r="AB644" s="537">
        <f t="shared" si="596"/>
        <v>-9.7205099999999991</v>
      </c>
      <c r="AC644" s="537">
        <f t="shared" si="596"/>
        <v>-0.87727999999999995</v>
      </c>
      <c r="AD644" s="537">
        <f t="shared" si="596"/>
        <v>-0.53175000000000117</v>
      </c>
      <c r="AE644" s="537">
        <f t="shared" si="596"/>
        <v>-0.56568999999999992</v>
      </c>
      <c r="AF644" s="537">
        <f t="shared" si="596"/>
        <v>-1.8588699999999976</v>
      </c>
      <c r="AG644" s="537">
        <f t="shared" si="596"/>
        <v>-0.91006999999999993</v>
      </c>
      <c r="AH644" s="537">
        <f t="shared" si="596"/>
        <v>-0.43952000000000002</v>
      </c>
      <c r="AI644" s="537">
        <f t="shared" si="596"/>
        <v>15.669499999999999</v>
      </c>
      <c r="AJ644" s="537">
        <f t="shared" si="596"/>
        <v>-11.648299999999999</v>
      </c>
      <c r="AK644" s="537">
        <f t="shared" si="596"/>
        <v>-1.3377000000000001</v>
      </c>
      <c r="AL644" s="537">
        <f t="shared" si="596"/>
        <v>11.607200000000001</v>
      </c>
      <c r="AM644" s="537">
        <f t="shared" si="596"/>
        <v>-11.101100000000001</v>
      </c>
      <c r="AN644" s="537">
        <f t="shared" si="596"/>
        <v>-9.0562999999999985</v>
      </c>
      <c r="AO644" s="537">
        <f t="shared" si="596"/>
        <v>21.638860000000001</v>
      </c>
      <c r="AP644" s="537">
        <f t="shared" si="596"/>
        <v>2.7073199999999948</v>
      </c>
      <c r="AQ644" s="537">
        <f t="shared" si="596"/>
        <v>-6.5569200000000141</v>
      </c>
      <c r="AR644" s="537">
        <f t="shared" si="596"/>
        <v>7.6063799999999979</v>
      </c>
      <c r="AS644" s="537">
        <f t="shared" si="596"/>
        <v>17.792059999999996</v>
      </c>
      <c r="AT644" s="537">
        <f t="shared" si="596"/>
        <v>-49.276220000000002</v>
      </c>
      <c r="AU644" s="537">
        <f t="shared" si="596"/>
        <v>5.9401999999999999</v>
      </c>
      <c r="AV644" s="537">
        <f t="shared" si="596"/>
        <v>-0.78819999999999979</v>
      </c>
      <c r="AW644" s="537">
        <f t="shared" si="596"/>
        <v>0.17479999999999996</v>
      </c>
      <c r="AX644" s="537">
        <f t="shared" ref="AX644:BP644" si="597">AX$575</f>
        <v>-15.1335</v>
      </c>
      <c r="AY644" s="537">
        <f t="shared" si="597"/>
        <v>5.4844000000000008</v>
      </c>
      <c r="AZ644" s="537">
        <f t="shared" si="597"/>
        <v>-2.8403</v>
      </c>
      <c r="BA644" s="537">
        <f t="shared" si="597"/>
        <v>27.045399999999997</v>
      </c>
      <c r="BB644" s="537">
        <f t="shared" si="597"/>
        <v>0.25485000000000013</v>
      </c>
      <c r="BC644" s="537">
        <f t="shared" si="597"/>
        <v>-2.4120499999999998</v>
      </c>
      <c r="BD644" s="537">
        <f t="shared" si="597"/>
        <v>16.939349999999997</v>
      </c>
      <c r="BE644" s="537">
        <f t="shared" si="597"/>
        <v>0.3079599999999999</v>
      </c>
      <c r="BF644" s="537">
        <f t="shared" si="597"/>
        <v>-46.825299999999999</v>
      </c>
      <c r="BG644" s="537">
        <f t="shared" si="597"/>
        <v>-2.1658000000000004</v>
      </c>
      <c r="BH644" s="537">
        <f t="shared" si="597"/>
        <v>41.469000000000001</v>
      </c>
      <c r="BI644" s="537">
        <f t="shared" si="597"/>
        <v>-29.6478</v>
      </c>
      <c r="BJ644" s="537">
        <f t="shared" si="597"/>
        <v>31.784700000000001</v>
      </c>
      <c r="BK644" s="537">
        <f t="shared" si="597"/>
        <v>-14.7141</v>
      </c>
      <c r="BL644" s="537">
        <f t="shared" si="597"/>
        <v>-34.624499999999998</v>
      </c>
      <c r="BM644" s="537">
        <f t="shared" si="597"/>
        <v>22.7043</v>
      </c>
      <c r="BN644" s="537">
        <f t="shared" si="597"/>
        <v>-5.3937400000000002</v>
      </c>
      <c r="BO644" s="537">
        <f t="shared" si="597"/>
        <v>-19.66197</v>
      </c>
      <c r="BP644" s="537">
        <f t="shared" si="597"/>
        <v>36.031199999999998</v>
      </c>
      <c r="BQ644" s="537">
        <f t="shared" ref="BQ644:DT644" si="598">BQ$575</f>
        <v>16.442199999999996</v>
      </c>
      <c r="BR644" s="537">
        <f t="shared" si="598"/>
        <v>-55.916100000000007</v>
      </c>
      <c r="BS644" s="537">
        <f t="shared" si="598"/>
        <v>35.2239</v>
      </c>
      <c r="BT644" s="537">
        <f t="shared" si="598"/>
        <v>-3.8731</v>
      </c>
      <c r="BU644" s="537">
        <f t="shared" si="598"/>
        <v>-17.4802</v>
      </c>
      <c r="BV644" s="537">
        <f t="shared" si="598"/>
        <v>0</v>
      </c>
      <c r="BW644" s="537">
        <f t="shared" si="598"/>
        <v>0</v>
      </c>
      <c r="BX644" s="537">
        <f t="shared" si="598"/>
        <v>0</v>
      </c>
      <c r="BY644" s="537">
        <f t="shared" si="598"/>
        <v>0</v>
      </c>
      <c r="BZ644" s="537">
        <f t="shared" si="598"/>
        <v>0</v>
      </c>
      <c r="CA644" s="537">
        <f t="shared" si="598"/>
        <v>0</v>
      </c>
      <c r="CB644" s="537">
        <f t="shared" si="598"/>
        <v>0</v>
      </c>
      <c r="CC644" s="537">
        <f t="shared" si="598"/>
        <v>0</v>
      </c>
      <c r="CD644" s="539">
        <f t="shared" si="598"/>
        <v>0</v>
      </c>
      <c r="CE644" s="537">
        <f t="shared" si="598"/>
        <v>25.459926414999998</v>
      </c>
      <c r="CF644" s="537">
        <f t="shared" si="598"/>
        <v>-2.1916458300000095</v>
      </c>
      <c r="CG644" s="537">
        <f t="shared" si="598"/>
        <v>0.86049975999999662</v>
      </c>
      <c r="CH644" s="537">
        <f t="shared" si="598"/>
        <v>15.230367965000001</v>
      </c>
      <c r="CI644" s="537">
        <f t="shared" si="598"/>
        <v>-2.490232345000003</v>
      </c>
      <c r="CJ644" s="537">
        <f t="shared" si="598"/>
        <v>-44.462359226000011</v>
      </c>
      <c r="CK644" s="537">
        <f t="shared" si="598"/>
        <v>33.882002667999998</v>
      </c>
      <c r="CL644" s="537">
        <f t="shared" si="598"/>
        <v>1.5864573310000027</v>
      </c>
      <c r="CM644" s="537">
        <f t="shared" si="598"/>
        <v>-2.2788276409999981</v>
      </c>
      <c r="CN644" s="537">
        <f t="shared" si="598"/>
        <v>21.917290953999998</v>
      </c>
      <c r="CO644" s="537">
        <f t="shared" si="598"/>
        <v>15.121927161999997</v>
      </c>
      <c r="CP644" s="540">
        <f t="shared" si="598"/>
        <v>-77.886949827000009</v>
      </c>
      <c r="CQ644" s="537">
        <f t="shared" si="598"/>
        <v>43.993544946</v>
      </c>
      <c r="CR644" s="537">
        <f t="shared" si="598"/>
        <v>7.5001968780000023</v>
      </c>
      <c r="CS644" s="537">
        <f t="shared" si="598"/>
        <v>-8.1648560099999994</v>
      </c>
      <c r="CT644" s="537">
        <f t="shared" si="598"/>
        <v>7.7556771840000014</v>
      </c>
      <c r="CU644" s="537">
        <f t="shared" si="598"/>
        <v>13.614128800999996</v>
      </c>
      <c r="CV644" s="537">
        <f t="shared" si="598"/>
        <v>-15.375084401999995</v>
      </c>
      <c r="CW644" s="537">
        <f t="shared" si="598"/>
        <v>9.5578973139999999</v>
      </c>
      <c r="CX644" s="537">
        <f t="shared" si="598"/>
        <v>18.724819482000001</v>
      </c>
      <c r="CY644" s="537">
        <f t="shared" si="598"/>
        <v>-5.0054926209999993</v>
      </c>
      <c r="CZ644" s="537">
        <f t="shared" si="598"/>
        <v>34.482325734</v>
      </c>
      <c r="DA644" s="537">
        <f t="shared" si="598"/>
        <v>0.97493965699999618</v>
      </c>
      <c r="DB644" s="1516">
        <f t="shared" si="598"/>
        <v>-84.906245957999985</v>
      </c>
      <c r="DC644" s="537">
        <f t="shared" si="598"/>
        <v>45.051045941000005</v>
      </c>
      <c r="DD644" s="537">
        <f t="shared" si="598"/>
        <v>2.4522030739999972</v>
      </c>
      <c r="DE644" s="537">
        <f t="shared" si="598"/>
        <v>-11.525068235999996</v>
      </c>
      <c r="DF644" s="537">
        <f t="shared" si="598"/>
        <v>24.155134145999995</v>
      </c>
      <c r="DG644" s="537">
        <f t="shared" si="598"/>
        <v>4.7692401899999961</v>
      </c>
      <c r="DH644" s="537">
        <f t="shared" si="598"/>
        <v>-50.081889140000001</v>
      </c>
      <c r="DI644" s="537">
        <f t="shared" si="598"/>
        <v>39.04344991899999</v>
      </c>
      <c r="DJ644" s="537">
        <f t="shared" si="598"/>
        <v>-12.661360148</v>
      </c>
      <c r="DK644" s="537">
        <f t="shared" si="598"/>
        <v>2.5686521749999995</v>
      </c>
      <c r="DL644" s="537">
        <f t="shared" si="598"/>
        <v>8.1482137590000008</v>
      </c>
      <c r="DM644" s="537">
        <f t="shared" si="598"/>
        <v>27.100130161999999</v>
      </c>
      <c r="DN644" s="540">
        <f t="shared" si="598"/>
        <v>-106.637777396</v>
      </c>
      <c r="DO644" s="537">
        <f t="shared" si="598"/>
        <v>5.7541547349999931</v>
      </c>
      <c r="DP644" s="537">
        <f t="shared" si="598"/>
        <v>67.927479993000006</v>
      </c>
      <c r="DQ644" s="537">
        <f t="shared" si="598"/>
        <v>-6.7416281189999925</v>
      </c>
      <c r="DR644" s="537">
        <f t="shared" si="598"/>
        <v>22.302948236000002</v>
      </c>
      <c r="DS644" s="537">
        <f t="shared" si="598"/>
        <v>1.6517766149999982</v>
      </c>
      <c r="DT644" s="537">
        <f t="shared" si="598"/>
        <v>-103.077576081</v>
      </c>
      <c r="DU644" s="537"/>
      <c r="DV644" s="537"/>
      <c r="DW644" s="537"/>
      <c r="DX644" s="537"/>
      <c r="DY644" s="537"/>
      <c r="DZ644" s="540"/>
      <c r="EA644" s="537"/>
      <c r="EB644" s="537"/>
      <c r="EC644" s="537"/>
      <c r="ED644" s="537"/>
      <c r="EE644" s="537"/>
      <c r="EF644" s="537"/>
      <c r="EG644" s="537"/>
      <c r="EH644" s="537"/>
      <c r="EI644" s="537"/>
      <c r="EJ644" s="537"/>
      <c r="EK644" s="537"/>
      <c r="EL644" s="540"/>
      <c r="EM644" s="537"/>
      <c r="EN644" s="537"/>
      <c r="EO644" s="537"/>
      <c r="EP644" s="537"/>
      <c r="EQ644" s="537"/>
      <c r="ER644" s="537"/>
      <c r="ES644" s="537"/>
      <c r="ET644" s="537"/>
      <c r="EU644" s="537"/>
      <c r="EV644" s="537"/>
      <c r="EW644" s="537"/>
      <c r="EX644" s="540"/>
      <c r="EY644" s="537"/>
      <c r="EZ644" s="537"/>
      <c r="FA644" s="537"/>
      <c r="FB644" s="537"/>
      <c r="FC644" s="537"/>
      <c r="FD644" s="537"/>
      <c r="FE644" s="537"/>
      <c r="FF644" s="537"/>
      <c r="FG644" s="537"/>
      <c r="FH644" s="537"/>
      <c r="FI644" s="537"/>
      <c r="FJ644" s="540"/>
      <c r="FK644" s="537"/>
      <c r="FL644" s="537"/>
      <c r="FM644" s="537"/>
      <c r="FN644" s="537"/>
      <c r="FO644" s="537"/>
      <c r="FP644" s="537"/>
      <c r="FQ644" s="537"/>
      <c r="FR644" s="537"/>
      <c r="FS644" s="537"/>
      <c r="FT644" s="537"/>
      <c r="FU644" s="537"/>
      <c r="FV644" s="537"/>
      <c r="FW644" s="537"/>
      <c r="FX644" s="537"/>
      <c r="FY644" s="537"/>
      <c r="FZ644" s="537"/>
      <c r="GA644" s="537"/>
      <c r="GB644" s="537"/>
      <c r="GC644" s="537"/>
      <c r="GD644" s="537"/>
      <c r="GE644" s="537"/>
      <c r="GF644" s="537"/>
      <c r="GG644" s="537"/>
      <c r="GH644" s="537"/>
      <c r="GI644" s="537"/>
      <c r="GJ644" s="537"/>
      <c r="GK644" s="537"/>
      <c r="GL644" s="537"/>
      <c r="GM644" s="537"/>
      <c r="GN644" s="537"/>
      <c r="GO644" s="537"/>
      <c r="GP644" s="537"/>
      <c r="GQ644" s="537"/>
      <c r="GR644" s="537"/>
      <c r="GS644" s="537"/>
      <c r="GT644" s="537"/>
      <c r="GU644" s="537"/>
      <c r="GV644" s="537"/>
      <c r="GW644" s="537"/>
      <c r="GX644" s="537"/>
      <c r="GY644" s="537"/>
      <c r="GZ644" s="537"/>
      <c r="HA644" s="537"/>
      <c r="HB644" s="537"/>
      <c r="HC644" s="537"/>
      <c r="HD644" s="537"/>
      <c r="HE644" s="537"/>
      <c r="HF644" s="537"/>
      <c r="HG644" s="537"/>
      <c r="HH644" s="537"/>
      <c r="HI644" s="537"/>
      <c r="HJ644" s="537"/>
      <c r="HK644" s="537"/>
      <c r="HL644" s="537"/>
      <c r="HM644" s="537"/>
      <c r="HO644" s="537"/>
      <c r="HP644" s="537"/>
      <c r="HQ644" s="537"/>
      <c r="HR644" s="537">
        <f t="shared" ref="HR644:HW644" si="599">HR$575</f>
        <v>5</v>
      </c>
      <c r="HS644" s="302">
        <f t="shared" si="599"/>
        <v>49.323607397000004</v>
      </c>
      <c r="HT644" s="302">
        <f t="shared" si="599"/>
        <v>-26.171756391999992</v>
      </c>
      <c r="HU644" s="537">
        <f t="shared" si="599"/>
        <v>23.151851005000012</v>
      </c>
      <c r="HV644" s="302">
        <f t="shared" si="599"/>
        <v>14.820665974999997</v>
      </c>
      <c r="HW644" s="302">
        <f t="shared" si="599"/>
        <v>-42.43869152900001</v>
      </c>
      <c r="HX644" s="545">
        <f t="shared" ref="HX644:IJ644" si="600">HX$575</f>
        <v>-27.618025554000013</v>
      </c>
      <c r="HY644" s="302">
        <f t="shared" si="600"/>
        <v>-12.182844620999987</v>
      </c>
      <c r="IA644" s="545">
        <f t="shared" si="600"/>
        <v>39.965229826000012</v>
      </c>
      <c r="ID644" s="544">
        <f t="shared" si="600"/>
        <v>-25.061232288000014</v>
      </c>
      <c r="IG644" s="544">
        <f t="shared" si="600"/>
        <v>55.122620192000042</v>
      </c>
      <c r="IH644" s="350"/>
      <c r="II644" s="350"/>
      <c r="IJ644" s="544">
        <f t="shared" si="600"/>
        <v>-55.1</v>
      </c>
      <c r="IK644" s="350"/>
      <c r="IL644" s="350"/>
      <c r="IM644" s="544">
        <f>IM$575</f>
        <v>-35.228921278959099</v>
      </c>
      <c r="IN644" s="350"/>
      <c r="IO644" s="350" t="e">
        <f>IO$575</f>
        <v>#REF!</v>
      </c>
      <c r="IP644" s="544" t="e">
        <f>#REF!</f>
        <v>#REF!</v>
      </c>
      <c r="IQ644" s="350">
        <f>IS$575</f>
        <v>-40</v>
      </c>
      <c r="IR644" s="350">
        <f>IR$575</f>
        <v>-20</v>
      </c>
      <c r="IS644" s="544"/>
      <c r="IT644" s="350"/>
      <c r="IU644" s="350"/>
      <c r="IV644" s="544"/>
      <c r="IW644" s="350"/>
      <c r="IX644" s="350"/>
      <c r="IY644" s="544"/>
      <c r="KM644" s="302">
        <f>KM$575</f>
        <v>0</v>
      </c>
      <c r="KN644" s="302">
        <f>KN$575</f>
        <v>0</v>
      </c>
      <c r="KO644" s="302">
        <f>KO$575</f>
        <v>0</v>
      </c>
      <c r="KP644" s="302">
        <f>KP$575</f>
        <v>0</v>
      </c>
    </row>
    <row r="645" spans="1:302">
      <c r="A645" s="302"/>
      <c r="B645" s="117" t="s">
        <v>361</v>
      </c>
      <c r="D645" s="542" t="str">
        <f>D$576</f>
        <v>Domestic</v>
      </c>
      <c r="E645" s="537">
        <f>E$576</f>
        <v>10.6554</v>
      </c>
      <c r="F645" s="537">
        <f t="shared" ref="F645:L645" si="601">F$576</f>
        <v>5.8456099999999998</v>
      </c>
      <c r="G645" s="537">
        <f t="shared" si="601"/>
        <v>-15.183400000000001</v>
      </c>
      <c r="H645" s="537">
        <f t="shared" si="601"/>
        <v>9.8549799999999994</v>
      </c>
      <c r="I645" s="537">
        <f t="shared" si="601"/>
        <v>-9.1612799999999996</v>
      </c>
      <c r="J645" s="537">
        <f t="shared" si="601"/>
        <v>-7.0667900000000001</v>
      </c>
      <c r="K645" s="537">
        <f t="shared" si="601"/>
        <v>21.487389999999998</v>
      </c>
      <c r="L645" s="537">
        <f t="shared" si="601"/>
        <v>-1.3441399999999999</v>
      </c>
      <c r="M645" s="537">
        <f t="shared" ref="M645:AW645" si="602">M$576</f>
        <v>-12.681389999999999</v>
      </c>
      <c r="N645" s="537">
        <f t="shared" si="602"/>
        <v>-1.64195</v>
      </c>
      <c r="O645" s="537">
        <f t="shared" si="602"/>
        <v>2.20912</v>
      </c>
      <c r="P645" s="537">
        <f t="shared" si="602"/>
        <v>-11.5212</v>
      </c>
      <c r="Q645" s="537">
        <f t="shared" si="602"/>
        <v>12.82325</v>
      </c>
      <c r="R645" s="537">
        <f t="shared" si="602"/>
        <v>-0.33189000000000035</v>
      </c>
      <c r="S645" s="537">
        <f t="shared" si="602"/>
        <v>-6.0977399999999999</v>
      </c>
      <c r="T645" s="537">
        <f t="shared" si="602"/>
        <v>9.3417400000000015</v>
      </c>
      <c r="U645" s="537">
        <f t="shared" si="602"/>
        <v>-10.999739999999999</v>
      </c>
      <c r="V645" s="537">
        <f t="shared" si="602"/>
        <v>-8.7369800000000062</v>
      </c>
      <c r="W645" s="537">
        <f t="shared" si="602"/>
        <v>14.96668</v>
      </c>
      <c r="X645" s="537">
        <f t="shared" si="602"/>
        <v>2.7358400000000067</v>
      </c>
      <c r="Y645" s="537">
        <f t="shared" si="602"/>
        <v>-9.1756099999999989</v>
      </c>
      <c r="Z645" s="537">
        <f t="shared" si="602"/>
        <v>22.001330000000003</v>
      </c>
      <c r="AA645" s="537">
        <f t="shared" si="602"/>
        <v>-24.827919999999999</v>
      </c>
      <c r="AB645" s="537">
        <f t="shared" si="602"/>
        <v>-9.7205099999999991</v>
      </c>
      <c r="AC645" s="537">
        <f t="shared" si="602"/>
        <v>-0.87727999999999995</v>
      </c>
      <c r="AD645" s="537">
        <f t="shared" si="602"/>
        <v>-0.53175000000000117</v>
      </c>
      <c r="AE645" s="537">
        <f t="shared" si="602"/>
        <v>-0.56568999999999992</v>
      </c>
      <c r="AF645" s="537">
        <f t="shared" si="602"/>
        <v>-1.8588699999999976</v>
      </c>
      <c r="AG645" s="537">
        <f t="shared" si="602"/>
        <v>-0.91006999999999993</v>
      </c>
      <c r="AH645" s="537">
        <f t="shared" si="602"/>
        <v>-0.43952000000000002</v>
      </c>
      <c r="AI645" s="537">
        <f t="shared" si="602"/>
        <v>15.669499999999999</v>
      </c>
      <c r="AJ645" s="537">
        <f t="shared" si="602"/>
        <v>-11.648299999999999</v>
      </c>
      <c r="AK645" s="537">
        <f t="shared" si="602"/>
        <v>-1.3377000000000001</v>
      </c>
      <c r="AL645" s="537">
        <f t="shared" si="602"/>
        <v>11.607200000000001</v>
      </c>
      <c r="AM645" s="537">
        <f t="shared" si="602"/>
        <v>-11.101100000000001</v>
      </c>
      <c r="AN645" s="537">
        <f t="shared" si="602"/>
        <v>-9.0562999999999985</v>
      </c>
      <c r="AO645" s="537">
        <f t="shared" si="602"/>
        <v>21.638860000000001</v>
      </c>
      <c r="AP645" s="537">
        <f t="shared" si="602"/>
        <v>2.7073199999999948</v>
      </c>
      <c r="AQ645" s="537">
        <f t="shared" si="602"/>
        <v>-6.5569200000000141</v>
      </c>
      <c r="AR645" s="537">
        <f t="shared" si="602"/>
        <v>7.6063799999999979</v>
      </c>
      <c r="AS645" s="537">
        <f t="shared" si="602"/>
        <v>17.792059999999996</v>
      </c>
      <c r="AT645" s="537">
        <f t="shared" si="602"/>
        <v>-49.276220000000002</v>
      </c>
      <c r="AU645" s="537">
        <f t="shared" si="602"/>
        <v>5.9401999999999999</v>
      </c>
      <c r="AV645" s="537">
        <f t="shared" si="602"/>
        <v>-0.78819999999999979</v>
      </c>
      <c r="AW645" s="537">
        <f t="shared" si="602"/>
        <v>0.17479999999999996</v>
      </c>
      <c r="AX645" s="537">
        <f t="shared" ref="AX645:BP645" si="603">AX$576</f>
        <v>-15.1335</v>
      </c>
      <c r="AY645" s="537">
        <f t="shared" si="603"/>
        <v>5.4844000000000008</v>
      </c>
      <c r="AZ645" s="537">
        <f t="shared" si="603"/>
        <v>-2.8403</v>
      </c>
      <c r="BA645" s="537">
        <f t="shared" si="603"/>
        <v>27.045399999999997</v>
      </c>
      <c r="BB645" s="537">
        <f t="shared" si="603"/>
        <v>0.25485000000000013</v>
      </c>
      <c r="BC645" s="537">
        <f t="shared" si="603"/>
        <v>-2.4120499999999998</v>
      </c>
      <c r="BD645" s="537">
        <f t="shared" si="603"/>
        <v>16.939349999999997</v>
      </c>
      <c r="BE645" s="537">
        <f t="shared" si="603"/>
        <v>0.3079599999999999</v>
      </c>
      <c r="BF645" s="537">
        <f t="shared" si="603"/>
        <v>-46.825299999999999</v>
      </c>
      <c r="BG645" s="537">
        <f t="shared" si="603"/>
        <v>-2.1658000000000004</v>
      </c>
      <c r="BH645" s="537">
        <f t="shared" si="603"/>
        <v>41.469000000000001</v>
      </c>
      <c r="BI645" s="537">
        <f t="shared" si="603"/>
        <v>-29.6478</v>
      </c>
      <c r="BJ645" s="537">
        <f t="shared" si="603"/>
        <v>31.784700000000001</v>
      </c>
      <c r="BK645" s="537">
        <f t="shared" si="603"/>
        <v>-14.7141</v>
      </c>
      <c r="BL645" s="537">
        <f t="shared" si="603"/>
        <v>-34.624499999999998</v>
      </c>
      <c r="BM645" s="537">
        <f t="shared" si="603"/>
        <v>22.7043</v>
      </c>
      <c r="BN645" s="537">
        <f t="shared" si="603"/>
        <v>-5.3937400000000002</v>
      </c>
      <c r="BO645" s="537">
        <f t="shared" si="603"/>
        <v>-19.66197</v>
      </c>
      <c r="BP645" s="537">
        <f t="shared" si="603"/>
        <v>36.031199999999998</v>
      </c>
      <c r="BQ645" s="537">
        <f t="shared" ref="BQ645:DT645" si="604">BQ$576</f>
        <v>16.442199999999996</v>
      </c>
      <c r="BR645" s="537">
        <f t="shared" si="604"/>
        <v>-55.916100000000007</v>
      </c>
      <c r="BS645" s="537">
        <f t="shared" si="604"/>
        <v>35.2239</v>
      </c>
      <c r="BT645" s="537">
        <f t="shared" si="604"/>
        <v>-3.8731</v>
      </c>
      <c r="BU645" s="537">
        <f t="shared" si="604"/>
        <v>-17.4802</v>
      </c>
      <c r="BV645" s="537">
        <f t="shared" si="604"/>
        <v>0</v>
      </c>
      <c r="BW645" s="537">
        <f t="shared" si="604"/>
        <v>0</v>
      </c>
      <c r="BX645" s="537">
        <f t="shared" si="604"/>
        <v>0</v>
      </c>
      <c r="BY645" s="537">
        <f t="shared" si="604"/>
        <v>0</v>
      </c>
      <c r="BZ645" s="537">
        <f t="shared" si="604"/>
        <v>0</v>
      </c>
      <c r="CA645" s="537">
        <f t="shared" si="604"/>
        <v>0</v>
      </c>
      <c r="CB645" s="537">
        <f t="shared" si="604"/>
        <v>0</v>
      </c>
      <c r="CC645" s="537">
        <f t="shared" si="604"/>
        <v>0</v>
      </c>
      <c r="CD645" s="539">
        <f t="shared" si="604"/>
        <v>0</v>
      </c>
      <c r="CE645" s="537">
        <f t="shared" si="604"/>
        <v>25.459926414999998</v>
      </c>
      <c r="CF645" s="537">
        <f t="shared" si="604"/>
        <v>-2.1916458300000095</v>
      </c>
      <c r="CG645" s="537">
        <f t="shared" si="604"/>
        <v>0.86049975999999662</v>
      </c>
      <c r="CH645" s="537">
        <f t="shared" si="604"/>
        <v>15.230367965000001</v>
      </c>
      <c r="CI645" s="537">
        <f t="shared" si="604"/>
        <v>-2.490232345000003</v>
      </c>
      <c r="CJ645" s="537">
        <f t="shared" si="604"/>
        <v>-44.462359226000011</v>
      </c>
      <c r="CK645" s="537">
        <f t="shared" si="604"/>
        <v>33.882002667999998</v>
      </c>
      <c r="CL645" s="537">
        <f t="shared" si="604"/>
        <v>1.5864573310000027</v>
      </c>
      <c r="CM645" s="537">
        <f t="shared" si="604"/>
        <v>-2.2788276409999981</v>
      </c>
      <c r="CN645" s="537">
        <f t="shared" si="604"/>
        <v>21.917290953999998</v>
      </c>
      <c r="CO645" s="537">
        <f t="shared" si="604"/>
        <v>15.121927161999997</v>
      </c>
      <c r="CP645" s="540">
        <f t="shared" si="604"/>
        <v>-77.886949827000009</v>
      </c>
      <c r="CQ645" s="537">
        <f t="shared" si="604"/>
        <v>43.993544946</v>
      </c>
      <c r="CR645" s="537">
        <f t="shared" si="604"/>
        <v>7.5001968780000023</v>
      </c>
      <c r="CS645" s="537">
        <f t="shared" si="604"/>
        <v>-8.1648560099999994</v>
      </c>
      <c r="CT645" s="537">
        <f t="shared" si="604"/>
        <v>7.7556771840000014</v>
      </c>
      <c r="CU645" s="537">
        <f t="shared" si="604"/>
        <v>13.614128800999996</v>
      </c>
      <c r="CV645" s="537">
        <f t="shared" si="604"/>
        <v>-15.375084401999995</v>
      </c>
      <c r="CW645" s="537">
        <f t="shared" si="604"/>
        <v>9.5578973139999999</v>
      </c>
      <c r="CX645" s="537">
        <f t="shared" si="604"/>
        <v>18.724819482000001</v>
      </c>
      <c r="CY645" s="537">
        <f t="shared" si="604"/>
        <v>-5.0054926209999993</v>
      </c>
      <c r="CZ645" s="537">
        <f t="shared" si="604"/>
        <v>34.482325734</v>
      </c>
      <c r="DA645" s="537">
        <f t="shared" si="604"/>
        <v>0.97493965699999618</v>
      </c>
      <c r="DB645" s="1516">
        <f t="shared" si="604"/>
        <v>-84.906245957999985</v>
      </c>
      <c r="DC645" s="537">
        <f t="shared" si="604"/>
        <v>45.051045941000005</v>
      </c>
      <c r="DD645" s="537">
        <f t="shared" si="604"/>
        <v>2.4522030739999972</v>
      </c>
      <c r="DE645" s="537">
        <f t="shared" si="604"/>
        <v>-11.525068235999996</v>
      </c>
      <c r="DF645" s="537">
        <f t="shared" si="604"/>
        <v>24.155134145999995</v>
      </c>
      <c r="DG645" s="537">
        <f t="shared" si="604"/>
        <v>4.7692401899999961</v>
      </c>
      <c r="DH645" s="537">
        <f t="shared" si="604"/>
        <v>-50.081889140000001</v>
      </c>
      <c r="DI645" s="537">
        <f t="shared" si="604"/>
        <v>39.04344991899999</v>
      </c>
      <c r="DJ645" s="537">
        <f t="shared" si="604"/>
        <v>-12.661360148</v>
      </c>
      <c r="DK645" s="537">
        <f t="shared" si="604"/>
        <v>2.5686521749999995</v>
      </c>
      <c r="DL645" s="537">
        <f t="shared" si="604"/>
        <v>8.1482137590000008</v>
      </c>
      <c r="DM645" s="537">
        <f t="shared" si="604"/>
        <v>27.100130161999999</v>
      </c>
      <c r="DN645" s="540">
        <f t="shared" si="604"/>
        <v>-106.637777396</v>
      </c>
      <c r="DO645" s="537">
        <f t="shared" si="604"/>
        <v>5.7541547349999931</v>
      </c>
      <c r="DP645" s="537">
        <f t="shared" si="604"/>
        <v>67.927479993000006</v>
      </c>
      <c r="DQ645" s="537">
        <f t="shared" si="604"/>
        <v>-6.7416281189999925</v>
      </c>
      <c r="DR645" s="537">
        <f t="shared" si="604"/>
        <v>22.302948236000002</v>
      </c>
      <c r="DS645" s="537">
        <f t="shared" si="604"/>
        <v>1.6517766149999982</v>
      </c>
      <c r="DT645" s="537">
        <f t="shared" si="604"/>
        <v>-103.077576081</v>
      </c>
      <c r="DU645" s="537"/>
      <c r="DV645" s="537"/>
      <c r="DW645" s="537"/>
      <c r="DX645" s="537"/>
      <c r="DY645" s="537"/>
      <c r="DZ645" s="540"/>
      <c r="EA645" s="537"/>
      <c r="EB645" s="537"/>
      <c r="EC645" s="537"/>
      <c r="ED645" s="537"/>
      <c r="EE645" s="537"/>
      <c r="EF645" s="537"/>
      <c r="EG645" s="537"/>
      <c r="EH645" s="537"/>
      <c r="EI645" s="537"/>
      <c r="EJ645" s="537"/>
      <c r="EK645" s="537"/>
      <c r="EL645" s="540"/>
      <c r="EM645" s="537"/>
      <c r="EN645" s="537"/>
      <c r="EO645" s="537"/>
      <c r="EP645" s="537"/>
      <c r="EQ645" s="537"/>
      <c r="ER645" s="537"/>
      <c r="ES645" s="537"/>
      <c r="ET645" s="537"/>
      <c r="EU645" s="537"/>
      <c r="EV645" s="537"/>
      <c r="EW645" s="537"/>
      <c r="EX645" s="540"/>
      <c r="EY645" s="537"/>
      <c r="EZ645" s="537"/>
      <c r="FA645" s="537"/>
      <c r="FB645" s="537"/>
      <c r="FC645" s="537"/>
      <c r="FD645" s="537"/>
      <c r="FE645" s="537"/>
      <c r="FF645" s="537"/>
      <c r="FG645" s="537"/>
      <c r="FH645" s="537"/>
      <c r="FI645" s="537"/>
      <c r="FJ645" s="540"/>
      <c r="FK645" s="537"/>
      <c r="FL645" s="537"/>
      <c r="FM645" s="537"/>
      <c r="FN645" s="537"/>
      <c r="FO645" s="537"/>
      <c r="FP645" s="537"/>
      <c r="FQ645" s="537"/>
      <c r="FR645" s="537"/>
      <c r="FS645" s="537"/>
      <c r="FT645" s="537"/>
      <c r="FU645" s="537"/>
      <c r="FV645" s="537"/>
      <c r="FW645" s="537"/>
      <c r="FX645" s="537"/>
      <c r="FY645" s="537"/>
      <c r="FZ645" s="537"/>
      <c r="GA645" s="537"/>
      <c r="GB645" s="537"/>
      <c r="GC645" s="537"/>
      <c r="GD645" s="537"/>
      <c r="GE645" s="537"/>
      <c r="GF645" s="537"/>
      <c r="GG645" s="537"/>
      <c r="GH645" s="537"/>
      <c r="GI645" s="537"/>
      <c r="GJ645" s="537"/>
      <c r="GK645" s="537"/>
      <c r="GL645" s="537"/>
      <c r="GM645" s="537"/>
      <c r="GN645" s="537"/>
      <c r="GO645" s="537"/>
      <c r="GP645" s="537"/>
      <c r="GQ645" s="537"/>
      <c r="GR645" s="537"/>
      <c r="GS645" s="537"/>
      <c r="GT645" s="537"/>
      <c r="GU645" s="537"/>
      <c r="GV645" s="537"/>
      <c r="GW645" s="537"/>
      <c r="GX645" s="537"/>
      <c r="GY645" s="537"/>
      <c r="GZ645" s="537"/>
      <c r="HA645" s="537"/>
      <c r="HB645" s="537"/>
      <c r="HC645" s="537"/>
      <c r="HD645" s="537"/>
      <c r="HE645" s="537"/>
      <c r="HF645" s="537"/>
      <c r="HG645" s="537"/>
      <c r="HH645" s="537"/>
      <c r="HI645" s="537"/>
      <c r="HJ645" s="537"/>
      <c r="HK645" s="537"/>
      <c r="HL645" s="537"/>
      <c r="HM645" s="537"/>
      <c r="HO645" s="537"/>
      <c r="HP645" s="537"/>
      <c r="HQ645" s="537"/>
      <c r="HR645" s="537">
        <f t="shared" ref="HR645:HW645" si="605">HR$576</f>
        <v>5</v>
      </c>
      <c r="HS645" s="302">
        <f t="shared" si="605"/>
        <v>49.323607397000004</v>
      </c>
      <c r="HT645" s="302">
        <f t="shared" si="605"/>
        <v>-26.171756391999992</v>
      </c>
      <c r="HU645" s="537">
        <f t="shared" si="605"/>
        <v>23.151851005000012</v>
      </c>
      <c r="HV645" s="302">
        <f t="shared" si="605"/>
        <v>14.820665974999997</v>
      </c>
      <c r="HW645" s="302">
        <f t="shared" si="605"/>
        <v>-42.43869152900001</v>
      </c>
      <c r="HX645" s="545">
        <f t="shared" ref="HX645:IJ645" si="606">HX$576</f>
        <v>-27.618025554000013</v>
      </c>
      <c r="HY645" s="302">
        <f t="shared" si="606"/>
        <v>-12.182844620999987</v>
      </c>
      <c r="IA645" s="545">
        <f t="shared" si="606"/>
        <v>39.965229826000012</v>
      </c>
      <c r="ID645" s="544">
        <f t="shared" si="606"/>
        <v>-25.061232288000014</v>
      </c>
      <c r="IG645" s="544">
        <f t="shared" si="606"/>
        <v>55.122620192000042</v>
      </c>
      <c r="IH645" s="350"/>
      <c r="II645" s="350"/>
      <c r="IJ645" s="544">
        <f t="shared" si="606"/>
        <v>-55.1</v>
      </c>
      <c r="IK645" s="350"/>
      <c r="IL645" s="350"/>
      <c r="IM645" s="544">
        <f>IM$576</f>
        <v>-35.228921278959099</v>
      </c>
      <c r="IN645" s="350"/>
      <c r="IO645" s="350" t="e">
        <f>IO$576</f>
        <v>#REF!</v>
      </c>
      <c r="IP645" s="544" t="e">
        <f>#REF!</f>
        <v>#REF!</v>
      </c>
      <c r="IQ645" s="350">
        <f>IS$576</f>
        <v>-40</v>
      </c>
      <c r="IR645" s="350">
        <f>IR$576</f>
        <v>-20</v>
      </c>
      <c r="IS645" s="544"/>
      <c r="IT645" s="350"/>
      <c r="IU645" s="350"/>
      <c r="IV645" s="544"/>
      <c r="IW645" s="350"/>
      <c r="IX645" s="350"/>
      <c r="IY645" s="544"/>
      <c r="KM645" s="302">
        <f>KM$576</f>
        <v>0</v>
      </c>
      <c r="KN645" s="302">
        <f>KN$576</f>
        <v>0</v>
      </c>
      <c r="KO645" s="302">
        <f>KO$576</f>
        <v>0</v>
      </c>
      <c r="KP645" s="302">
        <f>KP$576</f>
        <v>0</v>
      </c>
    </row>
    <row r="646" spans="1:302">
      <c r="A646" s="302"/>
      <c r="D646" s="542"/>
      <c r="E646" s="537"/>
      <c r="F646" s="537"/>
      <c r="G646" s="537"/>
      <c r="H646" s="537"/>
      <c r="I646" s="537"/>
      <c r="J646" s="537"/>
      <c r="K646" s="537"/>
      <c r="L646" s="537"/>
      <c r="M646" s="537"/>
      <c r="N646" s="537"/>
      <c r="O646" s="537"/>
      <c r="P646" s="537"/>
      <c r="Q646" s="537"/>
      <c r="R646" s="537"/>
      <c r="S646" s="537"/>
      <c r="T646" s="537"/>
      <c r="U646" s="537"/>
      <c r="V646" s="537"/>
      <c r="W646" s="537"/>
      <c r="X646" s="537"/>
      <c r="Y646" s="537"/>
      <c r="Z646" s="537"/>
      <c r="AA646" s="537"/>
      <c r="AB646" s="537"/>
      <c r="AC646" s="537"/>
      <c r="AD646" s="537"/>
      <c r="AE646" s="537"/>
      <c r="AF646" s="537"/>
      <c r="AG646" s="537"/>
      <c r="AH646" s="537"/>
      <c r="AI646" s="537"/>
      <c r="AJ646" s="537"/>
      <c r="AK646" s="537"/>
      <c r="AL646" s="537"/>
      <c r="AM646" s="537"/>
      <c r="AN646" s="537"/>
      <c r="AO646" s="537"/>
      <c r="AP646" s="537"/>
      <c r="AQ646" s="537"/>
      <c r="AR646" s="537"/>
      <c r="AS646" s="537"/>
      <c r="AT646" s="537"/>
      <c r="AU646" s="537"/>
      <c r="AV646" s="537"/>
      <c r="AW646" s="537"/>
      <c r="AX646" s="537"/>
      <c r="AY646" s="537"/>
      <c r="AZ646" s="537"/>
      <c r="BA646" s="537"/>
      <c r="BB646" s="537"/>
      <c r="BC646" s="537"/>
      <c r="BD646" s="537"/>
      <c r="BE646" s="537"/>
      <c r="BF646" s="537"/>
      <c r="BG646" s="537"/>
      <c r="BH646" s="537"/>
      <c r="BI646" s="537"/>
      <c r="BJ646" s="537"/>
      <c r="BK646" s="537"/>
      <c r="BL646" s="537"/>
      <c r="BM646" s="537"/>
      <c r="BN646" s="537"/>
      <c r="BO646" s="537"/>
      <c r="BP646" s="537"/>
      <c r="BQ646" s="537"/>
      <c r="BR646" s="537"/>
      <c r="BS646" s="537"/>
      <c r="BT646" s="537"/>
      <c r="BU646" s="537"/>
      <c r="BV646" s="537"/>
      <c r="BW646" s="537"/>
      <c r="BX646" s="537"/>
      <c r="BY646" s="537"/>
      <c r="BZ646" s="537"/>
      <c r="CA646" s="537"/>
      <c r="CB646" s="537"/>
      <c r="CC646" s="537"/>
      <c r="CD646" s="539"/>
      <c r="CE646" s="537"/>
      <c r="CF646" s="537"/>
      <c r="CG646" s="537"/>
      <c r="CH646" s="537"/>
      <c r="CI646" s="537"/>
      <c r="CJ646" s="537"/>
      <c r="CK646" s="537"/>
      <c r="CL646" s="537"/>
      <c r="CM646" s="537"/>
      <c r="CN646" s="537"/>
      <c r="CO646" s="537"/>
      <c r="CP646" s="540"/>
      <c r="CQ646" s="537"/>
      <c r="CR646" s="537"/>
      <c r="CS646" s="537"/>
      <c r="CT646" s="537"/>
      <c r="CU646" s="537"/>
      <c r="CV646" s="537"/>
      <c r="CW646" s="537"/>
      <c r="CX646" s="537"/>
      <c r="CY646" s="537"/>
      <c r="CZ646" s="537"/>
      <c r="DA646" s="537"/>
      <c r="DB646" s="1516"/>
      <c r="DC646" s="537"/>
      <c r="DD646" s="537"/>
      <c r="DE646" s="537"/>
      <c r="DF646" s="537"/>
      <c r="DG646" s="537"/>
      <c r="DH646" s="537"/>
      <c r="DI646" s="537"/>
      <c r="DJ646" s="537"/>
      <c r="DK646" s="537"/>
      <c r="DL646" s="537"/>
      <c r="DM646" s="537"/>
      <c r="DN646" s="540"/>
      <c r="DO646" s="537"/>
      <c r="DP646" s="537"/>
      <c r="DQ646" s="537"/>
      <c r="DR646" s="537"/>
      <c r="DS646" s="537"/>
      <c r="DT646" s="537"/>
      <c r="DU646" s="537"/>
      <c r="DV646" s="537"/>
      <c r="DW646" s="537"/>
      <c r="DX646" s="537"/>
      <c r="DY646" s="537"/>
      <c r="DZ646" s="540"/>
      <c r="EA646" s="537"/>
      <c r="EB646" s="537"/>
      <c r="EC646" s="537"/>
      <c r="ED646" s="537"/>
      <c r="EE646" s="537"/>
      <c r="EF646" s="537"/>
      <c r="EG646" s="537"/>
      <c r="EH646" s="537"/>
      <c r="EI646" s="537"/>
      <c r="EJ646" s="537"/>
      <c r="EK646" s="537"/>
      <c r="EL646" s="540"/>
      <c r="EM646" s="537"/>
      <c r="EN646" s="537"/>
      <c r="EO646" s="537"/>
      <c r="EP646" s="537"/>
      <c r="EQ646" s="537"/>
      <c r="ER646" s="537"/>
      <c r="ES646" s="537"/>
      <c r="ET646" s="537"/>
      <c r="EU646" s="537"/>
      <c r="EV646" s="537"/>
      <c r="EW646" s="537"/>
      <c r="EX646" s="540"/>
      <c r="EY646" s="537"/>
      <c r="EZ646" s="537"/>
      <c r="FA646" s="537"/>
      <c r="FB646" s="537"/>
      <c r="FC646" s="537"/>
      <c r="FD646" s="537"/>
      <c r="FE646" s="537"/>
      <c r="FF646" s="537"/>
      <c r="FG646" s="537"/>
      <c r="FH646" s="537"/>
      <c r="FI646" s="537"/>
      <c r="FJ646" s="540"/>
      <c r="FK646" s="537"/>
      <c r="FL646" s="537"/>
      <c r="FM646" s="537"/>
      <c r="FN646" s="537"/>
      <c r="FO646" s="537"/>
      <c r="FP646" s="537"/>
      <c r="FQ646" s="537"/>
      <c r="FR646" s="537"/>
      <c r="FS646" s="537"/>
      <c r="FT646" s="537"/>
      <c r="FU646" s="537"/>
      <c r="FV646" s="537"/>
      <c r="FW646" s="537"/>
      <c r="FX646" s="537"/>
      <c r="FY646" s="537"/>
      <c r="FZ646" s="537"/>
      <c r="GA646" s="537"/>
      <c r="GB646" s="537"/>
      <c r="GC646" s="537"/>
      <c r="GD646" s="537"/>
      <c r="GE646" s="537"/>
      <c r="GF646" s="537"/>
      <c r="GG646" s="537"/>
      <c r="GH646" s="537"/>
      <c r="GI646" s="537"/>
      <c r="GJ646" s="537"/>
      <c r="GK646" s="537"/>
      <c r="GL646" s="537"/>
      <c r="GM646" s="537"/>
      <c r="GN646" s="537"/>
      <c r="GO646" s="537"/>
      <c r="GP646" s="537"/>
      <c r="GQ646" s="537"/>
      <c r="GR646" s="537"/>
      <c r="GS646" s="537"/>
      <c r="GT646" s="537"/>
      <c r="GU646" s="537"/>
      <c r="GV646" s="537"/>
      <c r="GW646" s="537"/>
      <c r="GX646" s="537"/>
      <c r="GY646" s="537"/>
      <c r="GZ646" s="537"/>
      <c r="HA646" s="537"/>
      <c r="HB646" s="537"/>
      <c r="HC646" s="537"/>
      <c r="HD646" s="537"/>
      <c r="HE646" s="537"/>
      <c r="HF646" s="537"/>
      <c r="HG646" s="537"/>
      <c r="HH646" s="537"/>
      <c r="HI646" s="537"/>
      <c r="HJ646" s="537"/>
      <c r="HK646" s="537"/>
      <c r="HL646" s="537"/>
      <c r="HM646" s="537"/>
      <c r="HO646" s="537"/>
      <c r="HP646" s="537"/>
      <c r="HQ646" s="537"/>
      <c r="HR646" s="537"/>
      <c r="HU646" s="537"/>
      <c r="HX646" s="545"/>
      <c r="IA646" s="545"/>
      <c r="ID646" s="544"/>
      <c r="IG646" s="544"/>
      <c r="IH646" s="350"/>
      <c r="II646" s="350"/>
      <c r="IJ646" s="544"/>
      <c r="IK646" s="350"/>
      <c r="IL646" s="350"/>
      <c r="IM646" s="544"/>
      <c r="IN646" s="350"/>
      <c r="IO646" s="350"/>
      <c r="IP646" s="544"/>
      <c r="IQ646" s="350"/>
      <c r="IR646" s="350"/>
      <c r="IS646" s="544"/>
      <c r="IT646" s="350"/>
      <c r="IU646" s="350"/>
      <c r="IV646" s="544"/>
      <c r="IW646" s="350"/>
      <c r="IX646" s="350"/>
      <c r="IY646" s="544"/>
    </row>
    <row r="647" spans="1:302">
      <c r="A647" s="302"/>
      <c r="B647" s="117" t="s">
        <v>361</v>
      </c>
      <c r="D647" s="538" t="str">
        <f>D$578</f>
        <v>Overall Deficit (cash basis)</v>
      </c>
      <c r="E647" s="537"/>
      <c r="F647" s="537"/>
      <c r="G647" s="537"/>
      <c r="H647" s="537"/>
      <c r="I647" s="537"/>
      <c r="J647" s="537"/>
      <c r="K647" s="537"/>
      <c r="L647" s="537"/>
      <c r="M647" s="537"/>
      <c r="N647" s="537"/>
      <c r="O647" s="537"/>
      <c r="P647" s="537"/>
      <c r="Q647" s="537"/>
      <c r="R647" s="537"/>
      <c r="S647" s="537"/>
      <c r="T647" s="537"/>
      <c r="U647" s="537"/>
      <c r="V647" s="537"/>
      <c r="W647" s="537"/>
      <c r="X647" s="537"/>
      <c r="Y647" s="537"/>
      <c r="Z647" s="537"/>
      <c r="AA647" s="537"/>
      <c r="AB647" s="537"/>
      <c r="AC647" s="537"/>
      <c r="AD647" s="537"/>
      <c r="AE647" s="537"/>
      <c r="AF647" s="537"/>
      <c r="AG647" s="537"/>
      <c r="AH647" s="537"/>
      <c r="AI647" s="537"/>
      <c r="AJ647" s="537"/>
      <c r="AK647" s="537"/>
      <c r="AL647" s="537"/>
      <c r="AM647" s="537"/>
      <c r="AN647" s="537"/>
      <c r="AO647" s="537"/>
      <c r="AP647" s="537"/>
      <c r="AQ647" s="537"/>
      <c r="AR647" s="537"/>
      <c r="AS647" s="537"/>
      <c r="AT647" s="537"/>
      <c r="AU647" s="537"/>
      <c r="AV647" s="537"/>
      <c r="AW647" s="537"/>
      <c r="AX647" s="537"/>
      <c r="AY647" s="537"/>
      <c r="AZ647" s="537"/>
      <c r="BA647" s="537"/>
      <c r="BB647" s="537"/>
      <c r="BC647" s="537"/>
      <c r="BD647" s="537"/>
      <c r="BE647" s="537"/>
      <c r="BF647" s="537"/>
      <c r="BG647" s="537"/>
      <c r="BH647" s="537"/>
      <c r="BI647" s="537"/>
      <c r="BJ647" s="537"/>
      <c r="BK647" s="537"/>
      <c r="BL647" s="537"/>
      <c r="BM647" s="537"/>
      <c r="BN647" s="537"/>
      <c r="BO647" s="537"/>
      <c r="BP647" s="537"/>
      <c r="BQ647" s="537"/>
      <c r="BR647" s="537"/>
      <c r="BS647" s="537"/>
      <c r="BT647" s="537"/>
      <c r="BU647" s="537"/>
      <c r="BV647" s="537"/>
      <c r="BW647" s="537"/>
      <c r="BX647" s="537"/>
      <c r="BY647" s="537"/>
      <c r="BZ647" s="537"/>
      <c r="CA647" s="537"/>
      <c r="CB647" s="537"/>
      <c r="CC647" s="537"/>
      <c r="CD647" s="539"/>
      <c r="CE647" s="537"/>
      <c r="CF647" s="537"/>
      <c r="CG647" s="537"/>
      <c r="CH647" s="537"/>
      <c r="CI647" s="537"/>
      <c r="CJ647" s="537"/>
      <c r="CK647" s="537"/>
      <c r="CL647" s="537"/>
      <c r="CM647" s="537"/>
      <c r="CN647" s="537"/>
      <c r="CO647" s="537"/>
      <c r="CP647" s="540"/>
      <c r="CQ647" s="537"/>
      <c r="CR647" s="537"/>
      <c r="CS647" s="537"/>
      <c r="CT647" s="537"/>
      <c r="CU647" s="537"/>
      <c r="CV647" s="537"/>
      <c r="CW647" s="537"/>
      <c r="CX647" s="537"/>
      <c r="CY647" s="537"/>
      <c r="CZ647" s="537"/>
      <c r="DA647" s="537"/>
      <c r="DB647" s="1516"/>
      <c r="DC647" s="537"/>
      <c r="DD647" s="537"/>
      <c r="DE647" s="537"/>
      <c r="DF647" s="537"/>
      <c r="DG647" s="537"/>
      <c r="DH647" s="537"/>
      <c r="DI647" s="537"/>
      <c r="DJ647" s="537"/>
      <c r="DK647" s="537"/>
      <c r="DL647" s="537"/>
      <c r="DM647" s="537"/>
      <c r="DN647" s="540"/>
      <c r="DO647" s="537"/>
      <c r="DP647" s="537"/>
      <c r="DQ647" s="537"/>
      <c r="DR647" s="537"/>
      <c r="DS647" s="537"/>
      <c r="DT647" s="537"/>
      <c r="DU647" s="537"/>
      <c r="DV647" s="537"/>
      <c r="DW647" s="537"/>
      <c r="DX647" s="537"/>
      <c r="DY647" s="537"/>
      <c r="DZ647" s="540"/>
      <c r="EA647" s="537"/>
      <c r="EB647" s="537"/>
      <c r="EC647" s="537"/>
      <c r="ED647" s="537"/>
      <c r="EE647" s="537"/>
      <c r="EF647" s="537"/>
      <c r="EG647" s="537"/>
      <c r="EH647" s="537"/>
      <c r="EI647" s="537"/>
      <c r="EJ647" s="537"/>
      <c r="EK647" s="537"/>
      <c r="EL647" s="540"/>
      <c r="EM647" s="537"/>
      <c r="EN647" s="537"/>
      <c r="EO647" s="537"/>
      <c r="EP647" s="537"/>
      <c r="EQ647" s="537"/>
      <c r="ER647" s="537"/>
      <c r="ES647" s="537"/>
      <c r="ET647" s="537"/>
      <c r="EU647" s="537"/>
      <c r="EV647" s="537"/>
      <c r="EW647" s="537"/>
      <c r="EX647" s="540"/>
      <c r="EY647" s="537"/>
      <c r="EZ647" s="537"/>
      <c r="FA647" s="537"/>
      <c r="FB647" s="537"/>
      <c r="FC647" s="537"/>
      <c r="FD647" s="537"/>
      <c r="FE647" s="537"/>
      <c r="FF647" s="537"/>
      <c r="FG647" s="537"/>
      <c r="FH647" s="537"/>
      <c r="FI647" s="537"/>
      <c r="FJ647" s="540"/>
      <c r="FK647" s="537"/>
      <c r="FL647" s="537"/>
      <c r="FM647" s="537"/>
      <c r="FN647" s="537"/>
      <c r="FO647" s="537"/>
      <c r="FP647" s="537"/>
      <c r="FQ647" s="537"/>
      <c r="FR647" s="537"/>
      <c r="FS647" s="537"/>
      <c r="FT647" s="537"/>
      <c r="FU647" s="537"/>
      <c r="FV647" s="537"/>
      <c r="FW647" s="537"/>
      <c r="FX647" s="537"/>
      <c r="FY647" s="537"/>
      <c r="FZ647" s="537"/>
      <c r="GA647" s="537"/>
      <c r="GB647" s="537"/>
      <c r="GC647" s="537"/>
      <c r="GD647" s="537"/>
      <c r="GE647" s="537"/>
      <c r="GF647" s="537"/>
      <c r="GG647" s="537"/>
      <c r="GH647" s="537"/>
      <c r="GI647" s="537"/>
      <c r="GJ647" s="537"/>
      <c r="GK647" s="537"/>
      <c r="GL647" s="537"/>
      <c r="GM647" s="537"/>
      <c r="GN647" s="537"/>
      <c r="GO647" s="537"/>
      <c r="GP647" s="537"/>
      <c r="GQ647" s="537"/>
      <c r="GR647" s="537"/>
      <c r="GS647" s="537"/>
      <c r="GT647" s="537"/>
      <c r="GU647" s="537"/>
      <c r="GV647" s="537"/>
      <c r="GW647" s="537"/>
      <c r="GX647" s="537"/>
      <c r="GY647" s="537"/>
      <c r="GZ647" s="537"/>
      <c r="HA647" s="537"/>
      <c r="HB647" s="537"/>
      <c r="HC647" s="537"/>
      <c r="HD647" s="537"/>
      <c r="HE647" s="537"/>
      <c r="HF647" s="537"/>
      <c r="HG647" s="537"/>
      <c r="HH647" s="537"/>
      <c r="HI647" s="537"/>
      <c r="HJ647" s="537"/>
      <c r="HK647" s="537"/>
      <c r="HL647" s="537"/>
      <c r="HM647" s="537"/>
      <c r="HO647" s="537"/>
      <c r="HP647" s="537"/>
      <c r="HQ647" s="537"/>
      <c r="HR647" s="537"/>
      <c r="HU647" s="537"/>
      <c r="HX647" s="545"/>
      <c r="IA647" s="545"/>
      <c r="ID647" s="544"/>
      <c r="IG647" s="544"/>
      <c r="IH647" s="350"/>
      <c r="II647" s="350"/>
      <c r="IJ647" s="544"/>
      <c r="IK647" s="350"/>
      <c r="IL647" s="350"/>
      <c r="IM647" s="544"/>
      <c r="IN647" s="350"/>
      <c r="IO647" s="350"/>
      <c r="IP647" s="544"/>
      <c r="IQ647" s="350"/>
      <c r="IR647" s="350"/>
      <c r="IS647" s="544"/>
      <c r="IT647" s="350"/>
      <c r="IU647" s="350"/>
      <c r="IV647" s="544"/>
      <c r="IW647" s="350"/>
      <c r="IX647" s="350"/>
      <c r="IY647" s="544"/>
    </row>
    <row r="648" spans="1:302">
      <c r="A648" s="302"/>
      <c r="B648" s="117" t="s">
        <v>361</v>
      </c>
      <c r="D648" s="542" t="str">
        <f>D$579</f>
        <v>Including grants</v>
      </c>
      <c r="E648" s="537">
        <f>E$579</f>
        <v>-2.8905248749041235</v>
      </c>
      <c r="F648" s="537">
        <f t="shared" ref="F648:L648" si="607">F$579</f>
        <v>-9.2662870787199978</v>
      </c>
      <c r="G648" s="537">
        <f t="shared" si="607"/>
        <v>-21.914282177032497</v>
      </c>
      <c r="H648" s="537">
        <f t="shared" si="607"/>
        <v>-5.9711837731282724</v>
      </c>
      <c r="I648" s="537">
        <f t="shared" si="607"/>
        <v>18.141896618102002</v>
      </c>
      <c r="J648" s="537">
        <f t="shared" si="607"/>
        <v>44.969706188274117</v>
      </c>
      <c r="K648" s="537">
        <f t="shared" si="607"/>
        <v>-14.536695140326309</v>
      </c>
      <c r="L648" s="537">
        <f t="shared" si="607"/>
        <v>-4.9226736018496027</v>
      </c>
      <c r="M648" s="537">
        <f t="shared" ref="M648:AW648" si="608">M$579</f>
        <v>-25.195262831884001</v>
      </c>
      <c r="N648" s="537">
        <f t="shared" si="608"/>
        <v>-11.605301761740007</v>
      </c>
      <c r="O648" s="537">
        <f t="shared" si="608"/>
        <v>-5.5630141200999947</v>
      </c>
      <c r="P648" s="537">
        <f t="shared" si="608"/>
        <v>-0.30726643007999854</v>
      </c>
      <c r="Q648" s="537">
        <f t="shared" si="608"/>
        <v>4.4744952606083945</v>
      </c>
      <c r="R648" s="537">
        <f t="shared" si="608"/>
        <v>-14.044022172342702</v>
      </c>
      <c r="S648" s="537">
        <f t="shared" si="608"/>
        <v>28.116088515274988</v>
      </c>
      <c r="T648" s="537">
        <f t="shared" si="608"/>
        <v>-25.834328408264</v>
      </c>
      <c r="U648" s="537">
        <f t="shared" si="608"/>
        <v>17.091404588344506</v>
      </c>
      <c r="V648" s="537">
        <f t="shared" si="608"/>
        <v>34.327745121608004</v>
      </c>
      <c r="W648" s="537">
        <f t="shared" si="608"/>
        <v>-18.315702368349999</v>
      </c>
      <c r="X648" s="537">
        <f t="shared" si="608"/>
        <v>-6.6605162444080044</v>
      </c>
      <c r="Y648" s="537">
        <f t="shared" si="608"/>
        <v>-13.222714064604808</v>
      </c>
      <c r="Z648" s="537">
        <f t="shared" si="608"/>
        <v>-16.339980834573389</v>
      </c>
      <c r="AA648" s="537">
        <f t="shared" si="608"/>
        <v>-25.516383422789403</v>
      </c>
      <c r="AB648" s="537">
        <f t="shared" si="608"/>
        <v>38.912006468292994</v>
      </c>
      <c r="AC648" s="537">
        <f t="shared" si="608"/>
        <v>-20.823433762000001</v>
      </c>
      <c r="AD648" s="537">
        <f t="shared" si="608"/>
        <v>0.17788372700000232</v>
      </c>
      <c r="AE648" s="537">
        <f t="shared" si="608"/>
        <v>-35.522833658000003</v>
      </c>
      <c r="AF648" s="537">
        <f t="shared" si="608"/>
        <v>16.471097364999999</v>
      </c>
      <c r="AG648" s="537">
        <f t="shared" si="608"/>
        <v>-11.312669280999996</v>
      </c>
      <c r="AH648" s="537">
        <f t="shared" si="608"/>
        <v>33.495558960999972</v>
      </c>
      <c r="AI648" s="537">
        <f t="shared" si="608"/>
        <v>9.6035356999999948</v>
      </c>
      <c r="AJ648" s="537">
        <f t="shared" si="608"/>
        <v>-25.479925335999994</v>
      </c>
      <c r="AK648" s="537">
        <f t="shared" si="608"/>
        <v>8.2951844279999829</v>
      </c>
      <c r="AL648" s="537">
        <f t="shared" si="608"/>
        <v>18.325264832999999</v>
      </c>
      <c r="AM648" s="537">
        <f t="shared" si="608"/>
        <v>-25.604472352000009</v>
      </c>
      <c r="AN648" s="537">
        <f t="shared" si="608"/>
        <v>-6.2050373570000144</v>
      </c>
      <c r="AO648" s="537">
        <f t="shared" si="608"/>
        <v>6.7539305167400059</v>
      </c>
      <c r="AP648" s="537">
        <f t="shared" si="608"/>
        <v>-9.6767797020600099</v>
      </c>
      <c r="AQ648" s="537">
        <f t="shared" si="608"/>
        <v>-9.4503527713272408</v>
      </c>
      <c r="AR648" s="537">
        <f t="shared" si="608"/>
        <v>-16.097627978120006</v>
      </c>
      <c r="AS648" s="537">
        <f t="shared" si="608"/>
        <v>-7.561540453347984</v>
      </c>
      <c r="AT648" s="537">
        <f t="shared" si="608"/>
        <v>36.035087890934399</v>
      </c>
      <c r="AU648" s="537">
        <f t="shared" si="608"/>
        <v>-8.3802143252400008</v>
      </c>
      <c r="AV648" s="537">
        <f t="shared" si="608"/>
        <v>-35.297755937880012</v>
      </c>
      <c r="AW648" s="537">
        <f t="shared" si="608"/>
        <v>34.137960797449999</v>
      </c>
      <c r="AX648" s="537">
        <f t="shared" ref="AX648:BP648" si="609">AX$579</f>
        <v>-30.747768710079988</v>
      </c>
      <c r="AY648" s="537">
        <f t="shared" si="609"/>
        <v>-6.6192430229007897</v>
      </c>
      <c r="AZ648" s="537">
        <f t="shared" si="609"/>
        <v>29.749638675632497</v>
      </c>
      <c r="BA648" s="537">
        <f t="shared" si="609"/>
        <v>3.5105459550000084</v>
      </c>
      <c r="BB648" s="537">
        <f t="shared" si="609"/>
        <v>-7.8065772179999984</v>
      </c>
      <c r="BC648" s="537">
        <f t="shared" si="609"/>
        <v>-56.295423991000014</v>
      </c>
      <c r="BD648" s="537">
        <f t="shared" si="609"/>
        <v>36.055197685759985</v>
      </c>
      <c r="BE648" s="537">
        <f t="shared" si="609"/>
        <v>-50.927509479769995</v>
      </c>
      <c r="BF648" s="537">
        <f t="shared" si="609"/>
        <v>-39.478551934000009</v>
      </c>
      <c r="BG648" s="537">
        <f t="shared" si="609"/>
        <v>24.85355121680001</v>
      </c>
      <c r="BH648" s="537">
        <f t="shared" si="609"/>
        <v>36.915925751200014</v>
      </c>
      <c r="BI648" s="537">
        <f t="shared" si="609"/>
        <v>13.178281442900019</v>
      </c>
      <c r="BJ648" s="537">
        <f t="shared" si="609"/>
        <v>57.343406230180008</v>
      </c>
      <c r="BK648" s="537">
        <f t="shared" si="609"/>
        <v>-33.614613657000021</v>
      </c>
      <c r="BL648" s="537">
        <f t="shared" si="609"/>
        <v>0.32978904600001613</v>
      </c>
      <c r="BM648" s="537">
        <f t="shared" si="609"/>
        <v>-16.630474219890015</v>
      </c>
      <c r="BN648" s="537">
        <f t="shared" si="609"/>
        <v>-16.463532138479998</v>
      </c>
      <c r="BO648" s="537">
        <f t="shared" si="609"/>
        <v>-51.102759898999992</v>
      </c>
      <c r="BP648" s="537">
        <f t="shared" si="609"/>
        <v>-30.405109080000031</v>
      </c>
      <c r="BQ648" s="537">
        <f t="shared" ref="BQ648:DT648" si="610">BQ$579</f>
        <v>-38.520418634850003</v>
      </c>
      <c r="BR648" s="537">
        <f t="shared" si="610"/>
        <v>-12.559368134954248</v>
      </c>
      <c r="BS648" s="537">
        <f t="shared" si="610"/>
        <v>53.010399451901648</v>
      </c>
      <c r="BT648" s="537">
        <f t="shared" si="610"/>
        <v>-6.3093905400688817</v>
      </c>
      <c r="BU648" s="537">
        <f t="shared" si="610"/>
        <v>-73.060097323727888</v>
      </c>
      <c r="BV648" s="537">
        <f t="shared" si="610"/>
        <v>-5.9118956241095049</v>
      </c>
      <c r="BW648" s="537">
        <f t="shared" si="610"/>
        <v>18.135569673433722</v>
      </c>
      <c r="BX648" s="537">
        <f t="shared" si="610"/>
        <v>60.787193092690352</v>
      </c>
      <c r="BY648" s="537">
        <f t="shared" si="610"/>
        <v>-27.04576118312729</v>
      </c>
      <c r="BZ648" s="537">
        <f t="shared" si="610"/>
        <v>-23.568025528720547</v>
      </c>
      <c r="CA648" s="537">
        <f t="shared" si="610"/>
        <v>50.831770706868106</v>
      </c>
      <c r="CB648" s="537">
        <f t="shared" si="610"/>
        <v>-35.736301905905833</v>
      </c>
      <c r="CC648" s="537">
        <f t="shared" si="610"/>
        <v>-96.394358296720782</v>
      </c>
      <c r="CD648" s="539">
        <f t="shared" si="610"/>
        <v>65.857510147153519</v>
      </c>
      <c r="CE648" s="537">
        <f t="shared" si="610"/>
        <v>42.611157192623651</v>
      </c>
      <c r="CF648" s="537">
        <f t="shared" si="610"/>
        <v>-18.66661570358573</v>
      </c>
      <c r="CG648" s="537">
        <f t="shared" si="610"/>
        <v>38.008934492160407</v>
      </c>
      <c r="CH648" s="537">
        <f t="shared" si="610"/>
        <v>-38.514668769760675</v>
      </c>
      <c r="CI648" s="537">
        <f t="shared" si="610"/>
        <v>-21.779386044511419</v>
      </c>
      <c r="CJ648" s="537">
        <f t="shared" si="610"/>
        <v>16.406120613149277</v>
      </c>
      <c r="CK648" s="537">
        <f t="shared" si="610"/>
        <v>-35.801225611789647</v>
      </c>
      <c r="CL648" s="537">
        <f t="shared" si="610"/>
        <v>-17.750653984684622</v>
      </c>
      <c r="CM648" s="537">
        <f t="shared" si="610"/>
        <v>-13.620505742886285</v>
      </c>
      <c r="CN648" s="537">
        <f t="shared" si="610"/>
        <v>-52.582086441552221</v>
      </c>
      <c r="CO648" s="537">
        <f t="shared" si="610"/>
        <v>-45.046977973218411</v>
      </c>
      <c r="CP648" s="540">
        <f t="shared" si="610"/>
        <v>-58.019672529565668</v>
      </c>
      <c r="CQ648" s="537">
        <f t="shared" si="610"/>
        <v>12.078248993792499</v>
      </c>
      <c r="CR648" s="537">
        <f t="shared" si="610"/>
        <v>-28.618039173970608</v>
      </c>
      <c r="CS648" s="537">
        <f t="shared" si="610"/>
        <v>-44.63098184298962</v>
      </c>
      <c r="CT648" s="537">
        <f t="shared" si="610"/>
        <v>-30.280187894794203</v>
      </c>
      <c r="CU648" s="537">
        <f t="shared" si="610"/>
        <v>-11.355559313928776</v>
      </c>
      <c r="CV648" s="537">
        <f t="shared" si="610"/>
        <v>51.408724548031103</v>
      </c>
      <c r="CW648" s="537">
        <f t="shared" si="610"/>
        <v>-29.227554667949136</v>
      </c>
      <c r="CX648" s="537">
        <f t="shared" si="610"/>
        <v>-8.7536303844279644</v>
      </c>
      <c r="CY648" s="537">
        <f t="shared" si="610"/>
        <v>-4.095537144165033</v>
      </c>
      <c r="CZ648" s="537">
        <f t="shared" si="610"/>
        <v>-69.175764483451331</v>
      </c>
      <c r="DA648" s="537">
        <f t="shared" si="610"/>
        <v>-33.706261608939926</v>
      </c>
      <c r="DB648" s="1516">
        <f t="shared" si="610"/>
        <v>-49.297017469276611</v>
      </c>
      <c r="DC648" s="537">
        <f t="shared" si="610"/>
        <v>21.01034314000308</v>
      </c>
      <c r="DD648" s="537">
        <f t="shared" si="610"/>
        <v>-39.638327966640006</v>
      </c>
      <c r="DE648" s="537">
        <f t="shared" si="610"/>
        <v>-13.602407189849274</v>
      </c>
      <c r="DF648" s="537">
        <f t="shared" si="610"/>
        <v>-50.095220644972244</v>
      </c>
      <c r="DG648" s="537">
        <f t="shared" si="610"/>
        <v>6.3964191106506316</v>
      </c>
      <c r="DH648" s="537">
        <f t="shared" si="610"/>
        <v>-12.04625458563622</v>
      </c>
      <c r="DI648" s="537">
        <f t="shared" si="610"/>
        <v>-69.671095995240876</v>
      </c>
      <c r="DJ648" s="537">
        <f t="shared" si="610"/>
        <v>-40.569365759944219</v>
      </c>
      <c r="DK648" s="537">
        <f t="shared" si="610"/>
        <v>33.199133645478966</v>
      </c>
      <c r="DL648" s="537">
        <f t="shared" si="610"/>
        <v>-36.48511287037401</v>
      </c>
      <c r="DM648" s="537">
        <f t="shared" si="610"/>
        <v>-25.71798471314797</v>
      </c>
      <c r="DN648" s="540">
        <f t="shared" si="610"/>
        <v>-13.380426570420113</v>
      </c>
      <c r="DO648" s="537">
        <f t="shared" si="610"/>
        <v>-26.714974436605367</v>
      </c>
      <c r="DP648" s="537">
        <f t="shared" si="610"/>
        <v>4.7891601854767174</v>
      </c>
      <c r="DQ648" s="537">
        <f t="shared" si="610"/>
        <v>11.253842240763467</v>
      </c>
      <c r="DR648" s="537">
        <f t="shared" si="610"/>
        <v>-74.516529496566349</v>
      </c>
      <c r="DS648" s="537">
        <f t="shared" si="610"/>
        <v>-36.469750671445347</v>
      </c>
      <c r="DT648" s="537">
        <f t="shared" si="610"/>
        <v>-29.342945264652812</v>
      </c>
      <c r="DU648" s="537"/>
      <c r="DV648" s="537"/>
      <c r="DW648" s="537"/>
      <c r="DX648" s="537"/>
      <c r="DY648" s="537"/>
      <c r="DZ648" s="540"/>
      <c r="EA648" s="537"/>
      <c r="EB648" s="537"/>
      <c r="EC648" s="537"/>
      <c r="ED648" s="537"/>
      <c r="EE648" s="537"/>
      <c r="EF648" s="537"/>
      <c r="EG648" s="537"/>
      <c r="EH648" s="537"/>
      <c r="EI648" s="537"/>
      <c r="EJ648" s="537"/>
      <c r="EK648" s="537"/>
      <c r="EL648" s="540"/>
      <c r="EM648" s="537"/>
      <c r="EN648" s="537"/>
      <c r="EO648" s="537"/>
      <c r="EP648" s="537"/>
      <c r="EQ648" s="537"/>
      <c r="ER648" s="537"/>
      <c r="ES648" s="537"/>
      <c r="ET648" s="537"/>
      <c r="EU648" s="537"/>
      <c r="EV648" s="537"/>
      <c r="EW648" s="537"/>
      <c r="EX648" s="540"/>
      <c r="EY648" s="537"/>
      <c r="EZ648" s="537"/>
      <c r="FA648" s="537"/>
      <c r="FB648" s="537"/>
      <c r="FC648" s="537"/>
      <c r="FD648" s="537"/>
      <c r="FE648" s="537"/>
      <c r="FF648" s="537"/>
      <c r="FG648" s="537"/>
      <c r="FH648" s="537"/>
      <c r="FI648" s="537"/>
      <c r="FJ648" s="540"/>
      <c r="FK648" s="537"/>
      <c r="FL648" s="537"/>
      <c r="FM648" s="537"/>
      <c r="FN648" s="537"/>
      <c r="FO648" s="537"/>
      <c r="FP648" s="537"/>
      <c r="FQ648" s="537"/>
      <c r="FR648" s="537"/>
      <c r="FS648" s="537"/>
      <c r="FT648" s="537"/>
      <c r="FU648" s="537"/>
      <c r="FV648" s="537"/>
      <c r="FW648" s="537"/>
      <c r="FX648" s="537"/>
      <c r="FY648" s="537"/>
      <c r="FZ648" s="537"/>
      <c r="GA648" s="537"/>
      <c r="GB648" s="537"/>
      <c r="GC648" s="537"/>
      <c r="GD648" s="537"/>
      <c r="GE648" s="537"/>
      <c r="GF648" s="537"/>
      <c r="GG648" s="537"/>
      <c r="GH648" s="537"/>
      <c r="GI648" s="537"/>
      <c r="GJ648" s="537"/>
      <c r="GK648" s="537"/>
      <c r="GL648" s="537"/>
      <c r="GM648" s="537"/>
      <c r="GN648" s="537"/>
      <c r="GO648" s="537"/>
      <c r="GP648" s="537"/>
      <c r="GQ648" s="537"/>
      <c r="GR648" s="537"/>
      <c r="GS648" s="537"/>
      <c r="GT648" s="537"/>
      <c r="GU648" s="537"/>
      <c r="GV648" s="537"/>
      <c r="GW648" s="537"/>
      <c r="GX648" s="537"/>
      <c r="GY648" s="537"/>
      <c r="GZ648" s="537"/>
      <c r="HA648" s="537"/>
      <c r="HB648" s="537"/>
      <c r="HC648" s="537"/>
      <c r="HD648" s="537"/>
      <c r="HE648" s="537"/>
      <c r="HF648" s="537"/>
      <c r="HG648" s="537"/>
      <c r="HH648" s="537"/>
      <c r="HI648" s="537"/>
      <c r="HJ648" s="537"/>
      <c r="HK648" s="537"/>
      <c r="HL648" s="537"/>
      <c r="HM648" s="537"/>
      <c r="HO648" s="537"/>
      <c r="HP648" s="537"/>
      <c r="HQ648" s="537"/>
      <c r="HR648" s="537">
        <f t="shared" ref="HR648:HW648" si="611">HR$579</f>
        <v>-297.05950052759749</v>
      </c>
      <c r="HS648" s="302">
        <f t="shared" si="611"/>
        <v>-28.397794683859544</v>
      </c>
      <c r="HT648" s="302">
        <f t="shared" si="611"/>
        <v>-194.25576575821</v>
      </c>
      <c r="HU648" s="537">
        <f t="shared" si="611"/>
        <v>-222.65356044206965</v>
      </c>
      <c r="HV648" s="302">
        <f t="shared" si="611"/>
        <v>-87.975448136444015</v>
      </c>
      <c r="HW648" s="302">
        <f t="shared" si="611"/>
        <v>-152.62485226364831</v>
      </c>
      <c r="HX648" s="545">
        <f t="shared" ref="HX648:IJ648" si="612">HX$579</f>
        <v>-240.60030040009244</v>
      </c>
      <c r="HY648" s="302">
        <f t="shared" si="612"/>
        <v>-151.00119744302972</v>
      </c>
      <c r="IA648" s="545">
        <f t="shared" si="612"/>
        <v>-300.86359495196018</v>
      </c>
      <c r="ID648" s="544">
        <f t="shared" si="612"/>
        <v>-392.18858038500423</v>
      </c>
      <c r="IG648" s="544">
        <f t="shared" si="612"/>
        <v>-491.53860897175144</v>
      </c>
      <c r="IH648" s="350"/>
      <c r="II648" s="350"/>
      <c r="IJ648" s="544">
        <f t="shared" si="612"/>
        <v>-1226.1971334578216</v>
      </c>
      <c r="IK648" s="350"/>
      <c r="IL648" s="350"/>
      <c r="IM648" s="544">
        <f>IM$579</f>
        <v>-973.95802283803494</v>
      </c>
      <c r="IN648" s="350"/>
      <c r="IO648" s="350" t="e">
        <f>IO$579</f>
        <v>#REF!</v>
      </c>
      <c r="IP648" s="544" t="e">
        <f>#REF!</f>
        <v>#REF!</v>
      </c>
      <c r="IQ648" s="350">
        <f>IS$579</f>
        <v>7446.6331886678408</v>
      </c>
      <c r="IR648" s="350">
        <f>IR$579</f>
        <v>4138.3422636443465</v>
      </c>
      <c r="IS648" s="544"/>
      <c r="IT648" s="350"/>
      <c r="IU648" s="350"/>
      <c r="IV648" s="544"/>
      <c r="IW648" s="350"/>
      <c r="IX648" s="350"/>
      <c r="IY648" s="544"/>
      <c r="KM648" s="302">
        <f>KM$579</f>
        <v>0</v>
      </c>
      <c r="KN648" s="302">
        <f>KN$579</f>
        <v>0</v>
      </c>
      <c r="KO648" s="302">
        <f>KO$579</f>
        <v>0</v>
      </c>
      <c r="KP648" s="302">
        <f>KP$579</f>
        <v>0</v>
      </c>
    </row>
    <row r="649" spans="1:302">
      <c r="A649" s="302"/>
      <c r="B649" s="117" t="s">
        <v>361</v>
      </c>
      <c r="D649" s="542" t="str">
        <f>D$580</f>
        <v>Excluding grants</v>
      </c>
      <c r="E649" s="537">
        <f>E$580</f>
        <v>-3.9201461879041233</v>
      </c>
      <c r="F649" s="537">
        <f t="shared" ref="F649:L649" si="613">F$580</f>
        <v>-12.20823003372</v>
      </c>
      <c r="G649" s="537">
        <f t="shared" si="613"/>
        <v>-42.160862517032498</v>
      </c>
      <c r="H649" s="537">
        <f t="shared" si="613"/>
        <v>-9.9496318691282735</v>
      </c>
      <c r="I649" s="537">
        <f t="shared" si="613"/>
        <v>-12.474016727897999</v>
      </c>
      <c r="J649" s="537">
        <f t="shared" si="613"/>
        <v>-25.915844906725901</v>
      </c>
      <c r="K649" s="537">
        <f t="shared" si="613"/>
        <v>-15.653893882326308</v>
      </c>
      <c r="L649" s="537">
        <f t="shared" si="613"/>
        <v>-13.585219664849603</v>
      </c>
      <c r="M649" s="537">
        <f t="shared" ref="M649:AW649" si="614">M$580</f>
        <v>-46.348703375884007</v>
      </c>
      <c r="N649" s="537">
        <f t="shared" si="614"/>
        <v>-21.879327417740008</v>
      </c>
      <c r="O649" s="537">
        <f t="shared" si="614"/>
        <v>-7.598444459099996</v>
      </c>
      <c r="P649" s="537">
        <f t="shared" si="614"/>
        <v>-34.659294036079999</v>
      </c>
      <c r="Q649" s="537">
        <f t="shared" si="614"/>
        <v>-2.5968317033916062</v>
      </c>
      <c r="R649" s="537">
        <f t="shared" si="614"/>
        <v>-14.044022172342702</v>
      </c>
      <c r="S649" s="537">
        <f t="shared" si="614"/>
        <v>-33.466140940724998</v>
      </c>
      <c r="T649" s="537">
        <f t="shared" si="614"/>
        <v>-26.074646866264004</v>
      </c>
      <c r="U649" s="537">
        <f t="shared" si="614"/>
        <v>-19.559641302655496</v>
      </c>
      <c r="V649" s="537">
        <f t="shared" si="614"/>
        <v>-17.304424893392007</v>
      </c>
      <c r="W649" s="537">
        <f t="shared" si="614"/>
        <v>-20.128711646349995</v>
      </c>
      <c r="X649" s="537">
        <f t="shared" si="614"/>
        <v>-15.555138405408002</v>
      </c>
      <c r="Y649" s="537">
        <f t="shared" si="614"/>
        <v>-44.429843474604809</v>
      </c>
      <c r="Z649" s="537">
        <f t="shared" si="614"/>
        <v>-35.191353341573397</v>
      </c>
      <c r="AA649" s="537">
        <f t="shared" si="614"/>
        <v>-28.261334060789402</v>
      </c>
      <c r="AB649" s="537">
        <f t="shared" si="614"/>
        <v>-20.175199440706983</v>
      </c>
      <c r="AC649" s="537">
        <f t="shared" si="614"/>
        <v>-20.823433762000001</v>
      </c>
      <c r="AD649" s="537">
        <f t="shared" si="614"/>
        <v>-7.3681782730000007</v>
      </c>
      <c r="AE649" s="537">
        <f t="shared" si="614"/>
        <v>-66.598621201</v>
      </c>
      <c r="AF649" s="537">
        <f t="shared" si="614"/>
        <v>-34.661751740999989</v>
      </c>
      <c r="AG649" s="537">
        <f t="shared" si="614"/>
        <v>-13.235321835999995</v>
      </c>
      <c r="AH649" s="537">
        <f t="shared" si="614"/>
        <v>-18.297300487000022</v>
      </c>
      <c r="AI649" s="537">
        <f t="shared" si="614"/>
        <v>-3.7996995370000057</v>
      </c>
      <c r="AJ649" s="537">
        <f t="shared" si="614"/>
        <v>-29.051693312999994</v>
      </c>
      <c r="AK649" s="537">
        <f t="shared" si="614"/>
        <v>-67.762116653000007</v>
      </c>
      <c r="AL649" s="537">
        <f t="shared" si="614"/>
        <v>-34.870036422999995</v>
      </c>
      <c r="AM649" s="537">
        <f t="shared" si="614"/>
        <v>-33.180927526000005</v>
      </c>
      <c r="AN649" s="537">
        <f t="shared" si="614"/>
        <v>-56.327903753999998</v>
      </c>
      <c r="AO649" s="537">
        <f t="shared" si="614"/>
        <v>-14.895271070259987</v>
      </c>
      <c r="AP649" s="537">
        <f t="shared" si="614"/>
        <v>-9.6767797020600099</v>
      </c>
      <c r="AQ649" s="537">
        <f t="shared" si="614"/>
        <v>-44.77169705132723</v>
      </c>
      <c r="AR649" s="537">
        <f t="shared" si="614"/>
        <v>-28.679471540120009</v>
      </c>
      <c r="AS649" s="537">
        <f t="shared" si="614"/>
        <v>-16.618233150347987</v>
      </c>
      <c r="AT649" s="537">
        <f t="shared" si="614"/>
        <v>-88.530201634065605</v>
      </c>
      <c r="AU649" s="537">
        <f t="shared" si="614"/>
        <v>-14.539945807240002</v>
      </c>
      <c r="AV649" s="537">
        <f t="shared" si="614"/>
        <v>-40.075125937880017</v>
      </c>
      <c r="AW649" s="537">
        <f t="shared" si="614"/>
        <v>-58.784301202549983</v>
      </c>
      <c r="AX649" s="537">
        <f t="shared" ref="AX649:BP649" si="615">AX$580</f>
        <v>-57.14253991407999</v>
      </c>
      <c r="AY649" s="537">
        <f t="shared" si="615"/>
        <v>-13.600328913900789</v>
      </c>
      <c r="AZ649" s="537">
        <f t="shared" si="615"/>
        <v>-74.392674323367501</v>
      </c>
      <c r="BA649" s="537">
        <f t="shared" si="615"/>
        <v>2.9792224530000091</v>
      </c>
      <c r="BB649" s="537">
        <f t="shared" si="615"/>
        <v>-13.040839674999999</v>
      </c>
      <c r="BC649" s="537">
        <f t="shared" si="615"/>
        <v>-82.755526183000001</v>
      </c>
      <c r="BD649" s="537">
        <f t="shared" si="615"/>
        <v>-31.880909641000009</v>
      </c>
      <c r="BE649" s="537">
        <f t="shared" si="615"/>
        <v>-51.962676820999995</v>
      </c>
      <c r="BF649" s="537">
        <f t="shared" si="615"/>
        <v>-77.297102820000006</v>
      </c>
      <c r="BG649" s="537">
        <f t="shared" si="615"/>
        <v>-16.1581621222</v>
      </c>
      <c r="BH649" s="537">
        <f t="shared" si="615"/>
        <v>-0.7152933227999938</v>
      </c>
      <c r="BI649" s="537">
        <f t="shared" si="615"/>
        <v>-45.026024060099985</v>
      </c>
      <c r="BJ649" s="537">
        <f t="shared" si="615"/>
        <v>-19.239465205819997</v>
      </c>
      <c r="BK649" s="537">
        <f t="shared" si="615"/>
        <v>-38.311594221000021</v>
      </c>
      <c r="BL649" s="537">
        <f t="shared" si="615"/>
        <v>-100.28916113699999</v>
      </c>
      <c r="BM649" s="537">
        <f t="shared" si="615"/>
        <v>-18.921792870890012</v>
      </c>
      <c r="BN649" s="537">
        <f t="shared" si="615"/>
        <v>-20.576883720479998</v>
      </c>
      <c r="BO649" s="537">
        <f t="shared" si="615"/>
        <v>-90.982933919999994</v>
      </c>
      <c r="BP649" s="537">
        <f t="shared" si="615"/>
        <v>-30.649598585000021</v>
      </c>
      <c r="BQ649" s="537">
        <f t="shared" ref="BQ649:DT649" si="616">BQ$580</f>
        <v>-38.730459059850006</v>
      </c>
      <c r="BR649" s="537">
        <f t="shared" si="616"/>
        <v>-112.03259172558001</v>
      </c>
      <c r="BS649" s="537">
        <f t="shared" si="616"/>
        <v>11.670800000000014</v>
      </c>
      <c r="BT649" s="537">
        <f t="shared" si="616"/>
        <v>-21.17329999999999</v>
      </c>
      <c r="BU649" s="537">
        <f t="shared" si="616"/>
        <v>-96.005099999999999</v>
      </c>
      <c r="BV649" s="537">
        <f t="shared" si="616"/>
        <v>-54.264272142367645</v>
      </c>
      <c r="BW649" s="537">
        <f t="shared" si="616"/>
        <v>-23.403320504341181</v>
      </c>
      <c r="BX649" s="537">
        <f t="shared" si="616"/>
        <v>28.712918160505176</v>
      </c>
      <c r="BY649" s="537">
        <f t="shared" si="616"/>
        <v>-27.046293615118032</v>
      </c>
      <c r="BZ649" s="537">
        <f t="shared" si="616"/>
        <v>-27.610120997842124</v>
      </c>
      <c r="CA649" s="537">
        <f t="shared" si="616"/>
        <v>28.914320175343413</v>
      </c>
      <c r="CB649" s="537">
        <f t="shared" si="616"/>
        <v>-73.642175424903485</v>
      </c>
      <c r="CC649" s="537">
        <f t="shared" si="616"/>
        <v>-146.71936144099058</v>
      </c>
      <c r="CD649" s="539">
        <f t="shared" si="616"/>
        <v>22.732394966439301</v>
      </c>
      <c r="CE649" s="537">
        <f t="shared" si="616"/>
        <v>10.892351636717891</v>
      </c>
      <c r="CF649" s="537">
        <f t="shared" si="616"/>
        <v>-57.573617776985571</v>
      </c>
      <c r="CG649" s="537">
        <f t="shared" si="616"/>
        <v>-38.354860378657577</v>
      </c>
      <c r="CH649" s="537">
        <f t="shared" si="616"/>
        <v>-87.171016012574512</v>
      </c>
      <c r="CI649" s="537">
        <f t="shared" si="616"/>
        <v>-58.01843638527243</v>
      </c>
      <c r="CJ649" s="537">
        <f t="shared" si="616"/>
        <v>-46.766814865974659</v>
      </c>
      <c r="CK649" s="537">
        <f t="shared" si="616"/>
        <v>-58.62108982305179</v>
      </c>
      <c r="CL649" s="537">
        <f t="shared" si="616"/>
        <v>-33.182540783947807</v>
      </c>
      <c r="CM649" s="537">
        <f t="shared" si="616"/>
        <v>-29.232427811557436</v>
      </c>
      <c r="CN649" s="537">
        <f t="shared" si="616"/>
        <v>-113.09671812765787</v>
      </c>
      <c r="CO649" s="537">
        <f t="shared" si="616"/>
        <v>-81.870786706746088</v>
      </c>
      <c r="CP649" s="540">
        <f t="shared" si="616"/>
        <v>-89.846367805859217</v>
      </c>
      <c r="CQ649" s="537">
        <f t="shared" si="616"/>
        <v>-22.370184308784431</v>
      </c>
      <c r="CR649" s="537">
        <f t="shared" si="616"/>
        <v>-49.253376166400464</v>
      </c>
      <c r="CS649" s="537">
        <f t="shared" si="616"/>
        <v>-76.718928743282333</v>
      </c>
      <c r="CT649" s="537">
        <f t="shared" si="616"/>
        <v>-57.892222298725308</v>
      </c>
      <c r="CU649" s="537">
        <f t="shared" si="616"/>
        <v>-48.792242490747086</v>
      </c>
      <c r="CV649" s="537">
        <f t="shared" si="616"/>
        <v>-37.290220466391403</v>
      </c>
      <c r="CW649" s="537">
        <f t="shared" si="616"/>
        <v>-56.389620326739831</v>
      </c>
      <c r="CX649" s="537">
        <f t="shared" si="616"/>
        <v>-29.500578156396315</v>
      </c>
      <c r="CY649" s="537">
        <f t="shared" si="616"/>
        <v>-39.964652850630756</v>
      </c>
      <c r="CZ649" s="537">
        <f t="shared" si="616"/>
        <v>-87.160827265895023</v>
      </c>
      <c r="DA649" s="537">
        <f t="shared" si="616"/>
        <v>-85.641207434188473</v>
      </c>
      <c r="DB649" s="1516">
        <f t="shared" si="616"/>
        <v>-70.573328242349788</v>
      </c>
      <c r="DC649" s="537">
        <f t="shared" si="616"/>
        <v>-10.883216952810166</v>
      </c>
      <c r="DD649" s="537">
        <f t="shared" si="616"/>
        <v>-64.807960948667088</v>
      </c>
      <c r="DE649" s="537">
        <f t="shared" si="616"/>
        <v>-51.422065245692139</v>
      </c>
      <c r="DF649" s="537">
        <f t="shared" si="616"/>
        <v>-53.136955677622112</v>
      </c>
      <c r="DG649" s="537">
        <f t="shared" si="616"/>
        <v>-55.609431537707032</v>
      </c>
      <c r="DH649" s="537">
        <f t="shared" si="616"/>
        <v>-51.742931564925811</v>
      </c>
      <c r="DI649" s="537">
        <f t="shared" si="616"/>
        <v>-79.657146476103009</v>
      </c>
      <c r="DJ649" s="537">
        <f t="shared" si="616"/>
        <v>-55.115944573466379</v>
      </c>
      <c r="DK649" s="537">
        <f t="shared" si="616"/>
        <v>17.78415814780384</v>
      </c>
      <c r="DL649" s="537">
        <f t="shared" si="616"/>
        <v>-101.71857837250023</v>
      </c>
      <c r="DM649" s="537">
        <f t="shared" si="616"/>
        <v>-45.254395787629008</v>
      </c>
      <c r="DN649" s="540">
        <f t="shared" si="616"/>
        <v>-62.782841688500227</v>
      </c>
      <c r="DO649" s="537">
        <f t="shared" si="616"/>
        <v>-52.570119651799864</v>
      </c>
      <c r="DP649" s="537">
        <f t="shared" si="616"/>
        <v>-3.3676137364849552</v>
      </c>
      <c r="DQ649" s="537">
        <f t="shared" si="616"/>
        <v>-8.9728832986234668</v>
      </c>
      <c r="DR649" s="537">
        <f t="shared" si="616"/>
        <v>-77.843818118519394</v>
      </c>
      <c r="DS649" s="537">
        <f t="shared" si="616"/>
        <v>-52.716187079559838</v>
      </c>
      <c r="DT649" s="537">
        <f t="shared" si="616"/>
        <v>-77.446435251523425</v>
      </c>
      <c r="DU649" s="537"/>
      <c r="DV649" s="537"/>
      <c r="DW649" s="537"/>
      <c r="DX649" s="537"/>
      <c r="DY649" s="537"/>
      <c r="DZ649" s="540"/>
      <c r="EA649" s="537"/>
      <c r="EB649" s="537"/>
      <c r="EC649" s="537"/>
      <c r="ED649" s="537"/>
      <c r="EE649" s="537"/>
      <c r="EF649" s="537"/>
      <c r="EG649" s="537"/>
      <c r="EH649" s="537"/>
      <c r="EI649" s="537"/>
      <c r="EJ649" s="537"/>
      <c r="EK649" s="537"/>
      <c r="EL649" s="540"/>
      <c r="EM649" s="537"/>
      <c r="EN649" s="537"/>
      <c r="EO649" s="537"/>
      <c r="EP649" s="537"/>
      <c r="EQ649" s="537"/>
      <c r="ER649" s="537"/>
      <c r="ES649" s="537"/>
      <c r="ET649" s="537"/>
      <c r="EU649" s="537"/>
      <c r="EV649" s="537"/>
      <c r="EW649" s="537"/>
      <c r="EX649" s="540"/>
      <c r="EY649" s="537"/>
      <c r="EZ649" s="537"/>
      <c r="FA649" s="537"/>
      <c r="FB649" s="537"/>
      <c r="FC649" s="537"/>
      <c r="FD649" s="537"/>
      <c r="FE649" s="537"/>
      <c r="FF649" s="537"/>
      <c r="FG649" s="537"/>
      <c r="FH649" s="537"/>
      <c r="FI649" s="537"/>
      <c r="FJ649" s="540"/>
      <c r="FK649" s="537"/>
      <c r="FL649" s="537"/>
      <c r="FM649" s="537"/>
      <c r="FN649" s="537"/>
      <c r="FO649" s="537"/>
      <c r="FP649" s="537"/>
      <c r="FQ649" s="537"/>
      <c r="FR649" s="537"/>
      <c r="FS649" s="537"/>
      <c r="FT649" s="537"/>
      <c r="FU649" s="537"/>
      <c r="FV649" s="537"/>
      <c r="FW649" s="537"/>
      <c r="FX649" s="537"/>
      <c r="FY649" s="537"/>
      <c r="FZ649" s="537"/>
      <c r="GA649" s="537"/>
      <c r="GB649" s="537"/>
      <c r="GC649" s="537"/>
      <c r="GD649" s="537"/>
      <c r="GE649" s="537"/>
      <c r="GF649" s="537"/>
      <c r="GG649" s="537"/>
      <c r="GH649" s="537"/>
      <c r="GI649" s="537"/>
      <c r="GJ649" s="537"/>
      <c r="GK649" s="537"/>
      <c r="GL649" s="537"/>
      <c r="GM649" s="537"/>
      <c r="GN649" s="537"/>
      <c r="GO649" s="537"/>
      <c r="GP649" s="537"/>
      <c r="GQ649" s="537"/>
      <c r="GR649" s="537"/>
      <c r="GS649" s="537"/>
      <c r="GT649" s="537"/>
      <c r="GU649" s="537"/>
      <c r="GV649" s="537"/>
      <c r="GW649" s="537"/>
      <c r="GX649" s="537"/>
      <c r="GY649" s="537"/>
      <c r="GZ649" s="537"/>
      <c r="HA649" s="537"/>
      <c r="HB649" s="537"/>
      <c r="HC649" s="537"/>
      <c r="HD649" s="537"/>
      <c r="HE649" s="537"/>
      <c r="HF649" s="537"/>
      <c r="HG649" s="537"/>
      <c r="HH649" s="537"/>
      <c r="HI649" s="537"/>
      <c r="HJ649" s="537"/>
      <c r="HK649" s="537"/>
      <c r="HL649" s="537"/>
      <c r="HM649" s="537"/>
      <c r="HO649" s="537"/>
      <c r="HP649" s="537"/>
      <c r="HQ649" s="537"/>
      <c r="HR649" s="537">
        <f t="shared" ref="HR649:HW649" si="617">HR$580</f>
        <v>-712.97319804200015</v>
      </c>
      <c r="HS649" s="302">
        <f t="shared" si="617"/>
        <v>-269.31717447433101</v>
      </c>
      <c r="HT649" s="302">
        <f t="shared" si="617"/>
        <v>-369.23021427620017</v>
      </c>
      <c r="HU649" s="537">
        <f t="shared" si="617"/>
        <v>-638.54738875053113</v>
      </c>
      <c r="HV649" s="302">
        <f t="shared" si="617"/>
        <v>-287.60256192742429</v>
      </c>
      <c r="HW649" s="302">
        <f t="shared" si="617"/>
        <v>-326.74474875039505</v>
      </c>
      <c r="HX649" s="545">
        <f t="shared" ref="HX649:IJ649" si="618">HX$580</f>
        <v>-614.34731067781945</v>
      </c>
      <c r="HY649" s="302">
        <f t="shared" si="618"/>
        <v>-272.91705713651095</v>
      </c>
      <c r="IA649" s="545">
        <f t="shared" si="618"/>
        <v>-542.5376634866841</v>
      </c>
      <c r="ID649" s="544">
        <f t="shared" si="618"/>
        <v>-751.0972572537147</v>
      </c>
      <c r="IG649" s="544">
        <f t="shared" si="618"/>
        <v>-886.31223347606669</v>
      </c>
      <c r="IH649" s="350"/>
      <c r="II649" s="350"/>
      <c r="IJ649" s="544">
        <f t="shared" si="618"/>
        <v>-1658.2794113359816</v>
      </c>
      <c r="IK649" s="350"/>
      <c r="IL649" s="350"/>
      <c r="IM649" s="544">
        <f>IM$580</f>
        <v>-1466.2817078287753</v>
      </c>
      <c r="IN649" s="350"/>
      <c r="IO649" s="350" t="e">
        <f>IO$580</f>
        <v>#REF!</v>
      </c>
      <c r="IP649" s="544" t="e">
        <f>#REF!</f>
        <v>#REF!</v>
      </c>
      <c r="IQ649" s="350">
        <f>IS$580</f>
        <v>6735.3390357082999</v>
      </c>
      <c r="IR649" s="350">
        <f>IR$580</f>
        <v>3701.9355100140228</v>
      </c>
      <c r="IS649" s="544"/>
      <c r="IT649" s="350"/>
      <c r="IU649" s="350"/>
      <c r="IV649" s="544"/>
      <c r="IW649" s="350"/>
      <c r="IX649" s="350"/>
      <c r="IY649" s="544"/>
      <c r="KM649" s="302">
        <f>KM$580</f>
        <v>0</v>
      </c>
      <c r="KN649" s="302">
        <f>KN$580</f>
        <v>0</v>
      </c>
      <c r="KO649" s="302">
        <f>KO$580</f>
        <v>0</v>
      </c>
      <c r="KP649" s="302">
        <f>KP$580</f>
        <v>0</v>
      </c>
    </row>
    <row r="650" spans="1:302">
      <c r="A650" s="302"/>
      <c r="B650" s="117" t="s">
        <v>361</v>
      </c>
      <c r="D650" s="538" t="str">
        <f>D$582</f>
        <v>Financing</v>
      </c>
      <c r="E650" s="537">
        <f>E$582</f>
        <v>2.8905248749041235</v>
      </c>
      <c r="F650" s="537">
        <f t="shared" ref="F650:L650" si="619">F$582</f>
        <v>9.2662870787199978</v>
      </c>
      <c r="G650" s="537">
        <f t="shared" si="619"/>
        <v>21.914282177032497</v>
      </c>
      <c r="H650" s="537">
        <f t="shared" si="619"/>
        <v>5.9711837731282724</v>
      </c>
      <c r="I650" s="537">
        <f t="shared" si="619"/>
        <v>-18.141896618102002</v>
      </c>
      <c r="J650" s="537">
        <f t="shared" si="619"/>
        <v>-44.969706188274117</v>
      </c>
      <c r="K650" s="537">
        <f t="shared" si="619"/>
        <v>14.536695140326309</v>
      </c>
      <c r="L650" s="537">
        <f t="shared" si="619"/>
        <v>4.9226736018496027</v>
      </c>
      <c r="M650" s="537">
        <f t="shared" ref="M650:AW650" si="620">M$582</f>
        <v>25.195262831884001</v>
      </c>
      <c r="N650" s="537">
        <f t="shared" si="620"/>
        <v>11.605301761740007</v>
      </c>
      <c r="O650" s="537">
        <f t="shared" si="620"/>
        <v>5.5630141200999947</v>
      </c>
      <c r="P650" s="537">
        <f t="shared" si="620"/>
        <v>0.30726643007999854</v>
      </c>
      <c r="Q650" s="537">
        <f t="shared" si="620"/>
        <v>-4.4744952606083945</v>
      </c>
      <c r="R650" s="537">
        <f t="shared" si="620"/>
        <v>14.044022172342702</v>
      </c>
      <c r="S650" s="537">
        <f t="shared" si="620"/>
        <v>-28.116088515274988</v>
      </c>
      <c r="T650" s="537">
        <f t="shared" si="620"/>
        <v>25.834328408264</v>
      </c>
      <c r="U650" s="537">
        <f t="shared" si="620"/>
        <v>-17.091404588344506</v>
      </c>
      <c r="V650" s="537">
        <f t="shared" si="620"/>
        <v>-34.327745121608004</v>
      </c>
      <c r="W650" s="537">
        <f t="shared" si="620"/>
        <v>18.315702368349999</v>
      </c>
      <c r="X650" s="537">
        <f t="shared" si="620"/>
        <v>6.6605162444080044</v>
      </c>
      <c r="Y650" s="537">
        <f t="shared" si="620"/>
        <v>13.222714064604808</v>
      </c>
      <c r="Z650" s="537">
        <f t="shared" si="620"/>
        <v>16.339980834573389</v>
      </c>
      <c r="AA650" s="537">
        <f t="shared" si="620"/>
        <v>25.516383422789403</v>
      </c>
      <c r="AB650" s="537">
        <f t="shared" si="620"/>
        <v>-38.912006468292994</v>
      </c>
      <c r="AC650" s="537">
        <f t="shared" si="620"/>
        <v>20.823433762000001</v>
      </c>
      <c r="AD650" s="537">
        <f t="shared" si="620"/>
        <v>-0.17788372700000232</v>
      </c>
      <c r="AE650" s="537">
        <f t="shared" si="620"/>
        <v>35.522833658000003</v>
      </c>
      <c r="AF650" s="537">
        <f t="shared" si="620"/>
        <v>-16.471097364999999</v>
      </c>
      <c r="AG650" s="537">
        <f t="shared" si="620"/>
        <v>11.312669280999996</v>
      </c>
      <c r="AH650" s="537">
        <f t="shared" si="620"/>
        <v>-33.495558960999972</v>
      </c>
      <c r="AI650" s="537">
        <f t="shared" si="620"/>
        <v>-9.6035356999999948</v>
      </c>
      <c r="AJ650" s="537">
        <f t="shared" si="620"/>
        <v>25.479925335999994</v>
      </c>
      <c r="AK650" s="537">
        <f t="shared" si="620"/>
        <v>-8.2951844279999829</v>
      </c>
      <c r="AL650" s="537">
        <f t="shared" si="620"/>
        <v>-18.325264832999999</v>
      </c>
      <c r="AM650" s="537">
        <f t="shared" si="620"/>
        <v>25.604472352000009</v>
      </c>
      <c r="AN650" s="537">
        <f t="shared" si="620"/>
        <v>6.2050373570000144</v>
      </c>
      <c r="AO650" s="537">
        <f t="shared" si="620"/>
        <v>-6.7539305167400059</v>
      </c>
      <c r="AP650" s="537">
        <f t="shared" si="620"/>
        <v>9.6767797020600099</v>
      </c>
      <c r="AQ650" s="537">
        <f t="shared" si="620"/>
        <v>9.4503527713272408</v>
      </c>
      <c r="AR650" s="537">
        <f t="shared" si="620"/>
        <v>16.097627978120006</v>
      </c>
      <c r="AS650" s="537">
        <f t="shared" si="620"/>
        <v>7.561540453347984</v>
      </c>
      <c r="AT650" s="537">
        <f t="shared" si="620"/>
        <v>-36.035087890934399</v>
      </c>
      <c r="AU650" s="537">
        <f t="shared" si="620"/>
        <v>8.3802143252400008</v>
      </c>
      <c r="AV650" s="537">
        <f t="shared" si="620"/>
        <v>35.297755937880012</v>
      </c>
      <c r="AW650" s="537">
        <f t="shared" si="620"/>
        <v>-34.137960797449999</v>
      </c>
      <c r="AX650" s="537">
        <f t="shared" ref="AX650:BP650" si="621">AX$582</f>
        <v>30.747768710079988</v>
      </c>
      <c r="AY650" s="537">
        <f t="shared" si="621"/>
        <v>6.6192430229007897</v>
      </c>
      <c r="AZ650" s="537">
        <f t="shared" si="621"/>
        <v>-29.749638675632497</v>
      </c>
      <c r="BA650" s="537">
        <f t="shared" si="621"/>
        <v>-3.5105459550000084</v>
      </c>
      <c r="BB650" s="537">
        <f t="shared" si="621"/>
        <v>7.8065772179999984</v>
      </c>
      <c r="BC650" s="537">
        <f t="shared" si="621"/>
        <v>56.295423991000014</v>
      </c>
      <c r="BD650" s="537">
        <f t="shared" si="621"/>
        <v>-36.055197685759985</v>
      </c>
      <c r="BE650" s="537">
        <f t="shared" si="621"/>
        <v>50.927509479769995</v>
      </c>
      <c r="BF650" s="537">
        <f t="shared" si="621"/>
        <v>39.478551934000009</v>
      </c>
      <c r="BG650" s="537">
        <f t="shared" si="621"/>
        <v>-24.85355121680001</v>
      </c>
      <c r="BH650" s="537">
        <f t="shared" si="621"/>
        <v>-36.915925751200014</v>
      </c>
      <c r="BI650" s="537">
        <f t="shared" si="621"/>
        <v>-13.178281442900019</v>
      </c>
      <c r="BJ650" s="537">
        <f t="shared" si="621"/>
        <v>-57.343406230180008</v>
      </c>
      <c r="BK650" s="537">
        <f t="shared" si="621"/>
        <v>33.614613657000021</v>
      </c>
      <c r="BL650" s="537">
        <f t="shared" si="621"/>
        <v>-0.32978904600001613</v>
      </c>
      <c r="BM650" s="537">
        <f t="shared" si="621"/>
        <v>16.630474219890015</v>
      </c>
      <c r="BN650" s="537">
        <f t="shared" si="621"/>
        <v>16.463532138479998</v>
      </c>
      <c r="BO650" s="537">
        <f t="shared" si="621"/>
        <v>51.102759898999992</v>
      </c>
      <c r="BP650" s="537">
        <f t="shared" si="621"/>
        <v>30.405109080000031</v>
      </c>
      <c r="BQ650" s="537">
        <f t="shared" ref="BQ650:DT650" si="622">BQ$582</f>
        <v>38.520418634850003</v>
      </c>
      <c r="BR650" s="537">
        <f t="shared" si="622"/>
        <v>12.559368134954248</v>
      </c>
      <c r="BS650" s="537">
        <f t="shared" si="622"/>
        <v>-53.010399451901648</v>
      </c>
      <c r="BT650" s="537">
        <f t="shared" si="622"/>
        <v>6.3093905400688817</v>
      </c>
      <c r="BU650" s="537">
        <f t="shared" si="622"/>
        <v>73.060097323727888</v>
      </c>
      <c r="BV650" s="537">
        <f t="shared" si="622"/>
        <v>5.9118956241095049</v>
      </c>
      <c r="BW650" s="537">
        <f t="shared" si="622"/>
        <v>-18.135569673433722</v>
      </c>
      <c r="BX650" s="537">
        <f t="shared" si="622"/>
        <v>-60.787193092690352</v>
      </c>
      <c r="BY650" s="537">
        <f t="shared" si="622"/>
        <v>27.04576118312729</v>
      </c>
      <c r="BZ650" s="537">
        <f t="shared" si="622"/>
        <v>23.568025528720547</v>
      </c>
      <c r="CA650" s="537">
        <f t="shared" si="622"/>
        <v>-50.831770706868106</v>
      </c>
      <c r="CB650" s="537">
        <f t="shared" si="622"/>
        <v>35.736301905905833</v>
      </c>
      <c r="CC650" s="537">
        <f t="shared" si="622"/>
        <v>96.394358296720782</v>
      </c>
      <c r="CD650" s="539">
        <f t="shared" si="622"/>
        <v>-65.857510147153519</v>
      </c>
      <c r="CE650" s="537">
        <f t="shared" si="622"/>
        <v>-42.611157192623651</v>
      </c>
      <c r="CF650" s="537">
        <f t="shared" si="622"/>
        <v>18.66661570358573</v>
      </c>
      <c r="CG650" s="537">
        <f t="shared" si="622"/>
        <v>-38.008934492160407</v>
      </c>
      <c r="CH650" s="537">
        <f t="shared" si="622"/>
        <v>38.514668769760675</v>
      </c>
      <c r="CI650" s="537">
        <f t="shared" si="622"/>
        <v>21.779386044511419</v>
      </c>
      <c r="CJ650" s="537">
        <f t="shared" si="622"/>
        <v>-16.406120613149277</v>
      </c>
      <c r="CK650" s="537">
        <f t="shared" si="622"/>
        <v>35.801225611789647</v>
      </c>
      <c r="CL650" s="537">
        <f t="shared" si="622"/>
        <v>17.750653984684622</v>
      </c>
      <c r="CM650" s="537">
        <f t="shared" si="622"/>
        <v>13.620505742886285</v>
      </c>
      <c r="CN650" s="537">
        <f t="shared" si="622"/>
        <v>52.582086441552221</v>
      </c>
      <c r="CO650" s="537">
        <f t="shared" si="622"/>
        <v>45.046977973218411</v>
      </c>
      <c r="CP650" s="540">
        <f t="shared" si="622"/>
        <v>58.019672529565668</v>
      </c>
      <c r="CQ650" s="537">
        <f t="shared" si="622"/>
        <v>-12.078248993792499</v>
      </c>
      <c r="CR650" s="537">
        <f t="shared" si="622"/>
        <v>28.618039173970608</v>
      </c>
      <c r="CS650" s="537">
        <f t="shared" si="622"/>
        <v>44.63098184298962</v>
      </c>
      <c r="CT650" s="537">
        <f t="shared" si="622"/>
        <v>30.280187894794203</v>
      </c>
      <c r="CU650" s="537">
        <f t="shared" si="622"/>
        <v>11.355559313928776</v>
      </c>
      <c r="CV650" s="537">
        <f t="shared" si="622"/>
        <v>-51.408724548031103</v>
      </c>
      <c r="CW650" s="537">
        <f t="shared" si="622"/>
        <v>29.227554667949136</v>
      </c>
      <c r="CX650" s="537">
        <f t="shared" si="622"/>
        <v>8.7536303844279644</v>
      </c>
      <c r="CY650" s="537">
        <f t="shared" si="622"/>
        <v>4.095537144165033</v>
      </c>
      <c r="CZ650" s="537">
        <f t="shared" si="622"/>
        <v>69.175764483451331</v>
      </c>
      <c r="DA650" s="537">
        <f t="shared" si="622"/>
        <v>33.706261608939926</v>
      </c>
      <c r="DB650" s="1516">
        <f t="shared" si="622"/>
        <v>49.297017469276611</v>
      </c>
      <c r="DC650" s="537">
        <f t="shared" si="622"/>
        <v>-21.01034314000308</v>
      </c>
      <c r="DD650" s="537">
        <f t="shared" si="622"/>
        <v>39.638327966640006</v>
      </c>
      <c r="DE650" s="537">
        <f t="shared" si="622"/>
        <v>13.602407189849274</v>
      </c>
      <c r="DF650" s="537">
        <f t="shared" si="622"/>
        <v>50.095220644972244</v>
      </c>
      <c r="DG650" s="537">
        <f t="shared" si="622"/>
        <v>-6.3964191106506316</v>
      </c>
      <c r="DH650" s="537">
        <f t="shared" si="622"/>
        <v>12.04625458563622</v>
      </c>
      <c r="DI650" s="537">
        <f t="shared" si="622"/>
        <v>69.671095995240876</v>
      </c>
      <c r="DJ650" s="537">
        <f t="shared" si="622"/>
        <v>40.569365759944219</v>
      </c>
      <c r="DK650" s="537">
        <f t="shared" si="622"/>
        <v>-33.199133645478966</v>
      </c>
      <c r="DL650" s="537">
        <f t="shared" si="622"/>
        <v>36.48511287037401</v>
      </c>
      <c r="DM650" s="537">
        <f t="shared" si="622"/>
        <v>25.71798471314797</v>
      </c>
      <c r="DN650" s="540">
        <f t="shared" si="622"/>
        <v>13.380426570420113</v>
      </c>
      <c r="DO650" s="537">
        <f t="shared" si="622"/>
        <v>-18.610115880517696</v>
      </c>
      <c r="DP650" s="537">
        <f t="shared" si="622"/>
        <v>29.155063210428587</v>
      </c>
      <c r="DQ650" s="537">
        <f t="shared" si="622"/>
        <v>-12.218061145951339</v>
      </c>
      <c r="DR650" s="537">
        <f t="shared" si="622"/>
        <v>72.328972403040794</v>
      </c>
      <c r="DS650" s="537">
        <f t="shared" si="622"/>
        <v>36.737540294562955</v>
      </c>
      <c r="DT650" s="537">
        <f t="shared" si="622"/>
        <v>36.768730068418087</v>
      </c>
      <c r="DU650" s="537"/>
      <c r="DV650" s="537"/>
      <c r="DW650" s="537"/>
      <c r="DX650" s="537"/>
      <c r="DY650" s="537"/>
      <c r="DZ650" s="540"/>
      <c r="EA650" s="537"/>
      <c r="EB650" s="537"/>
      <c r="EC650" s="537"/>
      <c r="ED650" s="537"/>
      <c r="EE650" s="537"/>
      <c r="EF650" s="537"/>
      <c r="EG650" s="537"/>
      <c r="EH650" s="537"/>
      <c r="EI650" s="537"/>
      <c r="EJ650" s="537"/>
      <c r="EK650" s="537"/>
      <c r="EL650" s="540"/>
      <c r="EM650" s="537"/>
      <c r="EN650" s="537"/>
      <c r="EO650" s="537"/>
      <c r="EP650" s="537"/>
      <c r="EQ650" s="537"/>
      <c r="ER650" s="537"/>
      <c r="ES650" s="537"/>
      <c r="ET650" s="537"/>
      <c r="EU650" s="537"/>
      <c r="EV650" s="537"/>
      <c r="EW650" s="537"/>
      <c r="EX650" s="540"/>
      <c r="EY650" s="537"/>
      <c r="EZ650" s="537"/>
      <c r="FA650" s="537"/>
      <c r="FB650" s="537"/>
      <c r="FC650" s="537"/>
      <c r="FD650" s="537"/>
      <c r="FE650" s="537"/>
      <c r="FF650" s="537"/>
      <c r="FG650" s="537"/>
      <c r="FH650" s="537"/>
      <c r="FI650" s="537"/>
      <c r="FJ650" s="540"/>
      <c r="FK650" s="537"/>
      <c r="FL650" s="537"/>
      <c r="FM650" s="537"/>
      <c r="FN650" s="537"/>
      <c r="FO650" s="537"/>
      <c r="FP650" s="537"/>
      <c r="FQ650" s="537"/>
      <c r="FR650" s="537"/>
      <c r="FS650" s="537"/>
      <c r="FT650" s="537"/>
      <c r="FU650" s="537"/>
      <c r="FV650" s="537"/>
      <c r="FW650" s="537"/>
      <c r="FX650" s="537"/>
      <c r="FY650" s="537"/>
      <c r="FZ650" s="537"/>
      <c r="GA650" s="537"/>
      <c r="GB650" s="537"/>
      <c r="GC650" s="537"/>
      <c r="GD650" s="537"/>
      <c r="GE650" s="537"/>
      <c r="GF650" s="537"/>
      <c r="GG650" s="537"/>
      <c r="GH650" s="537"/>
      <c r="GI650" s="537"/>
      <c r="GJ650" s="537"/>
      <c r="GK650" s="537"/>
      <c r="GL650" s="537"/>
      <c r="GM650" s="537"/>
      <c r="GN650" s="537"/>
      <c r="GO650" s="537"/>
      <c r="GP650" s="537"/>
      <c r="GQ650" s="537"/>
      <c r="GR650" s="537"/>
      <c r="GS650" s="537"/>
      <c r="GT650" s="537"/>
      <c r="GU650" s="537"/>
      <c r="GV650" s="537"/>
      <c r="GW650" s="537"/>
      <c r="GX650" s="537"/>
      <c r="GY650" s="537"/>
      <c r="GZ650" s="537"/>
      <c r="HA650" s="537"/>
      <c r="HB650" s="537"/>
      <c r="HC650" s="537"/>
      <c r="HD650" s="537"/>
      <c r="HE650" s="537"/>
      <c r="HF650" s="537"/>
      <c r="HG650" s="537"/>
      <c r="HH650" s="537"/>
      <c r="HI650" s="537"/>
      <c r="HJ650" s="537"/>
      <c r="HK650" s="537"/>
      <c r="HL650" s="537"/>
      <c r="HM650" s="537"/>
      <c r="HO650" s="537"/>
      <c r="HP650" s="537"/>
      <c r="HQ650" s="537"/>
      <c r="HR650" s="537">
        <f t="shared" ref="HR650:HW650" si="623">HR$582</f>
        <v>197.61254199818421</v>
      </c>
      <c r="HS650" s="302">
        <f t="shared" si="623"/>
        <v>28.397794683859544</v>
      </c>
      <c r="HT650" s="302">
        <f t="shared" si="623"/>
        <v>194.25576575821</v>
      </c>
      <c r="HU650" s="537">
        <f t="shared" si="623"/>
        <v>222.65356044206965</v>
      </c>
      <c r="HV650" s="302">
        <f t="shared" si="623"/>
        <v>88.378745591420241</v>
      </c>
      <c r="HW650" s="302">
        <f t="shared" si="623"/>
        <v>183.11622497139447</v>
      </c>
      <c r="HX650" s="545">
        <f t="shared" ref="HX650:IJ650" si="624">HX$582</f>
        <v>271.49497056281473</v>
      </c>
      <c r="HY650" s="302">
        <f t="shared" si="624"/>
        <v>144.16212894998142</v>
      </c>
      <c r="IA650" s="545">
        <f t="shared" si="624"/>
        <v>381.52198958041834</v>
      </c>
      <c r="ID650" s="544">
        <f t="shared" si="624"/>
        <v>398.9867656101726</v>
      </c>
      <c r="IG650" s="544">
        <f t="shared" si="624"/>
        <v>502.38067326405934</v>
      </c>
      <c r="IH650" s="350"/>
      <c r="II650" s="350"/>
      <c r="IJ650" s="544">
        <f t="shared" si="624"/>
        <v>1226.1509467500846</v>
      </c>
      <c r="IK650" s="350"/>
      <c r="IL650" s="350"/>
      <c r="IM650" s="544">
        <f>IM$582</f>
        <v>973.99842550595372</v>
      </c>
      <c r="IN650" s="350"/>
      <c r="IO650" s="350" t="e">
        <f>IO$582</f>
        <v>#REF!</v>
      </c>
      <c r="IP650" s="544" t="e">
        <f>#REF!</f>
        <v>#REF!</v>
      </c>
      <c r="IQ650" s="350">
        <f>IS$582</f>
        <v>941.12816859942711</v>
      </c>
      <c r="IR650" s="350">
        <f>IR$582</f>
        <v>4249.4190936229215</v>
      </c>
      <c r="IS650" s="544"/>
      <c r="IT650" s="350"/>
      <c r="IU650" s="350"/>
      <c r="IV650" s="544"/>
      <c r="IW650" s="350"/>
      <c r="IX650" s="350"/>
      <c r="IY650" s="544"/>
      <c r="KM650" s="302">
        <f>KM$582</f>
        <v>0</v>
      </c>
      <c r="KN650" s="302">
        <f>KN$582</f>
        <v>0</v>
      </c>
      <c r="KO650" s="302">
        <f>KO$582</f>
        <v>0</v>
      </c>
      <c r="KP650" s="302">
        <f>KP$582</f>
        <v>0</v>
      </c>
    </row>
    <row r="651" spans="1:302">
      <c r="A651" s="302"/>
      <c r="B651" s="117" t="s">
        <v>361</v>
      </c>
      <c r="D651" s="542" t="str">
        <f>D$584</f>
        <v>Foreign financing (net)</v>
      </c>
      <c r="E651" s="537">
        <f>E$584</f>
        <v>-0.50807036317380805</v>
      </c>
      <c r="F651" s="537">
        <f t="shared" ref="F651:L651" si="625">F$584</f>
        <v>-3.3610918306800006E-2</v>
      </c>
      <c r="G651" s="537">
        <f t="shared" si="625"/>
        <v>10.397457793368302</v>
      </c>
      <c r="H651" s="537">
        <f t="shared" si="625"/>
        <v>-0.276455737578432</v>
      </c>
      <c r="I651" s="537">
        <f t="shared" si="625"/>
        <v>-0.12798318832220001</v>
      </c>
      <c r="J651" s="537">
        <f t="shared" si="625"/>
        <v>9.0944597461261001</v>
      </c>
      <c r="K651" s="537">
        <f t="shared" si="625"/>
        <v>-0.10911409420939988</v>
      </c>
      <c r="L651" s="537">
        <f t="shared" si="625"/>
        <v>-4.2709927436400001E-2</v>
      </c>
      <c r="M651" s="537">
        <f t="shared" ref="M651:AW651" si="626">M$584</f>
        <v>10.7865610018056</v>
      </c>
      <c r="N651" s="537">
        <f t="shared" si="626"/>
        <v>-3.807155156E-2</v>
      </c>
      <c r="O651" s="537">
        <f t="shared" si="626"/>
        <v>-0.77784387055999993</v>
      </c>
      <c r="P651" s="537">
        <f t="shared" si="626"/>
        <v>16.191599324879999</v>
      </c>
      <c r="Q651" s="537">
        <f t="shared" si="626"/>
        <v>-0.50161116085360002</v>
      </c>
      <c r="R651" s="537">
        <f t="shared" si="626"/>
        <v>-5.3357941889999996E-2</v>
      </c>
      <c r="S651" s="537">
        <f t="shared" si="626"/>
        <v>11.317881237878</v>
      </c>
      <c r="T651" s="537">
        <f t="shared" si="626"/>
        <v>0.67169293220400006</v>
      </c>
      <c r="U651" s="537">
        <f t="shared" si="626"/>
        <v>-0.163856145684</v>
      </c>
      <c r="V651" s="537">
        <f t="shared" si="626"/>
        <v>6.8213523351239997</v>
      </c>
      <c r="W651" s="537">
        <f t="shared" si="626"/>
        <v>1.3005350759400014E-2</v>
      </c>
      <c r="X651" s="537">
        <f t="shared" si="626"/>
        <v>3.998650096000006E-3</v>
      </c>
      <c r="Y651" s="537">
        <f t="shared" si="626"/>
        <v>9.6128784730768011</v>
      </c>
      <c r="Z651" s="537">
        <f t="shared" si="626"/>
        <v>-1.9543495164899977E-2</v>
      </c>
      <c r="AA651" s="537">
        <f t="shared" si="626"/>
        <v>-0.10399395625040002</v>
      </c>
      <c r="AB651" s="537">
        <f t="shared" si="626"/>
        <v>28.782368222892</v>
      </c>
      <c r="AC651" s="537">
        <f t="shared" si="626"/>
        <v>-0.52907199999999999</v>
      </c>
      <c r="AD651" s="537">
        <f t="shared" si="626"/>
        <v>-4.1878385000000004E-2</v>
      </c>
      <c r="AE651" s="537">
        <f t="shared" si="626"/>
        <v>12.106708015000001</v>
      </c>
      <c r="AF651" s="537">
        <f t="shared" si="626"/>
        <v>-0.26076719500000001</v>
      </c>
      <c r="AG651" s="537">
        <f t="shared" si="626"/>
        <v>-0.15922959</v>
      </c>
      <c r="AH651" s="537">
        <f t="shared" si="626"/>
        <v>12.245775637000001</v>
      </c>
      <c r="AI651" s="537">
        <f t="shared" si="626"/>
        <v>-0.54568328499999996</v>
      </c>
      <c r="AJ651" s="537">
        <f t="shared" si="626"/>
        <v>-4.7101027999999996E-2</v>
      </c>
      <c r="AK651" s="537">
        <f t="shared" si="626"/>
        <v>7.2460043950000008</v>
      </c>
      <c r="AL651" s="537">
        <f t="shared" si="626"/>
        <v>-0.17289784</v>
      </c>
      <c r="AM651" s="537">
        <f t="shared" si="626"/>
        <v>-0.21172326799999999</v>
      </c>
      <c r="AN651" s="537">
        <f t="shared" si="626"/>
        <v>8.1221169589999995</v>
      </c>
      <c r="AO651" s="537">
        <f t="shared" si="626"/>
        <v>-0.50290532316275993</v>
      </c>
      <c r="AP651" s="537">
        <f t="shared" si="626"/>
        <v>-0.15814870683429999</v>
      </c>
      <c r="AQ651" s="537">
        <f t="shared" si="626"/>
        <v>5.2097932474452797</v>
      </c>
      <c r="AR651" s="537">
        <f t="shared" si="626"/>
        <v>-0.2297994379254</v>
      </c>
      <c r="AS651" s="537">
        <f t="shared" si="626"/>
        <v>-0.20176501846710002</v>
      </c>
      <c r="AT651" s="537">
        <f t="shared" si="626"/>
        <v>7.0226782051887504</v>
      </c>
      <c r="AU651" s="537">
        <f t="shared" si="626"/>
        <v>-1.0774999999999999</v>
      </c>
      <c r="AV651" s="537">
        <f t="shared" si="626"/>
        <v>-0.1545</v>
      </c>
      <c r="AW651" s="537">
        <f t="shared" si="626"/>
        <v>6.3510565599999991</v>
      </c>
      <c r="AX651" s="537">
        <f t="shared" ref="AX651:BP651" si="627">AX$584</f>
        <v>-0.68194363155999993</v>
      </c>
      <c r="AY651" s="537">
        <f t="shared" si="627"/>
        <v>-0.38759797281340003</v>
      </c>
      <c r="AZ651" s="537">
        <f t="shared" si="627"/>
        <v>13.8662032493305</v>
      </c>
      <c r="BA651" s="537">
        <f t="shared" si="627"/>
        <v>-1.158766612</v>
      </c>
      <c r="BB651" s="537">
        <f t="shared" si="627"/>
        <v>-0.101139462</v>
      </c>
      <c r="BC651" s="537">
        <f t="shared" si="627"/>
        <v>19.235095475000001</v>
      </c>
      <c r="BD651" s="537">
        <f t="shared" si="627"/>
        <v>-0.155374504</v>
      </c>
      <c r="BE651" s="537">
        <f t="shared" si="627"/>
        <v>20.975846718000003</v>
      </c>
      <c r="BF651" s="537">
        <f t="shared" si="627"/>
        <v>11.376847363</v>
      </c>
      <c r="BG651" s="537">
        <f t="shared" si="627"/>
        <v>-1.2117479499999999</v>
      </c>
      <c r="BH651" s="537">
        <f t="shared" si="627"/>
        <v>-0.10368931131</v>
      </c>
      <c r="BI651" s="537">
        <f t="shared" si="627"/>
        <v>8.5563409086000011</v>
      </c>
      <c r="BJ651" s="537">
        <f t="shared" si="627"/>
        <v>3.3630518521599999</v>
      </c>
      <c r="BK651" s="537">
        <f t="shared" si="627"/>
        <v>-0.94509411099999996</v>
      </c>
      <c r="BL651" s="537">
        <f t="shared" si="627"/>
        <v>64.984093047999991</v>
      </c>
      <c r="BM651" s="537">
        <f t="shared" si="627"/>
        <v>-1.1393097170000002</v>
      </c>
      <c r="BN651" s="537">
        <f t="shared" si="627"/>
        <v>-0.10130504225</v>
      </c>
      <c r="BO651" s="537">
        <f t="shared" si="627"/>
        <v>12.096889067999999</v>
      </c>
      <c r="BP651" s="537">
        <f t="shared" si="627"/>
        <v>-0.37928600191000006</v>
      </c>
      <c r="BQ651" s="537">
        <f t="shared" ref="BQ651:DT651" si="628">BQ$584</f>
        <v>-1.1134900000000001</v>
      </c>
      <c r="BR651" s="537">
        <f t="shared" si="628"/>
        <v>11.045804823999999</v>
      </c>
      <c r="BS651" s="537">
        <f t="shared" si="628"/>
        <v>-1.2683</v>
      </c>
      <c r="BT651" s="537">
        <f t="shared" si="628"/>
        <v>-9.9900000000000003E-2</v>
      </c>
      <c r="BU651" s="537">
        <f t="shared" si="628"/>
        <v>35.908200000000001</v>
      </c>
      <c r="BV651" s="537">
        <f t="shared" si="628"/>
        <v>1.5956689506576198</v>
      </c>
      <c r="BW651" s="537">
        <f t="shared" si="628"/>
        <v>5.4647202718430172</v>
      </c>
      <c r="BX651" s="537">
        <f t="shared" si="628"/>
        <v>4.6916419250035108</v>
      </c>
      <c r="BY651" s="537">
        <f t="shared" si="628"/>
        <v>0.75260748222076534</v>
      </c>
      <c r="BZ651" s="537">
        <f t="shared" si="628"/>
        <v>4.077499622103451</v>
      </c>
      <c r="CA651" s="537">
        <f t="shared" si="628"/>
        <v>4.7181280788894915</v>
      </c>
      <c r="CB651" s="537">
        <f t="shared" si="628"/>
        <v>3.4099613564677433</v>
      </c>
      <c r="CC651" s="537">
        <f t="shared" si="628"/>
        <v>4.8829959041910262</v>
      </c>
      <c r="CD651" s="539">
        <f t="shared" si="628"/>
        <v>24.361956062990608</v>
      </c>
      <c r="CE651" s="537">
        <f t="shared" si="628"/>
        <v>6.0648673378900142</v>
      </c>
      <c r="CF651" s="537">
        <f t="shared" si="628"/>
        <v>3.7943198551050905</v>
      </c>
      <c r="CG651" s="537">
        <f t="shared" si="628"/>
        <v>3.4143455195842343</v>
      </c>
      <c r="CH651" s="537">
        <f t="shared" si="628"/>
        <v>4.8064493127320151</v>
      </c>
      <c r="CI651" s="537">
        <f t="shared" si="628"/>
        <v>2.9333864288658735</v>
      </c>
      <c r="CJ651" s="537">
        <f t="shared" si="628"/>
        <v>6.0664323475203208</v>
      </c>
      <c r="CK651" s="537">
        <f t="shared" si="628"/>
        <v>10.54974338072898</v>
      </c>
      <c r="CL651" s="537">
        <f t="shared" si="628"/>
        <v>1.6094141646601652</v>
      </c>
      <c r="CM651" s="537">
        <f t="shared" si="628"/>
        <v>2.0088474897454565</v>
      </c>
      <c r="CN651" s="537">
        <f t="shared" si="628"/>
        <v>1.2718415560240695</v>
      </c>
      <c r="CO651" s="537">
        <f t="shared" si="628"/>
        <v>38.10535375062684</v>
      </c>
      <c r="CP651" s="540">
        <f t="shared" si="628"/>
        <v>24.531914229255314</v>
      </c>
      <c r="CQ651" s="537">
        <f t="shared" si="628"/>
        <v>4.9420193008418858</v>
      </c>
      <c r="CR651" s="537">
        <f t="shared" si="628"/>
        <v>3.8308939451566677</v>
      </c>
      <c r="CS651" s="537">
        <f t="shared" si="628"/>
        <v>12.00286724258406</v>
      </c>
      <c r="CT651" s="537">
        <f t="shared" si="628"/>
        <v>5.1893339261600904</v>
      </c>
      <c r="CU651" s="537">
        <f t="shared" si="628"/>
        <v>10.46585883733734</v>
      </c>
      <c r="CV651" s="537">
        <f t="shared" si="628"/>
        <v>67.021078465884145</v>
      </c>
      <c r="CW651" s="537">
        <f t="shared" si="628"/>
        <v>7.8762359651259253</v>
      </c>
      <c r="CX651" s="537">
        <f t="shared" si="628"/>
        <v>3.5485909032750431</v>
      </c>
      <c r="CY651" s="537">
        <f t="shared" si="628"/>
        <v>8.6557670022827384</v>
      </c>
      <c r="CZ651" s="537">
        <f t="shared" si="628"/>
        <v>48.213086059450021</v>
      </c>
      <c r="DA651" s="537">
        <f t="shared" si="628"/>
        <v>4.8957815003413128</v>
      </c>
      <c r="DB651" s="1516">
        <f t="shared" si="628"/>
        <v>11.545065657792968</v>
      </c>
      <c r="DC651" s="537">
        <f t="shared" si="628"/>
        <v>-0.32746269399886818</v>
      </c>
      <c r="DD651" s="537">
        <f t="shared" si="628"/>
        <v>3.5305284776444301</v>
      </c>
      <c r="DE651" s="537">
        <f t="shared" si="628"/>
        <v>55.40402819682587</v>
      </c>
      <c r="DF651" s="537">
        <f t="shared" si="628"/>
        <v>13.837937548729254</v>
      </c>
      <c r="DG651" s="537">
        <f t="shared" si="628"/>
        <v>4.0517228288185114</v>
      </c>
      <c r="DH651" s="537">
        <f t="shared" si="628"/>
        <v>90.018144492537417</v>
      </c>
      <c r="DI651" s="537">
        <f t="shared" si="628"/>
        <v>5.8757694289489741</v>
      </c>
      <c r="DJ651" s="537">
        <f t="shared" si="628"/>
        <v>21.472344372958734</v>
      </c>
      <c r="DK651" s="537">
        <f t="shared" si="628"/>
        <v>11.427946944314153</v>
      </c>
      <c r="DL651" s="537">
        <f t="shared" si="628"/>
        <v>10.494451571476269</v>
      </c>
      <c r="DM651" s="537">
        <f t="shared" si="628"/>
        <v>4.9315520607593966</v>
      </c>
      <c r="DN651" s="540">
        <f t="shared" si="628"/>
        <v>3.691164430675272</v>
      </c>
      <c r="DO651" s="537">
        <f t="shared" si="628"/>
        <v>2.4828976559227027</v>
      </c>
      <c r="DP651" s="537">
        <f t="shared" si="628"/>
        <v>8.2479295940122039</v>
      </c>
      <c r="DQ651" s="537">
        <f t="shared" si="628"/>
        <v>34.80290039343646</v>
      </c>
      <c r="DR651" s="537">
        <f t="shared" si="628"/>
        <v>68.234891521118072</v>
      </c>
      <c r="DS651" s="537">
        <f t="shared" si="628"/>
        <v>9.7368212350321457</v>
      </c>
      <c r="DT651" s="537">
        <f t="shared" si="628"/>
        <v>93.306756981791452</v>
      </c>
      <c r="DU651" s="537"/>
      <c r="DV651" s="537"/>
      <c r="DW651" s="537"/>
      <c r="DX651" s="537"/>
      <c r="DY651" s="537"/>
      <c r="DZ651" s="540"/>
      <c r="EA651" s="537"/>
      <c r="EB651" s="537"/>
      <c r="EC651" s="537"/>
      <c r="ED651" s="537"/>
      <c r="EE651" s="537"/>
      <c r="EF651" s="537"/>
      <c r="EG651" s="537"/>
      <c r="EH651" s="537"/>
      <c r="EI651" s="537"/>
      <c r="EJ651" s="537"/>
      <c r="EK651" s="537"/>
      <c r="EL651" s="540"/>
      <c r="EM651" s="537"/>
      <c r="EN651" s="537"/>
      <c r="EO651" s="537"/>
      <c r="EP651" s="537"/>
      <c r="EQ651" s="537"/>
      <c r="ER651" s="537"/>
      <c r="ES651" s="537"/>
      <c r="ET651" s="537"/>
      <c r="EU651" s="537"/>
      <c r="EV651" s="537"/>
      <c r="EW651" s="537"/>
      <c r="EX651" s="540"/>
      <c r="EY651" s="537"/>
      <c r="EZ651" s="537"/>
      <c r="FA651" s="537"/>
      <c r="FB651" s="537"/>
      <c r="FC651" s="537"/>
      <c r="FD651" s="537"/>
      <c r="FE651" s="537"/>
      <c r="FF651" s="537"/>
      <c r="FG651" s="537"/>
      <c r="FH651" s="537"/>
      <c r="FI651" s="537"/>
      <c r="FJ651" s="540"/>
      <c r="FK651" s="537"/>
      <c r="FL651" s="537"/>
      <c r="FM651" s="537"/>
      <c r="FN651" s="537"/>
      <c r="FO651" s="537"/>
      <c r="FP651" s="537"/>
      <c r="FQ651" s="537"/>
      <c r="FR651" s="537"/>
      <c r="FS651" s="537"/>
      <c r="FT651" s="537"/>
      <c r="FU651" s="537"/>
      <c r="FV651" s="537"/>
      <c r="FW651" s="537"/>
      <c r="FX651" s="537"/>
      <c r="FY651" s="537"/>
      <c r="FZ651" s="537"/>
      <c r="GA651" s="537"/>
      <c r="GB651" s="537"/>
      <c r="GC651" s="537"/>
      <c r="GD651" s="537"/>
      <c r="GE651" s="537"/>
      <c r="GF651" s="537"/>
      <c r="GG651" s="537"/>
      <c r="GH651" s="537"/>
      <c r="GI651" s="537"/>
      <c r="GJ651" s="537"/>
      <c r="GK651" s="537"/>
      <c r="GL651" s="537"/>
      <c r="GM651" s="537"/>
      <c r="GN651" s="537"/>
      <c r="GO651" s="537"/>
      <c r="GP651" s="537"/>
      <c r="GQ651" s="537"/>
      <c r="GR651" s="537"/>
      <c r="GS651" s="537"/>
      <c r="GT651" s="537"/>
      <c r="GU651" s="537"/>
      <c r="GV651" s="537"/>
      <c r="GW651" s="537"/>
      <c r="GX651" s="537"/>
      <c r="GY651" s="537"/>
      <c r="GZ651" s="537"/>
      <c r="HA651" s="537"/>
      <c r="HB651" s="537"/>
      <c r="HC651" s="537"/>
      <c r="HD651" s="537"/>
      <c r="HE651" s="537"/>
      <c r="HF651" s="537"/>
      <c r="HG651" s="537"/>
      <c r="HH651" s="537"/>
      <c r="HI651" s="537"/>
      <c r="HJ651" s="537"/>
      <c r="HK651" s="537"/>
      <c r="HL651" s="537"/>
      <c r="HM651" s="537"/>
      <c r="HO651" s="537"/>
      <c r="HP651" s="537"/>
      <c r="HQ651" s="537"/>
      <c r="HR651" s="537">
        <f t="shared" ref="HR651:HW651" si="629">HR$584</f>
        <v>188.3125419981842</v>
      </c>
      <c r="HS651" s="302">
        <f t="shared" si="629"/>
        <v>103.4520517179642</v>
      </c>
      <c r="HT651" s="302">
        <f t="shared" si="629"/>
        <v>84.73452708826801</v>
      </c>
      <c r="HU651" s="537">
        <f t="shared" si="629"/>
        <v>188.18657880623221</v>
      </c>
      <c r="HV651" s="302">
        <f t="shared" si="629"/>
        <v>166.51489885055659</v>
      </c>
      <c r="HW651" s="302">
        <f t="shared" si="629"/>
        <v>57.893228809132779</v>
      </c>
      <c r="HX651" s="545">
        <f t="shared" ref="HX651:IJ651" si="630">HX$584</f>
        <v>224.4081276596894</v>
      </c>
      <c r="HY651" s="302">
        <f t="shared" si="630"/>
        <v>216.81219738131307</v>
      </c>
      <c r="IA651" s="545">
        <f t="shared" si="630"/>
        <v>322.98893439137123</v>
      </c>
      <c r="ID651" s="544">
        <f t="shared" si="630"/>
        <v>356.02913087722652</v>
      </c>
      <c r="IG651" s="544">
        <f t="shared" si="630"/>
        <v>448.31196664374346</v>
      </c>
      <c r="IH651" s="350"/>
      <c r="II651" s="350"/>
      <c r="IJ651" s="544">
        <f t="shared" si="630"/>
        <v>1137.4986216870611</v>
      </c>
      <c r="IK651" s="350"/>
      <c r="IL651" s="350"/>
      <c r="IM651" s="544">
        <f>IM$584</f>
        <v>708.41842834695376</v>
      </c>
      <c r="IN651" s="350"/>
      <c r="IO651" s="350">
        <f>IO$584</f>
        <v>270.61991582220685</v>
      </c>
      <c r="IP651" s="544" t="e">
        <f>#REF!</f>
        <v>#REF!</v>
      </c>
      <c r="IQ651" s="350">
        <f>IS$584</f>
        <v>780.58674289632404</v>
      </c>
      <c r="IR651" s="350">
        <f>IR$584</f>
        <v>606.36742572253627</v>
      </c>
      <c r="IS651" s="544"/>
      <c r="IT651" s="350"/>
      <c r="IU651" s="350"/>
      <c r="IV651" s="544"/>
      <c r="IW651" s="350"/>
      <c r="IX651" s="350"/>
      <c r="IY651" s="544"/>
      <c r="KM651" s="302">
        <f>KM$584</f>
        <v>0</v>
      </c>
      <c r="KN651" s="302">
        <f>KN$584</f>
        <v>0</v>
      </c>
      <c r="KO651" s="302">
        <f>KO$584</f>
        <v>0</v>
      </c>
      <c r="KP651" s="302">
        <f>KP$584</f>
        <v>0</v>
      </c>
    </row>
    <row r="652" spans="1:302">
      <c r="A652" s="302"/>
      <c r="D652" s="542" t="str">
        <f>+FISC!D905</f>
        <v xml:space="preserve">    O/w: budget loans (gross)</v>
      </c>
      <c r="E652" s="537"/>
      <c r="F652" s="537"/>
      <c r="G652" s="537"/>
      <c r="H652" s="537"/>
      <c r="I652" s="537"/>
      <c r="J652" s="537"/>
      <c r="K652" s="537"/>
      <c r="L652" s="537"/>
      <c r="M652" s="537"/>
      <c r="N652" s="537"/>
      <c r="O652" s="537"/>
      <c r="P652" s="537"/>
      <c r="Q652" s="537"/>
      <c r="R652" s="537"/>
      <c r="S652" s="537"/>
      <c r="T652" s="537"/>
      <c r="U652" s="537"/>
      <c r="V652" s="537"/>
      <c r="W652" s="537"/>
      <c r="X652" s="537"/>
      <c r="Y652" s="537"/>
      <c r="Z652" s="537"/>
      <c r="AA652" s="537"/>
      <c r="AB652" s="537"/>
      <c r="AC652" s="537"/>
      <c r="AD652" s="537"/>
      <c r="AE652" s="537"/>
      <c r="AF652" s="537"/>
      <c r="AG652" s="537"/>
      <c r="AH652" s="537"/>
      <c r="AI652" s="537"/>
      <c r="AJ652" s="537"/>
      <c r="AK652" s="537"/>
      <c r="AL652" s="537"/>
      <c r="AM652" s="537"/>
      <c r="AN652" s="537"/>
      <c r="AO652" s="537"/>
      <c r="AP652" s="537"/>
      <c r="AQ652" s="537"/>
      <c r="AR652" s="537"/>
      <c r="AS652" s="537"/>
      <c r="AT652" s="537"/>
      <c r="AU652" s="537"/>
      <c r="AV652" s="537"/>
      <c r="AW652" s="537"/>
      <c r="AX652" s="537"/>
      <c r="AY652" s="537"/>
      <c r="AZ652" s="537"/>
      <c r="BA652" s="537"/>
      <c r="BB652" s="537"/>
      <c r="BC652" s="537"/>
      <c r="BD652" s="537"/>
      <c r="BE652" s="537"/>
      <c r="BF652" s="537"/>
      <c r="BG652" s="537"/>
      <c r="BH652" s="537"/>
      <c r="BI652" s="537"/>
      <c r="BJ652" s="537"/>
      <c r="BK652" s="537"/>
      <c r="BL652" s="537"/>
      <c r="BM652" s="537"/>
      <c r="BN652" s="537"/>
      <c r="BO652" s="537"/>
      <c r="BP652" s="537"/>
      <c r="BQ652" s="537"/>
      <c r="BR652" s="537"/>
      <c r="BS652" s="537"/>
      <c r="BT652" s="537"/>
      <c r="BU652" s="537"/>
      <c r="BV652" s="537"/>
      <c r="BW652" s="537"/>
      <c r="BX652" s="537"/>
      <c r="BY652" s="537"/>
      <c r="BZ652" s="537"/>
      <c r="CA652" s="537"/>
      <c r="CB652" s="537"/>
      <c r="CC652" s="537"/>
      <c r="CD652" s="539"/>
      <c r="CE652" s="537"/>
      <c r="CF652" s="537"/>
      <c r="CG652" s="537"/>
      <c r="CH652" s="537"/>
      <c r="CI652" s="537"/>
      <c r="CJ652" s="537"/>
      <c r="CK652" s="537"/>
      <c r="CL652" s="537"/>
      <c r="CM652" s="537"/>
      <c r="CN652" s="537"/>
      <c r="CO652" s="537"/>
      <c r="CP652" s="540"/>
      <c r="CQ652" s="537"/>
      <c r="CR652" s="537"/>
      <c r="CS652" s="537"/>
      <c r="CT652" s="537"/>
      <c r="CU652" s="537"/>
      <c r="CV652" s="537"/>
      <c r="CW652" s="537"/>
      <c r="CX652" s="537"/>
      <c r="CY652" s="537"/>
      <c r="CZ652" s="537"/>
      <c r="DA652" s="537"/>
      <c r="DB652" s="1516"/>
      <c r="DC652" s="537"/>
      <c r="DD652" s="537"/>
      <c r="DE652" s="537"/>
      <c r="DF652" s="537"/>
      <c r="DG652" s="537"/>
      <c r="DH652" s="537"/>
      <c r="DI652" s="537"/>
      <c r="DJ652" s="537"/>
      <c r="DK652" s="537"/>
      <c r="DL652" s="537"/>
      <c r="DM652" s="537"/>
      <c r="DN652" s="540"/>
      <c r="DO652" s="537"/>
      <c r="DP652" s="537"/>
      <c r="DQ652" s="537"/>
      <c r="DR652" s="537"/>
      <c r="DS652" s="537"/>
      <c r="DT652" s="537"/>
      <c r="DU652" s="537"/>
      <c r="DV652" s="537"/>
      <c r="DW652" s="537"/>
      <c r="DX652" s="537"/>
      <c r="DY652" s="537"/>
      <c r="DZ652" s="540"/>
      <c r="EA652" s="537"/>
      <c r="EB652" s="537"/>
      <c r="EC652" s="537"/>
      <c r="ED652" s="537"/>
      <c r="EE652" s="537"/>
      <c r="EF652" s="537"/>
      <c r="EG652" s="537"/>
      <c r="EH652" s="537"/>
      <c r="EI652" s="537"/>
      <c r="EJ652" s="537"/>
      <c r="EK652" s="537"/>
      <c r="EL652" s="540"/>
      <c r="EM652" s="537"/>
      <c r="EN652" s="537"/>
      <c r="EO652" s="537"/>
      <c r="EP652" s="537"/>
      <c r="EQ652" s="537"/>
      <c r="ER652" s="537"/>
      <c r="ES652" s="537"/>
      <c r="ET652" s="537"/>
      <c r="EU652" s="537"/>
      <c r="EV652" s="537"/>
      <c r="EW652" s="537"/>
      <c r="EX652" s="540"/>
      <c r="EY652" s="537"/>
      <c r="EZ652" s="537"/>
      <c r="FA652" s="537"/>
      <c r="FB652" s="537"/>
      <c r="FC652" s="537"/>
      <c r="FD652" s="537"/>
      <c r="FE652" s="537"/>
      <c r="FF652" s="537"/>
      <c r="FG652" s="537"/>
      <c r="FH652" s="537"/>
      <c r="FI652" s="537"/>
      <c r="FJ652" s="540"/>
      <c r="FK652" s="537"/>
      <c r="FL652" s="537"/>
      <c r="FM652" s="537"/>
      <c r="FN652" s="537"/>
      <c r="FO652" s="537"/>
      <c r="FP652" s="537"/>
      <c r="FQ652" s="537"/>
      <c r="FR652" s="537"/>
      <c r="FS652" s="537"/>
      <c r="FT652" s="537"/>
      <c r="FU652" s="537"/>
      <c r="FV652" s="537"/>
      <c r="FW652" s="537"/>
      <c r="FX652" s="537"/>
      <c r="FY652" s="537"/>
      <c r="FZ652" s="537"/>
      <c r="GA652" s="537"/>
      <c r="GB652" s="537"/>
      <c r="GC652" s="537"/>
      <c r="GD652" s="537"/>
      <c r="GE652" s="537"/>
      <c r="GF652" s="537"/>
      <c r="GG652" s="537"/>
      <c r="GH652" s="537"/>
      <c r="GI652" s="537"/>
      <c r="GJ652" s="537"/>
      <c r="GK652" s="537"/>
      <c r="GL652" s="537"/>
      <c r="GM652" s="537"/>
      <c r="GN652" s="537"/>
      <c r="GO652" s="537"/>
      <c r="GP652" s="537"/>
      <c r="GQ652" s="537"/>
      <c r="GR652" s="537"/>
      <c r="GS652" s="537"/>
      <c r="GT652" s="537"/>
      <c r="GU652" s="537"/>
      <c r="GV652" s="537"/>
      <c r="GW652" s="537"/>
      <c r="GX652" s="537"/>
      <c r="GY652" s="537"/>
      <c r="GZ652" s="537"/>
      <c r="HA652" s="537"/>
      <c r="HB652" s="537"/>
      <c r="HC652" s="537"/>
      <c r="HD652" s="537"/>
      <c r="HE652" s="537"/>
      <c r="HF652" s="537"/>
      <c r="HG652" s="537"/>
      <c r="HH652" s="537"/>
      <c r="HI652" s="537"/>
      <c r="HJ652" s="537"/>
      <c r="HK652" s="537"/>
      <c r="HL652" s="537"/>
      <c r="HM652" s="537"/>
      <c r="HO652" s="537"/>
      <c r="HP652" s="537"/>
      <c r="HQ652" s="537"/>
      <c r="HR652" s="537"/>
      <c r="HU652" s="537"/>
      <c r="HX652" s="545"/>
      <c r="IA652" s="545"/>
      <c r="ID652" s="544"/>
      <c r="IG652" s="544"/>
      <c r="IH652" s="350"/>
      <c r="II652" s="350"/>
      <c r="IJ652" s="544"/>
      <c r="IK652" s="350"/>
      <c r="IL652" s="350"/>
      <c r="IM652" s="544"/>
      <c r="IN652" s="350"/>
      <c r="IO652" s="350"/>
      <c r="IP652" s="544"/>
      <c r="IQ652" s="350"/>
      <c r="IR652" s="350"/>
      <c r="IS652" s="544"/>
      <c r="IT652" s="350"/>
      <c r="IU652" s="350"/>
      <c r="IV652" s="544"/>
      <c r="IW652" s="350"/>
      <c r="IX652" s="350"/>
      <c r="IY652" s="544"/>
    </row>
    <row r="653" spans="1:302">
      <c r="A653" s="302"/>
      <c r="D653" s="542" t="str">
        <f>+FISC!D906</f>
        <v xml:space="preserve">              project loans (gross)</v>
      </c>
      <c r="E653" s="537"/>
      <c r="F653" s="537"/>
      <c r="G653" s="537"/>
      <c r="H653" s="537"/>
      <c r="I653" s="537"/>
      <c r="J653" s="537"/>
      <c r="K653" s="537"/>
      <c r="L653" s="537"/>
      <c r="M653" s="537"/>
      <c r="N653" s="537"/>
      <c r="O653" s="537"/>
      <c r="P653" s="537"/>
      <c r="Q653" s="537"/>
      <c r="R653" s="537"/>
      <c r="S653" s="537"/>
      <c r="T653" s="537"/>
      <c r="U653" s="537"/>
      <c r="V653" s="537"/>
      <c r="W653" s="537"/>
      <c r="X653" s="537"/>
      <c r="Y653" s="537"/>
      <c r="Z653" s="537"/>
      <c r="AA653" s="537"/>
      <c r="AB653" s="537"/>
      <c r="AC653" s="537"/>
      <c r="AD653" s="537"/>
      <c r="AE653" s="537"/>
      <c r="AF653" s="537"/>
      <c r="AG653" s="537"/>
      <c r="AH653" s="537"/>
      <c r="AI653" s="537"/>
      <c r="AJ653" s="537"/>
      <c r="AK653" s="537"/>
      <c r="AL653" s="537"/>
      <c r="AM653" s="537"/>
      <c r="AN653" s="537"/>
      <c r="AO653" s="537"/>
      <c r="AP653" s="537"/>
      <c r="AQ653" s="537"/>
      <c r="AR653" s="537"/>
      <c r="AS653" s="537"/>
      <c r="AT653" s="537"/>
      <c r="AU653" s="537"/>
      <c r="AV653" s="537"/>
      <c r="AW653" s="537"/>
      <c r="AX653" s="537"/>
      <c r="AY653" s="537"/>
      <c r="AZ653" s="537"/>
      <c r="BA653" s="537"/>
      <c r="BB653" s="537"/>
      <c r="BC653" s="537"/>
      <c r="BD653" s="537"/>
      <c r="BE653" s="537"/>
      <c r="BF653" s="537"/>
      <c r="BG653" s="537"/>
      <c r="BH653" s="537"/>
      <c r="BI653" s="537"/>
      <c r="BJ653" s="537"/>
      <c r="BK653" s="537"/>
      <c r="BL653" s="537"/>
      <c r="BM653" s="537"/>
      <c r="BN653" s="537"/>
      <c r="BO653" s="537"/>
      <c r="BP653" s="537"/>
      <c r="BQ653" s="537"/>
      <c r="BR653" s="537"/>
      <c r="BS653" s="537"/>
      <c r="BT653" s="537"/>
      <c r="BU653" s="537"/>
      <c r="BV653" s="537"/>
      <c r="BW653" s="537"/>
      <c r="BX653" s="537"/>
      <c r="BY653" s="537"/>
      <c r="BZ653" s="537"/>
      <c r="CA653" s="537"/>
      <c r="CB653" s="537"/>
      <c r="CC653" s="537"/>
      <c r="CD653" s="539"/>
      <c r="CE653" s="537"/>
      <c r="CF653" s="537"/>
      <c r="CG653" s="537"/>
      <c r="CH653" s="537"/>
      <c r="CI653" s="537"/>
      <c r="CJ653" s="537"/>
      <c r="CK653" s="537"/>
      <c r="CL653" s="537"/>
      <c r="CM653" s="537"/>
      <c r="CN653" s="537"/>
      <c r="CO653" s="537"/>
      <c r="CP653" s="540"/>
      <c r="CQ653" s="537"/>
      <c r="CR653" s="537"/>
      <c r="CS653" s="537"/>
      <c r="CT653" s="537"/>
      <c r="CU653" s="537"/>
      <c r="CV653" s="537"/>
      <c r="CW653" s="537"/>
      <c r="CX653" s="537"/>
      <c r="CY653" s="537"/>
      <c r="CZ653" s="537"/>
      <c r="DA653" s="537"/>
      <c r="DB653" s="1516"/>
      <c r="DC653" s="537"/>
      <c r="DD653" s="537"/>
      <c r="DE653" s="537"/>
      <c r="DF653" s="537"/>
      <c r="DG653" s="537"/>
      <c r="DH653" s="537"/>
      <c r="DI653" s="537"/>
      <c r="DJ653" s="537"/>
      <c r="DK653" s="537"/>
      <c r="DL653" s="537"/>
      <c r="DM653" s="537"/>
      <c r="DN653" s="540"/>
      <c r="DO653" s="537"/>
      <c r="DP653" s="537"/>
      <c r="DQ653" s="537"/>
      <c r="DR653" s="537"/>
      <c r="DS653" s="537"/>
      <c r="DT653" s="537"/>
      <c r="DU653" s="537"/>
      <c r="DV653" s="537"/>
      <c r="DW653" s="537"/>
      <c r="DX653" s="537"/>
      <c r="DY653" s="537"/>
      <c r="DZ653" s="540"/>
      <c r="EA653" s="537"/>
      <c r="EB653" s="537"/>
      <c r="EC653" s="537"/>
      <c r="ED653" s="537"/>
      <c r="EE653" s="537"/>
      <c r="EF653" s="537"/>
      <c r="EG653" s="537"/>
      <c r="EH653" s="537"/>
      <c r="EI653" s="537"/>
      <c r="EJ653" s="537"/>
      <c r="EK653" s="537"/>
      <c r="EL653" s="540"/>
      <c r="EM653" s="537"/>
      <c r="EN653" s="537"/>
      <c r="EO653" s="537"/>
      <c r="EP653" s="537"/>
      <c r="EQ653" s="537"/>
      <c r="ER653" s="537"/>
      <c r="ES653" s="537"/>
      <c r="ET653" s="537"/>
      <c r="EU653" s="537"/>
      <c r="EV653" s="537"/>
      <c r="EW653" s="537"/>
      <c r="EX653" s="540"/>
      <c r="EY653" s="537"/>
      <c r="EZ653" s="537"/>
      <c r="FA653" s="537"/>
      <c r="FB653" s="537"/>
      <c r="FC653" s="537"/>
      <c r="FD653" s="537"/>
      <c r="FE653" s="537"/>
      <c r="FF653" s="537"/>
      <c r="FG653" s="537"/>
      <c r="FH653" s="537"/>
      <c r="FI653" s="537"/>
      <c r="FJ653" s="540"/>
      <c r="FK653" s="537"/>
      <c r="FL653" s="537"/>
      <c r="FM653" s="537"/>
      <c r="FN653" s="537"/>
      <c r="FO653" s="537"/>
      <c r="FP653" s="537"/>
      <c r="FQ653" s="537"/>
      <c r="FR653" s="537"/>
      <c r="FS653" s="537"/>
      <c r="FT653" s="537"/>
      <c r="FU653" s="537"/>
      <c r="FV653" s="537"/>
      <c r="FW653" s="537"/>
      <c r="FX653" s="537"/>
      <c r="FY653" s="537"/>
      <c r="FZ653" s="537"/>
      <c r="GA653" s="537"/>
      <c r="GB653" s="537"/>
      <c r="GC653" s="537"/>
      <c r="GD653" s="537"/>
      <c r="GE653" s="537"/>
      <c r="GF653" s="537"/>
      <c r="GG653" s="537"/>
      <c r="GH653" s="537"/>
      <c r="GI653" s="537"/>
      <c r="GJ653" s="537"/>
      <c r="GK653" s="537"/>
      <c r="GL653" s="537"/>
      <c r="GM653" s="537"/>
      <c r="GN653" s="537"/>
      <c r="GO653" s="537"/>
      <c r="GP653" s="537"/>
      <c r="GQ653" s="537"/>
      <c r="GR653" s="537"/>
      <c r="GS653" s="537"/>
      <c r="GT653" s="537"/>
      <c r="GU653" s="537"/>
      <c r="GV653" s="537"/>
      <c r="GW653" s="537"/>
      <c r="GX653" s="537"/>
      <c r="GY653" s="537"/>
      <c r="GZ653" s="537"/>
      <c r="HA653" s="537"/>
      <c r="HB653" s="537"/>
      <c r="HC653" s="537"/>
      <c r="HD653" s="537"/>
      <c r="HE653" s="537"/>
      <c r="HF653" s="537"/>
      <c r="HG653" s="537"/>
      <c r="HH653" s="537"/>
      <c r="HI653" s="537"/>
      <c r="HJ653" s="537"/>
      <c r="HK653" s="537"/>
      <c r="HL653" s="537"/>
      <c r="HM653" s="537"/>
      <c r="HO653" s="537"/>
      <c r="HP653" s="537"/>
      <c r="HQ653" s="537"/>
      <c r="HR653" s="537"/>
      <c r="HU653" s="537"/>
      <c r="HX653" s="545"/>
      <c r="IA653" s="545"/>
      <c r="ID653" s="544"/>
      <c r="IG653" s="544"/>
      <c r="IH653" s="350"/>
      <c r="II653" s="350"/>
      <c r="IJ653" s="544"/>
      <c r="IK653" s="350"/>
      <c r="IL653" s="350"/>
      <c r="IM653" s="544"/>
      <c r="IN653" s="350"/>
      <c r="IO653" s="350"/>
      <c r="IP653" s="544"/>
      <c r="IQ653" s="350"/>
      <c r="IR653" s="350"/>
      <c r="IS653" s="544"/>
      <c r="IT653" s="350"/>
      <c r="IU653" s="350"/>
      <c r="IV653" s="544"/>
      <c r="IW653" s="350"/>
      <c r="IX653" s="350"/>
      <c r="IY653" s="544"/>
    </row>
    <row r="654" spans="1:302">
      <c r="A654" s="302"/>
      <c r="B654" s="117" t="s">
        <v>361</v>
      </c>
      <c r="D654" s="542" t="str">
        <f>D$596</f>
        <v>Net domestic financing</v>
      </c>
      <c r="E654" s="537">
        <f>E$596</f>
        <v>3.3985952380779314</v>
      </c>
      <c r="F654" s="537">
        <f t="shared" ref="F654:L654" si="631">F$596</f>
        <v>9.2998979970267985</v>
      </c>
      <c r="G654" s="537">
        <f t="shared" si="631"/>
        <v>11.516824383664195</v>
      </c>
      <c r="H654" s="537">
        <f t="shared" si="631"/>
        <v>6.2476395107067049</v>
      </c>
      <c r="I654" s="537">
        <f t="shared" si="631"/>
        <v>-18.013913429779802</v>
      </c>
      <c r="J654" s="537">
        <f t="shared" si="631"/>
        <v>-54.064165934400215</v>
      </c>
      <c r="K654" s="537">
        <f t="shared" si="631"/>
        <v>14.645809234535708</v>
      </c>
      <c r="L654" s="537">
        <f t="shared" si="631"/>
        <v>4.9653835292860027</v>
      </c>
      <c r="M654" s="537">
        <f t="shared" ref="M654:AW654" si="632">M$596</f>
        <v>14.408701830078401</v>
      </c>
      <c r="N654" s="537">
        <f t="shared" si="632"/>
        <v>11.643373313300007</v>
      </c>
      <c r="O654" s="537">
        <f t="shared" si="632"/>
        <v>6.3408579906599947</v>
      </c>
      <c r="P654" s="537">
        <f t="shared" si="632"/>
        <v>-15.8843328948</v>
      </c>
      <c r="Q654" s="537">
        <f t="shared" si="632"/>
        <v>-3.9728840997547943</v>
      </c>
      <c r="R654" s="537">
        <f t="shared" si="632"/>
        <v>14.097380114232703</v>
      </c>
      <c r="S654" s="537">
        <f t="shared" si="632"/>
        <v>-39.433969753152986</v>
      </c>
      <c r="T654" s="537">
        <f t="shared" si="632"/>
        <v>25.16263547606</v>
      </c>
      <c r="U654" s="537">
        <f t="shared" si="632"/>
        <v>-16.927548442660505</v>
      </c>
      <c r="V654" s="537">
        <f t="shared" si="632"/>
        <v>-41.149097456732001</v>
      </c>
      <c r="W654" s="537">
        <f t="shared" si="632"/>
        <v>18.302697017590599</v>
      </c>
      <c r="X654" s="537">
        <f t="shared" si="632"/>
        <v>6.6565175943120041</v>
      </c>
      <c r="Y654" s="537">
        <f t="shared" si="632"/>
        <v>3.6098355915280074</v>
      </c>
      <c r="Z654" s="537">
        <f t="shared" si="632"/>
        <v>16.359524329738289</v>
      </c>
      <c r="AA654" s="537">
        <f t="shared" si="632"/>
        <v>25.620377379039802</v>
      </c>
      <c r="AB654" s="537">
        <f t="shared" si="632"/>
        <v>-67.69437469118499</v>
      </c>
      <c r="AC654" s="537">
        <f t="shared" si="632"/>
        <v>21.352505762</v>
      </c>
      <c r="AD654" s="537">
        <f t="shared" si="632"/>
        <v>-0.13600534200000231</v>
      </c>
      <c r="AE654" s="537">
        <f t="shared" si="632"/>
        <v>23.416125643000001</v>
      </c>
      <c r="AF654" s="537">
        <f t="shared" si="632"/>
        <v>-16.210330169999999</v>
      </c>
      <c r="AG654" s="537">
        <f t="shared" si="632"/>
        <v>11.471898870999997</v>
      </c>
      <c r="AH654" s="537">
        <f t="shared" si="632"/>
        <v>-45.741334597999973</v>
      </c>
      <c r="AI654" s="537">
        <f t="shared" si="632"/>
        <v>-9.0578524149999957</v>
      </c>
      <c r="AJ654" s="537">
        <f t="shared" si="632"/>
        <v>25.527026363999994</v>
      </c>
      <c r="AK654" s="537">
        <f t="shared" si="632"/>
        <v>-15.541188822999985</v>
      </c>
      <c r="AL654" s="537">
        <f t="shared" si="632"/>
        <v>-18.152366992999998</v>
      </c>
      <c r="AM654" s="537">
        <f t="shared" si="632"/>
        <v>25.816195620000009</v>
      </c>
      <c r="AN654" s="537">
        <f t="shared" si="632"/>
        <v>-1.9170796019999852</v>
      </c>
      <c r="AO654" s="537">
        <f t="shared" si="632"/>
        <v>-6.2510251935772461</v>
      </c>
      <c r="AP654" s="537">
        <f t="shared" si="632"/>
        <v>9.8349284088943101</v>
      </c>
      <c r="AQ654" s="537">
        <f t="shared" si="632"/>
        <v>4.2405595238819611</v>
      </c>
      <c r="AR654" s="537">
        <f t="shared" si="632"/>
        <v>16.327427416045406</v>
      </c>
      <c r="AS654" s="537">
        <f t="shared" si="632"/>
        <v>7.7633054718150838</v>
      </c>
      <c r="AT654" s="537">
        <f t="shared" si="632"/>
        <v>-43.057766096123146</v>
      </c>
      <c r="AU654" s="537">
        <f t="shared" si="632"/>
        <v>9.4577143252400013</v>
      </c>
      <c r="AV654" s="537">
        <f t="shared" si="632"/>
        <v>35.452255937880011</v>
      </c>
      <c r="AW654" s="537">
        <f t="shared" si="632"/>
        <v>-40.489017357449995</v>
      </c>
      <c r="AX654" s="537">
        <f t="shared" ref="AX654:BP654" si="633">AX$596</f>
        <v>31.429712341639988</v>
      </c>
      <c r="AY654" s="537">
        <f t="shared" si="633"/>
        <v>7.0068409957141897</v>
      </c>
      <c r="AZ654" s="537">
        <f t="shared" si="633"/>
        <v>-43.615841924962993</v>
      </c>
      <c r="BA654" s="537">
        <f t="shared" si="633"/>
        <v>-2.3517793430000085</v>
      </c>
      <c r="BB654" s="537">
        <f t="shared" si="633"/>
        <v>7.9077166799999983</v>
      </c>
      <c r="BC654" s="537">
        <f t="shared" si="633"/>
        <v>37.060328516000013</v>
      </c>
      <c r="BD654" s="537">
        <f t="shared" si="633"/>
        <v>-35.899823181759984</v>
      </c>
      <c r="BE654" s="537">
        <f t="shared" si="633"/>
        <v>29.951662761769992</v>
      </c>
      <c r="BF654" s="537">
        <f t="shared" si="633"/>
        <v>28.10170457100001</v>
      </c>
      <c r="BG654" s="537">
        <f t="shared" si="633"/>
        <v>-23.641803266800011</v>
      </c>
      <c r="BH654" s="537">
        <f t="shared" si="633"/>
        <v>-36.812236439890015</v>
      </c>
      <c r="BI654" s="537">
        <f t="shared" si="633"/>
        <v>-21.734622351500022</v>
      </c>
      <c r="BJ654" s="537">
        <f t="shared" si="633"/>
        <v>-60.706458082340006</v>
      </c>
      <c r="BK654" s="537">
        <f t="shared" si="633"/>
        <v>34.559707768000024</v>
      </c>
      <c r="BL654" s="537">
        <f t="shared" si="633"/>
        <v>-65.313882094000007</v>
      </c>
      <c r="BM654" s="537">
        <f t="shared" si="633"/>
        <v>17.769783936890015</v>
      </c>
      <c r="BN654" s="537">
        <f t="shared" si="633"/>
        <v>16.564837180729999</v>
      </c>
      <c r="BO654" s="537">
        <f t="shared" si="633"/>
        <v>39.005870830999996</v>
      </c>
      <c r="BP654" s="537">
        <f t="shared" si="633"/>
        <v>30.784395081910031</v>
      </c>
      <c r="BQ654" s="537">
        <f t="shared" ref="BQ654:DT654" si="634">BQ$596</f>
        <v>39.633908634850002</v>
      </c>
      <c r="BR654" s="537">
        <f t="shared" si="634"/>
        <v>1.5135633109542486</v>
      </c>
      <c r="BS654" s="537">
        <f t="shared" si="634"/>
        <v>-51.742099451901652</v>
      </c>
      <c r="BT654" s="537">
        <f t="shared" si="634"/>
        <v>6.4092905400688815</v>
      </c>
      <c r="BU654" s="537">
        <f t="shared" si="634"/>
        <v>37.151897323727887</v>
      </c>
      <c r="BV654" s="537">
        <f t="shared" si="634"/>
        <v>4.3162266734518848</v>
      </c>
      <c r="BW654" s="537">
        <f t="shared" si="634"/>
        <v>-23.600289945276739</v>
      </c>
      <c r="BX654" s="537">
        <f t="shared" si="634"/>
        <v>-65.478835017693868</v>
      </c>
      <c r="BY654" s="537">
        <f t="shared" si="634"/>
        <v>26.293153700906526</v>
      </c>
      <c r="BZ654" s="537">
        <f t="shared" si="634"/>
        <v>19.490525906617094</v>
      </c>
      <c r="CA654" s="537">
        <f t="shared" si="634"/>
        <v>-55.549898785757598</v>
      </c>
      <c r="CB654" s="537">
        <f t="shared" si="634"/>
        <v>32.326340549438086</v>
      </c>
      <c r="CC654" s="537">
        <f t="shared" si="634"/>
        <v>91.511362392529762</v>
      </c>
      <c r="CD654" s="539">
        <f t="shared" si="634"/>
        <v>-90.219466210144134</v>
      </c>
      <c r="CE654" s="537">
        <f t="shared" si="634"/>
        <v>-48.676024530513665</v>
      </c>
      <c r="CF654" s="537">
        <f t="shared" si="634"/>
        <v>14.87229584848064</v>
      </c>
      <c r="CG654" s="537">
        <f t="shared" si="634"/>
        <v>-41.423280011744637</v>
      </c>
      <c r="CH654" s="537">
        <f t="shared" si="634"/>
        <v>33.708219457028662</v>
      </c>
      <c r="CI654" s="537">
        <f t="shared" si="634"/>
        <v>18.845999615645546</v>
      </c>
      <c r="CJ654" s="537">
        <f t="shared" si="634"/>
        <v>-22.472552960669596</v>
      </c>
      <c r="CK654" s="537">
        <f t="shared" si="634"/>
        <v>25.251482231060667</v>
      </c>
      <c r="CL654" s="537">
        <f t="shared" si="634"/>
        <v>16.141239820024456</v>
      </c>
      <c r="CM654" s="537">
        <f t="shared" si="634"/>
        <v>11.611658253140829</v>
      </c>
      <c r="CN654" s="537">
        <f t="shared" si="634"/>
        <v>51.310244885528149</v>
      </c>
      <c r="CO654" s="537">
        <f t="shared" si="634"/>
        <v>6.941624222591571</v>
      </c>
      <c r="CP654" s="540">
        <f t="shared" si="634"/>
        <v>33.487758300310354</v>
      </c>
      <c r="CQ654" s="537">
        <f t="shared" si="634"/>
        <v>-17.020268294634384</v>
      </c>
      <c r="CR654" s="537">
        <f t="shared" si="634"/>
        <v>24.787145228813941</v>
      </c>
      <c r="CS654" s="537">
        <f t="shared" si="634"/>
        <v>32.62811460040556</v>
      </c>
      <c r="CT654" s="537">
        <f t="shared" si="634"/>
        <v>25.090853968634114</v>
      </c>
      <c r="CU654" s="537">
        <f t="shared" si="634"/>
        <v>0.88970047659143603</v>
      </c>
      <c r="CV654" s="537">
        <f t="shared" si="634"/>
        <v>-118.42980301391525</v>
      </c>
      <c r="CW654" s="537">
        <f t="shared" si="634"/>
        <v>21.35131870282321</v>
      </c>
      <c r="CX654" s="537">
        <f t="shared" si="634"/>
        <v>5.2050394811529213</v>
      </c>
      <c r="CY654" s="537">
        <f t="shared" si="634"/>
        <v>-4.5602298581177054</v>
      </c>
      <c r="CZ654" s="537">
        <f t="shared" si="634"/>
        <v>20.962678424001311</v>
      </c>
      <c r="DA654" s="537">
        <f t="shared" si="634"/>
        <v>28.810480108598611</v>
      </c>
      <c r="DB654" s="1516">
        <f t="shared" si="634"/>
        <v>37.751951811483643</v>
      </c>
      <c r="DC654" s="537">
        <f t="shared" si="634"/>
        <v>-20.682880446004212</v>
      </c>
      <c r="DD654" s="537">
        <f t="shared" si="634"/>
        <v>36.107799488995575</v>
      </c>
      <c r="DE654" s="537">
        <f t="shared" si="634"/>
        <v>-41.801621006976596</v>
      </c>
      <c r="DF654" s="537">
        <f t="shared" si="634"/>
        <v>36.257283096242986</v>
      </c>
      <c r="DG654" s="537">
        <f t="shared" si="634"/>
        <v>-10.448141939469142</v>
      </c>
      <c r="DH654" s="537">
        <f t="shared" si="634"/>
        <v>-77.971889906901197</v>
      </c>
      <c r="DI654" s="537">
        <f t="shared" si="634"/>
        <v>63.795326566291905</v>
      </c>
      <c r="DJ654" s="537">
        <f t="shared" si="634"/>
        <v>19.097021386985485</v>
      </c>
      <c r="DK654" s="537">
        <f t="shared" si="634"/>
        <v>-44.627080589793117</v>
      </c>
      <c r="DL654" s="537">
        <f t="shared" si="634"/>
        <v>25.990661298897741</v>
      </c>
      <c r="DM654" s="537">
        <f t="shared" si="634"/>
        <v>20.786432652388573</v>
      </c>
      <c r="DN654" s="540">
        <f t="shared" si="634"/>
        <v>9.6892621397448409</v>
      </c>
      <c r="DO654" s="537">
        <f t="shared" si="634"/>
        <v>-21.093013536440399</v>
      </c>
      <c r="DP654" s="537">
        <f t="shared" si="634"/>
        <v>20.907133616416381</v>
      </c>
      <c r="DQ654" s="537">
        <f t="shared" si="634"/>
        <v>-47.020961539387798</v>
      </c>
      <c r="DR654" s="537">
        <f t="shared" si="634"/>
        <v>4.0940808819227259</v>
      </c>
      <c r="DS654" s="537">
        <f t="shared" si="634"/>
        <v>27.000719059530809</v>
      </c>
      <c r="DT654" s="537">
        <f t="shared" si="634"/>
        <v>-56.538026913373365</v>
      </c>
      <c r="DU654" s="537"/>
      <c r="DV654" s="537"/>
      <c r="DW654" s="537"/>
      <c r="DX654" s="537"/>
      <c r="DY654" s="537"/>
      <c r="DZ654" s="540"/>
      <c r="EA654" s="537"/>
      <c r="EB654" s="537"/>
      <c r="EC654" s="537"/>
      <c r="ED654" s="537"/>
      <c r="EE654" s="537"/>
      <c r="EF654" s="537"/>
      <c r="EG654" s="537"/>
      <c r="EH654" s="537"/>
      <c r="EI654" s="537"/>
      <c r="EJ654" s="537"/>
      <c r="EK654" s="537"/>
      <c r="EL654" s="540"/>
      <c r="EM654" s="537"/>
      <c r="EN654" s="537"/>
      <c r="EO654" s="537"/>
      <c r="EP654" s="537"/>
      <c r="EQ654" s="537"/>
      <c r="ER654" s="537"/>
      <c r="ES654" s="537"/>
      <c r="ET654" s="537"/>
      <c r="EU654" s="537"/>
      <c r="EV654" s="537"/>
      <c r="EW654" s="537"/>
      <c r="EX654" s="540"/>
      <c r="EY654" s="537"/>
      <c r="EZ654" s="537"/>
      <c r="FA654" s="537"/>
      <c r="FB654" s="537"/>
      <c r="FC654" s="537"/>
      <c r="FD654" s="537"/>
      <c r="FE654" s="537"/>
      <c r="FF654" s="537"/>
      <c r="FG654" s="537"/>
      <c r="FH654" s="537"/>
      <c r="FI654" s="537"/>
      <c r="FJ654" s="540"/>
      <c r="FK654" s="537"/>
      <c r="FL654" s="537"/>
      <c r="FM654" s="537"/>
      <c r="FN654" s="537"/>
      <c r="FO654" s="537"/>
      <c r="FP654" s="537"/>
      <c r="FQ654" s="537"/>
      <c r="FR654" s="537"/>
      <c r="FS654" s="537"/>
      <c r="FT654" s="537"/>
      <c r="FU654" s="537"/>
      <c r="FV654" s="537"/>
      <c r="FW654" s="537"/>
      <c r="FX654" s="537"/>
      <c r="FY654" s="537"/>
      <c r="FZ654" s="537"/>
      <c r="GA654" s="537"/>
      <c r="GB654" s="537"/>
      <c r="GC654" s="537"/>
      <c r="GD654" s="537"/>
      <c r="GE654" s="537"/>
      <c r="GF654" s="537"/>
      <c r="GG654" s="537"/>
      <c r="GH654" s="537"/>
      <c r="GI654" s="537"/>
      <c r="GJ654" s="537"/>
      <c r="GK654" s="537"/>
      <c r="GL654" s="537"/>
      <c r="GM654" s="537"/>
      <c r="GN654" s="537"/>
      <c r="GO654" s="537"/>
      <c r="GP654" s="537"/>
      <c r="GQ654" s="537"/>
      <c r="GR654" s="537"/>
      <c r="GS654" s="537"/>
      <c r="GT654" s="537"/>
      <c r="GU654" s="537"/>
      <c r="GV654" s="537"/>
      <c r="GW654" s="537"/>
      <c r="GX654" s="537"/>
      <c r="GY654" s="537"/>
      <c r="GZ654" s="537"/>
      <c r="HA654" s="537"/>
      <c r="HB654" s="537"/>
      <c r="HC654" s="537"/>
      <c r="HD654" s="537"/>
      <c r="HE654" s="537"/>
      <c r="HF654" s="537"/>
      <c r="HG654" s="537"/>
      <c r="HH654" s="537"/>
      <c r="HI654" s="537"/>
      <c r="HJ654" s="537"/>
      <c r="HK654" s="537"/>
      <c r="HL654" s="537"/>
      <c r="HM654" s="537"/>
      <c r="HO654" s="537"/>
      <c r="HP654" s="537"/>
      <c r="HQ654" s="537"/>
      <c r="HR654" s="537">
        <f t="shared" ref="HR654:HW654" si="635">HR$596</f>
        <v>9.2999999999999972</v>
      </c>
      <c r="HS654" s="302">
        <f t="shared" si="635"/>
        <v>-75.054257034104651</v>
      </c>
      <c r="HT654" s="302">
        <f t="shared" si="635"/>
        <v>109.52123866994199</v>
      </c>
      <c r="HU654" s="537">
        <f t="shared" si="635"/>
        <v>34.466981635837442</v>
      </c>
      <c r="HV654" s="302">
        <f t="shared" si="635"/>
        <v>-78.13615325913635</v>
      </c>
      <c r="HW654" s="302">
        <f t="shared" si="635"/>
        <v>125.22299616226169</v>
      </c>
      <c r="HX654" s="545">
        <f>HX$596</f>
        <v>47.086842903125344</v>
      </c>
      <c r="HY654" s="302">
        <f>HY$596</f>
        <v>-72.650068431331647</v>
      </c>
      <c r="IA654" s="545">
        <f>IA$596</f>
        <v>58.533055189047047</v>
      </c>
      <c r="ID654" s="544">
        <f>ID$596</f>
        <v>42.957634732946076</v>
      </c>
      <c r="IG654" s="544">
        <f>IG$596</f>
        <v>54.068706620315851</v>
      </c>
      <c r="IH654" s="350"/>
      <c r="II654" s="350"/>
      <c r="IJ654" s="544">
        <f>IJ$596</f>
        <v>88.652325063023426</v>
      </c>
      <c r="IK654" s="350"/>
      <c r="IL654" s="350"/>
      <c r="IM654" s="544">
        <f>IM$596</f>
        <v>265.5799971589999</v>
      </c>
      <c r="IN654" s="350"/>
      <c r="IO654" s="350" t="e">
        <f>IO$596</f>
        <v>#REF!</v>
      </c>
      <c r="IP654" s="544" t="e">
        <f>#REF!</f>
        <v>#REF!</v>
      </c>
      <c r="IQ654" s="350">
        <f>IS$596</f>
        <v>160.5414257031031</v>
      </c>
      <c r="IR654" s="350">
        <f>IR$596</f>
        <v>3643.0516679003849</v>
      </c>
      <c r="IS654" s="544"/>
      <c r="IT654" s="350"/>
      <c r="IU654" s="350"/>
      <c r="IV654" s="544"/>
      <c r="IW654" s="350"/>
      <c r="IX654" s="350"/>
      <c r="IY654" s="544"/>
      <c r="KM654" s="302">
        <f>KM$596</f>
        <v>0</v>
      </c>
      <c r="KN654" s="302">
        <f>KN$596</f>
        <v>0</v>
      </c>
      <c r="KO654" s="302">
        <f>KO$596</f>
        <v>0</v>
      </c>
      <c r="KP654" s="302">
        <f>KP$596</f>
        <v>0</v>
      </c>
    </row>
    <row r="655" spans="1:302">
      <c r="A655" s="302"/>
      <c r="D655" s="542" t="str">
        <f>+FISC!D909</f>
        <v xml:space="preserve">    Net bank financing</v>
      </c>
      <c r="E655" s="537"/>
      <c r="F655" s="537"/>
      <c r="G655" s="537"/>
      <c r="H655" s="537"/>
      <c r="I655" s="537"/>
      <c r="J655" s="537"/>
      <c r="K655" s="537"/>
      <c r="L655" s="537"/>
      <c r="M655" s="537"/>
      <c r="N655" s="537"/>
      <c r="O655" s="537"/>
      <c r="P655" s="537"/>
      <c r="Q655" s="537"/>
      <c r="R655" s="537"/>
      <c r="S655" s="537"/>
      <c r="T655" s="537"/>
      <c r="U655" s="537"/>
      <c r="V655" s="537"/>
      <c r="W655" s="537"/>
      <c r="X655" s="537"/>
      <c r="Y655" s="537"/>
      <c r="Z655" s="537"/>
      <c r="AA655" s="537"/>
      <c r="AB655" s="537"/>
      <c r="AC655" s="537"/>
      <c r="AD655" s="537"/>
      <c r="AE655" s="537"/>
      <c r="AF655" s="537"/>
      <c r="AG655" s="537"/>
      <c r="AH655" s="537"/>
      <c r="AI655" s="537"/>
      <c r="AJ655" s="537"/>
      <c r="AK655" s="537"/>
      <c r="AL655" s="537"/>
      <c r="AM655" s="537"/>
      <c r="AN655" s="537"/>
      <c r="AO655" s="537"/>
      <c r="AP655" s="537"/>
      <c r="AQ655" s="537"/>
      <c r="AR655" s="537"/>
      <c r="AS655" s="537"/>
      <c r="AT655" s="537"/>
      <c r="AU655" s="537"/>
      <c r="AV655" s="537"/>
      <c r="AW655" s="537"/>
      <c r="AX655" s="537"/>
      <c r="AY655" s="537"/>
      <c r="AZ655" s="537"/>
      <c r="BA655" s="537"/>
      <c r="BB655" s="537"/>
      <c r="BC655" s="537"/>
      <c r="BD655" s="537"/>
      <c r="BE655" s="537"/>
      <c r="BF655" s="537"/>
      <c r="BG655" s="537"/>
      <c r="BH655" s="537"/>
      <c r="BI655" s="537"/>
      <c r="BJ655" s="537"/>
      <c r="BK655" s="537"/>
      <c r="BL655" s="537"/>
      <c r="BM655" s="537"/>
      <c r="BN655" s="537"/>
      <c r="BO655" s="537"/>
      <c r="BP655" s="537"/>
      <c r="BQ655" s="537"/>
      <c r="BR655" s="537"/>
      <c r="BS655" s="537"/>
      <c r="BT655" s="537"/>
      <c r="BU655" s="537"/>
      <c r="BV655" s="537"/>
      <c r="BW655" s="537"/>
      <c r="BX655" s="537"/>
      <c r="BY655" s="537"/>
      <c r="BZ655" s="537"/>
      <c r="CA655" s="537"/>
      <c r="CB655" s="537"/>
      <c r="CC655" s="537"/>
      <c r="CD655" s="537"/>
      <c r="CE655" s="537"/>
      <c r="CF655" s="537"/>
      <c r="CG655" s="537"/>
      <c r="CH655" s="537"/>
      <c r="CI655" s="537"/>
      <c r="CJ655" s="537"/>
      <c r="CK655" s="537"/>
      <c r="CL655" s="537"/>
      <c r="CM655" s="537"/>
      <c r="CN655" s="537"/>
      <c r="CO655" s="537"/>
      <c r="CP655" s="540"/>
      <c r="CQ655" s="537"/>
      <c r="CR655" s="537"/>
      <c r="CS655" s="537"/>
      <c r="CT655" s="537"/>
      <c r="CU655" s="537"/>
      <c r="CV655" s="537"/>
      <c r="CW655" s="537"/>
      <c r="CX655" s="537"/>
      <c r="CY655" s="537"/>
      <c r="CZ655" s="537"/>
      <c r="DA655" s="537"/>
      <c r="DB655" s="1516"/>
      <c r="DC655" s="537">
        <f>+DC597</f>
        <v>3.6101350954144777</v>
      </c>
      <c r="DD655" s="537">
        <f t="shared" ref="DD655:DN655" si="636">+DD597</f>
        <v>12.161574197082246</v>
      </c>
      <c r="DE655" s="537">
        <f t="shared" si="636"/>
        <v>-42.106457005131659</v>
      </c>
      <c r="DF655" s="537">
        <f t="shared" si="636"/>
        <v>42.136293127718801</v>
      </c>
      <c r="DG655" s="537">
        <f t="shared" si="636"/>
        <v>-17.122663730923506</v>
      </c>
      <c r="DH655" s="537">
        <f t="shared" si="636"/>
        <v>-84.176418409892165</v>
      </c>
      <c r="DI655" s="537">
        <f t="shared" si="636"/>
        <v>46.596078617294609</v>
      </c>
      <c r="DJ655" s="537">
        <f t="shared" si="636"/>
        <v>-10.275546578094861</v>
      </c>
      <c r="DK655" s="537">
        <f t="shared" si="636"/>
        <v>-2.6376034209590102</v>
      </c>
      <c r="DL655" s="537">
        <f t="shared" si="636"/>
        <v>-32.414948460631706</v>
      </c>
      <c r="DM655" s="537">
        <f t="shared" si="636"/>
        <v>31.05010582154739</v>
      </c>
      <c r="DN655" s="540">
        <f t="shared" si="636"/>
        <v>52.548934250210294</v>
      </c>
      <c r="DO655" s="537">
        <f t="shared" ref="DO655:DT655" si="637">+DO597</f>
        <v>-23.685951171574487</v>
      </c>
      <c r="DP655" s="537">
        <f t="shared" si="637"/>
        <v>-0.10811435058363372</v>
      </c>
      <c r="DQ655" s="537">
        <f t="shared" si="637"/>
        <v>-52.841335186387795</v>
      </c>
      <c r="DR655" s="537">
        <f t="shared" si="637"/>
        <v>-1.893608006240413</v>
      </c>
      <c r="DS655" s="537">
        <f t="shared" si="637"/>
        <v>17.651785444530816</v>
      </c>
      <c r="DT655" s="537">
        <f t="shared" si="637"/>
        <v>-51.29353142037337</v>
      </c>
      <c r="DU655" s="537"/>
      <c r="DV655" s="537"/>
      <c r="DW655" s="537"/>
      <c r="DX655" s="537"/>
      <c r="DY655" s="537"/>
      <c r="DZ655" s="540"/>
      <c r="EA655" s="537"/>
      <c r="EB655" s="537"/>
      <c r="EC655" s="537"/>
      <c r="ED655" s="537"/>
      <c r="EE655" s="537"/>
      <c r="EF655" s="537"/>
      <c r="EG655" s="537"/>
      <c r="EH655" s="537"/>
      <c r="EI655" s="537"/>
      <c r="EJ655" s="537"/>
      <c r="EK655" s="537"/>
      <c r="EL655" s="540"/>
      <c r="EM655" s="537"/>
      <c r="EN655" s="537"/>
      <c r="EO655" s="537"/>
      <c r="EP655" s="537"/>
      <c r="EQ655" s="537"/>
      <c r="ER655" s="537"/>
      <c r="ES655" s="537"/>
      <c r="ET655" s="537"/>
      <c r="EU655" s="537"/>
      <c r="EV655" s="537"/>
      <c r="EW655" s="537"/>
      <c r="EX655" s="540"/>
      <c r="EY655" s="537"/>
      <c r="EZ655" s="537"/>
      <c r="FA655" s="537"/>
      <c r="FB655" s="537"/>
      <c r="FC655" s="537"/>
      <c r="FD655" s="537"/>
      <c r="FE655" s="537"/>
      <c r="FF655" s="537"/>
      <c r="FG655" s="537"/>
      <c r="FH655" s="537"/>
      <c r="FI655" s="537"/>
      <c r="FJ655" s="540"/>
      <c r="FK655" s="537"/>
      <c r="FL655" s="537"/>
      <c r="FM655" s="537"/>
      <c r="FN655" s="537"/>
      <c r="FO655" s="537"/>
      <c r="FP655" s="537"/>
      <c r="FQ655" s="537"/>
      <c r="FR655" s="537"/>
      <c r="FS655" s="537"/>
      <c r="FT655" s="537"/>
      <c r="FU655" s="537"/>
      <c r="FV655" s="537"/>
      <c r="FW655" s="537"/>
      <c r="FX655" s="537"/>
      <c r="FY655" s="537"/>
      <c r="FZ655" s="537"/>
      <c r="GA655" s="537"/>
      <c r="GB655" s="537"/>
      <c r="GC655" s="537"/>
      <c r="GD655" s="537"/>
      <c r="GE655" s="537"/>
      <c r="GF655" s="537"/>
      <c r="GG655" s="537"/>
      <c r="GH655" s="537"/>
      <c r="GI655" s="537"/>
      <c r="GJ655" s="537"/>
      <c r="GK655" s="537"/>
      <c r="GL655" s="537"/>
      <c r="GM655" s="537"/>
      <c r="GN655" s="537"/>
      <c r="GO655" s="537"/>
      <c r="GP655" s="537"/>
      <c r="GQ655" s="537"/>
      <c r="GR655" s="537"/>
      <c r="GS655" s="537"/>
      <c r="GT655" s="537"/>
      <c r="GU655" s="537"/>
      <c r="GV655" s="537"/>
      <c r="GW655" s="537"/>
      <c r="GX655" s="537"/>
      <c r="GY655" s="537"/>
      <c r="GZ655" s="537"/>
      <c r="HA655" s="537"/>
      <c r="HB655" s="537"/>
      <c r="HC655" s="537"/>
      <c r="HD655" s="537"/>
      <c r="HE655" s="537"/>
      <c r="HF655" s="537"/>
      <c r="HG655" s="537"/>
      <c r="HH655" s="537"/>
      <c r="HI655" s="537"/>
      <c r="HJ655" s="537"/>
      <c r="HK655" s="537"/>
      <c r="HL655" s="537"/>
      <c r="HM655" s="537"/>
      <c r="HO655" s="537"/>
      <c r="HP655" s="537"/>
      <c r="HQ655" s="537"/>
      <c r="HR655" s="537">
        <f t="shared" ref="HR655:HY655" si="638">+HR597</f>
        <v>0</v>
      </c>
      <c r="HS655" s="302">
        <f t="shared" si="638"/>
        <v>-8.1489338803312421</v>
      </c>
      <c r="HT655" s="302">
        <f t="shared" si="638"/>
        <v>146.46521094149634</v>
      </c>
      <c r="HU655" s="537">
        <f t="shared" si="638"/>
        <v>138.3162770611651</v>
      </c>
      <c r="HV655" s="302">
        <f t="shared" si="638"/>
        <v>-85.497536725731806</v>
      </c>
      <c r="HW655" s="302">
        <f t="shared" si="638"/>
        <v>84.867020229366716</v>
      </c>
      <c r="HX655" s="545">
        <f t="shared" si="638"/>
        <v>-0.63051649636508955</v>
      </c>
      <c r="HY655" s="302">
        <f t="shared" si="638"/>
        <v>-112.17075469062888</v>
      </c>
      <c r="IA655" s="545">
        <f>IA$596</f>
        <v>58.533055189047047</v>
      </c>
      <c r="ID655" s="545">
        <f>ID$596</f>
        <v>42.957634732946076</v>
      </c>
      <c r="IG655" s="545">
        <f>IG$596</f>
        <v>54.068706620315851</v>
      </c>
      <c r="IH655" s="350"/>
      <c r="II655" s="350"/>
      <c r="IJ655" s="545">
        <f>IJ$596</f>
        <v>88.652325063023426</v>
      </c>
      <c r="IK655" s="350"/>
      <c r="IL655" s="350"/>
      <c r="IM655" s="545">
        <f>IM$596</f>
        <v>265.5799971589999</v>
      </c>
      <c r="IN655" s="350"/>
      <c r="IO655" s="350"/>
      <c r="IP655" s="545"/>
      <c r="IQ655" s="350"/>
      <c r="IR655" s="350"/>
      <c r="IS655" s="545"/>
      <c r="IT655" s="350"/>
      <c r="IU655" s="350"/>
      <c r="IV655" s="545"/>
      <c r="IW655" s="350"/>
      <c r="IX655" s="350"/>
      <c r="IY655" s="545"/>
    </row>
    <row r="656" spans="1:302">
      <c r="A656" s="302"/>
      <c r="D656" s="542" t="str">
        <f>+FISC!D910</f>
        <v xml:space="preserve">        o/w: use of sovereign bond proceeds (KCC, Energy)</v>
      </c>
      <c r="E656" s="537"/>
      <c r="F656" s="537"/>
      <c r="G656" s="537"/>
      <c r="H656" s="537"/>
      <c r="I656" s="537"/>
      <c r="J656" s="537"/>
      <c r="K656" s="537"/>
      <c r="L656" s="537"/>
      <c r="M656" s="537"/>
      <c r="N656" s="537"/>
      <c r="O656" s="537"/>
      <c r="P656" s="537"/>
      <c r="Q656" s="537"/>
      <c r="R656" s="537"/>
      <c r="S656" s="537"/>
      <c r="T656" s="537"/>
      <c r="U656" s="537"/>
      <c r="V656" s="537"/>
      <c r="W656" s="537"/>
      <c r="X656" s="537"/>
      <c r="Y656" s="537"/>
      <c r="Z656" s="537"/>
      <c r="AA656" s="537"/>
      <c r="AB656" s="537"/>
      <c r="AC656" s="537"/>
      <c r="AD656" s="537"/>
      <c r="AE656" s="537"/>
      <c r="AF656" s="537"/>
      <c r="AG656" s="537"/>
      <c r="AH656" s="537"/>
      <c r="AI656" s="537"/>
      <c r="AJ656" s="537"/>
      <c r="AK656" s="537"/>
      <c r="AL656" s="537"/>
      <c r="AM656" s="537"/>
      <c r="AN656" s="537"/>
      <c r="AO656" s="537"/>
      <c r="AP656" s="537"/>
      <c r="AQ656" s="537"/>
      <c r="AR656" s="537"/>
      <c r="AS656" s="537"/>
      <c r="AT656" s="537"/>
      <c r="AU656" s="537"/>
      <c r="AV656" s="537"/>
      <c r="AW656" s="537"/>
      <c r="AX656" s="537"/>
      <c r="AY656" s="537"/>
      <c r="AZ656" s="537"/>
      <c r="BA656" s="537"/>
      <c r="BB656" s="537"/>
      <c r="BC656" s="537"/>
      <c r="BD656" s="537"/>
      <c r="BE656" s="537"/>
      <c r="BF656" s="537"/>
      <c r="BG656" s="537"/>
      <c r="BH656" s="537"/>
      <c r="BI656" s="537"/>
      <c r="BJ656" s="537"/>
      <c r="BK656" s="537"/>
      <c r="BL656" s="537"/>
      <c r="BM656" s="537"/>
      <c r="BN656" s="537"/>
      <c r="BO656" s="537"/>
      <c r="BP656" s="537"/>
      <c r="BQ656" s="537"/>
      <c r="BR656" s="537"/>
      <c r="BS656" s="537"/>
      <c r="BT656" s="537"/>
      <c r="BU656" s="537"/>
      <c r="BV656" s="537"/>
      <c r="BW656" s="537"/>
      <c r="BX656" s="537"/>
      <c r="BY656" s="537"/>
      <c r="BZ656" s="537"/>
      <c r="CA656" s="537"/>
      <c r="CB656" s="537"/>
      <c r="CC656" s="537"/>
      <c r="CD656" s="537"/>
      <c r="CE656" s="537"/>
      <c r="CF656" s="537"/>
      <c r="CG656" s="537"/>
      <c r="CH656" s="537"/>
      <c r="CI656" s="537"/>
      <c r="CJ656" s="537"/>
      <c r="CK656" s="537"/>
      <c r="CL656" s="537"/>
      <c r="CM656" s="537"/>
      <c r="CN656" s="537"/>
      <c r="CO656" s="537"/>
      <c r="CP656" s="540"/>
      <c r="CQ656" s="537"/>
      <c r="CR656" s="537"/>
      <c r="CS656" s="537"/>
      <c r="CT656" s="537"/>
      <c r="CU656" s="537"/>
      <c r="CV656" s="537"/>
      <c r="CW656" s="537"/>
      <c r="CX656" s="537"/>
      <c r="CY656" s="537"/>
      <c r="CZ656" s="537"/>
      <c r="DA656" s="537"/>
      <c r="DB656" s="1516"/>
      <c r="DC656" s="537"/>
      <c r="DD656" s="537"/>
      <c r="DE656" s="537"/>
      <c r="DF656" s="537"/>
      <c r="DG656" s="537"/>
      <c r="DH656" s="537"/>
      <c r="DI656" s="537"/>
      <c r="DJ656" s="537"/>
      <c r="DK656" s="537"/>
      <c r="DL656" s="537"/>
      <c r="DM656" s="537"/>
      <c r="DN656" s="540"/>
      <c r="DO656" s="537"/>
      <c r="DP656" s="537"/>
      <c r="DQ656" s="537"/>
      <c r="DR656" s="537"/>
      <c r="DS656" s="537"/>
      <c r="DT656" s="537"/>
      <c r="DU656" s="537"/>
      <c r="DV656" s="537"/>
      <c r="DW656" s="537"/>
      <c r="DX656" s="537"/>
      <c r="DY656" s="537"/>
      <c r="DZ656" s="540"/>
      <c r="EA656" s="537"/>
      <c r="EB656" s="537"/>
      <c r="EC656" s="537"/>
      <c r="ED656" s="537"/>
      <c r="EE656" s="537"/>
      <c r="EF656" s="537"/>
      <c r="EG656" s="537"/>
      <c r="EH656" s="537"/>
      <c r="EI656" s="537"/>
      <c r="EJ656" s="537"/>
      <c r="EK656" s="537"/>
      <c r="EL656" s="540"/>
      <c r="EM656" s="537"/>
      <c r="EN656" s="537"/>
      <c r="EO656" s="537"/>
      <c r="EP656" s="537"/>
      <c r="EQ656" s="537"/>
      <c r="ER656" s="537"/>
      <c r="ES656" s="537"/>
      <c r="ET656" s="537"/>
      <c r="EU656" s="537"/>
      <c r="EV656" s="537"/>
      <c r="EW656" s="537"/>
      <c r="EX656" s="540"/>
      <c r="EY656" s="537"/>
      <c r="EZ656" s="537"/>
      <c r="FA656" s="537"/>
      <c r="FB656" s="537"/>
      <c r="FC656" s="537"/>
      <c r="FD656" s="537"/>
      <c r="FE656" s="537"/>
      <c r="FF656" s="537"/>
      <c r="FG656" s="537"/>
      <c r="FH656" s="537"/>
      <c r="FI656" s="537"/>
      <c r="FJ656" s="540"/>
      <c r="FK656" s="537"/>
      <c r="FL656" s="537"/>
      <c r="FM656" s="537"/>
      <c r="FN656" s="537"/>
      <c r="FO656" s="537"/>
      <c r="FP656" s="537"/>
      <c r="FQ656" s="537"/>
      <c r="FR656" s="537"/>
      <c r="FS656" s="537"/>
      <c r="FT656" s="537"/>
      <c r="FU656" s="537"/>
      <c r="FV656" s="537"/>
      <c r="FW656" s="537"/>
      <c r="FX656" s="537"/>
      <c r="FY656" s="537"/>
      <c r="FZ656" s="537"/>
      <c r="GA656" s="537"/>
      <c r="GB656" s="537"/>
      <c r="GC656" s="537"/>
      <c r="GD656" s="537"/>
      <c r="GE656" s="537"/>
      <c r="GF656" s="537"/>
      <c r="GG656" s="537"/>
      <c r="GH656" s="537"/>
      <c r="GI656" s="537"/>
      <c r="GJ656" s="537"/>
      <c r="GK656" s="537"/>
      <c r="GL656" s="537"/>
      <c r="GM656" s="537"/>
      <c r="GN656" s="537"/>
      <c r="GO656" s="537"/>
      <c r="GP656" s="537"/>
      <c r="GQ656" s="537"/>
      <c r="GR656" s="537"/>
      <c r="GS656" s="537"/>
      <c r="GT656" s="537"/>
      <c r="GU656" s="537"/>
      <c r="GV656" s="537"/>
      <c r="GW656" s="537"/>
      <c r="GX656" s="537"/>
      <c r="GY656" s="537"/>
      <c r="GZ656" s="537"/>
      <c r="HA656" s="537"/>
      <c r="HB656" s="537"/>
      <c r="HC656" s="537"/>
      <c r="HD656" s="537"/>
      <c r="HE656" s="537"/>
      <c r="HF656" s="537"/>
      <c r="HG656" s="537"/>
      <c r="HH656" s="537"/>
      <c r="HI656" s="537"/>
      <c r="HJ656" s="537"/>
      <c r="HK656" s="537"/>
      <c r="HL656" s="537"/>
      <c r="HM656" s="537"/>
      <c r="HO656" s="537"/>
      <c r="HP656" s="537"/>
      <c r="HQ656" s="537"/>
      <c r="HR656" s="537"/>
      <c r="HU656" s="537"/>
      <c r="HX656" s="545"/>
      <c r="IA656" s="545"/>
      <c r="ID656" s="544"/>
      <c r="IG656" s="544"/>
      <c r="IH656" s="350"/>
      <c r="II656" s="350"/>
      <c r="IJ656" s="544"/>
      <c r="IK656" s="350"/>
      <c r="IL656" s="350"/>
      <c r="IM656" s="544"/>
      <c r="IN656" s="350"/>
      <c r="IO656" s="350"/>
      <c r="IP656" s="544"/>
      <c r="IQ656" s="350"/>
      <c r="IR656" s="350"/>
      <c r="IS656" s="544"/>
      <c r="IT656" s="350"/>
      <c r="IU656" s="350"/>
      <c r="IV656" s="544"/>
      <c r="IW656" s="350"/>
      <c r="IX656" s="350"/>
      <c r="IY656" s="544"/>
    </row>
    <row r="657" spans="1:302">
      <c r="A657" s="302"/>
      <c r="D657" s="542" t="str">
        <f>+FISC!D911</f>
        <v xml:space="preserve">    Net non bank financing</v>
      </c>
      <c r="E657" s="537"/>
      <c r="F657" s="537"/>
      <c r="G657" s="537"/>
      <c r="H657" s="537"/>
      <c r="I657" s="537"/>
      <c r="J657" s="537"/>
      <c r="K657" s="537"/>
      <c r="L657" s="537"/>
      <c r="M657" s="537"/>
      <c r="N657" s="537"/>
      <c r="O657" s="537"/>
      <c r="P657" s="537"/>
      <c r="Q657" s="537"/>
      <c r="R657" s="537"/>
      <c r="S657" s="537"/>
      <c r="T657" s="537"/>
      <c r="U657" s="537"/>
      <c r="V657" s="537"/>
      <c r="W657" s="537"/>
      <c r="X657" s="537"/>
      <c r="Y657" s="537"/>
      <c r="Z657" s="537"/>
      <c r="AA657" s="537"/>
      <c r="AB657" s="537"/>
      <c r="AC657" s="537"/>
      <c r="AD657" s="537"/>
      <c r="AE657" s="537"/>
      <c r="AF657" s="537"/>
      <c r="AG657" s="537"/>
      <c r="AH657" s="537"/>
      <c r="AI657" s="537"/>
      <c r="AJ657" s="537"/>
      <c r="AK657" s="537"/>
      <c r="AL657" s="537"/>
      <c r="AM657" s="537"/>
      <c r="AN657" s="537"/>
      <c r="AO657" s="537"/>
      <c r="AP657" s="537"/>
      <c r="AQ657" s="537"/>
      <c r="AR657" s="537"/>
      <c r="AS657" s="537"/>
      <c r="AT657" s="537"/>
      <c r="AU657" s="537"/>
      <c r="AV657" s="537"/>
      <c r="AW657" s="537"/>
      <c r="AX657" s="537"/>
      <c r="AY657" s="537"/>
      <c r="AZ657" s="537"/>
      <c r="BA657" s="537"/>
      <c r="BB657" s="537"/>
      <c r="BC657" s="537"/>
      <c r="BD657" s="537"/>
      <c r="BE657" s="537"/>
      <c r="BF657" s="537"/>
      <c r="BG657" s="537"/>
      <c r="BH657" s="537"/>
      <c r="BI657" s="537"/>
      <c r="BJ657" s="537"/>
      <c r="BK657" s="537"/>
      <c r="BL657" s="537"/>
      <c r="BM657" s="537"/>
      <c r="BN657" s="537"/>
      <c r="BO657" s="537"/>
      <c r="BP657" s="537"/>
      <c r="BQ657" s="537"/>
      <c r="BR657" s="537"/>
      <c r="BS657" s="537"/>
      <c r="BT657" s="537"/>
      <c r="BU657" s="537"/>
      <c r="BV657" s="537"/>
      <c r="BW657" s="537"/>
      <c r="BX657" s="537"/>
      <c r="BY657" s="537"/>
      <c r="BZ657" s="537"/>
      <c r="CA657" s="537"/>
      <c r="CB657" s="537"/>
      <c r="CC657" s="537"/>
      <c r="CD657" s="537"/>
      <c r="CE657" s="537"/>
      <c r="CF657" s="537"/>
      <c r="CG657" s="537"/>
      <c r="CH657" s="537"/>
      <c r="CI657" s="537"/>
      <c r="CJ657" s="537"/>
      <c r="CK657" s="537"/>
      <c r="CL657" s="537"/>
      <c r="CM657" s="537"/>
      <c r="CN657" s="537"/>
      <c r="CO657" s="537"/>
      <c r="CP657" s="540"/>
      <c r="CQ657" s="537"/>
      <c r="CR657" s="537"/>
      <c r="CS657" s="537"/>
      <c r="CT657" s="537"/>
      <c r="CU657" s="537"/>
      <c r="CV657" s="537"/>
      <c r="CW657" s="537"/>
      <c r="CX657" s="537"/>
      <c r="CY657" s="537"/>
      <c r="CZ657" s="537"/>
      <c r="DA657" s="537"/>
      <c r="DB657" s="1516"/>
      <c r="DC657" s="537"/>
      <c r="DD657" s="537"/>
      <c r="DE657" s="537"/>
      <c r="DF657" s="537"/>
      <c r="DG657" s="537"/>
      <c r="DH657" s="537"/>
      <c r="DI657" s="537"/>
      <c r="DJ657" s="537"/>
      <c r="DK657" s="537"/>
      <c r="DL657" s="537"/>
      <c r="DM657" s="537"/>
      <c r="DN657" s="540"/>
      <c r="DO657" s="537"/>
      <c r="DP657" s="537"/>
      <c r="DQ657" s="537"/>
      <c r="DR657" s="537"/>
      <c r="DS657" s="537"/>
      <c r="DT657" s="537"/>
      <c r="DU657" s="537"/>
      <c r="DV657" s="537"/>
      <c r="DW657" s="537"/>
      <c r="DX657" s="537"/>
      <c r="DY657" s="537"/>
      <c r="DZ657" s="540"/>
      <c r="EA657" s="537"/>
      <c r="EB657" s="537"/>
      <c r="EC657" s="537"/>
      <c r="ED657" s="537"/>
      <c r="EE657" s="537"/>
      <c r="EF657" s="537"/>
      <c r="EG657" s="537"/>
      <c r="EH657" s="537"/>
      <c r="EI657" s="537"/>
      <c r="EJ657" s="537"/>
      <c r="EK657" s="537"/>
      <c r="EL657" s="540"/>
      <c r="EM657" s="537"/>
      <c r="EN657" s="537"/>
      <c r="EO657" s="537"/>
      <c r="EP657" s="537"/>
      <c r="EQ657" s="537"/>
      <c r="ER657" s="537"/>
      <c r="ES657" s="537"/>
      <c r="ET657" s="537"/>
      <c r="EU657" s="537"/>
      <c r="EV657" s="537"/>
      <c r="EW657" s="537"/>
      <c r="EX657" s="540"/>
      <c r="EY657" s="537"/>
      <c r="EZ657" s="537"/>
      <c r="FA657" s="537"/>
      <c r="FB657" s="537"/>
      <c r="FC657" s="537"/>
      <c r="FD657" s="537"/>
      <c r="FE657" s="537"/>
      <c r="FF657" s="537"/>
      <c r="FG657" s="537"/>
      <c r="FH657" s="537"/>
      <c r="FI657" s="537"/>
      <c r="FJ657" s="540"/>
      <c r="FK657" s="537"/>
      <c r="FL657" s="537"/>
      <c r="FM657" s="537"/>
      <c r="FN657" s="537"/>
      <c r="FO657" s="537"/>
      <c r="FP657" s="537"/>
      <c r="FQ657" s="537"/>
      <c r="FR657" s="537"/>
      <c r="FS657" s="537"/>
      <c r="FT657" s="537"/>
      <c r="FU657" s="537"/>
      <c r="FV657" s="537"/>
      <c r="FW657" s="537"/>
      <c r="FX657" s="537"/>
      <c r="FY657" s="537"/>
      <c r="FZ657" s="537"/>
      <c r="GA657" s="537"/>
      <c r="GB657" s="537"/>
      <c r="GC657" s="537"/>
      <c r="GD657" s="537"/>
      <c r="GE657" s="537"/>
      <c r="GF657" s="537"/>
      <c r="GG657" s="537"/>
      <c r="GH657" s="537"/>
      <c r="GI657" s="537"/>
      <c r="GJ657" s="537"/>
      <c r="GK657" s="537"/>
      <c r="GL657" s="537"/>
      <c r="GM657" s="537"/>
      <c r="GN657" s="537"/>
      <c r="GO657" s="537"/>
      <c r="GP657" s="537"/>
      <c r="GQ657" s="537"/>
      <c r="GR657" s="537"/>
      <c r="GS657" s="537"/>
      <c r="GT657" s="537"/>
      <c r="GU657" s="537"/>
      <c r="GV657" s="537"/>
      <c r="GW657" s="537"/>
      <c r="GX657" s="537"/>
      <c r="GY657" s="537"/>
      <c r="GZ657" s="537"/>
      <c r="HA657" s="537"/>
      <c r="HB657" s="537"/>
      <c r="HC657" s="537"/>
      <c r="HD657" s="537"/>
      <c r="HE657" s="537"/>
      <c r="HF657" s="537"/>
      <c r="HG657" s="537"/>
      <c r="HH657" s="537"/>
      <c r="HI657" s="537"/>
      <c r="HJ657" s="537"/>
      <c r="HK657" s="537"/>
      <c r="HL657" s="537"/>
      <c r="HM657" s="537"/>
      <c r="HO657" s="537"/>
      <c r="HP657" s="537"/>
      <c r="HQ657" s="537"/>
      <c r="HR657" s="537"/>
      <c r="HS657" s="302">
        <f t="shared" ref="HS657:HX658" si="639">+HS610</f>
        <v>15.865157989642363</v>
      </c>
      <c r="HT657" s="302">
        <f t="shared" si="639"/>
        <v>10.669626043163671</v>
      </c>
      <c r="HU657" s="537">
        <f t="shared" si="639"/>
        <v>26.53478403280603</v>
      </c>
      <c r="HV657" s="302">
        <f t="shared" si="639"/>
        <v>7.3613834665954556</v>
      </c>
      <c r="HW657" s="302">
        <f t="shared" si="639"/>
        <v>40.355975932894978</v>
      </c>
      <c r="HX657" s="545">
        <f t="shared" si="639"/>
        <v>47.717359399490434</v>
      </c>
      <c r="IA657" s="545"/>
      <c r="ID657" s="544"/>
      <c r="IG657" s="544"/>
      <c r="IH657" s="350"/>
      <c r="II657" s="350"/>
      <c r="IJ657" s="544"/>
      <c r="IK657" s="350"/>
      <c r="IL657" s="350"/>
      <c r="IM657" s="544"/>
      <c r="IN657" s="350"/>
      <c r="IO657" s="350"/>
      <c r="IP657" s="544"/>
      <c r="IQ657" s="350"/>
      <c r="IR657" s="350"/>
      <c r="IS657" s="544"/>
      <c r="IT657" s="350"/>
      <c r="IU657" s="350"/>
      <c r="IV657" s="544"/>
      <c r="IW657" s="350"/>
      <c r="IX657" s="350"/>
      <c r="IY657" s="544"/>
    </row>
    <row r="658" spans="1:302">
      <c r="A658" s="302"/>
      <c r="D658" s="542" t="str">
        <f>+FISC!D912</f>
        <v xml:space="preserve">        o/w: net issuance of government securities to non banks</v>
      </c>
      <c r="E658" s="537"/>
      <c r="F658" s="537"/>
      <c r="G658" s="537"/>
      <c r="H658" s="537"/>
      <c r="I658" s="537"/>
      <c r="J658" s="537"/>
      <c r="K658" s="537"/>
      <c r="L658" s="537"/>
      <c r="M658" s="537"/>
      <c r="N658" s="537"/>
      <c r="O658" s="537"/>
      <c r="P658" s="537"/>
      <c r="Q658" s="537"/>
      <c r="R658" s="537"/>
      <c r="S658" s="537"/>
      <c r="T658" s="537"/>
      <c r="U658" s="537"/>
      <c r="V658" s="537"/>
      <c r="W658" s="537"/>
      <c r="X658" s="537"/>
      <c r="Y658" s="537"/>
      <c r="Z658" s="537"/>
      <c r="AA658" s="537"/>
      <c r="AB658" s="537"/>
      <c r="AC658" s="537"/>
      <c r="AD658" s="537"/>
      <c r="AE658" s="537"/>
      <c r="AF658" s="537"/>
      <c r="AG658" s="537"/>
      <c r="AH658" s="537"/>
      <c r="AI658" s="537"/>
      <c r="AJ658" s="537"/>
      <c r="AK658" s="537"/>
      <c r="AL658" s="537"/>
      <c r="AM658" s="537"/>
      <c r="AN658" s="537"/>
      <c r="AO658" s="537"/>
      <c r="AP658" s="537"/>
      <c r="AQ658" s="537"/>
      <c r="AR658" s="537"/>
      <c r="AS658" s="537"/>
      <c r="AT658" s="537"/>
      <c r="AU658" s="537"/>
      <c r="AV658" s="537"/>
      <c r="AW658" s="537"/>
      <c r="AX658" s="537"/>
      <c r="AY658" s="537"/>
      <c r="AZ658" s="537"/>
      <c r="BA658" s="537"/>
      <c r="BB658" s="537"/>
      <c r="BC658" s="537"/>
      <c r="BD658" s="537"/>
      <c r="BE658" s="537"/>
      <c r="BF658" s="537"/>
      <c r="BG658" s="537"/>
      <c r="BH658" s="537"/>
      <c r="BI658" s="537"/>
      <c r="BJ658" s="537"/>
      <c r="BK658" s="537"/>
      <c r="BL658" s="537"/>
      <c r="BM658" s="537"/>
      <c r="BN658" s="537"/>
      <c r="BO658" s="537"/>
      <c r="BP658" s="537"/>
      <c r="BQ658" s="537"/>
      <c r="BR658" s="537"/>
      <c r="BS658" s="537"/>
      <c r="BT658" s="537"/>
      <c r="BU658" s="537"/>
      <c r="BV658" s="537"/>
      <c r="BW658" s="537"/>
      <c r="BX658" s="537"/>
      <c r="BY658" s="537"/>
      <c r="BZ658" s="537"/>
      <c r="CA658" s="537"/>
      <c r="CB658" s="537"/>
      <c r="CC658" s="537"/>
      <c r="CD658" s="537"/>
      <c r="CE658" s="537"/>
      <c r="CF658" s="537"/>
      <c r="CG658" s="537"/>
      <c r="CH658" s="537"/>
      <c r="CI658" s="537"/>
      <c r="CJ658" s="537"/>
      <c r="CK658" s="537"/>
      <c r="CL658" s="537"/>
      <c r="CM658" s="537"/>
      <c r="CN658" s="537"/>
      <c r="CO658" s="537"/>
      <c r="CP658" s="540"/>
      <c r="CQ658" s="537"/>
      <c r="CR658" s="537"/>
      <c r="CS658" s="537"/>
      <c r="CT658" s="537"/>
      <c r="CU658" s="537"/>
      <c r="CV658" s="537"/>
      <c r="CW658" s="537"/>
      <c r="CX658" s="537"/>
      <c r="CY658" s="537"/>
      <c r="CZ658" s="537"/>
      <c r="DA658" s="537"/>
      <c r="DB658" s="1516"/>
      <c r="DC658" s="537"/>
      <c r="DD658" s="537"/>
      <c r="DE658" s="537"/>
      <c r="DF658" s="537"/>
      <c r="DG658" s="537"/>
      <c r="DH658" s="537"/>
      <c r="DI658" s="537"/>
      <c r="DJ658" s="537"/>
      <c r="DK658" s="537"/>
      <c r="DL658" s="537"/>
      <c r="DM658" s="537"/>
      <c r="DN658" s="540"/>
      <c r="DO658" s="537"/>
      <c r="DP658" s="537"/>
      <c r="DQ658" s="537"/>
      <c r="DR658" s="537"/>
      <c r="DS658" s="537"/>
      <c r="DT658" s="537"/>
      <c r="DU658" s="537"/>
      <c r="DV658" s="537"/>
      <c r="DW658" s="537"/>
      <c r="DX658" s="537"/>
      <c r="DY658" s="537"/>
      <c r="DZ658" s="540"/>
      <c r="EA658" s="537"/>
      <c r="EB658" s="537"/>
      <c r="EC658" s="537"/>
      <c r="ED658" s="537"/>
      <c r="EE658" s="537"/>
      <c r="EF658" s="537"/>
      <c r="EG658" s="537"/>
      <c r="EH658" s="537"/>
      <c r="EI658" s="537"/>
      <c r="EJ658" s="537"/>
      <c r="EK658" s="537"/>
      <c r="EL658" s="540"/>
      <c r="EM658" s="537"/>
      <c r="EN658" s="537"/>
      <c r="EO658" s="537"/>
      <c r="EP658" s="537"/>
      <c r="EQ658" s="537"/>
      <c r="ER658" s="537"/>
      <c r="ES658" s="537"/>
      <c r="ET658" s="537"/>
      <c r="EU658" s="537"/>
      <c r="EV658" s="537"/>
      <c r="EW658" s="537"/>
      <c r="EX658" s="540"/>
      <c r="EY658" s="537"/>
      <c r="EZ658" s="537"/>
      <c r="FA658" s="537"/>
      <c r="FB658" s="537"/>
      <c r="FC658" s="537"/>
      <c r="FD658" s="537"/>
      <c r="FE658" s="537"/>
      <c r="FF658" s="537"/>
      <c r="FG658" s="537"/>
      <c r="FH658" s="537"/>
      <c r="FI658" s="537"/>
      <c r="FJ658" s="540"/>
      <c r="FK658" s="537"/>
      <c r="FL658" s="537"/>
      <c r="FM658" s="537"/>
      <c r="FN658" s="537"/>
      <c r="FO658" s="537"/>
      <c r="FP658" s="537"/>
      <c r="FQ658" s="537"/>
      <c r="FR658" s="537"/>
      <c r="FS658" s="537"/>
      <c r="FT658" s="537"/>
      <c r="FU658" s="537"/>
      <c r="FV658" s="537"/>
      <c r="FW658" s="537"/>
      <c r="FX658" s="537"/>
      <c r="FY658" s="537"/>
      <c r="FZ658" s="537"/>
      <c r="GA658" s="537"/>
      <c r="GB658" s="537"/>
      <c r="GC658" s="537"/>
      <c r="GD658" s="537"/>
      <c r="GE658" s="537"/>
      <c r="GF658" s="537"/>
      <c r="GG658" s="537"/>
      <c r="GH658" s="537"/>
      <c r="GI658" s="537"/>
      <c r="GJ658" s="537"/>
      <c r="GK658" s="537"/>
      <c r="GL658" s="537"/>
      <c r="GM658" s="537"/>
      <c r="GN658" s="537"/>
      <c r="GO658" s="537"/>
      <c r="GP658" s="537"/>
      <c r="GQ658" s="537"/>
      <c r="GR658" s="537"/>
      <c r="GS658" s="537"/>
      <c r="GT658" s="537"/>
      <c r="GU658" s="537"/>
      <c r="GV658" s="537"/>
      <c r="GW658" s="537"/>
      <c r="GX658" s="537"/>
      <c r="GY658" s="537"/>
      <c r="GZ658" s="537"/>
      <c r="HA658" s="537"/>
      <c r="HB658" s="537"/>
      <c r="HC658" s="537"/>
      <c r="HD658" s="537"/>
      <c r="HE658" s="537"/>
      <c r="HF658" s="537"/>
      <c r="HG658" s="537"/>
      <c r="HH658" s="537"/>
      <c r="HI658" s="537"/>
      <c r="HJ658" s="537"/>
      <c r="HK658" s="537"/>
      <c r="HL658" s="537"/>
      <c r="HM658" s="537"/>
      <c r="HO658" s="537"/>
      <c r="HP658" s="537"/>
      <c r="HQ658" s="537"/>
      <c r="HR658" s="537"/>
      <c r="HS658" s="302">
        <f t="shared" si="639"/>
        <v>18.027100000000004</v>
      </c>
      <c r="HT658" s="302">
        <f t="shared" si="639"/>
        <v>12.880599999999996</v>
      </c>
      <c r="HU658" s="537">
        <f t="shared" si="639"/>
        <v>30.907699999999995</v>
      </c>
      <c r="HV658" s="302">
        <f t="shared" si="639"/>
        <v>16.802700000000005</v>
      </c>
      <c r="HW658" s="302">
        <f t="shared" si="639"/>
        <v>42.454099999999983</v>
      </c>
      <c r="HX658" s="545">
        <f t="shared" si="639"/>
        <v>59.256799999999984</v>
      </c>
      <c r="IA658" s="545"/>
      <c r="ID658" s="544"/>
      <c r="IG658" s="544"/>
      <c r="IH658" s="350"/>
      <c r="II658" s="350"/>
      <c r="IJ658" s="544"/>
      <c r="IK658" s="350"/>
      <c r="IL658" s="350"/>
      <c r="IM658" s="544"/>
      <c r="IN658" s="350"/>
      <c r="IO658" s="350"/>
      <c r="IP658" s="544"/>
      <c r="IQ658" s="350"/>
      <c r="IR658" s="350"/>
      <c r="IS658" s="544"/>
      <c r="IT658" s="350"/>
      <c r="IU658" s="350"/>
      <c r="IV658" s="544"/>
      <c r="IW658" s="350"/>
      <c r="IX658" s="350"/>
      <c r="IY658" s="544"/>
    </row>
    <row r="659" spans="1:302">
      <c r="A659" s="302"/>
      <c r="D659" s="542" t="str">
        <f>+FISC!D913</f>
        <v>Financing requirement/unidentified financing</v>
      </c>
      <c r="E659" s="537"/>
      <c r="F659" s="537"/>
      <c r="G659" s="537"/>
      <c r="H659" s="537"/>
      <c r="I659" s="537"/>
      <c r="J659" s="537"/>
      <c r="K659" s="537"/>
      <c r="L659" s="537"/>
      <c r="M659" s="537"/>
      <c r="N659" s="537"/>
      <c r="O659" s="537"/>
      <c r="P659" s="537"/>
      <c r="Q659" s="537"/>
      <c r="R659" s="537"/>
      <c r="S659" s="537"/>
      <c r="T659" s="537"/>
      <c r="U659" s="537"/>
      <c r="V659" s="537"/>
      <c r="W659" s="537"/>
      <c r="X659" s="537"/>
      <c r="Y659" s="537"/>
      <c r="Z659" s="537"/>
      <c r="AA659" s="537"/>
      <c r="AB659" s="537"/>
      <c r="AC659" s="537"/>
      <c r="AD659" s="537"/>
      <c r="AE659" s="537"/>
      <c r="AF659" s="537"/>
      <c r="AG659" s="537"/>
      <c r="AH659" s="537"/>
      <c r="AI659" s="537"/>
      <c r="AJ659" s="537"/>
      <c r="AK659" s="537"/>
      <c r="AL659" s="537"/>
      <c r="AM659" s="537"/>
      <c r="AN659" s="537"/>
      <c r="AO659" s="537"/>
      <c r="AP659" s="537"/>
      <c r="AQ659" s="537"/>
      <c r="AR659" s="537"/>
      <c r="AS659" s="537"/>
      <c r="AT659" s="537"/>
      <c r="AU659" s="537"/>
      <c r="AV659" s="537"/>
      <c r="AW659" s="537"/>
      <c r="AX659" s="537"/>
      <c r="AY659" s="537"/>
      <c r="AZ659" s="537"/>
      <c r="BA659" s="537"/>
      <c r="BB659" s="537"/>
      <c r="BC659" s="537"/>
      <c r="BD659" s="537"/>
      <c r="BE659" s="537"/>
      <c r="BF659" s="537"/>
      <c r="BG659" s="537"/>
      <c r="BH659" s="537"/>
      <c r="BI659" s="537"/>
      <c r="BJ659" s="537"/>
      <c r="BK659" s="537"/>
      <c r="BL659" s="537"/>
      <c r="BM659" s="537"/>
      <c r="BN659" s="537"/>
      <c r="BO659" s="537"/>
      <c r="BP659" s="537"/>
      <c r="BQ659" s="537"/>
      <c r="BR659" s="537"/>
      <c r="BS659" s="537"/>
      <c r="BT659" s="537"/>
      <c r="BU659" s="537"/>
      <c r="BV659" s="537"/>
      <c r="BW659" s="537"/>
      <c r="BX659" s="537"/>
      <c r="BY659" s="537"/>
      <c r="BZ659" s="537"/>
      <c r="CA659" s="537"/>
      <c r="CB659" s="537"/>
      <c r="CC659" s="537"/>
      <c r="CD659" s="537"/>
      <c r="CE659" s="537"/>
      <c r="CF659" s="537"/>
      <c r="CG659" s="537"/>
      <c r="CH659" s="537"/>
      <c r="CI659" s="537"/>
      <c r="CJ659" s="537"/>
      <c r="CK659" s="537"/>
      <c r="CL659" s="537"/>
      <c r="CM659" s="537"/>
      <c r="CN659" s="537"/>
      <c r="CO659" s="537"/>
      <c r="CP659" s="540"/>
      <c r="CQ659" s="537"/>
      <c r="CR659" s="537"/>
      <c r="CS659" s="537"/>
      <c r="CT659" s="537"/>
      <c r="CU659" s="537"/>
      <c r="CV659" s="537"/>
      <c r="CW659" s="537"/>
      <c r="CX659" s="537"/>
      <c r="CY659" s="537"/>
      <c r="CZ659" s="537"/>
      <c r="DA659" s="537"/>
      <c r="DB659" s="1516"/>
      <c r="DC659" s="537"/>
      <c r="DD659" s="537"/>
      <c r="DE659" s="537"/>
      <c r="DF659" s="537"/>
      <c r="DG659" s="537"/>
      <c r="DH659" s="537"/>
      <c r="DI659" s="537"/>
      <c r="DJ659" s="537"/>
      <c r="DK659" s="537"/>
      <c r="DL659" s="537"/>
      <c r="DM659" s="537"/>
      <c r="DN659" s="540"/>
      <c r="DO659" s="537"/>
      <c r="DP659" s="537"/>
      <c r="DQ659" s="537"/>
      <c r="DR659" s="537"/>
      <c r="DS659" s="537"/>
      <c r="DT659" s="537"/>
      <c r="DU659" s="537"/>
      <c r="DV659" s="537"/>
      <c r="DW659" s="537"/>
      <c r="DX659" s="537"/>
      <c r="DY659" s="537"/>
      <c r="DZ659" s="540"/>
      <c r="EA659" s="537"/>
      <c r="EB659" s="537"/>
      <c r="EC659" s="537"/>
      <c r="ED659" s="537"/>
      <c r="EE659" s="537"/>
      <c r="EF659" s="537"/>
      <c r="EG659" s="537"/>
      <c r="EH659" s="537"/>
      <c r="EI659" s="537"/>
      <c r="EJ659" s="537"/>
      <c r="EK659" s="537"/>
      <c r="EL659" s="540"/>
      <c r="EM659" s="537"/>
      <c r="EN659" s="537"/>
      <c r="EO659" s="537"/>
      <c r="EP659" s="537"/>
      <c r="EQ659" s="537"/>
      <c r="ER659" s="537"/>
      <c r="ES659" s="537"/>
      <c r="ET659" s="537"/>
      <c r="EU659" s="537"/>
      <c r="EV659" s="537"/>
      <c r="EW659" s="537"/>
      <c r="EX659" s="540"/>
      <c r="EY659" s="537"/>
      <c r="EZ659" s="537"/>
      <c r="FA659" s="537"/>
      <c r="FB659" s="537"/>
      <c r="FC659" s="537"/>
      <c r="FD659" s="537"/>
      <c r="FE659" s="537"/>
      <c r="FF659" s="537"/>
      <c r="FG659" s="537"/>
      <c r="FH659" s="537"/>
      <c r="FI659" s="537"/>
      <c r="FJ659" s="540"/>
      <c r="FK659" s="537"/>
      <c r="FL659" s="537"/>
      <c r="FM659" s="537"/>
      <c r="FN659" s="537"/>
      <c r="FO659" s="537"/>
      <c r="FP659" s="537"/>
      <c r="FQ659" s="537"/>
      <c r="FR659" s="537"/>
      <c r="FS659" s="537"/>
      <c r="FT659" s="537"/>
      <c r="FU659" s="537"/>
      <c r="FV659" s="537"/>
      <c r="FW659" s="537"/>
      <c r="FX659" s="537"/>
      <c r="FY659" s="537"/>
      <c r="FZ659" s="537"/>
      <c r="GA659" s="537"/>
      <c r="GB659" s="537"/>
      <c r="GC659" s="537"/>
      <c r="GD659" s="537"/>
      <c r="GE659" s="537"/>
      <c r="GF659" s="537"/>
      <c r="GG659" s="537"/>
      <c r="GH659" s="537"/>
      <c r="GI659" s="537"/>
      <c r="GJ659" s="537"/>
      <c r="GK659" s="537"/>
      <c r="GL659" s="537"/>
      <c r="GM659" s="537"/>
      <c r="GN659" s="537"/>
      <c r="GO659" s="537"/>
      <c r="GP659" s="537"/>
      <c r="GQ659" s="537"/>
      <c r="GR659" s="537"/>
      <c r="GS659" s="537"/>
      <c r="GT659" s="537"/>
      <c r="GU659" s="537"/>
      <c r="GV659" s="537"/>
      <c r="GW659" s="537"/>
      <c r="GX659" s="537"/>
      <c r="GY659" s="537"/>
      <c r="GZ659" s="537"/>
      <c r="HA659" s="537"/>
      <c r="HB659" s="537"/>
      <c r="HC659" s="537"/>
      <c r="HD659" s="537"/>
      <c r="HE659" s="537"/>
      <c r="HF659" s="537"/>
      <c r="HG659" s="537"/>
      <c r="HH659" s="537"/>
      <c r="HI659" s="537"/>
      <c r="HJ659" s="537"/>
      <c r="HK659" s="537"/>
      <c r="HL659" s="537"/>
      <c r="HM659" s="537"/>
      <c r="HO659" s="537"/>
      <c r="HP659" s="537"/>
      <c r="HQ659" s="537"/>
      <c r="HR659" s="537"/>
      <c r="HU659" s="537"/>
      <c r="HX659" s="545"/>
      <c r="IA659" s="545"/>
      <c r="ID659" s="544"/>
      <c r="IG659" s="544"/>
      <c r="IH659" s="350"/>
      <c r="II659" s="350"/>
      <c r="IJ659" s="544"/>
      <c r="IK659" s="350"/>
      <c r="IL659" s="350"/>
      <c r="IM659" s="544"/>
      <c r="IN659" s="350"/>
      <c r="IO659" s="350"/>
      <c r="IP659" s="544"/>
      <c r="IQ659" s="350"/>
      <c r="IR659" s="350"/>
      <c r="IS659" s="544"/>
      <c r="IT659" s="350"/>
      <c r="IU659" s="350"/>
      <c r="IV659" s="544"/>
      <c r="IW659" s="350"/>
      <c r="IX659" s="350"/>
      <c r="IY659" s="544"/>
    </row>
    <row r="660" spans="1:302">
      <c r="A660" s="302"/>
      <c r="D660" s="768" t="str">
        <f>+FISC!D919</f>
        <v>check E&amp;O</v>
      </c>
      <c r="E660" s="537"/>
      <c r="F660" s="537"/>
      <c r="G660" s="537"/>
      <c r="H660" s="537"/>
      <c r="I660" s="537"/>
      <c r="J660" s="537"/>
      <c r="K660" s="537"/>
      <c r="L660" s="537"/>
      <c r="M660" s="537"/>
      <c r="N660" s="537"/>
      <c r="O660" s="537"/>
      <c r="P660" s="537"/>
      <c r="Q660" s="537"/>
      <c r="R660" s="537"/>
      <c r="S660" s="537"/>
      <c r="T660" s="537"/>
      <c r="U660" s="537"/>
      <c r="V660" s="537"/>
      <c r="W660" s="537"/>
      <c r="X660" s="537"/>
      <c r="Y660" s="537"/>
      <c r="Z660" s="537"/>
      <c r="AA660" s="537"/>
      <c r="AB660" s="537"/>
      <c r="AC660" s="537"/>
      <c r="AD660" s="537"/>
      <c r="AE660" s="537"/>
      <c r="AF660" s="537"/>
      <c r="AG660" s="537"/>
      <c r="AH660" s="537"/>
      <c r="AI660" s="537"/>
      <c r="AJ660" s="537"/>
      <c r="AK660" s="537"/>
      <c r="AL660" s="537"/>
      <c r="AM660" s="537"/>
      <c r="AN660" s="537"/>
      <c r="AO660" s="537"/>
      <c r="AP660" s="537"/>
      <c r="AQ660" s="537"/>
      <c r="AR660" s="537"/>
      <c r="AS660" s="537"/>
      <c r="AT660" s="537"/>
      <c r="AU660" s="537"/>
      <c r="AV660" s="537"/>
      <c r="AW660" s="537"/>
      <c r="AX660" s="537"/>
      <c r="AY660" s="537"/>
      <c r="AZ660" s="537"/>
      <c r="BA660" s="537"/>
      <c r="BB660" s="537"/>
      <c r="BC660" s="537"/>
      <c r="BD660" s="537"/>
      <c r="BE660" s="537"/>
      <c r="BF660" s="537"/>
      <c r="BG660" s="537"/>
      <c r="BH660" s="537"/>
      <c r="BI660" s="537"/>
      <c r="BJ660" s="537"/>
      <c r="BK660" s="537"/>
      <c r="BL660" s="537"/>
      <c r="BM660" s="537"/>
      <c r="BN660" s="537"/>
      <c r="BO660" s="537"/>
      <c r="BP660" s="537"/>
      <c r="BQ660" s="537"/>
      <c r="BR660" s="537"/>
      <c r="BS660" s="537"/>
      <c r="BT660" s="537"/>
      <c r="BU660" s="537"/>
      <c r="BV660" s="537"/>
      <c r="BW660" s="537"/>
      <c r="BX660" s="537"/>
      <c r="BY660" s="537"/>
      <c r="BZ660" s="537"/>
      <c r="CA660" s="537"/>
      <c r="CB660" s="537"/>
      <c r="CC660" s="537"/>
      <c r="CD660" s="537"/>
      <c r="CE660" s="537"/>
      <c r="CF660" s="537"/>
      <c r="CG660" s="537"/>
      <c r="CH660" s="537"/>
      <c r="CI660" s="537"/>
      <c r="CJ660" s="537"/>
      <c r="CK660" s="537"/>
      <c r="CL660" s="537"/>
      <c r="CM660" s="537"/>
      <c r="CN660" s="537"/>
      <c r="CO660" s="537"/>
      <c r="CP660" s="540"/>
      <c r="CQ660" s="537"/>
      <c r="CR660" s="537"/>
      <c r="CS660" s="537"/>
      <c r="CT660" s="537"/>
      <c r="CU660" s="537"/>
      <c r="CV660" s="537"/>
      <c r="CW660" s="537"/>
      <c r="CX660" s="537"/>
      <c r="CY660" s="537"/>
      <c r="CZ660" s="537"/>
      <c r="DA660" s="537"/>
      <c r="DB660" s="1516"/>
      <c r="DC660" s="537"/>
      <c r="DD660" s="537"/>
      <c r="DE660" s="537"/>
      <c r="DF660" s="537"/>
      <c r="DG660" s="537"/>
      <c r="DH660" s="537"/>
      <c r="DI660" s="537"/>
      <c r="DJ660" s="537"/>
      <c r="DK660" s="537"/>
      <c r="DL660" s="537"/>
      <c r="DM660" s="537"/>
      <c r="DN660" s="540"/>
      <c r="DO660" s="537"/>
      <c r="DP660" s="537"/>
      <c r="DQ660" s="537"/>
      <c r="DR660" s="537"/>
      <c r="DS660" s="537"/>
      <c r="DT660" s="537"/>
      <c r="DU660" s="537"/>
      <c r="DV660" s="537"/>
      <c r="DW660" s="537"/>
      <c r="DX660" s="537"/>
      <c r="DY660" s="537"/>
      <c r="DZ660" s="540"/>
      <c r="EA660" s="537"/>
      <c r="EB660" s="537"/>
      <c r="EC660" s="537"/>
      <c r="ED660" s="537"/>
      <c r="EE660" s="537"/>
      <c r="EF660" s="537"/>
      <c r="EG660" s="537"/>
      <c r="EH660" s="537"/>
      <c r="EI660" s="537"/>
      <c r="EJ660" s="537"/>
      <c r="EK660" s="537"/>
      <c r="EL660" s="540"/>
      <c r="EM660" s="537"/>
      <c r="EN660" s="537"/>
      <c r="EO660" s="537"/>
      <c r="EP660" s="537"/>
      <c r="EQ660" s="537"/>
      <c r="ER660" s="537"/>
      <c r="ES660" s="537"/>
      <c r="ET660" s="537"/>
      <c r="EU660" s="537"/>
      <c r="EV660" s="537"/>
      <c r="EW660" s="537"/>
      <c r="EX660" s="540"/>
      <c r="EY660" s="537"/>
      <c r="EZ660" s="537"/>
      <c r="FA660" s="537"/>
      <c r="FB660" s="537"/>
      <c r="FC660" s="537"/>
      <c r="FD660" s="537"/>
      <c r="FE660" s="537"/>
      <c r="FF660" s="537"/>
      <c r="FG660" s="537"/>
      <c r="FH660" s="537"/>
      <c r="FI660" s="537"/>
      <c r="FJ660" s="540"/>
      <c r="FK660" s="537"/>
      <c r="FL660" s="537"/>
      <c r="FM660" s="537"/>
      <c r="FN660" s="537"/>
      <c r="FO660" s="537"/>
      <c r="FP660" s="537"/>
      <c r="FQ660" s="537"/>
      <c r="FR660" s="537"/>
      <c r="FS660" s="537"/>
      <c r="FT660" s="537"/>
      <c r="FU660" s="537"/>
      <c r="FV660" s="537"/>
      <c r="FW660" s="537"/>
      <c r="FX660" s="537"/>
      <c r="FY660" s="537"/>
      <c r="FZ660" s="537"/>
      <c r="GA660" s="537"/>
      <c r="GB660" s="537"/>
      <c r="GC660" s="537"/>
      <c r="GD660" s="537"/>
      <c r="GE660" s="537"/>
      <c r="GF660" s="537"/>
      <c r="GG660" s="537"/>
      <c r="GH660" s="537"/>
      <c r="GI660" s="537"/>
      <c r="GJ660" s="537"/>
      <c r="GK660" s="537"/>
      <c r="GL660" s="537"/>
      <c r="GM660" s="537"/>
      <c r="GN660" s="537"/>
      <c r="GO660" s="537"/>
      <c r="GP660" s="537"/>
      <c r="GQ660" s="537"/>
      <c r="GR660" s="537"/>
      <c r="GS660" s="537"/>
      <c r="GT660" s="537"/>
      <c r="GU660" s="537"/>
      <c r="GV660" s="537"/>
      <c r="GW660" s="537"/>
      <c r="GX660" s="537"/>
      <c r="GY660" s="537"/>
      <c r="GZ660" s="537"/>
      <c r="HA660" s="537"/>
      <c r="HB660" s="537"/>
      <c r="HC660" s="537"/>
      <c r="HD660" s="537"/>
      <c r="HE660" s="537"/>
      <c r="HF660" s="537"/>
      <c r="HG660" s="537"/>
      <c r="HH660" s="537"/>
      <c r="HI660" s="537"/>
      <c r="HJ660" s="537"/>
      <c r="HK660" s="537"/>
      <c r="HL660" s="537"/>
      <c r="HM660" s="537"/>
      <c r="HO660" s="537"/>
      <c r="HP660" s="537"/>
      <c r="HQ660" s="537"/>
      <c r="HR660" s="537"/>
      <c r="HS660" s="302">
        <f t="shared" ref="HS660:HX660" si="640">+HS615</f>
        <v>-82.770481143415765</v>
      </c>
      <c r="HT660" s="302">
        <f t="shared" si="640"/>
        <v>-47.613598314718018</v>
      </c>
      <c r="HU660" s="537">
        <f t="shared" si="640"/>
        <v>-130.38407945813367</v>
      </c>
      <c r="HV660" s="302">
        <f t="shared" si="640"/>
        <v>-0.4032974549762347</v>
      </c>
      <c r="HW660" s="302">
        <f t="shared" si="640"/>
        <v>-30.491372707746269</v>
      </c>
      <c r="HX660" s="545">
        <f t="shared" si="640"/>
        <v>-30.894670162722505</v>
      </c>
      <c r="HY660" s="302">
        <f>-(HY648+HY650)</f>
        <v>6.8390684930483019</v>
      </c>
      <c r="IA660" s="545"/>
      <c r="ID660" s="544"/>
      <c r="IF660" s="302">
        <f>IF811+IH811+IF757+IH757+((IF817+IH817)*0.2)</f>
        <v>744.07244288961999</v>
      </c>
      <c r="IG660" s="544"/>
      <c r="IH660" s="350"/>
      <c r="II660" s="302">
        <f>II811+IK811+II757+IK757+((II817+IK817)*0.2)</f>
        <v>896.57725177613293</v>
      </c>
      <c r="IJ660" s="544"/>
      <c r="IK660" s="350"/>
      <c r="IL660" s="302">
        <f>IL811+IN811+IL757+IN757+((IL817+IN817)*0.2)</f>
        <v>948.02321310340903</v>
      </c>
      <c r="IM660" s="544"/>
      <c r="IN660" s="350"/>
      <c r="IO660" s="350"/>
      <c r="IP660" s="544"/>
      <c r="IQ660" s="350"/>
      <c r="IR660" s="350"/>
      <c r="IS660" s="544"/>
      <c r="IT660" s="350"/>
      <c r="IU660" s="350"/>
      <c r="IV660" s="544"/>
      <c r="IW660" s="350"/>
      <c r="IX660" s="350"/>
      <c r="IY660" s="544"/>
    </row>
    <row r="661" spans="1:302" ht="15.75" customHeight="1">
      <c r="A661" s="302"/>
      <c r="CP661" s="303"/>
      <c r="DZ661" s="540"/>
      <c r="EA661" s="537"/>
      <c r="HN661" s="302"/>
      <c r="HV661" s="307"/>
      <c r="HY661" s="350">
        <f>HY754+HW754+HY817+HW817+HY876+HW876+HY883+HW883</f>
        <v>1903.4645749681265</v>
      </c>
      <c r="IB661" s="350">
        <f>IB754+HZ754+IB817+HZ817+IB876+HZ876+IB883+HZ883</f>
        <v>2040.1393995598521</v>
      </c>
      <c r="IE661" s="350">
        <f>IE754+IC754+IE817+IC817+IE876+IC876+IE883+IC883</f>
        <v>2267.2068392191541</v>
      </c>
      <c r="IH661" s="350">
        <f>IH754+IF754+IH817+IF817+IH876+IF876+IH883+IF883</f>
        <v>2972.2762581588795</v>
      </c>
      <c r="II661" s="350"/>
      <c r="IK661" s="350">
        <f>IK883</f>
        <v>4.1033333320000001</v>
      </c>
      <c r="IL661" s="350">
        <f>IL883</f>
        <v>2.0516666680000002</v>
      </c>
      <c r="IN661" s="350">
        <f>IN883</f>
        <v>25.886954052</v>
      </c>
      <c r="IO661" s="350">
        <f>IO883</f>
        <v>36.561061301999999</v>
      </c>
      <c r="IQ661" s="350">
        <f>IQ883</f>
        <v>25.353364143</v>
      </c>
      <c r="IR661" s="350">
        <f>IR883</f>
        <v>23.998966758000002</v>
      </c>
      <c r="IT661" s="350">
        <f>IT883</f>
        <v>18.262838178000003</v>
      </c>
      <c r="IU661" s="350">
        <f>IU883</f>
        <v>10.251674022</v>
      </c>
      <c r="IV661" s="2012"/>
      <c r="IW661" s="350">
        <f>IW883</f>
        <v>20.336739256999998</v>
      </c>
      <c r="IX661" s="350">
        <f>IX883</f>
        <v>19.645104773</v>
      </c>
      <c r="IZ661" s="350">
        <f>IZ883</f>
        <v>682.5890982053877</v>
      </c>
      <c r="JA661" s="302">
        <f>JA883</f>
        <v>19.167210547445961</v>
      </c>
      <c r="JC661" s="350">
        <f>JC883</f>
        <v>379.96794604979544</v>
      </c>
      <c r="JD661" s="302">
        <f>JD883</f>
        <v>202.93641029256554</v>
      </c>
      <c r="JF661" s="350">
        <f>JF883</f>
        <v>67.354167645578713</v>
      </c>
      <c r="JG661" s="302">
        <f>JG883</f>
        <v>40.844271267868521</v>
      </c>
      <c r="JI661" s="350">
        <f>JI883</f>
        <v>17.990922015319999</v>
      </c>
      <c r="JJ661" s="302">
        <f>JJ883</f>
        <v>44.995048480255065</v>
      </c>
      <c r="JL661" s="302">
        <f>JL883</f>
        <v>17.990922015319999</v>
      </c>
      <c r="JM661" s="302">
        <f>JM883</f>
        <v>17.990922015319999</v>
      </c>
    </row>
    <row r="662" spans="1:302" ht="16.5" customHeight="1">
      <c r="A662" s="302"/>
      <c r="D662" s="117" t="s">
        <v>3333</v>
      </c>
      <c r="CP662" s="303"/>
      <c r="EA662" s="302"/>
      <c r="HN662" s="302"/>
      <c r="HO662" s="117" t="s">
        <v>674</v>
      </c>
      <c r="HP662" s="117"/>
      <c r="HQ662" s="117"/>
      <c r="HR662" s="462">
        <f t="shared" ref="HR662:IG662" si="641">+HR1</f>
        <v>2015</v>
      </c>
      <c r="HS662" s="462">
        <f t="shared" si="641"/>
        <v>2014</v>
      </c>
      <c r="HT662" s="462">
        <f t="shared" si="641"/>
        <v>2015</v>
      </c>
      <c r="HU662" s="462">
        <f t="shared" si="641"/>
        <v>2015</v>
      </c>
      <c r="HV662" s="465">
        <f t="shared" si="641"/>
        <v>2015</v>
      </c>
      <c r="HW662" s="465">
        <f t="shared" si="641"/>
        <v>2016</v>
      </c>
      <c r="HX662" s="465">
        <f t="shared" si="641"/>
        <v>2016</v>
      </c>
      <c r="HY662" s="465">
        <f t="shared" si="641"/>
        <v>2016</v>
      </c>
      <c r="HZ662" s="465">
        <f t="shared" si="641"/>
        <v>2017</v>
      </c>
      <c r="IA662" s="465">
        <f t="shared" si="641"/>
        <v>2017</v>
      </c>
      <c r="IB662" s="465">
        <f t="shared" si="641"/>
        <v>2017</v>
      </c>
      <c r="IC662" s="465">
        <f t="shared" si="641"/>
        <v>2018</v>
      </c>
      <c r="ID662" s="396">
        <f t="shared" si="641"/>
        <v>2018</v>
      </c>
      <c r="IE662" s="465">
        <f t="shared" si="641"/>
        <v>2018</v>
      </c>
      <c r="IF662" s="465">
        <f t="shared" si="641"/>
        <v>2019</v>
      </c>
      <c r="IG662" s="396">
        <f t="shared" si="641"/>
        <v>2019</v>
      </c>
      <c r="IH662" s="350"/>
      <c r="II662" s="350"/>
      <c r="IJ662" s="396">
        <f>+IK1</f>
        <v>2020</v>
      </c>
      <c r="IK662" s="396"/>
      <c r="IL662" s="396"/>
      <c r="IM662" s="396">
        <f>+IN1</f>
        <v>2021</v>
      </c>
      <c r="IN662" s="1997"/>
      <c r="IO662" s="396"/>
      <c r="IP662" s="396">
        <f>+IQ1</f>
        <v>2022</v>
      </c>
      <c r="IQ662" s="396"/>
      <c r="IR662" s="396"/>
      <c r="IS662" s="396">
        <f>+IR1</f>
        <v>2023</v>
      </c>
      <c r="IT662" s="396"/>
      <c r="IU662" s="396"/>
      <c r="IV662" s="396">
        <f>+IW1</f>
        <v>2024</v>
      </c>
      <c r="IW662" s="396"/>
      <c r="IX662" s="396"/>
      <c r="IY662" s="396">
        <f>+IZ1</f>
        <v>2025</v>
      </c>
      <c r="IZ662" s="396"/>
      <c r="JA662" s="396"/>
      <c r="JB662" s="396"/>
      <c r="JC662" s="396"/>
      <c r="JD662" s="396"/>
      <c r="JE662" s="396"/>
      <c r="JF662" s="396"/>
      <c r="JG662" s="396"/>
      <c r="JH662" s="396"/>
      <c r="JI662" s="396"/>
      <c r="JJ662" s="396"/>
      <c r="JK662" s="396"/>
      <c r="JL662" s="396"/>
      <c r="JM662" s="396"/>
      <c r="JN662" s="396"/>
    </row>
    <row r="663" spans="1:302" ht="23.25" customHeight="1">
      <c r="A663" s="302"/>
      <c r="D663" s="309" t="s">
        <v>3327</v>
      </c>
      <c r="E663" s="310"/>
      <c r="F663" s="310"/>
      <c r="G663" s="310"/>
      <c r="H663" s="310"/>
      <c r="I663" s="310"/>
      <c r="J663" s="310"/>
      <c r="K663" s="310"/>
      <c r="L663" s="310"/>
      <c r="M663" s="310"/>
      <c r="N663" s="310"/>
      <c r="O663" s="310"/>
      <c r="P663" s="310"/>
      <c r="Q663" s="310"/>
      <c r="R663" s="310"/>
      <c r="S663" s="310"/>
      <c r="T663" s="310"/>
      <c r="U663" s="310"/>
      <c r="V663" s="310"/>
      <c r="W663" s="310"/>
      <c r="X663" s="310"/>
      <c r="Y663" s="310"/>
      <c r="Z663" s="310"/>
      <c r="AA663" s="310"/>
      <c r="AB663" s="310"/>
      <c r="AC663" s="310"/>
      <c r="AD663" s="310"/>
      <c r="AE663" s="310"/>
      <c r="AF663" s="310"/>
      <c r="AG663" s="310"/>
      <c r="AH663" s="310"/>
      <c r="AI663" s="310"/>
      <c r="AJ663" s="310"/>
      <c r="AK663" s="310"/>
      <c r="AL663" s="310"/>
      <c r="AM663" s="310"/>
      <c r="AN663" s="310"/>
      <c r="AO663" s="310"/>
      <c r="AP663" s="310"/>
      <c r="AQ663" s="310"/>
      <c r="AR663" s="310"/>
      <c r="AS663" s="310"/>
      <c r="AT663" s="310"/>
      <c r="AU663" s="310"/>
      <c r="AV663" s="310"/>
      <c r="AW663" s="310"/>
      <c r="AX663" s="310"/>
      <c r="AY663" s="310"/>
      <c r="AZ663" s="310"/>
      <c r="BA663" s="310"/>
      <c r="BB663" s="310"/>
      <c r="BC663" s="310"/>
      <c r="BD663" s="310"/>
      <c r="BE663" s="310"/>
      <c r="BF663" s="310"/>
      <c r="BG663" s="310"/>
      <c r="BH663" s="310"/>
      <c r="BI663" s="310"/>
      <c r="BJ663" s="310"/>
      <c r="BK663" s="310"/>
      <c r="BL663" s="310"/>
      <c r="BM663" s="310"/>
      <c r="BN663" s="310"/>
      <c r="BO663" s="310"/>
      <c r="BP663" s="310"/>
      <c r="BQ663" s="310"/>
      <c r="BR663" s="310"/>
      <c r="BS663" s="310"/>
      <c r="BT663" s="310"/>
      <c r="BU663" s="310"/>
      <c r="BV663" s="310"/>
      <c r="BW663" s="310"/>
      <c r="BX663" s="310"/>
      <c r="BY663" s="310"/>
      <c r="BZ663" s="310"/>
      <c r="CA663" s="310"/>
      <c r="CB663" s="310"/>
      <c r="CC663" s="310"/>
      <c r="CD663" s="310"/>
      <c r="CE663" s="310"/>
      <c r="CF663" s="310"/>
      <c r="CG663" s="310"/>
      <c r="CH663" s="310"/>
      <c r="CI663" s="310"/>
      <c r="CJ663" s="310"/>
      <c r="CK663" s="310"/>
      <c r="CL663" s="310"/>
      <c r="CM663" s="310"/>
      <c r="CN663" s="310"/>
      <c r="CO663" s="310"/>
      <c r="CP663" s="311"/>
      <c r="CQ663" s="310"/>
      <c r="CR663" s="310"/>
      <c r="CS663" s="310"/>
      <c r="CT663" s="310"/>
      <c r="CU663" s="310"/>
      <c r="CV663" s="310"/>
      <c r="CW663" s="310"/>
      <c r="CX663" s="310"/>
      <c r="CY663" s="310"/>
      <c r="CZ663" s="310"/>
      <c r="DA663" s="310"/>
      <c r="DB663" s="313"/>
      <c r="DC663" s="310"/>
      <c r="DD663" s="310"/>
      <c r="DE663" s="310"/>
      <c r="DF663" s="310"/>
      <c r="DG663" s="310"/>
      <c r="DH663" s="310"/>
      <c r="DI663" s="310"/>
      <c r="DJ663" s="310"/>
      <c r="DK663" s="310"/>
      <c r="DL663" s="310"/>
      <c r="DM663" s="310"/>
      <c r="DN663" s="311"/>
      <c r="DO663" s="1531"/>
      <c r="DP663" s="310"/>
      <c r="DQ663" s="310"/>
      <c r="DR663" s="310"/>
      <c r="DS663" s="310"/>
      <c r="DT663" s="310"/>
      <c r="DU663" s="310"/>
      <c r="DV663" s="310"/>
      <c r="DW663" s="310"/>
      <c r="DX663" s="310"/>
      <c r="DY663" s="310"/>
      <c r="EA663" s="302"/>
      <c r="HN663" s="398"/>
      <c r="HO663" s="309" t="s">
        <v>943</v>
      </c>
      <c r="HP663" s="1595"/>
      <c r="HQ663" s="1595"/>
      <c r="HR663" s="692" t="str">
        <f t="shared" ref="HR663:IG663" si="642">+HR2</f>
        <v>2013/14</v>
      </c>
      <c r="HS663" s="692" t="str">
        <f t="shared" si="642"/>
        <v>2014/15</v>
      </c>
      <c r="HT663" s="692" t="str">
        <f t="shared" si="642"/>
        <v>2014/15</v>
      </c>
      <c r="HU663" s="692" t="str">
        <f t="shared" si="642"/>
        <v>2014/15</v>
      </c>
      <c r="HV663" s="692" t="str">
        <f t="shared" si="642"/>
        <v>2015/16</v>
      </c>
      <c r="HW663" s="692" t="str">
        <f t="shared" si="642"/>
        <v>2015/16</v>
      </c>
      <c r="HX663" s="692" t="str">
        <f t="shared" si="642"/>
        <v>2015/16</v>
      </c>
      <c r="HY663" s="692" t="str">
        <f t="shared" si="642"/>
        <v>2016/17</v>
      </c>
      <c r="HZ663" s="692" t="str">
        <f t="shared" si="642"/>
        <v>2016/17</v>
      </c>
      <c r="IA663" s="692" t="str">
        <f t="shared" si="642"/>
        <v>2016/17</v>
      </c>
      <c r="IB663" s="692" t="str">
        <f t="shared" si="642"/>
        <v>2017/18</v>
      </c>
      <c r="IC663" s="692" t="str">
        <f t="shared" si="642"/>
        <v>2017/18</v>
      </c>
      <c r="ID663" s="693" t="str">
        <f t="shared" si="642"/>
        <v>2017/18</v>
      </c>
      <c r="IE663" s="692" t="str">
        <f t="shared" si="642"/>
        <v>2018/19</v>
      </c>
      <c r="IF663" s="692" t="str">
        <f t="shared" si="642"/>
        <v>2018/19</v>
      </c>
      <c r="IG663" s="693" t="str">
        <f t="shared" si="642"/>
        <v>2018/19</v>
      </c>
      <c r="IH663" s="693" t="str">
        <f t="shared" ref="IH663:JN663" si="643">+IH2</f>
        <v>2019/20</v>
      </c>
      <c r="II663" s="693" t="str">
        <f t="shared" si="643"/>
        <v>2019/20</v>
      </c>
      <c r="IJ663" s="693" t="str">
        <f t="shared" si="643"/>
        <v>2019/20</v>
      </c>
      <c r="IK663" s="693" t="str">
        <f t="shared" si="643"/>
        <v>2020/2021</v>
      </c>
      <c r="IL663" s="693" t="str">
        <f t="shared" si="643"/>
        <v>2020/2021</v>
      </c>
      <c r="IM663" s="693" t="str">
        <f t="shared" si="643"/>
        <v>2020/2021</v>
      </c>
      <c r="IN663" s="693" t="str">
        <f t="shared" si="643"/>
        <v>2021/2022</v>
      </c>
      <c r="IO663" s="693" t="str">
        <f t="shared" si="643"/>
        <v>2021/2022</v>
      </c>
      <c r="IP663" s="693" t="str">
        <f t="shared" si="643"/>
        <v>2021/2022</v>
      </c>
      <c r="IQ663" s="693" t="str">
        <f t="shared" si="643"/>
        <v>2022/2023</v>
      </c>
      <c r="IR663" s="693" t="str">
        <f t="shared" si="643"/>
        <v>2022/2023</v>
      </c>
      <c r="IS663" s="693" t="str">
        <f t="shared" si="643"/>
        <v>2022/2023</v>
      </c>
      <c r="IT663" s="693" t="str">
        <f t="shared" si="643"/>
        <v>2023/2024</v>
      </c>
      <c r="IU663" s="693" t="str">
        <f t="shared" si="643"/>
        <v>2023/2024</v>
      </c>
      <c r="IV663" s="693" t="str">
        <f t="shared" si="643"/>
        <v>2023/2024</v>
      </c>
      <c r="IW663" s="693" t="str">
        <f t="shared" si="643"/>
        <v>2024/2025</v>
      </c>
      <c r="IX663" s="693" t="str">
        <f t="shared" si="643"/>
        <v>2024/2025</v>
      </c>
      <c r="IY663" s="693" t="str">
        <f t="shared" si="643"/>
        <v>2024/2025</v>
      </c>
      <c r="IZ663" s="693" t="str">
        <f t="shared" si="643"/>
        <v>2025/2026</v>
      </c>
      <c r="JA663" s="693" t="str">
        <f t="shared" si="643"/>
        <v>2025/2026</v>
      </c>
      <c r="JB663" s="693" t="str">
        <f t="shared" si="643"/>
        <v>2025/2026</v>
      </c>
      <c r="JC663" s="693" t="str">
        <f t="shared" si="643"/>
        <v>2026/2027</v>
      </c>
      <c r="JD663" s="693" t="str">
        <f t="shared" si="643"/>
        <v>2026/2027</v>
      </c>
      <c r="JE663" s="693" t="str">
        <f t="shared" si="643"/>
        <v>2026/2027</v>
      </c>
      <c r="JF663" s="693" t="str">
        <f t="shared" si="643"/>
        <v>2027/2028</v>
      </c>
      <c r="JG663" s="693" t="str">
        <f t="shared" si="643"/>
        <v>2027/2028</v>
      </c>
      <c r="JH663" s="693" t="str">
        <f t="shared" si="643"/>
        <v>2027/2028</v>
      </c>
      <c r="JI663" s="693" t="str">
        <f t="shared" si="643"/>
        <v>2028/2029</v>
      </c>
      <c r="JJ663" s="693" t="str">
        <f t="shared" si="643"/>
        <v>2028/2029</v>
      </c>
      <c r="JK663" s="693" t="str">
        <f t="shared" si="643"/>
        <v>2028/2029</v>
      </c>
      <c r="JL663" s="693" t="str">
        <f t="shared" si="643"/>
        <v>2029/2030</v>
      </c>
      <c r="JM663" s="693" t="str">
        <f t="shared" si="643"/>
        <v>2029/2030</v>
      </c>
      <c r="JN663" s="693" t="str">
        <f t="shared" si="643"/>
        <v>2029/2030</v>
      </c>
      <c r="KM663" s="310"/>
      <c r="KN663" s="310"/>
      <c r="KO663" s="310"/>
      <c r="KP663" s="313"/>
    </row>
    <row r="664" spans="1:302">
      <c r="A664" s="302"/>
      <c r="CP664" s="303"/>
      <c r="DZ664" s="311"/>
      <c r="EA664" s="1531"/>
      <c r="HO664" s="117"/>
      <c r="HP664" s="460" t="str">
        <f>+HP3</f>
        <v>Jul-Dec</v>
      </c>
      <c r="HQ664" s="460" t="str">
        <f>+HQ3</f>
        <v>Jan-Jun</v>
      </c>
      <c r="HR664" s="460" t="str">
        <f t="shared" ref="HR664:IG664" si="644">+HR3</f>
        <v>Proj.</v>
      </c>
      <c r="HS664" s="460" t="str">
        <f t="shared" si="644"/>
        <v>Jul-Dec</v>
      </c>
      <c r="HT664" s="460" t="str">
        <f t="shared" si="644"/>
        <v>Jan-Jun</v>
      </c>
      <c r="HU664" s="460" t="str">
        <f t="shared" si="644"/>
        <v>Est.</v>
      </c>
      <c r="HV664" s="460" t="str">
        <f t="shared" si="644"/>
        <v>July-Dec</v>
      </c>
      <c r="HW664" s="460" t="str">
        <f t="shared" si="644"/>
        <v>Jan-June</v>
      </c>
      <c r="HX664" s="460" t="str">
        <f t="shared" si="644"/>
        <v>Est.</v>
      </c>
      <c r="HY664" s="460" t="str">
        <f t="shared" si="644"/>
        <v>Jul-Dec</v>
      </c>
      <c r="HZ664" s="460" t="str">
        <f t="shared" si="644"/>
        <v>Jan-Jun</v>
      </c>
      <c r="IA664" s="460" t="str">
        <f t="shared" si="644"/>
        <v>Proj.</v>
      </c>
      <c r="IB664" s="460" t="str">
        <f t="shared" si="644"/>
        <v>Jul-Dec</v>
      </c>
      <c r="IC664" s="460" t="str">
        <f t="shared" si="644"/>
        <v>Jan-Jun</v>
      </c>
      <c r="ID664" s="307" t="str">
        <f t="shared" si="644"/>
        <v>Proj.</v>
      </c>
      <c r="IE664" s="460" t="str">
        <f t="shared" si="644"/>
        <v>Jul-Dec</v>
      </c>
      <c r="IF664" s="460" t="str">
        <f t="shared" si="644"/>
        <v>Jan-Jun</v>
      </c>
      <c r="IG664" s="307" t="str">
        <f t="shared" si="644"/>
        <v>Proj.</v>
      </c>
      <c r="IH664" s="460" t="str">
        <f t="shared" ref="IH664:JN664" si="645">+IH3</f>
        <v>Jul-Dec</v>
      </c>
      <c r="II664" s="460" t="str">
        <f t="shared" si="645"/>
        <v>Jan-Jun</v>
      </c>
      <c r="IJ664" s="307" t="str">
        <f t="shared" si="645"/>
        <v>Proj.</v>
      </c>
      <c r="IK664" s="307" t="str">
        <f t="shared" si="645"/>
        <v>Jul-Dec</v>
      </c>
      <c r="IL664" s="307" t="str">
        <f t="shared" si="645"/>
        <v>Jan-Jun</v>
      </c>
      <c r="IM664" s="307" t="str">
        <f t="shared" si="645"/>
        <v>Proj.</v>
      </c>
      <c r="IN664" s="307" t="str">
        <f t="shared" si="645"/>
        <v>Jul-Dec</v>
      </c>
      <c r="IO664" s="307" t="str">
        <f t="shared" si="645"/>
        <v>Jan-Jun</v>
      </c>
      <c r="IP664" s="307" t="str">
        <f t="shared" si="645"/>
        <v>Proj.</v>
      </c>
      <c r="IQ664" s="307" t="str">
        <f t="shared" si="645"/>
        <v>Jul-Dec</v>
      </c>
      <c r="IR664" s="307" t="str">
        <f t="shared" si="645"/>
        <v>Jan-Jun</v>
      </c>
      <c r="IS664" s="307" t="str">
        <f t="shared" si="645"/>
        <v>Proj.</v>
      </c>
      <c r="IT664" s="307" t="str">
        <f t="shared" si="645"/>
        <v>Jul-Dec</v>
      </c>
      <c r="IU664" s="307" t="str">
        <f t="shared" si="645"/>
        <v>Jan-Jun</v>
      </c>
      <c r="IV664" s="307" t="str">
        <f t="shared" si="645"/>
        <v>Proj.</v>
      </c>
      <c r="IW664" s="307" t="str">
        <f t="shared" si="645"/>
        <v>Jul-Dec</v>
      </c>
      <c r="IX664" s="307" t="str">
        <f t="shared" si="645"/>
        <v>Jan-Jun</v>
      </c>
      <c r="IY664" s="307" t="str">
        <f t="shared" si="645"/>
        <v>Proj.</v>
      </c>
      <c r="IZ664" s="307" t="str">
        <f t="shared" si="645"/>
        <v>Jul-Dec</v>
      </c>
      <c r="JA664" s="307" t="str">
        <f t="shared" si="645"/>
        <v>Jan-Jun</v>
      </c>
      <c r="JB664" s="307" t="str">
        <f t="shared" si="645"/>
        <v>Proj.</v>
      </c>
      <c r="JC664" s="307" t="str">
        <f t="shared" si="645"/>
        <v>Jul-Dec</v>
      </c>
      <c r="JD664" s="307" t="str">
        <f t="shared" si="645"/>
        <v>Jan-Jun</v>
      </c>
      <c r="JE664" s="307" t="str">
        <f t="shared" si="645"/>
        <v>Proj.</v>
      </c>
      <c r="JF664" s="307" t="str">
        <f t="shared" si="645"/>
        <v>Jul-Dec</v>
      </c>
      <c r="JG664" s="307" t="str">
        <f t="shared" si="645"/>
        <v>Jan-Jun</v>
      </c>
      <c r="JH664" s="307" t="str">
        <f t="shared" si="645"/>
        <v>Proj.</v>
      </c>
      <c r="JI664" s="307" t="str">
        <f t="shared" si="645"/>
        <v>Jul-Dec</v>
      </c>
      <c r="JJ664" s="307" t="str">
        <f t="shared" si="645"/>
        <v>Jan-Jun</v>
      </c>
      <c r="JK664" s="307" t="str">
        <f t="shared" si="645"/>
        <v>Proj.</v>
      </c>
      <c r="JL664" s="307" t="str">
        <f t="shared" si="645"/>
        <v>Jul-Dec</v>
      </c>
      <c r="JM664" s="307" t="str">
        <f t="shared" si="645"/>
        <v>Jan-Jun</v>
      </c>
      <c r="JN664" s="307" t="str">
        <f t="shared" si="645"/>
        <v>Proj.</v>
      </c>
    </row>
    <row r="665" spans="1:302">
      <c r="A665" s="302"/>
      <c r="D665" s="346"/>
      <c r="E665" s="394">
        <f t="shared" ref="E665:AJ665" si="646">+E1</f>
        <v>39083</v>
      </c>
      <c r="F665" s="394">
        <f t="shared" si="646"/>
        <v>39114</v>
      </c>
      <c r="G665" s="394">
        <f t="shared" si="646"/>
        <v>39142</v>
      </c>
      <c r="H665" s="394">
        <f t="shared" si="646"/>
        <v>39173</v>
      </c>
      <c r="I665" s="394">
        <f t="shared" si="646"/>
        <v>39203</v>
      </c>
      <c r="J665" s="394">
        <f t="shared" si="646"/>
        <v>39234</v>
      </c>
      <c r="K665" s="394">
        <f t="shared" si="646"/>
        <v>39264</v>
      </c>
      <c r="L665" s="394">
        <f t="shared" si="646"/>
        <v>39295</v>
      </c>
      <c r="M665" s="394">
        <f t="shared" si="646"/>
        <v>39326</v>
      </c>
      <c r="N665" s="394">
        <f t="shared" si="646"/>
        <v>39356</v>
      </c>
      <c r="O665" s="394">
        <f t="shared" si="646"/>
        <v>39387</v>
      </c>
      <c r="P665" s="394">
        <f t="shared" si="646"/>
        <v>39417</v>
      </c>
      <c r="Q665" s="394">
        <f t="shared" si="646"/>
        <v>39448</v>
      </c>
      <c r="R665" s="394">
        <f t="shared" si="646"/>
        <v>39479</v>
      </c>
      <c r="S665" s="394">
        <f t="shared" si="646"/>
        <v>39508</v>
      </c>
      <c r="T665" s="394">
        <f t="shared" si="646"/>
        <v>39539</v>
      </c>
      <c r="U665" s="394">
        <f t="shared" si="646"/>
        <v>39569</v>
      </c>
      <c r="V665" s="394">
        <f t="shared" si="646"/>
        <v>39600</v>
      </c>
      <c r="W665" s="394">
        <f t="shared" si="646"/>
        <v>39630</v>
      </c>
      <c r="X665" s="394">
        <f t="shared" si="646"/>
        <v>39661</v>
      </c>
      <c r="Y665" s="394">
        <f t="shared" si="646"/>
        <v>39692</v>
      </c>
      <c r="Z665" s="394">
        <f t="shared" si="646"/>
        <v>39722</v>
      </c>
      <c r="AA665" s="394">
        <f t="shared" si="646"/>
        <v>39753</v>
      </c>
      <c r="AB665" s="394">
        <f t="shared" si="646"/>
        <v>39783</v>
      </c>
      <c r="AC665" s="394">
        <f t="shared" si="646"/>
        <v>39814</v>
      </c>
      <c r="AD665" s="394">
        <f t="shared" si="646"/>
        <v>39845</v>
      </c>
      <c r="AE665" s="394">
        <f t="shared" si="646"/>
        <v>39873</v>
      </c>
      <c r="AF665" s="394">
        <f t="shared" si="646"/>
        <v>39904</v>
      </c>
      <c r="AG665" s="394">
        <f t="shared" si="646"/>
        <v>39934</v>
      </c>
      <c r="AH665" s="394">
        <f t="shared" si="646"/>
        <v>39965</v>
      </c>
      <c r="AI665" s="394">
        <f t="shared" si="646"/>
        <v>39995</v>
      </c>
      <c r="AJ665" s="394">
        <f t="shared" si="646"/>
        <v>40026</v>
      </c>
      <c r="AK665" s="394">
        <f t="shared" ref="AK665:BP665" si="647">+AK1</f>
        <v>40057</v>
      </c>
      <c r="AL665" s="394">
        <f t="shared" si="647"/>
        <v>40087</v>
      </c>
      <c r="AM665" s="394">
        <f t="shared" si="647"/>
        <v>40118</v>
      </c>
      <c r="AN665" s="394">
        <f t="shared" si="647"/>
        <v>40148</v>
      </c>
      <c r="AO665" s="394">
        <f t="shared" si="647"/>
        <v>40179</v>
      </c>
      <c r="AP665" s="394">
        <f t="shared" si="647"/>
        <v>40210</v>
      </c>
      <c r="AQ665" s="394">
        <f t="shared" si="647"/>
        <v>40238</v>
      </c>
      <c r="AR665" s="394">
        <f t="shared" si="647"/>
        <v>40269</v>
      </c>
      <c r="AS665" s="394">
        <f t="shared" si="647"/>
        <v>40299</v>
      </c>
      <c r="AT665" s="394">
        <f t="shared" si="647"/>
        <v>40330</v>
      </c>
      <c r="AU665" s="394">
        <f t="shared" si="647"/>
        <v>40360</v>
      </c>
      <c r="AV665" s="394">
        <f t="shared" si="647"/>
        <v>40391</v>
      </c>
      <c r="AW665" s="394">
        <f t="shared" si="647"/>
        <v>40422</v>
      </c>
      <c r="AX665" s="394">
        <f t="shared" si="647"/>
        <v>40452</v>
      </c>
      <c r="AY665" s="394">
        <f t="shared" si="647"/>
        <v>40483</v>
      </c>
      <c r="AZ665" s="394">
        <f t="shared" si="647"/>
        <v>40513</v>
      </c>
      <c r="BA665" s="394">
        <f t="shared" si="647"/>
        <v>40544</v>
      </c>
      <c r="BB665" s="394">
        <f t="shared" si="647"/>
        <v>40575</v>
      </c>
      <c r="BC665" s="394">
        <f t="shared" si="647"/>
        <v>40603</v>
      </c>
      <c r="BD665" s="394">
        <f t="shared" si="647"/>
        <v>40634</v>
      </c>
      <c r="BE665" s="394">
        <f t="shared" si="647"/>
        <v>40664</v>
      </c>
      <c r="BF665" s="394">
        <f t="shared" si="647"/>
        <v>40695</v>
      </c>
      <c r="BG665" s="394">
        <f t="shared" si="647"/>
        <v>40725</v>
      </c>
      <c r="BH665" s="394">
        <f t="shared" si="647"/>
        <v>40756</v>
      </c>
      <c r="BI665" s="394">
        <f t="shared" si="647"/>
        <v>40787</v>
      </c>
      <c r="BJ665" s="394">
        <f t="shared" si="647"/>
        <v>40817</v>
      </c>
      <c r="BK665" s="394">
        <f t="shared" si="647"/>
        <v>40848</v>
      </c>
      <c r="BL665" s="394">
        <f t="shared" si="647"/>
        <v>40878</v>
      </c>
      <c r="BM665" s="394">
        <f t="shared" si="647"/>
        <v>40909</v>
      </c>
      <c r="BN665" s="394">
        <f t="shared" si="647"/>
        <v>40940</v>
      </c>
      <c r="BO665" s="394">
        <f t="shared" si="647"/>
        <v>40969</v>
      </c>
      <c r="BP665" s="394">
        <f t="shared" si="647"/>
        <v>41000</v>
      </c>
      <c r="BQ665" s="394">
        <f t="shared" ref="BQ665:CV665" si="648">+BQ1</f>
        <v>41030</v>
      </c>
      <c r="BR665" s="394">
        <f t="shared" si="648"/>
        <v>41061</v>
      </c>
      <c r="BS665" s="394">
        <f t="shared" si="648"/>
        <v>41091</v>
      </c>
      <c r="BT665" s="394">
        <f t="shared" si="648"/>
        <v>41122</v>
      </c>
      <c r="BU665" s="394">
        <f t="shared" si="648"/>
        <v>41153</v>
      </c>
      <c r="BV665" s="394">
        <f t="shared" si="648"/>
        <v>41183</v>
      </c>
      <c r="BW665" s="394">
        <f t="shared" si="648"/>
        <v>41214</v>
      </c>
      <c r="BX665" s="394">
        <f t="shared" si="648"/>
        <v>41244</v>
      </c>
      <c r="BY665" s="394">
        <f t="shared" si="648"/>
        <v>41275</v>
      </c>
      <c r="BZ665" s="394">
        <f t="shared" si="648"/>
        <v>41306</v>
      </c>
      <c r="CA665" s="394">
        <f t="shared" si="648"/>
        <v>41334</v>
      </c>
      <c r="CB665" s="394">
        <f t="shared" si="648"/>
        <v>41365</v>
      </c>
      <c r="CC665" s="394">
        <f t="shared" si="648"/>
        <v>41395</v>
      </c>
      <c r="CD665" s="394">
        <f t="shared" si="648"/>
        <v>41426</v>
      </c>
      <c r="CE665" s="394">
        <f t="shared" si="648"/>
        <v>41456</v>
      </c>
      <c r="CF665" s="394">
        <f t="shared" si="648"/>
        <v>41487</v>
      </c>
      <c r="CG665" s="394">
        <f t="shared" si="648"/>
        <v>41518</v>
      </c>
      <c r="CH665" s="394">
        <f t="shared" si="648"/>
        <v>41548</v>
      </c>
      <c r="CI665" s="394">
        <f t="shared" si="648"/>
        <v>41579</v>
      </c>
      <c r="CJ665" s="394">
        <f t="shared" si="648"/>
        <v>41609</v>
      </c>
      <c r="CK665" s="394">
        <f t="shared" si="648"/>
        <v>41640</v>
      </c>
      <c r="CL665" s="394">
        <f t="shared" si="648"/>
        <v>41671</v>
      </c>
      <c r="CM665" s="394">
        <f t="shared" si="648"/>
        <v>41699</v>
      </c>
      <c r="CN665" s="394">
        <f t="shared" si="648"/>
        <v>41730</v>
      </c>
      <c r="CO665" s="394">
        <f t="shared" si="648"/>
        <v>41760</v>
      </c>
      <c r="CP665" s="654">
        <f t="shared" si="648"/>
        <v>41791</v>
      </c>
      <c r="CQ665" s="394">
        <f t="shared" si="648"/>
        <v>41821</v>
      </c>
      <c r="CR665" s="394">
        <f t="shared" si="648"/>
        <v>41852</v>
      </c>
      <c r="CS665" s="394">
        <f t="shared" si="648"/>
        <v>41883</v>
      </c>
      <c r="CT665" s="394">
        <f t="shared" si="648"/>
        <v>41913</v>
      </c>
      <c r="CU665" s="394">
        <f t="shared" si="648"/>
        <v>41944</v>
      </c>
      <c r="CV665" s="394">
        <f t="shared" si="648"/>
        <v>41974</v>
      </c>
      <c r="CW665" s="394">
        <f t="shared" ref="CW665:EB665" si="649">+CW1</f>
        <v>42005</v>
      </c>
      <c r="CX665" s="394">
        <f t="shared" si="649"/>
        <v>42036</v>
      </c>
      <c r="CY665" s="394">
        <f t="shared" si="649"/>
        <v>42064</v>
      </c>
      <c r="CZ665" s="394">
        <f t="shared" si="649"/>
        <v>42095</v>
      </c>
      <c r="DA665" s="394">
        <f t="shared" si="649"/>
        <v>42125</v>
      </c>
      <c r="DB665" s="1480">
        <f t="shared" si="649"/>
        <v>42156</v>
      </c>
      <c r="DC665" s="394">
        <f t="shared" si="649"/>
        <v>42186</v>
      </c>
      <c r="DD665" s="394">
        <f t="shared" si="649"/>
        <v>42217</v>
      </c>
      <c r="DE665" s="394">
        <f t="shared" si="649"/>
        <v>42248</v>
      </c>
      <c r="DF665" s="394">
        <f t="shared" si="649"/>
        <v>42278</v>
      </c>
      <c r="DG665" s="394">
        <f t="shared" si="649"/>
        <v>42309</v>
      </c>
      <c r="DH665" s="394">
        <f t="shared" si="649"/>
        <v>42339</v>
      </c>
      <c r="DI665" s="394">
        <f t="shared" si="649"/>
        <v>42370</v>
      </c>
      <c r="DJ665" s="394">
        <f t="shared" si="649"/>
        <v>42401</v>
      </c>
      <c r="DK665" s="394">
        <f t="shared" si="649"/>
        <v>42430</v>
      </c>
      <c r="DL665" s="394">
        <f t="shared" si="649"/>
        <v>42461</v>
      </c>
      <c r="DM665" s="394">
        <f t="shared" si="649"/>
        <v>42491</v>
      </c>
      <c r="DN665" s="654">
        <f t="shared" si="649"/>
        <v>42522</v>
      </c>
      <c r="DO665" s="394">
        <f t="shared" si="649"/>
        <v>42552</v>
      </c>
      <c r="DP665" s="394">
        <f t="shared" si="649"/>
        <v>42583</v>
      </c>
      <c r="DQ665" s="394">
        <f t="shared" si="649"/>
        <v>42615</v>
      </c>
      <c r="DR665" s="394">
        <f t="shared" si="649"/>
        <v>42646</v>
      </c>
      <c r="DS665" s="394">
        <f t="shared" si="649"/>
        <v>42678</v>
      </c>
      <c r="DT665" s="394">
        <f t="shared" si="649"/>
        <v>42709</v>
      </c>
      <c r="DU665" s="394">
        <f t="shared" si="649"/>
        <v>42736</v>
      </c>
      <c r="DV665" s="394">
        <f t="shared" si="649"/>
        <v>42767</v>
      </c>
      <c r="DW665" s="394">
        <f t="shared" si="649"/>
        <v>42795</v>
      </c>
      <c r="DX665" s="394">
        <f t="shared" si="649"/>
        <v>42826</v>
      </c>
      <c r="DY665" s="394">
        <f t="shared" si="649"/>
        <v>42856</v>
      </c>
      <c r="DZ665" s="654">
        <f t="shared" si="649"/>
        <v>42887</v>
      </c>
      <c r="EA665" s="394">
        <f t="shared" si="649"/>
        <v>42917</v>
      </c>
      <c r="EB665" s="394">
        <f t="shared" si="649"/>
        <v>42948</v>
      </c>
      <c r="EC665" s="394">
        <f t="shared" ref="EC665:FH665" si="650">+EC1</f>
        <v>42979</v>
      </c>
      <c r="ED665" s="394">
        <f t="shared" si="650"/>
        <v>43009</v>
      </c>
      <c r="EE665" s="394">
        <f t="shared" si="650"/>
        <v>43040</v>
      </c>
      <c r="EF665" s="394">
        <f t="shared" si="650"/>
        <v>43070</v>
      </c>
      <c r="EG665" s="394">
        <f t="shared" si="650"/>
        <v>43101</v>
      </c>
      <c r="EH665" s="394">
        <f t="shared" si="650"/>
        <v>43132</v>
      </c>
      <c r="EI665" s="394">
        <f t="shared" si="650"/>
        <v>43160</v>
      </c>
      <c r="EJ665" s="394">
        <f t="shared" si="650"/>
        <v>43191</v>
      </c>
      <c r="EK665" s="394">
        <f t="shared" si="650"/>
        <v>43221</v>
      </c>
      <c r="EL665" s="654">
        <f t="shared" si="650"/>
        <v>43252</v>
      </c>
      <c r="EM665" s="394">
        <f t="shared" si="650"/>
        <v>43282</v>
      </c>
      <c r="EN665" s="394">
        <f t="shared" si="650"/>
        <v>43313</v>
      </c>
      <c r="EO665" s="394">
        <f t="shared" si="650"/>
        <v>43344</v>
      </c>
      <c r="EP665" s="394">
        <f t="shared" si="650"/>
        <v>43374</v>
      </c>
      <c r="EQ665" s="394">
        <f t="shared" si="650"/>
        <v>43405</v>
      </c>
      <c r="ER665" s="394">
        <f t="shared" si="650"/>
        <v>43435</v>
      </c>
      <c r="ES665" s="394">
        <f t="shared" si="650"/>
        <v>43466</v>
      </c>
      <c r="ET665" s="394">
        <f t="shared" si="650"/>
        <v>43497</v>
      </c>
      <c r="EU665" s="394">
        <f t="shared" si="650"/>
        <v>43525</v>
      </c>
      <c r="EV665" s="394">
        <f t="shared" si="650"/>
        <v>43556</v>
      </c>
      <c r="EW665" s="394">
        <f t="shared" si="650"/>
        <v>43586</v>
      </c>
      <c r="EX665" s="654">
        <f t="shared" si="650"/>
        <v>43617</v>
      </c>
      <c r="EY665" s="394">
        <f t="shared" si="650"/>
        <v>43647</v>
      </c>
      <c r="EZ665" s="394">
        <f t="shared" si="650"/>
        <v>43678</v>
      </c>
      <c r="FA665" s="394">
        <f t="shared" si="650"/>
        <v>43709</v>
      </c>
      <c r="FB665" s="394">
        <f t="shared" si="650"/>
        <v>43739</v>
      </c>
      <c r="FC665" s="394">
        <f t="shared" si="650"/>
        <v>43770</v>
      </c>
      <c r="FD665" s="394">
        <f t="shared" si="650"/>
        <v>43800</v>
      </c>
      <c r="FE665" s="394">
        <f t="shared" si="650"/>
        <v>43831</v>
      </c>
      <c r="FF665" s="394">
        <f t="shared" si="650"/>
        <v>43862</v>
      </c>
      <c r="FG665" s="394">
        <f t="shared" si="650"/>
        <v>43891</v>
      </c>
      <c r="FH665" s="394">
        <f t="shared" si="650"/>
        <v>43922</v>
      </c>
      <c r="FI665" s="394">
        <f t="shared" ref="FI665:GN665" si="651">+FI1</f>
        <v>43952</v>
      </c>
      <c r="FJ665" s="394">
        <f t="shared" si="651"/>
        <v>43983</v>
      </c>
      <c r="FK665" s="394">
        <f t="shared" si="651"/>
        <v>44013</v>
      </c>
      <c r="FL665" s="394">
        <f t="shared" si="651"/>
        <v>44044</v>
      </c>
      <c r="FM665" s="394">
        <f t="shared" si="651"/>
        <v>44075</v>
      </c>
      <c r="FN665" s="394">
        <f t="shared" si="651"/>
        <v>44105</v>
      </c>
      <c r="FO665" s="394">
        <f t="shared" si="651"/>
        <v>44136</v>
      </c>
      <c r="FP665" s="394">
        <f t="shared" si="651"/>
        <v>44166</v>
      </c>
      <c r="FQ665" s="394">
        <f t="shared" si="651"/>
        <v>44197</v>
      </c>
      <c r="FR665" s="394">
        <f t="shared" si="651"/>
        <v>44228</v>
      </c>
      <c r="FS665" s="394">
        <f t="shared" si="651"/>
        <v>44256</v>
      </c>
      <c r="FT665" s="394">
        <f t="shared" si="651"/>
        <v>44287</v>
      </c>
      <c r="FU665" s="394">
        <f t="shared" si="651"/>
        <v>44317</v>
      </c>
      <c r="FV665" s="394">
        <f t="shared" si="651"/>
        <v>44348</v>
      </c>
      <c r="FW665" s="394">
        <f t="shared" si="651"/>
        <v>44378</v>
      </c>
      <c r="FX665" s="394">
        <f t="shared" si="651"/>
        <v>44409</v>
      </c>
      <c r="FY665" s="394">
        <f t="shared" si="651"/>
        <v>44440</v>
      </c>
      <c r="FZ665" s="394">
        <f t="shared" si="651"/>
        <v>44470</v>
      </c>
      <c r="GA665" s="394">
        <f t="shared" si="651"/>
        <v>44501</v>
      </c>
      <c r="GB665" s="394">
        <f t="shared" si="651"/>
        <v>44531</v>
      </c>
      <c r="GC665" s="394">
        <f t="shared" si="651"/>
        <v>44562</v>
      </c>
      <c r="GD665" s="394">
        <f t="shared" si="651"/>
        <v>44593</v>
      </c>
      <c r="GE665" s="394">
        <f t="shared" si="651"/>
        <v>44621</v>
      </c>
      <c r="GF665" s="394">
        <f t="shared" si="651"/>
        <v>44652</v>
      </c>
      <c r="GG665" s="394">
        <f t="shared" si="651"/>
        <v>44682</v>
      </c>
      <c r="GH665" s="394">
        <f t="shared" si="651"/>
        <v>44713</v>
      </c>
      <c r="GI665" s="394">
        <f t="shared" si="651"/>
        <v>44743</v>
      </c>
      <c r="GJ665" s="394">
        <f t="shared" si="651"/>
        <v>44774</v>
      </c>
      <c r="GK665" s="394">
        <f t="shared" si="651"/>
        <v>44805</v>
      </c>
      <c r="GL665" s="394">
        <f t="shared" si="651"/>
        <v>44835</v>
      </c>
      <c r="GM665" s="394">
        <f t="shared" si="651"/>
        <v>44866</v>
      </c>
      <c r="GN665" s="394">
        <f t="shared" si="651"/>
        <v>44896</v>
      </c>
      <c r="GO665" s="394">
        <f t="shared" ref="GO665:GT665" si="652">+GO1</f>
        <v>44927</v>
      </c>
      <c r="GP665" s="394">
        <f t="shared" si="652"/>
        <v>44958</v>
      </c>
      <c r="GQ665" s="394">
        <f t="shared" si="652"/>
        <v>44986</v>
      </c>
      <c r="GR665" s="394">
        <f t="shared" si="652"/>
        <v>45017</v>
      </c>
      <c r="GS665" s="394">
        <f t="shared" si="652"/>
        <v>45047</v>
      </c>
      <c r="GT665" s="394">
        <f t="shared" si="652"/>
        <v>45078</v>
      </c>
      <c r="GU665" s="394">
        <f t="shared" ref="GU665:HL665" si="653">+GU1</f>
        <v>45108</v>
      </c>
      <c r="GV665" s="394">
        <f t="shared" si="653"/>
        <v>45139</v>
      </c>
      <c r="GW665" s="394">
        <f t="shared" si="653"/>
        <v>45170</v>
      </c>
      <c r="GX665" s="394">
        <f t="shared" si="653"/>
        <v>45200</v>
      </c>
      <c r="GY665" s="394">
        <f t="shared" si="653"/>
        <v>45231</v>
      </c>
      <c r="GZ665" s="394">
        <f t="shared" si="653"/>
        <v>45261</v>
      </c>
      <c r="HA665" s="394">
        <f t="shared" si="653"/>
        <v>45292</v>
      </c>
      <c r="HB665" s="394">
        <f t="shared" si="653"/>
        <v>45323</v>
      </c>
      <c r="HC665" s="394">
        <f t="shared" si="653"/>
        <v>45352</v>
      </c>
      <c r="HD665" s="394">
        <f t="shared" si="653"/>
        <v>45383</v>
      </c>
      <c r="HE665" s="394">
        <f t="shared" si="653"/>
        <v>45413</v>
      </c>
      <c r="HF665" s="394">
        <f t="shared" si="653"/>
        <v>45444</v>
      </c>
      <c r="HG665" s="394">
        <f t="shared" si="653"/>
        <v>45474</v>
      </c>
      <c r="HH665" s="394">
        <f t="shared" si="653"/>
        <v>45505</v>
      </c>
      <c r="HI665" s="394">
        <f t="shared" si="653"/>
        <v>45536</v>
      </c>
      <c r="HJ665" s="394">
        <f t="shared" si="653"/>
        <v>45566</v>
      </c>
      <c r="HK665" s="394">
        <f t="shared" si="653"/>
        <v>45597</v>
      </c>
      <c r="HL665" s="394">
        <f t="shared" si="653"/>
        <v>45627</v>
      </c>
      <c r="HM665" s="394"/>
      <c r="HO665" s="346"/>
      <c r="HP665" s="307"/>
      <c r="HR665" s="346"/>
      <c r="HU665" s="346"/>
      <c r="HV665" s="307"/>
      <c r="HX665" s="346"/>
      <c r="IA665" s="346"/>
      <c r="ID665" s="346"/>
      <c r="IE665" s="350"/>
      <c r="IF665" s="350"/>
      <c r="IG665" s="346"/>
      <c r="IH665" s="350"/>
      <c r="II665" s="350"/>
      <c r="IJ665" s="346"/>
      <c r="IK665" s="350"/>
      <c r="IL665" s="350"/>
      <c r="IM665" s="346"/>
      <c r="IN665" s="1038"/>
      <c r="IO665" s="350"/>
      <c r="IP665" s="346"/>
      <c r="IQ665" s="350"/>
      <c r="IR665" s="350"/>
      <c r="IS665" s="346"/>
      <c r="IT665" s="350"/>
      <c r="IU665" s="350"/>
      <c r="IV665" s="346"/>
      <c r="IW665" s="350"/>
      <c r="IX665" s="350"/>
      <c r="IY665" s="346"/>
      <c r="JB665" s="346"/>
      <c r="JE665" s="346"/>
    </row>
    <row r="666" spans="1:302" hidden="1" outlineLevel="1">
      <c r="A666" s="302"/>
      <c r="B666" s="117" t="s">
        <v>361</v>
      </c>
      <c r="D666" s="354" t="s">
        <v>493</v>
      </c>
      <c r="E666" s="346">
        <f t="shared" ref="E666:AJ666" si="654">E667+E707+E717+E730</f>
        <v>0</v>
      </c>
      <c r="F666" s="346">
        <f t="shared" si="654"/>
        <v>0</v>
      </c>
      <c r="G666" s="346">
        <f t="shared" si="654"/>
        <v>0</v>
      </c>
      <c r="H666" s="346">
        <f t="shared" si="654"/>
        <v>0</v>
      </c>
      <c r="I666" s="346">
        <f t="shared" si="654"/>
        <v>0</v>
      </c>
      <c r="J666" s="346">
        <f t="shared" si="654"/>
        <v>0</v>
      </c>
      <c r="K666" s="346">
        <f t="shared" si="654"/>
        <v>0</v>
      </c>
      <c r="L666" s="346">
        <f t="shared" si="654"/>
        <v>0</v>
      </c>
      <c r="M666" s="346">
        <f t="shared" si="654"/>
        <v>0</v>
      </c>
      <c r="N666" s="346">
        <f t="shared" si="654"/>
        <v>0</v>
      </c>
      <c r="O666" s="346">
        <f t="shared" si="654"/>
        <v>0</v>
      </c>
      <c r="P666" s="346">
        <f t="shared" si="654"/>
        <v>0</v>
      </c>
      <c r="Q666" s="346">
        <f t="shared" si="654"/>
        <v>0</v>
      </c>
      <c r="R666" s="346">
        <f t="shared" si="654"/>
        <v>0</v>
      </c>
      <c r="S666" s="346">
        <f t="shared" si="654"/>
        <v>0</v>
      </c>
      <c r="T666" s="346">
        <f t="shared" si="654"/>
        <v>0</v>
      </c>
      <c r="U666" s="346">
        <f t="shared" si="654"/>
        <v>0</v>
      </c>
      <c r="V666" s="346">
        <f t="shared" si="654"/>
        <v>0</v>
      </c>
      <c r="W666" s="346">
        <f t="shared" si="654"/>
        <v>0</v>
      </c>
      <c r="X666" s="346">
        <f t="shared" si="654"/>
        <v>0</v>
      </c>
      <c r="Y666" s="346">
        <f t="shared" si="654"/>
        <v>0</v>
      </c>
      <c r="Z666" s="346">
        <f t="shared" si="654"/>
        <v>0</v>
      </c>
      <c r="AA666" s="346">
        <f t="shared" si="654"/>
        <v>0</v>
      </c>
      <c r="AB666" s="346">
        <f t="shared" si="654"/>
        <v>0</v>
      </c>
      <c r="AC666" s="346">
        <f t="shared" si="654"/>
        <v>0</v>
      </c>
      <c r="AD666" s="346">
        <f t="shared" si="654"/>
        <v>0</v>
      </c>
      <c r="AE666" s="346">
        <f t="shared" si="654"/>
        <v>0</v>
      </c>
      <c r="AF666" s="346">
        <f t="shared" si="654"/>
        <v>0</v>
      </c>
      <c r="AG666" s="346">
        <f t="shared" si="654"/>
        <v>0</v>
      </c>
      <c r="AH666" s="346">
        <f t="shared" si="654"/>
        <v>0</v>
      </c>
      <c r="AI666" s="346">
        <f t="shared" si="654"/>
        <v>0</v>
      </c>
      <c r="AJ666" s="346">
        <f t="shared" si="654"/>
        <v>0</v>
      </c>
      <c r="AK666" s="346">
        <f t="shared" ref="AK666:BP666" si="655">AK667+AK707+AK717+AK730</f>
        <v>0</v>
      </c>
      <c r="AL666" s="346">
        <f t="shared" si="655"/>
        <v>0</v>
      </c>
      <c r="AM666" s="346">
        <f t="shared" si="655"/>
        <v>0</v>
      </c>
      <c r="AN666" s="346">
        <f t="shared" si="655"/>
        <v>0</v>
      </c>
      <c r="AO666" s="346">
        <f t="shared" si="655"/>
        <v>50.764051338100003</v>
      </c>
      <c r="AP666" s="346">
        <f t="shared" si="655"/>
        <v>27.464071189399998</v>
      </c>
      <c r="AQ666" s="346">
        <f t="shared" si="655"/>
        <v>52.704604605700005</v>
      </c>
      <c r="AR666" s="346">
        <f t="shared" si="655"/>
        <v>52.450684614687695</v>
      </c>
      <c r="AS666" s="346">
        <f t="shared" si="655"/>
        <v>37.514520986539999</v>
      </c>
      <c r="AT666" s="346">
        <f t="shared" si="655"/>
        <v>145.81842276795999</v>
      </c>
      <c r="AU666" s="346">
        <f t="shared" si="655"/>
        <v>45.242107081518114</v>
      </c>
      <c r="AV666" s="346">
        <f t="shared" si="655"/>
        <v>41.216609372966381</v>
      </c>
      <c r="AW666" s="346">
        <f t="shared" si="655"/>
        <v>99.511322758994424</v>
      </c>
      <c r="AX666" s="346">
        <f t="shared" si="655"/>
        <v>77.047074561920894</v>
      </c>
      <c r="AY666" s="346">
        <f t="shared" si="655"/>
        <v>51.908946840943649</v>
      </c>
      <c r="AZ666" s="346">
        <f t="shared" si="655"/>
        <v>164.83524409942342</v>
      </c>
      <c r="BA666" s="346">
        <f t="shared" si="655"/>
        <v>47.685840098106972</v>
      </c>
      <c r="BB666" s="346">
        <f t="shared" si="655"/>
        <v>42.204233708412133</v>
      </c>
      <c r="BC666" s="346">
        <f t="shared" si="655"/>
        <v>58.428774369228194</v>
      </c>
      <c r="BD666" s="346">
        <f t="shared" si="655"/>
        <v>125.52862767270642</v>
      </c>
      <c r="BE666" s="346">
        <f t="shared" si="655"/>
        <v>49.905182617244385</v>
      </c>
      <c r="BF666" s="346">
        <f t="shared" si="655"/>
        <v>84.826683068776774</v>
      </c>
      <c r="BG666" s="346">
        <f t="shared" si="655"/>
        <v>84.863712009047049</v>
      </c>
      <c r="BH666" s="346">
        <f t="shared" si="655"/>
        <v>87.431064078743631</v>
      </c>
      <c r="BI666" s="346">
        <f t="shared" si="655"/>
        <v>90.991184823855434</v>
      </c>
      <c r="BJ666" s="346">
        <f t="shared" si="655"/>
        <v>139.53374566348828</v>
      </c>
      <c r="BK666" s="346">
        <f t="shared" si="655"/>
        <v>59.901284263126023</v>
      </c>
      <c r="BL666" s="346">
        <f t="shared" si="655"/>
        <v>150.86878106347314</v>
      </c>
      <c r="BM666" s="346">
        <f t="shared" si="655"/>
        <v>49.199301889464422</v>
      </c>
      <c r="BN666" s="346">
        <f t="shared" si="655"/>
        <v>54.865402846602905</v>
      </c>
      <c r="BO666" s="346">
        <f t="shared" si="655"/>
        <v>87.325823345340822</v>
      </c>
      <c r="BP666" s="346">
        <f t="shared" si="655"/>
        <v>48.881244038379769</v>
      </c>
      <c r="BQ666" s="346">
        <f t="shared" ref="BQ666:CV666" si="656">BQ667+BQ707+BQ717+BQ730</f>
        <v>58.226618850201561</v>
      </c>
      <c r="BR666" s="346">
        <f t="shared" si="656"/>
        <v>150.36567512421823</v>
      </c>
      <c r="BS666" s="346">
        <f t="shared" si="656"/>
        <v>90.36355308905361</v>
      </c>
      <c r="BT666" s="346">
        <f t="shared" si="656"/>
        <v>66.12355607797042</v>
      </c>
      <c r="BU666" s="346">
        <f t="shared" si="656"/>
        <v>79.559246208253612</v>
      </c>
      <c r="BV666" s="346">
        <f t="shared" si="656"/>
        <v>116.26442904656267</v>
      </c>
      <c r="BW666" s="346">
        <f t="shared" si="656"/>
        <v>90.734610517433737</v>
      </c>
      <c r="BX666" s="346">
        <f t="shared" si="656"/>
        <v>102.06349611236305</v>
      </c>
      <c r="BY666" s="346">
        <f t="shared" si="656"/>
        <v>53.009081867357082</v>
      </c>
      <c r="BZ666" s="346">
        <f t="shared" si="656"/>
        <v>56.599137084425003</v>
      </c>
      <c r="CA666" s="346">
        <f t="shared" si="656"/>
        <v>110.14968963268464</v>
      </c>
      <c r="CB666" s="346">
        <f t="shared" si="656"/>
        <v>91.758888527829711</v>
      </c>
      <c r="CC666" s="346">
        <f t="shared" si="656"/>
        <v>106.25504840687425</v>
      </c>
      <c r="CD666" s="352">
        <f t="shared" si="656"/>
        <v>60.628299093566639</v>
      </c>
      <c r="CE666" s="346">
        <f t="shared" si="656"/>
        <v>82.685163190403983</v>
      </c>
      <c r="CF666" s="346">
        <f t="shared" si="656"/>
        <v>100.57501141659461</v>
      </c>
      <c r="CG666" s="346">
        <f t="shared" si="656"/>
        <v>144.83236343818794</v>
      </c>
      <c r="CH666" s="346">
        <f t="shared" si="656"/>
        <v>130.50979666979984</v>
      </c>
      <c r="CI666" s="346">
        <f t="shared" si="656"/>
        <v>94.72419237543815</v>
      </c>
      <c r="CJ666" s="346">
        <f t="shared" si="656"/>
        <v>149.04992806584778</v>
      </c>
      <c r="CK666" s="346">
        <f t="shared" si="656"/>
        <v>85.966192720506342</v>
      </c>
      <c r="CL666" s="346">
        <f t="shared" si="656"/>
        <v>78.100962569555776</v>
      </c>
      <c r="CM666" s="346">
        <f t="shared" si="656"/>
        <v>103.25846458630221</v>
      </c>
      <c r="CN666" s="346">
        <f t="shared" si="656"/>
        <v>120.24400415745573</v>
      </c>
      <c r="CO666" s="346">
        <f t="shared" si="656"/>
        <v>104.05976888760976</v>
      </c>
      <c r="CP666" s="348">
        <f t="shared" si="656"/>
        <v>144.78464070659047</v>
      </c>
      <c r="CQ666" s="346">
        <f t="shared" si="656"/>
        <v>97.920965172476912</v>
      </c>
      <c r="CR666" s="346">
        <f t="shared" si="656"/>
        <v>86.224940333926114</v>
      </c>
      <c r="CS666" s="346">
        <f t="shared" si="656"/>
        <v>117.20928087688272</v>
      </c>
      <c r="CT666" s="346">
        <f t="shared" si="656"/>
        <v>100.85749179386798</v>
      </c>
      <c r="CU666" s="346">
        <f t="shared" si="656"/>
        <v>97.299391171813085</v>
      </c>
      <c r="CV666" s="346">
        <f t="shared" si="656"/>
        <v>190.00314384894824</v>
      </c>
      <c r="CW666" s="346">
        <f t="shared" ref="CW666:EB666" si="657">CW667+CW707+CW717+CW730</f>
        <v>89.552012981353641</v>
      </c>
      <c r="CX666" s="346">
        <f t="shared" si="657"/>
        <v>81.816984367428347</v>
      </c>
      <c r="CY666" s="346">
        <f t="shared" si="657"/>
        <v>172.40699314343357</v>
      </c>
      <c r="CZ666" s="346">
        <f t="shared" si="657"/>
        <v>118.71610216913216</v>
      </c>
      <c r="DA666" s="346">
        <f t="shared" si="657"/>
        <v>124.36734037722404</v>
      </c>
      <c r="DB666" s="1479">
        <f t="shared" si="657"/>
        <v>142.33205433880741</v>
      </c>
      <c r="DC666" s="346">
        <f t="shared" si="657"/>
        <v>102.0880767810843</v>
      </c>
      <c r="DD666" s="346">
        <f t="shared" si="657"/>
        <v>95.697050271437831</v>
      </c>
      <c r="DE666" s="346">
        <f t="shared" si="657"/>
        <v>138.09599026285105</v>
      </c>
      <c r="DF666" s="346">
        <f t="shared" si="657"/>
        <v>114.36960915083218</v>
      </c>
      <c r="DG666" s="346">
        <f t="shared" si="657"/>
        <v>115.45476893736439</v>
      </c>
      <c r="DH666" s="346">
        <f t="shared" si="657"/>
        <v>175.194859244756</v>
      </c>
      <c r="DI666" s="346">
        <f t="shared" si="657"/>
        <v>91.968916539472175</v>
      </c>
      <c r="DJ666" s="346">
        <f t="shared" si="657"/>
        <v>92.451046572176182</v>
      </c>
      <c r="DK666" s="346">
        <f t="shared" si="657"/>
        <v>168.45863078303569</v>
      </c>
      <c r="DL666" s="346">
        <f t="shared" si="657"/>
        <v>149.33098099906874</v>
      </c>
      <c r="DM666" s="346">
        <f t="shared" si="657"/>
        <v>103.63545642586396</v>
      </c>
      <c r="DN666" s="348">
        <f t="shared" si="657"/>
        <v>194.93171747802916</v>
      </c>
      <c r="DO666" s="346">
        <f t="shared" si="657"/>
        <v>106.53063455515742</v>
      </c>
      <c r="DP666" s="346">
        <f t="shared" si="657"/>
        <v>105.15065491160993</v>
      </c>
      <c r="DQ666" s="346">
        <f t="shared" si="657"/>
        <v>143.00830635500984</v>
      </c>
      <c r="DR666" s="346">
        <f t="shared" si="657"/>
        <v>87.330224927279033</v>
      </c>
      <c r="DS666" s="346">
        <f t="shared" si="657"/>
        <v>113.37420171308366</v>
      </c>
      <c r="DT666" s="346">
        <f t="shared" si="657"/>
        <v>209.20510328840419</v>
      </c>
      <c r="DU666" s="346">
        <f t="shared" si="657"/>
        <v>118.73678232140514</v>
      </c>
      <c r="DV666" s="346">
        <f t="shared" si="657"/>
        <v>100.1147183492308</v>
      </c>
      <c r="DW666" s="346">
        <f t="shared" si="657"/>
        <v>186.66238984802462</v>
      </c>
      <c r="DX666" s="346">
        <f t="shared" si="657"/>
        <v>102.62154014452315</v>
      </c>
      <c r="DY666" s="346">
        <f t="shared" si="657"/>
        <v>105.2327304799788</v>
      </c>
      <c r="DZ666" s="348">
        <f t="shared" si="657"/>
        <v>237.79464259824945</v>
      </c>
      <c r="EA666" s="346">
        <f t="shared" si="657"/>
        <v>118.75792254390362</v>
      </c>
      <c r="EB666" s="346">
        <f t="shared" si="657"/>
        <v>111.53170918049945</v>
      </c>
      <c r="EC666" s="346">
        <f t="shared" ref="EC666:FH666" si="658">EC667+EC707+EC717+EC730</f>
        <v>157.93620448453362</v>
      </c>
      <c r="ED666" s="346">
        <f t="shared" si="658"/>
        <v>143.46682915999466</v>
      </c>
      <c r="EE666" s="346">
        <f t="shared" si="658"/>
        <v>122.41457350380961</v>
      </c>
      <c r="EF666" s="346">
        <f t="shared" si="658"/>
        <v>231.61288589733448</v>
      </c>
      <c r="EG666" s="346">
        <f t="shared" si="658"/>
        <v>157.86386326101345</v>
      </c>
      <c r="EH666" s="346">
        <f t="shared" si="658"/>
        <v>108.18347605714308</v>
      </c>
      <c r="EI666" s="346">
        <f t="shared" si="658"/>
        <v>194.07285926877938</v>
      </c>
      <c r="EJ666" s="346">
        <f t="shared" si="658"/>
        <v>164.31741057758791</v>
      </c>
      <c r="EK666" s="346">
        <f t="shared" si="658"/>
        <v>115.44541785758058</v>
      </c>
      <c r="EL666" s="348">
        <f t="shared" si="658"/>
        <v>194.80928099886683</v>
      </c>
      <c r="EM666" s="346">
        <f t="shared" si="658"/>
        <v>120.22438695535122</v>
      </c>
      <c r="EN666" s="346">
        <f t="shared" si="658"/>
        <v>177.05111501416377</v>
      </c>
      <c r="EO666" s="346">
        <f t="shared" si="658"/>
        <v>195.09194664382187</v>
      </c>
      <c r="EP666" s="346">
        <f t="shared" si="658"/>
        <v>145.90375253753786</v>
      </c>
      <c r="EQ666" s="346">
        <f t="shared" si="658"/>
        <v>117.40491916855672</v>
      </c>
      <c r="ER666" s="346">
        <f t="shared" si="658"/>
        <v>284.75043852089505</v>
      </c>
      <c r="ES666" s="346">
        <f t="shared" si="658"/>
        <v>153.58628163057952</v>
      </c>
      <c r="ET666" s="346">
        <f t="shared" si="658"/>
        <v>152.15785626601814</v>
      </c>
      <c r="EU666" s="346">
        <f t="shared" si="658"/>
        <v>198.77553167169151</v>
      </c>
      <c r="EV666" s="346">
        <f t="shared" si="658"/>
        <v>176.4318138988844</v>
      </c>
      <c r="EW666" s="346">
        <f t="shared" si="658"/>
        <v>130.62862058169628</v>
      </c>
      <c r="EX666" s="348">
        <f t="shared" si="658"/>
        <v>213.02070854854497</v>
      </c>
      <c r="EY666" s="346">
        <f t="shared" si="658"/>
        <v>147.07637366835445</v>
      </c>
      <c r="EZ666" s="346">
        <f t="shared" si="658"/>
        <v>155.01117363850076</v>
      </c>
      <c r="FA666" s="346">
        <f t="shared" si="658"/>
        <v>223.09007641053159</v>
      </c>
      <c r="FB666" s="346">
        <f t="shared" si="658"/>
        <v>167.36696303480105</v>
      </c>
      <c r="FC666" s="346">
        <f t="shared" si="658"/>
        <v>147.0914591491011</v>
      </c>
      <c r="FD666" s="346">
        <f t="shared" si="658"/>
        <v>288.10530465867004</v>
      </c>
      <c r="FE666" s="346">
        <f t="shared" si="658"/>
        <v>162.48959082536501</v>
      </c>
      <c r="FF666" s="346">
        <f t="shared" si="658"/>
        <v>166.55007861652268</v>
      </c>
      <c r="FG666" s="346">
        <f t="shared" si="658"/>
        <v>159.86762347704894</v>
      </c>
      <c r="FH666" s="346">
        <f t="shared" si="658"/>
        <v>173.76685037164617</v>
      </c>
      <c r="FI666" s="346">
        <f t="shared" ref="FI666:FP666" si="659">FI667+FI707+FI717+FI730</f>
        <v>156.23772638719868</v>
      </c>
      <c r="FJ666" s="348">
        <f t="shared" si="659"/>
        <v>246.30844360155203</v>
      </c>
      <c r="FK666" s="346">
        <f t="shared" si="659"/>
        <v>126.06048066020975</v>
      </c>
      <c r="FL666" s="346">
        <f t="shared" si="659"/>
        <v>137.55042253350024</v>
      </c>
      <c r="FM666" s="346">
        <f t="shared" si="659"/>
        <v>327.11590510847509</v>
      </c>
      <c r="FN666" s="346">
        <f t="shared" si="659"/>
        <v>202.28595220119698</v>
      </c>
      <c r="FO666" s="346">
        <f t="shared" si="659"/>
        <v>154.93709785169005</v>
      </c>
      <c r="FP666" s="346">
        <f t="shared" si="659"/>
        <v>282.15503540564202</v>
      </c>
      <c r="FQ666" s="346">
        <f t="shared" ref="FQ666:FV666" si="660">FQ667+FQ707+FQ717+FQ730</f>
        <v>154.48173816429275</v>
      </c>
      <c r="FR666" s="346">
        <f t="shared" si="660"/>
        <v>157.25181798574698</v>
      </c>
      <c r="FS666" s="346">
        <f t="shared" si="660"/>
        <v>288.3709878983542</v>
      </c>
      <c r="FT666" s="346">
        <f t="shared" si="660"/>
        <v>249.30029367000355</v>
      </c>
      <c r="FU666" s="346">
        <f t="shared" si="660"/>
        <v>165.49561757698166</v>
      </c>
      <c r="FV666" s="346">
        <f t="shared" si="660"/>
        <v>323.18584803199445</v>
      </c>
      <c r="FW666" s="346">
        <v>144.05016196422122</v>
      </c>
      <c r="FX666" s="346">
        <v>200.60548259652219</v>
      </c>
      <c r="FY666" s="346">
        <v>267.5749424581644</v>
      </c>
      <c r="FZ666" s="346">
        <v>208.46535963515919</v>
      </c>
      <c r="GA666" s="346">
        <v>247.90277896371293</v>
      </c>
      <c r="GB666" s="346">
        <v>281.27735444107793</v>
      </c>
      <c r="GC666" s="346">
        <f>212.952436486854+GC749</f>
        <v>224.02175914985401</v>
      </c>
      <c r="GD666" s="346">
        <v>213.82765546235129</v>
      </c>
      <c r="GE666" s="346">
        <v>383.06304311769935</v>
      </c>
      <c r="GF666" s="346">
        <v>236.60389057232098</v>
      </c>
      <c r="GG666" s="346">
        <v>367.31219203461114</v>
      </c>
      <c r="GH666" s="346">
        <v>327.47838494040917</v>
      </c>
      <c r="GI666" s="346">
        <f>GI667+GI707+GI717+GI730</f>
        <v>221.30117967799973</v>
      </c>
      <c r="GJ666" s="346">
        <f t="shared" ref="GJ666:GS666" si="661">GJ667+GJ707+GJ717+GJ730</f>
        <v>216.76274121039381</v>
      </c>
      <c r="GK666" s="346">
        <f t="shared" si="661"/>
        <v>305.89860098813938</v>
      </c>
      <c r="GL666" s="346">
        <f t="shared" si="661"/>
        <v>215.50480330274888</v>
      </c>
      <c r="GM666" s="346">
        <f t="shared" si="661"/>
        <v>215.37580613691</v>
      </c>
      <c r="GN666" s="346">
        <f t="shared" si="661"/>
        <v>355.01588989281333</v>
      </c>
      <c r="GO666" s="346">
        <f t="shared" si="661"/>
        <v>254.14910007716003</v>
      </c>
      <c r="GP666" s="346">
        <f t="shared" si="661"/>
        <v>197.36818204020804</v>
      </c>
      <c r="GQ666" s="346">
        <f t="shared" si="661"/>
        <v>361.35614088030729</v>
      </c>
      <c r="GR666" s="346">
        <f t="shared" si="661"/>
        <v>410.04906123833098</v>
      </c>
      <c r="GS666" s="346">
        <f t="shared" si="661"/>
        <v>234.40172337231635</v>
      </c>
      <c r="GT666" s="346">
        <f>GT667+GT707+GT717+GT730</f>
        <v>412.38395464901009</v>
      </c>
      <c r="GU666" s="346">
        <f t="shared" ref="GU666:HL666" si="662">GU667+GU707+GU717+GU730</f>
        <v>229.99414084349755</v>
      </c>
      <c r="GV666" s="346">
        <f t="shared" si="662"/>
        <v>213.15410521650665</v>
      </c>
      <c r="GW666" s="346">
        <f t="shared" si="662"/>
        <v>454.63505801782884</v>
      </c>
      <c r="GX666" s="346">
        <f t="shared" si="662"/>
        <v>219.18271413879248</v>
      </c>
      <c r="GY666" s="346">
        <f t="shared" si="662"/>
        <v>215.31989942547025</v>
      </c>
      <c r="GZ666" s="346">
        <f t="shared" si="662"/>
        <v>471.27264022472696</v>
      </c>
      <c r="HA666" s="346">
        <f t="shared" si="662"/>
        <v>242.84362364940444</v>
      </c>
      <c r="HB666" s="346">
        <f t="shared" si="662"/>
        <v>201.98994421198702</v>
      </c>
      <c r="HC666" s="346">
        <f t="shared" si="662"/>
        <v>390.38386261676703</v>
      </c>
      <c r="HD666" s="346">
        <f t="shared" si="662"/>
        <v>329.42714496443972</v>
      </c>
      <c r="HE666" s="346">
        <f t="shared" si="662"/>
        <v>324.81434734565858</v>
      </c>
      <c r="HF666" s="346">
        <f t="shared" si="662"/>
        <v>518.1108810159642</v>
      </c>
      <c r="HG666" s="346">
        <f t="shared" si="662"/>
        <v>342.02471999613419</v>
      </c>
      <c r="HH666" s="346">
        <f t="shared" si="662"/>
        <v>229.8162159481781</v>
      </c>
      <c r="HI666" s="346">
        <f t="shared" si="662"/>
        <v>489.95319735478017</v>
      </c>
      <c r="HJ666" s="346">
        <f t="shared" si="662"/>
        <v>283.37745405174581</v>
      </c>
      <c r="HK666" s="346">
        <f t="shared" si="662"/>
        <v>233.31775639741332</v>
      </c>
      <c r="HL666" s="346">
        <f t="shared" si="662"/>
        <v>567.55770645669099</v>
      </c>
      <c r="HM666" s="346"/>
      <c r="HN666" s="349"/>
      <c r="HO666" s="354" t="s">
        <v>493</v>
      </c>
      <c r="HP666" s="307">
        <f>SUM(CE666:CJ666)</f>
        <v>702.3764551562723</v>
      </c>
      <c r="HQ666" s="302">
        <f>SUM(CK666:CP666)</f>
        <v>636.41403362802032</v>
      </c>
      <c r="HR666" s="346">
        <f>HP666+HQ666</f>
        <v>1338.7904887842926</v>
      </c>
      <c r="HS666" s="302">
        <f>SUM(CQ666:CV666)</f>
        <v>689.51521319791505</v>
      </c>
      <c r="HT666" s="302">
        <f>SUM(CW666:DB666)</f>
        <v>729.19148737737919</v>
      </c>
      <c r="HU666" s="346">
        <f>HS666+HT666</f>
        <v>1418.7067005752942</v>
      </c>
      <c r="HV666" s="307">
        <f>SUM(DC666:DH666)</f>
        <v>740.90035464832567</v>
      </c>
      <c r="HW666" s="302">
        <f>SUM(DI666:DN666)</f>
        <v>800.77674879764595</v>
      </c>
      <c r="HX666" s="346">
        <f>HV666+HW666</f>
        <v>1541.6771034459716</v>
      </c>
      <c r="HY666" s="350">
        <f>SUM(DO666:DT666)</f>
        <v>764.59912575054409</v>
      </c>
      <c r="HZ666" s="302">
        <f>SUM(DU666:DZ666)</f>
        <v>851.16280374141195</v>
      </c>
      <c r="IA666" s="346">
        <f>HY666+HZ666</f>
        <v>1615.7619294919559</v>
      </c>
      <c r="IB666" s="302">
        <f>SUM(EA666:EF666)</f>
        <v>885.72012477007547</v>
      </c>
      <c r="IC666" s="302">
        <f>SUM(EG666:EL666)</f>
        <v>934.69230802097115</v>
      </c>
      <c r="ID666" s="346">
        <f>IB666+IC666</f>
        <v>1820.4124327910467</v>
      </c>
      <c r="IE666" s="350">
        <f>SUM(EM666:ER666)</f>
        <v>1040.4265588403264</v>
      </c>
      <c r="IF666" s="350">
        <f>SUM(ES666:EX666)</f>
        <v>1024.6008125974149</v>
      </c>
      <c r="IG666" s="346">
        <f>IE666+IF666</f>
        <v>2065.0273714377413</v>
      </c>
      <c r="IH666" s="350">
        <f>SUM(EY666:FD666)</f>
        <v>1127.7413505599588</v>
      </c>
      <c r="II666" s="350">
        <f>SUM(FE666:FJ666)</f>
        <v>1065.2203132793336</v>
      </c>
      <c r="IJ666" s="346">
        <f>IH666+II666</f>
        <v>2192.9616638392927</v>
      </c>
      <c r="IK666" s="350">
        <f t="shared" ref="IK666:IK675" si="663">SUM(FK666:FP666)</f>
        <v>1230.1048937607143</v>
      </c>
      <c r="IL666" s="350">
        <f t="shared" ref="IL666:IL697" si="664">SUM(FQ666:FV666)</f>
        <v>1338.0863033273736</v>
      </c>
      <c r="IM666" s="346">
        <f>IK666+IL666</f>
        <v>2568.1911970880878</v>
      </c>
      <c r="IN666" s="350">
        <f t="shared" ref="IN666:IN697" si="665">SUM(FW666:GB666)</f>
        <v>1349.876080058858</v>
      </c>
      <c r="IO666" s="350">
        <f t="shared" ref="IO666:IO697" si="666">SUM(GC666:GH666)</f>
        <v>1752.3069252772459</v>
      </c>
      <c r="IP666" s="346">
        <f>IN666+IO666</f>
        <v>3102.1830053361036</v>
      </c>
      <c r="IQ666" s="350">
        <f t="shared" ref="IQ666:IQ697" si="667">SUM(GI666:GN666)</f>
        <v>1529.8590212090053</v>
      </c>
      <c r="IR666" s="350">
        <f t="shared" ref="IR666:IR697" si="668">SUM(GO666:GT666)</f>
        <v>1869.7081622573328</v>
      </c>
      <c r="IS666" s="346">
        <f>IQ666+IR666</f>
        <v>3399.5671834663381</v>
      </c>
      <c r="IT666" s="350">
        <f>IT667+IT707+IT717+IT730</f>
        <v>1803.5585578668229</v>
      </c>
      <c r="IU666" s="350">
        <f>IU667+IU707+IU717+IU730</f>
        <v>2007.5698038042208</v>
      </c>
      <c r="IV666" s="346">
        <f>IT666+IU666</f>
        <v>3811.1283616710434</v>
      </c>
      <c r="IW666" s="350">
        <f>IW667+IW707+IW717+IW730</f>
        <v>2146.0470502049429</v>
      </c>
      <c r="IX666" s="350">
        <f>IY666-IW666</f>
        <v>2139.0694423499972</v>
      </c>
      <c r="IY666" s="346">
        <f>FISC!AJ988</f>
        <v>4285.1164925549401</v>
      </c>
      <c r="IZ666" s="350">
        <f>IZ667+IZ707+IZ717+IZ730</f>
        <v>2348.1315959829353</v>
      </c>
      <c r="JA666" s="302">
        <f>JB666-IZ666</f>
        <v>2489.7121149149771</v>
      </c>
      <c r="JB666" s="346">
        <f>FISC!AK988</f>
        <v>4837.8437108979124</v>
      </c>
      <c r="JC666" s="350">
        <f>JC667+JC707+JC717+JC730</f>
        <v>2759.137479055496</v>
      </c>
      <c r="JD666" s="302">
        <f>JE666-JC666</f>
        <v>2946.7456171232366</v>
      </c>
      <c r="JE666" s="346">
        <f>FISC!AL988</f>
        <v>5705.8830961787326</v>
      </c>
      <c r="JF666" s="350">
        <f>JF667+JF707+JF717+JF730</f>
        <v>3177.5875785639973</v>
      </c>
      <c r="JG666" s="302">
        <f>JH666-JF666</f>
        <v>3392.4302755897652</v>
      </c>
      <c r="JH666" s="346">
        <f>FISC!AM988</f>
        <v>6570.0178541537625</v>
      </c>
      <c r="JI666" s="350">
        <f>JI667+JI707+JI717+JI730</f>
        <v>3598.7427700729168</v>
      </c>
      <c r="JJ666" s="302">
        <f>JK666-JI666</f>
        <v>3816.4973272371944</v>
      </c>
      <c r="JK666" s="346">
        <f>FISC!AN988</f>
        <v>7415.2400973101112</v>
      </c>
      <c r="JL666" s="350">
        <f>JL667+JL707+JL717+JL730</f>
        <v>4044.4620855986518</v>
      </c>
      <c r="JM666" s="302">
        <f>JN666-JL666</f>
        <v>4326.2710084915871</v>
      </c>
      <c r="JN666" s="346">
        <f>FISC!AO988</f>
        <v>8370.7330940902393</v>
      </c>
      <c r="KI666" s="349"/>
      <c r="KJ666" s="350"/>
      <c r="KM666" s="302">
        <f>KM667+KM707+KM717+KM730</f>
        <v>0</v>
      </c>
      <c r="KN666" s="302">
        <f>KN667+KN707+KN717+KN730</f>
        <v>0</v>
      </c>
      <c r="KO666" s="302">
        <f>KO667+KO707+KO717+KO730</f>
        <v>0</v>
      </c>
      <c r="KP666" s="302">
        <f>KP667+KP707+KP717+KP730</f>
        <v>0</v>
      </c>
    </row>
    <row r="667" spans="1:302" hidden="1" outlineLevel="1">
      <c r="A667" s="302"/>
      <c r="B667" s="117" t="s">
        <v>361</v>
      </c>
      <c r="D667" s="354" t="s">
        <v>494</v>
      </c>
      <c r="E667" s="346">
        <f t="shared" ref="E667:AJ667" si="669">SUM(E668:E706)</f>
        <v>0</v>
      </c>
      <c r="F667" s="346">
        <f t="shared" si="669"/>
        <v>0</v>
      </c>
      <c r="G667" s="346">
        <f t="shared" si="669"/>
        <v>0</v>
      </c>
      <c r="H667" s="346">
        <f t="shared" si="669"/>
        <v>0</v>
      </c>
      <c r="I667" s="346">
        <f t="shared" si="669"/>
        <v>0</v>
      </c>
      <c r="J667" s="346">
        <f t="shared" si="669"/>
        <v>0</v>
      </c>
      <c r="K667" s="346">
        <f t="shared" si="669"/>
        <v>0</v>
      </c>
      <c r="L667" s="346">
        <f t="shared" si="669"/>
        <v>0</v>
      </c>
      <c r="M667" s="346">
        <f t="shared" si="669"/>
        <v>0</v>
      </c>
      <c r="N667" s="346">
        <f t="shared" si="669"/>
        <v>0</v>
      </c>
      <c r="O667" s="346">
        <f t="shared" si="669"/>
        <v>0</v>
      </c>
      <c r="P667" s="346">
        <f t="shared" si="669"/>
        <v>0</v>
      </c>
      <c r="Q667" s="346">
        <f t="shared" si="669"/>
        <v>0</v>
      </c>
      <c r="R667" s="346">
        <f t="shared" si="669"/>
        <v>0</v>
      </c>
      <c r="S667" s="346">
        <f t="shared" si="669"/>
        <v>0</v>
      </c>
      <c r="T667" s="346">
        <f t="shared" si="669"/>
        <v>0</v>
      </c>
      <c r="U667" s="346">
        <f t="shared" si="669"/>
        <v>0</v>
      </c>
      <c r="V667" s="346">
        <f t="shared" si="669"/>
        <v>0</v>
      </c>
      <c r="W667" s="346">
        <f t="shared" si="669"/>
        <v>0</v>
      </c>
      <c r="X667" s="346">
        <f t="shared" si="669"/>
        <v>0</v>
      </c>
      <c r="Y667" s="346">
        <f t="shared" si="669"/>
        <v>0</v>
      </c>
      <c r="Z667" s="346">
        <f t="shared" si="669"/>
        <v>0</v>
      </c>
      <c r="AA667" s="346">
        <f t="shared" si="669"/>
        <v>0</v>
      </c>
      <c r="AB667" s="346">
        <f t="shared" si="669"/>
        <v>0</v>
      </c>
      <c r="AC667" s="346">
        <f t="shared" si="669"/>
        <v>0</v>
      </c>
      <c r="AD667" s="346">
        <f t="shared" si="669"/>
        <v>0</v>
      </c>
      <c r="AE667" s="346">
        <f t="shared" si="669"/>
        <v>0</v>
      </c>
      <c r="AF667" s="346">
        <f t="shared" si="669"/>
        <v>0</v>
      </c>
      <c r="AG667" s="346">
        <f t="shared" si="669"/>
        <v>0</v>
      </c>
      <c r="AH667" s="346">
        <f t="shared" si="669"/>
        <v>0</v>
      </c>
      <c r="AI667" s="346">
        <f t="shared" si="669"/>
        <v>0</v>
      </c>
      <c r="AJ667" s="346">
        <f t="shared" si="669"/>
        <v>0</v>
      </c>
      <c r="AK667" s="346">
        <f t="shared" ref="AK667:BP667" si="670">SUM(AK668:AK706)</f>
        <v>0</v>
      </c>
      <c r="AL667" s="346">
        <f t="shared" si="670"/>
        <v>0</v>
      </c>
      <c r="AM667" s="346">
        <f t="shared" si="670"/>
        <v>0</v>
      </c>
      <c r="AN667" s="346">
        <f t="shared" si="670"/>
        <v>0</v>
      </c>
      <c r="AO667" s="346">
        <f t="shared" si="670"/>
        <v>28.378078309600003</v>
      </c>
      <c r="AP667" s="346">
        <f t="shared" si="670"/>
        <v>26.593847742499999</v>
      </c>
      <c r="AQ667" s="346">
        <f t="shared" si="670"/>
        <v>43.462740556200004</v>
      </c>
      <c r="AR667" s="346">
        <f t="shared" si="670"/>
        <v>28.6498438283</v>
      </c>
      <c r="AS667" s="346">
        <f t="shared" si="670"/>
        <v>27.3119272297</v>
      </c>
      <c r="AT667" s="346">
        <f t="shared" si="670"/>
        <v>35.113359245399998</v>
      </c>
      <c r="AU667" s="346">
        <f t="shared" si="670"/>
        <v>29.502769495600003</v>
      </c>
      <c r="AV667" s="346">
        <f t="shared" si="670"/>
        <v>32.637733389600008</v>
      </c>
      <c r="AW667" s="346">
        <f t="shared" si="670"/>
        <v>37.198990474200002</v>
      </c>
      <c r="AX667" s="346">
        <f t="shared" si="670"/>
        <v>31.172462902000003</v>
      </c>
      <c r="AY667" s="346">
        <f t="shared" si="670"/>
        <v>32.9844390481</v>
      </c>
      <c r="AZ667" s="346">
        <f t="shared" si="670"/>
        <v>42.768411501699994</v>
      </c>
      <c r="BA667" s="346">
        <f t="shared" si="670"/>
        <v>37.270421333599998</v>
      </c>
      <c r="BB667" s="346">
        <f t="shared" si="670"/>
        <v>30.090863977800002</v>
      </c>
      <c r="BC667" s="346">
        <f t="shared" si="670"/>
        <v>48.51068161189999</v>
      </c>
      <c r="BD667" s="346">
        <f t="shared" si="670"/>
        <v>35.4363995438</v>
      </c>
      <c r="BE667" s="346">
        <f t="shared" si="670"/>
        <v>38.119603839999996</v>
      </c>
      <c r="BF667" s="346">
        <f t="shared" si="670"/>
        <v>43.731171053300002</v>
      </c>
      <c r="BG667" s="346">
        <f t="shared" si="670"/>
        <v>34.278467516299997</v>
      </c>
      <c r="BH667" s="346">
        <f t="shared" si="670"/>
        <v>40.540797734099996</v>
      </c>
      <c r="BI667" s="346">
        <f t="shared" si="670"/>
        <v>45.5637019634</v>
      </c>
      <c r="BJ667" s="346">
        <f t="shared" si="670"/>
        <v>38.158057333199999</v>
      </c>
      <c r="BK667" s="346">
        <f t="shared" si="670"/>
        <v>39.859909695600003</v>
      </c>
      <c r="BL667" s="346">
        <f t="shared" si="670"/>
        <v>50.309845600399996</v>
      </c>
      <c r="BM667" s="346">
        <f t="shared" si="670"/>
        <v>41.397093836399989</v>
      </c>
      <c r="BN667" s="346">
        <f t="shared" si="670"/>
        <v>41.6296176512</v>
      </c>
      <c r="BO667" s="346">
        <f t="shared" si="670"/>
        <v>56.363561111400003</v>
      </c>
      <c r="BP667" s="346">
        <f t="shared" si="670"/>
        <v>41.6442277246</v>
      </c>
      <c r="BQ667" s="346">
        <f t="shared" ref="BQ667:CD667" si="671">SUM(BQ668:BQ706)</f>
        <v>51.381044522600007</v>
      </c>
      <c r="BR667" s="346">
        <f t="shared" si="671"/>
        <v>53.773741767499999</v>
      </c>
      <c r="BS667" s="346">
        <f t="shared" si="671"/>
        <v>43.989135728399994</v>
      </c>
      <c r="BT667" s="346">
        <f t="shared" si="671"/>
        <v>48.0655510148</v>
      </c>
      <c r="BU667" s="346">
        <f t="shared" si="671"/>
        <v>53.670180058900009</v>
      </c>
      <c r="BV667" s="346">
        <f t="shared" si="671"/>
        <v>48.625806363999999</v>
      </c>
      <c r="BW667" s="346">
        <f t="shared" si="671"/>
        <v>45.821263381100003</v>
      </c>
      <c r="BX667" s="346">
        <f t="shared" si="671"/>
        <v>53.2656191783</v>
      </c>
      <c r="BY667" s="346">
        <f t="shared" si="671"/>
        <v>48.798145427400009</v>
      </c>
      <c r="BZ667" s="346">
        <f t="shared" si="671"/>
        <v>48.290016709999996</v>
      </c>
      <c r="CA667" s="346">
        <f t="shared" si="671"/>
        <v>67.86227846460001</v>
      </c>
      <c r="CB667" s="346">
        <f t="shared" si="671"/>
        <v>47.864069070200003</v>
      </c>
      <c r="CC667" s="346">
        <f t="shared" si="671"/>
        <v>48.458169235899994</v>
      </c>
      <c r="CD667" s="352">
        <f t="shared" si="671"/>
        <v>0</v>
      </c>
      <c r="CE667" s="346">
        <f t="shared" ref="CE667:DN667" si="672">CE668+CE673+CE674+CE681+CE697</f>
        <v>47.617064136600007</v>
      </c>
      <c r="CF667" s="346">
        <f t="shared" si="672"/>
        <v>53.907251717999998</v>
      </c>
      <c r="CG667" s="346">
        <f t="shared" si="672"/>
        <v>65.190181342100004</v>
      </c>
      <c r="CH667" s="346">
        <f t="shared" si="672"/>
        <v>54.087637409999999</v>
      </c>
      <c r="CI667" s="346">
        <f t="shared" si="672"/>
        <v>53.84528620079999</v>
      </c>
      <c r="CJ667" s="346">
        <f t="shared" si="672"/>
        <v>68.130436793900003</v>
      </c>
      <c r="CK667" s="346">
        <f t="shared" si="672"/>
        <v>59.819924644799997</v>
      </c>
      <c r="CL667" s="346">
        <f t="shared" si="672"/>
        <v>55.9432367223</v>
      </c>
      <c r="CM667" s="346">
        <f t="shared" si="672"/>
        <v>64.537803322999991</v>
      </c>
      <c r="CN667" s="346">
        <f t="shared" si="672"/>
        <v>55.778860669299995</v>
      </c>
      <c r="CO667" s="346">
        <f t="shared" si="672"/>
        <v>61.522298340200003</v>
      </c>
      <c r="CP667" s="348">
        <f t="shared" si="672"/>
        <v>87.613793423199994</v>
      </c>
      <c r="CQ667" s="346">
        <f t="shared" si="672"/>
        <v>60.13069540019999</v>
      </c>
      <c r="CR667" s="346">
        <f t="shared" si="672"/>
        <v>59.04467703840001</v>
      </c>
      <c r="CS667" s="346">
        <f t="shared" si="672"/>
        <v>77.571227140099992</v>
      </c>
      <c r="CT667" s="346">
        <f t="shared" si="672"/>
        <v>56.983891421400003</v>
      </c>
      <c r="CU667" s="346">
        <f t="shared" si="672"/>
        <v>55.233619734400001</v>
      </c>
      <c r="CV667" s="346">
        <f t="shared" si="672"/>
        <v>79.648759425700007</v>
      </c>
      <c r="CW667" s="346">
        <f t="shared" si="672"/>
        <v>63.564419083499999</v>
      </c>
      <c r="CX667" s="346">
        <f t="shared" si="672"/>
        <v>56.871880704899993</v>
      </c>
      <c r="CY667" s="346">
        <f t="shared" si="672"/>
        <v>93.172891711000005</v>
      </c>
      <c r="CZ667" s="346">
        <f t="shared" si="672"/>
        <v>69.108155242199999</v>
      </c>
      <c r="DA667" s="346">
        <f t="shared" si="672"/>
        <v>65.436950582800009</v>
      </c>
      <c r="DB667" s="1479">
        <f t="shared" si="672"/>
        <v>93.470612855200002</v>
      </c>
      <c r="DC667" s="346">
        <f t="shared" si="672"/>
        <v>66.899926132465808</v>
      </c>
      <c r="DD667" s="346">
        <f t="shared" si="672"/>
        <v>68.245586880935562</v>
      </c>
      <c r="DE667" s="346">
        <f t="shared" si="672"/>
        <v>86.824346869568416</v>
      </c>
      <c r="DF667" s="346">
        <f t="shared" si="672"/>
        <v>77.768789279906358</v>
      </c>
      <c r="DG667" s="346">
        <f t="shared" si="672"/>
        <v>70.290688721549131</v>
      </c>
      <c r="DH667" s="346">
        <f t="shared" si="672"/>
        <v>94.437271875493821</v>
      </c>
      <c r="DI667" s="346">
        <f t="shared" si="672"/>
        <v>76.998886418319074</v>
      </c>
      <c r="DJ667" s="346">
        <f t="shared" si="672"/>
        <v>72.781232871814339</v>
      </c>
      <c r="DK667" s="346">
        <f t="shared" si="672"/>
        <v>113.69690742097904</v>
      </c>
      <c r="DL667" s="346">
        <f t="shared" si="672"/>
        <v>78.445692153350137</v>
      </c>
      <c r="DM667" s="346">
        <f t="shared" si="672"/>
        <v>78.436310386163612</v>
      </c>
      <c r="DN667" s="348">
        <f t="shared" si="672"/>
        <v>115.54161037543037</v>
      </c>
      <c r="DO667" s="346">
        <f t="shared" ref="DO667:EL667" si="673">DO668+DO673+DO674+DO681+DO697+DO706</f>
        <v>67.24378485328306</v>
      </c>
      <c r="DP667" s="346">
        <f t="shared" si="673"/>
        <v>80.020170967565377</v>
      </c>
      <c r="DQ667" s="346">
        <f t="shared" si="673"/>
        <v>93.417646211050737</v>
      </c>
      <c r="DR667" s="346">
        <f t="shared" si="673"/>
        <v>71.710702953049363</v>
      </c>
      <c r="DS667" s="346">
        <f t="shared" si="673"/>
        <v>74.685107629818347</v>
      </c>
      <c r="DT667" s="346">
        <f t="shared" si="673"/>
        <v>100.0551486989196</v>
      </c>
      <c r="DU667" s="346">
        <f t="shared" si="673"/>
        <v>83.668729627200236</v>
      </c>
      <c r="DV667" s="346">
        <f t="shared" si="673"/>
        <v>77.275728463722075</v>
      </c>
      <c r="DW667" s="346">
        <f t="shared" si="673"/>
        <v>126.0845368149709</v>
      </c>
      <c r="DX667" s="346">
        <f t="shared" si="673"/>
        <v>76.135244471367301</v>
      </c>
      <c r="DY667" s="346">
        <f t="shared" si="673"/>
        <v>83.725678370989797</v>
      </c>
      <c r="DZ667" s="348">
        <f t="shared" si="673"/>
        <v>118.39807715427889</v>
      </c>
      <c r="EA667" s="346">
        <f t="shared" si="673"/>
        <v>77.131139934568424</v>
      </c>
      <c r="EB667" s="346">
        <f t="shared" si="673"/>
        <v>85.064671576639626</v>
      </c>
      <c r="EC667" s="346">
        <f t="shared" si="673"/>
        <v>105.73529056923476</v>
      </c>
      <c r="ED667" s="346">
        <f t="shared" si="673"/>
        <v>91.398602824108167</v>
      </c>
      <c r="EE667" s="346">
        <f t="shared" si="673"/>
        <v>85.558614639260611</v>
      </c>
      <c r="EF667" s="346">
        <f t="shared" si="673"/>
        <v>114.65280414025804</v>
      </c>
      <c r="EG667" s="346">
        <f t="shared" si="673"/>
        <v>99.51139740181128</v>
      </c>
      <c r="EH667" s="346">
        <f t="shared" si="673"/>
        <v>84.319556122114008</v>
      </c>
      <c r="EI667" s="346">
        <f t="shared" si="673"/>
        <v>133.25942373731618</v>
      </c>
      <c r="EJ667" s="346">
        <f t="shared" si="673"/>
        <v>103.29260755838931</v>
      </c>
      <c r="EK667" s="346">
        <f t="shared" si="673"/>
        <v>89.475933699727847</v>
      </c>
      <c r="EL667" s="346">
        <f t="shared" si="673"/>
        <v>129.57340025709945</v>
      </c>
      <c r="EM667" s="346">
        <f t="shared" ref="EM667:FP667" si="674">EM668+EM673+EM674+EM681+EM697</f>
        <v>88.812454326839998</v>
      </c>
      <c r="EN667" s="346">
        <f t="shared" si="674"/>
        <v>103.19555137677001</v>
      </c>
      <c r="EO667" s="346">
        <f t="shared" si="674"/>
        <v>116.14608373476</v>
      </c>
      <c r="EP667" s="346">
        <f t="shared" si="674"/>
        <v>101.63279526957668</v>
      </c>
      <c r="EQ667" s="346">
        <f t="shared" si="674"/>
        <v>99.20474964683666</v>
      </c>
      <c r="ER667" s="346">
        <f t="shared" si="674"/>
        <v>138.3298491095467</v>
      </c>
      <c r="ES667" s="346">
        <f t="shared" si="674"/>
        <v>117.4347124288328</v>
      </c>
      <c r="ET667" s="346">
        <f t="shared" si="674"/>
        <v>106.05712111844994</v>
      </c>
      <c r="EU667" s="346">
        <f t="shared" si="674"/>
        <v>128.69624140632001</v>
      </c>
      <c r="EV667" s="346">
        <f t="shared" si="674"/>
        <v>128.4253273124944</v>
      </c>
      <c r="EW667" s="346">
        <f t="shared" si="674"/>
        <v>114.30942840778002</v>
      </c>
      <c r="EX667" s="348">
        <f t="shared" si="674"/>
        <v>160.27794428067008</v>
      </c>
      <c r="EY667" s="346">
        <f t="shared" si="674"/>
        <v>105.65950605125064</v>
      </c>
      <c r="EZ667" s="346">
        <f t="shared" si="674"/>
        <v>114.2113842418846</v>
      </c>
      <c r="FA667" s="346">
        <f t="shared" si="674"/>
        <v>132.89683536742749</v>
      </c>
      <c r="FB667" s="346">
        <f t="shared" si="674"/>
        <v>108.92264112604063</v>
      </c>
      <c r="FC667" s="346">
        <f t="shared" si="674"/>
        <v>106.68326342096984</v>
      </c>
      <c r="FD667" s="346">
        <f t="shared" si="674"/>
        <v>165.17336859615594</v>
      </c>
      <c r="FE667" s="346">
        <f t="shared" si="674"/>
        <v>129.17978821231756</v>
      </c>
      <c r="FF667" s="346">
        <f t="shared" si="674"/>
        <v>116.33520310306274</v>
      </c>
      <c r="FG667" s="346">
        <f t="shared" si="674"/>
        <v>123.84354192911091</v>
      </c>
      <c r="FH667" s="346">
        <f t="shared" si="674"/>
        <v>111.61971296276113</v>
      </c>
      <c r="FI667" s="346">
        <f t="shared" si="674"/>
        <v>92.550406284305652</v>
      </c>
      <c r="FJ667" s="348">
        <f t="shared" si="674"/>
        <v>168.5330629930489</v>
      </c>
      <c r="FK667" s="346">
        <f t="shared" si="674"/>
        <v>99.945885748172259</v>
      </c>
      <c r="FL667" s="346">
        <f t="shared" si="674"/>
        <v>106.90137584125107</v>
      </c>
      <c r="FM667" s="346">
        <f t="shared" si="674"/>
        <v>155.09121168506633</v>
      </c>
      <c r="FN667" s="346">
        <f t="shared" si="674"/>
        <v>118.94741214038808</v>
      </c>
      <c r="FO667" s="346">
        <f t="shared" si="674"/>
        <v>119.17105225139113</v>
      </c>
      <c r="FP667" s="346">
        <f t="shared" si="674"/>
        <v>161.98099204682552</v>
      </c>
      <c r="FQ667" s="346">
        <f t="shared" ref="FQ667:FV667" si="675">FQ668+FQ673+FQ674+FQ681+FQ697</f>
        <v>118.21035142438593</v>
      </c>
      <c r="FR667" s="346">
        <f t="shared" si="675"/>
        <v>121.65400060516743</v>
      </c>
      <c r="FS667" s="346">
        <f t="shared" si="675"/>
        <v>169.64471663081804</v>
      </c>
      <c r="FT667" s="346">
        <f t="shared" si="675"/>
        <v>131.6406722489491</v>
      </c>
      <c r="FU667" s="346">
        <f t="shared" si="675"/>
        <v>129.16985994808741</v>
      </c>
      <c r="FV667" s="346">
        <f t="shared" si="675"/>
        <v>189.33175192633266</v>
      </c>
      <c r="FW667" s="346">
        <v>110.1156569781196</v>
      </c>
      <c r="FX667" s="346">
        <v>123.39516343103196</v>
      </c>
      <c r="FY667" s="346">
        <v>167.87899487170446</v>
      </c>
      <c r="FZ667" s="346">
        <v>129.13909366182429</v>
      </c>
      <c r="GA667" s="346">
        <v>135.90353463757307</v>
      </c>
      <c r="GB667" s="346">
        <v>186.33327966820102</v>
      </c>
      <c r="GC667" s="346">
        <v>146.46208294654627</v>
      </c>
      <c r="GD667" s="346">
        <v>134.54808684712521</v>
      </c>
      <c r="GE667" s="346">
        <v>232.31337755216748</v>
      </c>
      <c r="GF667" s="346">
        <v>142.49260437009488</v>
      </c>
      <c r="GG667" s="346">
        <v>145.4445077296626</v>
      </c>
      <c r="GH667" s="346">
        <v>222.74720845481093</v>
      </c>
      <c r="GI667" s="346">
        <f>GI668+GI673+GI674+GI681+GI697</f>
        <v>145.96192723773103</v>
      </c>
      <c r="GJ667" s="346">
        <f t="shared" ref="GJ667:GS667" si="676">GJ668+GJ673+GJ674+GJ681+GJ697</f>
        <v>170.08469428493055</v>
      </c>
      <c r="GK667" s="346">
        <f t="shared" si="676"/>
        <v>214.70250271454984</v>
      </c>
      <c r="GL667" s="346">
        <f t="shared" si="676"/>
        <v>143.56997105973568</v>
      </c>
      <c r="GM667" s="346">
        <f t="shared" si="676"/>
        <v>167.57943580356664</v>
      </c>
      <c r="GN667" s="346">
        <f t="shared" si="676"/>
        <v>228.35396693025771</v>
      </c>
      <c r="GO667" s="346">
        <f>GO668+GO673+GO674+GO681+GO697</f>
        <v>198.1196480416676</v>
      </c>
      <c r="GP667" s="346">
        <f t="shared" si="676"/>
        <v>145.38917010292781</v>
      </c>
      <c r="GQ667" s="346">
        <f t="shared" si="676"/>
        <v>258.82715269015318</v>
      </c>
      <c r="GR667" s="346">
        <f t="shared" si="676"/>
        <v>183.31387861149</v>
      </c>
      <c r="GS667" s="346">
        <f t="shared" si="676"/>
        <v>170.87591844504999</v>
      </c>
      <c r="GT667" s="346">
        <f>GT668+GT673+GT674+GT681+GT697</f>
        <v>260.59353089068003</v>
      </c>
      <c r="GU667" s="346">
        <f t="shared" ref="GU667:HL667" si="677">GU668+GU673+GU674+GU681+GU697</f>
        <v>182.39831541385061</v>
      </c>
      <c r="GV667" s="346">
        <f t="shared" si="677"/>
        <v>182.99428996030898</v>
      </c>
      <c r="GW667" s="346">
        <f t="shared" si="677"/>
        <v>219.72430971012875</v>
      </c>
      <c r="GX667" s="346">
        <f t="shared" si="677"/>
        <v>192.38625173155</v>
      </c>
      <c r="GY667" s="346">
        <f t="shared" si="677"/>
        <v>179.27714057267949</v>
      </c>
      <c r="GZ667" s="346">
        <f t="shared" si="677"/>
        <v>251.60134103664996</v>
      </c>
      <c r="HA667" s="346">
        <f t="shared" si="677"/>
        <v>215.97574927790251</v>
      </c>
      <c r="HB667" s="346">
        <f t="shared" si="677"/>
        <v>182.54097471448733</v>
      </c>
      <c r="HC667" s="346">
        <f t="shared" si="677"/>
        <v>203.28094409923906</v>
      </c>
      <c r="HD667" s="346">
        <f t="shared" si="677"/>
        <v>252.7943804628523</v>
      </c>
      <c r="HE667" s="346">
        <f t="shared" si="677"/>
        <v>208.25516269036228</v>
      </c>
      <c r="HF667" s="346">
        <f t="shared" si="677"/>
        <v>322.09266473531591</v>
      </c>
      <c r="HG667" s="346">
        <f t="shared" si="677"/>
        <v>215.27946752881914</v>
      </c>
      <c r="HH667" s="346">
        <f t="shared" si="677"/>
        <v>217.29744008829482</v>
      </c>
      <c r="HI667" s="346">
        <f t="shared" si="677"/>
        <v>276.21890481851608</v>
      </c>
      <c r="HJ667" s="346">
        <f t="shared" si="677"/>
        <v>236.30508696925642</v>
      </c>
      <c r="HK667" s="346">
        <f t="shared" si="677"/>
        <v>215.34337875072524</v>
      </c>
      <c r="HL667" s="346">
        <f t="shared" si="677"/>
        <v>313.69009155564981</v>
      </c>
      <c r="HM667" s="346"/>
      <c r="HN667" s="349"/>
      <c r="HO667" s="354" t="s">
        <v>494</v>
      </c>
      <c r="HP667" s="307">
        <f>SUM(CE667:CJ667)</f>
        <v>342.7778576014</v>
      </c>
      <c r="HQ667" s="302">
        <f>SUM(CK667:CP667)</f>
        <v>385.21591712279997</v>
      </c>
      <c r="HR667" s="346">
        <f>HP667+HQ667</f>
        <v>727.99377472419997</v>
      </c>
      <c r="HS667" s="302">
        <f>SUM(CQ667:CV667)</f>
        <v>388.61287016020003</v>
      </c>
      <c r="HT667" s="302">
        <f>SUM(CW667:DB667)</f>
        <v>441.62491017960002</v>
      </c>
      <c r="HU667" s="346">
        <f t="shared" ref="HU667:HU744" si="678">HS667+HT667</f>
        <v>830.23778033980011</v>
      </c>
      <c r="HV667" s="307">
        <f>SUM(DC667:DH667)</f>
        <v>464.46660975991909</v>
      </c>
      <c r="HW667" s="302">
        <f>SUM(DI667:DN667)</f>
        <v>535.90063962605655</v>
      </c>
      <c r="HX667" s="346">
        <f t="shared" ref="HX667:HX744" si="679">HV667+HW667</f>
        <v>1000.3672493859756</v>
      </c>
      <c r="HY667" s="350">
        <f>SUM(DO667:DT667)</f>
        <v>487.13256131368644</v>
      </c>
      <c r="HZ667" s="302">
        <f>SUM(DU667:DZ667)</f>
        <v>565.28799490252914</v>
      </c>
      <c r="IA667" s="346">
        <f t="shared" ref="IA667:IA744" si="680">HY667+HZ667</f>
        <v>1052.4205562162156</v>
      </c>
      <c r="IB667" s="302">
        <f>SUM(EA667:EF667)</f>
        <v>559.54112368406959</v>
      </c>
      <c r="IC667" s="302">
        <f>SUM(EG667:EL667)</f>
        <v>639.43231877645815</v>
      </c>
      <c r="ID667" s="346">
        <f t="shared" ref="ID667:ID744" si="681">IB667+IC667</f>
        <v>1198.9734424605276</v>
      </c>
      <c r="IE667" s="350">
        <f>SUM(EM667:ER667)</f>
        <v>647.32148346433007</v>
      </c>
      <c r="IF667" s="350">
        <f>SUM(ES667:EX667)</f>
        <v>755.20077495454723</v>
      </c>
      <c r="IG667" s="346">
        <f t="shared" ref="IG667:IG744" si="682">IE667+IF667</f>
        <v>1402.5222584188773</v>
      </c>
      <c r="IH667" s="350">
        <f>SUM(EY667:FD667)</f>
        <v>733.54699880372914</v>
      </c>
      <c r="II667" s="350">
        <f>SUM(FE667:FJ667)</f>
        <v>742.06171548460691</v>
      </c>
      <c r="IJ667" s="346">
        <f t="shared" ref="IJ667:IJ744" si="683">IH667+II667</f>
        <v>1475.6087142883362</v>
      </c>
      <c r="IK667" s="350">
        <f t="shared" si="663"/>
        <v>762.0379297130944</v>
      </c>
      <c r="IL667" s="350">
        <f t="shared" si="664"/>
        <v>859.65135278374055</v>
      </c>
      <c r="IM667" s="346">
        <f t="shared" ref="IM667:IM730" si="684">IK667+IL667</f>
        <v>1621.6892824968349</v>
      </c>
      <c r="IN667" s="350">
        <f t="shared" si="665"/>
        <v>852.76572324845449</v>
      </c>
      <c r="IO667" s="350">
        <f t="shared" si="666"/>
        <v>1024.0078679004075</v>
      </c>
      <c r="IP667" s="346">
        <f t="shared" ref="IP667:IP730" si="685">IN667+IO667</f>
        <v>1876.7735911488621</v>
      </c>
      <c r="IQ667" s="350">
        <f t="shared" si="667"/>
        <v>1070.2524980307714</v>
      </c>
      <c r="IR667" s="350">
        <f t="shared" si="668"/>
        <v>1217.1192987819688</v>
      </c>
      <c r="IS667" s="346">
        <f t="shared" ref="IS667:IS730" si="686">IQ667+IR667</f>
        <v>2287.3717968127403</v>
      </c>
      <c r="IT667" s="350">
        <f>IT668+IT673+IT674+IT681+IT697+IT706</f>
        <v>1208.3816484251679</v>
      </c>
      <c r="IU667" s="350">
        <f>IU668+IU673+IU674+IU681+IU697+IU706</f>
        <v>1384.9398759801593</v>
      </c>
      <c r="IV667" s="346">
        <f t="shared" ref="IV667:IV723" si="687">IT667+IU667</f>
        <v>2593.3215244053272</v>
      </c>
      <c r="IW667" s="350">
        <f>SUM(HG667:HL667)</f>
        <v>1474.1343697112616</v>
      </c>
      <c r="IX667" s="350">
        <f t="shared" ref="IX667:IX730" si="688">IY667-IW667</f>
        <v>1632.2656302887385</v>
      </c>
      <c r="IY667" s="346">
        <f>FISC!AJ989</f>
        <v>3106.4</v>
      </c>
      <c r="IZ667" s="350">
        <f>IZ668+IZ673+IZ674+IZ681+IZ697+IZ706</f>
        <v>1789.4989553865353</v>
      </c>
      <c r="JA667" s="302">
        <f t="shared" ref="JA667:JA733" si="689">JB667-IZ667</f>
        <v>1918.7010446134645</v>
      </c>
      <c r="JB667" s="346">
        <f>FISC!AK989</f>
        <v>3708.2</v>
      </c>
      <c r="JC667" s="350">
        <f>JC668+JC673+JC674+JC681+JC697+JC706</f>
        <v>2141.2227828420896</v>
      </c>
      <c r="JD667" s="302">
        <f t="shared" ref="JD667:JD717" si="690">JE667-JC667</f>
        <v>2296.67721715791</v>
      </c>
      <c r="JE667" s="346">
        <f>FISC!AL989</f>
        <v>4437.8999999999996</v>
      </c>
      <c r="JF667" s="350">
        <f>JF668+JF673+JF674+JF681+JF697+JF706</f>
        <v>2479.3271142496351</v>
      </c>
      <c r="JG667" s="302">
        <f t="shared" ref="JG667:JG721" si="691">JH667-JF667</f>
        <v>2658.1728857503649</v>
      </c>
      <c r="JH667" s="346">
        <f>FISC!AM989</f>
        <v>5137.5</v>
      </c>
      <c r="JI667" s="350">
        <f>JI668+JI673+JI674+JI681+JI697+JI706</f>
        <v>2823.3174013662447</v>
      </c>
      <c r="JJ667" s="302">
        <f>JK667-JI667</f>
        <v>3026.582598633755</v>
      </c>
      <c r="JK667" s="346">
        <f>FISC!AN989</f>
        <v>5849.9</v>
      </c>
      <c r="JL667" s="350">
        <f>JL668+JL673+JL674+JL681+JL697+JL706</f>
        <v>3192.5537776889155</v>
      </c>
      <c r="JM667" s="302">
        <f t="shared" ref="JM667:JM719" si="692">JN667-JL667</f>
        <v>3423.3232745246855</v>
      </c>
      <c r="JN667" s="346">
        <f>FISC!AO989</f>
        <v>6615.877052213601</v>
      </c>
      <c r="KI667" s="349"/>
      <c r="KJ667" s="350"/>
      <c r="KM667" s="302">
        <f>SUM(KM668:KM706)</f>
        <v>0</v>
      </c>
      <c r="KN667" s="302">
        <f>SUM(KN668:KN706)</f>
        <v>0</v>
      </c>
      <c r="KO667" s="302">
        <f>SUM(KO668:KO706)</f>
        <v>0</v>
      </c>
      <c r="KP667" s="302">
        <f>SUM(KP668:KP706)</f>
        <v>0</v>
      </c>
    </row>
    <row r="668" spans="1:302" hidden="1" outlineLevel="1">
      <c r="A668" s="302"/>
      <c r="B668" s="117" t="s">
        <v>361</v>
      </c>
      <c r="D668" s="355" t="s">
        <v>495</v>
      </c>
      <c r="E668" s="346"/>
      <c r="F668" s="346"/>
      <c r="G668" s="346"/>
      <c r="H668" s="346"/>
      <c r="I668" s="346"/>
      <c r="J668" s="346"/>
      <c r="K668" s="346"/>
      <c r="L668" s="346"/>
      <c r="M668" s="346"/>
      <c r="N668" s="346"/>
      <c r="O668" s="346"/>
      <c r="P668" s="346"/>
      <c r="Q668" s="346"/>
      <c r="R668" s="346"/>
      <c r="S668" s="346"/>
      <c r="T668" s="346"/>
      <c r="U668" s="346"/>
      <c r="V668" s="346"/>
      <c r="W668" s="346"/>
      <c r="X668" s="346"/>
      <c r="Y668" s="346"/>
      <c r="Z668" s="346"/>
      <c r="AA668" s="346"/>
      <c r="AB668" s="346"/>
      <c r="AC668" s="346"/>
      <c r="AD668" s="346"/>
      <c r="AE668" s="346"/>
      <c r="AF668" s="346"/>
      <c r="AG668" s="346"/>
      <c r="AH668" s="346"/>
      <c r="AI668" s="346"/>
      <c r="AJ668" s="346"/>
      <c r="AK668" s="346"/>
      <c r="AL668" s="346"/>
      <c r="AM668" s="346"/>
      <c r="AN668" s="346"/>
      <c r="AO668" s="346">
        <v>9.1976553620000008</v>
      </c>
      <c r="AP668" s="346">
        <v>8.9753025550000007</v>
      </c>
      <c r="AQ668" s="346">
        <v>21.089250323000002</v>
      </c>
      <c r="AR668" s="346">
        <v>10.010133697000001</v>
      </c>
      <c r="AS668" s="346">
        <v>9.8719577630000011</v>
      </c>
      <c r="AT668" s="346">
        <v>14.840519780999999</v>
      </c>
      <c r="AU668" s="346">
        <v>9.88337222</v>
      </c>
      <c r="AV668" s="346">
        <v>11.078733921000001</v>
      </c>
      <c r="AW668" s="346">
        <v>15.450073651999999</v>
      </c>
      <c r="AX668" s="346">
        <v>10.522197433000001</v>
      </c>
      <c r="AY668" s="346">
        <v>10.271731428000001</v>
      </c>
      <c r="AZ668" s="346">
        <v>18.153608035999998</v>
      </c>
      <c r="BA668" s="346">
        <v>11.946940838</v>
      </c>
      <c r="BB668" s="346">
        <v>9.0899355970000002</v>
      </c>
      <c r="BC668" s="346">
        <v>24.427645838</v>
      </c>
      <c r="BD668" s="346">
        <v>12.300124922</v>
      </c>
      <c r="BE668" s="346">
        <v>13.586515272</v>
      </c>
      <c r="BF668" s="346">
        <v>18.836545067000003</v>
      </c>
      <c r="BG668" s="346">
        <v>10.921841468</v>
      </c>
      <c r="BH668" s="346">
        <v>12.876976016</v>
      </c>
      <c r="BI668" s="346">
        <v>19.071943779999998</v>
      </c>
      <c r="BJ668" s="346">
        <v>14.379611560000001</v>
      </c>
      <c r="BK668" s="346">
        <v>13.868360801</v>
      </c>
      <c r="BL668" s="346">
        <v>22.197278266000001</v>
      </c>
      <c r="BM668" s="346">
        <v>14.388957357999999</v>
      </c>
      <c r="BN668" s="346">
        <v>13.989886667999999</v>
      </c>
      <c r="BO668" s="346">
        <v>28.443676410000002</v>
      </c>
      <c r="BP668" s="346">
        <v>16.067820548</v>
      </c>
      <c r="BQ668" s="346">
        <v>22.70966043</v>
      </c>
      <c r="BR668" s="346">
        <v>23.848396019999999</v>
      </c>
      <c r="BS668" s="346">
        <v>13.931525382999999</v>
      </c>
      <c r="BT668" s="346">
        <v>16.445612037</v>
      </c>
      <c r="BU668" s="346">
        <v>22.525015555000003</v>
      </c>
      <c r="BV668" s="346">
        <v>18.891410504</v>
      </c>
      <c r="BW668" s="346">
        <v>17.873983027000001</v>
      </c>
      <c r="BX668" s="346">
        <v>24.470399514</v>
      </c>
      <c r="BY668" s="346">
        <v>17.60345899</v>
      </c>
      <c r="BZ668" s="346">
        <v>20.911623874</v>
      </c>
      <c r="CA668" s="346">
        <v>38.839338738000002</v>
      </c>
      <c r="CB668" s="346">
        <v>19.456358693999999</v>
      </c>
      <c r="CC668" s="346">
        <v>18.7379107</v>
      </c>
      <c r="CD668" s="352">
        <f t="shared" ref="CD668:DI668" si="693">CD318</f>
        <v>0</v>
      </c>
      <c r="CE668" s="346">
        <f t="shared" si="693"/>
        <v>17.442865989000001</v>
      </c>
      <c r="CF668" s="346">
        <f t="shared" si="693"/>
        <v>19.525892276</v>
      </c>
      <c r="CG668" s="346">
        <f t="shared" si="693"/>
        <v>29.068709611999999</v>
      </c>
      <c r="CH668" s="346">
        <f t="shared" si="693"/>
        <v>19.932281134</v>
      </c>
      <c r="CI668" s="346">
        <f t="shared" si="693"/>
        <v>18.564633012999998</v>
      </c>
      <c r="CJ668" s="346">
        <f t="shared" si="693"/>
        <v>33.827118311</v>
      </c>
      <c r="CK668" s="346">
        <f t="shared" si="693"/>
        <v>21.141859377000003</v>
      </c>
      <c r="CL668" s="346">
        <f t="shared" si="693"/>
        <v>20.952411226999999</v>
      </c>
      <c r="CM668" s="346">
        <f t="shared" si="693"/>
        <v>28.781427078</v>
      </c>
      <c r="CN668" s="346">
        <f t="shared" si="693"/>
        <v>21.026310951999999</v>
      </c>
      <c r="CO668" s="346">
        <f t="shared" si="693"/>
        <v>20.391816973000001</v>
      </c>
      <c r="CP668" s="348">
        <f t="shared" si="693"/>
        <v>37.229654887999999</v>
      </c>
      <c r="CQ668" s="346">
        <f t="shared" si="693"/>
        <v>22.069318692000003</v>
      </c>
      <c r="CR668" s="346">
        <f t="shared" si="693"/>
        <v>21.066326490000002</v>
      </c>
      <c r="CS668" s="346">
        <f t="shared" si="693"/>
        <v>33.752981474999999</v>
      </c>
      <c r="CT668" s="346">
        <f t="shared" si="693"/>
        <v>20.554321023</v>
      </c>
      <c r="CU668" s="346">
        <f t="shared" si="693"/>
        <v>18.533772878000001</v>
      </c>
      <c r="CV668" s="346">
        <f t="shared" si="693"/>
        <v>38.569907888000003</v>
      </c>
      <c r="CW668" s="346">
        <f t="shared" si="693"/>
        <v>24.528582481000001</v>
      </c>
      <c r="CX668" s="346">
        <f t="shared" si="693"/>
        <v>20.478766830999998</v>
      </c>
      <c r="CY668" s="346">
        <f t="shared" si="693"/>
        <v>49.998201248999997</v>
      </c>
      <c r="CZ668" s="346">
        <f t="shared" si="693"/>
        <v>28.614825071999999</v>
      </c>
      <c r="DA668" s="346">
        <f t="shared" si="693"/>
        <v>24.454279628000002</v>
      </c>
      <c r="DB668" s="1479">
        <f t="shared" si="693"/>
        <v>39.297474163000004</v>
      </c>
      <c r="DC668" s="346">
        <f t="shared" si="693"/>
        <v>24.97770777808697</v>
      </c>
      <c r="DD668" s="346">
        <f t="shared" si="693"/>
        <v>24.069154116661423</v>
      </c>
      <c r="DE668" s="346">
        <f t="shared" si="693"/>
        <v>37.947137373144983</v>
      </c>
      <c r="DF668" s="346">
        <f t="shared" si="693"/>
        <v>26.526863113310718</v>
      </c>
      <c r="DG668" s="346">
        <f t="shared" si="693"/>
        <v>22.842077699533458</v>
      </c>
      <c r="DH668" s="346">
        <f t="shared" si="693"/>
        <v>44.97296507686093</v>
      </c>
      <c r="DI668" s="346">
        <f t="shared" si="693"/>
        <v>29.489573230082442</v>
      </c>
      <c r="DJ668" s="346">
        <f t="shared" ref="DJ668:EO668" si="694">DJ318</f>
        <v>24.739166191259773</v>
      </c>
      <c r="DK668" s="346">
        <f t="shared" si="694"/>
        <v>64.363901094079523</v>
      </c>
      <c r="DL668" s="346">
        <f t="shared" si="694"/>
        <v>30.417722433606038</v>
      </c>
      <c r="DM668" s="346">
        <f t="shared" si="694"/>
        <v>27.793850016598867</v>
      </c>
      <c r="DN668" s="348">
        <f t="shared" si="694"/>
        <v>48.846946710689501</v>
      </c>
      <c r="DO668" s="346">
        <f t="shared" si="694"/>
        <v>21.471689881572686</v>
      </c>
      <c r="DP668" s="346">
        <f t="shared" si="694"/>
        <v>30.266054382305445</v>
      </c>
      <c r="DQ668" s="346">
        <f t="shared" si="694"/>
        <v>39.425181638268725</v>
      </c>
      <c r="DR668" s="346">
        <f t="shared" si="694"/>
        <v>26.784761667258937</v>
      </c>
      <c r="DS668" s="346">
        <f t="shared" si="694"/>
        <v>26.677548393080393</v>
      </c>
      <c r="DT668" s="346">
        <f t="shared" si="694"/>
        <v>43.318929067927989</v>
      </c>
      <c r="DU668" s="346">
        <f t="shared" si="694"/>
        <v>32.470388110317217</v>
      </c>
      <c r="DV668" s="346">
        <f t="shared" si="694"/>
        <v>26.946016230133992</v>
      </c>
      <c r="DW668" s="346">
        <f t="shared" si="694"/>
        <v>68.597441655491167</v>
      </c>
      <c r="DX668" s="346">
        <f t="shared" si="694"/>
        <v>26.875956962522089</v>
      </c>
      <c r="DY668" s="346">
        <f t="shared" si="694"/>
        <v>29.738585438124417</v>
      </c>
      <c r="DZ668" s="348">
        <f t="shared" si="694"/>
        <v>48.540318290994371</v>
      </c>
      <c r="EA668" s="346">
        <f t="shared" si="694"/>
        <v>25.455277023792288</v>
      </c>
      <c r="EB668" s="346">
        <f t="shared" si="694"/>
        <v>32.018292819407755</v>
      </c>
      <c r="EC668" s="346">
        <f t="shared" si="694"/>
        <v>43.027304943689934</v>
      </c>
      <c r="ED668" s="346">
        <f t="shared" si="694"/>
        <v>33.39073301665713</v>
      </c>
      <c r="EE668" s="346">
        <f t="shared" si="694"/>
        <v>29.720448230942814</v>
      </c>
      <c r="EF668" s="346">
        <f t="shared" si="694"/>
        <v>47.180959559145705</v>
      </c>
      <c r="EG668" s="346">
        <f t="shared" si="694"/>
        <v>37.966086083231247</v>
      </c>
      <c r="EH668" s="346">
        <f t="shared" si="694"/>
        <v>28.652020048842438</v>
      </c>
      <c r="EI668" s="346">
        <f t="shared" si="694"/>
        <v>66.11191067311718</v>
      </c>
      <c r="EJ668" s="346">
        <f t="shared" si="694"/>
        <v>44.887675344763323</v>
      </c>
      <c r="EK668" s="346">
        <f t="shared" si="694"/>
        <v>30.249393652575279</v>
      </c>
      <c r="EL668" s="348">
        <f t="shared" si="694"/>
        <v>52.766372826799838</v>
      </c>
      <c r="EM668" s="346">
        <f t="shared" si="694"/>
        <v>32.903887653520002</v>
      </c>
      <c r="EN668" s="346">
        <f t="shared" si="694"/>
        <v>38.718924392970003</v>
      </c>
      <c r="EO668" s="346">
        <f t="shared" si="694"/>
        <v>53.269384041799995</v>
      </c>
      <c r="EP668" s="346">
        <f t="shared" ref="EP668:FV668" si="695">EP318</f>
        <v>43.582974409280006</v>
      </c>
      <c r="EQ668" s="346">
        <f t="shared" si="695"/>
        <v>37.346238129779998</v>
      </c>
      <c r="ER668" s="346">
        <f t="shared" si="695"/>
        <v>64.889195948490041</v>
      </c>
      <c r="ES668" s="346">
        <f t="shared" si="695"/>
        <v>45.557114181480003</v>
      </c>
      <c r="ET668" s="346">
        <f t="shared" si="695"/>
        <v>38.634797108739996</v>
      </c>
      <c r="EU668" s="346">
        <f t="shared" si="695"/>
        <v>56.830703252639999</v>
      </c>
      <c r="EV668" s="346">
        <f t="shared" si="695"/>
        <v>59.092180732999999</v>
      </c>
      <c r="EW668" s="346">
        <f t="shared" si="695"/>
        <v>45.748966423500008</v>
      </c>
      <c r="EX668" s="348">
        <f t="shared" si="695"/>
        <v>78.799486449000057</v>
      </c>
      <c r="EY668" s="346">
        <f t="shared" si="695"/>
        <v>40.861348706000001</v>
      </c>
      <c r="EZ668" s="346">
        <f t="shared" si="695"/>
        <v>40.236363533999992</v>
      </c>
      <c r="FA668" s="346">
        <f t="shared" si="695"/>
        <v>62.600567380000001</v>
      </c>
      <c r="FB668" s="346">
        <f t="shared" si="695"/>
        <v>40.196479917999994</v>
      </c>
      <c r="FC668" s="346">
        <f t="shared" si="695"/>
        <v>35.382652612999998</v>
      </c>
      <c r="FD668" s="346">
        <f t="shared" si="695"/>
        <v>74.515635992236128</v>
      </c>
      <c r="FE668" s="346">
        <f t="shared" si="695"/>
        <v>50.561232297057551</v>
      </c>
      <c r="FF668" s="346">
        <f t="shared" si="695"/>
        <v>46.994172765410902</v>
      </c>
      <c r="FG668" s="346">
        <f t="shared" si="695"/>
        <v>52.490747917832323</v>
      </c>
      <c r="FH668" s="346">
        <f t="shared" si="695"/>
        <v>67.0517552428323</v>
      </c>
      <c r="FI668" s="346">
        <f t="shared" si="695"/>
        <v>44.051889430022307</v>
      </c>
      <c r="FJ668" s="348">
        <f t="shared" si="695"/>
        <v>86.532698150732344</v>
      </c>
      <c r="FK668" s="346">
        <f t="shared" si="695"/>
        <v>36.289047524419288</v>
      </c>
      <c r="FL668" s="346">
        <f t="shared" si="695"/>
        <v>36.019796794131103</v>
      </c>
      <c r="FM668" s="346">
        <f t="shared" si="695"/>
        <v>72.440413640439601</v>
      </c>
      <c r="FN668" s="346">
        <f t="shared" si="695"/>
        <v>42.868981288514391</v>
      </c>
      <c r="FO668" s="346">
        <f t="shared" si="695"/>
        <v>45.484406372303361</v>
      </c>
      <c r="FP668" s="346">
        <f t="shared" si="695"/>
        <v>76.286844757701388</v>
      </c>
      <c r="FQ668" s="346">
        <f t="shared" si="695"/>
        <v>49.103212532440324</v>
      </c>
      <c r="FR668" s="346">
        <f t="shared" si="695"/>
        <v>52.336578481208335</v>
      </c>
      <c r="FS668" s="346">
        <f t="shared" si="695"/>
        <v>93.267847900999698</v>
      </c>
      <c r="FT668" s="346">
        <f t="shared" si="695"/>
        <v>53.732223183644123</v>
      </c>
      <c r="FU668" s="346">
        <f t="shared" si="695"/>
        <v>50.45175707796222</v>
      </c>
      <c r="FV668" s="346">
        <f t="shared" si="695"/>
        <v>94.271498006713855</v>
      </c>
      <c r="FW668" s="346">
        <v>42.931996948309646</v>
      </c>
      <c r="FX668" s="346">
        <v>51.976516482732585</v>
      </c>
      <c r="FY668" s="346">
        <v>85.710003864002815</v>
      </c>
      <c r="FZ668" s="346">
        <v>50.884118057186733</v>
      </c>
      <c r="GA668" s="346">
        <v>53.532433952667745</v>
      </c>
      <c r="GB668" s="346">
        <v>92.791841307198808</v>
      </c>
      <c r="GC668" s="346">
        <v>60.325505074531428</v>
      </c>
      <c r="GD668" s="346">
        <v>54.330143900996141</v>
      </c>
      <c r="GE668" s="346">
        <v>131.26415922232482</v>
      </c>
      <c r="GF668" s="346">
        <v>55.649899866840457</v>
      </c>
      <c r="GG668" s="346">
        <v>59.435778794574979</v>
      </c>
      <c r="GH668" s="346">
        <v>114.72444861402933</v>
      </c>
      <c r="GI668" s="346">
        <f t="shared" ref="GI668:GT668" si="696">GI318+GI670</f>
        <v>53.204055566850109</v>
      </c>
      <c r="GJ668" s="346">
        <f t="shared" si="696"/>
        <v>59.078030433705571</v>
      </c>
      <c r="GK668" s="346">
        <f t="shared" si="696"/>
        <v>106.26164003751501</v>
      </c>
      <c r="GL668" s="346">
        <f t="shared" si="696"/>
        <v>50.353097030469279</v>
      </c>
      <c r="GM668" s="346">
        <f t="shared" si="696"/>
        <v>69.292342448664428</v>
      </c>
      <c r="GN668" s="346">
        <f t="shared" si="696"/>
        <v>117.6861034362649</v>
      </c>
      <c r="GO668" s="346">
        <f t="shared" si="696"/>
        <v>74.864048893155513</v>
      </c>
      <c r="GP668" s="346">
        <f t="shared" si="696"/>
        <v>47.414745790658266</v>
      </c>
      <c r="GQ668" s="346">
        <f t="shared" si="696"/>
        <v>147.74039314169588</v>
      </c>
      <c r="GR668" s="346">
        <f t="shared" si="696"/>
        <v>87.61921461099999</v>
      </c>
      <c r="GS668" s="346">
        <f t="shared" si="696"/>
        <v>66.672609772999991</v>
      </c>
      <c r="GT668" s="346">
        <f t="shared" si="696"/>
        <v>142.55584417</v>
      </c>
      <c r="GU668" s="346">
        <f>GU318</f>
        <v>71.838405088999991</v>
      </c>
      <c r="GV668" s="346">
        <f t="shared" ref="GV668:HL668" si="697">GV318</f>
        <v>70.983312988999984</v>
      </c>
      <c r="GW668" s="346">
        <f t="shared" si="697"/>
        <v>110.957612408</v>
      </c>
      <c r="GX668" s="346">
        <f t="shared" si="697"/>
        <v>82.024519187999999</v>
      </c>
      <c r="GY668" s="346">
        <f t="shared" si="697"/>
        <v>73.172715019999998</v>
      </c>
      <c r="GZ668" s="346">
        <f t="shared" si="697"/>
        <v>139.43906328199998</v>
      </c>
      <c r="HA668" s="346">
        <f t="shared" si="697"/>
        <v>88.183945691999995</v>
      </c>
      <c r="HB668" s="346">
        <f t="shared" si="697"/>
        <v>65.311859411967333</v>
      </c>
      <c r="HC668" s="346">
        <f t="shared" si="697"/>
        <v>91.63107527599999</v>
      </c>
      <c r="HD668" s="346">
        <f t="shared" si="697"/>
        <v>131.1451816076123</v>
      </c>
      <c r="HE668" s="346">
        <f t="shared" si="697"/>
        <v>85.313004088487276</v>
      </c>
      <c r="HF668" s="346">
        <f t="shared" si="697"/>
        <v>168.57115475694047</v>
      </c>
      <c r="HG668" s="346">
        <f t="shared" si="697"/>
        <v>74.32016508000001</v>
      </c>
      <c r="HH668" s="346">
        <f t="shared" si="697"/>
        <v>81.87931893199999</v>
      </c>
      <c r="HI668" s="346">
        <f t="shared" si="697"/>
        <v>143.00261516899999</v>
      </c>
      <c r="HJ668" s="346">
        <f t="shared" si="697"/>
        <v>86.889979795466431</v>
      </c>
      <c r="HK668" s="346">
        <f t="shared" si="697"/>
        <v>87.558215688759091</v>
      </c>
      <c r="HL668" s="346">
        <f t="shared" si="697"/>
        <v>161.3257625462445</v>
      </c>
      <c r="HM668" s="346"/>
      <c r="HN668" s="349"/>
      <c r="HO668" s="355" t="s">
        <v>495</v>
      </c>
      <c r="HP668" s="307">
        <f>SUM(CE668:CJ668)</f>
        <v>138.36150033499999</v>
      </c>
      <c r="HQ668" s="302">
        <f>SUM(CK668:CP668)</f>
        <v>149.523480495</v>
      </c>
      <c r="HR668" s="346">
        <f t="shared" ref="HR668:HR746" si="698">HP668+HQ668</f>
        <v>287.88498083000002</v>
      </c>
      <c r="HS668" s="302">
        <f>SUM(CQ668:CV668)</f>
        <v>154.546628446</v>
      </c>
      <c r="HT668" s="302">
        <f>SUM(CW668:DB668)</f>
        <v>187.37212942400001</v>
      </c>
      <c r="HU668" s="346">
        <f t="shared" si="678"/>
        <v>341.91875787000004</v>
      </c>
      <c r="HV668" s="307">
        <f>SUM(DC668:DH668)</f>
        <v>181.33590515759849</v>
      </c>
      <c r="HW668" s="302">
        <f>SUM(DI668:DN668)</f>
        <v>225.65115967631615</v>
      </c>
      <c r="HX668" s="346">
        <f t="shared" si="679"/>
        <v>406.98706483391464</v>
      </c>
      <c r="HY668" s="350">
        <f>SUM(DO668:DT668)</f>
        <v>187.94416503041418</v>
      </c>
      <c r="HZ668" s="302">
        <f>SUM(DU668:DZ668)</f>
        <v>233.16870668758327</v>
      </c>
      <c r="IA668" s="346">
        <f t="shared" si="680"/>
        <v>421.11287171799745</v>
      </c>
      <c r="IB668" s="302">
        <f>SUM(EA668:EF668)</f>
        <v>210.79301559363563</v>
      </c>
      <c r="IC668" s="302">
        <f>SUM(EG668:EL668)</f>
        <v>260.63345862932931</v>
      </c>
      <c r="ID668" s="346">
        <f t="shared" si="681"/>
        <v>471.42647422296494</v>
      </c>
      <c r="IE668" s="350">
        <f>SUM(EM668:ER668)</f>
        <v>270.71060457584002</v>
      </c>
      <c r="IF668" s="350">
        <f>SUM(ES668:EX668)</f>
        <v>324.66324814836003</v>
      </c>
      <c r="IG668" s="346">
        <f t="shared" si="682"/>
        <v>595.37385272420011</v>
      </c>
      <c r="IH668" s="350">
        <f>SUM(EY668:FD668)</f>
        <v>293.79304814323609</v>
      </c>
      <c r="II668" s="350">
        <f>SUM(FE668:FJ668)</f>
        <v>347.68249580388772</v>
      </c>
      <c r="IJ668" s="346">
        <f t="shared" si="683"/>
        <v>641.47554394712381</v>
      </c>
      <c r="IK668" s="350">
        <f t="shared" si="663"/>
        <v>309.38949037750916</v>
      </c>
      <c r="IL668" s="350">
        <f t="shared" si="664"/>
        <v>393.16311718296856</v>
      </c>
      <c r="IM668" s="346">
        <f t="shared" si="684"/>
        <v>702.55260756047778</v>
      </c>
      <c r="IN668" s="350">
        <f t="shared" si="665"/>
        <v>377.82691061209829</v>
      </c>
      <c r="IO668" s="350">
        <f t="shared" si="666"/>
        <v>475.72993547329708</v>
      </c>
      <c r="IP668" s="346">
        <f t="shared" si="685"/>
        <v>853.55684608539536</v>
      </c>
      <c r="IQ668" s="350">
        <f t="shared" si="667"/>
        <v>455.87526895346929</v>
      </c>
      <c r="IR668" s="350">
        <f t="shared" si="668"/>
        <v>566.86685637950961</v>
      </c>
      <c r="IS668" s="346">
        <f t="shared" si="686"/>
        <v>1022.742125332979</v>
      </c>
      <c r="IT668" s="350">
        <f t="shared" ref="IT668:IT699" si="699">SUM(GU668:GZ668)</f>
        <v>548.415627976</v>
      </c>
      <c r="IU668" s="350">
        <f>SUM(HA668:HF668)</f>
        <v>630.15622083300741</v>
      </c>
      <c r="IV668" s="346">
        <f t="shared" si="687"/>
        <v>1178.5718488090074</v>
      </c>
      <c r="IW668" s="350">
        <f t="shared" ref="IW668:IW731" si="700">SUM(HG668:HL668)</f>
        <v>634.97605721147011</v>
      </c>
      <c r="IX668" s="350">
        <f t="shared" si="688"/>
        <v>736.96382456794936</v>
      </c>
      <c r="IY668" s="346">
        <f>FISC!AJ990</f>
        <v>1371.9398817794195</v>
      </c>
      <c r="IZ668" s="350">
        <f>JB668*0.48</f>
        <v>773.13456381445906</v>
      </c>
      <c r="JA668" s="302">
        <f t="shared" si="689"/>
        <v>837.5624441323306</v>
      </c>
      <c r="JB668" s="346">
        <f>FISC!AK990</f>
        <v>1610.6970079467897</v>
      </c>
      <c r="JC668" s="350">
        <f>JE668*0.48</f>
        <v>928.82523145520486</v>
      </c>
      <c r="JD668" s="302">
        <f t="shared" si="690"/>
        <v>1006.2273340764721</v>
      </c>
      <c r="JE668" s="346">
        <f>FISC!AL990</f>
        <v>1935.0525655316769</v>
      </c>
      <c r="JF668" s="350">
        <f>JH668*0.48</f>
        <v>1068.652691785097</v>
      </c>
      <c r="JG668" s="302">
        <f t="shared" si="691"/>
        <v>1157.7070827671887</v>
      </c>
      <c r="JH668" s="346">
        <f>FISC!AM990</f>
        <v>2226.3597745522857</v>
      </c>
      <c r="JI668" s="350">
        <f>JK668*0.48</f>
        <v>1211.139603805495</v>
      </c>
      <c r="JJ668" s="302">
        <f t="shared" ref="JJ668:JJ719" si="701">JK668-JI668</f>
        <v>1312.0679041226194</v>
      </c>
      <c r="JK668" s="346">
        <f>FISC!AN990</f>
        <v>2523.2075079281144</v>
      </c>
      <c r="JL668" s="350">
        <f>JN668*0.48</f>
        <v>1388.0297235817193</v>
      </c>
      <c r="JM668" s="302">
        <f t="shared" si="692"/>
        <v>1503.6988672135294</v>
      </c>
      <c r="JN668" s="346">
        <f>FISC!AO990</f>
        <v>2891.7285907952487</v>
      </c>
      <c r="KI668" s="349"/>
      <c r="KJ668" s="350"/>
    </row>
    <row r="669" spans="1:302" hidden="1" outlineLevel="1">
      <c r="A669" s="302"/>
      <c r="D669" s="1439" t="s">
        <v>496</v>
      </c>
      <c r="E669" s="346"/>
      <c r="F669" s="346"/>
      <c r="G669" s="346"/>
      <c r="H669" s="346"/>
      <c r="I669" s="346"/>
      <c r="J669" s="346"/>
      <c r="K669" s="346"/>
      <c r="L669" s="346"/>
      <c r="M669" s="346"/>
      <c r="N669" s="346"/>
      <c r="O669" s="346"/>
      <c r="P669" s="346"/>
      <c r="Q669" s="346"/>
      <c r="R669" s="346"/>
      <c r="S669" s="346"/>
      <c r="T669" s="346"/>
      <c r="U669" s="346"/>
      <c r="V669" s="346"/>
      <c r="W669" s="346"/>
      <c r="X669" s="346"/>
      <c r="Y669" s="346"/>
      <c r="Z669" s="346"/>
      <c r="AA669" s="346"/>
      <c r="AB669" s="346"/>
      <c r="AC669" s="346"/>
      <c r="AD669" s="346"/>
      <c r="AE669" s="346"/>
      <c r="AF669" s="346"/>
      <c r="AG669" s="346"/>
      <c r="AH669" s="346"/>
      <c r="AI669" s="346"/>
      <c r="AJ669" s="346"/>
      <c r="AK669" s="346"/>
      <c r="AL669" s="346"/>
      <c r="AM669" s="346"/>
      <c r="AN669" s="346"/>
      <c r="AO669" s="346"/>
      <c r="AP669" s="346"/>
      <c r="AQ669" s="346"/>
      <c r="AR669" s="346"/>
      <c r="AS669" s="346"/>
      <c r="AT669" s="346"/>
      <c r="AU669" s="346"/>
      <c r="AV669" s="346"/>
      <c r="AW669" s="346"/>
      <c r="AX669" s="346"/>
      <c r="AY669" s="346"/>
      <c r="AZ669" s="346"/>
      <c r="BA669" s="346"/>
      <c r="BB669" s="346"/>
      <c r="BC669" s="346"/>
      <c r="BD669" s="346"/>
      <c r="BE669" s="346"/>
      <c r="BF669" s="346"/>
      <c r="BG669" s="346"/>
      <c r="BH669" s="346"/>
      <c r="BI669" s="346"/>
      <c r="BJ669" s="346"/>
      <c r="BK669" s="346"/>
      <c r="BL669" s="346"/>
      <c r="BM669" s="346"/>
      <c r="BN669" s="346"/>
      <c r="BO669" s="346"/>
      <c r="BP669" s="346"/>
      <c r="BQ669" s="346"/>
      <c r="BR669" s="346"/>
      <c r="BS669" s="346"/>
      <c r="BT669" s="346"/>
      <c r="BU669" s="346"/>
      <c r="BV669" s="346"/>
      <c r="BW669" s="346"/>
      <c r="BX669" s="346"/>
      <c r="BY669" s="346"/>
      <c r="BZ669" s="346"/>
      <c r="CA669" s="346"/>
      <c r="CB669" s="346"/>
      <c r="CC669" s="346"/>
      <c r="CD669" s="352"/>
      <c r="CE669" s="346">
        <f t="shared" ref="CE669:DJ669" si="702">CE319</f>
        <v>15.335722871</v>
      </c>
      <c r="CF669" s="346">
        <f t="shared" si="702"/>
        <v>18.453643707000001</v>
      </c>
      <c r="CG669" s="346">
        <f t="shared" si="702"/>
        <v>19.47672549</v>
      </c>
      <c r="CH669" s="346">
        <f t="shared" si="702"/>
        <v>17.97492677</v>
      </c>
      <c r="CI669" s="346">
        <f t="shared" si="702"/>
        <v>17.2901992</v>
      </c>
      <c r="CJ669" s="346">
        <f t="shared" si="702"/>
        <v>23.874331232999999</v>
      </c>
      <c r="CK669" s="346">
        <f t="shared" si="702"/>
        <v>18.637431190000001</v>
      </c>
      <c r="CL669" s="346">
        <f t="shared" si="702"/>
        <v>19.059659594999999</v>
      </c>
      <c r="CM669" s="346">
        <f t="shared" si="702"/>
        <v>19.301946052000002</v>
      </c>
      <c r="CN669" s="346">
        <f t="shared" si="702"/>
        <v>18.818232368</v>
      </c>
      <c r="CO669" s="346">
        <f t="shared" si="702"/>
        <v>18.574974748999999</v>
      </c>
      <c r="CP669" s="348">
        <f t="shared" si="702"/>
        <v>27.654926967000002</v>
      </c>
      <c r="CQ669" s="346">
        <f t="shared" si="702"/>
        <v>19.027270161000001</v>
      </c>
      <c r="CR669" s="346">
        <f t="shared" si="702"/>
        <v>17.945877120999999</v>
      </c>
      <c r="CS669" s="346">
        <f t="shared" si="702"/>
        <v>23.738315861</v>
      </c>
      <c r="CT669" s="346">
        <f t="shared" si="702"/>
        <v>18.921073360000001</v>
      </c>
      <c r="CU669" s="346">
        <f t="shared" si="702"/>
        <v>17.030863909000001</v>
      </c>
      <c r="CV669" s="346">
        <f t="shared" si="702"/>
        <v>26.419475679000001</v>
      </c>
      <c r="CW669" s="346">
        <f t="shared" si="702"/>
        <v>22.337229367999999</v>
      </c>
      <c r="CX669" s="346">
        <f t="shared" si="702"/>
        <v>18.098628601000001</v>
      </c>
      <c r="CY669" s="346">
        <f t="shared" si="702"/>
        <v>25.821663387000001</v>
      </c>
      <c r="CZ669" s="346">
        <f t="shared" si="702"/>
        <v>26.245589175999999</v>
      </c>
      <c r="DA669" s="346">
        <f t="shared" si="702"/>
        <v>21.564693520999999</v>
      </c>
      <c r="DB669" s="1479">
        <f t="shared" si="702"/>
        <v>29.496832703999999</v>
      </c>
      <c r="DC669" s="346">
        <f t="shared" si="702"/>
        <v>21.615782720326401</v>
      </c>
      <c r="DD669" s="346">
        <f t="shared" si="702"/>
        <v>20.294735996621601</v>
      </c>
      <c r="DE669" s="346">
        <f t="shared" si="702"/>
        <v>26.120960418486298</v>
      </c>
      <c r="DF669" s="346">
        <f t="shared" si="702"/>
        <v>24.477194525631102</v>
      </c>
      <c r="DG669" s="346">
        <f t="shared" si="702"/>
        <v>21.004385424461599</v>
      </c>
      <c r="DH669" s="346">
        <f t="shared" si="702"/>
        <v>31.049560698246001</v>
      </c>
      <c r="DI669" s="346">
        <f t="shared" si="702"/>
        <v>27.840487462747099</v>
      </c>
      <c r="DJ669" s="346">
        <f t="shared" si="702"/>
        <v>23.1781468343546</v>
      </c>
      <c r="DK669" s="346">
        <f t="shared" ref="DK669:EP669" si="703">DK319</f>
        <v>40.983306076958698</v>
      </c>
      <c r="DL669" s="346">
        <f t="shared" si="703"/>
        <v>28.405466405739702</v>
      </c>
      <c r="DM669" s="346">
        <f t="shared" si="703"/>
        <v>25.082436725609902</v>
      </c>
      <c r="DN669" s="348">
        <f t="shared" si="703"/>
        <v>36.968642948916873</v>
      </c>
      <c r="DO669" s="346">
        <f t="shared" si="703"/>
        <v>18.759607335242031</v>
      </c>
      <c r="DP669" s="346">
        <f t="shared" si="703"/>
        <v>28.357289014025195</v>
      </c>
      <c r="DQ669" s="346">
        <f t="shared" si="703"/>
        <v>27.610516804926178</v>
      </c>
      <c r="DR669" s="346">
        <f t="shared" si="703"/>
        <v>25.009836839513426</v>
      </c>
      <c r="DS669" s="346">
        <f t="shared" si="703"/>
        <v>24.688640878436349</v>
      </c>
      <c r="DT669" s="346">
        <f t="shared" si="703"/>
        <v>33.988548327140684</v>
      </c>
      <c r="DU669" s="346">
        <f t="shared" si="703"/>
        <v>26.924952377653902</v>
      </c>
      <c r="DV669" s="346">
        <f t="shared" si="703"/>
        <v>24.643297991831403</v>
      </c>
      <c r="DW669" s="346">
        <f t="shared" si="703"/>
        <v>46.639684487487699</v>
      </c>
      <c r="DX669" s="346">
        <f t="shared" si="703"/>
        <v>24.402116171907899</v>
      </c>
      <c r="DY669" s="346">
        <f t="shared" si="703"/>
        <v>27.5322358404174</v>
      </c>
      <c r="DZ669" s="348">
        <f t="shared" si="703"/>
        <v>33.036661162635802</v>
      </c>
      <c r="EA669" s="346">
        <f t="shared" si="703"/>
        <v>22.906499245785181</v>
      </c>
      <c r="EB669" s="346">
        <f t="shared" si="703"/>
        <v>29.698573642996624</v>
      </c>
      <c r="EC669" s="346">
        <f t="shared" si="703"/>
        <v>30.146715729253604</v>
      </c>
      <c r="ED669" s="346">
        <f t="shared" si="703"/>
        <v>29.90945527667018</v>
      </c>
      <c r="EE669" s="346">
        <f t="shared" si="703"/>
        <v>27.174290085773425</v>
      </c>
      <c r="EF669" s="346">
        <f t="shared" si="703"/>
        <v>35.693886513293407</v>
      </c>
      <c r="EG669" s="346">
        <f t="shared" si="703"/>
        <v>32.17962014580138</v>
      </c>
      <c r="EH669" s="346">
        <f t="shared" si="703"/>
        <v>26.238264961253353</v>
      </c>
      <c r="EI669" s="346">
        <f t="shared" si="703"/>
        <v>45.753920926414622</v>
      </c>
      <c r="EJ669" s="346">
        <f t="shared" si="703"/>
        <v>29.842121318948323</v>
      </c>
      <c r="EK669" s="346">
        <f t="shared" si="703"/>
        <v>27.659507785700331</v>
      </c>
      <c r="EL669" s="348">
        <f t="shared" si="703"/>
        <v>36.110250100628754</v>
      </c>
      <c r="EM669" s="346">
        <f t="shared" si="703"/>
        <v>21.197964669000001</v>
      </c>
      <c r="EN669" s="346">
        <f t="shared" si="703"/>
        <v>26.297894826</v>
      </c>
      <c r="EO669" s="346">
        <f t="shared" si="703"/>
        <v>25.640282977999998</v>
      </c>
      <c r="EP669" s="346">
        <f t="shared" si="703"/>
        <v>25.162036771</v>
      </c>
      <c r="EQ669" s="346">
        <f t="shared" ref="EQ669:FV669" si="704">EQ319</f>
        <v>26.049817039000001</v>
      </c>
      <c r="ER669" s="346">
        <f t="shared" si="704"/>
        <v>29.227038579800048</v>
      </c>
      <c r="ES669" s="346">
        <f t="shared" si="704"/>
        <v>26.956796173000001</v>
      </c>
      <c r="ET669" s="346">
        <f t="shared" si="704"/>
        <v>26.604466951999999</v>
      </c>
      <c r="EU669" s="346">
        <f t="shared" si="704"/>
        <v>28.8569176779</v>
      </c>
      <c r="EV669" s="346">
        <f t="shared" si="704"/>
        <v>27.234412380999999</v>
      </c>
      <c r="EW669" s="346">
        <f t="shared" si="704"/>
        <v>28.292670561816003</v>
      </c>
      <c r="EX669" s="348">
        <f t="shared" si="704"/>
        <v>29.380920583622</v>
      </c>
      <c r="EY669" s="346">
        <f t="shared" si="704"/>
        <v>35.1922169493875</v>
      </c>
      <c r="EZ669" s="346">
        <f t="shared" si="704"/>
        <v>36.736436433049995</v>
      </c>
      <c r="FA669" s="346">
        <f t="shared" si="704"/>
        <v>39.451931595097498</v>
      </c>
      <c r="FB669" s="346">
        <f t="shared" si="704"/>
        <v>35.854395532299996</v>
      </c>
      <c r="FC669" s="346">
        <f t="shared" si="704"/>
        <v>32.903049460733499</v>
      </c>
      <c r="FD669" s="346">
        <f t="shared" si="704"/>
        <v>52.796362157162115</v>
      </c>
      <c r="FE669" s="346">
        <f t="shared" si="704"/>
        <v>48.026780050009052</v>
      </c>
      <c r="FF669" s="346">
        <f t="shared" si="704"/>
        <v>43.478022334660892</v>
      </c>
      <c r="FG669" s="346">
        <f t="shared" si="704"/>
        <v>41.94372338853232</v>
      </c>
      <c r="FH669" s="346">
        <f t="shared" si="704"/>
        <v>35.575190619832306</v>
      </c>
      <c r="FI669" s="346">
        <f t="shared" si="704"/>
        <v>40.931714567832309</v>
      </c>
      <c r="FJ669" s="348">
        <f t="shared" si="704"/>
        <v>58.830155635519851</v>
      </c>
      <c r="FK669" s="346">
        <f t="shared" si="704"/>
        <v>34.122865568916787</v>
      </c>
      <c r="FL669" s="346">
        <f t="shared" si="704"/>
        <v>29.537551809794103</v>
      </c>
      <c r="FM669" s="346">
        <f t="shared" si="704"/>
        <v>46.167131573128607</v>
      </c>
      <c r="FN669" s="346">
        <f t="shared" si="704"/>
        <v>40.735007468086749</v>
      </c>
      <c r="FO669" s="346">
        <f t="shared" si="704"/>
        <v>40.831429681469267</v>
      </c>
      <c r="FP669" s="346">
        <f t="shared" si="704"/>
        <v>51.153144298998221</v>
      </c>
      <c r="FQ669" s="346">
        <f t="shared" si="704"/>
        <v>47.07369008529318</v>
      </c>
      <c r="FR669" s="346">
        <f t="shared" si="704"/>
        <v>50.239993272733962</v>
      </c>
      <c r="FS669" s="346">
        <f t="shared" si="704"/>
        <v>54.692521657624496</v>
      </c>
      <c r="FT669" s="346">
        <f t="shared" si="704"/>
        <v>48.768606909993665</v>
      </c>
      <c r="FU669" s="346">
        <f t="shared" si="704"/>
        <v>45.784417457005091</v>
      </c>
      <c r="FV669" s="346">
        <f t="shared" si="704"/>
        <v>63.867142929825107</v>
      </c>
      <c r="FW669" s="346">
        <v>39.773257880022108</v>
      </c>
      <c r="FX669" s="346">
        <v>47.811507659362029</v>
      </c>
      <c r="FY669" s="346">
        <v>53.316081569909386</v>
      </c>
      <c r="FZ669" s="346">
        <v>47.725642027853183</v>
      </c>
      <c r="GA669" s="346">
        <v>49.048040240920493</v>
      </c>
      <c r="GB669" s="346">
        <v>58.046851359131836</v>
      </c>
      <c r="GC669" s="346">
        <v>56.981845465852921</v>
      </c>
      <c r="GD669" s="346">
        <v>49.206752542867306</v>
      </c>
      <c r="GE669" s="346">
        <v>71.063010106402189</v>
      </c>
      <c r="GF669" s="346">
        <v>51.744107802422583</v>
      </c>
      <c r="GG669" s="346">
        <v>54.380453467655663</v>
      </c>
      <c r="GH669" s="346">
        <v>74.027358089106286</v>
      </c>
      <c r="GI669" s="346">
        <f t="shared" ref="GI669:GT669" si="705">GI319+GI670</f>
        <v>50.138606712664732</v>
      </c>
      <c r="GJ669" s="346">
        <f t="shared" si="705"/>
        <v>54.105265546746431</v>
      </c>
      <c r="GK669" s="346">
        <f t="shared" si="705"/>
        <v>65.065858448521283</v>
      </c>
      <c r="GL669" s="346">
        <f t="shared" si="705"/>
        <v>46.564723105478798</v>
      </c>
      <c r="GM669" s="346">
        <f t="shared" si="705"/>
        <v>65.445831130025582</v>
      </c>
      <c r="GN669" s="346">
        <f t="shared" si="705"/>
        <v>73.699421651695843</v>
      </c>
      <c r="GO669" s="346">
        <f t="shared" si="705"/>
        <v>69.336410309564101</v>
      </c>
      <c r="GP669" s="346">
        <f t="shared" si="705"/>
        <v>44.772263015658055</v>
      </c>
      <c r="GQ669" s="346">
        <f t="shared" si="705"/>
        <v>71.232426729750131</v>
      </c>
      <c r="GR669" s="346">
        <f t="shared" si="705"/>
        <v>62.431906822999998</v>
      </c>
      <c r="GS669" s="346">
        <f t="shared" si="705"/>
        <v>59.816675173</v>
      </c>
      <c r="GT669" s="346">
        <f t="shared" si="705"/>
        <v>83.444036252999993</v>
      </c>
      <c r="GU669" s="346">
        <f>GU319+GU670</f>
        <v>62.544314139000001</v>
      </c>
      <c r="GV669" s="346">
        <f t="shared" ref="GV669:HL669" si="706">GV319+GV670</f>
        <v>64.117002482999993</v>
      </c>
      <c r="GW669" s="346">
        <f t="shared" si="706"/>
        <v>59.908137101999998</v>
      </c>
      <c r="GX669" s="346">
        <f t="shared" si="706"/>
        <v>63.130556132000002</v>
      </c>
      <c r="GY669" s="346">
        <f t="shared" si="706"/>
        <v>76.326485626999997</v>
      </c>
      <c r="GZ669" s="346">
        <f t="shared" si="706"/>
        <v>73.155611633999996</v>
      </c>
      <c r="HA669" s="346">
        <f t="shared" si="706"/>
        <v>71.324495088999996</v>
      </c>
      <c r="HB669" s="346">
        <f t="shared" si="706"/>
        <v>56.885686225930705</v>
      </c>
      <c r="HC669" s="346">
        <f t="shared" si="706"/>
        <v>57.732962755000003</v>
      </c>
      <c r="HD669" s="346">
        <f t="shared" si="706"/>
        <v>88.497370030572299</v>
      </c>
      <c r="HE669" s="346">
        <f t="shared" si="706"/>
        <v>73.411471319487276</v>
      </c>
      <c r="HF669" s="346">
        <f t="shared" si="706"/>
        <v>98.695551528989284</v>
      </c>
      <c r="HG669" s="346">
        <f t="shared" si="706"/>
        <v>63.21147598000001</v>
      </c>
      <c r="HH669" s="346">
        <f t="shared" si="706"/>
        <v>71.390851838000003</v>
      </c>
      <c r="HI669" s="346">
        <f t="shared" si="706"/>
        <v>70.950326391000004</v>
      </c>
      <c r="HJ669" s="346">
        <f t="shared" si="706"/>
        <v>71.160225820466422</v>
      </c>
      <c r="HK669" s="346">
        <f t="shared" si="706"/>
        <v>78.672199364759081</v>
      </c>
      <c r="HL669" s="346">
        <f t="shared" si="706"/>
        <v>80.701286352244495</v>
      </c>
      <c r="HM669" s="346"/>
      <c r="HN669" s="349"/>
      <c r="HO669" s="1439" t="s">
        <v>496</v>
      </c>
      <c r="HP669" s="307">
        <f>SUM(CE669:CJ669)</f>
        <v>112.40554927100001</v>
      </c>
      <c r="HQ669" s="302">
        <f>SUM(CK669:CP669)</f>
        <v>122.047170921</v>
      </c>
      <c r="HR669" s="346">
        <f t="shared" si="698"/>
        <v>234.45272019200002</v>
      </c>
      <c r="HS669" s="302">
        <f>SUM(CQ669:CV669)</f>
        <v>123.08287609100002</v>
      </c>
      <c r="HT669" s="302">
        <f>SUM(CW669:DB669)</f>
        <v>143.56463675699999</v>
      </c>
      <c r="HU669" s="346">
        <f t="shared" si="678"/>
        <v>266.64751284800002</v>
      </c>
      <c r="HV669" s="307">
        <f>SUM(DC669:DH669)</f>
        <v>144.56261978377302</v>
      </c>
      <c r="HW669" s="302">
        <f>SUM(DI669:DN669)</f>
        <v>182.45848645432687</v>
      </c>
      <c r="HX669" s="346">
        <f t="shared" si="679"/>
        <v>327.02110623809989</v>
      </c>
      <c r="HY669" s="350">
        <f>SUM(DO669:DT669)</f>
        <v>158.41443919928386</v>
      </c>
      <c r="HZ669" s="302">
        <f>SUM(DU669:DZ669)</f>
        <v>183.17894803193408</v>
      </c>
      <c r="IA669" s="346">
        <f t="shared" si="680"/>
        <v>341.59338723121795</v>
      </c>
      <c r="IB669" s="302">
        <f>SUM(EA669:EF669)</f>
        <v>175.52942049377242</v>
      </c>
      <c r="IC669" s="302">
        <f>SUM(EG669:EL669)</f>
        <v>197.78368523874676</v>
      </c>
      <c r="ID669" s="346">
        <f t="shared" si="681"/>
        <v>373.31310573251915</v>
      </c>
      <c r="IE669" s="350">
        <f>SUM(EM669:ER669)</f>
        <v>153.57503486280007</v>
      </c>
      <c r="IF669" s="350">
        <f>SUM(ES669:EX669)</f>
        <v>167.32618432933799</v>
      </c>
      <c r="IG669" s="346">
        <f>IE669+IF669</f>
        <v>320.90121919213806</v>
      </c>
      <c r="IH669" s="350">
        <f>SUM(EY669:FD669)</f>
        <v>232.9343921277306</v>
      </c>
      <c r="II669" s="350">
        <f>SUM(FE669:FJ669)</f>
        <v>268.78558659638674</v>
      </c>
      <c r="IJ669" s="346">
        <f t="shared" si="683"/>
        <v>501.71997872411737</v>
      </c>
      <c r="IK669" s="350">
        <f t="shared" si="663"/>
        <v>242.54713040039374</v>
      </c>
      <c r="IL669" s="350">
        <f t="shared" si="664"/>
        <v>310.42637231247545</v>
      </c>
      <c r="IM669" s="346">
        <f>IK669+IL669</f>
        <v>552.97350271286916</v>
      </c>
      <c r="IN669" s="350">
        <f t="shared" si="665"/>
        <v>295.72138073719907</v>
      </c>
      <c r="IO669" s="350">
        <f t="shared" si="666"/>
        <v>357.40352747430688</v>
      </c>
      <c r="IP669" s="346">
        <f t="shared" si="685"/>
        <v>653.12490821150595</v>
      </c>
      <c r="IQ669" s="350">
        <f t="shared" si="667"/>
        <v>355.01970659513267</v>
      </c>
      <c r="IR669" s="350">
        <f t="shared" si="668"/>
        <v>391.03371830397225</v>
      </c>
      <c r="IS669" s="346">
        <f t="shared" si="686"/>
        <v>746.05342489910493</v>
      </c>
      <c r="IT669" s="350">
        <f t="shared" si="699"/>
        <v>399.18210711699999</v>
      </c>
      <c r="IU669" s="350">
        <f t="shared" ref="IU669:IU716" si="707">SUM(HA669:HF669)</f>
        <v>446.54753694897965</v>
      </c>
      <c r="IV669" s="346">
        <f t="shared" si="687"/>
        <v>845.72964406597964</v>
      </c>
      <c r="IW669" s="350">
        <f t="shared" si="700"/>
        <v>436.08636574646999</v>
      </c>
      <c r="IX669" s="350">
        <f t="shared" si="688"/>
        <v>206.27168421405673</v>
      </c>
      <c r="IY669" s="346">
        <f>FISC!AJ991</f>
        <v>642.35804996052673</v>
      </c>
      <c r="IZ669" s="350">
        <f t="shared" ref="IZ669:IZ696" si="708">JB669*0.48</f>
        <v>339.47826178852631</v>
      </c>
      <c r="JA669" s="302">
        <f t="shared" si="689"/>
        <v>367.7681169375702</v>
      </c>
      <c r="JB669" s="346">
        <f>FISC!AK991</f>
        <v>707.24637872609651</v>
      </c>
      <c r="JC669" s="350">
        <f t="shared" ref="JC669:JC696" si="709">JE669*0.48</f>
        <v>390.13564762893719</v>
      </c>
      <c r="JD669" s="302">
        <f t="shared" si="690"/>
        <v>422.64695159801528</v>
      </c>
      <c r="JE669" s="346">
        <f>FISC!AL991</f>
        <v>812.78259922695247</v>
      </c>
      <c r="JF669" s="350">
        <f t="shared" ref="JF669:JF696" si="710">JH669*0.48</f>
        <v>440.6596592268474</v>
      </c>
      <c r="JG669" s="302">
        <f t="shared" si="691"/>
        <v>477.38129749575143</v>
      </c>
      <c r="JH669" s="346">
        <f>FISC!AM991</f>
        <v>918.04095672259882</v>
      </c>
      <c r="JI669" s="350">
        <f t="shared" ref="JI669:JI696" si="711">JK669*0.48</f>
        <v>506.60042625756995</v>
      </c>
      <c r="JJ669" s="302">
        <f t="shared" si="701"/>
        <v>548.81712844570075</v>
      </c>
      <c r="JK669" s="346">
        <f>FISC!AN991</f>
        <v>1055.4175547032708</v>
      </c>
      <c r="JL669" s="350">
        <f t="shared" ref="JL669:JL696" si="712">JN669*0.48</f>
        <v>573.65213654950867</v>
      </c>
      <c r="JM669" s="302">
        <f t="shared" si="692"/>
        <v>621.45648126196784</v>
      </c>
      <c r="JN669" s="346">
        <f>FISC!AO991</f>
        <v>1195.1086178114765</v>
      </c>
      <c r="KI669" s="349"/>
      <c r="KJ669" s="350"/>
    </row>
    <row r="670" spans="1:302" hidden="1" outlineLevel="1">
      <c r="A670" s="302"/>
      <c r="D670" s="1635" t="s">
        <v>3125</v>
      </c>
      <c r="E670" s="346"/>
      <c r="F670" s="346"/>
      <c r="G670" s="346"/>
      <c r="H670" s="346"/>
      <c r="I670" s="346"/>
      <c r="J670" s="346"/>
      <c r="K670" s="346"/>
      <c r="L670" s="346"/>
      <c r="M670" s="346"/>
      <c r="N670" s="346"/>
      <c r="O670" s="346"/>
      <c r="P670" s="346"/>
      <c r="Q670" s="346"/>
      <c r="R670" s="346"/>
      <c r="S670" s="346"/>
      <c r="T670" s="346"/>
      <c r="U670" s="346"/>
      <c r="V670" s="346"/>
      <c r="W670" s="346"/>
      <c r="X670" s="346"/>
      <c r="Y670" s="346"/>
      <c r="Z670" s="346"/>
      <c r="AA670" s="346"/>
      <c r="AB670" s="346"/>
      <c r="AC670" s="346"/>
      <c r="AD670" s="346"/>
      <c r="AE670" s="346"/>
      <c r="AF670" s="346"/>
      <c r="AG670" s="346"/>
      <c r="AH670" s="346"/>
      <c r="AI670" s="346"/>
      <c r="AJ670" s="346"/>
      <c r="AK670" s="346"/>
      <c r="AL670" s="346"/>
      <c r="AM670" s="346"/>
      <c r="AN670" s="346"/>
      <c r="AO670" s="346"/>
      <c r="AP670" s="346"/>
      <c r="AQ670" s="346"/>
      <c r="AR670" s="346"/>
      <c r="AS670" s="346"/>
      <c r="AT670" s="346"/>
      <c r="AU670" s="346"/>
      <c r="AV670" s="346"/>
      <c r="AW670" s="346"/>
      <c r="AX670" s="346"/>
      <c r="AY670" s="346"/>
      <c r="AZ670" s="346"/>
      <c r="BA670" s="346"/>
      <c r="BB670" s="346"/>
      <c r="BC670" s="346"/>
      <c r="BD670" s="346"/>
      <c r="BE670" s="346"/>
      <c r="BF670" s="346"/>
      <c r="BG670" s="346"/>
      <c r="BH670" s="346"/>
      <c r="BI670" s="346"/>
      <c r="BJ670" s="346"/>
      <c r="BK670" s="346"/>
      <c r="BL670" s="346"/>
      <c r="BM670" s="346"/>
      <c r="BN670" s="346"/>
      <c r="BO670" s="346"/>
      <c r="BP670" s="346"/>
      <c r="BQ670" s="346"/>
      <c r="BR670" s="346"/>
      <c r="BS670" s="346"/>
      <c r="BT670" s="346"/>
      <c r="BU670" s="346"/>
      <c r="BV670" s="346"/>
      <c r="BW670" s="346"/>
      <c r="BX670" s="346"/>
      <c r="BY670" s="346"/>
      <c r="BZ670" s="346"/>
      <c r="CA670" s="346"/>
      <c r="CB670" s="346"/>
      <c r="CC670" s="346"/>
      <c r="CD670" s="352"/>
      <c r="CE670" s="346"/>
      <c r="CF670" s="346"/>
      <c r="CG670" s="346"/>
      <c r="CH670" s="346"/>
      <c r="CI670" s="346"/>
      <c r="CJ670" s="346"/>
      <c r="CK670" s="346"/>
      <c r="CL670" s="346"/>
      <c r="CM670" s="346"/>
      <c r="CN670" s="346"/>
      <c r="CO670" s="346"/>
      <c r="CP670" s="348"/>
      <c r="CQ670" s="346"/>
      <c r="CR670" s="346"/>
      <c r="CS670" s="346"/>
      <c r="CT670" s="346"/>
      <c r="CU670" s="346"/>
      <c r="CV670" s="346"/>
      <c r="CW670" s="346"/>
      <c r="CX670" s="346"/>
      <c r="CY670" s="346"/>
      <c r="CZ670" s="346"/>
      <c r="DA670" s="346"/>
      <c r="DB670" s="1479"/>
      <c r="DC670" s="346"/>
      <c r="DD670" s="346"/>
      <c r="DE670" s="346"/>
      <c r="DF670" s="346"/>
      <c r="DG670" s="346"/>
      <c r="DH670" s="346"/>
      <c r="DI670" s="346"/>
      <c r="DJ670" s="346"/>
      <c r="DK670" s="346"/>
      <c r="DL670" s="346"/>
      <c r="DM670" s="346"/>
      <c r="DN670" s="348"/>
      <c r="DO670" s="346"/>
      <c r="DP670" s="346"/>
      <c r="DQ670" s="346"/>
      <c r="DR670" s="346"/>
      <c r="DS670" s="346"/>
      <c r="DT670" s="346"/>
      <c r="DU670" s="346"/>
      <c r="DV670" s="346"/>
      <c r="DW670" s="346"/>
      <c r="DX670" s="346"/>
      <c r="DY670" s="346"/>
      <c r="DZ670" s="348"/>
      <c r="EA670" s="346"/>
      <c r="EB670" s="346"/>
      <c r="EC670" s="346"/>
      <c r="ED670" s="346"/>
      <c r="EE670" s="346"/>
      <c r="EF670" s="346"/>
      <c r="EG670" s="346"/>
      <c r="EH670" s="346"/>
      <c r="EI670" s="346"/>
      <c r="EJ670" s="346"/>
      <c r="EK670" s="346"/>
      <c r="EL670" s="348"/>
      <c r="EM670" s="346"/>
      <c r="EN670" s="346"/>
      <c r="EO670" s="346"/>
      <c r="EP670" s="346"/>
      <c r="EQ670" s="346"/>
      <c r="ER670" s="346"/>
      <c r="ES670" s="346"/>
      <c r="ET670" s="346"/>
      <c r="EU670" s="346"/>
      <c r="EV670" s="346"/>
      <c r="EW670" s="346"/>
      <c r="EX670" s="348"/>
      <c r="EY670" s="346"/>
      <c r="EZ670" s="346"/>
      <c r="FA670" s="346"/>
      <c r="FB670" s="346"/>
      <c r="FC670" s="346"/>
      <c r="FD670" s="346"/>
      <c r="FE670" s="346"/>
      <c r="FF670" s="346"/>
      <c r="FG670" s="346"/>
      <c r="FH670" s="346"/>
      <c r="FI670" s="346"/>
      <c r="FJ670" s="348"/>
      <c r="FK670" s="346"/>
      <c r="FL670" s="346"/>
      <c r="FM670" s="346"/>
      <c r="FN670" s="346"/>
      <c r="FO670" s="346"/>
      <c r="FP670" s="346"/>
      <c r="FQ670" s="346"/>
      <c r="FR670" s="346"/>
      <c r="FS670" s="346"/>
      <c r="FT670" s="346"/>
      <c r="FU670" s="346"/>
      <c r="FV670" s="346"/>
      <c r="FW670" s="346">
        <v>9.0079269557552702E-2</v>
      </c>
      <c r="FX670" s="346">
        <v>0.11242255482291161</v>
      </c>
      <c r="FY670" s="346">
        <v>0.1382445306195357</v>
      </c>
      <c r="FZ670" s="346">
        <v>8.1435755594487902E-2</v>
      </c>
      <c r="GA670" s="346">
        <v>0.11747313632447541</v>
      </c>
      <c r="GB670" s="346">
        <v>0.32929104408103671</v>
      </c>
      <c r="GC670" s="346">
        <v>2.2589937846118051</v>
      </c>
      <c r="GD670" s="346">
        <v>2.8351787347910138</v>
      </c>
      <c r="GE670" s="346">
        <v>5.0180548739471771</v>
      </c>
      <c r="GF670" s="346">
        <v>0.3120432234541492</v>
      </c>
      <c r="GG670" s="346">
        <v>0.32104673123372712</v>
      </c>
      <c r="GH670" s="346">
        <v>0.3516410099653603</v>
      </c>
      <c r="GI670" s="346">
        <v>8.0369186999999995E-2</v>
      </c>
      <c r="GJ670" s="346">
        <v>0.12923064500000001</v>
      </c>
      <c r="GK670" s="346">
        <v>0.165289346</v>
      </c>
      <c r="GL670" s="346">
        <v>7.8073811000000007E-2</v>
      </c>
      <c r="GM670" s="346">
        <v>7.6941433000000004E-2</v>
      </c>
      <c r="GN670" s="346">
        <v>0.25645975500000001</v>
      </c>
      <c r="GO670" s="346">
        <v>10.809168018999999</v>
      </c>
      <c r="GP670" s="346">
        <v>0.59952304099999998</v>
      </c>
      <c r="GQ670" s="346">
        <v>0.53717110400000001</v>
      </c>
      <c r="GR670" s="346">
        <v>0.18563595099999999</v>
      </c>
      <c r="GS670" s="346">
        <v>0.173010463</v>
      </c>
      <c r="GT670" s="346">
        <v>0.15585046699999999</v>
      </c>
      <c r="GU670" s="346">
        <v>8.9590568999999995E-2</v>
      </c>
      <c r="GV670" s="346">
        <v>0.116235886</v>
      </c>
      <c r="GW670" s="346">
        <v>0.13788588099999999</v>
      </c>
      <c r="GX670" s="346">
        <v>2.2609674000000002</v>
      </c>
      <c r="GY670" s="346">
        <v>10.622033209</v>
      </c>
      <c r="GZ670" s="346">
        <v>0.44088069800000002</v>
      </c>
      <c r="HA670" s="346">
        <v>0.23147989199999999</v>
      </c>
      <c r="HB670" s="346">
        <v>0.18693738900000001</v>
      </c>
      <c r="HC670" s="346">
        <v>0.197503283</v>
      </c>
      <c r="HD670" s="346">
        <v>14.604376746</v>
      </c>
      <c r="HE670" s="346">
        <v>0</v>
      </c>
      <c r="HF670" s="346">
        <v>0</v>
      </c>
      <c r="HG670" s="346">
        <v>0.12607800299999999</v>
      </c>
      <c r="HH670" s="346">
        <v>0.12514935099999999</v>
      </c>
      <c r="HI670" s="346">
        <v>0.10389886500000001</v>
      </c>
      <c r="HJ670" s="346">
        <v>0.16091638899999999</v>
      </c>
      <c r="HK670" s="346">
        <v>0.150893578</v>
      </c>
      <c r="HL670" s="346">
        <v>1.0758262510000001</v>
      </c>
      <c r="HM670" s="346"/>
      <c r="HN670" s="349"/>
      <c r="HO670" s="1635" t="s">
        <v>3125</v>
      </c>
      <c r="HP670" s="307"/>
      <c r="HR670" s="346"/>
      <c r="HU670" s="346"/>
      <c r="HV670" s="307"/>
      <c r="HX670" s="346"/>
      <c r="HY670" s="350"/>
      <c r="IA670" s="346"/>
      <c r="ID670" s="346"/>
      <c r="IE670" s="350"/>
      <c r="IF670" s="350"/>
      <c r="IG670" s="346"/>
      <c r="IH670" s="350"/>
      <c r="II670" s="350"/>
      <c r="IJ670" s="346"/>
      <c r="IK670" s="350">
        <f t="shared" si="663"/>
        <v>0</v>
      </c>
      <c r="IL670" s="350">
        <f t="shared" si="664"/>
        <v>0</v>
      </c>
      <c r="IM670" s="346">
        <f t="shared" si="684"/>
        <v>0</v>
      </c>
      <c r="IN670" s="350">
        <f t="shared" si="665"/>
        <v>0.86894629100000009</v>
      </c>
      <c r="IO670" s="350">
        <f t="shared" si="666"/>
        <v>11.096958358003233</v>
      </c>
      <c r="IP670" s="346">
        <f t="shared" si="685"/>
        <v>11.965904649003233</v>
      </c>
      <c r="IQ670" s="350">
        <f t="shared" si="667"/>
        <v>0.78636417700000005</v>
      </c>
      <c r="IR670" s="350">
        <f t="shared" si="668"/>
        <v>12.460359045000001</v>
      </c>
      <c r="IS670" s="346">
        <f t="shared" si="686"/>
        <v>13.246723222</v>
      </c>
      <c r="IT670" s="350">
        <f t="shared" si="699"/>
        <v>13.667593643</v>
      </c>
      <c r="IU670" s="350">
        <f t="shared" si="707"/>
        <v>15.220297309999999</v>
      </c>
      <c r="IV670" s="346">
        <f t="shared" si="687"/>
        <v>28.887890952999999</v>
      </c>
      <c r="IW670" s="350">
        <f t="shared" si="700"/>
        <v>1.7427624370000001</v>
      </c>
      <c r="IX670" s="350">
        <f t="shared" si="688"/>
        <v>16.114576161391685</v>
      </c>
      <c r="IY670" s="346">
        <f>FISC!AJ992</f>
        <v>17.857338598391685</v>
      </c>
      <c r="IZ670" s="350">
        <f t="shared" si="708"/>
        <v>9.3765689833280152</v>
      </c>
      <c r="JA670" s="302">
        <f t="shared" si="689"/>
        <v>10.157949731938684</v>
      </c>
      <c r="JB670" s="346">
        <f>FISC!AK992</f>
        <v>19.534518715266699</v>
      </c>
      <c r="JC670" s="350">
        <f t="shared" si="709"/>
        <v>10.8933799190496</v>
      </c>
      <c r="JD670" s="302">
        <f t="shared" si="690"/>
        <v>11.801161578970401</v>
      </c>
      <c r="JE670" s="346">
        <f>FISC!AL992</f>
        <v>22.694541498020001</v>
      </c>
      <c r="JF670" s="350">
        <f t="shared" si="710"/>
        <v>11.977086136572</v>
      </c>
      <c r="JG670" s="302">
        <f t="shared" si="691"/>
        <v>12.975176647953001</v>
      </c>
      <c r="JH670" s="346">
        <f>FISC!AM992</f>
        <v>24.952262784525001</v>
      </c>
      <c r="JI670" s="350">
        <f t="shared" si="711"/>
        <v>12.567510842172</v>
      </c>
      <c r="JJ670" s="302">
        <f t="shared" si="701"/>
        <v>13.614803412353</v>
      </c>
      <c r="JK670" s="346">
        <f>FISC!AN992</f>
        <v>26.182314254525</v>
      </c>
      <c r="JL670" s="350">
        <f t="shared" si="712"/>
        <v>14.264426470048923</v>
      </c>
      <c r="JM670" s="302">
        <f t="shared" si="692"/>
        <v>15.453128675886335</v>
      </c>
      <c r="JN670" s="346">
        <f>FISC!AO992</f>
        <v>29.717555145935258</v>
      </c>
      <c r="KI670" s="349"/>
      <c r="KJ670" s="350"/>
    </row>
    <row r="671" spans="1:302" hidden="1" outlineLevel="1">
      <c r="A671" s="302"/>
      <c r="D671" s="1439" t="s">
        <v>497</v>
      </c>
      <c r="E671" s="346"/>
      <c r="F671" s="346"/>
      <c r="G671" s="346"/>
      <c r="H671" s="346"/>
      <c r="I671" s="346"/>
      <c r="J671" s="346"/>
      <c r="K671" s="346"/>
      <c r="L671" s="346"/>
      <c r="M671" s="346"/>
      <c r="N671" s="346"/>
      <c r="O671" s="346"/>
      <c r="P671" s="346"/>
      <c r="Q671" s="346"/>
      <c r="R671" s="346"/>
      <c r="S671" s="346"/>
      <c r="T671" s="346"/>
      <c r="U671" s="346"/>
      <c r="V671" s="346"/>
      <c r="W671" s="346"/>
      <c r="X671" s="346"/>
      <c r="Y671" s="346"/>
      <c r="Z671" s="346"/>
      <c r="AA671" s="346"/>
      <c r="AB671" s="346"/>
      <c r="AC671" s="346"/>
      <c r="AD671" s="346"/>
      <c r="AE671" s="346"/>
      <c r="AF671" s="346"/>
      <c r="AG671" s="346"/>
      <c r="AH671" s="346"/>
      <c r="AI671" s="346"/>
      <c r="AJ671" s="346"/>
      <c r="AK671" s="346"/>
      <c r="AL671" s="346"/>
      <c r="AM671" s="346"/>
      <c r="AN671" s="346"/>
      <c r="AO671" s="346"/>
      <c r="AP671" s="346"/>
      <c r="AQ671" s="346"/>
      <c r="AR671" s="346"/>
      <c r="AS671" s="346"/>
      <c r="AT671" s="346"/>
      <c r="AU671" s="346"/>
      <c r="AV671" s="346"/>
      <c r="AW671" s="346"/>
      <c r="AX671" s="346"/>
      <c r="AY671" s="346"/>
      <c r="AZ671" s="346"/>
      <c r="BA671" s="346"/>
      <c r="BB671" s="346"/>
      <c r="BC671" s="346"/>
      <c r="BD671" s="346"/>
      <c r="BE671" s="346"/>
      <c r="BF671" s="346"/>
      <c r="BG671" s="346"/>
      <c r="BH671" s="346"/>
      <c r="BI671" s="346"/>
      <c r="BJ671" s="346"/>
      <c r="BK671" s="346"/>
      <c r="BL671" s="346"/>
      <c r="BM671" s="346"/>
      <c r="BN671" s="346"/>
      <c r="BO671" s="346"/>
      <c r="BP671" s="346"/>
      <c r="BQ671" s="346"/>
      <c r="BR671" s="346"/>
      <c r="BS671" s="346"/>
      <c r="BT671" s="346"/>
      <c r="BU671" s="346"/>
      <c r="BV671" s="346"/>
      <c r="BW671" s="346"/>
      <c r="BX671" s="346"/>
      <c r="BY671" s="346"/>
      <c r="BZ671" s="346"/>
      <c r="CA671" s="346"/>
      <c r="CB671" s="346"/>
      <c r="CC671" s="346"/>
      <c r="CD671" s="352"/>
      <c r="CE671" s="346">
        <f t="shared" ref="CE671:DJ671" si="713">CE320</f>
        <v>1.5730296479999999</v>
      </c>
      <c r="CF671" s="346">
        <f t="shared" si="713"/>
        <v>0.97670188199999997</v>
      </c>
      <c r="CG671" s="346">
        <f t="shared" si="713"/>
        <v>9.4186684389999993</v>
      </c>
      <c r="CH671" s="346">
        <f t="shared" si="713"/>
        <v>1.8630770430000001</v>
      </c>
      <c r="CI671" s="346">
        <f t="shared" si="713"/>
        <v>1.1954280770000001</v>
      </c>
      <c r="CJ671" s="346">
        <f t="shared" si="713"/>
        <v>9.7989566579999998</v>
      </c>
      <c r="CK671" s="346">
        <f t="shared" si="713"/>
        <v>2.4694584509999999</v>
      </c>
      <c r="CL671" s="346">
        <f t="shared" si="713"/>
        <v>1.7785372589999999</v>
      </c>
      <c r="CM671" s="346">
        <f t="shared" si="713"/>
        <v>9.4464840460000001</v>
      </c>
      <c r="CN671" s="346">
        <f t="shared" si="713"/>
        <v>2.1443526300000002</v>
      </c>
      <c r="CO671" s="346">
        <f t="shared" si="713"/>
        <v>1.6340826150000001</v>
      </c>
      <c r="CP671" s="348">
        <f t="shared" si="713"/>
        <v>9.4330410859999994</v>
      </c>
      <c r="CQ671" s="346">
        <f t="shared" si="713"/>
        <v>2.2409145150000001</v>
      </c>
      <c r="CR671" s="346">
        <f t="shared" si="713"/>
        <v>3.0693548019999999</v>
      </c>
      <c r="CS671" s="346">
        <f t="shared" si="713"/>
        <v>9.8133753929999994</v>
      </c>
      <c r="CT671" s="346">
        <f t="shared" si="713"/>
        <v>1.547996798</v>
      </c>
      <c r="CU671" s="346">
        <f t="shared" si="713"/>
        <v>1.3657390899999999</v>
      </c>
      <c r="CV671" s="346">
        <f t="shared" si="713"/>
        <v>11.792154244000001</v>
      </c>
      <c r="CW671" s="346">
        <f t="shared" si="713"/>
        <v>1.8611490470000001</v>
      </c>
      <c r="CX671" s="346">
        <f t="shared" si="713"/>
        <v>1.438724117</v>
      </c>
      <c r="CY671" s="346">
        <f t="shared" si="713"/>
        <v>18.633277406000001</v>
      </c>
      <c r="CZ671" s="346">
        <f t="shared" si="713"/>
        <v>2.062493167</v>
      </c>
      <c r="DA671" s="346">
        <f t="shared" si="713"/>
        <v>1.7284441660000001</v>
      </c>
      <c r="DB671" s="1479">
        <f t="shared" si="713"/>
        <v>9.5983201129999998</v>
      </c>
      <c r="DC671" s="346">
        <f t="shared" si="713"/>
        <v>2.5139195502253058</v>
      </c>
      <c r="DD671" s="346">
        <f t="shared" si="713"/>
        <v>3.7630873299630063</v>
      </c>
      <c r="DE671" s="346">
        <f t="shared" si="713"/>
        <v>11.68637619439046</v>
      </c>
      <c r="DF671" s="346">
        <f t="shared" si="713"/>
        <v>2.0360228759916845</v>
      </c>
      <c r="DG671" s="346">
        <f t="shared" si="713"/>
        <v>1.7661458738708549</v>
      </c>
      <c r="DH671" s="346">
        <f t="shared" si="713"/>
        <v>13.643366255934502</v>
      </c>
      <c r="DI671" s="346">
        <f t="shared" si="713"/>
        <v>1.563789465276193</v>
      </c>
      <c r="DJ671" s="346">
        <f t="shared" si="713"/>
        <v>1.3925557091066323</v>
      </c>
      <c r="DK671" s="346">
        <f t="shared" ref="DK671:EP671" si="714">DK320</f>
        <v>23.131304899402526</v>
      </c>
      <c r="DL671" s="346">
        <f t="shared" si="714"/>
        <v>1.9295721089040818</v>
      </c>
      <c r="DM671" s="346">
        <f t="shared" si="714"/>
        <v>1.4832985522586397</v>
      </c>
      <c r="DN671" s="348">
        <f t="shared" si="714"/>
        <v>11.804466063702753</v>
      </c>
      <c r="DO671" s="346">
        <f t="shared" si="714"/>
        <v>2.7120825463306559</v>
      </c>
      <c r="DP671" s="346">
        <f t="shared" si="714"/>
        <v>1.9087653682802499</v>
      </c>
      <c r="DQ671" s="346">
        <f t="shared" si="714"/>
        <v>11.814664833342544</v>
      </c>
      <c r="DR671" s="346">
        <f t="shared" si="714"/>
        <v>1.774924827745511</v>
      </c>
      <c r="DS671" s="346">
        <f t="shared" si="714"/>
        <v>1.9889075146440458</v>
      </c>
      <c r="DT671" s="346">
        <f t="shared" si="714"/>
        <v>9.3303807407873034</v>
      </c>
      <c r="DU671" s="346">
        <f t="shared" si="714"/>
        <v>5.5454357326633161</v>
      </c>
      <c r="DV671" s="346">
        <f t="shared" si="714"/>
        <v>2.3027182383025888</v>
      </c>
      <c r="DW671" s="346">
        <f t="shared" si="714"/>
        <v>21.957757168003475</v>
      </c>
      <c r="DX671" s="346">
        <f t="shared" si="714"/>
        <v>2.4738407906141884</v>
      </c>
      <c r="DY671" s="346">
        <f t="shared" si="714"/>
        <v>2.2063495977070189</v>
      </c>
      <c r="DZ671" s="348">
        <f t="shared" si="714"/>
        <v>15.503657128358569</v>
      </c>
      <c r="EA671" s="346">
        <f t="shared" si="714"/>
        <v>2.5487777780071084</v>
      </c>
      <c r="EB671" s="346">
        <f t="shared" si="714"/>
        <v>2.3197191764111311</v>
      </c>
      <c r="EC671" s="346">
        <f t="shared" si="714"/>
        <v>12.880589214436329</v>
      </c>
      <c r="ED671" s="346">
        <f t="shared" si="714"/>
        <v>3.4812777399869472</v>
      </c>
      <c r="EE671" s="346">
        <f t="shared" si="714"/>
        <v>2.5461581451693878</v>
      </c>
      <c r="EF671" s="346">
        <f t="shared" si="714"/>
        <v>11.487073045852295</v>
      </c>
      <c r="EG671" s="346">
        <f t="shared" si="714"/>
        <v>5.7864659374298659</v>
      </c>
      <c r="EH671" s="346">
        <f t="shared" si="714"/>
        <v>2.4137550875890854</v>
      </c>
      <c r="EI671" s="346">
        <f t="shared" si="714"/>
        <v>20.357989746702554</v>
      </c>
      <c r="EJ671" s="346">
        <f t="shared" si="714"/>
        <v>15.045554025815004</v>
      </c>
      <c r="EK671" s="346">
        <f t="shared" si="714"/>
        <v>2.5898858668749485</v>
      </c>
      <c r="EL671" s="348">
        <f t="shared" si="714"/>
        <v>16.65612272617108</v>
      </c>
      <c r="EM671" s="346">
        <f t="shared" si="714"/>
        <v>8.0171895217000007</v>
      </c>
      <c r="EN671" s="346">
        <f t="shared" si="714"/>
        <v>7.6326909110000001</v>
      </c>
      <c r="EO671" s="346">
        <f t="shared" si="714"/>
        <v>19.951550846</v>
      </c>
      <c r="EP671" s="346">
        <f t="shared" si="714"/>
        <v>8.7253771568000023</v>
      </c>
      <c r="EQ671" s="346">
        <f t="shared" ref="EQ671:FV671" si="715">EQ320</f>
        <v>7.3900947737899996</v>
      </c>
      <c r="ER671" s="346">
        <f t="shared" si="715"/>
        <v>22.995967151999999</v>
      </c>
      <c r="ES671" s="346">
        <f t="shared" si="715"/>
        <v>11.053207402549821</v>
      </c>
      <c r="ET671" s="346">
        <f t="shared" si="715"/>
        <v>6.7440808205887608</v>
      </c>
      <c r="EU671" s="346">
        <f t="shared" si="715"/>
        <v>20.469464532859995</v>
      </c>
      <c r="EV671" s="346">
        <f t="shared" si="715"/>
        <v>21.805136288621988</v>
      </c>
      <c r="EW671" s="346">
        <f t="shared" si="715"/>
        <v>10.348055409617599</v>
      </c>
      <c r="EX671" s="348">
        <f t="shared" si="715"/>
        <v>26.064018340025321</v>
      </c>
      <c r="EY671" s="346">
        <f t="shared" si="715"/>
        <v>5.6691317566124999</v>
      </c>
      <c r="EZ671" s="346">
        <f t="shared" si="715"/>
        <v>3.1584593709499997</v>
      </c>
      <c r="FA671" s="346">
        <f t="shared" si="715"/>
        <v>23.148635784902499</v>
      </c>
      <c r="FB671" s="346">
        <f t="shared" si="715"/>
        <v>4.3420843856999998</v>
      </c>
      <c r="FC671" s="346">
        <f t="shared" si="715"/>
        <v>2.4796031522664999</v>
      </c>
      <c r="FD671" s="346">
        <f t="shared" si="715"/>
        <v>21.718577542074001</v>
      </c>
      <c r="FE671" s="346">
        <f t="shared" si="715"/>
        <v>2.4194112470485001</v>
      </c>
      <c r="FF671" s="346">
        <f t="shared" si="715"/>
        <v>3.0752299747500063</v>
      </c>
      <c r="FG671" s="346">
        <f t="shared" si="715"/>
        <v>10.436133959299999</v>
      </c>
      <c r="FH671" s="346">
        <f t="shared" si="715"/>
        <v>31.031957757000001</v>
      </c>
      <c r="FI671" s="346">
        <f t="shared" si="715"/>
        <v>2.4544786861899999</v>
      </c>
      <c r="FJ671" s="348">
        <f t="shared" si="715"/>
        <v>27.622070599212503</v>
      </c>
      <c r="FK671" s="346">
        <f t="shared" si="715"/>
        <v>2.0141423475025002</v>
      </c>
      <c r="FL671" s="346">
        <f t="shared" si="715"/>
        <v>5.8497418773370002</v>
      </c>
      <c r="FM671" s="346">
        <f t="shared" si="715"/>
        <v>25.919240270311001</v>
      </c>
      <c r="FN671" s="346">
        <f t="shared" si="715"/>
        <v>1.8741215365647395</v>
      </c>
      <c r="FO671" s="346">
        <f t="shared" si="715"/>
        <v>3.8368395035358707</v>
      </c>
      <c r="FP671" s="346">
        <f t="shared" si="715"/>
        <v>25.124649633900006</v>
      </c>
      <c r="FQ671" s="346">
        <f t="shared" si="715"/>
        <v>1.8790977295475906</v>
      </c>
      <c r="FR671" s="346">
        <f t="shared" si="715"/>
        <v>2.0360644351414678</v>
      </c>
      <c r="FS671" s="346">
        <f t="shared" si="715"/>
        <v>38.096511741148568</v>
      </c>
      <c r="FT671" s="346">
        <f t="shared" si="715"/>
        <v>4.8361935634721194</v>
      </c>
      <c r="FU671" s="346">
        <f t="shared" si="715"/>
        <v>4.0635507007919651</v>
      </c>
      <c r="FV671" s="346">
        <f t="shared" si="715"/>
        <v>30.093867868906994</v>
      </c>
      <c r="FW671" s="346">
        <v>3.0931157336716786</v>
      </c>
      <c r="FX671" s="346">
        <v>2.9578170754016724</v>
      </c>
      <c r="FY671" s="346">
        <v>31.590570183253917</v>
      </c>
      <c r="FZ671" s="346">
        <v>2.7444128197145288</v>
      </c>
      <c r="GA671" s="346">
        <v>3.500495736710513</v>
      </c>
      <c r="GB671" s="346">
        <v>33.653427418945277</v>
      </c>
      <c r="GC671" s="346">
        <v>3.2643601404860303</v>
      </c>
      <c r="GD671" s="346">
        <v>4.1383682588390167</v>
      </c>
      <c r="GE671" s="346">
        <v>60.201149115922632</v>
      </c>
      <c r="GF671" s="346">
        <v>3.7721243841979328</v>
      </c>
      <c r="GG671" s="346">
        <v>4.081840411819174</v>
      </c>
      <c r="GH671" s="346">
        <v>40.579637130642141</v>
      </c>
      <c r="GI671" s="346">
        <f t="shared" ref="GI671:GT671" si="716">GI320</f>
        <v>2.98730281723526</v>
      </c>
      <c r="GJ671" s="346">
        <f t="shared" si="716"/>
        <v>4.8915192968696362</v>
      </c>
      <c r="GK671" s="346">
        <f t="shared" si="716"/>
        <v>40.161849262949666</v>
      </c>
      <c r="GL671" s="346">
        <f t="shared" si="716"/>
        <v>3.7883739249904789</v>
      </c>
      <c r="GM671" s="346">
        <f t="shared" si="716"/>
        <v>3.8465113186388544</v>
      </c>
      <c r="GN671" s="346">
        <f t="shared" si="716"/>
        <v>43.984218038250795</v>
      </c>
      <c r="GO671" s="346">
        <f t="shared" si="716"/>
        <v>5.1486260659438763</v>
      </c>
      <c r="GP671" s="346">
        <f t="shared" si="716"/>
        <v>2.6027649612893375</v>
      </c>
      <c r="GQ671" s="346">
        <f t="shared" si="716"/>
        <v>75.442302689699162</v>
      </c>
      <c r="GR671" s="346">
        <f t="shared" si="716"/>
        <v>24.556008839</v>
      </c>
      <c r="GS671" s="346">
        <f t="shared" si="716"/>
        <v>6.7257222309999998</v>
      </c>
      <c r="GT671" s="346">
        <f t="shared" si="716"/>
        <v>58.147585100999997</v>
      </c>
      <c r="GU671" s="346">
        <f t="shared" ref="GU671:HL671" si="717">GU320</f>
        <v>9.3836815189999996</v>
      </c>
      <c r="GV671" s="346">
        <f t="shared" si="717"/>
        <v>6.9028595749999999</v>
      </c>
      <c r="GW671" s="346">
        <f t="shared" si="717"/>
        <v>50.017063280000002</v>
      </c>
      <c r="GX671" s="346">
        <f t="shared" si="717"/>
        <v>21.154606075</v>
      </c>
      <c r="GY671" s="346">
        <f t="shared" si="717"/>
        <v>7.467787006</v>
      </c>
      <c r="GZ671" s="346">
        <f t="shared" si="717"/>
        <v>65.672315490000003</v>
      </c>
      <c r="HA671" s="346">
        <f t="shared" si="717"/>
        <v>17.039462058000002</v>
      </c>
      <c r="HB671" s="346">
        <f t="shared" si="717"/>
        <v>8.5030904650366406</v>
      </c>
      <c r="HC671" s="346">
        <f t="shared" si="717"/>
        <v>33.034236874999998</v>
      </c>
      <c r="HD671" s="346">
        <f t="shared" si="717"/>
        <v>57.19510828904</v>
      </c>
      <c r="HE671" s="346">
        <f t="shared" si="717"/>
        <v>11.901532768999999</v>
      </c>
      <c r="HF671" s="346">
        <f t="shared" si="717"/>
        <v>68.840429567951205</v>
      </c>
      <c r="HG671" s="346">
        <f t="shared" si="717"/>
        <v>11.234767102999999</v>
      </c>
      <c r="HH671" s="346">
        <f t="shared" si="717"/>
        <v>10.494336979</v>
      </c>
      <c r="HI671" s="346">
        <f t="shared" si="717"/>
        <v>71.037801744999996</v>
      </c>
      <c r="HJ671" s="346">
        <f t="shared" si="717"/>
        <v>15.845187838999999</v>
      </c>
      <c r="HK671" s="346">
        <f t="shared" si="717"/>
        <v>9.0369099019999997</v>
      </c>
      <c r="HL671" s="346">
        <f t="shared" si="717"/>
        <v>80.714143116000002</v>
      </c>
      <c r="HM671" s="346"/>
      <c r="HN671" s="349"/>
      <c r="HO671" s="1439" t="s">
        <v>497</v>
      </c>
      <c r="HP671" s="307">
        <f>SUM(CE671:CJ671)</f>
        <v>24.825861747000001</v>
      </c>
      <c r="HQ671" s="302">
        <f>SUM(CK671:CP671)</f>
        <v>26.905956087</v>
      </c>
      <c r="HR671" s="346">
        <f t="shared" si="698"/>
        <v>51.731817833999997</v>
      </c>
      <c r="HS671" s="302">
        <f>SUM(CQ671:CV671)</f>
        <v>29.829534842000001</v>
      </c>
      <c r="HT671" s="302">
        <f>SUM(CW671:DB671)</f>
        <v>35.322408015999997</v>
      </c>
      <c r="HU671" s="346">
        <f t="shared" si="678"/>
        <v>65.151942857999998</v>
      </c>
      <c r="HV671" s="307">
        <f>SUM(DC671:DH671)</f>
        <v>35.408918080375813</v>
      </c>
      <c r="HW671" s="302">
        <f>SUM(DI671:DN671)</f>
        <v>41.304986798650823</v>
      </c>
      <c r="HX671" s="346">
        <f t="shared" si="679"/>
        <v>76.713904879026643</v>
      </c>
      <c r="HY671" s="350">
        <f>SUM(DO671:DT671)</f>
        <v>29.529725831130314</v>
      </c>
      <c r="HZ671" s="302">
        <f>SUM(DU671:DZ671)</f>
        <v>49.989758655649155</v>
      </c>
      <c r="IA671" s="346">
        <f t="shared" si="680"/>
        <v>79.519484486779476</v>
      </c>
      <c r="IB671" s="302">
        <f>SUM(EA671:EF671)</f>
        <v>35.263595099863196</v>
      </c>
      <c r="IC671" s="302">
        <f>SUM(EG671:EL671)</f>
        <v>62.849773390582541</v>
      </c>
      <c r="ID671" s="346">
        <f t="shared" si="681"/>
        <v>98.113368490445737</v>
      </c>
      <c r="IE671" s="350">
        <f>SUM(EM671:ER671)</f>
        <v>74.712870361290001</v>
      </c>
      <c r="IF671" s="350">
        <f>SUM(ES671:EX671)</f>
        <v>96.483962794263476</v>
      </c>
      <c r="IG671" s="346">
        <f t="shared" si="682"/>
        <v>171.19683315555346</v>
      </c>
      <c r="IH671" s="350">
        <f>SUM(EY671:FD671)</f>
        <v>60.5164919925055</v>
      </c>
      <c r="II671" s="350">
        <f>SUM(FE671:FJ671)</f>
        <v>77.039282223501004</v>
      </c>
      <c r="IJ671" s="346">
        <f t="shared" si="683"/>
        <v>137.55577421600651</v>
      </c>
      <c r="IK671" s="350">
        <f t="shared" si="663"/>
        <v>64.618735169151108</v>
      </c>
      <c r="IL671" s="350">
        <f t="shared" si="664"/>
        <v>81.005286039008709</v>
      </c>
      <c r="IM671" s="346">
        <f t="shared" si="684"/>
        <v>145.62402120815983</v>
      </c>
      <c r="IN671" s="350">
        <f t="shared" si="665"/>
        <v>77.539838967697591</v>
      </c>
      <c r="IO671" s="350">
        <f t="shared" si="666"/>
        <v>116.03747944190692</v>
      </c>
      <c r="IP671" s="346">
        <f t="shared" si="685"/>
        <v>193.57731840960452</v>
      </c>
      <c r="IQ671" s="350">
        <f t="shared" si="667"/>
        <v>99.659774658934694</v>
      </c>
      <c r="IR671" s="350">
        <f t="shared" si="668"/>
        <v>172.62300988793237</v>
      </c>
      <c r="IS671" s="346">
        <f t="shared" si="686"/>
        <v>272.28278454686705</v>
      </c>
      <c r="IT671" s="350">
        <f t="shared" si="699"/>
        <v>160.598312945</v>
      </c>
      <c r="IU671" s="350">
        <f t="shared" si="707"/>
        <v>196.51386002402785</v>
      </c>
      <c r="IV671" s="346">
        <f t="shared" si="687"/>
        <v>357.11217296902782</v>
      </c>
      <c r="IW671" s="350">
        <f t="shared" si="700"/>
        <v>198.36314668400001</v>
      </c>
      <c r="IX671" s="350">
        <f t="shared" si="688"/>
        <v>531.21868513489267</v>
      </c>
      <c r="IY671" s="346">
        <f>FISC!AJ993</f>
        <v>729.58183181889262</v>
      </c>
      <c r="IZ671" s="350">
        <f t="shared" si="708"/>
        <v>433.65630202593275</v>
      </c>
      <c r="JA671" s="302">
        <f t="shared" si="689"/>
        <v>469.79432719476051</v>
      </c>
      <c r="JB671" s="346">
        <f>FISC!AK993</f>
        <v>903.45062922069326</v>
      </c>
      <c r="JC671" s="350">
        <f t="shared" si="709"/>
        <v>538.68958382626772</v>
      </c>
      <c r="JD671" s="302">
        <f t="shared" si="690"/>
        <v>583.58038247845673</v>
      </c>
      <c r="JE671" s="346">
        <f>FISC!AL993</f>
        <v>1122.2699663047244</v>
      </c>
      <c r="JF671" s="350">
        <f t="shared" si="710"/>
        <v>627.99303255824975</v>
      </c>
      <c r="JG671" s="302">
        <f t="shared" si="691"/>
        <v>680.32578527143733</v>
      </c>
      <c r="JH671" s="346">
        <f>FISC!AM993</f>
        <v>1308.3188178296871</v>
      </c>
      <c r="JI671" s="350">
        <f t="shared" si="711"/>
        <v>704.53917754792496</v>
      </c>
      <c r="JJ671" s="302">
        <f t="shared" si="701"/>
        <v>763.25077567691869</v>
      </c>
      <c r="JK671" s="346">
        <f>FISC!AN993</f>
        <v>1467.7899532248437</v>
      </c>
      <c r="JL671" s="350">
        <f t="shared" si="712"/>
        <v>814.37758703221061</v>
      </c>
      <c r="JM671" s="302">
        <f t="shared" si="692"/>
        <v>882.24238595156157</v>
      </c>
      <c r="JN671" s="346">
        <f>FISC!AO993</f>
        <v>1696.6199729837722</v>
      </c>
      <c r="KI671" s="349"/>
      <c r="KJ671" s="350"/>
    </row>
    <row r="672" spans="1:302" hidden="1" outlineLevel="1">
      <c r="A672" s="302"/>
      <c r="D672" s="1439" t="s">
        <v>498</v>
      </c>
      <c r="E672" s="346"/>
      <c r="F672" s="346"/>
      <c r="G672" s="346"/>
      <c r="H672" s="346"/>
      <c r="I672" s="346"/>
      <c r="J672" s="346"/>
      <c r="K672" s="346"/>
      <c r="L672" s="346"/>
      <c r="M672" s="346"/>
      <c r="N672" s="346"/>
      <c r="O672" s="346"/>
      <c r="P672" s="346"/>
      <c r="Q672" s="346"/>
      <c r="R672" s="346"/>
      <c r="S672" s="346"/>
      <c r="T672" s="346"/>
      <c r="U672" s="346"/>
      <c r="V672" s="346"/>
      <c r="W672" s="346"/>
      <c r="X672" s="346"/>
      <c r="Y672" s="346"/>
      <c r="Z672" s="346"/>
      <c r="AA672" s="346"/>
      <c r="AB672" s="346"/>
      <c r="AC672" s="346"/>
      <c r="AD672" s="346"/>
      <c r="AE672" s="346"/>
      <c r="AF672" s="346"/>
      <c r="AG672" s="346"/>
      <c r="AH672" s="346"/>
      <c r="AI672" s="346"/>
      <c r="AJ672" s="346"/>
      <c r="AK672" s="346"/>
      <c r="AL672" s="346"/>
      <c r="AM672" s="346"/>
      <c r="AN672" s="346"/>
      <c r="AO672" s="346"/>
      <c r="AP672" s="346"/>
      <c r="AQ672" s="346"/>
      <c r="AR672" s="346"/>
      <c r="AS672" s="346"/>
      <c r="AT672" s="346"/>
      <c r="AU672" s="346"/>
      <c r="AV672" s="346"/>
      <c r="AW672" s="346"/>
      <c r="AX672" s="346"/>
      <c r="AY672" s="346"/>
      <c r="AZ672" s="346"/>
      <c r="BA672" s="346"/>
      <c r="BB672" s="346"/>
      <c r="BC672" s="346"/>
      <c r="BD672" s="346"/>
      <c r="BE672" s="346"/>
      <c r="BF672" s="346"/>
      <c r="BG672" s="346"/>
      <c r="BH672" s="346"/>
      <c r="BI672" s="346"/>
      <c r="BJ672" s="346"/>
      <c r="BK672" s="346"/>
      <c r="BL672" s="346"/>
      <c r="BM672" s="346"/>
      <c r="BN672" s="346"/>
      <c r="BO672" s="346"/>
      <c r="BP672" s="346"/>
      <c r="BQ672" s="346"/>
      <c r="BR672" s="346"/>
      <c r="BS672" s="346"/>
      <c r="BT672" s="346"/>
      <c r="BU672" s="346"/>
      <c r="BV672" s="346"/>
      <c r="BW672" s="346"/>
      <c r="BX672" s="346"/>
      <c r="BY672" s="346"/>
      <c r="BZ672" s="346"/>
      <c r="CA672" s="346"/>
      <c r="CB672" s="346"/>
      <c r="CC672" s="346"/>
      <c r="CD672" s="352"/>
      <c r="CE672" s="346">
        <f t="shared" ref="CE672:DJ672" si="718">CE321</f>
        <v>0.53411346999999998</v>
      </c>
      <c r="CF672" s="346">
        <f t="shared" si="718"/>
        <v>9.5546687000000005E-2</v>
      </c>
      <c r="CG672" s="346">
        <f t="shared" si="718"/>
        <v>0.173315683</v>
      </c>
      <c r="CH672" s="346">
        <f t="shared" si="718"/>
        <v>9.4277320999999997E-2</v>
      </c>
      <c r="CI672" s="346">
        <f t="shared" si="718"/>
        <v>7.9005735999999993E-2</v>
      </c>
      <c r="CJ672" s="346">
        <f t="shared" si="718"/>
        <v>0.15383042</v>
      </c>
      <c r="CK672" s="346">
        <f t="shared" si="718"/>
        <v>3.4969736000000001E-2</v>
      </c>
      <c r="CL672" s="346">
        <f t="shared" si="718"/>
        <v>0.11421437299999999</v>
      </c>
      <c r="CM672" s="346">
        <f t="shared" si="718"/>
        <v>3.2996980000000002E-2</v>
      </c>
      <c r="CN672" s="346">
        <f t="shared" si="718"/>
        <v>6.3725954000000001E-2</v>
      </c>
      <c r="CO672" s="346">
        <f t="shared" si="718"/>
        <v>0.18275960899999999</v>
      </c>
      <c r="CP672" s="348">
        <f t="shared" si="718"/>
        <v>0.14168683500000001</v>
      </c>
      <c r="CQ672" s="346">
        <f t="shared" si="718"/>
        <v>0.69328922599999998</v>
      </c>
      <c r="CR672" s="346">
        <f t="shared" si="718"/>
        <v>1.1469060999999999E-2</v>
      </c>
      <c r="CS672" s="346">
        <f t="shared" si="718"/>
        <v>0.148508689</v>
      </c>
      <c r="CT672" s="346">
        <f t="shared" si="718"/>
        <v>1.3437433E-2</v>
      </c>
      <c r="CU672" s="346">
        <f t="shared" si="718"/>
        <v>5.7819868000000003E-2</v>
      </c>
      <c r="CV672" s="346">
        <f t="shared" si="718"/>
        <v>0.23990425500000001</v>
      </c>
      <c r="CW672" s="346">
        <f t="shared" si="718"/>
        <v>6.6524533999999996E-2</v>
      </c>
      <c r="CX672" s="346">
        <f t="shared" si="718"/>
        <v>0.13973018000000001</v>
      </c>
      <c r="CY672" s="346">
        <f t="shared" si="718"/>
        <v>0.21324430999999999</v>
      </c>
      <c r="CZ672" s="346">
        <f t="shared" si="718"/>
        <v>8.0133698000000003E-2</v>
      </c>
      <c r="DA672" s="346">
        <f t="shared" si="718"/>
        <v>1.049353894</v>
      </c>
      <c r="DB672" s="1479">
        <f t="shared" si="718"/>
        <v>6.5593282000000003E-2</v>
      </c>
      <c r="DC672" s="346">
        <f t="shared" si="718"/>
        <v>0.84800550753526072</v>
      </c>
      <c r="DD672" s="346">
        <f t="shared" si="718"/>
        <v>1.133079007681527E-2</v>
      </c>
      <c r="DE672" s="346">
        <f t="shared" si="718"/>
        <v>0.13980076026822338</v>
      </c>
      <c r="DF672" s="346">
        <f t="shared" si="718"/>
        <v>1.3645711687930745E-2</v>
      </c>
      <c r="DG672" s="346">
        <f t="shared" si="718"/>
        <v>7.1546401201005583E-2</v>
      </c>
      <c r="DH672" s="346">
        <f t="shared" si="718"/>
        <v>0.28003812268042177</v>
      </c>
      <c r="DI672" s="346">
        <f t="shared" si="718"/>
        <v>8.5296302059148024E-2</v>
      </c>
      <c r="DJ672" s="346">
        <f t="shared" si="718"/>
        <v>0.16846364779854342</v>
      </c>
      <c r="DK672" s="346">
        <f t="shared" ref="DK672:EP672" si="719">DK321</f>
        <v>0.24929011771830573</v>
      </c>
      <c r="DL672" s="346">
        <f t="shared" si="719"/>
        <v>8.2683918962252689E-2</v>
      </c>
      <c r="DM672" s="346">
        <f t="shared" si="719"/>
        <v>1.2281147387303275</v>
      </c>
      <c r="DN672" s="348">
        <f t="shared" si="719"/>
        <v>7.3837698069873031E-2</v>
      </c>
      <c r="DO672" s="346">
        <f t="shared" si="719"/>
        <v>0</v>
      </c>
      <c r="DP672" s="346">
        <f t="shared" si="719"/>
        <v>0</v>
      </c>
      <c r="DQ672" s="346">
        <f t="shared" si="719"/>
        <v>0</v>
      </c>
      <c r="DR672" s="346">
        <f t="shared" si="719"/>
        <v>0</v>
      </c>
      <c r="DS672" s="346">
        <f t="shared" si="719"/>
        <v>0</v>
      </c>
      <c r="DT672" s="346">
        <f t="shared" si="719"/>
        <v>0</v>
      </c>
      <c r="DU672" s="346">
        <f t="shared" si="719"/>
        <v>0</v>
      </c>
      <c r="DV672" s="346">
        <f t="shared" si="719"/>
        <v>0</v>
      </c>
      <c r="DW672" s="346">
        <f t="shared" si="719"/>
        <v>0</v>
      </c>
      <c r="DX672" s="346">
        <f t="shared" si="719"/>
        <v>0</v>
      </c>
      <c r="DY672" s="346">
        <f t="shared" si="719"/>
        <v>0</v>
      </c>
      <c r="DZ672" s="348">
        <f t="shared" si="719"/>
        <v>0</v>
      </c>
      <c r="EA672" s="346">
        <f t="shared" si="719"/>
        <v>0</v>
      </c>
      <c r="EB672" s="346">
        <f t="shared" si="719"/>
        <v>0</v>
      </c>
      <c r="EC672" s="346">
        <f t="shared" si="719"/>
        <v>0</v>
      </c>
      <c r="ED672" s="346">
        <f t="shared" si="719"/>
        <v>0</v>
      </c>
      <c r="EE672" s="346">
        <f t="shared" si="719"/>
        <v>0</v>
      </c>
      <c r="EF672" s="346">
        <f t="shared" si="719"/>
        <v>0</v>
      </c>
      <c r="EG672" s="346">
        <f t="shared" si="719"/>
        <v>0</v>
      </c>
      <c r="EH672" s="346">
        <f t="shared" si="719"/>
        <v>0</v>
      </c>
      <c r="EI672" s="346">
        <f t="shared" si="719"/>
        <v>0</v>
      </c>
      <c r="EJ672" s="346">
        <f t="shared" si="719"/>
        <v>0</v>
      </c>
      <c r="EK672" s="346">
        <f t="shared" si="719"/>
        <v>0</v>
      </c>
      <c r="EL672" s="348">
        <f t="shared" si="719"/>
        <v>0</v>
      </c>
      <c r="EM672" s="346">
        <f t="shared" si="719"/>
        <v>3.6887334628199997</v>
      </c>
      <c r="EN672" s="346">
        <f t="shared" si="719"/>
        <v>4.7883386559700005</v>
      </c>
      <c r="EO672" s="346">
        <f t="shared" si="719"/>
        <v>7.6775502178000004</v>
      </c>
      <c r="EP672" s="346">
        <f t="shared" si="719"/>
        <v>9.6955604814799994</v>
      </c>
      <c r="EQ672" s="346">
        <f t="shared" ref="EQ672:FV672" si="720">EQ321</f>
        <v>3.90632631699</v>
      </c>
      <c r="ER672" s="346">
        <f t="shared" si="720"/>
        <v>12.666190216690001</v>
      </c>
      <c r="ES672" s="346">
        <f t="shared" si="720"/>
        <v>7.547110605930178</v>
      </c>
      <c r="ET672" s="346">
        <f t="shared" si="720"/>
        <v>5.286249336151239</v>
      </c>
      <c r="EU672" s="346">
        <f t="shared" si="720"/>
        <v>7.504321041880007</v>
      </c>
      <c r="EV672" s="346">
        <f t="shared" si="720"/>
        <v>10.052632063378015</v>
      </c>
      <c r="EW672" s="346">
        <f t="shared" si="720"/>
        <v>7.1082404520664015</v>
      </c>
      <c r="EX672" s="348">
        <f t="shared" si="720"/>
        <v>23.354547525352729</v>
      </c>
      <c r="EY672" s="346">
        <f t="shared" si="720"/>
        <v>0</v>
      </c>
      <c r="EZ672" s="346">
        <f t="shared" si="720"/>
        <v>0.34146773000000002</v>
      </c>
      <c r="FA672" s="346">
        <f t="shared" si="720"/>
        <v>0</v>
      </c>
      <c r="FB672" s="346">
        <f t="shared" si="720"/>
        <v>0</v>
      </c>
      <c r="FC672" s="346">
        <f t="shared" si="720"/>
        <v>0</v>
      </c>
      <c r="FD672" s="346">
        <f t="shared" si="720"/>
        <v>6.9629299999999996E-4</v>
      </c>
      <c r="FE672" s="346">
        <f t="shared" si="720"/>
        <v>6.9629299999999996E-4</v>
      </c>
      <c r="FF672" s="346">
        <f t="shared" si="720"/>
        <v>6.9629299999999996E-4</v>
      </c>
      <c r="FG672" s="346">
        <f t="shared" si="720"/>
        <v>6.9629299999999996E-4</v>
      </c>
      <c r="FH672" s="346">
        <f t="shared" si="720"/>
        <v>6.9629299999999996E-4</v>
      </c>
      <c r="FI672" s="346">
        <f t="shared" si="720"/>
        <v>6.9629299999999996E-4</v>
      </c>
      <c r="FJ672" s="348">
        <f t="shared" si="720"/>
        <v>6.9629299999999996E-4</v>
      </c>
      <c r="FK672" s="346">
        <f t="shared" si="720"/>
        <v>0.15203960799999999</v>
      </c>
      <c r="FL672" s="346">
        <f t="shared" si="720"/>
        <v>0.63250310700000001</v>
      </c>
      <c r="FM672" s="346">
        <f t="shared" si="720"/>
        <v>0.35404179699999999</v>
      </c>
      <c r="FN672" s="346">
        <f t="shared" si="720"/>
        <v>0.25985228386290415</v>
      </c>
      <c r="FO672" s="346">
        <f t="shared" si="720"/>
        <v>0.81613718729822671</v>
      </c>
      <c r="FP672" s="346">
        <f t="shared" si="720"/>
        <v>9.0508248031688412E-3</v>
      </c>
      <c r="FQ672" s="346">
        <f t="shared" si="720"/>
        <v>0.15042471759955364</v>
      </c>
      <c r="FR672" s="346">
        <f t="shared" si="720"/>
        <v>6.0520773332907188E-2</v>
      </c>
      <c r="FS672" s="346">
        <f t="shared" si="720"/>
        <v>0.47881450222663779</v>
      </c>
      <c r="FT672" s="346">
        <f t="shared" si="720"/>
        <v>0.12742271017833698</v>
      </c>
      <c r="FU672" s="346">
        <f t="shared" si="720"/>
        <v>0.60378892016516228</v>
      </c>
      <c r="FV672" s="346">
        <f t="shared" si="720"/>
        <v>0.31048720798174972</v>
      </c>
      <c r="FW672" s="346">
        <v>6.5623334615857107E-2</v>
      </c>
      <c r="FX672" s="346">
        <v>1.2071917479688861</v>
      </c>
      <c r="FY672" s="346">
        <v>0.80335211083950586</v>
      </c>
      <c r="FZ672" s="346">
        <v>0.41406320961902249</v>
      </c>
      <c r="GA672" s="346">
        <v>0.98389797503674348</v>
      </c>
      <c r="GB672" s="346">
        <v>1.0915625291216942</v>
      </c>
      <c r="GC672" s="346">
        <v>7.9299468192470537E-2</v>
      </c>
      <c r="GD672" s="346">
        <v>0.98502309928981702</v>
      </c>
      <c r="GE672" s="346">
        <v>0</v>
      </c>
      <c r="GF672" s="346">
        <v>0.13366768021994574</v>
      </c>
      <c r="GG672" s="346">
        <v>0.97348491510014123</v>
      </c>
      <c r="GH672" s="346">
        <v>0.11745339428090311</v>
      </c>
      <c r="GI672" s="346">
        <f t="shared" ref="GI672:GT672" si="721">GI321</f>
        <v>7.8146036950115433E-2</v>
      </c>
      <c r="GJ672" s="346">
        <f t="shared" si="721"/>
        <v>8.1245590089511141E-2</v>
      </c>
      <c r="GK672" s="346">
        <f t="shared" si="721"/>
        <v>1.0339323260440725</v>
      </c>
      <c r="GL672" s="346">
        <f t="shared" si="721"/>
        <v>0</v>
      </c>
      <c r="GM672" s="346">
        <f t="shared" si="721"/>
        <v>0</v>
      </c>
      <c r="GN672" s="346">
        <f t="shared" si="721"/>
        <v>2.4637463182604151E-3</v>
      </c>
      <c r="GO672" s="346">
        <f t="shared" si="721"/>
        <v>0.37901251764753963</v>
      </c>
      <c r="GP672" s="346">
        <f t="shared" si="721"/>
        <v>3.971781371087859E-2</v>
      </c>
      <c r="GQ672" s="346">
        <f t="shared" si="721"/>
        <v>1.0656637222465877</v>
      </c>
      <c r="GR672" s="346">
        <f t="shared" si="721"/>
        <v>0.63129894900000005</v>
      </c>
      <c r="GS672" s="346">
        <f t="shared" si="721"/>
        <v>0.13021236899999999</v>
      </c>
      <c r="GT672" s="346">
        <f t="shared" si="721"/>
        <v>0.96422281600000004</v>
      </c>
      <c r="GU672" s="346">
        <f t="shared" ref="GU672:HL672" si="722">GU321</f>
        <v>0</v>
      </c>
      <c r="GV672" s="346">
        <f t="shared" si="722"/>
        <v>7.9686816999999993E-2</v>
      </c>
      <c r="GW672" s="346">
        <f t="shared" si="722"/>
        <v>1.1702979069999999</v>
      </c>
      <c r="GX672" s="346">
        <f t="shared" si="722"/>
        <v>3.24381E-4</v>
      </c>
      <c r="GY672" s="346">
        <f t="shared" si="722"/>
        <v>4.75596E-4</v>
      </c>
      <c r="GZ672" s="346">
        <f t="shared" si="722"/>
        <v>1.0520168560000001</v>
      </c>
      <c r="HA672" s="346">
        <f t="shared" si="722"/>
        <v>5.1468436999999999E-2</v>
      </c>
      <c r="HB672" s="346">
        <f t="shared" si="722"/>
        <v>0.11002011</v>
      </c>
      <c r="HC672" s="346">
        <f t="shared" si="722"/>
        <v>1.061378929</v>
      </c>
      <c r="HD672" s="346">
        <f t="shared" si="722"/>
        <v>5.7080034000000002E-2</v>
      </c>
      <c r="HE672" s="346">
        <f t="shared" si="722"/>
        <v>0</v>
      </c>
      <c r="HF672" s="346">
        <f t="shared" si="722"/>
        <v>1.0351736600000001</v>
      </c>
      <c r="HG672" s="346">
        <f t="shared" si="722"/>
        <v>0</v>
      </c>
      <c r="HH672" s="346">
        <f t="shared" si="722"/>
        <v>0.119279466</v>
      </c>
      <c r="HI672" s="346">
        <f t="shared" si="722"/>
        <v>1.1183858980000001</v>
      </c>
      <c r="HJ672" s="346">
        <f t="shared" si="722"/>
        <v>4.5482525000000003E-2</v>
      </c>
      <c r="HK672" s="346">
        <f t="shared" si="722"/>
        <v>0</v>
      </c>
      <c r="HL672" s="346">
        <f t="shared" si="722"/>
        <v>0.98615932900000003</v>
      </c>
      <c r="HM672" s="346"/>
      <c r="HN672" s="349"/>
      <c r="HO672" s="1439" t="s">
        <v>498</v>
      </c>
      <c r="HP672" s="307">
        <f>SUM(CE672:CJ672)</f>
        <v>1.1300893169999999</v>
      </c>
      <c r="HQ672" s="302">
        <f>SUM(CK672:CP672)</f>
        <v>0.57035348699999999</v>
      </c>
      <c r="HR672" s="346">
        <f t="shared" si="698"/>
        <v>1.7004428039999999</v>
      </c>
      <c r="HS672" s="302">
        <f>SUM(CQ672:CV672)</f>
        <v>1.1644285320000001</v>
      </c>
      <c r="HT672" s="302">
        <f>SUM(CW672:DB672)</f>
        <v>1.6145798980000001</v>
      </c>
      <c r="HU672" s="346">
        <f t="shared" si="678"/>
        <v>2.7790084300000002</v>
      </c>
      <c r="HV672" s="307">
        <f>SUM(DC672:DH672)</f>
        <v>1.3643672934496576</v>
      </c>
      <c r="HW672" s="302">
        <f>SUM(DI672:DN672)</f>
        <v>1.8876864233384503</v>
      </c>
      <c r="HX672" s="346">
        <f t="shared" si="679"/>
        <v>3.2520537167881081</v>
      </c>
      <c r="HY672" s="350">
        <f>SUM(DO672:DT672)</f>
        <v>0</v>
      </c>
      <c r="HZ672" s="302">
        <f>SUM(DU672:DZ672)</f>
        <v>0</v>
      </c>
      <c r="IA672" s="346">
        <f t="shared" si="680"/>
        <v>0</v>
      </c>
      <c r="IB672" s="302">
        <f>SUM(EA672:EF672)</f>
        <v>0</v>
      </c>
      <c r="IC672" s="302">
        <f>SUM(EG672:EL672)</f>
        <v>0</v>
      </c>
      <c r="ID672" s="346">
        <f t="shared" si="681"/>
        <v>0</v>
      </c>
      <c r="IE672" s="350">
        <f>SUM(EM672:ER672)</f>
        <v>42.422699351750005</v>
      </c>
      <c r="IF672" s="350">
        <f>SUM(ES672:EX672)</f>
        <v>60.853101024758573</v>
      </c>
      <c r="IG672" s="346">
        <f t="shared" si="682"/>
        <v>103.27580037650858</v>
      </c>
      <c r="IH672" s="350">
        <f>SUM(EY672:FD672)</f>
        <v>0.34216402300000004</v>
      </c>
      <c r="II672" s="350">
        <f>SUM(FE672:FJ672)</f>
        <v>4.1777579999999993E-3</v>
      </c>
      <c r="IJ672" s="346">
        <f t="shared" si="683"/>
        <v>0.34634178100000002</v>
      </c>
      <c r="IK672" s="350">
        <f t="shared" si="663"/>
        <v>2.2236248079642995</v>
      </c>
      <c r="IL672" s="350">
        <f t="shared" si="664"/>
        <v>1.7314588314843475</v>
      </c>
      <c r="IM672" s="346">
        <f>IK672+IL672</f>
        <v>3.955083639448647</v>
      </c>
      <c r="IN672" s="350">
        <f t="shared" si="665"/>
        <v>4.5656909072017093</v>
      </c>
      <c r="IO672" s="350">
        <f t="shared" si="666"/>
        <v>2.2889285570832776</v>
      </c>
      <c r="IP672" s="346">
        <f t="shared" si="685"/>
        <v>6.8546194642849869</v>
      </c>
      <c r="IQ672" s="350">
        <f t="shared" si="667"/>
        <v>1.1957876994019594</v>
      </c>
      <c r="IR672" s="350">
        <f t="shared" si="668"/>
        <v>3.2101281876050058</v>
      </c>
      <c r="IS672" s="346">
        <f t="shared" si="686"/>
        <v>4.405915887006965</v>
      </c>
      <c r="IT672" s="350">
        <f t="shared" si="699"/>
        <v>2.302801557</v>
      </c>
      <c r="IU672" s="350">
        <f t="shared" si="707"/>
        <v>2.3151211700000003</v>
      </c>
      <c r="IV672" s="346">
        <f t="shared" si="687"/>
        <v>4.6179227269999998</v>
      </c>
      <c r="IW672" s="350">
        <f t="shared" si="700"/>
        <v>2.2693072180000002</v>
      </c>
      <c r="IX672" s="350">
        <f t="shared" si="688"/>
        <v>-2.2693072180000002</v>
      </c>
      <c r="IY672" s="346">
        <f>FISC!AJ994</f>
        <v>0</v>
      </c>
      <c r="IZ672" s="350">
        <f t="shared" si="708"/>
        <v>0</v>
      </c>
      <c r="JA672" s="302">
        <f t="shared" si="689"/>
        <v>0</v>
      </c>
      <c r="JB672" s="346">
        <f>FISC!AK994</f>
        <v>0</v>
      </c>
      <c r="JC672" s="350">
        <f t="shared" si="709"/>
        <v>0</v>
      </c>
      <c r="JD672" s="302">
        <f t="shared" si="690"/>
        <v>0</v>
      </c>
      <c r="JE672" s="346">
        <f>FISC!AL994</f>
        <v>0</v>
      </c>
      <c r="JF672" s="350">
        <f t="shared" si="710"/>
        <v>0</v>
      </c>
      <c r="JG672" s="302">
        <f t="shared" si="691"/>
        <v>0</v>
      </c>
      <c r="JH672" s="346">
        <f>FISC!AM994</f>
        <v>0</v>
      </c>
      <c r="JI672" s="350">
        <f t="shared" si="711"/>
        <v>0</v>
      </c>
      <c r="JJ672" s="302">
        <f t="shared" si="701"/>
        <v>0</v>
      </c>
      <c r="JK672" s="346">
        <f>FISC!AN994</f>
        <v>0</v>
      </c>
      <c r="JL672" s="350">
        <f t="shared" si="712"/>
        <v>0</v>
      </c>
      <c r="JM672" s="302">
        <f t="shared" si="692"/>
        <v>0</v>
      </c>
      <c r="JN672" s="346">
        <f>FISC!AO994</f>
        <v>0</v>
      </c>
      <c r="KI672" s="349"/>
      <c r="KJ672" s="350"/>
    </row>
    <row r="673" spans="1:296" hidden="1" outlineLevel="1">
      <c r="A673" s="302"/>
      <c r="B673" s="117" t="s">
        <v>361</v>
      </c>
      <c r="D673" s="355" t="s">
        <v>499</v>
      </c>
      <c r="E673" s="346"/>
      <c r="F673" s="346"/>
      <c r="G673" s="346"/>
      <c r="H673" s="346"/>
      <c r="I673" s="346"/>
      <c r="J673" s="346"/>
      <c r="K673" s="346"/>
      <c r="L673" s="346"/>
      <c r="M673" s="346"/>
      <c r="N673" s="346"/>
      <c r="O673" s="346"/>
      <c r="P673" s="346"/>
      <c r="Q673" s="346"/>
      <c r="R673" s="346"/>
      <c r="S673" s="346"/>
      <c r="T673" s="346"/>
      <c r="U673" s="346"/>
      <c r="V673" s="346"/>
      <c r="W673" s="346"/>
      <c r="X673" s="346"/>
      <c r="Y673" s="346"/>
      <c r="Z673" s="346"/>
      <c r="AA673" s="346"/>
      <c r="AB673" s="346"/>
      <c r="AC673" s="346"/>
      <c r="AD673" s="346"/>
      <c r="AE673" s="346"/>
      <c r="AF673" s="346"/>
      <c r="AG673" s="346"/>
      <c r="AH673" s="346"/>
      <c r="AI673" s="346"/>
      <c r="AJ673" s="346"/>
      <c r="AK673" s="346"/>
      <c r="AL673" s="346"/>
      <c r="AM673" s="346"/>
      <c r="AN673" s="346"/>
      <c r="AO673" s="346">
        <v>0</v>
      </c>
      <c r="AP673" s="346">
        <v>0</v>
      </c>
      <c r="AQ673" s="346">
        <v>0</v>
      </c>
      <c r="AR673" s="346">
        <v>0</v>
      </c>
      <c r="AS673" s="346">
        <v>0</v>
      </c>
      <c r="AT673" s="346">
        <v>0</v>
      </c>
      <c r="AU673" s="346">
        <v>0</v>
      </c>
      <c r="AV673" s="346">
        <v>0</v>
      </c>
      <c r="AW673" s="346">
        <v>0</v>
      </c>
      <c r="AX673" s="346">
        <v>0</v>
      </c>
      <c r="AY673" s="346">
        <v>0</v>
      </c>
      <c r="AZ673" s="346">
        <v>0</v>
      </c>
      <c r="BA673" s="346">
        <v>0</v>
      </c>
      <c r="BB673" s="346">
        <v>0</v>
      </c>
      <c r="BC673" s="346">
        <v>0</v>
      </c>
      <c r="BD673" s="346">
        <v>0</v>
      </c>
      <c r="BE673" s="346">
        <v>0</v>
      </c>
      <c r="BF673" s="346">
        <v>0</v>
      </c>
      <c r="BG673" s="346">
        <v>0</v>
      </c>
      <c r="BH673" s="346">
        <v>0</v>
      </c>
      <c r="BI673" s="346">
        <v>0</v>
      </c>
      <c r="BJ673" s="346">
        <v>0</v>
      </c>
      <c r="BK673" s="346">
        <v>0</v>
      </c>
      <c r="BL673" s="346">
        <v>0</v>
      </c>
      <c r="BM673" s="346">
        <v>0</v>
      </c>
      <c r="BN673" s="346">
        <v>0</v>
      </c>
      <c r="BO673" s="346">
        <v>0</v>
      </c>
      <c r="BP673" s="346">
        <v>0</v>
      </c>
      <c r="BQ673" s="346">
        <v>0</v>
      </c>
      <c r="BR673" s="346">
        <v>0</v>
      </c>
      <c r="BS673" s="346">
        <v>0</v>
      </c>
      <c r="BT673" s="346">
        <v>0</v>
      </c>
      <c r="BU673" s="346">
        <v>0</v>
      </c>
      <c r="BV673" s="346">
        <v>0</v>
      </c>
      <c r="BW673" s="346">
        <v>0</v>
      </c>
      <c r="BX673" s="346">
        <v>0</v>
      </c>
      <c r="BY673" s="346">
        <v>0</v>
      </c>
      <c r="BZ673" s="346">
        <v>0</v>
      </c>
      <c r="CA673" s="346">
        <v>0</v>
      </c>
      <c r="CB673" s="346">
        <v>0</v>
      </c>
      <c r="CC673" s="346">
        <v>0</v>
      </c>
      <c r="CD673" s="352">
        <f>CD322</f>
        <v>0</v>
      </c>
      <c r="CE673" s="346">
        <f t="shared" ref="CE673:DJ673" si="723">CE322</f>
        <v>0</v>
      </c>
      <c r="CF673" s="346">
        <f t="shared" si="723"/>
        <v>0</v>
      </c>
      <c r="CG673" s="346">
        <f t="shared" si="723"/>
        <v>0</v>
      </c>
      <c r="CH673" s="346">
        <f t="shared" si="723"/>
        <v>0</v>
      </c>
      <c r="CI673" s="346">
        <f t="shared" si="723"/>
        <v>0</v>
      </c>
      <c r="CJ673" s="346">
        <f t="shared" si="723"/>
        <v>0</v>
      </c>
      <c r="CK673" s="346">
        <f t="shared" si="723"/>
        <v>0</v>
      </c>
      <c r="CL673" s="346">
        <f t="shared" si="723"/>
        <v>0</v>
      </c>
      <c r="CM673" s="346">
        <f t="shared" si="723"/>
        <v>0</v>
      </c>
      <c r="CN673" s="346">
        <f t="shared" si="723"/>
        <v>0</v>
      </c>
      <c r="CO673" s="346">
        <f t="shared" si="723"/>
        <v>0</v>
      </c>
      <c r="CP673" s="348">
        <f t="shared" si="723"/>
        <v>0</v>
      </c>
      <c r="CQ673" s="346">
        <f t="shared" si="723"/>
        <v>0</v>
      </c>
      <c r="CR673" s="346">
        <f t="shared" si="723"/>
        <v>0</v>
      </c>
      <c r="CS673" s="346">
        <f t="shared" si="723"/>
        <v>0</v>
      </c>
      <c r="CT673" s="346">
        <f t="shared" si="723"/>
        <v>0</v>
      </c>
      <c r="CU673" s="346">
        <f t="shared" si="723"/>
        <v>0</v>
      </c>
      <c r="CV673" s="346">
        <f t="shared" si="723"/>
        <v>0</v>
      </c>
      <c r="CW673" s="346">
        <f t="shared" si="723"/>
        <v>0</v>
      </c>
      <c r="CX673" s="346">
        <f t="shared" si="723"/>
        <v>0</v>
      </c>
      <c r="CY673" s="346">
        <f t="shared" si="723"/>
        <v>0</v>
      </c>
      <c r="CZ673" s="346">
        <f t="shared" si="723"/>
        <v>0</v>
      </c>
      <c r="DA673" s="346">
        <f t="shared" si="723"/>
        <v>0</v>
      </c>
      <c r="DB673" s="1479">
        <f t="shared" si="723"/>
        <v>0</v>
      </c>
      <c r="DC673" s="346">
        <f t="shared" si="723"/>
        <v>0</v>
      </c>
      <c r="DD673" s="346">
        <f t="shared" si="723"/>
        <v>0</v>
      </c>
      <c r="DE673" s="346">
        <f t="shared" si="723"/>
        <v>0</v>
      </c>
      <c r="DF673" s="346">
        <f t="shared" si="723"/>
        <v>0</v>
      </c>
      <c r="DG673" s="346">
        <f t="shared" si="723"/>
        <v>0</v>
      </c>
      <c r="DH673" s="346">
        <f t="shared" si="723"/>
        <v>0</v>
      </c>
      <c r="DI673" s="346">
        <f t="shared" si="723"/>
        <v>0</v>
      </c>
      <c r="DJ673" s="346">
        <f t="shared" si="723"/>
        <v>0</v>
      </c>
      <c r="DK673" s="346">
        <f t="shared" ref="DK673:EP673" si="724">DK322</f>
        <v>0</v>
      </c>
      <c r="DL673" s="346">
        <f t="shared" si="724"/>
        <v>0</v>
      </c>
      <c r="DM673" s="346">
        <f t="shared" si="724"/>
        <v>0</v>
      </c>
      <c r="DN673" s="348">
        <f t="shared" si="724"/>
        <v>0</v>
      </c>
      <c r="DO673" s="346">
        <f t="shared" si="724"/>
        <v>0</v>
      </c>
      <c r="DP673" s="346">
        <f t="shared" si="724"/>
        <v>0</v>
      </c>
      <c r="DQ673" s="346">
        <f t="shared" si="724"/>
        <v>0</v>
      </c>
      <c r="DR673" s="346">
        <f t="shared" si="724"/>
        <v>0</v>
      </c>
      <c r="DS673" s="346">
        <f t="shared" si="724"/>
        <v>0</v>
      </c>
      <c r="DT673" s="346">
        <f t="shared" si="724"/>
        <v>0</v>
      </c>
      <c r="DU673" s="346">
        <f t="shared" si="724"/>
        <v>0</v>
      </c>
      <c r="DV673" s="346">
        <f t="shared" si="724"/>
        <v>0</v>
      </c>
      <c r="DW673" s="346">
        <f t="shared" si="724"/>
        <v>0</v>
      </c>
      <c r="DX673" s="346">
        <f t="shared" si="724"/>
        <v>0</v>
      </c>
      <c r="DY673" s="346">
        <f t="shared" si="724"/>
        <v>0</v>
      </c>
      <c r="DZ673" s="348">
        <f t="shared" si="724"/>
        <v>0</v>
      </c>
      <c r="EA673" s="346">
        <f t="shared" si="724"/>
        <v>0</v>
      </c>
      <c r="EB673" s="346">
        <f t="shared" si="724"/>
        <v>0</v>
      </c>
      <c r="EC673" s="346">
        <f t="shared" si="724"/>
        <v>0</v>
      </c>
      <c r="ED673" s="346">
        <f t="shared" si="724"/>
        <v>0</v>
      </c>
      <c r="EE673" s="346">
        <f t="shared" si="724"/>
        <v>0</v>
      </c>
      <c r="EF673" s="346">
        <f t="shared" si="724"/>
        <v>0</v>
      </c>
      <c r="EG673" s="346">
        <f t="shared" si="724"/>
        <v>0</v>
      </c>
      <c r="EH673" s="346">
        <f t="shared" si="724"/>
        <v>0</v>
      </c>
      <c r="EI673" s="346">
        <f t="shared" si="724"/>
        <v>0</v>
      </c>
      <c r="EJ673" s="346">
        <f t="shared" si="724"/>
        <v>0</v>
      </c>
      <c r="EK673" s="346">
        <f t="shared" si="724"/>
        <v>0</v>
      </c>
      <c r="EL673" s="348">
        <f t="shared" si="724"/>
        <v>0</v>
      </c>
      <c r="EM673" s="346">
        <f t="shared" si="724"/>
        <v>0</v>
      </c>
      <c r="EN673" s="346">
        <f t="shared" si="724"/>
        <v>0</v>
      </c>
      <c r="EO673" s="346">
        <f t="shared" si="724"/>
        <v>0</v>
      </c>
      <c r="EP673" s="346">
        <f t="shared" si="724"/>
        <v>0</v>
      </c>
      <c r="EQ673" s="346">
        <f t="shared" ref="EQ673:FV673" si="725">EQ322</f>
        <v>0</v>
      </c>
      <c r="ER673" s="346">
        <f t="shared" si="725"/>
        <v>0</v>
      </c>
      <c r="ES673" s="346">
        <f t="shared" si="725"/>
        <v>0</v>
      </c>
      <c r="ET673" s="346">
        <f t="shared" si="725"/>
        <v>0</v>
      </c>
      <c r="EU673" s="346">
        <f t="shared" si="725"/>
        <v>0</v>
      </c>
      <c r="EV673" s="346">
        <f t="shared" si="725"/>
        <v>0</v>
      </c>
      <c r="EW673" s="346">
        <f t="shared" si="725"/>
        <v>0</v>
      </c>
      <c r="EX673" s="348">
        <f t="shared" si="725"/>
        <v>0</v>
      </c>
      <c r="EY673" s="346">
        <f t="shared" si="725"/>
        <v>0</v>
      </c>
      <c r="EZ673" s="346">
        <f t="shared" si="725"/>
        <v>0</v>
      </c>
      <c r="FA673" s="346">
        <f t="shared" si="725"/>
        <v>0</v>
      </c>
      <c r="FB673" s="346">
        <f t="shared" si="725"/>
        <v>0</v>
      </c>
      <c r="FC673" s="346">
        <f t="shared" si="725"/>
        <v>0</v>
      </c>
      <c r="FD673" s="346">
        <f t="shared" si="725"/>
        <v>0</v>
      </c>
      <c r="FE673" s="346">
        <f t="shared" si="725"/>
        <v>0</v>
      </c>
      <c r="FF673" s="346">
        <f t="shared" si="725"/>
        <v>0</v>
      </c>
      <c r="FG673" s="346">
        <f t="shared" si="725"/>
        <v>0</v>
      </c>
      <c r="FH673" s="346">
        <f t="shared" si="725"/>
        <v>0</v>
      </c>
      <c r="FI673" s="346">
        <f t="shared" si="725"/>
        <v>0</v>
      </c>
      <c r="FJ673" s="348">
        <f t="shared" si="725"/>
        <v>0</v>
      </c>
      <c r="FK673" s="346">
        <f t="shared" si="725"/>
        <v>0</v>
      </c>
      <c r="FL673" s="346">
        <f t="shared" si="725"/>
        <v>0</v>
      </c>
      <c r="FM673" s="346">
        <f t="shared" si="725"/>
        <v>0</v>
      </c>
      <c r="FN673" s="346">
        <f t="shared" si="725"/>
        <v>0</v>
      </c>
      <c r="FO673" s="346">
        <f t="shared" si="725"/>
        <v>0</v>
      </c>
      <c r="FP673" s="346">
        <f t="shared" si="725"/>
        <v>0</v>
      </c>
      <c r="FQ673" s="346">
        <f t="shared" si="725"/>
        <v>0</v>
      </c>
      <c r="FR673" s="346">
        <f t="shared" si="725"/>
        <v>0</v>
      </c>
      <c r="FS673" s="346">
        <f t="shared" si="725"/>
        <v>0</v>
      </c>
      <c r="FT673" s="346">
        <f t="shared" si="725"/>
        <v>0</v>
      </c>
      <c r="FU673" s="346">
        <f t="shared" si="725"/>
        <v>0</v>
      </c>
      <c r="FV673" s="346">
        <f t="shared" si="725"/>
        <v>0</v>
      </c>
      <c r="FW673" s="346">
        <v>0</v>
      </c>
      <c r="FX673" s="346">
        <v>0</v>
      </c>
      <c r="FY673" s="346">
        <v>0</v>
      </c>
      <c r="FZ673" s="346">
        <v>0</v>
      </c>
      <c r="GA673" s="346">
        <v>0</v>
      </c>
      <c r="GB673" s="346">
        <v>0</v>
      </c>
      <c r="GC673" s="346">
        <v>0</v>
      </c>
      <c r="GD673" s="346">
        <v>0</v>
      </c>
      <c r="GE673" s="346">
        <v>0</v>
      </c>
      <c r="GF673" s="346">
        <v>0</v>
      </c>
      <c r="GG673" s="346">
        <v>0</v>
      </c>
      <c r="GH673" s="346">
        <v>0</v>
      </c>
      <c r="GI673" s="346">
        <f t="shared" ref="GI673:GT673" si="726">GI322</f>
        <v>0</v>
      </c>
      <c r="GJ673" s="346">
        <f t="shared" si="726"/>
        <v>0</v>
      </c>
      <c r="GK673" s="346">
        <f t="shared" si="726"/>
        <v>0</v>
      </c>
      <c r="GL673" s="346">
        <f t="shared" si="726"/>
        <v>0</v>
      </c>
      <c r="GM673" s="346">
        <f t="shared" si="726"/>
        <v>0</v>
      </c>
      <c r="GN673" s="346">
        <f t="shared" si="726"/>
        <v>0</v>
      </c>
      <c r="GO673" s="346">
        <f t="shared" si="726"/>
        <v>0</v>
      </c>
      <c r="GP673" s="346">
        <f t="shared" si="726"/>
        <v>0</v>
      </c>
      <c r="GQ673" s="346">
        <f t="shared" si="726"/>
        <v>0</v>
      </c>
      <c r="GR673" s="346">
        <f t="shared" si="726"/>
        <v>0</v>
      </c>
      <c r="GS673" s="346">
        <f t="shared" si="726"/>
        <v>0</v>
      </c>
      <c r="GT673" s="346">
        <f t="shared" si="726"/>
        <v>0</v>
      </c>
      <c r="GU673" s="346">
        <f t="shared" ref="GU673:HL673" si="727">GU322</f>
        <v>0</v>
      </c>
      <c r="GV673" s="346">
        <f t="shared" si="727"/>
        <v>0</v>
      </c>
      <c r="GW673" s="346">
        <f t="shared" si="727"/>
        <v>0</v>
      </c>
      <c r="GX673" s="346">
        <f t="shared" si="727"/>
        <v>0</v>
      </c>
      <c r="GY673" s="346">
        <f t="shared" si="727"/>
        <v>0</v>
      </c>
      <c r="GZ673" s="346">
        <f t="shared" si="727"/>
        <v>0</v>
      </c>
      <c r="HA673" s="346">
        <f t="shared" si="727"/>
        <v>0</v>
      </c>
      <c r="HB673" s="346">
        <f t="shared" si="727"/>
        <v>0</v>
      </c>
      <c r="HC673" s="346">
        <f t="shared" si="727"/>
        <v>0</v>
      </c>
      <c r="HD673" s="346">
        <f t="shared" si="727"/>
        <v>0</v>
      </c>
      <c r="HE673" s="346">
        <f t="shared" si="727"/>
        <v>0</v>
      </c>
      <c r="HF673" s="346">
        <f t="shared" si="727"/>
        <v>0</v>
      </c>
      <c r="HG673" s="346">
        <f t="shared" si="727"/>
        <v>0</v>
      </c>
      <c r="HH673" s="346">
        <f t="shared" si="727"/>
        <v>0</v>
      </c>
      <c r="HI673" s="346">
        <f t="shared" si="727"/>
        <v>0</v>
      </c>
      <c r="HJ673" s="346">
        <f t="shared" si="727"/>
        <v>0</v>
      </c>
      <c r="HK673" s="346">
        <f t="shared" si="727"/>
        <v>0</v>
      </c>
      <c r="HL673" s="346">
        <f t="shared" si="727"/>
        <v>0</v>
      </c>
      <c r="HM673" s="346"/>
      <c r="HN673" s="349"/>
      <c r="HO673" s="355" t="s">
        <v>499</v>
      </c>
      <c r="HP673" s="307">
        <f>SUM(CE673:CJ673)</f>
        <v>0</v>
      </c>
      <c r="HQ673" s="302">
        <f>SUM(CK673:CP673)</f>
        <v>0</v>
      </c>
      <c r="HR673" s="346">
        <f t="shared" si="698"/>
        <v>0</v>
      </c>
      <c r="HS673" s="302">
        <f>SUM(CQ673:CV673)</f>
        <v>0</v>
      </c>
      <c r="HT673" s="302">
        <f>SUM(CW673:DB673)</f>
        <v>0</v>
      </c>
      <c r="HU673" s="346">
        <f t="shared" si="678"/>
        <v>0</v>
      </c>
      <c r="HV673" s="307">
        <f>SUM(DC673:DH673)</f>
        <v>0</v>
      </c>
      <c r="HW673" s="302">
        <f>SUM(DI673:DN673)</f>
        <v>0</v>
      </c>
      <c r="HX673" s="346">
        <f t="shared" si="679"/>
        <v>0</v>
      </c>
      <c r="HY673" s="350">
        <f>SUM(DO673:DT673)</f>
        <v>0</v>
      </c>
      <c r="HZ673" s="302">
        <f>SUM(DU673:DZ673)</f>
        <v>0</v>
      </c>
      <c r="IA673" s="346">
        <f t="shared" si="680"/>
        <v>0</v>
      </c>
      <c r="IB673" s="302">
        <f>SUM(EA673:EF673)</f>
        <v>0</v>
      </c>
      <c r="IC673" s="302">
        <f>SUM(EG673:EL673)</f>
        <v>0</v>
      </c>
      <c r="ID673" s="346">
        <f t="shared" si="681"/>
        <v>0</v>
      </c>
      <c r="IE673" s="350">
        <f>SUM(EM673:ER673)</f>
        <v>0</v>
      </c>
      <c r="IF673" s="350">
        <f>SUM(ES673:EX673)</f>
        <v>0</v>
      </c>
      <c r="IG673" s="346">
        <f t="shared" si="682"/>
        <v>0</v>
      </c>
      <c r="IH673" s="350">
        <f>SUM(EY673:FD673)</f>
        <v>0</v>
      </c>
      <c r="II673" s="350">
        <f>SUM(FE673:FJ673)</f>
        <v>0</v>
      </c>
      <c r="IJ673" s="346">
        <f t="shared" si="683"/>
        <v>0</v>
      </c>
      <c r="IK673" s="350">
        <f t="shared" si="663"/>
        <v>0</v>
      </c>
      <c r="IL673" s="350">
        <f t="shared" si="664"/>
        <v>0</v>
      </c>
      <c r="IM673" s="346">
        <f t="shared" si="684"/>
        <v>0</v>
      </c>
      <c r="IN673" s="350">
        <f t="shared" si="665"/>
        <v>0</v>
      </c>
      <c r="IO673" s="350">
        <f t="shared" si="666"/>
        <v>0</v>
      </c>
      <c r="IP673" s="346">
        <f t="shared" si="685"/>
        <v>0</v>
      </c>
      <c r="IQ673" s="350">
        <f t="shared" si="667"/>
        <v>0</v>
      </c>
      <c r="IR673" s="350">
        <f t="shared" si="668"/>
        <v>0</v>
      </c>
      <c r="IS673" s="346">
        <f t="shared" si="686"/>
        <v>0</v>
      </c>
      <c r="IT673" s="350">
        <f t="shared" si="699"/>
        <v>0</v>
      </c>
      <c r="IU673" s="350">
        <f t="shared" si="707"/>
        <v>0</v>
      </c>
      <c r="IV673" s="346">
        <f t="shared" si="687"/>
        <v>0</v>
      </c>
      <c r="IW673" s="350">
        <f t="shared" si="700"/>
        <v>0</v>
      </c>
      <c r="IX673" s="350">
        <f t="shared" si="688"/>
        <v>0</v>
      </c>
      <c r="IY673" s="346">
        <f>FISC!AJ995</f>
        <v>0</v>
      </c>
      <c r="IZ673" s="350">
        <f t="shared" si="708"/>
        <v>0</v>
      </c>
      <c r="JA673" s="302">
        <f t="shared" si="689"/>
        <v>0</v>
      </c>
      <c r="JB673" s="346">
        <f>FISC!AK995</f>
        <v>0</v>
      </c>
      <c r="JC673" s="350">
        <f t="shared" si="709"/>
        <v>0</v>
      </c>
      <c r="JD673" s="302">
        <f t="shared" si="690"/>
        <v>0</v>
      </c>
      <c r="JE673" s="346">
        <f>FISC!AL995</f>
        <v>0</v>
      </c>
      <c r="JF673" s="350">
        <f t="shared" si="710"/>
        <v>0</v>
      </c>
      <c r="JG673" s="302">
        <f t="shared" si="691"/>
        <v>0</v>
      </c>
      <c r="JH673" s="346">
        <f>FISC!AM995</f>
        <v>0</v>
      </c>
      <c r="JI673" s="350">
        <f t="shared" si="711"/>
        <v>0</v>
      </c>
      <c r="JJ673" s="302">
        <f t="shared" si="701"/>
        <v>0</v>
      </c>
      <c r="JK673" s="346">
        <f>FISC!AN995</f>
        <v>0</v>
      </c>
      <c r="JL673" s="350">
        <f t="shared" si="712"/>
        <v>0</v>
      </c>
      <c r="JM673" s="302">
        <f t="shared" si="692"/>
        <v>0</v>
      </c>
      <c r="JN673" s="346">
        <f>FISC!AO995</f>
        <v>0</v>
      </c>
      <c r="KI673" s="349"/>
      <c r="KJ673" s="350"/>
    </row>
    <row r="674" spans="1:296" hidden="1" outlineLevel="1">
      <c r="A674" s="302"/>
      <c r="B674" s="117" t="s">
        <v>361</v>
      </c>
      <c r="D674" s="355" t="s">
        <v>500</v>
      </c>
      <c r="E674" s="346"/>
      <c r="F674" s="346"/>
      <c r="G674" s="346"/>
      <c r="H674" s="346"/>
      <c r="I674" s="346"/>
      <c r="J674" s="346"/>
      <c r="K674" s="346"/>
      <c r="L674" s="346"/>
      <c r="M674" s="346"/>
      <c r="N674" s="346"/>
      <c r="O674" s="346"/>
      <c r="P674" s="346"/>
      <c r="Q674" s="346"/>
      <c r="R674" s="346"/>
      <c r="S674" s="346"/>
      <c r="T674" s="346"/>
      <c r="U674" s="346"/>
      <c r="V674" s="346"/>
      <c r="W674" s="346"/>
      <c r="X674" s="346"/>
      <c r="Y674" s="346"/>
      <c r="Z674" s="346"/>
      <c r="AA674" s="346"/>
      <c r="AB674" s="346"/>
      <c r="AC674" s="346"/>
      <c r="AD674" s="346"/>
      <c r="AE674" s="346"/>
      <c r="AF674" s="346"/>
      <c r="AG674" s="346"/>
      <c r="AH674" s="346"/>
      <c r="AI674" s="346"/>
      <c r="AJ674" s="346"/>
      <c r="AK674" s="346"/>
      <c r="AL674" s="346"/>
      <c r="AM674" s="346"/>
      <c r="AN674" s="346"/>
      <c r="AO674" s="346">
        <v>8.4402745000000001E-2</v>
      </c>
      <c r="AP674" s="346">
        <v>0.187069759</v>
      </c>
      <c r="AQ674" s="346">
        <v>1.3823401900000001</v>
      </c>
      <c r="AR674" s="346">
        <v>8.8997568999999999E-2</v>
      </c>
      <c r="AS674" s="346">
        <v>6.1641644000000002E-2</v>
      </c>
      <c r="AT674" s="346">
        <v>7.2692603999999994E-2</v>
      </c>
      <c r="AU674" s="346">
        <v>0.110697195</v>
      </c>
      <c r="AV674" s="346">
        <v>0.14163873699999999</v>
      </c>
      <c r="AW674" s="346">
        <v>0.103131975</v>
      </c>
      <c r="AX674" s="346">
        <v>0.11593310699999999</v>
      </c>
      <c r="AY674" s="346">
        <v>0.13963562400000001</v>
      </c>
      <c r="AZ674" s="346">
        <v>0.123971713</v>
      </c>
      <c r="BA674" s="346">
        <v>0.113817156</v>
      </c>
      <c r="BB674" s="346">
        <v>0.13302594700000001</v>
      </c>
      <c r="BC674" s="346">
        <v>0.18662024099999999</v>
      </c>
      <c r="BD674" s="346">
        <v>0.14280103</v>
      </c>
      <c r="BE674" s="346">
        <v>0.15873219599999999</v>
      </c>
      <c r="BF674" s="346">
        <v>0.16616415800000001</v>
      </c>
      <c r="BG674" s="346">
        <v>0.176758744</v>
      </c>
      <c r="BH674" s="346">
        <v>0.18562527600000001</v>
      </c>
      <c r="BI674" s="346">
        <v>0.22308377099999999</v>
      </c>
      <c r="BJ674" s="346">
        <v>0.173692611</v>
      </c>
      <c r="BK674" s="346">
        <v>0.24638265400000001</v>
      </c>
      <c r="BL674" s="346">
        <v>0.30154068899999997</v>
      </c>
      <c r="BM674" s="346">
        <v>0.23617663</v>
      </c>
      <c r="BN674" s="346">
        <v>0.287577688</v>
      </c>
      <c r="BO674" s="346">
        <v>0.27419222500000001</v>
      </c>
      <c r="BP674" s="346">
        <v>0.20166695100000001</v>
      </c>
      <c r="BQ674" s="346">
        <v>0.32285817900000002</v>
      </c>
      <c r="BR674" s="346">
        <v>0.25022167400000001</v>
      </c>
      <c r="BS674" s="346">
        <v>0.29819504000000002</v>
      </c>
      <c r="BT674" s="346">
        <v>0.31891999399999998</v>
      </c>
      <c r="BU674" s="346">
        <v>0.29751208200000001</v>
      </c>
      <c r="BV674" s="346">
        <v>0.269698667</v>
      </c>
      <c r="BW674" s="346">
        <v>0.24268320400000001</v>
      </c>
      <c r="BX674" s="346">
        <v>0.205664653</v>
      </c>
      <c r="BY674" s="346">
        <v>0.202000497</v>
      </c>
      <c r="BZ674" s="346">
        <v>0.176542487</v>
      </c>
      <c r="CA674" s="346">
        <v>0.18123900100000001</v>
      </c>
      <c r="CB674" s="346">
        <v>0.15246437600000001</v>
      </c>
      <c r="CC674" s="346">
        <v>0.17018828699999999</v>
      </c>
      <c r="CD674" s="352">
        <f>CD323</f>
        <v>0</v>
      </c>
      <c r="CE674" s="346">
        <f t="shared" ref="CE674:DJ674" si="728">CE323</f>
        <v>0.18629873899999999</v>
      </c>
      <c r="CF674" s="346">
        <f t="shared" si="728"/>
        <v>0.15920899499999999</v>
      </c>
      <c r="CG674" s="346">
        <f t="shared" si="728"/>
        <v>0.178470882</v>
      </c>
      <c r="CH674" s="346">
        <f t="shared" si="728"/>
        <v>0.14890092199999999</v>
      </c>
      <c r="CI674" s="346">
        <f t="shared" si="728"/>
        <v>5.8584415000000001E-2</v>
      </c>
      <c r="CJ674" s="346">
        <f t="shared" si="728"/>
        <v>3.9463314999999999E-2</v>
      </c>
      <c r="CK674" s="346">
        <f t="shared" si="728"/>
        <v>4.5416657000000006E-2</v>
      </c>
      <c r="CL674" s="346">
        <f t="shared" si="728"/>
        <v>3.8194131999999999E-2</v>
      </c>
      <c r="CM674" s="346">
        <f t="shared" si="728"/>
        <v>4.3593558999999997E-2</v>
      </c>
      <c r="CN674" s="346">
        <f t="shared" si="728"/>
        <v>5.3488122999999999E-2</v>
      </c>
      <c r="CO674" s="346">
        <f t="shared" si="728"/>
        <v>4.7626489000000001E-2</v>
      </c>
      <c r="CP674" s="348">
        <f t="shared" si="728"/>
        <v>4.8304062000000002E-2</v>
      </c>
      <c r="CQ674" s="346">
        <f t="shared" si="728"/>
        <v>6.412235899999999E-2</v>
      </c>
      <c r="CR674" s="346">
        <f t="shared" si="728"/>
        <v>0.114669695</v>
      </c>
      <c r="CS674" s="346">
        <f t="shared" si="728"/>
        <v>7.2307892999999998E-2</v>
      </c>
      <c r="CT674" s="346">
        <f t="shared" si="728"/>
        <v>6.9772398999999999E-2</v>
      </c>
      <c r="CU674" s="346">
        <f t="shared" si="728"/>
        <v>5.8702160999999996E-2</v>
      </c>
      <c r="CV674" s="346">
        <f t="shared" si="728"/>
        <v>7.5232731999999997E-2</v>
      </c>
      <c r="CW674" s="346">
        <f t="shared" si="728"/>
        <v>0.120808481</v>
      </c>
      <c r="CX674" s="346">
        <f t="shared" si="728"/>
        <v>0.12825484600000001</v>
      </c>
      <c r="CY674" s="346">
        <f t="shared" si="728"/>
        <v>0.53072420300000001</v>
      </c>
      <c r="CZ674" s="346">
        <f t="shared" si="728"/>
        <v>8.1767031000000004E-2</v>
      </c>
      <c r="DA674" s="346">
        <f t="shared" si="728"/>
        <v>7.9343087000000007E-2</v>
      </c>
      <c r="DB674" s="1479">
        <f t="shared" si="728"/>
        <v>7.8761975000000012E-2</v>
      </c>
      <c r="DC674" s="346">
        <f t="shared" si="728"/>
        <v>5.2479115912306515E-2</v>
      </c>
      <c r="DD674" s="346">
        <f t="shared" si="728"/>
        <v>5.585934207981038E-2</v>
      </c>
      <c r="DE674" s="346">
        <f t="shared" si="728"/>
        <v>5.4293539633636964E-2</v>
      </c>
      <c r="DF674" s="346">
        <f t="shared" si="728"/>
        <v>5.7689530012355966E-2</v>
      </c>
      <c r="DG674" s="346">
        <f t="shared" si="728"/>
        <v>5.2496844027921589E-2</v>
      </c>
      <c r="DH674" s="346">
        <f t="shared" si="728"/>
        <v>6.3531550415572804E-2</v>
      </c>
      <c r="DI674" s="346">
        <f t="shared" si="728"/>
        <v>6.6451509381005192E-2</v>
      </c>
      <c r="DJ674" s="346">
        <f t="shared" si="728"/>
        <v>7.8612076607345538E-2</v>
      </c>
      <c r="DK674" s="346">
        <f t="shared" ref="DK674:EP674" si="729">DK323</f>
        <v>8.6829504111233038E-2</v>
      </c>
      <c r="DL674" s="346">
        <f t="shared" si="729"/>
        <v>6.0433057344616049E-2</v>
      </c>
      <c r="DM674" s="346">
        <f t="shared" si="729"/>
        <v>8.3567027433352675E-2</v>
      </c>
      <c r="DN674" s="348">
        <f t="shared" si="729"/>
        <v>8.6814832929161853E-2</v>
      </c>
      <c r="DO674" s="346">
        <f t="shared" si="729"/>
        <v>5.2048008536990868E-2</v>
      </c>
      <c r="DP674" s="346">
        <f t="shared" si="729"/>
        <v>6.3192970219200617E-2</v>
      </c>
      <c r="DQ674" s="346">
        <f t="shared" si="729"/>
        <v>5.1235985145528594E-2</v>
      </c>
      <c r="DR674" s="346">
        <f t="shared" si="729"/>
        <v>5.4968291556039169E-2</v>
      </c>
      <c r="DS674" s="346">
        <f t="shared" si="729"/>
        <v>5.137729354512878E-2</v>
      </c>
      <c r="DT674" s="346">
        <f t="shared" si="729"/>
        <v>4.793513934449424E-2</v>
      </c>
      <c r="DU674" s="346">
        <f t="shared" si="729"/>
        <v>4.4889627093318708E-2</v>
      </c>
      <c r="DV674" s="346">
        <f t="shared" si="729"/>
        <v>4.096047780590089E-2</v>
      </c>
      <c r="DW674" s="346">
        <f t="shared" si="729"/>
        <v>5.4415358044534401E-2</v>
      </c>
      <c r="DX674" s="346">
        <f t="shared" si="729"/>
        <v>4.5040508734504929E-2</v>
      </c>
      <c r="DY674" s="346">
        <f t="shared" si="729"/>
        <v>5.8503370240740829E-2</v>
      </c>
      <c r="DZ674" s="348">
        <f t="shared" si="729"/>
        <v>4.5218736847096395E-2</v>
      </c>
      <c r="EA674" s="346">
        <f t="shared" si="729"/>
        <v>4.6187208084312524E-11</v>
      </c>
      <c r="EB674" s="346">
        <f t="shared" si="729"/>
        <v>2.3752543848895232E-13</v>
      </c>
      <c r="EC674" s="346">
        <f t="shared" si="729"/>
        <v>7.1074944752443256E-13</v>
      </c>
      <c r="ED674" s="346">
        <f t="shared" si="729"/>
        <v>1.0269602923286729E-12</v>
      </c>
      <c r="EE674" s="346">
        <f t="shared" si="729"/>
        <v>1.7602672137668642E-13</v>
      </c>
      <c r="EF674" s="346">
        <f t="shared" si="729"/>
        <v>3.7982793851907112E-14</v>
      </c>
      <c r="EG674" s="346">
        <f t="shared" si="729"/>
        <v>3.6999291697052164E-13</v>
      </c>
      <c r="EH674" s="346">
        <f t="shared" si="729"/>
        <v>4.1395315342107525E-13</v>
      </c>
      <c r="EI674" s="346">
        <f t="shared" si="729"/>
        <v>1.9518984629729881E-14</v>
      </c>
      <c r="EJ674" s="346">
        <f t="shared" si="729"/>
        <v>2.3367160483534733E-14</v>
      </c>
      <c r="EK674" s="346">
        <f t="shared" si="729"/>
        <v>3.2329481420287986E-13</v>
      </c>
      <c r="EL674" s="348">
        <f t="shared" si="729"/>
        <v>1.2576885197768007E-13</v>
      </c>
      <c r="EM674" s="346">
        <f t="shared" si="729"/>
        <v>0.31462886800000001</v>
      </c>
      <c r="EN674" s="346">
        <f t="shared" si="729"/>
        <v>0.26314551400000002</v>
      </c>
      <c r="EO674" s="346">
        <f t="shared" si="729"/>
        <v>0.19597088800000001</v>
      </c>
      <c r="EP674" s="346">
        <f t="shared" si="729"/>
        <v>0.42047958299999999</v>
      </c>
      <c r="EQ674" s="346">
        <f t="shared" ref="EQ674:FV674" si="730">EQ323</f>
        <v>0.28871655399999996</v>
      </c>
      <c r="ER674" s="346">
        <f t="shared" si="730"/>
        <v>0.36554615699999998</v>
      </c>
      <c r="ES674" s="346">
        <f t="shared" si="730"/>
        <v>5.7465201069999994</v>
      </c>
      <c r="ET674" s="346">
        <f t="shared" si="730"/>
        <v>1.6758930270000001</v>
      </c>
      <c r="EU674" s="346">
        <f t="shared" si="730"/>
        <v>8.2551049469999995</v>
      </c>
      <c r="EV674" s="346">
        <f t="shared" si="730"/>
        <v>1.1324252939999999</v>
      </c>
      <c r="EW674" s="346">
        <f t="shared" si="730"/>
        <v>0.417966685</v>
      </c>
      <c r="EX674" s="348">
        <f t="shared" si="730"/>
        <v>0.29600300600000001</v>
      </c>
      <c r="EY674" s="346">
        <f t="shared" si="730"/>
        <v>0.13675385796064224</v>
      </c>
      <c r="EZ674" s="346">
        <f t="shared" si="730"/>
        <v>0.12289325796064224</v>
      </c>
      <c r="FA674" s="346">
        <f t="shared" si="730"/>
        <v>0.11405155796064226</v>
      </c>
      <c r="FB674" s="346">
        <f t="shared" si="730"/>
        <v>0.12643465796064224</v>
      </c>
      <c r="FC674" s="346">
        <f t="shared" si="730"/>
        <v>9.1595657960642257E-2</v>
      </c>
      <c r="FD674" s="346">
        <f t="shared" si="730"/>
        <v>0.11365493596064224</v>
      </c>
      <c r="FE674" s="346">
        <f t="shared" si="730"/>
        <v>2.3132621980000003</v>
      </c>
      <c r="FF674" s="346">
        <f t="shared" si="730"/>
        <v>1.0497996283451927</v>
      </c>
      <c r="FG674" s="346">
        <f t="shared" si="730"/>
        <v>0.3926634142885797</v>
      </c>
      <c r="FH674" s="346">
        <f t="shared" si="730"/>
        <v>3.1482156432935386E-2</v>
      </c>
      <c r="FI674" s="346">
        <f t="shared" si="730"/>
        <v>5.1159457960642196E-2</v>
      </c>
      <c r="FJ674" s="348">
        <f t="shared" si="730"/>
        <v>9.9127257960642257E-2</v>
      </c>
      <c r="FK674" s="346">
        <f t="shared" si="730"/>
        <v>0.19186235873786217</v>
      </c>
      <c r="FL674" s="346">
        <f t="shared" si="730"/>
        <v>0.17814652940449016</v>
      </c>
      <c r="FM674" s="346">
        <f t="shared" si="730"/>
        <v>0.19429111185764766</v>
      </c>
      <c r="FN674" s="346">
        <f t="shared" si="730"/>
        <v>0.60447863371770583</v>
      </c>
      <c r="FO674" s="346">
        <f t="shared" si="730"/>
        <v>1.1313748986436614</v>
      </c>
      <c r="FP674" s="346">
        <f t="shared" si="730"/>
        <v>4.9729043880747223</v>
      </c>
      <c r="FQ674" s="346">
        <f t="shared" si="730"/>
        <v>1.2099385805736984</v>
      </c>
      <c r="FR674" s="346">
        <f t="shared" si="730"/>
        <v>1.5253308539083281</v>
      </c>
      <c r="FS674" s="346">
        <f t="shared" si="730"/>
        <v>0.93806127107007642</v>
      </c>
      <c r="FT674" s="346">
        <f t="shared" si="730"/>
        <v>2.8349525329767102</v>
      </c>
      <c r="FU674" s="346">
        <f t="shared" si="730"/>
        <v>2.8251612496666665</v>
      </c>
      <c r="FV674" s="346">
        <f t="shared" si="730"/>
        <v>2.8371726206666663</v>
      </c>
      <c r="FW674" s="346">
        <v>0.24644877124376516</v>
      </c>
      <c r="FX674" s="346">
        <v>0.3317705348749202</v>
      </c>
      <c r="FY674" s="346">
        <v>0.39696251388131465</v>
      </c>
      <c r="FZ674" s="346">
        <v>0.31925356978022218</v>
      </c>
      <c r="GA674" s="346">
        <v>0.43582930656576724</v>
      </c>
      <c r="GB674" s="346">
        <v>1.1366922447600967</v>
      </c>
      <c r="GC674" s="346">
        <v>2.6409874914219094</v>
      </c>
      <c r="GD674" s="346">
        <v>3.3194940210999229</v>
      </c>
      <c r="GE674" s="346">
        <v>6.4050373904781734</v>
      </c>
      <c r="GF674" s="346">
        <v>0.45824303886103701</v>
      </c>
      <c r="GG674" s="346">
        <v>0.46508351724164565</v>
      </c>
      <c r="GH674" s="346">
        <v>0.9513114072779546</v>
      </c>
      <c r="GI674" s="346">
        <f t="shared" ref="GI674:GT674" si="731">GI323+GI676</f>
        <v>0.535532966</v>
      </c>
      <c r="GJ674" s="346">
        <f t="shared" si="731"/>
        <v>0.617272602</v>
      </c>
      <c r="GK674" s="346">
        <f t="shared" si="731"/>
        <v>0.56506773300000002</v>
      </c>
      <c r="GL674" s="346">
        <f t="shared" si="731"/>
        <v>0.51085749599999997</v>
      </c>
      <c r="GM674" s="346">
        <f t="shared" si="731"/>
        <v>0.78447113400000001</v>
      </c>
      <c r="GN674" s="346">
        <f t="shared" si="731"/>
        <v>2.4511399699999998</v>
      </c>
      <c r="GO674" s="346">
        <f t="shared" si="731"/>
        <v>12.429249862528994</v>
      </c>
      <c r="GP674" s="346">
        <f t="shared" si="731"/>
        <v>1.2518273639999999</v>
      </c>
      <c r="GQ674" s="346">
        <f t="shared" si="731"/>
        <v>1.0218218615925458</v>
      </c>
      <c r="GR674" s="346">
        <f t="shared" si="731"/>
        <v>0.75219242399999997</v>
      </c>
      <c r="GS674" s="346">
        <f t="shared" si="731"/>
        <v>0.83371969099999998</v>
      </c>
      <c r="GT674" s="346">
        <f t="shared" si="731"/>
        <v>0.8228921119999999</v>
      </c>
      <c r="GU674" s="346">
        <f>GU323</f>
        <v>0.862514632</v>
      </c>
      <c r="GV674" s="346">
        <f t="shared" ref="GV674:HL674" si="732">GV323</f>
        <v>0.83800620100000001</v>
      </c>
      <c r="GW674" s="346">
        <f t="shared" si="732"/>
        <v>0.82947120099999994</v>
      </c>
      <c r="GX674" s="346">
        <f t="shared" si="732"/>
        <v>0.796244273</v>
      </c>
      <c r="GY674" s="346">
        <f t="shared" si="732"/>
        <v>1.324951711</v>
      </c>
      <c r="GZ674" s="346">
        <f t="shared" si="732"/>
        <v>1.6741196869999999</v>
      </c>
      <c r="HA674" s="346">
        <f t="shared" si="732"/>
        <v>2.5820993919999999</v>
      </c>
      <c r="HB674" s="346">
        <f t="shared" si="732"/>
        <v>12.626771584</v>
      </c>
      <c r="HC674" s="346">
        <f t="shared" si="732"/>
        <v>2.4519682839999999</v>
      </c>
      <c r="HD674" s="346">
        <f t="shared" si="732"/>
        <v>1.8556768720000001</v>
      </c>
      <c r="HE674" s="346">
        <f t="shared" si="732"/>
        <v>2.3537229829999999</v>
      </c>
      <c r="HF674" s="346">
        <f t="shared" si="732"/>
        <v>2.3060767364535009</v>
      </c>
      <c r="HG674" s="346">
        <f t="shared" si="732"/>
        <v>2.2774786219999998</v>
      </c>
      <c r="HH674" s="346">
        <f t="shared" si="732"/>
        <v>2.280518517</v>
      </c>
      <c r="HI674" s="346">
        <f t="shared" si="732"/>
        <v>2.3483697139999999</v>
      </c>
      <c r="HJ674" s="346">
        <f t="shared" si="732"/>
        <v>3.6097776379999997</v>
      </c>
      <c r="HK674" s="346">
        <f t="shared" si="732"/>
        <v>2.7582048410000004</v>
      </c>
      <c r="HL674" s="346">
        <f t="shared" si="732"/>
        <v>12.897437611999999</v>
      </c>
      <c r="HM674" s="346"/>
      <c r="HN674" s="349"/>
      <c r="HO674" s="355" t="s">
        <v>500</v>
      </c>
      <c r="HP674" s="307">
        <f>SUM(CE674:CJ674)</f>
        <v>0.77092726799999989</v>
      </c>
      <c r="HQ674" s="302">
        <f>SUM(CK674:CP674)</f>
        <v>0.276623022</v>
      </c>
      <c r="HR674" s="346">
        <f t="shared" si="698"/>
        <v>1.0475502899999998</v>
      </c>
      <c r="HS674" s="302">
        <f>SUM(CQ674:CV674)</f>
        <v>0.45480723899999997</v>
      </c>
      <c r="HT674" s="302">
        <f>SUM(CW674:DB674)</f>
        <v>1.0196596230000001</v>
      </c>
      <c r="HU674" s="346">
        <f t="shared" si="678"/>
        <v>1.4744668620000001</v>
      </c>
      <c r="HV674" s="307">
        <f>SUM(DC674:DH674)</f>
        <v>0.33634992208160419</v>
      </c>
      <c r="HW674" s="302">
        <f>SUM(DI674:DN674)</f>
        <v>0.46270800780671434</v>
      </c>
      <c r="HX674" s="346">
        <f t="shared" si="679"/>
        <v>0.79905792988831847</v>
      </c>
      <c r="HY674" s="350">
        <f>SUM(DO674:DT674)</f>
        <v>0.32075768834738227</v>
      </c>
      <c r="HZ674" s="302">
        <f>SUM(DU674:DZ674)</f>
        <v>0.28902807876609615</v>
      </c>
      <c r="IA674" s="346">
        <f t="shared" si="680"/>
        <v>0.60978576711347843</v>
      </c>
      <c r="IB674" s="302">
        <f>SUM(EA674:EF674)</f>
        <v>4.8376452777883167E-11</v>
      </c>
      <c r="IC674" s="302">
        <f>SUM(EG674:EL674)</f>
        <v>1.2758958816854214E-12</v>
      </c>
      <c r="ID674" s="346">
        <f t="shared" si="681"/>
        <v>4.9652348659568588E-11</v>
      </c>
      <c r="IE674" s="350">
        <f>SUM(EM674:ER674)</f>
        <v>1.8484875640000002</v>
      </c>
      <c r="IF674" s="350">
        <f>SUM(ES674:EX674)</f>
        <v>17.523913065999999</v>
      </c>
      <c r="IG674" s="346">
        <f t="shared" si="682"/>
        <v>19.372400629999998</v>
      </c>
      <c r="IH674" s="350">
        <f>SUM(EY674:FD674)</f>
        <v>0.70538392576385345</v>
      </c>
      <c r="II674" s="350">
        <f>SUM(FE674:FJ674)</f>
        <v>3.9374941129879928</v>
      </c>
      <c r="IJ674" s="346">
        <f t="shared" si="683"/>
        <v>4.6428780387518458</v>
      </c>
      <c r="IK674" s="350">
        <f t="shared" si="663"/>
        <v>7.2730579204360897</v>
      </c>
      <c r="IL674" s="350">
        <f t="shared" si="664"/>
        <v>12.170617108862146</v>
      </c>
      <c r="IM674" s="346">
        <f t="shared" si="684"/>
        <v>19.443675029298234</v>
      </c>
      <c r="IN674" s="350">
        <f t="shared" si="665"/>
        <v>2.866956941106086</v>
      </c>
      <c r="IO674" s="350">
        <f t="shared" si="666"/>
        <v>14.240156866380641</v>
      </c>
      <c r="IP674" s="346">
        <f t="shared" si="685"/>
        <v>17.107113807486726</v>
      </c>
      <c r="IQ674" s="350">
        <f t="shared" si="667"/>
        <v>5.4643419009999992</v>
      </c>
      <c r="IR674" s="350">
        <f t="shared" si="668"/>
        <v>17.111703315121538</v>
      </c>
      <c r="IS674" s="346">
        <f t="shared" si="686"/>
        <v>22.576045216121535</v>
      </c>
      <c r="IT674" s="350">
        <f t="shared" si="699"/>
        <v>6.3253077050000002</v>
      </c>
      <c r="IU674" s="350">
        <f t="shared" si="707"/>
        <v>24.176315851453502</v>
      </c>
      <c r="IV674" s="346">
        <f t="shared" si="687"/>
        <v>30.501623556453502</v>
      </c>
      <c r="IW674" s="350">
        <f t="shared" si="700"/>
        <v>26.171786943999997</v>
      </c>
      <c r="IX674" s="350">
        <f t="shared" si="688"/>
        <v>17.078121996631886</v>
      </c>
      <c r="IY674" s="346">
        <f>FISC!AJ996</f>
        <v>43.249908940631883</v>
      </c>
      <c r="IZ674" s="350">
        <f t="shared" si="708"/>
        <v>22.911053873600725</v>
      </c>
      <c r="JA674" s="302">
        <f t="shared" si="689"/>
        <v>24.820308363067451</v>
      </c>
      <c r="JB674" s="346">
        <f>FISC!AK996</f>
        <v>47.731362236668176</v>
      </c>
      <c r="JC674" s="350">
        <f t="shared" si="709"/>
        <v>26.206239026894007</v>
      </c>
      <c r="JD674" s="302">
        <f t="shared" si="690"/>
        <v>28.390092279135178</v>
      </c>
      <c r="JE674" s="346">
        <f>FISC!AL996</f>
        <v>54.596331306029185</v>
      </c>
      <c r="JF674" s="350">
        <f t="shared" si="710"/>
        <v>29.21413439137126</v>
      </c>
      <c r="JG674" s="302">
        <f t="shared" si="691"/>
        <v>31.648645590652201</v>
      </c>
      <c r="JH674" s="346">
        <f>FISC!AM996</f>
        <v>60.862779982023461</v>
      </c>
      <c r="JI674" s="350">
        <f t="shared" si="711"/>
        <v>30.283716481144673</v>
      </c>
      <c r="JJ674" s="302">
        <f t="shared" si="701"/>
        <v>32.807359521240066</v>
      </c>
      <c r="JK674" s="346">
        <f>FISC!AN996</f>
        <v>63.091076002384739</v>
      </c>
      <c r="JL674" s="350">
        <f t="shared" si="712"/>
        <v>33.864209376978138</v>
      </c>
      <c r="JM674" s="302">
        <f t="shared" si="692"/>
        <v>36.686226825059649</v>
      </c>
      <c r="JN674" s="346">
        <f>FISC!AO996</f>
        <v>70.550436202037787</v>
      </c>
      <c r="KI674" s="349"/>
      <c r="KJ674" s="350"/>
    </row>
    <row r="675" spans="1:296" hidden="1" outlineLevel="1">
      <c r="A675" s="302"/>
      <c r="D675" s="1439" t="s">
        <v>501</v>
      </c>
      <c r="E675" s="346"/>
      <c r="F675" s="346"/>
      <c r="G675" s="346"/>
      <c r="H675" s="346"/>
      <c r="I675" s="346"/>
      <c r="J675" s="346"/>
      <c r="K675" s="346"/>
      <c r="L675" s="346"/>
      <c r="M675" s="346"/>
      <c r="N675" s="346"/>
      <c r="O675" s="346"/>
      <c r="P675" s="346"/>
      <c r="Q675" s="346"/>
      <c r="R675" s="346"/>
      <c r="S675" s="346"/>
      <c r="T675" s="346"/>
      <c r="U675" s="346"/>
      <c r="V675" s="346"/>
      <c r="W675" s="346"/>
      <c r="X675" s="346"/>
      <c r="Y675" s="346"/>
      <c r="Z675" s="346"/>
      <c r="AA675" s="346"/>
      <c r="AB675" s="346"/>
      <c r="AC675" s="346"/>
      <c r="AD675" s="346"/>
      <c r="AE675" s="346"/>
      <c r="AF675" s="346"/>
      <c r="AG675" s="346"/>
      <c r="AH675" s="346"/>
      <c r="AI675" s="346"/>
      <c r="AJ675" s="346"/>
      <c r="AK675" s="346"/>
      <c r="AL675" s="346"/>
      <c r="AM675" s="346"/>
      <c r="AN675" s="346"/>
      <c r="AO675" s="346"/>
      <c r="AP675" s="346"/>
      <c r="AQ675" s="346"/>
      <c r="AR675" s="346"/>
      <c r="AS675" s="346"/>
      <c r="AT675" s="346"/>
      <c r="AU675" s="346"/>
      <c r="AV675" s="346"/>
      <c r="AW675" s="346"/>
      <c r="AX675" s="346"/>
      <c r="AY675" s="346"/>
      <c r="AZ675" s="346"/>
      <c r="BA675" s="346"/>
      <c r="BB675" s="346"/>
      <c r="BC675" s="346"/>
      <c r="BD675" s="346"/>
      <c r="BE675" s="346"/>
      <c r="BF675" s="346"/>
      <c r="BG675" s="346"/>
      <c r="BH675" s="346"/>
      <c r="BI675" s="346"/>
      <c r="BJ675" s="346"/>
      <c r="BK675" s="346"/>
      <c r="BL675" s="346"/>
      <c r="BM675" s="346"/>
      <c r="BN675" s="346"/>
      <c r="BO675" s="346"/>
      <c r="BP675" s="346"/>
      <c r="BQ675" s="346"/>
      <c r="BR675" s="346"/>
      <c r="BS675" s="346"/>
      <c r="BT675" s="346"/>
      <c r="BU675" s="346"/>
      <c r="BV675" s="346"/>
      <c r="BW675" s="346"/>
      <c r="BX675" s="346"/>
      <c r="BY675" s="346"/>
      <c r="BZ675" s="346"/>
      <c r="CA675" s="346"/>
      <c r="CB675" s="346"/>
      <c r="CC675" s="346"/>
      <c r="CD675" s="352"/>
      <c r="CE675" s="346">
        <f t="shared" ref="CE675:DJ675" si="733">CE324</f>
        <v>0</v>
      </c>
      <c r="CF675" s="346">
        <f t="shared" si="733"/>
        <v>0</v>
      </c>
      <c r="CG675" s="346">
        <f t="shared" si="733"/>
        <v>0</v>
      </c>
      <c r="CH675" s="346">
        <f t="shared" si="733"/>
        <v>0</v>
      </c>
      <c r="CI675" s="346">
        <f t="shared" si="733"/>
        <v>0</v>
      </c>
      <c r="CJ675" s="346">
        <f t="shared" si="733"/>
        <v>7.4999999999999993E-5</v>
      </c>
      <c r="CK675" s="346">
        <f t="shared" si="733"/>
        <v>2.2499999999999999E-4</v>
      </c>
      <c r="CL675" s="346">
        <f t="shared" si="733"/>
        <v>0</v>
      </c>
      <c r="CM675" s="346">
        <f t="shared" si="733"/>
        <v>0</v>
      </c>
      <c r="CN675" s="346">
        <f t="shared" si="733"/>
        <v>0</v>
      </c>
      <c r="CO675" s="346">
        <f t="shared" si="733"/>
        <v>1.1999999999999999E-3</v>
      </c>
      <c r="CP675" s="348">
        <f t="shared" si="733"/>
        <v>0</v>
      </c>
      <c r="CQ675" s="346">
        <f t="shared" si="733"/>
        <v>1.1348087E-2</v>
      </c>
      <c r="CR675" s="346">
        <f t="shared" si="733"/>
        <v>5.8128695000000001E-2</v>
      </c>
      <c r="CS675" s="346">
        <f t="shared" si="733"/>
        <v>1.463251E-2</v>
      </c>
      <c r="CT675" s="346">
        <f t="shared" si="733"/>
        <v>1.2963402000000001E-2</v>
      </c>
      <c r="CU675" s="346">
        <f t="shared" si="733"/>
        <v>1.1737841000000001E-2</v>
      </c>
      <c r="CV675" s="346">
        <f t="shared" si="733"/>
        <v>2.0278507000000001E-2</v>
      </c>
      <c r="CW675" s="346">
        <f t="shared" si="733"/>
        <v>5.9038619000000001E-2</v>
      </c>
      <c r="CX675" s="346">
        <f t="shared" si="733"/>
        <v>6.2166051999999999E-2</v>
      </c>
      <c r="CY675" s="346">
        <f t="shared" si="733"/>
        <v>0.45422262699999999</v>
      </c>
      <c r="CZ675" s="346">
        <f t="shared" si="733"/>
        <v>2.2439537999999998E-2</v>
      </c>
      <c r="DA675" s="346">
        <f t="shared" si="733"/>
        <v>6.7278549999999996E-3</v>
      </c>
      <c r="DB675" s="1479">
        <f t="shared" si="733"/>
        <v>3.5048200000000001E-3</v>
      </c>
      <c r="DC675" s="346">
        <f t="shared" si="733"/>
        <v>0</v>
      </c>
      <c r="DD675" s="346">
        <f t="shared" si="733"/>
        <v>0</v>
      </c>
      <c r="DE675" s="346">
        <f t="shared" si="733"/>
        <v>0</v>
      </c>
      <c r="DF675" s="346">
        <f t="shared" si="733"/>
        <v>0</v>
      </c>
      <c r="DG675" s="346">
        <f t="shared" si="733"/>
        <v>0</v>
      </c>
      <c r="DH675" s="346">
        <f t="shared" si="733"/>
        <v>0</v>
      </c>
      <c r="DI675" s="346">
        <f t="shared" si="733"/>
        <v>0</v>
      </c>
      <c r="DJ675" s="346">
        <f t="shared" si="733"/>
        <v>0</v>
      </c>
      <c r="DK675" s="346">
        <f t="shared" ref="DK675:EP675" si="734">DK324</f>
        <v>2.0425244828881366E-5</v>
      </c>
      <c r="DL675" s="346">
        <f t="shared" si="734"/>
        <v>0</v>
      </c>
      <c r="DM675" s="346">
        <f t="shared" si="734"/>
        <v>2.0498504389785221E-3</v>
      </c>
      <c r="DN675" s="348">
        <f t="shared" si="734"/>
        <v>2.308679506124886E-3</v>
      </c>
      <c r="DO675" s="346">
        <f t="shared" si="734"/>
        <v>0</v>
      </c>
      <c r="DP675" s="346">
        <f t="shared" si="734"/>
        <v>0</v>
      </c>
      <c r="DQ675" s="346">
        <f t="shared" si="734"/>
        <v>0</v>
      </c>
      <c r="DR675" s="346">
        <f t="shared" si="734"/>
        <v>0</v>
      </c>
      <c r="DS675" s="346">
        <f t="shared" si="734"/>
        <v>0</v>
      </c>
      <c r="DT675" s="346">
        <f t="shared" si="734"/>
        <v>0</v>
      </c>
      <c r="DU675" s="346">
        <f t="shared" si="734"/>
        <v>0</v>
      </c>
      <c r="DV675" s="346">
        <f t="shared" si="734"/>
        <v>0</v>
      </c>
      <c r="DW675" s="346">
        <f t="shared" si="734"/>
        <v>0</v>
      </c>
      <c r="DX675" s="346">
        <f t="shared" si="734"/>
        <v>0</v>
      </c>
      <c r="DY675" s="346">
        <f t="shared" si="734"/>
        <v>0</v>
      </c>
      <c r="DZ675" s="348">
        <f t="shared" si="734"/>
        <v>0</v>
      </c>
      <c r="EA675" s="346">
        <f t="shared" si="734"/>
        <v>0</v>
      </c>
      <c r="EB675" s="346">
        <f t="shared" si="734"/>
        <v>0</v>
      </c>
      <c r="EC675" s="346">
        <f t="shared" si="734"/>
        <v>0</v>
      </c>
      <c r="ED675" s="346">
        <f t="shared" si="734"/>
        <v>0</v>
      </c>
      <c r="EE675" s="346">
        <f t="shared" si="734"/>
        <v>0</v>
      </c>
      <c r="EF675" s="346">
        <f t="shared" si="734"/>
        <v>0</v>
      </c>
      <c r="EG675" s="346">
        <f t="shared" si="734"/>
        <v>0</v>
      </c>
      <c r="EH675" s="346">
        <f t="shared" si="734"/>
        <v>0</v>
      </c>
      <c r="EI675" s="346">
        <f t="shared" si="734"/>
        <v>0</v>
      </c>
      <c r="EJ675" s="346">
        <f t="shared" si="734"/>
        <v>0</v>
      </c>
      <c r="EK675" s="346">
        <f t="shared" si="734"/>
        <v>0</v>
      </c>
      <c r="EL675" s="348">
        <f t="shared" si="734"/>
        <v>0</v>
      </c>
      <c r="EM675" s="346">
        <f t="shared" si="734"/>
        <v>0.31447588599999998</v>
      </c>
      <c r="EN675" s="346">
        <f t="shared" si="734"/>
        <v>0.26314551400000002</v>
      </c>
      <c r="EO675" s="346">
        <f t="shared" si="734"/>
        <v>0.19594088800000001</v>
      </c>
      <c r="EP675" s="346">
        <f t="shared" si="734"/>
        <v>0.42045458299999999</v>
      </c>
      <c r="EQ675" s="346">
        <f t="shared" ref="EQ675:FV675" si="735">EQ324</f>
        <v>0.28763700399999997</v>
      </c>
      <c r="ER675" s="346">
        <f t="shared" si="735"/>
        <v>0.36551615700000001</v>
      </c>
      <c r="ES675" s="346">
        <f t="shared" si="735"/>
        <v>5.7445599869999997</v>
      </c>
      <c r="ET675" s="346">
        <f t="shared" si="735"/>
        <v>1.675767827</v>
      </c>
      <c r="EU675" s="346">
        <f t="shared" si="735"/>
        <v>8.2551049469999995</v>
      </c>
      <c r="EV675" s="346">
        <f t="shared" si="735"/>
        <v>1.1323164939999999</v>
      </c>
      <c r="EW675" s="346">
        <f t="shared" si="735"/>
        <v>0.41788988500000002</v>
      </c>
      <c r="EX675" s="348">
        <f t="shared" si="735"/>
        <v>0.29598800600000003</v>
      </c>
      <c r="EY675" s="346">
        <f t="shared" si="735"/>
        <v>3.7694857960642252E-2</v>
      </c>
      <c r="EZ675" s="346">
        <f t="shared" si="735"/>
        <v>3.7694857960642252E-2</v>
      </c>
      <c r="FA675" s="346">
        <f t="shared" si="735"/>
        <v>3.7694857960642252E-2</v>
      </c>
      <c r="FB675" s="346">
        <f t="shared" si="735"/>
        <v>3.7694857960642252E-2</v>
      </c>
      <c r="FC675" s="346">
        <f t="shared" si="735"/>
        <v>3.7694857960642252E-2</v>
      </c>
      <c r="FD675" s="346">
        <f t="shared" si="735"/>
        <v>3.7694857960642252E-2</v>
      </c>
      <c r="FE675" s="346">
        <f t="shared" si="735"/>
        <v>2.2379457980000002</v>
      </c>
      <c r="FF675" s="346">
        <f t="shared" si="735"/>
        <v>0.9801658523451926</v>
      </c>
      <c r="FG675" s="346">
        <f t="shared" si="735"/>
        <v>0.33858319528857972</v>
      </c>
      <c r="FH675" s="346">
        <f t="shared" si="735"/>
        <v>2.5475556432935385E-2</v>
      </c>
      <c r="FI675" s="346">
        <f t="shared" si="735"/>
        <v>1.7694857960642199E-2</v>
      </c>
      <c r="FJ675" s="348">
        <f t="shared" si="735"/>
        <v>3.7694857960642252E-2</v>
      </c>
      <c r="FK675" s="346">
        <f t="shared" si="735"/>
        <v>0.12286875873786218</v>
      </c>
      <c r="FL675" s="346">
        <f t="shared" si="735"/>
        <v>9.658788840449016E-2</v>
      </c>
      <c r="FM675" s="346">
        <f t="shared" si="735"/>
        <v>0.12080531185764766</v>
      </c>
      <c r="FN675" s="346">
        <f t="shared" si="735"/>
        <v>0.51586811290864154</v>
      </c>
      <c r="FO675" s="346">
        <f t="shared" si="735"/>
        <v>1.0640952540166371</v>
      </c>
      <c r="FP675" s="346">
        <f t="shared" si="735"/>
        <v>4.8918301880747226</v>
      </c>
      <c r="FQ675" s="346">
        <f t="shared" si="735"/>
        <v>1.1751401805736985</v>
      </c>
      <c r="FR675" s="346">
        <f t="shared" si="735"/>
        <v>1.4748745539083281</v>
      </c>
      <c r="FS675" s="346">
        <f t="shared" si="735"/>
        <v>0.85330137851797383</v>
      </c>
      <c r="FT675" s="346">
        <f t="shared" si="735"/>
        <v>2.7642761556666664</v>
      </c>
      <c r="FU675" s="346">
        <f t="shared" si="735"/>
        <v>2.7642761556666664</v>
      </c>
      <c r="FV675" s="346">
        <f t="shared" si="735"/>
        <v>2.7642761556666664</v>
      </c>
      <c r="FW675" s="346">
        <v>0.21408797124376516</v>
      </c>
      <c r="FX675" s="346">
        <v>0.26719040687492018</v>
      </c>
      <c r="FY675" s="346">
        <v>0.32856051388131463</v>
      </c>
      <c r="FZ675" s="346">
        <v>0.26030012825631266</v>
      </c>
      <c r="GA675" s="346">
        <v>0.37548951598359065</v>
      </c>
      <c r="GB675" s="346">
        <v>1.0525413607600966</v>
      </c>
      <c r="GC675" s="346">
        <v>2.5698428534219095</v>
      </c>
      <c r="GD675" s="346">
        <v>3.2253137920999229</v>
      </c>
      <c r="GE675" s="346">
        <v>6.3113047404781737</v>
      </c>
      <c r="GF675" s="346">
        <v>0.354981962861037</v>
      </c>
      <c r="GG675" s="346">
        <v>0.36522439924164563</v>
      </c>
      <c r="GH675" s="346">
        <v>0.84630933990063029</v>
      </c>
      <c r="GI675" s="346">
        <f t="shared" ref="GI675:GT675" si="736">GI324+GI676</f>
        <v>0.535532966</v>
      </c>
      <c r="GJ675" s="346">
        <f t="shared" si="736"/>
        <v>0.617272602</v>
      </c>
      <c r="GK675" s="346">
        <f t="shared" si="736"/>
        <v>0.56506773300000002</v>
      </c>
      <c r="GL675" s="346">
        <f t="shared" si="736"/>
        <v>0.51085749599999997</v>
      </c>
      <c r="GM675" s="346">
        <f t="shared" si="736"/>
        <v>0.78447113400000001</v>
      </c>
      <c r="GN675" s="346">
        <f t="shared" si="736"/>
        <v>2.4511399699999998</v>
      </c>
      <c r="GO675" s="346">
        <f t="shared" si="736"/>
        <v>12.429249862528994</v>
      </c>
      <c r="GP675" s="346">
        <f t="shared" si="736"/>
        <v>1.2518273639999999</v>
      </c>
      <c r="GQ675" s="346">
        <f t="shared" si="736"/>
        <v>1.0218218615925458</v>
      </c>
      <c r="GR675" s="346">
        <f t="shared" si="736"/>
        <v>0.75219242399999997</v>
      </c>
      <c r="GS675" s="346">
        <f t="shared" si="736"/>
        <v>0.83371969099999998</v>
      </c>
      <c r="GT675" s="346">
        <f t="shared" si="736"/>
        <v>0.8228921119999999</v>
      </c>
      <c r="GU675" s="346">
        <f>GU324</f>
        <v>0.38703533299999998</v>
      </c>
      <c r="GV675" s="346">
        <f t="shared" ref="GV675:HL675" si="737">GV324</f>
        <v>0.39915237999999997</v>
      </c>
      <c r="GW675" s="346">
        <f t="shared" si="737"/>
        <v>0.31384641499999999</v>
      </c>
      <c r="GX675" s="346">
        <f t="shared" si="737"/>
        <v>0.33990184200000001</v>
      </c>
      <c r="GY675" s="346">
        <f t="shared" si="737"/>
        <v>0.86268649399999997</v>
      </c>
      <c r="GZ675" s="346">
        <f t="shared" si="737"/>
        <v>1.205841274</v>
      </c>
      <c r="HA675" s="346">
        <f t="shared" si="737"/>
        <v>1.9841014430000001</v>
      </c>
      <c r="HB675" s="346">
        <f t="shared" si="737"/>
        <v>12.169493302999999</v>
      </c>
      <c r="HC675" s="346">
        <f t="shared" si="737"/>
        <v>1.9724492519999999</v>
      </c>
      <c r="HD675" s="346">
        <f t="shared" si="737"/>
        <v>1.3708008850000002</v>
      </c>
      <c r="HE675" s="346">
        <f t="shared" si="737"/>
        <v>1.742631947</v>
      </c>
      <c r="HF675" s="346">
        <f t="shared" si="737"/>
        <v>1.6798463240000001</v>
      </c>
      <c r="HG675" s="346">
        <f t="shared" si="737"/>
        <v>1.5849570639999999</v>
      </c>
      <c r="HH675" s="346">
        <f t="shared" si="737"/>
        <v>1.653213944</v>
      </c>
      <c r="HI675" s="346">
        <f t="shared" si="737"/>
        <v>1.7456988519999999</v>
      </c>
      <c r="HJ675" s="346">
        <f t="shared" si="737"/>
        <v>3.009015534</v>
      </c>
      <c r="HK675" s="346">
        <f t="shared" si="737"/>
        <v>2.2275611030000002</v>
      </c>
      <c r="HL675" s="346">
        <f t="shared" si="737"/>
        <v>12.275961865999999</v>
      </c>
      <c r="HM675" s="346"/>
      <c r="HN675" s="349"/>
      <c r="HO675" s="1439" t="s">
        <v>501</v>
      </c>
      <c r="HP675" s="307">
        <f>SUM(CE675:CJ675)</f>
        <v>7.4999999999999993E-5</v>
      </c>
      <c r="HQ675" s="302">
        <f>SUM(CK675:CP675)</f>
        <v>1.4249999999999998E-3</v>
      </c>
      <c r="HR675" s="346">
        <f t="shared" si="698"/>
        <v>1.4999999999999998E-3</v>
      </c>
      <c r="HS675" s="302">
        <f>SUM(CQ675:CV675)</f>
        <v>0.12908904199999999</v>
      </c>
      <c r="HT675" s="302">
        <f>SUM(CW675:DB675)</f>
        <v>0.60809951099999993</v>
      </c>
      <c r="HU675" s="346">
        <f t="shared" si="678"/>
        <v>0.73718855299999997</v>
      </c>
      <c r="HV675" s="307">
        <f>SUM(DC675:DH675)</f>
        <v>0</v>
      </c>
      <c r="HW675" s="302">
        <f>SUM(DI675:DN675)</f>
        <v>4.378955189932289E-3</v>
      </c>
      <c r="HX675" s="346">
        <f t="shared" si="679"/>
        <v>4.378955189932289E-3</v>
      </c>
      <c r="HY675" s="350">
        <f>SUM(DO675:DT675)</f>
        <v>0</v>
      </c>
      <c r="HZ675" s="302">
        <f>SUM(DU675:DZ675)</f>
        <v>0</v>
      </c>
      <c r="IA675" s="346">
        <f t="shared" si="680"/>
        <v>0</v>
      </c>
      <c r="IB675" s="302">
        <f>SUM(EA675:EF675)</f>
        <v>0</v>
      </c>
      <c r="IC675" s="302">
        <f>SUM(EG675:EL675)</f>
        <v>0</v>
      </c>
      <c r="ID675" s="346">
        <f t="shared" si="681"/>
        <v>0</v>
      </c>
      <c r="IE675" s="350">
        <f>SUM(EM675:ER675)</f>
        <v>1.847170032</v>
      </c>
      <c r="IF675" s="350">
        <f>SUM(ES675:EX675)</f>
        <v>17.521627146000004</v>
      </c>
      <c r="IG675" s="346">
        <f t="shared" si="682"/>
        <v>19.368797178000005</v>
      </c>
      <c r="IH675" s="350">
        <f>SUM(EY675:FD675)</f>
        <v>0.22616914776385352</v>
      </c>
      <c r="II675" s="350">
        <f>SUM(FE675:FJ675)</f>
        <v>3.6375601179879924</v>
      </c>
      <c r="IJ675" s="346">
        <f t="shared" si="683"/>
        <v>3.8637292657518461</v>
      </c>
      <c r="IK675" s="350">
        <f t="shared" si="663"/>
        <v>6.8120555140000008</v>
      </c>
      <c r="IL675" s="350">
        <f t="shared" si="664"/>
        <v>11.79614458</v>
      </c>
      <c r="IM675" s="346">
        <f>IK675+IL675</f>
        <v>18.608200094000001</v>
      </c>
      <c r="IN675" s="350">
        <f t="shared" si="665"/>
        <v>2.4981698969999999</v>
      </c>
      <c r="IO675" s="350">
        <f t="shared" si="666"/>
        <v>13.67297708800332</v>
      </c>
      <c r="IP675" s="346">
        <f t="shared" si="685"/>
        <v>16.171146985003318</v>
      </c>
      <c r="IQ675" s="350">
        <f t="shared" si="667"/>
        <v>5.4643419009999992</v>
      </c>
      <c r="IR675" s="350">
        <f t="shared" si="668"/>
        <v>17.111703315121538</v>
      </c>
      <c r="IS675" s="346">
        <f t="shared" si="686"/>
        <v>22.576045216121535</v>
      </c>
      <c r="IT675" s="350">
        <f t="shared" si="699"/>
        <v>3.5084637379999997</v>
      </c>
      <c r="IU675" s="350">
        <f t="shared" si="707"/>
        <v>20.919323154000001</v>
      </c>
      <c r="IV675" s="346">
        <f t="shared" si="687"/>
        <v>24.427786892</v>
      </c>
      <c r="IW675" s="350">
        <f t="shared" si="700"/>
        <v>22.496408363</v>
      </c>
      <c r="IX675" s="350">
        <f t="shared" si="688"/>
        <v>13.474924121091831</v>
      </c>
      <c r="IY675" s="346">
        <f>FISC!AJ997</f>
        <v>35.971332484091832</v>
      </c>
      <c r="IZ675" s="350">
        <f t="shared" si="708"/>
        <v>18.221766674558111</v>
      </c>
      <c r="JA675" s="302">
        <f t="shared" si="689"/>
        <v>19.740247230771288</v>
      </c>
      <c r="JB675" s="346">
        <f>FISC!AK997</f>
        <v>37.9620139053294</v>
      </c>
      <c r="JC675" s="350">
        <f t="shared" si="709"/>
        <v>20.757170955338399</v>
      </c>
      <c r="JD675" s="302">
        <f t="shared" si="690"/>
        <v>22.4869352016166</v>
      </c>
      <c r="JE675" s="346">
        <f>FISC!AL997</f>
        <v>43.244106156954999</v>
      </c>
      <c r="JF675" s="350">
        <f t="shared" si="710"/>
        <v>22.704750707703838</v>
      </c>
      <c r="JG675" s="302">
        <f t="shared" si="691"/>
        <v>24.596813266679156</v>
      </c>
      <c r="JH675" s="346">
        <f>FISC!AM997</f>
        <v>47.301563974382994</v>
      </c>
      <c r="JI675" s="350">
        <f t="shared" si="711"/>
        <v>24.162976595223839</v>
      </c>
      <c r="JJ675" s="302">
        <f t="shared" si="701"/>
        <v>26.17655797815916</v>
      </c>
      <c r="JK675" s="346">
        <f>FISC!AN997</f>
        <v>50.339534573382998</v>
      </c>
      <c r="JL675" s="350">
        <f t="shared" si="712"/>
        <v>27.259012929086669</v>
      </c>
      <c r="JM675" s="302">
        <f t="shared" si="692"/>
        <v>29.53059733984389</v>
      </c>
      <c r="JN675" s="346">
        <f>FISC!AO997</f>
        <v>56.789610268930559</v>
      </c>
      <c r="KI675" s="349"/>
      <c r="KJ675" s="350"/>
    </row>
    <row r="676" spans="1:296" hidden="1" outlineLevel="1">
      <c r="A676" s="302"/>
      <c r="D676" s="1716" t="s">
        <v>3126</v>
      </c>
      <c r="E676" s="346"/>
      <c r="F676" s="346"/>
      <c r="G676" s="346"/>
      <c r="H676" s="346"/>
      <c r="I676" s="346"/>
      <c r="J676" s="346"/>
      <c r="K676" s="346"/>
      <c r="L676" s="346"/>
      <c r="M676" s="346"/>
      <c r="N676" s="346"/>
      <c r="O676" s="346"/>
      <c r="P676" s="346"/>
      <c r="Q676" s="346"/>
      <c r="R676" s="346"/>
      <c r="S676" s="346"/>
      <c r="T676" s="346"/>
      <c r="U676" s="346"/>
      <c r="V676" s="346"/>
      <c r="W676" s="346"/>
      <c r="X676" s="346"/>
      <c r="Y676" s="346"/>
      <c r="Z676" s="346"/>
      <c r="AA676" s="346"/>
      <c r="AB676" s="346"/>
      <c r="AC676" s="346"/>
      <c r="AD676" s="346"/>
      <c r="AE676" s="346"/>
      <c r="AF676" s="346"/>
      <c r="AG676" s="346"/>
      <c r="AH676" s="346"/>
      <c r="AI676" s="346"/>
      <c r="AJ676" s="346"/>
      <c r="AK676" s="346"/>
      <c r="AL676" s="346"/>
      <c r="AM676" s="346"/>
      <c r="AN676" s="346"/>
      <c r="AO676" s="346"/>
      <c r="AP676" s="346"/>
      <c r="AQ676" s="346"/>
      <c r="AR676" s="346"/>
      <c r="AS676" s="346"/>
      <c r="AT676" s="346"/>
      <c r="AU676" s="346"/>
      <c r="AV676" s="346"/>
      <c r="AW676" s="346"/>
      <c r="AX676" s="346"/>
      <c r="AY676" s="346"/>
      <c r="AZ676" s="346"/>
      <c r="BA676" s="346"/>
      <c r="BB676" s="346"/>
      <c r="BC676" s="346"/>
      <c r="BD676" s="346"/>
      <c r="BE676" s="346"/>
      <c r="BF676" s="346"/>
      <c r="BG676" s="346"/>
      <c r="BH676" s="346"/>
      <c r="BI676" s="346"/>
      <c r="BJ676" s="346"/>
      <c r="BK676" s="346"/>
      <c r="BL676" s="346"/>
      <c r="BM676" s="346"/>
      <c r="BN676" s="346"/>
      <c r="BO676" s="346"/>
      <c r="BP676" s="346"/>
      <c r="BQ676" s="346"/>
      <c r="BR676" s="346"/>
      <c r="BS676" s="346"/>
      <c r="BT676" s="346"/>
      <c r="BU676" s="346"/>
      <c r="BV676" s="346"/>
      <c r="BW676" s="346"/>
      <c r="BX676" s="346"/>
      <c r="BY676" s="346"/>
      <c r="BZ676" s="346"/>
      <c r="CA676" s="346"/>
      <c r="CB676" s="346"/>
      <c r="CC676" s="346"/>
      <c r="CD676" s="352"/>
      <c r="CE676" s="346"/>
      <c r="CF676" s="346"/>
      <c r="CG676" s="346"/>
      <c r="CH676" s="346"/>
      <c r="CI676" s="346"/>
      <c r="CJ676" s="346"/>
      <c r="CK676" s="346"/>
      <c r="CL676" s="346"/>
      <c r="CM676" s="346"/>
      <c r="CN676" s="346"/>
      <c r="CO676" s="346"/>
      <c r="CP676" s="348"/>
      <c r="CQ676" s="346"/>
      <c r="CR676" s="346"/>
      <c r="CS676" s="346"/>
      <c r="CT676" s="346"/>
      <c r="CU676" s="346"/>
      <c r="CV676" s="346"/>
      <c r="CW676" s="346"/>
      <c r="CX676" s="346"/>
      <c r="CY676" s="346"/>
      <c r="CZ676" s="346"/>
      <c r="DA676" s="346"/>
      <c r="DB676" s="1479"/>
      <c r="DC676" s="346"/>
      <c r="DD676" s="346"/>
      <c r="DE676" s="346"/>
      <c r="DF676" s="346"/>
      <c r="DG676" s="346"/>
      <c r="DH676" s="346"/>
      <c r="DI676" s="346"/>
      <c r="DJ676" s="346"/>
      <c r="DK676" s="346"/>
      <c r="DL676" s="346"/>
      <c r="DM676" s="346"/>
      <c r="DN676" s="348"/>
      <c r="DO676" s="346"/>
      <c r="DP676" s="346"/>
      <c r="DQ676" s="346"/>
      <c r="DR676" s="346"/>
      <c r="DS676" s="346"/>
      <c r="DT676" s="346"/>
      <c r="DU676" s="346"/>
      <c r="DV676" s="346"/>
      <c r="DW676" s="346"/>
      <c r="DX676" s="346"/>
      <c r="DY676" s="346"/>
      <c r="DZ676" s="348"/>
      <c r="EA676" s="346"/>
      <c r="EB676" s="346"/>
      <c r="EC676" s="346"/>
      <c r="ED676" s="346"/>
      <c r="EE676" s="346"/>
      <c r="EF676" s="346"/>
      <c r="EG676" s="346"/>
      <c r="EH676" s="346"/>
      <c r="EI676" s="346"/>
      <c r="EJ676" s="346"/>
      <c r="EK676" s="346"/>
      <c r="EL676" s="348"/>
      <c r="EM676" s="346"/>
      <c r="EN676" s="346"/>
      <c r="EO676" s="346"/>
      <c r="EP676" s="346"/>
      <c r="EQ676" s="346"/>
      <c r="ER676" s="346"/>
      <c r="ES676" s="346"/>
      <c r="ET676" s="346"/>
      <c r="EU676" s="346"/>
      <c r="EV676" s="346"/>
      <c r="EW676" s="346"/>
      <c r="EX676" s="348"/>
      <c r="EY676" s="346"/>
      <c r="EZ676" s="346"/>
      <c r="FA676" s="346"/>
      <c r="FB676" s="346"/>
      <c r="FC676" s="346"/>
      <c r="FD676" s="346"/>
      <c r="FE676" s="346"/>
      <c r="FF676" s="346"/>
      <c r="FG676" s="346"/>
      <c r="FH676" s="346"/>
      <c r="FI676" s="346"/>
      <c r="FJ676" s="348"/>
      <c r="FK676" s="346"/>
      <c r="FL676" s="346"/>
      <c r="FM676" s="346"/>
      <c r="FN676" s="346"/>
      <c r="FO676" s="346"/>
      <c r="FP676" s="346"/>
      <c r="FQ676" s="346"/>
      <c r="FR676" s="346"/>
      <c r="FS676" s="346"/>
      <c r="FT676" s="346"/>
      <c r="FU676" s="346"/>
      <c r="FV676" s="346"/>
      <c r="FW676" s="346">
        <v>0.21408797124376516</v>
      </c>
      <c r="FX676" s="346">
        <v>0.26719040687492018</v>
      </c>
      <c r="FY676" s="346">
        <v>0.32856051388131463</v>
      </c>
      <c r="FZ676" s="346">
        <v>0.26030012825631266</v>
      </c>
      <c r="GA676" s="346">
        <v>0.37548951598359065</v>
      </c>
      <c r="GB676" s="346">
        <v>1.0525413607600966</v>
      </c>
      <c r="GC676" s="346">
        <v>2.5698428534219095</v>
      </c>
      <c r="GD676" s="346">
        <v>3.2253137920999229</v>
      </c>
      <c r="GE676" s="346">
        <v>6.3113047404781737</v>
      </c>
      <c r="GF676" s="346">
        <v>0.354981962861037</v>
      </c>
      <c r="GG676" s="346">
        <v>0.36522439924164563</v>
      </c>
      <c r="GH676" s="346">
        <v>0.84630933990063029</v>
      </c>
      <c r="GI676" s="346">
        <v>0.42694589399999999</v>
      </c>
      <c r="GJ676" s="346">
        <v>0.49736686299999999</v>
      </c>
      <c r="GK676" s="346">
        <v>0.444226907</v>
      </c>
      <c r="GL676" s="346">
        <v>0.397961591</v>
      </c>
      <c r="GM676" s="346">
        <v>0.65760525800000003</v>
      </c>
      <c r="GN676" s="346">
        <v>2.33899781</v>
      </c>
      <c r="GO676" s="346">
        <v>12.156569825</v>
      </c>
      <c r="GP676" s="346">
        <v>1.133283587</v>
      </c>
      <c r="GQ676" s="346">
        <v>0.87336217599999999</v>
      </c>
      <c r="GR676" s="346">
        <v>0.56205269499999999</v>
      </c>
      <c r="GS676" s="346">
        <v>0.6751952</v>
      </c>
      <c r="GT676" s="346">
        <v>0.68979813199999995</v>
      </c>
      <c r="GU676" s="346">
        <v>0.38703533299999998</v>
      </c>
      <c r="GV676" s="346">
        <v>0.39915237999999997</v>
      </c>
      <c r="GW676" s="346">
        <v>0.31384641499999999</v>
      </c>
      <c r="GX676" s="346">
        <v>0.33990184200000001</v>
      </c>
      <c r="GY676" s="346">
        <v>0.86268649399999997</v>
      </c>
      <c r="GZ676" s="346">
        <v>0.93060706400000004</v>
      </c>
      <c r="HA676" s="346">
        <v>1.8395440510000001</v>
      </c>
      <c r="HB676" s="346">
        <v>12.083977807</v>
      </c>
      <c r="HC676" s="346">
        <v>1.7838924519999999</v>
      </c>
      <c r="HD676" s="346">
        <v>1.2530315780000001</v>
      </c>
      <c r="HE676" s="346">
        <v>1.5840325829999999</v>
      </c>
      <c r="HF676" s="346">
        <v>1.5126292370000001</v>
      </c>
      <c r="HG676" s="346">
        <v>1.3991783</v>
      </c>
      <c r="HH676" s="346">
        <v>1.4593601949999999</v>
      </c>
      <c r="HI676" s="346">
        <v>1.5157594459999999</v>
      </c>
      <c r="HJ676" s="346">
        <v>2.0206470059999999</v>
      </c>
      <c r="HK676" s="346">
        <v>1.993877517</v>
      </c>
      <c r="HL676" s="346">
        <v>12.134455271</v>
      </c>
      <c r="HM676" s="346"/>
      <c r="HN676" s="349"/>
      <c r="HO676" s="1716" t="s">
        <v>3126</v>
      </c>
      <c r="HP676" s="307"/>
      <c r="HR676" s="346"/>
      <c r="HU676" s="346"/>
      <c r="HV676" s="307"/>
      <c r="HX676" s="346"/>
      <c r="HY676" s="350"/>
      <c r="IA676" s="346"/>
      <c r="ID676" s="346"/>
      <c r="IE676" s="350"/>
      <c r="IF676" s="350"/>
      <c r="IG676" s="346"/>
      <c r="IH676" s="350"/>
      <c r="II676" s="350"/>
      <c r="IJ676" s="346"/>
      <c r="IK676" s="350">
        <v>6.8120555139999999</v>
      </c>
      <c r="IL676" s="350">
        <f t="shared" si="664"/>
        <v>0</v>
      </c>
      <c r="IM676" s="346">
        <f t="shared" si="684"/>
        <v>6.8120555139999999</v>
      </c>
      <c r="IN676" s="350">
        <f t="shared" si="665"/>
        <v>2.4981698969999999</v>
      </c>
      <c r="IO676" s="350">
        <f t="shared" si="666"/>
        <v>13.67297708800332</v>
      </c>
      <c r="IP676" s="346">
        <f t="shared" si="685"/>
        <v>16.171146985003318</v>
      </c>
      <c r="IQ676" s="350">
        <f t="shared" si="667"/>
        <v>4.7631043230000003</v>
      </c>
      <c r="IR676" s="350">
        <f t="shared" si="668"/>
        <v>16.090261614999999</v>
      </c>
      <c r="IS676" s="346">
        <f t="shared" si="686"/>
        <v>20.853365938</v>
      </c>
      <c r="IT676" s="350">
        <f t="shared" si="699"/>
        <v>3.2332295279999999</v>
      </c>
      <c r="IU676" s="350">
        <f t="shared" si="707"/>
        <v>20.057107708</v>
      </c>
      <c r="IV676" s="346">
        <f t="shared" si="687"/>
        <v>23.290337235999999</v>
      </c>
      <c r="IW676" s="350">
        <f t="shared" si="700"/>
        <v>20.523277735000001</v>
      </c>
      <c r="IX676" s="350">
        <f t="shared" si="688"/>
        <v>15.448054749091831</v>
      </c>
      <c r="IY676" s="346">
        <f>FISC!AJ998</f>
        <v>35.971332484091832</v>
      </c>
      <c r="IZ676" s="350">
        <f t="shared" si="708"/>
        <v>18.221766674558111</v>
      </c>
      <c r="JA676" s="302">
        <f t="shared" si="689"/>
        <v>19.740247230771288</v>
      </c>
      <c r="JB676" s="346">
        <f>FISC!AK998</f>
        <v>37.9620139053294</v>
      </c>
      <c r="JC676" s="350">
        <f t="shared" si="709"/>
        <v>20.757170955338399</v>
      </c>
      <c r="JD676" s="302">
        <f t="shared" si="690"/>
        <v>22.4869352016166</v>
      </c>
      <c r="JE676" s="346">
        <f>FISC!AL998</f>
        <v>43.244106156954999</v>
      </c>
      <c r="JF676" s="350">
        <f t="shared" si="710"/>
        <v>22.704750707703838</v>
      </c>
      <c r="JG676" s="302">
        <f t="shared" si="691"/>
        <v>24.596813266679156</v>
      </c>
      <c r="JH676" s="346">
        <f>FISC!AM998</f>
        <v>47.301563974382994</v>
      </c>
      <c r="JI676" s="350">
        <f t="shared" si="711"/>
        <v>24.162976595223839</v>
      </c>
      <c r="JJ676" s="302">
        <f t="shared" si="701"/>
        <v>26.17655797815916</v>
      </c>
      <c r="JK676" s="346">
        <f>FISC!AN998</f>
        <v>50.339534573382998</v>
      </c>
      <c r="JL676" s="350">
        <f t="shared" si="712"/>
        <v>27.259012929086669</v>
      </c>
      <c r="JM676" s="302">
        <f t="shared" si="692"/>
        <v>29.53059733984389</v>
      </c>
      <c r="JN676" s="346">
        <f>FISC!AO998</f>
        <v>56.789610268930559</v>
      </c>
      <c r="KI676" s="349"/>
      <c r="KJ676" s="350"/>
    </row>
    <row r="677" spans="1:296" hidden="1" outlineLevel="1">
      <c r="A677" s="302"/>
      <c r="D677" s="1439" t="s">
        <v>502</v>
      </c>
      <c r="E677" s="346"/>
      <c r="F677" s="346"/>
      <c r="G677" s="346"/>
      <c r="H677" s="346"/>
      <c r="I677" s="346"/>
      <c r="J677" s="346"/>
      <c r="K677" s="346"/>
      <c r="L677" s="346"/>
      <c r="M677" s="346"/>
      <c r="N677" s="346"/>
      <c r="O677" s="346"/>
      <c r="P677" s="346"/>
      <c r="Q677" s="346"/>
      <c r="R677" s="346"/>
      <c r="S677" s="346"/>
      <c r="T677" s="346"/>
      <c r="U677" s="346"/>
      <c r="V677" s="346"/>
      <c r="W677" s="346"/>
      <c r="X677" s="346"/>
      <c r="Y677" s="346"/>
      <c r="Z677" s="346"/>
      <c r="AA677" s="346"/>
      <c r="AB677" s="346"/>
      <c r="AC677" s="346"/>
      <c r="AD677" s="346"/>
      <c r="AE677" s="346"/>
      <c r="AF677" s="346"/>
      <c r="AG677" s="346"/>
      <c r="AH677" s="346"/>
      <c r="AI677" s="346"/>
      <c r="AJ677" s="346"/>
      <c r="AK677" s="346"/>
      <c r="AL677" s="346"/>
      <c r="AM677" s="346"/>
      <c r="AN677" s="346"/>
      <c r="AO677" s="346"/>
      <c r="AP677" s="346"/>
      <c r="AQ677" s="346"/>
      <c r="AR677" s="346"/>
      <c r="AS677" s="346"/>
      <c r="AT677" s="346"/>
      <c r="AU677" s="346"/>
      <c r="AV677" s="346"/>
      <c r="AW677" s="346"/>
      <c r="AX677" s="346"/>
      <c r="AY677" s="346"/>
      <c r="AZ677" s="346"/>
      <c r="BA677" s="346"/>
      <c r="BB677" s="346"/>
      <c r="BC677" s="346"/>
      <c r="BD677" s="346"/>
      <c r="BE677" s="346"/>
      <c r="BF677" s="346"/>
      <c r="BG677" s="346"/>
      <c r="BH677" s="346"/>
      <c r="BI677" s="346"/>
      <c r="BJ677" s="346"/>
      <c r="BK677" s="346"/>
      <c r="BL677" s="346"/>
      <c r="BM677" s="346"/>
      <c r="BN677" s="346"/>
      <c r="BO677" s="346"/>
      <c r="BP677" s="346"/>
      <c r="BQ677" s="346"/>
      <c r="BR677" s="346"/>
      <c r="BS677" s="346"/>
      <c r="BT677" s="346"/>
      <c r="BU677" s="346"/>
      <c r="BV677" s="346"/>
      <c r="BW677" s="346"/>
      <c r="BX677" s="346"/>
      <c r="BY677" s="346"/>
      <c r="BZ677" s="346"/>
      <c r="CA677" s="346"/>
      <c r="CB677" s="346"/>
      <c r="CC677" s="346"/>
      <c r="CD677" s="352"/>
      <c r="CE677" s="346">
        <f t="shared" ref="CE677:DJ677" si="738">CE325</f>
        <v>0</v>
      </c>
      <c r="CF677" s="346">
        <f t="shared" si="738"/>
        <v>0</v>
      </c>
      <c r="CG677" s="346">
        <f t="shared" si="738"/>
        <v>0</v>
      </c>
      <c r="CH677" s="346">
        <f t="shared" si="738"/>
        <v>0</v>
      </c>
      <c r="CI677" s="346">
        <f t="shared" si="738"/>
        <v>0</v>
      </c>
      <c r="CJ677" s="346">
        <f t="shared" si="738"/>
        <v>0</v>
      </c>
      <c r="CK677" s="346">
        <f t="shared" si="738"/>
        <v>0</v>
      </c>
      <c r="CL677" s="346">
        <f t="shared" si="738"/>
        <v>0</v>
      </c>
      <c r="CM677" s="346">
        <f t="shared" si="738"/>
        <v>0</v>
      </c>
      <c r="CN677" s="346">
        <f t="shared" si="738"/>
        <v>0</v>
      </c>
      <c r="CO677" s="346">
        <f t="shared" si="738"/>
        <v>0</v>
      </c>
      <c r="CP677" s="348">
        <f t="shared" si="738"/>
        <v>0</v>
      </c>
      <c r="CQ677" s="346">
        <f t="shared" si="738"/>
        <v>0</v>
      </c>
      <c r="CR677" s="346">
        <f t="shared" si="738"/>
        <v>0</v>
      </c>
      <c r="CS677" s="346">
        <f t="shared" si="738"/>
        <v>0</v>
      </c>
      <c r="CT677" s="346">
        <f t="shared" si="738"/>
        <v>0</v>
      </c>
      <c r="CU677" s="346">
        <f t="shared" si="738"/>
        <v>0</v>
      </c>
      <c r="CV677" s="346">
        <f t="shared" si="738"/>
        <v>0</v>
      </c>
      <c r="CW677" s="346">
        <f t="shared" si="738"/>
        <v>0</v>
      </c>
      <c r="CX677" s="346">
        <f t="shared" si="738"/>
        <v>0</v>
      </c>
      <c r="CY677" s="346">
        <f t="shared" si="738"/>
        <v>0</v>
      </c>
      <c r="CZ677" s="346">
        <f t="shared" si="738"/>
        <v>0</v>
      </c>
      <c r="DA677" s="346">
        <f t="shared" si="738"/>
        <v>0</v>
      </c>
      <c r="DB677" s="1479">
        <f t="shared" si="738"/>
        <v>0</v>
      </c>
      <c r="DC677" s="346">
        <f t="shared" si="738"/>
        <v>0</v>
      </c>
      <c r="DD677" s="346">
        <f t="shared" si="738"/>
        <v>0</v>
      </c>
      <c r="DE677" s="346">
        <f t="shared" si="738"/>
        <v>0</v>
      </c>
      <c r="DF677" s="346">
        <f t="shared" si="738"/>
        <v>0</v>
      </c>
      <c r="DG677" s="346">
        <f t="shared" si="738"/>
        <v>0</v>
      </c>
      <c r="DH677" s="346">
        <f t="shared" si="738"/>
        <v>0</v>
      </c>
      <c r="DI677" s="346">
        <f t="shared" si="738"/>
        <v>0</v>
      </c>
      <c r="DJ677" s="346">
        <f t="shared" si="738"/>
        <v>0</v>
      </c>
      <c r="DK677" s="346">
        <f t="shared" ref="DK677:EP677" si="739">DK325</f>
        <v>0</v>
      </c>
      <c r="DL677" s="346">
        <f t="shared" si="739"/>
        <v>0</v>
      </c>
      <c r="DM677" s="346">
        <f t="shared" si="739"/>
        <v>0</v>
      </c>
      <c r="DN677" s="348">
        <f t="shared" si="739"/>
        <v>0</v>
      </c>
      <c r="DO677" s="346">
        <f t="shared" si="739"/>
        <v>0</v>
      </c>
      <c r="DP677" s="346">
        <f t="shared" si="739"/>
        <v>0</v>
      </c>
      <c r="DQ677" s="346">
        <f t="shared" si="739"/>
        <v>0</v>
      </c>
      <c r="DR677" s="346">
        <f t="shared" si="739"/>
        <v>0</v>
      </c>
      <c r="DS677" s="346">
        <f t="shared" si="739"/>
        <v>0</v>
      </c>
      <c r="DT677" s="346">
        <f t="shared" si="739"/>
        <v>0</v>
      </c>
      <c r="DU677" s="346">
        <f t="shared" si="739"/>
        <v>0</v>
      </c>
      <c r="DV677" s="346">
        <f t="shared" si="739"/>
        <v>0</v>
      </c>
      <c r="DW677" s="346">
        <f t="shared" si="739"/>
        <v>0</v>
      </c>
      <c r="DX677" s="346">
        <f t="shared" si="739"/>
        <v>0</v>
      </c>
      <c r="DY677" s="346">
        <f t="shared" si="739"/>
        <v>0</v>
      </c>
      <c r="DZ677" s="348">
        <f t="shared" si="739"/>
        <v>0</v>
      </c>
      <c r="EA677" s="346">
        <f t="shared" si="739"/>
        <v>0</v>
      </c>
      <c r="EB677" s="346">
        <f t="shared" si="739"/>
        <v>0</v>
      </c>
      <c r="EC677" s="346">
        <f t="shared" si="739"/>
        <v>0</v>
      </c>
      <c r="ED677" s="346">
        <f t="shared" si="739"/>
        <v>0</v>
      </c>
      <c r="EE677" s="346">
        <f t="shared" si="739"/>
        <v>0</v>
      </c>
      <c r="EF677" s="346">
        <f t="shared" si="739"/>
        <v>0</v>
      </c>
      <c r="EG677" s="346">
        <f t="shared" si="739"/>
        <v>0</v>
      </c>
      <c r="EH677" s="346">
        <f t="shared" si="739"/>
        <v>0</v>
      </c>
      <c r="EI677" s="346">
        <f t="shared" si="739"/>
        <v>0</v>
      </c>
      <c r="EJ677" s="346">
        <f t="shared" si="739"/>
        <v>0</v>
      </c>
      <c r="EK677" s="346">
        <f t="shared" si="739"/>
        <v>0</v>
      </c>
      <c r="EL677" s="348">
        <f t="shared" si="739"/>
        <v>0</v>
      </c>
      <c r="EM677" s="346">
        <f t="shared" si="739"/>
        <v>0</v>
      </c>
      <c r="EN677" s="346">
        <f t="shared" si="739"/>
        <v>0</v>
      </c>
      <c r="EO677" s="346">
        <f t="shared" si="739"/>
        <v>0</v>
      </c>
      <c r="EP677" s="346">
        <f t="shared" si="739"/>
        <v>0</v>
      </c>
      <c r="EQ677" s="346">
        <f t="shared" ref="EQ677:FV677" si="740">EQ325</f>
        <v>0</v>
      </c>
      <c r="ER677" s="346">
        <f t="shared" si="740"/>
        <v>0</v>
      </c>
      <c r="ES677" s="346">
        <f t="shared" si="740"/>
        <v>0</v>
      </c>
      <c r="ET677" s="346">
        <f t="shared" si="740"/>
        <v>0</v>
      </c>
      <c r="EU677" s="346">
        <f t="shared" si="740"/>
        <v>0</v>
      </c>
      <c r="EV677" s="346">
        <f t="shared" si="740"/>
        <v>0</v>
      </c>
      <c r="EW677" s="346">
        <f t="shared" si="740"/>
        <v>0</v>
      </c>
      <c r="EX677" s="348">
        <f t="shared" si="740"/>
        <v>0</v>
      </c>
      <c r="EY677" s="346">
        <f t="shared" si="740"/>
        <v>0</v>
      </c>
      <c r="EZ677" s="346">
        <f t="shared" si="740"/>
        <v>0</v>
      </c>
      <c r="FA677" s="346">
        <f t="shared" si="740"/>
        <v>0</v>
      </c>
      <c r="FB677" s="346">
        <f t="shared" si="740"/>
        <v>0</v>
      </c>
      <c r="FC677" s="346">
        <f t="shared" si="740"/>
        <v>0</v>
      </c>
      <c r="FD677" s="346">
        <f t="shared" si="740"/>
        <v>0</v>
      </c>
      <c r="FE677" s="346">
        <f t="shared" si="740"/>
        <v>0</v>
      </c>
      <c r="FF677" s="346">
        <f t="shared" si="740"/>
        <v>0</v>
      </c>
      <c r="FG677" s="346">
        <f t="shared" si="740"/>
        <v>0</v>
      </c>
      <c r="FH677" s="346">
        <f t="shared" si="740"/>
        <v>0</v>
      </c>
      <c r="FI677" s="346">
        <f t="shared" si="740"/>
        <v>0</v>
      </c>
      <c r="FJ677" s="348">
        <f t="shared" si="740"/>
        <v>0</v>
      </c>
      <c r="FK677" s="346">
        <f t="shared" si="740"/>
        <v>0</v>
      </c>
      <c r="FL677" s="346">
        <f t="shared" si="740"/>
        <v>0</v>
      </c>
      <c r="FM677" s="346">
        <f t="shared" si="740"/>
        <v>0</v>
      </c>
      <c r="FN677" s="346">
        <f t="shared" si="740"/>
        <v>0</v>
      </c>
      <c r="FO677" s="346">
        <f t="shared" si="740"/>
        <v>0</v>
      </c>
      <c r="FP677" s="346">
        <f t="shared" si="740"/>
        <v>0</v>
      </c>
      <c r="FQ677" s="346">
        <f t="shared" si="740"/>
        <v>0</v>
      </c>
      <c r="FR677" s="346">
        <f t="shared" si="740"/>
        <v>0</v>
      </c>
      <c r="FS677" s="346">
        <f t="shared" si="740"/>
        <v>0</v>
      </c>
      <c r="FT677" s="346">
        <f t="shared" si="740"/>
        <v>0</v>
      </c>
      <c r="FU677" s="346">
        <f t="shared" si="740"/>
        <v>0</v>
      </c>
      <c r="FV677" s="346">
        <f t="shared" si="740"/>
        <v>0</v>
      </c>
      <c r="FW677" s="346">
        <v>0</v>
      </c>
      <c r="FX677" s="346">
        <v>0</v>
      </c>
      <c r="FY677" s="346">
        <v>0</v>
      </c>
      <c r="FZ677" s="346">
        <v>0</v>
      </c>
      <c r="GA677" s="346">
        <v>0</v>
      </c>
      <c r="GB677" s="346">
        <v>0</v>
      </c>
      <c r="GC677" s="346">
        <v>0</v>
      </c>
      <c r="GD677" s="346">
        <v>0</v>
      </c>
      <c r="GE677" s="346">
        <v>0</v>
      </c>
      <c r="GF677" s="346">
        <v>0</v>
      </c>
      <c r="GG677" s="346">
        <v>0</v>
      </c>
      <c r="GH677" s="346">
        <v>0</v>
      </c>
      <c r="GI677" s="346">
        <f t="shared" ref="GI677:GT677" si="741">GI325</f>
        <v>0</v>
      </c>
      <c r="GJ677" s="346">
        <f t="shared" si="741"/>
        <v>0</v>
      </c>
      <c r="GK677" s="346">
        <f t="shared" si="741"/>
        <v>0</v>
      </c>
      <c r="GL677" s="346">
        <f t="shared" si="741"/>
        <v>0</v>
      </c>
      <c r="GM677" s="346">
        <f t="shared" si="741"/>
        <v>0</v>
      </c>
      <c r="GN677" s="346">
        <f t="shared" si="741"/>
        <v>0</v>
      </c>
      <c r="GO677" s="346">
        <f t="shared" si="741"/>
        <v>0</v>
      </c>
      <c r="GP677" s="346">
        <f t="shared" si="741"/>
        <v>0</v>
      </c>
      <c r="GQ677" s="346">
        <f t="shared" si="741"/>
        <v>0</v>
      </c>
      <c r="GR677" s="346">
        <f t="shared" si="741"/>
        <v>0</v>
      </c>
      <c r="GS677" s="346">
        <f t="shared" si="741"/>
        <v>0</v>
      </c>
      <c r="GT677" s="346">
        <f t="shared" si="741"/>
        <v>0</v>
      </c>
      <c r="GU677" s="346">
        <f t="shared" ref="GU677" si="742">GU325</f>
        <v>0</v>
      </c>
      <c r="GV677" s="346">
        <f t="shared" ref="GV677:HF677" si="743">GV325</f>
        <v>0</v>
      </c>
      <c r="GW677" s="346">
        <f t="shared" si="743"/>
        <v>0</v>
      </c>
      <c r="GX677" s="346">
        <f t="shared" si="743"/>
        <v>0</v>
      </c>
      <c r="GY677" s="346">
        <f t="shared" si="743"/>
        <v>0</v>
      </c>
      <c r="GZ677" s="346">
        <f t="shared" si="743"/>
        <v>0</v>
      </c>
      <c r="HA677" s="346">
        <f t="shared" si="743"/>
        <v>0</v>
      </c>
      <c r="HB677" s="346">
        <f t="shared" si="743"/>
        <v>0</v>
      </c>
      <c r="HC677" s="346">
        <f t="shared" si="743"/>
        <v>0</v>
      </c>
      <c r="HD677" s="346">
        <f t="shared" si="743"/>
        <v>0</v>
      </c>
      <c r="HE677" s="346">
        <f t="shared" si="743"/>
        <v>0</v>
      </c>
      <c r="HF677" s="346">
        <f t="shared" si="743"/>
        <v>0</v>
      </c>
      <c r="HG677" s="346">
        <f t="shared" ref="HG677:HL677" si="744">HG325</f>
        <v>0</v>
      </c>
      <c r="HH677" s="346">
        <f t="shared" si="744"/>
        <v>0</v>
      </c>
      <c r="HI677" s="346">
        <f t="shared" si="744"/>
        <v>0</v>
      </c>
      <c r="HJ677" s="346">
        <f t="shared" si="744"/>
        <v>0</v>
      </c>
      <c r="HK677" s="346">
        <f t="shared" si="744"/>
        <v>0</v>
      </c>
      <c r="HL677" s="346">
        <f t="shared" si="744"/>
        <v>0</v>
      </c>
      <c r="HM677" s="346"/>
      <c r="HN677" s="349"/>
      <c r="HO677" s="1439" t="s">
        <v>502</v>
      </c>
      <c r="HP677" s="307">
        <f t="shared" ref="HP677:HP686" si="745">SUM(CE677:CJ677)</f>
        <v>0</v>
      </c>
      <c r="HQ677" s="302">
        <f t="shared" ref="HQ677:HQ686" si="746">SUM(CK677:CP677)</f>
        <v>0</v>
      </c>
      <c r="HR677" s="346">
        <f t="shared" si="698"/>
        <v>0</v>
      </c>
      <c r="HS677" s="302">
        <f t="shared" ref="HS677:HS686" si="747">SUM(CQ677:CV677)</f>
        <v>0</v>
      </c>
      <c r="HT677" s="302">
        <f t="shared" ref="HT677:HT686" si="748">SUM(CW677:DB677)</f>
        <v>0</v>
      </c>
      <c r="HU677" s="346">
        <f t="shared" si="678"/>
        <v>0</v>
      </c>
      <c r="HV677" s="307">
        <f t="shared" ref="HV677:HV686" si="749">SUM(DC677:DH677)</f>
        <v>0</v>
      </c>
      <c r="HW677" s="302">
        <f t="shared" ref="HW677:HW686" si="750">SUM(DI677:DN677)</f>
        <v>0</v>
      </c>
      <c r="HX677" s="346">
        <f t="shared" si="679"/>
        <v>0</v>
      </c>
      <c r="HY677" s="350">
        <f t="shared" ref="HY677:HY686" si="751">SUM(DO677:DT677)</f>
        <v>0</v>
      </c>
      <c r="HZ677" s="302">
        <f t="shared" ref="HZ677:HZ686" si="752">SUM(DU677:DZ677)</f>
        <v>0</v>
      </c>
      <c r="IA677" s="346">
        <f t="shared" si="680"/>
        <v>0</v>
      </c>
      <c r="IB677" s="302">
        <f t="shared" ref="IB677:IB686" si="753">SUM(EA677:EF677)</f>
        <v>0</v>
      </c>
      <c r="IC677" s="302">
        <f t="shared" ref="IC677:IC686" si="754">SUM(EG677:EL677)</f>
        <v>0</v>
      </c>
      <c r="ID677" s="346">
        <f t="shared" si="681"/>
        <v>0</v>
      </c>
      <c r="IE677" s="350">
        <f t="shared" ref="IE677:IE686" si="755">SUM(EM677:ER677)</f>
        <v>0</v>
      </c>
      <c r="IF677" s="350">
        <f t="shared" ref="IF677:IF686" si="756">SUM(ES677:EX677)</f>
        <v>0</v>
      </c>
      <c r="IG677" s="346">
        <f t="shared" si="682"/>
        <v>0</v>
      </c>
      <c r="IH677" s="350">
        <f t="shared" ref="IH677:IH686" si="757">SUM(EY677:FD677)</f>
        <v>0</v>
      </c>
      <c r="II677" s="350">
        <f t="shared" ref="II677:II686" si="758">SUM(FE677:FJ677)</f>
        <v>0</v>
      </c>
      <c r="IJ677" s="346">
        <f t="shared" si="683"/>
        <v>0</v>
      </c>
      <c r="IK677" s="350">
        <f t="shared" ref="IK677:IK694" si="759">SUM(FK677:FP677)</f>
        <v>0</v>
      </c>
      <c r="IL677" s="350">
        <f t="shared" si="664"/>
        <v>0</v>
      </c>
      <c r="IM677" s="346">
        <f>IK677+IL677</f>
        <v>0</v>
      </c>
      <c r="IN677" s="350">
        <f t="shared" si="665"/>
        <v>0</v>
      </c>
      <c r="IO677" s="350">
        <f t="shared" si="666"/>
        <v>0</v>
      </c>
      <c r="IP677" s="346">
        <f t="shared" si="685"/>
        <v>0</v>
      </c>
      <c r="IQ677" s="350">
        <f t="shared" si="667"/>
        <v>0</v>
      </c>
      <c r="IR677" s="350">
        <f t="shared" si="668"/>
        <v>0</v>
      </c>
      <c r="IS677" s="346">
        <f t="shared" si="686"/>
        <v>0</v>
      </c>
      <c r="IT677" s="350">
        <f t="shared" si="699"/>
        <v>0</v>
      </c>
      <c r="IU677" s="350">
        <f t="shared" si="707"/>
        <v>0</v>
      </c>
      <c r="IV677" s="346">
        <f t="shared" si="687"/>
        <v>0</v>
      </c>
      <c r="IW677" s="350">
        <f t="shared" si="700"/>
        <v>0</v>
      </c>
      <c r="IX677" s="350">
        <f t="shared" si="688"/>
        <v>0</v>
      </c>
      <c r="IY677" s="346">
        <f>FISC!AJ999</f>
        <v>0</v>
      </c>
      <c r="IZ677" s="350">
        <f t="shared" si="708"/>
        <v>0</v>
      </c>
      <c r="JA677" s="302">
        <f t="shared" si="689"/>
        <v>0</v>
      </c>
      <c r="JB677" s="346">
        <f>FISC!AK999</f>
        <v>0</v>
      </c>
      <c r="JC677" s="350">
        <f t="shared" si="709"/>
        <v>0</v>
      </c>
      <c r="JD677" s="302">
        <f t="shared" si="690"/>
        <v>0</v>
      </c>
      <c r="JE677" s="346">
        <f>FISC!AL999</f>
        <v>0</v>
      </c>
      <c r="JF677" s="350">
        <f t="shared" si="710"/>
        <v>0</v>
      </c>
      <c r="JG677" s="302">
        <f t="shared" si="691"/>
        <v>0</v>
      </c>
      <c r="JH677" s="346">
        <f>FISC!AM999</f>
        <v>0</v>
      </c>
      <c r="JI677" s="350">
        <f t="shared" si="711"/>
        <v>0</v>
      </c>
      <c r="JJ677" s="302">
        <f t="shared" si="701"/>
        <v>0</v>
      </c>
      <c r="JK677" s="346">
        <f>FISC!AN999</f>
        <v>0</v>
      </c>
      <c r="JL677" s="350">
        <f t="shared" si="712"/>
        <v>0</v>
      </c>
      <c r="JM677" s="302">
        <f t="shared" si="692"/>
        <v>0</v>
      </c>
      <c r="JN677" s="346">
        <f>FISC!AO999</f>
        <v>0</v>
      </c>
      <c r="KI677" s="349"/>
      <c r="KJ677" s="350"/>
    </row>
    <row r="678" spans="1:296" hidden="1" outlineLevel="1">
      <c r="A678" s="302"/>
      <c r="D678" s="1439" t="s">
        <v>503</v>
      </c>
      <c r="E678" s="346"/>
      <c r="F678" s="346"/>
      <c r="G678" s="346"/>
      <c r="H678" s="346"/>
      <c r="I678" s="346"/>
      <c r="J678" s="346"/>
      <c r="K678" s="346"/>
      <c r="L678" s="346"/>
      <c r="M678" s="346"/>
      <c r="N678" s="346"/>
      <c r="O678" s="346"/>
      <c r="P678" s="346"/>
      <c r="Q678" s="346"/>
      <c r="R678" s="346"/>
      <c r="S678" s="346"/>
      <c r="T678" s="346"/>
      <c r="U678" s="346"/>
      <c r="V678" s="346"/>
      <c r="W678" s="346"/>
      <c r="X678" s="346"/>
      <c r="Y678" s="346"/>
      <c r="Z678" s="346"/>
      <c r="AA678" s="346"/>
      <c r="AB678" s="346"/>
      <c r="AC678" s="346"/>
      <c r="AD678" s="346"/>
      <c r="AE678" s="346"/>
      <c r="AF678" s="346"/>
      <c r="AG678" s="346"/>
      <c r="AH678" s="346"/>
      <c r="AI678" s="346"/>
      <c r="AJ678" s="346"/>
      <c r="AK678" s="346"/>
      <c r="AL678" s="346"/>
      <c r="AM678" s="346"/>
      <c r="AN678" s="346"/>
      <c r="AO678" s="346"/>
      <c r="AP678" s="346"/>
      <c r="AQ678" s="346"/>
      <c r="AR678" s="346"/>
      <c r="AS678" s="346"/>
      <c r="AT678" s="346"/>
      <c r="AU678" s="346"/>
      <c r="AV678" s="346"/>
      <c r="AW678" s="346"/>
      <c r="AX678" s="346"/>
      <c r="AY678" s="346"/>
      <c r="AZ678" s="346"/>
      <c r="BA678" s="346"/>
      <c r="BB678" s="346"/>
      <c r="BC678" s="346"/>
      <c r="BD678" s="346"/>
      <c r="BE678" s="346"/>
      <c r="BF678" s="346"/>
      <c r="BG678" s="346"/>
      <c r="BH678" s="346"/>
      <c r="BI678" s="346"/>
      <c r="BJ678" s="346"/>
      <c r="BK678" s="346"/>
      <c r="BL678" s="346"/>
      <c r="BM678" s="346"/>
      <c r="BN678" s="346"/>
      <c r="BO678" s="346"/>
      <c r="BP678" s="346"/>
      <c r="BQ678" s="346"/>
      <c r="BR678" s="346"/>
      <c r="BS678" s="346"/>
      <c r="BT678" s="346"/>
      <c r="BU678" s="346"/>
      <c r="BV678" s="346"/>
      <c r="BW678" s="346"/>
      <c r="BX678" s="346"/>
      <c r="BY678" s="346"/>
      <c r="BZ678" s="346"/>
      <c r="CA678" s="346"/>
      <c r="CB678" s="346"/>
      <c r="CC678" s="346"/>
      <c r="CD678" s="352"/>
      <c r="CE678" s="346">
        <f t="shared" ref="CE678:DJ678" si="760">CE326</f>
        <v>0</v>
      </c>
      <c r="CF678" s="346">
        <f t="shared" si="760"/>
        <v>0</v>
      </c>
      <c r="CG678" s="346">
        <f t="shared" si="760"/>
        <v>0</v>
      </c>
      <c r="CH678" s="346">
        <f t="shared" si="760"/>
        <v>0</v>
      </c>
      <c r="CI678" s="346">
        <f t="shared" si="760"/>
        <v>0</v>
      </c>
      <c r="CJ678" s="346">
        <f t="shared" si="760"/>
        <v>0</v>
      </c>
      <c r="CK678" s="346">
        <f t="shared" si="760"/>
        <v>0</v>
      </c>
      <c r="CL678" s="346">
        <f t="shared" si="760"/>
        <v>0</v>
      </c>
      <c r="CM678" s="346">
        <f t="shared" si="760"/>
        <v>0</v>
      </c>
      <c r="CN678" s="346">
        <f t="shared" si="760"/>
        <v>0</v>
      </c>
      <c r="CO678" s="346">
        <f t="shared" si="760"/>
        <v>0</v>
      </c>
      <c r="CP678" s="348">
        <f t="shared" si="760"/>
        <v>0</v>
      </c>
      <c r="CQ678" s="346">
        <f t="shared" si="760"/>
        <v>0</v>
      </c>
      <c r="CR678" s="346">
        <f t="shared" si="760"/>
        <v>0</v>
      </c>
      <c r="CS678" s="346">
        <f t="shared" si="760"/>
        <v>0</v>
      </c>
      <c r="CT678" s="346">
        <f t="shared" si="760"/>
        <v>0</v>
      </c>
      <c r="CU678" s="346">
        <f t="shared" si="760"/>
        <v>0</v>
      </c>
      <c r="CV678" s="346">
        <f t="shared" si="760"/>
        <v>0</v>
      </c>
      <c r="CW678" s="346">
        <f t="shared" si="760"/>
        <v>0</v>
      </c>
      <c r="CX678" s="346">
        <f t="shared" si="760"/>
        <v>0</v>
      </c>
      <c r="CY678" s="346">
        <f t="shared" si="760"/>
        <v>0</v>
      </c>
      <c r="CZ678" s="346">
        <f t="shared" si="760"/>
        <v>0</v>
      </c>
      <c r="DA678" s="346">
        <f t="shared" si="760"/>
        <v>0</v>
      </c>
      <c r="DB678" s="1479">
        <f t="shared" si="760"/>
        <v>0</v>
      </c>
      <c r="DC678" s="346">
        <f t="shared" si="760"/>
        <v>0</v>
      </c>
      <c r="DD678" s="346">
        <f t="shared" si="760"/>
        <v>0</v>
      </c>
      <c r="DE678" s="346">
        <f t="shared" si="760"/>
        <v>0</v>
      </c>
      <c r="DF678" s="346">
        <f t="shared" si="760"/>
        <v>0</v>
      </c>
      <c r="DG678" s="346">
        <f t="shared" si="760"/>
        <v>0</v>
      </c>
      <c r="DH678" s="346">
        <f t="shared" si="760"/>
        <v>0</v>
      </c>
      <c r="DI678" s="346">
        <f t="shared" si="760"/>
        <v>0</v>
      </c>
      <c r="DJ678" s="346">
        <f t="shared" si="760"/>
        <v>0</v>
      </c>
      <c r="DK678" s="346">
        <f t="shared" ref="DK678:EP678" si="761">DK326</f>
        <v>0</v>
      </c>
      <c r="DL678" s="346">
        <f t="shared" si="761"/>
        <v>0</v>
      </c>
      <c r="DM678" s="346">
        <f t="shared" si="761"/>
        <v>0</v>
      </c>
      <c r="DN678" s="348">
        <f t="shared" si="761"/>
        <v>0</v>
      </c>
      <c r="DO678" s="346">
        <f t="shared" si="761"/>
        <v>0</v>
      </c>
      <c r="DP678" s="346">
        <f t="shared" si="761"/>
        <v>0</v>
      </c>
      <c r="DQ678" s="346">
        <f t="shared" si="761"/>
        <v>0</v>
      </c>
      <c r="DR678" s="346">
        <f t="shared" si="761"/>
        <v>0</v>
      </c>
      <c r="DS678" s="346">
        <f t="shared" si="761"/>
        <v>0</v>
      </c>
      <c r="DT678" s="346">
        <f t="shared" si="761"/>
        <v>0</v>
      </c>
      <c r="DU678" s="346">
        <f t="shared" si="761"/>
        <v>0</v>
      </c>
      <c r="DV678" s="346">
        <f t="shared" si="761"/>
        <v>0</v>
      </c>
      <c r="DW678" s="346">
        <f t="shared" si="761"/>
        <v>0</v>
      </c>
      <c r="DX678" s="346">
        <f t="shared" si="761"/>
        <v>0</v>
      </c>
      <c r="DY678" s="346">
        <f t="shared" si="761"/>
        <v>0</v>
      </c>
      <c r="DZ678" s="348">
        <f t="shared" si="761"/>
        <v>0</v>
      </c>
      <c r="EA678" s="346">
        <f t="shared" si="761"/>
        <v>0</v>
      </c>
      <c r="EB678" s="346">
        <f t="shared" si="761"/>
        <v>0</v>
      </c>
      <c r="EC678" s="346">
        <f t="shared" si="761"/>
        <v>0</v>
      </c>
      <c r="ED678" s="346">
        <f t="shared" si="761"/>
        <v>0</v>
      </c>
      <c r="EE678" s="346">
        <f t="shared" si="761"/>
        <v>0</v>
      </c>
      <c r="EF678" s="346">
        <f t="shared" si="761"/>
        <v>0</v>
      </c>
      <c r="EG678" s="346">
        <f t="shared" si="761"/>
        <v>0</v>
      </c>
      <c r="EH678" s="346">
        <f t="shared" si="761"/>
        <v>0</v>
      </c>
      <c r="EI678" s="346">
        <f t="shared" si="761"/>
        <v>0</v>
      </c>
      <c r="EJ678" s="346">
        <f t="shared" si="761"/>
        <v>0</v>
      </c>
      <c r="EK678" s="346">
        <f t="shared" si="761"/>
        <v>0</v>
      </c>
      <c r="EL678" s="348">
        <f t="shared" si="761"/>
        <v>0</v>
      </c>
      <c r="EM678" s="346">
        <f t="shared" si="761"/>
        <v>0</v>
      </c>
      <c r="EN678" s="346">
        <f t="shared" si="761"/>
        <v>0</v>
      </c>
      <c r="EO678" s="346">
        <f t="shared" si="761"/>
        <v>0</v>
      </c>
      <c r="EP678" s="346">
        <f t="shared" si="761"/>
        <v>0</v>
      </c>
      <c r="EQ678" s="346">
        <f t="shared" ref="EQ678:FV678" si="762">EQ326</f>
        <v>0</v>
      </c>
      <c r="ER678" s="346">
        <f t="shared" si="762"/>
        <v>0</v>
      </c>
      <c r="ES678" s="346">
        <f t="shared" si="762"/>
        <v>0</v>
      </c>
      <c r="ET678" s="346">
        <f t="shared" si="762"/>
        <v>0</v>
      </c>
      <c r="EU678" s="346">
        <f t="shared" si="762"/>
        <v>0</v>
      </c>
      <c r="EV678" s="346">
        <f t="shared" si="762"/>
        <v>0</v>
      </c>
      <c r="EW678" s="346">
        <f t="shared" si="762"/>
        <v>0</v>
      </c>
      <c r="EX678" s="348">
        <f t="shared" si="762"/>
        <v>0</v>
      </c>
      <c r="EY678" s="346">
        <f t="shared" si="762"/>
        <v>0</v>
      </c>
      <c r="EZ678" s="346">
        <f t="shared" si="762"/>
        <v>0</v>
      </c>
      <c r="FA678" s="346">
        <f t="shared" si="762"/>
        <v>0</v>
      </c>
      <c r="FB678" s="346">
        <f t="shared" si="762"/>
        <v>0</v>
      </c>
      <c r="FC678" s="346">
        <f t="shared" si="762"/>
        <v>0</v>
      </c>
      <c r="FD678" s="346">
        <f t="shared" si="762"/>
        <v>0</v>
      </c>
      <c r="FE678" s="346">
        <f t="shared" si="762"/>
        <v>0</v>
      </c>
      <c r="FF678" s="346">
        <f t="shared" si="762"/>
        <v>0</v>
      </c>
      <c r="FG678" s="346">
        <f t="shared" si="762"/>
        <v>0</v>
      </c>
      <c r="FH678" s="346">
        <f t="shared" si="762"/>
        <v>0</v>
      </c>
      <c r="FI678" s="346">
        <f t="shared" si="762"/>
        <v>0</v>
      </c>
      <c r="FJ678" s="348">
        <f t="shared" si="762"/>
        <v>0</v>
      </c>
      <c r="FK678" s="346">
        <f t="shared" si="762"/>
        <v>0</v>
      </c>
      <c r="FL678" s="346">
        <f t="shared" si="762"/>
        <v>0</v>
      </c>
      <c r="FM678" s="346">
        <f t="shared" si="762"/>
        <v>0</v>
      </c>
      <c r="FN678" s="346">
        <f t="shared" si="762"/>
        <v>0</v>
      </c>
      <c r="FO678" s="346">
        <f t="shared" si="762"/>
        <v>0</v>
      </c>
      <c r="FP678" s="346">
        <f t="shared" si="762"/>
        <v>0</v>
      </c>
      <c r="FQ678" s="346">
        <f t="shared" si="762"/>
        <v>0</v>
      </c>
      <c r="FR678" s="346">
        <f t="shared" si="762"/>
        <v>0</v>
      </c>
      <c r="FS678" s="346">
        <f t="shared" si="762"/>
        <v>0</v>
      </c>
      <c r="FT678" s="346">
        <f t="shared" si="762"/>
        <v>0</v>
      </c>
      <c r="FU678" s="346">
        <f t="shared" si="762"/>
        <v>0</v>
      </c>
      <c r="FV678" s="346">
        <f t="shared" si="762"/>
        <v>0</v>
      </c>
      <c r="FW678" s="346">
        <v>0</v>
      </c>
      <c r="FX678" s="346">
        <v>0</v>
      </c>
      <c r="FY678" s="346">
        <v>0</v>
      </c>
      <c r="FZ678" s="346">
        <v>0</v>
      </c>
      <c r="GA678" s="346">
        <v>0</v>
      </c>
      <c r="GB678" s="346">
        <v>0</v>
      </c>
      <c r="GC678" s="346">
        <v>0</v>
      </c>
      <c r="GD678" s="346">
        <v>0</v>
      </c>
      <c r="GE678" s="346">
        <v>0</v>
      </c>
      <c r="GF678" s="346">
        <v>0</v>
      </c>
      <c r="GG678" s="346">
        <v>0</v>
      </c>
      <c r="GH678" s="346">
        <v>0</v>
      </c>
      <c r="GI678" s="346">
        <f t="shared" ref="GI678:GT678" si="763">GI326</f>
        <v>0</v>
      </c>
      <c r="GJ678" s="346">
        <f t="shared" si="763"/>
        <v>0</v>
      </c>
      <c r="GK678" s="346">
        <f t="shared" si="763"/>
        <v>0</v>
      </c>
      <c r="GL678" s="346">
        <f t="shared" si="763"/>
        <v>0</v>
      </c>
      <c r="GM678" s="346">
        <f t="shared" si="763"/>
        <v>0</v>
      </c>
      <c r="GN678" s="346">
        <f t="shared" si="763"/>
        <v>0</v>
      </c>
      <c r="GO678" s="346">
        <f t="shared" si="763"/>
        <v>0</v>
      </c>
      <c r="GP678" s="346">
        <f t="shared" si="763"/>
        <v>0</v>
      </c>
      <c r="GQ678" s="346">
        <f t="shared" si="763"/>
        <v>0</v>
      </c>
      <c r="GR678" s="346">
        <f t="shared" si="763"/>
        <v>0</v>
      </c>
      <c r="GS678" s="346">
        <f t="shared" si="763"/>
        <v>0</v>
      </c>
      <c r="GT678" s="346">
        <f t="shared" si="763"/>
        <v>0</v>
      </c>
      <c r="GU678" s="346">
        <f t="shared" ref="GU678" si="764">GU326</f>
        <v>0</v>
      </c>
      <c r="GV678" s="346">
        <f t="shared" ref="GV678:HF678" si="765">GV326</f>
        <v>0</v>
      </c>
      <c r="GW678" s="346">
        <f t="shared" si="765"/>
        <v>0</v>
      </c>
      <c r="GX678" s="346">
        <f t="shared" si="765"/>
        <v>0</v>
      </c>
      <c r="GY678" s="346">
        <f t="shared" si="765"/>
        <v>0</v>
      </c>
      <c r="GZ678" s="346">
        <f t="shared" si="765"/>
        <v>0</v>
      </c>
      <c r="HA678" s="346">
        <f t="shared" si="765"/>
        <v>0</v>
      </c>
      <c r="HB678" s="346">
        <f t="shared" si="765"/>
        <v>0</v>
      </c>
      <c r="HC678" s="346">
        <f t="shared" si="765"/>
        <v>0</v>
      </c>
      <c r="HD678" s="346">
        <f t="shared" si="765"/>
        <v>0</v>
      </c>
      <c r="HE678" s="346">
        <f t="shared" si="765"/>
        <v>0</v>
      </c>
      <c r="HF678" s="346">
        <f t="shared" si="765"/>
        <v>0</v>
      </c>
      <c r="HG678" s="346">
        <f t="shared" ref="HG678:HL678" si="766">HG326</f>
        <v>0</v>
      </c>
      <c r="HH678" s="346">
        <f t="shared" si="766"/>
        <v>0</v>
      </c>
      <c r="HI678" s="346">
        <f t="shared" si="766"/>
        <v>0</v>
      </c>
      <c r="HJ678" s="346">
        <f t="shared" si="766"/>
        <v>0</v>
      </c>
      <c r="HK678" s="346">
        <f t="shared" si="766"/>
        <v>0</v>
      </c>
      <c r="HL678" s="346">
        <f t="shared" si="766"/>
        <v>0</v>
      </c>
      <c r="HM678" s="346"/>
      <c r="HN678" s="349"/>
      <c r="HO678" s="1439" t="s">
        <v>503</v>
      </c>
      <c r="HP678" s="307">
        <f t="shared" si="745"/>
        <v>0</v>
      </c>
      <c r="HQ678" s="302">
        <f t="shared" si="746"/>
        <v>0</v>
      </c>
      <c r="HR678" s="346">
        <f t="shared" si="698"/>
        <v>0</v>
      </c>
      <c r="HS678" s="302">
        <f t="shared" si="747"/>
        <v>0</v>
      </c>
      <c r="HT678" s="302">
        <f t="shared" si="748"/>
        <v>0</v>
      </c>
      <c r="HU678" s="346">
        <f t="shared" si="678"/>
        <v>0</v>
      </c>
      <c r="HV678" s="307">
        <f t="shared" si="749"/>
        <v>0</v>
      </c>
      <c r="HW678" s="302">
        <f t="shared" si="750"/>
        <v>0</v>
      </c>
      <c r="HX678" s="346">
        <f t="shared" si="679"/>
        <v>0</v>
      </c>
      <c r="HY678" s="350">
        <f t="shared" si="751"/>
        <v>0</v>
      </c>
      <c r="HZ678" s="302">
        <f t="shared" si="752"/>
        <v>0</v>
      </c>
      <c r="IA678" s="346">
        <f t="shared" si="680"/>
        <v>0</v>
      </c>
      <c r="IB678" s="302">
        <f t="shared" si="753"/>
        <v>0</v>
      </c>
      <c r="IC678" s="302">
        <f t="shared" si="754"/>
        <v>0</v>
      </c>
      <c r="ID678" s="346">
        <f t="shared" si="681"/>
        <v>0</v>
      </c>
      <c r="IE678" s="350">
        <f t="shared" si="755"/>
        <v>0</v>
      </c>
      <c r="IF678" s="350">
        <f t="shared" si="756"/>
        <v>0</v>
      </c>
      <c r="IG678" s="346">
        <f t="shared" si="682"/>
        <v>0</v>
      </c>
      <c r="IH678" s="350">
        <f t="shared" si="757"/>
        <v>0</v>
      </c>
      <c r="II678" s="350">
        <f t="shared" si="758"/>
        <v>0</v>
      </c>
      <c r="IJ678" s="346">
        <f t="shared" si="683"/>
        <v>0</v>
      </c>
      <c r="IK678" s="350">
        <f t="shared" si="759"/>
        <v>0</v>
      </c>
      <c r="IL678" s="350">
        <f t="shared" si="664"/>
        <v>0</v>
      </c>
      <c r="IM678" s="346">
        <f t="shared" si="684"/>
        <v>0</v>
      </c>
      <c r="IN678" s="350">
        <f t="shared" si="665"/>
        <v>0</v>
      </c>
      <c r="IO678" s="350">
        <f t="shared" si="666"/>
        <v>0</v>
      </c>
      <c r="IP678" s="346">
        <f t="shared" si="685"/>
        <v>0</v>
      </c>
      <c r="IQ678" s="350">
        <f t="shared" si="667"/>
        <v>0</v>
      </c>
      <c r="IR678" s="350">
        <f t="shared" si="668"/>
        <v>0</v>
      </c>
      <c r="IS678" s="346">
        <f t="shared" si="686"/>
        <v>0</v>
      </c>
      <c r="IT678" s="350">
        <f t="shared" si="699"/>
        <v>0</v>
      </c>
      <c r="IU678" s="350">
        <f t="shared" si="707"/>
        <v>0</v>
      </c>
      <c r="IV678" s="346">
        <f t="shared" si="687"/>
        <v>0</v>
      </c>
      <c r="IW678" s="350">
        <f t="shared" si="700"/>
        <v>0</v>
      </c>
      <c r="IX678" s="350">
        <f t="shared" si="688"/>
        <v>0</v>
      </c>
      <c r="IY678" s="346">
        <f>FISC!AJ1000</f>
        <v>0</v>
      </c>
      <c r="IZ678" s="350">
        <f t="shared" si="708"/>
        <v>0</v>
      </c>
      <c r="JA678" s="302">
        <f t="shared" si="689"/>
        <v>0</v>
      </c>
      <c r="JB678" s="346">
        <f>FISC!AK1000</f>
        <v>0</v>
      </c>
      <c r="JC678" s="350">
        <f t="shared" si="709"/>
        <v>0</v>
      </c>
      <c r="JD678" s="302">
        <f t="shared" si="690"/>
        <v>0</v>
      </c>
      <c r="JE678" s="346">
        <f>FISC!AL1000</f>
        <v>0</v>
      </c>
      <c r="JF678" s="350">
        <f t="shared" si="710"/>
        <v>0</v>
      </c>
      <c r="JG678" s="302">
        <f t="shared" si="691"/>
        <v>0</v>
      </c>
      <c r="JH678" s="346">
        <f>FISC!AM1000</f>
        <v>0</v>
      </c>
      <c r="JI678" s="350">
        <f t="shared" si="711"/>
        <v>0</v>
      </c>
      <c r="JJ678" s="302">
        <f t="shared" si="701"/>
        <v>0</v>
      </c>
      <c r="JK678" s="346">
        <f>FISC!AN1000</f>
        <v>0</v>
      </c>
      <c r="JL678" s="350">
        <f t="shared" si="712"/>
        <v>0</v>
      </c>
      <c r="JM678" s="302">
        <f t="shared" si="692"/>
        <v>0</v>
      </c>
      <c r="JN678" s="346">
        <f>FISC!AO1000</f>
        <v>0</v>
      </c>
      <c r="KI678" s="349"/>
      <c r="KJ678" s="350"/>
    </row>
    <row r="679" spans="1:296" hidden="1" outlineLevel="1">
      <c r="A679" s="302"/>
      <c r="D679" s="1439" t="s">
        <v>505</v>
      </c>
      <c r="E679" s="346"/>
      <c r="F679" s="346"/>
      <c r="G679" s="346"/>
      <c r="H679" s="346"/>
      <c r="I679" s="346"/>
      <c r="J679" s="346"/>
      <c r="K679" s="346"/>
      <c r="L679" s="346"/>
      <c r="M679" s="346"/>
      <c r="N679" s="346"/>
      <c r="O679" s="346"/>
      <c r="P679" s="346"/>
      <c r="Q679" s="346"/>
      <c r="R679" s="346"/>
      <c r="S679" s="346"/>
      <c r="T679" s="346"/>
      <c r="U679" s="346"/>
      <c r="V679" s="346"/>
      <c r="W679" s="346"/>
      <c r="X679" s="346"/>
      <c r="Y679" s="346"/>
      <c r="Z679" s="346"/>
      <c r="AA679" s="346"/>
      <c r="AB679" s="346"/>
      <c r="AC679" s="346"/>
      <c r="AD679" s="346"/>
      <c r="AE679" s="346"/>
      <c r="AF679" s="346"/>
      <c r="AG679" s="346"/>
      <c r="AH679" s="346"/>
      <c r="AI679" s="346"/>
      <c r="AJ679" s="346"/>
      <c r="AK679" s="346"/>
      <c r="AL679" s="346"/>
      <c r="AM679" s="346"/>
      <c r="AN679" s="346"/>
      <c r="AO679" s="346"/>
      <c r="AP679" s="346"/>
      <c r="AQ679" s="346"/>
      <c r="AR679" s="346"/>
      <c r="AS679" s="346"/>
      <c r="AT679" s="346"/>
      <c r="AU679" s="346"/>
      <c r="AV679" s="346"/>
      <c r="AW679" s="346"/>
      <c r="AX679" s="346"/>
      <c r="AY679" s="346"/>
      <c r="AZ679" s="346"/>
      <c r="BA679" s="346"/>
      <c r="BB679" s="346"/>
      <c r="BC679" s="346"/>
      <c r="BD679" s="346"/>
      <c r="BE679" s="346"/>
      <c r="BF679" s="346"/>
      <c r="BG679" s="346"/>
      <c r="BH679" s="346"/>
      <c r="BI679" s="346"/>
      <c r="BJ679" s="346"/>
      <c r="BK679" s="346"/>
      <c r="BL679" s="346"/>
      <c r="BM679" s="346"/>
      <c r="BN679" s="346"/>
      <c r="BO679" s="346"/>
      <c r="BP679" s="346"/>
      <c r="BQ679" s="346"/>
      <c r="BR679" s="346"/>
      <c r="BS679" s="346"/>
      <c r="BT679" s="346"/>
      <c r="BU679" s="346"/>
      <c r="BV679" s="346"/>
      <c r="BW679" s="346"/>
      <c r="BX679" s="346"/>
      <c r="BY679" s="346"/>
      <c r="BZ679" s="346"/>
      <c r="CA679" s="346"/>
      <c r="CB679" s="346"/>
      <c r="CC679" s="346"/>
      <c r="CD679" s="352"/>
      <c r="CE679" s="346">
        <f t="shared" ref="CE679:DJ679" si="767">CE327</f>
        <v>0</v>
      </c>
      <c r="CF679" s="346">
        <f t="shared" si="767"/>
        <v>0</v>
      </c>
      <c r="CG679" s="346">
        <f t="shared" si="767"/>
        <v>0</v>
      </c>
      <c r="CH679" s="346">
        <f t="shared" si="767"/>
        <v>0</v>
      </c>
      <c r="CI679" s="346">
        <f t="shared" si="767"/>
        <v>0</v>
      </c>
      <c r="CJ679" s="346">
        <f t="shared" si="767"/>
        <v>0</v>
      </c>
      <c r="CK679" s="346">
        <f t="shared" si="767"/>
        <v>0</v>
      </c>
      <c r="CL679" s="346">
        <f t="shared" si="767"/>
        <v>0</v>
      </c>
      <c r="CM679" s="346">
        <f t="shared" si="767"/>
        <v>0</v>
      </c>
      <c r="CN679" s="346">
        <f t="shared" si="767"/>
        <v>0</v>
      </c>
      <c r="CO679" s="346">
        <f t="shared" si="767"/>
        <v>0</v>
      </c>
      <c r="CP679" s="348">
        <f t="shared" si="767"/>
        <v>0</v>
      </c>
      <c r="CQ679" s="346">
        <f t="shared" si="767"/>
        <v>0</v>
      </c>
      <c r="CR679" s="346">
        <f t="shared" si="767"/>
        <v>0</v>
      </c>
      <c r="CS679" s="346">
        <f t="shared" si="767"/>
        <v>0</v>
      </c>
      <c r="CT679" s="346">
        <f t="shared" si="767"/>
        <v>0</v>
      </c>
      <c r="CU679" s="346">
        <f t="shared" si="767"/>
        <v>0</v>
      </c>
      <c r="CV679" s="346">
        <f t="shared" si="767"/>
        <v>0</v>
      </c>
      <c r="CW679" s="346">
        <f t="shared" si="767"/>
        <v>0</v>
      </c>
      <c r="CX679" s="346">
        <f t="shared" si="767"/>
        <v>0</v>
      </c>
      <c r="CY679" s="346">
        <f t="shared" si="767"/>
        <v>0</v>
      </c>
      <c r="CZ679" s="346">
        <f t="shared" si="767"/>
        <v>0</v>
      </c>
      <c r="DA679" s="346">
        <f t="shared" si="767"/>
        <v>0</v>
      </c>
      <c r="DB679" s="1479">
        <f t="shared" si="767"/>
        <v>0</v>
      </c>
      <c r="DC679" s="346">
        <f t="shared" si="767"/>
        <v>0</v>
      </c>
      <c r="DD679" s="346">
        <f t="shared" si="767"/>
        <v>0</v>
      </c>
      <c r="DE679" s="346">
        <f t="shared" si="767"/>
        <v>0</v>
      </c>
      <c r="DF679" s="346">
        <f t="shared" si="767"/>
        <v>0</v>
      </c>
      <c r="DG679" s="346">
        <f t="shared" si="767"/>
        <v>0</v>
      </c>
      <c r="DH679" s="346">
        <f t="shared" si="767"/>
        <v>0</v>
      </c>
      <c r="DI679" s="346">
        <f t="shared" si="767"/>
        <v>0</v>
      </c>
      <c r="DJ679" s="346">
        <f t="shared" si="767"/>
        <v>0</v>
      </c>
      <c r="DK679" s="346">
        <f t="shared" ref="DK679:EP679" si="768">DK327</f>
        <v>0</v>
      </c>
      <c r="DL679" s="346">
        <f t="shared" si="768"/>
        <v>0</v>
      </c>
      <c r="DM679" s="346">
        <f t="shared" si="768"/>
        <v>0</v>
      </c>
      <c r="DN679" s="348">
        <f t="shared" si="768"/>
        <v>0</v>
      </c>
      <c r="DO679" s="346">
        <f t="shared" si="768"/>
        <v>0</v>
      </c>
      <c r="DP679" s="346">
        <f t="shared" si="768"/>
        <v>0</v>
      </c>
      <c r="DQ679" s="346">
        <f t="shared" si="768"/>
        <v>0</v>
      </c>
      <c r="DR679" s="346">
        <f t="shared" si="768"/>
        <v>0</v>
      </c>
      <c r="DS679" s="346">
        <f t="shared" si="768"/>
        <v>0</v>
      </c>
      <c r="DT679" s="346">
        <f t="shared" si="768"/>
        <v>0</v>
      </c>
      <c r="DU679" s="346">
        <f t="shared" si="768"/>
        <v>0</v>
      </c>
      <c r="DV679" s="346">
        <f t="shared" si="768"/>
        <v>0</v>
      </c>
      <c r="DW679" s="346">
        <f t="shared" si="768"/>
        <v>0</v>
      </c>
      <c r="DX679" s="346">
        <f t="shared" si="768"/>
        <v>0</v>
      </c>
      <c r="DY679" s="346">
        <f t="shared" si="768"/>
        <v>0</v>
      </c>
      <c r="DZ679" s="348">
        <f t="shared" si="768"/>
        <v>0</v>
      </c>
      <c r="EA679" s="346">
        <f t="shared" si="768"/>
        <v>0</v>
      </c>
      <c r="EB679" s="346">
        <f t="shared" si="768"/>
        <v>0</v>
      </c>
      <c r="EC679" s="346">
        <f t="shared" si="768"/>
        <v>0</v>
      </c>
      <c r="ED679" s="346">
        <f t="shared" si="768"/>
        <v>0</v>
      </c>
      <c r="EE679" s="346">
        <f t="shared" si="768"/>
        <v>0</v>
      </c>
      <c r="EF679" s="346">
        <f t="shared" si="768"/>
        <v>0</v>
      </c>
      <c r="EG679" s="346">
        <f t="shared" si="768"/>
        <v>0</v>
      </c>
      <c r="EH679" s="346">
        <f t="shared" si="768"/>
        <v>0</v>
      </c>
      <c r="EI679" s="346">
        <f t="shared" si="768"/>
        <v>0</v>
      </c>
      <c r="EJ679" s="346">
        <f t="shared" si="768"/>
        <v>0</v>
      </c>
      <c r="EK679" s="346">
        <f t="shared" si="768"/>
        <v>0</v>
      </c>
      <c r="EL679" s="348">
        <f t="shared" si="768"/>
        <v>0</v>
      </c>
      <c r="EM679" s="346">
        <f t="shared" si="768"/>
        <v>0</v>
      </c>
      <c r="EN679" s="346">
        <f t="shared" si="768"/>
        <v>0</v>
      </c>
      <c r="EO679" s="346">
        <f t="shared" si="768"/>
        <v>0</v>
      </c>
      <c r="EP679" s="346">
        <f t="shared" si="768"/>
        <v>0</v>
      </c>
      <c r="EQ679" s="346">
        <f t="shared" ref="EQ679:FP679" si="769">EQ327</f>
        <v>0</v>
      </c>
      <c r="ER679" s="346">
        <f t="shared" si="769"/>
        <v>0</v>
      </c>
      <c r="ES679" s="346">
        <f t="shared" si="769"/>
        <v>0</v>
      </c>
      <c r="ET679" s="346">
        <f t="shared" si="769"/>
        <v>0</v>
      </c>
      <c r="EU679" s="346">
        <f t="shared" si="769"/>
        <v>0</v>
      </c>
      <c r="EV679" s="346">
        <f t="shared" si="769"/>
        <v>0</v>
      </c>
      <c r="EW679" s="346">
        <f t="shared" si="769"/>
        <v>0</v>
      </c>
      <c r="EX679" s="348">
        <f t="shared" si="769"/>
        <v>0</v>
      </c>
      <c r="EY679" s="346">
        <f t="shared" si="769"/>
        <v>0</v>
      </c>
      <c r="EZ679" s="346">
        <f t="shared" si="769"/>
        <v>0</v>
      </c>
      <c r="FA679" s="346">
        <f t="shared" si="769"/>
        <v>0</v>
      </c>
      <c r="FB679" s="346">
        <f t="shared" si="769"/>
        <v>0</v>
      </c>
      <c r="FC679" s="346">
        <f t="shared" si="769"/>
        <v>0</v>
      </c>
      <c r="FD679" s="346">
        <f t="shared" si="769"/>
        <v>0</v>
      </c>
      <c r="FE679" s="346">
        <f t="shared" si="769"/>
        <v>0</v>
      </c>
      <c r="FF679" s="346">
        <f t="shared" si="769"/>
        <v>0</v>
      </c>
      <c r="FG679" s="346">
        <f t="shared" si="769"/>
        <v>0</v>
      </c>
      <c r="FH679" s="346">
        <f t="shared" si="769"/>
        <v>0</v>
      </c>
      <c r="FI679" s="346">
        <f t="shared" si="769"/>
        <v>0</v>
      </c>
      <c r="FJ679" s="348">
        <f t="shared" si="769"/>
        <v>0</v>
      </c>
      <c r="FK679" s="346">
        <f t="shared" si="769"/>
        <v>0</v>
      </c>
      <c r="FL679" s="346">
        <f t="shared" si="769"/>
        <v>0</v>
      </c>
      <c r="FM679" s="346">
        <f t="shared" si="769"/>
        <v>0</v>
      </c>
      <c r="FN679" s="346">
        <f t="shared" si="769"/>
        <v>0</v>
      </c>
      <c r="FO679" s="346">
        <f t="shared" si="769"/>
        <v>0</v>
      </c>
      <c r="FP679" s="346">
        <f t="shared" si="769"/>
        <v>0</v>
      </c>
      <c r="FQ679" s="346">
        <f t="shared" ref="FQ679:FV686" si="770">FQ327</f>
        <v>0</v>
      </c>
      <c r="FR679" s="346">
        <f t="shared" si="770"/>
        <v>0</v>
      </c>
      <c r="FS679" s="346">
        <f t="shared" si="770"/>
        <v>0</v>
      </c>
      <c r="FT679" s="346">
        <f t="shared" si="770"/>
        <v>0</v>
      </c>
      <c r="FU679" s="346">
        <f t="shared" si="770"/>
        <v>0</v>
      </c>
      <c r="FV679" s="346">
        <f t="shared" si="770"/>
        <v>0</v>
      </c>
      <c r="FW679" s="346">
        <v>0</v>
      </c>
      <c r="FX679" s="346">
        <v>0</v>
      </c>
      <c r="FY679" s="346">
        <v>0</v>
      </c>
      <c r="FZ679" s="346">
        <v>0</v>
      </c>
      <c r="GA679" s="346">
        <v>0</v>
      </c>
      <c r="GB679" s="346">
        <v>0</v>
      </c>
      <c r="GC679" s="346">
        <v>0</v>
      </c>
      <c r="GD679" s="346">
        <v>0</v>
      </c>
      <c r="GE679" s="346">
        <v>0</v>
      </c>
      <c r="GF679" s="346">
        <v>0</v>
      </c>
      <c r="GG679" s="346">
        <v>0</v>
      </c>
      <c r="GH679" s="346">
        <v>0</v>
      </c>
      <c r="GI679" s="346">
        <f t="shared" ref="GI679:GN679" si="771">GI327</f>
        <v>0</v>
      </c>
      <c r="GJ679" s="346">
        <f t="shared" si="771"/>
        <v>0</v>
      </c>
      <c r="GK679" s="346">
        <f t="shared" si="771"/>
        <v>0</v>
      </c>
      <c r="GL679" s="346">
        <f t="shared" si="771"/>
        <v>0</v>
      </c>
      <c r="GM679" s="346">
        <f t="shared" si="771"/>
        <v>0</v>
      </c>
      <c r="GN679" s="346">
        <f t="shared" si="771"/>
        <v>0</v>
      </c>
      <c r="GO679" s="346">
        <f t="shared" ref="GO679:GU679" si="772">GO327</f>
        <v>0</v>
      </c>
      <c r="GP679" s="346">
        <f t="shared" si="772"/>
        <v>0</v>
      </c>
      <c r="GQ679" s="346">
        <f t="shared" si="772"/>
        <v>0</v>
      </c>
      <c r="GR679" s="346">
        <f t="shared" si="772"/>
        <v>0</v>
      </c>
      <c r="GS679" s="346">
        <f t="shared" si="772"/>
        <v>0</v>
      </c>
      <c r="GT679" s="346">
        <f t="shared" si="772"/>
        <v>0</v>
      </c>
      <c r="GU679" s="346">
        <f t="shared" si="772"/>
        <v>0</v>
      </c>
      <c r="GV679" s="346">
        <f t="shared" ref="GV679:HF679" si="773">GV327</f>
        <v>0</v>
      </c>
      <c r="GW679" s="346">
        <f t="shared" si="773"/>
        <v>0</v>
      </c>
      <c r="GX679" s="346">
        <f t="shared" si="773"/>
        <v>0</v>
      </c>
      <c r="GY679" s="346">
        <f t="shared" si="773"/>
        <v>0</v>
      </c>
      <c r="GZ679" s="346">
        <f t="shared" si="773"/>
        <v>0</v>
      </c>
      <c r="HA679" s="346">
        <f t="shared" si="773"/>
        <v>0</v>
      </c>
      <c r="HB679" s="346">
        <f t="shared" si="773"/>
        <v>0</v>
      </c>
      <c r="HC679" s="346">
        <f t="shared" si="773"/>
        <v>0</v>
      </c>
      <c r="HD679" s="346">
        <f t="shared" si="773"/>
        <v>0</v>
      </c>
      <c r="HE679" s="346">
        <f t="shared" si="773"/>
        <v>0</v>
      </c>
      <c r="HF679" s="346">
        <f t="shared" si="773"/>
        <v>0</v>
      </c>
      <c r="HG679" s="346">
        <f t="shared" ref="HG679:HL679" si="774">HG327</f>
        <v>0</v>
      </c>
      <c r="HH679" s="346">
        <f t="shared" si="774"/>
        <v>0</v>
      </c>
      <c r="HI679" s="346">
        <f t="shared" si="774"/>
        <v>0</v>
      </c>
      <c r="HJ679" s="346">
        <f t="shared" si="774"/>
        <v>0</v>
      </c>
      <c r="HK679" s="346">
        <f t="shared" si="774"/>
        <v>0</v>
      </c>
      <c r="HL679" s="346">
        <f t="shared" si="774"/>
        <v>0</v>
      </c>
      <c r="HM679" s="346"/>
      <c r="HN679" s="349"/>
      <c r="HO679" s="1439" t="s">
        <v>505</v>
      </c>
      <c r="HP679" s="307">
        <f t="shared" si="745"/>
        <v>0</v>
      </c>
      <c r="HQ679" s="302">
        <f t="shared" si="746"/>
        <v>0</v>
      </c>
      <c r="HR679" s="346">
        <f t="shared" si="698"/>
        <v>0</v>
      </c>
      <c r="HS679" s="302">
        <f t="shared" si="747"/>
        <v>0</v>
      </c>
      <c r="HT679" s="302">
        <f t="shared" si="748"/>
        <v>0</v>
      </c>
      <c r="HU679" s="346">
        <f t="shared" si="678"/>
        <v>0</v>
      </c>
      <c r="HV679" s="307">
        <f t="shared" si="749"/>
        <v>0</v>
      </c>
      <c r="HW679" s="302">
        <f t="shared" si="750"/>
        <v>0</v>
      </c>
      <c r="HX679" s="346">
        <f t="shared" si="679"/>
        <v>0</v>
      </c>
      <c r="HY679" s="350">
        <f t="shared" si="751"/>
        <v>0</v>
      </c>
      <c r="HZ679" s="302">
        <f t="shared" si="752"/>
        <v>0</v>
      </c>
      <c r="IA679" s="346">
        <f t="shared" si="680"/>
        <v>0</v>
      </c>
      <c r="IB679" s="302">
        <f t="shared" si="753"/>
        <v>0</v>
      </c>
      <c r="IC679" s="302">
        <f t="shared" si="754"/>
        <v>0</v>
      </c>
      <c r="ID679" s="346">
        <f t="shared" si="681"/>
        <v>0</v>
      </c>
      <c r="IE679" s="350">
        <f t="shared" si="755"/>
        <v>0</v>
      </c>
      <c r="IF679" s="350">
        <f t="shared" si="756"/>
        <v>0</v>
      </c>
      <c r="IG679" s="346">
        <f t="shared" si="682"/>
        <v>0</v>
      </c>
      <c r="IH679" s="350">
        <f t="shared" si="757"/>
        <v>0</v>
      </c>
      <c r="II679" s="350">
        <f t="shared" si="758"/>
        <v>0</v>
      </c>
      <c r="IJ679" s="346">
        <f t="shared" si="683"/>
        <v>0</v>
      </c>
      <c r="IK679" s="350">
        <f t="shared" si="759"/>
        <v>0</v>
      </c>
      <c r="IL679" s="350">
        <f t="shared" si="664"/>
        <v>0</v>
      </c>
      <c r="IM679" s="346">
        <f t="shared" si="684"/>
        <v>0</v>
      </c>
      <c r="IN679" s="350">
        <f t="shared" si="665"/>
        <v>0</v>
      </c>
      <c r="IO679" s="350">
        <f t="shared" si="666"/>
        <v>0</v>
      </c>
      <c r="IP679" s="346">
        <f t="shared" si="685"/>
        <v>0</v>
      </c>
      <c r="IQ679" s="350">
        <f t="shared" si="667"/>
        <v>0</v>
      </c>
      <c r="IR679" s="350">
        <f t="shared" si="668"/>
        <v>0</v>
      </c>
      <c r="IS679" s="346">
        <f t="shared" si="686"/>
        <v>0</v>
      </c>
      <c r="IT679" s="350">
        <f t="shared" si="699"/>
        <v>0</v>
      </c>
      <c r="IU679" s="350">
        <f t="shared" si="707"/>
        <v>0</v>
      </c>
      <c r="IV679" s="346">
        <f t="shared" si="687"/>
        <v>0</v>
      </c>
      <c r="IW679" s="350">
        <f t="shared" si="700"/>
        <v>0</v>
      </c>
      <c r="IX679" s="350">
        <f t="shared" si="688"/>
        <v>0</v>
      </c>
      <c r="IY679" s="346">
        <f>FISC!AJ1001</f>
        <v>0</v>
      </c>
      <c r="IZ679" s="350">
        <f t="shared" si="708"/>
        <v>0</v>
      </c>
      <c r="JA679" s="302">
        <f t="shared" si="689"/>
        <v>0</v>
      </c>
      <c r="JB679" s="346">
        <f>FISC!AK1001</f>
        <v>0</v>
      </c>
      <c r="JC679" s="350">
        <f t="shared" si="709"/>
        <v>0</v>
      </c>
      <c r="JD679" s="302">
        <f t="shared" si="690"/>
        <v>0</v>
      </c>
      <c r="JE679" s="346">
        <f>FISC!AL1001</f>
        <v>0</v>
      </c>
      <c r="JF679" s="350">
        <f t="shared" si="710"/>
        <v>0</v>
      </c>
      <c r="JG679" s="302">
        <f t="shared" si="691"/>
        <v>0</v>
      </c>
      <c r="JH679" s="346">
        <f>FISC!AM1001</f>
        <v>0</v>
      </c>
      <c r="JI679" s="350">
        <f t="shared" si="711"/>
        <v>0</v>
      </c>
      <c r="JJ679" s="302">
        <f t="shared" si="701"/>
        <v>0</v>
      </c>
      <c r="JK679" s="346">
        <f>FISC!AN1001</f>
        <v>0</v>
      </c>
      <c r="JL679" s="350">
        <f t="shared" si="712"/>
        <v>0</v>
      </c>
      <c r="JM679" s="302">
        <f t="shared" si="692"/>
        <v>0</v>
      </c>
      <c r="JN679" s="346">
        <f>FISC!AO1001</f>
        <v>0</v>
      </c>
      <c r="KI679" s="349"/>
      <c r="KJ679" s="350"/>
    </row>
    <row r="680" spans="1:296" hidden="1" outlineLevel="1">
      <c r="A680" s="302"/>
      <c r="D680" s="1439" t="s">
        <v>506</v>
      </c>
      <c r="E680" s="346"/>
      <c r="F680" s="346"/>
      <c r="G680" s="346"/>
      <c r="H680" s="346"/>
      <c r="I680" s="346"/>
      <c r="J680" s="346"/>
      <c r="K680" s="346"/>
      <c r="L680" s="346"/>
      <c r="M680" s="346"/>
      <c r="N680" s="346"/>
      <c r="O680" s="346"/>
      <c r="P680" s="346"/>
      <c r="Q680" s="346"/>
      <c r="R680" s="346"/>
      <c r="S680" s="346"/>
      <c r="T680" s="346"/>
      <c r="U680" s="346"/>
      <c r="V680" s="346"/>
      <c r="W680" s="346"/>
      <c r="X680" s="346"/>
      <c r="Y680" s="346"/>
      <c r="Z680" s="346"/>
      <c r="AA680" s="346"/>
      <c r="AB680" s="346"/>
      <c r="AC680" s="346"/>
      <c r="AD680" s="346"/>
      <c r="AE680" s="346"/>
      <c r="AF680" s="346"/>
      <c r="AG680" s="346"/>
      <c r="AH680" s="346"/>
      <c r="AI680" s="346"/>
      <c r="AJ680" s="346"/>
      <c r="AK680" s="346"/>
      <c r="AL680" s="346"/>
      <c r="AM680" s="346"/>
      <c r="AN680" s="346"/>
      <c r="AO680" s="346"/>
      <c r="AP680" s="346"/>
      <c r="AQ680" s="346"/>
      <c r="AR680" s="346"/>
      <c r="AS680" s="346"/>
      <c r="AT680" s="346"/>
      <c r="AU680" s="346"/>
      <c r="AV680" s="346"/>
      <c r="AW680" s="346"/>
      <c r="AX680" s="346"/>
      <c r="AY680" s="346"/>
      <c r="AZ680" s="346"/>
      <c r="BA680" s="346"/>
      <c r="BB680" s="346"/>
      <c r="BC680" s="346"/>
      <c r="BD680" s="346"/>
      <c r="BE680" s="346"/>
      <c r="BF680" s="346"/>
      <c r="BG680" s="346"/>
      <c r="BH680" s="346"/>
      <c r="BI680" s="346"/>
      <c r="BJ680" s="346"/>
      <c r="BK680" s="346"/>
      <c r="BL680" s="346"/>
      <c r="BM680" s="346"/>
      <c r="BN680" s="346"/>
      <c r="BO680" s="346"/>
      <c r="BP680" s="346"/>
      <c r="BQ680" s="346"/>
      <c r="BR680" s="346"/>
      <c r="BS680" s="346"/>
      <c r="BT680" s="346"/>
      <c r="BU680" s="346"/>
      <c r="BV680" s="346"/>
      <c r="BW680" s="346"/>
      <c r="BX680" s="346"/>
      <c r="BY680" s="346"/>
      <c r="BZ680" s="346"/>
      <c r="CA680" s="346"/>
      <c r="CB680" s="346"/>
      <c r="CC680" s="346"/>
      <c r="CD680" s="352"/>
      <c r="CE680" s="346">
        <f t="shared" ref="CE680:DJ680" si="775">CE328</f>
        <v>0.18629873899999999</v>
      </c>
      <c r="CF680" s="346">
        <f t="shared" si="775"/>
        <v>0.15920899499999999</v>
      </c>
      <c r="CG680" s="346">
        <f t="shared" si="775"/>
        <v>0.178470882</v>
      </c>
      <c r="CH680" s="346">
        <f t="shared" si="775"/>
        <v>0.14890092199999999</v>
      </c>
      <c r="CI680" s="346">
        <f t="shared" si="775"/>
        <v>5.8584415000000001E-2</v>
      </c>
      <c r="CJ680" s="346">
        <f t="shared" si="775"/>
        <v>3.9388315E-2</v>
      </c>
      <c r="CK680" s="346">
        <f t="shared" si="775"/>
        <v>4.5191657000000003E-2</v>
      </c>
      <c r="CL680" s="346">
        <f t="shared" si="775"/>
        <v>3.8194131999999999E-2</v>
      </c>
      <c r="CM680" s="346">
        <f t="shared" si="775"/>
        <v>4.3593558999999997E-2</v>
      </c>
      <c r="CN680" s="346">
        <f t="shared" si="775"/>
        <v>5.3488122999999999E-2</v>
      </c>
      <c r="CO680" s="346">
        <f t="shared" si="775"/>
        <v>4.6426489000000001E-2</v>
      </c>
      <c r="CP680" s="348">
        <f t="shared" si="775"/>
        <v>4.8304062000000002E-2</v>
      </c>
      <c r="CQ680" s="346">
        <f t="shared" si="775"/>
        <v>5.2774271999999997E-2</v>
      </c>
      <c r="CR680" s="346">
        <f t="shared" si="775"/>
        <v>5.6541000000000001E-2</v>
      </c>
      <c r="CS680" s="346">
        <f t="shared" si="775"/>
        <v>5.7675382999999997E-2</v>
      </c>
      <c r="CT680" s="346">
        <f t="shared" si="775"/>
        <v>5.6808997E-2</v>
      </c>
      <c r="CU680" s="346">
        <f t="shared" si="775"/>
        <v>4.6964319999999997E-2</v>
      </c>
      <c r="CV680" s="346">
        <f t="shared" si="775"/>
        <v>5.4954225000000002E-2</v>
      </c>
      <c r="CW680" s="346">
        <f t="shared" si="775"/>
        <v>6.1769862000000002E-2</v>
      </c>
      <c r="CX680" s="346">
        <f t="shared" si="775"/>
        <v>6.6088794000000006E-2</v>
      </c>
      <c r="CY680" s="346">
        <f t="shared" si="775"/>
        <v>7.6501576000000002E-2</v>
      </c>
      <c r="CZ680" s="346">
        <f t="shared" si="775"/>
        <v>5.9327493000000002E-2</v>
      </c>
      <c r="DA680" s="346">
        <f t="shared" si="775"/>
        <v>7.2615232000000002E-2</v>
      </c>
      <c r="DB680" s="1479">
        <f t="shared" si="775"/>
        <v>7.5257155000000006E-2</v>
      </c>
      <c r="DC680" s="346">
        <f t="shared" si="775"/>
        <v>5.2479115912306515E-2</v>
      </c>
      <c r="DD680" s="346">
        <f t="shared" si="775"/>
        <v>5.585934207981038E-2</v>
      </c>
      <c r="DE680" s="346">
        <f t="shared" si="775"/>
        <v>5.4293539633636964E-2</v>
      </c>
      <c r="DF680" s="346">
        <f t="shared" si="775"/>
        <v>5.7689530012355966E-2</v>
      </c>
      <c r="DG680" s="346">
        <f t="shared" si="775"/>
        <v>5.2496844027921589E-2</v>
      </c>
      <c r="DH680" s="346">
        <f t="shared" si="775"/>
        <v>6.3531550415572804E-2</v>
      </c>
      <c r="DI680" s="346">
        <f t="shared" si="775"/>
        <v>6.6451509381005192E-2</v>
      </c>
      <c r="DJ680" s="346">
        <f t="shared" si="775"/>
        <v>7.8612076607345538E-2</v>
      </c>
      <c r="DK680" s="346">
        <f t="shared" ref="DK680:EP680" si="776">DK328</f>
        <v>8.6809078866404155E-2</v>
      </c>
      <c r="DL680" s="346">
        <f t="shared" si="776"/>
        <v>6.0433057344616049E-2</v>
      </c>
      <c r="DM680" s="346">
        <f t="shared" si="776"/>
        <v>8.1517176994374149E-2</v>
      </c>
      <c r="DN680" s="348">
        <f t="shared" si="776"/>
        <v>8.4506153423036967E-2</v>
      </c>
      <c r="DO680" s="346">
        <f t="shared" si="776"/>
        <v>5.2048008536990868E-2</v>
      </c>
      <c r="DP680" s="346">
        <f t="shared" si="776"/>
        <v>6.3192970219200617E-2</v>
      </c>
      <c r="DQ680" s="346">
        <f t="shared" si="776"/>
        <v>5.1235985145528594E-2</v>
      </c>
      <c r="DR680" s="346">
        <f t="shared" si="776"/>
        <v>5.4968291556039169E-2</v>
      </c>
      <c r="DS680" s="346">
        <f t="shared" si="776"/>
        <v>5.137729354512878E-2</v>
      </c>
      <c r="DT680" s="346">
        <f t="shared" si="776"/>
        <v>4.793513934449424E-2</v>
      </c>
      <c r="DU680" s="346">
        <f t="shared" si="776"/>
        <v>4.4889627093318708E-2</v>
      </c>
      <c r="DV680" s="346">
        <f t="shared" si="776"/>
        <v>4.096047780590089E-2</v>
      </c>
      <c r="DW680" s="346">
        <f t="shared" si="776"/>
        <v>5.4415358044534401E-2</v>
      </c>
      <c r="DX680" s="346">
        <f t="shared" si="776"/>
        <v>4.5040508734504929E-2</v>
      </c>
      <c r="DY680" s="346">
        <f t="shared" si="776"/>
        <v>5.8503370240740829E-2</v>
      </c>
      <c r="DZ680" s="348">
        <f t="shared" si="776"/>
        <v>4.5218736847096395E-2</v>
      </c>
      <c r="EA680" s="346">
        <f t="shared" si="776"/>
        <v>4.6187208084312523E-2</v>
      </c>
      <c r="EB680" s="346">
        <f t="shared" si="776"/>
        <v>2.375254384889523E-4</v>
      </c>
      <c r="EC680" s="346">
        <f t="shared" si="776"/>
        <v>7.1074944752443255E-4</v>
      </c>
      <c r="ED680" s="346">
        <f t="shared" si="776"/>
        <v>1.0269602923286729E-3</v>
      </c>
      <c r="EE680" s="346">
        <f t="shared" si="776"/>
        <v>1.7602672137668641E-4</v>
      </c>
      <c r="EF680" s="346">
        <f t="shared" si="776"/>
        <v>3.7982793851907113E-5</v>
      </c>
      <c r="EG680" s="346">
        <f t="shared" si="776"/>
        <v>3.6999291697052163E-4</v>
      </c>
      <c r="EH680" s="346">
        <f t="shared" si="776"/>
        <v>4.1395315342107527E-4</v>
      </c>
      <c r="EI680" s="346">
        <f t="shared" si="776"/>
        <v>1.9518984629729881E-5</v>
      </c>
      <c r="EJ680" s="346">
        <f t="shared" si="776"/>
        <v>2.3367160483534734E-5</v>
      </c>
      <c r="EK680" s="346">
        <f t="shared" si="776"/>
        <v>3.2329481420287988E-4</v>
      </c>
      <c r="EL680" s="348">
        <f t="shared" si="776"/>
        <v>1.2576885197768006E-4</v>
      </c>
      <c r="EM680" s="346">
        <f t="shared" si="776"/>
        <v>1.5298199999999999E-4</v>
      </c>
      <c r="EN680" s="346">
        <f t="shared" si="776"/>
        <v>0</v>
      </c>
      <c r="EO680" s="346">
        <f t="shared" si="776"/>
        <v>3.0000000000000001E-5</v>
      </c>
      <c r="EP680" s="346">
        <f t="shared" si="776"/>
        <v>2.5000000000000001E-5</v>
      </c>
      <c r="EQ680" s="346">
        <f t="shared" ref="EQ680:FP680" si="777">EQ328</f>
        <v>1.0795500000000001E-3</v>
      </c>
      <c r="ER680" s="346">
        <f t="shared" si="777"/>
        <v>3.0000000000000001E-5</v>
      </c>
      <c r="ES680" s="346">
        <f t="shared" si="777"/>
        <v>1.9601200000000001E-3</v>
      </c>
      <c r="ET680" s="346">
        <f t="shared" si="777"/>
        <v>1.2520000000000001E-4</v>
      </c>
      <c r="EU680" s="346">
        <f t="shared" si="777"/>
        <v>0</v>
      </c>
      <c r="EV680" s="346">
        <f t="shared" si="777"/>
        <v>1.088E-4</v>
      </c>
      <c r="EW680" s="346">
        <f t="shared" si="777"/>
        <v>7.6799999999999997E-5</v>
      </c>
      <c r="EX680" s="348">
        <f t="shared" si="777"/>
        <v>1.5E-5</v>
      </c>
      <c r="EY680" s="346">
        <f t="shared" si="777"/>
        <v>9.9058999999999994E-2</v>
      </c>
      <c r="EZ680" s="346">
        <f t="shared" si="777"/>
        <v>8.5198399999999994E-2</v>
      </c>
      <c r="FA680" s="346">
        <f t="shared" si="777"/>
        <v>7.63567E-2</v>
      </c>
      <c r="FB680" s="346">
        <f t="shared" si="777"/>
        <v>8.8739799999999994E-2</v>
      </c>
      <c r="FC680" s="346">
        <f t="shared" si="777"/>
        <v>5.3900799999999999E-2</v>
      </c>
      <c r="FD680" s="346">
        <f t="shared" si="777"/>
        <v>7.5960078E-2</v>
      </c>
      <c r="FE680" s="346">
        <f t="shared" si="777"/>
        <v>7.5316400000000006E-2</v>
      </c>
      <c r="FF680" s="346">
        <f t="shared" si="777"/>
        <v>6.9633775999999994E-2</v>
      </c>
      <c r="FG680" s="346">
        <f t="shared" si="777"/>
        <v>5.4080218999999999E-2</v>
      </c>
      <c r="FH680" s="346">
        <f t="shared" si="777"/>
        <v>6.0066E-3</v>
      </c>
      <c r="FI680" s="346">
        <f t="shared" si="777"/>
        <v>3.3464599999999997E-2</v>
      </c>
      <c r="FJ680" s="348">
        <f t="shared" si="777"/>
        <v>6.1432399999999998E-2</v>
      </c>
      <c r="FK680" s="346">
        <f t="shared" si="777"/>
        <v>6.8993600000000002E-2</v>
      </c>
      <c r="FL680" s="346">
        <f t="shared" si="777"/>
        <v>8.1558641000000001E-2</v>
      </c>
      <c r="FM680" s="346">
        <f t="shared" si="777"/>
        <v>7.3485800000000004E-2</v>
      </c>
      <c r="FN680" s="346">
        <f t="shared" si="777"/>
        <v>8.8610520809064286E-2</v>
      </c>
      <c r="FO680" s="346">
        <f t="shared" si="777"/>
        <v>6.7279644627024404E-2</v>
      </c>
      <c r="FP680" s="346">
        <f t="shared" si="777"/>
        <v>8.1074199999999999E-2</v>
      </c>
      <c r="FQ680" s="346">
        <f t="shared" si="770"/>
        <v>3.47984E-2</v>
      </c>
      <c r="FR680" s="346">
        <f t="shared" si="770"/>
        <v>5.0456300000000003E-2</v>
      </c>
      <c r="FS680" s="346">
        <f t="shared" si="770"/>
        <v>8.4759892552102548E-2</v>
      </c>
      <c r="FT680" s="346">
        <f t="shared" si="770"/>
        <v>7.0676377310043809E-2</v>
      </c>
      <c r="FU680" s="346">
        <f t="shared" si="770"/>
        <v>6.0885094000000001E-2</v>
      </c>
      <c r="FV680" s="346">
        <f t="shared" si="770"/>
        <v>7.2896464999999994E-2</v>
      </c>
      <c r="FW680" s="346">
        <v>3.2360800000000002E-2</v>
      </c>
      <c r="FX680" s="346">
        <v>6.4580128000000001E-2</v>
      </c>
      <c r="FY680" s="346">
        <v>6.8402000000000004E-2</v>
      </c>
      <c r="FZ680" s="346">
        <v>5.8953441523909536E-2</v>
      </c>
      <c r="GA680" s="346">
        <v>6.0339790582176596E-2</v>
      </c>
      <c r="GB680" s="346">
        <v>8.4150883999999995E-2</v>
      </c>
      <c r="GC680" s="346">
        <v>7.1144637999999996E-2</v>
      </c>
      <c r="GD680" s="346">
        <v>9.4180229000000004E-2</v>
      </c>
      <c r="GE680" s="346">
        <v>9.3732650000000001E-2</v>
      </c>
      <c r="GF680" s="346">
        <v>0.10326107599999999</v>
      </c>
      <c r="GG680" s="346">
        <v>9.9859117999999997E-2</v>
      </c>
      <c r="GH680" s="346">
        <v>0.1050020673773243</v>
      </c>
      <c r="GI680" s="346">
        <f t="shared" ref="GI680:GN680" si="778">GI328</f>
        <v>0</v>
      </c>
      <c r="GJ680" s="346">
        <f t="shared" si="778"/>
        <v>0</v>
      </c>
      <c r="GK680" s="346">
        <f t="shared" si="778"/>
        <v>0</v>
      </c>
      <c r="GL680" s="346">
        <f t="shared" si="778"/>
        <v>0</v>
      </c>
      <c r="GM680" s="346">
        <f t="shared" si="778"/>
        <v>0</v>
      </c>
      <c r="GN680" s="346">
        <f t="shared" si="778"/>
        <v>0</v>
      </c>
      <c r="GO680" s="346">
        <f t="shared" ref="GO680:GU680" si="779">GO328</f>
        <v>0</v>
      </c>
      <c r="GP680" s="346">
        <f t="shared" si="779"/>
        <v>0</v>
      </c>
      <c r="GQ680" s="346">
        <f t="shared" si="779"/>
        <v>0</v>
      </c>
      <c r="GR680" s="346">
        <f t="shared" si="779"/>
        <v>0</v>
      </c>
      <c r="GS680" s="346">
        <f t="shared" si="779"/>
        <v>0</v>
      </c>
      <c r="GT680" s="346">
        <f t="shared" si="779"/>
        <v>0</v>
      </c>
      <c r="GU680" s="346">
        <f t="shared" si="779"/>
        <v>0.47547929900000002</v>
      </c>
      <c r="GV680" s="346">
        <f t="shared" ref="GV680:HF680" si="780">GV328</f>
        <v>0.43885382099999998</v>
      </c>
      <c r="GW680" s="346">
        <f t="shared" si="780"/>
        <v>0.51562478599999995</v>
      </c>
      <c r="GX680" s="346">
        <f t="shared" si="780"/>
        <v>0.45634243099999999</v>
      </c>
      <c r="GY680" s="346">
        <f t="shared" si="780"/>
        <v>0.46226521700000001</v>
      </c>
      <c r="GZ680" s="346">
        <f t="shared" si="780"/>
        <v>0.468278413</v>
      </c>
      <c r="HA680" s="346">
        <f t="shared" si="780"/>
        <v>0.59799794900000003</v>
      </c>
      <c r="HB680" s="346">
        <f t="shared" si="780"/>
        <v>0.45727828100000001</v>
      </c>
      <c r="HC680" s="346">
        <f t="shared" si="780"/>
        <v>0.47951903200000001</v>
      </c>
      <c r="HD680" s="346">
        <f t="shared" si="780"/>
        <v>0.48487598700000001</v>
      </c>
      <c r="HE680" s="346">
        <f t="shared" si="780"/>
        <v>0.61109103600000003</v>
      </c>
      <c r="HF680" s="346">
        <f t="shared" si="780"/>
        <v>0.62623041245350075</v>
      </c>
      <c r="HG680" s="346">
        <f t="shared" ref="HG680:HL680" si="781">HG328</f>
        <v>0.69252155800000004</v>
      </c>
      <c r="HH680" s="346">
        <f t="shared" si="781"/>
        <v>0.62730457299999998</v>
      </c>
      <c r="HI680" s="346">
        <f t="shared" si="781"/>
        <v>0.60267086199999997</v>
      </c>
      <c r="HJ680" s="346">
        <f t="shared" si="781"/>
        <v>0.60076210399999996</v>
      </c>
      <c r="HK680" s="346">
        <f t="shared" si="781"/>
        <v>0.53064373799999998</v>
      </c>
      <c r="HL680" s="346">
        <f t="shared" si="781"/>
        <v>0.621475746</v>
      </c>
      <c r="HM680" s="346"/>
      <c r="HN680" s="349"/>
      <c r="HO680" s="1439" t="s">
        <v>506</v>
      </c>
      <c r="HP680" s="307">
        <f t="shared" si="745"/>
        <v>0.77085226799999984</v>
      </c>
      <c r="HQ680" s="302">
        <f t="shared" si="746"/>
        <v>0.27519802199999999</v>
      </c>
      <c r="HR680" s="346">
        <f t="shared" si="698"/>
        <v>1.0460502899999997</v>
      </c>
      <c r="HS680" s="302">
        <f t="shared" si="747"/>
        <v>0.32571819699999999</v>
      </c>
      <c r="HT680" s="302">
        <f t="shared" si="748"/>
        <v>0.41156011200000003</v>
      </c>
      <c r="HU680" s="346">
        <f t="shared" si="678"/>
        <v>0.73727830900000002</v>
      </c>
      <c r="HV680" s="307">
        <f t="shared" si="749"/>
        <v>0.33634992208160419</v>
      </c>
      <c r="HW680" s="302">
        <f t="shared" si="750"/>
        <v>0.45832905261678208</v>
      </c>
      <c r="HX680" s="346">
        <f t="shared" si="679"/>
        <v>0.79467897469838622</v>
      </c>
      <c r="HY680" s="350">
        <f t="shared" si="751"/>
        <v>0.32075768834738227</v>
      </c>
      <c r="HZ680" s="302">
        <f t="shared" si="752"/>
        <v>0.28902807876609615</v>
      </c>
      <c r="IA680" s="346">
        <f t="shared" si="680"/>
        <v>0.60978576711347843</v>
      </c>
      <c r="IB680" s="302">
        <f t="shared" si="753"/>
        <v>4.8376452777883168E-2</v>
      </c>
      <c r="IC680" s="302">
        <f t="shared" si="754"/>
        <v>1.2758958816854215E-3</v>
      </c>
      <c r="ID680" s="346">
        <f t="shared" si="681"/>
        <v>4.9652348659568586E-2</v>
      </c>
      <c r="IE680" s="350">
        <f t="shared" si="755"/>
        <v>1.3175320000000002E-3</v>
      </c>
      <c r="IF680" s="350">
        <f t="shared" si="756"/>
        <v>2.2859199999999999E-3</v>
      </c>
      <c r="IG680" s="346">
        <f t="shared" si="682"/>
        <v>3.603452E-3</v>
      </c>
      <c r="IH680" s="350">
        <f t="shared" si="757"/>
        <v>0.47921477799999995</v>
      </c>
      <c r="II680" s="350">
        <f t="shared" si="758"/>
        <v>0.29993399499999995</v>
      </c>
      <c r="IJ680" s="346">
        <f t="shared" si="683"/>
        <v>0.77914877299999996</v>
      </c>
      <c r="IK680" s="350">
        <f t="shared" si="759"/>
        <v>0.4610024064360887</v>
      </c>
      <c r="IL680" s="350">
        <f t="shared" si="664"/>
        <v>0.37447252886214633</v>
      </c>
      <c r="IM680" s="346">
        <f>IK680+IL680</f>
        <v>0.83547493529823502</v>
      </c>
      <c r="IN680" s="350">
        <f t="shared" si="665"/>
        <v>0.36878704410608609</v>
      </c>
      <c r="IO680" s="350">
        <f t="shared" si="666"/>
        <v>0.56717977837732436</v>
      </c>
      <c r="IP680" s="346">
        <f t="shared" si="685"/>
        <v>0.93596682248341045</v>
      </c>
      <c r="IQ680" s="350">
        <f t="shared" si="667"/>
        <v>0</v>
      </c>
      <c r="IR680" s="350">
        <f t="shared" si="668"/>
        <v>0</v>
      </c>
      <c r="IS680" s="346">
        <f t="shared" si="686"/>
        <v>0</v>
      </c>
      <c r="IT680" s="350">
        <f t="shared" si="699"/>
        <v>2.8168439670000001</v>
      </c>
      <c r="IU680" s="350">
        <f t="shared" si="707"/>
        <v>3.2569926974535006</v>
      </c>
      <c r="IV680" s="346">
        <f t="shared" si="687"/>
        <v>6.0738366644535002</v>
      </c>
      <c r="IW680" s="350">
        <f t="shared" si="700"/>
        <v>3.6753785810000004</v>
      </c>
      <c r="IX680" s="350">
        <f t="shared" si="688"/>
        <v>3.60319787554005</v>
      </c>
      <c r="IY680" s="346">
        <f>FISC!AJ1002</f>
        <v>7.2785764565400504</v>
      </c>
      <c r="IZ680" s="350">
        <f t="shared" si="708"/>
        <v>4.6892871990426102</v>
      </c>
      <c r="JA680" s="302">
        <f t="shared" si="689"/>
        <v>5.0800611322961622</v>
      </c>
      <c r="JB680" s="346">
        <f>FISC!AK1002</f>
        <v>9.7693483313387723</v>
      </c>
      <c r="JC680" s="350">
        <f t="shared" si="709"/>
        <v>5.4490680715556108</v>
      </c>
      <c r="JD680" s="302">
        <f t="shared" si="690"/>
        <v>5.9031570775185793</v>
      </c>
      <c r="JE680" s="346">
        <f>FISC!AL1002</f>
        <v>11.35222514907419</v>
      </c>
      <c r="JF680" s="350">
        <f t="shared" si="710"/>
        <v>6.5093836836674237</v>
      </c>
      <c r="JG680" s="302">
        <f t="shared" si="691"/>
        <v>7.0518323239730423</v>
      </c>
      <c r="JH680" s="346">
        <f>FISC!AM1002</f>
        <v>13.561216007640466</v>
      </c>
      <c r="JI680" s="350">
        <f t="shared" si="711"/>
        <v>6.1207398859208366</v>
      </c>
      <c r="JJ680" s="302">
        <f t="shared" si="701"/>
        <v>6.6308015430809073</v>
      </c>
      <c r="JK680" s="346">
        <f>FISC!AN1002</f>
        <v>12.751541429001744</v>
      </c>
      <c r="JL680" s="350">
        <f t="shared" si="712"/>
        <v>6.60519644789147</v>
      </c>
      <c r="JM680" s="302">
        <f t="shared" si="692"/>
        <v>7.1556294852157594</v>
      </c>
      <c r="JN680" s="346">
        <f>FISC!AO1002</f>
        <v>13.760825933107229</v>
      </c>
      <c r="KI680" s="349"/>
      <c r="KJ680" s="350"/>
    </row>
    <row r="681" spans="1:296" hidden="1" outlineLevel="1">
      <c r="A681" s="302"/>
      <c r="B681" s="117" t="s">
        <v>361</v>
      </c>
      <c r="D681" s="355" t="s">
        <v>507</v>
      </c>
      <c r="E681" s="346"/>
      <c r="F681" s="346"/>
      <c r="G681" s="346"/>
      <c r="H681" s="346"/>
      <c r="I681" s="346"/>
      <c r="J681" s="346"/>
      <c r="K681" s="346"/>
      <c r="L681" s="346"/>
      <c r="M681" s="346"/>
      <c r="N681" s="346"/>
      <c r="O681" s="346"/>
      <c r="P681" s="346"/>
      <c r="Q681" s="346"/>
      <c r="R681" s="346"/>
      <c r="S681" s="346"/>
      <c r="T681" s="346"/>
      <c r="U681" s="346"/>
      <c r="V681" s="346"/>
      <c r="W681" s="346"/>
      <c r="X681" s="346"/>
      <c r="Y681" s="346"/>
      <c r="Z681" s="346"/>
      <c r="AA681" s="346"/>
      <c r="AB681" s="346"/>
      <c r="AC681" s="346"/>
      <c r="AD681" s="346"/>
      <c r="AE681" s="346"/>
      <c r="AF681" s="346"/>
      <c r="AG681" s="346"/>
      <c r="AH681" s="346"/>
      <c r="AI681" s="346"/>
      <c r="AJ681" s="346"/>
      <c r="AK681" s="346"/>
      <c r="AL681" s="346"/>
      <c r="AM681" s="346"/>
      <c r="AN681" s="346"/>
      <c r="AO681" s="346">
        <v>17.045080924600001</v>
      </c>
      <c r="AP681" s="346">
        <v>15.375850726500001</v>
      </c>
      <c r="AQ681" s="346">
        <v>18.6100274402</v>
      </c>
      <c r="AR681" s="346">
        <v>16.440530884299999</v>
      </c>
      <c r="AS681" s="346">
        <v>15.350039650700001</v>
      </c>
      <c r="AT681" s="346">
        <v>18.058999721399999</v>
      </c>
      <c r="AU681" s="346">
        <v>17.492775146600003</v>
      </c>
      <c r="AV681" s="346">
        <v>19.390814389600003</v>
      </c>
      <c r="AW681" s="346">
        <v>19.507058581200003</v>
      </c>
      <c r="AX681" s="346">
        <v>18.399187242</v>
      </c>
      <c r="AY681" s="346">
        <v>20.183848600099999</v>
      </c>
      <c r="AZ681" s="346">
        <v>21.4360325687</v>
      </c>
      <c r="BA681" s="346">
        <v>22.824121529599999</v>
      </c>
      <c r="BB681" s="346">
        <v>18.683016350800003</v>
      </c>
      <c r="BC681" s="346">
        <v>21.339992549899996</v>
      </c>
      <c r="BD681" s="346">
        <v>21.006627921800003</v>
      </c>
      <c r="BE681" s="346">
        <v>21.867128856999997</v>
      </c>
      <c r="BF681" s="346">
        <v>22.1927202603</v>
      </c>
      <c r="BG681" s="346">
        <v>20.660311997299999</v>
      </c>
      <c r="BH681" s="346">
        <v>24.485219245099998</v>
      </c>
      <c r="BI681" s="346">
        <v>23.432227439400002</v>
      </c>
      <c r="BJ681" s="346">
        <v>21.023373335199999</v>
      </c>
      <c r="BK681" s="346">
        <v>22.8377025606</v>
      </c>
      <c r="BL681" s="346">
        <v>24.340718837399997</v>
      </c>
      <c r="BM681" s="346">
        <v>23.771749191399998</v>
      </c>
      <c r="BN681" s="346">
        <v>24.179452358199999</v>
      </c>
      <c r="BO681" s="346">
        <v>24.087836556399999</v>
      </c>
      <c r="BP681" s="346">
        <v>22.146452180600001</v>
      </c>
      <c r="BQ681" s="346">
        <v>24.0091000816</v>
      </c>
      <c r="BR681" s="346">
        <v>26.690848141500002</v>
      </c>
      <c r="BS681" s="346">
        <v>24.1000651174</v>
      </c>
      <c r="BT681" s="346">
        <v>25.790491357800001</v>
      </c>
      <c r="BU681" s="346">
        <v>27.199180325900002</v>
      </c>
      <c r="BV681" s="346">
        <v>25.751857735999998</v>
      </c>
      <c r="BW681" s="346">
        <v>24.1006961141</v>
      </c>
      <c r="BX681" s="346">
        <v>24.928988610300003</v>
      </c>
      <c r="BY681" s="346">
        <v>27.058124117400002</v>
      </c>
      <c r="BZ681" s="346">
        <v>24.023823872999998</v>
      </c>
      <c r="CA681" s="346">
        <v>25.757828007600004</v>
      </c>
      <c r="CB681" s="346">
        <v>25.1543730912</v>
      </c>
      <c r="CC681" s="346">
        <v>26.0025780729</v>
      </c>
      <c r="CD681" s="352">
        <f>CD329</f>
        <v>0</v>
      </c>
      <c r="CE681" s="346">
        <f t="shared" ref="CE681:DJ681" si="782">CE329</f>
        <v>26.193950407599999</v>
      </c>
      <c r="CF681" s="346">
        <f t="shared" si="782"/>
        <v>30.537244051999998</v>
      </c>
      <c r="CG681" s="346">
        <f t="shared" si="782"/>
        <v>31.713199928100003</v>
      </c>
      <c r="CH681" s="346">
        <f t="shared" si="782"/>
        <v>29.210378220000003</v>
      </c>
      <c r="CI681" s="346">
        <f t="shared" si="782"/>
        <v>30.778055479799995</v>
      </c>
      <c r="CJ681" s="346">
        <f t="shared" si="782"/>
        <v>29.573716512900003</v>
      </c>
      <c r="CK681" s="346">
        <f t="shared" si="782"/>
        <v>33.513913665799997</v>
      </c>
      <c r="CL681" s="346">
        <f t="shared" si="782"/>
        <v>30.433911302299997</v>
      </c>
      <c r="CM681" s="346">
        <f t="shared" si="782"/>
        <v>31.000781095999997</v>
      </c>
      <c r="CN681" s="346">
        <f t="shared" si="782"/>
        <v>30.170115046299998</v>
      </c>
      <c r="CO681" s="346">
        <f t="shared" si="782"/>
        <v>36.0058408242</v>
      </c>
      <c r="CP681" s="348">
        <f t="shared" si="782"/>
        <v>43.757739748199995</v>
      </c>
      <c r="CQ681" s="346">
        <f t="shared" si="782"/>
        <v>33.471184775199994</v>
      </c>
      <c r="CR681" s="346">
        <f t="shared" si="782"/>
        <v>33.434064120400002</v>
      </c>
      <c r="CS681" s="346">
        <f t="shared" si="782"/>
        <v>38.626960668099997</v>
      </c>
      <c r="CT681" s="346">
        <f t="shared" si="782"/>
        <v>31.706105306399998</v>
      </c>
      <c r="CU681" s="346">
        <f t="shared" si="782"/>
        <v>31.394059134400003</v>
      </c>
      <c r="CV681" s="346">
        <f t="shared" si="782"/>
        <v>35.882737953700001</v>
      </c>
      <c r="CW681" s="346">
        <f t="shared" si="782"/>
        <v>33.075159354500002</v>
      </c>
      <c r="CX681" s="346">
        <f t="shared" si="782"/>
        <v>31.039300498900001</v>
      </c>
      <c r="CY681" s="346">
        <f t="shared" si="782"/>
        <v>37.192440240000003</v>
      </c>
      <c r="CZ681" s="346">
        <f t="shared" si="782"/>
        <v>34.869681115199995</v>
      </c>
      <c r="DA681" s="346">
        <f t="shared" si="782"/>
        <v>34.499460470800003</v>
      </c>
      <c r="DB681" s="1479">
        <f t="shared" si="782"/>
        <v>47.369050485200006</v>
      </c>
      <c r="DC681" s="346">
        <f t="shared" si="782"/>
        <v>37.152220847247435</v>
      </c>
      <c r="DD681" s="346">
        <f t="shared" si="782"/>
        <v>39.11347159675941</v>
      </c>
      <c r="DE681" s="346">
        <f t="shared" si="782"/>
        <v>42.967671525083119</v>
      </c>
      <c r="DF681" s="346">
        <f t="shared" si="782"/>
        <v>44.94925926023231</v>
      </c>
      <c r="DG681" s="346">
        <f t="shared" si="782"/>
        <v>40.775350997670785</v>
      </c>
      <c r="DH681" s="346">
        <f t="shared" si="782"/>
        <v>42.918952010932088</v>
      </c>
      <c r="DI681" s="346">
        <f t="shared" si="782"/>
        <v>41.26642830750005</v>
      </c>
      <c r="DJ681" s="346">
        <f t="shared" si="782"/>
        <v>41.239115872312233</v>
      </c>
      <c r="DK681" s="346">
        <f t="shared" ref="DK681:EP681" si="783">DK329</f>
        <v>42.604703452951888</v>
      </c>
      <c r="DL681" s="346">
        <f t="shared" si="783"/>
        <v>41.523903473342031</v>
      </c>
      <c r="DM681" s="346">
        <f t="shared" si="783"/>
        <v>43.165366416875827</v>
      </c>
      <c r="DN681" s="348">
        <f t="shared" si="783"/>
        <v>59.092532898797486</v>
      </c>
      <c r="DO681" s="346">
        <f t="shared" si="783"/>
        <v>38.445664297665274</v>
      </c>
      <c r="DP681" s="346">
        <f t="shared" si="783"/>
        <v>41.233652227421587</v>
      </c>
      <c r="DQ681" s="346">
        <f t="shared" si="783"/>
        <v>45.783437808304797</v>
      </c>
      <c r="DR681" s="346">
        <f t="shared" si="783"/>
        <v>37.81452832372527</v>
      </c>
      <c r="DS681" s="346">
        <f t="shared" si="783"/>
        <v>40.020885699629673</v>
      </c>
      <c r="DT681" s="346">
        <f t="shared" si="783"/>
        <v>47.777370732519998</v>
      </c>
      <c r="DU681" s="346">
        <f t="shared" si="783"/>
        <v>42.835804453561529</v>
      </c>
      <c r="DV681" s="346">
        <f t="shared" si="783"/>
        <v>42.68298217757912</v>
      </c>
      <c r="DW681" s="346">
        <f t="shared" si="783"/>
        <v>48.179965031960045</v>
      </c>
      <c r="DX681" s="346">
        <f t="shared" si="783"/>
        <v>41.323544411150003</v>
      </c>
      <c r="DY681" s="346">
        <f t="shared" si="783"/>
        <v>43.841985045804634</v>
      </c>
      <c r="DZ681" s="348">
        <f t="shared" si="783"/>
        <v>60.086841465289396</v>
      </c>
      <c r="EA681" s="346">
        <f t="shared" si="783"/>
        <v>43.543357164931251</v>
      </c>
      <c r="EB681" s="346">
        <f t="shared" si="783"/>
        <v>44.347574842021515</v>
      </c>
      <c r="EC681" s="346">
        <f t="shared" si="783"/>
        <v>52.846526088215477</v>
      </c>
      <c r="ED681" s="346">
        <f t="shared" si="783"/>
        <v>48.225939134043763</v>
      </c>
      <c r="EE681" s="346">
        <f t="shared" si="783"/>
        <v>45.185369242105963</v>
      </c>
      <c r="EF681" s="346">
        <f t="shared" si="783"/>
        <v>55.9083828028878</v>
      </c>
      <c r="EG681" s="346">
        <f t="shared" si="783"/>
        <v>50.367792074604417</v>
      </c>
      <c r="EH681" s="346">
        <f t="shared" si="783"/>
        <v>46.768529444280837</v>
      </c>
      <c r="EI681" s="346">
        <f t="shared" si="783"/>
        <v>54.235682428344518</v>
      </c>
      <c r="EJ681" s="346">
        <f t="shared" si="783"/>
        <v>48.953844839073028</v>
      </c>
      <c r="EK681" s="346">
        <f t="shared" si="783"/>
        <v>50.189217396378183</v>
      </c>
      <c r="EL681" s="348">
        <f t="shared" si="783"/>
        <v>64.569952200011286</v>
      </c>
      <c r="EM681" s="346">
        <f t="shared" si="783"/>
        <v>47.52563120632</v>
      </c>
      <c r="EN681" s="346">
        <f t="shared" si="783"/>
        <v>54.722804146800009</v>
      </c>
      <c r="EO681" s="346">
        <f t="shared" si="783"/>
        <v>54.961715030960001</v>
      </c>
      <c r="EP681" s="346">
        <f t="shared" si="783"/>
        <v>49.389373737296673</v>
      </c>
      <c r="EQ681" s="346">
        <f t="shared" ref="EQ681:FP681" si="784">EQ329</f>
        <v>52.368215546056668</v>
      </c>
      <c r="ER681" s="346">
        <f t="shared" si="784"/>
        <v>62.180448366056659</v>
      </c>
      <c r="ES681" s="346">
        <f t="shared" si="784"/>
        <v>56.079019996352798</v>
      </c>
      <c r="ET681" s="346">
        <f t="shared" si="784"/>
        <v>56.402314137709936</v>
      </c>
      <c r="EU681" s="346">
        <f t="shared" si="784"/>
        <v>54.714496935680003</v>
      </c>
      <c r="EV681" s="346">
        <f t="shared" si="784"/>
        <v>57.778528300494401</v>
      </c>
      <c r="EW681" s="346">
        <f t="shared" si="784"/>
        <v>58.135009390280018</v>
      </c>
      <c r="EX681" s="348">
        <f t="shared" si="784"/>
        <v>71.773079526670003</v>
      </c>
      <c r="EY681" s="346">
        <f t="shared" si="784"/>
        <v>54.263382039290008</v>
      </c>
      <c r="EZ681" s="346">
        <f t="shared" si="784"/>
        <v>61.952180569923961</v>
      </c>
      <c r="FA681" s="346">
        <f t="shared" si="784"/>
        <v>61.400699289466829</v>
      </c>
      <c r="FB681" s="346">
        <f t="shared" si="784"/>
        <v>58.598301699079997</v>
      </c>
      <c r="FC681" s="346">
        <f t="shared" si="784"/>
        <v>60.445300122399203</v>
      </c>
      <c r="FD681" s="346">
        <f t="shared" si="784"/>
        <v>78.471032264479192</v>
      </c>
      <c r="FE681" s="346">
        <f t="shared" si="784"/>
        <v>66.07755830056</v>
      </c>
      <c r="FF681" s="346">
        <f t="shared" si="784"/>
        <v>58.48371647499664</v>
      </c>
      <c r="FG681" s="346">
        <f t="shared" si="784"/>
        <v>60.428050559280003</v>
      </c>
      <c r="FH681" s="346">
        <f t="shared" si="784"/>
        <v>38.734274717475898</v>
      </c>
      <c r="FI681" s="346">
        <f t="shared" si="784"/>
        <v>40.964304717332695</v>
      </c>
      <c r="FJ681" s="348">
        <f t="shared" si="784"/>
        <v>72.390007426795904</v>
      </c>
      <c r="FK681" s="346">
        <f t="shared" si="784"/>
        <v>54.168901728150594</v>
      </c>
      <c r="FL681" s="346">
        <f t="shared" si="784"/>
        <v>60.051041430954385</v>
      </c>
      <c r="FM681" s="346">
        <f t="shared" si="784"/>
        <v>71.479806972853822</v>
      </c>
      <c r="FN681" s="346">
        <f t="shared" si="784"/>
        <v>63.371288552983501</v>
      </c>
      <c r="FO681" s="346">
        <f t="shared" si="784"/>
        <v>61.997095310571702</v>
      </c>
      <c r="FP681" s="346">
        <f t="shared" si="784"/>
        <v>69.343101686268739</v>
      </c>
      <c r="FQ681" s="346">
        <f t="shared" si="770"/>
        <v>60.057290794969944</v>
      </c>
      <c r="FR681" s="346">
        <f t="shared" si="770"/>
        <v>58.694828293877428</v>
      </c>
      <c r="FS681" s="346">
        <f t="shared" si="770"/>
        <v>64.712181678315659</v>
      </c>
      <c r="FT681" s="346">
        <f t="shared" si="770"/>
        <v>64.673643356741692</v>
      </c>
      <c r="FU681" s="346">
        <f t="shared" si="770"/>
        <v>66.447717415473193</v>
      </c>
      <c r="FV681" s="346">
        <f t="shared" si="770"/>
        <v>80.95332279998722</v>
      </c>
      <c r="FW681" s="346">
        <v>57.455082833334053</v>
      </c>
      <c r="FX681" s="346">
        <v>61.040984403823927</v>
      </c>
      <c r="FY681" s="346">
        <v>71.34859550482399</v>
      </c>
      <c r="FZ681" s="346">
        <v>67.735260111406518</v>
      </c>
      <c r="GA681" s="346">
        <v>71.406121894751934</v>
      </c>
      <c r="GB681" s="346">
        <v>79.97994653947751</v>
      </c>
      <c r="GC681" s="346">
        <v>74.128009737574985</v>
      </c>
      <c r="GD681" s="346">
        <v>66.461552756245538</v>
      </c>
      <c r="GE681" s="346">
        <v>83.517696730099829</v>
      </c>
      <c r="GF681" s="346">
        <v>75.203753604971894</v>
      </c>
      <c r="GG681" s="346">
        <v>73.101989073323665</v>
      </c>
      <c r="GH681" s="346">
        <v>91.710698926614242</v>
      </c>
      <c r="GI681" s="346">
        <f t="shared" ref="GI681:HL681" si="785">GI329</f>
        <v>75.83596751694094</v>
      </c>
      <c r="GJ681" s="346">
        <f t="shared" si="785"/>
        <v>91.518969854744995</v>
      </c>
      <c r="GK681" s="346">
        <f t="shared" si="785"/>
        <v>89.953357421414836</v>
      </c>
      <c r="GL681" s="346">
        <f t="shared" si="785"/>
        <v>76.794259471496403</v>
      </c>
      <c r="GM681" s="346">
        <f t="shared" si="785"/>
        <v>79.812763006002214</v>
      </c>
      <c r="GN681" s="346">
        <f t="shared" si="785"/>
        <v>90.371227122600786</v>
      </c>
      <c r="GO681" s="346">
        <f>GO329</f>
        <v>93.541868119232603</v>
      </c>
      <c r="GP681" s="346">
        <f t="shared" si="785"/>
        <v>78.785211588544087</v>
      </c>
      <c r="GQ681" s="346">
        <f t="shared" si="785"/>
        <v>91.676332418468078</v>
      </c>
      <c r="GR681" s="346">
        <f t="shared" si="785"/>
        <v>80.289282286640002</v>
      </c>
      <c r="GS681" s="346">
        <f t="shared" si="785"/>
        <v>83.865236796749997</v>
      </c>
      <c r="GT681" s="346">
        <f t="shared" si="785"/>
        <v>97.978523219140015</v>
      </c>
      <c r="GU681" s="346">
        <f t="shared" si="785"/>
        <v>93.588156971670628</v>
      </c>
      <c r="GV681" s="346">
        <f t="shared" si="785"/>
        <v>95.09266117670154</v>
      </c>
      <c r="GW681" s="346">
        <f t="shared" si="785"/>
        <v>92.184935714847882</v>
      </c>
      <c r="GX681" s="346">
        <f t="shared" si="785"/>
        <v>95.011488550449997</v>
      </c>
      <c r="GY681" s="346">
        <f t="shared" si="785"/>
        <v>90.740672627979492</v>
      </c>
      <c r="GZ681" s="346">
        <f t="shared" si="785"/>
        <v>94.519543153649991</v>
      </c>
      <c r="HA681" s="346">
        <f t="shared" si="785"/>
        <v>108.52683890841251</v>
      </c>
      <c r="HB681" s="346">
        <f t="shared" si="785"/>
        <v>90.239175114779997</v>
      </c>
      <c r="HC681" s="346">
        <f t="shared" si="785"/>
        <v>93.516958395113221</v>
      </c>
      <c r="HD681" s="346">
        <f t="shared" si="785"/>
        <v>103.89674737625</v>
      </c>
      <c r="HE681" s="346">
        <f t="shared" si="785"/>
        <v>102.254227319295</v>
      </c>
      <c r="HF681" s="346">
        <f t="shared" si="785"/>
        <v>130.19032642524189</v>
      </c>
      <c r="HG681" s="346">
        <f t="shared" si="785"/>
        <v>119.87130082016913</v>
      </c>
      <c r="HH681" s="346">
        <f t="shared" si="785"/>
        <v>111.53782990078483</v>
      </c>
      <c r="HI681" s="346">
        <f t="shared" si="785"/>
        <v>112.14483491384611</v>
      </c>
      <c r="HJ681" s="346">
        <f t="shared" si="785"/>
        <v>124.95749331484998</v>
      </c>
      <c r="HK681" s="346">
        <f t="shared" si="785"/>
        <v>105.55191559369999</v>
      </c>
      <c r="HL681" s="346">
        <f t="shared" si="785"/>
        <v>113.80492420212138</v>
      </c>
      <c r="HM681" s="346"/>
      <c r="HN681" s="349"/>
      <c r="HO681" s="355" t="s">
        <v>507</v>
      </c>
      <c r="HP681" s="307">
        <f t="shared" si="745"/>
        <v>178.00654460040002</v>
      </c>
      <c r="HQ681" s="302">
        <f t="shared" si="746"/>
        <v>204.8823016828</v>
      </c>
      <c r="HR681" s="346">
        <f t="shared" si="698"/>
        <v>382.8888462832</v>
      </c>
      <c r="HS681" s="302">
        <f t="shared" si="747"/>
        <v>204.51511195820001</v>
      </c>
      <c r="HT681" s="302">
        <f t="shared" si="748"/>
        <v>218.04509216459999</v>
      </c>
      <c r="HU681" s="346">
        <f t="shared" si="678"/>
        <v>422.56020412279997</v>
      </c>
      <c r="HV681" s="307">
        <f t="shared" si="749"/>
        <v>247.87692623792515</v>
      </c>
      <c r="HW681" s="302">
        <f t="shared" si="750"/>
        <v>268.89205042177957</v>
      </c>
      <c r="HX681" s="346">
        <f t="shared" si="679"/>
        <v>516.76897665970478</v>
      </c>
      <c r="HY681" s="350">
        <f t="shared" si="751"/>
        <v>251.07553908926661</v>
      </c>
      <c r="HZ681" s="302">
        <f t="shared" si="752"/>
        <v>278.95112258534476</v>
      </c>
      <c r="IA681" s="346">
        <f t="shared" si="680"/>
        <v>530.02666167461143</v>
      </c>
      <c r="IB681" s="302">
        <f t="shared" si="753"/>
        <v>290.05714927420576</v>
      </c>
      <c r="IC681" s="302">
        <f t="shared" si="754"/>
        <v>315.08501838269228</v>
      </c>
      <c r="ID681" s="346">
        <f t="shared" si="681"/>
        <v>605.14216765689798</v>
      </c>
      <c r="IE681" s="350">
        <f t="shared" si="755"/>
        <v>321.14818803349004</v>
      </c>
      <c r="IF681" s="350">
        <f t="shared" si="756"/>
        <v>354.88244828718717</v>
      </c>
      <c r="IG681" s="346">
        <f t="shared" si="682"/>
        <v>676.03063632067722</v>
      </c>
      <c r="IH681" s="350">
        <f t="shared" si="757"/>
        <v>375.13089598463921</v>
      </c>
      <c r="II681" s="350">
        <f t="shared" si="758"/>
        <v>337.07791219644116</v>
      </c>
      <c r="IJ681" s="346">
        <f t="shared" si="683"/>
        <v>712.20880818108037</v>
      </c>
      <c r="IK681" s="350">
        <f t="shared" si="759"/>
        <v>380.41123568178273</v>
      </c>
      <c r="IL681" s="350">
        <f t="shared" si="664"/>
        <v>395.53898433936519</v>
      </c>
      <c r="IM681" s="346">
        <f t="shared" si="684"/>
        <v>775.95022002114797</v>
      </c>
      <c r="IN681" s="350">
        <f t="shared" si="665"/>
        <v>408.9659912876179</v>
      </c>
      <c r="IO681" s="350">
        <f t="shared" si="666"/>
        <v>464.12370082883012</v>
      </c>
      <c r="IP681" s="346">
        <f t="shared" si="685"/>
        <v>873.08969211644808</v>
      </c>
      <c r="IQ681" s="350">
        <f t="shared" si="667"/>
        <v>504.28654439320019</v>
      </c>
      <c r="IR681" s="350">
        <f t="shared" si="668"/>
        <v>526.13645442877475</v>
      </c>
      <c r="IS681" s="346">
        <f t="shared" si="686"/>
        <v>1030.4229988219749</v>
      </c>
      <c r="IT681" s="350">
        <f t="shared" si="699"/>
        <v>561.13745819529959</v>
      </c>
      <c r="IU681" s="350">
        <f t="shared" si="707"/>
        <v>628.62427353909266</v>
      </c>
      <c r="IV681" s="346">
        <f t="shared" si="687"/>
        <v>1189.7617317343922</v>
      </c>
      <c r="IW681" s="350">
        <f t="shared" si="700"/>
        <v>687.86829874547141</v>
      </c>
      <c r="IX681" s="350">
        <f t="shared" si="688"/>
        <v>780.60495838998065</v>
      </c>
      <c r="IY681" s="346">
        <f>FISC!AJ1003</f>
        <v>1468.4732571354521</v>
      </c>
      <c r="IZ681" s="350">
        <f t="shared" si="708"/>
        <v>869.13491767351672</v>
      </c>
      <c r="JA681" s="302">
        <f t="shared" si="689"/>
        <v>941.56282747964326</v>
      </c>
      <c r="JB681" s="346">
        <f>FISC!AK1003</f>
        <v>1810.69774515316</v>
      </c>
      <c r="JC681" s="350">
        <f t="shared" si="709"/>
        <v>1042.791135412818</v>
      </c>
      <c r="JD681" s="302">
        <f t="shared" si="690"/>
        <v>1129.6903966972197</v>
      </c>
      <c r="JE681" s="346">
        <f>FISC!AL1003</f>
        <v>2172.4815321100377</v>
      </c>
      <c r="JF681" s="350">
        <f t="shared" si="710"/>
        <v>1208.2078028279018</v>
      </c>
      <c r="JG681" s="302">
        <f t="shared" si="691"/>
        <v>1308.8917863968938</v>
      </c>
      <c r="JH681" s="346">
        <f>FISC!AM1003</f>
        <v>2517.0995892247956</v>
      </c>
      <c r="JI681" s="350">
        <f t="shared" si="711"/>
        <v>1382.14386331842</v>
      </c>
      <c r="JJ681" s="302">
        <f t="shared" si="701"/>
        <v>1497.3225185949552</v>
      </c>
      <c r="JK681" s="346">
        <f>FISC!AN1003</f>
        <v>2879.4663819133752</v>
      </c>
      <c r="JL681" s="350">
        <f t="shared" si="712"/>
        <v>1550.5335405871856</v>
      </c>
      <c r="JM681" s="302">
        <f t="shared" si="692"/>
        <v>1679.7446689694511</v>
      </c>
      <c r="JN681" s="346">
        <f>FISC!AO1003</f>
        <v>3230.2782095566367</v>
      </c>
      <c r="KI681" s="349"/>
      <c r="KJ681" s="350"/>
    </row>
    <row r="682" spans="1:296" hidden="1" outlineLevel="1">
      <c r="A682" s="302"/>
      <c r="D682" s="1439" t="s">
        <v>508</v>
      </c>
      <c r="E682" s="346"/>
      <c r="F682" s="346"/>
      <c r="G682" s="346"/>
      <c r="H682" s="346"/>
      <c r="I682" s="346"/>
      <c r="J682" s="346"/>
      <c r="K682" s="346"/>
      <c r="L682" s="346"/>
      <c r="M682" s="346"/>
      <c r="N682" s="346"/>
      <c r="O682" s="346"/>
      <c r="P682" s="346"/>
      <c r="Q682" s="346"/>
      <c r="R682" s="346"/>
      <c r="S682" s="346"/>
      <c r="T682" s="346"/>
      <c r="U682" s="346"/>
      <c r="V682" s="346"/>
      <c r="W682" s="346"/>
      <c r="X682" s="346"/>
      <c r="Y682" s="346"/>
      <c r="Z682" s="346"/>
      <c r="AA682" s="346"/>
      <c r="AB682" s="346"/>
      <c r="AC682" s="346"/>
      <c r="AD682" s="346"/>
      <c r="AE682" s="346"/>
      <c r="AF682" s="346"/>
      <c r="AG682" s="346"/>
      <c r="AH682" s="346"/>
      <c r="AI682" s="346"/>
      <c r="AJ682" s="346"/>
      <c r="AK682" s="346"/>
      <c r="AL682" s="346"/>
      <c r="AM682" s="346"/>
      <c r="AN682" s="346"/>
      <c r="AO682" s="346"/>
      <c r="AP682" s="346"/>
      <c r="AQ682" s="346"/>
      <c r="AR682" s="346"/>
      <c r="AS682" s="346"/>
      <c r="AT682" s="346"/>
      <c r="AU682" s="346"/>
      <c r="AV682" s="346"/>
      <c r="AW682" s="346"/>
      <c r="AX682" s="346"/>
      <c r="AY682" s="346"/>
      <c r="AZ682" s="346"/>
      <c r="BA682" s="346"/>
      <c r="BB682" s="346"/>
      <c r="BC682" s="346"/>
      <c r="BD682" s="346"/>
      <c r="BE682" s="346"/>
      <c r="BF682" s="346"/>
      <c r="BG682" s="346"/>
      <c r="BH682" s="346"/>
      <c r="BI682" s="346"/>
      <c r="BJ682" s="346"/>
      <c r="BK682" s="346"/>
      <c r="BL682" s="346"/>
      <c r="BM682" s="346"/>
      <c r="BN682" s="346"/>
      <c r="BO682" s="346"/>
      <c r="BP682" s="346"/>
      <c r="BQ682" s="346"/>
      <c r="BR682" s="346"/>
      <c r="BS682" s="346"/>
      <c r="BT682" s="346"/>
      <c r="BU682" s="346"/>
      <c r="BV682" s="346"/>
      <c r="BW682" s="346"/>
      <c r="BX682" s="346"/>
      <c r="BY682" s="346"/>
      <c r="BZ682" s="346"/>
      <c r="CA682" s="346"/>
      <c r="CB682" s="346"/>
      <c r="CC682" s="346"/>
      <c r="CD682" s="352"/>
      <c r="CE682" s="346">
        <f t="shared" ref="CE682:DJ682" si="786">CE330</f>
        <v>15.881936169600001</v>
      </c>
      <c r="CF682" s="346">
        <f t="shared" si="786"/>
        <v>18.854891973000001</v>
      </c>
      <c r="CG682" s="346">
        <f t="shared" si="786"/>
        <v>21.022694216100003</v>
      </c>
      <c r="CH682" s="346">
        <f t="shared" si="786"/>
        <v>18.475735869000001</v>
      </c>
      <c r="CI682" s="346">
        <f t="shared" si="786"/>
        <v>20.979492343799997</v>
      </c>
      <c r="CJ682" s="346">
        <f t="shared" si="786"/>
        <v>20.168021736900002</v>
      </c>
      <c r="CK682" s="346">
        <f t="shared" si="786"/>
        <v>21.989315188799999</v>
      </c>
      <c r="CL682" s="346">
        <f t="shared" si="786"/>
        <v>20.275165771299999</v>
      </c>
      <c r="CM682" s="346">
        <f t="shared" si="786"/>
        <v>20.410296612</v>
      </c>
      <c r="CN682" s="346">
        <f t="shared" si="786"/>
        <v>19.940888978299999</v>
      </c>
      <c r="CO682" s="346">
        <f t="shared" si="786"/>
        <v>26.053933561200001</v>
      </c>
      <c r="CP682" s="348">
        <f t="shared" si="786"/>
        <v>33.077771980199998</v>
      </c>
      <c r="CQ682" s="346">
        <f t="shared" si="786"/>
        <v>33.471184775199994</v>
      </c>
      <c r="CR682" s="346">
        <f t="shared" si="786"/>
        <v>33.434064120400002</v>
      </c>
      <c r="CS682" s="346">
        <f t="shared" si="786"/>
        <v>38.626960668099997</v>
      </c>
      <c r="CT682" s="346">
        <f t="shared" si="786"/>
        <v>31.706105306399998</v>
      </c>
      <c r="CU682" s="346">
        <f t="shared" si="786"/>
        <v>31.394059134400003</v>
      </c>
      <c r="CV682" s="346">
        <f t="shared" si="786"/>
        <v>35.882737953700001</v>
      </c>
      <c r="CW682" s="346">
        <f t="shared" si="786"/>
        <v>33.075159354500002</v>
      </c>
      <c r="CX682" s="346">
        <f t="shared" si="786"/>
        <v>31.039300498900001</v>
      </c>
      <c r="CY682" s="346">
        <f t="shared" si="786"/>
        <v>37.192440240000003</v>
      </c>
      <c r="CZ682" s="346">
        <f t="shared" si="786"/>
        <v>34.869681115199995</v>
      </c>
      <c r="DA682" s="346">
        <f t="shared" si="786"/>
        <v>34.499460470800003</v>
      </c>
      <c r="DB682" s="1479">
        <f t="shared" si="786"/>
        <v>47.369050485200006</v>
      </c>
      <c r="DC682" s="346">
        <f t="shared" si="786"/>
        <v>23.266508495967319</v>
      </c>
      <c r="DD682" s="346">
        <f t="shared" si="786"/>
        <v>23.758111601567538</v>
      </c>
      <c r="DE682" s="346">
        <f t="shared" si="786"/>
        <v>27.771328359273731</v>
      </c>
      <c r="DF682" s="346">
        <f t="shared" si="786"/>
        <v>26.057107734049509</v>
      </c>
      <c r="DG682" s="346">
        <f t="shared" si="786"/>
        <v>25.026585214483969</v>
      </c>
      <c r="DH682" s="346">
        <f t="shared" si="786"/>
        <v>25.517735918346453</v>
      </c>
      <c r="DI682" s="346">
        <f t="shared" si="786"/>
        <v>25.528013021523304</v>
      </c>
      <c r="DJ682" s="346">
        <f t="shared" si="786"/>
        <v>24.555686210496649</v>
      </c>
      <c r="DK682" s="346">
        <f t="shared" ref="DK682:EP682" si="787">DK330</f>
        <v>26.906421522073092</v>
      </c>
      <c r="DL682" s="346">
        <f t="shared" si="787"/>
        <v>23.506149810616684</v>
      </c>
      <c r="DM682" s="346">
        <f t="shared" si="787"/>
        <v>24.68303512760636</v>
      </c>
      <c r="DN682" s="348">
        <f t="shared" si="787"/>
        <v>36.569341124057701</v>
      </c>
      <c r="DO682" s="346">
        <f t="shared" si="787"/>
        <v>25.701807561024744</v>
      </c>
      <c r="DP682" s="346">
        <f t="shared" si="787"/>
        <v>26.397325789838082</v>
      </c>
      <c r="DQ682" s="346">
        <f t="shared" si="787"/>
        <v>31.555241930825211</v>
      </c>
      <c r="DR682" s="346">
        <f t="shared" si="787"/>
        <v>26.863054138133752</v>
      </c>
      <c r="DS682" s="346">
        <f t="shared" si="787"/>
        <v>26.717636984190449</v>
      </c>
      <c r="DT682" s="346">
        <f t="shared" si="787"/>
        <v>32.69728655681979</v>
      </c>
      <c r="DU682" s="346">
        <f t="shared" si="787"/>
        <v>29.609370200203948</v>
      </c>
      <c r="DV682" s="346">
        <f t="shared" si="787"/>
        <v>30.218131036601271</v>
      </c>
      <c r="DW682" s="346">
        <f t="shared" si="787"/>
        <v>34.381804019969429</v>
      </c>
      <c r="DX682" s="346">
        <f t="shared" si="787"/>
        <v>28.627043046811128</v>
      </c>
      <c r="DY682" s="346">
        <f t="shared" si="787"/>
        <v>30.426527154767683</v>
      </c>
      <c r="DZ682" s="348">
        <f t="shared" si="787"/>
        <v>45.255670960007315</v>
      </c>
      <c r="EA682" s="346">
        <f t="shared" si="787"/>
        <v>29.397361652393904</v>
      </c>
      <c r="EB682" s="346">
        <f t="shared" si="787"/>
        <v>29.655846328871178</v>
      </c>
      <c r="EC682" s="346">
        <f t="shared" si="787"/>
        <v>38.342055351274077</v>
      </c>
      <c r="ED682" s="346">
        <f t="shared" si="787"/>
        <v>33.930998060903121</v>
      </c>
      <c r="EE682" s="346">
        <f t="shared" si="787"/>
        <v>31.829732903307988</v>
      </c>
      <c r="EF682" s="346">
        <f t="shared" si="787"/>
        <v>40.563303410143575</v>
      </c>
      <c r="EG682" s="346">
        <f t="shared" si="787"/>
        <v>35.919538485570449</v>
      </c>
      <c r="EH682" s="346">
        <f t="shared" si="787"/>
        <v>32.726659883868365</v>
      </c>
      <c r="EI682" s="346">
        <f t="shared" si="787"/>
        <v>39.61005153807298</v>
      </c>
      <c r="EJ682" s="346">
        <f t="shared" si="787"/>
        <v>34.021254095932044</v>
      </c>
      <c r="EK682" s="346">
        <f t="shared" si="787"/>
        <v>34.65518012998443</v>
      </c>
      <c r="EL682" s="348">
        <f t="shared" si="787"/>
        <v>46.603714353491178</v>
      </c>
      <c r="EM682" s="346">
        <f t="shared" si="787"/>
        <v>30.906249728319999</v>
      </c>
      <c r="EN682" s="346">
        <f t="shared" si="787"/>
        <v>35.091470095800005</v>
      </c>
      <c r="EO682" s="346">
        <f t="shared" si="787"/>
        <v>36.65031393396</v>
      </c>
      <c r="EP682" s="346">
        <f t="shared" si="787"/>
        <v>32.886596466520004</v>
      </c>
      <c r="EQ682" s="346">
        <f t="shared" ref="EQ682:FP682" si="788">EQ330</f>
        <v>35.038868828280002</v>
      </c>
      <c r="ER682" s="346">
        <f t="shared" si="788"/>
        <v>43.132705185279995</v>
      </c>
      <c r="ES682" s="346">
        <f t="shared" si="788"/>
        <v>39.356497086352796</v>
      </c>
      <c r="ET682" s="346">
        <f t="shared" si="788"/>
        <v>37.734449936709929</v>
      </c>
      <c r="EU682" s="346">
        <f t="shared" si="788"/>
        <v>37.11177639868</v>
      </c>
      <c r="EV682" s="346">
        <f t="shared" si="788"/>
        <v>40.404032144494401</v>
      </c>
      <c r="EW682" s="346">
        <f t="shared" si="788"/>
        <v>38.387444583280022</v>
      </c>
      <c r="EX682" s="348">
        <f t="shared" si="788"/>
        <v>51.889292503</v>
      </c>
      <c r="EY682" s="346">
        <f t="shared" si="788"/>
        <v>34.296850887800005</v>
      </c>
      <c r="EZ682" s="346">
        <f t="shared" si="788"/>
        <v>41.130810978923961</v>
      </c>
      <c r="FA682" s="346">
        <f t="shared" si="788"/>
        <v>42.016032445419995</v>
      </c>
      <c r="FB682" s="346">
        <f t="shared" si="788"/>
        <v>40.468883834080003</v>
      </c>
      <c r="FC682" s="346">
        <f t="shared" si="788"/>
        <v>40.459910524399199</v>
      </c>
      <c r="FD682" s="346">
        <f t="shared" si="788"/>
        <v>59.028955909479201</v>
      </c>
      <c r="FE682" s="346">
        <f t="shared" si="788"/>
        <v>39.751392172399996</v>
      </c>
      <c r="FF682" s="346">
        <f t="shared" si="788"/>
        <v>38.875159240119999</v>
      </c>
      <c r="FG682" s="346">
        <f t="shared" si="788"/>
        <v>42.163423852679998</v>
      </c>
      <c r="FH682" s="346">
        <f t="shared" si="788"/>
        <v>28.42865419908</v>
      </c>
      <c r="FI682" s="346">
        <f t="shared" si="788"/>
        <v>25.959696988936798</v>
      </c>
      <c r="FJ682" s="348">
        <f t="shared" si="788"/>
        <v>51.431453945399994</v>
      </c>
      <c r="FK682" s="346">
        <f t="shared" si="788"/>
        <v>35.002858807720003</v>
      </c>
      <c r="FL682" s="346">
        <f t="shared" si="788"/>
        <v>39.207689627559979</v>
      </c>
      <c r="FM682" s="346">
        <f t="shared" si="788"/>
        <v>49.472296509000003</v>
      </c>
      <c r="FN682" s="346">
        <f t="shared" si="788"/>
        <v>42.979163396173341</v>
      </c>
      <c r="FO682" s="346">
        <f t="shared" si="788"/>
        <v>41.368668658497164</v>
      </c>
      <c r="FP682" s="346">
        <f t="shared" si="788"/>
        <v>46.118193713987054</v>
      </c>
      <c r="FQ682" s="346">
        <f t="shared" si="770"/>
        <v>40.440497797398329</v>
      </c>
      <c r="FR682" s="346">
        <f t="shared" si="770"/>
        <v>38.993644202098764</v>
      </c>
      <c r="FS682" s="346">
        <f t="shared" si="770"/>
        <v>43.75181860061484</v>
      </c>
      <c r="FT682" s="346">
        <f t="shared" si="770"/>
        <v>43.0573064332117</v>
      </c>
      <c r="FU682" s="346">
        <f t="shared" si="770"/>
        <v>45.637175283768784</v>
      </c>
      <c r="FV682" s="346">
        <f t="shared" si="770"/>
        <v>59.002626250009676</v>
      </c>
      <c r="FW682" s="346">
        <v>38.676735753829782</v>
      </c>
      <c r="FX682" s="346">
        <v>39.946161936048583</v>
      </c>
      <c r="FY682" s="346">
        <v>48.504380458713548</v>
      </c>
      <c r="FZ682" s="346">
        <v>45.626606782743686</v>
      </c>
      <c r="GA682" s="346">
        <v>48.178742218431545</v>
      </c>
      <c r="GB682" s="346">
        <v>56.630153828914708</v>
      </c>
      <c r="GC682" s="346">
        <v>50.055151263039996</v>
      </c>
      <c r="GD682" s="346">
        <v>43.807227043699996</v>
      </c>
      <c r="GE682" s="346">
        <v>56.012617229773603</v>
      </c>
      <c r="GF682" s="346">
        <v>48.884781706864608</v>
      </c>
      <c r="GG682" s="346">
        <v>51.031707439965153</v>
      </c>
      <c r="GH682" s="346">
        <v>66.063478275774557</v>
      </c>
      <c r="GI682" s="346">
        <f t="shared" ref="GI682:HL682" si="789">GI330</f>
        <v>52.261630586622253</v>
      </c>
      <c r="GJ682" s="346">
        <f t="shared" si="789"/>
        <v>62.788312695233685</v>
      </c>
      <c r="GK682" s="346">
        <f t="shared" si="789"/>
        <v>59.264710403018157</v>
      </c>
      <c r="GL682" s="346">
        <f t="shared" si="789"/>
        <v>51.003329466508958</v>
      </c>
      <c r="GM682" s="346">
        <f t="shared" si="789"/>
        <v>54.271152905200005</v>
      </c>
      <c r="GN682" s="346">
        <f t="shared" si="789"/>
        <v>61.477659934236584</v>
      </c>
      <c r="GO682" s="346">
        <f t="shared" si="789"/>
        <v>60.920412199326172</v>
      </c>
      <c r="GP682" s="346">
        <f t="shared" si="789"/>
        <v>50.197395067350342</v>
      </c>
      <c r="GQ682" s="346">
        <f t="shared" si="789"/>
        <v>62.11656720336142</v>
      </c>
      <c r="GR682" s="346">
        <f t="shared" si="789"/>
        <v>52.755765961640002</v>
      </c>
      <c r="GS682" s="346">
        <f t="shared" si="789"/>
        <v>56.130795758749997</v>
      </c>
      <c r="GT682" s="346">
        <f t="shared" si="789"/>
        <v>66.757954746140001</v>
      </c>
      <c r="GU682" s="346">
        <f t="shared" si="789"/>
        <v>62.181831814199995</v>
      </c>
      <c r="GV682" s="346">
        <f t="shared" si="789"/>
        <v>60.037218570701533</v>
      </c>
      <c r="GW682" s="346">
        <f t="shared" si="789"/>
        <v>59.178527273324072</v>
      </c>
      <c r="GX682" s="346">
        <f t="shared" si="789"/>
        <v>64.542478498449995</v>
      </c>
      <c r="GY682" s="346">
        <f t="shared" si="789"/>
        <v>60.586507752979493</v>
      </c>
      <c r="GZ682" s="346">
        <f t="shared" si="789"/>
        <v>63.480555277650005</v>
      </c>
      <c r="HA682" s="346">
        <f t="shared" si="789"/>
        <v>72.277019610412509</v>
      </c>
      <c r="HB682" s="346">
        <f t="shared" si="789"/>
        <v>57.151694257780001</v>
      </c>
      <c r="HC682" s="346">
        <f t="shared" si="789"/>
        <v>60.889530337113221</v>
      </c>
      <c r="HD682" s="346">
        <f t="shared" si="789"/>
        <v>70.645444112250004</v>
      </c>
      <c r="HE682" s="346">
        <f t="shared" si="789"/>
        <v>69.402485699294999</v>
      </c>
      <c r="HF682" s="346">
        <f t="shared" si="789"/>
        <v>92.542788181232822</v>
      </c>
      <c r="HG682" s="346">
        <f t="shared" si="789"/>
        <v>88.441319920169121</v>
      </c>
      <c r="HH682" s="346">
        <f t="shared" si="789"/>
        <v>73.33246407378482</v>
      </c>
      <c r="HI682" s="346">
        <f t="shared" si="789"/>
        <v>75.233215001846105</v>
      </c>
      <c r="HJ682" s="346">
        <f t="shared" si="789"/>
        <v>88.868271311849995</v>
      </c>
      <c r="HK682" s="346">
        <f t="shared" si="789"/>
        <v>70.441157013699993</v>
      </c>
      <c r="HL682" s="346">
        <f t="shared" si="789"/>
        <v>77.657159039121382</v>
      </c>
      <c r="HM682" s="346"/>
      <c r="HN682" s="349"/>
      <c r="HO682" s="1439" t="s">
        <v>508</v>
      </c>
      <c r="HP682" s="307">
        <f t="shared" si="745"/>
        <v>115.38277230840002</v>
      </c>
      <c r="HQ682" s="302">
        <f t="shared" si="746"/>
        <v>141.7473720918</v>
      </c>
      <c r="HR682" s="346">
        <f t="shared" si="698"/>
        <v>257.13014440020004</v>
      </c>
      <c r="HS682" s="302">
        <f t="shared" si="747"/>
        <v>204.51511195820001</v>
      </c>
      <c r="HT682" s="302">
        <f t="shared" si="748"/>
        <v>218.04509216459999</v>
      </c>
      <c r="HU682" s="346">
        <f t="shared" si="678"/>
        <v>422.56020412279997</v>
      </c>
      <c r="HV682" s="307">
        <f t="shared" si="749"/>
        <v>151.39737732368852</v>
      </c>
      <c r="HW682" s="302">
        <f t="shared" si="750"/>
        <v>161.74864681637379</v>
      </c>
      <c r="HX682" s="346">
        <f t="shared" si="679"/>
        <v>313.14602414006231</v>
      </c>
      <c r="HY682" s="350">
        <f t="shared" si="751"/>
        <v>169.93235296083202</v>
      </c>
      <c r="HZ682" s="302">
        <f t="shared" si="752"/>
        <v>198.51854641836076</v>
      </c>
      <c r="IA682" s="346">
        <f t="shared" si="680"/>
        <v>368.45089937919278</v>
      </c>
      <c r="IB682" s="302">
        <f t="shared" si="753"/>
        <v>203.71929770689383</v>
      </c>
      <c r="IC682" s="302">
        <f t="shared" si="754"/>
        <v>223.53639848691944</v>
      </c>
      <c r="ID682" s="346">
        <f t="shared" si="681"/>
        <v>427.25569619381326</v>
      </c>
      <c r="IE682" s="350">
        <f t="shared" si="755"/>
        <v>213.70620423815998</v>
      </c>
      <c r="IF682" s="350">
        <f t="shared" si="756"/>
        <v>244.88349265251716</v>
      </c>
      <c r="IG682" s="346">
        <f t="shared" si="682"/>
        <v>458.58969689067715</v>
      </c>
      <c r="IH682" s="350">
        <f t="shared" si="757"/>
        <v>257.40144458010235</v>
      </c>
      <c r="II682" s="350">
        <f t="shared" si="758"/>
        <v>226.60978039861681</v>
      </c>
      <c r="IJ682" s="346">
        <f t="shared" si="683"/>
        <v>484.01122497871916</v>
      </c>
      <c r="IK682" s="350">
        <f t="shared" si="759"/>
        <v>254.14887071293754</v>
      </c>
      <c r="IL682" s="350">
        <f t="shared" si="664"/>
        <v>270.8830685671021</v>
      </c>
      <c r="IM682" s="346">
        <f t="shared" si="684"/>
        <v>525.03193928003964</v>
      </c>
      <c r="IN682" s="350">
        <f t="shared" si="665"/>
        <v>277.56278097868187</v>
      </c>
      <c r="IO682" s="350">
        <f t="shared" si="666"/>
        <v>315.85496295911793</v>
      </c>
      <c r="IP682" s="346">
        <f t="shared" si="685"/>
        <v>593.41774393779974</v>
      </c>
      <c r="IQ682" s="350">
        <f t="shared" si="667"/>
        <v>341.06679599081963</v>
      </c>
      <c r="IR682" s="350">
        <f t="shared" si="668"/>
        <v>348.87889093656798</v>
      </c>
      <c r="IS682" s="346">
        <f t="shared" si="686"/>
        <v>689.94568692738767</v>
      </c>
      <c r="IT682" s="350">
        <f t="shared" si="699"/>
        <v>370.00711918730514</v>
      </c>
      <c r="IU682" s="350">
        <f t="shared" si="707"/>
        <v>422.9089621980836</v>
      </c>
      <c r="IV682" s="346">
        <f t="shared" si="687"/>
        <v>792.91608138538868</v>
      </c>
      <c r="IW682" s="350">
        <f t="shared" si="700"/>
        <v>473.97358636047142</v>
      </c>
      <c r="IX682" s="350">
        <f t="shared" si="688"/>
        <v>528.65902583324305</v>
      </c>
      <c r="IY682" s="346">
        <f>FISC!AJ1004</f>
        <v>1002.6326121937145</v>
      </c>
      <c r="IZ682" s="350">
        <f t="shared" si="708"/>
        <v>594.14926499454236</v>
      </c>
      <c r="JA682" s="302">
        <f t="shared" si="689"/>
        <v>643.66170374408762</v>
      </c>
      <c r="JB682" s="346">
        <f>FISC!AK1004</f>
        <v>1237.81096873863</v>
      </c>
      <c r="JC682" s="350">
        <f t="shared" si="709"/>
        <v>734.92242391302409</v>
      </c>
      <c r="JD682" s="302">
        <f t="shared" si="690"/>
        <v>796.16595923910938</v>
      </c>
      <c r="JE682" s="346">
        <f>FISC!AL1004</f>
        <v>1531.0883831521335</v>
      </c>
      <c r="JF682" s="350">
        <f t="shared" si="710"/>
        <v>845.88270600262751</v>
      </c>
      <c r="JG682" s="302">
        <f t="shared" si="691"/>
        <v>916.37293150284643</v>
      </c>
      <c r="JH682" s="346">
        <f>FISC!AM1004</f>
        <v>1762.2556375054739</v>
      </c>
      <c r="JI682" s="350">
        <f t="shared" si="711"/>
        <v>984.1662958778021</v>
      </c>
      <c r="JJ682" s="302">
        <f t="shared" si="701"/>
        <v>1066.1801538676191</v>
      </c>
      <c r="JK682" s="346">
        <f>FISC!AN1004</f>
        <v>2050.3464497454211</v>
      </c>
      <c r="JL682" s="350">
        <f t="shared" si="712"/>
        <v>1109.456162771824</v>
      </c>
      <c r="JM682" s="302">
        <f t="shared" si="692"/>
        <v>1201.9108430028095</v>
      </c>
      <c r="JN682" s="346">
        <f>FISC!AO1004</f>
        <v>2311.3670057746335</v>
      </c>
      <c r="KI682" s="349"/>
      <c r="KJ682" s="350"/>
    </row>
    <row r="683" spans="1:296" hidden="1" outlineLevel="1">
      <c r="A683" s="302"/>
      <c r="D683" s="1439" t="s">
        <v>509</v>
      </c>
      <c r="E683" s="346"/>
      <c r="F683" s="346"/>
      <c r="G683" s="346"/>
      <c r="H683" s="346"/>
      <c r="I683" s="346"/>
      <c r="J683" s="346"/>
      <c r="K683" s="346"/>
      <c r="L683" s="346"/>
      <c r="M683" s="346"/>
      <c r="N683" s="346"/>
      <c r="O683" s="346"/>
      <c r="P683" s="346"/>
      <c r="Q683" s="346"/>
      <c r="R683" s="346"/>
      <c r="S683" s="346"/>
      <c r="T683" s="346"/>
      <c r="U683" s="346"/>
      <c r="V683" s="346"/>
      <c r="W683" s="346"/>
      <c r="X683" s="346"/>
      <c r="Y683" s="346"/>
      <c r="Z683" s="346"/>
      <c r="AA683" s="346"/>
      <c r="AB683" s="346"/>
      <c r="AC683" s="346"/>
      <c r="AD683" s="346"/>
      <c r="AE683" s="346"/>
      <c r="AF683" s="346"/>
      <c r="AG683" s="346"/>
      <c r="AH683" s="346"/>
      <c r="AI683" s="346"/>
      <c r="AJ683" s="346"/>
      <c r="AK683" s="346"/>
      <c r="AL683" s="346"/>
      <c r="AM683" s="346"/>
      <c r="AN683" s="346"/>
      <c r="AO683" s="346"/>
      <c r="AP683" s="346"/>
      <c r="AQ683" s="346"/>
      <c r="AR683" s="346"/>
      <c r="AS683" s="346"/>
      <c r="AT683" s="346"/>
      <c r="AU683" s="346"/>
      <c r="AV683" s="346"/>
      <c r="AW683" s="346"/>
      <c r="AX683" s="346"/>
      <c r="AY683" s="346"/>
      <c r="AZ683" s="346"/>
      <c r="BA683" s="346"/>
      <c r="BB683" s="346"/>
      <c r="BC683" s="346"/>
      <c r="BD683" s="346"/>
      <c r="BE683" s="346"/>
      <c r="BF683" s="346"/>
      <c r="BG683" s="346"/>
      <c r="BH683" s="346"/>
      <c r="BI683" s="346"/>
      <c r="BJ683" s="346"/>
      <c r="BK683" s="346"/>
      <c r="BL683" s="346"/>
      <c r="BM683" s="346"/>
      <c r="BN683" s="346"/>
      <c r="BO683" s="346"/>
      <c r="BP683" s="346"/>
      <c r="BQ683" s="346"/>
      <c r="BR683" s="346"/>
      <c r="BS683" s="346"/>
      <c r="BT683" s="346"/>
      <c r="BU683" s="346"/>
      <c r="BV683" s="346"/>
      <c r="BW683" s="346"/>
      <c r="BX683" s="346"/>
      <c r="BY683" s="346"/>
      <c r="BZ683" s="346"/>
      <c r="CA683" s="346"/>
      <c r="CB683" s="346"/>
      <c r="CC683" s="346"/>
      <c r="CD683" s="352"/>
      <c r="CE683" s="346">
        <f t="shared" ref="CE683:DJ683" si="790">CE331</f>
        <v>15.881936169600001</v>
      </c>
      <c r="CF683" s="346">
        <f t="shared" si="790"/>
        <v>18.854891973000001</v>
      </c>
      <c r="CG683" s="346">
        <f t="shared" si="790"/>
        <v>21.022694216100003</v>
      </c>
      <c r="CH683" s="346">
        <f t="shared" si="790"/>
        <v>18.475735869000001</v>
      </c>
      <c r="CI683" s="346">
        <f t="shared" si="790"/>
        <v>20.979486082799998</v>
      </c>
      <c r="CJ683" s="346">
        <f t="shared" si="790"/>
        <v>20.168021736900002</v>
      </c>
      <c r="CK683" s="346">
        <f t="shared" si="790"/>
        <v>21.989315188799999</v>
      </c>
      <c r="CL683" s="346">
        <f t="shared" si="790"/>
        <v>20.2751557713</v>
      </c>
      <c r="CM683" s="346">
        <f t="shared" si="790"/>
        <v>20.409192611999998</v>
      </c>
      <c r="CN683" s="346">
        <f t="shared" si="790"/>
        <v>19.940791218299999</v>
      </c>
      <c r="CO683" s="346">
        <f t="shared" si="790"/>
        <v>26.053933561200001</v>
      </c>
      <c r="CP683" s="348">
        <f t="shared" si="790"/>
        <v>33.077771980199998</v>
      </c>
      <c r="CQ683" s="346">
        <f t="shared" si="790"/>
        <v>21.0190435542</v>
      </c>
      <c r="CR683" s="346">
        <f t="shared" si="790"/>
        <v>20.917568714400002</v>
      </c>
      <c r="CS683" s="346">
        <f t="shared" si="790"/>
        <v>26.884899377100002</v>
      </c>
      <c r="CT683" s="346">
        <f t="shared" si="790"/>
        <v>21.2873725854</v>
      </c>
      <c r="CU683" s="346">
        <f t="shared" si="790"/>
        <v>20.929796582400002</v>
      </c>
      <c r="CV683" s="346">
        <f t="shared" si="790"/>
        <v>23.1939375957</v>
      </c>
      <c r="CW683" s="346">
        <f t="shared" si="790"/>
        <v>21.954958753500001</v>
      </c>
      <c r="CX683" s="346">
        <f t="shared" si="790"/>
        <v>20.563003224900001</v>
      </c>
      <c r="CY683" s="346">
        <f t="shared" si="790"/>
        <v>23.182708599000001</v>
      </c>
      <c r="CZ683" s="346">
        <f t="shared" si="790"/>
        <v>23.120711980199999</v>
      </c>
      <c r="DA683" s="346">
        <f t="shared" si="790"/>
        <v>23.529648034800001</v>
      </c>
      <c r="DB683" s="1479">
        <f t="shared" si="790"/>
        <v>34.412194987200003</v>
      </c>
      <c r="DC683" s="346">
        <f t="shared" si="790"/>
        <v>23.266508495967319</v>
      </c>
      <c r="DD683" s="346">
        <f t="shared" si="790"/>
        <v>23.758111601567538</v>
      </c>
      <c r="DE683" s="346">
        <f t="shared" si="790"/>
        <v>27.771328359273731</v>
      </c>
      <c r="DF683" s="346">
        <f t="shared" si="790"/>
        <v>26.057107734049509</v>
      </c>
      <c r="DG683" s="346">
        <f t="shared" si="790"/>
        <v>25.026580111714612</v>
      </c>
      <c r="DH683" s="346">
        <f t="shared" si="790"/>
        <v>25.517735918346453</v>
      </c>
      <c r="DI683" s="346">
        <f t="shared" si="790"/>
        <v>25.528013021523304</v>
      </c>
      <c r="DJ683" s="346">
        <f t="shared" si="790"/>
        <v>24.555686210496649</v>
      </c>
      <c r="DK683" s="346">
        <f t="shared" ref="DK683:EP683" si="791">DK331</f>
        <v>26.906421522073092</v>
      </c>
      <c r="DL683" s="346">
        <f t="shared" si="791"/>
        <v>23.506149810616684</v>
      </c>
      <c r="DM683" s="346">
        <f t="shared" si="791"/>
        <v>24.683025302693412</v>
      </c>
      <c r="DN683" s="348">
        <f t="shared" si="791"/>
        <v>36.569063777088552</v>
      </c>
      <c r="DO683" s="346">
        <f t="shared" si="791"/>
        <v>25.701807561024744</v>
      </c>
      <c r="DP683" s="346">
        <f t="shared" si="791"/>
        <v>26.397325789838082</v>
      </c>
      <c r="DQ683" s="346">
        <f t="shared" si="791"/>
        <v>31.555241930825211</v>
      </c>
      <c r="DR683" s="346">
        <f t="shared" si="791"/>
        <v>26.863054138133752</v>
      </c>
      <c r="DS683" s="346">
        <f t="shared" si="791"/>
        <v>26.717636984190449</v>
      </c>
      <c r="DT683" s="346">
        <f t="shared" si="791"/>
        <v>32.69728655681979</v>
      </c>
      <c r="DU683" s="346">
        <f t="shared" si="791"/>
        <v>29.609370200203948</v>
      </c>
      <c r="DV683" s="346">
        <f t="shared" si="791"/>
        <v>30.218131036601271</v>
      </c>
      <c r="DW683" s="346">
        <f t="shared" si="791"/>
        <v>34.381804019969429</v>
      </c>
      <c r="DX683" s="346">
        <f t="shared" si="791"/>
        <v>28.627043046811128</v>
      </c>
      <c r="DY683" s="346">
        <f t="shared" si="791"/>
        <v>30.426527154767683</v>
      </c>
      <c r="DZ683" s="348">
        <f t="shared" si="791"/>
        <v>45.255670960007315</v>
      </c>
      <c r="EA683" s="346">
        <f t="shared" si="791"/>
        <v>29.397361652393904</v>
      </c>
      <c r="EB683" s="346">
        <f t="shared" si="791"/>
        <v>29.655846328871178</v>
      </c>
      <c r="EC683" s="346">
        <f t="shared" si="791"/>
        <v>38.342055351274077</v>
      </c>
      <c r="ED683" s="346">
        <f t="shared" si="791"/>
        <v>33.930998060903121</v>
      </c>
      <c r="EE683" s="346">
        <f t="shared" si="791"/>
        <v>31.829732903307988</v>
      </c>
      <c r="EF683" s="346">
        <f t="shared" si="791"/>
        <v>40.563303410143575</v>
      </c>
      <c r="EG683" s="346">
        <f t="shared" si="791"/>
        <v>35.919538485570449</v>
      </c>
      <c r="EH683" s="346">
        <f t="shared" si="791"/>
        <v>32.726659883868365</v>
      </c>
      <c r="EI683" s="346">
        <f t="shared" si="791"/>
        <v>39.61005153807298</v>
      </c>
      <c r="EJ683" s="346">
        <f t="shared" si="791"/>
        <v>34.021254095932044</v>
      </c>
      <c r="EK683" s="346">
        <f t="shared" si="791"/>
        <v>34.65518012998443</v>
      </c>
      <c r="EL683" s="348">
        <f t="shared" si="791"/>
        <v>46.603714353491178</v>
      </c>
      <c r="EM683" s="346">
        <f t="shared" si="791"/>
        <v>30.906249728319999</v>
      </c>
      <c r="EN683" s="346">
        <f t="shared" si="791"/>
        <v>35.091470095800005</v>
      </c>
      <c r="EO683" s="346">
        <f t="shared" si="791"/>
        <v>36.65031393396</v>
      </c>
      <c r="EP683" s="346">
        <f t="shared" si="791"/>
        <v>32.886596466520004</v>
      </c>
      <c r="EQ683" s="346">
        <f t="shared" ref="EQ683:FP683" si="792">EQ331</f>
        <v>35.038868828280002</v>
      </c>
      <c r="ER683" s="346">
        <f t="shared" si="792"/>
        <v>43.132705185279995</v>
      </c>
      <c r="ES683" s="346">
        <f t="shared" si="792"/>
        <v>39.356497086352796</v>
      </c>
      <c r="ET683" s="346">
        <f t="shared" si="792"/>
        <v>37.734449936709929</v>
      </c>
      <c r="EU683" s="346">
        <f t="shared" si="792"/>
        <v>37.11177639868</v>
      </c>
      <c r="EV683" s="346">
        <f t="shared" si="792"/>
        <v>40.404032144494401</v>
      </c>
      <c r="EW683" s="346">
        <f t="shared" si="792"/>
        <v>38.387444583280022</v>
      </c>
      <c r="EX683" s="348">
        <f t="shared" si="792"/>
        <v>51.889292503</v>
      </c>
      <c r="EY683" s="346">
        <f t="shared" si="792"/>
        <v>34.296850887800005</v>
      </c>
      <c r="EZ683" s="346">
        <f t="shared" si="792"/>
        <v>41.130810978923961</v>
      </c>
      <c r="FA683" s="346">
        <f t="shared" si="792"/>
        <v>42.016032445419995</v>
      </c>
      <c r="FB683" s="346">
        <f t="shared" si="792"/>
        <v>40.468883834080003</v>
      </c>
      <c r="FC683" s="346">
        <f t="shared" si="792"/>
        <v>40.459910524399199</v>
      </c>
      <c r="FD683" s="346">
        <f t="shared" si="792"/>
        <v>59.028955909479201</v>
      </c>
      <c r="FE683" s="346">
        <f t="shared" si="792"/>
        <v>39.751392172399996</v>
      </c>
      <c r="FF683" s="346">
        <f t="shared" si="792"/>
        <v>38.875159240119999</v>
      </c>
      <c r="FG683" s="346">
        <f t="shared" si="792"/>
        <v>42.163423852679998</v>
      </c>
      <c r="FH683" s="346">
        <f t="shared" si="792"/>
        <v>28.42865419908</v>
      </c>
      <c r="FI683" s="346">
        <f t="shared" si="792"/>
        <v>25.959696988936798</v>
      </c>
      <c r="FJ683" s="348">
        <f t="shared" si="792"/>
        <v>51.431453945399994</v>
      </c>
      <c r="FK683" s="346">
        <f t="shared" si="792"/>
        <v>35.002858807720003</v>
      </c>
      <c r="FL683" s="346">
        <f t="shared" si="792"/>
        <v>39.207689627559979</v>
      </c>
      <c r="FM683" s="346">
        <f t="shared" si="792"/>
        <v>49.472296509000003</v>
      </c>
      <c r="FN683" s="346">
        <f t="shared" si="792"/>
        <v>42.979163396173341</v>
      </c>
      <c r="FO683" s="346">
        <f t="shared" si="792"/>
        <v>41.368668658497164</v>
      </c>
      <c r="FP683" s="346">
        <f t="shared" si="792"/>
        <v>46.118193713987054</v>
      </c>
      <c r="FQ683" s="346">
        <f t="shared" si="770"/>
        <v>40.440497797398329</v>
      </c>
      <c r="FR683" s="346">
        <f t="shared" si="770"/>
        <v>38.993644202098764</v>
      </c>
      <c r="FS683" s="346">
        <f t="shared" si="770"/>
        <v>43.75181860061484</v>
      </c>
      <c r="FT683" s="346">
        <f t="shared" si="770"/>
        <v>43.0573064332117</v>
      </c>
      <c r="FU683" s="346">
        <f t="shared" si="770"/>
        <v>45.637175283768784</v>
      </c>
      <c r="FV683" s="346">
        <f t="shared" si="770"/>
        <v>59.002626250009676</v>
      </c>
      <c r="FW683" s="346">
        <v>38.676735753829782</v>
      </c>
      <c r="FX683" s="346">
        <v>39.946161936048583</v>
      </c>
      <c r="FY683" s="346">
        <v>48.504380458713548</v>
      </c>
      <c r="FZ683" s="346">
        <v>45.626606782743686</v>
      </c>
      <c r="GA683" s="346">
        <v>48.178742218431545</v>
      </c>
      <c r="GB683" s="346">
        <v>56.630153828914708</v>
      </c>
      <c r="GC683" s="346">
        <v>50.055151263039996</v>
      </c>
      <c r="GD683" s="346">
        <v>43.807227043699996</v>
      </c>
      <c r="GE683" s="346">
        <v>56.012617229773603</v>
      </c>
      <c r="GF683" s="346">
        <v>48.884781706864608</v>
      </c>
      <c r="GG683" s="346">
        <v>51.031707439965153</v>
      </c>
      <c r="GH683" s="346">
        <v>66.063478275774557</v>
      </c>
      <c r="GI683" s="346">
        <f t="shared" ref="GI683:HL683" si="793">GI331</f>
        <v>52.244725581622255</v>
      </c>
      <c r="GJ683" s="346">
        <f t="shared" si="793"/>
        <v>62.765330236233687</v>
      </c>
      <c r="GK683" s="346">
        <f t="shared" si="793"/>
        <v>59.243896196018156</v>
      </c>
      <c r="GL683" s="346">
        <f t="shared" si="793"/>
        <v>50.98288807150896</v>
      </c>
      <c r="GM683" s="346">
        <f t="shared" si="793"/>
        <v>54.250768541200003</v>
      </c>
      <c r="GN683" s="346">
        <f t="shared" si="793"/>
        <v>61.453832934303691</v>
      </c>
      <c r="GO683" s="346">
        <f t="shared" si="793"/>
        <v>60.902610856479178</v>
      </c>
      <c r="GP683" s="346">
        <f t="shared" si="793"/>
        <v>50.187344765715444</v>
      </c>
      <c r="GQ683" s="346">
        <f t="shared" si="793"/>
        <v>62.103972101563201</v>
      </c>
      <c r="GR683" s="346">
        <f t="shared" si="793"/>
        <v>52.735897940640001</v>
      </c>
      <c r="GS683" s="346">
        <f t="shared" si="793"/>
        <v>56.104643205750001</v>
      </c>
      <c r="GT683" s="346">
        <f t="shared" si="793"/>
        <v>66.733926239140004</v>
      </c>
      <c r="GU683" s="346">
        <f t="shared" si="793"/>
        <v>62.158857972199996</v>
      </c>
      <c r="GV683" s="346">
        <f t="shared" si="793"/>
        <v>60.029309262549994</v>
      </c>
      <c r="GW683" s="346">
        <f t="shared" si="793"/>
        <v>59.169522346500003</v>
      </c>
      <c r="GX683" s="346">
        <f t="shared" si="793"/>
        <v>64.52860598545</v>
      </c>
      <c r="GY683" s="346">
        <f t="shared" si="793"/>
        <v>60.572182681979491</v>
      </c>
      <c r="GZ683" s="346">
        <f t="shared" si="793"/>
        <v>63.469634149649998</v>
      </c>
      <c r="HA683" s="346">
        <f t="shared" si="793"/>
        <v>72.264538514412507</v>
      </c>
      <c r="HB683" s="346">
        <f t="shared" si="793"/>
        <v>57.141034558779999</v>
      </c>
      <c r="HC683" s="346">
        <f t="shared" si="793"/>
        <v>60.880727948119997</v>
      </c>
      <c r="HD683" s="346">
        <f t="shared" si="793"/>
        <v>70.631216667250001</v>
      </c>
      <c r="HE683" s="346">
        <f t="shared" si="793"/>
        <v>69.387986040295004</v>
      </c>
      <c r="HF683" s="346">
        <f t="shared" si="793"/>
        <v>92.527496021232821</v>
      </c>
      <c r="HG683" s="346">
        <f t="shared" si="793"/>
        <v>88.426353865169133</v>
      </c>
      <c r="HH683" s="346">
        <f t="shared" si="793"/>
        <v>73.319420889784823</v>
      </c>
      <c r="HI683" s="346">
        <f t="shared" si="793"/>
        <v>75.220508510846102</v>
      </c>
      <c r="HJ683" s="346">
        <f t="shared" si="793"/>
        <v>88.855849391849986</v>
      </c>
      <c r="HK683" s="346">
        <f t="shared" si="793"/>
        <v>70.428333834699998</v>
      </c>
      <c r="HL683" s="346">
        <f t="shared" si="793"/>
        <v>77.643312122121387</v>
      </c>
      <c r="HM683" s="346"/>
      <c r="HN683" s="349"/>
      <c r="HO683" s="1439" t="s">
        <v>509</v>
      </c>
      <c r="HP683" s="307">
        <f t="shared" si="745"/>
        <v>115.38276604740001</v>
      </c>
      <c r="HQ683" s="302">
        <f t="shared" si="746"/>
        <v>141.74616033180001</v>
      </c>
      <c r="HR683" s="346">
        <f t="shared" si="698"/>
        <v>257.12892637920004</v>
      </c>
      <c r="HS683" s="302">
        <f t="shared" si="747"/>
        <v>134.2326184092</v>
      </c>
      <c r="HT683" s="302">
        <f t="shared" si="748"/>
        <v>146.7632255796</v>
      </c>
      <c r="HU683" s="346">
        <f t="shared" si="678"/>
        <v>280.9958439888</v>
      </c>
      <c r="HV683" s="307">
        <f t="shared" si="749"/>
        <v>151.39737222091915</v>
      </c>
      <c r="HW683" s="302">
        <f t="shared" si="750"/>
        <v>161.7483596444917</v>
      </c>
      <c r="HX683" s="346">
        <f t="shared" si="679"/>
        <v>313.14573186541088</v>
      </c>
      <c r="HY683" s="350">
        <f t="shared" si="751"/>
        <v>169.93235296083202</v>
      </c>
      <c r="HZ683" s="302">
        <f t="shared" si="752"/>
        <v>198.51854641836076</v>
      </c>
      <c r="IA683" s="346">
        <f t="shared" si="680"/>
        <v>368.45089937919278</v>
      </c>
      <c r="IB683" s="302">
        <f t="shared" si="753"/>
        <v>203.71929770689383</v>
      </c>
      <c r="IC683" s="302">
        <f t="shared" si="754"/>
        <v>223.53639848691944</v>
      </c>
      <c r="ID683" s="346">
        <f t="shared" si="681"/>
        <v>427.25569619381326</v>
      </c>
      <c r="IE683" s="350">
        <f t="shared" si="755"/>
        <v>213.70620423815998</v>
      </c>
      <c r="IF683" s="350">
        <f t="shared" si="756"/>
        <v>244.88349265251716</v>
      </c>
      <c r="IG683" s="346">
        <f t="shared" si="682"/>
        <v>458.58969689067715</v>
      </c>
      <c r="IH683" s="350">
        <f t="shared" si="757"/>
        <v>257.40144458010235</v>
      </c>
      <c r="II683" s="350">
        <f t="shared" si="758"/>
        <v>226.60978039861681</v>
      </c>
      <c r="IJ683" s="346">
        <f t="shared" si="683"/>
        <v>484.01122497871916</v>
      </c>
      <c r="IK683" s="350">
        <f t="shared" si="759"/>
        <v>254.14887071293754</v>
      </c>
      <c r="IL683" s="350">
        <f t="shared" si="664"/>
        <v>270.8830685671021</v>
      </c>
      <c r="IM683" s="346">
        <f>IK683+IL683</f>
        <v>525.03193928003964</v>
      </c>
      <c r="IN683" s="350">
        <f t="shared" si="665"/>
        <v>277.56278097868187</v>
      </c>
      <c r="IO683" s="350">
        <f t="shared" si="666"/>
        <v>315.85496295911793</v>
      </c>
      <c r="IP683" s="346">
        <f t="shared" si="685"/>
        <v>593.41774393779974</v>
      </c>
      <c r="IQ683" s="350">
        <f t="shared" si="667"/>
        <v>340.94144156088674</v>
      </c>
      <c r="IR683" s="350">
        <f t="shared" si="668"/>
        <v>348.76839510928789</v>
      </c>
      <c r="IS683" s="346">
        <f t="shared" si="686"/>
        <v>689.70983667017458</v>
      </c>
      <c r="IT683" s="350">
        <f t="shared" si="699"/>
        <v>369.92811239832946</v>
      </c>
      <c r="IU683" s="350">
        <f t="shared" si="707"/>
        <v>422.83299975009032</v>
      </c>
      <c r="IV683" s="346">
        <f t="shared" si="687"/>
        <v>792.76111214841978</v>
      </c>
      <c r="IW683" s="350">
        <f t="shared" si="700"/>
        <v>473.89377861447144</v>
      </c>
      <c r="IX683" s="350">
        <f t="shared" si="688"/>
        <v>528.73883357924308</v>
      </c>
      <c r="IY683" s="346">
        <f>FISC!AJ1005</f>
        <v>1002.6326121937145</v>
      </c>
      <c r="IZ683" s="350">
        <f t="shared" si="708"/>
        <v>594.14926499454236</v>
      </c>
      <c r="JA683" s="302">
        <f t="shared" si="689"/>
        <v>643.66170374408762</v>
      </c>
      <c r="JB683" s="346">
        <f>FISC!AK1005</f>
        <v>1237.81096873863</v>
      </c>
      <c r="JC683" s="350">
        <f t="shared" si="709"/>
        <v>734.92242391302409</v>
      </c>
      <c r="JD683" s="302">
        <f t="shared" si="690"/>
        <v>796.16595923910938</v>
      </c>
      <c r="JE683" s="346">
        <f>FISC!AL1005</f>
        <v>1531.0883831521335</v>
      </c>
      <c r="JF683" s="350">
        <f t="shared" si="710"/>
        <v>845.88270600262751</v>
      </c>
      <c r="JG683" s="302">
        <f t="shared" si="691"/>
        <v>916.37293150284643</v>
      </c>
      <c r="JH683" s="346">
        <f>FISC!AM1005</f>
        <v>1762.2556375054739</v>
      </c>
      <c r="JI683" s="350">
        <f t="shared" si="711"/>
        <v>984.1662958778021</v>
      </c>
      <c r="JJ683" s="302">
        <f t="shared" si="701"/>
        <v>1066.1801538676191</v>
      </c>
      <c r="JK683" s="346">
        <f>FISC!AN1005</f>
        <v>2050.3464497454211</v>
      </c>
      <c r="JL683" s="350">
        <f t="shared" si="712"/>
        <v>1109.456162771824</v>
      </c>
      <c r="JM683" s="302">
        <f t="shared" si="692"/>
        <v>1201.9108430028095</v>
      </c>
      <c r="JN683" s="346">
        <f>FISC!AO1005</f>
        <v>2311.3670057746335</v>
      </c>
      <c r="KI683" s="349"/>
      <c r="KJ683" s="350"/>
    </row>
    <row r="684" spans="1:296" hidden="1" outlineLevel="1">
      <c r="A684" s="302"/>
      <c r="D684" s="1439" t="s">
        <v>510</v>
      </c>
      <c r="E684" s="346"/>
      <c r="F684" s="346"/>
      <c r="G684" s="346"/>
      <c r="H684" s="346"/>
      <c r="I684" s="346"/>
      <c r="J684" s="346"/>
      <c r="K684" s="346"/>
      <c r="L684" s="346"/>
      <c r="M684" s="346"/>
      <c r="N684" s="346"/>
      <c r="O684" s="346"/>
      <c r="P684" s="346"/>
      <c r="Q684" s="346"/>
      <c r="R684" s="346"/>
      <c r="S684" s="346"/>
      <c r="T684" s="346"/>
      <c r="U684" s="346"/>
      <c r="V684" s="346"/>
      <c r="W684" s="346"/>
      <c r="X684" s="346"/>
      <c r="Y684" s="346"/>
      <c r="Z684" s="346"/>
      <c r="AA684" s="346"/>
      <c r="AB684" s="346"/>
      <c r="AC684" s="346"/>
      <c r="AD684" s="346"/>
      <c r="AE684" s="346"/>
      <c r="AF684" s="346"/>
      <c r="AG684" s="346"/>
      <c r="AH684" s="346"/>
      <c r="AI684" s="346"/>
      <c r="AJ684" s="346"/>
      <c r="AK684" s="346"/>
      <c r="AL684" s="346"/>
      <c r="AM684" s="346"/>
      <c r="AN684" s="346"/>
      <c r="AO684" s="346"/>
      <c r="AP684" s="346"/>
      <c r="AQ684" s="346"/>
      <c r="AR684" s="346"/>
      <c r="AS684" s="346"/>
      <c r="AT684" s="346"/>
      <c r="AU684" s="346"/>
      <c r="AV684" s="346"/>
      <c r="AW684" s="346"/>
      <c r="AX684" s="346"/>
      <c r="AY684" s="346"/>
      <c r="AZ684" s="346"/>
      <c r="BA684" s="346"/>
      <c r="BB684" s="346"/>
      <c r="BC684" s="346"/>
      <c r="BD684" s="346"/>
      <c r="BE684" s="346"/>
      <c r="BF684" s="346"/>
      <c r="BG684" s="346"/>
      <c r="BH684" s="346"/>
      <c r="BI684" s="346"/>
      <c r="BJ684" s="346"/>
      <c r="BK684" s="346"/>
      <c r="BL684" s="346"/>
      <c r="BM684" s="346"/>
      <c r="BN684" s="346"/>
      <c r="BO684" s="346"/>
      <c r="BP684" s="346"/>
      <c r="BQ684" s="346"/>
      <c r="BR684" s="346"/>
      <c r="BS684" s="346"/>
      <c r="BT684" s="346"/>
      <c r="BU684" s="346"/>
      <c r="BV684" s="346"/>
      <c r="BW684" s="346"/>
      <c r="BX684" s="346"/>
      <c r="BY684" s="346"/>
      <c r="BZ684" s="346"/>
      <c r="CA684" s="346"/>
      <c r="CB684" s="346"/>
      <c r="CC684" s="346"/>
      <c r="CD684" s="352"/>
      <c r="CE684" s="346">
        <f t="shared" ref="CE684:DJ684" si="794">CE332</f>
        <v>0</v>
      </c>
      <c r="CF684" s="346">
        <f t="shared" si="794"/>
        <v>0</v>
      </c>
      <c r="CG684" s="346">
        <f t="shared" si="794"/>
        <v>0</v>
      </c>
      <c r="CH684" s="346">
        <f t="shared" si="794"/>
        <v>0</v>
      </c>
      <c r="CI684" s="346">
        <f t="shared" si="794"/>
        <v>6.2609999999999999E-6</v>
      </c>
      <c r="CJ684" s="346">
        <f t="shared" si="794"/>
        <v>0</v>
      </c>
      <c r="CK684" s="346">
        <f t="shared" si="794"/>
        <v>0</v>
      </c>
      <c r="CL684" s="346">
        <f t="shared" si="794"/>
        <v>1.0000000000000001E-5</v>
      </c>
      <c r="CM684" s="346">
        <f t="shared" si="794"/>
        <v>1.1039999999999999E-3</v>
      </c>
      <c r="CN684" s="346">
        <f t="shared" si="794"/>
        <v>9.7759999999999999E-5</v>
      </c>
      <c r="CO684" s="346">
        <f t="shared" si="794"/>
        <v>0</v>
      </c>
      <c r="CP684" s="348">
        <f t="shared" si="794"/>
        <v>0</v>
      </c>
      <c r="CQ684" s="346">
        <f t="shared" si="794"/>
        <v>0</v>
      </c>
      <c r="CR684" s="346">
        <f t="shared" si="794"/>
        <v>0</v>
      </c>
      <c r="CS684" s="346">
        <f t="shared" si="794"/>
        <v>0</v>
      </c>
      <c r="CT684" s="346">
        <f t="shared" si="794"/>
        <v>0</v>
      </c>
      <c r="CU684" s="346">
        <f t="shared" si="794"/>
        <v>4.5650000000000003E-6</v>
      </c>
      <c r="CV684" s="346">
        <f t="shared" si="794"/>
        <v>0</v>
      </c>
      <c r="CW684" s="346">
        <f t="shared" si="794"/>
        <v>0</v>
      </c>
      <c r="CX684" s="346">
        <f t="shared" si="794"/>
        <v>0</v>
      </c>
      <c r="CY684" s="346">
        <f t="shared" si="794"/>
        <v>0</v>
      </c>
      <c r="CZ684" s="346">
        <f t="shared" si="794"/>
        <v>0</v>
      </c>
      <c r="DA684" s="346">
        <f t="shared" si="794"/>
        <v>8.7520000000000002E-6</v>
      </c>
      <c r="DB684" s="1479">
        <f t="shared" si="794"/>
        <v>2.4699200000000002E-4</v>
      </c>
      <c r="DC684" s="346">
        <f t="shared" si="794"/>
        <v>0</v>
      </c>
      <c r="DD684" s="346">
        <f t="shared" si="794"/>
        <v>0</v>
      </c>
      <c r="DE684" s="346">
        <f t="shared" si="794"/>
        <v>0</v>
      </c>
      <c r="DF684" s="346">
        <f t="shared" si="794"/>
        <v>0</v>
      </c>
      <c r="DG684" s="346">
        <f t="shared" si="794"/>
        <v>5.102769357407113E-6</v>
      </c>
      <c r="DH684" s="346">
        <f t="shared" si="794"/>
        <v>0</v>
      </c>
      <c r="DI684" s="346">
        <f t="shared" si="794"/>
        <v>0</v>
      </c>
      <c r="DJ684" s="346">
        <f t="shared" si="794"/>
        <v>0</v>
      </c>
      <c r="DK684" s="346">
        <f t="shared" ref="DK684:EP684" si="795">DK332</f>
        <v>0</v>
      </c>
      <c r="DL684" s="346">
        <f t="shared" si="795"/>
        <v>0</v>
      </c>
      <c r="DM684" s="346">
        <f t="shared" si="795"/>
        <v>9.8249129473932234E-6</v>
      </c>
      <c r="DN684" s="348">
        <f t="shared" si="795"/>
        <v>2.7734696915213906E-4</v>
      </c>
      <c r="DO684" s="346">
        <f t="shared" si="795"/>
        <v>0</v>
      </c>
      <c r="DP684" s="346">
        <f t="shared" si="795"/>
        <v>0</v>
      </c>
      <c r="DQ684" s="346">
        <f t="shared" si="795"/>
        <v>0</v>
      </c>
      <c r="DR684" s="346">
        <f t="shared" si="795"/>
        <v>0</v>
      </c>
      <c r="DS684" s="346">
        <f t="shared" si="795"/>
        <v>0</v>
      </c>
      <c r="DT684" s="346">
        <f t="shared" si="795"/>
        <v>0</v>
      </c>
      <c r="DU684" s="346">
        <f t="shared" si="795"/>
        <v>0</v>
      </c>
      <c r="DV684" s="346">
        <f t="shared" si="795"/>
        <v>0</v>
      </c>
      <c r="DW684" s="346">
        <f t="shared" si="795"/>
        <v>0</v>
      </c>
      <c r="DX684" s="346">
        <f t="shared" si="795"/>
        <v>0</v>
      </c>
      <c r="DY684" s="346">
        <f t="shared" si="795"/>
        <v>0</v>
      </c>
      <c r="DZ684" s="348">
        <f t="shared" si="795"/>
        <v>0</v>
      </c>
      <c r="EA684" s="346">
        <f t="shared" si="795"/>
        <v>0</v>
      </c>
      <c r="EB684" s="346">
        <f t="shared" si="795"/>
        <v>0</v>
      </c>
      <c r="EC684" s="346">
        <f t="shared" si="795"/>
        <v>0</v>
      </c>
      <c r="ED684" s="346">
        <f t="shared" si="795"/>
        <v>0</v>
      </c>
      <c r="EE684" s="346">
        <f t="shared" si="795"/>
        <v>0</v>
      </c>
      <c r="EF684" s="346">
        <f t="shared" si="795"/>
        <v>0</v>
      </c>
      <c r="EG684" s="346">
        <f t="shared" si="795"/>
        <v>0</v>
      </c>
      <c r="EH684" s="346">
        <f t="shared" si="795"/>
        <v>0</v>
      </c>
      <c r="EI684" s="346">
        <f t="shared" si="795"/>
        <v>0</v>
      </c>
      <c r="EJ684" s="346">
        <f t="shared" si="795"/>
        <v>0</v>
      </c>
      <c r="EK684" s="346">
        <f t="shared" si="795"/>
        <v>0</v>
      </c>
      <c r="EL684" s="348">
        <f t="shared" si="795"/>
        <v>0</v>
      </c>
      <c r="EM684" s="346">
        <f t="shared" si="795"/>
        <v>0</v>
      </c>
      <c r="EN684" s="346">
        <f t="shared" si="795"/>
        <v>0</v>
      </c>
      <c r="EO684" s="346">
        <f t="shared" si="795"/>
        <v>0</v>
      </c>
      <c r="EP684" s="346">
        <f t="shared" si="795"/>
        <v>0</v>
      </c>
      <c r="EQ684" s="346">
        <f t="shared" ref="EQ684:FP684" si="796">EQ332</f>
        <v>0</v>
      </c>
      <c r="ER684" s="346">
        <f t="shared" si="796"/>
        <v>0</v>
      </c>
      <c r="ES684" s="346">
        <f t="shared" si="796"/>
        <v>0</v>
      </c>
      <c r="ET684" s="346">
        <f t="shared" si="796"/>
        <v>0</v>
      </c>
      <c r="EU684" s="346">
        <f t="shared" si="796"/>
        <v>0</v>
      </c>
      <c r="EV684" s="346">
        <f t="shared" si="796"/>
        <v>0</v>
      </c>
      <c r="EW684" s="346">
        <f t="shared" si="796"/>
        <v>0</v>
      </c>
      <c r="EX684" s="348">
        <f t="shared" si="796"/>
        <v>0</v>
      </c>
      <c r="EY684" s="346">
        <f t="shared" si="796"/>
        <v>0</v>
      </c>
      <c r="EZ684" s="346">
        <f t="shared" si="796"/>
        <v>0</v>
      </c>
      <c r="FA684" s="346">
        <f t="shared" si="796"/>
        <v>0</v>
      </c>
      <c r="FB684" s="346">
        <f t="shared" si="796"/>
        <v>0</v>
      </c>
      <c r="FC684" s="346">
        <f t="shared" si="796"/>
        <v>0</v>
      </c>
      <c r="FD684" s="346">
        <f t="shared" si="796"/>
        <v>0</v>
      </c>
      <c r="FE684" s="346">
        <f t="shared" si="796"/>
        <v>0</v>
      </c>
      <c r="FF684" s="346">
        <f t="shared" si="796"/>
        <v>0</v>
      </c>
      <c r="FG684" s="346">
        <f t="shared" si="796"/>
        <v>0</v>
      </c>
      <c r="FH684" s="346">
        <f t="shared" si="796"/>
        <v>0</v>
      </c>
      <c r="FI684" s="346">
        <f t="shared" si="796"/>
        <v>0</v>
      </c>
      <c r="FJ684" s="348">
        <f t="shared" si="796"/>
        <v>0</v>
      </c>
      <c r="FK684" s="346">
        <f t="shared" si="796"/>
        <v>0</v>
      </c>
      <c r="FL684" s="346">
        <f t="shared" si="796"/>
        <v>0</v>
      </c>
      <c r="FM684" s="346">
        <f t="shared" si="796"/>
        <v>0</v>
      </c>
      <c r="FN684" s="346">
        <f t="shared" si="796"/>
        <v>0</v>
      </c>
      <c r="FO684" s="346">
        <f t="shared" si="796"/>
        <v>0</v>
      </c>
      <c r="FP684" s="346">
        <f t="shared" si="796"/>
        <v>0</v>
      </c>
      <c r="FQ684" s="346">
        <f t="shared" si="770"/>
        <v>0</v>
      </c>
      <c r="FR684" s="346">
        <f t="shared" si="770"/>
        <v>0</v>
      </c>
      <c r="FS684" s="346">
        <f t="shared" si="770"/>
        <v>0</v>
      </c>
      <c r="FT684" s="346">
        <f t="shared" si="770"/>
        <v>0</v>
      </c>
      <c r="FU684" s="346">
        <f t="shared" si="770"/>
        <v>0</v>
      </c>
      <c r="FV684" s="346">
        <f t="shared" si="770"/>
        <v>0</v>
      </c>
      <c r="FW684" s="346">
        <v>0</v>
      </c>
      <c r="FX684" s="346">
        <v>0</v>
      </c>
      <c r="FY684" s="346">
        <v>0</v>
      </c>
      <c r="FZ684" s="346">
        <v>0</v>
      </c>
      <c r="GA684" s="346">
        <v>0</v>
      </c>
      <c r="GB684" s="346">
        <v>0</v>
      </c>
      <c r="GC684" s="346">
        <v>0</v>
      </c>
      <c r="GD684" s="346">
        <v>0</v>
      </c>
      <c r="GE684" s="346">
        <v>0</v>
      </c>
      <c r="GF684" s="346">
        <v>0</v>
      </c>
      <c r="GG684" s="346">
        <v>0</v>
      </c>
      <c r="GH684" s="346">
        <v>0</v>
      </c>
      <c r="GI684" s="346">
        <f t="shared" ref="GI684:GN684" si="797">GI332</f>
        <v>0</v>
      </c>
      <c r="GJ684" s="346">
        <f t="shared" si="797"/>
        <v>0</v>
      </c>
      <c r="GK684" s="346">
        <f t="shared" si="797"/>
        <v>0</v>
      </c>
      <c r="GL684" s="346">
        <f t="shared" si="797"/>
        <v>0</v>
      </c>
      <c r="GM684" s="346">
        <f t="shared" si="797"/>
        <v>0</v>
      </c>
      <c r="GN684" s="346">
        <f t="shared" si="797"/>
        <v>0</v>
      </c>
      <c r="GO684" s="346">
        <f t="shared" ref="GO684:GT684" si="798">GO332</f>
        <v>0</v>
      </c>
      <c r="GP684" s="346">
        <f t="shared" si="798"/>
        <v>0</v>
      </c>
      <c r="GQ684" s="346">
        <f t="shared" si="798"/>
        <v>0</v>
      </c>
      <c r="GR684" s="346">
        <f t="shared" si="798"/>
        <v>0</v>
      </c>
      <c r="GS684" s="346">
        <f t="shared" si="798"/>
        <v>0</v>
      </c>
      <c r="GT684" s="346">
        <f t="shared" si="798"/>
        <v>0</v>
      </c>
      <c r="GU684" s="346">
        <f t="shared" ref="GU684:HF684" si="799">GU332</f>
        <v>0</v>
      </c>
      <c r="GV684" s="346">
        <f t="shared" si="799"/>
        <v>0</v>
      </c>
      <c r="GW684" s="346">
        <f t="shared" si="799"/>
        <v>0</v>
      </c>
      <c r="GX684" s="346">
        <f t="shared" si="799"/>
        <v>0</v>
      </c>
      <c r="GY684" s="346">
        <f t="shared" si="799"/>
        <v>0</v>
      </c>
      <c r="GZ684" s="346">
        <f t="shared" si="799"/>
        <v>0</v>
      </c>
      <c r="HA684" s="346">
        <f t="shared" si="799"/>
        <v>0</v>
      </c>
      <c r="HB684" s="346">
        <f t="shared" si="799"/>
        <v>0</v>
      </c>
      <c r="HC684" s="346">
        <f t="shared" si="799"/>
        <v>0</v>
      </c>
      <c r="HD684" s="346">
        <f t="shared" si="799"/>
        <v>0</v>
      </c>
      <c r="HE684" s="346">
        <f t="shared" si="799"/>
        <v>0</v>
      </c>
      <c r="HF684" s="346">
        <f t="shared" si="799"/>
        <v>0</v>
      </c>
      <c r="HG684" s="346">
        <f t="shared" ref="HG684:HL684" si="800">HG332</f>
        <v>0</v>
      </c>
      <c r="HH684" s="346">
        <f t="shared" si="800"/>
        <v>0</v>
      </c>
      <c r="HI684" s="346">
        <f t="shared" si="800"/>
        <v>0</v>
      </c>
      <c r="HJ684" s="346">
        <f t="shared" si="800"/>
        <v>0</v>
      </c>
      <c r="HK684" s="346">
        <f t="shared" si="800"/>
        <v>0</v>
      </c>
      <c r="HL684" s="346">
        <f t="shared" si="800"/>
        <v>0</v>
      </c>
      <c r="HM684" s="346"/>
      <c r="HN684" s="349"/>
      <c r="HO684" s="1439" t="s">
        <v>510</v>
      </c>
      <c r="HP684" s="307">
        <f t="shared" si="745"/>
        <v>6.2609999999999999E-6</v>
      </c>
      <c r="HQ684" s="302">
        <f t="shared" si="746"/>
        <v>1.2117599999999999E-3</v>
      </c>
      <c r="HR684" s="346">
        <f t="shared" si="698"/>
        <v>1.2180209999999999E-3</v>
      </c>
      <c r="HS684" s="302">
        <f t="shared" si="747"/>
        <v>4.5650000000000003E-6</v>
      </c>
      <c r="HT684" s="302">
        <f t="shared" si="748"/>
        <v>2.5574400000000002E-4</v>
      </c>
      <c r="HU684" s="346">
        <f t="shared" si="678"/>
        <v>2.6030900000000002E-4</v>
      </c>
      <c r="HV684" s="307">
        <f t="shared" si="749"/>
        <v>5.102769357407113E-6</v>
      </c>
      <c r="HW684" s="302">
        <f t="shared" si="750"/>
        <v>2.8717188209953227E-4</v>
      </c>
      <c r="HX684" s="346">
        <f t="shared" si="679"/>
        <v>2.9227465145693937E-4</v>
      </c>
      <c r="HY684" s="350">
        <f t="shared" si="751"/>
        <v>0</v>
      </c>
      <c r="HZ684" s="302">
        <f t="shared" si="752"/>
        <v>0</v>
      </c>
      <c r="IA684" s="346">
        <f t="shared" si="680"/>
        <v>0</v>
      </c>
      <c r="IB684" s="302">
        <f t="shared" si="753"/>
        <v>0</v>
      </c>
      <c r="IC684" s="302">
        <f t="shared" si="754"/>
        <v>0</v>
      </c>
      <c r="ID684" s="346">
        <f t="shared" si="681"/>
        <v>0</v>
      </c>
      <c r="IE684" s="350">
        <f t="shared" si="755"/>
        <v>0</v>
      </c>
      <c r="IF684" s="350">
        <f t="shared" si="756"/>
        <v>0</v>
      </c>
      <c r="IG684" s="346">
        <f t="shared" si="682"/>
        <v>0</v>
      </c>
      <c r="IH684" s="350">
        <f t="shared" si="757"/>
        <v>0</v>
      </c>
      <c r="II684" s="350">
        <f t="shared" si="758"/>
        <v>0</v>
      </c>
      <c r="IJ684" s="346">
        <f t="shared" si="683"/>
        <v>0</v>
      </c>
      <c r="IK684" s="350">
        <f t="shared" si="759"/>
        <v>0</v>
      </c>
      <c r="IL684" s="350">
        <f t="shared" si="664"/>
        <v>0</v>
      </c>
      <c r="IM684" s="346">
        <f t="shared" si="684"/>
        <v>0</v>
      </c>
      <c r="IN684" s="350">
        <f t="shared" si="665"/>
        <v>0</v>
      </c>
      <c r="IO684" s="350">
        <f t="shared" si="666"/>
        <v>0</v>
      </c>
      <c r="IP684" s="346">
        <f t="shared" si="685"/>
        <v>0</v>
      </c>
      <c r="IQ684" s="350">
        <f t="shared" si="667"/>
        <v>0</v>
      </c>
      <c r="IR684" s="350">
        <f t="shared" si="668"/>
        <v>0</v>
      </c>
      <c r="IS684" s="346">
        <f t="shared" si="686"/>
        <v>0</v>
      </c>
      <c r="IT684" s="350">
        <f t="shared" si="699"/>
        <v>0</v>
      </c>
      <c r="IU684" s="350">
        <f t="shared" si="707"/>
        <v>0</v>
      </c>
      <c r="IV684" s="346">
        <f t="shared" si="687"/>
        <v>0</v>
      </c>
      <c r="IW684" s="350">
        <f t="shared" si="700"/>
        <v>0</v>
      </c>
      <c r="IX684" s="350">
        <f t="shared" si="688"/>
        <v>0</v>
      </c>
      <c r="IY684" s="346">
        <f>FISC!AJ1006</f>
        <v>0</v>
      </c>
      <c r="IZ684" s="350">
        <f t="shared" si="708"/>
        <v>0</v>
      </c>
      <c r="JA684" s="302">
        <f t="shared" si="689"/>
        <v>0</v>
      </c>
      <c r="JB684" s="346">
        <f>FISC!AK1006</f>
        <v>0</v>
      </c>
      <c r="JC684" s="350">
        <f t="shared" si="709"/>
        <v>0</v>
      </c>
      <c r="JD684" s="302">
        <f t="shared" si="690"/>
        <v>0</v>
      </c>
      <c r="JE684" s="346">
        <f>FISC!AL1006</f>
        <v>0</v>
      </c>
      <c r="JF684" s="350">
        <f t="shared" si="710"/>
        <v>0</v>
      </c>
      <c r="JG684" s="302">
        <f t="shared" si="691"/>
        <v>0</v>
      </c>
      <c r="JH684" s="346">
        <f>FISC!AM1006</f>
        <v>0</v>
      </c>
      <c r="JI684" s="350">
        <f t="shared" si="711"/>
        <v>0</v>
      </c>
      <c r="JJ684" s="302">
        <f t="shared" si="701"/>
        <v>0</v>
      </c>
      <c r="JK684" s="346">
        <f>FISC!AN1006</f>
        <v>0</v>
      </c>
      <c r="JL684" s="350">
        <f t="shared" si="712"/>
        <v>0</v>
      </c>
      <c r="JM684" s="302">
        <f t="shared" si="692"/>
        <v>0</v>
      </c>
      <c r="JN684" s="346">
        <f>FISC!AO1006</f>
        <v>0</v>
      </c>
      <c r="KI684" s="349"/>
      <c r="KJ684" s="350"/>
    </row>
    <row r="685" spans="1:296" hidden="1" outlineLevel="1">
      <c r="A685" s="302"/>
      <c r="D685" s="1439" t="s">
        <v>511</v>
      </c>
      <c r="E685" s="346"/>
      <c r="F685" s="346"/>
      <c r="G685" s="346"/>
      <c r="H685" s="346"/>
      <c r="I685" s="346"/>
      <c r="J685" s="346"/>
      <c r="K685" s="346"/>
      <c r="L685" s="346"/>
      <c r="M685" s="346"/>
      <c r="N685" s="346"/>
      <c r="O685" s="346"/>
      <c r="P685" s="346"/>
      <c r="Q685" s="346"/>
      <c r="R685" s="346"/>
      <c r="S685" s="346"/>
      <c r="T685" s="346"/>
      <c r="U685" s="346"/>
      <c r="V685" s="346"/>
      <c r="W685" s="346"/>
      <c r="X685" s="346"/>
      <c r="Y685" s="346"/>
      <c r="Z685" s="346"/>
      <c r="AA685" s="346"/>
      <c r="AB685" s="346"/>
      <c r="AC685" s="346"/>
      <c r="AD685" s="346"/>
      <c r="AE685" s="346"/>
      <c r="AF685" s="346"/>
      <c r="AG685" s="346"/>
      <c r="AH685" s="346"/>
      <c r="AI685" s="346"/>
      <c r="AJ685" s="346"/>
      <c r="AK685" s="346"/>
      <c r="AL685" s="346"/>
      <c r="AM685" s="346"/>
      <c r="AN685" s="346"/>
      <c r="AO685" s="346"/>
      <c r="AP685" s="346"/>
      <c r="AQ685" s="346"/>
      <c r="AR685" s="346"/>
      <c r="AS685" s="346"/>
      <c r="AT685" s="346"/>
      <c r="AU685" s="346"/>
      <c r="AV685" s="346"/>
      <c r="AW685" s="346"/>
      <c r="AX685" s="346"/>
      <c r="AY685" s="346"/>
      <c r="AZ685" s="346"/>
      <c r="BA685" s="346"/>
      <c r="BB685" s="346"/>
      <c r="BC685" s="346"/>
      <c r="BD685" s="346"/>
      <c r="BE685" s="346"/>
      <c r="BF685" s="346"/>
      <c r="BG685" s="346"/>
      <c r="BH685" s="346"/>
      <c r="BI685" s="346"/>
      <c r="BJ685" s="346"/>
      <c r="BK685" s="346"/>
      <c r="BL685" s="346"/>
      <c r="BM685" s="346"/>
      <c r="BN685" s="346"/>
      <c r="BO685" s="346"/>
      <c r="BP685" s="346"/>
      <c r="BQ685" s="346"/>
      <c r="BR685" s="346"/>
      <c r="BS685" s="346"/>
      <c r="BT685" s="346"/>
      <c r="BU685" s="346"/>
      <c r="BV685" s="346"/>
      <c r="BW685" s="346"/>
      <c r="BX685" s="346"/>
      <c r="BY685" s="346"/>
      <c r="BZ685" s="346"/>
      <c r="CA685" s="346"/>
      <c r="CB685" s="346"/>
      <c r="CC685" s="346"/>
      <c r="CD685" s="352"/>
      <c r="CE685" s="346">
        <f t="shared" ref="CE685:DJ685" si="801">CE333</f>
        <v>0</v>
      </c>
      <c r="CF685" s="346">
        <f t="shared" si="801"/>
        <v>0</v>
      </c>
      <c r="CG685" s="346">
        <f t="shared" si="801"/>
        <v>0</v>
      </c>
      <c r="CH685" s="346">
        <f t="shared" si="801"/>
        <v>0</v>
      </c>
      <c r="CI685" s="346">
        <f t="shared" si="801"/>
        <v>0</v>
      </c>
      <c r="CJ685" s="346">
        <f t="shared" si="801"/>
        <v>0</v>
      </c>
      <c r="CK685" s="346">
        <f t="shared" si="801"/>
        <v>0</v>
      </c>
      <c r="CL685" s="346">
        <f t="shared" si="801"/>
        <v>0</v>
      </c>
      <c r="CM685" s="346">
        <f t="shared" si="801"/>
        <v>0</v>
      </c>
      <c r="CN685" s="346">
        <f t="shared" si="801"/>
        <v>0</v>
      </c>
      <c r="CO685" s="346">
        <f t="shared" si="801"/>
        <v>0</v>
      </c>
      <c r="CP685" s="348">
        <f t="shared" si="801"/>
        <v>0</v>
      </c>
      <c r="CQ685" s="346">
        <f t="shared" si="801"/>
        <v>0</v>
      </c>
      <c r="CR685" s="346">
        <f t="shared" si="801"/>
        <v>0</v>
      </c>
      <c r="CS685" s="346">
        <f t="shared" si="801"/>
        <v>0</v>
      </c>
      <c r="CT685" s="346">
        <f t="shared" si="801"/>
        <v>0</v>
      </c>
      <c r="CU685" s="346">
        <f t="shared" si="801"/>
        <v>0</v>
      </c>
      <c r="CV685" s="346">
        <f t="shared" si="801"/>
        <v>0</v>
      </c>
      <c r="CW685" s="346">
        <f t="shared" si="801"/>
        <v>0</v>
      </c>
      <c r="CX685" s="346">
        <f t="shared" si="801"/>
        <v>0</v>
      </c>
      <c r="CY685" s="346">
        <f t="shared" si="801"/>
        <v>0</v>
      </c>
      <c r="CZ685" s="346">
        <f t="shared" si="801"/>
        <v>0</v>
      </c>
      <c r="DA685" s="346">
        <f t="shared" si="801"/>
        <v>0</v>
      </c>
      <c r="DB685" s="1479">
        <f t="shared" si="801"/>
        <v>0</v>
      </c>
      <c r="DC685" s="346">
        <f t="shared" si="801"/>
        <v>0</v>
      </c>
      <c r="DD685" s="346">
        <f t="shared" si="801"/>
        <v>0</v>
      </c>
      <c r="DE685" s="346">
        <f t="shared" si="801"/>
        <v>0</v>
      </c>
      <c r="DF685" s="346">
        <f t="shared" si="801"/>
        <v>0</v>
      </c>
      <c r="DG685" s="346">
        <f t="shared" si="801"/>
        <v>0</v>
      </c>
      <c r="DH685" s="346">
        <f t="shared" si="801"/>
        <v>0</v>
      </c>
      <c r="DI685" s="346">
        <f t="shared" si="801"/>
        <v>0</v>
      </c>
      <c r="DJ685" s="346">
        <f t="shared" si="801"/>
        <v>0</v>
      </c>
      <c r="DK685" s="346">
        <f t="shared" ref="DK685:EP685" si="802">DK333</f>
        <v>0</v>
      </c>
      <c r="DL685" s="346">
        <f t="shared" si="802"/>
        <v>0</v>
      </c>
      <c r="DM685" s="346">
        <f t="shared" si="802"/>
        <v>0</v>
      </c>
      <c r="DN685" s="348">
        <f t="shared" si="802"/>
        <v>0</v>
      </c>
      <c r="DO685" s="346">
        <f t="shared" si="802"/>
        <v>0</v>
      </c>
      <c r="DP685" s="346">
        <f t="shared" si="802"/>
        <v>0</v>
      </c>
      <c r="DQ685" s="346">
        <f t="shared" si="802"/>
        <v>0</v>
      </c>
      <c r="DR685" s="346">
        <f t="shared" si="802"/>
        <v>0</v>
      </c>
      <c r="DS685" s="346">
        <f t="shared" si="802"/>
        <v>0</v>
      </c>
      <c r="DT685" s="346">
        <f t="shared" si="802"/>
        <v>0</v>
      </c>
      <c r="DU685" s="346">
        <f t="shared" si="802"/>
        <v>0</v>
      </c>
      <c r="DV685" s="346">
        <f t="shared" si="802"/>
        <v>0</v>
      </c>
      <c r="DW685" s="346">
        <f t="shared" si="802"/>
        <v>0</v>
      </c>
      <c r="DX685" s="346">
        <f t="shared" si="802"/>
        <v>0</v>
      </c>
      <c r="DY685" s="346">
        <f t="shared" si="802"/>
        <v>0</v>
      </c>
      <c r="DZ685" s="348">
        <f t="shared" si="802"/>
        <v>0</v>
      </c>
      <c r="EA685" s="346">
        <f t="shared" si="802"/>
        <v>0</v>
      </c>
      <c r="EB685" s="346">
        <f t="shared" si="802"/>
        <v>0</v>
      </c>
      <c r="EC685" s="346">
        <f t="shared" si="802"/>
        <v>0</v>
      </c>
      <c r="ED685" s="346">
        <f t="shared" si="802"/>
        <v>0</v>
      </c>
      <c r="EE685" s="346">
        <f t="shared" si="802"/>
        <v>0</v>
      </c>
      <c r="EF685" s="346">
        <f t="shared" si="802"/>
        <v>0</v>
      </c>
      <c r="EG685" s="346">
        <f t="shared" si="802"/>
        <v>0</v>
      </c>
      <c r="EH685" s="346">
        <f t="shared" si="802"/>
        <v>0</v>
      </c>
      <c r="EI685" s="346">
        <f t="shared" si="802"/>
        <v>0</v>
      </c>
      <c r="EJ685" s="346">
        <f t="shared" si="802"/>
        <v>0</v>
      </c>
      <c r="EK685" s="346">
        <f t="shared" si="802"/>
        <v>0</v>
      </c>
      <c r="EL685" s="348">
        <f t="shared" si="802"/>
        <v>0</v>
      </c>
      <c r="EM685" s="346">
        <f t="shared" si="802"/>
        <v>0</v>
      </c>
      <c r="EN685" s="346">
        <f t="shared" si="802"/>
        <v>0</v>
      </c>
      <c r="EO685" s="346">
        <f t="shared" si="802"/>
        <v>0</v>
      </c>
      <c r="EP685" s="346">
        <f t="shared" si="802"/>
        <v>0</v>
      </c>
      <c r="EQ685" s="346">
        <f t="shared" ref="EQ685:FP685" si="803">EQ333</f>
        <v>0</v>
      </c>
      <c r="ER685" s="346">
        <f t="shared" si="803"/>
        <v>0</v>
      </c>
      <c r="ES685" s="346">
        <f t="shared" si="803"/>
        <v>0</v>
      </c>
      <c r="ET685" s="346">
        <f t="shared" si="803"/>
        <v>0</v>
      </c>
      <c r="EU685" s="346">
        <f t="shared" si="803"/>
        <v>0</v>
      </c>
      <c r="EV685" s="346">
        <f t="shared" si="803"/>
        <v>0</v>
      </c>
      <c r="EW685" s="346">
        <f t="shared" si="803"/>
        <v>0</v>
      </c>
      <c r="EX685" s="348">
        <f t="shared" si="803"/>
        <v>0</v>
      </c>
      <c r="EY685" s="346">
        <f t="shared" si="803"/>
        <v>0</v>
      </c>
      <c r="EZ685" s="346">
        <f t="shared" si="803"/>
        <v>0</v>
      </c>
      <c r="FA685" s="346">
        <f t="shared" si="803"/>
        <v>0</v>
      </c>
      <c r="FB685" s="346">
        <f t="shared" si="803"/>
        <v>0</v>
      </c>
      <c r="FC685" s="346">
        <f t="shared" si="803"/>
        <v>0</v>
      </c>
      <c r="FD685" s="346">
        <f t="shared" si="803"/>
        <v>0</v>
      </c>
      <c r="FE685" s="346">
        <f t="shared" si="803"/>
        <v>0</v>
      </c>
      <c r="FF685" s="346">
        <f t="shared" si="803"/>
        <v>0</v>
      </c>
      <c r="FG685" s="346">
        <f t="shared" si="803"/>
        <v>0</v>
      </c>
      <c r="FH685" s="346">
        <f t="shared" si="803"/>
        <v>0</v>
      </c>
      <c r="FI685" s="346">
        <f t="shared" si="803"/>
        <v>0</v>
      </c>
      <c r="FJ685" s="348">
        <f t="shared" si="803"/>
        <v>0</v>
      </c>
      <c r="FK685" s="346">
        <f t="shared" si="803"/>
        <v>0</v>
      </c>
      <c r="FL685" s="346">
        <f t="shared" si="803"/>
        <v>0</v>
      </c>
      <c r="FM685" s="346">
        <f t="shared" si="803"/>
        <v>0</v>
      </c>
      <c r="FN685" s="346">
        <f t="shared" si="803"/>
        <v>0</v>
      </c>
      <c r="FO685" s="346">
        <f t="shared" si="803"/>
        <v>0</v>
      </c>
      <c r="FP685" s="346">
        <f t="shared" si="803"/>
        <v>0</v>
      </c>
      <c r="FQ685" s="346">
        <f t="shared" si="770"/>
        <v>0</v>
      </c>
      <c r="FR685" s="346">
        <f t="shared" si="770"/>
        <v>0</v>
      </c>
      <c r="FS685" s="346">
        <f t="shared" si="770"/>
        <v>0</v>
      </c>
      <c r="FT685" s="346">
        <f t="shared" si="770"/>
        <v>0</v>
      </c>
      <c r="FU685" s="346">
        <f t="shared" si="770"/>
        <v>0</v>
      </c>
      <c r="FV685" s="346">
        <f t="shared" si="770"/>
        <v>0</v>
      </c>
      <c r="FW685" s="346">
        <v>0</v>
      </c>
      <c r="FX685" s="346">
        <v>0</v>
      </c>
      <c r="FY685" s="346">
        <v>0</v>
      </c>
      <c r="FZ685" s="346">
        <v>0</v>
      </c>
      <c r="GA685" s="346">
        <v>0</v>
      </c>
      <c r="GB685" s="346">
        <v>0</v>
      </c>
      <c r="GC685" s="346">
        <v>0</v>
      </c>
      <c r="GD685" s="346">
        <v>0</v>
      </c>
      <c r="GE685" s="346">
        <v>0</v>
      </c>
      <c r="GF685" s="346">
        <v>0</v>
      </c>
      <c r="GG685" s="346">
        <v>0</v>
      </c>
      <c r="GH685" s="346">
        <v>0</v>
      </c>
      <c r="GI685" s="346">
        <f t="shared" ref="GI685:GN685" si="804">GI333</f>
        <v>0</v>
      </c>
      <c r="GJ685" s="346">
        <f t="shared" si="804"/>
        <v>0</v>
      </c>
      <c r="GK685" s="346">
        <f t="shared" si="804"/>
        <v>0</v>
      </c>
      <c r="GL685" s="346">
        <f t="shared" si="804"/>
        <v>0</v>
      </c>
      <c r="GM685" s="346">
        <f t="shared" si="804"/>
        <v>0</v>
      </c>
      <c r="GN685" s="346">
        <f t="shared" si="804"/>
        <v>0</v>
      </c>
      <c r="GO685" s="346">
        <f t="shared" ref="GO685:GT685" si="805">GO333</f>
        <v>0</v>
      </c>
      <c r="GP685" s="346">
        <f t="shared" si="805"/>
        <v>0</v>
      </c>
      <c r="GQ685" s="346">
        <f t="shared" si="805"/>
        <v>0</v>
      </c>
      <c r="GR685" s="346">
        <f t="shared" si="805"/>
        <v>0</v>
      </c>
      <c r="GS685" s="346">
        <f t="shared" si="805"/>
        <v>0</v>
      </c>
      <c r="GT685" s="346">
        <f t="shared" si="805"/>
        <v>0</v>
      </c>
      <c r="GU685" s="346">
        <f t="shared" ref="GU685:HF685" si="806">GU333</f>
        <v>0</v>
      </c>
      <c r="GV685" s="346">
        <f t="shared" si="806"/>
        <v>0</v>
      </c>
      <c r="GW685" s="346">
        <f t="shared" si="806"/>
        <v>0</v>
      </c>
      <c r="GX685" s="346">
        <f t="shared" si="806"/>
        <v>0</v>
      </c>
      <c r="GY685" s="346">
        <f t="shared" si="806"/>
        <v>0</v>
      </c>
      <c r="GZ685" s="346">
        <f t="shared" si="806"/>
        <v>0</v>
      </c>
      <c r="HA685" s="346">
        <f t="shared" si="806"/>
        <v>0</v>
      </c>
      <c r="HB685" s="346">
        <f t="shared" si="806"/>
        <v>0</v>
      </c>
      <c r="HC685" s="346">
        <f t="shared" si="806"/>
        <v>0</v>
      </c>
      <c r="HD685" s="346">
        <f t="shared" si="806"/>
        <v>0</v>
      </c>
      <c r="HE685" s="346">
        <f t="shared" si="806"/>
        <v>0</v>
      </c>
      <c r="HF685" s="346">
        <f t="shared" si="806"/>
        <v>0</v>
      </c>
      <c r="HG685" s="346">
        <f t="shared" ref="HG685:HL685" si="807">HG333</f>
        <v>0</v>
      </c>
      <c r="HH685" s="346">
        <f t="shared" si="807"/>
        <v>0</v>
      </c>
      <c r="HI685" s="346">
        <f t="shared" si="807"/>
        <v>0</v>
      </c>
      <c r="HJ685" s="346">
        <f t="shared" si="807"/>
        <v>0</v>
      </c>
      <c r="HK685" s="346">
        <f t="shared" si="807"/>
        <v>0</v>
      </c>
      <c r="HL685" s="346">
        <f t="shared" si="807"/>
        <v>0</v>
      </c>
      <c r="HM685" s="346"/>
      <c r="HN685" s="349"/>
      <c r="HO685" s="1439" t="s">
        <v>511</v>
      </c>
      <c r="HP685" s="307">
        <f t="shared" si="745"/>
        <v>0</v>
      </c>
      <c r="HQ685" s="302">
        <f t="shared" si="746"/>
        <v>0</v>
      </c>
      <c r="HR685" s="346">
        <f t="shared" si="698"/>
        <v>0</v>
      </c>
      <c r="HS685" s="302">
        <f t="shared" si="747"/>
        <v>0</v>
      </c>
      <c r="HT685" s="302">
        <f t="shared" si="748"/>
        <v>0</v>
      </c>
      <c r="HU685" s="346">
        <f t="shared" si="678"/>
        <v>0</v>
      </c>
      <c r="HV685" s="307">
        <f t="shared" si="749"/>
        <v>0</v>
      </c>
      <c r="HW685" s="302">
        <f t="shared" si="750"/>
        <v>0</v>
      </c>
      <c r="HX685" s="346">
        <f t="shared" si="679"/>
        <v>0</v>
      </c>
      <c r="HY685" s="350">
        <f t="shared" si="751"/>
        <v>0</v>
      </c>
      <c r="HZ685" s="302">
        <f t="shared" si="752"/>
        <v>0</v>
      </c>
      <c r="IA685" s="346">
        <f t="shared" si="680"/>
        <v>0</v>
      </c>
      <c r="IB685" s="302">
        <f t="shared" si="753"/>
        <v>0</v>
      </c>
      <c r="IC685" s="302">
        <f t="shared" si="754"/>
        <v>0</v>
      </c>
      <c r="ID685" s="346">
        <f t="shared" si="681"/>
        <v>0</v>
      </c>
      <c r="IE685" s="350">
        <f t="shared" si="755"/>
        <v>0</v>
      </c>
      <c r="IF685" s="350">
        <f t="shared" si="756"/>
        <v>0</v>
      </c>
      <c r="IG685" s="346">
        <f t="shared" si="682"/>
        <v>0</v>
      </c>
      <c r="IH685" s="350">
        <f t="shared" si="757"/>
        <v>0</v>
      </c>
      <c r="II685" s="350">
        <f t="shared" si="758"/>
        <v>0</v>
      </c>
      <c r="IJ685" s="346">
        <f t="shared" si="683"/>
        <v>0</v>
      </c>
      <c r="IK685" s="350">
        <f t="shared" si="759"/>
        <v>0</v>
      </c>
      <c r="IL685" s="350">
        <f t="shared" si="664"/>
        <v>0</v>
      </c>
      <c r="IM685" s="346">
        <f t="shared" si="684"/>
        <v>0</v>
      </c>
      <c r="IN685" s="350">
        <f t="shared" si="665"/>
        <v>0</v>
      </c>
      <c r="IO685" s="350">
        <f t="shared" si="666"/>
        <v>0</v>
      </c>
      <c r="IP685" s="346">
        <f t="shared" si="685"/>
        <v>0</v>
      </c>
      <c r="IQ685" s="350">
        <f t="shared" si="667"/>
        <v>0</v>
      </c>
      <c r="IR685" s="350">
        <f t="shared" si="668"/>
        <v>0</v>
      </c>
      <c r="IS685" s="346">
        <f t="shared" si="686"/>
        <v>0</v>
      </c>
      <c r="IT685" s="350">
        <f t="shared" si="699"/>
        <v>0</v>
      </c>
      <c r="IU685" s="350">
        <f t="shared" si="707"/>
        <v>0</v>
      </c>
      <c r="IV685" s="346">
        <f t="shared" si="687"/>
        <v>0</v>
      </c>
      <c r="IW685" s="350">
        <f t="shared" si="700"/>
        <v>0</v>
      </c>
      <c r="IX685" s="350">
        <f t="shared" si="688"/>
        <v>0</v>
      </c>
      <c r="IY685" s="346">
        <f>FISC!AJ1007</f>
        <v>0</v>
      </c>
      <c r="IZ685" s="350">
        <f t="shared" si="708"/>
        <v>0</v>
      </c>
      <c r="JA685" s="302">
        <f t="shared" si="689"/>
        <v>0</v>
      </c>
      <c r="JB685" s="346">
        <f>FISC!AK1007</f>
        <v>0</v>
      </c>
      <c r="JC685" s="350">
        <f t="shared" si="709"/>
        <v>0</v>
      </c>
      <c r="JD685" s="302">
        <f t="shared" si="690"/>
        <v>0</v>
      </c>
      <c r="JE685" s="346">
        <f>FISC!AL1007</f>
        <v>0</v>
      </c>
      <c r="JF685" s="350">
        <f t="shared" si="710"/>
        <v>0</v>
      </c>
      <c r="JG685" s="302">
        <f t="shared" si="691"/>
        <v>0</v>
      </c>
      <c r="JH685" s="346">
        <f>FISC!AM1007</f>
        <v>0</v>
      </c>
      <c r="JI685" s="350">
        <f t="shared" si="711"/>
        <v>0</v>
      </c>
      <c r="JJ685" s="302">
        <f t="shared" si="701"/>
        <v>0</v>
      </c>
      <c r="JK685" s="346">
        <f>FISC!AN1007</f>
        <v>0</v>
      </c>
      <c r="JL685" s="350">
        <f t="shared" si="712"/>
        <v>0</v>
      </c>
      <c r="JM685" s="302">
        <f t="shared" si="692"/>
        <v>0</v>
      </c>
      <c r="JN685" s="346">
        <f>FISC!AO1007</f>
        <v>0</v>
      </c>
      <c r="KI685" s="349"/>
      <c r="KJ685" s="350"/>
    </row>
    <row r="686" spans="1:296" hidden="1" outlineLevel="1">
      <c r="A686" s="302"/>
      <c r="D686" s="1439" t="s">
        <v>512</v>
      </c>
      <c r="E686" s="346"/>
      <c r="F686" s="346"/>
      <c r="G686" s="346"/>
      <c r="H686" s="346"/>
      <c r="I686" s="346"/>
      <c r="J686" s="346"/>
      <c r="K686" s="346"/>
      <c r="L686" s="346"/>
      <c r="M686" s="346"/>
      <c r="N686" s="346"/>
      <c r="O686" s="346"/>
      <c r="P686" s="346"/>
      <c r="Q686" s="346"/>
      <c r="R686" s="346"/>
      <c r="S686" s="346"/>
      <c r="T686" s="346"/>
      <c r="U686" s="346"/>
      <c r="V686" s="346"/>
      <c r="W686" s="346"/>
      <c r="X686" s="346"/>
      <c r="Y686" s="346"/>
      <c r="Z686" s="346"/>
      <c r="AA686" s="346"/>
      <c r="AB686" s="346"/>
      <c r="AC686" s="346"/>
      <c r="AD686" s="346"/>
      <c r="AE686" s="346"/>
      <c r="AF686" s="346"/>
      <c r="AG686" s="346"/>
      <c r="AH686" s="346"/>
      <c r="AI686" s="346"/>
      <c r="AJ686" s="346"/>
      <c r="AK686" s="346"/>
      <c r="AL686" s="346"/>
      <c r="AM686" s="346"/>
      <c r="AN686" s="346"/>
      <c r="AO686" s="346"/>
      <c r="AP686" s="346"/>
      <c r="AQ686" s="346"/>
      <c r="AR686" s="346"/>
      <c r="AS686" s="346"/>
      <c r="AT686" s="346"/>
      <c r="AU686" s="346"/>
      <c r="AV686" s="346"/>
      <c r="AW686" s="346"/>
      <c r="AX686" s="346"/>
      <c r="AY686" s="346"/>
      <c r="AZ686" s="346"/>
      <c r="BA686" s="346"/>
      <c r="BB686" s="346"/>
      <c r="BC686" s="346"/>
      <c r="BD686" s="346"/>
      <c r="BE686" s="346"/>
      <c r="BF686" s="346"/>
      <c r="BG686" s="346"/>
      <c r="BH686" s="346"/>
      <c r="BI686" s="346"/>
      <c r="BJ686" s="346"/>
      <c r="BK686" s="346"/>
      <c r="BL686" s="346"/>
      <c r="BM686" s="346"/>
      <c r="BN686" s="346"/>
      <c r="BO686" s="346"/>
      <c r="BP686" s="346"/>
      <c r="BQ686" s="346"/>
      <c r="BR686" s="346"/>
      <c r="BS686" s="346"/>
      <c r="BT686" s="346"/>
      <c r="BU686" s="346"/>
      <c r="BV686" s="346"/>
      <c r="BW686" s="346"/>
      <c r="BX686" s="346"/>
      <c r="BY686" s="346"/>
      <c r="BZ686" s="346"/>
      <c r="CA686" s="346"/>
      <c r="CB686" s="346"/>
      <c r="CC686" s="346"/>
      <c r="CD686" s="352"/>
      <c r="CE686" s="346">
        <f t="shared" ref="CE686:DJ686" si="808">CE334</f>
        <v>10.312014238</v>
      </c>
      <c r="CF686" s="346">
        <f t="shared" si="808"/>
        <v>11.682352078999999</v>
      </c>
      <c r="CG686" s="346">
        <f t="shared" si="808"/>
        <v>10.690505712</v>
      </c>
      <c r="CH686" s="346">
        <f t="shared" si="808"/>
        <v>10.734642351</v>
      </c>
      <c r="CI686" s="346">
        <f t="shared" si="808"/>
        <v>9.7985631360000003</v>
      </c>
      <c r="CJ686" s="346">
        <f t="shared" si="808"/>
        <v>9.4056947760000007</v>
      </c>
      <c r="CK686" s="346">
        <f t="shared" si="808"/>
        <v>11.524598477</v>
      </c>
      <c r="CL686" s="346">
        <f t="shared" si="808"/>
        <v>10.158745530999999</v>
      </c>
      <c r="CM686" s="346">
        <f t="shared" si="808"/>
        <v>10.590484483999999</v>
      </c>
      <c r="CN686" s="346">
        <f t="shared" si="808"/>
        <v>10.229226067999999</v>
      </c>
      <c r="CO686" s="346">
        <f t="shared" si="808"/>
        <v>9.9519072630000007</v>
      </c>
      <c r="CP686" s="348">
        <f t="shared" si="808"/>
        <v>10.679967767999999</v>
      </c>
      <c r="CQ686" s="346">
        <f t="shared" si="808"/>
        <v>12.38807276</v>
      </c>
      <c r="CR686" s="346">
        <f t="shared" si="808"/>
        <v>12.467862021</v>
      </c>
      <c r="CS686" s="346">
        <f t="shared" si="808"/>
        <v>11.696207848</v>
      </c>
      <c r="CT686" s="346">
        <f t="shared" si="808"/>
        <v>10.381398195999999</v>
      </c>
      <c r="CU686" s="346">
        <f t="shared" si="808"/>
        <v>10.439065612</v>
      </c>
      <c r="CV686" s="346">
        <f t="shared" si="808"/>
        <v>12.667704062</v>
      </c>
      <c r="CW686" s="346">
        <f t="shared" si="808"/>
        <v>10.976646073</v>
      </c>
      <c r="CX686" s="346">
        <f t="shared" si="808"/>
        <v>10.287932966</v>
      </c>
      <c r="CY686" s="346">
        <f t="shared" si="808"/>
        <v>10.544515338</v>
      </c>
      <c r="CZ686" s="346">
        <f t="shared" si="808"/>
        <v>11.492866818</v>
      </c>
      <c r="DA686" s="346">
        <f t="shared" si="808"/>
        <v>10.822163140000001</v>
      </c>
      <c r="DB686" s="1479">
        <f t="shared" si="808"/>
        <v>12.855031159999999</v>
      </c>
      <c r="DC686" s="346">
        <f t="shared" si="808"/>
        <v>13.885712351280118</v>
      </c>
      <c r="DD686" s="346">
        <f t="shared" si="808"/>
        <v>14.829079303096313</v>
      </c>
      <c r="DE686" s="346">
        <f t="shared" si="808"/>
        <v>13.77518902838599</v>
      </c>
      <c r="DF686" s="346">
        <f t="shared" si="808"/>
        <v>14.922692627866242</v>
      </c>
      <c r="DG686" s="346">
        <f t="shared" si="808"/>
        <v>13.517082003110152</v>
      </c>
      <c r="DH686" s="346">
        <f t="shared" si="808"/>
        <v>15.628054550338424</v>
      </c>
      <c r="DI686" s="346">
        <f t="shared" si="808"/>
        <v>13.175239244661348</v>
      </c>
      <c r="DJ686" s="346">
        <f t="shared" si="808"/>
        <v>13.077335491675587</v>
      </c>
      <c r="DK686" s="346">
        <f t="shared" ref="DK686:EP686" si="809">DK334</f>
        <v>13.248190450859843</v>
      </c>
      <c r="DL686" s="346">
        <f t="shared" si="809"/>
        <v>12.742532211910587</v>
      </c>
      <c r="DM686" s="346">
        <f t="shared" si="809"/>
        <v>12.568932074627444</v>
      </c>
      <c r="DN686" s="348">
        <f t="shared" si="809"/>
        <v>15.546468166257402</v>
      </c>
      <c r="DO686" s="346">
        <f t="shared" si="809"/>
        <v>12.743856736640529</v>
      </c>
      <c r="DP686" s="346">
        <f t="shared" si="809"/>
        <v>14.836326437583503</v>
      </c>
      <c r="DQ686" s="346">
        <f t="shared" si="809"/>
        <v>14.228195877479589</v>
      </c>
      <c r="DR686" s="346">
        <f t="shared" si="809"/>
        <v>10.951474185591518</v>
      </c>
      <c r="DS686" s="346">
        <f t="shared" si="809"/>
        <v>13.303248715439221</v>
      </c>
      <c r="DT686" s="346">
        <f t="shared" si="809"/>
        <v>15.080084175700211</v>
      </c>
      <c r="DU686" s="346">
        <f t="shared" si="809"/>
        <v>13.226434253357581</v>
      </c>
      <c r="DV686" s="346">
        <f t="shared" si="809"/>
        <v>12.464851140977846</v>
      </c>
      <c r="DW686" s="346">
        <f t="shared" si="809"/>
        <v>13.798161011990613</v>
      </c>
      <c r="DX686" s="346">
        <f t="shared" si="809"/>
        <v>12.696501364338877</v>
      </c>
      <c r="DY686" s="346">
        <f t="shared" si="809"/>
        <v>13.415457891036949</v>
      </c>
      <c r="DZ686" s="348">
        <f t="shared" si="809"/>
        <v>14.831170505282081</v>
      </c>
      <c r="EA686" s="346">
        <f t="shared" si="809"/>
        <v>14.145995512537345</v>
      </c>
      <c r="EB686" s="346">
        <f t="shared" si="809"/>
        <v>14.691728513150336</v>
      </c>
      <c r="EC686" s="346">
        <f t="shared" si="809"/>
        <v>14.5044707369414</v>
      </c>
      <c r="ED686" s="346">
        <f t="shared" si="809"/>
        <v>14.294941073140643</v>
      </c>
      <c r="EE686" s="346">
        <f t="shared" si="809"/>
        <v>13.355636338797972</v>
      </c>
      <c r="EF686" s="346">
        <f t="shared" si="809"/>
        <v>15.345079392744225</v>
      </c>
      <c r="EG686" s="346">
        <f t="shared" si="809"/>
        <v>14.448253589033969</v>
      </c>
      <c r="EH686" s="346">
        <f t="shared" si="809"/>
        <v>14.041869560412472</v>
      </c>
      <c r="EI686" s="346">
        <f t="shared" si="809"/>
        <v>14.625630890271539</v>
      </c>
      <c r="EJ686" s="346">
        <f t="shared" si="809"/>
        <v>14.932590743140988</v>
      </c>
      <c r="EK686" s="346">
        <f t="shared" si="809"/>
        <v>15.534037266393753</v>
      </c>
      <c r="EL686" s="348">
        <f t="shared" si="809"/>
        <v>17.966237846520112</v>
      </c>
      <c r="EM686" s="346">
        <f t="shared" si="809"/>
        <v>16.452051478000001</v>
      </c>
      <c r="EN686" s="346">
        <f t="shared" si="809"/>
        <v>19.421774051</v>
      </c>
      <c r="EO686" s="346">
        <f t="shared" si="809"/>
        <v>18.083721097000002</v>
      </c>
      <c r="EP686" s="346">
        <f t="shared" si="809"/>
        <v>16.299147270776668</v>
      </c>
      <c r="EQ686" s="346">
        <f t="shared" ref="EQ686:FP686" si="810">EQ334</f>
        <v>17.136581717776668</v>
      </c>
      <c r="ER686" s="346">
        <f t="shared" si="810"/>
        <v>18.885433180776666</v>
      </c>
      <c r="ES686" s="346">
        <f t="shared" si="810"/>
        <v>16.497697909999999</v>
      </c>
      <c r="ET686" s="346">
        <f t="shared" si="810"/>
        <v>18.437644201000001</v>
      </c>
      <c r="EU686" s="346">
        <f t="shared" si="810"/>
        <v>17.389135537000001</v>
      </c>
      <c r="EV686" s="346">
        <f t="shared" si="810"/>
        <v>17.151386156000001</v>
      </c>
      <c r="EW686" s="346">
        <f t="shared" si="810"/>
        <v>19.552364807</v>
      </c>
      <c r="EX686" s="348">
        <f t="shared" si="810"/>
        <v>19.671107023669997</v>
      </c>
      <c r="EY686" s="346">
        <f t="shared" si="810"/>
        <v>19.59418576249</v>
      </c>
      <c r="EZ686" s="346">
        <f t="shared" si="810"/>
        <v>20.436109718000001</v>
      </c>
      <c r="FA686" s="346">
        <f t="shared" si="810"/>
        <v>18.98516237604683</v>
      </c>
      <c r="FB686" s="346">
        <f t="shared" si="810"/>
        <v>18.011922991999999</v>
      </c>
      <c r="FC686" s="346">
        <f t="shared" si="810"/>
        <v>19.608461198000001</v>
      </c>
      <c r="FD686" s="346">
        <f t="shared" si="810"/>
        <v>19.068546339000001</v>
      </c>
      <c r="FE686" s="346">
        <f t="shared" si="810"/>
        <v>19.909591206999998</v>
      </c>
      <c r="FF686" s="346">
        <f t="shared" si="810"/>
        <v>18.654437322</v>
      </c>
      <c r="FG686" s="346">
        <f t="shared" si="810"/>
        <v>17.617448429</v>
      </c>
      <c r="FH686" s="346">
        <f t="shared" si="810"/>
        <v>8.6637359269999994</v>
      </c>
      <c r="FI686" s="346">
        <f t="shared" si="810"/>
        <v>13.405638166999999</v>
      </c>
      <c r="FJ686" s="348">
        <f t="shared" si="810"/>
        <v>19.352599138999999</v>
      </c>
      <c r="FK686" s="346">
        <f t="shared" si="810"/>
        <v>18.84398345258775</v>
      </c>
      <c r="FL686" s="346">
        <f t="shared" si="810"/>
        <v>20.595821602939999</v>
      </c>
      <c r="FM686" s="346">
        <f t="shared" si="810"/>
        <v>21.68748176815107</v>
      </c>
      <c r="FN686" s="346">
        <f t="shared" si="810"/>
        <v>20.345557790859818</v>
      </c>
      <c r="FO686" s="346">
        <f t="shared" si="810"/>
        <v>20.545755038492295</v>
      </c>
      <c r="FP686" s="346">
        <f t="shared" si="810"/>
        <v>23.13632653198728</v>
      </c>
      <c r="FQ686" s="346">
        <f t="shared" si="770"/>
        <v>17.738215291302456</v>
      </c>
      <c r="FR686" s="346">
        <f t="shared" si="770"/>
        <v>17.418107180999996</v>
      </c>
      <c r="FS686" s="346">
        <f t="shared" si="770"/>
        <v>19.614753259000004</v>
      </c>
      <c r="FT686" s="346">
        <f t="shared" si="770"/>
        <v>21.282264591804449</v>
      </c>
      <c r="FU686" s="346">
        <f t="shared" si="770"/>
        <v>20.471551178864715</v>
      </c>
      <c r="FV686" s="346">
        <f t="shared" si="770"/>
        <v>21.594922956410219</v>
      </c>
      <c r="FW686" s="346">
        <v>18.067622638078653</v>
      </c>
      <c r="FX686" s="346">
        <v>20.641168116501973</v>
      </c>
      <c r="FY686" s="346">
        <v>21.972693046623665</v>
      </c>
      <c r="FZ686" s="346">
        <v>21.254760980425406</v>
      </c>
      <c r="GA686" s="346">
        <v>22.469927832496712</v>
      </c>
      <c r="GB686" s="346">
        <v>22.327669297897245</v>
      </c>
      <c r="GC686" s="346">
        <v>21.79843131662</v>
      </c>
      <c r="GD686" s="346">
        <v>20.237493026270002</v>
      </c>
      <c r="GE686" s="346">
        <v>23.498200746375137</v>
      </c>
      <c r="GF686" s="346">
        <v>21.466052514000001</v>
      </c>
      <c r="GG686" s="346">
        <v>20.725141396000001</v>
      </c>
      <c r="GH686" s="346">
        <v>24.324853584447212</v>
      </c>
      <c r="GI686" s="346">
        <f t="shared" ref="GI686:HL686" si="811">GI334</f>
        <v>23.176657358497923</v>
      </c>
      <c r="GJ686" s="346">
        <f t="shared" si="811"/>
        <v>28.247596359008622</v>
      </c>
      <c r="GK686" s="346">
        <f t="shared" si="811"/>
        <v>30.296841981115463</v>
      </c>
      <c r="GL686" s="346">
        <f t="shared" si="811"/>
        <v>25.469940530999995</v>
      </c>
      <c r="GM686" s="346">
        <f t="shared" si="811"/>
        <v>25.183633776999997</v>
      </c>
      <c r="GN686" s="346">
        <f t="shared" si="811"/>
        <v>28.581190517</v>
      </c>
      <c r="GO686" s="346">
        <f>GO334</f>
        <v>27.723163620000001</v>
      </c>
      <c r="GP686" s="346">
        <f t="shared" si="811"/>
        <v>27.471186628000002</v>
      </c>
      <c r="GQ686" s="346">
        <f t="shared" si="811"/>
        <v>28.922375887000001</v>
      </c>
      <c r="GR686" s="346">
        <f t="shared" si="811"/>
        <v>26.914108077000002</v>
      </c>
      <c r="GS686" s="346">
        <f t="shared" si="811"/>
        <v>27.256239658999998</v>
      </c>
      <c r="GT686" s="346">
        <f t="shared" si="811"/>
        <v>30.707153056999999</v>
      </c>
      <c r="GU686" s="346">
        <f t="shared" si="811"/>
        <v>30.085040145000001</v>
      </c>
      <c r="GV686" s="346">
        <f t="shared" si="811"/>
        <v>33.807194367999998</v>
      </c>
      <c r="GW686" s="346">
        <f t="shared" si="811"/>
        <v>32.269678593000002</v>
      </c>
      <c r="GX686" s="346">
        <f t="shared" si="811"/>
        <v>29.753129599000001</v>
      </c>
      <c r="GY686" s="346">
        <f t="shared" si="811"/>
        <v>29.79562949</v>
      </c>
      <c r="GZ686" s="346">
        <f t="shared" si="811"/>
        <v>30.43527224</v>
      </c>
      <c r="HA686" s="346">
        <f t="shared" si="811"/>
        <v>31.140117139000001</v>
      </c>
      <c r="HB686" s="346">
        <f t="shared" si="811"/>
        <v>30.211059159000001</v>
      </c>
      <c r="HC686" s="346">
        <f t="shared" si="811"/>
        <v>31.647467160000001</v>
      </c>
      <c r="HD686" s="346">
        <f t="shared" si="811"/>
        <v>31.118847344999999</v>
      </c>
      <c r="HE686" s="346">
        <f t="shared" si="811"/>
        <v>31.824080359</v>
      </c>
      <c r="HF686" s="346">
        <f t="shared" si="811"/>
        <v>36.439533484009068</v>
      </c>
      <c r="HG686" s="346">
        <f t="shared" si="811"/>
        <v>29.271157947999999</v>
      </c>
      <c r="HH686" s="346">
        <f t="shared" si="811"/>
        <v>36.883923897999999</v>
      </c>
      <c r="HI686" s="346">
        <f t="shared" si="811"/>
        <v>35.788384030000003</v>
      </c>
      <c r="HJ686" s="346">
        <f t="shared" si="811"/>
        <v>34.282555879999997</v>
      </c>
      <c r="HK686" s="346">
        <f t="shared" si="811"/>
        <v>33.674921998999999</v>
      </c>
      <c r="HL686" s="346">
        <f t="shared" si="811"/>
        <v>34.750225770999997</v>
      </c>
      <c r="HM686" s="346"/>
      <c r="HN686" s="349"/>
      <c r="HO686" s="1439" t="s">
        <v>512</v>
      </c>
      <c r="HP686" s="307">
        <f t="shared" si="745"/>
        <v>62.623772291999998</v>
      </c>
      <c r="HQ686" s="302">
        <f t="shared" si="746"/>
        <v>63.134929590999995</v>
      </c>
      <c r="HR686" s="346">
        <f t="shared" si="698"/>
        <v>125.75870188299999</v>
      </c>
      <c r="HS686" s="302">
        <f t="shared" si="747"/>
        <v>70.040310499</v>
      </c>
      <c r="HT686" s="302">
        <f t="shared" si="748"/>
        <v>66.979155495000001</v>
      </c>
      <c r="HU686" s="346">
        <f t="shared" si="678"/>
        <v>137.019465994</v>
      </c>
      <c r="HV686" s="307">
        <f t="shared" si="749"/>
        <v>86.557809864077228</v>
      </c>
      <c r="HW686" s="302">
        <f t="shared" si="750"/>
        <v>80.358697639992201</v>
      </c>
      <c r="HX686" s="346">
        <f t="shared" si="679"/>
        <v>166.91650750406944</v>
      </c>
      <c r="HY686" s="350">
        <f t="shared" si="751"/>
        <v>81.143186128434579</v>
      </c>
      <c r="HZ686" s="302">
        <f t="shared" si="752"/>
        <v>80.432576166983949</v>
      </c>
      <c r="IA686" s="346">
        <f t="shared" si="680"/>
        <v>161.57576229541854</v>
      </c>
      <c r="IB686" s="302">
        <f t="shared" si="753"/>
        <v>86.337851567311915</v>
      </c>
      <c r="IC686" s="302">
        <f t="shared" si="754"/>
        <v>91.548619895772831</v>
      </c>
      <c r="ID686" s="346">
        <f t="shared" si="681"/>
        <v>177.88647146308475</v>
      </c>
      <c r="IE686" s="350">
        <f t="shared" si="755"/>
        <v>106.27870879533</v>
      </c>
      <c r="IF686" s="350">
        <f t="shared" si="756"/>
        <v>108.69933563467001</v>
      </c>
      <c r="IG686" s="346">
        <f t="shared" si="682"/>
        <v>214.97804443000001</v>
      </c>
      <c r="IH686" s="350">
        <f t="shared" si="757"/>
        <v>115.70438838553682</v>
      </c>
      <c r="II686" s="350">
        <f t="shared" si="758"/>
        <v>97.603450191000007</v>
      </c>
      <c r="IJ686" s="346">
        <f t="shared" si="683"/>
        <v>213.30783857653682</v>
      </c>
      <c r="IK686" s="350">
        <f t="shared" si="759"/>
        <v>125.1549261850182</v>
      </c>
      <c r="IL686" s="350">
        <f t="shared" si="664"/>
        <v>118.11981445838184</v>
      </c>
      <c r="IM686" s="346">
        <f>IK686+IL686</f>
        <v>243.27474064340004</v>
      </c>
      <c r="IN686" s="350">
        <f t="shared" si="665"/>
        <v>126.73384191202365</v>
      </c>
      <c r="IO686" s="350">
        <f t="shared" si="666"/>
        <v>132.05017258371234</v>
      </c>
      <c r="IP686" s="346">
        <f t="shared" si="685"/>
        <v>258.78401449573596</v>
      </c>
      <c r="IQ686" s="350">
        <f t="shared" si="667"/>
        <v>160.95586052362202</v>
      </c>
      <c r="IR686" s="350">
        <f t="shared" si="668"/>
        <v>168.99422692799999</v>
      </c>
      <c r="IS686" s="346">
        <f t="shared" si="686"/>
        <v>329.95008745162204</v>
      </c>
      <c r="IT686" s="350">
        <f t="shared" si="699"/>
        <v>186.14594443499999</v>
      </c>
      <c r="IU686" s="350">
        <f t="shared" si="707"/>
        <v>192.38110464600908</v>
      </c>
      <c r="IV686" s="346">
        <f t="shared" si="687"/>
        <v>378.52704908100907</v>
      </c>
      <c r="IW686" s="350">
        <f t="shared" si="700"/>
        <v>204.65116952599999</v>
      </c>
      <c r="IX686" s="350">
        <f t="shared" si="688"/>
        <v>217.43612647931224</v>
      </c>
      <c r="IY686" s="346">
        <f>FISC!AJ1008</f>
        <v>422.08729600531223</v>
      </c>
      <c r="IZ686" s="350">
        <f t="shared" si="708"/>
        <v>246.95155675105332</v>
      </c>
      <c r="JA686" s="302">
        <f t="shared" si="689"/>
        <v>267.53085314697444</v>
      </c>
      <c r="JB686" s="346">
        <f>FISC!AK1008</f>
        <v>514.48240989802775</v>
      </c>
      <c r="JC686" s="350">
        <f t="shared" si="709"/>
        <v>276.31985509708642</v>
      </c>
      <c r="JD686" s="302">
        <f t="shared" si="690"/>
        <v>299.34650968851025</v>
      </c>
      <c r="JE686" s="346">
        <f>FISC!AL1008</f>
        <v>575.66636478559667</v>
      </c>
      <c r="JF686" s="350">
        <f t="shared" si="710"/>
        <v>327.36441435605286</v>
      </c>
      <c r="JG686" s="302">
        <f t="shared" si="691"/>
        <v>354.64478221905733</v>
      </c>
      <c r="JH686" s="346">
        <f>FISC!AM1008</f>
        <v>682.0091965751102</v>
      </c>
      <c r="JI686" s="350">
        <f t="shared" si="711"/>
        <v>362.88557136881462</v>
      </c>
      <c r="JJ686" s="302">
        <f t="shared" si="701"/>
        <v>393.12603564954924</v>
      </c>
      <c r="JK686" s="346">
        <f>FISC!AN1008</f>
        <v>756.01160701836386</v>
      </c>
      <c r="JL686" s="350">
        <f t="shared" si="712"/>
        <v>403.6739095906695</v>
      </c>
      <c r="JM686" s="302">
        <f t="shared" si="692"/>
        <v>437.31340205655863</v>
      </c>
      <c r="JN686" s="346">
        <f>FISC!AO1008</f>
        <v>840.98731164722813</v>
      </c>
      <c r="KI686" s="349"/>
      <c r="KJ686" s="350"/>
    </row>
    <row r="687" spans="1:296" hidden="1" outlineLevel="1">
      <c r="A687" s="302"/>
      <c r="D687" s="1635" t="s">
        <v>3144</v>
      </c>
      <c r="E687" s="346"/>
      <c r="F687" s="346"/>
      <c r="G687" s="346"/>
      <c r="H687" s="346"/>
      <c r="I687" s="346"/>
      <c r="J687" s="346"/>
      <c r="K687" s="346"/>
      <c r="L687" s="346"/>
      <c r="M687" s="346"/>
      <c r="N687" s="346"/>
      <c r="O687" s="346"/>
      <c r="P687" s="346"/>
      <c r="Q687" s="346"/>
      <c r="R687" s="346"/>
      <c r="S687" s="346"/>
      <c r="T687" s="346"/>
      <c r="U687" s="346"/>
      <c r="V687" s="346"/>
      <c r="W687" s="346"/>
      <c r="X687" s="346"/>
      <c r="Y687" s="346"/>
      <c r="Z687" s="346"/>
      <c r="AA687" s="346"/>
      <c r="AB687" s="346"/>
      <c r="AC687" s="346"/>
      <c r="AD687" s="346"/>
      <c r="AE687" s="346"/>
      <c r="AF687" s="346"/>
      <c r="AG687" s="346"/>
      <c r="AH687" s="346"/>
      <c r="AI687" s="346"/>
      <c r="AJ687" s="346"/>
      <c r="AK687" s="346"/>
      <c r="AL687" s="346"/>
      <c r="AM687" s="346"/>
      <c r="AN687" s="346"/>
      <c r="AO687" s="346"/>
      <c r="AP687" s="346"/>
      <c r="AQ687" s="346"/>
      <c r="AR687" s="346"/>
      <c r="AS687" s="346"/>
      <c r="AT687" s="346"/>
      <c r="AU687" s="346"/>
      <c r="AV687" s="346"/>
      <c r="AW687" s="346"/>
      <c r="AX687" s="346"/>
      <c r="AY687" s="346"/>
      <c r="AZ687" s="346"/>
      <c r="BA687" s="346"/>
      <c r="BB687" s="346"/>
      <c r="BC687" s="346"/>
      <c r="BD687" s="346"/>
      <c r="BE687" s="346"/>
      <c r="BF687" s="346"/>
      <c r="BG687" s="346"/>
      <c r="BH687" s="346"/>
      <c r="BI687" s="346"/>
      <c r="BJ687" s="346"/>
      <c r="BK687" s="346"/>
      <c r="BL687" s="346"/>
      <c r="BM687" s="346"/>
      <c r="BN687" s="346"/>
      <c r="BO687" s="346"/>
      <c r="BP687" s="346"/>
      <c r="BQ687" s="346"/>
      <c r="BR687" s="346"/>
      <c r="BS687" s="346"/>
      <c r="BT687" s="346"/>
      <c r="BU687" s="346"/>
      <c r="BV687" s="346"/>
      <c r="BW687" s="346"/>
      <c r="BX687" s="346"/>
      <c r="BY687" s="346"/>
      <c r="BZ687" s="346"/>
      <c r="CA687" s="346"/>
      <c r="CB687" s="346"/>
      <c r="CC687" s="346"/>
      <c r="CD687" s="352"/>
      <c r="CE687" s="346"/>
      <c r="CF687" s="346"/>
      <c r="CG687" s="346"/>
      <c r="CH687" s="346"/>
      <c r="CI687" s="346"/>
      <c r="CJ687" s="346"/>
      <c r="CK687" s="346"/>
      <c r="CL687" s="346"/>
      <c r="CM687" s="346"/>
      <c r="CN687" s="346"/>
      <c r="CO687" s="346"/>
      <c r="CP687" s="348"/>
      <c r="CQ687" s="346"/>
      <c r="CR687" s="346"/>
      <c r="CS687" s="346"/>
      <c r="CT687" s="346"/>
      <c r="CU687" s="346"/>
      <c r="CV687" s="346"/>
      <c r="CW687" s="346"/>
      <c r="CX687" s="346"/>
      <c r="CY687" s="346"/>
      <c r="CZ687" s="346"/>
      <c r="DA687" s="346"/>
      <c r="DB687" s="1479"/>
      <c r="DC687" s="346"/>
      <c r="DD687" s="346"/>
      <c r="DE687" s="346"/>
      <c r="DF687" s="346"/>
      <c r="DG687" s="346"/>
      <c r="DH687" s="346"/>
      <c r="DI687" s="346"/>
      <c r="DJ687" s="346"/>
      <c r="DK687" s="346"/>
      <c r="DL687" s="346"/>
      <c r="DM687" s="346"/>
      <c r="DN687" s="348"/>
      <c r="DO687" s="346"/>
      <c r="DP687" s="346"/>
      <c r="DQ687" s="346"/>
      <c r="DR687" s="346"/>
      <c r="DS687" s="346"/>
      <c r="DT687" s="346"/>
      <c r="DU687" s="346"/>
      <c r="DV687" s="346"/>
      <c r="DW687" s="346"/>
      <c r="DX687" s="346"/>
      <c r="DY687" s="346"/>
      <c r="DZ687" s="348"/>
      <c r="EA687" s="346"/>
      <c r="EB687" s="346"/>
      <c r="EC687" s="346"/>
      <c r="ED687" s="346"/>
      <c r="EE687" s="346"/>
      <c r="EF687" s="346"/>
      <c r="EG687" s="346"/>
      <c r="EH687" s="346"/>
      <c r="EI687" s="346"/>
      <c r="EJ687" s="346"/>
      <c r="EK687" s="346"/>
      <c r="EL687" s="348"/>
      <c r="EM687" s="346"/>
      <c r="EN687" s="346"/>
      <c r="EO687" s="346"/>
      <c r="EP687" s="346"/>
      <c r="EQ687" s="346"/>
      <c r="ER687" s="346"/>
      <c r="ES687" s="346"/>
      <c r="ET687" s="346"/>
      <c r="EU687" s="346"/>
      <c r="EV687" s="346"/>
      <c r="EW687" s="346"/>
      <c r="EX687" s="348"/>
      <c r="EY687" s="346"/>
      <c r="EZ687" s="346"/>
      <c r="FA687" s="346"/>
      <c r="FB687" s="346"/>
      <c r="FC687" s="346"/>
      <c r="FD687" s="346"/>
      <c r="FE687" s="346"/>
      <c r="FF687" s="346"/>
      <c r="FG687" s="346"/>
      <c r="FH687" s="346"/>
      <c r="FI687" s="346"/>
      <c r="FJ687" s="348"/>
      <c r="FK687" s="346"/>
      <c r="FL687" s="346"/>
      <c r="FM687" s="346"/>
      <c r="FN687" s="346"/>
      <c r="FO687" s="346"/>
      <c r="FP687" s="346"/>
      <c r="FQ687" s="346"/>
      <c r="FR687" s="346"/>
      <c r="FS687" s="346"/>
      <c r="FT687" s="346"/>
      <c r="FU687" s="346"/>
      <c r="FV687" s="346"/>
      <c r="FW687" s="346">
        <v>0.828245024</v>
      </c>
      <c r="FX687" s="346">
        <v>1.091022758</v>
      </c>
      <c r="FY687" s="346">
        <v>1.1813036130000001</v>
      </c>
      <c r="FZ687" s="346">
        <v>1.1446105390000001</v>
      </c>
      <c r="GA687" s="346">
        <v>1.1751307639999999</v>
      </c>
      <c r="GB687" s="346">
        <v>1.2494390500000001</v>
      </c>
      <c r="GC687" s="346">
        <v>1.1935265230000001</v>
      </c>
      <c r="GD687" s="346">
        <v>0.958497143</v>
      </c>
      <c r="GE687" s="346">
        <v>1.11445927</v>
      </c>
      <c r="GF687" s="346">
        <v>1.1999669719999999</v>
      </c>
      <c r="GG687" s="346">
        <v>1.1889153610000001</v>
      </c>
      <c r="GH687" s="346">
        <v>1.385564504</v>
      </c>
      <c r="GI687" s="346">
        <v>1.21073736</v>
      </c>
      <c r="GJ687" s="346">
        <v>1.3205667619999999</v>
      </c>
      <c r="GK687" s="346">
        <v>1.411681636</v>
      </c>
      <c r="GL687" s="346">
        <v>1.1410272400000001</v>
      </c>
      <c r="GM687" s="346">
        <v>1.155290588</v>
      </c>
      <c r="GN687" s="346">
        <v>1.29052203</v>
      </c>
      <c r="GO687" s="346">
        <v>1.2083091020000001</v>
      </c>
      <c r="GP687" s="346">
        <v>1.15882376</v>
      </c>
      <c r="GQ687" s="346">
        <v>1.417136704</v>
      </c>
      <c r="GR687" s="346">
        <v>1.130445774</v>
      </c>
      <c r="GS687" s="346">
        <v>1.3095804870000001</v>
      </c>
      <c r="GT687" s="346">
        <v>1.3766600499999999</v>
      </c>
      <c r="GU687" s="346">
        <v>1.2532150660000001</v>
      </c>
      <c r="GV687" s="346">
        <v>1.4214319870000001</v>
      </c>
      <c r="GW687" s="346">
        <v>1.2920655080000001</v>
      </c>
      <c r="GX687" s="346">
        <v>1.343284208</v>
      </c>
      <c r="GY687" s="346">
        <v>1.313763872</v>
      </c>
      <c r="GZ687" s="346">
        <v>1.25963402</v>
      </c>
      <c r="HA687" s="346">
        <v>1.304045565</v>
      </c>
      <c r="HB687" s="346">
        <v>1.211248026</v>
      </c>
      <c r="HC687" s="346">
        <v>1.3897288139999999</v>
      </c>
      <c r="HD687" s="346">
        <v>1.226373521</v>
      </c>
      <c r="HE687" s="346">
        <v>1.3664009580000001</v>
      </c>
      <c r="HF687" s="346">
        <v>1.3763920160000001</v>
      </c>
      <c r="HG687" s="346">
        <v>1.4508406220000001</v>
      </c>
      <c r="HH687" s="346">
        <v>1.5411530920000001</v>
      </c>
      <c r="HI687" s="346">
        <v>1.4252575679999999</v>
      </c>
      <c r="HJ687" s="346">
        <v>1.4603782380000001</v>
      </c>
      <c r="HK687" s="346">
        <v>1.3586528920000001</v>
      </c>
      <c r="HL687" s="346">
        <v>1.5133927810000001</v>
      </c>
      <c r="HM687" s="346"/>
      <c r="HN687" s="349"/>
      <c r="HO687" s="1635" t="s">
        <v>3144</v>
      </c>
      <c r="HP687" s="307"/>
      <c r="HR687" s="346"/>
      <c r="HU687" s="346"/>
      <c r="HV687" s="307"/>
      <c r="HX687" s="346"/>
      <c r="HY687" s="350"/>
      <c r="IA687" s="346"/>
      <c r="ID687" s="346"/>
      <c r="IE687" s="350"/>
      <c r="IF687" s="350"/>
      <c r="IG687" s="346"/>
      <c r="IH687" s="350"/>
      <c r="II687" s="350"/>
      <c r="IJ687" s="346"/>
      <c r="IK687" s="350">
        <f t="shared" si="759"/>
        <v>0</v>
      </c>
      <c r="IL687" s="350">
        <f t="shared" si="664"/>
        <v>0</v>
      </c>
      <c r="IM687" s="346">
        <f t="shared" si="684"/>
        <v>0</v>
      </c>
      <c r="IN687" s="350">
        <f t="shared" si="665"/>
        <v>6.6697517480000004</v>
      </c>
      <c r="IO687" s="350">
        <f t="shared" si="666"/>
        <v>7.0409297730000002</v>
      </c>
      <c r="IP687" s="346">
        <f t="shared" si="685"/>
        <v>13.710681521000001</v>
      </c>
      <c r="IQ687" s="350">
        <f t="shared" si="667"/>
        <v>7.5298256160000001</v>
      </c>
      <c r="IR687" s="350">
        <f t="shared" si="668"/>
        <v>7.6009558769999996</v>
      </c>
      <c r="IS687" s="346">
        <f t="shared" si="686"/>
        <v>15.130781493000001</v>
      </c>
      <c r="IT687" s="350">
        <f t="shared" si="699"/>
        <v>7.8833946610000005</v>
      </c>
      <c r="IU687" s="350">
        <f t="shared" si="707"/>
        <v>7.8741889</v>
      </c>
      <c r="IV687" s="346">
        <f t="shared" si="687"/>
        <v>15.757583561000001</v>
      </c>
      <c r="IW687" s="350">
        <f t="shared" si="700"/>
        <v>8.7496751930000016</v>
      </c>
      <c r="IX687" s="350">
        <f t="shared" si="688"/>
        <v>9.0473076170556759</v>
      </c>
      <c r="IY687" s="346">
        <f>FISC!AJ1009</f>
        <v>17.796982810055678</v>
      </c>
      <c r="IZ687" s="350">
        <f t="shared" si="708"/>
        <v>9.7585170221837156</v>
      </c>
      <c r="JA687" s="302">
        <f t="shared" si="689"/>
        <v>10.571726774032358</v>
      </c>
      <c r="JB687" s="346">
        <f>FISC!AK1009</f>
        <v>20.330243796216074</v>
      </c>
      <c r="JC687" s="350">
        <f t="shared" si="709"/>
        <v>10.32492138544767</v>
      </c>
      <c r="JD687" s="302">
        <f t="shared" si="690"/>
        <v>11.185331500901643</v>
      </c>
      <c r="JE687" s="346">
        <f>FISC!AL1009</f>
        <v>21.510252886349313</v>
      </c>
      <c r="JF687" s="350">
        <f t="shared" si="710"/>
        <v>12.317375528710677</v>
      </c>
      <c r="JG687" s="302">
        <f t="shared" si="691"/>
        <v>13.343823489436566</v>
      </c>
      <c r="JH687" s="346">
        <f>FISC!AM1009</f>
        <v>25.661199018147244</v>
      </c>
      <c r="JI687" s="350">
        <f t="shared" si="711"/>
        <v>13.783399784557341</v>
      </c>
      <c r="JJ687" s="302">
        <f t="shared" si="701"/>
        <v>14.932016433270453</v>
      </c>
      <c r="JK687" s="346">
        <f>FISC!AN1009</f>
        <v>28.715416217827794</v>
      </c>
      <c r="JL687" s="350">
        <f t="shared" si="712"/>
        <v>13.050387656634008</v>
      </c>
      <c r="JM687" s="302">
        <f t="shared" si="692"/>
        <v>14.137919961353511</v>
      </c>
      <c r="JN687" s="346">
        <f>FISC!AO1009</f>
        <v>27.188307617987519</v>
      </c>
      <c r="KI687" s="349"/>
      <c r="KJ687" s="350"/>
    </row>
    <row r="688" spans="1:296" hidden="1" outlineLevel="1">
      <c r="A688" s="302"/>
      <c r="D688" s="1635" t="s">
        <v>3132</v>
      </c>
      <c r="E688" s="346"/>
      <c r="F688" s="346"/>
      <c r="G688" s="346"/>
      <c r="H688" s="346"/>
      <c r="I688" s="346"/>
      <c r="J688" s="346"/>
      <c r="K688" s="346"/>
      <c r="L688" s="346"/>
      <c r="M688" s="346"/>
      <c r="N688" s="346"/>
      <c r="O688" s="346"/>
      <c r="P688" s="346"/>
      <c r="Q688" s="346"/>
      <c r="R688" s="346"/>
      <c r="S688" s="346"/>
      <c r="T688" s="346"/>
      <c r="U688" s="346"/>
      <c r="V688" s="346"/>
      <c r="W688" s="346"/>
      <c r="X688" s="346"/>
      <c r="Y688" s="346"/>
      <c r="Z688" s="346"/>
      <c r="AA688" s="346"/>
      <c r="AB688" s="346"/>
      <c r="AC688" s="346"/>
      <c r="AD688" s="346"/>
      <c r="AE688" s="346"/>
      <c r="AF688" s="346"/>
      <c r="AG688" s="346"/>
      <c r="AH688" s="346"/>
      <c r="AI688" s="346"/>
      <c r="AJ688" s="346"/>
      <c r="AK688" s="346"/>
      <c r="AL688" s="346"/>
      <c r="AM688" s="346"/>
      <c r="AN688" s="346"/>
      <c r="AO688" s="346"/>
      <c r="AP688" s="346"/>
      <c r="AQ688" s="346"/>
      <c r="AR688" s="346"/>
      <c r="AS688" s="346"/>
      <c r="AT688" s="346"/>
      <c r="AU688" s="346"/>
      <c r="AV688" s="346"/>
      <c r="AW688" s="346"/>
      <c r="AX688" s="346"/>
      <c r="AY688" s="346"/>
      <c r="AZ688" s="346"/>
      <c r="BA688" s="346"/>
      <c r="BB688" s="346"/>
      <c r="BC688" s="346"/>
      <c r="BD688" s="346"/>
      <c r="BE688" s="346"/>
      <c r="BF688" s="346"/>
      <c r="BG688" s="346"/>
      <c r="BH688" s="346"/>
      <c r="BI688" s="346"/>
      <c r="BJ688" s="346"/>
      <c r="BK688" s="346"/>
      <c r="BL688" s="346"/>
      <c r="BM688" s="346"/>
      <c r="BN688" s="346"/>
      <c r="BO688" s="346"/>
      <c r="BP688" s="346"/>
      <c r="BQ688" s="346"/>
      <c r="BR688" s="346"/>
      <c r="BS688" s="346"/>
      <c r="BT688" s="346"/>
      <c r="BU688" s="346"/>
      <c r="BV688" s="346"/>
      <c r="BW688" s="346"/>
      <c r="BX688" s="346"/>
      <c r="BY688" s="346"/>
      <c r="BZ688" s="346"/>
      <c r="CA688" s="346"/>
      <c r="CB688" s="346"/>
      <c r="CC688" s="346"/>
      <c r="CD688" s="352"/>
      <c r="CE688" s="346"/>
      <c r="CF688" s="346"/>
      <c r="CG688" s="346"/>
      <c r="CH688" s="346"/>
      <c r="CI688" s="346"/>
      <c r="CJ688" s="346"/>
      <c r="CK688" s="346"/>
      <c r="CL688" s="346"/>
      <c r="CM688" s="346"/>
      <c r="CN688" s="346"/>
      <c r="CO688" s="346"/>
      <c r="CP688" s="348"/>
      <c r="CQ688" s="346"/>
      <c r="CR688" s="346"/>
      <c r="CS688" s="346"/>
      <c r="CT688" s="346"/>
      <c r="CU688" s="346"/>
      <c r="CV688" s="346"/>
      <c r="CW688" s="346"/>
      <c r="CX688" s="346"/>
      <c r="CY688" s="346"/>
      <c r="CZ688" s="346"/>
      <c r="DA688" s="346"/>
      <c r="DB688" s="1479"/>
      <c r="DC688" s="346"/>
      <c r="DD688" s="346"/>
      <c r="DE688" s="346"/>
      <c r="DF688" s="346"/>
      <c r="DG688" s="346"/>
      <c r="DH688" s="346"/>
      <c r="DI688" s="346"/>
      <c r="DJ688" s="346"/>
      <c r="DK688" s="346"/>
      <c r="DL688" s="346"/>
      <c r="DM688" s="346"/>
      <c r="DN688" s="348"/>
      <c r="DO688" s="346"/>
      <c r="DP688" s="346"/>
      <c r="DQ688" s="346"/>
      <c r="DR688" s="346"/>
      <c r="DS688" s="346"/>
      <c r="DT688" s="346"/>
      <c r="DU688" s="346"/>
      <c r="DV688" s="346"/>
      <c r="DW688" s="346"/>
      <c r="DX688" s="346"/>
      <c r="DY688" s="346"/>
      <c r="DZ688" s="348"/>
      <c r="EA688" s="346"/>
      <c r="EB688" s="346"/>
      <c r="EC688" s="346"/>
      <c r="ED688" s="346"/>
      <c r="EE688" s="346"/>
      <c r="EF688" s="346"/>
      <c r="EG688" s="346"/>
      <c r="EH688" s="346"/>
      <c r="EI688" s="346"/>
      <c r="EJ688" s="346"/>
      <c r="EK688" s="346"/>
      <c r="EL688" s="348"/>
      <c r="EM688" s="346"/>
      <c r="EN688" s="346"/>
      <c r="EO688" s="346"/>
      <c r="EP688" s="346"/>
      <c r="EQ688" s="346"/>
      <c r="ER688" s="346"/>
      <c r="ES688" s="346"/>
      <c r="ET688" s="346"/>
      <c r="EU688" s="346"/>
      <c r="EV688" s="346"/>
      <c r="EW688" s="346"/>
      <c r="EX688" s="348"/>
      <c r="EY688" s="346"/>
      <c r="EZ688" s="346"/>
      <c r="FA688" s="346"/>
      <c r="FB688" s="346"/>
      <c r="FC688" s="346"/>
      <c r="FD688" s="346"/>
      <c r="FE688" s="346"/>
      <c r="FF688" s="346"/>
      <c r="FG688" s="346"/>
      <c r="FH688" s="346"/>
      <c r="FI688" s="346"/>
      <c r="FJ688" s="348"/>
      <c r="FK688" s="346"/>
      <c r="FL688" s="346"/>
      <c r="FM688" s="346"/>
      <c r="FN688" s="346"/>
      <c r="FO688" s="346"/>
      <c r="FP688" s="346"/>
      <c r="FQ688" s="346"/>
      <c r="FR688" s="346"/>
      <c r="FS688" s="346"/>
      <c r="FT688" s="346"/>
      <c r="FU688" s="346"/>
      <c r="FV688" s="346"/>
      <c r="FW688" s="346">
        <v>1.7884611360786498</v>
      </c>
      <c r="FX688" s="346">
        <v>1.7175631045019708</v>
      </c>
      <c r="FY688" s="346">
        <v>1.5141902276236654</v>
      </c>
      <c r="FZ688" s="346">
        <v>1.4675749104254083</v>
      </c>
      <c r="GA688" s="346">
        <v>1.5696364994967102</v>
      </c>
      <c r="GB688" s="346">
        <v>1.7274268752068689</v>
      </c>
      <c r="GC688" s="346">
        <v>1.3616914986199975</v>
      </c>
      <c r="GD688" s="346">
        <v>1.2976991952699999</v>
      </c>
      <c r="GE688" s="346">
        <v>2.2069305183751373</v>
      </c>
      <c r="GF688" s="346">
        <v>0</v>
      </c>
      <c r="GG688" s="346">
        <v>0</v>
      </c>
      <c r="GH688" s="346">
        <v>0</v>
      </c>
      <c r="GI688" s="346">
        <v>8.5584979223574438E-6</v>
      </c>
      <c r="GJ688" s="346">
        <v>3.3478320120086207</v>
      </c>
      <c r="GK688" s="346">
        <v>4.959474629115463</v>
      </c>
      <c r="GL688" s="346">
        <v>3.9962475849999999</v>
      </c>
      <c r="GM688" s="346">
        <v>4.0668713849999998</v>
      </c>
      <c r="GN688" s="346">
        <v>4.5343731800000002</v>
      </c>
      <c r="GO688" s="346">
        <v>4.2359832549999998</v>
      </c>
      <c r="GP688" s="346">
        <v>4.081165425</v>
      </c>
      <c r="GQ688" s="346">
        <v>4.9792459649999996</v>
      </c>
      <c r="GR688" s="346">
        <v>4.0629598549999999</v>
      </c>
      <c r="GS688" s="346">
        <v>4.6105536000000003</v>
      </c>
      <c r="GT688" s="346">
        <v>4.8366650550000001</v>
      </c>
      <c r="GU688" s="346">
        <v>4.3909459850000001</v>
      </c>
      <c r="GV688" s="346">
        <v>4.9943378750000003</v>
      </c>
      <c r="GW688" s="346">
        <v>4.5397962349999998</v>
      </c>
      <c r="GX688" s="346">
        <v>4.7502431300000003</v>
      </c>
      <c r="GY688" s="346">
        <v>4.6160356</v>
      </c>
      <c r="GZ688" s="346">
        <v>4.422406305</v>
      </c>
      <c r="HA688" s="346">
        <v>4.5813317050000002</v>
      </c>
      <c r="HB688" s="346">
        <v>4.2655642450000002</v>
      </c>
      <c r="HC688" s="346">
        <v>4.8779792649999996</v>
      </c>
      <c r="HD688" s="346">
        <v>4.3137745450000002</v>
      </c>
      <c r="HE688" s="346">
        <v>4.7965803100000004</v>
      </c>
      <c r="HF688" s="346">
        <v>4.8358005999999998</v>
      </c>
      <c r="HG688" s="346">
        <v>5.0878819799999997</v>
      </c>
      <c r="HH688" s="346">
        <v>5.4246677600000002</v>
      </c>
      <c r="HI688" s="346">
        <v>5.0032457749999999</v>
      </c>
      <c r="HJ688" s="346">
        <v>5.1396817749999997</v>
      </c>
      <c r="HK688" s="346">
        <v>4.7697885299999996</v>
      </c>
      <c r="HL688" s="346">
        <v>5.2113831839999998</v>
      </c>
      <c r="HM688" s="346"/>
      <c r="HN688" s="349"/>
      <c r="HO688" s="1635" t="s">
        <v>3132</v>
      </c>
      <c r="HP688" s="307"/>
      <c r="HR688" s="346"/>
      <c r="HU688" s="346"/>
      <c r="HV688" s="307"/>
      <c r="HX688" s="346"/>
      <c r="HY688" s="350"/>
      <c r="IA688" s="346"/>
      <c r="ID688" s="346"/>
      <c r="IE688" s="350"/>
      <c r="IF688" s="350"/>
      <c r="IG688" s="346"/>
      <c r="IH688" s="350"/>
      <c r="II688" s="350"/>
      <c r="IJ688" s="346"/>
      <c r="IK688" s="350">
        <f t="shared" si="759"/>
        <v>0</v>
      </c>
      <c r="IL688" s="350">
        <f t="shared" si="664"/>
        <v>0</v>
      </c>
      <c r="IM688" s="346">
        <f t="shared" si="684"/>
        <v>0</v>
      </c>
      <c r="IN688" s="350">
        <f t="shared" si="665"/>
        <v>9.7848527533332721</v>
      </c>
      <c r="IO688" s="350">
        <f t="shared" si="666"/>
        <v>4.8663212122651345</v>
      </c>
      <c r="IP688" s="346">
        <f t="shared" si="685"/>
        <v>14.651173965598407</v>
      </c>
      <c r="IQ688" s="350">
        <f t="shared" si="667"/>
        <v>20.904807349622004</v>
      </c>
      <c r="IR688" s="350">
        <f t="shared" si="668"/>
        <v>26.806573154999999</v>
      </c>
      <c r="IS688" s="346">
        <f t="shared" si="686"/>
        <v>47.711380504621999</v>
      </c>
      <c r="IT688" s="350">
        <f t="shared" si="699"/>
        <v>27.713765130000002</v>
      </c>
      <c r="IU688" s="350">
        <f t="shared" si="707"/>
        <v>27.67103067</v>
      </c>
      <c r="IV688" s="346">
        <f t="shared" si="687"/>
        <v>55.384795800000006</v>
      </c>
      <c r="IW688" s="350">
        <f t="shared" si="700"/>
        <v>30.636649003999999</v>
      </c>
      <c r="IX688" s="350">
        <f t="shared" si="688"/>
        <v>33.255681156951205</v>
      </c>
      <c r="IY688" s="346">
        <f>FISC!AJ1010</f>
        <v>63.892330160951204</v>
      </c>
      <c r="IZ688" s="350">
        <f t="shared" si="708"/>
        <v>38.929917466032393</v>
      </c>
      <c r="JA688" s="302">
        <f t="shared" si="689"/>
        <v>42.174077254868422</v>
      </c>
      <c r="JB688" s="346">
        <f>FISC!AK1010</f>
        <v>81.103994720900815</v>
      </c>
      <c r="JC688" s="350">
        <f t="shared" si="709"/>
        <v>40.944789937891535</v>
      </c>
      <c r="JD688" s="302">
        <f t="shared" si="690"/>
        <v>44.356855766049172</v>
      </c>
      <c r="JE688" s="346">
        <f>FISC!AL1010</f>
        <v>85.301645703940707</v>
      </c>
      <c r="JF688" s="350">
        <f t="shared" si="710"/>
        <v>48.477168873018073</v>
      </c>
      <c r="JG688" s="302">
        <f t="shared" si="691"/>
        <v>52.516932945769582</v>
      </c>
      <c r="JH688" s="346">
        <f>FISC!AM1010</f>
        <v>100.99410181878766</v>
      </c>
      <c r="JI688" s="350">
        <f t="shared" si="711"/>
        <v>53.877262651887229</v>
      </c>
      <c r="JJ688" s="302">
        <f t="shared" si="701"/>
        <v>58.367034539544498</v>
      </c>
      <c r="JK688" s="346">
        <f>FISC!AN1010</f>
        <v>112.24429719143173</v>
      </c>
      <c r="JL688" s="350">
        <f t="shared" si="712"/>
        <v>51.177215762452647</v>
      </c>
      <c r="JM688" s="302">
        <f t="shared" si="692"/>
        <v>55.441983742657044</v>
      </c>
      <c r="JN688" s="346">
        <f>FISC!AO1010</f>
        <v>106.61919950510969</v>
      </c>
      <c r="KI688" s="349"/>
      <c r="KJ688" s="350"/>
    </row>
    <row r="689" spans="1:296" hidden="1" outlineLevel="1">
      <c r="A689" s="302"/>
      <c r="D689" s="1439" t="s">
        <v>513</v>
      </c>
      <c r="E689" s="346"/>
      <c r="F689" s="346"/>
      <c r="G689" s="346"/>
      <c r="H689" s="346"/>
      <c r="I689" s="346"/>
      <c r="J689" s="346"/>
      <c r="K689" s="346"/>
      <c r="L689" s="346"/>
      <c r="M689" s="346"/>
      <c r="N689" s="346"/>
      <c r="O689" s="346"/>
      <c r="P689" s="346"/>
      <c r="Q689" s="346"/>
      <c r="R689" s="346"/>
      <c r="S689" s="346"/>
      <c r="T689" s="346"/>
      <c r="U689" s="346"/>
      <c r="V689" s="346"/>
      <c r="W689" s="346"/>
      <c r="X689" s="346"/>
      <c r="Y689" s="346"/>
      <c r="Z689" s="346"/>
      <c r="AA689" s="346"/>
      <c r="AB689" s="346"/>
      <c r="AC689" s="346"/>
      <c r="AD689" s="346"/>
      <c r="AE689" s="346"/>
      <c r="AF689" s="346"/>
      <c r="AG689" s="346"/>
      <c r="AH689" s="346"/>
      <c r="AI689" s="346"/>
      <c r="AJ689" s="346"/>
      <c r="AK689" s="346"/>
      <c r="AL689" s="346"/>
      <c r="AM689" s="346"/>
      <c r="AN689" s="346"/>
      <c r="AO689" s="346"/>
      <c r="AP689" s="346"/>
      <c r="AQ689" s="346"/>
      <c r="AR689" s="346"/>
      <c r="AS689" s="346"/>
      <c r="AT689" s="346"/>
      <c r="AU689" s="346"/>
      <c r="AV689" s="346"/>
      <c r="AW689" s="346"/>
      <c r="AX689" s="346"/>
      <c r="AY689" s="346"/>
      <c r="AZ689" s="346"/>
      <c r="BA689" s="346"/>
      <c r="BB689" s="346"/>
      <c r="BC689" s="346"/>
      <c r="BD689" s="346"/>
      <c r="BE689" s="346"/>
      <c r="BF689" s="346"/>
      <c r="BG689" s="346"/>
      <c r="BH689" s="346"/>
      <c r="BI689" s="346"/>
      <c r="BJ689" s="346"/>
      <c r="BK689" s="346"/>
      <c r="BL689" s="346"/>
      <c r="BM689" s="346"/>
      <c r="BN689" s="346"/>
      <c r="BO689" s="346"/>
      <c r="BP689" s="346"/>
      <c r="BQ689" s="346"/>
      <c r="BR689" s="346"/>
      <c r="BS689" s="346"/>
      <c r="BT689" s="346"/>
      <c r="BU689" s="346"/>
      <c r="BV689" s="346"/>
      <c r="BW689" s="346"/>
      <c r="BX689" s="346"/>
      <c r="BY689" s="346"/>
      <c r="BZ689" s="346"/>
      <c r="CA689" s="346"/>
      <c r="CB689" s="346"/>
      <c r="CC689" s="346"/>
      <c r="CD689" s="352"/>
      <c r="CE689" s="346">
        <f t="shared" ref="CE689:DJ689" si="812">CE335</f>
        <v>0</v>
      </c>
      <c r="CF689" s="346">
        <f t="shared" si="812"/>
        <v>0</v>
      </c>
      <c r="CG689" s="346">
        <f t="shared" si="812"/>
        <v>0</v>
      </c>
      <c r="CH689" s="346">
        <f t="shared" si="812"/>
        <v>0</v>
      </c>
      <c r="CI689" s="346">
        <f t="shared" si="812"/>
        <v>0</v>
      </c>
      <c r="CJ689" s="346">
        <f t="shared" si="812"/>
        <v>0</v>
      </c>
      <c r="CK689" s="346">
        <f t="shared" si="812"/>
        <v>0</v>
      </c>
      <c r="CL689" s="346">
        <f t="shared" si="812"/>
        <v>0</v>
      </c>
      <c r="CM689" s="346">
        <f t="shared" si="812"/>
        <v>0</v>
      </c>
      <c r="CN689" s="346">
        <f t="shared" si="812"/>
        <v>0</v>
      </c>
      <c r="CO689" s="346">
        <f t="shared" si="812"/>
        <v>0</v>
      </c>
      <c r="CP689" s="348">
        <f t="shared" si="812"/>
        <v>0</v>
      </c>
      <c r="CQ689" s="346">
        <f t="shared" si="812"/>
        <v>0</v>
      </c>
      <c r="CR689" s="346">
        <f t="shared" si="812"/>
        <v>0</v>
      </c>
      <c r="CS689" s="346">
        <f t="shared" si="812"/>
        <v>0</v>
      </c>
      <c r="CT689" s="346">
        <f t="shared" si="812"/>
        <v>0</v>
      </c>
      <c r="CU689" s="346">
        <f t="shared" si="812"/>
        <v>0</v>
      </c>
      <c r="CV689" s="346">
        <f t="shared" si="812"/>
        <v>0</v>
      </c>
      <c r="CW689" s="346">
        <f t="shared" si="812"/>
        <v>0</v>
      </c>
      <c r="CX689" s="346">
        <f t="shared" si="812"/>
        <v>0</v>
      </c>
      <c r="CY689" s="346">
        <f t="shared" si="812"/>
        <v>0</v>
      </c>
      <c r="CZ689" s="346">
        <f t="shared" si="812"/>
        <v>0</v>
      </c>
      <c r="DA689" s="346">
        <f t="shared" si="812"/>
        <v>0</v>
      </c>
      <c r="DB689" s="1479">
        <f t="shared" si="812"/>
        <v>0</v>
      </c>
      <c r="DC689" s="346">
        <f t="shared" si="812"/>
        <v>0</v>
      </c>
      <c r="DD689" s="346">
        <f t="shared" si="812"/>
        <v>0</v>
      </c>
      <c r="DE689" s="346">
        <f t="shared" si="812"/>
        <v>0</v>
      </c>
      <c r="DF689" s="346">
        <f t="shared" si="812"/>
        <v>0</v>
      </c>
      <c r="DG689" s="346">
        <f t="shared" si="812"/>
        <v>0</v>
      </c>
      <c r="DH689" s="346">
        <f t="shared" si="812"/>
        <v>0</v>
      </c>
      <c r="DI689" s="346">
        <f t="shared" si="812"/>
        <v>0</v>
      </c>
      <c r="DJ689" s="346">
        <f t="shared" si="812"/>
        <v>0</v>
      </c>
      <c r="DK689" s="346">
        <f t="shared" ref="DK689:EP689" si="813">DK335</f>
        <v>0</v>
      </c>
      <c r="DL689" s="346">
        <f t="shared" si="813"/>
        <v>0</v>
      </c>
      <c r="DM689" s="346">
        <f t="shared" si="813"/>
        <v>0</v>
      </c>
      <c r="DN689" s="348">
        <f t="shared" si="813"/>
        <v>0</v>
      </c>
      <c r="DO689" s="346">
        <f t="shared" si="813"/>
        <v>0</v>
      </c>
      <c r="DP689" s="346">
        <f t="shared" si="813"/>
        <v>0</v>
      </c>
      <c r="DQ689" s="346">
        <f t="shared" si="813"/>
        <v>0</v>
      </c>
      <c r="DR689" s="346">
        <f t="shared" si="813"/>
        <v>0</v>
      </c>
      <c r="DS689" s="346">
        <f t="shared" si="813"/>
        <v>0</v>
      </c>
      <c r="DT689" s="346">
        <f t="shared" si="813"/>
        <v>0</v>
      </c>
      <c r="DU689" s="346">
        <f t="shared" si="813"/>
        <v>0</v>
      </c>
      <c r="DV689" s="346">
        <f t="shared" si="813"/>
        <v>0</v>
      </c>
      <c r="DW689" s="346">
        <f t="shared" si="813"/>
        <v>0</v>
      </c>
      <c r="DX689" s="346">
        <f t="shared" si="813"/>
        <v>0</v>
      </c>
      <c r="DY689" s="346">
        <f t="shared" si="813"/>
        <v>0</v>
      </c>
      <c r="DZ689" s="348">
        <f t="shared" si="813"/>
        <v>0</v>
      </c>
      <c r="EA689" s="346">
        <f t="shared" si="813"/>
        <v>0</v>
      </c>
      <c r="EB689" s="346">
        <f t="shared" si="813"/>
        <v>0</v>
      </c>
      <c r="EC689" s="346">
        <f t="shared" si="813"/>
        <v>0</v>
      </c>
      <c r="ED689" s="346">
        <f t="shared" si="813"/>
        <v>0</v>
      </c>
      <c r="EE689" s="346">
        <f t="shared" si="813"/>
        <v>0</v>
      </c>
      <c r="EF689" s="346">
        <f t="shared" si="813"/>
        <v>0</v>
      </c>
      <c r="EG689" s="346">
        <f t="shared" si="813"/>
        <v>0</v>
      </c>
      <c r="EH689" s="346">
        <f t="shared" si="813"/>
        <v>0</v>
      </c>
      <c r="EI689" s="346">
        <f t="shared" si="813"/>
        <v>0</v>
      </c>
      <c r="EJ689" s="346">
        <f t="shared" si="813"/>
        <v>0</v>
      </c>
      <c r="EK689" s="346">
        <f t="shared" si="813"/>
        <v>0</v>
      </c>
      <c r="EL689" s="348">
        <f t="shared" si="813"/>
        <v>0</v>
      </c>
      <c r="EM689" s="346">
        <f t="shared" si="813"/>
        <v>0</v>
      </c>
      <c r="EN689" s="346">
        <f t="shared" si="813"/>
        <v>0</v>
      </c>
      <c r="EO689" s="346">
        <f t="shared" si="813"/>
        <v>0</v>
      </c>
      <c r="EP689" s="346">
        <f t="shared" si="813"/>
        <v>0</v>
      </c>
      <c r="EQ689" s="346">
        <f t="shared" ref="EQ689:FP689" si="814">EQ335</f>
        <v>0</v>
      </c>
      <c r="ER689" s="346">
        <f t="shared" si="814"/>
        <v>0</v>
      </c>
      <c r="ES689" s="346">
        <f t="shared" si="814"/>
        <v>0</v>
      </c>
      <c r="ET689" s="346">
        <f t="shared" si="814"/>
        <v>0</v>
      </c>
      <c r="EU689" s="346">
        <f t="shared" si="814"/>
        <v>0</v>
      </c>
      <c r="EV689" s="346">
        <f t="shared" si="814"/>
        <v>0</v>
      </c>
      <c r="EW689" s="346">
        <f t="shared" si="814"/>
        <v>0</v>
      </c>
      <c r="EX689" s="348">
        <f t="shared" si="814"/>
        <v>0</v>
      </c>
      <c r="EY689" s="346">
        <f t="shared" si="814"/>
        <v>0</v>
      </c>
      <c r="EZ689" s="346">
        <f t="shared" si="814"/>
        <v>0</v>
      </c>
      <c r="FA689" s="346">
        <f t="shared" si="814"/>
        <v>0</v>
      </c>
      <c r="FB689" s="346">
        <f t="shared" si="814"/>
        <v>0</v>
      </c>
      <c r="FC689" s="346">
        <f t="shared" si="814"/>
        <v>0</v>
      </c>
      <c r="FD689" s="346">
        <f t="shared" si="814"/>
        <v>0</v>
      </c>
      <c r="FE689" s="346">
        <f t="shared" si="814"/>
        <v>0</v>
      </c>
      <c r="FF689" s="346">
        <f t="shared" si="814"/>
        <v>0</v>
      </c>
      <c r="FG689" s="346">
        <f t="shared" si="814"/>
        <v>0</v>
      </c>
      <c r="FH689" s="346">
        <f t="shared" si="814"/>
        <v>0</v>
      </c>
      <c r="FI689" s="346">
        <f t="shared" si="814"/>
        <v>0</v>
      </c>
      <c r="FJ689" s="348">
        <f t="shared" si="814"/>
        <v>0</v>
      </c>
      <c r="FK689" s="346">
        <f t="shared" si="814"/>
        <v>0</v>
      </c>
      <c r="FL689" s="346">
        <f t="shared" si="814"/>
        <v>0</v>
      </c>
      <c r="FM689" s="346">
        <f t="shared" si="814"/>
        <v>0</v>
      </c>
      <c r="FN689" s="346">
        <f t="shared" si="814"/>
        <v>0</v>
      </c>
      <c r="FO689" s="346">
        <f t="shared" si="814"/>
        <v>0</v>
      </c>
      <c r="FP689" s="346">
        <f t="shared" si="814"/>
        <v>0</v>
      </c>
      <c r="FQ689" s="346">
        <f t="shared" ref="FQ689:FV693" si="815">FQ335</f>
        <v>0</v>
      </c>
      <c r="FR689" s="346">
        <f t="shared" si="815"/>
        <v>0</v>
      </c>
      <c r="FS689" s="346">
        <f t="shared" si="815"/>
        <v>0</v>
      </c>
      <c r="FT689" s="346">
        <f t="shared" si="815"/>
        <v>0</v>
      </c>
      <c r="FU689" s="346">
        <f t="shared" si="815"/>
        <v>0</v>
      </c>
      <c r="FV689" s="346">
        <f t="shared" si="815"/>
        <v>0</v>
      </c>
      <c r="FW689" s="346">
        <v>0</v>
      </c>
      <c r="FX689" s="346">
        <v>0</v>
      </c>
      <c r="FY689" s="346">
        <v>0</v>
      </c>
      <c r="FZ689" s="346">
        <v>0</v>
      </c>
      <c r="GA689" s="346">
        <v>0</v>
      </c>
      <c r="GB689" s="346">
        <v>0</v>
      </c>
      <c r="GC689" s="346">
        <v>0</v>
      </c>
      <c r="GD689" s="346">
        <v>0</v>
      </c>
      <c r="GE689" s="346">
        <v>0</v>
      </c>
      <c r="GF689" s="346">
        <v>0</v>
      </c>
      <c r="GG689" s="346">
        <v>0</v>
      </c>
      <c r="GH689" s="346">
        <v>0</v>
      </c>
      <c r="GI689" s="346">
        <f t="shared" ref="GI689:GN689" si="816">GI335</f>
        <v>0</v>
      </c>
      <c r="GJ689" s="346">
        <f t="shared" si="816"/>
        <v>0</v>
      </c>
      <c r="GK689" s="346">
        <f t="shared" si="816"/>
        <v>0</v>
      </c>
      <c r="GL689" s="346">
        <f t="shared" si="816"/>
        <v>0</v>
      </c>
      <c r="GM689" s="346">
        <f t="shared" si="816"/>
        <v>0</v>
      </c>
      <c r="GN689" s="346">
        <f t="shared" si="816"/>
        <v>0</v>
      </c>
      <c r="GO689" s="346">
        <f t="shared" ref="GO689:GU689" si="817">GO335</f>
        <v>0</v>
      </c>
      <c r="GP689" s="346">
        <f t="shared" si="817"/>
        <v>0</v>
      </c>
      <c r="GQ689" s="346">
        <f t="shared" si="817"/>
        <v>0</v>
      </c>
      <c r="GR689" s="346">
        <f t="shared" si="817"/>
        <v>0</v>
      </c>
      <c r="GS689" s="346">
        <f t="shared" si="817"/>
        <v>0</v>
      </c>
      <c r="GT689" s="346">
        <f t="shared" si="817"/>
        <v>0</v>
      </c>
      <c r="GU689" s="346">
        <f t="shared" si="817"/>
        <v>0</v>
      </c>
      <c r="GV689" s="346">
        <f t="shared" ref="GV689:HL689" si="818">GV335</f>
        <v>0</v>
      </c>
      <c r="GW689" s="346">
        <f t="shared" si="818"/>
        <v>0</v>
      </c>
      <c r="GX689" s="346">
        <f t="shared" si="818"/>
        <v>0</v>
      </c>
      <c r="GY689" s="346">
        <f t="shared" si="818"/>
        <v>0</v>
      </c>
      <c r="GZ689" s="346">
        <f t="shared" si="818"/>
        <v>0</v>
      </c>
      <c r="HA689" s="346">
        <f t="shared" si="818"/>
        <v>0</v>
      </c>
      <c r="HB689" s="346">
        <f t="shared" si="818"/>
        <v>0</v>
      </c>
      <c r="HC689" s="346">
        <f t="shared" si="818"/>
        <v>0</v>
      </c>
      <c r="HD689" s="346">
        <f t="shared" si="818"/>
        <v>0</v>
      </c>
      <c r="HE689" s="346">
        <f t="shared" si="818"/>
        <v>0</v>
      </c>
      <c r="HF689" s="346">
        <f t="shared" si="818"/>
        <v>0</v>
      </c>
      <c r="HG689" s="346">
        <f t="shared" si="818"/>
        <v>0</v>
      </c>
      <c r="HH689" s="346">
        <f t="shared" si="818"/>
        <v>0</v>
      </c>
      <c r="HI689" s="346">
        <f t="shared" si="818"/>
        <v>0</v>
      </c>
      <c r="HJ689" s="346">
        <f t="shared" si="818"/>
        <v>0</v>
      </c>
      <c r="HK689" s="346">
        <f t="shared" si="818"/>
        <v>0</v>
      </c>
      <c r="HL689" s="346">
        <f t="shared" si="818"/>
        <v>0</v>
      </c>
      <c r="HM689" s="346"/>
      <c r="HN689" s="349"/>
      <c r="HO689" s="1439" t="s">
        <v>513</v>
      </c>
      <c r="HP689" s="307">
        <f>SUM(CE689:CJ689)</f>
        <v>0</v>
      </c>
      <c r="HQ689" s="302">
        <f>SUM(CK689:CP689)</f>
        <v>0</v>
      </c>
      <c r="HR689" s="346">
        <f t="shared" si="698"/>
        <v>0</v>
      </c>
      <c r="HS689" s="302">
        <f>SUM(CQ689:CV689)</f>
        <v>0</v>
      </c>
      <c r="HT689" s="302">
        <f>SUM(CW689:DB689)</f>
        <v>0</v>
      </c>
      <c r="HU689" s="346">
        <f t="shared" si="678"/>
        <v>0</v>
      </c>
      <c r="HV689" s="307">
        <f>SUM(DC689:DH689)</f>
        <v>0</v>
      </c>
      <c r="HW689" s="302">
        <f>SUM(DI689:DN689)</f>
        <v>0</v>
      </c>
      <c r="HX689" s="346">
        <f t="shared" si="679"/>
        <v>0</v>
      </c>
      <c r="HY689" s="350">
        <f>SUM(DO689:DT689)</f>
        <v>0</v>
      </c>
      <c r="HZ689" s="302">
        <f>SUM(DU689:DZ689)</f>
        <v>0</v>
      </c>
      <c r="IA689" s="346">
        <f t="shared" si="680"/>
        <v>0</v>
      </c>
      <c r="IB689" s="302">
        <f>SUM(EA689:EF689)</f>
        <v>0</v>
      </c>
      <c r="IC689" s="302">
        <f>SUM(EG689:EL689)</f>
        <v>0</v>
      </c>
      <c r="ID689" s="346">
        <f t="shared" si="681"/>
        <v>0</v>
      </c>
      <c r="IE689" s="350">
        <f>SUM(EM689:ER689)</f>
        <v>0</v>
      </c>
      <c r="IF689" s="350">
        <f>SUM(ES689:EX689)</f>
        <v>0</v>
      </c>
      <c r="IG689" s="346">
        <f t="shared" si="682"/>
        <v>0</v>
      </c>
      <c r="IH689" s="350">
        <f>SUM(EY689:FD689)</f>
        <v>0</v>
      </c>
      <c r="II689" s="350">
        <f>SUM(FE689:FJ689)</f>
        <v>0</v>
      </c>
      <c r="IJ689" s="346">
        <f t="shared" si="683"/>
        <v>0</v>
      </c>
      <c r="IK689" s="350">
        <f t="shared" si="759"/>
        <v>0</v>
      </c>
      <c r="IL689" s="350">
        <f t="shared" si="664"/>
        <v>0</v>
      </c>
      <c r="IM689" s="346">
        <f>IK689+IL689</f>
        <v>0</v>
      </c>
      <c r="IN689" s="350">
        <f t="shared" si="665"/>
        <v>0</v>
      </c>
      <c r="IO689" s="350">
        <f t="shared" si="666"/>
        <v>0</v>
      </c>
      <c r="IP689" s="346">
        <f t="shared" si="685"/>
        <v>0</v>
      </c>
      <c r="IQ689" s="350">
        <f t="shared" si="667"/>
        <v>0</v>
      </c>
      <c r="IR689" s="350">
        <f t="shared" si="668"/>
        <v>0</v>
      </c>
      <c r="IS689" s="346">
        <f t="shared" si="686"/>
        <v>0</v>
      </c>
      <c r="IT689" s="350">
        <f t="shared" si="699"/>
        <v>0</v>
      </c>
      <c r="IU689" s="350">
        <f t="shared" si="707"/>
        <v>0</v>
      </c>
      <c r="IV689" s="346">
        <f t="shared" si="687"/>
        <v>0</v>
      </c>
      <c r="IW689" s="350">
        <f t="shared" si="700"/>
        <v>0</v>
      </c>
      <c r="IX689" s="350">
        <f t="shared" si="688"/>
        <v>0</v>
      </c>
      <c r="IY689" s="346">
        <f>FISC!AJ1011</f>
        <v>0</v>
      </c>
      <c r="IZ689" s="350">
        <f t="shared" si="708"/>
        <v>0</v>
      </c>
      <c r="JA689" s="302">
        <f t="shared" si="689"/>
        <v>0</v>
      </c>
      <c r="JB689" s="346">
        <f>FISC!AK1011</f>
        <v>0</v>
      </c>
      <c r="JC689" s="350">
        <f t="shared" si="709"/>
        <v>0</v>
      </c>
      <c r="JD689" s="302">
        <f t="shared" si="690"/>
        <v>0</v>
      </c>
      <c r="JE689" s="346">
        <f>FISC!AL1011</f>
        <v>0</v>
      </c>
      <c r="JF689" s="350">
        <f t="shared" si="710"/>
        <v>0</v>
      </c>
      <c r="JG689" s="302">
        <f t="shared" si="691"/>
        <v>0</v>
      </c>
      <c r="JH689" s="346">
        <f>FISC!AM1011</f>
        <v>0</v>
      </c>
      <c r="JI689" s="350">
        <f t="shared" si="711"/>
        <v>0</v>
      </c>
      <c r="JJ689" s="302">
        <f t="shared" si="701"/>
        <v>0</v>
      </c>
      <c r="JK689" s="346">
        <f>FISC!AN1011</f>
        <v>0</v>
      </c>
      <c r="JL689" s="350">
        <f t="shared" si="712"/>
        <v>0</v>
      </c>
      <c r="JM689" s="302">
        <f t="shared" si="692"/>
        <v>0</v>
      </c>
      <c r="JN689" s="346">
        <f>FISC!AO1011</f>
        <v>0</v>
      </c>
      <c r="KI689" s="349"/>
      <c r="KJ689" s="350"/>
    </row>
    <row r="690" spans="1:296" hidden="1" outlineLevel="1">
      <c r="A690" s="302"/>
      <c r="D690" s="1439" t="s">
        <v>514</v>
      </c>
      <c r="E690" s="346"/>
      <c r="F690" s="346"/>
      <c r="G690" s="346"/>
      <c r="H690" s="346"/>
      <c r="I690" s="346"/>
      <c r="J690" s="346"/>
      <c r="K690" s="346"/>
      <c r="L690" s="346"/>
      <c r="M690" s="346"/>
      <c r="N690" s="346"/>
      <c r="O690" s="346"/>
      <c r="P690" s="346"/>
      <c r="Q690" s="346"/>
      <c r="R690" s="346"/>
      <c r="S690" s="346"/>
      <c r="T690" s="346"/>
      <c r="U690" s="346"/>
      <c r="V690" s="346"/>
      <c r="W690" s="346"/>
      <c r="X690" s="346"/>
      <c r="Y690" s="346"/>
      <c r="Z690" s="346"/>
      <c r="AA690" s="346"/>
      <c r="AB690" s="346"/>
      <c r="AC690" s="346"/>
      <c r="AD690" s="346"/>
      <c r="AE690" s="346"/>
      <c r="AF690" s="346"/>
      <c r="AG690" s="346"/>
      <c r="AH690" s="346"/>
      <c r="AI690" s="346"/>
      <c r="AJ690" s="346"/>
      <c r="AK690" s="346"/>
      <c r="AL690" s="346"/>
      <c r="AM690" s="346"/>
      <c r="AN690" s="346"/>
      <c r="AO690" s="346"/>
      <c r="AP690" s="346"/>
      <c r="AQ690" s="346"/>
      <c r="AR690" s="346"/>
      <c r="AS690" s="346"/>
      <c r="AT690" s="346"/>
      <c r="AU690" s="346"/>
      <c r="AV690" s="346"/>
      <c r="AW690" s="346"/>
      <c r="AX690" s="346"/>
      <c r="AY690" s="346"/>
      <c r="AZ690" s="346"/>
      <c r="BA690" s="346"/>
      <c r="BB690" s="346"/>
      <c r="BC690" s="346"/>
      <c r="BD690" s="346"/>
      <c r="BE690" s="346"/>
      <c r="BF690" s="346"/>
      <c r="BG690" s="346"/>
      <c r="BH690" s="346"/>
      <c r="BI690" s="346"/>
      <c r="BJ690" s="346"/>
      <c r="BK690" s="346"/>
      <c r="BL690" s="346"/>
      <c r="BM690" s="346"/>
      <c r="BN690" s="346"/>
      <c r="BO690" s="346"/>
      <c r="BP690" s="346"/>
      <c r="BQ690" s="346"/>
      <c r="BR690" s="346"/>
      <c r="BS690" s="346"/>
      <c r="BT690" s="346"/>
      <c r="BU690" s="346"/>
      <c r="BV690" s="346"/>
      <c r="BW690" s="346"/>
      <c r="BX690" s="346"/>
      <c r="BY690" s="346"/>
      <c r="BZ690" s="346"/>
      <c r="CA690" s="346"/>
      <c r="CB690" s="346"/>
      <c r="CC690" s="346"/>
      <c r="CD690" s="352"/>
      <c r="CE690" s="346">
        <f t="shared" ref="CE690:DJ690" si="819">CE336</f>
        <v>0</v>
      </c>
      <c r="CF690" s="346">
        <f t="shared" si="819"/>
        <v>0</v>
      </c>
      <c r="CG690" s="346">
        <f t="shared" si="819"/>
        <v>0</v>
      </c>
      <c r="CH690" s="346">
        <f t="shared" si="819"/>
        <v>0</v>
      </c>
      <c r="CI690" s="346">
        <f t="shared" si="819"/>
        <v>0</v>
      </c>
      <c r="CJ690" s="346">
        <f t="shared" si="819"/>
        <v>0</v>
      </c>
      <c r="CK690" s="346">
        <f t="shared" si="819"/>
        <v>0</v>
      </c>
      <c r="CL690" s="346">
        <f t="shared" si="819"/>
        <v>0</v>
      </c>
      <c r="CM690" s="346">
        <f t="shared" si="819"/>
        <v>0</v>
      </c>
      <c r="CN690" s="346">
        <f t="shared" si="819"/>
        <v>0</v>
      </c>
      <c r="CO690" s="346">
        <f t="shared" si="819"/>
        <v>0</v>
      </c>
      <c r="CP690" s="348">
        <f t="shared" si="819"/>
        <v>0</v>
      </c>
      <c r="CQ690" s="346">
        <f t="shared" si="819"/>
        <v>0</v>
      </c>
      <c r="CR690" s="346">
        <f t="shared" si="819"/>
        <v>0</v>
      </c>
      <c r="CS690" s="346">
        <f t="shared" si="819"/>
        <v>0</v>
      </c>
      <c r="CT690" s="346">
        <f t="shared" si="819"/>
        <v>0</v>
      </c>
      <c r="CU690" s="346">
        <f t="shared" si="819"/>
        <v>0</v>
      </c>
      <c r="CV690" s="346">
        <f t="shared" si="819"/>
        <v>0</v>
      </c>
      <c r="CW690" s="346">
        <f t="shared" si="819"/>
        <v>0</v>
      </c>
      <c r="CX690" s="346">
        <f t="shared" si="819"/>
        <v>0</v>
      </c>
      <c r="CY690" s="346">
        <f t="shared" si="819"/>
        <v>0</v>
      </c>
      <c r="CZ690" s="346">
        <f t="shared" si="819"/>
        <v>0</v>
      </c>
      <c r="DA690" s="346">
        <f t="shared" si="819"/>
        <v>0</v>
      </c>
      <c r="DB690" s="1479">
        <f t="shared" si="819"/>
        <v>0</v>
      </c>
      <c r="DC690" s="346">
        <f t="shared" si="819"/>
        <v>0</v>
      </c>
      <c r="DD690" s="346">
        <f t="shared" si="819"/>
        <v>0</v>
      </c>
      <c r="DE690" s="346">
        <f t="shared" si="819"/>
        <v>0</v>
      </c>
      <c r="DF690" s="346">
        <f t="shared" si="819"/>
        <v>0</v>
      </c>
      <c r="DG690" s="346">
        <f t="shared" si="819"/>
        <v>0</v>
      </c>
      <c r="DH690" s="346">
        <f t="shared" si="819"/>
        <v>0</v>
      </c>
      <c r="DI690" s="346">
        <f t="shared" si="819"/>
        <v>0</v>
      </c>
      <c r="DJ690" s="346">
        <f t="shared" si="819"/>
        <v>0</v>
      </c>
      <c r="DK690" s="346">
        <f t="shared" ref="DK690:EP690" si="820">DK336</f>
        <v>0</v>
      </c>
      <c r="DL690" s="346">
        <f t="shared" si="820"/>
        <v>0</v>
      </c>
      <c r="DM690" s="346">
        <f t="shared" si="820"/>
        <v>0</v>
      </c>
      <c r="DN690" s="348">
        <f t="shared" si="820"/>
        <v>0</v>
      </c>
      <c r="DO690" s="346">
        <f t="shared" si="820"/>
        <v>0</v>
      </c>
      <c r="DP690" s="346">
        <f t="shared" si="820"/>
        <v>0</v>
      </c>
      <c r="DQ690" s="346">
        <f t="shared" si="820"/>
        <v>0</v>
      </c>
      <c r="DR690" s="346">
        <f t="shared" si="820"/>
        <v>0</v>
      </c>
      <c r="DS690" s="346">
        <f t="shared" si="820"/>
        <v>0</v>
      </c>
      <c r="DT690" s="346">
        <f t="shared" si="820"/>
        <v>0</v>
      </c>
      <c r="DU690" s="346">
        <f t="shared" si="820"/>
        <v>0</v>
      </c>
      <c r="DV690" s="346">
        <f t="shared" si="820"/>
        <v>0</v>
      </c>
      <c r="DW690" s="346">
        <f t="shared" si="820"/>
        <v>0</v>
      </c>
      <c r="DX690" s="346">
        <f t="shared" si="820"/>
        <v>0</v>
      </c>
      <c r="DY690" s="346">
        <f t="shared" si="820"/>
        <v>0</v>
      </c>
      <c r="DZ690" s="348">
        <f t="shared" si="820"/>
        <v>0</v>
      </c>
      <c r="EA690" s="346">
        <f t="shared" si="820"/>
        <v>0</v>
      </c>
      <c r="EB690" s="346">
        <f t="shared" si="820"/>
        <v>0</v>
      </c>
      <c r="EC690" s="346">
        <f t="shared" si="820"/>
        <v>0</v>
      </c>
      <c r="ED690" s="346">
        <f t="shared" si="820"/>
        <v>0</v>
      </c>
      <c r="EE690" s="346">
        <f t="shared" si="820"/>
        <v>0</v>
      </c>
      <c r="EF690" s="346">
        <f t="shared" si="820"/>
        <v>0</v>
      </c>
      <c r="EG690" s="346">
        <f t="shared" si="820"/>
        <v>0</v>
      </c>
      <c r="EH690" s="346">
        <f t="shared" si="820"/>
        <v>0</v>
      </c>
      <c r="EI690" s="346">
        <f t="shared" si="820"/>
        <v>0</v>
      </c>
      <c r="EJ690" s="346">
        <f t="shared" si="820"/>
        <v>0</v>
      </c>
      <c r="EK690" s="346">
        <f t="shared" si="820"/>
        <v>0</v>
      </c>
      <c r="EL690" s="348">
        <f t="shared" si="820"/>
        <v>0</v>
      </c>
      <c r="EM690" s="346">
        <f t="shared" si="820"/>
        <v>0</v>
      </c>
      <c r="EN690" s="346">
        <f t="shared" si="820"/>
        <v>0</v>
      </c>
      <c r="EO690" s="346">
        <f t="shared" si="820"/>
        <v>0</v>
      </c>
      <c r="EP690" s="346">
        <f t="shared" si="820"/>
        <v>0</v>
      </c>
      <c r="EQ690" s="346">
        <f t="shared" ref="EQ690:FP690" si="821">EQ336</f>
        <v>0</v>
      </c>
      <c r="ER690" s="346">
        <f t="shared" si="821"/>
        <v>0</v>
      </c>
      <c r="ES690" s="346">
        <f t="shared" si="821"/>
        <v>0</v>
      </c>
      <c r="ET690" s="346">
        <f t="shared" si="821"/>
        <v>0</v>
      </c>
      <c r="EU690" s="346">
        <f t="shared" si="821"/>
        <v>0</v>
      </c>
      <c r="EV690" s="346">
        <f t="shared" si="821"/>
        <v>0</v>
      </c>
      <c r="EW690" s="346">
        <f t="shared" si="821"/>
        <v>0</v>
      </c>
      <c r="EX690" s="348">
        <f t="shared" si="821"/>
        <v>0</v>
      </c>
      <c r="EY690" s="346">
        <f t="shared" si="821"/>
        <v>0.10653807999999999</v>
      </c>
      <c r="EZ690" s="346">
        <f t="shared" si="821"/>
        <v>0.119452564</v>
      </c>
      <c r="FA690" s="346">
        <f t="shared" si="821"/>
        <v>0.13369715900000001</v>
      </c>
      <c r="FB690" s="346">
        <f t="shared" si="821"/>
        <v>0.117494873</v>
      </c>
      <c r="FC690" s="346">
        <f t="shared" si="821"/>
        <v>0.11112109100000001</v>
      </c>
      <c r="FD690" s="346">
        <f t="shared" si="821"/>
        <v>0.107722707</v>
      </c>
      <c r="FE690" s="346">
        <f t="shared" si="821"/>
        <v>0.11991792900000001</v>
      </c>
      <c r="FF690" s="346">
        <f t="shared" si="821"/>
        <v>0.134249074</v>
      </c>
      <c r="FG690" s="346">
        <f t="shared" si="821"/>
        <v>0.12293912899999999</v>
      </c>
      <c r="FH690" s="346">
        <f t="shared" si="821"/>
        <v>4.6729676999999997E-2</v>
      </c>
      <c r="FI690" s="346">
        <f t="shared" si="821"/>
        <v>3.814647E-3</v>
      </c>
      <c r="FJ690" s="348">
        <f t="shared" si="821"/>
        <v>1.0799428E-2</v>
      </c>
      <c r="FK690" s="346">
        <f t="shared" si="821"/>
        <v>2.6409012999999999E-2</v>
      </c>
      <c r="FL690" s="346">
        <f t="shared" si="821"/>
        <v>1.5117556000000001E-2</v>
      </c>
      <c r="FM690" s="346">
        <f t="shared" si="821"/>
        <v>2.9343368000000002E-2</v>
      </c>
      <c r="FN690" s="346">
        <f t="shared" si="821"/>
        <v>4.6567365950341562E-2</v>
      </c>
      <c r="FO690" s="346">
        <f t="shared" si="821"/>
        <v>8.0208810855810081E-2</v>
      </c>
      <c r="FP690" s="346">
        <f t="shared" si="821"/>
        <v>7.7259509594136175E-2</v>
      </c>
      <c r="FQ690" s="346">
        <f t="shared" si="815"/>
        <v>0.11215451619431686</v>
      </c>
      <c r="FR690" s="346">
        <f t="shared" si="815"/>
        <v>6.6105133672819394E-2</v>
      </c>
      <c r="FS690" s="346">
        <f t="shared" si="815"/>
        <v>6.2961698881499398E-2</v>
      </c>
      <c r="FT690" s="346">
        <f t="shared" si="815"/>
        <v>5.2771587392215019E-2</v>
      </c>
      <c r="FU690" s="346">
        <f t="shared" si="815"/>
        <v>5.7690208506360106E-2</v>
      </c>
      <c r="FV690" s="346">
        <f t="shared" si="815"/>
        <v>7.4472849233990973E-2</v>
      </c>
      <c r="FW690" s="346">
        <v>8.2250240226935292E-2</v>
      </c>
      <c r="FX690" s="346">
        <v>9.0805313971209292E-2</v>
      </c>
      <c r="FY690" s="346">
        <v>6.290088198763627E-2</v>
      </c>
      <c r="FZ690" s="346">
        <v>0.11254463923743112</v>
      </c>
      <c r="GA690" s="346">
        <v>5.3539901131737538E-2</v>
      </c>
      <c r="GB690" s="346">
        <v>0.18795065650670742</v>
      </c>
      <c r="GC690" s="346">
        <v>0.20999435494870752</v>
      </c>
      <c r="GD690" s="346">
        <v>0.20817016616648687</v>
      </c>
      <c r="GE690" s="346">
        <v>0.18023657502643631</v>
      </c>
      <c r="GF690" s="346">
        <v>0.16923144942246571</v>
      </c>
      <c r="GG690" s="346">
        <v>0.17581170783388561</v>
      </c>
      <c r="GH690" s="346">
        <v>0.15567696859847699</v>
      </c>
      <c r="GI690" s="346">
        <f t="shared" ref="GI690:GN690" si="822">GI336</f>
        <v>0</v>
      </c>
      <c r="GJ690" s="346">
        <f t="shared" si="822"/>
        <v>0</v>
      </c>
      <c r="GK690" s="346">
        <f t="shared" si="822"/>
        <v>0</v>
      </c>
      <c r="GL690" s="346">
        <f t="shared" si="822"/>
        <v>0</v>
      </c>
      <c r="GM690" s="346">
        <f t="shared" si="822"/>
        <v>0</v>
      </c>
      <c r="GN690" s="346">
        <f t="shared" si="822"/>
        <v>0</v>
      </c>
      <c r="GO690" s="346">
        <f t="shared" ref="GO690:GU690" si="823">GO336</f>
        <v>0</v>
      </c>
      <c r="GP690" s="346">
        <f t="shared" si="823"/>
        <v>0</v>
      </c>
      <c r="GQ690" s="346">
        <f t="shared" si="823"/>
        <v>0</v>
      </c>
      <c r="GR690" s="346">
        <f t="shared" si="823"/>
        <v>0</v>
      </c>
      <c r="GS690" s="346">
        <f t="shared" si="823"/>
        <v>0</v>
      </c>
      <c r="GT690" s="346">
        <f t="shared" si="823"/>
        <v>0</v>
      </c>
      <c r="GU690" s="346">
        <f t="shared" si="823"/>
        <v>0.19999550699999999</v>
      </c>
      <c r="GV690" s="346">
        <f t="shared" ref="GV690:HF690" si="824">GV336</f>
        <v>0.24524757899999999</v>
      </c>
      <c r="GW690" s="346">
        <f t="shared" si="824"/>
        <v>0.237309567</v>
      </c>
      <c r="GX690" s="346">
        <f t="shared" si="824"/>
        <v>0.21867305200000001</v>
      </c>
      <c r="GY690" s="346">
        <f t="shared" si="824"/>
        <v>5.9883767999999997E-2</v>
      </c>
      <c r="GZ690" s="346">
        <f t="shared" si="824"/>
        <v>0.38814536799999999</v>
      </c>
      <c r="HA690" s="346">
        <f t="shared" si="824"/>
        <v>0.39780178300000002</v>
      </c>
      <c r="HB690" s="346">
        <f t="shared" si="824"/>
        <v>0.37802133799999998</v>
      </c>
      <c r="HC690" s="346">
        <f t="shared" si="824"/>
        <v>0.385825005</v>
      </c>
      <c r="HD690" s="346">
        <f t="shared" si="824"/>
        <v>0.44115505100000002</v>
      </c>
      <c r="HE690" s="346">
        <f t="shared" si="824"/>
        <v>0.518501294</v>
      </c>
      <c r="HF690" s="346">
        <f t="shared" si="824"/>
        <v>0.50786886399999998</v>
      </c>
      <c r="HG690" s="346">
        <f t="shared" ref="HG690:HL690" si="825">HG336</f>
        <v>0.51054981600000005</v>
      </c>
      <c r="HH690" s="346">
        <f t="shared" si="825"/>
        <v>0.48340100899999999</v>
      </c>
      <c r="HI690" s="346">
        <f t="shared" si="825"/>
        <v>0.46028750299999999</v>
      </c>
      <c r="HJ690" s="346">
        <f t="shared" si="825"/>
        <v>0.57127893699999999</v>
      </c>
      <c r="HK690" s="346">
        <f t="shared" si="825"/>
        <v>0.58402084099999996</v>
      </c>
      <c r="HL690" s="346">
        <f t="shared" si="825"/>
        <v>0.70045251500000005</v>
      </c>
      <c r="HM690" s="346"/>
      <c r="HN690" s="349"/>
      <c r="HO690" s="1439" t="s">
        <v>514</v>
      </c>
      <c r="HP690" s="307">
        <f>SUM(CE690:CJ690)</f>
        <v>0</v>
      </c>
      <c r="HQ690" s="302">
        <f>SUM(CK690:CP690)</f>
        <v>0</v>
      </c>
      <c r="HR690" s="346">
        <f t="shared" si="698"/>
        <v>0</v>
      </c>
      <c r="HS690" s="302">
        <f>SUM(CQ690:CV690)</f>
        <v>0</v>
      </c>
      <c r="HT690" s="302">
        <f>SUM(CW690:DB690)</f>
        <v>0</v>
      </c>
      <c r="HU690" s="346">
        <f t="shared" si="678"/>
        <v>0</v>
      </c>
      <c r="HV690" s="307">
        <f>SUM(DC690:DH690)</f>
        <v>0</v>
      </c>
      <c r="HW690" s="302">
        <f>SUM(DI690:DN690)</f>
        <v>0</v>
      </c>
      <c r="HX690" s="346">
        <f t="shared" si="679"/>
        <v>0</v>
      </c>
      <c r="HY690" s="350">
        <f>SUM(DO690:DT690)</f>
        <v>0</v>
      </c>
      <c r="HZ690" s="302">
        <f>SUM(DU690:DZ690)</f>
        <v>0</v>
      </c>
      <c r="IA690" s="346">
        <f t="shared" si="680"/>
        <v>0</v>
      </c>
      <c r="IB690" s="302">
        <f>SUM(EA690:EF690)</f>
        <v>0</v>
      </c>
      <c r="IC690" s="302">
        <f>SUM(EG690:EL690)</f>
        <v>0</v>
      </c>
      <c r="ID690" s="346">
        <f t="shared" si="681"/>
        <v>0</v>
      </c>
      <c r="IE690" s="350">
        <f>SUM(EM690:ER690)</f>
        <v>0</v>
      </c>
      <c r="IF690" s="350">
        <f>SUM(ES690:EX690)</f>
        <v>0</v>
      </c>
      <c r="IG690" s="346">
        <f t="shared" si="682"/>
        <v>0</v>
      </c>
      <c r="IH690" s="350">
        <f>SUM(EY690:FD690)</f>
        <v>0.69602647399999995</v>
      </c>
      <c r="II690" s="350">
        <f>SUM(FE690:FJ690)</f>
        <v>0.43844988399999996</v>
      </c>
      <c r="IJ690" s="346">
        <f t="shared" si="683"/>
        <v>1.1344763579999999</v>
      </c>
      <c r="IK690" s="350">
        <f t="shared" si="759"/>
        <v>0.27490562340028779</v>
      </c>
      <c r="IL690" s="350">
        <f t="shared" si="664"/>
        <v>0.42615599388120173</v>
      </c>
      <c r="IM690" s="346">
        <f t="shared" si="684"/>
        <v>0.70106161728148952</v>
      </c>
      <c r="IN690" s="350">
        <f t="shared" si="665"/>
        <v>0.58999163306165692</v>
      </c>
      <c r="IO690" s="350">
        <f t="shared" si="666"/>
        <v>1.099121221996459</v>
      </c>
      <c r="IP690" s="346">
        <f t="shared" si="685"/>
        <v>1.689112855058116</v>
      </c>
      <c r="IQ690" s="350">
        <f t="shared" si="667"/>
        <v>0</v>
      </c>
      <c r="IR690" s="350">
        <f t="shared" si="668"/>
        <v>0</v>
      </c>
      <c r="IS690" s="346">
        <f t="shared" si="686"/>
        <v>0</v>
      </c>
      <c r="IT690" s="350">
        <f t="shared" si="699"/>
        <v>1.3492548409999998</v>
      </c>
      <c r="IU690" s="350">
        <f t="shared" si="707"/>
        <v>2.6291733349999999</v>
      </c>
      <c r="IV690" s="346">
        <f t="shared" si="687"/>
        <v>3.9784281759999995</v>
      </c>
      <c r="IW690" s="350">
        <f t="shared" si="700"/>
        <v>3.3099906209999999</v>
      </c>
      <c r="IX690" s="350">
        <f t="shared" si="688"/>
        <v>-2.1899906209999997</v>
      </c>
      <c r="IY690" s="346">
        <f>FISC!AJ1012</f>
        <v>1.1200000000000001</v>
      </c>
      <c r="IZ690" s="350">
        <f t="shared" si="708"/>
        <v>2.7169550852176703</v>
      </c>
      <c r="JA690" s="302">
        <f t="shared" si="689"/>
        <v>2.9433680089858094</v>
      </c>
      <c r="JB690" s="346">
        <f>FISC!AK1012</f>
        <v>5.6603230942034797</v>
      </c>
      <c r="JC690" s="350">
        <f t="shared" si="709"/>
        <v>3.0553081702660752</v>
      </c>
      <c r="JD690" s="302">
        <f t="shared" si="690"/>
        <v>3.3099171844549149</v>
      </c>
      <c r="JE690" s="346">
        <f>FISC!AL1012</f>
        <v>6.36522535472099</v>
      </c>
      <c r="JF690" s="350">
        <f t="shared" si="710"/>
        <v>3.4408076425219924</v>
      </c>
      <c r="JG690" s="302">
        <f t="shared" si="691"/>
        <v>3.7275416127321588</v>
      </c>
      <c r="JH690" s="346">
        <f>FISC!AM1012</f>
        <v>7.1683492552541512</v>
      </c>
      <c r="JI690" s="350">
        <f t="shared" si="711"/>
        <v>3.8798613242199749</v>
      </c>
      <c r="JJ690" s="302">
        <f t="shared" si="701"/>
        <v>4.2031831012383059</v>
      </c>
      <c r="JK690" s="346">
        <f>FISC!AN1012</f>
        <v>8.0830444254582812</v>
      </c>
      <c r="JL690" s="350">
        <f t="shared" si="712"/>
        <v>3.7478980234951682</v>
      </c>
      <c r="JM690" s="302">
        <f t="shared" si="692"/>
        <v>4.0602228587864317</v>
      </c>
      <c r="JN690" s="346">
        <f>FISC!AO1012</f>
        <v>7.8081208822816004</v>
      </c>
      <c r="KI690" s="349"/>
      <c r="KJ690" s="350"/>
    </row>
    <row r="691" spans="1:296" hidden="1" outlineLevel="1">
      <c r="A691" s="302"/>
      <c r="D691" s="1439" t="s">
        <v>515</v>
      </c>
      <c r="E691" s="346"/>
      <c r="F691" s="346"/>
      <c r="G691" s="346"/>
      <c r="H691" s="346"/>
      <c r="I691" s="346"/>
      <c r="J691" s="346"/>
      <c r="K691" s="346"/>
      <c r="L691" s="346"/>
      <c r="M691" s="346"/>
      <c r="N691" s="346"/>
      <c r="O691" s="346"/>
      <c r="P691" s="346"/>
      <c r="Q691" s="346"/>
      <c r="R691" s="346"/>
      <c r="S691" s="346"/>
      <c r="T691" s="346"/>
      <c r="U691" s="346"/>
      <c r="V691" s="346"/>
      <c r="W691" s="346"/>
      <c r="X691" s="346"/>
      <c r="Y691" s="346"/>
      <c r="Z691" s="346"/>
      <c r="AA691" s="346"/>
      <c r="AB691" s="346"/>
      <c r="AC691" s="346"/>
      <c r="AD691" s="346"/>
      <c r="AE691" s="346"/>
      <c r="AF691" s="346"/>
      <c r="AG691" s="346"/>
      <c r="AH691" s="346"/>
      <c r="AI691" s="346"/>
      <c r="AJ691" s="346"/>
      <c r="AK691" s="346"/>
      <c r="AL691" s="346"/>
      <c r="AM691" s="346"/>
      <c r="AN691" s="346"/>
      <c r="AO691" s="346"/>
      <c r="AP691" s="346"/>
      <c r="AQ691" s="346"/>
      <c r="AR691" s="346"/>
      <c r="AS691" s="346"/>
      <c r="AT691" s="346"/>
      <c r="AU691" s="346"/>
      <c r="AV691" s="346"/>
      <c r="AW691" s="346"/>
      <c r="AX691" s="346"/>
      <c r="AY691" s="346"/>
      <c r="AZ691" s="346"/>
      <c r="BA691" s="346"/>
      <c r="BB691" s="346"/>
      <c r="BC691" s="346"/>
      <c r="BD691" s="346"/>
      <c r="BE691" s="346"/>
      <c r="BF691" s="346"/>
      <c r="BG691" s="346"/>
      <c r="BH691" s="346"/>
      <c r="BI691" s="346"/>
      <c r="BJ691" s="346"/>
      <c r="BK691" s="346"/>
      <c r="BL691" s="346"/>
      <c r="BM691" s="346"/>
      <c r="BN691" s="346"/>
      <c r="BO691" s="346"/>
      <c r="BP691" s="346"/>
      <c r="BQ691" s="346"/>
      <c r="BR691" s="346"/>
      <c r="BS691" s="346"/>
      <c r="BT691" s="346"/>
      <c r="BU691" s="346"/>
      <c r="BV691" s="346"/>
      <c r="BW691" s="346"/>
      <c r="BX691" s="346"/>
      <c r="BY691" s="346"/>
      <c r="BZ691" s="346"/>
      <c r="CA691" s="346"/>
      <c r="CB691" s="346"/>
      <c r="CC691" s="346"/>
      <c r="CD691" s="352"/>
      <c r="CE691" s="346">
        <f t="shared" ref="CE691:DJ691" si="826">CE337</f>
        <v>0</v>
      </c>
      <c r="CF691" s="346">
        <f t="shared" si="826"/>
        <v>0</v>
      </c>
      <c r="CG691" s="346">
        <f t="shared" si="826"/>
        <v>0</v>
      </c>
      <c r="CH691" s="346">
        <f t="shared" si="826"/>
        <v>0</v>
      </c>
      <c r="CI691" s="346">
        <f t="shared" si="826"/>
        <v>0</v>
      </c>
      <c r="CJ691" s="346">
        <f t="shared" si="826"/>
        <v>0</v>
      </c>
      <c r="CK691" s="346">
        <f t="shared" si="826"/>
        <v>0</v>
      </c>
      <c r="CL691" s="346">
        <f t="shared" si="826"/>
        <v>0</v>
      </c>
      <c r="CM691" s="346">
        <f t="shared" si="826"/>
        <v>0</v>
      </c>
      <c r="CN691" s="346">
        <f t="shared" si="826"/>
        <v>0</v>
      </c>
      <c r="CO691" s="346">
        <f t="shared" si="826"/>
        <v>0</v>
      </c>
      <c r="CP691" s="348">
        <f t="shared" si="826"/>
        <v>0</v>
      </c>
      <c r="CQ691" s="346">
        <f t="shared" si="826"/>
        <v>6.4068461000000007E-2</v>
      </c>
      <c r="CR691" s="346">
        <f t="shared" si="826"/>
        <v>4.8633385000000001E-2</v>
      </c>
      <c r="CS691" s="346">
        <f t="shared" si="826"/>
        <v>4.5853443000000001E-2</v>
      </c>
      <c r="CT691" s="346">
        <f t="shared" si="826"/>
        <v>3.7334525E-2</v>
      </c>
      <c r="CU691" s="346">
        <f t="shared" si="826"/>
        <v>2.5196940000000001E-2</v>
      </c>
      <c r="CV691" s="346">
        <f t="shared" si="826"/>
        <v>2.1096296E-2</v>
      </c>
      <c r="CW691" s="346">
        <f t="shared" si="826"/>
        <v>0.14355452799999999</v>
      </c>
      <c r="CX691" s="346">
        <f t="shared" si="826"/>
        <v>0.18836430800000001</v>
      </c>
      <c r="CY691" s="346">
        <f t="shared" si="826"/>
        <v>3.4652163030000001</v>
      </c>
      <c r="CZ691" s="346">
        <f t="shared" si="826"/>
        <v>0.25610231700000002</v>
      </c>
      <c r="DA691" s="346">
        <f t="shared" si="826"/>
        <v>0.14764929600000001</v>
      </c>
      <c r="DB691" s="1479">
        <f t="shared" si="826"/>
        <v>0.101824338</v>
      </c>
      <c r="DC691" s="346">
        <f t="shared" si="826"/>
        <v>0</v>
      </c>
      <c r="DD691" s="346">
        <f t="shared" si="826"/>
        <v>0.52628069209555683</v>
      </c>
      <c r="DE691" s="346">
        <f t="shared" si="826"/>
        <v>1.4211541374234002</v>
      </c>
      <c r="DF691" s="346">
        <f t="shared" si="826"/>
        <v>3.9694588983165602</v>
      </c>
      <c r="DG691" s="346">
        <f t="shared" si="826"/>
        <v>2.2316837800766649</v>
      </c>
      <c r="DH691" s="346">
        <f t="shared" si="826"/>
        <v>1.7731615422472089</v>
      </c>
      <c r="DI691" s="346">
        <f t="shared" si="826"/>
        <v>2.5631760413154012</v>
      </c>
      <c r="DJ691" s="346">
        <f t="shared" si="826"/>
        <v>3.6060941701399969</v>
      </c>
      <c r="DK691" s="346">
        <f t="shared" ref="DK691:EP691" si="827">DK337</f>
        <v>2.4500914800189548</v>
      </c>
      <c r="DL691" s="346">
        <f t="shared" si="827"/>
        <v>5.2752214508147572</v>
      </c>
      <c r="DM691" s="346">
        <f t="shared" si="827"/>
        <v>5.9133992146420242</v>
      </c>
      <c r="DN691" s="348">
        <f t="shared" si="827"/>
        <v>6.9767236084823825</v>
      </c>
      <c r="DO691" s="346">
        <f t="shared" si="827"/>
        <v>0</v>
      </c>
      <c r="DP691" s="346">
        <f t="shared" si="827"/>
        <v>0</v>
      </c>
      <c r="DQ691" s="346">
        <f t="shared" si="827"/>
        <v>0</v>
      </c>
      <c r="DR691" s="346">
        <f t="shared" si="827"/>
        <v>0</v>
      </c>
      <c r="DS691" s="346">
        <f t="shared" si="827"/>
        <v>0</v>
      </c>
      <c r="DT691" s="346">
        <f t="shared" si="827"/>
        <v>0</v>
      </c>
      <c r="DU691" s="346">
        <f t="shared" si="827"/>
        <v>0</v>
      </c>
      <c r="DV691" s="346">
        <f t="shared" si="827"/>
        <v>0</v>
      </c>
      <c r="DW691" s="346">
        <f t="shared" si="827"/>
        <v>0</v>
      </c>
      <c r="DX691" s="346">
        <f t="shared" si="827"/>
        <v>0</v>
      </c>
      <c r="DY691" s="346">
        <f t="shared" si="827"/>
        <v>0</v>
      </c>
      <c r="DZ691" s="348">
        <f t="shared" si="827"/>
        <v>0</v>
      </c>
      <c r="EA691" s="346">
        <f t="shared" si="827"/>
        <v>0</v>
      </c>
      <c r="EB691" s="346">
        <f t="shared" si="827"/>
        <v>0</v>
      </c>
      <c r="EC691" s="346">
        <f t="shared" si="827"/>
        <v>0</v>
      </c>
      <c r="ED691" s="346">
        <f t="shared" si="827"/>
        <v>0</v>
      </c>
      <c r="EE691" s="346">
        <f t="shared" si="827"/>
        <v>0</v>
      </c>
      <c r="EF691" s="346">
        <f t="shared" si="827"/>
        <v>0</v>
      </c>
      <c r="EG691" s="346">
        <f t="shared" si="827"/>
        <v>0</v>
      </c>
      <c r="EH691" s="346">
        <f t="shared" si="827"/>
        <v>0</v>
      </c>
      <c r="EI691" s="346">
        <f t="shared" si="827"/>
        <v>0</v>
      </c>
      <c r="EJ691" s="346">
        <f t="shared" si="827"/>
        <v>0</v>
      </c>
      <c r="EK691" s="346">
        <f t="shared" si="827"/>
        <v>0</v>
      </c>
      <c r="EL691" s="348">
        <f t="shared" si="827"/>
        <v>0</v>
      </c>
      <c r="EM691" s="346">
        <f t="shared" si="827"/>
        <v>0.16733000000000001</v>
      </c>
      <c r="EN691" s="346">
        <f t="shared" si="827"/>
        <v>0.20956</v>
      </c>
      <c r="EO691" s="346">
        <f t="shared" si="827"/>
        <v>0.22767999999999999</v>
      </c>
      <c r="EP691" s="346">
        <f t="shared" si="827"/>
        <v>0.20363000000000001</v>
      </c>
      <c r="EQ691" s="346">
        <f t="shared" ref="EQ691:FP691" si="828">EQ337</f>
        <v>0.19276499999999999</v>
      </c>
      <c r="ER691" s="346">
        <f t="shared" si="828"/>
        <v>0.16231000000000001</v>
      </c>
      <c r="ES691" s="346">
        <f t="shared" si="828"/>
        <v>0.224825</v>
      </c>
      <c r="ET691" s="346">
        <f t="shared" si="828"/>
        <v>0.23022000000000001</v>
      </c>
      <c r="EU691" s="346">
        <f t="shared" si="828"/>
        <v>0.213585</v>
      </c>
      <c r="EV691" s="346">
        <f t="shared" si="828"/>
        <v>0.22311</v>
      </c>
      <c r="EW691" s="346">
        <f t="shared" si="828"/>
        <v>0.19520000000000001</v>
      </c>
      <c r="EX691" s="348">
        <f t="shared" si="828"/>
        <v>0.21268000000000001</v>
      </c>
      <c r="EY691" s="346">
        <f t="shared" si="828"/>
        <v>0.26580730899999999</v>
      </c>
      <c r="EZ691" s="346">
        <f t="shared" si="828"/>
        <v>0.26580730899999999</v>
      </c>
      <c r="FA691" s="346">
        <f t="shared" si="828"/>
        <v>0.26580730899999999</v>
      </c>
      <c r="FB691" s="346">
        <f t="shared" si="828"/>
        <v>0</v>
      </c>
      <c r="FC691" s="346">
        <f t="shared" si="828"/>
        <v>0.26580730899999999</v>
      </c>
      <c r="FD691" s="346">
        <f t="shared" si="828"/>
        <v>0.26580730899999999</v>
      </c>
      <c r="FE691" s="346">
        <f t="shared" si="828"/>
        <v>6.2966569921600009</v>
      </c>
      <c r="FF691" s="346">
        <f t="shared" si="828"/>
        <v>0.8198708388766387</v>
      </c>
      <c r="FG691" s="346">
        <f t="shared" si="828"/>
        <v>0.52423914859999998</v>
      </c>
      <c r="FH691" s="346">
        <f t="shared" si="828"/>
        <v>1.5951549143959001</v>
      </c>
      <c r="FI691" s="346">
        <f t="shared" si="828"/>
        <v>1.5951549143959001</v>
      </c>
      <c r="FJ691" s="348">
        <f t="shared" si="828"/>
        <v>1.5951549143959001</v>
      </c>
      <c r="FK691" s="346">
        <f t="shared" si="828"/>
        <v>0.29565045484284408</v>
      </c>
      <c r="FL691" s="346">
        <f t="shared" si="828"/>
        <v>0.23241264445440948</v>
      </c>
      <c r="FM691" s="346">
        <f t="shared" si="828"/>
        <v>0.29068532770274641</v>
      </c>
      <c r="FN691" s="346">
        <f t="shared" si="828"/>
        <v>0</v>
      </c>
      <c r="FO691" s="346">
        <f t="shared" si="828"/>
        <v>2.4628027264377026E-3</v>
      </c>
      <c r="FP691" s="346">
        <f t="shared" si="828"/>
        <v>1.1321930700268231E-2</v>
      </c>
      <c r="FQ691" s="346">
        <f t="shared" si="815"/>
        <v>1.7664231900748419</v>
      </c>
      <c r="FR691" s="346">
        <f t="shared" si="815"/>
        <v>2.2169717771058468</v>
      </c>
      <c r="FS691" s="346">
        <f t="shared" si="815"/>
        <v>1.2826481198193107</v>
      </c>
      <c r="FT691" s="346">
        <f t="shared" si="815"/>
        <v>0.2813007443333333</v>
      </c>
      <c r="FU691" s="346">
        <f t="shared" si="815"/>
        <v>0.2813007443333333</v>
      </c>
      <c r="FV691" s="346">
        <f t="shared" si="815"/>
        <v>0.2813007443333333</v>
      </c>
      <c r="FW691" s="346">
        <v>9.2340063198682126E-2</v>
      </c>
      <c r="FX691" s="346">
        <v>0.11524411630216823</v>
      </c>
      <c r="FY691" s="346">
        <v>0.14171416749914964</v>
      </c>
      <c r="FZ691" s="346">
        <v>0</v>
      </c>
      <c r="GA691" s="346">
        <v>9.6456097691933931E-2</v>
      </c>
      <c r="GB691" s="346">
        <v>0.27037780815886664</v>
      </c>
      <c r="GC691" s="346">
        <v>1.2426386619662857</v>
      </c>
      <c r="GD691" s="346">
        <v>1.5595893771090639</v>
      </c>
      <c r="GE691" s="346">
        <v>3.0518096729246502</v>
      </c>
      <c r="GF691" s="346">
        <v>0.17165030568481376</v>
      </c>
      <c r="GG691" s="346">
        <v>0.17660300052462727</v>
      </c>
      <c r="GH691" s="346">
        <v>0.27698401279400947</v>
      </c>
      <c r="GI691" s="346">
        <f t="shared" ref="GI691:GN691" si="829">GI337</f>
        <v>0</v>
      </c>
      <c r="GJ691" s="346">
        <f t="shared" si="829"/>
        <v>0</v>
      </c>
      <c r="GK691" s="346">
        <f t="shared" si="829"/>
        <v>0</v>
      </c>
      <c r="GL691" s="346">
        <f t="shared" si="829"/>
        <v>0</v>
      </c>
      <c r="GM691" s="346">
        <f t="shared" si="829"/>
        <v>0</v>
      </c>
      <c r="GN691" s="346">
        <f t="shared" si="829"/>
        <v>0</v>
      </c>
      <c r="GO691" s="346">
        <f t="shared" ref="GO691:GU691" si="830">GO337</f>
        <v>0</v>
      </c>
      <c r="GP691" s="346">
        <f t="shared" si="830"/>
        <v>0</v>
      </c>
      <c r="GQ691" s="346">
        <f t="shared" si="830"/>
        <v>0</v>
      </c>
      <c r="GR691" s="346">
        <f t="shared" si="830"/>
        <v>0</v>
      </c>
      <c r="GS691" s="346">
        <f t="shared" si="830"/>
        <v>0</v>
      </c>
      <c r="GT691" s="346">
        <f t="shared" si="830"/>
        <v>0</v>
      </c>
      <c r="GU691" s="346">
        <f t="shared" si="830"/>
        <v>0</v>
      </c>
      <c r="GV691" s="346">
        <f t="shared" ref="GV691:HF691" si="831">GV337</f>
        <v>0</v>
      </c>
      <c r="GW691" s="346">
        <f t="shared" si="831"/>
        <v>0</v>
      </c>
      <c r="GX691" s="346">
        <f t="shared" si="831"/>
        <v>0</v>
      </c>
      <c r="GY691" s="346">
        <f t="shared" si="831"/>
        <v>0</v>
      </c>
      <c r="GZ691" s="346">
        <f t="shared" si="831"/>
        <v>0</v>
      </c>
      <c r="HA691" s="346">
        <f t="shared" si="831"/>
        <v>0</v>
      </c>
      <c r="HB691" s="346">
        <f t="shared" si="831"/>
        <v>0</v>
      </c>
      <c r="HC691" s="346">
        <f t="shared" si="831"/>
        <v>0</v>
      </c>
      <c r="HD691" s="346">
        <f t="shared" si="831"/>
        <v>0</v>
      </c>
      <c r="HE691" s="346">
        <f t="shared" si="831"/>
        <v>0</v>
      </c>
      <c r="HF691" s="346">
        <f t="shared" si="831"/>
        <v>0</v>
      </c>
      <c r="HG691" s="346">
        <f t="shared" ref="HG691:HL691" si="832">HG337</f>
        <v>0</v>
      </c>
      <c r="HH691" s="346">
        <f t="shared" si="832"/>
        <v>0</v>
      </c>
      <c r="HI691" s="346">
        <f t="shared" si="832"/>
        <v>0</v>
      </c>
      <c r="HJ691" s="346">
        <f t="shared" si="832"/>
        <v>0</v>
      </c>
      <c r="HK691" s="346">
        <f t="shared" si="832"/>
        <v>0</v>
      </c>
      <c r="HL691" s="346">
        <f t="shared" si="832"/>
        <v>0</v>
      </c>
      <c r="HM691" s="346"/>
      <c r="HN691" s="349"/>
      <c r="HO691" s="1439" t="s">
        <v>515</v>
      </c>
      <c r="HP691" s="307">
        <f>SUM(CE691:CJ691)</f>
        <v>0</v>
      </c>
      <c r="HQ691" s="302">
        <f>SUM(CK691:CP691)</f>
        <v>0</v>
      </c>
      <c r="HR691" s="346">
        <f t="shared" si="698"/>
        <v>0</v>
      </c>
      <c r="HS691" s="302">
        <f>SUM(CQ691:CV691)</f>
        <v>0.24218305000000001</v>
      </c>
      <c r="HT691" s="302">
        <f>SUM(CW691:DB691)</f>
        <v>4.3027110899999998</v>
      </c>
      <c r="HU691" s="346">
        <f t="shared" si="678"/>
        <v>4.5448941400000002</v>
      </c>
      <c r="HV691" s="307">
        <f>SUM(DC691:DH691)</f>
        <v>9.9217390501593918</v>
      </c>
      <c r="HW691" s="302">
        <f>SUM(DI691:DN691)</f>
        <v>26.784705965413515</v>
      </c>
      <c r="HX691" s="346">
        <f t="shared" si="679"/>
        <v>36.706445015572911</v>
      </c>
      <c r="HY691" s="350">
        <f>SUM(DO691:DT691)</f>
        <v>0</v>
      </c>
      <c r="HZ691" s="302">
        <f>SUM(DU691:DZ691)</f>
        <v>0</v>
      </c>
      <c r="IA691" s="346">
        <f t="shared" si="680"/>
        <v>0</v>
      </c>
      <c r="IB691" s="302">
        <f>SUM(EA691:EF691)</f>
        <v>0</v>
      </c>
      <c r="IC691" s="302">
        <f>SUM(EG691:EL691)</f>
        <v>0</v>
      </c>
      <c r="ID691" s="346">
        <f t="shared" si="681"/>
        <v>0</v>
      </c>
      <c r="IE691" s="350">
        <f>SUM(EM691:ER691)</f>
        <v>1.1632750000000001</v>
      </c>
      <c r="IF691" s="350">
        <f>SUM(ES691:EX691)</f>
        <v>1.29962</v>
      </c>
      <c r="IG691" s="346">
        <f t="shared" si="682"/>
        <v>2.4628950000000001</v>
      </c>
      <c r="IH691" s="350">
        <f>SUM(EY691:FD691)</f>
        <v>1.3290365449999999</v>
      </c>
      <c r="II691" s="350">
        <f>SUM(FE691:FJ691)</f>
        <v>12.42623172282434</v>
      </c>
      <c r="IJ691" s="346">
        <f t="shared" si="683"/>
        <v>13.75526826782434</v>
      </c>
      <c r="IK691" s="350">
        <f t="shared" si="759"/>
        <v>0.832533160426706</v>
      </c>
      <c r="IL691" s="350">
        <f t="shared" si="664"/>
        <v>6.1099453200000005</v>
      </c>
      <c r="IM691" s="346">
        <f t="shared" si="684"/>
        <v>6.9424784804267068</v>
      </c>
      <c r="IN691" s="350">
        <f t="shared" si="665"/>
        <v>0.71613225285080051</v>
      </c>
      <c r="IO691" s="350">
        <f t="shared" si="666"/>
        <v>6.4792750310034508</v>
      </c>
      <c r="IP691" s="346">
        <f t="shared" si="685"/>
        <v>7.1954072838542515</v>
      </c>
      <c r="IQ691" s="350">
        <f t="shared" si="667"/>
        <v>0</v>
      </c>
      <c r="IR691" s="350">
        <f t="shared" si="668"/>
        <v>0</v>
      </c>
      <c r="IS691" s="346">
        <f t="shared" si="686"/>
        <v>0</v>
      </c>
      <c r="IT691" s="350">
        <f t="shared" si="699"/>
        <v>0</v>
      </c>
      <c r="IU691" s="350">
        <f t="shared" si="707"/>
        <v>0</v>
      </c>
      <c r="IV691" s="346">
        <f t="shared" si="687"/>
        <v>0</v>
      </c>
      <c r="IW691" s="350">
        <f t="shared" si="700"/>
        <v>0</v>
      </c>
      <c r="IX691" s="350">
        <f t="shared" si="688"/>
        <v>0</v>
      </c>
      <c r="IY691" s="346">
        <f>FISC!AJ1013</f>
        <v>0</v>
      </c>
      <c r="IZ691" s="350">
        <f t="shared" si="708"/>
        <v>0</v>
      </c>
      <c r="JA691" s="302">
        <f t="shared" si="689"/>
        <v>0</v>
      </c>
      <c r="JB691" s="346">
        <f>FISC!AK1013</f>
        <v>0</v>
      </c>
      <c r="JC691" s="350">
        <f t="shared" si="709"/>
        <v>0</v>
      </c>
      <c r="JD691" s="302">
        <f t="shared" si="690"/>
        <v>0</v>
      </c>
      <c r="JE691" s="346">
        <f>FISC!AL1013</f>
        <v>0</v>
      </c>
      <c r="JF691" s="350">
        <f t="shared" si="710"/>
        <v>0</v>
      </c>
      <c r="JG691" s="302">
        <f t="shared" si="691"/>
        <v>0</v>
      </c>
      <c r="JH691" s="346">
        <f>FISC!AM1013</f>
        <v>0</v>
      </c>
      <c r="JI691" s="350">
        <f t="shared" si="711"/>
        <v>0</v>
      </c>
      <c r="JJ691" s="302">
        <f t="shared" si="701"/>
        <v>0</v>
      </c>
      <c r="JK691" s="346">
        <f>FISC!AN1013</f>
        <v>0</v>
      </c>
      <c r="JL691" s="350">
        <f t="shared" si="712"/>
        <v>0</v>
      </c>
      <c r="JM691" s="302">
        <f t="shared" si="692"/>
        <v>0</v>
      </c>
      <c r="JN691" s="346">
        <f>FISC!AO1013</f>
        <v>0</v>
      </c>
      <c r="KI691" s="349"/>
      <c r="KJ691" s="350"/>
    </row>
    <row r="692" spans="1:296" hidden="1" outlineLevel="1">
      <c r="A692" s="302"/>
      <c r="D692" s="1439" t="s">
        <v>516</v>
      </c>
      <c r="E692" s="346"/>
      <c r="F692" s="346"/>
      <c r="G692" s="346"/>
      <c r="H692" s="346"/>
      <c r="I692" s="346"/>
      <c r="J692" s="346"/>
      <c r="K692" s="346"/>
      <c r="L692" s="346"/>
      <c r="M692" s="346"/>
      <c r="N692" s="346"/>
      <c r="O692" s="346"/>
      <c r="P692" s="346"/>
      <c r="Q692" s="346"/>
      <c r="R692" s="346"/>
      <c r="S692" s="346"/>
      <c r="T692" s="346"/>
      <c r="U692" s="346"/>
      <c r="V692" s="346"/>
      <c r="W692" s="346"/>
      <c r="X692" s="346"/>
      <c r="Y692" s="346"/>
      <c r="Z692" s="346"/>
      <c r="AA692" s="346"/>
      <c r="AB692" s="346"/>
      <c r="AC692" s="346"/>
      <c r="AD692" s="346"/>
      <c r="AE692" s="346"/>
      <c r="AF692" s="346"/>
      <c r="AG692" s="346"/>
      <c r="AH692" s="346"/>
      <c r="AI692" s="346"/>
      <c r="AJ692" s="346"/>
      <c r="AK692" s="346"/>
      <c r="AL692" s="346"/>
      <c r="AM692" s="346"/>
      <c r="AN692" s="346"/>
      <c r="AO692" s="346"/>
      <c r="AP692" s="346"/>
      <c r="AQ692" s="346"/>
      <c r="AR692" s="346"/>
      <c r="AS692" s="346"/>
      <c r="AT692" s="346"/>
      <c r="AU692" s="346"/>
      <c r="AV692" s="346"/>
      <c r="AW692" s="346"/>
      <c r="AX692" s="346"/>
      <c r="AY692" s="346"/>
      <c r="AZ692" s="346"/>
      <c r="BA692" s="346"/>
      <c r="BB692" s="346"/>
      <c r="BC692" s="346"/>
      <c r="BD692" s="346"/>
      <c r="BE692" s="346"/>
      <c r="BF692" s="346"/>
      <c r="BG692" s="346"/>
      <c r="BH692" s="346"/>
      <c r="BI692" s="346"/>
      <c r="BJ692" s="346"/>
      <c r="BK692" s="346"/>
      <c r="BL692" s="346"/>
      <c r="BM692" s="346"/>
      <c r="BN692" s="346"/>
      <c r="BO692" s="346"/>
      <c r="BP692" s="346"/>
      <c r="BQ692" s="346"/>
      <c r="BR692" s="346"/>
      <c r="BS692" s="346"/>
      <c r="BT692" s="346"/>
      <c r="BU692" s="346"/>
      <c r="BV692" s="346"/>
      <c r="BW692" s="346"/>
      <c r="BX692" s="346"/>
      <c r="BY692" s="346"/>
      <c r="BZ692" s="346"/>
      <c r="CA692" s="346"/>
      <c r="CB692" s="346"/>
      <c r="CC692" s="346"/>
      <c r="CD692" s="352"/>
      <c r="CE692" s="346">
        <f t="shared" ref="CE692:DJ692" si="833">CE338</f>
        <v>0</v>
      </c>
      <c r="CF692" s="346">
        <f t="shared" si="833"/>
        <v>0</v>
      </c>
      <c r="CG692" s="346">
        <f t="shared" si="833"/>
        <v>0</v>
      </c>
      <c r="CH692" s="346">
        <f t="shared" si="833"/>
        <v>0</v>
      </c>
      <c r="CI692" s="346">
        <f t="shared" si="833"/>
        <v>0</v>
      </c>
      <c r="CJ692" s="346">
        <f t="shared" si="833"/>
        <v>0</v>
      </c>
      <c r="CK692" s="346">
        <f t="shared" si="833"/>
        <v>0</v>
      </c>
      <c r="CL692" s="346">
        <f t="shared" si="833"/>
        <v>0</v>
      </c>
      <c r="CM692" s="346">
        <f t="shared" si="833"/>
        <v>0</v>
      </c>
      <c r="CN692" s="346">
        <f t="shared" si="833"/>
        <v>0</v>
      </c>
      <c r="CO692" s="346">
        <f t="shared" si="833"/>
        <v>0</v>
      </c>
      <c r="CP692" s="348">
        <f t="shared" si="833"/>
        <v>0</v>
      </c>
      <c r="CQ692" s="346">
        <f t="shared" si="833"/>
        <v>0</v>
      </c>
      <c r="CR692" s="346">
        <f t="shared" si="833"/>
        <v>3.0000000000000001E-6</v>
      </c>
      <c r="CS692" s="346">
        <f t="shared" si="833"/>
        <v>0</v>
      </c>
      <c r="CT692" s="346">
        <f t="shared" si="833"/>
        <v>0</v>
      </c>
      <c r="CU692" s="346">
        <f t="shared" si="833"/>
        <v>0</v>
      </c>
      <c r="CV692" s="346">
        <f t="shared" si="833"/>
        <v>0</v>
      </c>
      <c r="CW692" s="346">
        <f t="shared" si="833"/>
        <v>0</v>
      </c>
      <c r="CX692" s="346">
        <f t="shared" si="833"/>
        <v>0</v>
      </c>
      <c r="CY692" s="346">
        <f t="shared" si="833"/>
        <v>0</v>
      </c>
      <c r="CZ692" s="346">
        <f t="shared" si="833"/>
        <v>0</v>
      </c>
      <c r="DA692" s="346">
        <f t="shared" si="833"/>
        <v>0</v>
      </c>
      <c r="DB692" s="1479">
        <f t="shared" si="833"/>
        <v>5.3999999999999998E-5</v>
      </c>
      <c r="DC692" s="346">
        <f t="shared" si="833"/>
        <v>0</v>
      </c>
      <c r="DD692" s="346">
        <f t="shared" si="833"/>
        <v>2.9638320199400635E-6</v>
      </c>
      <c r="DE692" s="346">
        <f t="shared" si="833"/>
        <v>0</v>
      </c>
      <c r="DF692" s="346">
        <f t="shared" si="833"/>
        <v>0</v>
      </c>
      <c r="DG692" s="346">
        <f t="shared" si="833"/>
        <v>0</v>
      </c>
      <c r="DH692" s="346">
        <f t="shared" si="833"/>
        <v>0</v>
      </c>
      <c r="DI692" s="346">
        <f t="shared" si="833"/>
        <v>0</v>
      </c>
      <c r="DJ692" s="346">
        <f t="shared" si="833"/>
        <v>0</v>
      </c>
      <c r="DK692" s="346">
        <f t="shared" ref="DK692:EP692" si="834">DK338</f>
        <v>0</v>
      </c>
      <c r="DL692" s="346">
        <f t="shared" si="834"/>
        <v>0</v>
      </c>
      <c r="DM692" s="346">
        <f t="shared" si="834"/>
        <v>0</v>
      </c>
      <c r="DN692" s="348">
        <f t="shared" si="834"/>
        <v>6.063652399355246E-5</v>
      </c>
      <c r="DO692" s="346">
        <f t="shared" si="834"/>
        <v>0</v>
      </c>
      <c r="DP692" s="346">
        <f t="shared" si="834"/>
        <v>0</v>
      </c>
      <c r="DQ692" s="346">
        <f t="shared" si="834"/>
        <v>0</v>
      </c>
      <c r="DR692" s="346">
        <f t="shared" si="834"/>
        <v>0</v>
      </c>
      <c r="DS692" s="346">
        <f t="shared" si="834"/>
        <v>0</v>
      </c>
      <c r="DT692" s="346">
        <f t="shared" si="834"/>
        <v>0</v>
      </c>
      <c r="DU692" s="346">
        <f t="shared" si="834"/>
        <v>0</v>
      </c>
      <c r="DV692" s="346">
        <f t="shared" si="834"/>
        <v>0</v>
      </c>
      <c r="DW692" s="346">
        <f t="shared" si="834"/>
        <v>0</v>
      </c>
      <c r="DX692" s="346">
        <f t="shared" si="834"/>
        <v>0</v>
      </c>
      <c r="DY692" s="346">
        <f t="shared" si="834"/>
        <v>0</v>
      </c>
      <c r="DZ692" s="348">
        <f t="shared" si="834"/>
        <v>0</v>
      </c>
      <c r="EA692" s="346">
        <f t="shared" si="834"/>
        <v>0</v>
      </c>
      <c r="EB692" s="346">
        <f t="shared" si="834"/>
        <v>0</v>
      </c>
      <c r="EC692" s="346">
        <f t="shared" si="834"/>
        <v>0</v>
      </c>
      <c r="ED692" s="346">
        <f t="shared" si="834"/>
        <v>0</v>
      </c>
      <c r="EE692" s="346">
        <f t="shared" si="834"/>
        <v>0</v>
      </c>
      <c r="EF692" s="346">
        <f t="shared" si="834"/>
        <v>0</v>
      </c>
      <c r="EG692" s="346">
        <f t="shared" si="834"/>
        <v>0</v>
      </c>
      <c r="EH692" s="346">
        <f t="shared" si="834"/>
        <v>0</v>
      </c>
      <c r="EI692" s="346">
        <f t="shared" si="834"/>
        <v>0</v>
      </c>
      <c r="EJ692" s="346">
        <f t="shared" si="834"/>
        <v>0</v>
      </c>
      <c r="EK692" s="346">
        <f t="shared" si="834"/>
        <v>0</v>
      </c>
      <c r="EL692" s="348">
        <f t="shared" si="834"/>
        <v>0</v>
      </c>
      <c r="EM692" s="346">
        <f t="shared" si="834"/>
        <v>0.16733000000000001</v>
      </c>
      <c r="EN692" s="346">
        <f t="shared" si="834"/>
        <v>0.20956</v>
      </c>
      <c r="EO692" s="346">
        <f t="shared" si="834"/>
        <v>0.22767999999999999</v>
      </c>
      <c r="EP692" s="346">
        <f t="shared" si="834"/>
        <v>0.20363000000000001</v>
      </c>
      <c r="EQ692" s="346">
        <f t="shared" ref="EQ692:FP692" si="835">EQ338</f>
        <v>0.19276499999999999</v>
      </c>
      <c r="ER692" s="346">
        <f t="shared" si="835"/>
        <v>0.16231000000000001</v>
      </c>
      <c r="ES692" s="346">
        <f t="shared" si="835"/>
        <v>0.224825</v>
      </c>
      <c r="ET692" s="346">
        <f t="shared" si="835"/>
        <v>0.23022000000000001</v>
      </c>
      <c r="EU692" s="346">
        <f t="shared" si="835"/>
        <v>0.213585</v>
      </c>
      <c r="EV692" s="346">
        <f t="shared" si="835"/>
        <v>0.22311</v>
      </c>
      <c r="EW692" s="346">
        <f t="shared" si="835"/>
        <v>0.19520000000000001</v>
      </c>
      <c r="EX692" s="348">
        <f t="shared" si="835"/>
        <v>0.21268000000000001</v>
      </c>
      <c r="EY692" s="346">
        <f t="shared" si="835"/>
        <v>0</v>
      </c>
      <c r="EZ692" s="346">
        <f t="shared" si="835"/>
        <v>0</v>
      </c>
      <c r="FA692" s="346">
        <f t="shared" si="835"/>
        <v>0</v>
      </c>
      <c r="FB692" s="346">
        <f t="shared" si="835"/>
        <v>0</v>
      </c>
      <c r="FC692" s="346">
        <f t="shared" si="835"/>
        <v>0</v>
      </c>
      <c r="FD692" s="346">
        <f t="shared" si="835"/>
        <v>0</v>
      </c>
      <c r="FE692" s="346">
        <f t="shared" si="835"/>
        <v>0</v>
      </c>
      <c r="FF692" s="346">
        <f t="shared" si="835"/>
        <v>0</v>
      </c>
      <c r="FG692" s="346">
        <f t="shared" si="835"/>
        <v>0</v>
      </c>
      <c r="FH692" s="346">
        <f t="shared" si="835"/>
        <v>0</v>
      </c>
      <c r="FI692" s="346">
        <f t="shared" si="835"/>
        <v>0</v>
      </c>
      <c r="FJ692" s="348">
        <f t="shared" si="835"/>
        <v>0</v>
      </c>
      <c r="FK692" s="346">
        <f t="shared" si="835"/>
        <v>0</v>
      </c>
      <c r="FL692" s="346">
        <f t="shared" si="835"/>
        <v>0</v>
      </c>
      <c r="FM692" s="346">
        <f t="shared" si="835"/>
        <v>0</v>
      </c>
      <c r="FN692" s="346">
        <f t="shared" si="835"/>
        <v>0</v>
      </c>
      <c r="FO692" s="346">
        <f t="shared" si="835"/>
        <v>0</v>
      </c>
      <c r="FP692" s="346">
        <f t="shared" si="835"/>
        <v>0</v>
      </c>
      <c r="FQ692" s="346">
        <f t="shared" si="815"/>
        <v>0</v>
      </c>
      <c r="FR692" s="346">
        <f t="shared" si="815"/>
        <v>0</v>
      </c>
      <c r="FS692" s="346">
        <f t="shared" si="815"/>
        <v>0</v>
      </c>
      <c r="FT692" s="346">
        <f t="shared" si="815"/>
        <v>0</v>
      </c>
      <c r="FU692" s="346">
        <f t="shared" si="815"/>
        <v>0</v>
      </c>
      <c r="FV692" s="346">
        <f t="shared" si="815"/>
        <v>0</v>
      </c>
      <c r="FW692" s="346">
        <v>0</v>
      </c>
      <c r="FX692" s="346">
        <v>0</v>
      </c>
      <c r="FY692" s="346">
        <v>0</v>
      </c>
      <c r="FZ692" s="346">
        <v>0</v>
      </c>
      <c r="GA692" s="346">
        <v>0</v>
      </c>
      <c r="GB692" s="346">
        <v>0</v>
      </c>
      <c r="GC692" s="346">
        <v>0</v>
      </c>
      <c r="GD692" s="346">
        <v>0</v>
      </c>
      <c r="GE692" s="346">
        <v>0</v>
      </c>
      <c r="GF692" s="346">
        <v>0</v>
      </c>
      <c r="GG692" s="346">
        <v>0</v>
      </c>
      <c r="GH692" s="346">
        <v>0</v>
      </c>
      <c r="GI692" s="346">
        <f t="shared" ref="GI692:GN692" si="836">GI338</f>
        <v>0</v>
      </c>
      <c r="GJ692" s="346">
        <f t="shared" si="836"/>
        <v>0</v>
      </c>
      <c r="GK692" s="346">
        <f t="shared" si="836"/>
        <v>0</v>
      </c>
      <c r="GL692" s="346">
        <f t="shared" si="836"/>
        <v>0</v>
      </c>
      <c r="GM692" s="346">
        <f t="shared" si="836"/>
        <v>0</v>
      </c>
      <c r="GN692" s="346">
        <f t="shared" si="836"/>
        <v>0</v>
      </c>
      <c r="GO692" s="346">
        <f t="shared" ref="GO692:GU692" si="837">GO338</f>
        <v>0</v>
      </c>
      <c r="GP692" s="346">
        <f t="shared" si="837"/>
        <v>0</v>
      </c>
      <c r="GQ692" s="346">
        <f t="shared" si="837"/>
        <v>0</v>
      </c>
      <c r="GR692" s="346">
        <f t="shared" si="837"/>
        <v>0</v>
      </c>
      <c r="GS692" s="346">
        <f t="shared" si="837"/>
        <v>0</v>
      </c>
      <c r="GT692" s="346">
        <f t="shared" si="837"/>
        <v>0</v>
      </c>
      <c r="GU692" s="346">
        <f t="shared" si="837"/>
        <v>0</v>
      </c>
      <c r="GV692" s="346">
        <f t="shared" ref="GV692:HL692" si="838">GV338</f>
        <v>0</v>
      </c>
      <c r="GW692" s="346">
        <f t="shared" si="838"/>
        <v>0</v>
      </c>
      <c r="GX692" s="346">
        <f t="shared" si="838"/>
        <v>0</v>
      </c>
      <c r="GY692" s="346">
        <f t="shared" si="838"/>
        <v>0</v>
      </c>
      <c r="GZ692" s="346">
        <f t="shared" si="838"/>
        <v>0</v>
      </c>
      <c r="HA692" s="346">
        <f t="shared" si="838"/>
        <v>0</v>
      </c>
      <c r="HB692" s="346">
        <f t="shared" si="838"/>
        <v>0</v>
      </c>
      <c r="HC692" s="346">
        <f t="shared" si="838"/>
        <v>0</v>
      </c>
      <c r="HD692" s="346">
        <f t="shared" si="838"/>
        <v>0</v>
      </c>
      <c r="HE692" s="346">
        <f t="shared" si="838"/>
        <v>0</v>
      </c>
      <c r="HF692" s="346">
        <f t="shared" si="838"/>
        <v>0</v>
      </c>
      <c r="HG692" s="346">
        <f t="shared" si="838"/>
        <v>0</v>
      </c>
      <c r="HH692" s="346">
        <f t="shared" si="838"/>
        <v>0</v>
      </c>
      <c r="HI692" s="346">
        <f t="shared" si="838"/>
        <v>0</v>
      </c>
      <c r="HJ692" s="346">
        <f t="shared" si="838"/>
        <v>0</v>
      </c>
      <c r="HK692" s="346">
        <f t="shared" si="838"/>
        <v>0</v>
      </c>
      <c r="HL692" s="346">
        <f t="shared" si="838"/>
        <v>0</v>
      </c>
      <c r="HM692" s="346"/>
      <c r="HN692" s="349"/>
      <c r="HO692" s="1439" t="s">
        <v>516</v>
      </c>
      <c r="HP692" s="307">
        <f>SUM(CE692:CJ692)</f>
        <v>0</v>
      </c>
      <c r="HQ692" s="302">
        <f>SUM(CK692:CP692)</f>
        <v>0</v>
      </c>
      <c r="HR692" s="346">
        <f t="shared" si="698"/>
        <v>0</v>
      </c>
      <c r="HS692" s="302">
        <f>SUM(CQ692:CV692)</f>
        <v>3.0000000000000001E-6</v>
      </c>
      <c r="HT692" s="302">
        <f>SUM(CW692:DB692)</f>
        <v>5.3999999999999998E-5</v>
      </c>
      <c r="HU692" s="346">
        <f t="shared" si="678"/>
        <v>5.6999999999999996E-5</v>
      </c>
      <c r="HV692" s="307">
        <f>SUM(DC692:DH692)</f>
        <v>2.9638320199400635E-6</v>
      </c>
      <c r="HW692" s="302">
        <f>SUM(DI692:DN692)</f>
        <v>6.063652399355246E-5</v>
      </c>
      <c r="HX692" s="346">
        <f t="shared" si="679"/>
        <v>6.3600356013492518E-5</v>
      </c>
      <c r="HY692" s="350">
        <f>SUM(DO692:DT692)</f>
        <v>0</v>
      </c>
      <c r="HZ692" s="302">
        <f>SUM(DU692:DZ692)</f>
        <v>0</v>
      </c>
      <c r="IA692" s="346">
        <f t="shared" si="680"/>
        <v>0</v>
      </c>
      <c r="IB692" s="302">
        <f>SUM(EA692:EF692)</f>
        <v>0</v>
      </c>
      <c r="IC692" s="302">
        <f>SUM(EG692:EL692)</f>
        <v>0</v>
      </c>
      <c r="ID692" s="346">
        <f t="shared" si="681"/>
        <v>0</v>
      </c>
      <c r="IE692" s="350">
        <f>SUM(EM692:ER692)</f>
        <v>1.1632750000000001</v>
      </c>
      <c r="IF692" s="350">
        <f>SUM(ES692:EX692)</f>
        <v>1.29962</v>
      </c>
      <c r="IG692" s="346">
        <f t="shared" si="682"/>
        <v>2.4628950000000001</v>
      </c>
      <c r="IH692" s="350">
        <f>SUM(EY692:FD692)</f>
        <v>0</v>
      </c>
      <c r="II692" s="350">
        <f>SUM(FE692:FJ692)</f>
        <v>0</v>
      </c>
      <c r="IJ692" s="346">
        <f t="shared" si="683"/>
        <v>0</v>
      </c>
      <c r="IK692" s="350">
        <f t="shared" si="759"/>
        <v>0</v>
      </c>
      <c r="IL692" s="350">
        <f t="shared" si="664"/>
        <v>0</v>
      </c>
      <c r="IM692" s="346">
        <f>IK692+IL692</f>
        <v>0</v>
      </c>
      <c r="IN692" s="350">
        <f t="shared" si="665"/>
        <v>0</v>
      </c>
      <c r="IO692" s="350">
        <f t="shared" si="666"/>
        <v>0</v>
      </c>
      <c r="IP692" s="346">
        <f t="shared" si="685"/>
        <v>0</v>
      </c>
      <c r="IQ692" s="350">
        <f t="shared" si="667"/>
        <v>0</v>
      </c>
      <c r="IR692" s="350">
        <f t="shared" si="668"/>
        <v>0</v>
      </c>
      <c r="IS692" s="346">
        <f t="shared" si="686"/>
        <v>0</v>
      </c>
      <c r="IT692" s="350">
        <f t="shared" si="699"/>
        <v>0</v>
      </c>
      <c r="IU692" s="350">
        <f t="shared" si="707"/>
        <v>0</v>
      </c>
      <c r="IV692" s="346">
        <f t="shared" si="687"/>
        <v>0</v>
      </c>
      <c r="IW692" s="350">
        <f t="shared" si="700"/>
        <v>0</v>
      </c>
      <c r="IX692" s="350">
        <f t="shared" si="688"/>
        <v>0</v>
      </c>
      <c r="IY692" s="346">
        <f>FISC!AJ1014</f>
        <v>0</v>
      </c>
      <c r="IZ692" s="350">
        <f t="shared" si="708"/>
        <v>0</v>
      </c>
      <c r="JA692" s="302">
        <f t="shared" si="689"/>
        <v>0</v>
      </c>
      <c r="JB692" s="346">
        <f>FISC!AK1014</f>
        <v>0</v>
      </c>
      <c r="JC692" s="350">
        <f t="shared" si="709"/>
        <v>0</v>
      </c>
      <c r="JD692" s="302">
        <f t="shared" si="690"/>
        <v>0</v>
      </c>
      <c r="JE692" s="346">
        <f>FISC!AL1014</f>
        <v>0</v>
      </c>
      <c r="JF692" s="350">
        <f t="shared" si="710"/>
        <v>0</v>
      </c>
      <c r="JG692" s="302">
        <f t="shared" si="691"/>
        <v>0</v>
      </c>
      <c r="JH692" s="346">
        <f>FISC!AM1014</f>
        <v>0</v>
      </c>
      <c r="JI692" s="350">
        <f t="shared" si="711"/>
        <v>0</v>
      </c>
      <c r="JJ692" s="302">
        <f t="shared" si="701"/>
        <v>0</v>
      </c>
      <c r="JK692" s="346">
        <f>FISC!AN1014</f>
        <v>0</v>
      </c>
      <c r="JL692" s="350">
        <f t="shared" si="712"/>
        <v>0</v>
      </c>
      <c r="JM692" s="302">
        <f t="shared" si="692"/>
        <v>0</v>
      </c>
      <c r="JN692" s="346">
        <f>FISC!AO1014</f>
        <v>0</v>
      </c>
      <c r="KI692" s="349"/>
      <c r="KJ692" s="350"/>
    </row>
    <row r="693" spans="1:296" hidden="1" outlineLevel="1">
      <c r="A693" s="302"/>
      <c r="D693" s="1439" t="s">
        <v>517</v>
      </c>
      <c r="E693" s="346"/>
      <c r="F693" s="346"/>
      <c r="G693" s="346"/>
      <c r="H693" s="346"/>
      <c r="I693" s="346"/>
      <c r="J693" s="346"/>
      <c r="K693" s="346"/>
      <c r="L693" s="346"/>
      <c r="M693" s="346"/>
      <c r="N693" s="346"/>
      <c r="O693" s="346"/>
      <c r="P693" s="346"/>
      <c r="Q693" s="346"/>
      <c r="R693" s="346"/>
      <c r="S693" s="346"/>
      <c r="T693" s="346"/>
      <c r="U693" s="346"/>
      <c r="V693" s="346"/>
      <c r="W693" s="346"/>
      <c r="X693" s="346"/>
      <c r="Y693" s="346"/>
      <c r="Z693" s="346"/>
      <c r="AA693" s="346"/>
      <c r="AB693" s="346"/>
      <c r="AC693" s="346"/>
      <c r="AD693" s="346"/>
      <c r="AE693" s="346"/>
      <c r="AF693" s="346"/>
      <c r="AG693" s="346"/>
      <c r="AH693" s="346"/>
      <c r="AI693" s="346"/>
      <c r="AJ693" s="346"/>
      <c r="AK693" s="346"/>
      <c r="AL693" s="346"/>
      <c r="AM693" s="346"/>
      <c r="AN693" s="346"/>
      <c r="AO693" s="346"/>
      <c r="AP693" s="346"/>
      <c r="AQ693" s="346"/>
      <c r="AR693" s="346"/>
      <c r="AS693" s="346"/>
      <c r="AT693" s="346"/>
      <c r="AU693" s="346"/>
      <c r="AV693" s="346"/>
      <c r="AW693" s="346"/>
      <c r="AX693" s="346"/>
      <c r="AY693" s="346"/>
      <c r="AZ693" s="346"/>
      <c r="BA693" s="346"/>
      <c r="BB693" s="346"/>
      <c r="BC693" s="346"/>
      <c r="BD693" s="346"/>
      <c r="BE693" s="346"/>
      <c r="BF693" s="346"/>
      <c r="BG693" s="346"/>
      <c r="BH693" s="346"/>
      <c r="BI693" s="346"/>
      <c r="BJ693" s="346"/>
      <c r="BK693" s="346"/>
      <c r="BL693" s="346"/>
      <c r="BM693" s="346"/>
      <c r="BN693" s="346"/>
      <c r="BO693" s="346"/>
      <c r="BP693" s="346"/>
      <c r="BQ693" s="346"/>
      <c r="BR693" s="346"/>
      <c r="BS693" s="346"/>
      <c r="BT693" s="346"/>
      <c r="BU693" s="346"/>
      <c r="BV693" s="346"/>
      <c r="BW693" s="346"/>
      <c r="BX693" s="346"/>
      <c r="BY693" s="346"/>
      <c r="BZ693" s="346"/>
      <c r="CA693" s="346"/>
      <c r="CB693" s="346"/>
      <c r="CC693" s="346"/>
      <c r="CD693" s="352"/>
      <c r="CE693" s="346">
        <f t="shared" ref="CE693:DJ693" si="839">CE339</f>
        <v>0</v>
      </c>
      <c r="CF693" s="346">
        <f t="shared" si="839"/>
        <v>0</v>
      </c>
      <c r="CG693" s="346">
        <f t="shared" si="839"/>
        <v>0</v>
      </c>
      <c r="CH693" s="346">
        <f t="shared" si="839"/>
        <v>0</v>
      </c>
      <c r="CI693" s="346">
        <f t="shared" si="839"/>
        <v>0</v>
      </c>
      <c r="CJ693" s="346">
        <f t="shared" si="839"/>
        <v>0</v>
      </c>
      <c r="CK693" s="346">
        <f t="shared" si="839"/>
        <v>0</v>
      </c>
      <c r="CL693" s="346">
        <f t="shared" si="839"/>
        <v>0</v>
      </c>
      <c r="CM693" s="346">
        <f t="shared" si="839"/>
        <v>0</v>
      </c>
      <c r="CN693" s="346">
        <f t="shared" si="839"/>
        <v>0</v>
      </c>
      <c r="CO693" s="346">
        <f t="shared" si="839"/>
        <v>0</v>
      </c>
      <c r="CP693" s="348">
        <f t="shared" si="839"/>
        <v>0</v>
      </c>
      <c r="CQ693" s="346">
        <f t="shared" si="839"/>
        <v>6.4068461000000007E-2</v>
      </c>
      <c r="CR693" s="346">
        <f t="shared" si="839"/>
        <v>4.8630384999999998E-2</v>
      </c>
      <c r="CS693" s="346">
        <f t="shared" si="839"/>
        <v>4.5853443000000001E-2</v>
      </c>
      <c r="CT693" s="346">
        <f t="shared" si="839"/>
        <v>3.7334525E-2</v>
      </c>
      <c r="CU693" s="346">
        <f t="shared" si="839"/>
        <v>2.5196940000000001E-2</v>
      </c>
      <c r="CV693" s="346">
        <f t="shared" si="839"/>
        <v>2.1096296E-2</v>
      </c>
      <c r="CW693" s="346">
        <f t="shared" si="839"/>
        <v>0.14355452799999999</v>
      </c>
      <c r="CX693" s="346">
        <f t="shared" si="839"/>
        <v>0.18836430800000001</v>
      </c>
      <c r="CY693" s="346">
        <f t="shared" si="839"/>
        <v>3.4652163030000001</v>
      </c>
      <c r="CZ693" s="346">
        <f t="shared" si="839"/>
        <v>0.25610231700000002</v>
      </c>
      <c r="DA693" s="346">
        <f t="shared" si="839"/>
        <v>0.14764929600000001</v>
      </c>
      <c r="DB693" s="1479">
        <f t="shared" si="839"/>
        <v>0.101770338</v>
      </c>
      <c r="DC693" s="346">
        <f t="shared" si="839"/>
        <v>0</v>
      </c>
      <c r="DD693" s="346">
        <f t="shared" si="839"/>
        <v>0.52627772826353691</v>
      </c>
      <c r="DE693" s="346">
        <f t="shared" si="839"/>
        <v>1.4211541374234002</v>
      </c>
      <c r="DF693" s="346">
        <f t="shared" si="839"/>
        <v>3.9694588983165602</v>
      </c>
      <c r="DG693" s="346">
        <f t="shared" si="839"/>
        <v>2.2316837800766649</v>
      </c>
      <c r="DH693" s="346">
        <f t="shared" si="839"/>
        <v>1.7731615422472089</v>
      </c>
      <c r="DI693" s="346">
        <f t="shared" si="839"/>
        <v>2.5631760413154012</v>
      </c>
      <c r="DJ693" s="346">
        <f t="shared" si="839"/>
        <v>3.6060941701399969</v>
      </c>
      <c r="DK693" s="346">
        <f t="shared" ref="DK693:EP693" si="840">DK339</f>
        <v>2.4500914800189548</v>
      </c>
      <c r="DL693" s="346">
        <f t="shared" si="840"/>
        <v>5.2752214508147572</v>
      </c>
      <c r="DM693" s="346">
        <f t="shared" si="840"/>
        <v>5.9133992146420242</v>
      </c>
      <c r="DN693" s="348">
        <f t="shared" si="840"/>
        <v>6.9766629719583886</v>
      </c>
      <c r="DO693" s="346">
        <f t="shared" si="840"/>
        <v>0</v>
      </c>
      <c r="DP693" s="346">
        <f t="shared" si="840"/>
        <v>0</v>
      </c>
      <c r="DQ693" s="346">
        <f t="shared" si="840"/>
        <v>0</v>
      </c>
      <c r="DR693" s="346">
        <f t="shared" si="840"/>
        <v>0</v>
      </c>
      <c r="DS693" s="346">
        <f t="shared" si="840"/>
        <v>0</v>
      </c>
      <c r="DT693" s="346">
        <f t="shared" si="840"/>
        <v>0</v>
      </c>
      <c r="DU693" s="346">
        <f t="shared" si="840"/>
        <v>0</v>
      </c>
      <c r="DV693" s="346">
        <f t="shared" si="840"/>
        <v>0</v>
      </c>
      <c r="DW693" s="346">
        <f t="shared" si="840"/>
        <v>0</v>
      </c>
      <c r="DX693" s="346">
        <f t="shared" si="840"/>
        <v>0</v>
      </c>
      <c r="DY693" s="346">
        <f t="shared" si="840"/>
        <v>0</v>
      </c>
      <c r="DZ693" s="348">
        <f t="shared" si="840"/>
        <v>0</v>
      </c>
      <c r="EA693" s="346">
        <f t="shared" si="840"/>
        <v>0</v>
      </c>
      <c r="EB693" s="346">
        <f t="shared" si="840"/>
        <v>0</v>
      </c>
      <c r="EC693" s="346">
        <f t="shared" si="840"/>
        <v>0</v>
      </c>
      <c r="ED693" s="346">
        <f t="shared" si="840"/>
        <v>0</v>
      </c>
      <c r="EE693" s="346">
        <f t="shared" si="840"/>
        <v>0</v>
      </c>
      <c r="EF693" s="346">
        <f t="shared" si="840"/>
        <v>0</v>
      </c>
      <c r="EG693" s="346">
        <f t="shared" si="840"/>
        <v>0</v>
      </c>
      <c r="EH693" s="346">
        <f t="shared" si="840"/>
        <v>0</v>
      </c>
      <c r="EI693" s="346">
        <f t="shared" si="840"/>
        <v>0</v>
      </c>
      <c r="EJ693" s="346">
        <f t="shared" si="840"/>
        <v>0</v>
      </c>
      <c r="EK693" s="346">
        <f t="shared" si="840"/>
        <v>0</v>
      </c>
      <c r="EL693" s="348">
        <f t="shared" si="840"/>
        <v>0</v>
      </c>
      <c r="EM693" s="346">
        <f t="shared" si="840"/>
        <v>0</v>
      </c>
      <c r="EN693" s="346">
        <f t="shared" si="840"/>
        <v>0</v>
      </c>
      <c r="EO693" s="346">
        <f t="shared" si="840"/>
        <v>0</v>
      </c>
      <c r="EP693" s="346">
        <f t="shared" si="840"/>
        <v>0</v>
      </c>
      <c r="EQ693" s="346">
        <f t="shared" ref="EQ693:FP693" si="841">EQ339</f>
        <v>0</v>
      </c>
      <c r="ER693" s="346">
        <f t="shared" si="841"/>
        <v>0</v>
      </c>
      <c r="ES693" s="346">
        <f t="shared" si="841"/>
        <v>0</v>
      </c>
      <c r="ET693" s="346">
        <f t="shared" si="841"/>
        <v>0</v>
      </c>
      <c r="EU693" s="346">
        <f t="shared" si="841"/>
        <v>0</v>
      </c>
      <c r="EV693" s="346">
        <f t="shared" si="841"/>
        <v>0</v>
      </c>
      <c r="EW693" s="346">
        <f t="shared" si="841"/>
        <v>0</v>
      </c>
      <c r="EX693" s="348">
        <f t="shared" si="841"/>
        <v>0</v>
      </c>
      <c r="EY693" s="346">
        <f t="shared" si="841"/>
        <v>0.26580730899999999</v>
      </c>
      <c r="EZ693" s="346">
        <f t="shared" si="841"/>
        <v>0.26580730899999999</v>
      </c>
      <c r="FA693" s="346">
        <f t="shared" si="841"/>
        <v>0.26580730899999999</v>
      </c>
      <c r="FB693" s="346">
        <f t="shared" si="841"/>
        <v>0.26580730899999999</v>
      </c>
      <c r="FC693" s="346">
        <f t="shared" si="841"/>
        <v>0.26580730899999999</v>
      </c>
      <c r="FD693" s="346">
        <f t="shared" si="841"/>
        <v>0.26580730899999999</v>
      </c>
      <c r="FE693" s="346">
        <f t="shared" si="841"/>
        <v>6.2966569921600009</v>
      </c>
      <c r="FF693" s="346">
        <f t="shared" si="841"/>
        <v>0.8198708388766387</v>
      </c>
      <c r="FG693" s="346">
        <f t="shared" si="841"/>
        <v>0.52423914859999998</v>
      </c>
      <c r="FH693" s="346">
        <f t="shared" si="841"/>
        <v>1.5951549143959001</v>
      </c>
      <c r="FI693" s="346">
        <f t="shared" si="841"/>
        <v>1.5951549143959001</v>
      </c>
      <c r="FJ693" s="348">
        <f t="shared" si="841"/>
        <v>1.5951549143959001</v>
      </c>
      <c r="FK693" s="346">
        <f t="shared" si="841"/>
        <v>0.29565045484284408</v>
      </c>
      <c r="FL693" s="346">
        <f t="shared" si="841"/>
        <v>0.23241264445440948</v>
      </c>
      <c r="FM693" s="346">
        <f t="shared" si="841"/>
        <v>0.29068532770274641</v>
      </c>
      <c r="FN693" s="346">
        <f t="shared" si="841"/>
        <v>1.1939545732940664E-3</v>
      </c>
      <c r="FO693" s="346">
        <f t="shared" si="841"/>
        <v>2.4628027264377026E-3</v>
      </c>
      <c r="FP693" s="346">
        <f t="shared" si="841"/>
        <v>1.1321930700268231E-2</v>
      </c>
      <c r="FQ693" s="346">
        <f t="shared" si="815"/>
        <v>1.7664231900748419</v>
      </c>
      <c r="FR693" s="346">
        <f t="shared" si="815"/>
        <v>2.2169717771058468</v>
      </c>
      <c r="FS693" s="346">
        <f t="shared" si="815"/>
        <v>1.2826481198193107</v>
      </c>
      <c r="FT693" s="346">
        <f t="shared" si="815"/>
        <v>0.2813007443333333</v>
      </c>
      <c r="FU693" s="346">
        <f t="shared" si="815"/>
        <v>0.2813007443333333</v>
      </c>
      <c r="FV693" s="346">
        <f t="shared" si="815"/>
        <v>0.2813007443333333</v>
      </c>
      <c r="FW693" s="346">
        <v>9.2340063198682126E-2</v>
      </c>
      <c r="FX693" s="346">
        <v>0.11524411630216823</v>
      </c>
      <c r="FY693" s="346">
        <v>0.14171416749914964</v>
      </c>
      <c r="FZ693" s="346">
        <v>6.6866140149199421E-2</v>
      </c>
      <c r="GA693" s="346">
        <v>9.6456097691933931E-2</v>
      </c>
      <c r="GB693" s="346">
        <v>0.27037780815886664</v>
      </c>
      <c r="GC693" s="346">
        <v>1.2426386619662857</v>
      </c>
      <c r="GD693" s="346">
        <v>1.5595893771090639</v>
      </c>
      <c r="GE693" s="346">
        <v>3.0518096729246502</v>
      </c>
      <c r="GF693" s="346">
        <v>0.17165030568481376</v>
      </c>
      <c r="GG693" s="346">
        <v>0.17660300052462727</v>
      </c>
      <c r="GH693" s="346">
        <v>0.27698401279400947</v>
      </c>
      <c r="GI693" s="346">
        <f t="shared" ref="GI693:GN693" si="842">GI339</f>
        <v>0</v>
      </c>
      <c r="GJ693" s="346">
        <f t="shared" si="842"/>
        <v>0</v>
      </c>
      <c r="GK693" s="346">
        <f t="shared" si="842"/>
        <v>0</v>
      </c>
      <c r="GL693" s="346">
        <f t="shared" si="842"/>
        <v>0</v>
      </c>
      <c r="GM693" s="346">
        <f t="shared" si="842"/>
        <v>0</v>
      </c>
      <c r="GN693" s="346">
        <f t="shared" si="842"/>
        <v>0</v>
      </c>
      <c r="GO693" s="346">
        <f t="shared" ref="GO693:GU693" si="843">GO339</f>
        <v>0</v>
      </c>
      <c r="GP693" s="346">
        <f t="shared" si="843"/>
        <v>0</v>
      </c>
      <c r="GQ693" s="346">
        <f t="shared" si="843"/>
        <v>0</v>
      </c>
      <c r="GR693" s="346">
        <f t="shared" si="843"/>
        <v>0</v>
      </c>
      <c r="GS693" s="346">
        <f t="shared" si="843"/>
        <v>0</v>
      </c>
      <c r="GT693" s="346">
        <f t="shared" si="843"/>
        <v>0</v>
      </c>
      <c r="GU693" s="346">
        <f t="shared" si="843"/>
        <v>0.50321992000000004</v>
      </c>
      <c r="GV693" s="346">
        <f t="shared" ref="GV693:HL693" si="844">GV339</f>
        <v>0.60779959400000005</v>
      </c>
      <c r="GW693" s="346">
        <f t="shared" si="844"/>
        <v>0.49503668099999998</v>
      </c>
      <c r="GX693" s="346">
        <f t="shared" si="844"/>
        <v>0.49720740099999999</v>
      </c>
      <c r="GY693" s="346">
        <f t="shared" si="844"/>
        <v>0.25866908399999999</v>
      </c>
      <c r="GZ693" s="346">
        <f t="shared" si="844"/>
        <v>9.1145840000000006E-2</v>
      </c>
      <c r="HA693" s="346">
        <f>HA339</f>
        <v>4.5787891690000002</v>
      </c>
      <c r="HB693" s="346">
        <f t="shared" si="844"/>
        <v>2.4912074770000001</v>
      </c>
      <c r="HC693" s="346">
        <f t="shared" si="844"/>
        <v>0.57395500700000002</v>
      </c>
      <c r="HD693" s="346">
        <f t="shared" si="844"/>
        <v>1.6551297110000001</v>
      </c>
      <c r="HE693" s="346">
        <f t="shared" si="844"/>
        <v>0.47746946800000001</v>
      </c>
      <c r="HF693" s="346">
        <f t="shared" si="844"/>
        <v>0.69640668999999999</v>
      </c>
      <c r="HG693" s="346">
        <f t="shared" si="844"/>
        <v>1.4705108929999999</v>
      </c>
      <c r="HH693" s="346">
        <f t="shared" si="844"/>
        <v>0.35344490099999998</v>
      </c>
      <c r="HI693" s="346">
        <f t="shared" si="844"/>
        <v>0.52472494999999997</v>
      </c>
      <c r="HJ693" s="346">
        <f t="shared" si="844"/>
        <v>1.2265425750000001</v>
      </c>
      <c r="HK693" s="346">
        <f t="shared" si="844"/>
        <v>0.41492590299999998</v>
      </c>
      <c r="HL693" s="346">
        <f t="shared" si="844"/>
        <v>0.69585611000000003</v>
      </c>
      <c r="HM693" s="346"/>
      <c r="HN693" s="349"/>
      <c r="HO693" s="1439" t="s">
        <v>517</v>
      </c>
      <c r="HP693" s="307">
        <f>SUM(CE693:CJ693)</f>
        <v>0</v>
      </c>
      <c r="HQ693" s="302">
        <f>SUM(CK693:CP693)</f>
        <v>0</v>
      </c>
      <c r="HR693" s="346">
        <f t="shared" si="698"/>
        <v>0</v>
      </c>
      <c r="HS693" s="302">
        <f>SUM(CQ693:CV693)</f>
        <v>0.24218005000000004</v>
      </c>
      <c r="HT693" s="302">
        <f>SUM(CW693:DB693)</f>
        <v>4.3026570899999994</v>
      </c>
      <c r="HU693" s="346">
        <f t="shared" si="678"/>
        <v>4.5448371399999994</v>
      </c>
      <c r="HV693" s="307">
        <f>SUM(DC693:DH693)</f>
        <v>9.9217360863273711</v>
      </c>
      <c r="HW693" s="302">
        <f>SUM(DI693:DN693)</f>
        <v>26.784645328889525</v>
      </c>
      <c r="HX693" s="346">
        <f t="shared" si="679"/>
        <v>36.706381415216896</v>
      </c>
      <c r="HY693" s="350">
        <f>SUM(DO693:DT693)</f>
        <v>0</v>
      </c>
      <c r="HZ693" s="302">
        <f>SUM(DU693:DZ693)</f>
        <v>0</v>
      </c>
      <c r="IA693" s="346">
        <f t="shared" si="680"/>
        <v>0</v>
      </c>
      <c r="IB693" s="302">
        <f>SUM(EA693:EF693)</f>
        <v>0</v>
      </c>
      <c r="IC693" s="302">
        <f>SUM(EG693:EL693)</f>
        <v>0</v>
      </c>
      <c r="ID693" s="346">
        <f t="shared" si="681"/>
        <v>0</v>
      </c>
      <c r="IE693" s="350">
        <f>SUM(EM693:ER693)</f>
        <v>0</v>
      </c>
      <c r="IF693" s="350">
        <f>SUM(ES693:EX693)</f>
        <v>0</v>
      </c>
      <c r="IG693" s="346">
        <f t="shared" si="682"/>
        <v>0</v>
      </c>
      <c r="IH693" s="350">
        <f>SUM(EY693:FD693)</f>
        <v>1.5948438539999998</v>
      </c>
      <c r="II693" s="350">
        <f>SUM(FE693:FJ693)</f>
        <v>12.42623172282434</v>
      </c>
      <c r="IJ693" s="346">
        <f t="shared" si="683"/>
        <v>14.021075576824341</v>
      </c>
      <c r="IK693" s="350">
        <f t="shared" si="759"/>
        <v>0.83372711500000007</v>
      </c>
      <c r="IL693" s="350">
        <f t="shared" si="664"/>
        <v>6.1099453200000005</v>
      </c>
      <c r="IM693" s="346">
        <f t="shared" si="684"/>
        <v>6.9436724350000008</v>
      </c>
      <c r="IN693" s="350">
        <f t="shared" si="665"/>
        <v>0.78299839299999996</v>
      </c>
      <c r="IO693" s="350">
        <f t="shared" si="666"/>
        <v>6.4792750310034508</v>
      </c>
      <c r="IP693" s="346">
        <f t="shared" si="685"/>
        <v>7.2622734240034506</v>
      </c>
      <c r="IQ693" s="350">
        <f t="shared" si="667"/>
        <v>0</v>
      </c>
      <c r="IR693" s="350">
        <f t="shared" si="668"/>
        <v>0</v>
      </c>
      <c r="IS693" s="346">
        <f t="shared" si="686"/>
        <v>0</v>
      </c>
      <c r="IT693" s="350">
        <f t="shared" si="699"/>
        <v>2.45307852</v>
      </c>
      <c r="IU693" s="350">
        <f t="shared" si="707"/>
        <v>10.472957522000002</v>
      </c>
      <c r="IV693" s="346">
        <f t="shared" si="687"/>
        <v>12.926036042000002</v>
      </c>
      <c r="IW693" s="350">
        <f t="shared" si="700"/>
        <v>4.6860053319999997</v>
      </c>
      <c r="IX693" s="350">
        <f t="shared" si="688"/>
        <v>19.975351952138858</v>
      </c>
      <c r="IY693" s="346">
        <f>FISC!AJ1015</f>
        <v>24.661357284138859</v>
      </c>
      <c r="IZ693" s="350">
        <f t="shared" si="708"/>
        <v>14.396064786875662</v>
      </c>
      <c r="JA693" s="302">
        <f t="shared" si="689"/>
        <v>15.595736852448635</v>
      </c>
      <c r="JB693" s="346">
        <f>FISC!AK1015</f>
        <v>29.991801639324297</v>
      </c>
      <c r="JC693" s="350">
        <f t="shared" si="709"/>
        <v>16.0643389643351</v>
      </c>
      <c r="JD693" s="302">
        <f t="shared" si="690"/>
        <v>17.403033878029696</v>
      </c>
      <c r="JE693" s="346">
        <f>FISC!AL1015</f>
        <v>33.467372842364796</v>
      </c>
      <c r="JF693" s="350">
        <f t="shared" si="710"/>
        <v>18.120929718119875</v>
      </c>
      <c r="JG693" s="302">
        <f t="shared" si="691"/>
        <v>19.631007194629866</v>
      </c>
      <c r="JH693" s="346">
        <f>FISC!AM1015</f>
        <v>37.751936912749741</v>
      </c>
      <c r="JI693" s="350">
        <f t="shared" si="711"/>
        <v>17.083701881723716</v>
      </c>
      <c r="JJ693" s="302">
        <f t="shared" si="701"/>
        <v>18.507343705200693</v>
      </c>
      <c r="JK693" s="346">
        <f>FISC!AN1015</f>
        <v>35.591045586924409</v>
      </c>
      <c r="JL693" s="350">
        <f t="shared" si="712"/>
        <v>19.891881213977452</v>
      </c>
      <c r="JM693" s="302">
        <f t="shared" si="692"/>
        <v>21.549537981808907</v>
      </c>
      <c r="JN693" s="346">
        <f>FISC!AO1015</f>
        <v>41.441419195786359</v>
      </c>
      <c r="KI693" s="349"/>
      <c r="KJ693" s="350"/>
    </row>
    <row r="694" spans="1:296" hidden="1" outlineLevel="1">
      <c r="A694" s="302"/>
      <c r="D694" s="1635" t="s">
        <v>3127</v>
      </c>
      <c r="E694" s="346"/>
      <c r="F694" s="346"/>
      <c r="G694" s="346"/>
      <c r="H694" s="346"/>
      <c r="I694" s="346"/>
      <c r="J694" s="346"/>
      <c r="K694" s="346"/>
      <c r="L694" s="346"/>
      <c r="M694" s="346"/>
      <c r="N694" s="346"/>
      <c r="O694" s="346"/>
      <c r="P694" s="346"/>
      <c r="Q694" s="346"/>
      <c r="R694" s="346"/>
      <c r="S694" s="346"/>
      <c r="T694" s="346"/>
      <c r="U694" s="346"/>
      <c r="V694" s="346"/>
      <c r="W694" s="346"/>
      <c r="X694" s="346"/>
      <c r="Y694" s="346"/>
      <c r="Z694" s="346"/>
      <c r="AA694" s="346"/>
      <c r="AB694" s="346"/>
      <c r="AC694" s="346"/>
      <c r="AD694" s="346"/>
      <c r="AE694" s="346"/>
      <c r="AF694" s="346"/>
      <c r="AG694" s="346"/>
      <c r="AH694" s="346"/>
      <c r="AI694" s="346"/>
      <c r="AJ694" s="346"/>
      <c r="AK694" s="346"/>
      <c r="AL694" s="346"/>
      <c r="AM694" s="346"/>
      <c r="AN694" s="346"/>
      <c r="AO694" s="346"/>
      <c r="AP694" s="346"/>
      <c r="AQ694" s="346"/>
      <c r="AR694" s="346"/>
      <c r="AS694" s="346"/>
      <c r="AT694" s="346"/>
      <c r="AU694" s="346"/>
      <c r="AV694" s="346"/>
      <c r="AW694" s="346"/>
      <c r="AX694" s="346"/>
      <c r="AY694" s="346"/>
      <c r="AZ694" s="346"/>
      <c r="BA694" s="346"/>
      <c r="BB694" s="346"/>
      <c r="BC694" s="346"/>
      <c r="BD694" s="346"/>
      <c r="BE694" s="346"/>
      <c r="BF694" s="346"/>
      <c r="BG694" s="346"/>
      <c r="BH694" s="346"/>
      <c r="BI694" s="346"/>
      <c r="BJ694" s="346"/>
      <c r="BK694" s="346"/>
      <c r="BL694" s="346"/>
      <c r="BM694" s="346"/>
      <c r="BN694" s="346"/>
      <c r="BO694" s="346"/>
      <c r="BP694" s="346"/>
      <c r="BQ694" s="346"/>
      <c r="BR694" s="346"/>
      <c r="BS694" s="346"/>
      <c r="BT694" s="346"/>
      <c r="BU694" s="346"/>
      <c r="BV694" s="346"/>
      <c r="BW694" s="346"/>
      <c r="BX694" s="346"/>
      <c r="BY694" s="346"/>
      <c r="BZ694" s="346"/>
      <c r="CA694" s="346"/>
      <c r="CB694" s="346"/>
      <c r="CC694" s="346"/>
      <c r="CD694" s="352"/>
      <c r="CE694" s="346">
        <v>0</v>
      </c>
      <c r="CF694" s="346">
        <v>0</v>
      </c>
      <c r="CG694" s="346">
        <v>0</v>
      </c>
      <c r="CH694" s="346">
        <v>0</v>
      </c>
      <c r="CI694" s="346">
        <v>0</v>
      </c>
      <c r="CJ694" s="346">
        <v>0</v>
      </c>
      <c r="CK694" s="346">
        <v>0</v>
      </c>
      <c r="CL694" s="346">
        <v>0</v>
      </c>
      <c r="CM694" s="346">
        <v>0</v>
      </c>
      <c r="CN694" s="346">
        <v>0</v>
      </c>
      <c r="CO694" s="346">
        <v>0</v>
      </c>
      <c r="CP694" s="348">
        <v>0</v>
      </c>
      <c r="CQ694" s="346"/>
      <c r="CR694" s="346"/>
      <c r="CS694" s="346"/>
      <c r="CT694" s="346"/>
      <c r="CU694" s="346"/>
      <c r="CV694" s="346"/>
      <c r="CW694" s="346"/>
      <c r="CX694" s="346"/>
      <c r="CY694" s="346"/>
      <c r="CZ694" s="346"/>
      <c r="DA694" s="346"/>
      <c r="DB694" s="1479"/>
      <c r="DC694" s="346"/>
      <c r="DD694" s="346"/>
      <c r="DE694" s="346"/>
      <c r="DF694" s="346"/>
      <c r="DG694" s="346"/>
      <c r="DH694" s="346"/>
      <c r="DI694" s="346"/>
      <c r="DJ694" s="346"/>
      <c r="DK694" s="346"/>
      <c r="DL694" s="346"/>
      <c r="DM694" s="346"/>
      <c r="DN694" s="348"/>
      <c r="DO694" s="346"/>
      <c r="DP694" s="346"/>
      <c r="DQ694" s="346"/>
      <c r="DR694" s="346"/>
      <c r="DS694" s="346"/>
      <c r="DT694" s="346"/>
      <c r="DU694" s="346"/>
      <c r="DV694" s="346"/>
      <c r="DW694" s="346"/>
      <c r="DX694" s="346"/>
      <c r="DY694" s="346"/>
      <c r="DZ694" s="348"/>
      <c r="EA694" s="346"/>
      <c r="EB694" s="346"/>
      <c r="EC694" s="346"/>
      <c r="ED694" s="346"/>
      <c r="EE694" s="346"/>
      <c r="EF694" s="346"/>
      <c r="EG694" s="346"/>
      <c r="EH694" s="346"/>
      <c r="EI694" s="346"/>
      <c r="EJ694" s="346"/>
      <c r="EK694" s="346"/>
      <c r="EL694" s="348"/>
      <c r="EM694" s="346"/>
      <c r="EN694" s="346"/>
      <c r="EO694" s="346"/>
      <c r="EP694" s="346"/>
      <c r="EQ694" s="346"/>
      <c r="ER694" s="346"/>
      <c r="ES694" s="346"/>
      <c r="ET694" s="346"/>
      <c r="EU694" s="346"/>
      <c r="EV694" s="346"/>
      <c r="EW694" s="346"/>
      <c r="EX694" s="348"/>
      <c r="EY694" s="346"/>
      <c r="EZ694" s="346"/>
      <c r="FA694" s="346"/>
      <c r="FB694" s="346"/>
      <c r="FC694" s="346"/>
      <c r="FD694" s="346"/>
      <c r="FE694" s="346"/>
      <c r="FF694" s="346"/>
      <c r="FG694" s="346"/>
      <c r="FH694" s="346"/>
      <c r="FI694" s="346"/>
      <c r="FJ694" s="348"/>
      <c r="FK694" s="346"/>
      <c r="FL694" s="346"/>
      <c r="FM694" s="346"/>
      <c r="FN694" s="346"/>
      <c r="FO694" s="346"/>
      <c r="FP694" s="346"/>
      <c r="FQ694" s="346"/>
      <c r="FR694" s="346"/>
      <c r="FS694" s="346"/>
      <c r="FT694" s="346"/>
      <c r="FU694" s="346"/>
      <c r="FV694" s="346"/>
      <c r="FW694" s="346">
        <v>9.2340063198682126E-2</v>
      </c>
      <c r="FX694" s="346">
        <v>0.11524411630216823</v>
      </c>
      <c r="FY694" s="346">
        <v>0.14171416749914964</v>
      </c>
      <c r="FZ694" s="346">
        <v>6.6866140149199421E-2</v>
      </c>
      <c r="GA694" s="346">
        <v>9.6456097691933931E-2</v>
      </c>
      <c r="GB694" s="346">
        <v>0.27037780815886664</v>
      </c>
      <c r="GC694" s="346">
        <v>1.2426386619662857</v>
      </c>
      <c r="GD694" s="346">
        <v>1.5595893771090639</v>
      </c>
      <c r="GE694" s="346">
        <v>3.0518096729246502</v>
      </c>
      <c r="GF694" s="346">
        <v>0.17165030568481376</v>
      </c>
      <c r="GG694" s="346">
        <v>0.17660300052462727</v>
      </c>
      <c r="GH694" s="346">
        <v>0.27698401279400947</v>
      </c>
      <c r="GI694" s="346">
        <v>0.13460255700000001</v>
      </c>
      <c r="GJ694" s="346">
        <v>0.159268837</v>
      </c>
      <c r="GK694" s="346">
        <v>0.14826814999999999</v>
      </c>
      <c r="GL694" s="346">
        <v>0.113621295</v>
      </c>
      <c r="GM694" s="346">
        <v>0.12733825400000001</v>
      </c>
      <c r="GN694" s="346">
        <v>0.15216264099999999</v>
      </c>
      <c r="GO694" s="346">
        <v>4.7044156880000001</v>
      </c>
      <c r="GP694" s="346">
        <v>0.805456756</v>
      </c>
      <c r="GQ694" s="346">
        <v>0.47953915200000002</v>
      </c>
      <c r="GR694" s="346">
        <v>0.20474355699999999</v>
      </c>
      <c r="GS694" s="346">
        <v>0.21043287699999999</v>
      </c>
      <c r="GT694" s="346">
        <v>0.160150235</v>
      </c>
      <c r="GU694" s="346">
        <v>0.50321992000000004</v>
      </c>
      <c r="GV694" s="346">
        <v>0.60779959400000005</v>
      </c>
      <c r="GW694" s="346">
        <v>0.49503668099999998</v>
      </c>
      <c r="GX694" s="346">
        <v>0.49720740099999999</v>
      </c>
      <c r="GY694" s="346">
        <v>0.25866908399999999</v>
      </c>
      <c r="GZ694" s="346">
        <v>9.1145840000000006E-2</v>
      </c>
      <c r="HA694" s="346">
        <v>4.5787891690000002</v>
      </c>
      <c r="HB694" s="346">
        <v>2.4912074770000001</v>
      </c>
      <c r="HC694" s="346">
        <v>0.57395500700000002</v>
      </c>
      <c r="HD694" s="346">
        <v>1.6551297110000001</v>
      </c>
      <c r="HE694" s="346">
        <v>0.47746946800000001</v>
      </c>
      <c r="HF694" s="346">
        <v>0.69640668999999999</v>
      </c>
      <c r="HG694" s="346">
        <v>1.4705108929999999</v>
      </c>
      <c r="HH694" s="346">
        <v>0.35344490099999998</v>
      </c>
      <c r="HI694" s="346">
        <v>0.52472494999999997</v>
      </c>
      <c r="HJ694" s="346">
        <v>1.2265425750000001</v>
      </c>
      <c r="HK694" s="346">
        <v>0.41492590299999998</v>
      </c>
      <c r="HL694" s="346">
        <v>0.69585611000000003</v>
      </c>
      <c r="HM694" s="346"/>
      <c r="HN694" s="349"/>
      <c r="HO694" s="1635" t="s">
        <v>3127</v>
      </c>
      <c r="HP694" s="307"/>
      <c r="HR694" s="346"/>
      <c r="HU694" s="346"/>
      <c r="HV694" s="307"/>
      <c r="HX694" s="346"/>
      <c r="HY694" s="350"/>
      <c r="IA694" s="346"/>
      <c r="ID694" s="346"/>
      <c r="IE694" s="350"/>
      <c r="IF694" s="350"/>
      <c r="IG694" s="346"/>
      <c r="IH694" s="350"/>
      <c r="II694" s="350"/>
      <c r="IJ694" s="346"/>
      <c r="IK694" s="350">
        <f t="shared" si="759"/>
        <v>0</v>
      </c>
      <c r="IL694" s="350">
        <f t="shared" si="664"/>
        <v>0</v>
      </c>
      <c r="IM694" s="346">
        <f t="shared" si="684"/>
        <v>0</v>
      </c>
      <c r="IN694" s="350">
        <f t="shared" si="665"/>
        <v>0.78299839299999996</v>
      </c>
      <c r="IO694" s="350">
        <f t="shared" si="666"/>
        <v>6.4792750310034508</v>
      </c>
      <c r="IP694" s="346">
        <f t="shared" si="685"/>
        <v>7.2622734240034506</v>
      </c>
      <c r="IQ694" s="350">
        <f t="shared" si="667"/>
        <v>0.83526173399999992</v>
      </c>
      <c r="IR694" s="350">
        <f t="shared" si="668"/>
        <v>6.564738264999999</v>
      </c>
      <c r="IS694" s="346">
        <f t="shared" si="686"/>
        <v>7.3999999989999985</v>
      </c>
      <c r="IT694" s="350">
        <f t="shared" si="699"/>
        <v>2.45307852</v>
      </c>
      <c r="IU694" s="350">
        <f t="shared" si="707"/>
        <v>10.472957522000002</v>
      </c>
      <c r="IV694" s="346">
        <f t="shared" si="687"/>
        <v>12.926036042000002</v>
      </c>
      <c r="IW694" s="350">
        <f t="shared" si="700"/>
        <v>4.6860053319999997</v>
      </c>
      <c r="IX694" s="350">
        <f t="shared" si="688"/>
        <v>13.285986320286472</v>
      </c>
      <c r="IY694" s="346">
        <f>FISC!AJ1016</f>
        <v>17.971991652286473</v>
      </c>
      <c r="IZ694" s="350">
        <f t="shared" si="708"/>
        <v>10.921076055827758</v>
      </c>
      <c r="JA694" s="302">
        <f t="shared" si="689"/>
        <v>11.83116572714674</v>
      </c>
      <c r="JB694" s="346">
        <f>FISC!AK1016</f>
        <v>22.752241782974497</v>
      </c>
      <c r="JC694" s="350">
        <f t="shared" si="709"/>
        <v>12.429209268106415</v>
      </c>
      <c r="JD694" s="302">
        <f t="shared" si="690"/>
        <v>13.464976707115284</v>
      </c>
      <c r="JE694" s="346">
        <f>FISC!AL1016</f>
        <v>25.894185975221699</v>
      </c>
      <c r="JF694" s="350">
        <f t="shared" si="710"/>
        <v>13.3989451085796</v>
      </c>
      <c r="JG694" s="302">
        <f t="shared" si="691"/>
        <v>14.515523867627902</v>
      </c>
      <c r="JH694" s="346">
        <f>FISC!AM1016</f>
        <v>27.914468976207502</v>
      </c>
      <c r="JI694" s="350">
        <f t="shared" si="711"/>
        <v>14.128432865859601</v>
      </c>
      <c r="JJ694" s="302">
        <f t="shared" si="701"/>
        <v>15.305802271347901</v>
      </c>
      <c r="JK694" s="346">
        <f>FISC!AN1016</f>
        <v>29.434235137207502</v>
      </c>
      <c r="JL694" s="350">
        <f t="shared" si="712"/>
        <v>13.7636889872196</v>
      </c>
      <c r="JM694" s="302">
        <f t="shared" si="692"/>
        <v>14.910663069487901</v>
      </c>
      <c r="JN694" s="346">
        <f>FISC!AO1016</f>
        <v>28.674352056707502</v>
      </c>
      <c r="KI694" s="349"/>
      <c r="KJ694" s="350"/>
    </row>
    <row r="695" spans="1:296" hidden="1" outlineLevel="1">
      <c r="A695" s="302"/>
      <c r="D695" s="1717" t="s">
        <v>504</v>
      </c>
      <c r="E695" s="346"/>
      <c r="F695" s="346"/>
      <c r="G695" s="346"/>
      <c r="H695" s="346"/>
      <c r="I695" s="346"/>
      <c r="J695" s="346"/>
      <c r="K695" s="346"/>
      <c r="L695" s="346"/>
      <c r="M695" s="346"/>
      <c r="N695" s="346"/>
      <c r="O695" s="346"/>
      <c r="P695" s="346"/>
      <c r="Q695" s="346"/>
      <c r="R695" s="346"/>
      <c r="S695" s="346"/>
      <c r="T695" s="346"/>
      <c r="U695" s="346"/>
      <c r="V695" s="346"/>
      <c r="W695" s="346"/>
      <c r="X695" s="346"/>
      <c r="Y695" s="346"/>
      <c r="Z695" s="346"/>
      <c r="AA695" s="346"/>
      <c r="AB695" s="346"/>
      <c r="AC695" s="346"/>
      <c r="AD695" s="346"/>
      <c r="AE695" s="346"/>
      <c r="AF695" s="346"/>
      <c r="AG695" s="346"/>
      <c r="AH695" s="346"/>
      <c r="AI695" s="346"/>
      <c r="AJ695" s="346"/>
      <c r="AK695" s="346"/>
      <c r="AL695" s="346"/>
      <c r="AM695" s="346"/>
      <c r="AN695" s="346"/>
      <c r="AO695" s="346"/>
      <c r="AP695" s="346"/>
      <c r="AQ695" s="346"/>
      <c r="AR695" s="346"/>
      <c r="AS695" s="346"/>
      <c r="AT695" s="346"/>
      <c r="AU695" s="346"/>
      <c r="AV695" s="346"/>
      <c r="AW695" s="346"/>
      <c r="AX695" s="346"/>
      <c r="AY695" s="346"/>
      <c r="AZ695" s="346"/>
      <c r="BA695" s="346"/>
      <c r="BB695" s="346"/>
      <c r="BC695" s="346"/>
      <c r="BD695" s="346"/>
      <c r="BE695" s="346"/>
      <c r="BF695" s="346"/>
      <c r="BG695" s="346"/>
      <c r="BH695" s="346"/>
      <c r="BI695" s="346"/>
      <c r="BJ695" s="346"/>
      <c r="BK695" s="346"/>
      <c r="BL695" s="346"/>
      <c r="BM695" s="346"/>
      <c r="BN695" s="346"/>
      <c r="BO695" s="346"/>
      <c r="BP695" s="346"/>
      <c r="BQ695" s="346"/>
      <c r="BR695" s="346"/>
      <c r="BS695" s="346"/>
      <c r="BT695" s="346"/>
      <c r="BU695" s="346"/>
      <c r="BV695" s="346"/>
      <c r="BW695" s="346"/>
      <c r="BX695" s="346"/>
      <c r="BY695" s="346"/>
      <c r="BZ695" s="346"/>
      <c r="CA695" s="346"/>
      <c r="CB695" s="346"/>
      <c r="CC695" s="346"/>
      <c r="CD695" s="352"/>
      <c r="CE695" s="346"/>
      <c r="CF695" s="346"/>
      <c r="CG695" s="346"/>
      <c r="CH695" s="346"/>
      <c r="CI695" s="346"/>
      <c r="CJ695" s="346"/>
      <c r="CK695" s="346"/>
      <c r="CL695" s="346"/>
      <c r="CM695" s="346"/>
      <c r="CN695" s="346"/>
      <c r="CO695" s="346"/>
      <c r="CP695" s="348"/>
      <c r="CQ695" s="346"/>
      <c r="CR695" s="346"/>
      <c r="CS695" s="346"/>
      <c r="CT695" s="346"/>
      <c r="CU695" s="346"/>
      <c r="CV695" s="346"/>
      <c r="CW695" s="346"/>
      <c r="CX695" s="346"/>
      <c r="CY695" s="346"/>
      <c r="CZ695" s="346"/>
      <c r="DA695" s="346"/>
      <c r="DB695" s="1479"/>
      <c r="DC695" s="346"/>
      <c r="DD695" s="346"/>
      <c r="DE695" s="346"/>
      <c r="DF695" s="346"/>
      <c r="DG695" s="346"/>
      <c r="DH695" s="346"/>
      <c r="DI695" s="346"/>
      <c r="DJ695" s="346"/>
      <c r="DK695" s="346"/>
      <c r="DL695" s="346"/>
      <c r="DM695" s="346"/>
      <c r="DN695" s="348"/>
      <c r="DO695" s="346"/>
      <c r="DP695" s="346"/>
      <c r="DQ695" s="346"/>
      <c r="DR695" s="346"/>
      <c r="DS695" s="346"/>
      <c r="DT695" s="346"/>
      <c r="DU695" s="346"/>
      <c r="DV695" s="346"/>
      <c r="DW695" s="346"/>
      <c r="DX695" s="346"/>
      <c r="DY695" s="346"/>
      <c r="DZ695" s="348"/>
      <c r="EA695" s="346"/>
      <c r="EB695" s="346"/>
      <c r="EC695" s="346"/>
      <c r="ED695" s="346"/>
      <c r="EE695" s="346"/>
      <c r="EF695" s="346"/>
      <c r="EG695" s="346"/>
      <c r="EH695" s="346"/>
      <c r="EI695" s="346"/>
      <c r="EJ695" s="346"/>
      <c r="EK695" s="346"/>
      <c r="EL695" s="348"/>
      <c r="EM695" s="346"/>
      <c r="EN695" s="346"/>
      <c r="EO695" s="346"/>
      <c r="EP695" s="346"/>
      <c r="EQ695" s="346"/>
      <c r="ER695" s="346"/>
      <c r="ES695" s="346"/>
      <c r="ET695" s="346"/>
      <c r="EU695" s="346"/>
      <c r="EV695" s="346"/>
      <c r="EW695" s="346"/>
      <c r="EX695" s="348"/>
      <c r="EY695" s="346"/>
      <c r="EZ695" s="346"/>
      <c r="FA695" s="346"/>
      <c r="FB695" s="346"/>
      <c r="FC695" s="346"/>
      <c r="FD695" s="346"/>
      <c r="FE695" s="346"/>
      <c r="FF695" s="346"/>
      <c r="FG695" s="346"/>
      <c r="FH695" s="346"/>
      <c r="FI695" s="346"/>
      <c r="FJ695" s="348"/>
      <c r="FK695" s="346"/>
      <c r="FL695" s="346"/>
      <c r="FM695" s="346"/>
      <c r="FN695" s="346"/>
      <c r="FO695" s="346"/>
      <c r="FP695" s="346"/>
      <c r="FQ695" s="346"/>
      <c r="FR695" s="346"/>
      <c r="FS695" s="346"/>
      <c r="FT695" s="346"/>
      <c r="FU695" s="346"/>
      <c r="FV695" s="346"/>
      <c r="FW695" s="346">
        <v>0</v>
      </c>
      <c r="FX695" s="346">
        <v>0</v>
      </c>
      <c r="FY695" s="346">
        <v>0</v>
      </c>
      <c r="FZ695" s="346">
        <v>0</v>
      </c>
      <c r="GA695" s="346">
        <v>0</v>
      </c>
      <c r="GB695" s="346">
        <v>0</v>
      </c>
      <c r="GC695" s="346">
        <v>0</v>
      </c>
      <c r="GD695" s="346">
        <v>0</v>
      </c>
      <c r="GE695" s="346">
        <v>0</v>
      </c>
      <c r="GF695" s="346">
        <v>0</v>
      </c>
      <c r="GG695" s="346">
        <v>0</v>
      </c>
      <c r="GH695" s="346">
        <v>0</v>
      </c>
      <c r="GI695" s="346">
        <v>0</v>
      </c>
      <c r="GJ695" s="346">
        <v>0</v>
      </c>
      <c r="GK695" s="346">
        <v>0</v>
      </c>
      <c r="GL695" s="346">
        <v>0</v>
      </c>
      <c r="GM695" s="346">
        <v>0</v>
      </c>
      <c r="GN695" s="346">
        <v>0</v>
      </c>
      <c r="GO695" s="346">
        <v>0</v>
      </c>
      <c r="GP695" s="346">
        <v>0</v>
      </c>
      <c r="GQ695" s="346">
        <v>0</v>
      </c>
      <c r="GR695" s="346">
        <v>0</v>
      </c>
      <c r="GS695" s="346">
        <v>0</v>
      </c>
      <c r="GT695" s="346">
        <v>0</v>
      </c>
      <c r="GU695" s="346">
        <f>GU340</f>
        <v>2.2973842000000001E-2</v>
      </c>
      <c r="GV695" s="346">
        <f t="shared" ref="GV695:HL695" si="845">GV340</f>
        <v>7.9093081515383343E-3</v>
      </c>
      <c r="GW695" s="346">
        <f t="shared" si="845"/>
        <v>9.0049268240762655E-3</v>
      </c>
      <c r="GX695" s="346">
        <f t="shared" si="845"/>
        <v>1.3872513E-2</v>
      </c>
      <c r="GY695" s="346">
        <f t="shared" si="845"/>
        <v>1.4325071E-2</v>
      </c>
      <c r="GZ695" s="346">
        <f t="shared" si="845"/>
        <v>1.0921128E-2</v>
      </c>
      <c r="HA695" s="346">
        <f t="shared" si="845"/>
        <v>1.2481096000000001E-2</v>
      </c>
      <c r="HB695" s="346">
        <f t="shared" si="845"/>
        <v>1.0659699E-2</v>
      </c>
      <c r="HC695" s="346">
        <f t="shared" si="845"/>
        <v>8.8023889932264329E-3</v>
      </c>
      <c r="HD695" s="346">
        <f t="shared" si="845"/>
        <v>1.4227445E-2</v>
      </c>
      <c r="HE695" s="346">
        <f t="shared" si="845"/>
        <v>1.4499659E-2</v>
      </c>
      <c r="HF695" s="346">
        <f t="shared" si="845"/>
        <v>1.509216E-2</v>
      </c>
      <c r="HG695" s="346">
        <f t="shared" si="845"/>
        <v>1.4966055000000001E-2</v>
      </c>
      <c r="HH695" s="346">
        <f t="shared" si="845"/>
        <v>1.3043183999999999E-2</v>
      </c>
      <c r="HI695" s="346">
        <f t="shared" si="845"/>
        <v>1.2706491E-2</v>
      </c>
      <c r="HJ695" s="346">
        <f t="shared" si="845"/>
        <v>1.2421919999999999E-2</v>
      </c>
      <c r="HK695" s="346">
        <f t="shared" si="845"/>
        <v>1.2823179000000001E-2</v>
      </c>
      <c r="HL695" s="346">
        <f t="shared" si="845"/>
        <v>1.3846917E-2</v>
      </c>
      <c r="HM695" s="346"/>
      <c r="HN695" s="349"/>
      <c r="HO695" s="1717" t="s">
        <v>504</v>
      </c>
      <c r="HP695" s="307"/>
      <c r="HR695" s="346"/>
      <c r="HU695" s="346"/>
      <c r="HV695" s="307"/>
      <c r="HX695" s="346"/>
      <c r="HY695" s="350"/>
      <c r="IA695" s="346"/>
      <c r="ID695" s="346"/>
      <c r="IE695" s="350"/>
      <c r="IF695" s="350"/>
      <c r="IG695" s="346"/>
      <c r="IH695" s="350"/>
      <c r="II695" s="350"/>
      <c r="IJ695" s="346"/>
      <c r="IK695" s="350"/>
      <c r="IL695" s="350">
        <f t="shared" si="664"/>
        <v>0</v>
      </c>
      <c r="IM695" s="346">
        <f>IK695+IL695</f>
        <v>0</v>
      </c>
      <c r="IN695" s="350">
        <f t="shared" si="665"/>
        <v>0</v>
      </c>
      <c r="IO695" s="350">
        <f t="shared" si="666"/>
        <v>0</v>
      </c>
      <c r="IP695" s="346">
        <f t="shared" si="685"/>
        <v>0</v>
      </c>
      <c r="IQ695" s="350">
        <f t="shared" si="667"/>
        <v>0</v>
      </c>
      <c r="IR695" s="350">
        <f t="shared" si="668"/>
        <v>0</v>
      </c>
      <c r="IS695" s="346">
        <f t="shared" si="686"/>
        <v>0</v>
      </c>
      <c r="IT695" s="350">
        <f t="shared" si="699"/>
        <v>7.9006788975614597E-2</v>
      </c>
      <c r="IU695" s="350">
        <f t="shared" si="707"/>
        <v>7.5762447993226428E-2</v>
      </c>
      <c r="IV695" s="346">
        <f t="shared" si="687"/>
        <v>0.15476923696884104</v>
      </c>
      <c r="IW695" s="350">
        <f t="shared" si="700"/>
        <v>7.9807745999999999E-2</v>
      </c>
      <c r="IX695" s="350">
        <f t="shared" si="688"/>
        <v>-7.9807745999999999E-2</v>
      </c>
      <c r="IY695" s="346">
        <f>FISC!AJ1017</f>
        <v>0</v>
      </c>
      <c r="IZ695" s="350">
        <f t="shared" si="708"/>
        <v>0</v>
      </c>
      <c r="JA695" s="302">
        <f t="shared" si="689"/>
        <v>0</v>
      </c>
      <c r="JB695" s="346">
        <f>FISC!AK1017</f>
        <v>0</v>
      </c>
      <c r="JC695" s="350">
        <f t="shared" si="709"/>
        <v>0</v>
      </c>
      <c r="JD695" s="302">
        <f t="shared" si="690"/>
        <v>0</v>
      </c>
      <c r="JE695" s="346">
        <f>FISC!AL1017</f>
        <v>0</v>
      </c>
      <c r="JF695" s="350">
        <f t="shared" si="710"/>
        <v>0</v>
      </c>
      <c r="JG695" s="302">
        <f t="shared" si="691"/>
        <v>0</v>
      </c>
      <c r="JH695" s="346">
        <f>FISC!AM1017</f>
        <v>0</v>
      </c>
      <c r="JI695" s="350">
        <f t="shared" si="711"/>
        <v>0</v>
      </c>
      <c r="JJ695" s="302">
        <f t="shared" si="701"/>
        <v>0</v>
      </c>
      <c r="JK695" s="346">
        <f>FISC!AN1017</f>
        <v>0</v>
      </c>
      <c r="JL695" s="350">
        <f t="shared" si="712"/>
        <v>0</v>
      </c>
      <c r="JM695" s="302">
        <f t="shared" si="692"/>
        <v>0</v>
      </c>
      <c r="JN695" s="346">
        <f>FISC!AO1017</f>
        <v>0</v>
      </c>
      <c r="KI695" s="349"/>
      <c r="KJ695" s="350"/>
    </row>
    <row r="696" spans="1:296" hidden="1" outlineLevel="1">
      <c r="A696" s="302"/>
      <c r="D696" s="1439" t="s">
        <v>518</v>
      </c>
      <c r="E696" s="346"/>
      <c r="F696" s="346"/>
      <c r="G696" s="346"/>
      <c r="H696" s="346"/>
      <c r="I696" s="346"/>
      <c r="J696" s="346"/>
      <c r="K696" s="346"/>
      <c r="L696" s="346"/>
      <c r="M696" s="346"/>
      <c r="N696" s="346"/>
      <c r="O696" s="346"/>
      <c r="P696" s="346"/>
      <c r="Q696" s="346"/>
      <c r="R696" s="346"/>
      <c r="S696" s="346"/>
      <c r="T696" s="346"/>
      <c r="U696" s="346"/>
      <c r="V696" s="346"/>
      <c r="W696" s="346"/>
      <c r="X696" s="346"/>
      <c r="Y696" s="346"/>
      <c r="Z696" s="346"/>
      <c r="AA696" s="346"/>
      <c r="AB696" s="346"/>
      <c r="AC696" s="346"/>
      <c r="AD696" s="346"/>
      <c r="AE696" s="346"/>
      <c r="AF696" s="346"/>
      <c r="AG696" s="346"/>
      <c r="AH696" s="346"/>
      <c r="AI696" s="346"/>
      <c r="AJ696" s="346"/>
      <c r="AK696" s="346"/>
      <c r="AL696" s="346"/>
      <c r="AM696" s="346"/>
      <c r="AN696" s="346"/>
      <c r="AO696" s="346"/>
      <c r="AP696" s="346"/>
      <c r="AQ696" s="346"/>
      <c r="AR696" s="346"/>
      <c r="AS696" s="346"/>
      <c r="AT696" s="346"/>
      <c r="AU696" s="346"/>
      <c r="AV696" s="346"/>
      <c r="AW696" s="346"/>
      <c r="AX696" s="346"/>
      <c r="AY696" s="346"/>
      <c r="AZ696" s="346"/>
      <c r="BA696" s="346"/>
      <c r="BB696" s="346"/>
      <c r="BC696" s="346"/>
      <c r="BD696" s="346"/>
      <c r="BE696" s="346"/>
      <c r="BF696" s="346"/>
      <c r="BG696" s="346"/>
      <c r="BH696" s="346"/>
      <c r="BI696" s="346"/>
      <c r="BJ696" s="346"/>
      <c r="BK696" s="346"/>
      <c r="BL696" s="346"/>
      <c r="BM696" s="346"/>
      <c r="BN696" s="346"/>
      <c r="BO696" s="346"/>
      <c r="BP696" s="346"/>
      <c r="BQ696" s="346"/>
      <c r="BR696" s="346"/>
      <c r="BS696" s="346"/>
      <c r="BT696" s="346"/>
      <c r="BU696" s="346"/>
      <c r="BV696" s="346"/>
      <c r="BW696" s="346"/>
      <c r="BX696" s="346"/>
      <c r="BY696" s="346"/>
      <c r="BZ696" s="346"/>
      <c r="CA696" s="346"/>
      <c r="CB696" s="346"/>
      <c r="CC696" s="346"/>
      <c r="CD696" s="352"/>
      <c r="CE696" s="346">
        <f t="shared" ref="CE696:DJ696" si="846">CE341</f>
        <v>0</v>
      </c>
      <c r="CF696" s="346">
        <f t="shared" si="846"/>
        <v>0</v>
      </c>
      <c r="CG696" s="346">
        <f t="shared" si="846"/>
        <v>0</v>
      </c>
      <c r="CH696" s="346">
        <f t="shared" si="846"/>
        <v>0</v>
      </c>
      <c r="CI696" s="346">
        <f t="shared" si="846"/>
        <v>0</v>
      </c>
      <c r="CJ696" s="346">
        <f t="shared" si="846"/>
        <v>0</v>
      </c>
      <c r="CK696" s="346">
        <f t="shared" si="846"/>
        <v>0</v>
      </c>
      <c r="CL696" s="346">
        <f t="shared" si="846"/>
        <v>0</v>
      </c>
      <c r="CM696" s="346">
        <f t="shared" si="846"/>
        <v>0</v>
      </c>
      <c r="CN696" s="346">
        <f t="shared" si="846"/>
        <v>0</v>
      </c>
      <c r="CO696" s="346">
        <f t="shared" si="846"/>
        <v>0</v>
      </c>
      <c r="CP696" s="348">
        <f t="shared" si="846"/>
        <v>0</v>
      </c>
      <c r="CQ696" s="346">
        <f t="shared" si="846"/>
        <v>0</v>
      </c>
      <c r="CR696" s="346">
        <f t="shared" si="846"/>
        <v>0</v>
      </c>
      <c r="CS696" s="346">
        <f t="shared" si="846"/>
        <v>0</v>
      </c>
      <c r="CT696" s="346">
        <f t="shared" si="846"/>
        <v>0</v>
      </c>
      <c r="CU696" s="346">
        <f t="shared" si="846"/>
        <v>0</v>
      </c>
      <c r="CV696" s="346">
        <f t="shared" si="846"/>
        <v>0</v>
      </c>
      <c r="CW696" s="346">
        <f t="shared" si="846"/>
        <v>0</v>
      </c>
      <c r="CX696" s="346">
        <f t="shared" si="846"/>
        <v>0</v>
      </c>
      <c r="CY696" s="346">
        <f t="shared" si="846"/>
        <v>0</v>
      </c>
      <c r="CZ696" s="346">
        <f t="shared" si="846"/>
        <v>0</v>
      </c>
      <c r="DA696" s="346">
        <f t="shared" si="846"/>
        <v>0</v>
      </c>
      <c r="DB696" s="1479">
        <f t="shared" si="846"/>
        <v>0</v>
      </c>
      <c r="DC696" s="346">
        <f t="shared" si="846"/>
        <v>0</v>
      </c>
      <c r="DD696" s="346">
        <f t="shared" si="846"/>
        <v>0</v>
      </c>
      <c r="DE696" s="346">
        <f t="shared" si="846"/>
        <v>0</v>
      </c>
      <c r="DF696" s="346">
        <f t="shared" si="846"/>
        <v>0</v>
      </c>
      <c r="DG696" s="346">
        <f t="shared" si="846"/>
        <v>0</v>
      </c>
      <c r="DH696" s="346">
        <f t="shared" si="846"/>
        <v>0</v>
      </c>
      <c r="DI696" s="346">
        <f t="shared" si="846"/>
        <v>0</v>
      </c>
      <c r="DJ696" s="346">
        <f t="shared" si="846"/>
        <v>0</v>
      </c>
      <c r="DK696" s="346">
        <f t="shared" ref="DK696:EP696" si="847">DK341</f>
        <v>0</v>
      </c>
      <c r="DL696" s="346">
        <f t="shared" si="847"/>
        <v>0</v>
      </c>
      <c r="DM696" s="346">
        <f t="shared" si="847"/>
        <v>0</v>
      </c>
      <c r="DN696" s="348">
        <f t="shared" si="847"/>
        <v>0</v>
      </c>
      <c r="DO696" s="346">
        <f t="shared" si="847"/>
        <v>0</v>
      </c>
      <c r="DP696" s="346">
        <f t="shared" si="847"/>
        <v>0</v>
      </c>
      <c r="DQ696" s="346">
        <f t="shared" si="847"/>
        <v>0</v>
      </c>
      <c r="DR696" s="346">
        <f t="shared" si="847"/>
        <v>0</v>
      </c>
      <c r="DS696" s="346">
        <f t="shared" si="847"/>
        <v>0</v>
      </c>
      <c r="DT696" s="346">
        <f t="shared" si="847"/>
        <v>0</v>
      </c>
      <c r="DU696" s="346">
        <f t="shared" si="847"/>
        <v>0</v>
      </c>
      <c r="DV696" s="346">
        <f t="shared" si="847"/>
        <v>0</v>
      </c>
      <c r="DW696" s="346">
        <f t="shared" si="847"/>
        <v>0</v>
      </c>
      <c r="DX696" s="346">
        <f t="shared" si="847"/>
        <v>0</v>
      </c>
      <c r="DY696" s="346">
        <f t="shared" si="847"/>
        <v>0</v>
      </c>
      <c r="DZ696" s="348">
        <f t="shared" si="847"/>
        <v>0</v>
      </c>
      <c r="EA696" s="346">
        <f t="shared" si="847"/>
        <v>0</v>
      </c>
      <c r="EB696" s="346">
        <f t="shared" si="847"/>
        <v>0</v>
      </c>
      <c r="EC696" s="346">
        <f t="shared" si="847"/>
        <v>0</v>
      </c>
      <c r="ED696" s="346">
        <f t="shared" si="847"/>
        <v>0</v>
      </c>
      <c r="EE696" s="346">
        <f t="shared" si="847"/>
        <v>0</v>
      </c>
      <c r="EF696" s="346">
        <f t="shared" si="847"/>
        <v>0</v>
      </c>
      <c r="EG696" s="346">
        <f t="shared" si="847"/>
        <v>0</v>
      </c>
      <c r="EH696" s="346">
        <f t="shared" si="847"/>
        <v>0</v>
      </c>
      <c r="EI696" s="346">
        <f t="shared" si="847"/>
        <v>0</v>
      </c>
      <c r="EJ696" s="346">
        <f t="shared" si="847"/>
        <v>0</v>
      </c>
      <c r="EK696" s="346">
        <f t="shared" si="847"/>
        <v>0</v>
      </c>
      <c r="EL696" s="348">
        <f t="shared" si="847"/>
        <v>0</v>
      </c>
      <c r="EM696" s="346">
        <f t="shared" si="847"/>
        <v>0</v>
      </c>
      <c r="EN696" s="346">
        <f t="shared" si="847"/>
        <v>0</v>
      </c>
      <c r="EO696" s="346">
        <f t="shared" si="847"/>
        <v>0</v>
      </c>
      <c r="EP696" s="346">
        <f t="shared" si="847"/>
        <v>0</v>
      </c>
      <c r="EQ696" s="346">
        <f t="shared" ref="EQ696:FP696" si="848">EQ341</f>
        <v>0</v>
      </c>
      <c r="ER696" s="346">
        <f t="shared" si="848"/>
        <v>0</v>
      </c>
      <c r="ES696" s="346">
        <f t="shared" si="848"/>
        <v>0</v>
      </c>
      <c r="ET696" s="346">
        <f t="shared" si="848"/>
        <v>0</v>
      </c>
      <c r="EU696" s="346">
        <f t="shared" si="848"/>
        <v>0</v>
      </c>
      <c r="EV696" s="346">
        <f t="shared" si="848"/>
        <v>0</v>
      </c>
      <c r="EW696" s="346">
        <f t="shared" si="848"/>
        <v>0</v>
      </c>
      <c r="EX696" s="348">
        <f t="shared" si="848"/>
        <v>0</v>
      </c>
      <c r="EY696" s="346">
        <f t="shared" si="848"/>
        <v>0</v>
      </c>
      <c r="EZ696" s="346">
        <f t="shared" si="848"/>
        <v>0</v>
      </c>
      <c r="FA696" s="346">
        <f t="shared" si="848"/>
        <v>0</v>
      </c>
      <c r="FB696" s="346">
        <f t="shared" si="848"/>
        <v>0</v>
      </c>
      <c r="FC696" s="346">
        <f t="shared" si="848"/>
        <v>0</v>
      </c>
      <c r="FD696" s="346">
        <f t="shared" si="848"/>
        <v>0</v>
      </c>
      <c r="FE696" s="346">
        <f t="shared" si="848"/>
        <v>0</v>
      </c>
      <c r="FF696" s="346">
        <f t="shared" si="848"/>
        <v>0</v>
      </c>
      <c r="FG696" s="346">
        <f t="shared" si="848"/>
        <v>0</v>
      </c>
      <c r="FH696" s="346">
        <f t="shared" si="848"/>
        <v>0</v>
      </c>
      <c r="FI696" s="346">
        <f t="shared" si="848"/>
        <v>0</v>
      </c>
      <c r="FJ696" s="348">
        <f t="shared" si="848"/>
        <v>0</v>
      </c>
      <c r="FK696" s="346">
        <f t="shared" si="848"/>
        <v>0</v>
      </c>
      <c r="FL696" s="346">
        <f t="shared" si="848"/>
        <v>0</v>
      </c>
      <c r="FM696" s="346">
        <f t="shared" si="848"/>
        <v>0</v>
      </c>
      <c r="FN696" s="346">
        <f t="shared" si="848"/>
        <v>0</v>
      </c>
      <c r="FO696" s="346">
        <f t="shared" si="848"/>
        <v>0</v>
      </c>
      <c r="FP696" s="346">
        <f t="shared" si="848"/>
        <v>0</v>
      </c>
      <c r="FQ696" s="346">
        <f t="shared" ref="FQ696:FV698" si="849">FQ341</f>
        <v>0</v>
      </c>
      <c r="FR696" s="346">
        <f t="shared" si="849"/>
        <v>0</v>
      </c>
      <c r="FS696" s="346">
        <f t="shared" si="849"/>
        <v>0</v>
      </c>
      <c r="FT696" s="346">
        <f t="shared" si="849"/>
        <v>0</v>
      </c>
      <c r="FU696" s="346">
        <f t="shared" si="849"/>
        <v>0</v>
      </c>
      <c r="FV696" s="346">
        <f t="shared" si="849"/>
        <v>0</v>
      </c>
      <c r="FW696" s="346">
        <v>0.53613413799999998</v>
      </c>
      <c r="FX696" s="346">
        <v>0.24760492100000001</v>
      </c>
      <c r="FY696" s="346">
        <v>0.66690695</v>
      </c>
      <c r="FZ696" s="346">
        <v>0.74134770900000002</v>
      </c>
      <c r="GA696" s="346">
        <v>0.60745584500000005</v>
      </c>
      <c r="GB696" s="346">
        <v>0.56379494799999996</v>
      </c>
      <c r="GC696" s="346">
        <v>0.82179414100000003</v>
      </c>
      <c r="GD696" s="346">
        <v>0.64907314299999996</v>
      </c>
      <c r="GE696" s="346">
        <v>0.77483250599999998</v>
      </c>
      <c r="GF696" s="346">
        <v>4.5120376289999999</v>
      </c>
      <c r="GG696" s="346">
        <v>0.992725529</v>
      </c>
      <c r="GH696" s="346">
        <v>0.88970608500000004</v>
      </c>
      <c r="GI696" s="346">
        <f t="shared" ref="GI696:GU696" si="850">GI341</f>
        <v>0</v>
      </c>
      <c r="GJ696" s="346">
        <f t="shared" si="850"/>
        <v>0</v>
      </c>
      <c r="GK696" s="346">
        <f t="shared" si="850"/>
        <v>0</v>
      </c>
      <c r="GL696" s="346">
        <f t="shared" si="850"/>
        <v>0</v>
      </c>
      <c r="GM696" s="346">
        <f t="shared" si="850"/>
        <v>0</v>
      </c>
      <c r="GN696" s="346">
        <f t="shared" si="850"/>
        <v>0</v>
      </c>
      <c r="GO696" s="346">
        <f t="shared" si="850"/>
        <v>0</v>
      </c>
      <c r="GP696" s="346">
        <f t="shared" si="850"/>
        <v>0</v>
      </c>
      <c r="GQ696" s="346">
        <f t="shared" si="850"/>
        <v>0</v>
      </c>
      <c r="GR696" s="346">
        <f t="shared" si="850"/>
        <v>0</v>
      </c>
      <c r="GS696" s="346">
        <f t="shared" si="850"/>
        <v>0</v>
      </c>
      <c r="GT696" s="346">
        <f t="shared" si="850"/>
        <v>0</v>
      </c>
      <c r="GU696" s="346">
        <f t="shared" si="850"/>
        <v>0.61806958547062929</v>
      </c>
      <c r="GV696" s="346">
        <f t="shared" ref="GV696:HL696" si="851">GV341</f>
        <v>0.39520106500000002</v>
      </c>
      <c r="GW696" s="346">
        <f t="shared" si="851"/>
        <v>4.3836005238156017E-3</v>
      </c>
      <c r="GX696" s="346">
        <f t="shared" si="851"/>
        <v>0</v>
      </c>
      <c r="GY696" s="346">
        <f t="shared" si="851"/>
        <v>3.9982533000000001E-2</v>
      </c>
      <c r="GZ696" s="346">
        <f t="shared" si="851"/>
        <v>0.124424428</v>
      </c>
      <c r="HA696" s="346">
        <f t="shared" si="851"/>
        <v>0.13311120700000001</v>
      </c>
      <c r="HB696" s="346">
        <f t="shared" si="851"/>
        <v>7.1928829999999997E-3</v>
      </c>
      <c r="HC696" s="346">
        <f t="shared" si="851"/>
        <v>2.0180885999999999E-2</v>
      </c>
      <c r="HD696" s="346">
        <f t="shared" si="851"/>
        <v>3.6171157000000002E-2</v>
      </c>
      <c r="HE696" s="346">
        <f t="shared" si="851"/>
        <v>3.1690498999999997E-2</v>
      </c>
      <c r="HF696" s="346">
        <f t="shared" si="851"/>
        <v>3.7292060000000001E-3</v>
      </c>
      <c r="HG696" s="346">
        <f t="shared" si="851"/>
        <v>0.17776224299999999</v>
      </c>
      <c r="HH696" s="346">
        <f t="shared" si="851"/>
        <v>0.48459601899999999</v>
      </c>
      <c r="HI696" s="346">
        <f t="shared" si="851"/>
        <v>0.13822342900000001</v>
      </c>
      <c r="HJ696" s="346">
        <f t="shared" si="851"/>
        <v>8.8446110000000005E-3</v>
      </c>
      <c r="HK696" s="346">
        <f t="shared" si="851"/>
        <v>0.436889837</v>
      </c>
      <c r="HL696" s="346">
        <f t="shared" si="851"/>
        <v>1.230767E-3</v>
      </c>
      <c r="HM696" s="346"/>
      <c r="HN696" s="349"/>
      <c r="HO696" s="1439" t="s">
        <v>518</v>
      </c>
      <c r="HP696" s="307">
        <f>SUM(CE696:CJ696)</f>
        <v>0</v>
      </c>
      <c r="HQ696" s="302">
        <f>SUM(CK696:CP696)</f>
        <v>0</v>
      </c>
      <c r="HR696" s="346">
        <f t="shared" si="698"/>
        <v>0</v>
      </c>
      <c r="HS696" s="302">
        <f>SUM(CQ696:CV696)</f>
        <v>0</v>
      </c>
      <c r="HT696" s="302">
        <f>SUM(CW696:DB696)</f>
        <v>0</v>
      </c>
      <c r="HU696" s="346">
        <f t="shared" si="678"/>
        <v>0</v>
      </c>
      <c r="HV696" s="307">
        <f>SUM(DC696:DH696)</f>
        <v>0</v>
      </c>
      <c r="HW696" s="302">
        <f>SUM(DI696:DN696)</f>
        <v>0</v>
      </c>
      <c r="HX696" s="346">
        <f t="shared" si="679"/>
        <v>0</v>
      </c>
      <c r="HY696" s="350">
        <f>SUM(DO696:DT696)</f>
        <v>0</v>
      </c>
      <c r="HZ696" s="302">
        <f>SUM(DU696:DZ696)</f>
        <v>0</v>
      </c>
      <c r="IA696" s="346">
        <f t="shared" si="680"/>
        <v>0</v>
      </c>
      <c r="IB696" s="302">
        <f>SUM(EA696:EF696)</f>
        <v>0</v>
      </c>
      <c r="IC696" s="302">
        <f>SUM(EG696:EL696)</f>
        <v>0</v>
      </c>
      <c r="ID696" s="346">
        <f t="shared" si="681"/>
        <v>0</v>
      </c>
      <c r="IE696" s="350">
        <f>SUM(EM696:ER696)</f>
        <v>0</v>
      </c>
      <c r="IF696" s="350">
        <f>SUM(ES696:EX696)</f>
        <v>0</v>
      </c>
      <c r="IG696" s="346">
        <f t="shared" si="682"/>
        <v>0</v>
      </c>
      <c r="IH696" s="350">
        <f>SUM(EY696:FD696)</f>
        <v>0</v>
      </c>
      <c r="II696" s="350">
        <f>SUM(FE696:FJ696)</f>
        <v>0</v>
      </c>
      <c r="IJ696" s="346">
        <f t="shared" si="683"/>
        <v>0</v>
      </c>
      <c r="IK696" s="350">
        <f>SUM(FK696:FP696)</f>
        <v>0</v>
      </c>
      <c r="IL696" s="350">
        <f t="shared" si="664"/>
        <v>0</v>
      </c>
      <c r="IM696" s="346">
        <f t="shared" si="684"/>
        <v>0</v>
      </c>
      <c r="IN696" s="350">
        <f t="shared" si="665"/>
        <v>3.363244511</v>
      </c>
      <c r="IO696" s="350">
        <f t="shared" si="666"/>
        <v>8.6401690329999994</v>
      </c>
      <c r="IP696" s="346">
        <f t="shared" si="685"/>
        <v>12.003413543999999</v>
      </c>
      <c r="IQ696" s="350">
        <f t="shared" si="667"/>
        <v>0</v>
      </c>
      <c r="IR696" s="350">
        <f t="shared" si="668"/>
        <v>0</v>
      </c>
      <c r="IS696" s="346">
        <f t="shared" si="686"/>
        <v>0</v>
      </c>
      <c r="IT696" s="350">
        <f t="shared" si="699"/>
        <v>1.1820612119944449</v>
      </c>
      <c r="IU696" s="350">
        <f t="shared" si="707"/>
        <v>0.23207583800000006</v>
      </c>
      <c r="IV696" s="346">
        <f t="shared" si="687"/>
        <v>1.414137049994445</v>
      </c>
      <c r="IW696" s="350">
        <f t="shared" si="700"/>
        <v>1.247546906</v>
      </c>
      <c r="IX696" s="350">
        <f t="shared" si="688"/>
        <v>-1.247546906</v>
      </c>
      <c r="IY696" s="346">
        <f>FISC!AJ1018</f>
        <v>0</v>
      </c>
      <c r="IZ696" s="350">
        <f t="shared" si="708"/>
        <v>0</v>
      </c>
      <c r="JA696" s="302">
        <f t="shared" si="689"/>
        <v>0</v>
      </c>
      <c r="JB696" s="346">
        <f>FISC!AK1018</f>
        <v>0</v>
      </c>
      <c r="JC696" s="350">
        <f t="shared" si="709"/>
        <v>0</v>
      </c>
      <c r="JD696" s="302">
        <f t="shared" si="690"/>
        <v>0</v>
      </c>
      <c r="JE696" s="346">
        <f>FISC!AL1018</f>
        <v>0</v>
      </c>
      <c r="JF696" s="350">
        <f t="shared" si="710"/>
        <v>0</v>
      </c>
      <c r="JG696" s="302">
        <f t="shared" si="691"/>
        <v>0</v>
      </c>
      <c r="JH696" s="346">
        <f>FISC!AM1018</f>
        <v>0</v>
      </c>
      <c r="JI696" s="350">
        <f t="shared" si="711"/>
        <v>0</v>
      </c>
      <c r="JJ696" s="302">
        <f t="shared" si="701"/>
        <v>0</v>
      </c>
      <c r="JK696" s="346">
        <f>FISC!AN1018</f>
        <v>0</v>
      </c>
      <c r="JL696" s="350">
        <f t="shared" si="712"/>
        <v>0</v>
      </c>
      <c r="JM696" s="302">
        <f t="shared" si="692"/>
        <v>0</v>
      </c>
      <c r="JN696" s="346">
        <f>FISC!AO1018</f>
        <v>0</v>
      </c>
      <c r="KI696" s="349"/>
      <c r="KJ696" s="350"/>
    </row>
    <row r="697" spans="1:296" hidden="1" outlineLevel="1">
      <c r="A697" s="302"/>
      <c r="B697" s="117" t="s">
        <v>361</v>
      </c>
      <c r="D697" s="355" t="s">
        <v>519</v>
      </c>
      <c r="E697" s="346"/>
      <c r="F697" s="346"/>
      <c r="G697" s="346"/>
      <c r="H697" s="346"/>
      <c r="I697" s="346"/>
      <c r="J697" s="346"/>
      <c r="K697" s="346"/>
      <c r="L697" s="346"/>
      <c r="M697" s="346"/>
      <c r="N697" s="346"/>
      <c r="O697" s="346"/>
      <c r="P697" s="346"/>
      <c r="Q697" s="346"/>
      <c r="R697" s="346"/>
      <c r="S697" s="346"/>
      <c r="T697" s="346"/>
      <c r="U697" s="346"/>
      <c r="V697" s="346"/>
      <c r="W697" s="346"/>
      <c r="X697" s="346"/>
      <c r="Y697" s="346"/>
      <c r="Z697" s="346"/>
      <c r="AA697" s="346"/>
      <c r="AB697" s="346"/>
      <c r="AC697" s="346"/>
      <c r="AD697" s="346"/>
      <c r="AE697" s="346"/>
      <c r="AF697" s="346"/>
      <c r="AG697" s="346"/>
      <c r="AH697" s="346"/>
      <c r="AI697" s="346"/>
      <c r="AJ697" s="346"/>
      <c r="AK697" s="346"/>
      <c r="AL697" s="346"/>
      <c r="AM697" s="346"/>
      <c r="AN697" s="346"/>
      <c r="AO697" s="346">
        <v>2.050939278</v>
      </c>
      <c r="AP697" s="346">
        <v>2.0556247019999998</v>
      </c>
      <c r="AQ697" s="346">
        <v>2.3811226030000001</v>
      </c>
      <c r="AR697" s="346">
        <v>2.110181678</v>
      </c>
      <c r="AS697" s="346">
        <v>2.0282881719999999</v>
      </c>
      <c r="AT697" s="346">
        <v>2.1411471390000001</v>
      </c>
      <c r="AU697" s="346">
        <v>2.0159249340000001</v>
      </c>
      <c r="AV697" s="346">
        <v>2.0265463420000001</v>
      </c>
      <c r="AW697" s="346">
        <v>2.1387262659999999</v>
      </c>
      <c r="AX697" s="346">
        <v>2.1351451200000002</v>
      </c>
      <c r="AY697" s="346">
        <v>2.3892233959999998</v>
      </c>
      <c r="AZ697" s="346">
        <v>3.0547991839999997</v>
      </c>
      <c r="BA697" s="346">
        <v>2.3855418099999999</v>
      </c>
      <c r="BB697" s="346">
        <v>2.1848860829999999</v>
      </c>
      <c r="BC697" s="346">
        <v>2.556422983</v>
      </c>
      <c r="BD697" s="346">
        <v>1.9868456699999999</v>
      </c>
      <c r="BE697" s="346">
        <v>2.5072275149999999</v>
      </c>
      <c r="BF697" s="346">
        <v>2.5357415680000002</v>
      </c>
      <c r="BG697" s="346">
        <v>2.5195553070000001</v>
      </c>
      <c r="BH697" s="346">
        <v>2.9929771970000001</v>
      </c>
      <c r="BI697" s="346">
        <v>2.8364469729999997</v>
      </c>
      <c r="BJ697" s="346">
        <v>2.5813798270000001</v>
      </c>
      <c r="BK697" s="346">
        <v>2.9074636800000002</v>
      </c>
      <c r="BL697" s="346">
        <v>3.4703078079999998</v>
      </c>
      <c r="BM697" s="346">
        <v>3.0002106570000002</v>
      </c>
      <c r="BN697" s="346">
        <v>3.1727009369999997</v>
      </c>
      <c r="BO697" s="346">
        <v>3.5578559200000002</v>
      </c>
      <c r="BP697" s="346">
        <v>3.2282880449999998</v>
      </c>
      <c r="BQ697" s="346">
        <v>4.3394258319999999</v>
      </c>
      <c r="BR697" s="346">
        <v>2.9842759319999996</v>
      </c>
      <c r="BS697" s="346">
        <v>5.6593501880000003</v>
      </c>
      <c r="BT697" s="346">
        <v>5.510527626</v>
      </c>
      <c r="BU697" s="346">
        <v>3.6484720959999999</v>
      </c>
      <c r="BV697" s="346">
        <v>3.7128394570000003</v>
      </c>
      <c r="BW697" s="346">
        <v>3.6039010360000003</v>
      </c>
      <c r="BX697" s="346">
        <v>3.6605664009999996</v>
      </c>
      <c r="BY697" s="346">
        <v>3.9345618229999997</v>
      </c>
      <c r="BZ697" s="346">
        <v>3.1780264760000003</v>
      </c>
      <c r="CA697" s="346">
        <v>3.0838727180000003</v>
      </c>
      <c r="CB697" s="346">
        <v>3.100872909</v>
      </c>
      <c r="CC697" s="346">
        <v>3.547492176</v>
      </c>
      <c r="CD697" s="352">
        <f>CD342</f>
        <v>0</v>
      </c>
      <c r="CE697" s="346">
        <f t="shared" ref="CE697:DJ697" si="852">CE342</f>
        <v>3.7939490010000001</v>
      </c>
      <c r="CF697" s="346">
        <f t="shared" si="852"/>
        <v>3.6849063950000001</v>
      </c>
      <c r="CG697" s="346">
        <f t="shared" si="852"/>
        <v>4.2298009200000006</v>
      </c>
      <c r="CH697" s="346">
        <f t="shared" si="852"/>
        <v>4.7960771339999999</v>
      </c>
      <c r="CI697" s="346">
        <f t="shared" si="852"/>
        <v>4.4440132929999994</v>
      </c>
      <c r="CJ697" s="346">
        <f t="shared" si="852"/>
        <v>4.6901386550000002</v>
      </c>
      <c r="CK697" s="346">
        <f t="shared" si="852"/>
        <v>5.1187349449999999</v>
      </c>
      <c r="CL697" s="346">
        <f t="shared" si="852"/>
        <v>4.5187200610000007</v>
      </c>
      <c r="CM697" s="346">
        <f t="shared" si="852"/>
        <v>4.7120015899999999</v>
      </c>
      <c r="CN697" s="346">
        <f t="shared" si="852"/>
        <v>4.5289465480000004</v>
      </c>
      <c r="CO697" s="346">
        <f t="shared" si="852"/>
        <v>5.0770140540000002</v>
      </c>
      <c r="CP697" s="348">
        <f t="shared" si="852"/>
        <v>6.5780947249999997</v>
      </c>
      <c r="CQ697" s="346">
        <f t="shared" si="852"/>
        <v>4.5260695740000001</v>
      </c>
      <c r="CR697" s="346">
        <f t="shared" si="852"/>
        <v>4.4296167329999996</v>
      </c>
      <c r="CS697" s="346">
        <f t="shared" si="852"/>
        <v>5.1189771039999998</v>
      </c>
      <c r="CT697" s="346">
        <f t="shared" si="852"/>
        <v>4.653692693</v>
      </c>
      <c r="CU697" s="346">
        <f t="shared" si="852"/>
        <v>5.2470855609999996</v>
      </c>
      <c r="CV697" s="346">
        <f t="shared" si="852"/>
        <v>5.120880852</v>
      </c>
      <c r="CW697" s="346">
        <f t="shared" si="852"/>
        <v>5.8398687669999996</v>
      </c>
      <c r="CX697" s="346">
        <f t="shared" si="852"/>
        <v>5.2255585289999997</v>
      </c>
      <c r="CY697" s="346">
        <f t="shared" si="852"/>
        <v>5.4515260190000001</v>
      </c>
      <c r="CZ697" s="346">
        <f t="shared" si="852"/>
        <v>5.5418820239999995</v>
      </c>
      <c r="DA697" s="346">
        <f t="shared" si="852"/>
        <v>6.403867397</v>
      </c>
      <c r="DB697" s="1479">
        <f t="shared" si="852"/>
        <v>6.7253262319999996</v>
      </c>
      <c r="DC697" s="346">
        <f t="shared" si="852"/>
        <v>4.717518391219099</v>
      </c>
      <c r="DD697" s="346">
        <f t="shared" si="852"/>
        <v>5.0071018254349102</v>
      </c>
      <c r="DE697" s="346">
        <f t="shared" si="852"/>
        <v>5.8552444317066703</v>
      </c>
      <c r="DF697" s="346">
        <f t="shared" si="852"/>
        <v>6.2349773763509688</v>
      </c>
      <c r="DG697" s="346">
        <f t="shared" si="852"/>
        <v>6.6207631803169766</v>
      </c>
      <c r="DH697" s="346">
        <f t="shared" si="852"/>
        <v>6.4818232372852265</v>
      </c>
      <c r="DI697" s="346">
        <f t="shared" si="852"/>
        <v>6.1764333713555928</v>
      </c>
      <c r="DJ697" s="346">
        <f t="shared" si="852"/>
        <v>6.7243387316349805</v>
      </c>
      <c r="DK697" s="346">
        <f t="shared" ref="DK697:EP697" si="853">DK342</f>
        <v>6.6414733698364117</v>
      </c>
      <c r="DL697" s="346">
        <f t="shared" si="853"/>
        <v>6.4436331890574552</v>
      </c>
      <c r="DM697" s="346">
        <f t="shared" si="853"/>
        <v>7.3935269252555615</v>
      </c>
      <c r="DN697" s="348">
        <f t="shared" si="853"/>
        <v>7.5153159330142207</v>
      </c>
      <c r="DO697" s="346">
        <f t="shared" si="853"/>
        <v>5.8731630538802673</v>
      </c>
      <c r="DP697" s="346">
        <f t="shared" si="853"/>
        <v>6.8078431655664318</v>
      </c>
      <c r="DQ697" s="346">
        <f t="shared" si="853"/>
        <v>6.4688609146038862</v>
      </c>
      <c r="DR697" s="346">
        <f t="shared" si="853"/>
        <v>5.6332750131440354</v>
      </c>
      <c r="DS697" s="346">
        <f t="shared" si="853"/>
        <v>6.2808248521408157</v>
      </c>
      <c r="DT697" s="346">
        <f t="shared" si="853"/>
        <v>6.9785687391861932</v>
      </c>
      <c r="DU697" s="346">
        <f t="shared" si="853"/>
        <v>6.4535900326504123</v>
      </c>
      <c r="DV697" s="346">
        <f t="shared" si="853"/>
        <v>6.1697360451144787</v>
      </c>
      <c r="DW697" s="346">
        <f t="shared" si="853"/>
        <v>7.4766078562602099</v>
      </c>
      <c r="DX697" s="346">
        <f t="shared" si="853"/>
        <v>6.3795661551859313</v>
      </c>
      <c r="DY697" s="346">
        <f t="shared" si="853"/>
        <v>8.3772605749685294</v>
      </c>
      <c r="DZ697" s="348">
        <f t="shared" si="853"/>
        <v>7.7605591533426193</v>
      </c>
      <c r="EA697" s="346">
        <f t="shared" si="853"/>
        <v>6.1493475067648262</v>
      </c>
      <c r="EB697" s="346">
        <f t="shared" si="853"/>
        <v>6.2040950000465163</v>
      </c>
      <c r="EC697" s="346">
        <f t="shared" si="853"/>
        <v>6.9022639913784412</v>
      </c>
      <c r="ED697" s="346">
        <f t="shared" si="853"/>
        <v>7.5065225584641651</v>
      </c>
      <c r="EE697" s="346">
        <f t="shared" si="853"/>
        <v>6.7874645516201646</v>
      </c>
      <c r="EF697" s="346">
        <f t="shared" si="853"/>
        <v>8.0890839007437059</v>
      </c>
      <c r="EG697" s="346">
        <f t="shared" si="853"/>
        <v>7.8174915835055865</v>
      </c>
      <c r="EH697" s="346">
        <f t="shared" si="853"/>
        <v>6.1129786020533592</v>
      </c>
      <c r="EI697" s="346">
        <f t="shared" si="853"/>
        <v>7.2803985792543404</v>
      </c>
      <c r="EJ697" s="346">
        <f t="shared" si="853"/>
        <v>6.1156640965712405</v>
      </c>
      <c r="EK697" s="346">
        <f t="shared" si="853"/>
        <v>7.357798925689039</v>
      </c>
      <c r="EL697" s="348">
        <f t="shared" si="853"/>
        <v>7.2199111359018326</v>
      </c>
      <c r="EM697" s="346">
        <f t="shared" si="853"/>
        <v>8.0683065989999996</v>
      </c>
      <c r="EN697" s="346">
        <f t="shared" si="853"/>
        <v>9.4906773229999999</v>
      </c>
      <c r="EO697" s="346">
        <f t="shared" si="853"/>
        <v>7.7190137740000004</v>
      </c>
      <c r="EP697" s="346">
        <f t="shared" si="853"/>
        <v>8.2399675400000003</v>
      </c>
      <c r="EQ697" s="346">
        <f t="shared" ref="EQ697:FP697" si="854">EQ342</f>
        <v>9.2015794169999996</v>
      </c>
      <c r="ER697" s="346">
        <f t="shared" si="854"/>
        <v>10.894658637999999</v>
      </c>
      <c r="ES697" s="346">
        <f t="shared" si="854"/>
        <v>10.052058144</v>
      </c>
      <c r="ET697" s="346">
        <f t="shared" si="854"/>
        <v>9.3441168450000003</v>
      </c>
      <c r="EU697" s="346">
        <f t="shared" si="854"/>
        <v>8.8959362710000001</v>
      </c>
      <c r="EV697" s="346">
        <f t="shared" si="854"/>
        <v>10.422192985000001</v>
      </c>
      <c r="EW697" s="346">
        <f t="shared" si="854"/>
        <v>10.007485909</v>
      </c>
      <c r="EX697" s="348">
        <f t="shared" si="854"/>
        <v>9.4093752990000006</v>
      </c>
      <c r="EY697" s="346">
        <f t="shared" si="854"/>
        <v>10.398021448</v>
      </c>
      <c r="EZ697" s="346">
        <f t="shared" si="854"/>
        <v>11.89994688</v>
      </c>
      <c r="FA697" s="346">
        <f t="shared" si="854"/>
        <v>8.7815171400000001</v>
      </c>
      <c r="FB697" s="346">
        <f t="shared" si="854"/>
        <v>10.001424850999999</v>
      </c>
      <c r="FC697" s="346">
        <f t="shared" si="854"/>
        <v>10.763715027610001</v>
      </c>
      <c r="FD697" s="346">
        <f t="shared" si="854"/>
        <v>12.073045403479998</v>
      </c>
      <c r="FE697" s="346">
        <f t="shared" si="854"/>
        <v>10.227735416700002</v>
      </c>
      <c r="FF697" s="346">
        <f t="shared" si="854"/>
        <v>9.8075142343100001</v>
      </c>
      <c r="FG697" s="346">
        <f t="shared" si="854"/>
        <v>10.532080037709999</v>
      </c>
      <c r="FH697" s="346">
        <f t="shared" si="854"/>
        <v>5.8022008460200007</v>
      </c>
      <c r="FI697" s="346">
        <f t="shared" si="854"/>
        <v>7.48305267899</v>
      </c>
      <c r="FJ697" s="348">
        <f t="shared" si="854"/>
        <v>9.5112301575600018</v>
      </c>
      <c r="FK697" s="346">
        <f t="shared" si="854"/>
        <v>9.296074136864517</v>
      </c>
      <c r="FL697" s="346">
        <f t="shared" si="854"/>
        <v>10.65239108676109</v>
      </c>
      <c r="FM697" s="346">
        <f t="shared" si="854"/>
        <v>10.976699959915249</v>
      </c>
      <c r="FN697" s="346">
        <f t="shared" si="854"/>
        <v>12.10266366517248</v>
      </c>
      <c r="FO697" s="346">
        <f t="shared" si="854"/>
        <v>10.558175669872419</v>
      </c>
      <c r="FP697" s="346">
        <f t="shared" si="854"/>
        <v>11.37814121478068</v>
      </c>
      <c r="FQ697" s="346">
        <f t="shared" si="849"/>
        <v>7.8399095164019643</v>
      </c>
      <c r="FR697" s="346">
        <f t="shared" si="849"/>
        <v>9.0972629761733455</v>
      </c>
      <c r="FS697" s="346">
        <f t="shared" si="849"/>
        <v>10.726625780432572</v>
      </c>
      <c r="FT697" s="346">
        <f t="shared" si="849"/>
        <v>10.399853175586575</v>
      </c>
      <c r="FU697" s="346">
        <f t="shared" si="849"/>
        <v>9.4452242049853279</v>
      </c>
      <c r="FV697" s="346">
        <f t="shared" si="849"/>
        <v>11.269758498964924</v>
      </c>
      <c r="FW697" s="346">
        <v>9.4821284252321298</v>
      </c>
      <c r="FX697" s="346">
        <v>10.045892009600527</v>
      </c>
      <c r="FY697" s="346">
        <v>10.423432988996325</v>
      </c>
      <c r="FZ697" s="346">
        <v>10.200461923450804</v>
      </c>
      <c r="GA697" s="346">
        <v>10.529149483587618</v>
      </c>
      <c r="GB697" s="346">
        <v>12.424799576764602</v>
      </c>
      <c r="GC697" s="346">
        <v>9.3675806430179698</v>
      </c>
      <c r="GD697" s="346">
        <v>10.436896168783601</v>
      </c>
      <c r="GE697" s="346">
        <v>11.12648420926465</v>
      </c>
      <c r="GF697" s="346">
        <v>11.180707859421489</v>
      </c>
      <c r="GG697" s="346">
        <v>12.441656344522334</v>
      </c>
      <c r="GH697" s="346">
        <v>15.360749506889384</v>
      </c>
      <c r="GI697" s="346">
        <f t="shared" ref="GI697:GN697" si="855">GI342</f>
        <v>16.38637118794</v>
      </c>
      <c r="GJ697" s="346">
        <f t="shared" si="855"/>
        <v>18.870421394480001</v>
      </c>
      <c r="GK697" s="346">
        <f t="shared" si="855"/>
        <v>17.922437522620001</v>
      </c>
      <c r="GL697" s="346">
        <f t="shared" si="855"/>
        <v>15.91175706177</v>
      </c>
      <c r="GM697" s="346">
        <f t="shared" si="855"/>
        <v>17.6898592149</v>
      </c>
      <c r="GN697" s="346">
        <f t="shared" si="855"/>
        <v>17.845496401392008</v>
      </c>
      <c r="GO697" s="346">
        <f t="shared" ref="GO697:HF697" si="856">GO342</f>
        <v>17.28448116675051</v>
      </c>
      <c r="GP697" s="346">
        <f t="shared" si="856"/>
        <v>17.937385359725457</v>
      </c>
      <c r="GQ697" s="346">
        <f t="shared" si="856"/>
        <v>18.388605268396716</v>
      </c>
      <c r="GR697" s="346">
        <f t="shared" si="856"/>
        <v>14.653189289850001</v>
      </c>
      <c r="GS697" s="346">
        <f t="shared" si="856"/>
        <v>19.5043521843</v>
      </c>
      <c r="GT697" s="346">
        <f t="shared" si="856"/>
        <v>19.236271389540001</v>
      </c>
      <c r="GU697" s="346">
        <f t="shared" si="856"/>
        <v>16.109238721179999</v>
      </c>
      <c r="GV697" s="346">
        <f t="shared" si="856"/>
        <v>16.080309593607428</v>
      </c>
      <c r="GW697" s="346">
        <f t="shared" si="856"/>
        <v>15.752290386280876</v>
      </c>
      <c r="GX697" s="346">
        <f t="shared" si="856"/>
        <v>14.5539997201</v>
      </c>
      <c r="GY697" s="346">
        <f t="shared" si="856"/>
        <v>14.038801213699999</v>
      </c>
      <c r="GZ697" s="346">
        <f t="shared" si="856"/>
        <v>15.968614914</v>
      </c>
      <c r="HA697" s="346">
        <f t="shared" si="856"/>
        <v>16.682865285489999</v>
      </c>
      <c r="HB697" s="346">
        <f t="shared" si="856"/>
        <v>14.36316860374</v>
      </c>
      <c r="HC697" s="346">
        <f t="shared" si="856"/>
        <v>15.680942144125849</v>
      </c>
      <c r="HD697" s="346">
        <f t="shared" si="856"/>
        <v>15.896774606989998</v>
      </c>
      <c r="HE697" s="346">
        <f t="shared" si="856"/>
        <v>18.334208299580002</v>
      </c>
      <c r="HF697" s="346">
        <f t="shared" si="856"/>
        <v>21.025106816680001</v>
      </c>
      <c r="HG697" s="346">
        <f t="shared" ref="HG697:HL697" si="857">HG342</f>
        <v>18.810523006650005</v>
      </c>
      <c r="HH697" s="346">
        <f t="shared" si="857"/>
        <v>21.599772738509998</v>
      </c>
      <c r="HI697" s="346">
        <f t="shared" si="857"/>
        <v>18.723085021669998</v>
      </c>
      <c r="HJ697" s="346">
        <f t="shared" si="857"/>
        <v>20.84783622094</v>
      </c>
      <c r="HK697" s="346">
        <f t="shared" si="857"/>
        <v>19.475042627266152</v>
      </c>
      <c r="HL697" s="346">
        <f t="shared" si="857"/>
        <v>25.6619671952839</v>
      </c>
      <c r="HM697" s="346"/>
      <c r="HN697" s="349"/>
      <c r="HO697" s="355" t="s">
        <v>519</v>
      </c>
      <c r="HP697" s="307">
        <f>SUM(CE697:CJ697)</f>
        <v>25.638885397999999</v>
      </c>
      <c r="HQ697" s="302">
        <f>SUM(CK697:CP697)</f>
        <v>30.533511922999999</v>
      </c>
      <c r="HR697" s="346">
        <f t="shared" si="698"/>
        <v>56.172397320999998</v>
      </c>
      <c r="HS697" s="302">
        <f>SUM(CQ697:CV697)</f>
        <v>29.096322516999997</v>
      </c>
      <c r="HT697" s="302">
        <f>SUM(CW697:DB697)</f>
        <v>35.188028967999998</v>
      </c>
      <c r="HU697" s="346">
        <f t="shared" si="678"/>
        <v>64.284351485000002</v>
      </c>
      <c r="HV697" s="307">
        <f>SUM(DC697:DH697)</f>
        <v>34.917428442313849</v>
      </c>
      <c r="HW697" s="302">
        <f>SUM(DI697:DN697)</f>
        <v>40.894721520154221</v>
      </c>
      <c r="HX697" s="346">
        <f t="shared" si="679"/>
        <v>75.812149962468069</v>
      </c>
      <c r="HY697" s="350">
        <f>SUM(DO697:DT697)</f>
        <v>38.042535738521629</v>
      </c>
      <c r="HZ697" s="302">
        <f>SUM(DU697:DZ697)</f>
        <v>42.61731981752218</v>
      </c>
      <c r="IA697" s="346">
        <f t="shared" si="680"/>
        <v>80.659855556043809</v>
      </c>
      <c r="IB697" s="302">
        <f>SUM(EA697:EF697)</f>
        <v>41.638777509017814</v>
      </c>
      <c r="IC697" s="302">
        <f>SUM(EG697:EL697)</f>
        <v>41.904242922975392</v>
      </c>
      <c r="ID697" s="346">
        <f t="shared" si="681"/>
        <v>83.543020431993199</v>
      </c>
      <c r="IE697" s="350">
        <f>SUM(EM697:ER697)</f>
        <v>53.614203290999995</v>
      </c>
      <c r="IF697" s="350">
        <f>SUM(ES697:EX697)</f>
        <v>58.131165453000008</v>
      </c>
      <c r="IG697" s="346">
        <f t="shared" si="682"/>
        <v>111.745368744</v>
      </c>
      <c r="IH697" s="350">
        <f>SUM(EY697:FD697)</f>
        <v>63.917670750089997</v>
      </c>
      <c r="II697" s="350">
        <f>SUM(FE697:FJ697)</f>
        <v>53.36381337129</v>
      </c>
      <c r="IJ697" s="346">
        <f t="shared" si="683"/>
        <v>117.28148412138</v>
      </c>
      <c r="IK697" s="350">
        <f>SUM(FK697:FP697)</f>
        <v>64.964145733366436</v>
      </c>
      <c r="IL697" s="350">
        <f t="shared" si="664"/>
        <v>58.778634152544711</v>
      </c>
      <c r="IM697" s="346">
        <f>IK697+IL697</f>
        <v>123.74277988591115</v>
      </c>
      <c r="IN697" s="350">
        <f t="shared" si="665"/>
        <v>63.105864407631998</v>
      </c>
      <c r="IO697" s="350">
        <f t="shared" si="666"/>
        <v>69.914074731899433</v>
      </c>
      <c r="IP697" s="346">
        <f t="shared" si="685"/>
        <v>133.01993913953143</v>
      </c>
      <c r="IQ697" s="350">
        <f t="shared" si="667"/>
        <v>104.62634278310202</v>
      </c>
      <c r="IR697" s="350">
        <f t="shared" si="668"/>
        <v>107.00428465856268</v>
      </c>
      <c r="IS697" s="346">
        <f t="shared" si="686"/>
        <v>211.6306274416647</v>
      </c>
      <c r="IT697" s="350">
        <f t="shared" si="699"/>
        <v>92.503254548868313</v>
      </c>
      <c r="IU697" s="350">
        <f t="shared" si="707"/>
        <v>101.98306575660584</v>
      </c>
      <c r="IV697" s="346">
        <f t="shared" si="687"/>
        <v>194.48632030547415</v>
      </c>
      <c r="IW697" s="350">
        <f t="shared" si="700"/>
        <v>125.11822681032004</v>
      </c>
      <c r="IX697" s="350">
        <f t="shared" si="688"/>
        <v>97.618725334176645</v>
      </c>
      <c r="IY697" s="346">
        <f>FISC!AJ1019</f>
        <v>222.73695214449668</v>
      </c>
      <c r="IZ697" s="350">
        <f>JB697*0.52</f>
        <v>124.31842002495875</v>
      </c>
      <c r="JA697" s="302">
        <f t="shared" si="689"/>
        <v>114.75546463842346</v>
      </c>
      <c r="JB697" s="346">
        <f>FISC!AK1019</f>
        <v>239.07388466338222</v>
      </c>
      <c r="JC697" s="350">
        <f>JE697*0.52</f>
        <v>143.40017694717295</v>
      </c>
      <c r="JD697" s="302">
        <f t="shared" si="690"/>
        <v>132.36939410508273</v>
      </c>
      <c r="JE697" s="346">
        <f>FISC!AL1019</f>
        <v>275.76957105225569</v>
      </c>
      <c r="JF697" s="350">
        <f>JH697*0.52</f>
        <v>173.2524852452654</v>
      </c>
      <c r="JG697" s="302">
        <f t="shared" si="691"/>
        <v>159.92537099562958</v>
      </c>
      <c r="JH697" s="346">
        <f>FISC!AM1019</f>
        <v>333.17785624089498</v>
      </c>
      <c r="JI697" s="350">
        <f>JK697*0.52</f>
        <v>199.75021776118507</v>
      </c>
      <c r="JJ697" s="302">
        <f t="shared" si="701"/>
        <v>184.38481639494006</v>
      </c>
      <c r="JK697" s="346">
        <f>FISC!AN1019</f>
        <v>384.13503415612513</v>
      </c>
      <c r="JL697" s="350">
        <f>JN697*0.52</f>
        <v>220.12630414303251</v>
      </c>
      <c r="JM697" s="302">
        <f t="shared" si="692"/>
        <v>203.19351151664537</v>
      </c>
      <c r="JN697" s="346">
        <f>FISC!AO1019</f>
        <v>423.31981565967789</v>
      </c>
      <c r="KI697" s="349"/>
      <c r="KJ697" s="350"/>
    </row>
    <row r="698" spans="1:296" hidden="1" outlineLevel="1">
      <c r="A698" s="302"/>
      <c r="D698" s="1439" t="s">
        <v>520</v>
      </c>
      <c r="E698" s="346"/>
      <c r="F698" s="346"/>
      <c r="G698" s="346"/>
      <c r="H698" s="346"/>
      <c r="I698" s="346"/>
      <c r="J698" s="346"/>
      <c r="K698" s="346"/>
      <c r="L698" s="346"/>
      <c r="M698" s="346"/>
      <c r="N698" s="346"/>
      <c r="O698" s="346"/>
      <c r="P698" s="346"/>
      <c r="Q698" s="346"/>
      <c r="R698" s="346"/>
      <c r="S698" s="346"/>
      <c r="T698" s="346"/>
      <c r="U698" s="346"/>
      <c r="V698" s="346"/>
      <c r="W698" s="346"/>
      <c r="X698" s="346"/>
      <c r="Y698" s="346"/>
      <c r="Z698" s="346"/>
      <c r="AA698" s="346"/>
      <c r="AB698" s="346"/>
      <c r="AC698" s="346"/>
      <c r="AD698" s="346"/>
      <c r="AE698" s="346"/>
      <c r="AF698" s="346"/>
      <c r="AG698" s="346"/>
      <c r="AH698" s="346"/>
      <c r="AI698" s="346"/>
      <c r="AJ698" s="346"/>
      <c r="AK698" s="346"/>
      <c r="AL698" s="346"/>
      <c r="AM698" s="346"/>
      <c r="AN698" s="346"/>
      <c r="AO698" s="346"/>
      <c r="AP698" s="346"/>
      <c r="AQ698" s="346"/>
      <c r="AR698" s="346"/>
      <c r="AS698" s="346"/>
      <c r="AT698" s="346"/>
      <c r="AU698" s="346"/>
      <c r="AV698" s="346"/>
      <c r="AW698" s="346"/>
      <c r="AX698" s="346"/>
      <c r="AY698" s="346"/>
      <c r="AZ698" s="346"/>
      <c r="BA698" s="346"/>
      <c r="BB698" s="346"/>
      <c r="BC698" s="346"/>
      <c r="BD698" s="346"/>
      <c r="BE698" s="346"/>
      <c r="BF698" s="346"/>
      <c r="BG698" s="346"/>
      <c r="BH698" s="346"/>
      <c r="BI698" s="346"/>
      <c r="BJ698" s="346"/>
      <c r="BK698" s="346"/>
      <c r="BL698" s="346"/>
      <c r="BM698" s="346"/>
      <c r="BN698" s="346"/>
      <c r="BO698" s="346"/>
      <c r="BP698" s="346"/>
      <c r="BQ698" s="346"/>
      <c r="BR698" s="346"/>
      <c r="BS698" s="346"/>
      <c r="BT698" s="346"/>
      <c r="BU698" s="346"/>
      <c r="BV698" s="346"/>
      <c r="BW698" s="346"/>
      <c r="BX698" s="346"/>
      <c r="BY698" s="346"/>
      <c r="BZ698" s="346"/>
      <c r="CA698" s="346"/>
      <c r="CB698" s="346"/>
      <c r="CC698" s="346"/>
      <c r="CD698" s="352"/>
      <c r="CE698" s="346">
        <f t="shared" ref="CE698:DJ698" si="858">CE343</f>
        <v>3.7649300010000002</v>
      </c>
      <c r="CF698" s="346">
        <f t="shared" si="858"/>
        <v>3.654463367</v>
      </c>
      <c r="CG698" s="346">
        <f t="shared" si="858"/>
        <v>4.2003979640000004</v>
      </c>
      <c r="CH698" s="346">
        <f t="shared" si="858"/>
        <v>4.7701381339999998</v>
      </c>
      <c r="CI698" s="346">
        <f t="shared" si="858"/>
        <v>4.4225586779999997</v>
      </c>
      <c r="CJ698" s="346">
        <f t="shared" si="858"/>
        <v>4.662408235</v>
      </c>
      <c r="CK698" s="346">
        <f t="shared" si="858"/>
        <v>5.0886850260000003</v>
      </c>
      <c r="CL698" s="346">
        <f t="shared" si="858"/>
        <v>4.4849622350000002</v>
      </c>
      <c r="CM698" s="346">
        <f t="shared" si="858"/>
        <v>4.6669248640000003</v>
      </c>
      <c r="CN698" s="346">
        <f t="shared" si="858"/>
        <v>4.4794063450000001</v>
      </c>
      <c r="CO698" s="346">
        <f t="shared" si="858"/>
        <v>5.0232119920000002</v>
      </c>
      <c r="CP698" s="348">
        <f t="shared" si="858"/>
        <v>4.5355961279999999</v>
      </c>
      <c r="CQ698" s="346">
        <f t="shared" si="858"/>
        <v>4.4336139489999997</v>
      </c>
      <c r="CR698" s="346">
        <f t="shared" si="858"/>
        <v>4.37160057</v>
      </c>
      <c r="CS698" s="346">
        <f t="shared" si="858"/>
        <v>5.0647123540000001</v>
      </c>
      <c r="CT698" s="346">
        <f t="shared" si="858"/>
        <v>4.6030556569999996</v>
      </c>
      <c r="CU698" s="346">
        <f t="shared" si="858"/>
        <v>5.190752088</v>
      </c>
      <c r="CV698" s="346">
        <f t="shared" si="858"/>
        <v>5.0590093649999996</v>
      </c>
      <c r="CW698" s="346">
        <f t="shared" si="858"/>
        <v>5.779398284</v>
      </c>
      <c r="CX698" s="346">
        <f t="shared" si="858"/>
        <v>5.1601387259999996</v>
      </c>
      <c r="CY698" s="346">
        <f t="shared" si="858"/>
        <v>5.3850232470000003</v>
      </c>
      <c r="CZ698" s="346">
        <f t="shared" si="858"/>
        <v>5.4852656059999996</v>
      </c>
      <c r="DA698" s="346">
        <f t="shared" si="858"/>
        <v>6.3460526159999997</v>
      </c>
      <c r="DB698" s="1479">
        <f t="shared" si="858"/>
        <v>6.6693261149999996</v>
      </c>
      <c r="DC698" s="346">
        <f t="shared" si="858"/>
        <v>4.6211519734745101</v>
      </c>
      <c r="DD698" s="346">
        <f t="shared" si="858"/>
        <v>4.9415221481915275</v>
      </c>
      <c r="DE698" s="346">
        <f t="shared" si="858"/>
        <v>5.7931747312918791</v>
      </c>
      <c r="DF698" s="346">
        <f t="shared" si="858"/>
        <v>6.1671343117798232</v>
      </c>
      <c r="DG698" s="346">
        <f t="shared" si="858"/>
        <v>6.549681704796555</v>
      </c>
      <c r="DH698" s="346">
        <f t="shared" si="858"/>
        <v>6.4035085774146765</v>
      </c>
      <c r="DI698" s="346">
        <f t="shared" si="858"/>
        <v>6.1124778401467887</v>
      </c>
      <c r="DJ698" s="346">
        <f t="shared" si="858"/>
        <v>6.6401554021999516</v>
      </c>
      <c r="DK698" s="346">
        <f t="shared" ref="DK698:EP698" si="859">DK343</f>
        <v>6.5604545160844632</v>
      </c>
      <c r="DL698" s="346">
        <f t="shared" si="859"/>
        <v>6.3778043914593727</v>
      </c>
      <c r="DM698" s="346">
        <f t="shared" si="859"/>
        <v>7.3255949161749987</v>
      </c>
      <c r="DN698" s="348">
        <f t="shared" si="859"/>
        <v>7.4527377684728098</v>
      </c>
      <c r="DO698" s="346">
        <f t="shared" si="859"/>
        <v>5.8731630538802673</v>
      </c>
      <c r="DP698" s="346">
        <f t="shared" si="859"/>
        <v>6.8078431655664318</v>
      </c>
      <c r="DQ698" s="346">
        <f t="shared" si="859"/>
        <v>6.4688609146038862</v>
      </c>
      <c r="DR698" s="346">
        <f t="shared" si="859"/>
        <v>5.6332750131440354</v>
      </c>
      <c r="DS698" s="346">
        <f t="shared" si="859"/>
        <v>6.2808248521408157</v>
      </c>
      <c r="DT698" s="346">
        <f t="shared" si="859"/>
        <v>6.9785687391861932</v>
      </c>
      <c r="DU698" s="346">
        <f t="shared" si="859"/>
        <v>6.4535900326504123</v>
      </c>
      <c r="DV698" s="346">
        <f t="shared" si="859"/>
        <v>6.1666189870583787</v>
      </c>
      <c r="DW698" s="346">
        <f t="shared" si="859"/>
        <v>7.4766078562602099</v>
      </c>
      <c r="DX698" s="346">
        <f t="shared" si="859"/>
        <v>6.3795661551859313</v>
      </c>
      <c r="DY698" s="346">
        <f t="shared" si="859"/>
        <v>8.32572093050379</v>
      </c>
      <c r="DZ698" s="348">
        <f t="shared" si="859"/>
        <v>7.6946739900874261</v>
      </c>
      <c r="EA698" s="346">
        <f t="shared" si="859"/>
        <v>5.9709157452946702</v>
      </c>
      <c r="EB698" s="346">
        <f t="shared" si="859"/>
        <v>6.1930267862607513</v>
      </c>
      <c r="EC698" s="346">
        <f t="shared" si="859"/>
        <v>6.8366706782345226</v>
      </c>
      <c r="ED698" s="346">
        <f t="shared" si="859"/>
        <v>7.3996390542959301</v>
      </c>
      <c r="EE698" s="346">
        <f t="shared" si="859"/>
        <v>6.6481701830412749</v>
      </c>
      <c r="EF698" s="346">
        <f t="shared" si="859"/>
        <v>7.9097141246217415</v>
      </c>
      <c r="EG698" s="346">
        <f t="shared" si="859"/>
        <v>7.7976141556567224</v>
      </c>
      <c r="EH698" s="346">
        <f t="shared" si="859"/>
        <v>6.0899358810040418</v>
      </c>
      <c r="EI698" s="346">
        <f t="shared" si="859"/>
        <v>7.2599918001110302</v>
      </c>
      <c r="EJ698" s="346">
        <f t="shared" si="859"/>
        <v>6.09850100077443</v>
      </c>
      <c r="EK698" s="346">
        <f t="shared" si="859"/>
        <v>7.3423507888719568</v>
      </c>
      <c r="EL698" s="348">
        <f t="shared" si="859"/>
        <v>7.1986020821000141</v>
      </c>
      <c r="EM698" s="346">
        <f t="shared" si="859"/>
        <v>8.0683065989999996</v>
      </c>
      <c r="EN698" s="346">
        <f t="shared" si="859"/>
        <v>9.4906773229999999</v>
      </c>
      <c r="EO698" s="346">
        <f t="shared" si="859"/>
        <v>7.7190137740000004</v>
      </c>
      <c r="EP698" s="346">
        <f t="shared" si="859"/>
        <v>8.2399675400000003</v>
      </c>
      <c r="EQ698" s="346">
        <f t="shared" ref="EQ698:FP698" si="860">EQ343</f>
        <v>9.2015794169999996</v>
      </c>
      <c r="ER698" s="346">
        <f t="shared" si="860"/>
        <v>10.894658637999999</v>
      </c>
      <c r="ES698" s="346">
        <f t="shared" si="860"/>
        <v>10.052058144</v>
      </c>
      <c r="ET698" s="346">
        <f t="shared" si="860"/>
        <v>9.3441168450000003</v>
      </c>
      <c r="EU698" s="346">
        <f t="shared" si="860"/>
        <v>8.8959362710000001</v>
      </c>
      <c r="EV698" s="346">
        <f t="shared" si="860"/>
        <v>10.422192985000001</v>
      </c>
      <c r="EW698" s="346">
        <f t="shared" si="860"/>
        <v>10.007485909</v>
      </c>
      <c r="EX698" s="348">
        <f t="shared" si="860"/>
        <v>9.4093752990000006</v>
      </c>
      <c r="EY698" s="346">
        <f t="shared" si="860"/>
        <v>10.390131737999999</v>
      </c>
      <c r="EZ698" s="346">
        <f t="shared" si="860"/>
        <v>11.890927289</v>
      </c>
      <c r="FA698" s="346">
        <f t="shared" si="860"/>
        <v>8.7742525570000005</v>
      </c>
      <c r="FB698" s="346">
        <f t="shared" si="860"/>
        <v>9.9941077699999994</v>
      </c>
      <c r="FC698" s="346">
        <f t="shared" si="860"/>
        <v>10.75621766461</v>
      </c>
      <c r="FD698" s="346">
        <f t="shared" si="860"/>
        <v>12.063946789479999</v>
      </c>
      <c r="FE698" s="346">
        <f t="shared" si="860"/>
        <v>10.217109155700001</v>
      </c>
      <c r="FF698" s="346">
        <f t="shared" si="860"/>
        <v>9.7985069233100006</v>
      </c>
      <c r="FG698" s="346">
        <f t="shared" si="860"/>
        <v>10.521560971709999</v>
      </c>
      <c r="FH698" s="346">
        <f t="shared" si="860"/>
        <v>5.7948877540200003</v>
      </c>
      <c r="FI698" s="346">
        <f t="shared" si="860"/>
        <v>7.4764164659899999</v>
      </c>
      <c r="FJ698" s="348">
        <f t="shared" si="860"/>
        <v>9.4979612185600022</v>
      </c>
      <c r="FK698" s="346">
        <f t="shared" si="860"/>
        <v>9.2834013466618099</v>
      </c>
      <c r="FL698" s="346">
        <f t="shared" si="860"/>
        <v>10.647164430312086</v>
      </c>
      <c r="FM698" s="346">
        <f t="shared" si="860"/>
        <v>10.974569157896138</v>
      </c>
      <c r="FN698" s="346">
        <f t="shared" si="860"/>
        <v>12.099828045799677</v>
      </c>
      <c r="FO698" s="346">
        <f t="shared" si="860"/>
        <v>10.556424125698003</v>
      </c>
      <c r="FP698" s="346">
        <f t="shared" si="860"/>
        <v>11.376889681862176</v>
      </c>
      <c r="FQ698" s="346">
        <f t="shared" si="849"/>
        <v>7.8387063296804564</v>
      </c>
      <c r="FR698" s="346">
        <f t="shared" si="849"/>
        <v>9.0959619742715212</v>
      </c>
      <c r="FS698" s="346">
        <f t="shared" si="849"/>
        <v>10.724988879002872</v>
      </c>
      <c r="FT698" s="346">
        <f t="shared" si="849"/>
        <v>10.397643512870836</v>
      </c>
      <c r="FU698" s="346">
        <f t="shared" si="849"/>
        <v>9.4421136143409647</v>
      </c>
      <c r="FV698" s="346">
        <f t="shared" si="849"/>
        <v>11.266880211771658</v>
      </c>
      <c r="FW698" s="346">
        <v>9.4809287640814972</v>
      </c>
      <c r="FX698" s="346">
        <v>10.044828791337999</v>
      </c>
      <c r="FY698" s="346">
        <v>10.422652361827392</v>
      </c>
      <c r="FZ698" s="346">
        <v>10.199248105446308</v>
      </c>
      <c r="GA698" s="346">
        <v>10.527990284408517</v>
      </c>
      <c r="GB698" s="346">
        <v>12.42368400400418</v>
      </c>
      <c r="GC698" s="346">
        <v>9.3664109229519799</v>
      </c>
      <c r="GD698" s="346">
        <v>10.436108789197581</v>
      </c>
      <c r="GE698" s="346">
        <v>11.125297359105671</v>
      </c>
      <c r="GF698" s="346">
        <v>11.180707859421489</v>
      </c>
      <c r="GG698" s="346">
        <v>12.441656344522334</v>
      </c>
      <c r="GH698" s="346">
        <v>15.360749506889384</v>
      </c>
      <c r="GI698" s="346">
        <f t="shared" ref="GI698:GN698" si="861">GI343</f>
        <v>16.38637118794</v>
      </c>
      <c r="GJ698" s="346">
        <f t="shared" si="861"/>
        <v>18.870421394480001</v>
      </c>
      <c r="GK698" s="346">
        <f t="shared" si="861"/>
        <v>17.902703465620004</v>
      </c>
      <c r="GL698" s="346">
        <f t="shared" si="861"/>
        <v>15.911751761770001</v>
      </c>
      <c r="GM698" s="346">
        <f t="shared" si="861"/>
        <v>17.6898592149</v>
      </c>
      <c r="GN698" s="346">
        <f t="shared" si="861"/>
        <v>17.845496401392008</v>
      </c>
      <c r="GO698" s="346">
        <f t="shared" ref="GO698:HF698" si="862">GO343</f>
        <v>17.272801511078217</v>
      </c>
      <c r="GP698" s="346">
        <f t="shared" si="862"/>
        <v>17.937385359725457</v>
      </c>
      <c r="GQ698" s="346">
        <f t="shared" si="862"/>
        <v>18.388551817730875</v>
      </c>
      <c r="GR698" s="346">
        <f t="shared" si="862"/>
        <v>14.653189289850001</v>
      </c>
      <c r="GS698" s="346">
        <f t="shared" si="862"/>
        <v>19.5043521843</v>
      </c>
      <c r="GT698" s="346">
        <f t="shared" si="862"/>
        <v>19.236271389540001</v>
      </c>
      <c r="GU698" s="346">
        <f t="shared" si="862"/>
        <v>16.09821875718</v>
      </c>
      <c r="GV698" s="346">
        <f t="shared" si="862"/>
        <v>16.080309593607428</v>
      </c>
      <c r="GW698" s="346">
        <f t="shared" si="862"/>
        <v>15.752290386280876</v>
      </c>
      <c r="GX698" s="346">
        <f t="shared" si="862"/>
        <v>14.5539440301</v>
      </c>
      <c r="GY698" s="346">
        <f t="shared" si="862"/>
        <v>14.0387825207</v>
      </c>
      <c r="GZ698" s="346">
        <f t="shared" si="862"/>
        <v>15.96860227</v>
      </c>
      <c r="HA698" s="346">
        <f t="shared" si="862"/>
        <v>16.682865285489999</v>
      </c>
      <c r="HB698" s="346">
        <f t="shared" si="862"/>
        <v>14.36313648374</v>
      </c>
      <c r="HC698" s="346">
        <f t="shared" si="862"/>
        <v>15.680938436036636</v>
      </c>
      <c r="HD698" s="346">
        <f t="shared" si="862"/>
        <v>15.896748486989999</v>
      </c>
      <c r="HE698" s="346">
        <f t="shared" si="862"/>
        <v>18.334208299580002</v>
      </c>
      <c r="HF698" s="346">
        <f t="shared" si="862"/>
        <v>21.025106816680001</v>
      </c>
      <c r="HG698" s="346">
        <f t="shared" ref="HG698:HL698" si="863">HG343</f>
        <v>18.628259372650003</v>
      </c>
      <c r="HH698" s="346">
        <f t="shared" si="863"/>
        <v>21.175846789509997</v>
      </c>
      <c r="HI698" s="346">
        <f t="shared" si="863"/>
        <v>18.10141797767</v>
      </c>
      <c r="HJ698" s="346">
        <f t="shared" si="863"/>
        <v>20.43742023994</v>
      </c>
      <c r="HK698" s="346">
        <f t="shared" si="863"/>
        <v>17.264602129266152</v>
      </c>
      <c r="HL698" s="346">
        <f t="shared" si="863"/>
        <v>21.178159089283902</v>
      </c>
      <c r="HM698" s="346"/>
      <c r="HN698" s="349"/>
      <c r="HO698" s="1439" t="s">
        <v>520</v>
      </c>
      <c r="HP698" s="307">
        <f>SUM(CE698:CJ698)</f>
        <v>25.474896379</v>
      </c>
      <c r="HQ698" s="302">
        <f>SUM(CK698:CP698)</f>
        <v>28.278786590000003</v>
      </c>
      <c r="HR698" s="346">
        <f t="shared" si="698"/>
        <v>53.753682969000003</v>
      </c>
      <c r="HS698" s="302">
        <f>SUM(CQ698:CV698)</f>
        <v>28.722743983000001</v>
      </c>
      <c r="HT698" s="302">
        <f>SUM(CW698:DB698)</f>
        <v>34.825204593999992</v>
      </c>
      <c r="HU698" s="346">
        <f t="shared" si="678"/>
        <v>63.547948576999993</v>
      </c>
      <c r="HV698" s="307">
        <f>SUM(DC698:DH698)</f>
        <v>34.476173446948977</v>
      </c>
      <c r="HW698" s="302">
        <f>SUM(DI698:DN698)</f>
        <v>40.46922483453838</v>
      </c>
      <c r="HX698" s="346">
        <f t="shared" si="679"/>
        <v>74.945398281487357</v>
      </c>
      <c r="HY698" s="350">
        <f>SUM(DO698:DT698)</f>
        <v>38.042535738521629</v>
      </c>
      <c r="HZ698" s="302">
        <f>SUM(DU698:DZ698)</f>
        <v>42.496777951746147</v>
      </c>
      <c r="IA698" s="346">
        <f t="shared" si="680"/>
        <v>80.539313690267775</v>
      </c>
      <c r="IB698" s="302">
        <f>SUM(EA698:EF698)</f>
        <v>40.958136571748888</v>
      </c>
      <c r="IC698" s="302">
        <f>SUM(EG698:EL698)</f>
        <v>41.786995708518198</v>
      </c>
      <c r="ID698" s="346">
        <f t="shared" si="681"/>
        <v>82.745132280267086</v>
      </c>
      <c r="IE698" s="350">
        <f>SUM(EM698:ER698)</f>
        <v>53.614203290999995</v>
      </c>
      <c r="IF698" s="350">
        <f>SUM(ES698:EX698)</f>
        <v>58.131165453000008</v>
      </c>
      <c r="IG698" s="346">
        <f t="shared" si="682"/>
        <v>111.745368744</v>
      </c>
      <c r="IH698" s="350">
        <f>SUM(EY698:FD698)</f>
        <v>63.869583808089992</v>
      </c>
      <c r="II698" s="350">
        <f>SUM(FE698:FJ698)</f>
        <v>53.306442489289999</v>
      </c>
      <c r="IJ698" s="346">
        <f t="shared" si="683"/>
        <v>117.17602629737999</v>
      </c>
      <c r="IK698" s="350">
        <f>SUM(FK698:FP698)</f>
        <v>64.938276788229885</v>
      </c>
      <c r="IL698" s="350">
        <f t="shared" ref="IL698:IL719" si="864">SUM(FQ698:FV698)</f>
        <v>58.766294521938313</v>
      </c>
      <c r="IM698" s="346">
        <f t="shared" si="684"/>
        <v>123.70457131016821</v>
      </c>
      <c r="IN698" s="350">
        <f t="shared" ref="IN698:IN729" si="865">SUM(FW698:GB698)</f>
        <v>63.09933231110589</v>
      </c>
      <c r="IO698" s="350">
        <f t="shared" ref="IO698:IO729" si="866">SUM(GC698:GH698)</f>
        <v>69.910930782088442</v>
      </c>
      <c r="IP698" s="346">
        <f t="shared" si="685"/>
        <v>133.01026309319434</v>
      </c>
      <c r="IQ698" s="350">
        <f t="shared" ref="IQ698:IQ729" si="867">SUM(GI698:GN698)</f>
        <v>104.60660342610203</v>
      </c>
      <c r="IR698" s="350">
        <f t="shared" ref="IR698:IR729" si="868">SUM(GO698:GT698)</f>
        <v>106.99255155222457</v>
      </c>
      <c r="IS698" s="346">
        <f t="shared" si="686"/>
        <v>211.5991549783266</v>
      </c>
      <c r="IT698" s="350">
        <f t="shared" si="699"/>
        <v>92.492147557868307</v>
      </c>
      <c r="IU698" s="350">
        <f t="shared" si="707"/>
        <v>101.98300380851663</v>
      </c>
      <c r="IV698" s="346">
        <f t="shared" si="687"/>
        <v>194.47515136638492</v>
      </c>
      <c r="IW698" s="350">
        <f t="shared" si="700"/>
        <v>116.78570559832005</v>
      </c>
      <c r="IX698" s="350">
        <f t="shared" si="688"/>
        <v>105.95124654617663</v>
      </c>
      <c r="IY698" s="346">
        <f>FISC!AJ1020</f>
        <v>222.73695214449668</v>
      </c>
      <c r="IZ698" s="350">
        <f>JB698*0.52</f>
        <v>124.31842002495875</v>
      </c>
      <c r="JA698" s="302">
        <f t="shared" si="689"/>
        <v>114.75546463842346</v>
      </c>
      <c r="JB698" s="346">
        <f>FISC!AK1020</f>
        <v>239.07388466338222</v>
      </c>
      <c r="JC698" s="350">
        <f>JE698*0.52</f>
        <v>143.40017694717295</v>
      </c>
      <c r="JD698" s="302">
        <f t="shared" si="690"/>
        <v>132.36939410508273</v>
      </c>
      <c r="JE698" s="346">
        <f>FISC!AL1020</f>
        <v>275.76957105225569</v>
      </c>
      <c r="JF698" s="350">
        <f>JH698*0.52</f>
        <v>173.2524852452654</v>
      </c>
      <c r="JG698" s="302">
        <f t="shared" si="691"/>
        <v>159.92537099562958</v>
      </c>
      <c r="JH698" s="346">
        <f>FISC!AM1020</f>
        <v>333.17785624089498</v>
      </c>
      <c r="JI698" s="350">
        <f>JK698*0.52</f>
        <v>199.75021776118507</v>
      </c>
      <c r="JJ698" s="302">
        <f t="shared" si="701"/>
        <v>184.38481639494006</v>
      </c>
      <c r="JK698" s="346">
        <f>FISC!AN1020</f>
        <v>384.13503415612513</v>
      </c>
      <c r="JL698" s="350">
        <f>JN698*0.52</f>
        <v>220.12630414303251</v>
      </c>
      <c r="JM698" s="302">
        <f t="shared" si="692"/>
        <v>203.19351151664537</v>
      </c>
      <c r="JN698" s="346">
        <f>FISC!AO1020</f>
        <v>423.31981565967789</v>
      </c>
      <c r="KI698" s="349"/>
      <c r="KJ698" s="350"/>
    </row>
    <row r="699" spans="1:296" hidden="1" outlineLevel="1">
      <c r="A699" s="302"/>
      <c r="D699" s="1636" t="s">
        <v>3142</v>
      </c>
      <c r="E699" s="346"/>
      <c r="F699" s="346"/>
      <c r="G699" s="346"/>
      <c r="H699" s="346"/>
      <c r="I699" s="346"/>
      <c r="J699" s="346"/>
      <c r="K699" s="346"/>
      <c r="L699" s="346"/>
      <c r="M699" s="346"/>
      <c r="N699" s="346"/>
      <c r="O699" s="346"/>
      <c r="P699" s="346"/>
      <c r="Q699" s="346"/>
      <c r="R699" s="346"/>
      <c r="S699" s="346"/>
      <c r="T699" s="346"/>
      <c r="U699" s="346"/>
      <c r="V699" s="346"/>
      <c r="W699" s="346"/>
      <c r="X699" s="346"/>
      <c r="Y699" s="346"/>
      <c r="Z699" s="346"/>
      <c r="AA699" s="346"/>
      <c r="AB699" s="346"/>
      <c r="AC699" s="346"/>
      <c r="AD699" s="346"/>
      <c r="AE699" s="346"/>
      <c r="AF699" s="346"/>
      <c r="AG699" s="346"/>
      <c r="AH699" s="346"/>
      <c r="AI699" s="346"/>
      <c r="AJ699" s="346"/>
      <c r="AK699" s="346"/>
      <c r="AL699" s="346"/>
      <c r="AM699" s="346"/>
      <c r="AN699" s="346"/>
      <c r="AO699" s="346"/>
      <c r="AP699" s="346"/>
      <c r="AQ699" s="346"/>
      <c r="AR699" s="346"/>
      <c r="AS699" s="346"/>
      <c r="AT699" s="346"/>
      <c r="AU699" s="346"/>
      <c r="AV699" s="346"/>
      <c r="AW699" s="346"/>
      <c r="AX699" s="346"/>
      <c r="AY699" s="346"/>
      <c r="AZ699" s="346"/>
      <c r="BA699" s="346"/>
      <c r="BB699" s="346"/>
      <c r="BC699" s="346"/>
      <c r="BD699" s="346"/>
      <c r="BE699" s="346"/>
      <c r="BF699" s="346"/>
      <c r="BG699" s="346"/>
      <c r="BH699" s="346"/>
      <c r="BI699" s="346"/>
      <c r="BJ699" s="346"/>
      <c r="BK699" s="346"/>
      <c r="BL699" s="346"/>
      <c r="BM699" s="346"/>
      <c r="BN699" s="346"/>
      <c r="BO699" s="346"/>
      <c r="BP699" s="346"/>
      <c r="BQ699" s="346"/>
      <c r="BR699" s="346"/>
      <c r="BS699" s="346"/>
      <c r="BT699" s="346"/>
      <c r="BU699" s="346"/>
      <c r="BV699" s="346"/>
      <c r="BW699" s="346"/>
      <c r="BX699" s="346"/>
      <c r="BY699" s="346"/>
      <c r="BZ699" s="346"/>
      <c r="CA699" s="346"/>
      <c r="CB699" s="346"/>
      <c r="CC699" s="346"/>
      <c r="CD699" s="352"/>
      <c r="CE699" s="346">
        <v>0</v>
      </c>
      <c r="CF699" s="346">
        <v>0</v>
      </c>
      <c r="CG699" s="346">
        <v>0</v>
      </c>
      <c r="CH699" s="346">
        <v>0</v>
      </c>
      <c r="CI699" s="346">
        <v>0</v>
      </c>
      <c r="CJ699" s="346">
        <v>0</v>
      </c>
      <c r="CK699" s="346">
        <v>0</v>
      </c>
      <c r="CL699" s="346">
        <v>0</v>
      </c>
      <c r="CM699" s="346">
        <v>0</v>
      </c>
      <c r="CN699" s="346">
        <v>0</v>
      </c>
      <c r="CO699" s="346">
        <v>0</v>
      </c>
      <c r="CP699" s="348">
        <v>0</v>
      </c>
      <c r="CQ699" s="346"/>
      <c r="CR699" s="346"/>
      <c r="CS699" s="346"/>
      <c r="CT699" s="346"/>
      <c r="CU699" s="346"/>
      <c r="CV699" s="346"/>
      <c r="CW699" s="346"/>
      <c r="CX699" s="346"/>
      <c r="CY699" s="346"/>
      <c r="CZ699" s="346"/>
      <c r="DA699" s="346"/>
      <c r="DB699" s="1479"/>
      <c r="DC699" s="346"/>
      <c r="DD699" s="346"/>
      <c r="DE699" s="346"/>
      <c r="DF699" s="346"/>
      <c r="DG699" s="346"/>
      <c r="DH699" s="346"/>
      <c r="DI699" s="346"/>
      <c r="DJ699" s="346"/>
      <c r="DK699" s="346"/>
      <c r="DL699" s="346"/>
      <c r="DM699" s="346"/>
      <c r="DN699" s="348"/>
      <c r="DO699" s="346"/>
      <c r="DP699" s="346"/>
      <c r="DQ699" s="346"/>
      <c r="DR699" s="346"/>
      <c r="DS699" s="346"/>
      <c r="DT699" s="346"/>
      <c r="DU699" s="346"/>
      <c r="DV699" s="346"/>
      <c r="DW699" s="346"/>
      <c r="DX699" s="346"/>
      <c r="DY699" s="346"/>
      <c r="DZ699" s="348"/>
      <c r="EA699" s="346"/>
      <c r="EB699" s="346"/>
      <c r="EC699" s="346"/>
      <c r="ED699" s="346"/>
      <c r="EE699" s="346"/>
      <c r="EF699" s="346"/>
      <c r="EG699" s="346"/>
      <c r="EH699" s="346"/>
      <c r="EI699" s="346"/>
      <c r="EJ699" s="346"/>
      <c r="EK699" s="346"/>
      <c r="EL699" s="348"/>
      <c r="EM699" s="346"/>
      <c r="EN699" s="346"/>
      <c r="EO699" s="346"/>
      <c r="EP699" s="346"/>
      <c r="EQ699" s="346"/>
      <c r="ER699" s="346"/>
      <c r="ES699" s="346"/>
      <c r="ET699" s="346"/>
      <c r="EU699" s="346"/>
      <c r="EV699" s="346"/>
      <c r="EW699" s="346"/>
      <c r="EX699" s="348"/>
      <c r="EY699" s="346"/>
      <c r="EZ699" s="346"/>
      <c r="FA699" s="346"/>
      <c r="FB699" s="346"/>
      <c r="FC699" s="346"/>
      <c r="FD699" s="346"/>
      <c r="FE699" s="346"/>
      <c r="FF699" s="346"/>
      <c r="FG699" s="346"/>
      <c r="FH699" s="346"/>
      <c r="FI699" s="346"/>
      <c r="FJ699" s="348"/>
      <c r="FK699" s="346"/>
      <c r="FL699" s="346"/>
      <c r="FM699" s="346"/>
      <c r="FN699" s="346"/>
      <c r="FO699" s="346"/>
      <c r="FP699" s="346"/>
      <c r="FQ699" s="346"/>
      <c r="FR699" s="346"/>
      <c r="FS699" s="346"/>
      <c r="FT699" s="346"/>
      <c r="FU699" s="346"/>
      <c r="FV699" s="346"/>
      <c r="FW699" s="346">
        <v>1.142374225</v>
      </c>
      <c r="FX699" s="346">
        <v>1.3714005600000001</v>
      </c>
      <c r="FY699" s="346">
        <v>1.3486233999999999</v>
      </c>
      <c r="FZ699" s="346">
        <v>1.3361463929999999</v>
      </c>
      <c r="GA699" s="346">
        <v>1.3245327259999999</v>
      </c>
      <c r="GB699" s="346">
        <v>1.570408018</v>
      </c>
      <c r="GC699" s="346">
        <v>1.426327613</v>
      </c>
      <c r="GD699" s="346">
        <v>1.3598600949999999</v>
      </c>
      <c r="GE699" s="346">
        <v>1.47652962</v>
      </c>
      <c r="GF699" s="346">
        <v>1.671819607</v>
      </c>
      <c r="GG699" s="346">
        <v>1.781849389</v>
      </c>
      <c r="GH699" s="346">
        <v>2.2344886580000001</v>
      </c>
      <c r="GI699" s="346">
        <v>1.879521035</v>
      </c>
      <c r="GJ699" s="346">
        <v>2.1783190979999998</v>
      </c>
      <c r="GK699" s="346">
        <v>2.1223117720000002</v>
      </c>
      <c r="GL699" s="346">
        <v>1.8411083859999999</v>
      </c>
      <c r="GM699" s="346">
        <v>2.0267621070000001</v>
      </c>
      <c r="GN699" s="346">
        <v>2.1458013060000001</v>
      </c>
      <c r="GO699" s="346">
        <v>2.0240819110000001</v>
      </c>
      <c r="GP699" s="346">
        <v>1.9149301700000001</v>
      </c>
      <c r="GQ699" s="346">
        <v>2.1255325799999998</v>
      </c>
      <c r="GR699" s="346">
        <v>1.6310646289999999</v>
      </c>
      <c r="GS699" s="346">
        <v>2.2950203239999998</v>
      </c>
      <c r="GT699" s="346">
        <v>2.2538759659999998</v>
      </c>
      <c r="GU699" s="346">
        <v>2.12214714</v>
      </c>
      <c r="GV699" s="346">
        <v>2.1670857479999999</v>
      </c>
      <c r="GW699" s="346">
        <v>2.1718456270000002</v>
      </c>
      <c r="GX699" s="346">
        <v>2.220623019</v>
      </c>
      <c r="GY699" s="346">
        <v>2.204828091</v>
      </c>
      <c r="GZ699" s="346">
        <v>2.442708648</v>
      </c>
      <c r="HA699" s="346">
        <v>2.610357413</v>
      </c>
      <c r="HB699" s="346">
        <v>2.18930932</v>
      </c>
      <c r="HC699" s="346">
        <v>2.5189404280000001</v>
      </c>
      <c r="HD699" s="346">
        <v>2.7636696440000001</v>
      </c>
      <c r="HE699" s="346">
        <v>2.744250488</v>
      </c>
      <c r="HF699" s="346">
        <v>3.0336654850000002</v>
      </c>
      <c r="HG699" s="346">
        <v>2.7809004339999999</v>
      </c>
      <c r="HH699" s="346">
        <v>2.9228121969999998</v>
      </c>
      <c r="HI699" s="346">
        <v>2.6849386069999999</v>
      </c>
      <c r="HJ699" s="346">
        <v>2.7153306050000001</v>
      </c>
      <c r="HK699" s="346">
        <v>2.5944976670000002</v>
      </c>
      <c r="HL699" s="346">
        <v>2.8544775250000001</v>
      </c>
      <c r="HM699" s="346"/>
      <c r="HN699" s="349"/>
      <c r="HO699" s="1636" t="s">
        <v>3142</v>
      </c>
      <c r="HP699" s="307"/>
      <c r="HR699" s="346"/>
      <c r="HU699" s="346"/>
      <c r="HV699" s="307"/>
      <c r="HX699" s="346"/>
      <c r="HY699" s="350"/>
      <c r="IA699" s="346"/>
      <c r="ID699" s="346"/>
      <c r="IE699" s="350"/>
      <c r="IF699" s="350"/>
      <c r="IG699" s="346"/>
      <c r="IH699" s="350"/>
      <c r="II699" s="350"/>
      <c r="IJ699" s="346"/>
      <c r="IK699" s="350">
        <v>7.2977012000000006</v>
      </c>
      <c r="IL699" s="350">
        <f t="shared" si="864"/>
        <v>0</v>
      </c>
      <c r="IM699" s="346">
        <f t="shared" si="684"/>
        <v>7.2977012000000006</v>
      </c>
      <c r="IN699" s="350">
        <f t="shared" si="865"/>
        <v>8.0934853219999994</v>
      </c>
      <c r="IO699" s="350">
        <f t="shared" si="866"/>
        <v>9.9508749820000002</v>
      </c>
      <c r="IP699" s="346">
        <f t="shared" si="685"/>
        <v>18.044360304000001</v>
      </c>
      <c r="IQ699" s="350">
        <f t="shared" si="867"/>
        <v>12.193823704</v>
      </c>
      <c r="IR699" s="350">
        <f t="shared" si="868"/>
        <v>12.244505579999998</v>
      </c>
      <c r="IS699" s="346">
        <f t="shared" si="686"/>
        <v>24.438329283999998</v>
      </c>
      <c r="IT699" s="350">
        <f t="shared" si="699"/>
        <v>13.329238273</v>
      </c>
      <c r="IU699" s="350">
        <f t="shared" si="707"/>
        <v>15.860192778000002</v>
      </c>
      <c r="IV699" s="346">
        <f t="shared" si="687"/>
        <v>29.189431051</v>
      </c>
      <c r="IW699" s="350">
        <f t="shared" si="700"/>
        <v>16.552957034999999</v>
      </c>
      <c r="IX699" s="350">
        <f t="shared" si="688"/>
        <v>12.854101760600003</v>
      </c>
      <c r="IY699" s="346">
        <f>FISC!AJ1021</f>
        <v>29.407058795600001</v>
      </c>
      <c r="IZ699" s="350">
        <f>JB699*0.52</f>
        <v>16.732748013715394</v>
      </c>
      <c r="JA699" s="302">
        <f t="shared" si="689"/>
        <v>15.445613551121902</v>
      </c>
      <c r="JB699" s="346">
        <f>FISC!AK1021</f>
        <v>32.178361564837296</v>
      </c>
      <c r="JC699" s="350">
        <f>JE699*0.52</f>
        <v>20.088446207753876</v>
      </c>
      <c r="JD699" s="302">
        <f t="shared" si="690"/>
        <v>18.54318111484973</v>
      </c>
      <c r="JE699" s="346">
        <f>FISC!AL1021</f>
        <v>38.631627322603606</v>
      </c>
      <c r="JF699" s="350">
        <f>JH699*0.52</f>
        <v>23.468252465353913</v>
      </c>
      <c r="JG699" s="302">
        <f t="shared" si="691"/>
        <v>21.6630022757113</v>
      </c>
      <c r="JH699" s="346">
        <f>FISC!AM1021</f>
        <v>45.131254741065213</v>
      </c>
      <c r="JI699" s="350">
        <f>JK699*0.52</f>
        <v>21.778349336553894</v>
      </c>
      <c r="JJ699" s="302">
        <f t="shared" si="701"/>
        <v>20.103091695280519</v>
      </c>
      <c r="JK699" s="346">
        <f>FISC!AN1021</f>
        <v>41.881441031834413</v>
      </c>
      <c r="JL699" s="350">
        <f>JN699*0.52</f>
        <v>22.623300900953904</v>
      </c>
      <c r="JM699" s="302">
        <f t="shared" si="692"/>
        <v>20.883046985495913</v>
      </c>
      <c r="JN699" s="346">
        <f>FISC!AO1021</f>
        <v>43.506347886449817</v>
      </c>
      <c r="KI699" s="349"/>
      <c r="KJ699" s="350"/>
    </row>
    <row r="700" spans="1:296" hidden="1" outlineLevel="1">
      <c r="A700" s="302"/>
      <c r="D700" s="1636" t="s">
        <v>3143</v>
      </c>
      <c r="E700" s="346"/>
      <c r="F700" s="346"/>
      <c r="G700" s="346"/>
      <c r="H700" s="346"/>
      <c r="I700" s="346"/>
      <c r="J700" s="346"/>
      <c r="K700" s="346"/>
      <c r="L700" s="346"/>
      <c r="M700" s="346"/>
      <c r="N700" s="346"/>
      <c r="O700" s="346"/>
      <c r="P700" s="346"/>
      <c r="Q700" s="346"/>
      <c r="R700" s="346"/>
      <c r="S700" s="346"/>
      <c r="T700" s="346"/>
      <c r="U700" s="346"/>
      <c r="V700" s="346"/>
      <c r="W700" s="346"/>
      <c r="X700" s="346"/>
      <c r="Y700" s="346"/>
      <c r="Z700" s="346"/>
      <c r="AA700" s="346"/>
      <c r="AB700" s="346"/>
      <c r="AC700" s="346"/>
      <c r="AD700" s="346"/>
      <c r="AE700" s="346"/>
      <c r="AF700" s="346"/>
      <c r="AG700" s="346"/>
      <c r="AH700" s="346"/>
      <c r="AI700" s="346"/>
      <c r="AJ700" s="346"/>
      <c r="AK700" s="346"/>
      <c r="AL700" s="346"/>
      <c r="AM700" s="346"/>
      <c r="AN700" s="346"/>
      <c r="AO700" s="346"/>
      <c r="AP700" s="346"/>
      <c r="AQ700" s="346"/>
      <c r="AR700" s="346"/>
      <c r="AS700" s="346"/>
      <c r="AT700" s="346"/>
      <c r="AU700" s="346"/>
      <c r="AV700" s="346"/>
      <c r="AW700" s="346"/>
      <c r="AX700" s="346"/>
      <c r="AY700" s="346"/>
      <c r="AZ700" s="346"/>
      <c r="BA700" s="346"/>
      <c r="BB700" s="346"/>
      <c r="BC700" s="346"/>
      <c r="BD700" s="346"/>
      <c r="BE700" s="346"/>
      <c r="BF700" s="346"/>
      <c r="BG700" s="346"/>
      <c r="BH700" s="346"/>
      <c r="BI700" s="346"/>
      <c r="BJ700" s="346"/>
      <c r="BK700" s="346"/>
      <c r="BL700" s="346"/>
      <c r="BM700" s="346"/>
      <c r="BN700" s="346"/>
      <c r="BO700" s="346"/>
      <c r="BP700" s="346"/>
      <c r="BQ700" s="346"/>
      <c r="BR700" s="346"/>
      <c r="BS700" s="346"/>
      <c r="BT700" s="346"/>
      <c r="BU700" s="346"/>
      <c r="BV700" s="346"/>
      <c r="BW700" s="346"/>
      <c r="BX700" s="346"/>
      <c r="BY700" s="346"/>
      <c r="BZ700" s="346"/>
      <c r="CA700" s="346"/>
      <c r="CB700" s="346"/>
      <c r="CC700" s="346"/>
      <c r="CD700" s="352"/>
      <c r="CE700" s="346">
        <v>0</v>
      </c>
      <c r="CF700" s="346">
        <v>0</v>
      </c>
      <c r="CG700" s="346">
        <v>0</v>
      </c>
      <c r="CH700" s="346">
        <v>0</v>
      </c>
      <c r="CI700" s="346">
        <v>0</v>
      </c>
      <c r="CJ700" s="346">
        <v>0</v>
      </c>
      <c r="CK700" s="346">
        <v>0</v>
      </c>
      <c r="CL700" s="346">
        <v>0</v>
      </c>
      <c r="CM700" s="346">
        <v>0</v>
      </c>
      <c r="CN700" s="346">
        <v>0</v>
      </c>
      <c r="CO700" s="346">
        <v>0</v>
      </c>
      <c r="CP700" s="348">
        <v>0</v>
      </c>
      <c r="CQ700" s="346"/>
      <c r="CR700" s="346"/>
      <c r="CS700" s="346"/>
      <c r="CT700" s="346"/>
      <c r="CU700" s="346"/>
      <c r="CV700" s="346"/>
      <c r="CW700" s="346"/>
      <c r="CX700" s="346"/>
      <c r="CY700" s="346"/>
      <c r="CZ700" s="346"/>
      <c r="DA700" s="346"/>
      <c r="DB700" s="1479"/>
      <c r="DC700" s="346"/>
      <c r="DD700" s="346"/>
      <c r="DE700" s="346"/>
      <c r="DF700" s="346"/>
      <c r="DG700" s="346"/>
      <c r="DH700" s="346"/>
      <c r="DI700" s="346"/>
      <c r="DJ700" s="346"/>
      <c r="DK700" s="346"/>
      <c r="DL700" s="346"/>
      <c r="DM700" s="346"/>
      <c r="DN700" s="348"/>
      <c r="DO700" s="346"/>
      <c r="DP700" s="346"/>
      <c r="DQ700" s="346"/>
      <c r="DR700" s="346"/>
      <c r="DS700" s="346"/>
      <c r="DT700" s="346"/>
      <c r="DU700" s="346"/>
      <c r="DV700" s="346"/>
      <c r="DW700" s="346"/>
      <c r="DX700" s="346"/>
      <c r="DY700" s="346"/>
      <c r="DZ700" s="348"/>
      <c r="EA700" s="346"/>
      <c r="EB700" s="346"/>
      <c r="EC700" s="346"/>
      <c r="ED700" s="346"/>
      <c r="EE700" s="346"/>
      <c r="EF700" s="346"/>
      <c r="EG700" s="346"/>
      <c r="EH700" s="346"/>
      <c r="EI700" s="346"/>
      <c r="EJ700" s="346"/>
      <c r="EK700" s="346"/>
      <c r="EL700" s="348"/>
      <c r="EM700" s="346"/>
      <c r="EN700" s="346"/>
      <c r="EO700" s="346"/>
      <c r="EP700" s="346"/>
      <c r="EQ700" s="346"/>
      <c r="ER700" s="346"/>
      <c r="ES700" s="346"/>
      <c r="ET700" s="346"/>
      <c r="EU700" s="346"/>
      <c r="EV700" s="346"/>
      <c r="EW700" s="346"/>
      <c r="EX700" s="348"/>
      <c r="EY700" s="346"/>
      <c r="EZ700" s="346"/>
      <c r="FA700" s="346"/>
      <c r="FB700" s="346"/>
      <c r="FC700" s="346"/>
      <c r="FD700" s="346"/>
      <c r="FE700" s="346"/>
      <c r="FF700" s="346"/>
      <c r="FG700" s="346"/>
      <c r="FH700" s="346"/>
      <c r="FI700" s="346"/>
      <c r="FJ700" s="348"/>
      <c r="FK700" s="346"/>
      <c r="FL700" s="346"/>
      <c r="FM700" s="346"/>
      <c r="FN700" s="346"/>
      <c r="FO700" s="346"/>
      <c r="FP700" s="346"/>
      <c r="FQ700" s="346"/>
      <c r="FR700" s="346"/>
      <c r="FS700" s="346"/>
      <c r="FT700" s="346"/>
      <c r="FU700" s="346"/>
      <c r="FV700" s="346"/>
      <c r="FW700" s="346">
        <v>0.151499141</v>
      </c>
      <c r="FX700" s="346">
        <v>0.17055729</v>
      </c>
      <c r="FY700" s="346">
        <v>0.17473365900000001</v>
      </c>
      <c r="FZ700" s="346">
        <v>0.174869108</v>
      </c>
      <c r="GA700" s="346">
        <v>0.168777448</v>
      </c>
      <c r="GB700" s="346">
        <v>0.18668902400000001</v>
      </c>
      <c r="GC700" s="346">
        <v>0.19409479399999999</v>
      </c>
      <c r="GD700" s="346">
        <v>0.17683579099999999</v>
      </c>
      <c r="GE700" s="346">
        <v>0.19785641300000001</v>
      </c>
      <c r="GF700" s="346">
        <v>0.20060424399999999</v>
      </c>
      <c r="GG700" s="346">
        <v>0.227485671</v>
      </c>
      <c r="GH700" s="346">
        <v>0.28658639400000002</v>
      </c>
      <c r="GI700" s="346">
        <v>0.239341902</v>
      </c>
      <c r="GJ700" s="346">
        <v>0.28002997600000001</v>
      </c>
      <c r="GK700" s="346">
        <v>0.271350231</v>
      </c>
      <c r="GL700" s="346">
        <v>0.236687542</v>
      </c>
      <c r="GM700" s="346">
        <v>0.25746289900000002</v>
      </c>
      <c r="GN700" s="346">
        <v>0.27490142899999997</v>
      </c>
      <c r="GO700" s="346">
        <v>0.25368069700000001</v>
      </c>
      <c r="GP700" s="346">
        <v>0.23767899100000001</v>
      </c>
      <c r="GQ700" s="346">
        <v>0.26934907299999999</v>
      </c>
      <c r="GR700" s="346">
        <v>0.181288001</v>
      </c>
      <c r="GS700" s="346">
        <v>0.292236985</v>
      </c>
      <c r="GT700" s="346">
        <v>0.284246844</v>
      </c>
      <c r="GU700" s="346">
        <v>0.26954578499999998</v>
      </c>
      <c r="GV700" s="346">
        <v>0.27515811400000001</v>
      </c>
      <c r="GW700" s="346">
        <v>0.273028508</v>
      </c>
      <c r="GX700" s="346">
        <v>0.281283269</v>
      </c>
      <c r="GY700" s="346">
        <v>0.28033565500000002</v>
      </c>
      <c r="GZ700" s="346">
        <v>0.313937097</v>
      </c>
      <c r="HA700" s="346">
        <v>0.32739517299999998</v>
      </c>
      <c r="HB700" s="346">
        <v>0.273230957</v>
      </c>
      <c r="HC700" s="346">
        <v>0.31121012799999997</v>
      </c>
      <c r="HD700" s="346">
        <v>0.34604845400000001</v>
      </c>
      <c r="HE700" s="346">
        <v>0.34641095999999999</v>
      </c>
      <c r="HF700" s="346">
        <v>0.39034159400000001</v>
      </c>
      <c r="HG700" s="346">
        <v>0.35167994200000002</v>
      </c>
      <c r="HH700" s="346">
        <v>0.37136045600000001</v>
      </c>
      <c r="HI700" s="346">
        <v>0.34176325600000002</v>
      </c>
      <c r="HJ700" s="346">
        <v>0.33996253399999998</v>
      </c>
      <c r="HK700" s="346">
        <v>0.32839048399999998</v>
      </c>
      <c r="HL700" s="346">
        <v>0.35310061599999998</v>
      </c>
      <c r="HM700" s="346"/>
      <c r="HN700" s="349"/>
      <c r="HO700" s="1636" t="s">
        <v>3143</v>
      </c>
      <c r="HP700" s="307"/>
      <c r="HR700" s="346"/>
      <c r="HU700" s="346"/>
      <c r="HV700" s="307"/>
      <c r="HX700" s="346"/>
      <c r="HY700" s="350"/>
      <c r="IA700" s="346"/>
      <c r="ID700" s="346"/>
      <c r="IE700" s="350"/>
      <c r="IF700" s="350"/>
      <c r="IG700" s="346"/>
      <c r="IH700" s="350"/>
      <c r="II700" s="350"/>
      <c r="IJ700" s="346"/>
      <c r="IK700" s="350">
        <f t="shared" ref="IK700:IK717" si="869">SUM(FK700:FP700)</f>
        <v>0</v>
      </c>
      <c r="IL700" s="350">
        <f t="shared" si="864"/>
        <v>0</v>
      </c>
      <c r="IM700" s="346">
        <f>IK700+IL700</f>
        <v>0</v>
      </c>
      <c r="IN700" s="350">
        <f t="shared" si="865"/>
        <v>1.0271256700000002</v>
      </c>
      <c r="IO700" s="350">
        <f t="shared" si="866"/>
        <v>1.2834633069999999</v>
      </c>
      <c r="IP700" s="346">
        <f t="shared" si="685"/>
        <v>2.3105889770000001</v>
      </c>
      <c r="IQ700" s="350">
        <f t="shared" si="867"/>
        <v>1.5597739790000003</v>
      </c>
      <c r="IR700" s="350">
        <f t="shared" si="868"/>
        <v>1.5184805909999999</v>
      </c>
      <c r="IS700" s="346">
        <f t="shared" si="686"/>
        <v>3.0782545700000004</v>
      </c>
      <c r="IT700" s="350">
        <f t="shared" ref="IT700:IT716" si="870">SUM(GU700:GZ700)</f>
        <v>1.693288428</v>
      </c>
      <c r="IU700" s="350">
        <f t="shared" si="707"/>
        <v>1.9946372659999998</v>
      </c>
      <c r="IV700" s="346">
        <f t="shared" si="687"/>
        <v>3.6879256939999996</v>
      </c>
      <c r="IW700" s="350">
        <f t="shared" si="700"/>
        <v>2.0862572880000001</v>
      </c>
      <c r="IX700" s="350">
        <f t="shared" si="688"/>
        <v>1.6924443517007712</v>
      </c>
      <c r="IY700" s="346">
        <f>FISC!AJ1022</f>
        <v>3.7787016397007713</v>
      </c>
      <c r="IZ700" s="350">
        <f>JB700*0.52</f>
        <v>2.090552545717419</v>
      </c>
      <c r="JA700" s="302">
        <f t="shared" si="689"/>
        <v>1.9297408114314636</v>
      </c>
      <c r="JB700" s="346">
        <f>FISC!AK1022</f>
        <v>4.0202933571488826</v>
      </c>
      <c r="JC700" s="350">
        <f>JE700*0.52</f>
        <v>2.5217477344743235</v>
      </c>
      <c r="JD700" s="302">
        <f t="shared" si="690"/>
        <v>2.3277671395147603</v>
      </c>
      <c r="JE700" s="346">
        <f>FISC!AL1022</f>
        <v>4.8495148739890839</v>
      </c>
      <c r="JF700" s="350">
        <f>JH700*0.52</f>
        <v>2.9560407229786709</v>
      </c>
      <c r="JG700" s="302">
        <f t="shared" si="691"/>
        <v>2.7286529750572348</v>
      </c>
      <c r="JH700" s="346">
        <f>FISC!AM1022</f>
        <v>5.6846936980359057</v>
      </c>
      <c r="JI700" s="350">
        <f>JK700*0.52</f>
        <v>3.1719999999999997</v>
      </c>
      <c r="JJ700" s="302">
        <f t="shared" si="701"/>
        <v>2.9279999999999999</v>
      </c>
      <c r="JK700" s="346">
        <f>FISC!AN1022</f>
        <v>6.1</v>
      </c>
      <c r="JL700" s="350">
        <f>JN700*0.52</f>
        <v>3.1719999999999997</v>
      </c>
      <c r="JM700" s="302">
        <f t="shared" si="692"/>
        <v>2.9279999999999999</v>
      </c>
      <c r="JN700" s="346">
        <f>FISC!AO1022</f>
        <v>6.1</v>
      </c>
      <c r="KI700" s="349"/>
      <c r="KJ700" s="350"/>
    </row>
    <row r="701" spans="1:296" hidden="1" outlineLevel="1">
      <c r="A701" s="302"/>
      <c r="D701" s="1439" t="s">
        <v>521</v>
      </c>
      <c r="E701" s="346"/>
      <c r="F701" s="346"/>
      <c r="G701" s="346"/>
      <c r="H701" s="346"/>
      <c r="I701" s="346"/>
      <c r="J701" s="346"/>
      <c r="K701" s="346"/>
      <c r="L701" s="346"/>
      <c r="M701" s="346"/>
      <c r="N701" s="346"/>
      <c r="O701" s="346"/>
      <c r="P701" s="346"/>
      <c r="Q701" s="346"/>
      <c r="R701" s="346"/>
      <c r="S701" s="346"/>
      <c r="T701" s="346"/>
      <c r="U701" s="346"/>
      <c r="V701" s="346"/>
      <c r="W701" s="346"/>
      <c r="X701" s="346"/>
      <c r="Y701" s="346"/>
      <c r="Z701" s="346"/>
      <c r="AA701" s="346"/>
      <c r="AB701" s="346"/>
      <c r="AC701" s="346"/>
      <c r="AD701" s="346"/>
      <c r="AE701" s="346"/>
      <c r="AF701" s="346"/>
      <c r="AG701" s="346"/>
      <c r="AH701" s="346"/>
      <c r="AI701" s="346"/>
      <c r="AJ701" s="346"/>
      <c r="AK701" s="346"/>
      <c r="AL701" s="346"/>
      <c r="AM701" s="346"/>
      <c r="AN701" s="346"/>
      <c r="AO701" s="346"/>
      <c r="AP701" s="346"/>
      <c r="AQ701" s="346"/>
      <c r="AR701" s="346"/>
      <c r="AS701" s="346"/>
      <c r="AT701" s="346"/>
      <c r="AU701" s="346"/>
      <c r="AV701" s="346"/>
      <c r="AW701" s="346"/>
      <c r="AX701" s="346"/>
      <c r="AY701" s="346"/>
      <c r="AZ701" s="346"/>
      <c r="BA701" s="346"/>
      <c r="BB701" s="346"/>
      <c r="BC701" s="346"/>
      <c r="BD701" s="346"/>
      <c r="BE701" s="346"/>
      <c r="BF701" s="346"/>
      <c r="BG701" s="346"/>
      <c r="BH701" s="346"/>
      <c r="BI701" s="346"/>
      <c r="BJ701" s="346"/>
      <c r="BK701" s="346"/>
      <c r="BL701" s="346"/>
      <c r="BM701" s="346"/>
      <c r="BN701" s="346"/>
      <c r="BO701" s="346"/>
      <c r="BP701" s="346"/>
      <c r="BQ701" s="346"/>
      <c r="BR701" s="346"/>
      <c r="BS701" s="346"/>
      <c r="BT701" s="346"/>
      <c r="BU701" s="346"/>
      <c r="BV701" s="346"/>
      <c r="BW701" s="346"/>
      <c r="BX701" s="346"/>
      <c r="BY701" s="346"/>
      <c r="BZ701" s="346"/>
      <c r="CA701" s="346"/>
      <c r="CB701" s="346"/>
      <c r="CC701" s="346"/>
      <c r="CD701" s="352"/>
      <c r="CE701" s="346">
        <f t="shared" ref="CE701:DJ701" si="871">CE344</f>
        <v>0</v>
      </c>
      <c r="CF701" s="346">
        <f t="shared" si="871"/>
        <v>0</v>
      </c>
      <c r="CG701" s="346">
        <f t="shared" si="871"/>
        <v>0</v>
      </c>
      <c r="CH701" s="346">
        <f t="shared" si="871"/>
        <v>0</v>
      </c>
      <c r="CI701" s="346">
        <f t="shared" si="871"/>
        <v>0</v>
      </c>
      <c r="CJ701" s="346">
        <f t="shared" si="871"/>
        <v>0</v>
      </c>
      <c r="CK701" s="346">
        <f t="shared" si="871"/>
        <v>0</v>
      </c>
      <c r="CL701" s="346">
        <f t="shared" si="871"/>
        <v>0</v>
      </c>
      <c r="CM701" s="346">
        <f t="shared" si="871"/>
        <v>0</v>
      </c>
      <c r="CN701" s="346">
        <f t="shared" si="871"/>
        <v>0</v>
      </c>
      <c r="CO701" s="346">
        <f t="shared" si="871"/>
        <v>0</v>
      </c>
      <c r="CP701" s="348">
        <f t="shared" si="871"/>
        <v>0</v>
      </c>
      <c r="CQ701" s="346">
        <f t="shared" si="871"/>
        <v>0</v>
      </c>
      <c r="CR701" s="346">
        <f t="shared" si="871"/>
        <v>0</v>
      </c>
      <c r="CS701" s="346">
        <f t="shared" si="871"/>
        <v>0</v>
      </c>
      <c r="CT701" s="346">
        <f t="shared" si="871"/>
        <v>0</v>
      </c>
      <c r="CU701" s="346">
        <f t="shared" si="871"/>
        <v>0</v>
      </c>
      <c r="CV701" s="346">
        <f t="shared" si="871"/>
        <v>0</v>
      </c>
      <c r="CW701" s="346">
        <f t="shared" si="871"/>
        <v>0</v>
      </c>
      <c r="CX701" s="346">
        <f t="shared" si="871"/>
        <v>0</v>
      </c>
      <c r="CY701" s="346">
        <f t="shared" si="871"/>
        <v>0</v>
      </c>
      <c r="CZ701" s="346">
        <f t="shared" si="871"/>
        <v>0</v>
      </c>
      <c r="DA701" s="346">
        <f t="shared" si="871"/>
        <v>0</v>
      </c>
      <c r="DB701" s="1479">
        <f t="shared" si="871"/>
        <v>0</v>
      </c>
      <c r="DC701" s="346">
        <f t="shared" si="871"/>
        <v>0</v>
      </c>
      <c r="DD701" s="346">
        <f t="shared" si="871"/>
        <v>0</v>
      </c>
      <c r="DE701" s="346">
        <f t="shared" si="871"/>
        <v>0</v>
      </c>
      <c r="DF701" s="346">
        <f t="shared" si="871"/>
        <v>0</v>
      </c>
      <c r="DG701" s="346">
        <f t="shared" si="871"/>
        <v>0</v>
      </c>
      <c r="DH701" s="346">
        <f t="shared" si="871"/>
        <v>0</v>
      </c>
      <c r="DI701" s="346">
        <f t="shared" si="871"/>
        <v>0</v>
      </c>
      <c r="DJ701" s="346">
        <f t="shared" si="871"/>
        <v>0</v>
      </c>
      <c r="DK701" s="346">
        <f t="shared" ref="DK701:EP701" si="872">DK344</f>
        <v>0</v>
      </c>
      <c r="DL701" s="346">
        <f t="shared" si="872"/>
        <v>0</v>
      </c>
      <c r="DM701" s="346">
        <f t="shared" si="872"/>
        <v>0</v>
      </c>
      <c r="DN701" s="348">
        <f t="shared" si="872"/>
        <v>0</v>
      </c>
      <c r="DO701" s="346">
        <f t="shared" si="872"/>
        <v>0</v>
      </c>
      <c r="DP701" s="346">
        <f t="shared" si="872"/>
        <v>0</v>
      </c>
      <c r="DQ701" s="346">
        <f t="shared" si="872"/>
        <v>0</v>
      </c>
      <c r="DR701" s="346">
        <f t="shared" si="872"/>
        <v>0</v>
      </c>
      <c r="DS701" s="346">
        <f t="shared" si="872"/>
        <v>0</v>
      </c>
      <c r="DT701" s="346">
        <f t="shared" si="872"/>
        <v>0</v>
      </c>
      <c r="DU701" s="346">
        <f t="shared" si="872"/>
        <v>0</v>
      </c>
      <c r="DV701" s="346">
        <f t="shared" si="872"/>
        <v>0</v>
      </c>
      <c r="DW701" s="346">
        <f t="shared" si="872"/>
        <v>0</v>
      </c>
      <c r="DX701" s="346">
        <f t="shared" si="872"/>
        <v>0</v>
      </c>
      <c r="DY701" s="346">
        <f t="shared" si="872"/>
        <v>0</v>
      </c>
      <c r="DZ701" s="348">
        <f t="shared" si="872"/>
        <v>0</v>
      </c>
      <c r="EA701" s="346">
        <f t="shared" si="872"/>
        <v>0</v>
      </c>
      <c r="EB701" s="346">
        <f t="shared" si="872"/>
        <v>0</v>
      </c>
      <c r="EC701" s="346">
        <f t="shared" si="872"/>
        <v>0</v>
      </c>
      <c r="ED701" s="346">
        <f t="shared" si="872"/>
        <v>0</v>
      </c>
      <c r="EE701" s="346">
        <f t="shared" si="872"/>
        <v>0</v>
      </c>
      <c r="EF701" s="346">
        <f t="shared" si="872"/>
        <v>0</v>
      </c>
      <c r="EG701" s="346">
        <f t="shared" si="872"/>
        <v>0</v>
      </c>
      <c r="EH701" s="346">
        <f t="shared" si="872"/>
        <v>0</v>
      </c>
      <c r="EI701" s="346">
        <f t="shared" si="872"/>
        <v>0</v>
      </c>
      <c r="EJ701" s="346">
        <f t="shared" si="872"/>
        <v>0</v>
      </c>
      <c r="EK701" s="346">
        <f t="shared" si="872"/>
        <v>0</v>
      </c>
      <c r="EL701" s="348">
        <f t="shared" si="872"/>
        <v>0</v>
      </c>
      <c r="EM701" s="346">
        <f t="shared" si="872"/>
        <v>0</v>
      </c>
      <c r="EN701" s="346">
        <f t="shared" si="872"/>
        <v>0</v>
      </c>
      <c r="EO701" s="346">
        <f t="shared" si="872"/>
        <v>0</v>
      </c>
      <c r="EP701" s="346">
        <f t="shared" si="872"/>
        <v>0</v>
      </c>
      <c r="EQ701" s="346">
        <f t="shared" ref="EQ701:FP701" si="873">EQ344</f>
        <v>0</v>
      </c>
      <c r="ER701" s="346">
        <f t="shared" si="873"/>
        <v>0</v>
      </c>
      <c r="ES701" s="346">
        <f t="shared" si="873"/>
        <v>0</v>
      </c>
      <c r="ET701" s="346">
        <f t="shared" si="873"/>
        <v>0</v>
      </c>
      <c r="EU701" s="346">
        <f t="shared" si="873"/>
        <v>0</v>
      </c>
      <c r="EV701" s="346">
        <f t="shared" si="873"/>
        <v>0</v>
      </c>
      <c r="EW701" s="346">
        <f t="shared" si="873"/>
        <v>0</v>
      </c>
      <c r="EX701" s="348">
        <f t="shared" si="873"/>
        <v>0</v>
      </c>
      <c r="EY701" s="346">
        <f t="shared" si="873"/>
        <v>7.8897099999999994E-3</v>
      </c>
      <c r="EZ701" s="346">
        <f t="shared" si="873"/>
        <v>9.0195910000000004E-3</v>
      </c>
      <c r="FA701" s="346">
        <f t="shared" si="873"/>
        <v>7.2645829999999998E-3</v>
      </c>
      <c r="FB701" s="346">
        <f t="shared" si="873"/>
        <v>7.3170809999999996E-3</v>
      </c>
      <c r="FC701" s="346">
        <f t="shared" si="873"/>
        <v>7.4973629999999999E-3</v>
      </c>
      <c r="FD701" s="346">
        <f t="shared" si="873"/>
        <v>9.0986139999999997E-3</v>
      </c>
      <c r="FE701" s="346">
        <f t="shared" si="873"/>
        <v>1.0626261E-2</v>
      </c>
      <c r="FF701" s="346">
        <f t="shared" si="873"/>
        <v>9.0073110000000005E-3</v>
      </c>
      <c r="FG701" s="346">
        <f t="shared" si="873"/>
        <v>1.0519066000000001E-2</v>
      </c>
      <c r="FH701" s="346">
        <f t="shared" si="873"/>
        <v>7.3130920000000002E-3</v>
      </c>
      <c r="FI701" s="346">
        <f t="shared" si="873"/>
        <v>6.6362130000000002E-3</v>
      </c>
      <c r="FJ701" s="348">
        <f t="shared" si="873"/>
        <v>1.3268939E-2</v>
      </c>
      <c r="FK701" s="346">
        <f t="shared" si="873"/>
        <v>1.2672790202706292E-2</v>
      </c>
      <c r="FL701" s="346">
        <f t="shared" si="873"/>
        <v>5.2266564490041443E-3</v>
      </c>
      <c r="FM701" s="346">
        <f t="shared" si="873"/>
        <v>2.130802019112327E-3</v>
      </c>
      <c r="FN701" s="346">
        <f t="shared" si="873"/>
        <v>2.8356193728027528E-3</v>
      </c>
      <c r="FO701" s="346">
        <f t="shared" si="873"/>
        <v>1.7515441744158345E-3</v>
      </c>
      <c r="FP701" s="346">
        <f t="shared" si="873"/>
        <v>1.2515329185041437E-3</v>
      </c>
      <c r="FQ701" s="346">
        <f t="shared" ref="FQ701:FV706" si="874">FQ344</f>
        <v>1.2031867215080677E-3</v>
      </c>
      <c r="FR701" s="346">
        <f t="shared" si="874"/>
        <v>1.3010019018243793E-3</v>
      </c>
      <c r="FS701" s="346">
        <f t="shared" si="874"/>
        <v>1.6369014297009372E-3</v>
      </c>
      <c r="FT701" s="346">
        <f t="shared" si="874"/>
        <v>2.2096627157388712E-3</v>
      </c>
      <c r="FU701" s="346">
        <f t="shared" si="874"/>
        <v>3.1105906443623559E-3</v>
      </c>
      <c r="FV701" s="346">
        <f t="shared" si="874"/>
        <v>2.8782871932655487E-3</v>
      </c>
      <c r="FW701" s="346">
        <v>1.1996611506319809E-3</v>
      </c>
      <c r="FX701" s="346">
        <v>1.0632182625275946E-3</v>
      </c>
      <c r="FY701" s="346">
        <v>7.8062716893183607E-4</v>
      </c>
      <c r="FZ701" s="346">
        <v>1.2138180044963423E-3</v>
      </c>
      <c r="GA701" s="346">
        <v>1.1591991791016049E-3</v>
      </c>
      <c r="GB701" s="346">
        <v>1.1155727604234284E-3</v>
      </c>
      <c r="GC701" s="346">
        <v>1.1155727604234284E-3</v>
      </c>
      <c r="GD701" s="346">
        <v>1.1155727604234284E-3</v>
      </c>
      <c r="GE701" s="346">
        <v>1.1155727604234284E-3</v>
      </c>
      <c r="GF701" s="346">
        <v>1.1155727604234284E-3</v>
      </c>
      <c r="GG701" s="346">
        <v>1.1155727604234284E-3</v>
      </c>
      <c r="GH701" s="346">
        <v>1.1155727604234284E-3</v>
      </c>
      <c r="GI701" s="346">
        <f t="shared" ref="GI701:GN701" si="875">GI344</f>
        <v>0</v>
      </c>
      <c r="GJ701" s="346">
        <f t="shared" si="875"/>
        <v>0</v>
      </c>
      <c r="GK701" s="346">
        <f t="shared" si="875"/>
        <v>0</v>
      </c>
      <c r="GL701" s="346">
        <f t="shared" si="875"/>
        <v>0</v>
      </c>
      <c r="GM701" s="346">
        <f t="shared" si="875"/>
        <v>0</v>
      </c>
      <c r="GN701" s="346">
        <f t="shared" si="875"/>
        <v>0</v>
      </c>
      <c r="GO701" s="346">
        <f t="shared" ref="GO701:GU701" si="876">GO344</f>
        <v>0</v>
      </c>
      <c r="GP701" s="346">
        <f t="shared" si="876"/>
        <v>0</v>
      </c>
      <c r="GQ701" s="346">
        <f t="shared" si="876"/>
        <v>0</v>
      </c>
      <c r="GR701" s="346">
        <f t="shared" si="876"/>
        <v>0</v>
      </c>
      <c r="GS701" s="346">
        <f t="shared" si="876"/>
        <v>0</v>
      </c>
      <c r="GT701" s="346">
        <f t="shared" si="876"/>
        <v>0</v>
      </c>
      <c r="GU701" s="346">
        <f t="shared" si="876"/>
        <v>1.1019964E-2</v>
      </c>
      <c r="GV701" s="346">
        <f t="shared" ref="GV701:HF701" si="877">GV344</f>
        <v>0</v>
      </c>
      <c r="GW701" s="346">
        <f t="shared" si="877"/>
        <v>0</v>
      </c>
      <c r="GX701" s="346">
        <f t="shared" si="877"/>
        <v>5.5689999999999997E-5</v>
      </c>
      <c r="GY701" s="346">
        <f t="shared" si="877"/>
        <v>1.8692999999999999E-5</v>
      </c>
      <c r="GZ701" s="346">
        <f t="shared" si="877"/>
        <v>1.2644E-5</v>
      </c>
      <c r="HA701" s="346">
        <f t="shared" si="877"/>
        <v>0</v>
      </c>
      <c r="HB701" s="346">
        <f t="shared" si="877"/>
        <v>3.2119999999999997E-5</v>
      </c>
      <c r="HC701" s="346">
        <f t="shared" si="877"/>
        <v>3.7080892141609686E-6</v>
      </c>
      <c r="HD701" s="346">
        <f t="shared" si="877"/>
        <v>2.6120000000000001E-5</v>
      </c>
      <c r="HE701" s="346">
        <f t="shared" si="877"/>
        <v>0</v>
      </c>
      <c r="HF701" s="346">
        <f t="shared" si="877"/>
        <v>0</v>
      </c>
      <c r="HG701" s="346">
        <f t="shared" ref="HG701:HL701" si="878">HG344</f>
        <v>0.18226363400000001</v>
      </c>
      <c r="HH701" s="346">
        <f t="shared" si="878"/>
        <v>0.42392594900000002</v>
      </c>
      <c r="HI701" s="346">
        <f t="shared" si="878"/>
        <v>0.62166704399999995</v>
      </c>
      <c r="HJ701" s="346">
        <f t="shared" si="878"/>
        <v>0.41041598099999999</v>
      </c>
      <c r="HK701" s="346">
        <f t="shared" si="878"/>
        <v>2.2104404980000001</v>
      </c>
      <c r="HL701" s="346">
        <f t="shared" si="878"/>
        <v>4.4838081059999997</v>
      </c>
      <c r="HM701" s="346"/>
      <c r="HN701" s="349"/>
      <c r="HO701" s="1439" t="s">
        <v>521</v>
      </c>
      <c r="HP701" s="307">
        <f t="shared" ref="HP701:HP719" si="879">SUM(CE701:CJ701)</f>
        <v>0</v>
      </c>
      <c r="HQ701" s="302">
        <f t="shared" ref="HQ701:HQ719" si="880">SUM(CK701:CP701)</f>
        <v>0</v>
      </c>
      <c r="HR701" s="346">
        <f t="shared" si="698"/>
        <v>0</v>
      </c>
      <c r="HS701" s="302">
        <f t="shared" ref="HS701:HS719" si="881">SUM(CQ701:CV701)</f>
        <v>0</v>
      </c>
      <c r="HT701" s="302">
        <f t="shared" ref="HT701:HT719" si="882">SUM(CW701:DB701)</f>
        <v>0</v>
      </c>
      <c r="HU701" s="346">
        <f t="shared" si="678"/>
        <v>0</v>
      </c>
      <c r="HV701" s="307">
        <f t="shared" ref="HV701:HV719" si="883">SUM(DC701:DH701)</f>
        <v>0</v>
      </c>
      <c r="HW701" s="302">
        <f t="shared" ref="HW701:HW719" si="884">SUM(DI701:DN701)</f>
        <v>0</v>
      </c>
      <c r="HX701" s="346">
        <f t="shared" si="679"/>
        <v>0</v>
      </c>
      <c r="HY701" s="350">
        <f t="shared" ref="HY701:HY719" si="885">SUM(DO701:DT701)</f>
        <v>0</v>
      </c>
      <c r="HZ701" s="302">
        <f t="shared" ref="HZ701:HZ719" si="886">SUM(DU701:DZ701)</f>
        <v>0</v>
      </c>
      <c r="IA701" s="346">
        <f t="shared" si="680"/>
        <v>0</v>
      </c>
      <c r="IB701" s="302">
        <f t="shared" ref="IB701:IB719" si="887">SUM(EA701:EF701)</f>
        <v>0</v>
      </c>
      <c r="IC701" s="302">
        <f t="shared" ref="IC701:IC719" si="888">SUM(EG701:EL701)</f>
        <v>0</v>
      </c>
      <c r="ID701" s="346">
        <f t="shared" si="681"/>
        <v>0</v>
      </c>
      <c r="IE701" s="350">
        <f t="shared" ref="IE701:IE719" si="889">SUM(EM701:ER701)</f>
        <v>0</v>
      </c>
      <c r="IF701" s="350">
        <f t="shared" ref="IF701:IF719" si="890">SUM(ES701:EX701)</f>
        <v>0</v>
      </c>
      <c r="IG701" s="346">
        <f t="shared" si="682"/>
        <v>0</v>
      </c>
      <c r="IH701" s="350">
        <f t="shared" ref="IH701:IH719" si="891">SUM(EY701:FD701)</f>
        <v>4.8086941999999994E-2</v>
      </c>
      <c r="II701" s="350">
        <f t="shared" ref="II701:II719" si="892">SUM(FE701:FJ701)</f>
        <v>5.7370882000000005E-2</v>
      </c>
      <c r="IJ701" s="346">
        <f t="shared" si="683"/>
        <v>0.10545782400000001</v>
      </c>
      <c r="IK701" s="350">
        <f t="shared" si="869"/>
        <v>2.5868945136545491E-2</v>
      </c>
      <c r="IL701" s="350">
        <f t="shared" si="864"/>
        <v>1.233963060640016E-2</v>
      </c>
      <c r="IM701" s="346">
        <f t="shared" si="684"/>
        <v>3.8208575742945651E-2</v>
      </c>
      <c r="IN701" s="350">
        <f t="shared" si="865"/>
        <v>6.5320965261127873E-3</v>
      </c>
      <c r="IO701" s="350">
        <f t="shared" si="866"/>
        <v>6.6934365625405711E-3</v>
      </c>
      <c r="IP701" s="346">
        <f t="shared" si="685"/>
        <v>1.3225533088653358E-2</v>
      </c>
      <c r="IQ701" s="350">
        <f t="shared" si="867"/>
        <v>0</v>
      </c>
      <c r="IR701" s="350">
        <f t="shared" si="868"/>
        <v>0</v>
      </c>
      <c r="IS701" s="346">
        <f t="shared" si="686"/>
        <v>0</v>
      </c>
      <c r="IT701" s="350">
        <f t="shared" si="870"/>
        <v>1.1106991E-2</v>
      </c>
      <c r="IU701" s="350">
        <f t="shared" si="707"/>
        <v>6.1948089214160972E-5</v>
      </c>
      <c r="IV701" s="346">
        <f t="shared" si="687"/>
        <v>1.1168939089214161E-2</v>
      </c>
      <c r="IW701" s="350">
        <f t="shared" si="700"/>
        <v>8.3325212119999996</v>
      </c>
      <c r="IX701" s="350">
        <f t="shared" si="688"/>
        <v>-8.3325212119999996</v>
      </c>
      <c r="IY701" s="346">
        <f>FISC!AJ1023</f>
        <v>0</v>
      </c>
      <c r="IZ701" s="350">
        <f t="shared" ref="IZ701:IZ706" si="893">JB701*0.52</f>
        <v>0</v>
      </c>
      <c r="JA701" s="302">
        <f t="shared" si="689"/>
        <v>0</v>
      </c>
      <c r="JB701" s="346">
        <f>FISC!AK1023</f>
        <v>0</v>
      </c>
      <c r="JC701" s="350">
        <f t="shared" ref="JC701:JC706" si="894">JE701*0.52</f>
        <v>0</v>
      </c>
      <c r="JD701" s="302">
        <f t="shared" si="690"/>
        <v>0</v>
      </c>
      <c r="JE701" s="346">
        <f>FISC!AL1023</f>
        <v>0</v>
      </c>
      <c r="JF701" s="350">
        <f t="shared" ref="JF701:JF706" si="895">JH701*0.52</f>
        <v>0</v>
      </c>
      <c r="JG701" s="302">
        <f t="shared" si="691"/>
        <v>0</v>
      </c>
      <c r="JH701" s="346">
        <f>FISC!AM1023</f>
        <v>0</v>
      </c>
      <c r="JI701" s="350">
        <f t="shared" ref="JI701:JI706" si="896">JK701*0.52</f>
        <v>0</v>
      </c>
      <c r="JJ701" s="302">
        <f t="shared" si="701"/>
        <v>0</v>
      </c>
      <c r="JK701" s="346">
        <f>FISC!AN1023</f>
        <v>0</v>
      </c>
      <c r="JL701" s="350">
        <f t="shared" ref="JL701:JL706" si="897">JN701*0.52</f>
        <v>0</v>
      </c>
      <c r="JM701" s="302">
        <f t="shared" si="692"/>
        <v>0</v>
      </c>
      <c r="JN701" s="346">
        <f>FISC!AO1023</f>
        <v>0</v>
      </c>
      <c r="KI701" s="349"/>
      <c r="KJ701" s="350"/>
    </row>
    <row r="702" spans="1:296" hidden="1" outlineLevel="1">
      <c r="A702" s="302"/>
      <c r="D702" s="1439" t="s">
        <v>522</v>
      </c>
      <c r="E702" s="346"/>
      <c r="F702" s="346"/>
      <c r="G702" s="346"/>
      <c r="H702" s="346"/>
      <c r="I702" s="346"/>
      <c r="J702" s="346"/>
      <c r="K702" s="346"/>
      <c r="L702" s="346"/>
      <c r="M702" s="346"/>
      <c r="N702" s="346"/>
      <c r="O702" s="346"/>
      <c r="P702" s="346"/>
      <c r="Q702" s="346"/>
      <c r="R702" s="346"/>
      <c r="S702" s="346"/>
      <c r="T702" s="346"/>
      <c r="U702" s="346"/>
      <c r="V702" s="346"/>
      <c r="W702" s="346"/>
      <c r="X702" s="346"/>
      <c r="Y702" s="346"/>
      <c r="Z702" s="346"/>
      <c r="AA702" s="346"/>
      <c r="AB702" s="346"/>
      <c r="AC702" s="346"/>
      <c r="AD702" s="346"/>
      <c r="AE702" s="346"/>
      <c r="AF702" s="346"/>
      <c r="AG702" s="346"/>
      <c r="AH702" s="346"/>
      <c r="AI702" s="346"/>
      <c r="AJ702" s="346"/>
      <c r="AK702" s="346"/>
      <c r="AL702" s="346"/>
      <c r="AM702" s="346"/>
      <c r="AN702" s="346"/>
      <c r="AO702" s="346"/>
      <c r="AP702" s="346"/>
      <c r="AQ702" s="346"/>
      <c r="AR702" s="346"/>
      <c r="AS702" s="346"/>
      <c r="AT702" s="346"/>
      <c r="AU702" s="346"/>
      <c r="AV702" s="346"/>
      <c r="AW702" s="346"/>
      <c r="AX702" s="346"/>
      <c r="AY702" s="346"/>
      <c r="AZ702" s="346"/>
      <c r="BA702" s="346"/>
      <c r="BB702" s="346"/>
      <c r="BC702" s="346"/>
      <c r="BD702" s="346"/>
      <c r="BE702" s="346"/>
      <c r="BF702" s="346"/>
      <c r="BG702" s="346"/>
      <c r="BH702" s="346"/>
      <c r="BI702" s="346"/>
      <c r="BJ702" s="346"/>
      <c r="BK702" s="346"/>
      <c r="BL702" s="346"/>
      <c r="BM702" s="346"/>
      <c r="BN702" s="346"/>
      <c r="BO702" s="346"/>
      <c r="BP702" s="346"/>
      <c r="BQ702" s="346"/>
      <c r="BR702" s="346"/>
      <c r="BS702" s="346"/>
      <c r="BT702" s="346"/>
      <c r="BU702" s="346"/>
      <c r="BV702" s="346"/>
      <c r="BW702" s="346"/>
      <c r="BX702" s="346"/>
      <c r="BY702" s="346"/>
      <c r="BZ702" s="346"/>
      <c r="CA702" s="346"/>
      <c r="CB702" s="346"/>
      <c r="CC702" s="346"/>
      <c r="CD702" s="352"/>
      <c r="CE702" s="346">
        <f t="shared" ref="CE702:DJ702" si="898">CE345</f>
        <v>0</v>
      </c>
      <c r="CF702" s="346">
        <f t="shared" si="898"/>
        <v>0</v>
      </c>
      <c r="CG702" s="346">
        <f t="shared" si="898"/>
        <v>0</v>
      </c>
      <c r="CH702" s="346">
        <f t="shared" si="898"/>
        <v>0</v>
      </c>
      <c r="CI702" s="346">
        <f t="shared" si="898"/>
        <v>0</v>
      </c>
      <c r="CJ702" s="346">
        <f t="shared" si="898"/>
        <v>0</v>
      </c>
      <c r="CK702" s="346">
        <f t="shared" si="898"/>
        <v>0</v>
      </c>
      <c r="CL702" s="346">
        <f t="shared" si="898"/>
        <v>0</v>
      </c>
      <c r="CM702" s="346">
        <f t="shared" si="898"/>
        <v>0</v>
      </c>
      <c r="CN702" s="346">
        <f t="shared" si="898"/>
        <v>0</v>
      </c>
      <c r="CO702" s="346">
        <f t="shared" si="898"/>
        <v>0</v>
      </c>
      <c r="CP702" s="348">
        <f t="shared" si="898"/>
        <v>0</v>
      </c>
      <c r="CQ702" s="346">
        <f t="shared" si="898"/>
        <v>0</v>
      </c>
      <c r="CR702" s="346">
        <f t="shared" si="898"/>
        <v>0</v>
      </c>
      <c r="CS702" s="346">
        <f t="shared" si="898"/>
        <v>0</v>
      </c>
      <c r="CT702" s="346">
        <f t="shared" si="898"/>
        <v>0</v>
      </c>
      <c r="CU702" s="346">
        <f t="shared" si="898"/>
        <v>0</v>
      </c>
      <c r="CV702" s="346">
        <f t="shared" si="898"/>
        <v>0</v>
      </c>
      <c r="CW702" s="346">
        <f t="shared" si="898"/>
        <v>0</v>
      </c>
      <c r="CX702" s="346">
        <f t="shared" si="898"/>
        <v>0</v>
      </c>
      <c r="CY702" s="346">
        <f t="shared" si="898"/>
        <v>0</v>
      </c>
      <c r="CZ702" s="346">
        <f t="shared" si="898"/>
        <v>0</v>
      </c>
      <c r="DA702" s="346">
        <f t="shared" si="898"/>
        <v>0</v>
      </c>
      <c r="DB702" s="1479">
        <f t="shared" si="898"/>
        <v>0</v>
      </c>
      <c r="DC702" s="346">
        <f t="shared" si="898"/>
        <v>0</v>
      </c>
      <c r="DD702" s="346">
        <f t="shared" si="898"/>
        <v>0</v>
      </c>
      <c r="DE702" s="346">
        <f t="shared" si="898"/>
        <v>0</v>
      </c>
      <c r="DF702" s="346">
        <f t="shared" si="898"/>
        <v>0</v>
      </c>
      <c r="DG702" s="346">
        <f t="shared" si="898"/>
        <v>0</v>
      </c>
      <c r="DH702" s="346">
        <f t="shared" si="898"/>
        <v>0</v>
      </c>
      <c r="DI702" s="346">
        <f t="shared" si="898"/>
        <v>0</v>
      </c>
      <c r="DJ702" s="346">
        <f t="shared" si="898"/>
        <v>0</v>
      </c>
      <c r="DK702" s="346">
        <f t="shared" ref="DK702:EP702" si="899">DK345</f>
        <v>0</v>
      </c>
      <c r="DL702" s="346">
        <f t="shared" si="899"/>
        <v>0</v>
      </c>
      <c r="DM702" s="346">
        <f t="shared" si="899"/>
        <v>0</v>
      </c>
      <c r="DN702" s="348">
        <f t="shared" si="899"/>
        <v>0</v>
      </c>
      <c r="DO702" s="346">
        <f t="shared" si="899"/>
        <v>0</v>
      </c>
      <c r="DP702" s="346">
        <f t="shared" si="899"/>
        <v>0</v>
      </c>
      <c r="DQ702" s="346">
        <f t="shared" si="899"/>
        <v>0</v>
      </c>
      <c r="DR702" s="346">
        <f t="shared" si="899"/>
        <v>0</v>
      </c>
      <c r="DS702" s="346">
        <f t="shared" si="899"/>
        <v>0</v>
      </c>
      <c r="DT702" s="346">
        <f t="shared" si="899"/>
        <v>0</v>
      </c>
      <c r="DU702" s="346">
        <f t="shared" si="899"/>
        <v>0</v>
      </c>
      <c r="DV702" s="346">
        <f t="shared" si="899"/>
        <v>0</v>
      </c>
      <c r="DW702" s="346">
        <f t="shared" si="899"/>
        <v>0</v>
      </c>
      <c r="DX702" s="346">
        <f t="shared" si="899"/>
        <v>0</v>
      </c>
      <c r="DY702" s="346">
        <f t="shared" si="899"/>
        <v>0</v>
      </c>
      <c r="DZ702" s="348">
        <f t="shared" si="899"/>
        <v>0</v>
      </c>
      <c r="EA702" s="346">
        <f t="shared" si="899"/>
        <v>0</v>
      </c>
      <c r="EB702" s="346">
        <f t="shared" si="899"/>
        <v>0</v>
      </c>
      <c r="EC702" s="346">
        <f t="shared" si="899"/>
        <v>0</v>
      </c>
      <c r="ED702" s="346">
        <f t="shared" si="899"/>
        <v>0</v>
      </c>
      <c r="EE702" s="346">
        <f t="shared" si="899"/>
        <v>0</v>
      </c>
      <c r="EF702" s="346">
        <f t="shared" si="899"/>
        <v>0</v>
      </c>
      <c r="EG702" s="346">
        <f t="shared" si="899"/>
        <v>0</v>
      </c>
      <c r="EH702" s="346">
        <f t="shared" si="899"/>
        <v>0</v>
      </c>
      <c r="EI702" s="346">
        <f t="shared" si="899"/>
        <v>0</v>
      </c>
      <c r="EJ702" s="346">
        <f t="shared" si="899"/>
        <v>0</v>
      </c>
      <c r="EK702" s="346">
        <f t="shared" si="899"/>
        <v>0</v>
      </c>
      <c r="EL702" s="348">
        <f t="shared" si="899"/>
        <v>0</v>
      </c>
      <c r="EM702" s="346">
        <f t="shared" si="899"/>
        <v>0</v>
      </c>
      <c r="EN702" s="346">
        <f t="shared" si="899"/>
        <v>0</v>
      </c>
      <c r="EO702" s="346">
        <f t="shared" si="899"/>
        <v>0</v>
      </c>
      <c r="EP702" s="346">
        <f t="shared" si="899"/>
        <v>0</v>
      </c>
      <c r="EQ702" s="346">
        <f t="shared" ref="EQ702:FP702" si="900">EQ345</f>
        <v>0</v>
      </c>
      <c r="ER702" s="346">
        <f t="shared" si="900"/>
        <v>0</v>
      </c>
      <c r="ES702" s="346">
        <f t="shared" si="900"/>
        <v>0</v>
      </c>
      <c r="ET702" s="346">
        <f t="shared" si="900"/>
        <v>0</v>
      </c>
      <c r="EU702" s="346">
        <f t="shared" si="900"/>
        <v>0</v>
      </c>
      <c r="EV702" s="346">
        <f t="shared" si="900"/>
        <v>0</v>
      </c>
      <c r="EW702" s="346">
        <f t="shared" si="900"/>
        <v>0</v>
      </c>
      <c r="EX702" s="348">
        <f t="shared" si="900"/>
        <v>0</v>
      </c>
      <c r="EY702" s="346">
        <f t="shared" si="900"/>
        <v>0</v>
      </c>
      <c r="EZ702" s="346">
        <f t="shared" si="900"/>
        <v>0</v>
      </c>
      <c r="FA702" s="346">
        <f t="shared" si="900"/>
        <v>0</v>
      </c>
      <c r="FB702" s="346">
        <f t="shared" si="900"/>
        <v>0</v>
      </c>
      <c r="FC702" s="346">
        <f t="shared" si="900"/>
        <v>0</v>
      </c>
      <c r="FD702" s="346">
        <f t="shared" si="900"/>
        <v>0</v>
      </c>
      <c r="FE702" s="346">
        <f t="shared" si="900"/>
        <v>0</v>
      </c>
      <c r="FF702" s="346">
        <f t="shared" si="900"/>
        <v>0</v>
      </c>
      <c r="FG702" s="346">
        <f t="shared" si="900"/>
        <v>0</v>
      </c>
      <c r="FH702" s="346">
        <f t="shared" si="900"/>
        <v>0</v>
      </c>
      <c r="FI702" s="346">
        <f t="shared" si="900"/>
        <v>0</v>
      </c>
      <c r="FJ702" s="348">
        <f t="shared" si="900"/>
        <v>0</v>
      </c>
      <c r="FK702" s="346">
        <f t="shared" si="900"/>
        <v>0</v>
      </c>
      <c r="FL702" s="346">
        <f t="shared" si="900"/>
        <v>0</v>
      </c>
      <c r="FM702" s="346">
        <f t="shared" si="900"/>
        <v>0</v>
      </c>
      <c r="FN702" s="346">
        <f t="shared" si="900"/>
        <v>0</v>
      </c>
      <c r="FO702" s="346">
        <f t="shared" si="900"/>
        <v>0</v>
      </c>
      <c r="FP702" s="346">
        <f t="shared" si="900"/>
        <v>0</v>
      </c>
      <c r="FQ702" s="346">
        <f t="shared" si="874"/>
        <v>0</v>
      </c>
      <c r="FR702" s="346">
        <f t="shared" si="874"/>
        <v>0</v>
      </c>
      <c r="FS702" s="346">
        <f t="shared" si="874"/>
        <v>0</v>
      </c>
      <c r="FT702" s="346">
        <f t="shared" si="874"/>
        <v>0</v>
      </c>
      <c r="FU702" s="346">
        <f t="shared" si="874"/>
        <v>0</v>
      </c>
      <c r="FV702" s="346">
        <f t="shared" si="874"/>
        <v>0</v>
      </c>
      <c r="FW702" s="346">
        <v>0</v>
      </c>
      <c r="FX702" s="346">
        <v>0</v>
      </c>
      <c r="FY702" s="346">
        <v>0</v>
      </c>
      <c r="FZ702" s="346">
        <v>0</v>
      </c>
      <c r="GA702" s="346">
        <v>0</v>
      </c>
      <c r="GB702" s="346">
        <v>0</v>
      </c>
      <c r="GC702" s="346">
        <v>0</v>
      </c>
      <c r="GD702" s="346">
        <v>0</v>
      </c>
      <c r="GE702" s="346">
        <v>0</v>
      </c>
      <c r="GF702" s="346">
        <v>0</v>
      </c>
      <c r="GG702" s="346">
        <v>0</v>
      </c>
      <c r="GH702" s="346">
        <v>0</v>
      </c>
      <c r="GI702" s="346">
        <f t="shared" ref="GI702:GN702" si="901">GI345</f>
        <v>0</v>
      </c>
      <c r="GJ702" s="346">
        <f t="shared" si="901"/>
        <v>0</v>
      </c>
      <c r="GK702" s="346">
        <f t="shared" si="901"/>
        <v>0</v>
      </c>
      <c r="GL702" s="346">
        <f t="shared" si="901"/>
        <v>0</v>
      </c>
      <c r="GM702" s="346">
        <f t="shared" si="901"/>
        <v>0</v>
      </c>
      <c r="GN702" s="346">
        <f t="shared" si="901"/>
        <v>0</v>
      </c>
      <c r="GO702" s="346">
        <f t="shared" ref="GO702:GU702" si="902">GO345</f>
        <v>0</v>
      </c>
      <c r="GP702" s="346">
        <f t="shared" si="902"/>
        <v>0</v>
      </c>
      <c r="GQ702" s="346">
        <f t="shared" si="902"/>
        <v>0</v>
      </c>
      <c r="GR702" s="346">
        <f t="shared" si="902"/>
        <v>0</v>
      </c>
      <c r="GS702" s="346">
        <f t="shared" si="902"/>
        <v>0</v>
      </c>
      <c r="GT702" s="346">
        <f t="shared" si="902"/>
        <v>0</v>
      </c>
      <c r="GU702" s="346">
        <f t="shared" si="902"/>
        <v>0</v>
      </c>
      <c r="GV702" s="346">
        <f t="shared" ref="GV702:HF702" si="903">GV345</f>
        <v>0</v>
      </c>
      <c r="GW702" s="346">
        <f t="shared" si="903"/>
        <v>0</v>
      </c>
      <c r="GX702" s="346">
        <f t="shared" si="903"/>
        <v>0</v>
      </c>
      <c r="GY702" s="346">
        <f t="shared" si="903"/>
        <v>0</v>
      </c>
      <c r="GZ702" s="346">
        <f t="shared" si="903"/>
        <v>0</v>
      </c>
      <c r="HA702" s="346">
        <f t="shared" si="903"/>
        <v>0</v>
      </c>
      <c r="HB702" s="346">
        <f t="shared" si="903"/>
        <v>0</v>
      </c>
      <c r="HC702" s="346">
        <f t="shared" si="903"/>
        <v>0</v>
      </c>
      <c r="HD702" s="346">
        <f t="shared" si="903"/>
        <v>0</v>
      </c>
      <c r="HE702" s="346">
        <f t="shared" si="903"/>
        <v>0</v>
      </c>
      <c r="HF702" s="346">
        <f t="shared" si="903"/>
        <v>0</v>
      </c>
      <c r="HG702" s="346">
        <f t="shared" ref="HG702:HL702" si="904">HG345</f>
        <v>0</v>
      </c>
      <c r="HH702" s="346">
        <f t="shared" si="904"/>
        <v>0</v>
      </c>
      <c r="HI702" s="346">
        <f t="shared" si="904"/>
        <v>0</v>
      </c>
      <c r="HJ702" s="346">
        <f t="shared" si="904"/>
        <v>0</v>
      </c>
      <c r="HK702" s="346">
        <f t="shared" si="904"/>
        <v>0</v>
      </c>
      <c r="HL702" s="346">
        <f t="shared" si="904"/>
        <v>0</v>
      </c>
      <c r="HM702" s="346"/>
      <c r="HN702" s="349"/>
      <c r="HO702" s="1439" t="s">
        <v>522</v>
      </c>
      <c r="HP702" s="307">
        <f t="shared" si="879"/>
        <v>0</v>
      </c>
      <c r="HQ702" s="302">
        <f t="shared" si="880"/>
        <v>0</v>
      </c>
      <c r="HR702" s="346">
        <f t="shared" si="698"/>
        <v>0</v>
      </c>
      <c r="HS702" s="302">
        <f t="shared" si="881"/>
        <v>0</v>
      </c>
      <c r="HT702" s="302">
        <f t="shared" si="882"/>
        <v>0</v>
      </c>
      <c r="HU702" s="346">
        <f t="shared" si="678"/>
        <v>0</v>
      </c>
      <c r="HV702" s="307">
        <f t="shared" si="883"/>
        <v>0</v>
      </c>
      <c r="HW702" s="302">
        <f t="shared" si="884"/>
        <v>0</v>
      </c>
      <c r="HX702" s="346">
        <f t="shared" si="679"/>
        <v>0</v>
      </c>
      <c r="HY702" s="350">
        <f t="shared" si="885"/>
        <v>0</v>
      </c>
      <c r="HZ702" s="302">
        <f t="shared" si="886"/>
        <v>0</v>
      </c>
      <c r="IA702" s="346">
        <f t="shared" si="680"/>
        <v>0</v>
      </c>
      <c r="IB702" s="302">
        <f t="shared" si="887"/>
        <v>0</v>
      </c>
      <c r="IC702" s="302">
        <f t="shared" si="888"/>
        <v>0</v>
      </c>
      <c r="ID702" s="346">
        <f t="shared" si="681"/>
        <v>0</v>
      </c>
      <c r="IE702" s="350">
        <f t="shared" si="889"/>
        <v>0</v>
      </c>
      <c r="IF702" s="350">
        <f t="shared" si="890"/>
        <v>0</v>
      </c>
      <c r="IG702" s="346">
        <f t="shared" si="682"/>
        <v>0</v>
      </c>
      <c r="IH702" s="350">
        <f t="shared" si="891"/>
        <v>0</v>
      </c>
      <c r="II702" s="350">
        <f t="shared" si="892"/>
        <v>0</v>
      </c>
      <c r="IJ702" s="346">
        <f t="shared" si="683"/>
        <v>0</v>
      </c>
      <c r="IK702" s="350">
        <f t="shared" si="869"/>
        <v>0</v>
      </c>
      <c r="IL702" s="350">
        <f t="shared" si="864"/>
        <v>0</v>
      </c>
      <c r="IM702" s="346">
        <f>IK702+IL702</f>
        <v>0</v>
      </c>
      <c r="IN702" s="350">
        <f t="shared" si="865"/>
        <v>0</v>
      </c>
      <c r="IO702" s="350">
        <f t="shared" si="866"/>
        <v>0</v>
      </c>
      <c r="IP702" s="346">
        <f t="shared" si="685"/>
        <v>0</v>
      </c>
      <c r="IQ702" s="350">
        <f t="shared" si="867"/>
        <v>0</v>
      </c>
      <c r="IR702" s="350">
        <f t="shared" si="868"/>
        <v>0</v>
      </c>
      <c r="IS702" s="346">
        <f t="shared" si="686"/>
        <v>0</v>
      </c>
      <c r="IT702" s="350">
        <f t="shared" si="870"/>
        <v>0</v>
      </c>
      <c r="IU702" s="350">
        <f t="shared" si="707"/>
        <v>0</v>
      </c>
      <c r="IV702" s="346">
        <f t="shared" si="687"/>
        <v>0</v>
      </c>
      <c r="IW702" s="350">
        <f t="shared" si="700"/>
        <v>0</v>
      </c>
      <c r="IX702" s="350">
        <f t="shared" si="688"/>
        <v>0</v>
      </c>
      <c r="IY702" s="346">
        <f>FISC!AJ1024</f>
        <v>0</v>
      </c>
      <c r="IZ702" s="350">
        <f t="shared" si="893"/>
        <v>0</v>
      </c>
      <c r="JA702" s="302">
        <f t="shared" si="689"/>
        <v>0</v>
      </c>
      <c r="JB702" s="346">
        <f>FISC!AK1024</f>
        <v>0</v>
      </c>
      <c r="JC702" s="350">
        <f t="shared" si="894"/>
        <v>0</v>
      </c>
      <c r="JD702" s="302">
        <f t="shared" si="690"/>
        <v>0</v>
      </c>
      <c r="JE702" s="346">
        <f>FISC!AL1024</f>
        <v>0</v>
      </c>
      <c r="JF702" s="350">
        <f t="shared" si="895"/>
        <v>0</v>
      </c>
      <c r="JG702" s="302">
        <f t="shared" si="691"/>
        <v>0</v>
      </c>
      <c r="JH702" s="346">
        <f>FISC!AM1024</f>
        <v>0</v>
      </c>
      <c r="JI702" s="350">
        <f t="shared" si="896"/>
        <v>0</v>
      </c>
      <c r="JJ702" s="302">
        <f t="shared" si="701"/>
        <v>0</v>
      </c>
      <c r="JK702" s="346">
        <f>FISC!AN1024</f>
        <v>0</v>
      </c>
      <c r="JL702" s="350">
        <f t="shared" si="897"/>
        <v>0</v>
      </c>
      <c r="JM702" s="302">
        <f t="shared" si="692"/>
        <v>0</v>
      </c>
      <c r="JN702" s="346">
        <f>FISC!AO1024</f>
        <v>0</v>
      </c>
      <c r="KI702" s="349"/>
      <c r="KJ702" s="350"/>
    </row>
    <row r="703" spans="1:296" hidden="1" outlineLevel="1">
      <c r="A703" s="302"/>
      <c r="D703" s="1439" t="s">
        <v>523</v>
      </c>
      <c r="E703" s="346"/>
      <c r="F703" s="346"/>
      <c r="G703" s="346"/>
      <c r="H703" s="346"/>
      <c r="I703" s="346"/>
      <c r="J703" s="346"/>
      <c r="K703" s="346"/>
      <c r="L703" s="346"/>
      <c r="M703" s="346"/>
      <c r="N703" s="346"/>
      <c r="O703" s="346"/>
      <c r="P703" s="346"/>
      <c r="Q703" s="346"/>
      <c r="R703" s="346"/>
      <c r="S703" s="346"/>
      <c r="T703" s="346"/>
      <c r="U703" s="346"/>
      <c r="V703" s="346"/>
      <c r="W703" s="346"/>
      <c r="X703" s="346"/>
      <c r="Y703" s="346"/>
      <c r="Z703" s="346"/>
      <c r="AA703" s="346"/>
      <c r="AB703" s="346"/>
      <c r="AC703" s="346"/>
      <c r="AD703" s="346"/>
      <c r="AE703" s="346"/>
      <c r="AF703" s="346"/>
      <c r="AG703" s="346"/>
      <c r="AH703" s="346"/>
      <c r="AI703" s="346"/>
      <c r="AJ703" s="346"/>
      <c r="AK703" s="346"/>
      <c r="AL703" s="346"/>
      <c r="AM703" s="346"/>
      <c r="AN703" s="346"/>
      <c r="AO703" s="346"/>
      <c r="AP703" s="346"/>
      <c r="AQ703" s="346"/>
      <c r="AR703" s="346"/>
      <c r="AS703" s="346"/>
      <c r="AT703" s="346"/>
      <c r="AU703" s="346"/>
      <c r="AV703" s="346"/>
      <c r="AW703" s="346"/>
      <c r="AX703" s="346"/>
      <c r="AY703" s="346"/>
      <c r="AZ703" s="346"/>
      <c r="BA703" s="346"/>
      <c r="BB703" s="346"/>
      <c r="BC703" s="346"/>
      <c r="BD703" s="346"/>
      <c r="BE703" s="346"/>
      <c r="BF703" s="346"/>
      <c r="BG703" s="346"/>
      <c r="BH703" s="346"/>
      <c r="BI703" s="346"/>
      <c r="BJ703" s="346"/>
      <c r="BK703" s="346"/>
      <c r="BL703" s="346"/>
      <c r="BM703" s="346"/>
      <c r="BN703" s="346"/>
      <c r="BO703" s="346"/>
      <c r="BP703" s="346"/>
      <c r="BQ703" s="346"/>
      <c r="BR703" s="346"/>
      <c r="BS703" s="346"/>
      <c r="BT703" s="346"/>
      <c r="BU703" s="346"/>
      <c r="BV703" s="346"/>
      <c r="BW703" s="346"/>
      <c r="BX703" s="346"/>
      <c r="BY703" s="346"/>
      <c r="BZ703" s="346"/>
      <c r="CA703" s="346"/>
      <c r="CB703" s="346"/>
      <c r="CC703" s="346"/>
      <c r="CD703" s="352"/>
      <c r="CE703" s="346">
        <f t="shared" ref="CE703:DJ703" si="905">CE346</f>
        <v>0</v>
      </c>
      <c r="CF703" s="346">
        <f t="shared" si="905"/>
        <v>0</v>
      </c>
      <c r="CG703" s="346">
        <f t="shared" si="905"/>
        <v>0</v>
      </c>
      <c r="CH703" s="346">
        <f t="shared" si="905"/>
        <v>0</v>
      </c>
      <c r="CI703" s="346">
        <f t="shared" si="905"/>
        <v>0</v>
      </c>
      <c r="CJ703" s="346">
        <f t="shared" si="905"/>
        <v>0</v>
      </c>
      <c r="CK703" s="346">
        <f t="shared" si="905"/>
        <v>0</v>
      </c>
      <c r="CL703" s="346">
        <f t="shared" si="905"/>
        <v>0</v>
      </c>
      <c r="CM703" s="346">
        <f t="shared" si="905"/>
        <v>0</v>
      </c>
      <c r="CN703" s="346">
        <f t="shared" si="905"/>
        <v>0</v>
      </c>
      <c r="CO703" s="346">
        <f t="shared" si="905"/>
        <v>0</v>
      </c>
      <c r="CP703" s="348">
        <f t="shared" si="905"/>
        <v>0</v>
      </c>
      <c r="CQ703" s="346">
        <f t="shared" si="905"/>
        <v>0</v>
      </c>
      <c r="CR703" s="346">
        <f t="shared" si="905"/>
        <v>0</v>
      </c>
      <c r="CS703" s="346">
        <f t="shared" si="905"/>
        <v>0</v>
      </c>
      <c r="CT703" s="346">
        <f t="shared" si="905"/>
        <v>0</v>
      </c>
      <c r="CU703" s="346">
        <f t="shared" si="905"/>
        <v>0</v>
      </c>
      <c r="CV703" s="346">
        <f t="shared" si="905"/>
        <v>0</v>
      </c>
      <c r="CW703" s="346">
        <f t="shared" si="905"/>
        <v>0</v>
      </c>
      <c r="CX703" s="346">
        <f t="shared" si="905"/>
        <v>0</v>
      </c>
      <c r="CY703" s="346">
        <f t="shared" si="905"/>
        <v>0</v>
      </c>
      <c r="CZ703" s="346">
        <f t="shared" si="905"/>
        <v>0</v>
      </c>
      <c r="DA703" s="346">
        <f t="shared" si="905"/>
        <v>0</v>
      </c>
      <c r="DB703" s="1479">
        <f t="shared" si="905"/>
        <v>0</v>
      </c>
      <c r="DC703" s="346">
        <f t="shared" si="905"/>
        <v>0</v>
      </c>
      <c r="DD703" s="346">
        <f t="shared" si="905"/>
        <v>0</v>
      </c>
      <c r="DE703" s="346">
        <f t="shared" si="905"/>
        <v>0</v>
      </c>
      <c r="DF703" s="346">
        <f t="shared" si="905"/>
        <v>0</v>
      </c>
      <c r="DG703" s="346">
        <f t="shared" si="905"/>
        <v>0</v>
      </c>
      <c r="DH703" s="346">
        <f t="shared" si="905"/>
        <v>0</v>
      </c>
      <c r="DI703" s="346">
        <f t="shared" si="905"/>
        <v>0</v>
      </c>
      <c r="DJ703" s="346">
        <f t="shared" si="905"/>
        <v>0</v>
      </c>
      <c r="DK703" s="346">
        <f t="shared" ref="DK703:EP703" si="906">DK346</f>
        <v>0</v>
      </c>
      <c r="DL703" s="346">
        <f t="shared" si="906"/>
        <v>0</v>
      </c>
      <c r="DM703" s="346">
        <f t="shared" si="906"/>
        <v>0</v>
      </c>
      <c r="DN703" s="348">
        <f t="shared" si="906"/>
        <v>0</v>
      </c>
      <c r="DO703" s="346">
        <f t="shared" si="906"/>
        <v>0</v>
      </c>
      <c r="DP703" s="346">
        <f t="shared" si="906"/>
        <v>0</v>
      </c>
      <c r="DQ703" s="346">
        <f t="shared" si="906"/>
        <v>0</v>
      </c>
      <c r="DR703" s="346">
        <f t="shared" si="906"/>
        <v>0</v>
      </c>
      <c r="DS703" s="346">
        <f t="shared" si="906"/>
        <v>0</v>
      </c>
      <c r="DT703" s="346">
        <f t="shared" si="906"/>
        <v>0</v>
      </c>
      <c r="DU703" s="346">
        <f t="shared" si="906"/>
        <v>0</v>
      </c>
      <c r="DV703" s="346">
        <f t="shared" si="906"/>
        <v>0</v>
      </c>
      <c r="DW703" s="346">
        <f t="shared" si="906"/>
        <v>0</v>
      </c>
      <c r="DX703" s="346">
        <f t="shared" si="906"/>
        <v>0</v>
      </c>
      <c r="DY703" s="346">
        <f t="shared" si="906"/>
        <v>0</v>
      </c>
      <c r="DZ703" s="348">
        <f t="shared" si="906"/>
        <v>0</v>
      </c>
      <c r="EA703" s="346">
        <f t="shared" si="906"/>
        <v>0</v>
      </c>
      <c r="EB703" s="346">
        <f t="shared" si="906"/>
        <v>0</v>
      </c>
      <c r="EC703" s="346">
        <f t="shared" si="906"/>
        <v>0</v>
      </c>
      <c r="ED703" s="346">
        <f t="shared" si="906"/>
        <v>0</v>
      </c>
      <c r="EE703" s="346">
        <f t="shared" si="906"/>
        <v>0</v>
      </c>
      <c r="EF703" s="346">
        <f t="shared" si="906"/>
        <v>0</v>
      </c>
      <c r="EG703" s="346">
        <f t="shared" si="906"/>
        <v>0</v>
      </c>
      <c r="EH703" s="346">
        <f t="shared" si="906"/>
        <v>0</v>
      </c>
      <c r="EI703" s="346">
        <f t="shared" si="906"/>
        <v>0</v>
      </c>
      <c r="EJ703" s="346">
        <f t="shared" si="906"/>
        <v>0</v>
      </c>
      <c r="EK703" s="346">
        <f t="shared" si="906"/>
        <v>0</v>
      </c>
      <c r="EL703" s="348">
        <f t="shared" si="906"/>
        <v>0</v>
      </c>
      <c r="EM703" s="346">
        <f t="shared" si="906"/>
        <v>0</v>
      </c>
      <c r="EN703" s="346">
        <f t="shared" si="906"/>
        <v>0</v>
      </c>
      <c r="EO703" s="346">
        <f t="shared" si="906"/>
        <v>0</v>
      </c>
      <c r="EP703" s="346">
        <f t="shared" si="906"/>
        <v>0</v>
      </c>
      <c r="EQ703" s="346">
        <f t="shared" ref="EQ703:FP703" si="907">EQ346</f>
        <v>0</v>
      </c>
      <c r="ER703" s="346">
        <f t="shared" si="907"/>
        <v>0</v>
      </c>
      <c r="ES703" s="346">
        <f t="shared" si="907"/>
        <v>0</v>
      </c>
      <c r="ET703" s="346">
        <f t="shared" si="907"/>
        <v>0</v>
      </c>
      <c r="EU703" s="346">
        <f t="shared" si="907"/>
        <v>0</v>
      </c>
      <c r="EV703" s="346">
        <f t="shared" si="907"/>
        <v>0</v>
      </c>
      <c r="EW703" s="346">
        <f t="shared" si="907"/>
        <v>0</v>
      </c>
      <c r="EX703" s="348">
        <f t="shared" si="907"/>
        <v>0</v>
      </c>
      <c r="EY703" s="346">
        <f t="shared" si="907"/>
        <v>0</v>
      </c>
      <c r="EZ703" s="346">
        <f t="shared" si="907"/>
        <v>0</v>
      </c>
      <c r="FA703" s="346">
        <f t="shared" si="907"/>
        <v>0</v>
      </c>
      <c r="FB703" s="346">
        <f t="shared" si="907"/>
        <v>0</v>
      </c>
      <c r="FC703" s="346">
        <f t="shared" si="907"/>
        <v>0</v>
      </c>
      <c r="FD703" s="346">
        <f t="shared" si="907"/>
        <v>0</v>
      </c>
      <c r="FE703" s="346">
        <f t="shared" si="907"/>
        <v>0</v>
      </c>
      <c r="FF703" s="346">
        <f t="shared" si="907"/>
        <v>0</v>
      </c>
      <c r="FG703" s="346">
        <f t="shared" si="907"/>
        <v>0</v>
      </c>
      <c r="FH703" s="346">
        <f t="shared" si="907"/>
        <v>0</v>
      </c>
      <c r="FI703" s="346">
        <f t="shared" si="907"/>
        <v>0</v>
      </c>
      <c r="FJ703" s="348">
        <f t="shared" si="907"/>
        <v>0</v>
      </c>
      <c r="FK703" s="346">
        <f t="shared" si="907"/>
        <v>0</v>
      </c>
      <c r="FL703" s="346">
        <f t="shared" si="907"/>
        <v>0</v>
      </c>
      <c r="FM703" s="346">
        <f t="shared" si="907"/>
        <v>0</v>
      </c>
      <c r="FN703" s="346">
        <f t="shared" si="907"/>
        <v>0</v>
      </c>
      <c r="FO703" s="346">
        <f t="shared" si="907"/>
        <v>0</v>
      </c>
      <c r="FP703" s="346">
        <f t="shared" si="907"/>
        <v>0</v>
      </c>
      <c r="FQ703" s="346">
        <f t="shared" si="874"/>
        <v>0</v>
      </c>
      <c r="FR703" s="346">
        <f t="shared" si="874"/>
        <v>0</v>
      </c>
      <c r="FS703" s="346">
        <f t="shared" si="874"/>
        <v>0</v>
      </c>
      <c r="FT703" s="346">
        <f t="shared" si="874"/>
        <v>0</v>
      </c>
      <c r="FU703" s="346">
        <f t="shared" si="874"/>
        <v>0</v>
      </c>
      <c r="FV703" s="346">
        <f t="shared" si="874"/>
        <v>0</v>
      </c>
      <c r="FW703" s="346">
        <v>0</v>
      </c>
      <c r="FX703" s="346">
        <v>0</v>
      </c>
      <c r="FY703" s="346">
        <v>0</v>
      </c>
      <c r="FZ703" s="346">
        <v>0</v>
      </c>
      <c r="GA703" s="346">
        <v>0</v>
      </c>
      <c r="GB703" s="346">
        <v>0</v>
      </c>
      <c r="GC703" s="346">
        <v>0</v>
      </c>
      <c r="GD703" s="346">
        <v>0</v>
      </c>
      <c r="GE703" s="346">
        <v>0</v>
      </c>
      <c r="GF703" s="346">
        <v>0</v>
      </c>
      <c r="GG703" s="346">
        <v>0</v>
      </c>
      <c r="GH703" s="346">
        <v>0</v>
      </c>
      <c r="GI703" s="346">
        <f t="shared" ref="GI703:GN703" si="908">GI346</f>
        <v>0</v>
      </c>
      <c r="GJ703" s="346">
        <f t="shared" si="908"/>
        <v>0</v>
      </c>
      <c r="GK703" s="346">
        <f t="shared" si="908"/>
        <v>0</v>
      </c>
      <c r="GL703" s="346">
        <f t="shared" si="908"/>
        <v>0</v>
      </c>
      <c r="GM703" s="346">
        <f t="shared" si="908"/>
        <v>0</v>
      </c>
      <c r="GN703" s="346">
        <f t="shared" si="908"/>
        <v>0</v>
      </c>
      <c r="GO703" s="346">
        <f t="shared" ref="GO703:GU703" si="909">GO346</f>
        <v>0</v>
      </c>
      <c r="GP703" s="346">
        <f t="shared" si="909"/>
        <v>0</v>
      </c>
      <c r="GQ703" s="346">
        <f t="shared" si="909"/>
        <v>0</v>
      </c>
      <c r="GR703" s="346">
        <f t="shared" si="909"/>
        <v>0</v>
      </c>
      <c r="GS703" s="346">
        <f t="shared" si="909"/>
        <v>0</v>
      </c>
      <c r="GT703" s="346">
        <f t="shared" si="909"/>
        <v>0</v>
      </c>
      <c r="GU703" s="346">
        <f t="shared" si="909"/>
        <v>0</v>
      </c>
      <c r="GV703" s="346">
        <f t="shared" ref="GV703:HF703" si="910">GV346</f>
        <v>0</v>
      </c>
      <c r="GW703" s="346">
        <f t="shared" si="910"/>
        <v>0</v>
      </c>
      <c r="GX703" s="346">
        <f t="shared" si="910"/>
        <v>0</v>
      </c>
      <c r="GY703" s="346">
        <f t="shared" si="910"/>
        <v>0</v>
      </c>
      <c r="GZ703" s="346">
        <f t="shared" si="910"/>
        <v>0</v>
      </c>
      <c r="HA703" s="346">
        <f t="shared" si="910"/>
        <v>0</v>
      </c>
      <c r="HB703" s="346">
        <f t="shared" si="910"/>
        <v>0</v>
      </c>
      <c r="HC703" s="346">
        <f t="shared" si="910"/>
        <v>0</v>
      </c>
      <c r="HD703" s="346">
        <f t="shared" si="910"/>
        <v>0</v>
      </c>
      <c r="HE703" s="346">
        <f t="shared" si="910"/>
        <v>0</v>
      </c>
      <c r="HF703" s="346">
        <f t="shared" si="910"/>
        <v>0</v>
      </c>
      <c r="HG703" s="346">
        <f t="shared" ref="HG703:HL703" si="911">HG346</f>
        <v>0</v>
      </c>
      <c r="HH703" s="346">
        <f t="shared" si="911"/>
        <v>0</v>
      </c>
      <c r="HI703" s="346">
        <f t="shared" si="911"/>
        <v>0</v>
      </c>
      <c r="HJ703" s="346">
        <f t="shared" si="911"/>
        <v>0</v>
      </c>
      <c r="HK703" s="346">
        <f t="shared" si="911"/>
        <v>0</v>
      </c>
      <c r="HL703" s="346">
        <f t="shared" si="911"/>
        <v>0</v>
      </c>
      <c r="HM703" s="346"/>
      <c r="HN703" s="349"/>
      <c r="HO703" s="1439" t="s">
        <v>523</v>
      </c>
      <c r="HP703" s="307">
        <f t="shared" si="879"/>
        <v>0</v>
      </c>
      <c r="HQ703" s="302">
        <f t="shared" si="880"/>
        <v>0</v>
      </c>
      <c r="HR703" s="346">
        <f t="shared" si="698"/>
        <v>0</v>
      </c>
      <c r="HS703" s="302">
        <f t="shared" si="881"/>
        <v>0</v>
      </c>
      <c r="HT703" s="302">
        <f t="shared" si="882"/>
        <v>0</v>
      </c>
      <c r="HU703" s="346">
        <f t="shared" si="678"/>
        <v>0</v>
      </c>
      <c r="HV703" s="307">
        <f t="shared" si="883"/>
        <v>0</v>
      </c>
      <c r="HW703" s="302">
        <f t="shared" si="884"/>
        <v>0</v>
      </c>
      <c r="HX703" s="346">
        <f t="shared" si="679"/>
        <v>0</v>
      </c>
      <c r="HY703" s="350">
        <f t="shared" si="885"/>
        <v>0</v>
      </c>
      <c r="HZ703" s="302">
        <f t="shared" si="886"/>
        <v>0</v>
      </c>
      <c r="IA703" s="346">
        <f t="shared" si="680"/>
        <v>0</v>
      </c>
      <c r="IB703" s="302">
        <f t="shared" si="887"/>
        <v>0</v>
      </c>
      <c r="IC703" s="302">
        <f t="shared" si="888"/>
        <v>0</v>
      </c>
      <c r="ID703" s="346">
        <f t="shared" si="681"/>
        <v>0</v>
      </c>
      <c r="IE703" s="350">
        <f t="shared" si="889"/>
        <v>0</v>
      </c>
      <c r="IF703" s="350">
        <f t="shared" si="890"/>
        <v>0</v>
      </c>
      <c r="IG703" s="346">
        <f t="shared" si="682"/>
        <v>0</v>
      </c>
      <c r="IH703" s="350">
        <f t="shared" si="891"/>
        <v>0</v>
      </c>
      <c r="II703" s="350">
        <f t="shared" si="892"/>
        <v>0</v>
      </c>
      <c r="IJ703" s="346">
        <f t="shared" si="683"/>
        <v>0</v>
      </c>
      <c r="IK703" s="350">
        <f t="shared" si="869"/>
        <v>0</v>
      </c>
      <c r="IL703" s="350">
        <f t="shared" si="864"/>
        <v>0</v>
      </c>
      <c r="IM703" s="346">
        <f t="shared" si="684"/>
        <v>0</v>
      </c>
      <c r="IN703" s="350">
        <f t="shared" si="865"/>
        <v>0</v>
      </c>
      <c r="IO703" s="350">
        <f t="shared" si="866"/>
        <v>0</v>
      </c>
      <c r="IP703" s="346">
        <f t="shared" si="685"/>
        <v>0</v>
      </c>
      <c r="IQ703" s="350">
        <f t="shared" si="867"/>
        <v>0</v>
      </c>
      <c r="IR703" s="350">
        <f t="shared" si="868"/>
        <v>0</v>
      </c>
      <c r="IS703" s="346">
        <f t="shared" si="686"/>
        <v>0</v>
      </c>
      <c r="IT703" s="350">
        <f t="shared" si="870"/>
        <v>0</v>
      </c>
      <c r="IU703" s="350">
        <f t="shared" si="707"/>
        <v>0</v>
      </c>
      <c r="IV703" s="346">
        <f t="shared" si="687"/>
        <v>0</v>
      </c>
      <c r="IW703" s="350">
        <f t="shared" si="700"/>
        <v>0</v>
      </c>
      <c r="IX703" s="350">
        <f t="shared" si="688"/>
        <v>0</v>
      </c>
      <c r="IY703" s="346">
        <f>FISC!AJ1025</f>
        <v>0</v>
      </c>
      <c r="IZ703" s="350">
        <f t="shared" si="893"/>
        <v>0</v>
      </c>
      <c r="JA703" s="302">
        <f t="shared" si="689"/>
        <v>0</v>
      </c>
      <c r="JB703" s="346">
        <f>FISC!AK1025</f>
        <v>0</v>
      </c>
      <c r="JC703" s="350">
        <f t="shared" si="894"/>
        <v>0</v>
      </c>
      <c r="JD703" s="302">
        <f t="shared" si="690"/>
        <v>0</v>
      </c>
      <c r="JE703" s="346">
        <f>FISC!AL1025</f>
        <v>0</v>
      </c>
      <c r="JF703" s="350">
        <f t="shared" si="895"/>
        <v>0</v>
      </c>
      <c r="JG703" s="302">
        <f t="shared" si="691"/>
        <v>0</v>
      </c>
      <c r="JH703" s="346">
        <f>FISC!AM1025</f>
        <v>0</v>
      </c>
      <c r="JI703" s="350">
        <f t="shared" si="896"/>
        <v>0</v>
      </c>
      <c r="JJ703" s="302">
        <f t="shared" si="701"/>
        <v>0</v>
      </c>
      <c r="JK703" s="346">
        <f>FISC!AN1025</f>
        <v>0</v>
      </c>
      <c r="JL703" s="350">
        <f t="shared" si="897"/>
        <v>0</v>
      </c>
      <c r="JM703" s="302">
        <f t="shared" si="692"/>
        <v>0</v>
      </c>
      <c r="JN703" s="346">
        <f>FISC!AO1025</f>
        <v>0</v>
      </c>
      <c r="KI703" s="349"/>
      <c r="KJ703" s="350"/>
    </row>
    <row r="704" spans="1:296" hidden="1" outlineLevel="1">
      <c r="A704" s="302"/>
      <c r="D704" s="1439" t="s">
        <v>524</v>
      </c>
      <c r="E704" s="346"/>
      <c r="F704" s="346"/>
      <c r="G704" s="346"/>
      <c r="H704" s="346"/>
      <c r="I704" s="346"/>
      <c r="J704" s="346"/>
      <c r="K704" s="346"/>
      <c r="L704" s="346"/>
      <c r="M704" s="346"/>
      <c r="N704" s="346"/>
      <c r="O704" s="346"/>
      <c r="P704" s="346"/>
      <c r="Q704" s="346"/>
      <c r="R704" s="346"/>
      <c r="S704" s="346"/>
      <c r="T704" s="346"/>
      <c r="U704" s="346"/>
      <c r="V704" s="346"/>
      <c r="W704" s="346"/>
      <c r="X704" s="346"/>
      <c r="Y704" s="346"/>
      <c r="Z704" s="346"/>
      <c r="AA704" s="346"/>
      <c r="AB704" s="346"/>
      <c r="AC704" s="346"/>
      <c r="AD704" s="346"/>
      <c r="AE704" s="346"/>
      <c r="AF704" s="346"/>
      <c r="AG704" s="346"/>
      <c r="AH704" s="346"/>
      <c r="AI704" s="346"/>
      <c r="AJ704" s="346"/>
      <c r="AK704" s="346"/>
      <c r="AL704" s="346"/>
      <c r="AM704" s="346"/>
      <c r="AN704" s="346"/>
      <c r="AO704" s="346"/>
      <c r="AP704" s="346"/>
      <c r="AQ704" s="346"/>
      <c r="AR704" s="346"/>
      <c r="AS704" s="346"/>
      <c r="AT704" s="346"/>
      <c r="AU704" s="346"/>
      <c r="AV704" s="346"/>
      <c r="AW704" s="346"/>
      <c r="AX704" s="346"/>
      <c r="AY704" s="346"/>
      <c r="AZ704" s="346"/>
      <c r="BA704" s="346"/>
      <c r="BB704" s="346"/>
      <c r="BC704" s="346"/>
      <c r="BD704" s="346"/>
      <c r="BE704" s="346"/>
      <c r="BF704" s="346"/>
      <c r="BG704" s="346"/>
      <c r="BH704" s="346"/>
      <c r="BI704" s="346"/>
      <c r="BJ704" s="346"/>
      <c r="BK704" s="346"/>
      <c r="BL704" s="346"/>
      <c r="BM704" s="346"/>
      <c r="BN704" s="346"/>
      <c r="BO704" s="346"/>
      <c r="BP704" s="346"/>
      <c r="BQ704" s="346"/>
      <c r="BR704" s="346"/>
      <c r="BS704" s="346"/>
      <c r="BT704" s="346"/>
      <c r="BU704" s="346"/>
      <c r="BV704" s="346"/>
      <c r="BW704" s="346"/>
      <c r="BX704" s="346"/>
      <c r="BY704" s="346"/>
      <c r="BZ704" s="346"/>
      <c r="CA704" s="346"/>
      <c r="CB704" s="346"/>
      <c r="CC704" s="346"/>
      <c r="CD704" s="352"/>
      <c r="CE704" s="346">
        <f t="shared" ref="CE704:DJ704" si="912">CE347</f>
        <v>0</v>
      </c>
      <c r="CF704" s="346">
        <f t="shared" si="912"/>
        <v>0</v>
      </c>
      <c r="CG704" s="346">
        <f t="shared" si="912"/>
        <v>0</v>
      </c>
      <c r="CH704" s="346">
        <f t="shared" si="912"/>
        <v>0</v>
      </c>
      <c r="CI704" s="346">
        <f t="shared" si="912"/>
        <v>0</v>
      </c>
      <c r="CJ704" s="346">
        <f t="shared" si="912"/>
        <v>0</v>
      </c>
      <c r="CK704" s="346">
        <f t="shared" si="912"/>
        <v>0</v>
      </c>
      <c r="CL704" s="346">
        <f t="shared" si="912"/>
        <v>0</v>
      </c>
      <c r="CM704" s="346">
        <f t="shared" si="912"/>
        <v>0</v>
      </c>
      <c r="CN704" s="346">
        <f t="shared" si="912"/>
        <v>0</v>
      </c>
      <c r="CO704" s="346">
        <f t="shared" si="912"/>
        <v>0</v>
      </c>
      <c r="CP704" s="348">
        <f t="shared" si="912"/>
        <v>0</v>
      </c>
      <c r="CQ704" s="346">
        <f t="shared" si="912"/>
        <v>0</v>
      </c>
      <c r="CR704" s="346">
        <f t="shared" si="912"/>
        <v>0</v>
      </c>
      <c r="CS704" s="346">
        <f t="shared" si="912"/>
        <v>0</v>
      </c>
      <c r="CT704" s="346">
        <f t="shared" si="912"/>
        <v>0</v>
      </c>
      <c r="CU704" s="346">
        <f t="shared" si="912"/>
        <v>0</v>
      </c>
      <c r="CV704" s="346">
        <f t="shared" si="912"/>
        <v>0</v>
      </c>
      <c r="CW704" s="346">
        <f t="shared" si="912"/>
        <v>0</v>
      </c>
      <c r="CX704" s="346">
        <f t="shared" si="912"/>
        <v>0</v>
      </c>
      <c r="CY704" s="346">
        <f t="shared" si="912"/>
        <v>0</v>
      </c>
      <c r="CZ704" s="346">
        <f t="shared" si="912"/>
        <v>0</v>
      </c>
      <c r="DA704" s="346">
        <f t="shared" si="912"/>
        <v>0</v>
      </c>
      <c r="DB704" s="1479">
        <f t="shared" si="912"/>
        <v>0</v>
      </c>
      <c r="DC704" s="346">
        <f t="shared" si="912"/>
        <v>0</v>
      </c>
      <c r="DD704" s="346">
        <f t="shared" si="912"/>
        <v>0</v>
      </c>
      <c r="DE704" s="346">
        <f t="shared" si="912"/>
        <v>0</v>
      </c>
      <c r="DF704" s="346">
        <f t="shared" si="912"/>
        <v>0</v>
      </c>
      <c r="DG704" s="346">
        <f t="shared" si="912"/>
        <v>0</v>
      </c>
      <c r="DH704" s="346">
        <f t="shared" si="912"/>
        <v>0</v>
      </c>
      <c r="DI704" s="346">
        <f t="shared" si="912"/>
        <v>0</v>
      </c>
      <c r="DJ704" s="346">
        <f t="shared" si="912"/>
        <v>0</v>
      </c>
      <c r="DK704" s="346">
        <f t="shared" ref="DK704:EP704" si="913">DK347</f>
        <v>0</v>
      </c>
      <c r="DL704" s="346">
        <f t="shared" si="913"/>
        <v>0</v>
      </c>
      <c r="DM704" s="346">
        <f t="shared" si="913"/>
        <v>0</v>
      </c>
      <c r="DN704" s="348">
        <f t="shared" si="913"/>
        <v>0</v>
      </c>
      <c r="DO704" s="346">
        <f t="shared" si="913"/>
        <v>0</v>
      </c>
      <c r="DP704" s="346">
        <f t="shared" si="913"/>
        <v>0</v>
      </c>
      <c r="DQ704" s="346">
        <f t="shared" si="913"/>
        <v>0</v>
      </c>
      <c r="DR704" s="346">
        <f t="shared" si="913"/>
        <v>0</v>
      </c>
      <c r="DS704" s="346">
        <f t="shared" si="913"/>
        <v>0</v>
      </c>
      <c r="DT704" s="346">
        <f t="shared" si="913"/>
        <v>0</v>
      </c>
      <c r="DU704" s="346">
        <f t="shared" si="913"/>
        <v>0</v>
      </c>
      <c r="DV704" s="346">
        <f t="shared" si="913"/>
        <v>0</v>
      </c>
      <c r="DW704" s="346">
        <f t="shared" si="913"/>
        <v>0</v>
      </c>
      <c r="DX704" s="346">
        <f t="shared" si="913"/>
        <v>0</v>
      </c>
      <c r="DY704" s="346">
        <f t="shared" si="913"/>
        <v>0</v>
      </c>
      <c r="DZ704" s="348">
        <f t="shared" si="913"/>
        <v>0</v>
      </c>
      <c r="EA704" s="346">
        <f t="shared" si="913"/>
        <v>0</v>
      </c>
      <c r="EB704" s="346">
        <f t="shared" si="913"/>
        <v>0</v>
      </c>
      <c r="EC704" s="346">
        <f t="shared" si="913"/>
        <v>0</v>
      </c>
      <c r="ED704" s="346">
        <f t="shared" si="913"/>
        <v>0</v>
      </c>
      <c r="EE704" s="346">
        <f t="shared" si="913"/>
        <v>0</v>
      </c>
      <c r="EF704" s="346">
        <f t="shared" si="913"/>
        <v>0</v>
      </c>
      <c r="EG704" s="346">
        <f t="shared" si="913"/>
        <v>0</v>
      </c>
      <c r="EH704" s="346">
        <f t="shared" si="913"/>
        <v>0</v>
      </c>
      <c r="EI704" s="346">
        <f t="shared" si="913"/>
        <v>0</v>
      </c>
      <c r="EJ704" s="346">
        <f t="shared" si="913"/>
        <v>0</v>
      </c>
      <c r="EK704" s="346">
        <f t="shared" si="913"/>
        <v>0</v>
      </c>
      <c r="EL704" s="348">
        <f t="shared" si="913"/>
        <v>0</v>
      </c>
      <c r="EM704" s="346">
        <f t="shared" si="913"/>
        <v>0</v>
      </c>
      <c r="EN704" s="346">
        <f t="shared" si="913"/>
        <v>0</v>
      </c>
      <c r="EO704" s="346">
        <f t="shared" si="913"/>
        <v>0</v>
      </c>
      <c r="EP704" s="346">
        <f t="shared" si="913"/>
        <v>0</v>
      </c>
      <c r="EQ704" s="346">
        <f t="shared" ref="EQ704:FP704" si="914">EQ347</f>
        <v>0</v>
      </c>
      <c r="ER704" s="346">
        <f t="shared" si="914"/>
        <v>0</v>
      </c>
      <c r="ES704" s="346">
        <f t="shared" si="914"/>
        <v>0</v>
      </c>
      <c r="ET704" s="346">
        <f t="shared" si="914"/>
        <v>0</v>
      </c>
      <c r="EU704" s="346">
        <f t="shared" si="914"/>
        <v>0</v>
      </c>
      <c r="EV704" s="346">
        <f t="shared" si="914"/>
        <v>0</v>
      </c>
      <c r="EW704" s="346">
        <f t="shared" si="914"/>
        <v>0</v>
      </c>
      <c r="EX704" s="348">
        <f t="shared" si="914"/>
        <v>0</v>
      </c>
      <c r="EY704" s="346">
        <f t="shared" si="914"/>
        <v>0</v>
      </c>
      <c r="EZ704" s="346">
        <f t="shared" si="914"/>
        <v>0</v>
      </c>
      <c r="FA704" s="346">
        <f t="shared" si="914"/>
        <v>0</v>
      </c>
      <c r="FB704" s="346">
        <f t="shared" si="914"/>
        <v>0</v>
      </c>
      <c r="FC704" s="346">
        <f t="shared" si="914"/>
        <v>0</v>
      </c>
      <c r="FD704" s="346">
        <f t="shared" si="914"/>
        <v>0</v>
      </c>
      <c r="FE704" s="346">
        <f t="shared" si="914"/>
        <v>0</v>
      </c>
      <c r="FF704" s="346">
        <f t="shared" si="914"/>
        <v>0</v>
      </c>
      <c r="FG704" s="346">
        <f t="shared" si="914"/>
        <v>0</v>
      </c>
      <c r="FH704" s="346">
        <f t="shared" si="914"/>
        <v>0</v>
      </c>
      <c r="FI704" s="346">
        <f t="shared" si="914"/>
        <v>0</v>
      </c>
      <c r="FJ704" s="348">
        <f t="shared" si="914"/>
        <v>0</v>
      </c>
      <c r="FK704" s="346">
        <f t="shared" si="914"/>
        <v>0</v>
      </c>
      <c r="FL704" s="346">
        <f t="shared" si="914"/>
        <v>0</v>
      </c>
      <c r="FM704" s="346">
        <f t="shared" si="914"/>
        <v>0</v>
      </c>
      <c r="FN704" s="346">
        <f t="shared" si="914"/>
        <v>0</v>
      </c>
      <c r="FO704" s="346">
        <f t="shared" si="914"/>
        <v>0</v>
      </c>
      <c r="FP704" s="346">
        <f t="shared" si="914"/>
        <v>0</v>
      </c>
      <c r="FQ704" s="346">
        <f t="shared" si="874"/>
        <v>0</v>
      </c>
      <c r="FR704" s="346">
        <f t="shared" si="874"/>
        <v>0</v>
      </c>
      <c r="FS704" s="346">
        <f t="shared" si="874"/>
        <v>0</v>
      </c>
      <c r="FT704" s="346">
        <f t="shared" si="874"/>
        <v>0</v>
      </c>
      <c r="FU704" s="346">
        <f t="shared" si="874"/>
        <v>0</v>
      </c>
      <c r="FV704" s="346">
        <f t="shared" si="874"/>
        <v>0</v>
      </c>
      <c r="FW704" s="346">
        <v>0</v>
      </c>
      <c r="FX704" s="346">
        <v>0</v>
      </c>
      <c r="FY704" s="346">
        <v>0</v>
      </c>
      <c r="FZ704" s="346">
        <v>0</v>
      </c>
      <c r="GA704" s="346">
        <v>0</v>
      </c>
      <c r="GB704" s="346">
        <v>0</v>
      </c>
      <c r="GC704" s="346">
        <v>0</v>
      </c>
      <c r="GD704" s="346">
        <v>0</v>
      </c>
      <c r="GE704" s="346">
        <v>0</v>
      </c>
      <c r="GF704" s="346">
        <v>0</v>
      </c>
      <c r="GG704" s="346">
        <v>0</v>
      </c>
      <c r="GH704" s="346">
        <v>0</v>
      </c>
      <c r="GI704" s="346">
        <f t="shared" ref="GI704:GN704" si="915">GI347</f>
        <v>0</v>
      </c>
      <c r="GJ704" s="346">
        <f t="shared" si="915"/>
        <v>0</v>
      </c>
      <c r="GK704" s="346">
        <f t="shared" si="915"/>
        <v>0</v>
      </c>
      <c r="GL704" s="346">
        <f t="shared" si="915"/>
        <v>0</v>
      </c>
      <c r="GM704" s="346">
        <f t="shared" si="915"/>
        <v>0</v>
      </c>
      <c r="GN704" s="346">
        <f t="shared" si="915"/>
        <v>0</v>
      </c>
      <c r="GO704" s="346">
        <f t="shared" ref="GO704:GU704" si="916">GO347</f>
        <v>0</v>
      </c>
      <c r="GP704" s="346">
        <f t="shared" si="916"/>
        <v>0</v>
      </c>
      <c r="GQ704" s="346">
        <f t="shared" si="916"/>
        <v>0</v>
      </c>
      <c r="GR704" s="346">
        <f t="shared" si="916"/>
        <v>0</v>
      </c>
      <c r="GS704" s="346">
        <f t="shared" si="916"/>
        <v>0</v>
      </c>
      <c r="GT704" s="346">
        <f t="shared" si="916"/>
        <v>0</v>
      </c>
      <c r="GU704" s="346">
        <f t="shared" si="916"/>
        <v>0</v>
      </c>
      <c r="GV704" s="346">
        <f t="shared" ref="GV704:HF704" si="917">GV347</f>
        <v>0</v>
      </c>
      <c r="GW704" s="346">
        <f t="shared" si="917"/>
        <v>0</v>
      </c>
      <c r="GX704" s="346">
        <f t="shared" si="917"/>
        <v>0</v>
      </c>
      <c r="GY704" s="346">
        <f t="shared" si="917"/>
        <v>0</v>
      </c>
      <c r="GZ704" s="346">
        <f t="shared" si="917"/>
        <v>0</v>
      </c>
      <c r="HA704" s="346">
        <f t="shared" si="917"/>
        <v>0</v>
      </c>
      <c r="HB704" s="346">
        <f t="shared" si="917"/>
        <v>0</v>
      </c>
      <c r="HC704" s="346">
        <f t="shared" si="917"/>
        <v>0</v>
      </c>
      <c r="HD704" s="346">
        <f t="shared" si="917"/>
        <v>0</v>
      </c>
      <c r="HE704" s="346">
        <f t="shared" si="917"/>
        <v>0</v>
      </c>
      <c r="HF704" s="346">
        <f t="shared" si="917"/>
        <v>0</v>
      </c>
      <c r="HG704" s="346">
        <f t="shared" ref="HG704:HL704" si="918">HG347</f>
        <v>0</v>
      </c>
      <c r="HH704" s="346">
        <f t="shared" si="918"/>
        <v>0</v>
      </c>
      <c r="HI704" s="346">
        <f t="shared" si="918"/>
        <v>0</v>
      </c>
      <c r="HJ704" s="346">
        <f t="shared" si="918"/>
        <v>0</v>
      </c>
      <c r="HK704" s="346">
        <f t="shared" si="918"/>
        <v>0</v>
      </c>
      <c r="HL704" s="346">
        <f t="shared" si="918"/>
        <v>0</v>
      </c>
      <c r="HM704" s="346"/>
      <c r="HN704" s="349"/>
      <c r="HO704" s="1439" t="s">
        <v>524</v>
      </c>
      <c r="HP704" s="307">
        <f t="shared" si="879"/>
        <v>0</v>
      </c>
      <c r="HQ704" s="302">
        <f t="shared" si="880"/>
        <v>0</v>
      </c>
      <c r="HR704" s="346">
        <f t="shared" si="698"/>
        <v>0</v>
      </c>
      <c r="HS704" s="302">
        <f t="shared" si="881"/>
        <v>0</v>
      </c>
      <c r="HT704" s="302">
        <f t="shared" si="882"/>
        <v>0</v>
      </c>
      <c r="HU704" s="346">
        <f t="shared" si="678"/>
        <v>0</v>
      </c>
      <c r="HV704" s="307">
        <f t="shared" si="883"/>
        <v>0</v>
      </c>
      <c r="HW704" s="302">
        <f t="shared" si="884"/>
        <v>0</v>
      </c>
      <c r="HX704" s="346">
        <f t="shared" si="679"/>
        <v>0</v>
      </c>
      <c r="HY704" s="350">
        <f t="shared" si="885"/>
        <v>0</v>
      </c>
      <c r="HZ704" s="302">
        <f t="shared" si="886"/>
        <v>0</v>
      </c>
      <c r="IA704" s="346">
        <f t="shared" si="680"/>
        <v>0</v>
      </c>
      <c r="IB704" s="302">
        <f t="shared" si="887"/>
        <v>0</v>
      </c>
      <c r="IC704" s="302">
        <f t="shared" si="888"/>
        <v>0</v>
      </c>
      <c r="ID704" s="346">
        <f t="shared" si="681"/>
        <v>0</v>
      </c>
      <c r="IE704" s="350">
        <f t="shared" si="889"/>
        <v>0</v>
      </c>
      <c r="IF704" s="350">
        <f t="shared" si="890"/>
        <v>0</v>
      </c>
      <c r="IG704" s="346">
        <f t="shared" si="682"/>
        <v>0</v>
      </c>
      <c r="IH704" s="350">
        <f t="shared" si="891"/>
        <v>0</v>
      </c>
      <c r="II704" s="350">
        <f t="shared" si="892"/>
        <v>0</v>
      </c>
      <c r="IJ704" s="346">
        <f t="shared" si="683"/>
        <v>0</v>
      </c>
      <c r="IK704" s="350">
        <f t="shared" si="869"/>
        <v>0</v>
      </c>
      <c r="IL704" s="350">
        <f t="shared" si="864"/>
        <v>0</v>
      </c>
      <c r="IM704" s="346">
        <f t="shared" si="684"/>
        <v>0</v>
      </c>
      <c r="IN704" s="350">
        <f t="shared" si="865"/>
        <v>0</v>
      </c>
      <c r="IO704" s="350">
        <f t="shared" si="866"/>
        <v>0</v>
      </c>
      <c r="IP704" s="346">
        <f t="shared" si="685"/>
        <v>0</v>
      </c>
      <c r="IQ704" s="350">
        <f t="shared" si="867"/>
        <v>0</v>
      </c>
      <c r="IR704" s="350">
        <f t="shared" si="868"/>
        <v>0</v>
      </c>
      <c r="IS704" s="346">
        <f t="shared" si="686"/>
        <v>0</v>
      </c>
      <c r="IT704" s="350">
        <f t="shared" si="870"/>
        <v>0</v>
      </c>
      <c r="IU704" s="350">
        <f t="shared" si="707"/>
        <v>0</v>
      </c>
      <c r="IV704" s="346">
        <f t="shared" si="687"/>
        <v>0</v>
      </c>
      <c r="IW704" s="350">
        <f t="shared" si="700"/>
        <v>0</v>
      </c>
      <c r="IX704" s="350">
        <f t="shared" si="688"/>
        <v>0</v>
      </c>
      <c r="IY704" s="346">
        <f>FISC!AJ1026</f>
        <v>0</v>
      </c>
      <c r="IZ704" s="350">
        <f t="shared" si="893"/>
        <v>0</v>
      </c>
      <c r="JA704" s="302">
        <f t="shared" si="689"/>
        <v>0</v>
      </c>
      <c r="JB704" s="346">
        <f>FISC!AK1026</f>
        <v>0</v>
      </c>
      <c r="JC704" s="350">
        <f t="shared" si="894"/>
        <v>0</v>
      </c>
      <c r="JD704" s="302">
        <f t="shared" si="690"/>
        <v>0</v>
      </c>
      <c r="JE704" s="346">
        <f>FISC!AL1026</f>
        <v>0</v>
      </c>
      <c r="JF704" s="350">
        <f t="shared" si="895"/>
        <v>0</v>
      </c>
      <c r="JG704" s="302">
        <f t="shared" si="691"/>
        <v>0</v>
      </c>
      <c r="JH704" s="346">
        <f>FISC!AM1026</f>
        <v>0</v>
      </c>
      <c r="JI704" s="350">
        <f t="shared" si="896"/>
        <v>0</v>
      </c>
      <c r="JJ704" s="302">
        <f t="shared" si="701"/>
        <v>0</v>
      </c>
      <c r="JK704" s="346">
        <f>FISC!AN1026</f>
        <v>0</v>
      </c>
      <c r="JL704" s="350">
        <f t="shared" si="897"/>
        <v>0</v>
      </c>
      <c r="JM704" s="302">
        <f t="shared" si="692"/>
        <v>0</v>
      </c>
      <c r="JN704" s="346">
        <f>FISC!AO1026</f>
        <v>0</v>
      </c>
      <c r="KI704" s="349"/>
      <c r="KJ704" s="350"/>
    </row>
    <row r="705" spans="1:302" hidden="1" outlineLevel="1">
      <c r="A705" s="302"/>
      <c r="D705" s="1439" t="s">
        <v>525</v>
      </c>
      <c r="E705" s="346"/>
      <c r="F705" s="346"/>
      <c r="G705" s="346"/>
      <c r="H705" s="346"/>
      <c r="I705" s="346"/>
      <c r="J705" s="346"/>
      <c r="K705" s="346"/>
      <c r="L705" s="346"/>
      <c r="M705" s="346"/>
      <c r="N705" s="346"/>
      <c r="O705" s="346"/>
      <c r="P705" s="346"/>
      <c r="Q705" s="346"/>
      <c r="R705" s="346"/>
      <c r="S705" s="346"/>
      <c r="T705" s="346"/>
      <c r="U705" s="346"/>
      <c r="V705" s="346"/>
      <c r="W705" s="346"/>
      <c r="X705" s="346"/>
      <c r="Y705" s="346"/>
      <c r="Z705" s="346"/>
      <c r="AA705" s="346"/>
      <c r="AB705" s="346"/>
      <c r="AC705" s="346"/>
      <c r="AD705" s="346"/>
      <c r="AE705" s="346"/>
      <c r="AF705" s="346"/>
      <c r="AG705" s="346"/>
      <c r="AH705" s="346"/>
      <c r="AI705" s="346"/>
      <c r="AJ705" s="346"/>
      <c r="AK705" s="346"/>
      <c r="AL705" s="346"/>
      <c r="AM705" s="346"/>
      <c r="AN705" s="346"/>
      <c r="AO705" s="346"/>
      <c r="AP705" s="346"/>
      <c r="AQ705" s="346"/>
      <c r="AR705" s="346"/>
      <c r="AS705" s="346"/>
      <c r="AT705" s="346"/>
      <c r="AU705" s="346"/>
      <c r="AV705" s="346"/>
      <c r="AW705" s="346"/>
      <c r="AX705" s="346"/>
      <c r="AY705" s="346"/>
      <c r="AZ705" s="346"/>
      <c r="BA705" s="346"/>
      <c r="BB705" s="346"/>
      <c r="BC705" s="346"/>
      <c r="BD705" s="346"/>
      <c r="BE705" s="346"/>
      <c r="BF705" s="346"/>
      <c r="BG705" s="346"/>
      <c r="BH705" s="346"/>
      <c r="BI705" s="346"/>
      <c r="BJ705" s="346"/>
      <c r="BK705" s="346"/>
      <c r="BL705" s="346"/>
      <c r="BM705" s="346"/>
      <c r="BN705" s="346"/>
      <c r="BO705" s="346"/>
      <c r="BP705" s="346"/>
      <c r="BQ705" s="346"/>
      <c r="BR705" s="346"/>
      <c r="BS705" s="346"/>
      <c r="BT705" s="346"/>
      <c r="BU705" s="346"/>
      <c r="BV705" s="346"/>
      <c r="BW705" s="346"/>
      <c r="BX705" s="346"/>
      <c r="BY705" s="346"/>
      <c r="BZ705" s="346"/>
      <c r="CA705" s="346"/>
      <c r="CB705" s="346"/>
      <c r="CC705" s="346"/>
      <c r="CD705" s="352"/>
      <c r="CE705" s="346">
        <f t="shared" ref="CE705:DJ705" si="919">CE348</f>
        <v>2.9019E-2</v>
      </c>
      <c r="CF705" s="346">
        <f t="shared" si="919"/>
        <v>3.0443028E-2</v>
      </c>
      <c r="CG705" s="346">
        <f t="shared" si="919"/>
        <v>2.9402956000000001E-2</v>
      </c>
      <c r="CH705" s="346">
        <f t="shared" si="919"/>
        <v>2.5939E-2</v>
      </c>
      <c r="CI705" s="346">
        <f t="shared" si="919"/>
        <v>2.1454615E-2</v>
      </c>
      <c r="CJ705" s="346">
        <f t="shared" si="919"/>
        <v>2.7730419999999999E-2</v>
      </c>
      <c r="CK705" s="346">
        <f t="shared" si="919"/>
        <v>3.0049919000000001E-2</v>
      </c>
      <c r="CL705" s="346">
        <f t="shared" si="919"/>
        <v>3.3757825999999998E-2</v>
      </c>
      <c r="CM705" s="346">
        <f t="shared" si="919"/>
        <v>4.5076725999999998E-2</v>
      </c>
      <c r="CN705" s="346">
        <f t="shared" si="919"/>
        <v>4.9540202999999998E-2</v>
      </c>
      <c r="CO705" s="346">
        <f t="shared" si="919"/>
        <v>5.3802061999999998E-2</v>
      </c>
      <c r="CP705" s="348">
        <f t="shared" si="919"/>
        <v>2.0424985969999998</v>
      </c>
      <c r="CQ705" s="346">
        <f t="shared" si="919"/>
        <v>9.2455625E-2</v>
      </c>
      <c r="CR705" s="346">
        <f t="shared" si="919"/>
        <v>5.8016163000000003E-2</v>
      </c>
      <c r="CS705" s="346">
        <f t="shared" si="919"/>
        <v>5.426475E-2</v>
      </c>
      <c r="CT705" s="346">
        <f t="shared" si="919"/>
        <v>5.0637036000000003E-2</v>
      </c>
      <c r="CU705" s="346">
        <f t="shared" si="919"/>
        <v>5.6333473000000002E-2</v>
      </c>
      <c r="CV705" s="346">
        <f t="shared" si="919"/>
        <v>6.1871487000000003E-2</v>
      </c>
      <c r="CW705" s="346">
        <f t="shared" si="919"/>
        <v>6.0470482999999998E-2</v>
      </c>
      <c r="CX705" s="346">
        <f t="shared" si="919"/>
        <v>6.5419802999999999E-2</v>
      </c>
      <c r="CY705" s="346">
        <f t="shared" si="919"/>
        <v>6.6502772000000002E-2</v>
      </c>
      <c r="CZ705" s="346">
        <f t="shared" si="919"/>
        <v>5.6616418000000002E-2</v>
      </c>
      <c r="DA705" s="346">
        <f t="shared" si="919"/>
        <v>5.7814781000000003E-2</v>
      </c>
      <c r="DB705" s="1479">
        <f t="shared" si="919"/>
        <v>5.6000117000000002E-2</v>
      </c>
      <c r="DC705" s="346">
        <f t="shared" si="919"/>
        <v>9.6366417744588609E-2</v>
      </c>
      <c r="DD705" s="346">
        <f t="shared" si="919"/>
        <v>6.5579677243383164E-2</v>
      </c>
      <c r="DE705" s="346">
        <f t="shared" si="919"/>
        <v>6.2069700414791013E-2</v>
      </c>
      <c r="DF705" s="346">
        <f t="shared" si="919"/>
        <v>6.7843064571146069E-2</v>
      </c>
      <c r="DG705" s="346">
        <f t="shared" si="919"/>
        <v>7.1081475520421863E-2</v>
      </c>
      <c r="DH705" s="346">
        <f t="shared" si="919"/>
        <v>7.831465987054971E-2</v>
      </c>
      <c r="DI705" s="346">
        <f t="shared" si="919"/>
        <v>6.3955531208804484E-2</v>
      </c>
      <c r="DJ705" s="346">
        <f t="shared" si="919"/>
        <v>8.418332943502857E-2</v>
      </c>
      <c r="DK705" s="346">
        <f t="shared" ref="DK705:EP705" si="920">DK348</f>
        <v>8.1018853751948422E-2</v>
      </c>
      <c r="DL705" s="346">
        <f t="shared" si="920"/>
        <v>6.5828797598082897E-2</v>
      </c>
      <c r="DM705" s="346">
        <f t="shared" si="920"/>
        <v>6.7932009080562794E-2</v>
      </c>
      <c r="DN705" s="348">
        <f t="shared" si="920"/>
        <v>6.2578164541410547E-2</v>
      </c>
      <c r="DO705" s="346">
        <f t="shared" si="920"/>
        <v>0</v>
      </c>
      <c r="DP705" s="346">
        <f t="shared" si="920"/>
        <v>0</v>
      </c>
      <c r="DQ705" s="346">
        <f t="shared" si="920"/>
        <v>0</v>
      </c>
      <c r="DR705" s="346">
        <f t="shared" si="920"/>
        <v>0</v>
      </c>
      <c r="DS705" s="346">
        <f t="shared" si="920"/>
        <v>0</v>
      </c>
      <c r="DT705" s="346">
        <f t="shared" si="920"/>
        <v>0</v>
      </c>
      <c r="DU705" s="346">
        <f t="shared" si="920"/>
        <v>0</v>
      </c>
      <c r="DV705" s="346">
        <f t="shared" si="920"/>
        <v>0</v>
      </c>
      <c r="DW705" s="346">
        <f t="shared" si="920"/>
        <v>0</v>
      </c>
      <c r="DX705" s="346">
        <f t="shared" si="920"/>
        <v>0</v>
      </c>
      <c r="DY705" s="346">
        <f t="shared" si="920"/>
        <v>0</v>
      </c>
      <c r="DZ705" s="348">
        <f t="shared" si="920"/>
        <v>0</v>
      </c>
      <c r="EA705" s="346">
        <f t="shared" si="920"/>
        <v>0.17843176147015635</v>
      </c>
      <c r="EB705" s="346">
        <f t="shared" si="920"/>
        <v>1.1068213785765339E-2</v>
      </c>
      <c r="EC705" s="346">
        <f t="shared" si="920"/>
        <v>6.5593313143918724E-2</v>
      </c>
      <c r="ED705" s="346">
        <f t="shared" si="920"/>
        <v>0.10688350416823514</v>
      </c>
      <c r="EE705" s="346">
        <f t="shared" si="920"/>
        <v>0.13929436857888944</v>
      </c>
      <c r="EF705" s="346">
        <f t="shared" si="920"/>
        <v>0.17936977612196442</v>
      </c>
      <c r="EG705" s="346">
        <f t="shared" si="920"/>
        <v>1.9877427848863954E-2</v>
      </c>
      <c r="EH705" s="346">
        <f t="shared" si="920"/>
        <v>2.304272104931706E-2</v>
      </c>
      <c r="EI705" s="346">
        <f t="shared" si="920"/>
        <v>2.0406779143309947E-2</v>
      </c>
      <c r="EJ705" s="346">
        <f t="shared" si="920"/>
        <v>1.7163095796810426E-2</v>
      </c>
      <c r="EK705" s="346">
        <f t="shared" si="920"/>
        <v>1.544813681708251E-2</v>
      </c>
      <c r="EL705" s="348">
        <f t="shared" si="920"/>
        <v>2.1309053801818231E-2</v>
      </c>
      <c r="EM705" s="346">
        <f t="shared" si="920"/>
        <v>0</v>
      </c>
      <c r="EN705" s="346">
        <f t="shared" si="920"/>
        <v>0</v>
      </c>
      <c r="EO705" s="346">
        <f t="shared" si="920"/>
        <v>0</v>
      </c>
      <c r="EP705" s="346">
        <f t="shared" si="920"/>
        <v>0</v>
      </c>
      <c r="EQ705" s="346">
        <f t="shared" ref="EQ705:FP705" si="921">EQ348</f>
        <v>0</v>
      </c>
      <c r="ER705" s="346">
        <f t="shared" si="921"/>
        <v>0</v>
      </c>
      <c r="ES705" s="346">
        <f t="shared" si="921"/>
        <v>0</v>
      </c>
      <c r="ET705" s="346">
        <f t="shared" si="921"/>
        <v>0</v>
      </c>
      <c r="EU705" s="346">
        <f t="shared" si="921"/>
        <v>0</v>
      </c>
      <c r="EV705" s="346">
        <f t="shared" si="921"/>
        <v>0</v>
      </c>
      <c r="EW705" s="346">
        <f t="shared" si="921"/>
        <v>0</v>
      </c>
      <c r="EX705" s="348">
        <f t="shared" si="921"/>
        <v>0</v>
      </c>
      <c r="EY705" s="346">
        <f t="shared" si="921"/>
        <v>0</v>
      </c>
      <c r="EZ705" s="346">
        <f t="shared" si="921"/>
        <v>0</v>
      </c>
      <c r="FA705" s="346">
        <f t="shared" si="921"/>
        <v>0</v>
      </c>
      <c r="FB705" s="346">
        <f t="shared" si="921"/>
        <v>0</v>
      </c>
      <c r="FC705" s="346">
        <f t="shared" si="921"/>
        <v>0</v>
      </c>
      <c r="FD705" s="346">
        <f t="shared" si="921"/>
        <v>0</v>
      </c>
      <c r="FE705" s="346">
        <f t="shared" si="921"/>
        <v>0</v>
      </c>
      <c r="FF705" s="346">
        <f t="shared" si="921"/>
        <v>0</v>
      </c>
      <c r="FG705" s="346">
        <f t="shared" si="921"/>
        <v>0</v>
      </c>
      <c r="FH705" s="346">
        <f t="shared" si="921"/>
        <v>0</v>
      </c>
      <c r="FI705" s="346">
        <f t="shared" si="921"/>
        <v>0</v>
      </c>
      <c r="FJ705" s="348">
        <f t="shared" si="921"/>
        <v>0</v>
      </c>
      <c r="FK705" s="346">
        <f t="shared" si="921"/>
        <v>0</v>
      </c>
      <c r="FL705" s="346">
        <f t="shared" si="921"/>
        <v>0</v>
      </c>
      <c r="FM705" s="346">
        <f t="shared" si="921"/>
        <v>0</v>
      </c>
      <c r="FN705" s="346">
        <f t="shared" si="921"/>
        <v>0</v>
      </c>
      <c r="FO705" s="346">
        <f t="shared" si="921"/>
        <v>0</v>
      </c>
      <c r="FP705" s="346">
        <f t="shared" si="921"/>
        <v>0</v>
      </c>
      <c r="FQ705" s="346">
        <f t="shared" si="874"/>
        <v>0</v>
      </c>
      <c r="FR705" s="346">
        <f t="shared" si="874"/>
        <v>0</v>
      </c>
      <c r="FS705" s="346">
        <f t="shared" si="874"/>
        <v>0</v>
      </c>
      <c r="FT705" s="346">
        <f t="shared" si="874"/>
        <v>0</v>
      </c>
      <c r="FU705" s="346">
        <f t="shared" si="874"/>
        <v>0</v>
      </c>
      <c r="FV705" s="346">
        <f t="shared" si="874"/>
        <v>0</v>
      </c>
      <c r="FW705" s="346">
        <v>0</v>
      </c>
      <c r="FX705" s="346">
        <v>0</v>
      </c>
      <c r="FY705" s="346">
        <v>0</v>
      </c>
      <c r="FZ705" s="346">
        <v>0</v>
      </c>
      <c r="GA705" s="346">
        <v>0</v>
      </c>
      <c r="GB705" s="346">
        <v>0</v>
      </c>
      <c r="GC705" s="346">
        <v>0</v>
      </c>
      <c r="GD705" s="346">
        <v>0</v>
      </c>
      <c r="GE705" s="346">
        <v>0</v>
      </c>
      <c r="GF705" s="346">
        <v>0</v>
      </c>
      <c r="GG705" s="346">
        <v>0</v>
      </c>
      <c r="GH705" s="346">
        <v>0</v>
      </c>
      <c r="GI705" s="346">
        <f t="shared" ref="GI705:GN705" si="922">GI348</f>
        <v>0</v>
      </c>
      <c r="GJ705" s="346">
        <f t="shared" si="922"/>
        <v>0</v>
      </c>
      <c r="GK705" s="346">
        <f t="shared" si="922"/>
        <v>0</v>
      </c>
      <c r="GL705" s="346">
        <f t="shared" si="922"/>
        <v>0</v>
      </c>
      <c r="GM705" s="346">
        <f t="shared" si="922"/>
        <v>0</v>
      </c>
      <c r="GN705" s="346">
        <f t="shared" si="922"/>
        <v>0</v>
      </c>
      <c r="GO705" s="346">
        <f t="shared" ref="GO705:GU705" si="923">GO348</f>
        <v>0</v>
      </c>
      <c r="GP705" s="346">
        <f t="shared" si="923"/>
        <v>0</v>
      </c>
      <c r="GQ705" s="346">
        <f t="shared" si="923"/>
        <v>0</v>
      </c>
      <c r="GR705" s="346">
        <f t="shared" si="923"/>
        <v>0</v>
      </c>
      <c r="GS705" s="346">
        <f t="shared" si="923"/>
        <v>0</v>
      </c>
      <c r="GT705" s="346">
        <f t="shared" si="923"/>
        <v>0</v>
      </c>
      <c r="GU705" s="346">
        <f t="shared" si="923"/>
        <v>0</v>
      </c>
      <c r="GV705" s="346">
        <f t="shared" ref="GV705:HF705" si="924">GV348</f>
        <v>0</v>
      </c>
      <c r="GW705" s="346">
        <f t="shared" si="924"/>
        <v>0</v>
      </c>
      <c r="GX705" s="346">
        <f t="shared" si="924"/>
        <v>0</v>
      </c>
      <c r="GY705" s="346">
        <f t="shared" si="924"/>
        <v>0</v>
      </c>
      <c r="GZ705" s="346">
        <f t="shared" si="924"/>
        <v>0</v>
      </c>
      <c r="HA705" s="346">
        <f t="shared" si="924"/>
        <v>0</v>
      </c>
      <c r="HB705" s="346">
        <f t="shared" si="924"/>
        <v>0</v>
      </c>
      <c r="HC705" s="346">
        <f t="shared" si="924"/>
        <v>0</v>
      </c>
      <c r="HD705" s="346">
        <f t="shared" si="924"/>
        <v>0</v>
      </c>
      <c r="HE705" s="346">
        <f t="shared" si="924"/>
        <v>0</v>
      </c>
      <c r="HF705" s="346">
        <f t="shared" si="924"/>
        <v>0</v>
      </c>
      <c r="HG705" s="346">
        <f t="shared" ref="HG705:HL705" si="925">HG348</f>
        <v>0</v>
      </c>
      <c r="HH705" s="346">
        <f t="shared" si="925"/>
        <v>0</v>
      </c>
      <c r="HI705" s="346">
        <f t="shared" si="925"/>
        <v>0</v>
      </c>
      <c r="HJ705" s="346">
        <f t="shared" si="925"/>
        <v>0</v>
      </c>
      <c r="HK705" s="346">
        <f t="shared" si="925"/>
        <v>0</v>
      </c>
      <c r="HL705" s="346">
        <f t="shared" si="925"/>
        <v>0</v>
      </c>
      <c r="HM705" s="346"/>
      <c r="HN705" s="349"/>
      <c r="HO705" s="1439" t="s">
        <v>525</v>
      </c>
      <c r="HP705" s="307">
        <f t="shared" si="879"/>
        <v>0.16398901900000001</v>
      </c>
      <c r="HQ705" s="302">
        <f t="shared" si="880"/>
        <v>2.2547253329999997</v>
      </c>
      <c r="HR705" s="346">
        <f t="shared" si="698"/>
        <v>2.4187143519999998</v>
      </c>
      <c r="HS705" s="302">
        <f t="shared" si="881"/>
        <v>0.37357853400000002</v>
      </c>
      <c r="HT705" s="302">
        <f t="shared" si="882"/>
        <v>0.36282437400000001</v>
      </c>
      <c r="HU705" s="346">
        <f t="shared" si="678"/>
        <v>0.73640290800000008</v>
      </c>
      <c r="HV705" s="307">
        <f t="shared" si="883"/>
        <v>0.44125499536488044</v>
      </c>
      <c r="HW705" s="302">
        <f t="shared" si="884"/>
        <v>0.42549668561583776</v>
      </c>
      <c r="HX705" s="346">
        <f t="shared" si="679"/>
        <v>0.8667516809807182</v>
      </c>
      <c r="HY705" s="350">
        <f t="shared" si="885"/>
        <v>0</v>
      </c>
      <c r="HZ705" s="302">
        <f t="shared" si="886"/>
        <v>0</v>
      </c>
      <c r="IA705" s="346">
        <f t="shared" si="680"/>
        <v>0</v>
      </c>
      <c r="IB705" s="302">
        <f t="shared" si="887"/>
        <v>0.68064093726892949</v>
      </c>
      <c r="IC705" s="302">
        <f t="shared" si="888"/>
        <v>0.11724721445720213</v>
      </c>
      <c r="ID705" s="346">
        <f t="shared" si="681"/>
        <v>0.79788815172613159</v>
      </c>
      <c r="IE705" s="350">
        <f t="shared" si="889"/>
        <v>0</v>
      </c>
      <c r="IF705" s="350">
        <f t="shared" si="890"/>
        <v>0</v>
      </c>
      <c r="IG705" s="346">
        <f t="shared" si="682"/>
        <v>0</v>
      </c>
      <c r="IH705" s="350">
        <f t="shared" si="891"/>
        <v>0</v>
      </c>
      <c r="II705" s="350">
        <f t="shared" si="892"/>
        <v>0</v>
      </c>
      <c r="IJ705" s="346">
        <f t="shared" si="683"/>
        <v>0</v>
      </c>
      <c r="IK705" s="350">
        <f t="shared" si="869"/>
        <v>0</v>
      </c>
      <c r="IL705" s="350">
        <f t="shared" si="864"/>
        <v>0</v>
      </c>
      <c r="IM705" s="346">
        <f>IK705+IL705</f>
        <v>0</v>
      </c>
      <c r="IN705" s="350">
        <f t="shared" si="865"/>
        <v>0</v>
      </c>
      <c r="IO705" s="350">
        <f t="shared" si="866"/>
        <v>0</v>
      </c>
      <c r="IP705" s="346">
        <f t="shared" si="685"/>
        <v>0</v>
      </c>
      <c r="IQ705" s="350">
        <f t="shared" si="867"/>
        <v>0</v>
      </c>
      <c r="IR705" s="350">
        <f t="shared" si="868"/>
        <v>0</v>
      </c>
      <c r="IS705" s="346">
        <f t="shared" si="686"/>
        <v>0</v>
      </c>
      <c r="IT705" s="350">
        <f t="shared" si="870"/>
        <v>0</v>
      </c>
      <c r="IU705" s="350">
        <f t="shared" si="707"/>
        <v>0</v>
      </c>
      <c r="IV705" s="346">
        <f t="shared" si="687"/>
        <v>0</v>
      </c>
      <c r="IW705" s="350">
        <f t="shared" si="700"/>
        <v>0</v>
      </c>
      <c r="IX705" s="350">
        <f t="shared" si="688"/>
        <v>0</v>
      </c>
      <c r="IY705" s="346">
        <f>FISC!AJ1027</f>
        <v>0</v>
      </c>
      <c r="IZ705" s="350">
        <f t="shared" si="893"/>
        <v>0</v>
      </c>
      <c r="JA705" s="302">
        <f t="shared" si="689"/>
        <v>0</v>
      </c>
      <c r="JB705" s="346">
        <f>FISC!AK1027</f>
        <v>0</v>
      </c>
      <c r="JC705" s="350">
        <f t="shared" si="894"/>
        <v>0</v>
      </c>
      <c r="JD705" s="302">
        <f t="shared" si="690"/>
        <v>0</v>
      </c>
      <c r="JE705" s="346">
        <f>FISC!AL1027</f>
        <v>0</v>
      </c>
      <c r="JF705" s="350">
        <f t="shared" si="895"/>
        <v>0</v>
      </c>
      <c r="JG705" s="302">
        <f t="shared" si="691"/>
        <v>0</v>
      </c>
      <c r="JH705" s="346">
        <f>FISC!AM1027</f>
        <v>0</v>
      </c>
      <c r="JI705" s="350">
        <f t="shared" si="896"/>
        <v>0</v>
      </c>
      <c r="JJ705" s="302">
        <f t="shared" si="701"/>
        <v>0</v>
      </c>
      <c r="JK705" s="346">
        <f>FISC!AN1027</f>
        <v>0</v>
      </c>
      <c r="JL705" s="350">
        <f t="shared" si="897"/>
        <v>0</v>
      </c>
      <c r="JM705" s="302">
        <f t="shared" si="692"/>
        <v>0</v>
      </c>
      <c r="JN705" s="346">
        <f>FISC!AO1027</f>
        <v>0</v>
      </c>
      <c r="KI705" s="349"/>
      <c r="KJ705" s="350"/>
    </row>
    <row r="706" spans="1:302" hidden="1" outlineLevel="1">
      <c r="A706" s="302"/>
      <c r="B706" s="117" t="s">
        <v>361</v>
      </c>
      <c r="D706" s="355" t="s">
        <v>526</v>
      </c>
      <c r="E706" s="346"/>
      <c r="F706" s="346"/>
      <c r="G706" s="346"/>
      <c r="H706" s="346"/>
      <c r="I706" s="346"/>
      <c r="J706" s="346"/>
      <c r="K706" s="346"/>
      <c r="L706" s="346"/>
      <c r="M706" s="346"/>
      <c r="N706" s="346"/>
      <c r="O706" s="346"/>
      <c r="P706" s="346"/>
      <c r="Q706" s="346"/>
      <c r="R706" s="346"/>
      <c r="S706" s="346"/>
      <c r="T706" s="346"/>
      <c r="U706" s="346"/>
      <c r="V706" s="346"/>
      <c r="W706" s="346"/>
      <c r="X706" s="346"/>
      <c r="Y706" s="346"/>
      <c r="Z706" s="346"/>
      <c r="AA706" s="346"/>
      <c r="AB706" s="346"/>
      <c r="AC706" s="346"/>
      <c r="AD706" s="346"/>
      <c r="AE706" s="346"/>
      <c r="AF706" s="346"/>
      <c r="AG706" s="346"/>
      <c r="AH706" s="346"/>
      <c r="AI706" s="346"/>
      <c r="AJ706" s="346"/>
      <c r="AK706" s="346"/>
      <c r="AL706" s="346"/>
      <c r="AM706" s="346"/>
      <c r="AN706" s="346"/>
      <c r="AO706" s="346">
        <v>0</v>
      </c>
      <c r="AP706" s="346">
        <v>0</v>
      </c>
      <c r="AQ706" s="346">
        <v>0</v>
      </c>
      <c r="AR706" s="346">
        <v>0</v>
      </c>
      <c r="AS706" s="346">
        <v>0</v>
      </c>
      <c r="AT706" s="346">
        <v>0</v>
      </c>
      <c r="AU706" s="346">
        <v>0</v>
      </c>
      <c r="AV706" s="346">
        <v>0</v>
      </c>
      <c r="AW706" s="346">
        <v>0</v>
      </c>
      <c r="AX706" s="346">
        <v>0</v>
      </c>
      <c r="AY706" s="346">
        <v>0</v>
      </c>
      <c r="AZ706" s="346">
        <v>0</v>
      </c>
      <c r="BA706" s="346">
        <v>0</v>
      </c>
      <c r="BB706" s="346">
        <v>0</v>
      </c>
      <c r="BC706" s="346">
        <v>0</v>
      </c>
      <c r="BD706" s="346">
        <v>0</v>
      </c>
      <c r="BE706" s="346">
        <v>0</v>
      </c>
      <c r="BF706" s="346">
        <v>0</v>
      </c>
      <c r="BG706" s="346">
        <v>0</v>
      </c>
      <c r="BH706" s="346">
        <v>0</v>
      </c>
      <c r="BI706" s="346">
        <v>0</v>
      </c>
      <c r="BJ706" s="346">
        <v>0</v>
      </c>
      <c r="BK706" s="346">
        <v>0</v>
      </c>
      <c r="BL706" s="346">
        <v>0</v>
      </c>
      <c r="BM706" s="346">
        <v>0</v>
      </c>
      <c r="BN706" s="346">
        <v>0</v>
      </c>
      <c r="BO706" s="346">
        <v>0</v>
      </c>
      <c r="BP706" s="346">
        <v>0</v>
      </c>
      <c r="BQ706" s="346">
        <v>0</v>
      </c>
      <c r="BR706" s="346">
        <v>0</v>
      </c>
      <c r="BS706" s="346">
        <v>0</v>
      </c>
      <c r="BT706" s="346">
        <v>0</v>
      </c>
      <c r="BU706" s="346">
        <v>0</v>
      </c>
      <c r="BV706" s="346">
        <v>0</v>
      </c>
      <c r="BW706" s="346">
        <v>0</v>
      </c>
      <c r="BX706" s="346">
        <v>0</v>
      </c>
      <c r="BY706" s="346">
        <v>0</v>
      </c>
      <c r="BZ706" s="346">
        <v>0</v>
      </c>
      <c r="CA706" s="346">
        <v>0</v>
      </c>
      <c r="CB706" s="346">
        <v>0</v>
      </c>
      <c r="CC706" s="346">
        <v>0</v>
      </c>
      <c r="CD706" s="352">
        <f>CD349</f>
        <v>0</v>
      </c>
      <c r="CE706" s="346">
        <f t="shared" ref="CE706:DJ706" si="926">CE349</f>
        <v>0</v>
      </c>
      <c r="CF706" s="346">
        <f t="shared" si="926"/>
        <v>0</v>
      </c>
      <c r="CG706" s="346">
        <f t="shared" si="926"/>
        <v>0</v>
      </c>
      <c r="CH706" s="346">
        <f t="shared" si="926"/>
        <v>0</v>
      </c>
      <c r="CI706" s="346">
        <f t="shared" si="926"/>
        <v>0</v>
      </c>
      <c r="CJ706" s="346">
        <f t="shared" si="926"/>
        <v>0</v>
      </c>
      <c r="CK706" s="346">
        <f t="shared" si="926"/>
        <v>0</v>
      </c>
      <c r="CL706" s="346">
        <f t="shared" si="926"/>
        <v>0</v>
      </c>
      <c r="CM706" s="346">
        <f t="shared" si="926"/>
        <v>0</v>
      </c>
      <c r="CN706" s="346">
        <f t="shared" si="926"/>
        <v>0</v>
      </c>
      <c r="CO706" s="346">
        <f t="shared" si="926"/>
        <v>0</v>
      </c>
      <c r="CP706" s="348">
        <f t="shared" si="926"/>
        <v>0</v>
      </c>
      <c r="CQ706" s="346">
        <f t="shared" si="926"/>
        <v>0</v>
      </c>
      <c r="CR706" s="346">
        <f t="shared" si="926"/>
        <v>0</v>
      </c>
      <c r="CS706" s="346">
        <f t="shared" si="926"/>
        <v>0</v>
      </c>
      <c r="CT706" s="346">
        <f t="shared" si="926"/>
        <v>0</v>
      </c>
      <c r="CU706" s="346">
        <f t="shared" si="926"/>
        <v>0</v>
      </c>
      <c r="CV706" s="346">
        <f t="shared" si="926"/>
        <v>0</v>
      </c>
      <c r="CW706" s="346">
        <f t="shared" si="926"/>
        <v>0</v>
      </c>
      <c r="CX706" s="346">
        <f t="shared" si="926"/>
        <v>0</v>
      </c>
      <c r="CY706" s="346">
        <f t="shared" si="926"/>
        <v>0</v>
      </c>
      <c r="CZ706" s="346">
        <f t="shared" si="926"/>
        <v>0</v>
      </c>
      <c r="DA706" s="346">
        <f t="shared" si="926"/>
        <v>0</v>
      </c>
      <c r="DB706" s="1479">
        <f t="shared" si="926"/>
        <v>0</v>
      </c>
      <c r="DC706" s="346">
        <f t="shared" si="926"/>
        <v>0</v>
      </c>
      <c r="DD706" s="346">
        <f t="shared" si="926"/>
        <v>0</v>
      </c>
      <c r="DE706" s="346">
        <f t="shared" si="926"/>
        <v>0</v>
      </c>
      <c r="DF706" s="346">
        <f t="shared" si="926"/>
        <v>0</v>
      </c>
      <c r="DG706" s="346">
        <f t="shared" si="926"/>
        <v>0</v>
      </c>
      <c r="DH706" s="346">
        <f t="shared" si="926"/>
        <v>0</v>
      </c>
      <c r="DI706" s="346">
        <f t="shared" si="926"/>
        <v>0</v>
      </c>
      <c r="DJ706" s="346">
        <f t="shared" si="926"/>
        <v>0</v>
      </c>
      <c r="DK706" s="346">
        <f t="shared" ref="DK706:EP706" si="927">DK349</f>
        <v>0</v>
      </c>
      <c r="DL706" s="346">
        <f t="shared" si="927"/>
        <v>0</v>
      </c>
      <c r="DM706" s="346">
        <f t="shared" si="927"/>
        <v>0</v>
      </c>
      <c r="DN706" s="348">
        <f t="shared" si="927"/>
        <v>0</v>
      </c>
      <c r="DO706" s="346">
        <f t="shared" si="927"/>
        <v>1.4012196116278401</v>
      </c>
      <c r="DP706" s="346">
        <f t="shared" si="927"/>
        <v>1.6494282220527039</v>
      </c>
      <c r="DQ706" s="346">
        <f t="shared" si="927"/>
        <v>1.6889298647278099</v>
      </c>
      <c r="DR706" s="346">
        <f t="shared" si="927"/>
        <v>1.4231696573650972</v>
      </c>
      <c r="DS706" s="346">
        <f t="shared" si="927"/>
        <v>1.6544713914223328</v>
      </c>
      <c r="DT706" s="346">
        <f t="shared" si="927"/>
        <v>1.932345019940918</v>
      </c>
      <c r="DU706" s="346">
        <f t="shared" si="927"/>
        <v>1.8640574035777588</v>
      </c>
      <c r="DV706" s="346">
        <f t="shared" si="927"/>
        <v>1.4360335330885925</v>
      </c>
      <c r="DW706" s="346">
        <f t="shared" si="927"/>
        <v>1.7761069132149354</v>
      </c>
      <c r="DX706" s="346">
        <f t="shared" si="927"/>
        <v>1.5111364337747801</v>
      </c>
      <c r="DY706" s="346">
        <f t="shared" si="927"/>
        <v>1.70934394185147</v>
      </c>
      <c r="DZ706" s="348">
        <f t="shared" si="927"/>
        <v>1.9651395078054199</v>
      </c>
      <c r="EA706" s="346">
        <f t="shared" si="927"/>
        <v>1.9831582390338744</v>
      </c>
      <c r="EB706" s="346">
        <f t="shared" si="927"/>
        <v>2.4947089151636046</v>
      </c>
      <c r="EC706" s="346">
        <f t="shared" si="927"/>
        <v>2.9591955459501955</v>
      </c>
      <c r="ED706" s="346">
        <f t="shared" si="927"/>
        <v>2.2754081149420622</v>
      </c>
      <c r="EE706" s="346">
        <f t="shared" si="927"/>
        <v>3.8653326145914919</v>
      </c>
      <c r="EF706" s="346">
        <f t="shared" si="927"/>
        <v>3.4743778774808045</v>
      </c>
      <c r="EG706" s="346">
        <f t="shared" si="927"/>
        <v>3.3600276604696502</v>
      </c>
      <c r="EH706" s="346">
        <f t="shared" si="927"/>
        <v>2.7860280269369659</v>
      </c>
      <c r="EI706" s="346">
        <f t="shared" si="927"/>
        <v>5.6314320566001435</v>
      </c>
      <c r="EJ706" s="346">
        <f t="shared" si="927"/>
        <v>3.3354232779817048</v>
      </c>
      <c r="EK706" s="346">
        <f t="shared" si="927"/>
        <v>1.6795237250850219</v>
      </c>
      <c r="EL706" s="348">
        <f t="shared" si="927"/>
        <v>5.0171640943863522</v>
      </c>
      <c r="EM706" s="346">
        <f t="shared" si="927"/>
        <v>0</v>
      </c>
      <c r="EN706" s="346">
        <f t="shared" si="927"/>
        <v>0</v>
      </c>
      <c r="EO706" s="346">
        <f t="shared" si="927"/>
        <v>0</v>
      </c>
      <c r="EP706" s="346">
        <f t="shared" si="927"/>
        <v>0</v>
      </c>
      <c r="EQ706" s="346">
        <f t="shared" ref="EQ706:FP706" si="928">EQ349</f>
        <v>0</v>
      </c>
      <c r="ER706" s="346">
        <f t="shared" si="928"/>
        <v>0</v>
      </c>
      <c r="ES706" s="346">
        <f t="shared" si="928"/>
        <v>0</v>
      </c>
      <c r="ET706" s="346">
        <f t="shared" si="928"/>
        <v>0</v>
      </c>
      <c r="EU706" s="346">
        <f t="shared" si="928"/>
        <v>0</v>
      </c>
      <c r="EV706" s="346">
        <f t="shared" si="928"/>
        <v>0</v>
      </c>
      <c r="EW706" s="346">
        <f t="shared" si="928"/>
        <v>0</v>
      </c>
      <c r="EX706" s="348">
        <f t="shared" si="928"/>
        <v>0</v>
      </c>
      <c r="EY706" s="346">
        <f t="shared" si="928"/>
        <v>0</v>
      </c>
      <c r="EZ706" s="346">
        <f t="shared" si="928"/>
        <v>0</v>
      </c>
      <c r="FA706" s="346">
        <f t="shared" si="928"/>
        <v>0</v>
      </c>
      <c r="FB706" s="346">
        <f t="shared" si="928"/>
        <v>0</v>
      </c>
      <c r="FC706" s="346">
        <f t="shared" si="928"/>
        <v>0</v>
      </c>
      <c r="FD706" s="346">
        <f t="shared" si="928"/>
        <v>0</v>
      </c>
      <c r="FE706" s="346">
        <f t="shared" si="928"/>
        <v>0</v>
      </c>
      <c r="FF706" s="346">
        <f t="shared" si="928"/>
        <v>0</v>
      </c>
      <c r="FG706" s="346">
        <f t="shared" si="928"/>
        <v>0</v>
      </c>
      <c r="FH706" s="346">
        <f t="shared" si="928"/>
        <v>0</v>
      </c>
      <c r="FI706" s="346">
        <f t="shared" si="928"/>
        <v>0</v>
      </c>
      <c r="FJ706" s="348">
        <f t="shared" si="928"/>
        <v>0</v>
      </c>
      <c r="FK706" s="346">
        <f t="shared" si="928"/>
        <v>0</v>
      </c>
      <c r="FL706" s="346">
        <f t="shared" si="928"/>
        <v>0</v>
      </c>
      <c r="FM706" s="346">
        <f t="shared" si="928"/>
        <v>0</v>
      </c>
      <c r="FN706" s="346">
        <f t="shared" si="928"/>
        <v>0</v>
      </c>
      <c r="FO706" s="346">
        <f t="shared" si="928"/>
        <v>0</v>
      </c>
      <c r="FP706" s="346">
        <f t="shared" si="928"/>
        <v>0</v>
      </c>
      <c r="FQ706" s="346">
        <f t="shared" si="874"/>
        <v>0</v>
      </c>
      <c r="FR706" s="346">
        <f t="shared" si="874"/>
        <v>0</v>
      </c>
      <c r="FS706" s="346">
        <f t="shared" si="874"/>
        <v>0</v>
      </c>
      <c r="FT706" s="346">
        <f t="shared" si="874"/>
        <v>0</v>
      </c>
      <c r="FU706" s="346">
        <f t="shared" si="874"/>
        <v>0</v>
      </c>
      <c r="FV706" s="346">
        <f t="shared" si="874"/>
        <v>0</v>
      </c>
      <c r="FW706" s="346">
        <v>0</v>
      </c>
      <c r="FX706" s="346">
        <v>0</v>
      </c>
      <c r="FY706" s="346">
        <v>0</v>
      </c>
      <c r="FZ706" s="346">
        <v>0</v>
      </c>
      <c r="GA706" s="346">
        <v>0</v>
      </c>
      <c r="GB706" s="346">
        <v>0</v>
      </c>
      <c r="GC706" s="346">
        <v>0</v>
      </c>
      <c r="GD706" s="346">
        <v>0</v>
      </c>
      <c r="GE706" s="346">
        <v>0</v>
      </c>
      <c r="GF706" s="346">
        <v>0</v>
      </c>
      <c r="GG706" s="346">
        <v>0</v>
      </c>
      <c r="GH706" s="346">
        <v>0</v>
      </c>
      <c r="GI706" s="346">
        <f t="shared" ref="GI706:GZ706" si="929">GI349</f>
        <v>0</v>
      </c>
      <c r="GJ706" s="346">
        <f t="shared" si="929"/>
        <v>0</v>
      </c>
      <c r="GK706" s="346">
        <f t="shared" si="929"/>
        <v>0</v>
      </c>
      <c r="GL706" s="346">
        <f t="shared" si="929"/>
        <v>0</v>
      </c>
      <c r="GM706" s="346">
        <f t="shared" si="929"/>
        <v>0</v>
      </c>
      <c r="GN706" s="346">
        <f t="shared" si="929"/>
        <v>0</v>
      </c>
      <c r="GO706" s="346">
        <f t="shared" si="929"/>
        <v>0</v>
      </c>
      <c r="GP706" s="346">
        <f t="shared" si="929"/>
        <v>0</v>
      </c>
      <c r="GQ706" s="346">
        <f t="shared" si="929"/>
        <v>0</v>
      </c>
      <c r="GR706" s="346">
        <f t="shared" si="929"/>
        <v>0</v>
      </c>
      <c r="GS706" s="346">
        <f t="shared" si="929"/>
        <v>0</v>
      </c>
      <c r="GT706" s="346">
        <f t="shared" si="929"/>
        <v>0</v>
      </c>
      <c r="GU706" s="346">
        <f t="shared" si="929"/>
        <v>0</v>
      </c>
      <c r="GV706" s="346">
        <f t="shared" si="929"/>
        <v>0</v>
      </c>
      <c r="GW706" s="346">
        <f t="shared" si="929"/>
        <v>0</v>
      </c>
      <c r="GX706" s="346">
        <f t="shared" si="929"/>
        <v>0</v>
      </c>
      <c r="GY706" s="346">
        <f t="shared" si="929"/>
        <v>0</v>
      </c>
      <c r="GZ706" s="346">
        <f t="shared" si="929"/>
        <v>0</v>
      </c>
      <c r="HA706" s="346">
        <f t="shared" ref="HA706:HF706" si="930">HA349</f>
        <v>0</v>
      </c>
      <c r="HB706" s="346">
        <f t="shared" si="930"/>
        <v>0</v>
      </c>
      <c r="HC706" s="346">
        <f t="shared" si="930"/>
        <v>0</v>
      </c>
      <c r="HD706" s="346">
        <f t="shared" si="930"/>
        <v>0</v>
      </c>
      <c r="HE706" s="346">
        <f t="shared" si="930"/>
        <v>0</v>
      </c>
      <c r="HF706" s="346">
        <f t="shared" si="930"/>
        <v>0</v>
      </c>
      <c r="HG706" s="346">
        <f t="shared" ref="HG706:HL706" si="931">HG349</f>
        <v>0</v>
      </c>
      <c r="HH706" s="346">
        <f t="shared" si="931"/>
        <v>0</v>
      </c>
      <c r="HI706" s="346">
        <f t="shared" si="931"/>
        <v>0</v>
      </c>
      <c r="HJ706" s="346">
        <f t="shared" si="931"/>
        <v>0</v>
      </c>
      <c r="HK706" s="346">
        <f t="shared" si="931"/>
        <v>0</v>
      </c>
      <c r="HL706" s="346">
        <f t="shared" si="931"/>
        <v>0</v>
      </c>
      <c r="HM706" s="346"/>
      <c r="HN706" s="349"/>
      <c r="HO706" s="355" t="s">
        <v>526</v>
      </c>
      <c r="HP706" s="307">
        <f t="shared" si="879"/>
        <v>0</v>
      </c>
      <c r="HQ706" s="302">
        <f t="shared" si="880"/>
        <v>0</v>
      </c>
      <c r="HR706" s="346">
        <f t="shared" si="698"/>
        <v>0</v>
      </c>
      <c r="HS706" s="302">
        <f t="shared" si="881"/>
        <v>0</v>
      </c>
      <c r="HT706" s="302">
        <f t="shared" si="882"/>
        <v>0</v>
      </c>
      <c r="HU706" s="346">
        <f t="shared" si="678"/>
        <v>0</v>
      </c>
      <c r="HV706" s="307">
        <f t="shared" si="883"/>
        <v>0</v>
      </c>
      <c r="HW706" s="302">
        <f t="shared" si="884"/>
        <v>0</v>
      </c>
      <c r="HX706" s="346">
        <f t="shared" si="679"/>
        <v>0</v>
      </c>
      <c r="HY706" s="350">
        <f t="shared" si="885"/>
        <v>9.7495637671367028</v>
      </c>
      <c r="HZ706" s="302">
        <f t="shared" si="886"/>
        <v>10.261817733312956</v>
      </c>
      <c r="IA706" s="346">
        <f t="shared" si="680"/>
        <v>20.011381500449659</v>
      </c>
      <c r="IB706" s="302">
        <f t="shared" si="887"/>
        <v>17.052181307162034</v>
      </c>
      <c r="IC706" s="302">
        <f t="shared" si="888"/>
        <v>21.809598841459838</v>
      </c>
      <c r="ID706" s="346">
        <f t="shared" si="681"/>
        <v>38.861780148621875</v>
      </c>
      <c r="IE706" s="350">
        <f t="shared" si="889"/>
        <v>0</v>
      </c>
      <c r="IF706" s="350">
        <f t="shared" si="890"/>
        <v>0</v>
      </c>
      <c r="IG706" s="346">
        <f t="shared" si="682"/>
        <v>0</v>
      </c>
      <c r="IH706" s="350">
        <f t="shared" si="891"/>
        <v>0</v>
      </c>
      <c r="II706" s="350">
        <f t="shared" si="892"/>
        <v>0</v>
      </c>
      <c r="IJ706" s="346">
        <f t="shared" si="683"/>
        <v>0</v>
      </c>
      <c r="IK706" s="350">
        <f t="shared" si="869"/>
        <v>0</v>
      </c>
      <c r="IL706" s="350">
        <f t="shared" si="864"/>
        <v>0</v>
      </c>
      <c r="IM706" s="346">
        <f t="shared" si="684"/>
        <v>0</v>
      </c>
      <c r="IN706" s="350">
        <f t="shared" si="865"/>
        <v>0</v>
      </c>
      <c r="IO706" s="350">
        <f t="shared" si="866"/>
        <v>0</v>
      </c>
      <c r="IP706" s="346">
        <f t="shared" si="685"/>
        <v>0</v>
      </c>
      <c r="IQ706" s="350">
        <f t="shared" si="867"/>
        <v>0</v>
      </c>
      <c r="IR706" s="350">
        <f t="shared" si="868"/>
        <v>0</v>
      </c>
      <c r="IS706" s="346">
        <f t="shared" si="686"/>
        <v>0</v>
      </c>
      <c r="IT706" s="350">
        <f t="shared" si="870"/>
        <v>0</v>
      </c>
      <c r="IU706" s="350">
        <f t="shared" si="707"/>
        <v>0</v>
      </c>
      <c r="IV706" s="346">
        <f t="shared" si="687"/>
        <v>0</v>
      </c>
      <c r="IW706" s="350">
        <f t="shared" si="700"/>
        <v>0</v>
      </c>
      <c r="IX706" s="350">
        <f t="shared" si="688"/>
        <v>0</v>
      </c>
      <c r="IY706" s="346">
        <f>FISC!AJ1028</f>
        <v>0</v>
      </c>
      <c r="IZ706" s="350">
        <f t="shared" si="893"/>
        <v>0</v>
      </c>
      <c r="JA706" s="302">
        <f t="shared" si="689"/>
        <v>0</v>
      </c>
      <c r="JB706" s="346">
        <f>FISC!AK1028</f>
        <v>0</v>
      </c>
      <c r="JC706" s="350">
        <f t="shared" si="894"/>
        <v>0</v>
      </c>
      <c r="JD706" s="302">
        <f t="shared" si="690"/>
        <v>0</v>
      </c>
      <c r="JE706" s="346">
        <f>FISC!AL1028</f>
        <v>0</v>
      </c>
      <c r="JF706" s="350">
        <f t="shared" si="895"/>
        <v>0</v>
      </c>
      <c r="JG706" s="302">
        <f t="shared" si="691"/>
        <v>0</v>
      </c>
      <c r="JH706" s="346">
        <f>FISC!AM1028</f>
        <v>0</v>
      </c>
      <c r="JI706" s="350">
        <f t="shared" si="896"/>
        <v>0</v>
      </c>
      <c r="JJ706" s="302">
        <f t="shared" si="701"/>
        <v>0</v>
      </c>
      <c r="JK706" s="346">
        <f>FISC!AN1028</f>
        <v>0</v>
      </c>
      <c r="JL706" s="350">
        <f t="shared" si="897"/>
        <v>0</v>
      </c>
      <c r="JM706" s="302">
        <f t="shared" si="692"/>
        <v>0</v>
      </c>
      <c r="JN706" s="346">
        <f>FISC!AO1028</f>
        <v>0</v>
      </c>
      <c r="KI706" s="349"/>
      <c r="KJ706" s="350"/>
    </row>
    <row r="707" spans="1:302" s="477" customFormat="1" hidden="1" outlineLevel="1">
      <c r="B707" s="1577" t="s">
        <v>361</v>
      </c>
      <c r="C707" s="1577"/>
      <c r="D707" s="354" t="s">
        <v>528</v>
      </c>
      <c r="E707" s="685">
        <f t="shared" ref="E707:BP707" si="932">SUM(E708:E713)</f>
        <v>0</v>
      </c>
      <c r="F707" s="685">
        <f t="shared" si="932"/>
        <v>0</v>
      </c>
      <c r="G707" s="685">
        <f t="shared" si="932"/>
        <v>0</v>
      </c>
      <c r="H707" s="685">
        <f t="shared" si="932"/>
        <v>0</v>
      </c>
      <c r="I707" s="685">
        <f t="shared" si="932"/>
        <v>0</v>
      </c>
      <c r="J707" s="685">
        <f t="shared" si="932"/>
        <v>0</v>
      </c>
      <c r="K707" s="685">
        <f t="shared" si="932"/>
        <v>0</v>
      </c>
      <c r="L707" s="685">
        <f t="shared" si="932"/>
        <v>0</v>
      </c>
      <c r="M707" s="685">
        <f t="shared" si="932"/>
        <v>0</v>
      </c>
      <c r="N707" s="685">
        <f t="shared" si="932"/>
        <v>0</v>
      </c>
      <c r="O707" s="685">
        <f t="shared" si="932"/>
        <v>0</v>
      </c>
      <c r="P707" s="685">
        <f t="shared" si="932"/>
        <v>0</v>
      </c>
      <c r="Q707" s="685">
        <f t="shared" si="932"/>
        <v>0</v>
      </c>
      <c r="R707" s="685">
        <f t="shared" si="932"/>
        <v>0</v>
      </c>
      <c r="S707" s="685">
        <f t="shared" si="932"/>
        <v>0</v>
      </c>
      <c r="T707" s="685">
        <f t="shared" si="932"/>
        <v>0</v>
      </c>
      <c r="U707" s="685">
        <f t="shared" si="932"/>
        <v>0</v>
      </c>
      <c r="V707" s="685">
        <f t="shared" si="932"/>
        <v>0</v>
      </c>
      <c r="W707" s="685">
        <f t="shared" si="932"/>
        <v>0</v>
      </c>
      <c r="X707" s="685">
        <f t="shared" si="932"/>
        <v>0</v>
      </c>
      <c r="Y707" s="685">
        <f t="shared" si="932"/>
        <v>0</v>
      </c>
      <c r="Z707" s="685">
        <f t="shared" si="932"/>
        <v>0</v>
      </c>
      <c r="AA707" s="685">
        <f t="shared" si="932"/>
        <v>0</v>
      </c>
      <c r="AB707" s="685">
        <f t="shared" si="932"/>
        <v>0</v>
      </c>
      <c r="AC707" s="685">
        <f t="shared" si="932"/>
        <v>0</v>
      </c>
      <c r="AD707" s="685">
        <f t="shared" si="932"/>
        <v>0</v>
      </c>
      <c r="AE707" s="685">
        <f t="shared" si="932"/>
        <v>0</v>
      </c>
      <c r="AF707" s="685">
        <f t="shared" si="932"/>
        <v>0</v>
      </c>
      <c r="AG707" s="685">
        <f t="shared" si="932"/>
        <v>0</v>
      </c>
      <c r="AH707" s="685">
        <f t="shared" si="932"/>
        <v>0</v>
      </c>
      <c r="AI707" s="685">
        <f t="shared" si="932"/>
        <v>0</v>
      </c>
      <c r="AJ707" s="685">
        <f t="shared" si="932"/>
        <v>0</v>
      </c>
      <c r="AK707" s="685">
        <f t="shared" si="932"/>
        <v>0</v>
      </c>
      <c r="AL707" s="685">
        <f t="shared" si="932"/>
        <v>0</v>
      </c>
      <c r="AM707" s="685">
        <f t="shared" si="932"/>
        <v>0</v>
      </c>
      <c r="AN707" s="685">
        <f t="shared" si="932"/>
        <v>0</v>
      </c>
      <c r="AO707" s="685">
        <f t="shared" si="932"/>
        <v>0</v>
      </c>
      <c r="AP707" s="685">
        <f t="shared" si="932"/>
        <v>0</v>
      </c>
      <c r="AQ707" s="685">
        <f t="shared" si="932"/>
        <v>0</v>
      </c>
      <c r="AR707" s="685">
        <f t="shared" si="932"/>
        <v>0</v>
      </c>
      <c r="AS707" s="685">
        <f t="shared" si="932"/>
        <v>0</v>
      </c>
      <c r="AT707" s="685">
        <f t="shared" si="932"/>
        <v>0</v>
      </c>
      <c r="AU707" s="685">
        <f t="shared" si="932"/>
        <v>0</v>
      </c>
      <c r="AV707" s="685">
        <f t="shared" si="932"/>
        <v>0</v>
      </c>
      <c r="AW707" s="685">
        <f t="shared" si="932"/>
        <v>0</v>
      </c>
      <c r="AX707" s="685">
        <f t="shared" si="932"/>
        <v>0</v>
      </c>
      <c r="AY707" s="685">
        <f t="shared" si="932"/>
        <v>0</v>
      </c>
      <c r="AZ707" s="685">
        <f t="shared" si="932"/>
        <v>0</v>
      </c>
      <c r="BA707" s="685">
        <f t="shared" si="932"/>
        <v>0</v>
      </c>
      <c r="BB707" s="685">
        <f t="shared" si="932"/>
        <v>0</v>
      </c>
      <c r="BC707" s="685">
        <f t="shared" si="932"/>
        <v>0</v>
      </c>
      <c r="BD707" s="685">
        <f t="shared" si="932"/>
        <v>0</v>
      </c>
      <c r="BE707" s="685">
        <f t="shared" si="932"/>
        <v>0</v>
      </c>
      <c r="BF707" s="685">
        <f t="shared" si="932"/>
        <v>0</v>
      </c>
      <c r="BG707" s="685">
        <f t="shared" si="932"/>
        <v>0</v>
      </c>
      <c r="BH707" s="685">
        <f t="shared" si="932"/>
        <v>0</v>
      </c>
      <c r="BI707" s="685">
        <f t="shared" si="932"/>
        <v>0</v>
      </c>
      <c r="BJ707" s="685">
        <f t="shared" si="932"/>
        <v>0</v>
      </c>
      <c r="BK707" s="685">
        <f t="shared" si="932"/>
        <v>0</v>
      </c>
      <c r="BL707" s="685">
        <f t="shared" si="932"/>
        <v>0</v>
      </c>
      <c r="BM707" s="685">
        <f t="shared" si="932"/>
        <v>0</v>
      </c>
      <c r="BN707" s="685">
        <f t="shared" si="932"/>
        <v>0</v>
      </c>
      <c r="BO707" s="685">
        <f t="shared" si="932"/>
        <v>0</v>
      </c>
      <c r="BP707" s="685">
        <f t="shared" si="932"/>
        <v>0</v>
      </c>
      <c r="BQ707" s="685">
        <f t="shared" ref="BQ707:EB707" si="933">SUM(BQ708:BQ713)</f>
        <v>0</v>
      </c>
      <c r="BR707" s="685">
        <f t="shared" si="933"/>
        <v>0</v>
      </c>
      <c r="BS707" s="685">
        <f t="shared" si="933"/>
        <v>0</v>
      </c>
      <c r="BT707" s="685">
        <f t="shared" si="933"/>
        <v>0</v>
      </c>
      <c r="BU707" s="685">
        <f t="shared" si="933"/>
        <v>0</v>
      </c>
      <c r="BV707" s="685">
        <f t="shared" si="933"/>
        <v>0</v>
      </c>
      <c r="BW707" s="685">
        <f t="shared" si="933"/>
        <v>0</v>
      </c>
      <c r="BX707" s="685">
        <f t="shared" si="933"/>
        <v>0</v>
      </c>
      <c r="BY707" s="685">
        <f t="shared" si="933"/>
        <v>0</v>
      </c>
      <c r="BZ707" s="685">
        <f t="shared" si="933"/>
        <v>0</v>
      </c>
      <c r="CA707" s="685">
        <f t="shared" si="933"/>
        <v>0</v>
      </c>
      <c r="CB707" s="685">
        <f t="shared" si="933"/>
        <v>0</v>
      </c>
      <c r="CC707" s="685">
        <f t="shared" si="933"/>
        <v>0</v>
      </c>
      <c r="CD707" s="1578">
        <f t="shared" si="933"/>
        <v>0</v>
      </c>
      <c r="CE707" s="685">
        <f t="shared" si="933"/>
        <v>0</v>
      </c>
      <c r="CF707" s="685">
        <f t="shared" si="933"/>
        <v>0</v>
      </c>
      <c r="CG707" s="685">
        <f t="shared" si="933"/>
        <v>0</v>
      </c>
      <c r="CH707" s="685">
        <f t="shared" si="933"/>
        <v>0</v>
      </c>
      <c r="CI707" s="685">
        <f t="shared" si="933"/>
        <v>0</v>
      </c>
      <c r="CJ707" s="685">
        <f t="shared" si="933"/>
        <v>0</v>
      </c>
      <c r="CK707" s="685">
        <f t="shared" si="933"/>
        <v>0</v>
      </c>
      <c r="CL707" s="685">
        <f t="shared" si="933"/>
        <v>0</v>
      </c>
      <c r="CM707" s="685">
        <f t="shared" si="933"/>
        <v>0</v>
      </c>
      <c r="CN707" s="685">
        <f t="shared" si="933"/>
        <v>0</v>
      </c>
      <c r="CO707" s="685">
        <f t="shared" si="933"/>
        <v>0</v>
      </c>
      <c r="CP707" s="1579">
        <f t="shared" si="933"/>
        <v>0</v>
      </c>
      <c r="CQ707" s="685">
        <f t="shared" si="933"/>
        <v>0</v>
      </c>
      <c r="CR707" s="685">
        <f t="shared" si="933"/>
        <v>0</v>
      </c>
      <c r="CS707" s="685">
        <f t="shared" si="933"/>
        <v>0</v>
      </c>
      <c r="CT707" s="685">
        <f t="shared" si="933"/>
        <v>0</v>
      </c>
      <c r="CU707" s="685">
        <f t="shared" si="933"/>
        <v>0</v>
      </c>
      <c r="CV707" s="685">
        <f t="shared" si="933"/>
        <v>0</v>
      </c>
      <c r="CW707" s="685">
        <f t="shared" si="933"/>
        <v>0</v>
      </c>
      <c r="CX707" s="685">
        <f t="shared" si="933"/>
        <v>0</v>
      </c>
      <c r="CY707" s="685">
        <f t="shared" si="933"/>
        <v>0</v>
      </c>
      <c r="CZ707" s="685">
        <f t="shared" si="933"/>
        <v>0</v>
      </c>
      <c r="DA707" s="685">
        <f t="shared" si="933"/>
        <v>0</v>
      </c>
      <c r="DB707" s="1580">
        <f t="shared" si="933"/>
        <v>0</v>
      </c>
      <c r="DC707" s="685">
        <f t="shared" si="933"/>
        <v>0</v>
      </c>
      <c r="DD707" s="685">
        <f t="shared" si="933"/>
        <v>0</v>
      </c>
      <c r="DE707" s="685">
        <f t="shared" si="933"/>
        <v>0</v>
      </c>
      <c r="DF707" s="685">
        <f t="shared" si="933"/>
        <v>0</v>
      </c>
      <c r="DG707" s="685">
        <f t="shared" si="933"/>
        <v>0</v>
      </c>
      <c r="DH707" s="685">
        <f t="shared" si="933"/>
        <v>0</v>
      </c>
      <c r="DI707" s="685">
        <f t="shared" si="933"/>
        <v>0</v>
      </c>
      <c r="DJ707" s="685">
        <f t="shared" si="933"/>
        <v>0</v>
      </c>
      <c r="DK707" s="685">
        <f t="shared" si="933"/>
        <v>0</v>
      </c>
      <c r="DL707" s="685">
        <f t="shared" si="933"/>
        <v>0</v>
      </c>
      <c r="DM707" s="685">
        <f t="shared" si="933"/>
        <v>0</v>
      </c>
      <c r="DN707" s="1579">
        <f t="shared" si="933"/>
        <v>0</v>
      </c>
      <c r="DO707" s="685">
        <f t="shared" si="933"/>
        <v>0</v>
      </c>
      <c r="DP707" s="685">
        <f t="shared" si="933"/>
        <v>0</v>
      </c>
      <c r="DQ707" s="685">
        <f t="shared" si="933"/>
        <v>0</v>
      </c>
      <c r="DR707" s="685">
        <f t="shared" si="933"/>
        <v>0</v>
      </c>
      <c r="DS707" s="685">
        <f t="shared" si="933"/>
        <v>0</v>
      </c>
      <c r="DT707" s="685">
        <f t="shared" si="933"/>
        <v>0</v>
      </c>
      <c r="DU707" s="685">
        <f t="shared" si="933"/>
        <v>0</v>
      </c>
      <c r="DV707" s="685">
        <f t="shared" si="933"/>
        <v>0</v>
      </c>
      <c r="DW707" s="685">
        <f t="shared" si="933"/>
        <v>0</v>
      </c>
      <c r="DX707" s="685">
        <f t="shared" si="933"/>
        <v>0</v>
      </c>
      <c r="DY707" s="685">
        <f t="shared" si="933"/>
        <v>0</v>
      </c>
      <c r="DZ707" s="1579">
        <f t="shared" si="933"/>
        <v>0</v>
      </c>
      <c r="EA707" s="685">
        <f t="shared" si="933"/>
        <v>0</v>
      </c>
      <c r="EB707" s="685">
        <f t="shared" si="933"/>
        <v>0</v>
      </c>
      <c r="EC707" s="685">
        <f t="shared" ref="EC707:FP707" si="934">SUM(EC708:EC713)</f>
        <v>0</v>
      </c>
      <c r="ED707" s="685">
        <f t="shared" si="934"/>
        <v>0</v>
      </c>
      <c r="EE707" s="685">
        <f t="shared" si="934"/>
        <v>0</v>
      </c>
      <c r="EF707" s="685">
        <f t="shared" si="934"/>
        <v>0</v>
      </c>
      <c r="EG707" s="685">
        <f t="shared" si="934"/>
        <v>0</v>
      </c>
      <c r="EH707" s="685">
        <f t="shared" si="934"/>
        <v>0</v>
      </c>
      <c r="EI707" s="685">
        <f t="shared" si="934"/>
        <v>0</v>
      </c>
      <c r="EJ707" s="685">
        <f t="shared" si="934"/>
        <v>0</v>
      </c>
      <c r="EK707" s="685">
        <f t="shared" si="934"/>
        <v>0</v>
      </c>
      <c r="EL707" s="1579">
        <f t="shared" si="934"/>
        <v>0</v>
      </c>
      <c r="EM707" s="685">
        <f t="shared" si="934"/>
        <v>0</v>
      </c>
      <c r="EN707" s="685">
        <f t="shared" si="934"/>
        <v>0</v>
      </c>
      <c r="EO707" s="685">
        <f t="shared" si="934"/>
        <v>0</v>
      </c>
      <c r="EP707" s="685">
        <f t="shared" si="934"/>
        <v>0</v>
      </c>
      <c r="EQ707" s="685">
        <f t="shared" si="934"/>
        <v>0</v>
      </c>
      <c r="ER707" s="685">
        <f t="shared" si="934"/>
        <v>0</v>
      </c>
      <c r="ES707" s="685">
        <f t="shared" si="934"/>
        <v>0</v>
      </c>
      <c r="ET707" s="685">
        <f t="shared" si="934"/>
        <v>0</v>
      </c>
      <c r="EU707" s="685">
        <f t="shared" si="934"/>
        <v>0</v>
      </c>
      <c r="EV707" s="685">
        <f t="shared" si="934"/>
        <v>0</v>
      </c>
      <c r="EW707" s="685">
        <f t="shared" si="934"/>
        <v>0</v>
      </c>
      <c r="EX707" s="1579">
        <f t="shared" si="934"/>
        <v>0</v>
      </c>
      <c r="EY707" s="685">
        <f t="shared" si="934"/>
        <v>0</v>
      </c>
      <c r="EZ707" s="685">
        <f t="shared" si="934"/>
        <v>0</v>
      </c>
      <c r="FA707" s="685">
        <f t="shared" si="934"/>
        <v>0</v>
      </c>
      <c r="FB707" s="685">
        <f t="shared" si="934"/>
        <v>0</v>
      </c>
      <c r="FC707" s="685">
        <f t="shared" si="934"/>
        <v>0</v>
      </c>
      <c r="FD707" s="685">
        <f t="shared" si="934"/>
        <v>0</v>
      </c>
      <c r="FE707" s="685">
        <f t="shared" si="934"/>
        <v>0</v>
      </c>
      <c r="FF707" s="685">
        <f t="shared" si="934"/>
        <v>0</v>
      </c>
      <c r="FG707" s="685">
        <f t="shared" si="934"/>
        <v>0</v>
      </c>
      <c r="FH707" s="685">
        <f t="shared" si="934"/>
        <v>0</v>
      </c>
      <c r="FI707" s="685">
        <f t="shared" si="934"/>
        <v>0</v>
      </c>
      <c r="FJ707" s="1579">
        <f t="shared" si="934"/>
        <v>0</v>
      </c>
      <c r="FK707" s="685">
        <f t="shared" si="934"/>
        <v>0</v>
      </c>
      <c r="FL707" s="685">
        <f t="shared" si="934"/>
        <v>0</v>
      </c>
      <c r="FM707" s="685">
        <f t="shared" si="934"/>
        <v>0</v>
      </c>
      <c r="FN707" s="685">
        <f t="shared" si="934"/>
        <v>0</v>
      </c>
      <c r="FO707" s="685">
        <f t="shared" si="934"/>
        <v>0</v>
      </c>
      <c r="FP707" s="685">
        <f t="shared" si="934"/>
        <v>0</v>
      </c>
      <c r="FQ707" s="685">
        <f t="shared" ref="FQ707:FV707" si="935">SUM(FQ708:FQ713)</f>
        <v>0</v>
      </c>
      <c r="FR707" s="685">
        <f t="shared" si="935"/>
        <v>0</v>
      </c>
      <c r="FS707" s="685">
        <f t="shared" si="935"/>
        <v>0</v>
      </c>
      <c r="FT707" s="685">
        <f t="shared" si="935"/>
        <v>0</v>
      </c>
      <c r="FU707" s="685">
        <f t="shared" si="935"/>
        <v>0</v>
      </c>
      <c r="FV707" s="685">
        <f t="shared" si="935"/>
        <v>0</v>
      </c>
      <c r="FW707" s="685">
        <v>0</v>
      </c>
      <c r="FX707" s="685">
        <v>0</v>
      </c>
      <c r="FY707" s="685">
        <v>0</v>
      </c>
      <c r="FZ707" s="685">
        <v>0</v>
      </c>
      <c r="GA707" s="685">
        <v>0</v>
      </c>
      <c r="GB707" s="685">
        <v>0</v>
      </c>
      <c r="GC707" s="685">
        <v>0</v>
      </c>
      <c r="GD707" s="685">
        <v>0</v>
      </c>
      <c r="GE707" s="685">
        <v>0</v>
      </c>
      <c r="GF707" s="685">
        <v>0</v>
      </c>
      <c r="GG707" s="685">
        <v>0</v>
      </c>
      <c r="GH707" s="685">
        <v>0</v>
      </c>
      <c r="GI707" s="685">
        <v>0</v>
      </c>
      <c r="GJ707" s="685">
        <v>0</v>
      </c>
      <c r="GK707" s="685">
        <v>0</v>
      </c>
      <c r="GL707" s="685">
        <v>0</v>
      </c>
      <c r="GM707" s="685">
        <v>0</v>
      </c>
      <c r="GN707" s="685">
        <v>0</v>
      </c>
      <c r="GO707" s="685">
        <v>0</v>
      </c>
      <c r="GP707" s="685">
        <v>0</v>
      </c>
      <c r="GQ707" s="685">
        <v>0</v>
      </c>
      <c r="GR707" s="685">
        <v>0</v>
      </c>
      <c r="GS707" s="685">
        <v>0</v>
      </c>
      <c r="GT707" s="685">
        <v>0</v>
      </c>
      <c r="GU707" s="685">
        <v>0</v>
      </c>
      <c r="GV707" s="685">
        <v>0</v>
      </c>
      <c r="GW707" s="685">
        <v>0</v>
      </c>
      <c r="GX707" s="685">
        <v>0</v>
      </c>
      <c r="GY707" s="685">
        <v>0</v>
      </c>
      <c r="GZ707" s="685">
        <v>0</v>
      </c>
      <c r="HA707" s="685">
        <v>0</v>
      </c>
      <c r="HB707" s="685">
        <v>0</v>
      </c>
      <c r="HC707" s="685">
        <v>0</v>
      </c>
      <c r="HD707" s="685">
        <v>0</v>
      </c>
      <c r="HE707" s="685">
        <v>0</v>
      </c>
      <c r="HF707" s="685">
        <v>0</v>
      </c>
      <c r="HG707" s="685">
        <v>0</v>
      </c>
      <c r="HH707" s="685">
        <v>0</v>
      </c>
      <c r="HI707" s="685">
        <v>0</v>
      </c>
      <c r="HJ707" s="685">
        <v>0</v>
      </c>
      <c r="HK707" s="685">
        <v>0</v>
      </c>
      <c r="HL707" s="685">
        <v>0</v>
      </c>
      <c r="HM707" s="685"/>
      <c r="HN707" s="1581"/>
      <c r="HO707" s="354" t="s">
        <v>528</v>
      </c>
      <c r="HP707" s="307">
        <f t="shared" si="879"/>
        <v>0</v>
      </c>
      <c r="HQ707" s="302">
        <f t="shared" si="880"/>
        <v>0</v>
      </c>
      <c r="HR707" s="346">
        <f t="shared" si="698"/>
        <v>0</v>
      </c>
      <c r="HS707" s="302">
        <f t="shared" si="881"/>
        <v>0</v>
      </c>
      <c r="HT707" s="302">
        <f t="shared" si="882"/>
        <v>0</v>
      </c>
      <c r="HU707" s="346">
        <f t="shared" si="678"/>
        <v>0</v>
      </c>
      <c r="HV707" s="307">
        <f t="shared" si="883"/>
        <v>0</v>
      </c>
      <c r="HW707" s="302">
        <f t="shared" si="884"/>
        <v>0</v>
      </c>
      <c r="HX707" s="346">
        <f t="shared" si="679"/>
        <v>0</v>
      </c>
      <c r="HY707" s="350">
        <f t="shared" si="885"/>
        <v>0</v>
      </c>
      <c r="HZ707" s="302">
        <f t="shared" si="886"/>
        <v>0</v>
      </c>
      <c r="IA707" s="346">
        <f t="shared" si="680"/>
        <v>0</v>
      </c>
      <c r="IB707" s="302">
        <f t="shared" si="887"/>
        <v>0</v>
      </c>
      <c r="IC707" s="302">
        <f t="shared" si="888"/>
        <v>0</v>
      </c>
      <c r="ID707" s="346">
        <f t="shared" si="681"/>
        <v>0</v>
      </c>
      <c r="IE707" s="350">
        <f t="shared" si="889"/>
        <v>0</v>
      </c>
      <c r="IF707" s="350">
        <f t="shared" si="890"/>
        <v>0</v>
      </c>
      <c r="IG707" s="346">
        <f t="shared" si="682"/>
        <v>0</v>
      </c>
      <c r="IH707" s="350">
        <f t="shared" si="891"/>
        <v>0</v>
      </c>
      <c r="II707" s="350">
        <f t="shared" si="892"/>
        <v>0</v>
      </c>
      <c r="IJ707" s="346">
        <f t="shared" si="683"/>
        <v>0</v>
      </c>
      <c r="IK707" s="350">
        <f t="shared" si="869"/>
        <v>0</v>
      </c>
      <c r="IL707" s="350">
        <f t="shared" si="864"/>
        <v>0</v>
      </c>
      <c r="IM707" s="346">
        <f t="shared" si="684"/>
        <v>0</v>
      </c>
      <c r="IN707" s="350">
        <f t="shared" si="865"/>
        <v>0</v>
      </c>
      <c r="IO707" s="350">
        <f t="shared" si="866"/>
        <v>0</v>
      </c>
      <c r="IP707" s="346">
        <f t="shared" si="685"/>
        <v>0</v>
      </c>
      <c r="IQ707" s="350">
        <f t="shared" si="867"/>
        <v>0</v>
      </c>
      <c r="IR707" s="350">
        <f t="shared" si="868"/>
        <v>0</v>
      </c>
      <c r="IS707" s="346">
        <f t="shared" si="686"/>
        <v>0</v>
      </c>
      <c r="IT707" s="350">
        <f t="shared" si="870"/>
        <v>0</v>
      </c>
      <c r="IU707" s="350">
        <f t="shared" si="707"/>
        <v>0</v>
      </c>
      <c r="IV707" s="346">
        <f t="shared" si="687"/>
        <v>0</v>
      </c>
      <c r="IW707" s="350">
        <f t="shared" si="700"/>
        <v>0</v>
      </c>
      <c r="IX707" s="350">
        <f t="shared" si="688"/>
        <v>0</v>
      </c>
      <c r="IY707" s="346">
        <f>FISC!AJ1029</f>
        <v>0</v>
      </c>
      <c r="IZ707" s="350">
        <f t="shared" ref="IZ707:IZ716" si="936">JB707*0.48</f>
        <v>0</v>
      </c>
      <c r="JA707" s="302">
        <f t="shared" si="689"/>
        <v>0</v>
      </c>
      <c r="JB707" s="346">
        <f>FISC!AK1029</f>
        <v>0</v>
      </c>
      <c r="JC707" s="350">
        <f t="shared" ref="JC707:JC716" si="937">JE707*0.48</f>
        <v>0</v>
      </c>
      <c r="JD707" s="302">
        <f t="shared" si="690"/>
        <v>0</v>
      </c>
      <c r="JE707" s="346">
        <f>FISC!AL1029</f>
        <v>0</v>
      </c>
      <c r="JF707" s="350">
        <f t="shared" ref="JF707:JF716" si="938">JH707*0.48</f>
        <v>0</v>
      </c>
      <c r="JG707" s="302">
        <f t="shared" si="691"/>
        <v>0</v>
      </c>
      <c r="JH707" s="346">
        <f>FISC!AM1029</f>
        <v>0</v>
      </c>
      <c r="JI707" s="350">
        <f t="shared" ref="JI707:JI716" si="939">JK707*0.48</f>
        <v>0</v>
      </c>
      <c r="JJ707" s="302">
        <f t="shared" si="701"/>
        <v>0</v>
      </c>
      <c r="JK707" s="346">
        <f>FISC!AN1029</f>
        <v>0</v>
      </c>
      <c r="JL707" s="350">
        <f t="shared" ref="JL707:JL716" si="940">JN707*0.48</f>
        <v>0</v>
      </c>
      <c r="JM707" s="302">
        <f t="shared" si="692"/>
        <v>0</v>
      </c>
      <c r="JN707" s="346">
        <f>FISC!AO1029</f>
        <v>0</v>
      </c>
      <c r="KI707" s="1581"/>
      <c r="KJ707" s="1043"/>
      <c r="KM707" s="477">
        <f>SUM(KM708:KM713)</f>
        <v>0</v>
      </c>
      <c r="KN707" s="477">
        <f>SUM(KN708:KN713)</f>
        <v>0</v>
      </c>
      <c r="KO707" s="477">
        <f>SUM(KO708:KO713)</f>
        <v>0</v>
      </c>
      <c r="KP707" s="477">
        <f>SUM(KP708:KP713)</f>
        <v>0</v>
      </c>
    </row>
    <row r="708" spans="1:302" s="477" customFormat="1" hidden="1" outlineLevel="1">
      <c r="B708" s="1577" t="s">
        <v>361</v>
      </c>
      <c r="C708" s="1577"/>
      <c r="D708" s="355" t="s">
        <v>529</v>
      </c>
      <c r="E708" s="685"/>
      <c r="F708" s="685"/>
      <c r="G708" s="685"/>
      <c r="H708" s="685"/>
      <c r="I708" s="685"/>
      <c r="J708" s="685"/>
      <c r="K708" s="685"/>
      <c r="L708" s="685"/>
      <c r="M708" s="685"/>
      <c r="N708" s="685"/>
      <c r="O708" s="685"/>
      <c r="P708" s="685"/>
      <c r="Q708" s="685"/>
      <c r="R708" s="685"/>
      <c r="S708" s="685"/>
      <c r="T708" s="685"/>
      <c r="U708" s="685"/>
      <c r="V708" s="685"/>
      <c r="W708" s="685"/>
      <c r="X708" s="685"/>
      <c r="Y708" s="685"/>
      <c r="Z708" s="685"/>
      <c r="AA708" s="685"/>
      <c r="AB708" s="685"/>
      <c r="AC708" s="685"/>
      <c r="AD708" s="685"/>
      <c r="AE708" s="685"/>
      <c r="AF708" s="685"/>
      <c r="AG708" s="685"/>
      <c r="AH708" s="685"/>
      <c r="AI708" s="685"/>
      <c r="AJ708" s="685"/>
      <c r="AK708" s="685"/>
      <c r="AL708" s="685"/>
      <c r="AM708" s="685"/>
      <c r="AN708" s="685"/>
      <c r="AO708" s="685">
        <v>0</v>
      </c>
      <c r="AP708" s="685">
        <v>0</v>
      </c>
      <c r="AQ708" s="685">
        <v>0</v>
      </c>
      <c r="AR708" s="685">
        <v>0</v>
      </c>
      <c r="AS708" s="685">
        <v>0</v>
      </c>
      <c r="AT708" s="685">
        <v>0</v>
      </c>
      <c r="AU708" s="685">
        <v>0</v>
      </c>
      <c r="AV708" s="685">
        <v>0</v>
      </c>
      <c r="AW708" s="685">
        <v>0</v>
      </c>
      <c r="AX708" s="685">
        <v>0</v>
      </c>
      <c r="AY708" s="685">
        <v>0</v>
      </c>
      <c r="AZ708" s="685">
        <v>0</v>
      </c>
      <c r="BA708" s="685">
        <v>0</v>
      </c>
      <c r="BB708" s="685">
        <v>0</v>
      </c>
      <c r="BC708" s="685">
        <v>0</v>
      </c>
      <c r="BD708" s="685">
        <v>0</v>
      </c>
      <c r="BE708" s="685">
        <v>0</v>
      </c>
      <c r="BF708" s="685">
        <v>0</v>
      </c>
      <c r="BG708" s="685">
        <v>0</v>
      </c>
      <c r="BH708" s="685">
        <v>0</v>
      </c>
      <c r="BI708" s="685">
        <v>0</v>
      </c>
      <c r="BJ708" s="685">
        <v>0</v>
      </c>
      <c r="BK708" s="685">
        <v>0</v>
      </c>
      <c r="BL708" s="685">
        <v>0</v>
      </c>
      <c r="BM708" s="685">
        <v>0</v>
      </c>
      <c r="BN708" s="685">
        <v>0</v>
      </c>
      <c r="BO708" s="685">
        <v>0</v>
      </c>
      <c r="BP708" s="685">
        <v>0</v>
      </c>
      <c r="BQ708" s="685">
        <v>0</v>
      </c>
      <c r="BR708" s="685">
        <v>0</v>
      </c>
      <c r="BS708" s="685">
        <v>0</v>
      </c>
      <c r="BT708" s="685">
        <v>0</v>
      </c>
      <c r="BU708" s="685">
        <v>0</v>
      </c>
      <c r="BV708" s="685">
        <v>0</v>
      </c>
      <c r="BW708" s="685">
        <v>0</v>
      </c>
      <c r="BX708" s="685">
        <v>0</v>
      </c>
      <c r="BY708" s="685">
        <v>0</v>
      </c>
      <c r="BZ708" s="685">
        <v>0</v>
      </c>
      <c r="CA708" s="685">
        <v>0</v>
      </c>
      <c r="CB708" s="685">
        <v>0</v>
      </c>
      <c r="CC708" s="685">
        <v>0</v>
      </c>
      <c r="CD708" s="1578">
        <v>0</v>
      </c>
      <c r="CE708" s="685">
        <f t="shared" ref="CE708:DJ708" si="941">CE351</f>
        <v>0</v>
      </c>
      <c r="CF708" s="685">
        <f t="shared" si="941"/>
        <v>0</v>
      </c>
      <c r="CG708" s="685">
        <f t="shared" si="941"/>
        <v>0</v>
      </c>
      <c r="CH708" s="685">
        <f t="shared" si="941"/>
        <v>0</v>
      </c>
      <c r="CI708" s="685">
        <f t="shared" si="941"/>
        <v>0</v>
      </c>
      <c r="CJ708" s="685">
        <f t="shared" si="941"/>
        <v>0</v>
      </c>
      <c r="CK708" s="685">
        <f t="shared" si="941"/>
        <v>0</v>
      </c>
      <c r="CL708" s="685">
        <f t="shared" si="941"/>
        <v>0</v>
      </c>
      <c r="CM708" s="685">
        <f t="shared" si="941"/>
        <v>0</v>
      </c>
      <c r="CN708" s="685">
        <f t="shared" si="941"/>
        <v>0</v>
      </c>
      <c r="CO708" s="685">
        <f t="shared" si="941"/>
        <v>0</v>
      </c>
      <c r="CP708" s="1579">
        <f t="shared" si="941"/>
        <v>0</v>
      </c>
      <c r="CQ708" s="685">
        <f t="shared" si="941"/>
        <v>0</v>
      </c>
      <c r="CR708" s="685">
        <f t="shared" si="941"/>
        <v>0</v>
      </c>
      <c r="CS708" s="685">
        <f t="shared" si="941"/>
        <v>0</v>
      </c>
      <c r="CT708" s="685">
        <f t="shared" si="941"/>
        <v>0</v>
      </c>
      <c r="CU708" s="685">
        <f t="shared" si="941"/>
        <v>0</v>
      </c>
      <c r="CV708" s="685">
        <f t="shared" si="941"/>
        <v>0</v>
      </c>
      <c r="CW708" s="685">
        <f t="shared" si="941"/>
        <v>0</v>
      </c>
      <c r="CX708" s="685">
        <f t="shared" si="941"/>
        <v>0</v>
      </c>
      <c r="CY708" s="685">
        <f t="shared" si="941"/>
        <v>0</v>
      </c>
      <c r="CZ708" s="685">
        <f t="shared" si="941"/>
        <v>0</v>
      </c>
      <c r="DA708" s="685">
        <f t="shared" si="941"/>
        <v>0</v>
      </c>
      <c r="DB708" s="1580">
        <f t="shared" si="941"/>
        <v>0</v>
      </c>
      <c r="DC708" s="685">
        <f t="shared" si="941"/>
        <v>0</v>
      </c>
      <c r="DD708" s="685">
        <f t="shared" si="941"/>
        <v>0</v>
      </c>
      <c r="DE708" s="685">
        <f t="shared" si="941"/>
        <v>0</v>
      </c>
      <c r="DF708" s="685">
        <f t="shared" si="941"/>
        <v>0</v>
      </c>
      <c r="DG708" s="685">
        <f t="shared" si="941"/>
        <v>0</v>
      </c>
      <c r="DH708" s="685">
        <f t="shared" si="941"/>
        <v>0</v>
      </c>
      <c r="DI708" s="685">
        <f t="shared" si="941"/>
        <v>0</v>
      </c>
      <c r="DJ708" s="685">
        <f t="shared" si="941"/>
        <v>0</v>
      </c>
      <c r="DK708" s="685">
        <f t="shared" ref="DK708:EP708" si="942">DK351</f>
        <v>0</v>
      </c>
      <c r="DL708" s="685">
        <f t="shared" si="942"/>
        <v>0</v>
      </c>
      <c r="DM708" s="685">
        <f t="shared" si="942"/>
        <v>0</v>
      </c>
      <c r="DN708" s="1579">
        <f t="shared" si="942"/>
        <v>0</v>
      </c>
      <c r="DO708" s="685">
        <f t="shared" si="942"/>
        <v>0</v>
      </c>
      <c r="DP708" s="685">
        <f t="shared" si="942"/>
        <v>0</v>
      </c>
      <c r="DQ708" s="685">
        <f t="shared" si="942"/>
        <v>0</v>
      </c>
      <c r="DR708" s="685">
        <f t="shared" si="942"/>
        <v>0</v>
      </c>
      <c r="DS708" s="685">
        <f t="shared" si="942"/>
        <v>0</v>
      </c>
      <c r="DT708" s="685">
        <f t="shared" si="942"/>
        <v>0</v>
      </c>
      <c r="DU708" s="685">
        <f t="shared" si="942"/>
        <v>0</v>
      </c>
      <c r="DV708" s="685">
        <f t="shared" si="942"/>
        <v>0</v>
      </c>
      <c r="DW708" s="685">
        <f t="shared" si="942"/>
        <v>0</v>
      </c>
      <c r="DX708" s="685">
        <f t="shared" si="942"/>
        <v>0</v>
      </c>
      <c r="DY708" s="685">
        <f t="shared" si="942"/>
        <v>0</v>
      </c>
      <c r="DZ708" s="1579">
        <f t="shared" si="942"/>
        <v>0</v>
      </c>
      <c r="EA708" s="685">
        <f t="shared" si="942"/>
        <v>0</v>
      </c>
      <c r="EB708" s="685">
        <f t="shared" si="942"/>
        <v>0</v>
      </c>
      <c r="EC708" s="685">
        <f t="shared" si="942"/>
        <v>0</v>
      </c>
      <c r="ED708" s="685">
        <f t="shared" si="942"/>
        <v>0</v>
      </c>
      <c r="EE708" s="685">
        <f t="shared" si="942"/>
        <v>0</v>
      </c>
      <c r="EF708" s="685">
        <f t="shared" si="942"/>
        <v>0</v>
      </c>
      <c r="EG708" s="685">
        <f t="shared" si="942"/>
        <v>0</v>
      </c>
      <c r="EH708" s="685">
        <f t="shared" si="942"/>
        <v>0</v>
      </c>
      <c r="EI708" s="685">
        <f t="shared" si="942"/>
        <v>0</v>
      </c>
      <c r="EJ708" s="685">
        <f t="shared" si="942"/>
        <v>0</v>
      </c>
      <c r="EK708" s="685">
        <f t="shared" si="942"/>
        <v>0</v>
      </c>
      <c r="EL708" s="1579">
        <f t="shared" si="942"/>
        <v>0</v>
      </c>
      <c r="EM708" s="685">
        <f t="shared" si="942"/>
        <v>0</v>
      </c>
      <c r="EN708" s="685">
        <f t="shared" si="942"/>
        <v>0</v>
      </c>
      <c r="EO708" s="685">
        <f t="shared" si="942"/>
        <v>0</v>
      </c>
      <c r="EP708" s="685">
        <f t="shared" si="942"/>
        <v>0</v>
      </c>
      <c r="EQ708" s="685">
        <f t="shared" ref="EQ708:FP708" si="943">EQ351</f>
        <v>0</v>
      </c>
      <c r="ER708" s="685">
        <f t="shared" si="943"/>
        <v>0</v>
      </c>
      <c r="ES708" s="685">
        <f t="shared" si="943"/>
        <v>0</v>
      </c>
      <c r="ET708" s="685">
        <f t="shared" si="943"/>
        <v>0</v>
      </c>
      <c r="EU708" s="685">
        <f t="shared" si="943"/>
        <v>0</v>
      </c>
      <c r="EV708" s="685">
        <f t="shared" si="943"/>
        <v>0</v>
      </c>
      <c r="EW708" s="685">
        <f t="shared" si="943"/>
        <v>0</v>
      </c>
      <c r="EX708" s="1579">
        <f t="shared" si="943"/>
        <v>0</v>
      </c>
      <c r="EY708" s="685">
        <f t="shared" si="943"/>
        <v>0</v>
      </c>
      <c r="EZ708" s="685">
        <f t="shared" si="943"/>
        <v>0</v>
      </c>
      <c r="FA708" s="685">
        <f t="shared" si="943"/>
        <v>0</v>
      </c>
      <c r="FB708" s="685">
        <f t="shared" si="943"/>
        <v>0</v>
      </c>
      <c r="FC708" s="685">
        <f t="shared" si="943"/>
        <v>0</v>
      </c>
      <c r="FD708" s="685">
        <f t="shared" si="943"/>
        <v>0</v>
      </c>
      <c r="FE708" s="685">
        <f t="shared" si="943"/>
        <v>0</v>
      </c>
      <c r="FF708" s="685">
        <f t="shared" si="943"/>
        <v>0</v>
      </c>
      <c r="FG708" s="685">
        <f t="shared" si="943"/>
        <v>0</v>
      </c>
      <c r="FH708" s="685">
        <f t="shared" si="943"/>
        <v>0</v>
      </c>
      <c r="FI708" s="685">
        <f t="shared" si="943"/>
        <v>0</v>
      </c>
      <c r="FJ708" s="1579">
        <f t="shared" si="943"/>
        <v>0</v>
      </c>
      <c r="FK708" s="685">
        <f t="shared" si="943"/>
        <v>0</v>
      </c>
      <c r="FL708" s="685">
        <f t="shared" si="943"/>
        <v>0</v>
      </c>
      <c r="FM708" s="685">
        <f t="shared" si="943"/>
        <v>0</v>
      </c>
      <c r="FN708" s="685">
        <f t="shared" si="943"/>
        <v>0</v>
      </c>
      <c r="FO708" s="685">
        <f t="shared" si="943"/>
        <v>0</v>
      </c>
      <c r="FP708" s="685">
        <f t="shared" si="943"/>
        <v>0</v>
      </c>
      <c r="FQ708" s="685">
        <f t="shared" ref="FQ708:FV716" si="944">FQ351</f>
        <v>0</v>
      </c>
      <c r="FR708" s="685">
        <f t="shared" si="944"/>
        <v>0</v>
      </c>
      <c r="FS708" s="685">
        <f t="shared" si="944"/>
        <v>0</v>
      </c>
      <c r="FT708" s="685">
        <f t="shared" si="944"/>
        <v>0</v>
      </c>
      <c r="FU708" s="685">
        <f t="shared" si="944"/>
        <v>0</v>
      </c>
      <c r="FV708" s="685">
        <f t="shared" si="944"/>
        <v>0</v>
      </c>
      <c r="FW708" s="685">
        <v>0</v>
      </c>
      <c r="FX708" s="685">
        <v>0</v>
      </c>
      <c r="FY708" s="685">
        <v>0</v>
      </c>
      <c r="FZ708" s="685">
        <v>0</v>
      </c>
      <c r="GA708" s="685">
        <v>0</v>
      </c>
      <c r="GB708" s="685">
        <v>0</v>
      </c>
      <c r="GC708" s="685">
        <v>0</v>
      </c>
      <c r="GD708" s="685">
        <v>0</v>
      </c>
      <c r="GE708" s="685">
        <v>0</v>
      </c>
      <c r="GF708" s="685">
        <v>0</v>
      </c>
      <c r="GG708" s="685">
        <v>0</v>
      </c>
      <c r="GH708" s="685">
        <v>0</v>
      </c>
      <c r="GI708" s="685">
        <v>0</v>
      </c>
      <c r="GJ708" s="685">
        <v>0</v>
      </c>
      <c r="GK708" s="685">
        <v>0</v>
      </c>
      <c r="GL708" s="685">
        <v>0</v>
      </c>
      <c r="GM708" s="685">
        <v>0</v>
      </c>
      <c r="GN708" s="685">
        <v>0</v>
      </c>
      <c r="GO708" s="685">
        <v>0</v>
      </c>
      <c r="GP708" s="685">
        <v>0</v>
      </c>
      <c r="GQ708" s="685">
        <v>0</v>
      </c>
      <c r="GR708" s="685">
        <v>0</v>
      </c>
      <c r="GS708" s="685">
        <v>0</v>
      </c>
      <c r="GT708" s="685">
        <v>0</v>
      </c>
      <c r="GU708" s="685">
        <v>0</v>
      </c>
      <c r="GV708" s="685">
        <v>0</v>
      </c>
      <c r="GW708" s="685">
        <v>0</v>
      </c>
      <c r="GX708" s="685">
        <v>0</v>
      </c>
      <c r="GY708" s="685">
        <v>0</v>
      </c>
      <c r="GZ708" s="685">
        <v>0</v>
      </c>
      <c r="HA708" s="685">
        <v>0</v>
      </c>
      <c r="HB708" s="685">
        <v>0</v>
      </c>
      <c r="HC708" s="685">
        <v>0</v>
      </c>
      <c r="HD708" s="685">
        <v>0</v>
      </c>
      <c r="HE708" s="685">
        <v>0</v>
      </c>
      <c r="HF708" s="685">
        <v>0</v>
      </c>
      <c r="HG708" s="685">
        <v>0</v>
      </c>
      <c r="HH708" s="685">
        <v>0</v>
      </c>
      <c r="HI708" s="685">
        <v>0</v>
      </c>
      <c r="HJ708" s="685">
        <v>0</v>
      </c>
      <c r="HK708" s="685">
        <v>0</v>
      </c>
      <c r="HL708" s="685">
        <v>0</v>
      </c>
      <c r="HM708" s="685"/>
      <c r="HN708" s="1581"/>
      <c r="HO708" s="355" t="s">
        <v>529</v>
      </c>
      <c r="HP708" s="307">
        <f t="shared" si="879"/>
        <v>0</v>
      </c>
      <c r="HQ708" s="302">
        <f t="shared" si="880"/>
        <v>0</v>
      </c>
      <c r="HR708" s="346">
        <f t="shared" si="698"/>
        <v>0</v>
      </c>
      <c r="HS708" s="302">
        <f t="shared" si="881"/>
        <v>0</v>
      </c>
      <c r="HT708" s="302">
        <f t="shared" si="882"/>
        <v>0</v>
      </c>
      <c r="HU708" s="346">
        <f t="shared" si="678"/>
        <v>0</v>
      </c>
      <c r="HV708" s="307">
        <f t="shared" si="883"/>
        <v>0</v>
      </c>
      <c r="HW708" s="302">
        <f t="shared" si="884"/>
        <v>0</v>
      </c>
      <c r="HX708" s="346">
        <f t="shared" si="679"/>
        <v>0</v>
      </c>
      <c r="HY708" s="350">
        <f t="shared" si="885"/>
        <v>0</v>
      </c>
      <c r="HZ708" s="302">
        <f t="shared" si="886"/>
        <v>0</v>
      </c>
      <c r="IA708" s="346">
        <f t="shared" si="680"/>
        <v>0</v>
      </c>
      <c r="IB708" s="302">
        <f t="shared" si="887"/>
        <v>0</v>
      </c>
      <c r="IC708" s="302">
        <f t="shared" si="888"/>
        <v>0</v>
      </c>
      <c r="ID708" s="346">
        <f t="shared" si="681"/>
        <v>0</v>
      </c>
      <c r="IE708" s="350">
        <f t="shared" si="889"/>
        <v>0</v>
      </c>
      <c r="IF708" s="350">
        <f t="shared" si="890"/>
        <v>0</v>
      </c>
      <c r="IG708" s="346">
        <f t="shared" si="682"/>
        <v>0</v>
      </c>
      <c r="IH708" s="350">
        <f t="shared" si="891"/>
        <v>0</v>
      </c>
      <c r="II708" s="350">
        <f t="shared" si="892"/>
        <v>0</v>
      </c>
      <c r="IJ708" s="346">
        <f t="shared" si="683"/>
        <v>0</v>
      </c>
      <c r="IK708" s="350">
        <f t="shared" si="869"/>
        <v>0</v>
      </c>
      <c r="IL708" s="350">
        <f t="shared" si="864"/>
        <v>0</v>
      </c>
      <c r="IM708" s="346">
        <f>IK708+IL708</f>
        <v>0</v>
      </c>
      <c r="IN708" s="350">
        <f t="shared" si="865"/>
        <v>0</v>
      </c>
      <c r="IO708" s="350">
        <f t="shared" si="866"/>
        <v>0</v>
      </c>
      <c r="IP708" s="346">
        <f t="shared" si="685"/>
        <v>0</v>
      </c>
      <c r="IQ708" s="350">
        <f t="shared" si="867"/>
        <v>0</v>
      </c>
      <c r="IR708" s="350">
        <f t="shared" si="868"/>
        <v>0</v>
      </c>
      <c r="IS708" s="346">
        <f t="shared" si="686"/>
        <v>0</v>
      </c>
      <c r="IT708" s="350">
        <f t="shared" si="870"/>
        <v>0</v>
      </c>
      <c r="IU708" s="350">
        <f t="shared" si="707"/>
        <v>0</v>
      </c>
      <c r="IV708" s="346">
        <f t="shared" si="687"/>
        <v>0</v>
      </c>
      <c r="IW708" s="350">
        <f t="shared" si="700"/>
        <v>0</v>
      </c>
      <c r="IX708" s="350">
        <f t="shared" si="688"/>
        <v>0</v>
      </c>
      <c r="IY708" s="346">
        <f>FISC!AJ1030</f>
        <v>0</v>
      </c>
      <c r="IZ708" s="350">
        <f t="shared" si="936"/>
        <v>0</v>
      </c>
      <c r="JA708" s="302">
        <f t="shared" si="689"/>
        <v>0</v>
      </c>
      <c r="JB708" s="346">
        <f>FISC!AK1030</f>
        <v>0</v>
      </c>
      <c r="JC708" s="350">
        <f t="shared" si="937"/>
        <v>0</v>
      </c>
      <c r="JD708" s="302">
        <f t="shared" si="690"/>
        <v>0</v>
      </c>
      <c r="JE708" s="346">
        <f>FISC!AL1030</f>
        <v>0</v>
      </c>
      <c r="JF708" s="350">
        <f t="shared" si="938"/>
        <v>0</v>
      </c>
      <c r="JG708" s="302">
        <f t="shared" si="691"/>
        <v>0</v>
      </c>
      <c r="JH708" s="346">
        <f>FISC!AM1030</f>
        <v>0</v>
      </c>
      <c r="JI708" s="350">
        <f t="shared" si="939"/>
        <v>0</v>
      </c>
      <c r="JJ708" s="302">
        <f t="shared" si="701"/>
        <v>0</v>
      </c>
      <c r="JK708" s="346">
        <f>FISC!AN1030</f>
        <v>0</v>
      </c>
      <c r="JL708" s="350">
        <f t="shared" si="940"/>
        <v>0</v>
      </c>
      <c r="JM708" s="302">
        <f t="shared" si="692"/>
        <v>0</v>
      </c>
      <c r="JN708" s="346">
        <f>FISC!AO1030</f>
        <v>0</v>
      </c>
      <c r="KI708" s="1581"/>
      <c r="KJ708" s="1043"/>
    </row>
    <row r="709" spans="1:302" s="477" customFormat="1" hidden="1" outlineLevel="1">
      <c r="B709" s="1577"/>
      <c r="C709" s="1577"/>
      <c r="D709" s="1439" t="s">
        <v>530</v>
      </c>
      <c r="E709" s="685"/>
      <c r="F709" s="685"/>
      <c r="G709" s="685"/>
      <c r="H709" s="685"/>
      <c r="I709" s="685"/>
      <c r="J709" s="685"/>
      <c r="K709" s="685"/>
      <c r="L709" s="685"/>
      <c r="M709" s="685"/>
      <c r="N709" s="685"/>
      <c r="O709" s="685"/>
      <c r="P709" s="685"/>
      <c r="Q709" s="685"/>
      <c r="R709" s="685"/>
      <c r="S709" s="685"/>
      <c r="T709" s="685"/>
      <c r="U709" s="685"/>
      <c r="V709" s="685"/>
      <c r="W709" s="685"/>
      <c r="X709" s="685"/>
      <c r="Y709" s="685"/>
      <c r="Z709" s="685"/>
      <c r="AA709" s="685"/>
      <c r="AB709" s="685"/>
      <c r="AC709" s="685"/>
      <c r="AD709" s="685"/>
      <c r="AE709" s="685"/>
      <c r="AF709" s="685"/>
      <c r="AG709" s="685"/>
      <c r="AH709" s="685"/>
      <c r="AI709" s="685"/>
      <c r="AJ709" s="685"/>
      <c r="AK709" s="685"/>
      <c r="AL709" s="685"/>
      <c r="AM709" s="685"/>
      <c r="AN709" s="685"/>
      <c r="AO709" s="685"/>
      <c r="AP709" s="685"/>
      <c r="AQ709" s="685"/>
      <c r="AR709" s="685"/>
      <c r="AS709" s="685"/>
      <c r="AT709" s="685"/>
      <c r="AU709" s="685"/>
      <c r="AV709" s="685"/>
      <c r="AW709" s="685"/>
      <c r="AX709" s="685"/>
      <c r="AY709" s="685"/>
      <c r="AZ709" s="685"/>
      <c r="BA709" s="685"/>
      <c r="BB709" s="685"/>
      <c r="BC709" s="685"/>
      <c r="BD709" s="685"/>
      <c r="BE709" s="685"/>
      <c r="BF709" s="685"/>
      <c r="BG709" s="685"/>
      <c r="BH709" s="685"/>
      <c r="BI709" s="685"/>
      <c r="BJ709" s="685"/>
      <c r="BK709" s="685"/>
      <c r="BL709" s="685"/>
      <c r="BM709" s="685"/>
      <c r="BN709" s="685"/>
      <c r="BO709" s="685"/>
      <c r="BP709" s="685"/>
      <c r="BQ709" s="685"/>
      <c r="BR709" s="685"/>
      <c r="BS709" s="685"/>
      <c r="BT709" s="685"/>
      <c r="BU709" s="685"/>
      <c r="BV709" s="685"/>
      <c r="BW709" s="685"/>
      <c r="BX709" s="685"/>
      <c r="BY709" s="685"/>
      <c r="BZ709" s="685"/>
      <c r="CA709" s="685"/>
      <c r="CB709" s="685"/>
      <c r="CC709" s="685"/>
      <c r="CD709" s="1578"/>
      <c r="CE709" s="685">
        <f t="shared" ref="CE709:DJ709" si="945">CE352</f>
        <v>0</v>
      </c>
      <c r="CF709" s="685">
        <f t="shared" si="945"/>
        <v>0</v>
      </c>
      <c r="CG709" s="685">
        <f t="shared" si="945"/>
        <v>0</v>
      </c>
      <c r="CH709" s="685">
        <f t="shared" si="945"/>
        <v>0</v>
      </c>
      <c r="CI709" s="685">
        <f t="shared" si="945"/>
        <v>0</v>
      </c>
      <c r="CJ709" s="685">
        <f t="shared" si="945"/>
        <v>0</v>
      </c>
      <c r="CK709" s="685">
        <f t="shared" si="945"/>
        <v>0</v>
      </c>
      <c r="CL709" s="685">
        <f t="shared" si="945"/>
        <v>0</v>
      </c>
      <c r="CM709" s="685">
        <f t="shared" si="945"/>
        <v>0</v>
      </c>
      <c r="CN709" s="685">
        <f t="shared" si="945"/>
        <v>0</v>
      </c>
      <c r="CO709" s="685">
        <f t="shared" si="945"/>
        <v>0</v>
      </c>
      <c r="CP709" s="1579">
        <f t="shared" si="945"/>
        <v>0</v>
      </c>
      <c r="CQ709" s="685">
        <f t="shared" si="945"/>
        <v>0</v>
      </c>
      <c r="CR709" s="685">
        <f t="shared" si="945"/>
        <v>0</v>
      </c>
      <c r="CS709" s="685">
        <f t="shared" si="945"/>
        <v>0</v>
      </c>
      <c r="CT709" s="685">
        <f t="shared" si="945"/>
        <v>0</v>
      </c>
      <c r="CU709" s="685">
        <f t="shared" si="945"/>
        <v>0</v>
      </c>
      <c r="CV709" s="685">
        <f t="shared" si="945"/>
        <v>0</v>
      </c>
      <c r="CW709" s="685">
        <f t="shared" si="945"/>
        <v>0</v>
      </c>
      <c r="CX709" s="685">
        <f t="shared" si="945"/>
        <v>0</v>
      </c>
      <c r="CY709" s="685">
        <f t="shared" si="945"/>
        <v>0</v>
      </c>
      <c r="CZ709" s="685">
        <f t="shared" si="945"/>
        <v>0</v>
      </c>
      <c r="DA709" s="685">
        <f t="shared" si="945"/>
        <v>0</v>
      </c>
      <c r="DB709" s="1580">
        <f t="shared" si="945"/>
        <v>0</v>
      </c>
      <c r="DC709" s="685">
        <f t="shared" si="945"/>
        <v>0</v>
      </c>
      <c r="DD709" s="685">
        <f t="shared" si="945"/>
        <v>0</v>
      </c>
      <c r="DE709" s="685">
        <f t="shared" si="945"/>
        <v>0</v>
      </c>
      <c r="DF709" s="685">
        <f t="shared" si="945"/>
        <v>0</v>
      </c>
      <c r="DG709" s="685">
        <f t="shared" si="945"/>
        <v>0</v>
      </c>
      <c r="DH709" s="685">
        <f t="shared" si="945"/>
        <v>0</v>
      </c>
      <c r="DI709" s="685">
        <f t="shared" si="945"/>
        <v>0</v>
      </c>
      <c r="DJ709" s="685">
        <f t="shared" si="945"/>
        <v>0</v>
      </c>
      <c r="DK709" s="685">
        <f t="shared" ref="DK709:EP709" si="946">DK352</f>
        <v>0</v>
      </c>
      <c r="DL709" s="685">
        <f t="shared" si="946"/>
        <v>0</v>
      </c>
      <c r="DM709" s="685">
        <f t="shared" si="946"/>
        <v>0</v>
      </c>
      <c r="DN709" s="1579">
        <f t="shared" si="946"/>
        <v>0</v>
      </c>
      <c r="DO709" s="685">
        <f t="shared" si="946"/>
        <v>0</v>
      </c>
      <c r="DP709" s="685">
        <f t="shared" si="946"/>
        <v>0</v>
      </c>
      <c r="DQ709" s="685">
        <f t="shared" si="946"/>
        <v>0</v>
      </c>
      <c r="DR709" s="685">
        <f t="shared" si="946"/>
        <v>0</v>
      </c>
      <c r="DS709" s="685">
        <f t="shared" si="946"/>
        <v>0</v>
      </c>
      <c r="DT709" s="685">
        <f t="shared" si="946"/>
        <v>0</v>
      </c>
      <c r="DU709" s="685">
        <f t="shared" si="946"/>
        <v>0</v>
      </c>
      <c r="DV709" s="685">
        <f t="shared" si="946"/>
        <v>0</v>
      </c>
      <c r="DW709" s="685">
        <f t="shared" si="946"/>
        <v>0</v>
      </c>
      <c r="DX709" s="685">
        <f t="shared" si="946"/>
        <v>0</v>
      </c>
      <c r="DY709" s="685">
        <f t="shared" si="946"/>
        <v>0</v>
      </c>
      <c r="DZ709" s="1579">
        <f t="shared" si="946"/>
        <v>0</v>
      </c>
      <c r="EA709" s="685">
        <f t="shared" si="946"/>
        <v>0</v>
      </c>
      <c r="EB709" s="685">
        <f t="shared" si="946"/>
        <v>0</v>
      </c>
      <c r="EC709" s="685">
        <f t="shared" si="946"/>
        <v>0</v>
      </c>
      <c r="ED709" s="685">
        <f t="shared" si="946"/>
        <v>0</v>
      </c>
      <c r="EE709" s="685">
        <f t="shared" si="946"/>
        <v>0</v>
      </c>
      <c r="EF709" s="685">
        <f t="shared" si="946"/>
        <v>0</v>
      </c>
      <c r="EG709" s="685">
        <f t="shared" si="946"/>
        <v>0</v>
      </c>
      <c r="EH709" s="685">
        <f t="shared" si="946"/>
        <v>0</v>
      </c>
      <c r="EI709" s="685">
        <f t="shared" si="946"/>
        <v>0</v>
      </c>
      <c r="EJ709" s="685">
        <f t="shared" si="946"/>
        <v>0</v>
      </c>
      <c r="EK709" s="685">
        <f t="shared" si="946"/>
        <v>0</v>
      </c>
      <c r="EL709" s="1579">
        <f t="shared" si="946"/>
        <v>0</v>
      </c>
      <c r="EM709" s="685">
        <f t="shared" si="946"/>
        <v>0</v>
      </c>
      <c r="EN709" s="685">
        <f t="shared" si="946"/>
        <v>0</v>
      </c>
      <c r="EO709" s="685">
        <f t="shared" si="946"/>
        <v>0</v>
      </c>
      <c r="EP709" s="685">
        <f t="shared" si="946"/>
        <v>0</v>
      </c>
      <c r="EQ709" s="685">
        <f t="shared" ref="EQ709:FP709" si="947">EQ352</f>
        <v>0</v>
      </c>
      <c r="ER709" s="685">
        <f t="shared" si="947"/>
        <v>0</v>
      </c>
      <c r="ES709" s="685">
        <f t="shared" si="947"/>
        <v>0</v>
      </c>
      <c r="ET709" s="685">
        <f t="shared" si="947"/>
        <v>0</v>
      </c>
      <c r="EU709" s="685">
        <f t="shared" si="947"/>
        <v>0</v>
      </c>
      <c r="EV709" s="685">
        <f t="shared" si="947"/>
        <v>0</v>
      </c>
      <c r="EW709" s="685">
        <f t="shared" si="947"/>
        <v>0</v>
      </c>
      <c r="EX709" s="1579">
        <f t="shared" si="947"/>
        <v>0</v>
      </c>
      <c r="EY709" s="685">
        <f t="shared" si="947"/>
        <v>0</v>
      </c>
      <c r="EZ709" s="685">
        <f t="shared" si="947"/>
        <v>0</v>
      </c>
      <c r="FA709" s="685">
        <f t="shared" si="947"/>
        <v>0</v>
      </c>
      <c r="FB709" s="685">
        <f t="shared" si="947"/>
        <v>0</v>
      </c>
      <c r="FC709" s="685">
        <f t="shared" si="947"/>
        <v>0</v>
      </c>
      <c r="FD709" s="685">
        <f t="shared" si="947"/>
        <v>0</v>
      </c>
      <c r="FE709" s="685">
        <f t="shared" si="947"/>
        <v>0</v>
      </c>
      <c r="FF709" s="685">
        <f t="shared" si="947"/>
        <v>0</v>
      </c>
      <c r="FG709" s="685">
        <f t="shared" si="947"/>
        <v>0</v>
      </c>
      <c r="FH709" s="685">
        <f t="shared" si="947"/>
        <v>0</v>
      </c>
      <c r="FI709" s="685">
        <f t="shared" si="947"/>
        <v>0</v>
      </c>
      <c r="FJ709" s="1579">
        <f t="shared" si="947"/>
        <v>0</v>
      </c>
      <c r="FK709" s="685">
        <f t="shared" si="947"/>
        <v>0</v>
      </c>
      <c r="FL709" s="685">
        <f t="shared" si="947"/>
        <v>0</v>
      </c>
      <c r="FM709" s="685">
        <f t="shared" si="947"/>
        <v>0</v>
      </c>
      <c r="FN709" s="685">
        <f t="shared" si="947"/>
        <v>0</v>
      </c>
      <c r="FO709" s="685">
        <f t="shared" si="947"/>
        <v>0</v>
      </c>
      <c r="FP709" s="685">
        <f t="shared" si="947"/>
        <v>0</v>
      </c>
      <c r="FQ709" s="685">
        <f t="shared" si="944"/>
        <v>0</v>
      </c>
      <c r="FR709" s="685">
        <f t="shared" si="944"/>
        <v>0</v>
      </c>
      <c r="FS709" s="685">
        <f t="shared" si="944"/>
        <v>0</v>
      </c>
      <c r="FT709" s="685">
        <f t="shared" si="944"/>
        <v>0</v>
      </c>
      <c r="FU709" s="685">
        <f t="shared" si="944"/>
        <v>0</v>
      </c>
      <c r="FV709" s="685">
        <f t="shared" si="944"/>
        <v>0</v>
      </c>
      <c r="FW709" s="685">
        <v>0</v>
      </c>
      <c r="FX709" s="685">
        <v>0</v>
      </c>
      <c r="FY709" s="685">
        <v>0</v>
      </c>
      <c r="FZ709" s="685">
        <v>0</v>
      </c>
      <c r="GA709" s="685">
        <v>0</v>
      </c>
      <c r="GB709" s="685">
        <v>0</v>
      </c>
      <c r="GC709" s="685">
        <v>0</v>
      </c>
      <c r="GD709" s="685">
        <v>0</v>
      </c>
      <c r="GE709" s="685">
        <v>0</v>
      </c>
      <c r="GF709" s="685">
        <v>0</v>
      </c>
      <c r="GG709" s="685">
        <v>0</v>
      </c>
      <c r="GH709" s="685">
        <v>0</v>
      </c>
      <c r="GI709" s="685">
        <v>0</v>
      </c>
      <c r="GJ709" s="685">
        <v>0</v>
      </c>
      <c r="GK709" s="685">
        <v>0</v>
      </c>
      <c r="GL709" s="685">
        <v>0</v>
      </c>
      <c r="GM709" s="685">
        <v>0</v>
      </c>
      <c r="GN709" s="685">
        <v>0</v>
      </c>
      <c r="GO709" s="685">
        <v>0</v>
      </c>
      <c r="GP709" s="685">
        <v>0</v>
      </c>
      <c r="GQ709" s="685">
        <v>0</v>
      </c>
      <c r="GR709" s="685">
        <v>0</v>
      </c>
      <c r="GS709" s="685">
        <v>0</v>
      </c>
      <c r="GT709" s="685">
        <v>0</v>
      </c>
      <c r="GU709" s="685">
        <v>0</v>
      </c>
      <c r="GV709" s="685">
        <v>0</v>
      </c>
      <c r="GW709" s="685">
        <v>0</v>
      </c>
      <c r="GX709" s="685">
        <v>0</v>
      </c>
      <c r="GY709" s="685">
        <v>0</v>
      </c>
      <c r="GZ709" s="685">
        <v>0</v>
      </c>
      <c r="HA709" s="685">
        <v>0</v>
      </c>
      <c r="HB709" s="685">
        <v>0</v>
      </c>
      <c r="HC709" s="685">
        <v>0</v>
      </c>
      <c r="HD709" s="685">
        <v>0</v>
      </c>
      <c r="HE709" s="685">
        <v>0</v>
      </c>
      <c r="HF709" s="685">
        <v>0</v>
      </c>
      <c r="HG709" s="685">
        <v>0</v>
      </c>
      <c r="HH709" s="685">
        <v>0</v>
      </c>
      <c r="HI709" s="685">
        <v>0</v>
      </c>
      <c r="HJ709" s="685">
        <v>0</v>
      </c>
      <c r="HK709" s="685">
        <v>0</v>
      </c>
      <c r="HL709" s="685">
        <v>0</v>
      </c>
      <c r="HM709" s="685"/>
      <c r="HN709" s="1581"/>
      <c r="HO709" s="1439" t="s">
        <v>530</v>
      </c>
      <c r="HP709" s="307">
        <f t="shared" si="879"/>
        <v>0</v>
      </c>
      <c r="HQ709" s="302">
        <f t="shared" si="880"/>
        <v>0</v>
      </c>
      <c r="HR709" s="346">
        <f t="shared" si="698"/>
        <v>0</v>
      </c>
      <c r="HS709" s="302">
        <f t="shared" si="881"/>
        <v>0</v>
      </c>
      <c r="HT709" s="302">
        <f t="shared" si="882"/>
        <v>0</v>
      </c>
      <c r="HU709" s="346">
        <f t="shared" si="678"/>
        <v>0</v>
      </c>
      <c r="HV709" s="307">
        <f t="shared" si="883"/>
        <v>0</v>
      </c>
      <c r="HW709" s="302">
        <f t="shared" si="884"/>
        <v>0</v>
      </c>
      <c r="HX709" s="346">
        <f t="shared" si="679"/>
        <v>0</v>
      </c>
      <c r="HY709" s="350">
        <f t="shared" si="885"/>
        <v>0</v>
      </c>
      <c r="HZ709" s="302">
        <f t="shared" si="886"/>
        <v>0</v>
      </c>
      <c r="IA709" s="346">
        <f t="shared" si="680"/>
        <v>0</v>
      </c>
      <c r="IB709" s="302">
        <f t="shared" si="887"/>
        <v>0</v>
      </c>
      <c r="IC709" s="302">
        <f t="shared" si="888"/>
        <v>0</v>
      </c>
      <c r="ID709" s="346">
        <f t="shared" si="681"/>
        <v>0</v>
      </c>
      <c r="IE709" s="350">
        <f t="shared" si="889"/>
        <v>0</v>
      </c>
      <c r="IF709" s="350">
        <f t="shared" si="890"/>
        <v>0</v>
      </c>
      <c r="IG709" s="346">
        <f t="shared" si="682"/>
        <v>0</v>
      </c>
      <c r="IH709" s="350">
        <f t="shared" si="891"/>
        <v>0</v>
      </c>
      <c r="II709" s="350">
        <f t="shared" si="892"/>
        <v>0</v>
      </c>
      <c r="IJ709" s="346">
        <f t="shared" si="683"/>
        <v>0</v>
      </c>
      <c r="IK709" s="350">
        <f t="shared" si="869"/>
        <v>0</v>
      </c>
      <c r="IL709" s="350">
        <f t="shared" si="864"/>
        <v>0</v>
      </c>
      <c r="IM709" s="346">
        <f t="shared" si="684"/>
        <v>0</v>
      </c>
      <c r="IN709" s="350">
        <f t="shared" si="865"/>
        <v>0</v>
      </c>
      <c r="IO709" s="350">
        <f t="shared" si="866"/>
        <v>0</v>
      </c>
      <c r="IP709" s="346">
        <f t="shared" si="685"/>
        <v>0</v>
      </c>
      <c r="IQ709" s="350">
        <f t="shared" si="867"/>
        <v>0</v>
      </c>
      <c r="IR709" s="350">
        <f t="shared" si="868"/>
        <v>0</v>
      </c>
      <c r="IS709" s="346">
        <f t="shared" si="686"/>
        <v>0</v>
      </c>
      <c r="IT709" s="350">
        <f t="shared" si="870"/>
        <v>0</v>
      </c>
      <c r="IU709" s="350">
        <f t="shared" si="707"/>
        <v>0</v>
      </c>
      <c r="IV709" s="346">
        <f t="shared" si="687"/>
        <v>0</v>
      </c>
      <c r="IW709" s="350">
        <f t="shared" si="700"/>
        <v>0</v>
      </c>
      <c r="IX709" s="350">
        <f t="shared" si="688"/>
        <v>0</v>
      </c>
      <c r="IY709" s="346">
        <f>FISC!AJ1031</f>
        <v>0</v>
      </c>
      <c r="IZ709" s="350">
        <f t="shared" si="936"/>
        <v>0</v>
      </c>
      <c r="JA709" s="302">
        <f t="shared" si="689"/>
        <v>0</v>
      </c>
      <c r="JB709" s="346">
        <f>FISC!AK1031</f>
        <v>0</v>
      </c>
      <c r="JC709" s="350">
        <f t="shared" si="937"/>
        <v>0</v>
      </c>
      <c r="JD709" s="302">
        <f t="shared" si="690"/>
        <v>0</v>
      </c>
      <c r="JE709" s="346">
        <f>FISC!AL1031</f>
        <v>0</v>
      </c>
      <c r="JF709" s="350">
        <f t="shared" si="938"/>
        <v>0</v>
      </c>
      <c r="JG709" s="302">
        <f t="shared" si="691"/>
        <v>0</v>
      </c>
      <c r="JH709" s="346">
        <f>FISC!AM1031</f>
        <v>0</v>
      </c>
      <c r="JI709" s="350">
        <f t="shared" si="939"/>
        <v>0</v>
      </c>
      <c r="JJ709" s="302">
        <f t="shared" si="701"/>
        <v>0</v>
      </c>
      <c r="JK709" s="346">
        <f>FISC!AN1031</f>
        <v>0</v>
      </c>
      <c r="JL709" s="350">
        <f t="shared" si="940"/>
        <v>0</v>
      </c>
      <c r="JM709" s="302">
        <f t="shared" si="692"/>
        <v>0</v>
      </c>
      <c r="JN709" s="346">
        <f>FISC!AO1031</f>
        <v>0</v>
      </c>
      <c r="KI709" s="1581"/>
      <c r="KJ709" s="1043"/>
    </row>
    <row r="710" spans="1:302" s="477" customFormat="1" hidden="1" outlineLevel="1">
      <c r="B710" s="1577"/>
      <c r="C710" s="1577"/>
      <c r="D710" s="1439" t="s">
        <v>531</v>
      </c>
      <c r="E710" s="685"/>
      <c r="F710" s="685"/>
      <c r="G710" s="685"/>
      <c r="H710" s="685"/>
      <c r="I710" s="685"/>
      <c r="J710" s="685"/>
      <c r="K710" s="685"/>
      <c r="L710" s="685"/>
      <c r="M710" s="685"/>
      <c r="N710" s="685"/>
      <c r="O710" s="685"/>
      <c r="P710" s="685"/>
      <c r="Q710" s="685"/>
      <c r="R710" s="685"/>
      <c r="S710" s="685"/>
      <c r="T710" s="685"/>
      <c r="U710" s="685"/>
      <c r="V710" s="685"/>
      <c r="W710" s="685"/>
      <c r="X710" s="685"/>
      <c r="Y710" s="685"/>
      <c r="Z710" s="685"/>
      <c r="AA710" s="685"/>
      <c r="AB710" s="685"/>
      <c r="AC710" s="685"/>
      <c r="AD710" s="685"/>
      <c r="AE710" s="685"/>
      <c r="AF710" s="685"/>
      <c r="AG710" s="685"/>
      <c r="AH710" s="685"/>
      <c r="AI710" s="685"/>
      <c r="AJ710" s="685"/>
      <c r="AK710" s="685"/>
      <c r="AL710" s="685"/>
      <c r="AM710" s="685"/>
      <c r="AN710" s="685"/>
      <c r="AO710" s="685"/>
      <c r="AP710" s="685"/>
      <c r="AQ710" s="685"/>
      <c r="AR710" s="685"/>
      <c r="AS710" s="685"/>
      <c r="AT710" s="685"/>
      <c r="AU710" s="685"/>
      <c r="AV710" s="685"/>
      <c r="AW710" s="685"/>
      <c r="AX710" s="685"/>
      <c r="AY710" s="685"/>
      <c r="AZ710" s="685"/>
      <c r="BA710" s="685"/>
      <c r="BB710" s="685"/>
      <c r="BC710" s="685"/>
      <c r="BD710" s="685"/>
      <c r="BE710" s="685"/>
      <c r="BF710" s="685"/>
      <c r="BG710" s="685"/>
      <c r="BH710" s="685"/>
      <c r="BI710" s="685"/>
      <c r="BJ710" s="685"/>
      <c r="BK710" s="685"/>
      <c r="BL710" s="685"/>
      <c r="BM710" s="685"/>
      <c r="BN710" s="685"/>
      <c r="BO710" s="685"/>
      <c r="BP710" s="685"/>
      <c r="BQ710" s="685"/>
      <c r="BR710" s="685"/>
      <c r="BS710" s="685"/>
      <c r="BT710" s="685"/>
      <c r="BU710" s="685"/>
      <c r="BV710" s="685"/>
      <c r="BW710" s="685"/>
      <c r="BX710" s="685"/>
      <c r="BY710" s="685"/>
      <c r="BZ710" s="685"/>
      <c r="CA710" s="685"/>
      <c r="CB710" s="685"/>
      <c r="CC710" s="685"/>
      <c r="CD710" s="1578"/>
      <c r="CE710" s="685">
        <f t="shared" ref="CE710:DJ710" si="948">CE353</f>
        <v>0</v>
      </c>
      <c r="CF710" s="685">
        <f t="shared" si="948"/>
        <v>0</v>
      </c>
      <c r="CG710" s="685">
        <f t="shared" si="948"/>
        <v>0</v>
      </c>
      <c r="CH710" s="685">
        <f t="shared" si="948"/>
        <v>0</v>
      </c>
      <c r="CI710" s="685">
        <f t="shared" si="948"/>
        <v>0</v>
      </c>
      <c r="CJ710" s="685">
        <f t="shared" si="948"/>
        <v>0</v>
      </c>
      <c r="CK710" s="685">
        <f t="shared" si="948"/>
        <v>0</v>
      </c>
      <c r="CL710" s="685">
        <f t="shared" si="948"/>
        <v>0</v>
      </c>
      <c r="CM710" s="685">
        <f t="shared" si="948"/>
        <v>0</v>
      </c>
      <c r="CN710" s="685">
        <f t="shared" si="948"/>
        <v>0</v>
      </c>
      <c r="CO710" s="685">
        <f t="shared" si="948"/>
        <v>0</v>
      </c>
      <c r="CP710" s="1579">
        <f t="shared" si="948"/>
        <v>0</v>
      </c>
      <c r="CQ710" s="685">
        <f t="shared" si="948"/>
        <v>0</v>
      </c>
      <c r="CR710" s="685">
        <f t="shared" si="948"/>
        <v>0</v>
      </c>
      <c r="CS710" s="685">
        <f t="shared" si="948"/>
        <v>0</v>
      </c>
      <c r="CT710" s="685">
        <f t="shared" si="948"/>
        <v>0</v>
      </c>
      <c r="CU710" s="685">
        <f t="shared" si="948"/>
        <v>0</v>
      </c>
      <c r="CV710" s="685">
        <f t="shared" si="948"/>
        <v>0</v>
      </c>
      <c r="CW710" s="685">
        <f t="shared" si="948"/>
        <v>0</v>
      </c>
      <c r="CX710" s="685">
        <f t="shared" si="948"/>
        <v>0</v>
      </c>
      <c r="CY710" s="685">
        <f t="shared" si="948"/>
        <v>0</v>
      </c>
      <c r="CZ710" s="685">
        <f t="shared" si="948"/>
        <v>0</v>
      </c>
      <c r="DA710" s="685">
        <f t="shared" si="948"/>
        <v>0</v>
      </c>
      <c r="DB710" s="1580">
        <f t="shared" si="948"/>
        <v>0</v>
      </c>
      <c r="DC710" s="685">
        <f t="shared" si="948"/>
        <v>0</v>
      </c>
      <c r="DD710" s="685">
        <f t="shared" si="948"/>
        <v>0</v>
      </c>
      <c r="DE710" s="685">
        <f t="shared" si="948"/>
        <v>0</v>
      </c>
      <c r="DF710" s="685">
        <f t="shared" si="948"/>
        <v>0</v>
      </c>
      <c r="DG710" s="685">
        <f t="shared" si="948"/>
        <v>0</v>
      </c>
      <c r="DH710" s="685">
        <f t="shared" si="948"/>
        <v>0</v>
      </c>
      <c r="DI710" s="685">
        <f t="shared" si="948"/>
        <v>0</v>
      </c>
      <c r="DJ710" s="685">
        <f t="shared" si="948"/>
        <v>0</v>
      </c>
      <c r="DK710" s="685">
        <f t="shared" ref="DK710:EP710" si="949">DK353</f>
        <v>0</v>
      </c>
      <c r="DL710" s="685">
        <f t="shared" si="949"/>
        <v>0</v>
      </c>
      <c r="DM710" s="685">
        <f t="shared" si="949"/>
        <v>0</v>
      </c>
      <c r="DN710" s="1579">
        <f t="shared" si="949"/>
        <v>0</v>
      </c>
      <c r="DO710" s="685">
        <f t="shared" si="949"/>
        <v>0</v>
      </c>
      <c r="DP710" s="685">
        <f t="shared" si="949"/>
        <v>0</v>
      </c>
      <c r="DQ710" s="685">
        <f t="shared" si="949"/>
        <v>0</v>
      </c>
      <c r="DR710" s="685">
        <f t="shared" si="949"/>
        <v>0</v>
      </c>
      <c r="DS710" s="685">
        <f t="shared" si="949"/>
        <v>0</v>
      </c>
      <c r="DT710" s="685">
        <f t="shared" si="949"/>
        <v>0</v>
      </c>
      <c r="DU710" s="685">
        <f t="shared" si="949"/>
        <v>0</v>
      </c>
      <c r="DV710" s="685">
        <f t="shared" si="949"/>
        <v>0</v>
      </c>
      <c r="DW710" s="685">
        <f t="shared" si="949"/>
        <v>0</v>
      </c>
      <c r="DX710" s="685">
        <f t="shared" si="949"/>
        <v>0</v>
      </c>
      <c r="DY710" s="685">
        <f t="shared" si="949"/>
        <v>0</v>
      </c>
      <c r="DZ710" s="1579">
        <f t="shared" si="949"/>
        <v>0</v>
      </c>
      <c r="EA710" s="685">
        <f t="shared" si="949"/>
        <v>0</v>
      </c>
      <c r="EB710" s="685">
        <f t="shared" si="949"/>
        <v>0</v>
      </c>
      <c r="EC710" s="685">
        <f t="shared" si="949"/>
        <v>0</v>
      </c>
      <c r="ED710" s="685">
        <f t="shared" si="949"/>
        <v>0</v>
      </c>
      <c r="EE710" s="685">
        <f t="shared" si="949"/>
        <v>0</v>
      </c>
      <c r="EF710" s="685">
        <f t="shared" si="949"/>
        <v>0</v>
      </c>
      <c r="EG710" s="685">
        <f t="shared" si="949"/>
        <v>0</v>
      </c>
      <c r="EH710" s="685">
        <f t="shared" si="949"/>
        <v>0</v>
      </c>
      <c r="EI710" s="685">
        <f t="shared" si="949"/>
        <v>0</v>
      </c>
      <c r="EJ710" s="685">
        <f t="shared" si="949"/>
        <v>0</v>
      </c>
      <c r="EK710" s="685">
        <f t="shared" si="949"/>
        <v>0</v>
      </c>
      <c r="EL710" s="1579">
        <f t="shared" si="949"/>
        <v>0</v>
      </c>
      <c r="EM710" s="685">
        <f t="shared" si="949"/>
        <v>0</v>
      </c>
      <c r="EN710" s="685">
        <f t="shared" si="949"/>
        <v>0</v>
      </c>
      <c r="EO710" s="685">
        <f t="shared" si="949"/>
        <v>0</v>
      </c>
      <c r="EP710" s="685">
        <f t="shared" si="949"/>
        <v>0</v>
      </c>
      <c r="EQ710" s="685">
        <f t="shared" ref="EQ710:FP710" si="950">EQ353</f>
        <v>0</v>
      </c>
      <c r="ER710" s="685">
        <f t="shared" si="950"/>
        <v>0</v>
      </c>
      <c r="ES710" s="685">
        <f t="shared" si="950"/>
        <v>0</v>
      </c>
      <c r="ET710" s="685">
        <f t="shared" si="950"/>
        <v>0</v>
      </c>
      <c r="EU710" s="685">
        <f t="shared" si="950"/>
        <v>0</v>
      </c>
      <c r="EV710" s="685">
        <f t="shared" si="950"/>
        <v>0</v>
      </c>
      <c r="EW710" s="685">
        <f t="shared" si="950"/>
        <v>0</v>
      </c>
      <c r="EX710" s="1579">
        <f t="shared" si="950"/>
        <v>0</v>
      </c>
      <c r="EY710" s="685">
        <f t="shared" si="950"/>
        <v>0</v>
      </c>
      <c r="EZ710" s="685">
        <f t="shared" si="950"/>
        <v>0</v>
      </c>
      <c r="FA710" s="685">
        <f t="shared" si="950"/>
        <v>0</v>
      </c>
      <c r="FB710" s="685">
        <f t="shared" si="950"/>
        <v>0</v>
      </c>
      <c r="FC710" s="685">
        <f t="shared" si="950"/>
        <v>0</v>
      </c>
      <c r="FD710" s="685">
        <f t="shared" si="950"/>
        <v>0</v>
      </c>
      <c r="FE710" s="685">
        <f t="shared" si="950"/>
        <v>0</v>
      </c>
      <c r="FF710" s="685">
        <f t="shared" si="950"/>
        <v>0</v>
      </c>
      <c r="FG710" s="685">
        <f t="shared" si="950"/>
        <v>0</v>
      </c>
      <c r="FH710" s="685">
        <f t="shared" si="950"/>
        <v>0</v>
      </c>
      <c r="FI710" s="685">
        <f t="shared" si="950"/>
        <v>0</v>
      </c>
      <c r="FJ710" s="1579">
        <f t="shared" si="950"/>
        <v>0</v>
      </c>
      <c r="FK710" s="685">
        <f t="shared" si="950"/>
        <v>0</v>
      </c>
      <c r="FL710" s="685">
        <f t="shared" si="950"/>
        <v>0</v>
      </c>
      <c r="FM710" s="685">
        <f t="shared" si="950"/>
        <v>0</v>
      </c>
      <c r="FN710" s="685">
        <f t="shared" si="950"/>
        <v>0</v>
      </c>
      <c r="FO710" s="685">
        <f t="shared" si="950"/>
        <v>0</v>
      </c>
      <c r="FP710" s="685">
        <f t="shared" si="950"/>
        <v>0</v>
      </c>
      <c r="FQ710" s="685">
        <f t="shared" si="944"/>
        <v>0</v>
      </c>
      <c r="FR710" s="685">
        <f t="shared" si="944"/>
        <v>0</v>
      </c>
      <c r="FS710" s="685">
        <f t="shared" si="944"/>
        <v>0</v>
      </c>
      <c r="FT710" s="685">
        <f t="shared" si="944"/>
        <v>0</v>
      </c>
      <c r="FU710" s="685">
        <f t="shared" si="944"/>
        <v>0</v>
      </c>
      <c r="FV710" s="685">
        <f t="shared" si="944"/>
        <v>0</v>
      </c>
      <c r="FW710" s="685">
        <v>0</v>
      </c>
      <c r="FX710" s="685">
        <v>0</v>
      </c>
      <c r="FY710" s="685">
        <v>0</v>
      </c>
      <c r="FZ710" s="685">
        <v>0</v>
      </c>
      <c r="GA710" s="685">
        <v>0</v>
      </c>
      <c r="GB710" s="685">
        <v>0</v>
      </c>
      <c r="GC710" s="685">
        <v>0</v>
      </c>
      <c r="GD710" s="685">
        <v>0</v>
      </c>
      <c r="GE710" s="685">
        <v>0</v>
      </c>
      <c r="GF710" s="685">
        <v>0</v>
      </c>
      <c r="GG710" s="685">
        <v>0</v>
      </c>
      <c r="GH710" s="685">
        <v>0</v>
      </c>
      <c r="GI710" s="685">
        <v>0</v>
      </c>
      <c r="GJ710" s="685">
        <v>0</v>
      </c>
      <c r="GK710" s="685">
        <v>0</v>
      </c>
      <c r="GL710" s="685">
        <v>0</v>
      </c>
      <c r="GM710" s="685">
        <v>0</v>
      </c>
      <c r="GN710" s="685">
        <v>0</v>
      </c>
      <c r="GO710" s="685">
        <v>0</v>
      </c>
      <c r="GP710" s="685">
        <v>0</v>
      </c>
      <c r="GQ710" s="685">
        <v>0</v>
      </c>
      <c r="GR710" s="685">
        <v>0</v>
      </c>
      <c r="GS710" s="685">
        <v>0</v>
      </c>
      <c r="GT710" s="685">
        <v>0</v>
      </c>
      <c r="GU710" s="685">
        <v>0</v>
      </c>
      <c r="GV710" s="685">
        <v>0</v>
      </c>
      <c r="GW710" s="685">
        <v>0</v>
      </c>
      <c r="GX710" s="685">
        <v>0</v>
      </c>
      <c r="GY710" s="685">
        <v>0</v>
      </c>
      <c r="GZ710" s="685">
        <v>0</v>
      </c>
      <c r="HA710" s="685">
        <v>0</v>
      </c>
      <c r="HB710" s="685">
        <v>0</v>
      </c>
      <c r="HC710" s="685">
        <v>0</v>
      </c>
      <c r="HD710" s="685">
        <v>0</v>
      </c>
      <c r="HE710" s="685">
        <v>0</v>
      </c>
      <c r="HF710" s="685">
        <v>0</v>
      </c>
      <c r="HG710" s="685">
        <v>0</v>
      </c>
      <c r="HH710" s="685">
        <v>0</v>
      </c>
      <c r="HI710" s="685">
        <v>0</v>
      </c>
      <c r="HJ710" s="685">
        <v>0</v>
      </c>
      <c r="HK710" s="685">
        <v>0</v>
      </c>
      <c r="HL710" s="685">
        <v>0</v>
      </c>
      <c r="HM710" s="685"/>
      <c r="HN710" s="1581"/>
      <c r="HO710" s="1439" t="s">
        <v>531</v>
      </c>
      <c r="HP710" s="307">
        <f t="shared" si="879"/>
        <v>0</v>
      </c>
      <c r="HQ710" s="302">
        <f t="shared" si="880"/>
        <v>0</v>
      </c>
      <c r="HR710" s="346">
        <f t="shared" si="698"/>
        <v>0</v>
      </c>
      <c r="HS710" s="302">
        <f t="shared" si="881"/>
        <v>0</v>
      </c>
      <c r="HT710" s="302">
        <f t="shared" si="882"/>
        <v>0</v>
      </c>
      <c r="HU710" s="346">
        <f t="shared" si="678"/>
        <v>0</v>
      </c>
      <c r="HV710" s="307">
        <f t="shared" si="883"/>
        <v>0</v>
      </c>
      <c r="HW710" s="302">
        <f t="shared" si="884"/>
        <v>0</v>
      </c>
      <c r="HX710" s="346">
        <f t="shared" si="679"/>
        <v>0</v>
      </c>
      <c r="HY710" s="350">
        <f t="shared" si="885"/>
        <v>0</v>
      </c>
      <c r="HZ710" s="302">
        <f t="shared" si="886"/>
        <v>0</v>
      </c>
      <c r="IA710" s="346">
        <f t="shared" si="680"/>
        <v>0</v>
      </c>
      <c r="IB710" s="302">
        <f t="shared" si="887"/>
        <v>0</v>
      </c>
      <c r="IC710" s="302">
        <f t="shared" si="888"/>
        <v>0</v>
      </c>
      <c r="ID710" s="346">
        <f t="shared" si="681"/>
        <v>0</v>
      </c>
      <c r="IE710" s="350">
        <f t="shared" si="889"/>
        <v>0</v>
      </c>
      <c r="IF710" s="350">
        <f t="shared" si="890"/>
        <v>0</v>
      </c>
      <c r="IG710" s="346">
        <f t="shared" si="682"/>
        <v>0</v>
      </c>
      <c r="IH710" s="350">
        <f t="shared" si="891"/>
        <v>0</v>
      </c>
      <c r="II710" s="350">
        <f t="shared" si="892"/>
        <v>0</v>
      </c>
      <c r="IJ710" s="346">
        <f t="shared" si="683"/>
        <v>0</v>
      </c>
      <c r="IK710" s="350">
        <f t="shared" si="869"/>
        <v>0</v>
      </c>
      <c r="IL710" s="350">
        <f t="shared" si="864"/>
        <v>0</v>
      </c>
      <c r="IM710" s="346">
        <f t="shared" si="684"/>
        <v>0</v>
      </c>
      <c r="IN710" s="350">
        <f t="shared" si="865"/>
        <v>0</v>
      </c>
      <c r="IO710" s="350">
        <f t="shared" si="866"/>
        <v>0</v>
      </c>
      <c r="IP710" s="346">
        <f t="shared" si="685"/>
        <v>0</v>
      </c>
      <c r="IQ710" s="350">
        <f t="shared" si="867"/>
        <v>0</v>
      </c>
      <c r="IR710" s="350">
        <f t="shared" si="868"/>
        <v>0</v>
      </c>
      <c r="IS710" s="346">
        <f t="shared" si="686"/>
        <v>0</v>
      </c>
      <c r="IT710" s="350">
        <f t="shared" si="870"/>
        <v>0</v>
      </c>
      <c r="IU710" s="350">
        <f t="shared" si="707"/>
        <v>0</v>
      </c>
      <c r="IV710" s="346">
        <f t="shared" si="687"/>
        <v>0</v>
      </c>
      <c r="IW710" s="350">
        <f t="shared" si="700"/>
        <v>0</v>
      </c>
      <c r="IX710" s="350">
        <f t="shared" si="688"/>
        <v>0</v>
      </c>
      <c r="IY710" s="346">
        <f>FISC!AJ1032</f>
        <v>0</v>
      </c>
      <c r="IZ710" s="350">
        <f t="shared" si="936"/>
        <v>0</v>
      </c>
      <c r="JA710" s="302">
        <f t="shared" si="689"/>
        <v>0</v>
      </c>
      <c r="JB710" s="346">
        <f>FISC!AK1032</f>
        <v>0</v>
      </c>
      <c r="JC710" s="350">
        <f t="shared" si="937"/>
        <v>0</v>
      </c>
      <c r="JD710" s="302">
        <f t="shared" si="690"/>
        <v>0</v>
      </c>
      <c r="JE710" s="346">
        <f>FISC!AL1032</f>
        <v>0</v>
      </c>
      <c r="JF710" s="350">
        <f t="shared" si="938"/>
        <v>0</v>
      </c>
      <c r="JG710" s="302">
        <f t="shared" si="691"/>
        <v>0</v>
      </c>
      <c r="JH710" s="346">
        <f>FISC!AM1032</f>
        <v>0</v>
      </c>
      <c r="JI710" s="350">
        <f t="shared" si="939"/>
        <v>0</v>
      </c>
      <c r="JJ710" s="302">
        <f t="shared" si="701"/>
        <v>0</v>
      </c>
      <c r="JK710" s="346">
        <f>FISC!AN1032</f>
        <v>0</v>
      </c>
      <c r="JL710" s="350">
        <f t="shared" si="940"/>
        <v>0</v>
      </c>
      <c r="JM710" s="302">
        <f t="shared" si="692"/>
        <v>0</v>
      </c>
      <c r="JN710" s="346">
        <f>FISC!AO1032</f>
        <v>0</v>
      </c>
      <c r="KI710" s="1581"/>
      <c r="KJ710" s="1043"/>
    </row>
    <row r="711" spans="1:302" s="477" customFormat="1" hidden="1" outlineLevel="1">
      <c r="B711" s="1577"/>
      <c r="C711" s="1577"/>
      <c r="D711" s="1439" t="s">
        <v>532</v>
      </c>
      <c r="E711" s="685"/>
      <c r="F711" s="685"/>
      <c r="G711" s="685"/>
      <c r="H711" s="685"/>
      <c r="I711" s="685"/>
      <c r="J711" s="685"/>
      <c r="K711" s="685"/>
      <c r="L711" s="685"/>
      <c r="M711" s="685"/>
      <c r="N711" s="685"/>
      <c r="O711" s="685"/>
      <c r="P711" s="685"/>
      <c r="Q711" s="685"/>
      <c r="R711" s="685"/>
      <c r="S711" s="685"/>
      <c r="T711" s="685"/>
      <c r="U711" s="685"/>
      <c r="V711" s="685"/>
      <c r="W711" s="685"/>
      <c r="X711" s="685"/>
      <c r="Y711" s="685"/>
      <c r="Z711" s="685"/>
      <c r="AA711" s="685"/>
      <c r="AB711" s="685"/>
      <c r="AC711" s="685"/>
      <c r="AD711" s="685"/>
      <c r="AE711" s="685"/>
      <c r="AF711" s="685"/>
      <c r="AG711" s="685"/>
      <c r="AH711" s="685"/>
      <c r="AI711" s="685"/>
      <c r="AJ711" s="685"/>
      <c r="AK711" s="685"/>
      <c r="AL711" s="685"/>
      <c r="AM711" s="685"/>
      <c r="AN711" s="685"/>
      <c r="AO711" s="685"/>
      <c r="AP711" s="685"/>
      <c r="AQ711" s="685"/>
      <c r="AR711" s="685"/>
      <c r="AS711" s="685"/>
      <c r="AT711" s="685"/>
      <c r="AU711" s="685"/>
      <c r="AV711" s="685"/>
      <c r="AW711" s="685"/>
      <c r="AX711" s="685"/>
      <c r="AY711" s="685"/>
      <c r="AZ711" s="685"/>
      <c r="BA711" s="685"/>
      <c r="BB711" s="685"/>
      <c r="BC711" s="685"/>
      <c r="BD711" s="685"/>
      <c r="BE711" s="685"/>
      <c r="BF711" s="685"/>
      <c r="BG711" s="685"/>
      <c r="BH711" s="685"/>
      <c r="BI711" s="685"/>
      <c r="BJ711" s="685"/>
      <c r="BK711" s="685"/>
      <c r="BL711" s="685"/>
      <c r="BM711" s="685"/>
      <c r="BN711" s="685"/>
      <c r="BO711" s="685"/>
      <c r="BP711" s="685"/>
      <c r="BQ711" s="685"/>
      <c r="BR711" s="685"/>
      <c r="BS711" s="685"/>
      <c r="BT711" s="685"/>
      <c r="BU711" s="685"/>
      <c r="BV711" s="685"/>
      <c r="BW711" s="685"/>
      <c r="BX711" s="685"/>
      <c r="BY711" s="685"/>
      <c r="BZ711" s="685"/>
      <c r="CA711" s="685"/>
      <c r="CB711" s="685"/>
      <c r="CC711" s="685"/>
      <c r="CD711" s="1578"/>
      <c r="CE711" s="685">
        <f t="shared" ref="CE711:DJ711" si="951">CE354</f>
        <v>0</v>
      </c>
      <c r="CF711" s="685">
        <f t="shared" si="951"/>
        <v>0</v>
      </c>
      <c r="CG711" s="685">
        <f t="shared" si="951"/>
        <v>0</v>
      </c>
      <c r="CH711" s="685">
        <f t="shared" si="951"/>
        <v>0</v>
      </c>
      <c r="CI711" s="685">
        <f t="shared" si="951"/>
        <v>0</v>
      </c>
      <c r="CJ711" s="685">
        <f t="shared" si="951"/>
        <v>0</v>
      </c>
      <c r="CK711" s="685">
        <f t="shared" si="951"/>
        <v>0</v>
      </c>
      <c r="CL711" s="685">
        <f t="shared" si="951"/>
        <v>0</v>
      </c>
      <c r="CM711" s="685">
        <f t="shared" si="951"/>
        <v>0</v>
      </c>
      <c r="CN711" s="685">
        <f t="shared" si="951"/>
        <v>0</v>
      </c>
      <c r="CO711" s="685">
        <f t="shared" si="951"/>
        <v>0</v>
      </c>
      <c r="CP711" s="1579">
        <f t="shared" si="951"/>
        <v>0</v>
      </c>
      <c r="CQ711" s="685">
        <f t="shared" si="951"/>
        <v>0</v>
      </c>
      <c r="CR711" s="685">
        <f t="shared" si="951"/>
        <v>0</v>
      </c>
      <c r="CS711" s="685">
        <f t="shared" si="951"/>
        <v>0</v>
      </c>
      <c r="CT711" s="685">
        <f t="shared" si="951"/>
        <v>0</v>
      </c>
      <c r="CU711" s="685">
        <f t="shared" si="951"/>
        <v>0</v>
      </c>
      <c r="CV711" s="685">
        <f t="shared" si="951"/>
        <v>0</v>
      </c>
      <c r="CW711" s="685">
        <f t="shared" si="951"/>
        <v>0</v>
      </c>
      <c r="CX711" s="685">
        <f t="shared" si="951"/>
        <v>0</v>
      </c>
      <c r="CY711" s="685">
        <f t="shared" si="951"/>
        <v>0</v>
      </c>
      <c r="CZ711" s="685">
        <f t="shared" si="951"/>
        <v>0</v>
      </c>
      <c r="DA711" s="685">
        <f t="shared" si="951"/>
        <v>0</v>
      </c>
      <c r="DB711" s="1580">
        <f t="shared" si="951"/>
        <v>0</v>
      </c>
      <c r="DC711" s="685">
        <f t="shared" si="951"/>
        <v>0</v>
      </c>
      <c r="DD711" s="685">
        <f t="shared" si="951"/>
        <v>0</v>
      </c>
      <c r="DE711" s="685">
        <f t="shared" si="951"/>
        <v>0</v>
      </c>
      <c r="DF711" s="685">
        <f t="shared" si="951"/>
        <v>0</v>
      </c>
      <c r="DG711" s="685">
        <f t="shared" si="951"/>
        <v>0</v>
      </c>
      <c r="DH711" s="685">
        <f t="shared" si="951"/>
        <v>0</v>
      </c>
      <c r="DI711" s="685">
        <f t="shared" si="951"/>
        <v>0</v>
      </c>
      <c r="DJ711" s="685">
        <f t="shared" si="951"/>
        <v>0</v>
      </c>
      <c r="DK711" s="685">
        <f t="shared" ref="DK711:EP711" si="952">DK354</f>
        <v>0</v>
      </c>
      <c r="DL711" s="685">
        <f t="shared" si="952"/>
        <v>0</v>
      </c>
      <c r="DM711" s="685">
        <f t="shared" si="952"/>
        <v>0</v>
      </c>
      <c r="DN711" s="1579">
        <f t="shared" si="952"/>
        <v>0</v>
      </c>
      <c r="DO711" s="685">
        <f t="shared" si="952"/>
        <v>0</v>
      </c>
      <c r="DP711" s="685">
        <f t="shared" si="952"/>
        <v>0</v>
      </c>
      <c r="DQ711" s="685">
        <f t="shared" si="952"/>
        <v>0</v>
      </c>
      <c r="DR711" s="685">
        <f t="shared" si="952"/>
        <v>0</v>
      </c>
      <c r="DS711" s="685">
        <f t="shared" si="952"/>
        <v>0</v>
      </c>
      <c r="DT711" s="685">
        <f t="shared" si="952"/>
        <v>0</v>
      </c>
      <c r="DU711" s="685">
        <f t="shared" si="952"/>
        <v>0</v>
      </c>
      <c r="DV711" s="685">
        <f t="shared" si="952"/>
        <v>0</v>
      </c>
      <c r="DW711" s="685">
        <f t="shared" si="952"/>
        <v>0</v>
      </c>
      <c r="DX711" s="685">
        <f t="shared" si="952"/>
        <v>0</v>
      </c>
      <c r="DY711" s="685">
        <f t="shared" si="952"/>
        <v>0</v>
      </c>
      <c r="DZ711" s="1579">
        <f t="shared" si="952"/>
        <v>0</v>
      </c>
      <c r="EA711" s="685">
        <f t="shared" si="952"/>
        <v>0</v>
      </c>
      <c r="EB711" s="685">
        <f t="shared" si="952"/>
        <v>0</v>
      </c>
      <c r="EC711" s="685">
        <f t="shared" si="952"/>
        <v>0</v>
      </c>
      <c r="ED711" s="685">
        <f t="shared" si="952"/>
        <v>0</v>
      </c>
      <c r="EE711" s="685">
        <f t="shared" si="952"/>
        <v>0</v>
      </c>
      <c r="EF711" s="685">
        <f t="shared" si="952"/>
        <v>0</v>
      </c>
      <c r="EG711" s="685">
        <f t="shared" si="952"/>
        <v>0</v>
      </c>
      <c r="EH711" s="685">
        <f t="shared" si="952"/>
        <v>0</v>
      </c>
      <c r="EI711" s="685">
        <f t="shared" si="952"/>
        <v>0</v>
      </c>
      <c r="EJ711" s="685">
        <f t="shared" si="952"/>
        <v>0</v>
      </c>
      <c r="EK711" s="685">
        <f t="shared" si="952"/>
        <v>0</v>
      </c>
      <c r="EL711" s="1579">
        <f t="shared" si="952"/>
        <v>0</v>
      </c>
      <c r="EM711" s="685">
        <f t="shared" si="952"/>
        <v>0</v>
      </c>
      <c r="EN711" s="685">
        <f t="shared" si="952"/>
        <v>0</v>
      </c>
      <c r="EO711" s="685">
        <f t="shared" si="952"/>
        <v>0</v>
      </c>
      <c r="EP711" s="685">
        <f t="shared" si="952"/>
        <v>0</v>
      </c>
      <c r="EQ711" s="685">
        <f t="shared" ref="EQ711:FP711" si="953">EQ354</f>
        <v>0</v>
      </c>
      <c r="ER711" s="685">
        <f t="shared" si="953"/>
        <v>0</v>
      </c>
      <c r="ES711" s="685">
        <f t="shared" si="953"/>
        <v>0</v>
      </c>
      <c r="ET711" s="685">
        <f t="shared" si="953"/>
        <v>0</v>
      </c>
      <c r="EU711" s="685">
        <f t="shared" si="953"/>
        <v>0</v>
      </c>
      <c r="EV711" s="685">
        <f t="shared" si="953"/>
        <v>0</v>
      </c>
      <c r="EW711" s="685">
        <f t="shared" si="953"/>
        <v>0</v>
      </c>
      <c r="EX711" s="1579">
        <f t="shared" si="953"/>
        <v>0</v>
      </c>
      <c r="EY711" s="685">
        <f t="shared" si="953"/>
        <v>0</v>
      </c>
      <c r="EZ711" s="685">
        <f t="shared" si="953"/>
        <v>0</v>
      </c>
      <c r="FA711" s="685">
        <f t="shared" si="953"/>
        <v>0</v>
      </c>
      <c r="FB711" s="685">
        <f t="shared" si="953"/>
        <v>0</v>
      </c>
      <c r="FC711" s="685">
        <f t="shared" si="953"/>
        <v>0</v>
      </c>
      <c r="FD711" s="685">
        <f t="shared" si="953"/>
        <v>0</v>
      </c>
      <c r="FE711" s="685">
        <f t="shared" si="953"/>
        <v>0</v>
      </c>
      <c r="FF711" s="685">
        <f t="shared" si="953"/>
        <v>0</v>
      </c>
      <c r="FG711" s="685">
        <f t="shared" si="953"/>
        <v>0</v>
      </c>
      <c r="FH711" s="685">
        <f t="shared" si="953"/>
        <v>0</v>
      </c>
      <c r="FI711" s="685">
        <f t="shared" si="953"/>
        <v>0</v>
      </c>
      <c r="FJ711" s="1579">
        <f t="shared" si="953"/>
        <v>0</v>
      </c>
      <c r="FK711" s="685">
        <f t="shared" si="953"/>
        <v>0</v>
      </c>
      <c r="FL711" s="685">
        <f t="shared" si="953"/>
        <v>0</v>
      </c>
      <c r="FM711" s="685">
        <f t="shared" si="953"/>
        <v>0</v>
      </c>
      <c r="FN711" s="685">
        <f t="shared" si="953"/>
        <v>0</v>
      </c>
      <c r="FO711" s="685">
        <f t="shared" si="953"/>
        <v>0</v>
      </c>
      <c r="FP711" s="685">
        <f t="shared" si="953"/>
        <v>0</v>
      </c>
      <c r="FQ711" s="685">
        <f t="shared" si="944"/>
        <v>0</v>
      </c>
      <c r="FR711" s="685">
        <f t="shared" si="944"/>
        <v>0</v>
      </c>
      <c r="FS711" s="685">
        <f t="shared" si="944"/>
        <v>0</v>
      </c>
      <c r="FT711" s="685">
        <f t="shared" si="944"/>
        <v>0</v>
      </c>
      <c r="FU711" s="685">
        <f t="shared" si="944"/>
        <v>0</v>
      </c>
      <c r="FV711" s="685">
        <f t="shared" si="944"/>
        <v>0</v>
      </c>
      <c r="FW711" s="685">
        <v>0</v>
      </c>
      <c r="FX711" s="685">
        <v>0</v>
      </c>
      <c r="FY711" s="685">
        <v>0</v>
      </c>
      <c r="FZ711" s="685">
        <v>0</v>
      </c>
      <c r="GA711" s="685">
        <v>0</v>
      </c>
      <c r="GB711" s="685">
        <v>0</v>
      </c>
      <c r="GC711" s="685">
        <v>0</v>
      </c>
      <c r="GD711" s="685">
        <v>0</v>
      </c>
      <c r="GE711" s="685">
        <v>0</v>
      </c>
      <c r="GF711" s="685">
        <v>0</v>
      </c>
      <c r="GG711" s="685">
        <v>0</v>
      </c>
      <c r="GH711" s="685">
        <v>0</v>
      </c>
      <c r="GI711" s="685">
        <v>0</v>
      </c>
      <c r="GJ711" s="685">
        <v>0</v>
      </c>
      <c r="GK711" s="685">
        <v>0</v>
      </c>
      <c r="GL711" s="685">
        <v>0</v>
      </c>
      <c r="GM711" s="685">
        <v>0</v>
      </c>
      <c r="GN711" s="685">
        <v>0</v>
      </c>
      <c r="GO711" s="685">
        <v>0</v>
      </c>
      <c r="GP711" s="685">
        <v>0</v>
      </c>
      <c r="GQ711" s="685">
        <v>0</v>
      </c>
      <c r="GR711" s="685">
        <v>0</v>
      </c>
      <c r="GS711" s="685">
        <v>0</v>
      </c>
      <c r="GT711" s="685">
        <v>0</v>
      </c>
      <c r="GU711" s="685">
        <v>0</v>
      </c>
      <c r="GV711" s="685">
        <v>0</v>
      </c>
      <c r="GW711" s="685">
        <v>0</v>
      </c>
      <c r="GX711" s="685">
        <v>0</v>
      </c>
      <c r="GY711" s="685">
        <v>0</v>
      </c>
      <c r="GZ711" s="685">
        <v>0</v>
      </c>
      <c r="HA711" s="685">
        <v>0</v>
      </c>
      <c r="HB711" s="685">
        <v>0</v>
      </c>
      <c r="HC711" s="685">
        <v>0</v>
      </c>
      <c r="HD711" s="685">
        <v>0</v>
      </c>
      <c r="HE711" s="685">
        <v>0</v>
      </c>
      <c r="HF711" s="685">
        <v>0</v>
      </c>
      <c r="HG711" s="685">
        <v>0</v>
      </c>
      <c r="HH711" s="685">
        <v>0</v>
      </c>
      <c r="HI711" s="685">
        <v>0</v>
      </c>
      <c r="HJ711" s="685">
        <v>0</v>
      </c>
      <c r="HK711" s="685">
        <v>0</v>
      </c>
      <c r="HL711" s="685">
        <v>0</v>
      </c>
      <c r="HM711" s="685"/>
      <c r="HN711" s="1581"/>
      <c r="HO711" s="1439" t="s">
        <v>532</v>
      </c>
      <c r="HP711" s="307">
        <f t="shared" si="879"/>
        <v>0</v>
      </c>
      <c r="HQ711" s="302">
        <f t="shared" si="880"/>
        <v>0</v>
      </c>
      <c r="HR711" s="346">
        <f t="shared" si="698"/>
        <v>0</v>
      </c>
      <c r="HS711" s="302">
        <f t="shared" si="881"/>
        <v>0</v>
      </c>
      <c r="HT711" s="302">
        <f t="shared" si="882"/>
        <v>0</v>
      </c>
      <c r="HU711" s="346">
        <f t="shared" si="678"/>
        <v>0</v>
      </c>
      <c r="HV711" s="307">
        <f t="shared" si="883"/>
        <v>0</v>
      </c>
      <c r="HW711" s="302">
        <f t="shared" si="884"/>
        <v>0</v>
      </c>
      <c r="HX711" s="346">
        <f t="shared" si="679"/>
        <v>0</v>
      </c>
      <c r="HY711" s="350">
        <f t="shared" si="885"/>
        <v>0</v>
      </c>
      <c r="HZ711" s="302">
        <f t="shared" si="886"/>
        <v>0</v>
      </c>
      <c r="IA711" s="346">
        <f t="shared" si="680"/>
        <v>0</v>
      </c>
      <c r="IB711" s="302">
        <f t="shared" si="887"/>
        <v>0</v>
      </c>
      <c r="IC711" s="302">
        <f t="shared" si="888"/>
        <v>0</v>
      </c>
      <c r="ID711" s="346">
        <f t="shared" si="681"/>
        <v>0</v>
      </c>
      <c r="IE711" s="350">
        <f t="shared" si="889"/>
        <v>0</v>
      </c>
      <c r="IF711" s="350">
        <f t="shared" si="890"/>
        <v>0</v>
      </c>
      <c r="IG711" s="346">
        <f t="shared" si="682"/>
        <v>0</v>
      </c>
      <c r="IH711" s="350">
        <f t="shared" si="891"/>
        <v>0</v>
      </c>
      <c r="II711" s="350">
        <f t="shared" si="892"/>
        <v>0</v>
      </c>
      <c r="IJ711" s="346">
        <f t="shared" si="683"/>
        <v>0</v>
      </c>
      <c r="IK711" s="350">
        <f t="shared" si="869"/>
        <v>0</v>
      </c>
      <c r="IL711" s="350">
        <f t="shared" si="864"/>
        <v>0</v>
      </c>
      <c r="IM711" s="346">
        <f>IK711+IL711</f>
        <v>0</v>
      </c>
      <c r="IN711" s="350">
        <f t="shared" si="865"/>
        <v>0</v>
      </c>
      <c r="IO711" s="350">
        <f t="shared" si="866"/>
        <v>0</v>
      </c>
      <c r="IP711" s="346">
        <f t="shared" si="685"/>
        <v>0</v>
      </c>
      <c r="IQ711" s="350">
        <f t="shared" si="867"/>
        <v>0</v>
      </c>
      <c r="IR711" s="350">
        <f t="shared" si="868"/>
        <v>0</v>
      </c>
      <c r="IS711" s="346">
        <f t="shared" si="686"/>
        <v>0</v>
      </c>
      <c r="IT711" s="350">
        <f t="shared" si="870"/>
        <v>0</v>
      </c>
      <c r="IU711" s="350">
        <f t="shared" si="707"/>
        <v>0</v>
      </c>
      <c r="IV711" s="346">
        <f t="shared" si="687"/>
        <v>0</v>
      </c>
      <c r="IW711" s="350">
        <f t="shared" si="700"/>
        <v>0</v>
      </c>
      <c r="IX711" s="350">
        <f t="shared" si="688"/>
        <v>0</v>
      </c>
      <c r="IY711" s="346">
        <f>FISC!AJ1033</f>
        <v>0</v>
      </c>
      <c r="IZ711" s="350">
        <f t="shared" si="936"/>
        <v>0</v>
      </c>
      <c r="JA711" s="302">
        <f t="shared" si="689"/>
        <v>0</v>
      </c>
      <c r="JB711" s="346">
        <f>FISC!AK1033</f>
        <v>0</v>
      </c>
      <c r="JC711" s="350">
        <f t="shared" si="937"/>
        <v>0</v>
      </c>
      <c r="JD711" s="302">
        <f t="shared" si="690"/>
        <v>0</v>
      </c>
      <c r="JE711" s="346">
        <f>FISC!AL1033</f>
        <v>0</v>
      </c>
      <c r="JF711" s="350">
        <f t="shared" si="938"/>
        <v>0</v>
      </c>
      <c r="JG711" s="302">
        <f t="shared" si="691"/>
        <v>0</v>
      </c>
      <c r="JH711" s="346">
        <f>FISC!AM1033</f>
        <v>0</v>
      </c>
      <c r="JI711" s="350">
        <f t="shared" si="939"/>
        <v>0</v>
      </c>
      <c r="JJ711" s="302">
        <f t="shared" si="701"/>
        <v>0</v>
      </c>
      <c r="JK711" s="346">
        <f>FISC!AN1033</f>
        <v>0</v>
      </c>
      <c r="JL711" s="350">
        <f t="shared" si="940"/>
        <v>0</v>
      </c>
      <c r="JM711" s="302">
        <f t="shared" si="692"/>
        <v>0</v>
      </c>
      <c r="JN711" s="346">
        <f>FISC!AO1033</f>
        <v>0</v>
      </c>
      <c r="KI711" s="1581"/>
      <c r="KJ711" s="1043"/>
    </row>
    <row r="712" spans="1:302" s="477" customFormat="1" hidden="1" outlineLevel="1">
      <c r="B712" s="1577"/>
      <c r="C712" s="1577"/>
      <c r="D712" s="1439" t="s">
        <v>533</v>
      </c>
      <c r="E712" s="685"/>
      <c r="F712" s="685"/>
      <c r="G712" s="685"/>
      <c r="H712" s="685"/>
      <c r="I712" s="685"/>
      <c r="J712" s="685"/>
      <c r="K712" s="685"/>
      <c r="L712" s="685"/>
      <c r="M712" s="685"/>
      <c r="N712" s="685"/>
      <c r="O712" s="685"/>
      <c r="P712" s="685"/>
      <c r="Q712" s="685"/>
      <c r="R712" s="685"/>
      <c r="S712" s="685"/>
      <c r="T712" s="685"/>
      <c r="U712" s="685"/>
      <c r="V712" s="685"/>
      <c r="W712" s="685"/>
      <c r="X712" s="685"/>
      <c r="Y712" s="685"/>
      <c r="Z712" s="685"/>
      <c r="AA712" s="685"/>
      <c r="AB712" s="685"/>
      <c r="AC712" s="685"/>
      <c r="AD712" s="685"/>
      <c r="AE712" s="685"/>
      <c r="AF712" s="685"/>
      <c r="AG712" s="685"/>
      <c r="AH712" s="685"/>
      <c r="AI712" s="685"/>
      <c r="AJ712" s="685"/>
      <c r="AK712" s="685"/>
      <c r="AL712" s="685"/>
      <c r="AM712" s="685"/>
      <c r="AN712" s="685"/>
      <c r="AO712" s="685"/>
      <c r="AP712" s="685"/>
      <c r="AQ712" s="685"/>
      <c r="AR712" s="685"/>
      <c r="AS712" s="685"/>
      <c r="AT712" s="685"/>
      <c r="AU712" s="685"/>
      <c r="AV712" s="685"/>
      <c r="AW712" s="685"/>
      <c r="AX712" s="685"/>
      <c r="AY712" s="685"/>
      <c r="AZ712" s="685"/>
      <c r="BA712" s="685"/>
      <c r="BB712" s="685"/>
      <c r="BC712" s="685"/>
      <c r="BD712" s="685"/>
      <c r="BE712" s="685"/>
      <c r="BF712" s="685"/>
      <c r="BG712" s="685"/>
      <c r="BH712" s="685"/>
      <c r="BI712" s="685"/>
      <c r="BJ712" s="685"/>
      <c r="BK712" s="685"/>
      <c r="BL712" s="685"/>
      <c r="BM712" s="685"/>
      <c r="BN712" s="685"/>
      <c r="BO712" s="685"/>
      <c r="BP712" s="685"/>
      <c r="BQ712" s="685"/>
      <c r="BR712" s="685"/>
      <c r="BS712" s="685"/>
      <c r="BT712" s="685"/>
      <c r="BU712" s="685"/>
      <c r="BV712" s="685"/>
      <c r="BW712" s="685"/>
      <c r="BX712" s="685"/>
      <c r="BY712" s="685"/>
      <c r="BZ712" s="685"/>
      <c r="CA712" s="685"/>
      <c r="CB712" s="685"/>
      <c r="CC712" s="685"/>
      <c r="CD712" s="1578"/>
      <c r="CE712" s="685">
        <f t="shared" ref="CE712:DJ712" si="954">CE355</f>
        <v>0</v>
      </c>
      <c r="CF712" s="685">
        <f t="shared" si="954"/>
        <v>0</v>
      </c>
      <c r="CG712" s="685">
        <f t="shared" si="954"/>
        <v>0</v>
      </c>
      <c r="CH712" s="685">
        <f t="shared" si="954"/>
        <v>0</v>
      </c>
      <c r="CI712" s="685">
        <f t="shared" si="954"/>
        <v>0</v>
      </c>
      <c r="CJ712" s="685">
        <f t="shared" si="954"/>
        <v>0</v>
      </c>
      <c r="CK712" s="685">
        <f t="shared" si="954"/>
        <v>0</v>
      </c>
      <c r="CL712" s="685">
        <f t="shared" si="954"/>
        <v>0</v>
      </c>
      <c r="CM712" s="685">
        <f t="shared" si="954"/>
        <v>0</v>
      </c>
      <c r="CN712" s="685">
        <f t="shared" si="954"/>
        <v>0</v>
      </c>
      <c r="CO712" s="685">
        <f t="shared" si="954"/>
        <v>0</v>
      </c>
      <c r="CP712" s="1579">
        <f t="shared" si="954"/>
        <v>0</v>
      </c>
      <c r="CQ712" s="685">
        <f t="shared" si="954"/>
        <v>0</v>
      </c>
      <c r="CR712" s="685">
        <f t="shared" si="954"/>
        <v>0</v>
      </c>
      <c r="CS712" s="685">
        <f t="shared" si="954"/>
        <v>0</v>
      </c>
      <c r="CT712" s="685">
        <f t="shared" si="954"/>
        <v>0</v>
      </c>
      <c r="CU712" s="685">
        <f t="shared" si="954"/>
        <v>0</v>
      </c>
      <c r="CV712" s="685">
        <f t="shared" si="954"/>
        <v>0</v>
      </c>
      <c r="CW712" s="685">
        <f t="shared" si="954"/>
        <v>0</v>
      </c>
      <c r="CX712" s="685">
        <f t="shared" si="954"/>
        <v>0</v>
      </c>
      <c r="CY712" s="685">
        <f t="shared" si="954"/>
        <v>0</v>
      </c>
      <c r="CZ712" s="685">
        <f t="shared" si="954"/>
        <v>0</v>
      </c>
      <c r="DA712" s="685">
        <f t="shared" si="954"/>
        <v>0</v>
      </c>
      <c r="DB712" s="1580">
        <f t="shared" si="954"/>
        <v>0</v>
      </c>
      <c r="DC712" s="685">
        <f t="shared" si="954"/>
        <v>0</v>
      </c>
      <c r="DD712" s="685">
        <f t="shared" si="954"/>
        <v>0</v>
      </c>
      <c r="DE712" s="685">
        <f t="shared" si="954"/>
        <v>0</v>
      </c>
      <c r="DF712" s="685">
        <f t="shared" si="954"/>
        <v>0</v>
      </c>
      <c r="DG712" s="685">
        <f t="shared" si="954"/>
        <v>0</v>
      </c>
      <c r="DH712" s="685">
        <f t="shared" si="954"/>
        <v>0</v>
      </c>
      <c r="DI712" s="685">
        <f t="shared" si="954"/>
        <v>0</v>
      </c>
      <c r="DJ712" s="685">
        <f t="shared" si="954"/>
        <v>0</v>
      </c>
      <c r="DK712" s="685">
        <f t="shared" ref="DK712:EP712" si="955">DK355</f>
        <v>0</v>
      </c>
      <c r="DL712" s="685">
        <f t="shared" si="955"/>
        <v>0</v>
      </c>
      <c r="DM712" s="685">
        <f t="shared" si="955"/>
        <v>0</v>
      </c>
      <c r="DN712" s="1579">
        <f t="shared" si="955"/>
        <v>0</v>
      </c>
      <c r="DO712" s="685">
        <f t="shared" si="955"/>
        <v>0</v>
      </c>
      <c r="DP712" s="685">
        <f t="shared" si="955"/>
        <v>0</v>
      </c>
      <c r="DQ712" s="685">
        <f t="shared" si="955"/>
        <v>0</v>
      </c>
      <c r="DR712" s="685">
        <f t="shared" si="955"/>
        <v>0</v>
      </c>
      <c r="DS712" s="685">
        <f t="shared" si="955"/>
        <v>0</v>
      </c>
      <c r="DT712" s="685">
        <f t="shared" si="955"/>
        <v>0</v>
      </c>
      <c r="DU712" s="685">
        <f t="shared" si="955"/>
        <v>0</v>
      </c>
      <c r="DV712" s="685">
        <f t="shared" si="955"/>
        <v>0</v>
      </c>
      <c r="DW712" s="685">
        <f t="shared" si="955"/>
        <v>0</v>
      </c>
      <c r="DX712" s="685">
        <f t="shared" si="955"/>
        <v>0</v>
      </c>
      <c r="DY712" s="685">
        <f t="shared" si="955"/>
        <v>0</v>
      </c>
      <c r="DZ712" s="1579">
        <f t="shared" si="955"/>
        <v>0</v>
      </c>
      <c r="EA712" s="685">
        <f t="shared" si="955"/>
        <v>0</v>
      </c>
      <c r="EB712" s="685">
        <f t="shared" si="955"/>
        <v>0</v>
      </c>
      <c r="EC712" s="685">
        <f t="shared" si="955"/>
        <v>0</v>
      </c>
      <c r="ED712" s="685">
        <f t="shared" si="955"/>
        <v>0</v>
      </c>
      <c r="EE712" s="685">
        <f t="shared" si="955"/>
        <v>0</v>
      </c>
      <c r="EF712" s="685">
        <f t="shared" si="955"/>
        <v>0</v>
      </c>
      <c r="EG712" s="685">
        <f t="shared" si="955"/>
        <v>0</v>
      </c>
      <c r="EH712" s="685">
        <f t="shared" si="955"/>
        <v>0</v>
      </c>
      <c r="EI712" s="685">
        <f t="shared" si="955"/>
        <v>0</v>
      </c>
      <c r="EJ712" s="685">
        <f t="shared" si="955"/>
        <v>0</v>
      </c>
      <c r="EK712" s="685">
        <f t="shared" si="955"/>
        <v>0</v>
      </c>
      <c r="EL712" s="1579">
        <f t="shared" si="955"/>
        <v>0</v>
      </c>
      <c r="EM712" s="685">
        <f t="shared" si="955"/>
        <v>0</v>
      </c>
      <c r="EN712" s="685">
        <f t="shared" si="955"/>
        <v>0</v>
      </c>
      <c r="EO712" s="685">
        <f t="shared" si="955"/>
        <v>0</v>
      </c>
      <c r="EP712" s="685">
        <f t="shared" si="955"/>
        <v>0</v>
      </c>
      <c r="EQ712" s="685">
        <f t="shared" ref="EQ712:FP712" si="956">EQ355</f>
        <v>0</v>
      </c>
      <c r="ER712" s="685">
        <f t="shared" si="956"/>
        <v>0</v>
      </c>
      <c r="ES712" s="685">
        <f t="shared" si="956"/>
        <v>0</v>
      </c>
      <c r="ET712" s="685">
        <f t="shared" si="956"/>
        <v>0</v>
      </c>
      <c r="EU712" s="685">
        <f t="shared" si="956"/>
        <v>0</v>
      </c>
      <c r="EV712" s="685">
        <f t="shared" si="956"/>
        <v>0</v>
      </c>
      <c r="EW712" s="685">
        <f t="shared" si="956"/>
        <v>0</v>
      </c>
      <c r="EX712" s="1579">
        <f t="shared" si="956"/>
        <v>0</v>
      </c>
      <c r="EY712" s="685">
        <f t="shared" si="956"/>
        <v>0</v>
      </c>
      <c r="EZ712" s="685">
        <f t="shared" si="956"/>
        <v>0</v>
      </c>
      <c r="FA712" s="685">
        <f t="shared" si="956"/>
        <v>0</v>
      </c>
      <c r="FB712" s="685">
        <f t="shared" si="956"/>
        <v>0</v>
      </c>
      <c r="FC712" s="685">
        <f t="shared" si="956"/>
        <v>0</v>
      </c>
      <c r="FD712" s="685">
        <f t="shared" si="956"/>
        <v>0</v>
      </c>
      <c r="FE712" s="685">
        <f t="shared" si="956"/>
        <v>0</v>
      </c>
      <c r="FF712" s="685">
        <f t="shared" si="956"/>
        <v>0</v>
      </c>
      <c r="FG712" s="685">
        <f t="shared" si="956"/>
        <v>0</v>
      </c>
      <c r="FH712" s="685">
        <f t="shared" si="956"/>
        <v>0</v>
      </c>
      <c r="FI712" s="685">
        <f t="shared" si="956"/>
        <v>0</v>
      </c>
      <c r="FJ712" s="1579">
        <f t="shared" si="956"/>
        <v>0</v>
      </c>
      <c r="FK712" s="685">
        <f t="shared" si="956"/>
        <v>0</v>
      </c>
      <c r="FL712" s="685">
        <f t="shared" si="956"/>
        <v>0</v>
      </c>
      <c r="FM712" s="685">
        <f t="shared" si="956"/>
        <v>0</v>
      </c>
      <c r="FN712" s="685">
        <f t="shared" si="956"/>
        <v>0</v>
      </c>
      <c r="FO712" s="685">
        <f t="shared" si="956"/>
        <v>0</v>
      </c>
      <c r="FP712" s="685">
        <f t="shared" si="956"/>
        <v>0</v>
      </c>
      <c r="FQ712" s="685">
        <f t="shared" si="944"/>
        <v>0</v>
      </c>
      <c r="FR712" s="685">
        <f t="shared" si="944"/>
        <v>0</v>
      </c>
      <c r="FS712" s="685">
        <f t="shared" si="944"/>
        <v>0</v>
      </c>
      <c r="FT712" s="685">
        <f t="shared" si="944"/>
        <v>0</v>
      </c>
      <c r="FU712" s="685">
        <f t="shared" si="944"/>
        <v>0</v>
      </c>
      <c r="FV712" s="685">
        <f t="shared" si="944"/>
        <v>0</v>
      </c>
      <c r="FW712" s="685">
        <v>0</v>
      </c>
      <c r="FX712" s="685">
        <v>0</v>
      </c>
      <c r="FY712" s="685">
        <v>0</v>
      </c>
      <c r="FZ712" s="685">
        <v>0</v>
      </c>
      <c r="GA712" s="685">
        <v>0</v>
      </c>
      <c r="GB712" s="685">
        <v>0</v>
      </c>
      <c r="GC712" s="685">
        <v>0</v>
      </c>
      <c r="GD712" s="685">
        <v>0</v>
      </c>
      <c r="GE712" s="685">
        <v>0</v>
      </c>
      <c r="GF712" s="685">
        <v>0</v>
      </c>
      <c r="GG712" s="685">
        <v>0</v>
      </c>
      <c r="GH712" s="685">
        <v>0</v>
      </c>
      <c r="GI712" s="685">
        <v>0</v>
      </c>
      <c r="GJ712" s="685">
        <v>0</v>
      </c>
      <c r="GK712" s="685">
        <v>0</v>
      </c>
      <c r="GL712" s="685">
        <v>0</v>
      </c>
      <c r="GM712" s="685">
        <v>0</v>
      </c>
      <c r="GN712" s="685">
        <v>0</v>
      </c>
      <c r="GO712" s="685">
        <v>0</v>
      </c>
      <c r="GP712" s="685">
        <v>0</v>
      </c>
      <c r="GQ712" s="685">
        <v>0</v>
      </c>
      <c r="GR712" s="685">
        <v>0</v>
      </c>
      <c r="GS712" s="685">
        <v>0</v>
      </c>
      <c r="GT712" s="685">
        <v>0</v>
      </c>
      <c r="GU712" s="685">
        <v>0</v>
      </c>
      <c r="GV712" s="685">
        <v>0</v>
      </c>
      <c r="GW712" s="685">
        <v>0</v>
      </c>
      <c r="GX712" s="685">
        <v>0</v>
      </c>
      <c r="GY712" s="685">
        <v>0</v>
      </c>
      <c r="GZ712" s="685">
        <v>0</v>
      </c>
      <c r="HA712" s="685">
        <v>0</v>
      </c>
      <c r="HB712" s="685">
        <v>0</v>
      </c>
      <c r="HC712" s="685">
        <v>0</v>
      </c>
      <c r="HD712" s="685">
        <v>0</v>
      </c>
      <c r="HE712" s="685">
        <v>0</v>
      </c>
      <c r="HF712" s="685">
        <v>0</v>
      </c>
      <c r="HG712" s="685">
        <v>0</v>
      </c>
      <c r="HH712" s="685">
        <v>0</v>
      </c>
      <c r="HI712" s="685">
        <v>0</v>
      </c>
      <c r="HJ712" s="685">
        <v>0</v>
      </c>
      <c r="HK712" s="685">
        <v>0</v>
      </c>
      <c r="HL712" s="685">
        <v>0</v>
      </c>
      <c r="HM712" s="685"/>
      <c r="HN712" s="1581"/>
      <c r="HO712" s="1439" t="s">
        <v>533</v>
      </c>
      <c r="HP712" s="307">
        <f t="shared" si="879"/>
        <v>0</v>
      </c>
      <c r="HQ712" s="302">
        <f t="shared" si="880"/>
        <v>0</v>
      </c>
      <c r="HR712" s="346">
        <f t="shared" si="698"/>
        <v>0</v>
      </c>
      <c r="HS712" s="302">
        <f t="shared" si="881"/>
        <v>0</v>
      </c>
      <c r="HT712" s="302">
        <f t="shared" si="882"/>
        <v>0</v>
      </c>
      <c r="HU712" s="346">
        <f t="shared" si="678"/>
        <v>0</v>
      </c>
      <c r="HV712" s="307">
        <f t="shared" si="883"/>
        <v>0</v>
      </c>
      <c r="HW712" s="302">
        <f t="shared" si="884"/>
        <v>0</v>
      </c>
      <c r="HX712" s="346">
        <f t="shared" si="679"/>
        <v>0</v>
      </c>
      <c r="HY712" s="350">
        <f t="shared" si="885"/>
        <v>0</v>
      </c>
      <c r="HZ712" s="302">
        <f t="shared" si="886"/>
        <v>0</v>
      </c>
      <c r="IA712" s="346">
        <f t="shared" si="680"/>
        <v>0</v>
      </c>
      <c r="IB712" s="302">
        <f t="shared" si="887"/>
        <v>0</v>
      </c>
      <c r="IC712" s="302">
        <f t="shared" si="888"/>
        <v>0</v>
      </c>
      <c r="ID712" s="346">
        <f t="shared" si="681"/>
        <v>0</v>
      </c>
      <c r="IE712" s="350">
        <f t="shared" si="889"/>
        <v>0</v>
      </c>
      <c r="IF712" s="350">
        <f t="shared" si="890"/>
        <v>0</v>
      </c>
      <c r="IG712" s="346">
        <f t="shared" si="682"/>
        <v>0</v>
      </c>
      <c r="IH712" s="350">
        <f t="shared" si="891"/>
        <v>0</v>
      </c>
      <c r="II712" s="350">
        <f t="shared" si="892"/>
        <v>0</v>
      </c>
      <c r="IJ712" s="346">
        <f t="shared" si="683"/>
        <v>0</v>
      </c>
      <c r="IK712" s="350">
        <f t="shared" si="869"/>
        <v>0</v>
      </c>
      <c r="IL712" s="350">
        <f t="shared" si="864"/>
        <v>0</v>
      </c>
      <c r="IM712" s="346">
        <f t="shared" si="684"/>
        <v>0</v>
      </c>
      <c r="IN712" s="350">
        <f t="shared" si="865"/>
        <v>0</v>
      </c>
      <c r="IO712" s="350">
        <f t="shared" si="866"/>
        <v>0</v>
      </c>
      <c r="IP712" s="346">
        <f t="shared" si="685"/>
        <v>0</v>
      </c>
      <c r="IQ712" s="350">
        <f t="shared" si="867"/>
        <v>0</v>
      </c>
      <c r="IR712" s="350">
        <f t="shared" si="868"/>
        <v>0</v>
      </c>
      <c r="IS712" s="346">
        <f t="shared" si="686"/>
        <v>0</v>
      </c>
      <c r="IT712" s="350">
        <f t="shared" si="870"/>
        <v>0</v>
      </c>
      <c r="IU712" s="350">
        <f t="shared" si="707"/>
        <v>0</v>
      </c>
      <c r="IV712" s="346">
        <f t="shared" si="687"/>
        <v>0</v>
      </c>
      <c r="IW712" s="350">
        <f t="shared" si="700"/>
        <v>0</v>
      </c>
      <c r="IX712" s="350">
        <f t="shared" si="688"/>
        <v>0</v>
      </c>
      <c r="IY712" s="346">
        <f>FISC!AJ1034</f>
        <v>0</v>
      </c>
      <c r="IZ712" s="350">
        <f t="shared" si="936"/>
        <v>0</v>
      </c>
      <c r="JA712" s="302">
        <f t="shared" si="689"/>
        <v>0</v>
      </c>
      <c r="JB712" s="346">
        <f>FISC!AK1034</f>
        <v>0</v>
      </c>
      <c r="JC712" s="350">
        <f t="shared" si="937"/>
        <v>0</v>
      </c>
      <c r="JD712" s="302">
        <f t="shared" si="690"/>
        <v>0</v>
      </c>
      <c r="JE712" s="346">
        <f>FISC!AL1034</f>
        <v>0</v>
      </c>
      <c r="JF712" s="350">
        <f t="shared" si="938"/>
        <v>0</v>
      </c>
      <c r="JG712" s="302">
        <f t="shared" si="691"/>
        <v>0</v>
      </c>
      <c r="JH712" s="346">
        <f>FISC!AM1034</f>
        <v>0</v>
      </c>
      <c r="JI712" s="350">
        <f t="shared" si="939"/>
        <v>0</v>
      </c>
      <c r="JJ712" s="302">
        <f t="shared" si="701"/>
        <v>0</v>
      </c>
      <c r="JK712" s="346">
        <f>FISC!AN1034</f>
        <v>0</v>
      </c>
      <c r="JL712" s="350">
        <f t="shared" si="940"/>
        <v>0</v>
      </c>
      <c r="JM712" s="302">
        <f t="shared" si="692"/>
        <v>0</v>
      </c>
      <c r="JN712" s="346">
        <f>FISC!AO1034</f>
        <v>0</v>
      </c>
      <c r="KI712" s="1581"/>
      <c r="KJ712" s="1043"/>
    </row>
    <row r="713" spans="1:302" s="477" customFormat="1" hidden="1" outlineLevel="1">
      <c r="B713" s="1577" t="s">
        <v>361</v>
      </c>
      <c r="C713" s="1577"/>
      <c r="D713" s="355" t="s">
        <v>534</v>
      </c>
      <c r="E713" s="685"/>
      <c r="F713" s="685"/>
      <c r="G713" s="685"/>
      <c r="H713" s="685"/>
      <c r="I713" s="685"/>
      <c r="J713" s="685"/>
      <c r="K713" s="685"/>
      <c r="L713" s="685"/>
      <c r="M713" s="685"/>
      <c r="N713" s="685"/>
      <c r="O713" s="685"/>
      <c r="P713" s="685"/>
      <c r="Q713" s="685"/>
      <c r="R713" s="685"/>
      <c r="S713" s="685"/>
      <c r="T713" s="685"/>
      <c r="U713" s="685"/>
      <c r="V713" s="685"/>
      <c r="W713" s="685"/>
      <c r="X713" s="685"/>
      <c r="Y713" s="685"/>
      <c r="Z713" s="685"/>
      <c r="AA713" s="685"/>
      <c r="AB713" s="685"/>
      <c r="AC713" s="685"/>
      <c r="AD713" s="685"/>
      <c r="AE713" s="685"/>
      <c r="AF713" s="685"/>
      <c r="AG713" s="685"/>
      <c r="AH713" s="685"/>
      <c r="AI713" s="685"/>
      <c r="AJ713" s="685"/>
      <c r="AK713" s="685"/>
      <c r="AL713" s="685"/>
      <c r="AM713" s="685"/>
      <c r="AN713" s="685"/>
      <c r="AO713" s="685">
        <v>0</v>
      </c>
      <c r="AP713" s="685">
        <v>0</v>
      </c>
      <c r="AQ713" s="685">
        <v>0</v>
      </c>
      <c r="AR713" s="685">
        <v>0</v>
      </c>
      <c r="AS713" s="685">
        <v>0</v>
      </c>
      <c r="AT713" s="685">
        <v>0</v>
      </c>
      <c r="AU713" s="685">
        <v>0</v>
      </c>
      <c r="AV713" s="685">
        <v>0</v>
      </c>
      <c r="AW713" s="685">
        <v>0</v>
      </c>
      <c r="AX713" s="685">
        <v>0</v>
      </c>
      <c r="AY713" s="685">
        <v>0</v>
      </c>
      <c r="AZ713" s="685">
        <v>0</v>
      </c>
      <c r="BA713" s="685">
        <v>0</v>
      </c>
      <c r="BB713" s="685">
        <v>0</v>
      </c>
      <c r="BC713" s="685">
        <v>0</v>
      </c>
      <c r="BD713" s="685">
        <v>0</v>
      </c>
      <c r="BE713" s="685">
        <v>0</v>
      </c>
      <c r="BF713" s="685">
        <v>0</v>
      </c>
      <c r="BG713" s="685">
        <v>0</v>
      </c>
      <c r="BH713" s="685">
        <v>0</v>
      </c>
      <c r="BI713" s="685">
        <v>0</v>
      </c>
      <c r="BJ713" s="685">
        <v>0</v>
      </c>
      <c r="BK713" s="685">
        <v>0</v>
      </c>
      <c r="BL713" s="685">
        <v>0</v>
      </c>
      <c r="BM713" s="685">
        <v>0</v>
      </c>
      <c r="BN713" s="685">
        <v>0</v>
      </c>
      <c r="BO713" s="685">
        <v>0</v>
      </c>
      <c r="BP713" s="685">
        <v>0</v>
      </c>
      <c r="BQ713" s="685">
        <v>0</v>
      </c>
      <c r="BR713" s="685">
        <v>0</v>
      </c>
      <c r="BS713" s="685">
        <v>0</v>
      </c>
      <c r="BT713" s="685">
        <v>0</v>
      </c>
      <c r="BU713" s="685">
        <v>0</v>
      </c>
      <c r="BV713" s="685">
        <v>0</v>
      </c>
      <c r="BW713" s="685">
        <v>0</v>
      </c>
      <c r="BX713" s="685">
        <v>0</v>
      </c>
      <c r="BY713" s="685">
        <v>0</v>
      </c>
      <c r="BZ713" s="685">
        <v>0</v>
      </c>
      <c r="CA713" s="685">
        <v>0</v>
      </c>
      <c r="CB713" s="685">
        <v>0</v>
      </c>
      <c r="CC713" s="685">
        <v>0</v>
      </c>
      <c r="CD713" s="1578">
        <v>0</v>
      </c>
      <c r="CE713" s="685">
        <f t="shared" ref="CE713:DJ713" si="957">CE356</f>
        <v>0</v>
      </c>
      <c r="CF713" s="685">
        <f t="shared" si="957"/>
        <v>0</v>
      </c>
      <c r="CG713" s="685">
        <f t="shared" si="957"/>
        <v>0</v>
      </c>
      <c r="CH713" s="685">
        <f t="shared" si="957"/>
        <v>0</v>
      </c>
      <c r="CI713" s="685">
        <f t="shared" si="957"/>
        <v>0</v>
      </c>
      <c r="CJ713" s="685">
        <f t="shared" si="957"/>
        <v>0</v>
      </c>
      <c r="CK713" s="685">
        <f t="shared" si="957"/>
        <v>0</v>
      </c>
      <c r="CL713" s="685">
        <f t="shared" si="957"/>
        <v>0</v>
      </c>
      <c r="CM713" s="685">
        <f t="shared" si="957"/>
        <v>0</v>
      </c>
      <c r="CN713" s="685">
        <f t="shared" si="957"/>
        <v>0</v>
      </c>
      <c r="CO713" s="685">
        <f t="shared" si="957"/>
        <v>0</v>
      </c>
      <c r="CP713" s="1579">
        <f t="shared" si="957"/>
        <v>0</v>
      </c>
      <c r="CQ713" s="685">
        <f t="shared" si="957"/>
        <v>0</v>
      </c>
      <c r="CR713" s="685">
        <f t="shared" si="957"/>
        <v>0</v>
      </c>
      <c r="CS713" s="685">
        <f t="shared" si="957"/>
        <v>0</v>
      </c>
      <c r="CT713" s="685">
        <f t="shared" si="957"/>
        <v>0</v>
      </c>
      <c r="CU713" s="685">
        <f t="shared" si="957"/>
        <v>0</v>
      </c>
      <c r="CV713" s="685">
        <f t="shared" si="957"/>
        <v>0</v>
      </c>
      <c r="CW713" s="685">
        <f t="shared" si="957"/>
        <v>0</v>
      </c>
      <c r="CX713" s="685">
        <f t="shared" si="957"/>
        <v>0</v>
      </c>
      <c r="CY713" s="685">
        <f t="shared" si="957"/>
        <v>0</v>
      </c>
      <c r="CZ713" s="685">
        <f t="shared" si="957"/>
        <v>0</v>
      </c>
      <c r="DA713" s="685">
        <f t="shared" si="957"/>
        <v>0</v>
      </c>
      <c r="DB713" s="1580">
        <f t="shared" si="957"/>
        <v>0</v>
      </c>
      <c r="DC713" s="685">
        <f t="shared" si="957"/>
        <v>0</v>
      </c>
      <c r="DD713" s="685">
        <f t="shared" si="957"/>
        <v>0</v>
      </c>
      <c r="DE713" s="685">
        <f t="shared" si="957"/>
        <v>0</v>
      </c>
      <c r="DF713" s="685">
        <f t="shared" si="957"/>
        <v>0</v>
      </c>
      <c r="DG713" s="685">
        <f t="shared" si="957"/>
        <v>0</v>
      </c>
      <c r="DH713" s="685">
        <f t="shared" si="957"/>
        <v>0</v>
      </c>
      <c r="DI713" s="685">
        <f t="shared" si="957"/>
        <v>0</v>
      </c>
      <c r="DJ713" s="685">
        <f t="shared" si="957"/>
        <v>0</v>
      </c>
      <c r="DK713" s="685">
        <f t="shared" ref="DK713:EP713" si="958">DK356</f>
        <v>0</v>
      </c>
      <c r="DL713" s="685">
        <f t="shared" si="958"/>
        <v>0</v>
      </c>
      <c r="DM713" s="685">
        <f t="shared" si="958"/>
        <v>0</v>
      </c>
      <c r="DN713" s="1579">
        <f t="shared" si="958"/>
        <v>0</v>
      </c>
      <c r="DO713" s="685">
        <f t="shared" si="958"/>
        <v>0</v>
      </c>
      <c r="DP713" s="685">
        <f t="shared" si="958"/>
        <v>0</v>
      </c>
      <c r="DQ713" s="685">
        <f t="shared" si="958"/>
        <v>0</v>
      </c>
      <c r="DR713" s="685">
        <f t="shared" si="958"/>
        <v>0</v>
      </c>
      <c r="DS713" s="685">
        <f t="shared" si="958"/>
        <v>0</v>
      </c>
      <c r="DT713" s="685">
        <f t="shared" si="958"/>
        <v>0</v>
      </c>
      <c r="DU713" s="685">
        <f t="shared" si="958"/>
        <v>0</v>
      </c>
      <c r="DV713" s="685">
        <f t="shared" si="958"/>
        <v>0</v>
      </c>
      <c r="DW713" s="685">
        <f t="shared" si="958"/>
        <v>0</v>
      </c>
      <c r="DX713" s="685">
        <f t="shared" si="958"/>
        <v>0</v>
      </c>
      <c r="DY713" s="685">
        <f t="shared" si="958"/>
        <v>0</v>
      </c>
      <c r="DZ713" s="1579">
        <f t="shared" si="958"/>
        <v>0</v>
      </c>
      <c r="EA713" s="685">
        <f t="shared" si="958"/>
        <v>0</v>
      </c>
      <c r="EB713" s="685">
        <f t="shared" si="958"/>
        <v>0</v>
      </c>
      <c r="EC713" s="685">
        <f t="shared" si="958"/>
        <v>0</v>
      </c>
      <c r="ED713" s="685">
        <f t="shared" si="958"/>
        <v>0</v>
      </c>
      <c r="EE713" s="685">
        <f t="shared" si="958"/>
        <v>0</v>
      </c>
      <c r="EF713" s="685">
        <f t="shared" si="958"/>
        <v>0</v>
      </c>
      <c r="EG713" s="685">
        <f t="shared" si="958"/>
        <v>0</v>
      </c>
      <c r="EH713" s="685">
        <f t="shared" si="958"/>
        <v>0</v>
      </c>
      <c r="EI713" s="685">
        <f t="shared" si="958"/>
        <v>0</v>
      </c>
      <c r="EJ713" s="685">
        <f t="shared" si="958"/>
        <v>0</v>
      </c>
      <c r="EK713" s="685">
        <f t="shared" si="958"/>
        <v>0</v>
      </c>
      <c r="EL713" s="1579">
        <f t="shared" si="958"/>
        <v>0</v>
      </c>
      <c r="EM713" s="685">
        <f t="shared" si="958"/>
        <v>0</v>
      </c>
      <c r="EN713" s="685">
        <f t="shared" si="958"/>
        <v>0</v>
      </c>
      <c r="EO713" s="685">
        <f t="shared" si="958"/>
        <v>0</v>
      </c>
      <c r="EP713" s="685">
        <f t="shared" si="958"/>
        <v>0</v>
      </c>
      <c r="EQ713" s="685">
        <f t="shared" ref="EQ713:FP713" si="959">EQ356</f>
        <v>0</v>
      </c>
      <c r="ER713" s="685">
        <f t="shared" si="959"/>
        <v>0</v>
      </c>
      <c r="ES713" s="685">
        <f t="shared" si="959"/>
        <v>0</v>
      </c>
      <c r="ET713" s="685">
        <f t="shared" si="959"/>
        <v>0</v>
      </c>
      <c r="EU713" s="685">
        <f t="shared" si="959"/>
        <v>0</v>
      </c>
      <c r="EV713" s="685">
        <f t="shared" si="959"/>
        <v>0</v>
      </c>
      <c r="EW713" s="685">
        <f t="shared" si="959"/>
        <v>0</v>
      </c>
      <c r="EX713" s="1579">
        <f t="shared" si="959"/>
        <v>0</v>
      </c>
      <c r="EY713" s="685">
        <f t="shared" si="959"/>
        <v>0</v>
      </c>
      <c r="EZ713" s="685">
        <f t="shared" si="959"/>
        <v>0</v>
      </c>
      <c r="FA713" s="685">
        <f t="shared" si="959"/>
        <v>0</v>
      </c>
      <c r="FB713" s="685">
        <f t="shared" si="959"/>
        <v>0</v>
      </c>
      <c r="FC713" s="685">
        <f t="shared" si="959"/>
        <v>0</v>
      </c>
      <c r="FD713" s="685">
        <f t="shared" si="959"/>
        <v>0</v>
      </c>
      <c r="FE713" s="685">
        <f t="shared" si="959"/>
        <v>0</v>
      </c>
      <c r="FF713" s="685">
        <f t="shared" si="959"/>
        <v>0</v>
      </c>
      <c r="FG713" s="685">
        <f t="shared" si="959"/>
        <v>0</v>
      </c>
      <c r="FH713" s="685">
        <f t="shared" si="959"/>
        <v>0</v>
      </c>
      <c r="FI713" s="685">
        <f t="shared" si="959"/>
        <v>0</v>
      </c>
      <c r="FJ713" s="1579">
        <f t="shared" si="959"/>
        <v>0</v>
      </c>
      <c r="FK713" s="685">
        <f t="shared" si="959"/>
        <v>0</v>
      </c>
      <c r="FL713" s="685">
        <f t="shared" si="959"/>
        <v>0</v>
      </c>
      <c r="FM713" s="685">
        <f t="shared" si="959"/>
        <v>0</v>
      </c>
      <c r="FN713" s="685">
        <f t="shared" si="959"/>
        <v>0</v>
      </c>
      <c r="FO713" s="685">
        <f t="shared" si="959"/>
        <v>0</v>
      </c>
      <c r="FP713" s="685">
        <f t="shared" si="959"/>
        <v>0</v>
      </c>
      <c r="FQ713" s="685">
        <f t="shared" si="944"/>
        <v>0</v>
      </c>
      <c r="FR713" s="685">
        <f t="shared" si="944"/>
        <v>0</v>
      </c>
      <c r="FS713" s="685">
        <f t="shared" si="944"/>
        <v>0</v>
      </c>
      <c r="FT713" s="685">
        <f t="shared" si="944"/>
        <v>0</v>
      </c>
      <c r="FU713" s="685">
        <f t="shared" si="944"/>
        <v>0</v>
      </c>
      <c r="FV713" s="685">
        <f t="shared" si="944"/>
        <v>0</v>
      </c>
      <c r="FW713" s="685">
        <v>0</v>
      </c>
      <c r="FX713" s="685">
        <v>0</v>
      </c>
      <c r="FY713" s="685">
        <v>0</v>
      </c>
      <c r="FZ713" s="685">
        <v>0</v>
      </c>
      <c r="GA713" s="685">
        <v>0</v>
      </c>
      <c r="GB713" s="685">
        <v>0</v>
      </c>
      <c r="GC713" s="685">
        <v>0</v>
      </c>
      <c r="GD713" s="685">
        <v>0</v>
      </c>
      <c r="GE713" s="685">
        <v>0</v>
      </c>
      <c r="GF713" s="685">
        <v>0</v>
      </c>
      <c r="GG713" s="685">
        <v>0</v>
      </c>
      <c r="GH713" s="685">
        <v>0</v>
      </c>
      <c r="GI713" s="685">
        <v>0</v>
      </c>
      <c r="GJ713" s="685">
        <v>0</v>
      </c>
      <c r="GK713" s="685">
        <v>0</v>
      </c>
      <c r="GL713" s="685">
        <v>0</v>
      </c>
      <c r="GM713" s="685">
        <v>0</v>
      </c>
      <c r="GN713" s="685">
        <v>0</v>
      </c>
      <c r="GO713" s="685">
        <v>0</v>
      </c>
      <c r="GP713" s="685">
        <v>0</v>
      </c>
      <c r="GQ713" s="685">
        <v>0</v>
      </c>
      <c r="GR713" s="685">
        <v>0</v>
      </c>
      <c r="GS713" s="685">
        <v>0</v>
      </c>
      <c r="GT713" s="685">
        <v>0</v>
      </c>
      <c r="GU713" s="685">
        <v>0</v>
      </c>
      <c r="GV713" s="685">
        <v>0</v>
      </c>
      <c r="GW713" s="685">
        <v>0</v>
      </c>
      <c r="GX713" s="685">
        <v>0</v>
      </c>
      <c r="GY713" s="685">
        <v>0</v>
      </c>
      <c r="GZ713" s="685">
        <v>0</v>
      </c>
      <c r="HA713" s="685">
        <v>0</v>
      </c>
      <c r="HB713" s="685">
        <v>0</v>
      </c>
      <c r="HC713" s="685">
        <v>0</v>
      </c>
      <c r="HD713" s="685">
        <v>0</v>
      </c>
      <c r="HE713" s="685">
        <v>0</v>
      </c>
      <c r="HF713" s="685">
        <v>0</v>
      </c>
      <c r="HG713" s="685">
        <v>0</v>
      </c>
      <c r="HH713" s="685">
        <v>0</v>
      </c>
      <c r="HI713" s="685">
        <v>0</v>
      </c>
      <c r="HJ713" s="685">
        <v>0</v>
      </c>
      <c r="HK713" s="685">
        <v>0</v>
      </c>
      <c r="HL713" s="685">
        <v>0</v>
      </c>
      <c r="HM713" s="685"/>
      <c r="HN713" s="1581"/>
      <c r="HO713" s="355" t="s">
        <v>534</v>
      </c>
      <c r="HP713" s="307">
        <f t="shared" si="879"/>
        <v>0</v>
      </c>
      <c r="HQ713" s="302">
        <f t="shared" si="880"/>
        <v>0</v>
      </c>
      <c r="HR713" s="346">
        <f t="shared" si="698"/>
        <v>0</v>
      </c>
      <c r="HS713" s="302">
        <f t="shared" si="881"/>
        <v>0</v>
      </c>
      <c r="HT713" s="302">
        <f t="shared" si="882"/>
        <v>0</v>
      </c>
      <c r="HU713" s="346">
        <f t="shared" si="678"/>
        <v>0</v>
      </c>
      <c r="HV713" s="307">
        <f t="shared" si="883"/>
        <v>0</v>
      </c>
      <c r="HW713" s="302">
        <f t="shared" si="884"/>
        <v>0</v>
      </c>
      <c r="HX713" s="346">
        <f t="shared" si="679"/>
        <v>0</v>
      </c>
      <c r="HY713" s="350">
        <f t="shared" si="885"/>
        <v>0</v>
      </c>
      <c r="HZ713" s="302">
        <f t="shared" si="886"/>
        <v>0</v>
      </c>
      <c r="IA713" s="346">
        <f t="shared" si="680"/>
        <v>0</v>
      </c>
      <c r="IB713" s="302">
        <f t="shared" si="887"/>
        <v>0</v>
      </c>
      <c r="IC713" s="302">
        <f t="shared" si="888"/>
        <v>0</v>
      </c>
      <c r="ID713" s="346">
        <f t="shared" si="681"/>
        <v>0</v>
      </c>
      <c r="IE713" s="350">
        <f t="shared" si="889"/>
        <v>0</v>
      </c>
      <c r="IF713" s="350">
        <f t="shared" si="890"/>
        <v>0</v>
      </c>
      <c r="IG713" s="346">
        <f t="shared" si="682"/>
        <v>0</v>
      </c>
      <c r="IH713" s="350">
        <f t="shared" si="891"/>
        <v>0</v>
      </c>
      <c r="II713" s="350">
        <f t="shared" si="892"/>
        <v>0</v>
      </c>
      <c r="IJ713" s="346">
        <f t="shared" si="683"/>
        <v>0</v>
      </c>
      <c r="IK713" s="350">
        <f t="shared" si="869"/>
        <v>0</v>
      </c>
      <c r="IL713" s="350">
        <f t="shared" si="864"/>
        <v>0</v>
      </c>
      <c r="IM713" s="346">
        <f>IK713+IL713</f>
        <v>0</v>
      </c>
      <c r="IN713" s="350">
        <f t="shared" si="865"/>
        <v>0</v>
      </c>
      <c r="IO713" s="350">
        <f t="shared" si="866"/>
        <v>0</v>
      </c>
      <c r="IP713" s="346">
        <f t="shared" si="685"/>
        <v>0</v>
      </c>
      <c r="IQ713" s="350">
        <f t="shared" si="867"/>
        <v>0</v>
      </c>
      <c r="IR713" s="350">
        <f t="shared" si="868"/>
        <v>0</v>
      </c>
      <c r="IS713" s="346">
        <f t="shared" si="686"/>
        <v>0</v>
      </c>
      <c r="IT713" s="350">
        <f t="shared" si="870"/>
        <v>0</v>
      </c>
      <c r="IU713" s="350">
        <f t="shared" si="707"/>
        <v>0</v>
      </c>
      <c r="IV713" s="346">
        <f t="shared" si="687"/>
        <v>0</v>
      </c>
      <c r="IW713" s="350">
        <f t="shared" si="700"/>
        <v>0</v>
      </c>
      <c r="IX713" s="350">
        <f t="shared" si="688"/>
        <v>0</v>
      </c>
      <c r="IY713" s="346">
        <f>FISC!AJ1035</f>
        <v>0</v>
      </c>
      <c r="IZ713" s="350">
        <f t="shared" si="936"/>
        <v>0</v>
      </c>
      <c r="JA713" s="302">
        <f t="shared" si="689"/>
        <v>0</v>
      </c>
      <c r="JB713" s="346">
        <f>FISC!AK1035</f>
        <v>0</v>
      </c>
      <c r="JC713" s="350">
        <f t="shared" si="937"/>
        <v>0</v>
      </c>
      <c r="JD713" s="302">
        <f t="shared" si="690"/>
        <v>0</v>
      </c>
      <c r="JE713" s="346">
        <f>FISC!AL1035</f>
        <v>0</v>
      </c>
      <c r="JF713" s="350">
        <f t="shared" si="938"/>
        <v>0</v>
      </c>
      <c r="JG713" s="302">
        <f t="shared" si="691"/>
        <v>0</v>
      </c>
      <c r="JH713" s="346">
        <f>FISC!AM1035</f>
        <v>0</v>
      </c>
      <c r="JI713" s="350">
        <f t="shared" si="939"/>
        <v>0</v>
      </c>
      <c r="JJ713" s="302">
        <f t="shared" si="701"/>
        <v>0</v>
      </c>
      <c r="JK713" s="346">
        <f>FISC!AN1035</f>
        <v>0</v>
      </c>
      <c r="JL713" s="350">
        <f t="shared" si="940"/>
        <v>0</v>
      </c>
      <c r="JM713" s="302">
        <f t="shared" si="692"/>
        <v>0</v>
      </c>
      <c r="JN713" s="346">
        <f>FISC!AO1035</f>
        <v>0</v>
      </c>
      <c r="KI713" s="1581"/>
      <c r="KJ713" s="1043"/>
    </row>
    <row r="714" spans="1:302" s="477" customFormat="1" hidden="1" outlineLevel="1">
      <c r="B714" s="1577"/>
      <c r="C714" s="1577"/>
      <c r="D714" s="1439" t="s">
        <v>530</v>
      </c>
      <c r="E714" s="685"/>
      <c r="F714" s="685"/>
      <c r="G714" s="685"/>
      <c r="H714" s="685"/>
      <c r="I714" s="685"/>
      <c r="J714" s="685"/>
      <c r="K714" s="685"/>
      <c r="L714" s="685"/>
      <c r="M714" s="685"/>
      <c r="N714" s="685"/>
      <c r="O714" s="685"/>
      <c r="P714" s="685"/>
      <c r="Q714" s="685"/>
      <c r="R714" s="685"/>
      <c r="S714" s="685"/>
      <c r="T714" s="685"/>
      <c r="U714" s="685"/>
      <c r="V714" s="685"/>
      <c r="W714" s="685"/>
      <c r="X714" s="685"/>
      <c r="Y714" s="685"/>
      <c r="Z714" s="685"/>
      <c r="AA714" s="685"/>
      <c r="AB714" s="685"/>
      <c r="AC714" s="685"/>
      <c r="AD714" s="685"/>
      <c r="AE714" s="685"/>
      <c r="AF714" s="685"/>
      <c r="AG714" s="685"/>
      <c r="AH714" s="685"/>
      <c r="AI714" s="685"/>
      <c r="AJ714" s="685"/>
      <c r="AK714" s="685"/>
      <c r="AL714" s="685"/>
      <c r="AM714" s="685"/>
      <c r="AN714" s="685"/>
      <c r="AO714" s="685"/>
      <c r="AP714" s="685"/>
      <c r="AQ714" s="685"/>
      <c r="AR714" s="685"/>
      <c r="AS714" s="685"/>
      <c r="AT714" s="685"/>
      <c r="AU714" s="685"/>
      <c r="AV714" s="685"/>
      <c r="AW714" s="685"/>
      <c r="AX714" s="685"/>
      <c r="AY714" s="685"/>
      <c r="AZ714" s="685"/>
      <c r="BA714" s="685"/>
      <c r="BB714" s="685"/>
      <c r="BC714" s="685"/>
      <c r="BD714" s="685"/>
      <c r="BE714" s="685"/>
      <c r="BF714" s="685"/>
      <c r="BG714" s="685"/>
      <c r="BH714" s="685"/>
      <c r="BI714" s="685"/>
      <c r="BJ714" s="685"/>
      <c r="BK714" s="685"/>
      <c r="BL714" s="685"/>
      <c r="BM714" s="685"/>
      <c r="BN714" s="685"/>
      <c r="BO714" s="685"/>
      <c r="BP714" s="685"/>
      <c r="BQ714" s="685"/>
      <c r="BR714" s="685"/>
      <c r="BS714" s="685"/>
      <c r="BT714" s="685"/>
      <c r="BU714" s="685"/>
      <c r="BV714" s="685"/>
      <c r="BW714" s="685"/>
      <c r="BX714" s="685"/>
      <c r="BY714" s="685"/>
      <c r="BZ714" s="685"/>
      <c r="CA714" s="685"/>
      <c r="CB714" s="685"/>
      <c r="CC714" s="685"/>
      <c r="CD714" s="1578"/>
      <c r="CE714" s="685">
        <f t="shared" ref="CE714:DJ714" si="960">CE357</f>
        <v>0</v>
      </c>
      <c r="CF714" s="685">
        <f t="shared" si="960"/>
        <v>0</v>
      </c>
      <c r="CG714" s="685">
        <f t="shared" si="960"/>
        <v>0</v>
      </c>
      <c r="CH714" s="685">
        <f t="shared" si="960"/>
        <v>0</v>
      </c>
      <c r="CI714" s="685">
        <f t="shared" si="960"/>
        <v>0</v>
      </c>
      <c r="CJ714" s="685">
        <f t="shared" si="960"/>
        <v>0</v>
      </c>
      <c r="CK714" s="685">
        <f t="shared" si="960"/>
        <v>0</v>
      </c>
      <c r="CL714" s="685">
        <f t="shared" si="960"/>
        <v>0</v>
      </c>
      <c r="CM714" s="685">
        <f t="shared" si="960"/>
        <v>0</v>
      </c>
      <c r="CN714" s="685">
        <f t="shared" si="960"/>
        <v>0</v>
      </c>
      <c r="CO714" s="685">
        <f t="shared" si="960"/>
        <v>0</v>
      </c>
      <c r="CP714" s="1579">
        <f t="shared" si="960"/>
        <v>0</v>
      </c>
      <c r="CQ714" s="685">
        <f t="shared" si="960"/>
        <v>0</v>
      </c>
      <c r="CR714" s="685">
        <f t="shared" si="960"/>
        <v>0</v>
      </c>
      <c r="CS714" s="685">
        <f t="shared" si="960"/>
        <v>0</v>
      </c>
      <c r="CT714" s="685">
        <f t="shared" si="960"/>
        <v>0</v>
      </c>
      <c r="CU714" s="685">
        <f t="shared" si="960"/>
        <v>0</v>
      </c>
      <c r="CV714" s="685">
        <f t="shared" si="960"/>
        <v>0</v>
      </c>
      <c r="CW714" s="685">
        <f t="shared" si="960"/>
        <v>0</v>
      </c>
      <c r="CX714" s="685">
        <f t="shared" si="960"/>
        <v>0</v>
      </c>
      <c r="CY714" s="685">
        <f t="shared" si="960"/>
        <v>0</v>
      </c>
      <c r="CZ714" s="685">
        <f t="shared" si="960"/>
        <v>0</v>
      </c>
      <c r="DA714" s="685">
        <f t="shared" si="960"/>
        <v>0</v>
      </c>
      <c r="DB714" s="1580">
        <f t="shared" si="960"/>
        <v>0</v>
      </c>
      <c r="DC714" s="685">
        <f t="shared" si="960"/>
        <v>0</v>
      </c>
      <c r="DD714" s="685">
        <f t="shared" si="960"/>
        <v>0</v>
      </c>
      <c r="DE714" s="685">
        <f t="shared" si="960"/>
        <v>0</v>
      </c>
      <c r="DF714" s="685">
        <f t="shared" si="960"/>
        <v>0</v>
      </c>
      <c r="DG714" s="685">
        <f t="shared" si="960"/>
        <v>0</v>
      </c>
      <c r="DH714" s="685">
        <f t="shared" si="960"/>
        <v>0</v>
      </c>
      <c r="DI714" s="685">
        <f t="shared" si="960"/>
        <v>0</v>
      </c>
      <c r="DJ714" s="685">
        <f t="shared" si="960"/>
        <v>0</v>
      </c>
      <c r="DK714" s="685">
        <f t="shared" ref="DK714:EP714" si="961">DK357</f>
        <v>0</v>
      </c>
      <c r="DL714" s="685">
        <f t="shared" si="961"/>
        <v>0</v>
      </c>
      <c r="DM714" s="685">
        <f t="shared" si="961"/>
        <v>0</v>
      </c>
      <c r="DN714" s="1579">
        <f t="shared" si="961"/>
        <v>0</v>
      </c>
      <c r="DO714" s="685">
        <f t="shared" si="961"/>
        <v>0</v>
      </c>
      <c r="DP714" s="685">
        <f t="shared" si="961"/>
        <v>0</v>
      </c>
      <c r="DQ714" s="685">
        <f t="shared" si="961"/>
        <v>0</v>
      </c>
      <c r="DR714" s="685">
        <f t="shared" si="961"/>
        <v>0</v>
      </c>
      <c r="DS714" s="685">
        <f t="shared" si="961"/>
        <v>0</v>
      </c>
      <c r="DT714" s="685">
        <f t="shared" si="961"/>
        <v>0</v>
      </c>
      <c r="DU714" s="685">
        <f t="shared" si="961"/>
        <v>0</v>
      </c>
      <c r="DV714" s="685">
        <f t="shared" si="961"/>
        <v>0</v>
      </c>
      <c r="DW714" s="685">
        <f t="shared" si="961"/>
        <v>0</v>
      </c>
      <c r="DX714" s="685">
        <f t="shared" si="961"/>
        <v>0</v>
      </c>
      <c r="DY714" s="685">
        <f t="shared" si="961"/>
        <v>0</v>
      </c>
      <c r="DZ714" s="1579">
        <f t="shared" si="961"/>
        <v>0</v>
      </c>
      <c r="EA714" s="685">
        <f t="shared" si="961"/>
        <v>0</v>
      </c>
      <c r="EB714" s="685">
        <f t="shared" si="961"/>
        <v>0</v>
      </c>
      <c r="EC714" s="685">
        <f t="shared" si="961"/>
        <v>0</v>
      </c>
      <c r="ED714" s="685">
        <f t="shared" si="961"/>
        <v>0</v>
      </c>
      <c r="EE714" s="685">
        <f t="shared" si="961"/>
        <v>0</v>
      </c>
      <c r="EF714" s="685">
        <f t="shared" si="961"/>
        <v>0</v>
      </c>
      <c r="EG714" s="685">
        <f t="shared" si="961"/>
        <v>0</v>
      </c>
      <c r="EH714" s="685">
        <f t="shared" si="961"/>
        <v>0</v>
      </c>
      <c r="EI714" s="685">
        <f t="shared" si="961"/>
        <v>0</v>
      </c>
      <c r="EJ714" s="685">
        <f t="shared" si="961"/>
        <v>0</v>
      </c>
      <c r="EK714" s="685">
        <f t="shared" si="961"/>
        <v>0</v>
      </c>
      <c r="EL714" s="1579">
        <f t="shared" si="961"/>
        <v>0</v>
      </c>
      <c r="EM714" s="685">
        <f t="shared" si="961"/>
        <v>0</v>
      </c>
      <c r="EN714" s="685">
        <f t="shared" si="961"/>
        <v>0</v>
      </c>
      <c r="EO714" s="685">
        <f t="shared" si="961"/>
        <v>0</v>
      </c>
      <c r="EP714" s="685">
        <f t="shared" si="961"/>
        <v>0</v>
      </c>
      <c r="EQ714" s="685">
        <f t="shared" ref="EQ714:FP714" si="962">EQ357</f>
        <v>0</v>
      </c>
      <c r="ER714" s="685">
        <f t="shared" si="962"/>
        <v>0</v>
      </c>
      <c r="ES714" s="685">
        <f t="shared" si="962"/>
        <v>0</v>
      </c>
      <c r="ET714" s="685">
        <f t="shared" si="962"/>
        <v>0</v>
      </c>
      <c r="EU714" s="685">
        <f t="shared" si="962"/>
        <v>0</v>
      </c>
      <c r="EV714" s="685">
        <f t="shared" si="962"/>
        <v>0</v>
      </c>
      <c r="EW714" s="685">
        <f t="shared" si="962"/>
        <v>0</v>
      </c>
      <c r="EX714" s="1579">
        <f t="shared" si="962"/>
        <v>0</v>
      </c>
      <c r="EY714" s="685">
        <f t="shared" si="962"/>
        <v>0</v>
      </c>
      <c r="EZ714" s="685">
        <f t="shared" si="962"/>
        <v>0</v>
      </c>
      <c r="FA714" s="685">
        <f t="shared" si="962"/>
        <v>0</v>
      </c>
      <c r="FB714" s="685">
        <f t="shared" si="962"/>
        <v>0</v>
      </c>
      <c r="FC714" s="685">
        <f t="shared" si="962"/>
        <v>0</v>
      </c>
      <c r="FD714" s="685">
        <f t="shared" si="962"/>
        <v>0</v>
      </c>
      <c r="FE714" s="685">
        <f t="shared" si="962"/>
        <v>0</v>
      </c>
      <c r="FF714" s="685">
        <f t="shared" si="962"/>
        <v>0</v>
      </c>
      <c r="FG714" s="685">
        <f t="shared" si="962"/>
        <v>0</v>
      </c>
      <c r="FH714" s="685">
        <f t="shared" si="962"/>
        <v>0</v>
      </c>
      <c r="FI714" s="685">
        <f t="shared" si="962"/>
        <v>0</v>
      </c>
      <c r="FJ714" s="1579">
        <f t="shared" si="962"/>
        <v>0</v>
      </c>
      <c r="FK714" s="685">
        <f t="shared" si="962"/>
        <v>0</v>
      </c>
      <c r="FL714" s="685">
        <f t="shared" si="962"/>
        <v>0</v>
      </c>
      <c r="FM714" s="685">
        <f t="shared" si="962"/>
        <v>0</v>
      </c>
      <c r="FN714" s="685">
        <f t="shared" si="962"/>
        <v>0</v>
      </c>
      <c r="FO714" s="685">
        <f t="shared" si="962"/>
        <v>0</v>
      </c>
      <c r="FP714" s="685">
        <f t="shared" si="962"/>
        <v>0</v>
      </c>
      <c r="FQ714" s="685">
        <f t="shared" si="944"/>
        <v>0</v>
      </c>
      <c r="FR714" s="685">
        <f t="shared" si="944"/>
        <v>0</v>
      </c>
      <c r="FS714" s="685">
        <f t="shared" si="944"/>
        <v>0</v>
      </c>
      <c r="FT714" s="685">
        <f t="shared" si="944"/>
        <v>0</v>
      </c>
      <c r="FU714" s="685">
        <f t="shared" si="944"/>
        <v>0</v>
      </c>
      <c r="FV714" s="685">
        <f t="shared" si="944"/>
        <v>0</v>
      </c>
      <c r="FW714" s="685">
        <v>0</v>
      </c>
      <c r="FX714" s="685">
        <v>0</v>
      </c>
      <c r="FY714" s="685">
        <v>0</v>
      </c>
      <c r="FZ714" s="685">
        <v>0</v>
      </c>
      <c r="GA714" s="685">
        <v>0</v>
      </c>
      <c r="GB714" s="685">
        <v>0</v>
      </c>
      <c r="GC714" s="685">
        <v>0</v>
      </c>
      <c r="GD714" s="685">
        <v>0</v>
      </c>
      <c r="GE714" s="685">
        <v>0</v>
      </c>
      <c r="GF714" s="685">
        <v>0</v>
      </c>
      <c r="GG714" s="685">
        <v>0</v>
      </c>
      <c r="GH714" s="685">
        <v>0</v>
      </c>
      <c r="GI714" s="685">
        <v>0</v>
      </c>
      <c r="GJ714" s="685">
        <v>0</v>
      </c>
      <c r="GK714" s="685">
        <v>0</v>
      </c>
      <c r="GL714" s="685">
        <v>0</v>
      </c>
      <c r="GM714" s="685">
        <v>0</v>
      </c>
      <c r="GN714" s="685">
        <v>0</v>
      </c>
      <c r="GO714" s="685">
        <v>0</v>
      </c>
      <c r="GP714" s="685">
        <v>0</v>
      </c>
      <c r="GQ714" s="685">
        <v>0</v>
      </c>
      <c r="GR714" s="685">
        <v>0</v>
      </c>
      <c r="GS714" s="685">
        <v>0</v>
      </c>
      <c r="GT714" s="685">
        <v>0</v>
      </c>
      <c r="GU714" s="685">
        <v>0</v>
      </c>
      <c r="GV714" s="685">
        <v>0</v>
      </c>
      <c r="GW714" s="685">
        <v>0</v>
      </c>
      <c r="GX714" s="685">
        <v>0</v>
      </c>
      <c r="GY714" s="685">
        <v>0</v>
      </c>
      <c r="GZ714" s="685">
        <v>0</v>
      </c>
      <c r="HA714" s="685">
        <v>0</v>
      </c>
      <c r="HB714" s="685">
        <v>0</v>
      </c>
      <c r="HC714" s="685">
        <v>0</v>
      </c>
      <c r="HD714" s="685">
        <v>0</v>
      </c>
      <c r="HE714" s="685">
        <v>0</v>
      </c>
      <c r="HF714" s="685">
        <v>0</v>
      </c>
      <c r="HG714" s="685">
        <v>0</v>
      </c>
      <c r="HH714" s="685">
        <v>0</v>
      </c>
      <c r="HI714" s="685">
        <v>0</v>
      </c>
      <c r="HJ714" s="685">
        <v>0</v>
      </c>
      <c r="HK714" s="685">
        <v>0</v>
      </c>
      <c r="HL714" s="685">
        <v>0</v>
      </c>
      <c r="HM714" s="685"/>
      <c r="HN714" s="1581"/>
      <c r="HO714" s="1439" t="s">
        <v>530</v>
      </c>
      <c r="HP714" s="307">
        <f t="shared" si="879"/>
        <v>0</v>
      </c>
      <c r="HQ714" s="302">
        <f t="shared" si="880"/>
        <v>0</v>
      </c>
      <c r="HR714" s="346">
        <f t="shared" si="698"/>
        <v>0</v>
      </c>
      <c r="HS714" s="302">
        <f t="shared" si="881"/>
        <v>0</v>
      </c>
      <c r="HT714" s="302">
        <f t="shared" si="882"/>
        <v>0</v>
      </c>
      <c r="HU714" s="346">
        <f t="shared" si="678"/>
        <v>0</v>
      </c>
      <c r="HV714" s="307">
        <f t="shared" si="883"/>
        <v>0</v>
      </c>
      <c r="HW714" s="302">
        <f t="shared" si="884"/>
        <v>0</v>
      </c>
      <c r="HX714" s="346">
        <f t="shared" si="679"/>
        <v>0</v>
      </c>
      <c r="HY714" s="350">
        <f t="shared" si="885"/>
        <v>0</v>
      </c>
      <c r="HZ714" s="302">
        <f t="shared" si="886"/>
        <v>0</v>
      </c>
      <c r="IA714" s="346">
        <f t="shared" si="680"/>
        <v>0</v>
      </c>
      <c r="IB714" s="302">
        <f t="shared" si="887"/>
        <v>0</v>
      </c>
      <c r="IC714" s="302">
        <f t="shared" si="888"/>
        <v>0</v>
      </c>
      <c r="ID714" s="346">
        <f t="shared" si="681"/>
        <v>0</v>
      </c>
      <c r="IE714" s="350">
        <f t="shared" si="889"/>
        <v>0</v>
      </c>
      <c r="IF714" s="350">
        <f t="shared" si="890"/>
        <v>0</v>
      </c>
      <c r="IG714" s="346">
        <f t="shared" si="682"/>
        <v>0</v>
      </c>
      <c r="IH714" s="350">
        <f t="shared" si="891"/>
        <v>0</v>
      </c>
      <c r="II714" s="350">
        <f t="shared" si="892"/>
        <v>0</v>
      </c>
      <c r="IJ714" s="346">
        <f t="shared" si="683"/>
        <v>0</v>
      </c>
      <c r="IK714" s="350">
        <f t="shared" si="869"/>
        <v>0</v>
      </c>
      <c r="IL714" s="350">
        <f t="shared" si="864"/>
        <v>0</v>
      </c>
      <c r="IM714" s="346">
        <f t="shared" si="684"/>
        <v>0</v>
      </c>
      <c r="IN714" s="350">
        <f t="shared" si="865"/>
        <v>0</v>
      </c>
      <c r="IO714" s="350">
        <f t="shared" si="866"/>
        <v>0</v>
      </c>
      <c r="IP714" s="346">
        <f t="shared" si="685"/>
        <v>0</v>
      </c>
      <c r="IQ714" s="350">
        <f t="shared" si="867"/>
        <v>0</v>
      </c>
      <c r="IR714" s="350">
        <f t="shared" si="868"/>
        <v>0</v>
      </c>
      <c r="IS714" s="346">
        <f t="shared" si="686"/>
        <v>0</v>
      </c>
      <c r="IT714" s="350">
        <f t="shared" si="870"/>
        <v>0</v>
      </c>
      <c r="IU714" s="350">
        <f t="shared" si="707"/>
        <v>0</v>
      </c>
      <c r="IV714" s="346">
        <f t="shared" si="687"/>
        <v>0</v>
      </c>
      <c r="IW714" s="350">
        <f t="shared" si="700"/>
        <v>0</v>
      </c>
      <c r="IX714" s="350">
        <f t="shared" si="688"/>
        <v>0</v>
      </c>
      <c r="IY714" s="346">
        <f>FISC!AJ1036</f>
        <v>0</v>
      </c>
      <c r="IZ714" s="350">
        <f t="shared" si="936"/>
        <v>0</v>
      </c>
      <c r="JA714" s="302">
        <f t="shared" si="689"/>
        <v>0</v>
      </c>
      <c r="JB714" s="346">
        <f>FISC!AK1036</f>
        <v>0</v>
      </c>
      <c r="JC714" s="350">
        <f t="shared" si="937"/>
        <v>0</v>
      </c>
      <c r="JD714" s="302">
        <f t="shared" si="690"/>
        <v>0</v>
      </c>
      <c r="JE714" s="346">
        <f>FISC!AL1036</f>
        <v>0</v>
      </c>
      <c r="JF714" s="350">
        <f t="shared" si="938"/>
        <v>0</v>
      </c>
      <c r="JG714" s="302">
        <f t="shared" si="691"/>
        <v>0</v>
      </c>
      <c r="JH714" s="346">
        <f>FISC!AM1036</f>
        <v>0</v>
      </c>
      <c r="JI714" s="350">
        <f t="shared" si="939"/>
        <v>0</v>
      </c>
      <c r="JJ714" s="302">
        <f t="shared" si="701"/>
        <v>0</v>
      </c>
      <c r="JK714" s="346">
        <f>FISC!AN1036</f>
        <v>0</v>
      </c>
      <c r="JL714" s="350">
        <f t="shared" si="940"/>
        <v>0</v>
      </c>
      <c r="JM714" s="302">
        <f t="shared" si="692"/>
        <v>0</v>
      </c>
      <c r="JN714" s="346">
        <f>FISC!AO1036</f>
        <v>0</v>
      </c>
      <c r="KI714" s="1581"/>
      <c r="KJ714" s="1043"/>
    </row>
    <row r="715" spans="1:302" s="477" customFormat="1" hidden="1" outlineLevel="1">
      <c r="B715" s="1577"/>
      <c r="C715" s="1577"/>
      <c r="D715" s="1439" t="s">
        <v>531</v>
      </c>
      <c r="E715" s="685"/>
      <c r="F715" s="685"/>
      <c r="G715" s="685"/>
      <c r="H715" s="685"/>
      <c r="I715" s="685"/>
      <c r="J715" s="685"/>
      <c r="K715" s="685"/>
      <c r="L715" s="685"/>
      <c r="M715" s="685"/>
      <c r="N715" s="685"/>
      <c r="O715" s="685"/>
      <c r="P715" s="685"/>
      <c r="Q715" s="685"/>
      <c r="R715" s="685"/>
      <c r="S715" s="685"/>
      <c r="T715" s="685"/>
      <c r="U715" s="685"/>
      <c r="V715" s="685"/>
      <c r="W715" s="685"/>
      <c r="X715" s="685"/>
      <c r="Y715" s="685"/>
      <c r="Z715" s="685"/>
      <c r="AA715" s="685"/>
      <c r="AB715" s="685"/>
      <c r="AC715" s="685"/>
      <c r="AD715" s="685"/>
      <c r="AE715" s="685"/>
      <c r="AF715" s="685"/>
      <c r="AG715" s="685"/>
      <c r="AH715" s="685"/>
      <c r="AI715" s="685"/>
      <c r="AJ715" s="685"/>
      <c r="AK715" s="685"/>
      <c r="AL715" s="685"/>
      <c r="AM715" s="685"/>
      <c r="AN715" s="685"/>
      <c r="AO715" s="685"/>
      <c r="AP715" s="685"/>
      <c r="AQ715" s="685"/>
      <c r="AR715" s="685"/>
      <c r="AS715" s="685"/>
      <c r="AT715" s="685"/>
      <c r="AU715" s="685"/>
      <c r="AV715" s="685"/>
      <c r="AW715" s="685"/>
      <c r="AX715" s="685"/>
      <c r="AY715" s="685"/>
      <c r="AZ715" s="685"/>
      <c r="BA715" s="685"/>
      <c r="BB715" s="685"/>
      <c r="BC715" s="685"/>
      <c r="BD715" s="685"/>
      <c r="BE715" s="685"/>
      <c r="BF715" s="685"/>
      <c r="BG715" s="685"/>
      <c r="BH715" s="685"/>
      <c r="BI715" s="685"/>
      <c r="BJ715" s="685"/>
      <c r="BK715" s="685"/>
      <c r="BL715" s="685"/>
      <c r="BM715" s="685"/>
      <c r="BN715" s="685"/>
      <c r="BO715" s="685"/>
      <c r="BP715" s="685"/>
      <c r="BQ715" s="685"/>
      <c r="BR715" s="685"/>
      <c r="BS715" s="685"/>
      <c r="BT715" s="685"/>
      <c r="BU715" s="685"/>
      <c r="BV715" s="685"/>
      <c r="BW715" s="685"/>
      <c r="BX715" s="685"/>
      <c r="BY715" s="685"/>
      <c r="BZ715" s="685"/>
      <c r="CA715" s="685"/>
      <c r="CB715" s="685"/>
      <c r="CC715" s="685"/>
      <c r="CD715" s="1578"/>
      <c r="CE715" s="685">
        <f t="shared" ref="CE715:DJ715" si="963">CE358</f>
        <v>0</v>
      </c>
      <c r="CF715" s="685">
        <f t="shared" si="963"/>
        <v>0</v>
      </c>
      <c r="CG715" s="685">
        <f t="shared" si="963"/>
        <v>0</v>
      </c>
      <c r="CH715" s="685">
        <f t="shared" si="963"/>
        <v>0</v>
      </c>
      <c r="CI715" s="685">
        <f t="shared" si="963"/>
        <v>0</v>
      </c>
      <c r="CJ715" s="685">
        <f t="shared" si="963"/>
        <v>0</v>
      </c>
      <c r="CK715" s="685">
        <f t="shared" si="963"/>
        <v>0</v>
      </c>
      <c r="CL715" s="685">
        <f t="shared" si="963"/>
        <v>0</v>
      </c>
      <c r="CM715" s="685">
        <f t="shared" si="963"/>
        <v>0</v>
      </c>
      <c r="CN715" s="685">
        <f t="shared" si="963"/>
        <v>0</v>
      </c>
      <c r="CO715" s="685">
        <f t="shared" si="963"/>
        <v>0</v>
      </c>
      <c r="CP715" s="1579">
        <f t="shared" si="963"/>
        <v>0</v>
      </c>
      <c r="CQ715" s="685">
        <f t="shared" si="963"/>
        <v>0</v>
      </c>
      <c r="CR715" s="685">
        <f t="shared" si="963"/>
        <v>0</v>
      </c>
      <c r="CS715" s="685">
        <f t="shared" si="963"/>
        <v>0</v>
      </c>
      <c r="CT715" s="685">
        <f t="shared" si="963"/>
        <v>0</v>
      </c>
      <c r="CU715" s="685">
        <f t="shared" si="963"/>
        <v>0</v>
      </c>
      <c r="CV715" s="685">
        <f t="shared" si="963"/>
        <v>0</v>
      </c>
      <c r="CW715" s="685">
        <f t="shared" si="963"/>
        <v>0</v>
      </c>
      <c r="CX715" s="685">
        <f t="shared" si="963"/>
        <v>0</v>
      </c>
      <c r="CY715" s="685">
        <f t="shared" si="963"/>
        <v>0</v>
      </c>
      <c r="CZ715" s="685">
        <f t="shared" si="963"/>
        <v>0</v>
      </c>
      <c r="DA715" s="685">
        <f t="shared" si="963"/>
        <v>0</v>
      </c>
      <c r="DB715" s="1580">
        <f t="shared" si="963"/>
        <v>0</v>
      </c>
      <c r="DC715" s="685">
        <f t="shared" si="963"/>
        <v>0</v>
      </c>
      <c r="DD715" s="685">
        <f t="shared" si="963"/>
        <v>0</v>
      </c>
      <c r="DE715" s="685">
        <f t="shared" si="963"/>
        <v>0</v>
      </c>
      <c r="DF715" s="685">
        <f t="shared" si="963"/>
        <v>0</v>
      </c>
      <c r="DG715" s="685">
        <f t="shared" si="963"/>
        <v>0</v>
      </c>
      <c r="DH715" s="685">
        <f t="shared" si="963"/>
        <v>0</v>
      </c>
      <c r="DI715" s="685">
        <f t="shared" si="963"/>
        <v>0</v>
      </c>
      <c r="DJ715" s="685">
        <f t="shared" si="963"/>
        <v>0</v>
      </c>
      <c r="DK715" s="685">
        <f t="shared" ref="DK715:EP715" si="964">DK358</f>
        <v>0</v>
      </c>
      <c r="DL715" s="685">
        <f t="shared" si="964"/>
        <v>0</v>
      </c>
      <c r="DM715" s="685">
        <f t="shared" si="964"/>
        <v>0</v>
      </c>
      <c r="DN715" s="1579">
        <f t="shared" si="964"/>
        <v>0</v>
      </c>
      <c r="DO715" s="685">
        <f t="shared" si="964"/>
        <v>0</v>
      </c>
      <c r="DP715" s="685">
        <f t="shared" si="964"/>
        <v>0</v>
      </c>
      <c r="DQ715" s="685">
        <f t="shared" si="964"/>
        <v>0</v>
      </c>
      <c r="DR715" s="685">
        <f t="shared" si="964"/>
        <v>0</v>
      </c>
      <c r="DS715" s="685">
        <f t="shared" si="964"/>
        <v>0</v>
      </c>
      <c r="DT715" s="685">
        <f t="shared" si="964"/>
        <v>0</v>
      </c>
      <c r="DU715" s="685">
        <f t="shared" si="964"/>
        <v>0</v>
      </c>
      <c r="DV715" s="685">
        <f t="shared" si="964"/>
        <v>0</v>
      </c>
      <c r="DW715" s="685">
        <f t="shared" si="964"/>
        <v>0</v>
      </c>
      <c r="DX715" s="685">
        <f t="shared" si="964"/>
        <v>0</v>
      </c>
      <c r="DY715" s="685">
        <f t="shared" si="964"/>
        <v>0</v>
      </c>
      <c r="DZ715" s="1579">
        <f t="shared" si="964"/>
        <v>0</v>
      </c>
      <c r="EA715" s="685">
        <f t="shared" si="964"/>
        <v>0</v>
      </c>
      <c r="EB715" s="685">
        <f t="shared" si="964"/>
        <v>0</v>
      </c>
      <c r="EC715" s="685">
        <f t="shared" si="964"/>
        <v>0</v>
      </c>
      <c r="ED715" s="685">
        <f t="shared" si="964"/>
        <v>0</v>
      </c>
      <c r="EE715" s="685">
        <f t="shared" si="964"/>
        <v>0</v>
      </c>
      <c r="EF715" s="685">
        <f t="shared" si="964"/>
        <v>0</v>
      </c>
      <c r="EG715" s="685">
        <f t="shared" si="964"/>
        <v>0</v>
      </c>
      <c r="EH715" s="685">
        <f t="shared" si="964"/>
        <v>0</v>
      </c>
      <c r="EI715" s="685">
        <f t="shared" si="964"/>
        <v>0</v>
      </c>
      <c r="EJ715" s="685">
        <f t="shared" si="964"/>
        <v>0</v>
      </c>
      <c r="EK715" s="685">
        <f t="shared" si="964"/>
        <v>0</v>
      </c>
      <c r="EL715" s="1579">
        <f t="shared" si="964"/>
        <v>0</v>
      </c>
      <c r="EM715" s="685">
        <f t="shared" si="964"/>
        <v>0</v>
      </c>
      <c r="EN715" s="685">
        <f t="shared" si="964"/>
        <v>0</v>
      </c>
      <c r="EO715" s="685">
        <f t="shared" si="964"/>
        <v>0</v>
      </c>
      <c r="EP715" s="685">
        <f t="shared" si="964"/>
        <v>0</v>
      </c>
      <c r="EQ715" s="685">
        <f t="shared" ref="EQ715:FP715" si="965">EQ358</f>
        <v>0</v>
      </c>
      <c r="ER715" s="685">
        <f t="shared" si="965"/>
        <v>0</v>
      </c>
      <c r="ES715" s="685">
        <f t="shared" si="965"/>
        <v>0</v>
      </c>
      <c r="ET715" s="685">
        <f t="shared" si="965"/>
        <v>0</v>
      </c>
      <c r="EU715" s="685">
        <f t="shared" si="965"/>
        <v>0</v>
      </c>
      <c r="EV715" s="685">
        <f t="shared" si="965"/>
        <v>0</v>
      </c>
      <c r="EW715" s="685">
        <f t="shared" si="965"/>
        <v>0</v>
      </c>
      <c r="EX715" s="1579">
        <f t="shared" si="965"/>
        <v>0</v>
      </c>
      <c r="EY715" s="685">
        <f t="shared" si="965"/>
        <v>0</v>
      </c>
      <c r="EZ715" s="685">
        <f t="shared" si="965"/>
        <v>0</v>
      </c>
      <c r="FA715" s="685">
        <f t="shared" si="965"/>
        <v>0</v>
      </c>
      <c r="FB715" s="685">
        <f t="shared" si="965"/>
        <v>0</v>
      </c>
      <c r="FC715" s="685">
        <f t="shared" si="965"/>
        <v>0</v>
      </c>
      <c r="FD715" s="685">
        <f t="shared" si="965"/>
        <v>0</v>
      </c>
      <c r="FE715" s="685">
        <f t="shared" si="965"/>
        <v>0</v>
      </c>
      <c r="FF715" s="685">
        <f t="shared" si="965"/>
        <v>0</v>
      </c>
      <c r="FG715" s="685">
        <f t="shared" si="965"/>
        <v>0</v>
      </c>
      <c r="FH715" s="685">
        <f t="shared" si="965"/>
        <v>0</v>
      </c>
      <c r="FI715" s="685">
        <f t="shared" si="965"/>
        <v>0</v>
      </c>
      <c r="FJ715" s="1579">
        <f t="shared" si="965"/>
        <v>0</v>
      </c>
      <c r="FK715" s="685">
        <f t="shared" si="965"/>
        <v>0</v>
      </c>
      <c r="FL715" s="685">
        <f t="shared" si="965"/>
        <v>0</v>
      </c>
      <c r="FM715" s="685">
        <f t="shared" si="965"/>
        <v>0</v>
      </c>
      <c r="FN715" s="685">
        <f t="shared" si="965"/>
        <v>0</v>
      </c>
      <c r="FO715" s="685">
        <f t="shared" si="965"/>
        <v>0</v>
      </c>
      <c r="FP715" s="685">
        <f t="shared" si="965"/>
        <v>0</v>
      </c>
      <c r="FQ715" s="685">
        <f t="shared" si="944"/>
        <v>0</v>
      </c>
      <c r="FR715" s="685">
        <f t="shared" si="944"/>
        <v>0</v>
      </c>
      <c r="FS715" s="685">
        <f t="shared" si="944"/>
        <v>0</v>
      </c>
      <c r="FT715" s="685">
        <f t="shared" si="944"/>
        <v>0</v>
      </c>
      <c r="FU715" s="685">
        <f t="shared" si="944"/>
        <v>0</v>
      </c>
      <c r="FV715" s="685">
        <f t="shared" si="944"/>
        <v>0</v>
      </c>
      <c r="FW715" s="685">
        <v>0</v>
      </c>
      <c r="FX715" s="685">
        <v>0</v>
      </c>
      <c r="FY715" s="685">
        <v>0</v>
      </c>
      <c r="FZ715" s="685">
        <v>0</v>
      </c>
      <c r="GA715" s="685">
        <v>0</v>
      </c>
      <c r="GB715" s="685">
        <v>0</v>
      </c>
      <c r="GC715" s="685">
        <v>0</v>
      </c>
      <c r="GD715" s="685">
        <v>0</v>
      </c>
      <c r="GE715" s="685">
        <v>0</v>
      </c>
      <c r="GF715" s="685">
        <v>0</v>
      </c>
      <c r="GG715" s="685">
        <v>0</v>
      </c>
      <c r="GH715" s="685">
        <v>0</v>
      </c>
      <c r="GI715" s="685">
        <v>0</v>
      </c>
      <c r="GJ715" s="685">
        <v>0</v>
      </c>
      <c r="GK715" s="685">
        <v>0</v>
      </c>
      <c r="GL715" s="685">
        <v>0</v>
      </c>
      <c r="GM715" s="685">
        <v>0</v>
      </c>
      <c r="GN715" s="685">
        <v>0</v>
      </c>
      <c r="GO715" s="685">
        <v>0</v>
      </c>
      <c r="GP715" s="685">
        <v>0</v>
      </c>
      <c r="GQ715" s="685">
        <v>0</v>
      </c>
      <c r="GR715" s="685">
        <v>0</v>
      </c>
      <c r="GS715" s="685">
        <v>0</v>
      </c>
      <c r="GT715" s="685">
        <v>0</v>
      </c>
      <c r="GU715" s="685">
        <v>0</v>
      </c>
      <c r="GV715" s="685">
        <v>0</v>
      </c>
      <c r="GW715" s="685">
        <v>0</v>
      </c>
      <c r="GX715" s="685">
        <v>0</v>
      </c>
      <c r="GY715" s="685">
        <v>0</v>
      </c>
      <c r="GZ715" s="685">
        <v>0</v>
      </c>
      <c r="HA715" s="685">
        <v>0</v>
      </c>
      <c r="HB715" s="685">
        <v>0</v>
      </c>
      <c r="HC715" s="685">
        <v>0</v>
      </c>
      <c r="HD715" s="685">
        <v>0</v>
      </c>
      <c r="HE715" s="685">
        <v>0</v>
      </c>
      <c r="HF715" s="685">
        <v>0</v>
      </c>
      <c r="HG715" s="685">
        <v>0</v>
      </c>
      <c r="HH715" s="685">
        <v>0</v>
      </c>
      <c r="HI715" s="685">
        <v>0</v>
      </c>
      <c r="HJ715" s="685">
        <v>0</v>
      </c>
      <c r="HK715" s="685">
        <v>0</v>
      </c>
      <c r="HL715" s="685">
        <v>0</v>
      </c>
      <c r="HM715" s="685"/>
      <c r="HN715" s="1581"/>
      <c r="HO715" s="1439" t="s">
        <v>531</v>
      </c>
      <c r="HP715" s="307">
        <f t="shared" si="879"/>
        <v>0</v>
      </c>
      <c r="HQ715" s="302">
        <f t="shared" si="880"/>
        <v>0</v>
      </c>
      <c r="HR715" s="346">
        <f t="shared" si="698"/>
        <v>0</v>
      </c>
      <c r="HS715" s="302">
        <f t="shared" si="881"/>
        <v>0</v>
      </c>
      <c r="HT715" s="302">
        <f t="shared" si="882"/>
        <v>0</v>
      </c>
      <c r="HU715" s="346">
        <f t="shared" si="678"/>
        <v>0</v>
      </c>
      <c r="HV715" s="307">
        <f t="shared" si="883"/>
        <v>0</v>
      </c>
      <c r="HW715" s="302">
        <f t="shared" si="884"/>
        <v>0</v>
      </c>
      <c r="HX715" s="346">
        <f t="shared" si="679"/>
        <v>0</v>
      </c>
      <c r="HY715" s="350">
        <f t="shared" si="885"/>
        <v>0</v>
      </c>
      <c r="HZ715" s="302">
        <f t="shared" si="886"/>
        <v>0</v>
      </c>
      <c r="IA715" s="346">
        <f t="shared" si="680"/>
        <v>0</v>
      </c>
      <c r="IB715" s="302">
        <f t="shared" si="887"/>
        <v>0</v>
      </c>
      <c r="IC715" s="302">
        <f t="shared" si="888"/>
        <v>0</v>
      </c>
      <c r="ID715" s="346">
        <f t="shared" si="681"/>
        <v>0</v>
      </c>
      <c r="IE715" s="350">
        <f t="shared" si="889"/>
        <v>0</v>
      </c>
      <c r="IF715" s="350">
        <f t="shared" si="890"/>
        <v>0</v>
      </c>
      <c r="IG715" s="346">
        <f t="shared" si="682"/>
        <v>0</v>
      </c>
      <c r="IH715" s="350">
        <f t="shared" si="891"/>
        <v>0</v>
      </c>
      <c r="II715" s="350">
        <f t="shared" si="892"/>
        <v>0</v>
      </c>
      <c r="IJ715" s="346">
        <f t="shared" si="683"/>
        <v>0</v>
      </c>
      <c r="IK715" s="350">
        <f t="shared" si="869"/>
        <v>0</v>
      </c>
      <c r="IL715" s="350">
        <f t="shared" si="864"/>
        <v>0</v>
      </c>
      <c r="IM715" s="346">
        <f t="shared" si="684"/>
        <v>0</v>
      </c>
      <c r="IN715" s="350">
        <f t="shared" si="865"/>
        <v>0</v>
      </c>
      <c r="IO715" s="350">
        <f t="shared" si="866"/>
        <v>0</v>
      </c>
      <c r="IP715" s="346">
        <f t="shared" si="685"/>
        <v>0</v>
      </c>
      <c r="IQ715" s="350">
        <f t="shared" si="867"/>
        <v>0</v>
      </c>
      <c r="IR715" s="350">
        <f t="shared" si="868"/>
        <v>0</v>
      </c>
      <c r="IS715" s="346">
        <f t="shared" si="686"/>
        <v>0</v>
      </c>
      <c r="IT715" s="350">
        <f t="shared" si="870"/>
        <v>0</v>
      </c>
      <c r="IU715" s="350">
        <f t="shared" si="707"/>
        <v>0</v>
      </c>
      <c r="IV715" s="346">
        <f t="shared" si="687"/>
        <v>0</v>
      </c>
      <c r="IW715" s="350">
        <f t="shared" si="700"/>
        <v>0</v>
      </c>
      <c r="IX715" s="350">
        <f t="shared" si="688"/>
        <v>0</v>
      </c>
      <c r="IY715" s="346">
        <f>FISC!AJ1037</f>
        <v>0</v>
      </c>
      <c r="IZ715" s="350">
        <f t="shared" si="936"/>
        <v>0</v>
      </c>
      <c r="JA715" s="302">
        <f t="shared" si="689"/>
        <v>0</v>
      </c>
      <c r="JB715" s="346">
        <f>FISC!AK1037</f>
        <v>0</v>
      </c>
      <c r="JC715" s="350">
        <f t="shared" si="937"/>
        <v>0</v>
      </c>
      <c r="JD715" s="302">
        <f t="shared" si="690"/>
        <v>0</v>
      </c>
      <c r="JE715" s="346">
        <f>FISC!AL1037</f>
        <v>0</v>
      </c>
      <c r="JF715" s="350">
        <f t="shared" si="938"/>
        <v>0</v>
      </c>
      <c r="JG715" s="302">
        <f t="shared" si="691"/>
        <v>0</v>
      </c>
      <c r="JH715" s="346">
        <f>FISC!AM1037</f>
        <v>0</v>
      </c>
      <c r="JI715" s="350">
        <f t="shared" si="939"/>
        <v>0</v>
      </c>
      <c r="JJ715" s="302">
        <f t="shared" si="701"/>
        <v>0</v>
      </c>
      <c r="JK715" s="346">
        <f>FISC!AN1037</f>
        <v>0</v>
      </c>
      <c r="JL715" s="350">
        <f t="shared" si="940"/>
        <v>0</v>
      </c>
      <c r="JM715" s="302">
        <f t="shared" si="692"/>
        <v>0</v>
      </c>
      <c r="JN715" s="346">
        <f>FISC!AO1037</f>
        <v>0</v>
      </c>
      <c r="KI715" s="1581"/>
      <c r="KJ715" s="1043"/>
    </row>
    <row r="716" spans="1:302" s="477" customFormat="1" hidden="1" outlineLevel="1">
      <c r="B716" s="1577"/>
      <c r="C716" s="1577"/>
      <c r="D716" s="1439" t="s">
        <v>535</v>
      </c>
      <c r="E716" s="685"/>
      <c r="F716" s="685"/>
      <c r="G716" s="685"/>
      <c r="H716" s="685"/>
      <c r="I716" s="685"/>
      <c r="J716" s="685"/>
      <c r="K716" s="685"/>
      <c r="L716" s="685"/>
      <c r="M716" s="685"/>
      <c r="N716" s="685"/>
      <c r="O716" s="685"/>
      <c r="P716" s="685"/>
      <c r="Q716" s="685"/>
      <c r="R716" s="685"/>
      <c r="S716" s="685"/>
      <c r="T716" s="685"/>
      <c r="U716" s="685"/>
      <c r="V716" s="685"/>
      <c r="W716" s="685"/>
      <c r="X716" s="685"/>
      <c r="Y716" s="685"/>
      <c r="Z716" s="685"/>
      <c r="AA716" s="685"/>
      <c r="AB716" s="685"/>
      <c r="AC716" s="685"/>
      <c r="AD716" s="685"/>
      <c r="AE716" s="685"/>
      <c r="AF716" s="685"/>
      <c r="AG716" s="685"/>
      <c r="AH716" s="685"/>
      <c r="AI716" s="685"/>
      <c r="AJ716" s="685"/>
      <c r="AK716" s="685"/>
      <c r="AL716" s="685"/>
      <c r="AM716" s="685"/>
      <c r="AN716" s="685"/>
      <c r="AO716" s="685"/>
      <c r="AP716" s="685"/>
      <c r="AQ716" s="685"/>
      <c r="AR716" s="685"/>
      <c r="AS716" s="685"/>
      <c r="AT716" s="685"/>
      <c r="AU716" s="685"/>
      <c r="AV716" s="685"/>
      <c r="AW716" s="685"/>
      <c r="AX716" s="685"/>
      <c r="AY716" s="685"/>
      <c r="AZ716" s="685"/>
      <c r="BA716" s="685"/>
      <c r="BB716" s="685"/>
      <c r="BC716" s="685"/>
      <c r="BD716" s="685"/>
      <c r="BE716" s="685"/>
      <c r="BF716" s="685"/>
      <c r="BG716" s="685"/>
      <c r="BH716" s="685"/>
      <c r="BI716" s="685"/>
      <c r="BJ716" s="685"/>
      <c r="BK716" s="685"/>
      <c r="BL716" s="685"/>
      <c r="BM716" s="685"/>
      <c r="BN716" s="685"/>
      <c r="BO716" s="685"/>
      <c r="BP716" s="685"/>
      <c r="BQ716" s="685"/>
      <c r="BR716" s="685"/>
      <c r="BS716" s="685"/>
      <c r="BT716" s="685"/>
      <c r="BU716" s="685"/>
      <c r="BV716" s="685"/>
      <c r="BW716" s="685"/>
      <c r="BX716" s="685"/>
      <c r="BY716" s="685"/>
      <c r="BZ716" s="685"/>
      <c r="CA716" s="685"/>
      <c r="CB716" s="685"/>
      <c r="CC716" s="685"/>
      <c r="CD716" s="1578"/>
      <c r="CE716" s="685">
        <f t="shared" ref="CE716:DJ716" si="966">CE359</f>
        <v>0</v>
      </c>
      <c r="CF716" s="685">
        <f t="shared" si="966"/>
        <v>0</v>
      </c>
      <c r="CG716" s="685">
        <f t="shared" si="966"/>
        <v>0</v>
      </c>
      <c r="CH716" s="685">
        <f t="shared" si="966"/>
        <v>0</v>
      </c>
      <c r="CI716" s="685">
        <f t="shared" si="966"/>
        <v>0</v>
      </c>
      <c r="CJ716" s="685">
        <f t="shared" si="966"/>
        <v>0</v>
      </c>
      <c r="CK716" s="685">
        <f t="shared" si="966"/>
        <v>0</v>
      </c>
      <c r="CL716" s="685">
        <f t="shared" si="966"/>
        <v>0</v>
      </c>
      <c r="CM716" s="685">
        <f t="shared" si="966"/>
        <v>0</v>
      </c>
      <c r="CN716" s="685">
        <f t="shared" si="966"/>
        <v>0</v>
      </c>
      <c r="CO716" s="685">
        <f t="shared" si="966"/>
        <v>0</v>
      </c>
      <c r="CP716" s="1579">
        <f t="shared" si="966"/>
        <v>0</v>
      </c>
      <c r="CQ716" s="685">
        <f t="shared" si="966"/>
        <v>0</v>
      </c>
      <c r="CR716" s="685">
        <f t="shared" si="966"/>
        <v>0</v>
      </c>
      <c r="CS716" s="685">
        <f t="shared" si="966"/>
        <v>0</v>
      </c>
      <c r="CT716" s="685">
        <f t="shared" si="966"/>
        <v>0</v>
      </c>
      <c r="CU716" s="685">
        <f t="shared" si="966"/>
        <v>0</v>
      </c>
      <c r="CV716" s="685">
        <f t="shared" si="966"/>
        <v>0</v>
      </c>
      <c r="CW716" s="685">
        <f t="shared" si="966"/>
        <v>0</v>
      </c>
      <c r="CX716" s="685">
        <f t="shared" si="966"/>
        <v>0</v>
      </c>
      <c r="CY716" s="685">
        <f t="shared" si="966"/>
        <v>0</v>
      </c>
      <c r="CZ716" s="685">
        <f t="shared" si="966"/>
        <v>0</v>
      </c>
      <c r="DA716" s="685">
        <f t="shared" si="966"/>
        <v>0</v>
      </c>
      <c r="DB716" s="1580">
        <f t="shared" si="966"/>
        <v>0</v>
      </c>
      <c r="DC716" s="685">
        <f t="shared" si="966"/>
        <v>0</v>
      </c>
      <c r="DD716" s="685">
        <f t="shared" si="966"/>
        <v>0</v>
      </c>
      <c r="DE716" s="685">
        <f t="shared" si="966"/>
        <v>0</v>
      </c>
      <c r="DF716" s="685">
        <f t="shared" si="966"/>
        <v>0</v>
      </c>
      <c r="DG716" s="685">
        <f t="shared" si="966"/>
        <v>0</v>
      </c>
      <c r="DH716" s="685">
        <f t="shared" si="966"/>
        <v>0</v>
      </c>
      <c r="DI716" s="685">
        <f t="shared" si="966"/>
        <v>0</v>
      </c>
      <c r="DJ716" s="685">
        <f t="shared" si="966"/>
        <v>0</v>
      </c>
      <c r="DK716" s="685">
        <f t="shared" ref="DK716:EP716" si="967">DK359</f>
        <v>0</v>
      </c>
      <c r="DL716" s="685">
        <f t="shared" si="967"/>
        <v>0</v>
      </c>
      <c r="DM716" s="685">
        <f t="shared" si="967"/>
        <v>0</v>
      </c>
      <c r="DN716" s="1579">
        <f t="shared" si="967"/>
        <v>0</v>
      </c>
      <c r="DO716" s="685">
        <f t="shared" si="967"/>
        <v>0</v>
      </c>
      <c r="DP716" s="685">
        <f t="shared" si="967"/>
        <v>0</v>
      </c>
      <c r="DQ716" s="685">
        <f t="shared" si="967"/>
        <v>0</v>
      </c>
      <c r="DR716" s="685">
        <f t="shared" si="967"/>
        <v>0</v>
      </c>
      <c r="DS716" s="685">
        <f t="shared" si="967"/>
        <v>0</v>
      </c>
      <c r="DT716" s="685">
        <f t="shared" si="967"/>
        <v>0</v>
      </c>
      <c r="DU716" s="685">
        <f t="shared" si="967"/>
        <v>0</v>
      </c>
      <c r="DV716" s="685">
        <f t="shared" si="967"/>
        <v>0</v>
      </c>
      <c r="DW716" s="685">
        <f t="shared" si="967"/>
        <v>0</v>
      </c>
      <c r="DX716" s="685">
        <f t="shared" si="967"/>
        <v>0</v>
      </c>
      <c r="DY716" s="685">
        <f t="shared" si="967"/>
        <v>0</v>
      </c>
      <c r="DZ716" s="1579">
        <f t="shared" si="967"/>
        <v>0</v>
      </c>
      <c r="EA716" s="685">
        <f t="shared" si="967"/>
        <v>0</v>
      </c>
      <c r="EB716" s="685">
        <f t="shared" si="967"/>
        <v>0</v>
      </c>
      <c r="EC716" s="685">
        <f t="shared" si="967"/>
        <v>0</v>
      </c>
      <c r="ED716" s="685">
        <f t="shared" si="967"/>
        <v>0</v>
      </c>
      <c r="EE716" s="685">
        <f t="shared" si="967"/>
        <v>0</v>
      </c>
      <c r="EF716" s="685">
        <f t="shared" si="967"/>
        <v>0</v>
      </c>
      <c r="EG716" s="685">
        <f t="shared" si="967"/>
        <v>0</v>
      </c>
      <c r="EH716" s="685">
        <f t="shared" si="967"/>
        <v>0</v>
      </c>
      <c r="EI716" s="685">
        <f t="shared" si="967"/>
        <v>0</v>
      </c>
      <c r="EJ716" s="685">
        <f t="shared" si="967"/>
        <v>0</v>
      </c>
      <c r="EK716" s="685">
        <f t="shared" si="967"/>
        <v>0</v>
      </c>
      <c r="EL716" s="1579">
        <f t="shared" si="967"/>
        <v>0</v>
      </c>
      <c r="EM716" s="685">
        <f t="shared" si="967"/>
        <v>0</v>
      </c>
      <c r="EN716" s="685">
        <f t="shared" si="967"/>
        <v>0</v>
      </c>
      <c r="EO716" s="685">
        <f t="shared" si="967"/>
        <v>0</v>
      </c>
      <c r="EP716" s="685">
        <f t="shared" si="967"/>
        <v>0</v>
      </c>
      <c r="EQ716" s="685">
        <f t="shared" ref="EQ716:FP716" si="968">EQ359</f>
        <v>0</v>
      </c>
      <c r="ER716" s="685">
        <f t="shared" si="968"/>
        <v>0</v>
      </c>
      <c r="ES716" s="685">
        <f t="shared" si="968"/>
        <v>0</v>
      </c>
      <c r="ET716" s="685">
        <f t="shared" si="968"/>
        <v>0</v>
      </c>
      <c r="EU716" s="685">
        <f t="shared" si="968"/>
        <v>0</v>
      </c>
      <c r="EV716" s="685">
        <f t="shared" si="968"/>
        <v>0</v>
      </c>
      <c r="EW716" s="685">
        <f t="shared" si="968"/>
        <v>0</v>
      </c>
      <c r="EX716" s="1579">
        <f t="shared" si="968"/>
        <v>0</v>
      </c>
      <c r="EY716" s="685">
        <f t="shared" si="968"/>
        <v>0</v>
      </c>
      <c r="EZ716" s="685">
        <f t="shared" si="968"/>
        <v>0</v>
      </c>
      <c r="FA716" s="685">
        <f t="shared" si="968"/>
        <v>0</v>
      </c>
      <c r="FB716" s="685">
        <f t="shared" si="968"/>
        <v>0</v>
      </c>
      <c r="FC716" s="685">
        <f t="shared" si="968"/>
        <v>0</v>
      </c>
      <c r="FD716" s="685">
        <f t="shared" si="968"/>
        <v>0</v>
      </c>
      <c r="FE716" s="685">
        <f t="shared" si="968"/>
        <v>0</v>
      </c>
      <c r="FF716" s="685">
        <f t="shared" si="968"/>
        <v>0</v>
      </c>
      <c r="FG716" s="685">
        <f t="shared" si="968"/>
        <v>0</v>
      </c>
      <c r="FH716" s="685">
        <f t="shared" si="968"/>
        <v>0</v>
      </c>
      <c r="FI716" s="685">
        <f t="shared" si="968"/>
        <v>0</v>
      </c>
      <c r="FJ716" s="1579">
        <f t="shared" si="968"/>
        <v>0</v>
      </c>
      <c r="FK716" s="685">
        <f t="shared" si="968"/>
        <v>0</v>
      </c>
      <c r="FL716" s="685">
        <f t="shared" si="968"/>
        <v>0</v>
      </c>
      <c r="FM716" s="685">
        <f t="shared" si="968"/>
        <v>0</v>
      </c>
      <c r="FN716" s="685">
        <f t="shared" si="968"/>
        <v>0</v>
      </c>
      <c r="FO716" s="685">
        <f t="shared" si="968"/>
        <v>0</v>
      </c>
      <c r="FP716" s="685">
        <f t="shared" si="968"/>
        <v>0</v>
      </c>
      <c r="FQ716" s="685">
        <f t="shared" si="944"/>
        <v>0</v>
      </c>
      <c r="FR716" s="685">
        <f t="shared" si="944"/>
        <v>0</v>
      </c>
      <c r="FS716" s="685">
        <f t="shared" si="944"/>
        <v>0</v>
      </c>
      <c r="FT716" s="685">
        <f t="shared" si="944"/>
        <v>0</v>
      </c>
      <c r="FU716" s="685">
        <f t="shared" si="944"/>
        <v>0</v>
      </c>
      <c r="FV716" s="685">
        <f t="shared" si="944"/>
        <v>0</v>
      </c>
      <c r="FW716" s="685">
        <v>0</v>
      </c>
      <c r="FX716" s="685">
        <v>0</v>
      </c>
      <c r="FY716" s="685">
        <v>0</v>
      </c>
      <c r="FZ716" s="685">
        <v>0</v>
      </c>
      <c r="GA716" s="685">
        <v>0</v>
      </c>
      <c r="GB716" s="685">
        <v>0</v>
      </c>
      <c r="GC716" s="685">
        <v>0</v>
      </c>
      <c r="GD716" s="685">
        <v>0</v>
      </c>
      <c r="GE716" s="685">
        <v>0</v>
      </c>
      <c r="GF716" s="685">
        <v>0</v>
      </c>
      <c r="GG716" s="685">
        <v>0</v>
      </c>
      <c r="GH716" s="685">
        <v>0</v>
      </c>
      <c r="GI716" s="685">
        <v>0</v>
      </c>
      <c r="GJ716" s="685">
        <v>0</v>
      </c>
      <c r="GK716" s="685">
        <v>0</v>
      </c>
      <c r="GL716" s="685">
        <v>0</v>
      </c>
      <c r="GM716" s="685">
        <v>0</v>
      </c>
      <c r="GN716" s="685">
        <v>0</v>
      </c>
      <c r="GO716" s="685">
        <v>0</v>
      </c>
      <c r="GP716" s="685">
        <v>0</v>
      </c>
      <c r="GQ716" s="685">
        <v>0</v>
      </c>
      <c r="GR716" s="685">
        <v>0</v>
      </c>
      <c r="GS716" s="685">
        <v>0</v>
      </c>
      <c r="GT716" s="685">
        <v>0</v>
      </c>
      <c r="GU716" s="685">
        <v>0</v>
      </c>
      <c r="GV716" s="685">
        <v>0</v>
      </c>
      <c r="GW716" s="685">
        <v>0</v>
      </c>
      <c r="GX716" s="685">
        <v>0</v>
      </c>
      <c r="GY716" s="685">
        <v>0</v>
      </c>
      <c r="GZ716" s="685">
        <v>0</v>
      </c>
      <c r="HA716" s="685">
        <v>0</v>
      </c>
      <c r="HB716" s="685">
        <v>0</v>
      </c>
      <c r="HC716" s="685">
        <v>0</v>
      </c>
      <c r="HD716" s="685">
        <v>0</v>
      </c>
      <c r="HE716" s="685">
        <v>0</v>
      </c>
      <c r="HF716" s="685">
        <v>0</v>
      </c>
      <c r="HG716" s="685">
        <v>0</v>
      </c>
      <c r="HH716" s="685">
        <v>0</v>
      </c>
      <c r="HI716" s="685">
        <v>0</v>
      </c>
      <c r="HJ716" s="685">
        <v>0</v>
      </c>
      <c r="HK716" s="685">
        <v>0</v>
      </c>
      <c r="HL716" s="685">
        <v>0</v>
      </c>
      <c r="HM716" s="685"/>
      <c r="HN716" s="1581"/>
      <c r="HO716" s="1439" t="s">
        <v>535</v>
      </c>
      <c r="HP716" s="307">
        <f t="shared" si="879"/>
        <v>0</v>
      </c>
      <c r="HQ716" s="302">
        <f t="shared" si="880"/>
        <v>0</v>
      </c>
      <c r="HR716" s="346">
        <f t="shared" si="698"/>
        <v>0</v>
      </c>
      <c r="HS716" s="302">
        <f t="shared" si="881"/>
        <v>0</v>
      </c>
      <c r="HT716" s="302">
        <f t="shared" si="882"/>
        <v>0</v>
      </c>
      <c r="HU716" s="346">
        <f t="shared" si="678"/>
        <v>0</v>
      </c>
      <c r="HV716" s="307">
        <f t="shared" si="883"/>
        <v>0</v>
      </c>
      <c r="HW716" s="302">
        <f t="shared" si="884"/>
        <v>0</v>
      </c>
      <c r="HX716" s="346">
        <f t="shared" si="679"/>
        <v>0</v>
      </c>
      <c r="HY716" s="350">
        <f t="shared" si="885"/>
        <v>0</v>
      </c>
      <c r="HZ716" s="302">
        <f t="shared" si="886"/>
        <v>0</v>
      </c>
      <c r="IA716" s="346">
        <f t="shared" si="680"/>
        <v>0</v>
      </c>
      <c r="IB716" s="302">
        <f t="shared" si="887"/>
        <v>0</v>
      </c>
      <c r="IC716" s="302">
        <f t="shared" si="888"/>
        <v>0</v>
      </c>
      <c r="ID716" s="346">
        <f t="shared" si="681"/>
        <v>0</v>
      </c>
      <c r="IE716" s="350">
        <f t="shared" si="889"/>
        <v>0</v>
      </c>
      <c r="IF716" s="350">
        <f t="shared" si="890"/>
        <v>0</v>
      </c>
      <c r="IG716" s="346">
        <f t="shared" si="682"/>
        <v>0</v>
      </c>
      <c r="IH716" s="350">
        <f t="shared" si="891"/>
        <v>0</v>
      </c>
      <c r="II716" s="350">
        <f t="shared" si="892"/>
        <v>0</v>
      </c>
      <c r="IJ716" s="346">
        <f t="shared" si="683"/>
        <v>0</v>
      </c>
      <c r="IK716" s="350">
        <f t="shared" si="869"/>
        <v>0</v>
      </c>
      <c r="IL716" s="350">
        <f t="shared" si="864"/>
        <v>0</v>
      </c>
      <c r="IM716" s="346">
        <f>IK716+IL716</f>
        <v>0</v>
      </c>
      <c r="IN716" s="350">
        <f t="shared" si="865"/>
        <v>0</v>
      </c>
      <c r="IO716" s="350">
        <f t="shared" si="866"/>
        <v>0</v>
      </c>
      <c r="IP716" s="346">
        <f t="shared" si="685"/>
        <v>0</v>
      </c>
      <c r="IQ716" s="350">
        <f t="shared" si="867"/>
        <v>0</v>
      </c>
      <c r="IR716" s="350">
        <f t="shared" si="868"/>
        <v>0</v>
      </c>
      <c r="IS716" s="346">
        <f t="shared" si="686"/>
        <v>0</v>
      </c>
      <c r="IT716" s="350">
        <f t="shared" si="870"/>
        <v>0</v>
      </c>
      <c r="IU716" s="350">
        <f t="shared" si="707"/>
        <v>0</v>
      </c>
      <c r="IV716" s="346">
        <f t="shared" si="687"/>
        <v>0</v>
      </c>
      <c r="IW716" s="350">
        <f t="shared" si="700"/>
        <v>0</v>
      </c>
      <c r="IX716" s="350">
        <f t="shared" si="688"/>
        <v>0</v>
      </c>
      <c r="IY716" s="346">
        <f>FISC!AJ1038</f>
        <v>0</v>
      </c>
      <c r="IZ716" s="350">
        <f t="shared" si="936"/>
        <v>0</v>
      </c>
      <c r="JA716" s="302">
        <f t="shared" si="689"/>
        <v>0</v>
      </c>
      <c r="JB716" s="346">
        <f>FISC!AK1038</f>
        <v>0</v>
      </c>
      <c r="JC716" s="350">
        <f t="shared" si="937"/>
        <v>0</v>
      </c>
      <c r="JD716" s="302">
        <f t="shared" si="690"/>
        <v>0</v>
      </c>
      <c r="JE716" s="346">
        <f>FISC!AL1038</f>
        <v>0</v>
      </c>
      <c r="JF716" s="350">
        <f t="shared" si="938"/>
        <v>0</v>
      </c>
      <c r="JG716" s="302">
        <f t="shared" si="691"/>
        <v>0</v>
      </c>
      <c r="JH716" s="346">
        <f>FISC!AM1038</f>
        <v>0</v>
      </c>
      <c r="JI716" s="350">
        <f t="shared" si="939"/>
        <v>0</v>
      </c>
      <c r="JJ716" s="302">
        <f t="shared" si="701"/>
        <v>0</v>
      </c>
      <c r="JK716" s="346">
        <f>FISC!AN1038</f>
        <v>0</v>
      </c>
      <c r="JL716" s="350">
        <f t="shared" si="940"/>
        <v>0</v>
      </c>
      <c r="JM716" s="302">
        <f t="shared" si="692"/>
        <v>0</v>
      </c>
      <c r="JN716" s="346">
        <f>FISC!AO1038</f>
        <v>0</v>
      </c>
      <c r="KI716" s="1581"/>
      <c r="KJ716" s="1043"/>
    </row>
    <row r="717" spans="1:302" hidden="1" outlineLevel="1">
      <c r="A717" s="302"/>
      <c r="B717" s="117" t="s">
        <v>361</v>
      </c>
      <c r="D717" s="354" t="s">
        <v>536</v>
      </c>
      <c r="E717" s="346">
        <f t="shared" ref="E717:BP717" si="969">E718+E722+E726</f>
        <v>0</v>
      </c>
      <c r="F717" s="346">
        <f t="shared" si="969"/>
        <v>0</v>
      </c>
      <c r="G717" s="346">
        <f t="shared" si="969"/>
        <v>0</v>
      </c>
      <c r="H717" s="346">
        <f t="shared" si="969"/>
        <v>0</v>
      </c>
      <c r="I717" s="346">
        <f t="shared" si="969"/>
        <v>0</v>
      </c>
      <c r="J717" s="346">
        <f t="shared" si="969"/>
        <v>0</v>
      </c>
      <c r="K717" s="346">
        <f t="shared" si="969"/>
        <v>0</v>
      </c>
      <c r="L717" s="346">
        <f t="shared" si="969"/>
        <v>0</v>
      </c>
      <c r="M717" s="346">
        <f t="shared" si="969"/>
        <v>0</v>
      </c>
      <c r="N717" s="346">
        <f t="shared" si="969"/>
        <v>0</v>
      </c>
      <c r="O717" s="346">
        <f t="shared" si="969"/>
        <v>0</v>
      </c>
      <c r="P717" s="346">
        <f t="shared" si="969"/>
        <v>0</v>
      </c>
      <c r="Q717" s="346">
        <f t="shared" si="969"/>
        <v>0</v>
      </c>
      <c r="R717" s="346">
        <f t="shared" si="969"/>
        <v>0</v>
      </c>
      <c r="S717" s="346">
        <f t="shared" si="969"/>
        <v>0</v>
      </c>
      <c r="T717" s="346">
        <f t="shared" si="969"/>
        <v>0</v>
      </c>
      <c r="U717" s="346">
        <f t="shared" si="969"/>
        <v>0</v>
      </c>
      <c r="V717" s="346">
        <f t="shared" si="969"/>
        <v>0</v>
      </c>
      <c r="W717" s="346">
        <f t="shared" si="969"/>
        <v>0</v>
      </c>
      <c r="X717" s="346">
        <f t="shared" si="969"/>
        <v>0</v>
      </c>
      <c r="Y717" s="346">
        <f t="shared" si="969"/>
        <v>0</v>
      </c>
      <c r="Z717" s="346">
        <f t="shared" si="969"/>
        <v>0</v>
      </c>
      <c r="AA717" s="346">
        <f t="shared" si="969"/>
        <v>0</v>
      </c>
      <c r="AB717" s="346">
        <f t="shared" si="969"/>
        <v>0</v>
      </c>
      <c r="AC717" s="346">
        <f t="shared" si="969"/>
        <v>0</v>
      </c>
      <c r="AD717" s="346">
        <f t="shared" si="969"/>
        <v>0</v>
      </c>
      <c r="AE717" s="346">
        <f t="shared" si="969"/>
        <v>0</v>
      </c>
      <c r="AF717" s="346">
        <f t="shared" si="969"/>
        <v>0</v>
      </c>
      <c r="AG717" s="346">
        <f t="shared" si="969"/>
        <v>0</v>
      </c>
      <c r="AH717" s="346">
        <f t="shared" si="969"/>
        <v>0</v>
      </c>
      <c r="AI717" s="346">
        <f t="shared" si="969"/>
        <v>0</v>
      </c>
      <c r="AJ717" s="346">
        <f t="shared" si="969"/>
        <v>0</v>
      </c>
      <c r="AK717" s="346">
        <f t="shared" si="969"/>
        <v>0</v>
      </c>
      <c r="AL717" s="346">
        <f t="shared" si="969"/>
        <v>0</v>
      </c>
      <c r="AM717" s="346">
        <f t="shared" si="969"/>
        <v>0</v>
      </c>
      <c r="AN717" s="346">
        <f t="shared" si="969"/>
        <v>0</v>
      </c>
      <c r="AO717" s="346">
        <f t="shared" si="969"/>
        <v>21.649201587</v>
      </c>
      <c r="AP717" s="346">
        <f t="shared" si="969"/>
        <v>0</v>
      </c>
      <c r="AQ717" s="346">
        <f t="shared" si="969"/>
        <v>8.0213442799999992</v>
      </c>
      <c r="AR717" s="346">
        <f t="shared" si="969"/>
        <v>12.581843562</v>
      </c>
      <c r="AS717" s="346">
        <f t="shared" si="969"/>
        <v>9.056692696999999</v>
      </c>
      <c r="AT717" s="346">
        <f t="shared" si="969"/>
        <v>97.265289525</v>
      </c>
      <c r="AU717" s="346">
        <f t="shared" si="969"/>
        <v>14.359943473818106</v>
      </c>
      <c r="AV717" s="346">
        <f t="shared" si="969"/>
        <v>7.232509424266377</v>
      </c>
      <c r="AW717" s="346">
        <f t="shared" si="969"/>
        <v>59.516871442659337</v>
      </c>
      <c r="AX717" s="346">
        <f t="shared" si="969"/>
        <v>33.411417465369809</v>
      </c>
      <c r="AY717" s="346">
        <f t="shared" si="969"/>
        <v>16.044825288505645</v>
      </c>
      <c r="AZ717" s="346">
        <f t="shared" si="969"/>
        <v>109.82659987000741</v>
      </c>
      <c r="BA717" s="346">
        <f t="shared" si="969"/>
        <v>8.8019992640933733</v>
      </c>
      <c r="BB717" s="346">
        <f t="shared" si="969"/>
        <v>10.577286439512136</v>
      </c>
      <c r="BC717" s="346">
        <f t="shared" si="969"/>
        <v>8.244866279878206</v>
      </c>
      <c r="BD717" s="346">
        <f t="shared" si="969"/>
        <v>75.35028321798481</v>
      </c>
      <c r="BE717" s="346">
        <f t="shared" si="969"/>
        <v>9.7280125404380176</v>
      </c>
      <c r="BF717" s="346">
        <f t="shared" si="969"/>
        <v>27.298432574456768</v>
      </c>
      <c r="BG717" s="346">
        <f t="shared" si="969"/>
        <v>49.565736672181224</v>
      </c>
      <c r="BH717" s="346">
        <f t="shared" si="969"/>
        <v>45.808815921452073</v>
      </c>
      <c r="BI717" s="346">
        <f t="shared" si="969"/>
        <v>44.04422361746596</v>
      </c>
      <c r="BJ717" s="346">
        <f t="shared" si="969"/>
        <v>86.384493198957969</v>
      </c>
      <c r="BK717" s="346">
        <f t="shared" si="969"/>
        <v>18.147950790476774</v>
      </c>
      <c r="BL717" s="346">
        <f t="shared" si="969"/>
        <v>86.604788187888346</v>
      </c>
      <c r="BM717" s="346">
        <f t="shared" si="969"/>
        <v>6.0136036638934369</v>
      </c>
      <c r="BN717" s="346">
        <f t="shared" si="969"/>
        <v>11.641648074884673</v>
      </c>
      <c r="BO717" s="346">
        <f t="shared" si="969"/>
        <v>16.867940131778187</v>
      </c>
      <c r="BP717" s="346">
        <f t="shared" si="969"/>
        <v>5.4282211105678257</v>
      </c>
      <c r="BQ717" s="346">
        <f t="shared" ref="BQ717:EB717" si="970">BQ718+BQ722+BQ726</f>
        <v>4.8722007713956961</v>
      </c>
      <c r="BR717" s="346">
        <f t="shared" si="970"/>
        <v>82.006366405057818</v>
      </c>
      <c r="BS717" s="346">
        <f t="shared" si="970"/>
        <v>40.803880088389626</v>
      </c>
      <c r="BT717" s="346">
        <f t="shared" si="970"/>
        <v>14.813409459931112</v>
      </c>
      <c r="BU717" s="346">
        <f t="shared" si="970"/>
        <v>22.770009261522112</v>
      </c>
      <c r="BV717" s="346">
        <f t="shared" si="970"/>
        <v>48.610405375930306</v>
      </c>
      <c r="BW717" s="346">
        <f t="shared" si="970"/>
        <v>41.538890177774903</v>
      </c>
      <c r="BX717" s="346">
        <f t="shared" si="970"/>
        <v>32.076902483857872</v>
      </c>
      <c r="BY717" s="346">
        <f t="shared" si="970"/>
        <v>6.4084407417666696E-6</v>
      </c>
      <c r="BZ717" s="346">
        <f t="shared" si="970"/>
        <v>3.9502690426215792</v>
      </c>
      <c r="CA717" s="346">
        <f t="shared" si="970"/>
        <v>21.932064366094338</v>
      </c>
      <c r="CB717" s="346">
        <f t="shared" si="970"/>
        <v>38.051989401949243</v>
      </c>
      <c r="CC717" s="346">
        <f t="shared" si="970"/>
        <v>50.358811871651319</v>
      </c>
      <c r="CD717" s="352">
        <f t="shared" si="970"/>
        <v>43.183925704585832</v>
      </c>
      <c r="CE717" s="346">
        <f t="shared" si="970"/>
        <v>31.294496220706698</v>
      </c>
      <c r="CF717" s="346">
        <f t="shared" si="970"/>
        <v>38.849477566021811</v>
      </c>
      <c r="CG717" s="346">
        <f t="shared" si="970"/>
        <v>76.031701622894502</v>
      </c>
      <c r="CH717" s="346">
        <f t="shared" si="970"/>
        <v>48.3828124680496</v>
      </c>
      <c r="CI717" s="346">
        <f t="shared" si="970"/>
        <v>36.012732783613451</v>
      </c>
      <c r="CJ717" s="346">
        <f t="shared" si="970"/>
        <v>62.84400919591495</v>
      </c>
      <c r="CK717" s="346">
        <f t="shared" si="970"/>
        <v>22.369328398681304</v>
      </c>
      <c r="CL717" s="346">
        <f t="shared" si="970"/>
        <v>15.370313869472696</v>
      </c>
      <c r="CM717" s="346">
        <f t="shared" si="970"/>
        <v>15.260357731845993</v>
      </c>
      <c r="CN717" s="346">
        <f t="shared" si="970"/>
        <v>60.223322623538365</v>
      </c>
      <c r="CO717" s="346">
        <f t="shared" si="970"/>
        <v>36.611849603410164</v>
      </c>
      <c r="CP717" s="348">
        <f t="shared" si="970"/>
        <v>31.066255138470598</v>
      </c>
      <c r="CQ717" s="346">
        <f t="shared" si="970"/>
        <v>34.448433302576923</v>
      </c>
      <c r="CR717" s="346">
        <f t="shared" si="970"/>
        <v>20.63533699242986</v>
      </c>
      <c r="CS717" s="346">
        <f t="shared" si="970"/>
        <v>32.087946900292721</v>
      </c>
      <c r="CT717" s="346">
        <f t="shared" si="970"/>
        <v>27.612034403931105</v>
      </c>
      <c r="CU717" s="346">
        <f t="shared" si="970"/>
        <v>37.436683176818299</v>
      </c>
      <c r="CV717" s="346">
        <f t="shared" si="970"/>
        <v>88.698945014422492</v>
      </c>
      <c r="CW717" s="346">
        <f t="shared" si="970"/>
        <v>19.204165503062438</v>
      </c>
      <c r="CX717" s="346">
        <f t="shared" si="970"/>
        <v>20.746947771968358</v>
      </c>
      <c r="CY717" s="346">
        <f t="shared" si="970"/>
        <v>35.869115706465713</v>
      </c>
      <c r="CZ717" s="346">
        <f t="shared" si="970"/>
        <v>25.985062782443698</v>
      </c>
      <c r="DA717" s="346">
        <f t="shared" si="970"/>
        <v>51.924950351204735</v>
      </c>
      <c r="DB717" s="1479">
        <f t="shared" si="970"/>
        <v>21.277785089683185</v>
      </c>
      <c r="DC717" s="346">
        <f t="shared" si="970"/>
        <v>31.952444359087636</v>
      </c>
      <c r="DD717" s="346">
        <f t="shared" si="970"/>
        <v>25.176932769502265</v>
      </c>
      <c r="DE717" s="346">
        <f t="shared" si="970"/>
        <v>37.733474002093303</v>
      </c>
      <c r="DF717" s="346">
        <f t="shared" si="970"/>
        <v>10.630564396348262</v>
      </c>
      <c r="DG717" s="346">
        <f t="shared" si="970"/>
        <v>42.242365627815268</v>
      </c>
      <c r="DH717" s="346">
        <f t="shared" si="970"/>
        <v>51.857928151955861</v>
      </c>
      <c r="DI717" s="346">
        <f t="shared" si="970"/>
        <v>10.091643304932198</v>
      </c>
      <c r="DJ717" s="346">
        <f t="shared" si="970"/>
        <v>14.552678703328509</v>
      </c>
      <c r="DK717" s="346">
        <f t="shared" si="970"/>
        <v>15.303282783798712</v>
      </c>
      <c r="DL717" s="346">
        <f t="shared" si="970"/>
        <v>65.287056068877121</v>
      </c>
      <c r="DM717" s="346">
        <f t="shared" si="970"/>
        <v>19.525803094469907</v>
      </c>
      <c r="DN717" s="348">
        <f t="shared" si="970"/>
        <v>49.359432531340339</v>
      </c>
      <c r="DO717" s="346">
        <f t="shared" si="970"/>
        <v>33.422444226957452</v>
      </c>
      <c r="DP717" s="346">
        <f t="shared" si="970"/>
        <v>18.29263575142069</v>
      </c>
      <c r="DQ717" s="346">
        <f t="shared" si="970"/>
        <v>12.474113623446415</v>
      </c>
      <c r="DR717" s="346">
        <f t="shared" si="970"/>
        <v>3.5377734003285308</v>
      </c>
      <c r="DS717" s="346">
        <f t="shared" si="970"/>
        <v>31.35309165422964</v>
      </c>
      <c r="DT717" s="346">
        <f t="shared" si="970"/>
        <v>66.135865509090536</v>
      </c>
      <c r="DU717" s="346">
        <f t="shared" si="970"/>
        <v>26.913274467305172</v>
      </c>
      <c r="DV717" s="346">
        <f t="shared" si="970"/>
        <v>15.756937633074747</v>
      </c>
      <c r="DW717" s="346">
        <f t="shared" si="970"/>
        <v>20.479289792514571</v>
      </c>
      <c r="DX717" s="346">
        <f t="shared" si="970"/>
        <v>18.128668872949451</v>
      </c>
      <c r="DY717" s="346">
        <f t="shared" si="970"/>
        <v>11.651588312578538</v>
      </c>
      <c r="DZ717" s="348">
        <f t="shared" si="970"/>
        <v>72.036400702622785</v>
      </c>
      <c r="EA717" s="346">
        <f t="shared" si="970"/>
        <v>34.374027905691761</v>
      </c>
      <c r="EB717" s="346">
        <f t="shared" si="970"/>
        <v>19.935162580397741</v>
      </c>
      <c r="EC717" s="346">
        <f t="shared" ref="EC717:FP717" si="971">EC718+EC722+EC726</f>
        <v>25.342666027910504</v>
      </c>
      <c r="ED717" s="346">
        <f t="shared" si="971"/>
        <v>23.34687522806593</v>
      </c>
      <c r="EE717" s="346">
        <f t="shared" si="971"/>
        <v>28.348180612750795</v>
      </c>
      <c r="EF717" s="346">
        <f t="shared" si="971"/>
        <v>63.428379327498348</v>
      </c>
      <c r="EG717" s="346">
        <f t="shared" si="971"/>
        <v>47.224657854775174</v>
      </c>
      <c r="EH717" s="346">
        <f t="shared" si="971"/>
        <v>16.080746444490156</v>
      </c>
      <c r="EI717" s="346">
        <f t="shared" si="971"/>
        <v>37.312599014628738</v>
      </c>
      <c r="EJ717" s="346">
        <f t="shared" si="971"/>
        <v>24.48871988855079</v>
      </c>
      <c r="EK717" s="346">
        <f t="shared" si="971"/>
        <v>8.1360103973705851</v>
      </c>
      <c r="EL717" s="348">
        <f t="shared" si="971"/>
        <v>30.89065158657996</v>
      </c>
      <c r="EM717" s="346">
        <f t="shared" si="971"/>
        <v>23.923055191511224</v>
      </c>
      <c r="EN717" s="346">
        <f t="shared" si="971"/>
        <v>33.012554116012367</v>
      </c>
      <c r="EO717" s="346">
        <f t="shared" si="971"/>
        <v>32.159939741700256</v>
      </c>
      <c r="EP717" s="346">
        <f t="shared" si="971"/>
        <v>25.713574178749187</v>
      </c>
      <c r="EQ717" s="346">
        <f t="shared" si="971"/>
        <v>8.589162902411001</v>
      </c>
      <c r="ER717" s="346">
        <f t="shared" si="971"/>
        <v>111.15390138590099</v>
      </c>
      <c r="ES717" s="346">
        <f t="shared" si="971"/>
        <v>25.804821157746737</v>
      </c>
      <c r="ET717" s="346">
        <f t="shared" si="971"/>
        <v>40.261564226468217</v>
      </c>
      <c r="EU717" s="346">
        <f t="shared" si="971"/>
        <v>26.416724477371513</v>
      </c>
      <c r="EV717" s="346">
        <f t="shared" si="971"/>
        <v>31.9069752635531</v>
      </c>
      <c r="EW717" s="346">
        <f t="shared" si="971"/>
        <v>9.2735813359162655</v>
      </c>
      <c r="EX717" s="348">
        <f t="shared" si="971"/>
        <v>26.53420387887488</v>
      </c>
      <c r="EY717" s="346">
        <f t="shared" si="971"/>
        <v>32.241833855093404</v>
      </c>
      <c r="EZ717" s="346">
        <f t="shared" si="971"/>
        <v>19.120340874614172</v>
      </c>
      <c r="FA717" s="346">
        <f t="shared" si="971"/>
        <v>42.084767594036236</v>
      </c>
      <c r="FB717" s="346">
        <f t="shared" si="971"/>
        <v>17.141012261463228</v>
      </c>
      <c r="FC717" s="346">
        <f t="shared" si="971"/>
        <v>28.591621457094867</v>
      </c>
      <c r="FD717" s="346">
        <f t="shared" si="971"/>
        <v>81.29019426761478</v>
      </c>
      <c r="FE717" s="346">
        <f t="shared" si="971"/>
        <v>18.57477772208745</v>
      </c>
      <c r="FF717" s="346">
        <f t="shared" si="971"/>
        <v>40.829624657206764</v>
      </c>
      <c r="FG717" s="346">
        <f t="shared" si="971"/>
        <v>23.485399915408056</v>
      </c>
      <c r="FH717" s="346">
        <f t="shared" si="971"/>
        <v>43.434433253070914</v>
      </c>
      <c r="FI717" s="346">
        <f t="shared" si="971"/>
        <v>25.711020665681996</v>
      </c>
      <c r="FJ717" s="348">
        <f t="shared" si="971"/>
        <v>65.053378120495665</v>
      </c>
      <c r="FK717" s="346">
        <f t="shared" si="971"/>
        <v>18.016468952481294</v>
      </c>
      <c r="FL717" s="346">
        <f t="shared" si="971"/>
        <v>22.038160849417618</v>
      </c>
      <c r="FM717" s="346">
        <f t="shared" si="971"/>
        <v>85.114840036842878</v>
      </c>
      <c r="FN717" s="346">
        <f t="shared" si="971"/>
        <v>55.795753342564119</v>
      </c>
      <c r="FO717" s="346">
        <f t="shared" si="971"/>
        <v>24.596989962932081</v>
      </c>
      <c r="FP717" s="346">
        <f t="shared" si="971"/>
        <v>52.943284085381222</v>
      </c>
      <c r="FQ717" s="346">
        <f t="shared" ref="FQ717:FV717" si="972">FQ718+FQ722+FQ726</f>
        <v>26.0973223375467</v>
      </c>
      <c r="FR717" s="346">
        <f t="shared" si="972"/>
        <v>26.0973223375467</v>
      </c>
      <c r="FS717" s="346">
        <f t="shared" si="972"/>
        <v>101.97518335178538</v>
      </c>
      <c r="FT717" s="346">
        <f t="shared" si="972"/>
        <v>40.092255082663847</v>
      </c>
      <c r="FU717" s="346">
        <f t="shared" si="972"/>
        <v>26.540783368213397</v>
      </c>
      <c r="FV717" s="346">
        <f t="shared" si="972"/>
        <v>81.779804093706915</v>
      </c>
      <c r="FW717" s="346">
        <v>25.536817192198459</v>
      </c>
      <c r="FX717" s="346">
        <v>68.769149023021257</v>
      </c>
      <c r="FY717" s="346">
        <v>34.1409768277097</v>
      </c>
      <c r="FZ717" s="346">
        <v>51.587092125766084</v>
      </c>
      <c r="GA717" s="346">
        <v>54.156510223755291</v>
      </c>
      <c r="GB717" s="346">
        <v>64.522391058925933</v>
      </c>
      <c r="GC717" s="346">
        <v>51.379938509455535</v>
      </c>
      <c r="GD717" s="346">
        <v>32.894609653005027</v>
      </c>
      <c r="GE717" s="346">
        <v>127.61318963777623</v>
      </c>
      <c r="GF717" s="346">
        <v>64.638842304396093</v>
      </c>
      <c r="GG717" s="346">
        <v>211.40135803759989</v>
      </c>
      <c r="GH717" s="346">
        <v>37.543484832671957</v>
      </c>
      <c r="GI717" s="346">
        <f t="shared" ref="GI717:GN717" si="973">GI718+GI722+GI726</f>
        <v>62.74872643707684</v>
      </c>
      <c r="GJ717" s="346">
        <f t="shared" si="973"/>
        <v>33.996989547576973</v>
      </c>
      <c r="GK717" s="346">
        <f t="shared" si="973"/>
        <v>31.0326441574929</v>
      </c>
      <c r="GL717" s="346">
        <f t="shared" si="973"/>
        <v>54.975020401665994</v>
      </c>
      <c r="GM717" s="346">
        <f t="shared" si="973"/>
        <v>31.0326441574929</v>
      </c>
      <c r="GN717" s="346">
        <f t="shared" si="973"/>
        <v>58.862560093245818</v>
      </c>
      <c r="GO717" s="346">
        <f t="shared" ref="GO717:HL717" si="974">GO718+GO722+GO726</f>
        <v>36.823556696673975</v>
      </c>
      <c r="GP717" s="346">
        <f t="shared" si="974"/>
        <v>35.848173299673974</v>
      </c>
      <c r="GQ717" s="346">
        <f t="shared" si="974"/>
        <v>35.848173299673974</v>
      </c>
      <c r="GR717" s="346">
        <f t="shared" si="974"/>
        <v>211.7847689805443</v>
      </c>
      <c r="GS717" s="346">
        <f t="shared" si="974"/>
        <v>47.861229932689682</v>
      </c>
      <c r="GT717" s="346">
        <f t="shared" si="974"/>
        <v>70.492758751144535</v>
      </c>
      <c r="GU717" s="346">
        <f t="shared" si="974"/>
        <v>34.381813544500368</v>
      </c>
      <c r="GV717" s="346">
        <f t="shared" si="974"/>
        <v>9.7639445017651276</v>
      </c>
      <c r="GW717" s="346">
        <f t="shared" si="974"/>
        <v>127.49641382185916</v>
      </c>
      <c r="GX717" s="346">
        <f t="shared" si="974"/>
        <v>14.899181219072448</v>
      </c>
      <c r="GY717" s="346">
        <f t="shared" si="974"/>
        <v>22.534442006360759</v>
      </c>
      <c r="GZ717" s="346">
        <f t="shared" si="974"/>
        <v>125.2904778409454</v>
      </c>
      <c r="HA717" s="346">
        <f t="shared" si="974"/>
        <v>14.411668654781918</v>
      </c>
      <c r="HB717" s="346">
        <f t="shared" si="974"/>
        <v>0</v>
      </c>
      <c r="HC717" s="346">
        <f t="shared" si="974"/>
        <v>135.58406579948007</v>
      </c>
      <c r="HD717" s="346">
        <f t="shared" si="974"/>
        <v>29.529508718633497</v>
      </c>
      <c r="HE717" s="346">
        <f t="shared" si="974"/>
        <v>91.100709918904002</v>
      </c>
      <c r="HF717" s="346">
        <f t="shared" si="974"/>
        <v>152.79918350532938</v>
      </c>
      <c r="HG717" s="346">
        <f t="shared" si="974"/>
        <v>36.550565428489207</v>
      </c>
      <c r="HH717" s="346">
        <f t="shared" si="974"/>
        <v>0</v>
      </c>
      <c r="HI717" s="346">
        <f t="shared" si="974"/>
        <v>121.5161496827613</v>
      </c>
      <c r="HJ717" s="346">
        <f t="shared" si="974"/>
        <v>34.237850121589396</v>
      </c>
      <c r="HK717" s="346">
        <f t="shared" si="974"/>
        <v>6.9469754804080805</v>
      </c>
      <c r="HL717" s="346">
        <f t="shared" si="974"/>
        <v>163.71812133269415</v>
      </c>
      <c r="HM717" s="346"/>
      <c r="HN717" s="349"/>
      <c r="HO717" s="354" t="s">
        <v>536</v>
      </c>
      <c r="HP717" s="307">
        <f t="shared" si="879"/>
        <v>293.41522985720098</v>
      </c>
      <c r="HQ717" s="302">
        <f t="shared" si="880"/>
        <v>180.90142736541915</v>
      </c>
      <c r="HR717" s="346">
        <f t="shared" si="698"/>
        <v>474.31665722262017</v>
      </c>
      <c r="HS717" s="302">
        <f t="shared" si="881"/>
        <v>240.9193797904714</v>
      </c>
      <c r="HT717" s="302">
        <f t="shared" si="882"/>
        <v>175.00802720482812</v>
      </c>
      <c r="HU717" s="346">
        <f t="shared" si="678"/>
        <v>415.92740699529952</v>
      </c>
      <c r="HV717" s="307">
        <f t="shared" si="883"/>
        <v>199.59370930680259</v>
      </c>
      <c r="HW717" s="302">
        <f t="shared" si="884"/>
        <v>174.1198964867468</v>
      </c>
      <c r="HX717" s="346">
        <f t="shared" si="679"/>
        <v>373.71360579354939</v>
      </c>
      <c r="HY717" s="350">
        <f t="shared" si="885"/>
        <v>165.21592416547327</v>
      </c>
      <c r="HZ717" s="302">
        <f t="shared" si="886"/>
        <v>164.96615978104526</v>
      </c>
      <c r="IA717" s="346">
        <f t="shared" si="680"/>
        <v>330.18208394651856</v>
      </c>
      <c r="IB717" s="302">
        <f t="shared" si="887"/>
        <v>194.77529168231507</v>
      </c>
      <c r="IC717" s="302">
        <f t="shared" si="888"/>
        <v>164.1333851863954</v>
      </c>
      <c r="ID717" s="346">
        <f t="shared" si="681"/>
        <v>358.90867686871047</v>
      </c>
      <c r="IE717" s="350">
        <f t="shared" si="889"/>
        <v>234.55218751628502</v>
      </c>
      <c r="IF717" s="350">
        <f t="shared" si="890"/>
        <v>160.19787033993072</v>
      </c>
      <c r="IG717" s="346">
        <f t="shared" si="682"/>
        <v>394.75005785621573</v>
      </c>
      <c r="IH717" s="350">
        <f t="shared" si="891"/>
        <v>220.46977030991667</v>
      </c>
      <c r="II717" s="350">
        <f t="shared" si="892"/>
        <v>217.08863433395084</v>
      </c>
      <c r="IJ717" s="346">
        <f t="shared" si="683"/>
        <v>437.5584046438675</v>
      </c>
      <c r="IK717" s="350">
        <f t="shared" si="869"/>
        <v>258.50549722961921</v>
      </c>
      <c r="IL717" s="350">
        <f t="shared" si="864"/>
        <v>302.58267057146293</v>
      </c>
      <c r="IM717" s="346">
        <f t="shared" si="684"/>
        <v>561.08816780108214</v>
      </c>
      <c r="IN717" s="350">
        <f t="shared" si="865"/>
        <v>298.71293645137666</v>
      </c>
      <c r="IO717" s="350">
        <f t="shared" si="866"/>
        <v>525.47142297490473</v>
      </c>
      <c r="IP717" s="346">
        <f t="shared" si="685"/>
        <v>824.18435942628139</v>
      </c>
      <c r="IQ717" s="350">
        <f t="shared" si="867"/>
        <v>272.64858479455143</v>
      </c>
      <c r="IR717" s="350">
        <f t="shared" si="868"/>
        <v>438.65866096040048</v>
      </c>
      <c r="IS717" s="346">
        <f t="shared" si="686"/>
        <v>711.30724575495196</v>
      </c>
      <c r="IT717" s="350">
        <f>IT718+IT722+IT726+IT729</f>
        <v>334.36627293450329</v>
      </c>
      <c r="IU717" s="350">
        <f>IU718+IU722+IU726+IU729</f>
        <v>423.42513659712887</v>
      </c>
      <c r="IV717" s="346">
        <f t="shared" si="687"/>
        <v>757.7914095316321</v>
      </c>
      <c r="IW717" s="350">
        <f t="shared" si="700"/>
        <v>362.96966204594213</v>
      </c>
      <c r="IX717" s="350">
        <f t="shared" si="688"/>
        <v>262.799077188171</v>
      </c>
      <c r="IY717" s="346">
        <f>FISC!AJ1039</f>
        <v>625.76873923411313</v>
      </c>
      <c r="IZ717" s="350">
        <f>IZ718+IZ722+IZ726+IZ729</f>
        <v>286.41828932310369</v>
      </c>
      <c r="JA717" s="302">
        <f t="shared" si="689"/>
        <v>298.79671902821593</v>
      </c>
      <c r="JB717" s="346">
        <f>FISC!AK1039</f>
        <v>585.21500835131963</v>
      </c>
      <c r="JC717" s="350">
        <f>JC718+JC722+JC726+JC729</f>
        <v>313.95646001974819</v>
      </c>
      <c r="JD717" s="302">
        <f t="shared" si="690"/>
        <v>346.11016377166845</v>
      </c>
      <c r="JE717" s="346">
        <f>FISC!AL1039</f>
        <v>660.06662379141665</v>
      </c>
      <c r="JF717" s="350">
        <f>JF718+JF722+JF726+JF729</f>
        <v>351.88672392521784</v>
      </c>
      <c r="JG717" s="302">
        <f t="shared" si="691"/>
        <v>387.88364945025597</v>
      </c>
      <c r="JH717" s="346">
        <f>FISC!AM1039</f>
        <v>739.77037337547381</v>
      </c>
      <c r="JI717" s="350">
        <f>JI718+JI722+JI726+JI729</f>
        <v>389.91734556529627</v>
      </c>
      <c r="JJ717" s="302">
        <f t="shared" si="701"/>
        <v>404.40670546206331</v>
      </c>
      <c r="JK717" s="346">
        <f>FISC!AN1039</f>
        <v>794.32405102735959</v>
      </c>
      <c r="JL717" s="350">
        <f>JL718+JL722+JL726+JL729</f>
        <v>406.96340689898079</v>
      </c>
      <c r="JM717" s="302">
        <f t="shared" si="692"/>
        <v>458.00283295614702</v>
      </c>
      <c r="JN717" s="346">
        <f>FISC!AO1039</f>
        <v>864.96623985512781</v>
      </c>
      <c r="KI717" s="349"/>
      <c r="KJ717" s="350"/>
      <c r="KM717" s="302">
        <f>KM718+KM722+KM726</f>
        <v>0</v>
      </c>
      <c r="KN717" s="302">
        <f>KN718+KN722+KN726</f>
        <v>0</v>
      </c>
      <c r="KO717" s="302">
        <f>KO718+KO722+KO726</f>
        <v>0</v>
      </c>
      <c r="KP717" s="302">
        <f>KP718+KP722+KP726</f>
        <v>0</v>
      </c>
    </row>
    <row r="718" spans="1:302" hidden="1" outlineLevel="1">
      <c r="A718" s="302"/>
      <c r="B718" s="117" t="s">
        <v>361</v>
      </c>
      <c r="D718" s="356" t="s">
        <v>537</v>
      </c>
      <c r="E718" s="346">
        <f t="shared" ref="E718:BP718" si="975">SUM(E719:E721)</f>
        <v>0</v>
      </c>
      <c r="F718" s="346">
        <f t="shared" si="975"/>
        <v>0</v>
      </c>
      <c r="G718" s="346">
        <f t="shared" si="975"/>
        <v>0</v>
      </c>
      <c r="H718" s="346">
        <f t="shared" si="975"/>
        <v>0</v>
      </c>
      <c r="I718" s="346">
        <f t="shared" si="975"/>
        <v>0</v>
      </c>
      <c r="J718" s="346">
        <f t="shared" si="975"/>
        <v>0</v>
      </c>
      <c r="K718" s="346">
        <f t="shared" si="975"/>
        <v>0</v>
      </c>
      <c r="L718" s="346">
        <f t="shared" si="975"/>
        <v>0</v>
      </c>
      <c r="M718" s="346">
        <f t="shared" si="975"/>
        <v>0</v>
      </c>
      <c r="N718" s="346">
        <f t="shared" si="975"/>
        <v>0</v>
      </c>
      <c r="O718" s="346">
        <f t="shared" si="975"/>
        <v>0</v>
      </c>
      <c r="P718" s="346">
        <f t="shared" si="975"/>
        <v>0</v>
      </c>
      <c r="Q718" s="346">
        <f t="shared" si="975"/>
        <v>0</v>
      </c>
      <c r="R718" s="346">
        <f t="shared" si="975"/>
        <v>0</v>
      </c>
      <c r="S718" s="346">
        <f t="shared" si="975"/>
        <v>0</v>
      </c>
      <c r="T718" s="346">
        <f t="shared" si="975"/>
        <v>0</v>
      </c>
      <c r="U718" s="346">
        <f t="shared" si="975"/>
        <v>0</v>
      </c>
      <c r="V718" s="346">
        <f t="shared" si="975"/>
        <v>0</v>
      </c>
      <c r="W718" s="346">
        <f t="shared" si="975"/>
        <v>0</v>
      </c>
      <c r="X718" s="346">
        <f t="shared" si="975"/>
        <v>0</v>
      </c>
      <c r="Y718" s="346">
        <f t="shared" si="975"/>
        <v>0</v>
      </c>
      <c r="Z718" s="346">
        <f t="shared" si="975"/>
        <v>0</v>
      </c>
      <c r="AA718" s="346">
        <f t="shared" si="975"/>
        <v>0</v>
      </c>
      <c r="AB718" s="346">
        <f t="shared" si="975"/>
        <v>0</v>
      </c>
      <c r="AC718" s="346">
        <f t="shared" si="975"/>
        <v>0</v>
      </c>
      <c r="AD718" s="346">
        <f t="shared" si="975"/>
        <v>0</v>
      </c>
      <c r="AE718" s="346">
        <f t="shared" si="975"/>
        <v>0</v>
      </c>
      <c r="AF718" s="346">
        <f t="shared" si="975"/>
        <v>0</v>
      </c>
      <c r="AG718" s="346">
        <f t="shared" si="975"/>
        <v>0</v>
      </c>
      <c r="AH718" s="346">
        <f t="shared" si="975"/>
        <v>0</v>
      </c>
      <c r="AI718" s="346">
        <f t="shared" si="975"/>
        <v>0</v>
      </c>
      <c r="AJ718" s="346">
        <f t="shared" si="975"/>
        <v>0</v>
      </c>
      <c r="AK718" s="346">
        <f t="shared" si="975"/>
        <v>0</v>
      </c>
      <c r="AL718" s="346">
        <f t="shared" si="975"/>
        <v>0</v>
      </c>
      <c r="AM718" s="346">
        <f t="shared" si="975"/>
        <v>0</v>
      </c>
      <c r="AN718" s="346">
        <f t="shared" si="975"/>
        <v>0</v>
      </c>
      <c r="AO718" s="346">
        <f t="shared" si="975"/>
        <v>0</v>
      </c>
      <c r="AP718" s="346">
        <f t="shared" si="975"/>
        <v>0</v>
      </c>
      <c r="AQ718" s="346">
        <f t="shared" si="975"/>
        <v>0</v>
      </c>
      <c r="AR718" s="346">
        <f t="shared" si="975"/>
        <v>0</v>
      </c>
      <c r="AS718" s="346">
        <f t="shared" si="975"/>
        <v>0</v>
      </c>
      <c r="AT718" s="346">
        <f t="shared" si="975"/>
        <v>0</v>
      </c>
      <c r="AU718" s="346">
        <f t="shared" si="975"/>
        <v>0</v>
      </c>
      <c r="AV718" s="346">
        <f t="shared" si="975"/>
        <v>0</v>
      </c>
      <c r="AW718" s="346">
        <f t="shared" si="975"/>
        <v>0</v>
      </c>
      <c r="AX718" s="346">
        <f t="shared" si="975"/>
        <v>0</v>
      </c>
      <c r="AY718" s="346">
        <f t="shared" si="975"/>
        <v>0</v>
      </c>
      <c r="AZ718" s="346">
        <f t="shared" si="975"/>
        <v>0</v>
      </c>
      <c r="BA718" s="346">
        <f t="shared" si="975"/>
        <v>0</v>
      </c>
      <c r="BB718" s="346">
        <f t="shared" si="975"/>
        <v>0</v>
      </c>
      <c r="BC718" s="346">
        <f t="shared" si="975"/>
        <v>0</v>
      </c>
      <c r="BD718" s="346">
        <f t="shared" si="975"/>
        <v>0</v>
      </c>
      <c r="BE718" s="346">
        <f t="shared" si="975"/>
        <v>0</v>
      </c>
      <c r="BF718" s="346">
        <f t="shared" si="975"/>
        <v>0</v>
      </c>
      <c r="BG718" s="346">
        <f t="shared" si="975"/>
        <v>0</v>
      </c>
      <c r="BH718" s="346">
        <f t="shared" si="975"/>
        <v>0</v>
      </c>
      <c r="BI718" s="346">
        <f t="shared" si="975"/>
        <v>0</v>
      </c>
      <c r="BJ718" s="346">
        <f t="shared" si="975"/>
        <v>0</v>
      </c>
      <c r="BK718" s="346">
        <f t="shared" si="975"/>
        <v>0</v>
      </c>
      <c r="BL718" s="346">
        <f t="shared" si="975"/>
        <v>0</v>
      </c>
      <c r="BM718" s="346">
        <f t="shared" si="975"/>
        <v>0</v>
      </c>
      <c r="BN718" s="346">
        <f t="shared" si="975"/>
        <v>0</v>
      </c>
      <c r="BO718" s="346">
        <f t="shared" si="975"/>
        <v>0</v>
      </c>
      <c r="BP718" s="346">
        <f t="shared" si="975"/>
        <v>0</v>
      </c>
      <c r="BQ718" s="346">
        <f t="shared" ref="BQ718:EB718" si="976">SUM(BQ719:BQ721)</f>
        <v>0</v>
      </c>
      <c r="BR718" s="346">
        <f t="shared" si="976"/>
        <v>0</v>
      </c>
      <c r="BS718" s="346">
        <f t="shared" si="976"/>
        <v>0</v>
      </c>
      <c r="BT718" s="346">
        <f t="shared" si="976"/>
        <v>0</v>
      </c>
      <c r="BU718" s="346">
        <f t="shared" si="976"/>
        <v>0</v>
      </c>
      <c r="BV718" s="346">
        <f t="shared" si="976"/>
        <v>0</v>
      </c>
      <c r="BW718" s="346">
        <f t="shared" si="976"/>
        <v>0</v>
      </c>
      <c r="BX718" s="346">
        <f t="shared" si="976"/>
        <v>0</v>
      </c>
      <c r="BY718" s="346">
        <f t="shared" si="976"/>
        <v>0</v>
      </c>
      <c r="BZ718" s="346">
        <f t="shared" si="976"/>
        <v>0</v>
      </c>
      <c r="CA718" s="346">
        <f t="shared" si="976"/>
        <v>0</v>
      </c>
      <c r="CB718" s="346">
        <f t="shared" si="976"/>
        <v>0</v>
      </c>
      <c r="CC718" s="346">
        <f t="shared" si="976"/>
        <v>0</v>
      </c>
      <c r="CD718" s="352">
        <f t="shared" si="976"/>
        <v>0</v>
      </c>
      <c r="CE718" s="346">
        <f t="shared" si="976"/>
        <v>0</v>
      </c>
      <c r="CF718" s="346">
        <f t="shared" si="976"/>
        <v>0</v>
      </c>
      <c r="CG718" s="346">
        <f t="shared" si="976"/>
        <v>0</v>
      </c>
      <c r="CH718" s="346">
        <f t="shared" si="976"/>
        <v>0</v>
      </c>
      <c r="CI718" s="346">
        <f t="shared" si="976"/>
        <v>0</v>
      </c>
      <c r="CJ718" s="346">
        <f t="shared" si="976"/>
        <v>0</v>
      </c>
      <c r="CK718" s="346">
        <f t="shared" si="976"/>
        <v>0</v>
      </c>
      <c r="CL718" s="346">
        <f t="shared" si="976"/>
        <v>0</v>
      </c>
      <c r="CM718" s="346">
        <f t="shared" si="976"/>
        <v>0</v>
      </c>
      <c r="CN718" s="346">
        <f t="shared" si="976"/>
        <v>0</v>
      </c>
      <c r="CO718" s="346">
        <f t="shared" si="976"/>
        <v>0</v>
      </c>
      <c r="CP718" s="348">
        <f t="shared" si="976"/>
        <v>0</v>
      </c>
      <c r="CQ718" s="346">
        <f t="shared" si="976"/>
        <v>0</v>
      </c>
      <c r="CR718" s="346">
        <f t="shared" si="976"/>
        <v>0</v>
      </c>
      <c r="CS718" s="346">
        <f t="shared" si="976"/>
        <v>0</v>
      </c>
      <c r="CT718" s="346">
        <f t="shared" si="976"/>
        <v>0</v>
      </c>
      <c r="CU718" s="346">
        <f t="shared" si="976"/>
        <v>0</v>
      </c>
      <c r="CV718" s="346">
        <f t="shared" si="976"/>
        <v>0</v>
      </c>
      <c r="CW718" s="346">
        <f t="shared" si="976"/>
        <v>0</v>
      </c>
      <c r="CX718" s="346">
        <f t="shared" si="976"/>
        <v>0</v>
      </c>
      <c r="CY718" s="346">
        <f t="shared" si="976"/>
        <v>0</v>
      </c>
      <c r="CZ718" s="346">
        <f t="shared" si="976"/>
        <v>0</v>
      </c>
      <c r="DA718" s="346">
        <f t="shared" si="976"/>
        <v>0</v>
      </c>
      <c r="DB718" s="1479">
        <f t="shared" si="976"/>
        <v>0</v>
      </c>
      <c r="DC718" s="346">
        <f t="shared" si="976"/>
        <v>0</v>
      </c>
      <c r="DD718" s="346">
        <f t="shared" si="976"/>
        <v>0</v>
      </c>
      <c r="DE718" s="346">
        <f t="shared" si="976"/>
        <v>0</v>
      </c>
      <c r="DF718" s="346">
        <f t="shared" si="976"/>
        <v>0</v>
      </c>
      <c r="DG718" s="346">
        <f t="shared" si="976"/>
        <v>0</v>
      </c>
      <c r="DH718" s="346">
        <f t="shared" si="976"/>
        <v>0</v>
      </c>
      <c r="DI718" s="346">
        <f t="shared" si="976"/>
        <v>0</v>
      </c>
      <c r="DJ718" s="346">
        <f t="shared" si="976"/>
        <v>0</v>
      </c>
      <c r="DK718" s="346">
        <f t="shared" si="976"/>
        <v>0</v>
      </c>
      <c r="DL718" s="346">
        <f t="shared" si="976"/>
        <v>0</v>
      </c>
      <c r="DM718" s="346">
        <f t="shared" si="976"/>
        <v>0</v>
      </c>
      <c r="DN718" s="348">
        <f t="shared" si="976"/>
        <v>0</v>
      </c>
      <c r="DO718" s="346">
        <f t="shared" si="976"/>
        <v>16.600601300289206</v>
      </c>
      <c r="DP718" s="346">
        <f t="shared" si="976"/>
        <v>6.15912446300276</v>
      </c>
      <c r="DQ718" s="346">
        <f t="shared" si="976"/>
        <v>0.36889618367652649</v>
      </c>
      <c r="DR718" s="346">
        <f t="shared" si="976"/>
        <v>0.3018041686636207</v>
      </c>
      <c r="DS718" s="346">
        <f t="shared" si="976"/>
        <v>7.0875698198049868</v>
      </c>
      <c r="DT718" s="346">
        <f t="shared" si="976"/>
        <v>27.439521254223713</v>
      </c>
      <c r="DU718" s="346">
        <f t="shared" si="976"/>
        <v>5.179773115333397E-2</v>
      </c>
      <c r="DV718" s="346">
        <f t="shared" si="976"/>
        <v>5.8007764595570457E-2</v>
      </c>
      <c r="DW718" s="346">
        <f t="shared" si="976"/>
        <v>10.541360405145587</v>
      </c>
      <c r="DX718" s="346">
        <f t="shared" si="976"/>
        <v>2.0703769716469367E-2</v>
      </c>
      <c r="DY718" s="346">
        <f t="shared" si="976"/>
        <v>4.4983689553372501E-2</v>
      </c>
      <c r="DZ718" s="348">
        <f t="shared" si="976"/>
        <v>0.19766063222458286</v>
      </c>
      <c r="EA718" s="346">
        <f t="shared" si="976"/>
        <v>5.89555870610981</v>
      </c>
      <c r="EB718" s="346">
        <f t="shared" si="976"/>
        <v>6.4121414643872559</v>
      </c>
      <c r="EC718" s="346">
        <f t="shared" ref="EC718:FP718" si="977">SUM(EC719:EC721)</f>
        <v>6.3896163980000003</v>
      </c>
      <c r="ED718" s="346">
        <f t="shared" si="977"/>
        <v>4.8874335853238193E-2</v>
      </c>
      <c r="EE718" s="346">
        <f t="shared" si="977"/>
        <v>5.1864803727297613</v>
      </c>
      <c r="EF718" s="346">
        <f t="shared" si="977"/>
        <v>16.549897689864551</v>
      </c>
      <c r="EG718" s="346">
        <f t="shared" si="977"/>
        <v>11.749718728585187</v>
      </c>
      <c r="EH718" s="346">
        <f t="shared" si="977"/>
        <v>0.10086442254855665</v>
      </c>
      <c r="EI718" s="346">
        <f t="shared" si="977"/>
        <v>2.681430422759524</v>
      </c>
      <c r="EJ718" s="346">
        <f t="shared" si="977"/>
        <v>7.1357226622450884</v>
      </c>
      <c r="EK718" s="346">
        <f t="shared" si="977"/>
        <v>5.0993692085567657E-2</v>
      </c>
      <c r="EL718" s="348">
        <f t="shared" si="977"/>
        <v>0.7199081113879362</v>
      </c>
      <c r="EM718" s="346">
        <f t="shared" si="977"/>
        <v>2.1782744436593422</v>
      </c>
      <c r="EN718" s="346">
        <f t="shared" si="977"/>
        <v>4.4297227553648515</v>
      </c>
      <c r="EO718" s="346">
        <f t="shared" si="977"/>
        <v>9.8563909410486317E-2</v>
      </c>
      <c r="EP718" s="346">
        <f t="shared" si="977"/>
        <v>2.364907381854027E-2</v>
      </c>
      <c r="EQ718" s="346">
        <f t="shared" si="977"/>
        <v>2.350520414</v>
      </c>
      <c r="ER718" s="346">
        <f t="shared" si="977"/>
        <v>7.9641907069496227</v>
      </c>
      <c r="ES718" s="346">
        <f t="shared" si="977"/>
        <v>1.0648808655175259E-2</v>
      </c>
      <c r="ET718" s="346">
        <f t="shared" si="977"/>
        <v>6.6596087007049165E-2</v>
      </c>
      <c r="EU718" s="346">
        <f t="shared" si="977"/>
        <v>9.7848614553610838E-2</v>
      </c>
      <c r="EV718" s="346">
        <f t="shared" si="977"/>
        <v>1.442574663636075</v>
      </c>
      <c r="EW718" s="346">
        <f t="shared" si="977"/>
        <v>0</v>
      </c>
      <c r="EX718" s="348">
        <f t="shared" si="977"/>
        <v>0.21532801592438158</v>
      </c>
      <c r="EY718" s="346">
        <f t="shared" si="977"/>
        <v>0</v>
      </c>
      <c r="EZ718" s="346">
        <f t="shared" si="977"/>
        <v>0</v>
      </c>
      <c r="FA718" s="346">
        <f t="shared" si="977"/>
        <v>9.608507644444737</v>
      </c>
      <c r="FB718" s="346">
        <f t="shared" si="977"/>
        <v>0</v>
      </c>
      <c r="FC718" s="346">
        <f t="shared" si="977"/>
        <v>0</v>
      </c>
      <c r="FD718" s="346">
        <f t="shared" si="977"/>
        <v>6.3793097794931803</v>
      </c>
      <c r="FE718" s="346">
        <f t="shared" si="977"/>
        <v>0</v>
      </c>
      <c r="FF718" s="346">
        <f t="shared" si="977"/>
        <v>0</v>
      </c>
      <c r="FG718" s="346">
        <f t="shared" si="977"/>
        <v>0</v>
      </c>
      <c r="FH718" s="346">
        <f t="shared" si="977"/>
        <v>3.2316815069999998</v>
      </c>
      <c r="FI718" s="346">
        <f t="shared" si="977"/>
        <v>0</v>
      </c>
      <c r="FJ718" s="348">
        <f t="shared" si="977"/>
        <v>4.9663468379999998</v>
      </c>
      <c r="FK718" s="346">
        <f t="shared" si="977"/>
        <v>0</v>
      </c>
      <c r="FL718" s="346">
        <f t="shared" si="977"/>
        <v>0</v>
      </c>
      <c r="FM718" s="346">
        <f t="shared" si="977"/>
        <v>0</v>
      </c>
      <c r="FN718" s="346">
        <f t="shared" si="977"/>
        <v>0</v>
      </c>
      <c r="FO718" s="346">
        <f t="shared" si="977"/>
        <v>0</v>
      </c>
      <c r="FP718" s="346">
        <f t="shared" si="977"/>
        <v>0</v>
      </c>
      <c r="FQ718" s="346">
        <f t="shared" ref="FQ718:FV718" si="978">SUM(FQ719:FQ721)</f>
        <v>0</v>
      </c>
      <c r="FR718" s="346">
        <f t="shared" si="978"/>
        <v>0</v>
      </c>
      <c r="FS718" s="346">
        <f t="shared" si="978"/>
        <v>0</v>
      </c>
      <c r="FT718" s="346">
        <f t="shared" si="978"/>
        <v>4.0488905105571265</v>
      </c>
      <c r="FU718" s="346">
        <f t="shared" si="978"/>
        <v>0</v>
      </c>
      <c r="FV718" s="346">
        <f t="shared" si="978"/>
        <v>0</v>
      </c>
      <c r="FW718" s="346">
        <v>0</v>
      </c>
      <c r="FX718" s="346">
        <v>0</v>
      </c>
      <c r="FY718" s="346">
        <v>0</v>
      </c>
      <c r="FZ718" s="346">
        <v>0</v>
      </c>
      <c r="GA718" s="346">
        <v>6.18907129997271</v>
      </c>
      <c r="GB718" s="346">
        <v>29.757070639362848</v>
      </c>
      <c r="GC718" s="346">
        <v>0</v>
      </c>
      <c r="GD718" s="346">
        <v>0</v>
      </c>
      <c r="GE718" s="346">
        <v>0</v>
      </c>
      <c r="GF718" s="346">
        <v>0</v>
      </c>
      <c r="GG718" s="346">
        <v>178.58328382937401</v>
      </c>
      <c r="GH718" s="346">
        <v>0</v>
      </c>
      <c r="GI718" s="346">
        <f>GI719+GI721</f>
        <v>14.81502815</v>
      </c>
      <c r="GJ718" s="346">
        <f t="shared" ref="GJ718:HL718" si="979">GJ719+GJ721</f>
        <v>14.81502815</v>
      </c>
      <c r="GK718" s="346">
        <f t="shared" si="979"/>
        <v>14.81502815</v>
      </c>
      <c r="GL718" s="346">
        <f t="shared" si="979"/>
        <v>20.359520180055206</v>
      </c>
      <c r="GM718" s="346">
        <f t="shared" si="979"/>
        <v>14.81502815</v>
      </c>
      <c r="GN718" s="346">
        <f t="shared" si="979"/>
        <v>27.663576914</v>
      </c>
      <c r="GO718" s="346">
        <f t="shared" si="979"/>
        <v>26.330020899520001</v>
      </c>
      <c r="GP718" s="346">
        <f t="shared" si="979"/>
        <v>26.330020899520001</v>
      </c>
      <c r="GQ718" s="346">
        <f t="shared" si="979"/>
        <v>26.330020899520001</v>
      </c>
      <c r="GR718" s="346">
        <f t="shared" si="979"/>
        <v>164.87697557812001</v>
      </c>
      <c r="GS718" s="346">
        <f t="shared" si="979"/>
        <v>28.136248942555714</v>
      </c>
      <c r="GT718" s="346">
        <f t="shared" si="979"/>
        <v>26.330020899520001</v>
      </c>
      <c r="GU718" s="346">
        <f t="shared" si="979"/>
        <v>0</v>
      </c>
      <c r="GV718" s="346">
        <f t="shared" si="979"/>
        <v>0</v>
      </c>
      <c r="GW718" s="346">
        <f t="shared" si="979"/>
        <v>74.85618628968507</v>
      </c>
      <c r="GX718" s="346">
        <f t="shared" si="979"/>
        <v>0</v>
      </c>
      <c r="GY718" s="346">
        <f t="shared" si="979"/>
        <v>20.479901550034139</v>
      </c>
      <c r="GZ718" s="346">
        <f t="shared" si="979"/>
        <v>72.266987752008589</v>
      </c>
      <c r="HA718" s="346">
        <f t="shared" si="979"/>
        <v>0</v>
      </c>
      <c r="HB718" s="346">
        <f t="shared" si="979"/>
        <v>0</v>
      </c>
      <c r="HC718" s="346">
        <f t="shared" si="979"/>
        <v>87.700392731184422</v>
      </c>
      <c r="HD718" s="346">
        <f t="shared" si="979"/>
        <v>0</v>
      </c>
      <c r="HE718" s="346">
        <f t="shared" si="979"/>
        <v>81.742566145485355</v>
      </c>
      <c r="HF718" s="346">
        <f t="shared" si="979"/>
        <v>86.715186151799713</v>
      </c>
      <c r="HG718" s="346">
        <f t="shared" si="979"/>
        <v>0</v>
      </c>
      <c r="HH718" s="346">
        <f t="shared" si="979"/>
        <v>0</v>
      </c>
      <c r="HI718" s="346">
        <f t="shared" si="979"/>
        <v>76.674013141162661</v>
      </c>
      <c r="HJ718" s="346">
        <f t="shared" si="979"/>
        <v>0</v>
      </c>
      <c r="HK718" s="346">
        <f t="shared" si="979"/>
        <v>6.9469754804080805</v>
      </c>
      <c r="HL718" s="346">
        <f t="shared" si="979"/>
        <v>105.77887260819162</v>
      </c>
      <c r="HM718" s="346"/>
      <c r="HN718" s="349"/>
      <c r="HO718" s="356" t="s">
        <v>537</v>
      </c>
      <c r="HP718" s="307">
        <f t="shared" si="879"/>
        <v>0</v>
      </c>
      <c r="HQ718" s="302">
        <f t="shared" si="880"/>
        <v>0</v>
      </c>
      <c r="HR718" s="346">
        <f t="shared" si="698"/>
        <v>0</v>
      </c>
      <c r="HS718" s="302">
        <f t="shared" si="881"/>
        <v>0</v>
      </c>
      <c r="HT718" s="302">
        <f t="shared" si="882"/>
        <v>0</v>
      </c>
      <c r="HU718" s="346">
        <f t="shared" si="678"/>
        <v>0</v>
      </c>
      <c r="HV718" s="307">
        <f t="shared" si="883"/>
        <v>0</v>
      </c>
      <c r="HW718" s="302">
        <f t="shared" si="884"/>
        <v>0</v>
      </c>
      <c r="HX718" s="346">
        <f t="shared" si="679"/>
        <v>0</v>
      </c>
      <c r="HY718" s="350">
        <f t="shared" si="885"/>
        <v>57.95751718966082</v>
      </c>
      <c r="HZ718" s="302">
        <f t="shared" si="886"/>
        <v>10.914513992388917</v>
      </c>
      <c r="IA718" s="346">
        <f t="shared" si="680"/>
        <v>68.872031182049739</v>
      </c>
      <c r="IB718" s="302">
        <f t="shared" si="887"/>
        <v>40.482568966944612</v>
      </c>
      <c r="IC718" s="302">
        <f t="shared" si="888"/>
        <v>22.438638039611863</v>
      </c>
      <c r="ID718" s="346">
        <f t="shared" si="681"/>
        <v>62.921207006556472</v>
      </c>
      <c r="IE718" s="350">
        <f t="shared" si="889"/>
        <v>17.044921303202841</v>
      </c>
      <c r="IF718" s="350">
        <f t="shared" si="890"/>
        <v>1.8329961897762919</v>
      </c>
      <c r="IG718" s="346">
        <f t="shared" si="682"/>
        <v>18.877917492979133</v>
      </c>
      <c r="IH718" s="350">
        <f t="shared" si="891"/>
        <v>15.987817423937917</v>
      </c>
      <c r="II718" s="350">
        <f t="shared" si="892"/>
        <v>8.1980283449999991</v>
      </c>
      <c r="IJ718" s="346">
        <f t="shared" si="683"/>
        <v>24.185845768937916</v>
      </c>
      <c r="IK718" s="350">
        <v>4.9684083120000002</v>
      </c>
      <c r="IL718" s="350">
        <f t="shared" si="864"/>
        <v>4.0488905105571265</v>
      </c>
      <c r="IM718" s="346">
        <f t="shared" si="684"/>
        <v>9.0172988225571267</v>
      </c>
      <c r="IN718" s="350">
        <f t="shared" si="865"/>
        <v>35.946141939335561</v>
      </c>
      <c r="IO718" s="350">
        <f t="shared" si="866"/>
        <v>178.58328382937401</v>
      </c>
      <c r="IP718" s="346">
        <f t="shared" si="685"/>
        <v>214.52942576870959</v>
      </c>
      <c r="IQ718" s="350">
        <f t="shared" si="867"/>
        <v>107.2832096940552</v>
      </c>
      <c r="IR718" s="350">
        <f t="shared" si="868"/>
        <v>298.33330811875572</v>
      </c>
      <c r="IS718" s="346">
        <f t="shared" si="686"/>
        <v>405.61651781281091</v>
      </c>
      <c r="IT718" s="350">
        <f>IT719+IT721</f>
        <v>167.60307559172779</v>
      </c>
      <c r="IU718" s="350">
        <f>IU719+IU721</f>
        <v>256.15814502846951</v>
      </c>
      <c r="IV718" s="346">
        <f t="shared" si="687"/>
        <v>423.76122062019726</v>
      </c>
      <c r="IW718" s="350">
        <f t="shared" si="700"/>
        <v>189.39986122976237</v>
      </c>
      <c r="IX718" s="350">
        <f t="shared" si="688"/>
        <v>130.93625230962149</v>
      </c>
      <c r="IY718" s="346">
        <f>FISC!AJ1040</f>
        <v>320.33611353938386</v>
      </c>
      <c r="IZ718" s="350">
        <f>IZ719+IZ721</f>
        <v>143.88927338352678</v>
      </c>
      <c r="JA718" s="350">
        <f>JA719+JA721</f>
        <v>173.82501632212961</v>
      </c>
      <c r="JB718" s="346">
        <f>FISC!AK1040</f>
        <v>317.71428970565637</v>
      </c>
      <c r="JC718" s="350">
        <f>JC719+JC721</f>
        <v>154.55013356247539</v>
      </c>
      <c r="JD718" s="350">
        <f>JD719+JD721</f>
        <v>154.55013356247539</v>
      </c>
      <c r="JE718" s="346">
        <f>FISC!AL1040</f>
        <v>309.10026712495079</v>
      </c>
      <c r="JF718" s="350">
        <f>JF719+JF721</f>
        <v>164.78379066986392</v>
      </c>
      <c r="JG718" s="302">
        <f t="shared" si="691"/>
        <v>164.78379066986392</v>
      </c>
      <c r="JH718" s="346">
        <f>FISC!AM1040</f>
        <v>329.56758133972784</v>
      </c>
      <c r="JI718" s="350">
        <f>JI719+JI721</f>
        <v>174.1115521681055</v>
      </c>
      <c r="JJ718" s="302">
        <f t="shared" si="701"/>
        <v>174.1115521681055</v>
      </c>
      <c r="JK718" s="346">
        <f>FISC!AN1040</f>
        <v>348.22310433621101</v>
      </c>
      <c r="JL718" s="350">
        <f>JL719+JL721</f>
        <v>181.72320687112392</v>
      </c>
      <c r="JM718" s="302">
        <f t="shared" si="692"/>
        <v>181.72320687112392</v>
      </c>
      <c r="JN718" s="346">
        <f>FISC!AO1040</f>
        <v>363.44641374224784</v>
      </c>
      <c r="KI718" s="349"/>
      <c r="KJ718" s="350"/>
      <c r="KM718" s="302">
        <f>SUM(KM719:KM721)</f>
        <v>0</v>
      </c>
      <c r="KN718" s="302">
        <f>SUM(KN719:KN721)</f>
        <v>0</v>
      </c>
      <c r="KO718" s="302">
        <f>SUM(KO719:KO721)</f>
        <v>0</v>
      </c>
      <c r="KP718" s="302">
        <f>SUM(KP719:KP721)</f>
        <v>0</v>
      </c>
    </row>
    <row r="719" spans="1:302" hidden="1" outlineLevel="1">
      <c r="A719" s="302"/>
      <c r="B719" s="117" t="s">
        <v>361</v>
      </c>
      <c r="D719" s="357" t="s">
        <v>538</v>
      </c>
      <c r="E719" s="346"/>
      <c r="F719" s="346"/>
      <c r="G719" s="346"/>
      <c r="H719" s="346"/>
      <c r="I719" s="346"/>
      <c r="J719" s="346"/>
      <c r="K719" s="346"/>
      <c r="L719" s="346"/>
      <c r="M719" s="346"/>
      <c r="N719" s="346"/>
      <c r="O719" s="346"/>
      <c r="P719" s="346"/>
      <c r="Q719" s="346"/>
      <c r="R719" s="346"/>
      <c r="S719" s="346"/>
      <c r="T719" s="346"/>
      <c r="U719" s="346"/>
      <c r="V719" s="346"/>
      <c r="W719" s="346"/>
      <c r="X719" s="346"/>
      <c r="Y719" s="346"/>
      <c r="Z719" s="346"/>
      <c r="AA719" s="346"/>
      <c r="AB719" s="346"/>
      <c r="AC719" s="346"/>
      <c r="AD719" s="346"/>
      <c r="AE719" s="346"/>
      <c r="AF719" s="346"/>
      <c r="AG719" s="346"/>
      <c r="AH719" s="346"/>
      <c r="AI719" s="346"/>
      <c r="AJ719" s="346"/>
      <c r="AK719" s="346"/>
      <c r="AL719" s="346"/>
      <c r="AM719" s="346"/>
      <c r="AN719" s="346"/>
      <c r="AO719" s="346">
        <v>0</v>
      </c>
      <c r="AP719" s="346">
        <v>0</v>
      </c>
      <c r="AQ719" s="346">
        <v>0</v>
      </c>
      <c r="AR719" s="346">
        <v>0</v>
      </c>
      <c r="AS719" s="346">
        <v>0</v>
      </c>
      <c r="AT719" s="346">
        <v>0</v>
      </c>
      <c r="AU719" s="346">
        <v>0</v>
      </c>
      <c r="AV719" s="346">
        <v>0</v>
      </c>
      <c r="AW719" s="346">
        <v>0</v>
      </c>
      <c r="AX719" s="346">
        <v>0</v>
      </c>
      <c r="AY719" s="346">
        <v>0</v>
      </c>
      <c r="AZ719" s="346">
        <v>0</v>
      </c>
      <c r="BA719" s="346">
        <v>0</v>
      </c>
      <c r="BB719" s="346">
        <v>0</v>
      </c>
      <c r="BC719" s="346">
        <v>0</v>
      </c>
      <c r="BD719" s="346">
        <v>0</v>
      </c>
      <c r="BE719" s="346">
        <v>0</v>
      </c>
      <c r="BF719" s="346">
        <v>0</v>
      </c>
      <c r="BG719" s="346">
        <v>0</v>
      </c>
      <c r="BH719" s="346">
        <v>0</v>
      </c>
      <c r="BI719" s="346">
        <v>0</v>
      </c>
      <c r="BJ719" s="346">
        <v>0</v>
      </c>
      <c r="BK719" s="346">
        <v>0</v>
      </c>
      <c r="BL719" s="346">
        <v>0</v>
      </c>
      <c r="BM719" s="346">
        <v>0</v>
      </c>
      <c r="BN719" s="346">
        <v>0</v>
      </c>
      <c r="BO719" s="346">
        <v>0</v>
      </c>
      <c r="BP719" s="346">
        <v>0</v>
      </c>
      <c r="BQ719" s="346">
        <v>0</v>
      </c>
      <c r="BR719" s="346">
        <v>0</v>
      </c>
      <c r="BS719" s="346">
        <v>0</v>
      </c>
      <c r="BT719" s="346">
        <v>0</v>
      </c>
      <c r="BU719" s="346">
        <v>0</v>
      </c>
      <c r="BV719" s="346">
        <v>0</v>
      </c>
      <c r="BW719" s="346">
        <v>0</v>
      </c>
      <c r="BX719" s="346">
        <v>0</v>
      </c>
      <c r="BY719" s="346">
        <v>0</v>
      </c>
      <c r="BZ719" s="346">
        <v>0</v>
      </c>
      <c r="CA719" s="346">
        <v>0</v>
      </c>
      <c r="CB719" s="346">
        <v>0</v>
      </c>
      <c r="CC719" s="346">
        <v>0</v>
      </c>
      <c r="CD719" s="352"/>
      <c r="CE719" s="346">
        <f t="shared" ref="CE719:DJ719" si="980">CE362</f>
        <v>0</v>
      </c>
      <c r="CF719" s="346">
        <f t="shared" si="980"/>
        <v>0</v>
      </c>
      <c r="CG719" s="346">
        <f t="shared" si="980"/>
        <v>0</v>
      </c>
      <c r="CH719" s="346">
        <f t="shared" si="980"/>
        <v>0</v>
      </c>
      <c r="CI719" s="346">
        <f t="shared" si="980"/>
        <v>0</v>
      </c>
      <c r="CJ719" s="346">
        <f t="shared" si="980"/>
        <v>0</v>
      </c>
      <c r="CK719" s="346">
        <f t="shared" si="980"/>
        <v>0</v>
      </c>
      <c r="CL719" s="346">
        <f t="shared" si="980"/>
        <v>0</v>
      </c>
      <c r="CM719" s="346">
        <f t="shared" si="980"/>
        <v>0</v>
      </c>
      <c r="CN719" s="346">
        <f t="shared" si="980"/>
        <v>0</v>
      </c>
      <c r="CO719" s="346">
        <f t="shared" si="980"/>
        <v>0</v>
      </c>
      <c r="CP719" s="348">
        <f t="shared" si="980"/>
        <v>0</v>
      </c>
      <c r="CQ719" s="346">
        <f t="shared" si="980"/>
        <v>0</v>
      </c>
      <c r="CR719" s="346">
        <f t="shared" si="980"/>
        <v>0</v>
      </c>
      <c r="CS719" s="346">
        <f t="shared" si="980"/>
        <v>0</v>
      </c>
      <c r="CT719" s="346">
        <f t="shared" si="980"/>
        <v>0</v>
      </c>
      <c r="CU719" s="346">
        <f t="shared" si="980"/>
        <v>0</v>
      </c>
      <c r="CV719" s="346">
        <f t="shared" si="980"/>
        <v>0</v>
      </c>
      <c r="CW719" s="346">
        <f t="shared" si="980"/>
        <v>0</v>
      </c>
      <c r="CX719" s="346">
        <f t="shared" si="980"/>
        <v>0</v>
      </c>
      <c r="CY719" s="346">
        <f t="shared" si="980"/>
        <v>0</v>
      </c>
      <c r="CZ719" s="346">
        <f t="shared" si="980"/>
        <v>0</v>
      </c>
      <c r="DA719" s="346">
        <f t="shared" si="980"/>
        <v>0</v>
      </c>
      <c r="DB719" s="1479">
        <f t="shared" si="980"/>
        <v>0</v>
      </c>
      <c r="DC719" s="346">
        <f t="shared" si="980"/>
        <v>0</v>
      </c>
      <c r="DD719" s="346">
        <f t="shared" si="980"/>
        <v>0</v>
      </c>
      <c r="DE719" s="346">
        <f t="shared" si="980"/>
        <v>0</v>
      </c>
      <c r="DF719" s="346">
        <f t="shared" si="980"/>
        <v>0</v>
      </c>
      <c r="DG719" s="346">
        <f t="shared" si="980"/>
        <v>0</v>
      </c>
      <c r="DH719" s="346">
        <f t="shared" si="980"/>
        <v>0</v>
      </c>
      <c r="DI719" s="346">
        <f t="shared" si="980"/>
        <v>0</v>
      </c>
      <c r="DJ719" s="346">
        <f t="shared" si="980"/>
        <v>0</v>
      </c>
      <c r="DK719" s="346">
        <f t="shared" ref="DK719:EP719" si="981">DK362</f>
        <v>0</v>
      </c>
      <c r="DL719" s="346">
        <f t="shared" si="981"/>
        <v>0</v>
      </c>
      <c r="DM719" s="346">
        <f t="shared" si="981"/>
        <v>0</v>
      </c>
      <c r="DN719" s="348">
        <f t="shared" si="981"/>
        <v>0</v>
      </c>
      <c r="DO719" s="346">
        <f t="shared" si="981"/>
        <v>16.600601300289206</v>
      </c>
      <c r="DP719" s="346">
        <f t="shared" si="981"/>
        <v>6.15912446300276</v>
      </c>
      <c r="DQ719" s="346">
        <f t="shared" si="981"/>
        <v>0.36889618367652649</v>
      </c>
      <c r="DR719" s="346">
        <f t="shared" si="981"/>
        <v>0.3018041686636207</v>
      </c>
      <c r="DS719" s="346">
        <f t="shared" si="981"/>
        <v>7.0875698198049868</v>
      </c>
      <c r="DT719" s="346">
        <f t="shared" si="981"/>
        <v>27.439521254223713</v>
      </c>
      <c r="DU719" s="346">
        <f t="shared" si="981"/>
        <v>5.179773115333397E-2</v>
      </c>
      <c r="DV719" s="346">
        <f t="shared" si="981"/>
        <v>5.8007764595570457E-2</v>
      </c>
      <c r="DW719" s="346">
        <f t="shared" si="981"/>
        <v>10.541360405145587</v>
      </c>
      <c r="DX719" s="346">
        <f t="shared" si="981"/>
        <v>2.0703769716469367E-2</v>
      </c>
      <c r="DY719" s="346">
        <f t="shared" si="981"/>
        <v>4.4983689553372501E-2</v>
      </c>
      <c r="DZ719" s="348">
        <f t="shared" si="981"/>
        <v>0.19766063222458286</v>
      </c>
      <c r="EA719" s="346">
        <f t="shared" si="981"/>
        <v>5.89555870610981</v>
      </c>
      <c r="EB719" s="346">
        <f t="shared" si="981"/>
        <v>6.4121414643872559</v>
      </c>
      <c r="EC719" s="346">
        <f t="shared" si="981"/>
        <v>6.3896163980000003</v>
      </c>
      <c r="ED719" s="346">
        <f t="shared" si="981"/>
        <v>4.8874335853238193E-2</v>
      </c>
      <c r="EE719" s="346">
        <f t="shared" si="981"/>
        <v>5.1864803727297613</v>
      </c>
      <c r="EF719" s="346">
        <f t="shared" si="981"/>
        <v>16.549897689864551</v>
      </c>
      <c r="EG719" s="346">
        <f t="shared" si="981"/>
        <v>11.749718728585187</v>
      </c>
      <c r="EH719" s="346">
        <f t="shared" si="981"/>
        <v>0.10086442254855665</v>
      </c>
      <c r="EI719" s="346">
        <f t="shared" si="981"/>
        <v>2.681430422759524</v>
      </c>
      <c r="EJ719" s="346">
        <f t="shared" si="981"/>
        <v>7.1357226622450884</v>
      </c>
      <c r="EK719" s="346">
        <f t="shared" si="981"/>
        <v>5.0993692085567657E-2</v>
      </c>
      <c r="EL719" s="348">
        <f t="shared" si="981"/>
        <v>0.7199081113879362</v>
      </c>
      <c r="EM719" s="346">
        <f t="shared" si="981"/>
        <v>2.1782744436593422</v>
      </c>
      <c r="EN719" s="346">
        <f t="shared" si="981"/>
        <v>4.4297227553648515</v>
      </c>
      <c r="EO719" s="346">
        <f t="shared" si="981"/>
        <v>9.8563909410486317E-2</v>
      </c>
      <c r="EP719" s="346">
        <f t="shared" si="981"/>
        <v>2.364907381854027E-2</v>
      </c>
      <c r="EQ719" s="346">
        <f t="shared" ref="EQ719:FP719" si="982">EQ362</f>
        <v>2.350520414</v>
      </c>
      <c r="ER719" s="346">
        <f t="shared" si="982"/>
        <v>7.9641907069496227</v>
      </c>
      <c r="ES719" s="346">
        <f t="shared" si="982"/>
        <v>1.0648808655175259E-2</v>
      </c>
      <c r="ET719" s="346">
        <f t="shared" si="982"/>
        <v>6.6596087007049165E-2</v>
      </c>
      <c r="EU719" s="346">
        <f t="shared" si="982"/>
        <v>9.7848614553610838E-2</v>
      </c>
      <c r="EV719" s="346">
        <f t="shared" si="982"/>
        <v>1.442574663636075</v>
      </c>
      <c r="EW719" s="346">
        <f t="shared" si="982"/>
        <v>0</v>
      </c>
      <c r="EX719" s="348">
        <f t="shared" si="982"/>
        <v>0.21532801592438158</v>
      </c>
      <c r="EY719" s="346">
        <f t="shared" si="982"/>
        <v>0</v>
      </c>
      <c r="EZ719" s="346">
        <f t="shared" si="982"/>
        <v>0</v>
      </c>
      <c r="FA719" s="346">
        <f t="shared" si="982"/>
        <v>9.608507644444737</v>
      </c>
      <c r="FB719" s="346">
        <f t="shared" si="982"/>
        <v>0</v>
      </c>
      <c r="FC719" s="346">
        <f t="shared" si="982"/>
        <v>0</v>
      </c>
      <c r="FD719" s="346">
        <f t="shared" si="982"/>
        <v>6.3793097794931803</v>
      </c>
      <c r="FE719" s="346">
        <f t="shared" si="982"/>
        <v>0</v>
      </c>
      <c r="FF719" s="346">
        <f t="shared" si="982"/>
        <v>0</v>
      </c>
      <c r="FG719" s="346">
        <f t="shared" si="982"/>
        <v>0</v>
      </c>
      <c r="FH719" s="346">
        <f t="shared" si="982"/>
        <v>3.2316815069999998</v>
      </c>
      <c r="FI719" s="346">
        <f t="shared" si="982"/>
        <v>0</v>
      </c>
      <c r="FJ719" s="348">
        <f t="shared" si="982"/>
        <v>4.9663468379999998</v>
      </c>
      <c r="FK719" s="346">
        <f t="shared" si="982"/>
        <v>0</v>
      </c>
      <c r="FL719" s="346">
        <f t="shared" si="982"/>
        <v>0</v>
      </c>
      <c r="FM719" s="346">
        <f t="shared" si="982"/>
        <v>0</v>
      </c>
      <c r="FN719" s="346">
        <f t="shared" si="982"/>
        <v>0</v>
      </c>
      <c r="FO719" s="346">
        <f t="shared" si="982"/>
        <v>0</v>
      </c>
      <c r="FP719" s="346">
        <f t="shared" si="982"/>
        <v>0</v>
      </c>
      <c r="FQ719" s="346">
        <f t="shared" ref="FQ719:FV719" si="983">FQ362</f>
        <v>0</v>
      </c>
      <c r="FR719" s="346">
        <f t="shared" si="983"/>
        <v>0</v>
      </c>
      <c r="FS719" s="346">
        <f t="shared" si="983"/>
        <v>0</v>
      </c>
      <c r="FT719" s="346">
        <f t="shared" si="983"/>
        <v>4.0488905105571265</v>
      </c>
      <c r="FU719" s="346">
        <f t="shared" si="983"/>
        <v>0</v>
      </c>
      <c r="FV719" s="346">
        <f t="shared" si="983"/>
        <v>0</v>
      </c>
      <c r="FW719" s="346">
        <v>0</v>
      </c>
      <c r="FX719" s="346">
        <v>0</v>
      </c>
      <c r="FY719" s="346">
        <v>0</v>
      </c>
      <c r="FZ719" s="346">
        <v>0</v>
      </c>
      <c r="GA719" s="346">
        <v>6.18907129997271</v>
      </c>
      <c r="GB719" s="346">
        <v>29.757070639362848</v>
      </c>
      <c r="GC719" s="346">
        <v>0</v>
      </c>
      <c r="GD719" s="346">
        <v>0</v>
      </c>
      <c r="GE719" s="346">
        <v>0</v>
      </c>
      <c r="GF719" s="346">
        <v>0</v>
      </c>
      <c r="GG719" s="346">
        <v>178.58328382937401</v>
      </c>
      <c r="GH719" s="346">
        <v>0</v>
      </c>
      <c r="GI719" s="346">
        <f t="shared" ref="GI719:GN719" si="984">GI362</f>
        <v>0</v>
      </c>
      <c r="GJ719" s="346">
        <f t="shared" si="984"/>
        <v>0</v>
      </c>
      <c r="GK719" s="346">
        <f t="shared" si="984"/>
        <v>0</v>
      </c>
      <c r="GL719" s="346">
        <f t="shared" si="984"/>
        <v>5.5444920300552072</v>
      </c>
      <c r="GM719" s="346">
        <f t="shared" si="984"/>
        <v>0</v>
      </c>
      <c r="GN719" s="346">
        <f t="shared" si="984"/>
        <v>12.848548764</v>
      </c>
      <c r="GO719" s="346">
        <f t="shared" ref="GO719:HL719" si="985">GO362</f>
        <v>0</v>
      </c>
      <c r="GP719" s="346">
        <f t="shared" si="985"/>
        <v>0</v>
      </c>
      <c r="GQ719" s="346">
        <f t="shared" si="985"/>
        <v>0</v>
      </c>
      <c r="GR719" s="346">
        <f t="shared" si="985"/>
        <v>138.5469546786</v>
      </c>
      <c r="GS719" s="346">
        <f t="shared" si="985"/>
        <v>1.806228043035714</v>
      </c>
      <c r="GT719" s="346">
        <f t="shared" si="985"/>
        <v>0</v>
      </c>
      <c r="GU719" s="346">
        <f t="shared" si="985"/>
        <v>0</v>
      </c>
      <c r="GV719" s="346">
        <f t="shared" si="985"/>
        <v>0</v>
      </c>
      <c r="GW719" s="346">
        <f t="shared" si="985"/>
        <v>2.5891985376764812</v>
      </c>
      <c r="GX719" s="346">
        <f t="shared" si="985"/>
        <v>0</v>
      </c>
      <c r="GY719" s="346">
        <f t="shared" si="985"/>
        <v>20.479901550034139</v>
      </c>
      <c r="GZ719" s="346">
        <f t="shared" si="985"/>
        <v>0</v>
      </c>
      <c r="HA719" s="346">
        <f t="shared" si="985"/>
        <v>0</v>
      </c>
      <c r="HB719" s="346">
        <f t="shared" si="985"/>
        <v>0</v>
      </c>
      <c r="HC719" s="346">
        <f t="shared" si="985"/>
        <v>0.98520657938470313</v>
      </c>
      <c r="HD719" s="346">
        <f t="shared" si="985"/>
        <v>0</v>
      </c>
      <c r="HE719" s="346">
        <f t="shared" si="985"/>
        <v>81.742566145485355</v>
      </c>
      <c r="HF719" s="346">
        <f t="shared" si="985"/>
        <v>0</v>
      </c>
      <c r="HG719" s="346">
        <f t="shared" si="985"/>
        <v>0</v>
      </c>
      <c r="HH719" s="346">
        <f t="shared" si="985"/>
        <v>0</v>
      </c>
      <c r="HI719" s="346">
        <f t="shared" si="985"/>
        <v>0</v>
      </c>
      <c r="HJ719" s="346">
        <f t="shared" si="985"/>
        <v>0</v>
      </c>
      <c r="HK719" s="346">
        <f t="shared" si="985"/>
        <v>6.9469754804080805</v>
      </c>
      <c r="HL719" s="346">
        <f t="shared" si="985"/>
        <v>29.104859467028962</v>
      </c>
      <c r="HM719" s="346"/>
      <c r="HN719" s="349"/>
      <c r="HO719" s="357" t="s">
        <v>538</v>
      </c>
      <c r="HP719" s="307">
        <f t="shared" si="879"/>
        <v>0</v>
      </c>
      <c r="HQ719" s="302">
        <f t="shared" si="880"/>
        <v>0</v>
      </c>
      <c r="HR719" s="346">
        <f t="shared" si="698"/>
        <v>0</v>
      </c>
      <c r="HS719" s="302">
        <f t="shared" si="881"/>
        <v>0</v>
      </c>
      <c r="HT719" s="302">
        <f t="shared" si="882"/>
        <v>0</v>
      </c>
      <c r="HU719" s="346">
        <f t="shared" si="678"/>
        <v>0</v>
      </c>
      <c r="HV719" s="307">
        <f t="shared" si="883"/>
        <v>0</v>
      </c>
      <c r="HW719" s="302">
        <f t="shared" si="884"/>
        <v>0</v>
      </c>
      <c r="HX719" s="346">
        <f t="shared" si="679"/>
        <v>0</v>
      </c>
      <c r="HY719" s="350">
        <f t="shared" si="885"/>
        <v>57.95751718966082</v>
      </c>
      <c r="HZ719" s="302">
        <f t="shared" si="886"/>
        <v>10.914513992388917</v>
      </c>
      <c r="IA719" s="346">
        <f t="shared" si="680"/>
        <v>68.872031182049739</v>
      </c>
      <c r="IB719" s="302">
        <f t="shared" si="887"/>
        <v>40.482568966944612</v>
      </c>
      <c r="IC719" s="302">
        <f t="shared" si="888"/>
        <v>22.438638039611863</v>
      </c>
      <c r="ID719" s="346">
        <f t="shared" si="681"/>
        <v>62.921207006556472</v>
      </c>
      <c r="IE719" s="350">
        <f t="shared" si="889"/>
        <v>17.044921303202841</v>
      </c>
      <c r="IF719" s="350">
        <f t="shared" si="890"/>
        <v>1.8329961897762919</v>
      </c>
      <c r="IG719" s="346">
        <f t="shared" si="682"/>
        <v>18.877917492979133</v>
      </c>
      <c r="IH719" s="350">
        <f t="shared" si="891"/>
        <v>15.987817423937917</v>
      </c>
      <c r="II719" s="350">
        <f t="shared" si="892"/>
        <v>8.1980283449999991</v>
      </c>
      <c r="IJ719" s="346">
        <f t="shared" si="683"/>
        <v>24.185845768937916</v>
      </c>
      <c r="IK719" s="350">
        <v>4.9684083120000002</v>
      </c>
      <c r="IL719" s="350">
        <f t="shared" si="864"/>
        <v>4.0488905105571265</v>
      </c>
      <c r="IM719" s="346">
        <f>IK719+IL719</f>
        <v>9.0172988225571267</v>
      </c>
      <c r="IN719" s="350">
        <f t="shared" si="865"/>
        <v>35.946141939335561</v>
      </c>
      <c r="IO719" s="350">
        <f t="shared" si="866"/>
        <v>178.58328382937401</v>
      </c>
      <c r="IP719" s="346">
        <f t="shared" si="685"/>
        <v>214.52942576870959</v>
      </c>
      <c r="IQ719" s="350">
        <f t="shared" si="867"/>
        <v>18.393040794055207</v>
      </c>
      <c r="IR719" s="350">
        <f t="shared" si="868"/>
        <v>140.3531827216357</v>
      </c>
      <c r="IS719" s="346">
        <f t="shared" si="686"/>
        <v>158.7462235156909</v>
      </c>
      <c r="IT719" s="350">
        <f>SUM(GU719:GZ719)</f>
        <v>23.06910008771062</v>
      </c>
      <c r="IU719" s="350">
        <f t="shared" ref="IU719:IU789" si="986">SUM(HA719:HF719)</f>
        <v>82.727772724870064</v>
      </c>
      <c r="IV719" s="346">
        <f t="shared" si="687"/>
        <v>105.79687281258069</v>
      </c>
      <c r="IW719" s="350">
        <f t="shared" si="700"/>
        <v>36.051834947437044</v>
      </c>
      <c r="IX719" s="350">
        <f t="shared" si="688"/>
        <v>1.008138730328767E-2</v>
      </c>
      <c r="IY719" s="346">
        <f>FISC!AJ1041</f>
        <v>36.061916334740332</v>
      </c>
      <c r="IZ719" s="350">
        <f>FISC!AJ100*FISC!AK253/1000</f>
        <v>0</v>
      </c>
      <c r="JA719" s="350">
        <f>FISC!AK92*FISC!AK253/1000</f>
        <v>29.935742938602822</v>
      </c>
      <c r="JB719" s="346">
        <f>FISC!AK1041</f>
        <v>29.935742938602822</v>
      </c>
      <c r="JC719" s="350">
        <f>FISC!AK100*FISC!AL253/1000</f>
        <v>0</v>
      </c>
      <c r="JD719" s="350">
        <f>FISC!AL92*FISC!AL253/1000</f>
        <v>0</v>
      </c>
      <c r="JE719" s="346">
        <f>FISC!AL1041</f>
        <v>0</v>
      </c>
      <c r="JF719" s="302">
        <f>FISC!AL100*FISC!AM253/1000</f>
        <v>0</v>
      </c>
      <c r="JG719" s="302">
        <f>JH719-JF719</f>
        <v>0</v>
      </c>
      <c r="JH719" s="346">
        <f>FISC!AM1041</f>
        <v>0</v>
      </c>
      <c r="JI719" s="302">
        <f>FISC!AM100*FISC!AN253/1000</f>
        <v>0</v>
      </c>
      <c r="JJ719" s="302">
        <f t="shared" si="701"/>
        <v>0</v>
      </c>
      <c r="JK719" s="346">
        <f>FISC!AN1041</f>
        <v>0</v>
      </c>
      <c r="JL719" s="302">
        <f>FISC!AN100*FISC!AO253/1000</f>
        <v>0</v>
      </c>
      <c r="JM719" s="302">
        <f t="shared" si="692"/>
        <v>0</v>
      </c>
      <c r="JN719" s="346">
        <f>FISC!AO1041</f>
        <v>0</v>
      </c>
      <c r="KI719" s="349"/>
      <c r="KJ719" s="350"/>
    </row>
    <row r="720" spans="1:302" hidden="1" outlineLevel="1">
      <c r="A720" s="302"/>
      <c r="D720" s="357" t="str">
        <f>FISC!D1042</f>
        <v>o/w UK</v>
      </c>
      <c r="E720" s="346"/>
      <c r="F720" s="346"/>
      <c r="G720" s="346"/>
      <c r="H720" s="346"/>
      <c r="I720" s="346"/>
      <c r="J720" s="346"/>
      <c r="K720" s="346"/>
      <c r="L720" s="346"/>
      <c r="M720" s="346"/>
      <c r="N720" s="346"/>
      <c r="O720" s="346"/>
      <c r="P720" s="346"/>
      <c r="Q720" s="346"/>
      <c r="R720" s="346"/>
      <c r="S720" s="346"/>
      <c r="T720" s="346"/>
      <c r="U720" s="346"/>
      <c r="V720" s="346"/>
      <c r="W720" s="346"/>
      <c r="X720" s="346"/>
      <c r="Y720" s="346"/>
      <c r="Z720" s="346"/>
      <c r="AA720" s="346"/>
      <c r="AB720" s="346"/>
      <c r="AC720" s="346"/>
      <c r="AD720" s="346"/>
      <c r="AE720" s="346"/>
      <c r="AF720" s="346"/>
      <c r="AG720" s="346"/>
      <c r="AH720" s="346"/>
      <c r="AI720" s="346"/>
      <c r="AJ720" s="346"/>
      <c r="AK720" s="346"/>
      <c r="AL720" s="346"/>
      <c r="AM720" s="346"/>
      <c r="AN720" s="346"/>
      <c r="AO720" s="346"/>
      <c r="AP720" s="346"/>
      <c r="AQ720" s="346"/>
      <c r="AR720" s="346"/>
      <c r="AS720" s="346"/>
      <c r="AT720" s="346"/>
      <c r="AU720" s="346"/>
      <c r="AV720" s="346"/>
      <c r="AW720" s="346"/>
      <c r="AX720" s="346"/>
      <c r="AY720" s="346"/>
      <c r="AZ720" s="346"/>
      <c r="BA720" s="346"/>
      <c r="BB720" s="346"/>
      <c r="BC720" s="346"/>
      <c r="BD720" s="346"/>
      <c r="BE720" s="346"/>
      <c r="BF720" s="346"/>
      <c r="BG720" s="346"/>
      <c r="BH720" s="346"/>
      <c r="BI720" s="346"/>
      <c r="BJ720" s="346"/>
      <c r="BK720" s="346"/>
      <c r="BL720" s="346"/>
      <c r="BM720" s="346"/>
      <c r="BN720" s="346"/>
      <c r="BO720" s="346"/>
      <c r="BP720" s="346"/>
      <c r="BQ720" s="346"/>
      <c r="BR720" s="346"/>
      <c r="BS720" s="346"/>
      <c r="BT720" s="346"/>
      <c r="BU720" s="346"/>
      <c r="BV720" s="346"/>
      <c r="BW720" s="346"/>
      <c r="BX720" s="346"/>
      <c r="BY720" s="346"/>
      <c r="BZ720" s="346"/>
      <c r="CA720" s="346"/>
      <c r="CB720" s="346"/>
      <c r="CC720" s="346"/>
      <c r="CD720" s="352"/>
      <c r="CE720" s="346"/>
      <c r="CF720" s="346"/>
      <c r="CG720" s="346"/>
      <c r="CH720" s="346"/>
      <c r="CI720" s="346"/>
      <c r="CJ720" s="346"/>
      <c r="CK720" s="346"/>
      <c r="CL720" s="346"/>
      <c r="CM720" s="346"/>
      <c r="CN720" s="346"/>
      <c r="CO720" s="346"/>
      <c r="CP720" s="348"/>
      <c r="CQ720" s="346"/>
      <c r="CR720" s="346"/>
      <c r="CS720" s="346"/>
      <c r="CT720" s="346"/>
      <c r="CU720" s="346"/>
      <c r="CV720" s="346"/>
      <c r="CW720" s="346"/>
      <c r="CX720" s="346"/>
      <c r="CY720" s="346"/>
      <c r="CZ720" s="346"/>
      <c r="DA720" s="346"/>
      <c r="DB720" s="1479"/>
      <c r="DC720" s="346"/>
      <c r="DD720" s="346"/>
      <c r="DE720" s="346"/>
      <c r="DF720" s="346"/>
      <c r="DG720" s="346"/>
      <c r="DH720" s="346"/>
      <c r="DI720" s="346"/>
      <c r="DJ720" s="346"/>
      <c r="DK720" s="346"/>
      <c r="DL720" s="346"/>
      <c r="DM720" s="346"/>
      <c r="DN720" s="348"/>
      <c r="DO720" s="346"/>
      <c r="DP720" s="346"/>
      <c r="DQ720" s="346"/>
      <c r="DR720" s="346"/>
      <c r="DS720" s="346"/>
      <c r="DT720" s="346"/>
      <c r="DU720" s="346"/>
      <c r="DV720" s="346"/>
      <c r="DW720" s="346"/>
      <c r="DX720" s="346"/>
      <c r="DY720" s="346"/>
      <c r="DZ720" s="348"/>
      <c r="EA720" s="346"/>
      <c r="EB720" s="346"/>
      <c r="EC720" s="346"/>
      <c r="ED720" s="346"/>
      <c r="EE720" s="346"/>
      <c r="EF720" s="346"/>
      <c r="EG720" s="346"/>
      <c r="EH720" s="346"/>
      <c r="EI720" s="346"/>
      <c r="EJ720" s="346"/>
      <c r="EK720" s="346"/>
      <c r="EL720" s="348"/>
      <c r="EM720" s="346"/>
      <c r="EN720" s="346"/>
      <c r="EO720" s="346"/>
      <c r="EP720" s="346"/>
      <c r="EQ720" s="346"/>
      <c r="ER720" s="346"/>
      <c r="ES720" s="346"/>
      <c r="ET720" s="346"/>
      <c r="EU720" s="346"/>
      <c r="EV720" s="346"/>
      <c r="EW720" s="346"/>
      <c r="EX720" s="348"/>
      <c r="EY720" s="346"/>
      <c r="EZ720" s="346"/>
      <c r="FA720" s="346"/>
      <c r="FB720" s="346"/>
      <c r="FC720" s="346"/>
      <c r="FD720" s="346"/>
      <c r="FE720" s="346"/>
      <c r="FF720" s="346"/>
      <c r="FG720" s="346"/>
      <c r="FH720" s="346"/>
      <c r="FI720" s="346"/>
      <c r="FJ720" s="348"/>
      <c r="FK720" s="346"/>
      <c r="FL720" s="346"/>
      <c r="FM720" s="346"/>
      <c r="FN720" s="346"/>
      <c r="FO720" s="346"/>
      <c r="FP720" s="346"/>
      <c r="FQ720" s="346"/>
      <c r="FR720" s="346"/>
      <c r="FS720" s="346"/>
      <c r="FT720" s="346"/>
      <c r="FU720" s="346"/>
      <c r="FV720" s="346"/>
      <c r="FW720" s="346">
        <v>0</v>
      </c>
      <c r="FX720" s="346">
        <v>0</v>
      </c>
      <c r="FY720" s="346">
        <v>0</v>
      </c>
      <c r="FZ720" s="346">
        <v>0</v>
      </c>
      <c r="GA720" s="346">
        <v>0</v>
      </c>
      <c r="GB720" s="346">
        <v>0</v>
      </c>
      <c r="GC720" s="346">
        <v>0</v>
      </c>
      <c r="GD720" s="346">
        <v>0</v>
      </c>
      <c r="GE720" s="346">
        <v>0</v>
      </c>
      <c r="GF720" s="346">
        <v>0</v>
      </c>
      <c r="GG720" s="346">
        <v>178.58328382937401</v>
      </c>
      <c r="GH720" s="346">
        <v>0</v>
      </c>
      <c r="GI720" s="346">
        <v>0</v>
      </c>
      <c r="GJ720" s="346">
        <v>0</v>
      </c>
      <c r="GK720" s="346">
        <v>0</v>
      </c>
      <c r="GL720" s="346">
        <v>0</v>
      </c>
      <c r="GM720" s="346">
        <v>0</v>
      </c>
      <c r="GN720" s="346">
        <v>0</v>
      </c>
      <c r="GO720" s="346">
        <v>1</v>
      </c>
      <c r="GP720" s="346">
        <v>2</v>
      </c>
      <c r="GQ720" s="346">
        <v>3</v>
      </c>
      <c r="GR720" s="346">
        <v>4</v>
      </c>
      <c r="GS720" s="346">
        <v>5</v>
      </c>
      <c r="GT720" s="346">
        <v>6</v>
      </c>
      <c r="GU720" s="346">
        <v>0</v>
      </c>
      <c r="GV720" s="346">
        <v>0</v>
      </c>
      <c r="GW720" s="346">
        <v>0</v>
      </c>
      <c r="GX720" s="346">
        <v>0</v>
      </c>
      <c r="GY720" s="346">
        <v>0</v>
      </c>
      <c r="GZ720" s="346">
        <v>0</v>
      </c>
      <c r="HA720" s="346">
        <v>0</v>
      </c>
      <c r="HB720" s="346">
        <v>0</v>
      </c>
      <c r="HC720" s="346">
        <v>0</v>
      </c>
      <c r="HD720" s="346">
        <v>0</v>
      </c>
      <c r="HE720" s="346">
        <v>81.74256614548537</v>
      </c>
      <c r="HF720" s="346">
        <v>0</v>
      </c>
      <c r="HG720" s="346">
        <v>0</v>
      </c>
      <c r="HH720" s="346">
        <v>0</v>
      </c>
      <c r="HI720" s="346">
        <v>0</v>
      </c>
      <c r="HJ720" s="346">
        <v>0</v>
      </c>
      <c r="HK720" s="346">
        <v>0</v>
      </c>
      <c r="HL720" s="346">
        <v>0</v>
      </c>
      <c r="HM720" s="346"/>
      <c r="HN720" s="349"/>
      <c r="HO720" s="357"/>
      <c r="HP720" s="307"/>
      <c r="HR720" s="346"/>
      <c r="HU720" s="346"/>
      <c r="HV720" s="307"/>
      <c r="HX720" s="346"/>
      <c r="HY720" s="350"/>
      <c r="IA720" s="346"/>
      <c r="ID720" s="346"/>
      <c r="IE720" s="350"/>
      <c r="IF720" s="350"/>
      <c r="IG720" s="346"/>
      <c r="IH720" s="350"/>
      <c r="II720" s="350"/>
      <c r="IJ720" s="346"/>
      <c r="IK720" s="350"/>
      <c r="IL720" s="350"/>
      <c r="IM720" s="346"/>
      <c r="IN720" s="350">
        <f t="shared" si="865"/>
        <v>0</v>
      </c>
      <c r="IO720" s="350">
        <f t="shared" si="866"/>
        <v>178.58328382937401</v>
      </c>
      <c r="IP720" s="346">
        <f t="shared" si="685"/>
        <v>178.58328382937401</v>
      </c>
      <c r="IQ720" s="350">
        <f t="shared" si="867"/>
        <v>0</v>
      </c>
      <c r="IR720" s="350">
        <f t="shared" si="868"/>
        <v>21</v>
      </c>
      <c r="IS720" s="346">
        <f t="shared" si="686"/>
        <v>21</v>
      </c>
      <c r="IT720" s="350">
        <f>SUM(GU720:GZ720)</f>
        <v>0</v>
      </c>
      <c r="IU720" s="350">
        <f t="shared" si="986"/>
        <v>81.74256614548537</v>
      </c>
      <c r="IV720" s="346">
        <f t="shared" si="687"/>
        <v>81.74256614548537</v>
      </c>
      <c r="IW720" s="350">
        <f t="shared" si="700"/>
        <v>0</v>
      </c>
      <c r="IX720" s="350">
        <f t="shared" si="688"/>
        <v>0</v>
      </c>
      <c r="IY720" s="346">
        <f>FISC!AJ1042</f>
        <v>0</v>
      </c>
      <c r="IZ720" s="350">
        <f>JB720/2</f>
        <v>0</v>
      </c>
      <c r="JA720" s="350">
        <f>JB720-IZ720</f>
        <v>0</v>
      </c>
      <c r="JB720" s="346">
        <f>FISC!AK1042</f>
        <v>0</v>
      </c>
      <c r="JC720" s="350">
        <f>JE720/2</f>
        <v>0</v>
      </c>
      <c r="JD720" s="350">
        <f>JE720-JC720</f>
        <v>0</v>
      </c>
      <c r="JE720" s="346">
        <f>FISC!AL1042</f>
        <v>0</v>
      </c>
      <c r="JH720" s="346">
        <f>FISC!AM1042</f>
        <v>0</v>
      </c>
      <c r="JK720" s="346">
        <f>FISC!AN1042</f>
        <v>0</v>
      </c>
      <c r="JN720" s="346">
        <f>FISC!AO1042</f>
        <v>0</v>
      </c>
      <c r="KI720" s="349"/>
      <c r="KJ720" s="350"/>
    </row>
    <row r="721" spans="1:302" hidden="1" outlineLevel="1">
      <c r="A721" s="302"/>
      <c r="B721" s="117" t="s">
        <v>361</v>
      </c>
      <c r="D721" s="357" t="s">
        <v>539</v>
      </c>
      <c r="E721" s="346"/>
      <c r="F721" s="346"/>
      <c r="G721" s="346"/>
      <c r="H721" s="346"/>
      <c r="I721" s="346"/>
      <c r="J721" s="346"/>
      <c r="K721" s="346"/>
      <c r="L721" s="346"/>
      <c r="M721" s="346"/>
      <c r="N721" s="346"/>
      <c r="O721" s="346"/>
      <c r="P721" s="346"/>
      <c r="Q721" s="346"/>
      <c r="R721" s="346"/>
      <c r="S721" s="346"/>
      <c r="T721" s="346"/>
      <c r="U721" s="346"/>
      <c r="V721" s="346"/>
      <c r="W721" s="346"/>
      <c r="X721" s="346"/>
      <c r="Y721" s="346"/>
      <c r="Z721" s="346"/>
      <c r="AA721" s="346"/>
      <c r="AB721" s="346"/>
      <c r="AC721" s="346"/>
      <c r="AD721" s="346"/>
      <c r="AE721" s="346"/>
      <c r="AF721" s="346"/>
      <c r="AG721" s="346"/>
      <c r="AH721" s="346"/>
      <c r="AI721" s="346"/>
      <c r="AJ721" s="346"/>
      <c r="AK721" s="346"/>
      <c r="AL721" s="346"/>
      <c r="AM721" s="346"/>
      <c r="AN721" s="346"/>
      <c r="AO721" s="346">
        <v>0</v>
      </c>
      <c r="AP721" s="346">
        <v>0</v>
      </c>
      <c r="AQ721" s="346">
        <v>0</v>
      </c>
      <c r="AR721" s="346">
        <v>0</v>
      </c>
      <c r="AS721" s="346">
        <v>0</v>
      </c>
      <c r="AT721" s="346">
        <v>0</v>
      </c>
      <c r="AU721" s="346">
        <v>0</v>
      </c>
      <c r="AV721" s="346">
        <v>0</v>
      </c>
      <c r="AW721" s="346">
        <v>0</v>
      </c>
      <c r="AX721" s="346">
        <v>0</v>
      </c>
      <c r="AY721" s="346">
        <v>0</v>
      </c>
      <c r="AZ721" s="346">
        <v>0</v>
      </c>
      <c r="BA721" s="346">
        <v>0</v>
      </c>
      <c r="BB721" s="346">
        <v>0</v>
      </c>
      <c r="BC721" s="346">
        <v>0</v>
      </c>
      <c r="BD721" s="346">
        <v>0</v>
      </c>
      <c r="BE721" s="346">
        <v>0</v>
      </c>
      <c r="BF721" s="346">
        <v>0</v>
      </c>
      <c r="BG721" s="346">
        <v>0</v>
      </c>
      <c r="BH721" s="346">
        <v>0</v>
      </c>
      <c r="BI721" s="346">
        <v>0</v>
      </c>
      <c r="BJ721" s="346">
        <v>0</v>
      </c>
      <c r="BK721" s="346">
        <v>0</v>
      </c>
      <c r="BL721" s="346">
        <v>0</v>
      </c>
      <c r="BM721" s="346">
        <v>0</v>
      </c>
      <c r="BN721" s="346">
        <v>0</v>
      </c>
      <c r="BO721" s="346">
        <v>0</v>
      </c>
      <c r="BP721" s="346">
        <v>0</v>
      </c>
      <c r="BQ721" s="346">
        <v>0</v>
      </c>
      <c r="BR721" s="346">
        <v>0</v>
      </c>
      <c r="BS721" s="346">
        <v>0</v>
      </c>
      <c r="BT721" s="346">
        <v>0</v>
      </c>
      <c r="BU721" s="346">
        <v>0</v>
      </c>
      <c r="BV721" s="346">
        <v>0</v>
      </c>
      <c r="BW721" s="346">
        <v>0</v>
      </c>
      <c r="BX721" s="346">
        <v>0</v>
      </c>
      <c r="BY721" s="346">
        <v>0</v>
      </c>
      <c r="BZ721" s="346">
        <v>0</v>
      </c>
      <c r="CA721" s="346">
        <v>0</v>
      </c>
      <c r="CB721" s="346">
        <v>0</v>
      </c>
      <c r="CC721" s="346">
        <v>0</v>
      </c>
      <c r="CD721" s="352"/>
      <c r="CE721" s="346">
        <f t="shared" ref="CE721:DJ721" si="987">CE363</f>
        <v>0</v>
      </c>
      <c r="CF721" s="346">
        <f t="shared" si="987"/>
        <v>0</v>
      </c>
      <c r="CG721" s="346">
        <f t="shared" si="987"/>
        <v>0</v>
      </c>
      <c r="CH721" s="346">
        <f t="shared" si="987"/>
        <v>0</v>
      </c>
      <c r="CI721" s="346">
        <f t="shared" si="987"/>
        <v>0</v>
      </c>
      <c r="CJ721" s="346">
        <f t="shared" si="987"/>
        <v>0</v>
      </c>
      <c r="CK721" s="346">
        <f t="shared" si="987"/>
        <v>0</v>
      </c>
      <c r="CL721" s="346">
        <f t="shared" si="987"/>
        <v>0</v>
      </c>
      <c r="CM721" s="346">
        <f t="shared" si="987"/>
        <v>0</v>
      </c>
      <c r="CN721" s="346">
        <f t="shared" si="987"/>
        <v>0</v>
      </c>
      <c r="CO721" s="346">
        <f t="shared" si="987"/>
        <v>0</v>
      </c>
      <c r="CP721" s="348">
        <f t="shared" si="987"/>
        <v>0</v>
      </c>
      <c r="CQ721" s="346">
        <f t="shared" si="987"/>
        <v>0</v>
      </c>
      <c r="CR721" s="346">
        <f t="shared" si="987"/>
        <v>0</v>
      </c>
      <c r="CS721" s="346">
        <f t="shared" si="987"/>
        <v>0</v>
      </c>
      <c r="CT721" s="346">
        <f t="shared" si="987"/>
        <v>0</v>
      </c>
      <c r="CU721" s="346">
        <f t="shared" si="987"/>
        <v>0</v>
      </c>
      <c r="CV721" s="346">
        <f t="shared" si="987"/>
        <v>0</v>
      </c>
      <c r="CW721" s="346">
        <f t="shared" si="987"/>
        <v>0</v>
      </c>
      <c r="CX721" s="346">
        <f t="shared" si="987"/>
        <v>0</v>
      </c>
      <c r="CY721" s="346">
        <f t="shared" si="987"/>
        <v>0</v>
      </c>
      <c r="CZ721" s="346">
        <f t="shared" si="987"/>
        <v>0</v>
      </c>
      <c r="DA721" s="346">
        <f t="shared" si="987"/>
        <v>0</v>
      </c>
      <c r="DB721" s="1479">
        <f t="shared" si="987"/>
        <v>0</v>
      </c>
      <c r="DC721" s="346">
        <f t="shared" si="987"/>
        <v>0</v>
      </c>
      <c r="DD721" s="346">
        <f t="shared" si="987"/>
        <v>0</v>
      </c>
      <c r="DE721" s="346">
        <f t="shared" si="987"/>
        <v>0</v>
      </c>
      <c r="DF721" s="346">
        <f t="shared" si="987"/>
        <v>0</v>
      </c>
      <c r="DG721" s="346">
        <f t="shared" si="987"/>
        <v>0</v>
      </c>
      <c r="DH721" s="346">
        <f t="shared" si="987"/>
        <v>0</v>
      </c>
      <c r="DI721" s="346">
        <f t="shared" si="987"/>
        <v>0</v>
      </c>
      <c r="DJ721" s="346">
        <f t="shared" si="987"/>
        <v>0</v>
      </c>
      <c r="DK721" s="346">
        <f t="shared" ref="DK721:EP721" si="988">DK363</f>
        <v>0</v>
      </c>
      <c r="DL721" s="346">
        <f t="shared" si="988"/>
        <v>0</v>
      </c>
      <c r="DM721" s="346">
        <f t="shared" si="988"/>
        <v>0</v>
      </c>
      <c r="DN721" s="348">
        <f t="shared" si="988"/>
        <v>0</v>
      </c>
      <c r="DO721" s="346">
        <f t="shared" si="988"/>
        <v>0</v>
      </c>
      <c r="DP721" s="346">
        <f t="shared" si="988"/>
        <v>0</v>
      </c>
      <c r="DQ721" s="346">
        <f t="shared" si="988"/>
        <v>0</v>
      </c>
      <c r="DR721" s="346">
        <f t="shared" si="988"/>
        <v>0</v>
      </c>
      <c r="DS721" s="346">
        <f t="shared" si="988"/>
        <v>0</v>
      </c>
      <c r="DT721" s="346">
        <f t="shared" si="988"/>
        <v>0</v>
      </c>
      <c r="DU721" s="346">
        <f t="shared" si="988"/>
        <v>0</v>
      </c>
      <c r="DV721" s="346">
        <f t="shared" si="988"/>
        <v>0</v>
      </c>
      <c r="DW721" s="346">
        <f t="shared" si="988"/>
        <v>0</v>
      </c>
      <c r="DX721" s="346">
        <f t="shared" si="988"/>
        <v>0</v>
      </c>
      <c r="DY721" s="346">
        <f t="shared" si="988"/>
        <v>0</v>
      </c>
      <c r="DZ721" s="348">
        <f t="shared" si="988"/>
        <v>0</v>
      </c>
      <c r="EA721" s="346">
        <f t="shared" si="988"/>
        <v>0</v>
      </c>
      <c r="EB721" s="346">
        <f t="shared" si="988"/>
        <v>0</v>
      </c>
      <c r="EC721" s="346">
        <f t="shared" si="988"/>
        <v>0</v>
      </c>
      <c r="ED721" s="346">
        <f t="shared" si="988"/>
        <v>0</v>
      </c>
      <c r="EE721" s="346">
        <f t="shared" si="988"/>
        <v>0</v>
      </c>
      <c r="EF721" s="346">
        <f t="shared" si="988"/>
        <v>0</v>
      </c>
      <c r="EG721" s="346">
        <f t="shared" si="988"/>
        <v>0</v>
      </c>
      <c r="EH721" s="346">
        <f t="shared" si="988"/>
        <v>0</v>
      </c>
      <c r="EI721" s="346">
        <f t="shared" si="988"/>
        <v>0</v>
      </c>
      <c r="EJ721" s="346">
        <f t="shared" si="988"/>
        <v>0</v>
      </c>
      <c r="EK721" s="346">
        <f t="shared" si="988"/>
        <v>0</v>
      </c>
      <c r="EL721" s="348">
        <f t="shared" si="988"/>
        <v>0</v>
      </c>
      <c r="EM721" s="346">
        <f t="shared" si="988"/>
        <v>0</v>
      </c>
      <c r="EN721" s="346">
        <f t="shared" si="988"/>
        <v>0</v>
      </c>
      <c r="EO721" s="346">
        <f t="shared" si="988"/>
        <v>0</v>
      </c>
      <c r="EP721" s="346">
        <f t="shared" si="988"/>
        <v>0</v>
      </c>
      <c r="EQ721" s="346">
        <f t="shared" ref="EQ721:FP721" si="989">EQ363</f>
        <v>0</v>
      </c>
      <c r="ER721" s="346">
        <f t="shared" si="989"/>
        <v>0</v>
      </c>
      <c r="ES721" s="346">
        <f t="shared" si="989"/>
        <v>0</v>
      </c>
      <c r="ET721" s="346">
        <f t="shared" si="989"/>
        <v>0</v>
      </c>
      <c r="EU721" s="346">
        <f t="shared" si="989"/>
        <v>0</v>
      </c>
      <c r="EV721" s="346">
        <f t="shared" si="989"/>
        <v>0</v>
      </c>
      <c r="EW721" s="346">
        <f t="shared" si="989"/>
        <v>0</v>
      </c>
      <c r="EX721" s="348">
        <f t="shared" si="989"/>
        <v>0</v>
      </c>
      <c r="EY721" s="346">
        <f t="shared" si="989"/>
        <v>0</v>
      </c>
      <c r="EZ721" s="346">
        <f t="shared" si="989"/>
        <v>0</v>
      </c>
      <c r="FA721" s="346">
        <f t="shared" si="989"/>
        <v>0</v>
      </c>
      <c r="FB721" s="346">
        <f t="shared" si="989"/>
        <v>0</v>
      </c>
      <c r="FC721" s="346">
        <f t="shared" si="989"/>
        <v>0</v>
      </c>
      <c r="FD721" s="346">
        <f t="shared" si="989"/>
        <v>0</v>
      </c>
      <c r="FE721" s="346">
        <f t="shared" si="989"/>
        <v>0</v>
      </c>
      <c r="FF721" s="346">
        <f t="shared" si="989"/>
        <v>0</v>
      </c>
      <c r="FG721" s="346">
        <f t="shared" si="989"/>
        <v>0</v>
      </c>
      <c r="FH721" s="346">
        <f t="shared" si="989"/>
        <v>0</v>
      </c>
      <c r="FI721" s="346">
        <f t="shared" si="989"/>
        <v>0</v>
      </c>
      <c r="FJ721" s="348">
        <f t="shared" si="989"/>
        <v>0</v>
      </c>
      <c r="FK721" s="346">
        <f t="shared" si="989"/>
        <v>0</v>
      </c>
      <c r="FL721" s="346">
        <f t="shared" si="989"/>
        <v>0</v>
      </c>
      <c r="FM721" s="346">
        <f t="shared" si="989"/>
        <v>0</v>
      </c>
      <c r="FN721" s="346">
        <f t="shared" si="989"/>
        <v>0</v>
      </c>
      <c r="FO721" s="346">
        <f t="shared" si="989"/>
        <v>0</v>
      </c>
      <c r="FP721" s="346">
        <f t="shared" si="989"/>
        <v>0</v>
      </c>
      <c r="FQ721" s="346">
        <f t="shared" ref="FQ721:FV721" si="990">FQ363</f>
        <v>0</v>
      </c>
      <c r="FR721" s="346">
        <f t="shared" si="990"/>
        <v>0</v>
      </c>
      <c r="FS721" s="346">
        <f t="shared" si="990"/>
        <v>0</v>
      </c>
      <c r="FT721" s="346">
        <f t="shared" si="990"/>
        <v>0</v>
      </c>
      <c r="FU721" s="346">
        <f t="shared" si="990"/>
        <v>0</v>
      </c>
      <c r="FV721" s="346">
        <f t="shared" si="990"/>
        <v>0</v>
      </c>
      <c r="FW721" s="346">
        <v>0</v>
      </c>
      <c r="FX721" s="346">
        <v>0</v>
      </c>
      <c r="FY721" s="346">
        <v>0</v>
      </c>
      <c r="FZ721" s="346">
        <v>0</v>
      </c>
      <c r="GA721" s="346">
        <v>0</v>
      </c>
      <c r="GB721" s="346">
        <v>0</v>
      </c>
      <c r="GC721" s="346">
        <v>0</v>
      </c>
      <c r="GD721" s="346">
        <v>0</v>
      </c>
      <c r="GE721" s="346">
        <v>0</v>
      </c>
      <c r="GF721" s="346">
        <v>0</v>
      </c>
      <c r="GG721" s="346">
        <v>0</v>
      </c>
      <c r="GH721" s="346">
        <v>0</v>
      </c>
      <c r="GI721" s="346">
        <f t="shared" ref="GI721:GN721" si="991">GI363</f>
        <v>14.81502815</v>
      </c>
      <c r="GJ721" s="346">
        <f t="shared" si="991"/>
        <v>14.81502815</v>
      </c>
      <c r="GK721" s="346">
        <f t="shared" si="991"/>
        <v>14.81502815</v>
      </c>
      <c r="GL721" s="346">
        <f t="shared" si="991"/>
        <v>14.81502815</v>
      </c>
      <c r="GM721" s="346">
        <f t="shared" si="991"/>
        <v>14.81502815</v>
      </c>
      <c r="GN721" s="346">
        <f t="shared" si="991"/>
        <v>14.81502815</v>
      </c>
      <c r="GO721" s="346">
        <f t="shared" ref="GO721:HL721" si="992">GO363</f>
        <v>26.330020899520001</v>
      </c>
      <c r="GP721" s="346">
        <f t="shared" si="992"/>
        <v>26.330020899520001</v>
      </c>
      <c r="GQ721" s="346">
        <f t="shared" si="992"/>
        <v>26.330020899520001</v>
      </c>
      <c r="GR721" s="346">
        <f t="shared" si="992"/>
        <v>26.330020899520001</v>
      </c>
      <c r="GS721" s="346">
        <f t="shared" si="992"/>
        <v>26.330020899520001</v>
      </c>
      <c r="GT721" s="346">
        <f t="shared" si="992"/>
        <v>26.330020899520001</v>
      </c>
      <c r="GU721" s="346">
        <f t="shared" si="992"/>
        <v>0</v>
      </c>
      <c r="GV721" s="346">
        <f t="shared" si="992"/>
        <v>0</v>
      </c>
      <c r="GW721" s="346">
        <f t="shared" si="992"/>
        <v>72.266987752008589</v>
      </c>
      <c r="GX721" s="346">
        <f t="shared" si="992"/>
        <v>0</v>
      </c>
      <c r="GY721" s="346">
        <f t="shared" si="992"/>
        <v>0</v>
      </c>
      <c r="GZ721" s="346">
        <f t="shared" si="992"/>
        <v>72.266987752008589</v>
      </c>
      <c r="HA721" s="346">
        <f t="shared" si="992"/>
        <v>0</v>
      </c>
      <c r="HB721" s="346">
        <f t="shared" si="992"/>
        <v>0</v>
      </c>
      <c r="HC721" s="346">
        <f t="shared" si="992"/>
        <v>86.715186151799713</v>
      </c>
      <c r="HD721" s="346">
        <f t="shared" si="992"/>
        <v>0</v>
      </c>
      <c r="HE721" s="346">
        <f t="shared" si="992"/>
        <v>0</v>
      </c>
      <c r="HF721" s="346">
        <f t="shared" si="992"/>
        <v>86.715186151799713</v>
      </c>
      <c r="HG721" s="346">
        <f t="shared" si="992"/>
        <v>0</v>
      </c>
      <c r="HH721" s="346">
        <f t="shared" si="992"/>
        <v>0</v>
      </c>
      <c r="HI721" s="346">
        <f t="shared" si="992"/>
        <v>76.674013141162661</v>
      </c>
      <c r="HJ721" s="346">
        <f t="shared" si="992"/>
        <v>0</v>
      </c>
      <c r="HK721" s="346">
        <f t="shared" si="992"/>
        <v>0</v>
      </c>
      <c r="HL721" s="346">
        <f t="shared" si="992"/>
        <v>76.674013141162661</v>
      </c>
      <c r="HM721" s="346"/>
      <c r="HN721" s="349"/>
      <c r="HO721" s="357" t="s">
        <v>539</v>
      </c>
      <c r="HP721" s="307">
        <f>SUM(CE721:CJ721)</f>
        <v>0</v>
      </c>
      <c r="HQ721" s="302">
        <f>SUM(CK721:CP721)</f>
        <v>0</v>
      </c>
      <c r="HR721" s="346">
        <f>HP721+HQ721</f>
        <v>0</v>
      </c>
      <c r="HS721" s="302">
        <f>SUM(CQ721:CV721)</f>
        <v>0</v>
      </c>
      <c r="HT721" s="302">
        <f>SUM(CW721:DB721)</f>
        <v>0</v>
      </c>
      <c r="HU721" s="346">
        <f t="shared" si="678"/>
        <v>0</v>
      </c>
      <c r="HV721" s="307">
        <f>SUM(DC721:DH721)</f>
        <v>0</v>
      </c>
      <c r="HW721" s="302">
        <f>SUM(DI721:DN721)</f>
        <v>0</v>
      </c>
      <c r="HX721" s="346">
        <f t="shared" si="679"/>
        <v>0</v>
      </c>
      <c r="HY721" s="350">
        <f>SUM(DO721:DT721)</f>
        <v>0</v>
      </c>
      <c r="HZ721" s="302">
        <f>SUM(DU721:DZ721)</f>
        <v>0</v>
      </c>
      <c r="IA721" s="346">
        <f t="shared" si="680"/>
        <v>0</v>
      </c>
      <c r="IB721" s="302">
        <f>SUM(EA721:EF721)</f>
        <v>0</v>
      </c>
      <c r="IC721" s="302">
        <f>SUM(EG721:EL721)</f>
        <v>0</v>
      </c>
      <c r="ID721" s="346">
        <f t="shared" si="681"/>
        <v>0</v>
      </c>
      <c r="IE721" s="350">
        <f>SUM(EM721:ER721)</f>
        <v>0</v>
      </c>
      <c r="IF721" s="350">
        <f>SUM(ES721:EX721)</f>
        <v>0</v>
      </c>
      <c r="IG721" s="346">
        <f t="shared" si="682"/>
        <v>0</v>
      </c>
      <c r="IH721" s="350">
        <f>SUM(EY721:FD721)</f>
        <v>0</v>
      </c>
      <c r="II721" s="350">
        <f>SUM(FE721:FJ721)</f>
        <v>0</v>
      </c>
      <c r="IJ721" s="346">
        <f t="shared" si="683"/>
        <v>0</v>
      </c>
      <c r="IK721" s="350">
        <f>SUM(FK721:FP721)</f>
        <v>0</v>
      </c>
      <c r="IL721" s="350">
        <f t="shared" ref="IL721:IL764" si="993">SUM(FQ721:FV721)</f>
        <v>0</v>
      </c>
      <c r="IM721" s="346">
        <f t="shared" si="684"/>
        <v>0</v>
      </c>
      <c r="IN721" s="350">
        <f t="shared" si="865"/>
        <v>0</v>
      </c>
      <c r="IO721" s="350">
        <f t="shared" si="866"/>
        <v>0</v>
      </c>
      <c r="IP721" s="346">
        <f t="shared" si="685"/>
        <v>0</v>
      </c>
      <c r="IQ721" s="350">
        <f t="shared" si="867"/>
        <v>88.890168900000006</v>
      </c>
      <c r="IR721" s="350">
        <f t="shared" si="868"/>
        <v>157.98012539712002</v>
      </c>
      <c r="IS721" s="346">
        <f t="shared" si="686"/>
        <v>246.87029429712004</v>
      </c>
      <c r="IT721" s="350">
        <f>SUM(GU721:GZ721)</f>
        <v>144.53397550401718</v>
      </c>
      <c r="IU721" s="350">
        <f t="shared" si="986"/>
        <v>173.43037230359943</v>
      </c>
      <c r="IV721" s="346">
        <f t="shared" si="687"/>
        <v>317.9643478076166</v>
      </c>
      <c r="IW721" s="350">
        <f t="shared" si="700"/>
        <v>153.34802628232532</v>
      </c>
      <c r="IX721" s="350">
        <f t="shared" si="688"/>
        <v>130.92617092231822</v>
      </c>
      <c r="IY721" s="346">
        <f>FISC!AJ1043</f>
        <v>284.27419720464354</v>
      </c>
      <c r="IZ721" s="350">
        <f>FISC!AJ86*FISC!AK253/1000</f>
        <v>143.88927338352678</v>
      </c>
      <c r="JA721" s="350">
        <f>FISC!AK81*FISC!AK253/1000</f>
        <v>143.88927338352678</v>
      </c>
      <c r="JB721" s="346">
        <f>FISC!AK1043</f>
        <v>287.77854676705357</v>
      </c>
      <c r="JC721" s="350">
        <f>FISC!AK86*FISC!AL253/1000</f>
        <v>154.55013356247539</v>
      </c>
      <c r="JD721" s="350">
        <f>FISC!AL81*FISC!AL253/1000</f>
        <v>154.55013356247539</v>
      </c>
      <c r="JE721" s="346">
        <f>FISC!AL1043</f>
        <v>309.10026712495079</v>
      </c>
      <c r="JF721" s="302">
        <f>FISC!AL86*FISC!AM253/1000</f>
        <v>164.78379066986392</v>
      </c>
      <c r="JG721" s="302">
        <f t="shared" si="691"/>
        <v>164.78379066986392</v>
      </c>
      <c r="JH721" s="346">
        <f>FISC!AM1043</f>
        <v>329.56758133972784</v>
      </c>
      <c r="JI721" s="302">
        <f>FISC!AM86*FISC!AN253/1000</f>
        <v>174.1115521681055</v>
      </c>
      <c r="JJ721" s="302">
        <f t="shared" ref="JJ721" si="994">JK721-JI721</f>
        <v>174.1115521681055</v>
      </c>
      <c r="JK721" s="346">
        <f>FISC!AN1043</f>
        <v>348.22310433621101</v>
      </c>
      <c r="JL721" s="302">
        <f>FISC!AN86*FISC!AO253/1000</f>
        <v>181.72320687112392</v>
      </c>
      <c r="JM721" s="302">
        <f t="shared" ref="JM721" si="995">JN721-JL721</f>
        <v>181.72320687112392</v>
      </c>
      <c r="JN721" s="346">
        <f>FISC!AO1043</f>
        <v>363.44641374224784</v>
      </c>
      <c r="KI721" s="349"/>
      <c r="KJ721" s="350"/>
    </row>
    <row r="722" spans="1:302" hidden="1" outlineLevel="1">
      <c r="A722" s="302"/>
      <c r="B722" s="117" t="s">
        <v>361</v>
      </c>
      <c r="D722" s="356" t="s">
        <v>540</v>
      </c>
      <c r="E722" s="346">
        <f t="shared" ref="E722:BP722" si="996">SUM(E723:E724)</f>
        <v>0</v>
      </c>
      <c r="F722" s="346">
        <f t="shared" si="996"/>
        <v>0</v>
      </c>
      <c r="G722" s="346">
        <f t="shared" si="996"/>
        <v>0</v>
      </c>
      <c r="H722" s="346">
        <f t="shared" si="996"/>
        <v>0</v>
      </c>
      <c r="I722" s="346">
        <f t="shared" si="996"/>
        <v>0</v>
      </c>
      <c r="J722" s="346">
        <f t="shared" si="996"/>
        <v>0</v>
      </c>
      <c r="K722" s="346">
        <f t="shared" si="996"/>
        <v>0</v>
      </c>
      <c r="L722" s="346">
        <f t="shared" si="996"/>
        <v>0</v>
      </c>
      <c r="M722" s="346">
        <f t="shared" si="996"/>
        <v>0</v>
      </c>
      <c r="N722" s="346">
        <f t="shared" si="996"/>
        <v>0</v>
      </c>
      <c r="O722" s="346">
        <f t="shared" si="996"/>
        <v>0</v>
      </c>
      <c r="P722" s="346">
        <f t="shared" si="996"/>
        <v>0</v>
      </c>
      <c r="Q722" s="346">
        <f t="shared" si="996"/>
        <v>0</v>
      </c>
      <c r="R722" s="346">
        <f t="shared" si="996"/>
        <v>0</v>
      </c>
      <c r="S722" s="346">
        <f t="shared" si="996"/>
        <v>0</v>
      </c>
      <c r="T722" s="346">
        <f t="shared" si="996"/>
        <v>0</v>
      </c>
      <c r="U722" s="346">
        <f t="shared" si="996"/>
        <v>0</v>
      </c>
      <c r="V722" s="346">
        <f t="shared" si="996"/>
        <v>0</v>
      </c>
      <c r="W722" s="346">
        <f t="shared" si="996"/>
        <v>0</v>
      </c>
      <c r="X722" s="346">
        <f t="shared" si="996"/>
        <v>0</v>
      </c>
      <c r="Y722" s="346">
        <f t="shared" si="996"/>
        <v>0</v>
      </c>
      <c r="Z722" s="346">
        <f t="shared" si="996"/>
        <v>0</v>
      </c>
      <c r="AA722" s="346">
        <f t="shared" si="996"/>
        <v>0</v>
      </c>
      <c r="AB722" s="346">
        <f t="shared" si="996"/>
        <v>0</v>
      </c>
      <c r="AC722" s="346">
        <f t="shared" si="996"/>
        <v>0</v>
      </c>
      <c r="AD722" s="346">
        <f t="shared" si="996"/>
        <v>0</v>
      </c>
      <c r="AE722" s="346">
        <f t="shared" si="996"/>
        <v>0</v>
      </c>
      <c r="AF722" s="346">
        <f t="shared" si="996"/>
        <v>0</v>
      </c>
      <c r="AG722" s="346">
        <f t="shared" si="996"/>
        <v>0</v>
      </c>
      <c r="AH722" s="346">
        <f t="shared" si="996"/>
        <v>0</v>
      </c>
      <c r="AI722" s="346">
        <f t="shared" si="996"/>
        <v>0</v>
      </c>
      <c r="AJ722" s="346">
        <f t="shared" si="996"/>
        <v>0</v>
      </c>
      <c r="AK722" s="346">
        <f t="shared" si="996"/>
        <v>0</v>
      </c>
      <c r="AL722" s="346">
        <f t="shared" si="996"/>
        <v>0</v>
      </c>
      <c r="AM722" s="346">
        <f t="shared" si="996"/>
        <v>0</v>
      </c>
      <c r="AN722" s="346">
        <f t="shared" si="996"/>
        <v>0</v>
      </c>
      <c r="AO722" s="346">
        <f t="shared" si="996"/>
        <v>21.649201587</v>
      </c>
      <c r="AP722" s="346">
        <f t="shared" si="996"/>
        <v>0</v>
      </c>
      <c r="AQ722" s="346">
        <f t="shared" si="996"/>
        <v>8.0213442799999992</v>
      </c>
      <c r="AR722" s="346">
        <f t="shared" si="996"/>
        <v>12.581843562</v>
      </c>
      <c r="AS722" s="346">
        <f t="shared" si="996"/>
        <v>9.056692696999999</v>
      </c>
      <c r="AT722" s="346">
        <f t="shared" si="996"/>
        <v>97.265289525</v>
      </c>
      <c r="AU722" s="346">
        <f t="shared" si="996"/>
        <v>14.359943473818106</v>
      </c>
      <c r="AV722" s="346">
        <f t="shared" si="996"/>
        <v>7.232509424266377</v>
      </c>
      <c r="AW722" s="346">
        <f t="shared" si="996"/>
        <v>59.516871442659337</v>
      </c>
      <c r="AX722" s="346">
        <f t="shared" si="996"/>
        <v>33.411417465369809</v>
      </c>
      <c r="AY722" s="346">
        <f t="shared" si="996"/>
        <v>16.044825288505645</v>
      </c>
      <c r="AZ722" s="346">
        <f t="shared" si="996"/>
        <v>109.82659987000741</v>
      </c>
      <c r="BA722" s="346">
        <f t="shared" si="996"/>
        <v>8.8019992640933733</v>
      </c>
      <c r="BB722" s="346">
        <f t="shared" si="996"/>
        <v>10.577286439512136</v>
      </c>
      <c r="BC722" s="346">
        <f t="shared" si="996"/>
        <v>8.244866279878206</v>
      </c>
      <c r="BD722" s="346">
        <f t="shared" si="996"/>
        <v>75.35028321798481</v>
      </c>
      <c r="BE722" s="346">
        <f t="shared" si="996"/>
        <v>9.7280125404380176</v>
      </c>
      <c r="BF722" s="346">
        <f t="shared" si="996"/>
        <v>27.298432574456768</v>
      </c>
      <c r="BG722" s="346">
        <f t="shared" si="996"/>
        <v>49.565736672181224</v>
      </c>
      <c r="BH722" s="346">
        <f t="shared" si="996"/>
        <v>45.808815921452073</v>
      </c>
      <c r="BI722" s="346">
        <f t="shared" si="996"/>
        <v>44.04422361746596</v>
      </c>
      <c r="BJ722" s="346">
        <f t="shared" si="996"/>
        <v>86.384493198957969</v>
      </c>
      <c r="BK722" s="346">
        <f t="shared" si="996"/>
        <v>18.147950790476774</v>
      </c>
      <c r="BL722" s="346">
        <f t="shared" si="996"/>
        <v>86.604788187888346</v>
      </c>
      <c r="BM722" s="346">
        <f t="shared" si="996"/>
        <v>6.0136036638934369</v>
      </c>
      <c r="BN722" s="346">
        <f t="shared" si="996"/>
        <v>11.641648074884673</v>
      </c>
      <c r="BO722" s="346">
        <f t="shared" si="996"/>
        <v>16.867940131778187</v>
      </c>
      <c r="BP722" s="346">
        <f t="shared" si="996"/>
        <v>5.4282211105678257</v>
      </c>
      <c r="BQ722" s="346">
        <f t="shared" ref="BQ722:EB722" si="997">SUM(BQ723:BQ724)</f>
        <v>4.8722007713956961</v>
      </c>
      <c r="BR722" s="346">
        <f t="shared" si="997"/>
        <v>82.006366405057818</v>
      </c>
      <c r="BS722" s="346">
        <f t="shared" si="997"/>
        <v>40.803880088389626</v>
      </c>
      <c r="BT722" s="346">
        <f t="shared" si="997"/>
        <v>14.813409459931112</v>
      </c>
      <c r="BU722" s="346">
        <f t="shared" si="997"/>
        <v>22.770009261522112</v>
      </c>
      <c r="BV722" s="346">
        <f t="shared" si="997"/>
        <v>48.610405375930306</v>
      </c>
      <c r="BW722" s="346">
        <f t="shared" si="997"/>
        <v>41.538890177774903</v>
      </c>
      <c r="BX722" s="346">
        <f t="shared" si="997"/>
        <v>32.076902483857872</v>
      </c>
      <c r="BY722" s="346">
        <f t="shared" si="997"/>
        <v>6.4084407417666696E-6</v>
      </c>
      <c r="BZ722" s="346">
        <f t="shared" si="997"/>
        <v>3.9502690426215792</v>
      </c>
      <c r="CA722" s="346">
        <f t="shared" si="997"/>
        <v>21.932064366094338</v>
      </c>
      <c r="CB722" s="346">
        <f t="shared" si="997"/>
        <v>38.051989401949243</v>
      </c>
      <c r="CC722" s="346">
        <f t="shared" si="997"/>
        <v>50.358811871651319</v>
      </c>
      <c r="CD722" s="352">
        <f t="shared" si="997"/>
        <v>43.183925704585832</v>
      </c>
      <c r="CE722" s="346">
        <f t="shared" si="997"/>
        <v>31.294496220706698</v>
      </c>
      <c r="CF722" s="346">
        <f t="shared" si="997"/>
        <v>38.849477566021811</v>
      </c>
      <c r="CG722" s="346">
        <f t="shared" si="997"/>
        <v>76.031701622894502</v>
      </c>
      <c r="CH722" s="346">
        <f t="shared" si="997"/>
        <v>48.3828124680496</v>
      </c>
      <c r="CI722" s="346">
        <f t="shared" si="997"/>
        <v>36.012732783613451</v>
      </c>
      <c r="CJ722" s="346">
        <f t="shared" si="997"/>
        <v>62.84400919591495</v>
      </c>
      <c r="CK722" s="346">
        <f t="shared" si="997"/>
        <v>22.369328398681304</v>
      </c>
      <c r="CL722" s="346">
        <f t="shared" si="997"/>
        <v>15.370313869472696</v>
      </c>
      <c r="CM722" s="346">
        <f t="shared" si="997"/>
        <v>15.260357731845993</v>
      </c>
      <c r="CN722" s="346">
        <f t="shared" si="997"/>
        <v>60.223322623538365</v>
      </c>
      <c r="CO722" s="346">
        <f t="shared" si="997"/>
        <v>36.611849603410164</v>
      </c>
      <c r="CP722" s="348">
        <f t="shared" si="997"/>
        <v>31.066255138470598</v>
      </c>
      <c r="CQ722" s="346">
        <f t="shared" si="997"/>
        <v>34.448433302576923</v>
      </c>
      <c r="CR722" s="346">
        <f t="shared" si="997"/>
        <v>20.63533699242986</v>
      </c>
      <c r="CS722" s="346">
        <f t="shared" si="997"/>
        <v>32.087946900292721</v>
      </c>
      <c r="CT722" s="346">
        <f t="shared" si="997"/>
        <v>27.612034403931105</v>
      </c>
      <c r="CU722" s="346">
        <f t="shared" si="997"/>
        <v>37.436683176818299</v>
      </c>
      <c r="CV722" s="346">
        <f t="shared" si="997"/>
        <v>88.698945014422492</v>
      </c>
      <c r="CW722" s="346">
        <f t="shared" si="997"/>
        <v>19.204165503062438</v>
      </c>
      <c r="CX722" s="346">
        <f t="shared" si="997"/>
        <v>20.746947771968358</v>
      </c>
      <c r="CY722" s="346">
        <f t="shared" si="997"/>
        <v>35.869115706465713</v>
      </c>
      <c r="CZ722" s="346">
        <f t="shared" si="997"/>
        <v>25.985062782443698</v>
      </c>
      <c r="DA722" s="346">
        <f t="shared" si="997"/>
        <v>51.924950351204735</v>
      </c>
      <c r="DB722" s="1479">
        <f t="shared" si="997"/>
        <v>21.277785089683185</v>
      </c>
      <c r="DC722" s="346">
        <f t="shared" si="997"/>
        <v>31.952444359087636</v>
      </c>
      <c r="DD722" s="346">
        <f t="shared" si="997"/>
        <v>25.176932769502265</v>
      </c>
      <c r="DE722" s="346">
        <f t="shared" si="997"/>
        <v>37.733474002093303</v>
      </c>
      <c r="DF722" s="346">
        <f t="shared" si="997"/>
        <v>10.630564396348262</v>
      </c>
      <c r="DG722" s="346">
        <f t="shared" si="997"/>
        <v>42.242365627815268</v>
      </c>
      <c r="DH722" s="346">
        <f t="shared" si="997"/>
        <v>51.857928151955861</v>
      </c>
      <c r="DI722" s="346">
        <f t="shared" si="997"/>
        <v>10.091643304932198</v>
      </c>
      <c r="DJ722" s="346">
        <f t="shared" si="997"/>
        <v>14.552678703328509</v>
      </c>
      <c r="DK722" s="346">
        <f t="shared" si="997"/>
        <v>15.303282783798712</v>
      </c>
      <c r="DL722" s="346">
        <f t="shared" si="997"/>
        <v>65.287056068877121</v>
      </c>
      <c r="DM722" s="346">
        <f t="shared" si="997"/>
        <v>19.525803094469907</v>
      </c>
      <c r="DN722" s="348">
        <f t="shared" si="997"/>
        <v>49.359432531340339</v>
      </c>
      <c r="DO722" s="346">
        <f t="shared" si="997"/>
        <v>16.821842926668246</v>
      </c>
      <c r="DP722" s="346">
        <f t="shared" si="997"/>
        <v>12.133511288417928</v>
      </c>
      <c r="DQ722" s="346">
        <f t="shared" si="997"/>
        <v>12.10521743976989</v>
      </c>
      <c r="DR722" s="346">
        <f t="shared" si="997"/>
        <v>3.2359692316649102</v>
      </c>
      <c r="DS722" s="346">
        <f t="shared" si="997"/>
        <v>24.265521834424653</v>
      </c>
      <c r="DT722" s="346">
        <f t="shared" si="997"/>
        <v>38.69634425486683</v>
      </c>
      <c r="DU722" s="346">
        <f t="shared" si="997"/>
        <v>26.861476736151836</v>
      </c>
      <c r="DV722" s="346">
        <f t="shared" si="997"/>
        <v>15.698929868479176</v>
      </c>
      <c r="DW722" s="346">
        <f t="shared" si="997"/>
        <v>9.9379293873689836</v>
      </c>
      <c r="DX722" s="346">
        <f t="shared" si="997"/>
        <v>18.107965103232981</v>
      </c>
      <c r="DY722" s="346">
        <f t="shared" si="997"/>
        <v>11.606604623025165</v>
      </c>
      <c r="DZ722" s="348">
        <f t="shared" si="997"/>
        <v>71.838740070398202</v>
      </c>
      <c r="EA722" s="346">
        <f t="shared" si="997"/>
        <v>28.478469199581948</v>
      </c>
      <c r="EB722" s="346">
        <f t="shared" si="997"/>
        <v>13.523021116010485</v>
      </c>
      <c r="EC722" s="346">
        <f t="shared" ref="EC722:FP722" si="998">SUM(EC723:EC724)</f>
        <v>18.953049629910502</v>
      </c>
      <c r="ED722" s="346">
        <f t="shared" si="998"/>
        <v>23.298000892212691</v>
      </c>
      <c r="EE722" s="346">
        <f t="shared" si="998"/>
        <v>23.161700240021034</v>
      </c>
      <c r="EF722" s="346">
        <f t="shared" si="998"/>
        <v>46.878481637633797</v>
      </c>
      <c r="EG722" s="346">
        <f t="shared" si="998"/>
        <v>35.474939126189987</v>
      </c>
      <c r="EH722" s="346">
        <f t="shared" si="998"/>
        <v>15.9798820219416</v>
      </c>
      <c r="EI722" s="346">
        <f t="shared" si="998"/>
        <v>34.631168591869212</v>
      </c>
      <c r="EJ722" s="346">
        <f t="shared" si="998"/>
        <v>17.3529972263057</v>
      </c>
      <c r="EK722" s="346">
        <f t="shared" si="998"/>
        <v>8.0850167052850175</v>
      </c>
      <c r="EL722" s="348">
        <f t="shared" si="998"/>
        <v>30.170743475192022</v>
      </c>
      <c r="EM722" s="346">
        <f t="shared" si="998"/>
        <v>21.744780747851884</v>
      </c>
      <c r="EN722" s="346">
        <f t="shared" si="998"/>
        <v>28.582831360647518</v>
      </c>
      <c r="EO722" s="346">
        <f t="shared" si="998"/>
        <v>32.06137583228977</v>
      </c>
      <c r="EP722" s="346">
        <f t="shared" si="998"/>
        <v>25.689925104930648</v>
      </c>
      <c r="EQ722" s="346">
        <f t="shared" si="998"/>
        <v>6.238642488411001</v>
      </c>
      <c r="ER722" s="346">
        <f t="shared" si="998"/>
        <v>103.18971067895137</v>
      </c>
      <c r="ES722" s="346">
        <f t="shared" si="998"/>
        <v>25.794172349091561</v>
      </c>
      <c r="ET722" s="346">
        <f t="shared" si="998"/>
        <v>40.194968139461167</v>
      </c>
      <c r="EU722" s="346">
        <f t="shared" si="998"/>
        <v>26.318875862817901</v>
      </c>
      <c r="EV722" s="346">
        <f t="shared" si="998"/>
        <v>30.464400599917024</v>
      </c>
      <c r="EW722" s="346">
        <f t="shared" si="998"/>
        <v>9.2735813359162655</v>
      </c>
      <c r="EX722" s="348">
        <f t="shared" si="998"/>
        <v>26.318875862950499</v>
      </c>
      <c r="EY722" s="346">
        <f t="shared" si="998"/>
        <v>32.241833855093404</v>
      </c>
      <c r="EZ722" s="346">
        <f t="shared" si="998"/>
        <v>19.120340874614172</v>
      </c>
      <c r="FA722" s="346">
        <f t="shared" si="998"/>
        <v>32.476259949591501</v>
      </c>
      <c r="FB722" s="346">
        <f t="shared" si="998"/>
        <v>17.141012261463228</v>
      </c>
      <c r="FC722" s="346">
        <f t="shared" si="998"/>
        <v>28.591621457094867</v>
      </c>
      <c r="FD722" s="346">
        <f t="shared" si="998"/>
        <v>74.910884488121596</v>
      </c>
      <c r="FE722" s="346">
        <f t="shared" si="998"/>
        <v>18.57477772208745</v>
      </c>
      <c r="FF722" s="346">
        <f t="shared" si="998"/>
        <v>40.829624657206764</v>
      </c>
      <c r="FG722" s="346">
        <f t="shared" si="998"/>
        <v>23.485399915408056</v>
      </c>
      <c r="FH722" s="346">
        <f t="shared" si="998"/>
        <v>40.202751746070916</v>
      </c>
      <c r="FI722" s="346">
        <f t="shared" si="998"/>
        <v>25.711020665681996</v>
      </c>
      <c r="FJ722" s="348">
        <f t="shared" si="998"/>
        <v>60.087031282495659</v>
      </c>
      <c r="FK722" s="346">
        <f t="shared" si="998"/>
        <v>18.016468952481294</v>
      </c>
      <c r="FL722" s="346">
        <f t="shared" si="998"/>
        <v>22.038160849417618</v>
      </c>
      <c r="FM722" s="346">
        <f t="shared" si="998"/>
        <v>85.114840036842878</v>
      </c>
      <c r="FN722" s="346">
        <f t="shared" si="998"/>
        <v>55.795753342564119</v>
      </c>
      <c r="FO722" s="346">
        <f t="shared" si="998"/>
        <v>24.596989962932081</v>
      </c>
      <c r="FP722" s="346">
        <f t="shared" si="998"/>
        <v>52.943284085381222</v>
      </c>
      <c r="FQ722" s="346">
        <f t="shared" ref="FQ722:FV722" si="999">SUM(FQ723:FQ724)</f>
        <v>26.0973223375467</v>
      </c>
      <c r="FR722" s="346">
        <f t="shared" si="999"/>
        <v>26.0973223375467</v>
      </c>
      <c r="FS722" s="346">
        <f t="shared" si="999"/>
        <v>101.97518335178538</v>
      </c>
      <c r="FT722" s="346">
        <f t="shared" si="999"/>
        <v>36.043364572106718</v>
      </c>
      <c r="FU722" s="346">
        <f t="shared" si="999"/>
        <v>26.540783368213397</v>
      </c>
      <c r="FV722" s="346">
        <f t="shared" si="999"/>
        <v>81.779804093706915</v>
      </c>
      <c r="FW722" s="346">
        <v>25.536817192198459</v>
      </c>
      <c r="FX722" s="346">
        <v>68.769149023021257</v>
      </c>
      <c r="FY722" s="346">
        <v>34.1409768277097</v>
      </c>
      <c r="FZ722" s="346">
        <v>51.587092125766084</v>
      </c>
      <c r="GA722" s="346">
        <v>47.967438923782581</v>
      </c>
      <c r="GB722" s="346">
        <v>34.765320419563082</v>
      </c>
      <c r="GC722" s="346">
        <v>51.379938509455535</v>
      </c>
      <c r="GD722" s="346">
        <v>32.894609653005027</v>
      </c>
      <c r="GE722" s="346">
        <v>127.61318963777623</v>
      </c>
      <c r="GF722" s="346">
        <v>64.638842304396093</v>
      </c>
      <c r="GG722" s="346">
        <v>32.818074208225894</v>
      </c>
      <c r="GH722" s="346">
        <v>37.543484832671957</v>
      </c>
      <c r="GI722" s="346">
        <f t="shared" ref="GI722:GN722" si="1000">SUM(GI723:GI724)</f>
        <v>47.933698287076837</v>
      </c>
      <c r="GJ722" s="346">
        <f t="shared" si="1000"/>
        <v>19.181961397576977</v>
      </c>
      <c r="GK722" s="346">
        <f t="shared" si="1000"/>
        <v>16.2176160074929</v>
      </c>
      <c r="GL722" s="346">
        <f t="shared" si="1000"/>
        <v>34.615500221610787</v>
      </c>
      <c r="GM722" s="346">
        <f t="shared" si="1000"/>
        <v>16.2176160074929</v>
      </c>
      <c r="GN722" s="346">
        <f t="shared" si="1000"/>
        <v>31.198983179245815</v>
      </c>
      <c r="GO722" s="346">
        <f t="shared" ref="GO722:GS722" si="1001">SUM(GO723:GO724)</f>
        <v>10.493535797153971</v>
      </c>
      <c r="GP722" s="346">
        <f t="shared" si="1001"/>
        <v>9.518152400153971</v>
      </c>
      <c r="GQ722" s="346">
        <f t="shared" si="1001"/>
        <v>9.518152400153971</v>
      </c>
      <c r="GR722" s="346">
        <f t="shared" si="1001"/>
        <v>46.907793402424289</v>
      </c>
      <c r="GS722" s="346">
        <f t="shared" si="1001"/>
        <v>19.724980990133972</v>
      </c>
      <c r="GT722" s="346">
        <f>SUM(GT723:GT724)</f>
        <v>44.162737851624534</v>
      </c>
      <c r="GU722" s="346">
        <f t="shared" ref="GU722:HL722" si="1002">SUM(GU723:GU724)</f>
        <v>34.381813544500368</v>
      </c>
      <c r="GV722" s="346">
        <f t="shared" si="1002"/>
        <v>9.7639445017651276</v>
      </c>
      <c r="GW722" s="346">
        <f t="shared" si="1002"/>
        <v>52.640227532174087</v>
      </c>
      <c r="GX722" s="346">
        <f t="shared" si="1002"/>
        <v>14.899181219072448</v>
      </c>
      <c r="GY722" s="346">
        <f t="shared" si="1002"/>
        <v>2.0545404563266199</v>
      </c>
      <c r="GZ722" s="346">
        <f t="shared" si="1002"/>
        <v>53.023490088936811</v>
      </c>
      <c r="HA722" s="346">
        <f t="shared" si="1002"/>
        <v>14.411668654781918</v>
      </c>
      <c r="HB722" s="346">
        <f t="shared" si="1002"/>
        <v>0</v>
      </c>
      <c r="HC722" s="346">
        <f t="shared" si="1002"/>
        <v>47.88367306829565</v>
      </c>
      <c r="HD722" s="346">
        <f t="shared" si="1002"/>
        <v>29.529508718633497</v>
      </c>
      <c r="HE722" s="346">
        <f t="shared" si="1002"/>
        <v>9.3581437734186519</v>
      </c>
      <c r="HF722" s="346">
        <f t="shared" si="1002"/>
        <v>66.083997353529654</v>
      </c>
      <c r="HG722" s="346">
        <f t="shared" si="1002"/>
        <v>36.550565428489207</v>
      </c>
      <c r="HH722" s="346">
        <f t="shared" si="1002"/>
        <v>0</v>
      </c>
      <c r="HI722" s="346">
        <f t="shared" si="1002"/>
        <v>44.842136541598634</v>
      </c>
      <c r="HJ722" s="346">
        <f t="shared" si="1002"/>
        <v>34.237850121589396</v>
      </c>
      <c r="HK722" s="346">
        <f t="shared" si="1002"/>
        <v>0</v>
      </c>
      <c r="HL722" s="346">
        <f t="shared" si="1002"/>
        <v>57.939248724502541</v>
      </c>
      <c r="HM722" s="346"/>
      <c r="HN722" s="349"/>
      <c r="HO722" s="356" t="s">
        <v>540</v>
      </c>
      <c r="HP722" s="307">
        <f>SUM(CE722:CJ722)</f>
        <v>293.41522985720098</v>
      </c>
      <c r="HQ722" s="302">
        <f>SUM(CK722:CP722)</f>
        <v>180.90142736541915</v>
      </c>
      <c r="HR722" s="346">
        <f t="shared" si="698"/>
        <v>474.31665722262017</v>
      </c>
      <c r="HS722" s="302">
        <f>SUM(CQ722:CV722)</f>
        <v>240.9193797904714</v>
      </c>
      <c r="HT722" s="302">
        <f>SUM(CW722:DB722)</f>
        <v>175.00802720482812</v>
      </c>
      <c r="HU722" s="346">
        <f t="shared" si="678"/>
        <v>415.92740699529952</v>
      </c>
      <c r="HV722" s="307">
        <f>SUM(DC722:DH722)</f>
        <v>199.59370930680259</v>
      </c>
      <c r="HW722" s="302">
        <f>SUM(DI722:DN722)</f>
        <v>174.1198964867468</v>
      </c>
      <c r="HX722" s="346">
        <f t="shared" si="679"/>
        <v>373.71360579354939</v>
      </c>
      <c r="HY722" s="350">
        <f>SUM(DO722:DT722)</f>
        <v>107.25840697581245</v>
      </c>
      <c r="HZ722" s="302">
        <f>SUM(DU722:DZ722)</f>
        <v>154.05164578865634</v>
      </c>
      <c r="IA722" s="346">
        <f t="shared" si="680"/>
        <v>261.31005276446876</v>
      </c>
      <c r="IB722" s="302">
        <f>SUM(EA722:EF722)</f>
        <v>154.29272271537047</v>
      </c>
      <c r="IC722" s="302">
        <f>SUM(EG722:EL722)</f>
        <v>141.69474714678353</v>
      </c>
      <c r="ID722" s="346">
        <f t="shared" si="681"/>
        <v>295.987469862154</v>
      </c>
      <c r="IE722" s="350">
        <f>SUM(EM722:ER722)</f>
        <v>217.5072662130822</v>
      </c>
      <c r="IF722" s="350">
        <f>SUM(ES722:EX722)</f>
        <v>158.36487415015444</v>
      </c>
      <c r="IG722" s="346">
        <f t="shared" si="682"/>
        <v>375.87214036323667</v>
      </c>
      <c r="IH722" s="350">
        <f>SUM(EY722:FD722)</f>
        <v>204.48195288597879</v>
      </c>
      <c r="II722" s="350">
        <f>SUM(FE722:FJ722)</f>
        <v>208.89060598895082</v>
      </c>
      <c r="IJ722" s="346">
        <f t="shared" si="683"/>
        <v>413.37255887492961</v>
      </c>
      <c r="IK722" s="350">
        <f>SUM(FK722:FP722)</f>
        <v>258.50549722961921</v>
      </c>
      <c r="IL722" s="350">
        <f t="shared" si="993"/>
        <v>298.53378006090583</v>
      </c>
      <c r="IM722" s="346">
        <f t="shared" si="684"/>
        <v>557.03927729052498</v>
      </c>
      <c r="IN722" s="350">
        <f t="shared" si="865"/>
        <v>262.76679451204114</v>
      </c>
      <c r="IO722" s="350">
        <f t="shared" si="866"/>
        <v>346.88813914553072</v>
      </c>
      <c r="IP722" s="346">
        <f t="shared" si="685"/>
        <v>609.65493365757186</v>
      </c>
      <c r="IQ722" s="350">
        <f t="shared" si="867"/>
        <v>165.36537510049624</v>
      </c>
      <c r="IR722" s="350">
        <f t="shared" si="868"/>
        <v>140.3253528416447</v>
      </c>
      <c r="IS722" s="346">
        <f t="shared" si="686"/>
        <v>305.69072794214094</v>
      </c>
      <c r="IT722" s="350">
        <f>IT723+IT724</f>
        <v>166.76319734277547</v>
      </c>
      <c r="IU722" s="350">
        <f>IU723+IU724</f>
        <v>167.26699156865936</v>
      </c>
      <c r="IV722" s="346">
        <f t="shared" si="687"/>
        <v>334.03018891143483</v>
      </c>
      <c r="IW722" s="350">
        <f t="shared" si="700"/>
        <v>173.56980081617976</v>
      </c>
      <c r="IX722" s="350">
        <f t="shared" si="688"/>
        <v>131.8628248785495</v>
      </c>
      <c r="IY722" s="346">
        <f>FISC!AJ1044</f>
        <v>305.43262569472927</v>
      </c>
      <c r="IZ722" s="350">
        <f>IZ723+IZ724</f>
        <v>142.52901593957691</v>
      </c>
      <c r="JA722" s="350">
        <f>JA723+JA724</f>
        <v>124.97170270608635</v>
      </c>
      <c r="JB722" s="346">
        <f>FISC!AK1044</f>
        <v>267.50071864566326</v>
      </c>
      <c r="JC722" s="350">
        <f>JC723+JC724</f>
        <v>127.25262270535247</v>
      </c>
      <c r="JD722" s="350">
        <f>JD723+JD724</f>
        <v>159.40632645727283</v>
      </c>
      <c r="JE722" s="346">
        <f>FISC!AL1044</f>
        <v>286.65894916262528</v>
      </c>
      <c r="JF722" s="350">
        <f>JF723+JF724</f>
        <v>135.67875393387087</v>
      </c>
      <c r="JG722" s="350">
        <f>JG723+JG724</f>
        <v>171.67567945890897</v>
      </c>
      <c r="JH722" s="346">
        <f>FISC!AM1044</f>
        <v>307.35443339277981</v>
      </c>
      <c r="JI722" s="350">
        <f>JI723+JI724</f>
        <v>143.35899391335573</v>
      </c>
      <c r="JJ722" s="350">
        <f>JJ723+JJ724</f>
        <v>175.96005368108149</v>
      </c>
      <c r="JK722" s="346">
        <f>FISC!AN1044</f>
        <v>319.31904759443722</v>
      </c>
      <c r="JL722" s="350">
        <f>JL723+JL724</f>
        <v>149.62623549872177</v>
      </c>
      <c r="JM722" s="350">
        <f>JM723+JM724</f>
        <v>181.76217042360418</v>
      </c>
      <c r="JN722" s="346">
        <f>FISC!AO1044</f>
        <v>331.388405922326</v>
      </c>
      <c r="KI722" s="349"/>
      <c r="KJ722" s="350"/>
      <c r="KM722" s="302">
        <f>SUM(KM723:KM724)</f>
        <v>0</v>
      </c>
      <c r="KN722" s="302">
        <f>SUM(KN723:KN724)</f>
        <v>0</v>
      </c>
      <c r="KO722" s="302">
        <f>SUM(KO723:KO724)</f>
        <v>0</v>
      </c>
      <c r="KP722" s="302">
        <f>SUM(KP723:KP724)</f>
        <v>0</v>
      </c>
    </row>
    <row r="723" spans="1:302" hidden="1" outlineLevel="1">
      <c r="A723" s="302"/>
      <c r="B723" s="117" t="s">
        <v>361</v>
      </c>
      <c r="D723" s="357" t="s">
        <v>538</v>
      </c>
      <c r="E723" s="346"/>
      <c r="F723" s="346"/>
      <c r="G723" s="346"/>
      <c r="H723" s="346"/>
      <c r="I723" s="346"/>
      <c r="J723" s="346"/>
      <c r="K723" s="346"/>
      <c r="L723" s="346"/>
      <c r="M723" s="346"/>
      <c r="N723" s="346"/>
      <c r="O723" s="346"/>
      <c r="P723" s="346"/>
      <c r="Q723" s="346"/>
      <c r="R723" s="346"/>
      <c r="S723" s="346"/>
      <c r="T723" s="346"/>
      <c r="U723" s="346"/>
      <c r="V723" s="346"/>
      <c r="W723" s="346"/>
      <c r="X723" s="346"/>
      <c r="Y723" s="346"/>
      <c r="Z723" s="346"/>
      <c r="AA723" s="346"/>
      <c r="AB723" s="346"/>
      <c r="AC723" s="346"/>
      <c r="AD723" s="346"/>
      <c r="AE723" s="346"/>
      <c r="AF723" s="346"/>
      <c r="AG723" s="346"/>
      <c r="AH723" s="346"/>
      <c r="AI723" s="346"/>
      <c r="AJ723" s="346"/>
      <c r="AK723" s="346"/>
      <c r="AL723" s="346"/>
      <c r="AM723" s="346"/>
      <c r="AN723" s="346"/>
      <c r="AO723" s="346">
        <v>21.649201587</v>
      </c>
      <c r="AP723" s="346">
        <v>0</v>
      </c>
      <c r="AQ723" s="346">
        <v>8.0213442799999992</v>
      </c>
      <c r="AR723" s="346">
        <v>12.581843562</v>
      </c>
      <c r="AS723" s="346">
        <v>9.056692696999999</v>
      </c>
      <c r="AT723" s="346">
        <v>97.265289525</v>
      </c>
      <c r="AU723" s="346">
        <v>6.1597314819999998</v>
      </c>
      <c r="AV723" s="346">
        <v>4.7773699999999995</v>
      </c>
      <c r="AW723" s="346">
        <v>58.822261999999988</v>
      </c>
      <c r="AX723" s="346">
        <v>26.394771204000001</v>
      </c>
      <c r="AY723" s="346">
        <v>6.9810858910000002</v>
      </c>
      <c r="AZ723" s="346">
        <v>24.142312999000001</v>
      </c>
      <c r="BA723" s="346">
        <v>0.531323502</v>
      </c>
      <c r="BB723" s="346">
        <v>5.2342624570000007</v>
      </c>
      <c r="BC723" s="346">
        <v>1.0111021920000001</v>
      </c>
      <c r="BD723" s="346">
        <v>67.936107326759995</v>
      </c>
      <c r="BE723" s="346">
        <v>1.03516734123</v>
      </c>
      <c r="BF723" s="346">
        <v>13.367550886</v>
      </c>
      <c r="BG723" s="346">
        <v>41.011713339000003</v>
      </c>
      <c r="BH723" s="346">
        <v>37.631219074000001</v>
      </c>
      <c r="BI723" s="346">
        <v>29.764305502999996</v>
      </c>
      <c r="BJ723" s="346">
        <v>25.662271436000001</v>
      </c>
      <c r="BK723" s="346">
        <v>4.6969805640000004</v>
      </c>
      <c r="BL723" s="346">
        <v>72.178950183000012</v>
      </c>
      <c r="BM723" s="346">
        <v>2.2913186510000001</v>
      </c>
      <c r="BN723" s="346">
        <v>4.1133515819999991</v>
      </c>
      <c r="BO723" s="346">
        <v>11.480174020999998</v>
      </c>
      <c r="BP723" s="346">
        <v>0.244489505</v>
      </c>
      <c r="BQ723" s="346">
        <v>0.210040425</v>
      </c>
      <c r="BR723" s="346">
        <v>36.401174263000001</v>
      </c>
      <c r="BS723" s="346">
        <v>28.600580636487997</v>
      </c>
      <c r="BT723" s="346">
        <v>0</v>
      </c>
      <c r="BU723" s="346">
        <v>16.179806585249999</v>
      </c>
      <c r="BV723" s="346">
        <v>40.644011394025</v>
      </c>
      <c r="BW723" s="346">
        <v>0</v>
      </c>
      <c r="BX723" s="346">
        <v>3.0755816996010013</v>
      </c>
      <c r="BY723" s="346">
        <v>0</v>
      </c>
      <c r="BZ723" s="346">
        <v>0</v>
      </c>
      <c r="CA723" s="346">
        <v>12.997303972659999</v>
      </c>
      <c r="CB723" s="346">
        <v>31.179930483504002</v>
      </c>
      <c r="CC723" s="346">
        <v>17.791806279455997</v>
      </c>
      <c r="CD723" s="352">
        <v>32.721542591764994</v>
      </c>
      <c r="CE723" s="346">
        <f t="shared" ref="CE723:DJ723" si="1003">CE365</f>
        <v>10.649725516935002</v>
      </c>
      <c r="CF723" s="346">
        <f t="shared" si="1003"/>
        <v>32.642625870288001</v>
      </c>
      <c r="CG723" s="346">
        <f t="shared" si="1003"/>
        <v>42.376945760600009</v>
      </c>
      <c r="CH723" s="346">
        <f t="shared" si="1003"/>
        <v>8.2179470510999995</v>
      </c>
      <c r="CI723" s="346">
        <f t="shared" si="1003"/>
        <v>2.710436597478</v>
      </c>
      <c r="CJ723" s="346">
        <f t="shared" si="1003"/>
        <v>39.538582284914</v>
      </c>
      <c r="CK723" s="346">
        <f t="shared" si="1003"/>
        <v>0</v>
      </c>
      <c r="CL723" s="346">
        <f t="shared" si="1003"/>
        <v>0</v>
      </c>
      <c r="CM723" s="346">
        <f t="shared" si="1003"/>
        <v>0</v>
      </c>
      <c r="CN723" s="346">
        <f t="shared" si="1003"/>
        <v>5.1416973700781536</v>
      </c>
      <c r="CO723" s="346">
        <f t="shared" si="1003"/>
        <v>20.51012667949999</v>
      </c>
      <c r="CP723" s="348">
        <f t="shared" si="1003"/>
        <v>9.2667948451580067</v>
      </c>
      <c r="CQ723" s="346">
        <f t="shared" si="1003"/>
        <v>17.574926579780833</v>
      </c>
      <c r="CR723" s="346">
        <f t="shared" si="1003"/>
        <v>6.1004475483840262E-2</v>
      </c>
      <c r="CS723" s="346">
        <f t="shared" si="1003"/>
        <v>18.410786140034833</v>
      </c>
      <c r="CT723" s="346">
        <f t="shared" si="1003"/>
        <v>4.6459715500613363</v>
      </c>
      <c r="CU723" s="346">
        <f t="shared" si="1003"/>
        <v>11.644424817805957</v>
      </c>
      <c r="CV723" s="346">
        <f t="shared" si="1003"/>
        <v>63.104221270265896</v>
      </c>
      <c r="CW723" s="346">
        <f t="shared" si="1003"/>
        <v>0.36886337475031195</v>
      </c>
      <c r="CX723" s="346">
        <f t="shared" si="1003"/>
        <v>5.3526167373176399E-2</v>
      </c>
      <c r="CY723" s="346">
        <f t="shared" si="1003"/>
        <v>17.62001316069103</v>
      </c>
      <c r="CZ723" s="346">
        <f t="shared" si="1003"/>
        <v>13.437569677394109</v>
      </c>
      <c r="DA723" s="346">
        <f t="shared" si="1003"/>
        <v>27.297930233327257</v>
      </c>
      <c r="DB723" s="1479">
        <f t="shared" si="1003"/>
        <v>0.68446750797208367</v>
      </c>
      <c r="DC723" s="346">
        <f t="shared" si="1003"/>
        <v>18.500350525863201</v>
      </c>
      <c r="DD723" s="346">
        <f t="shared" si="1003"/>
        <v>6.1547591233999999</v>
      </c>
      <c r="DE723" s="346">
        <f t="shared" si="1003"/>
        <v>21.85774148142</v>
      </c>
      <c r="DF723" s="346">
        <f t="shared" si="1003"/>
        <v>0.27488678799999999</v>
      </c>
      <c r="DG723" s="346">
        <f t="shared" si="1003"/>
        <v>33.148919335843502</v>
      </c>
      <c r="DH723" s="346">
        <f t="shared" si="1003"/>
        <v>22.95045653645364</v>
      </c>
      <c r="DI723" s="346">
        <f t="shared" si="1003"/>
        <v>0.45384504142463566</v>
      </c>
      <c r="DJ723" s="346">
        <f t="shared" si="1003"/>
        <v>3.0471868759055294</v>
      </c>
      <c r="DK723" s="346">
        <f t="shared" ref="DK723:EP723" si="1004">DK365</f>
        <v>0.34657287472925635</v>
      </c>
      <c r="DL723" s="346">
        <f t="shared" si="1004"/>
        <v>54.368579620764223</v>
      </c>
      <c r="DM723" s="346">
        <f t="shared" si="1004"/>
        <v>0.23876751243749914</v>
      </c>
      <c r="DN723" s="348">
        <f t="shared" si="1004"/>
        <v>43.464944561485638</v>
      </c>
      <c r="DO723" s="346">
        <f t="shared" si="1004"/>
        <v>4.6855716548560604</v>
      </c>
      <c r="DP723" s="346">
        <f t="shared" si="1004"/>
        <v>0</v>
      </c>
      <c r="DQ723" s="346">
        <f t="shared" si="1004"/>
        <v>0</v>
      </c>
      <c r="DR723" s="346">
        <f t="shared" si="1004"/>
        <v>0</v>
      </c>
      <c r="DS723" s="346">
        <f t="shared" si="1004"/>
        <v>9.1588665883095004</v>
      </c>
      <c r="DT723" s="346">
        <f t="shared" si="1004"/>
        <v>20.663968732646893</v>
      </c>
      <c r="DU723" s="346">
        <f t="shared" si="1004"/>
        <v>15.873335991999999</v>
      </c>
      <c r="DV723" s="346">
        <f t="shared" si="1004"/>
        <v>0</v>
      </c>
      <c r="DW723" s="346">
        <f t="shared" si="1004"/>
        <v>0</v>
      </c>
      <c r="DX723" s="346">
        <f t="shared" si="1004"/>
        <v>12.168713068197375</v>
      </c>
      <c r="DY723" s="346">
        <f t="shared" si="1004"/>
        <v>0</v>
      </c>
      <c r="DZ723" s="348">
        <f t="shared" si="1004"/>
        <v>52.75959672845898</v>
      </c>
      <c r="EA723" s="346">
        <f t="shared" si="1004"/>
        <v>16.435436212890188</v>
      </c>
      <c r="EB723" s="346">
        <f t="shared" si="1004"/>
        <v>1.9416037326127447</v>
      </c>
      <c r="EC723" s="346">
        <f t="shared" si="1004"/>
        <v>0</v>
      </c>
      <c r="ED723" s="346">
        <f t="shared" si="1004"/>
        <v>14.085088712740772</v>
      </c>
      <c r="EE723" s="346">
        <f t="shared" si="1004"/>
        <v>4.4952272066647154</v>
      </c>
      <c r="EF723" s="346">
        <f t="shared" si="1004"/>
        <v>32.180366850462036</v>
      </c>
      <c r="EG723" s="346">
        <f t="shared" si="1004"/>
        <v>27.740567568486426</v>
      </c>
      <c r="EH723" s="346">
        <f t="shared" si="1004"/>
        <v>3.4351810122460638</v>
      </c>
      <c r="EI723" s="346">
        <f t="shared" si="1004"/>
        <v>13.132741159268299</v>
      </c>
      <c r="EJ723" s="346">
        <f t="shared" si="1004"/>
        <v>13.831257406782735</v>
      </c>
      <c r="EK723" s="346">
        <f t="shared" si="1004"/>
        <v>0</v>
      </c>
      <c r="EL723" s="348">
        <f t="shared" si="1004"/>
        <v>0</v>
      </c>
      <c r="EM723" s="346">
        <f t="shared" si="1004"/>
        <v>6.0684036755970308</v>
      </c>
      <c r="EN723" s="346">
        <f t="shared" si="1004"/>
        <v>12.302054782967376</v>
      </c>
      <c r="EO723" s="346">
        <f t="shared" si="1004"/>
        <v>0.10422218235476999</v>
      </c>
      <c r="EP723" s="346">
        <f t="shared" si="1004"/>
        <v>0</v>
      </c>
      <c r="EQ723" s="346">
        <f t="shared" ref="EQ723:FP723" si="1005">EQ365</f>
        <v>0</v>
      </c>
      <c r="ER723" s="346">
        <f t="shared" si="1005"/>
        <v>71.232557029016377</v>
      </c>
      <c r="ES723" s="346">
        <f t="shared" si="1005"/>
        <v>14.021816380000001</v>
      </c>
      <c r="ET723" s="346">
        <f t="shared" si="1005"/>
        <v>25.648448246000001</v>
      </c>
      <c r="EU723" s="346">
        <f t="shared" si="1005"/>
        <v>0</v>
      </c>
      <c r="EV723" s="346">
        <f t="shared" si="1005"/>
        <v>13.419106073131385</v>
      </c>
      <c r="EW723" s="346">
        <f t="shared" si="1005"/>
        <v>0</v>
      </c>
      <c r="EX723" s="348">
        <f t="shared" si="1005"/>
        <v>0</v>
      </c>
      <c r="EY723" s="346">
        <f t="shared" si="1005"/>
        <v>18.885914780479233</v>
      </c>
      <c r="EZ723" s="346">
        <f t="shared" si="1005"/>
        <v>0</v>
      </c>
      <c r="FA723" s="346">
        <f t="shared" si="1005"/>
        <v>0</v>
      </c>
      <c r="FB723" s="346">
        <f t="shared" si="1005"/>
        <v>0</v>
      </c>
      <c r="FC723" s="346">
        <f t="shared" si="1005"/>
        <v>9.2111639751582803</v>
      </c>
      <c r="FD723" s="346">
        <f t="shared" si="1005"/>
        <v>46.484624538530092</v>
      </c>
      <c r="FE723" s="346">
        <f t="shared" si="1005"/>
        <v>0</v>
      </c>
      <c r="FF723" s="346">
        <f t="shared" si="1005"/>
        <v>17.942072601710958</v>
      </c>
      <c r="FG723" s="346">
        <f t="shared" si="1005"/>
        <v>0</v>
      </c>
      <c r="FH723" s="346">
        <f t="shared" si="1005"/>
        <v>23.107773860801</v>
      </c>
      <c r="FI723" s="346">
        <f t="shared" si="1005"/>
        <v>0</v>
      </c>
      <c r="FJ723" s="348">
        <f t="shared" si="1005"/>
        <v>37.913166435999997</v>
      </c>
      <c r="FK723" s="346">
        <f t="shared" si="1005"/>
        <v>0</v>
      </c>
      <c r="FL723" s="346">
        <f t="shared" si="1005"/>
        <v>0</v>
      </c>
      <c r="FM723" s="346">
        <f t="shared" si="1005"/>
        <v>55.78206542418198</v>
      </c>
      <c r="FN723" s="346">
        <f t="shared" si="1005"/>
        <v>35.485712861354926</v>
      </c>
      <c r="FO723" s="346">
        <f t="shared" si="1005"/>
        <v>0</v>
      </c>
      <c r="FP723" s="346">
        <f t="shared" si="1005"/>
        <v>28.462910114962668</v>
      </c>
      <c r="FQ723" s="346">
        <f t="shared" ref="FQ723:FV724" si="1006">FQ365</f>
        <v>0</v>
      </c>
      <c r="FR723" s="346">
        <f t="shared" si="1006"/>
        <v>0</v>
      </c>
      <c r="FS723" s="346">
        <f t="shared" si="1006"/>
        <v>74.49219628223868</v>
      </c>
      <c r="FT723" s="346">
        <f t="shared" si="1006"/>
        <v>11.165815152893289</v>
      </c>
      <c r="FU723" s="346">
        <f t="shared" si="1006"/>
        <v>0</v>
      </c>
      <c r="FV723" s="346">
        <f t="shared" si="1006"/>
        <v>56.902254674493491</v>
      </c>
      <c r="FW723" s="346">
        <v>1.2382475E-2</v>
      </c>
      <c r="FX723" s="346">
        <v>43.244714305822797</v>
      </c>
      <c r="FY723" s="346">
        <v>8.6165421105112401</v>
      </c>
      <c r="FZ723" s="346">
        <v>17.063186750203002</v>
      </c>
      <c r="GA723" s="346">
        <v>13.4435335482195</v>
      </c>
      <c r="GB723" s="346">
        <v>0.241415044</v>
      </c>
      <c r="GC723" s="346">
        <v>18.56186430122964</v>
      </c>
      <c r="GD723" s="346">
        <v>7.6535444779132003E-2</v>
      </c>
      <c r="GE723" s="346">
        <v>94.795115429550336</v>
      </c>
      <c r="GF723" s="346">
        <v>31.820768096170202</v>
      </c>
      <c r="GG723" s="346">
        <v>0</v>
      </c>
      <c r="GH723" s="346">
        <v>4.7254106244460603</v>
      </c>
      <c r="GI723" s="346">
        <f t="shared" ref="GI723:GN723" si="1007">GI365</f>
        <v>31.716082279583937</v>
      </c>
      <c r="GJ723" s="346">
        <f t="shared" si="1007"/>
        <v>2.9643453900840777</v>
      </c>
      <c r="GK723" s="346">
        <f t="shared" si="1007"/>
        <v>0</v>
      </c>
      <c r="GL723" s="346">
        <f t="shared" si="1007"/>
        <v>18.397884214117887</v>
      </c>
      <c r="GM723" s="346">
        <f t="shared" si="1007"/>
        <v>0</v>
      </c>
      <c r="GN723" s="346">
        <f t="shared" si="1007"/>
        <v>14.981367171752915</v>
      </c>
      <c r="GO723" s="346">
        <f t="shared" ref="GO723:GT723" si="1008">GO365</f>
        <v>0.9753833970000001</v>
      </c>
      <c r="GP723" s="346">
        <f t="shared" si="1008"/>
        <v>0</v>
      </c>
      <c r="GQ723" s="346">
        <f t="shared" si="1008"/>
        <v>0</v>
      </c>
      <c r="GR723" s="346">
        <f t="shared" si="1008"/>
        <v>37.389641002270317</v>
      </c>
      <c r="GS723" s="346">
        <f t="shared" si="1008"/>
        <v>10.206828589979999</v>
      </c>
      <c r="GT723" s="346">
        <f t="shared" si="1008"/>
        <v>34.644585451470562</v>
      </c>
      <c r="GU723" s="346">
        <f t="shared" ref="GU723:GZ723" si="1009">GU365</f>
        <v>34.381813544500368</v>
      </c>
      <c r="GV723" s="346">
        <f t="shared" si="1009"/>
        <v>9.7639445017651276</v>
      </c>
      <c r="GW723" s="346">
        <f t="shared" si="1009"/>
        <v>7.465749931508225</v>
      </c>
      <c r="GX723" s="346">
        <f t="shared" si="1009"/>
        <v>14.899181219072448</v>
      </c>
      <c r="GY723" s="346">
        <f t="shared" si="1009"/>
        <v>2.0545404563266199</v>
      </c>
      <c r="GZ723" s="346">
        <f t="shared" si="1009"/>
        <v>7.8490124882709535</v>
      </c>
      <c r="HA723" s="346">
        <f t="shared" ref="HA723:HF723" si="1010">HA365</f>
        <v>14.411668654781918</v>
      </c>
      <c r="HB723" s="346">
        <f t="shared" si="1010"/>
        <v>0</v>
      </c>
      <c r="HC723" s="346">
        <f t="shared" si="1010"/>
        <v>0</v>
      </c>
      <c r="HD723" s="346">
        <f t="shared" si="1010"/>
        <v>29.529508718633497</v>
      </c>
      <c r="HE723" s="346">
        <f t="shared" si="1010"/>
        <v>9.3581437734186519</v>
      </c>
      <c r="HF723" s="346">
        <f t="shared" si="1010"/>
        <v>18.200324285234</v>
      </c>
      <c r="HG723" s="346">
        <f t="shared" ref="HG723:HL723" si="1011">HG365</f>
        <v>36.550565428489207</v>
      </c>
      <c r="HH723" s="346">
        <f t="shared" si="1011"/>
        <v>0</v>
      </c>
      <c r="HI723" s="346">
        <f t="shared" si="1011"/>
        <v>0</v>
      </c>
      <c r="HJ723" s="346">
        <f t="shared" si="1011"/>
        <v>34.237850121589396</v>
      </c>
      <c r="HK723" s="346">
        <f t="shared" si="1011"/>
        <v>0</v>
      </c>
      <c r="HL723" s="346">
        <f t="shared" si="1011"/>
        <v>13.097112182903905</v>
      </c>
      <c r="HM723" s="346"/>
      <c r="HN723" s="349"/>
      <c r="HO723" s="357" t="s">
        <v>538</v>
      </c>
      <c r="HP723" s="307">
        <f>SUM(CE723:CJ723)</f>
        <v>136.13626308131501</v>
      </c>
      <c r="HQ723" s="302">
        <f>SUM(CK723:CP723)</f>
        <v>34.918618894736156</v>
      </c>
      <c r="HR723" s="346">
        <f t="shared" si="698"/>
        <v>171.05488197605115</v>
      </c>
      <c r="HS723" s="302">
        <f>SUM(CQ723:CV723)</f>
        <v>115.44133483343269</v>
      </c>
      <c r="HT723" s="302">
        <f>SUM(CW723:DB723)</f>
        <v>59.462370121507973</v>
      </c>
      <c r="HU723" s="346">
        <f t="shared" si="678"/>
        <v>174.90370495494068</v>
      </c>
      <c r="HV723" s="307">
        <f>SUM(DC723:DH723)</f>
        <v>102.88711379098035</v>
      </c>
      <c r="HW723" s="302">
        <f>SUM(DI723:DN723)</f>
        <v>101.91989648674678</v>
      </c>
      <c r="HX723" s="346">
        <f t="shared" si="679"/>
        <v>204.80701027772713</v>
      </c>
      <c r="HY723" s="350">
        <f>SUM(DO723:DT723)</f>
        <v>34.508406975812456</v>
      </c>
      <c r="HZ723" s="302">
        <f>SUM(DU723:DZ723)</f>
        <v>80.801645788656359</v>
      </c>
      <c r="IA723" s="346">
        <f t="shared" si="680"/>
        <v>115.31005276446882</v>
      </c>
      <c r="IB723" s="302">
        <f>SUM(EA723:EF723)</f>
        <v>69.137722715370458</v>
      </c>
      <c r="IC723" s="302">
        <f>SUM(EG723:EL723)</f>
        <v>58.13974714678352</v>
      </c>
      <c r="ID723" s="346">
        <f t="shared" si="681"/>
        <v>127.27746986215398</v>
      </c>
      <c r="IE723" s="350">
        <f>SUM(EM723:ER723)</f>
        <v>89.707237669935552</v>
      </c>
      <c r="IF723" s="350">
        <f>SUM(ES723:EX723)</f>
        <v>53.089370699131393</v>
      </c>
      <c r="IG723" s="346">
        <f t="shared" si="682"/>
        <v>142.79660836906694</v>
      </c>
      <c r="IH723" s="350">
        <f>SUM(EY723:FD723)</f>
        <v>74.581703294167596</v>
      </c>
      <c r="II723" s="350">
        <f>SUM(FE723:FJ723)</f>
        <v>78.963012898511948</v>
      </c>
      <c r="IJ723" s="346">
        <f t="shared" si="683"/>
        <v>153.54471619267954</v>
      </c>
      <c r="IK723" s="350">
        <f>SUM(FK723:FP723)</f>
        <v>119.73068840049957</v>
      </c>
      <c r="IL723" s="350">
        <f t="shared" si="993"/>
        <v>142.56026610962545</v>
      </c>
      <c r="IM723" s="346">
        <f>IK723+IL723</f>
        <v>262.290954510125</v>
      </c>
      <c r="IN723" s="350">
        <f t="shared" si="865"/>
        <v>82.62177423375654</v>
      </c>
      <c r="IO723" s="350">
        <f t="shared" si="866"/>
        <v>149.97969389617538</v>
      </c>
      <c r="IP723" s="346">
        <f t="shared" si="685"/>
        <v>232.6014681299319</v>
      </c>
      <c r="IQ723" s="350">
        <f t="shared" si="867"/>
        <v>68.059679055538822</v>
      </c>
      <c r="IR723" s="350">
        <f t="shared" si="868"/>
        <v>83.216438440720879</v>
      </c>
      <c r="IS723" s="346">
        <f t="shared" si="686"/>
        <v>151.2761174962597</v>
      </c>
      <c r="IT723" s="350">
        <f>SUM(GU723:GZ723)</f>
        <v>76.414242141443751</v>
      </c>
      <c r="IU723" s="350">
        <f t="shared" si="986"/>
        <v>71.499645432068064</v>
      </c>
      <c r="IV723" s="346">
        <f t="shared" si="687"/>
        <v>147.91388757351183</v>
      </c>
      <c r="IW723" s="350">
        <f t="shared" si="700"/>
        <v>83.88552773298251</v>
      </c>
      <c r="IX723" s="350">
        <f t="shared" si="688"/>
        <v>63.014576291653313</v>
      </c>
      <c r="IY723" s="346">
        <f>FISC!AJ1045</f>
        <v>146.90010402463582</v>
      </c>
      <c r="IZ723" s="350">
        <f>FISC!AJ102*FISC!AK253/1000</f>
        <v>66.743557741371561</v>
      </c>
      <c r="JA723" s="350">
        <f>FISC!AK94*FISC!AK253/1000</f>
        <v>49.186244507881007</v>
      </c>
      <c r="JB723" s="346">
        <f>FISC!AK1045</f>
        <v>115.92980224925256</v>
      </c>
      <c r="JC723" s="350">
        <f>FISC!AK102*FISC!AL253/1000</f>
        <v>45.852165178495838</v>
      </c>
      <c r="JD723" s="350">
        <f>FISC!AL94*FISC!AL253/1000</f>
        <v>78.005868930416185</v>
      </c>
      <c r="JE723" s="346">
        <f>FISC!AL1045</f>
        <v>123.85803410891204</v>
      </c>
      <c r="JF723" s="302">
        <f>FISC!AL102*FISC!AM253/1000</f>
        <v>48.888301901589536</v>
      </c>
      <c r="JG723" s="302">
        <f>JH723-JF723</f>
        <v>84.885227426627665</v>
      </c>
      <c r="JH723" s="346">
        <f>FISC!AM1045</f>
        <v>133.77352932821719</v>
      </c>
      <c r="JI723" s="302">
        <f>FISC!AM102*FISC!AN253/1000</f>
        <v>51.655676158112549</v>
      </c>
      <c r="JJ723" s="302">
        <f>JK723-JI723</f>
        <v>84.256735925838285</v>
      </c>
      <c r="JK723" s="346">
        <f>FISC!AN1045</f>
        <v>135.91241208395084</v>
      </c>
      <c r="JL723" s="302">
        <f>FISC!AN102*FISC!AO253/1000</f>
        <v>53.913913279489023</v>
      </c>
      <c r="JM723" s="302">
        <f>JN723-JL723</f>
        <v>86.049848204371429</v>
      </c>
      <c r="JN723" s="346">
        <f>FISC!AO1045</f>
        <v>139.96376148386045</v>
      </c>
      <c r="KI723" s="349"/>
      <c r="KJ723" s="350"/>
    </row>
    <row r="724" spans="1:302" hidden="1" outlineLevel="1">
      <c r="A724" s="302"/>
      <c r="B724" s="117" t="s">
        <v>361</v>
      </c>
      <c r="D724" s="357" t="s">
        <v>539</v>
      </c>
      <c r="E724" s="346"/>
      <c r="F724" s="346"/>
      <c r="G724" s="346"/>
      <c r="H724" s="346"/>
      <c r="I724" s="346"/>
      <c r="J724" s="346"/>
      <c r="K724" s="346"/>
      <c r="L724" s="346"/>
      <c r="M724" s="346"/>
      <c r="N724" s="346"/>
      <c r="O724" s="346"/>
      <c r="P724" s="346"/>
      <c r="Q724" s="346"/>
      <c r="R724" s="346"/>
      <c r="S724" s="346"/>
      <c r="T724" s="346"/>
      <c r="U724" s="346"/>
      <c r="V724" s="346"/>
      <c r="W724" s="346"/>
      <c r="X724" s="346"/>
      <c r="Y724" s="346"/>
      <c r="Z724" s="346"/>
      <c r="AA724" s="346"/>
      <c r="AB724" s="346"/>
      <c r="AC724" s="346"/>
      <c r="AD724" s="346"/>
      <c r="AE724" s="346"/>
      <c r="AF724" s="346"/>
      <c r="AG724" s="346"/>
      <c r="AH724" s="346"/>
      <c r="AI724" s="346"/>
      <c r="AJ724" s="346"/>
      <c r="AK724" s="346"/>
      <c r="AL724" s="346"/>
      <c r="AM724" s="346"/>
      <c r="AN724" s="346"/>
      <c r="AO724" s="346">
        <v>0</v>
      </c>
      <c r="AP724" s="346">
        <v>0</v>
      </c>
      <c r="AQ724" s="346">
        <v>0</v>
      </c>
      <c r="AR724" s="346">
        <v>0</v>
      </c>
      <c r="AS724" s="346">
        <v>0</v>
      </c>
      <c r="AT724" s="346">
        <v>0</v>
      </c>
      <c r="AU724" s="346">
        <v>8.2002119918181062</v>
      </c>
      <c r="AV724" s="346">
        <v>2.4551394242663771</v>
      </c>
      <c r="AW724" s="346">
        <v>0.69460944265934976</v>
      </c>
      <c r="AX724" s="346">
        <v>7.0166462613698037</v>
      </c>
      <c r="AY724" s="346">
        <v>9.0637393975056462</v>
      </c>
      <c r="AZ724" s="346">
        <v>85.684286871007416</v>
      </c>
      <c r="BA724" s="346">
        <v>8.270675762093374</v>
      </c>
      <c r="BB724" s="346">
        <v>5.3430239825121344</v>
      </c>
      <c r="BC724" s="346">
        <v>7.2337640878782059</v>
      </c>
      <c r="BD724" s="346">
        <v>7.4141758912248124</v>
      </c>
      <c r="BE724" s="346">
        <v>8.6928451992080173</v>
      </c>
      <c r="BF724" s="346">
        <v>13.930881688456768</v>
      </c>
      <c r="BG724" s="346">
        <v>8.5540233331812221</v>
      </c>
      <c r="BH724" s="346">
        <v>8.1775968474520724</v>
      </c>
      <c r="BI724" s="346">
        <v>14.279918114465966</v>
      </c>
      <c r="BJ724" s="346">
        <v>60.722221762957972</v>
      </c>
      <c r="BK724" s="346">
        <v>13.450970226476773</v>
      </c>
      <c r="BL724" s="346">
        <v>14.425838004888339</v>
      </c>
      <c r="BM724" s="346">
        <v>3.7222850128934368</v>
      </c>
      <c r="BN724" s="346">
        <v>7.5282964928846736</v>
      </c>
      <c r="BO724" s="346">
        <v>5.3877661107781902</v>
      </c>
      <c r="BP724" s="346">
        <v>5.183731605567826</v>
      </c>
      <c r="BQ724" s="346">
        <v>4.6621603463956962</v>
      </c>
      <c r="BR724" s="346">
        <v>45.605192142057817</v>
      </c>
      <c r="BS724" s="346">
        <v>12.203299451901628</v>
      </c>
      <c r="BT724" s="346">
        <v>14.813409459931112</v>
      </c>
      <c r="BU724" s="346">
        <v>6.5902026762721153</v>
      </c>
      <c r="BV724" s="346">
        <v>7.9663939819053082</v>
      </c>
      <c r="BW724" s="346">
        <v>41.538890177774903</v>
      </c>
      <c r="BX724" s="346">
        <v>29.001320784256873</v>
      </c>
      <c r="BY724" s="346">
        <v>6.4084407417666696E-6</v>
      </c>
      <c r="BZ724" s="346">
        <v>3.9502690426215792</v>
      </c>
      <c r="CA724" s="346">
        <v>8.9347603934343383</v>
      </c>
      <c r="CB724" s="346">
        <v>6.8720589184452443</v>
      </c>
      <c r="CC724" s="346">
        <v>32.567005592195322</v>
      </c>
      <c r="CD724" s="352">
        <v>10.462383112820836</v>
      </c>
      <c r="CE724" s="346">
        <f t="shared" ref="CE724:DJ724" si="1012">CE366</f>
        <v>20.644770703771695</v>
      </c>
      <c r="CF724" s="346">
        <f t="shared" si="1012"/>
        <v>6.2068516957338105</v>
      </c>
      <c r="CG724" s="346">
        <f t="shared" si="1012"/>
        <v>33.654755862294493</v>
      </c>
      <c r="CH724" s="346">
        <f t="shared" si="1012"/>
        <v>40.164865416949603</v>
      </c>
      <c r="CI724" s="346">
        <f t="shared" si="1012"/>
        <v>33.30229618613545</v>
      </c>
      <c r="CJ724" s="346">
        <f t="shared" si="1012"/>
        <v>23.305426911000946</v>
      </c>
      <c r="CK724" s="346">
        <f t="shared" si="1012"/>
        <v>22.369328398681304</v>
      </c>
      <c r="CL724" s="346">
        <f t="shared" si="1012"/>
        <v>15.370313869472696</v>
      </c>
      <c r="CM724" s="346">
        <f t="shared" si="1012"/>
        <v>15.260357731845993</v>
      </c>
      <c r="CN724" s="346">
        <f t="shared" si="1012"/>
        <v>55.08162525346021</v>
      </c>
      <c r="CO724" s="346">
        <f t="shared" si="1012"/>
        <v>16.101722923910174</v>
      </c>
      <c r="CP724" s="348">
        <f t="shared" si="1012"/>
        <v>21.799460293312592</v>
      </c>
      <c r="CQ724" s="346">
        <f t="shared" si="1012"/>
        <v>16.87350672279609</v>
      </c>
      <c r="CR724" s="346">
        <f t="shared" si="1012"/>
        <v>20.574332516946019</v>
      </c>
      <c r="CS724" s="346">
        <f t="shared" si="1012"/>
        <v>13.677160760257889</v>
      </c>
      <c r="CT724" s="346">
        <f t="shared" si="1012"/>
        <v>22.966062853869769</v>
      </c>
      <c r="CU724" s="346">
        <f t="shared" si="1012"/>
        <v>25.792258359012344</v>
      </c>
      <c r="CV724" s="346">
        <f t="shared" si="1012"/>
        <v>25.594723744156603</v>
      </c>
      <c r="CW724" s="346">
        <f t="shared" si="1012"/>
        <v>18.835302128312126</v>
      </c>
      <c r="CX724" s="346">
        <f t="shared" si="1012"/>
        <v>20.69342160459518</v>
      </c>
      <c r="CY724" s="346">
        <f t="shared" si="1012"/>
        <v>18.249102545774683</v>
      </c>
      <c r="CZ724" s="346">
        <f t="shared" si="1012"/>
        <v>12.54749310504959</v>
      </c>
      <c r="DA724" s="346">
        <f t="shared" si="1012"/>
        <v>24.627020117877478</v>
      </c>
      <c r="DB724" s="1479">
        <f t="shared" si="1012"/>
        <v>20.593317581711101</v>
      </c>
      <c r="DC724" s="346">
        <f t="shared" si="1012"/>
        <v>13.452093833224433</v>
      </c>
      <c r="DD724" s="346">
        <f t="shared" si="1012"/>
        <v>19.022173646102264</v>
      </c>
      <c r="DE724" s="346">
        <f t="shared" si="1012"/>
        <v>15.875732520673303</v>
      </c>
      <c r="DF724" s="346">
        <f t="shared" si="1012"/>
        <v>10.355677608348262</v>
      </c>
      <c r="DG724" s="346">
        <f t="shared" si="1012"/>
        <v>9.0934462919717642</v>
      </c>
      <c r="DH724" s="346">
        <f t="shared" si="1012"/>
        <v>28.907471615502221</v>
      </c>
      <c r="DI724" s="346">
        <f t="shared" si="1012"/>
        <v>9.6377982635075625</v>
      </c>
      <c r="DJ724" s="346">
        <f t="shared" si="1012"/>
        <v>11.505491827422979</v>
      </c>
      <c r="DK724" s="346">
        <f t="shared" ref="DK724:EP724" si="1013">DK366</f>
        <v>14.956709909069456</v>
      </c>
      <c r="DL724" s="346">
        <f t="shared" si="1013"/>
        <v>10.918476448112893</v>
      </c>
      <c r="DM724" s="346">
        <f t="shared" si="1013"/>
        <v>19.287035582032409</v>
      </c>
      <c r="DN724" s="348">
        <f t="shared" si="1013"/>
        <v>5.8944879698547039</v>
      </c>
      <c r="DO724" s="346">
        <f t="shared" si="1013"/>
        <v>12.136271271812186</v>
      </c>
      <c r="DP724" s="346">
        <f t="shared" si="1013"/>
        <v>12.133511288417928</v>
      </c>
      <c r="DQ724" s="346">
        <f t="shared" si="1013"/>
        <v>12.10521743976989</v>
      </c>
      <c r="DR724" s="346">
        <f t="shared" si="1013"/>
        <v>3.2359692316649102</v>
      </c>
      <c r="DS724" s="346">
        <f t="shared" si="1013"/>
        <v>15.106655246115155</v>
      </c>
      <c r="DT724" s="346">
        <f t="shared" si="1013"/>
        <v>18.032375522219933</v>
      </c>
      <c r="DU724" s="346">
        <f t="shared" si="1013"/>
        <v>10.988140744151838</v>
      </c>
      <c r="DV724" s="346">
        <f t="shared" si="1013"/>
        <v>15.698929868479176</v>
      </c>
      <c r="DW724" s="346">
        <f t="shared" si="1013"/>
        <v>9.9379293873689836</v>
      </c>
      <c r="DX724" s="346">
        <f t="shared" si="1013"/>
        <v>5.9392520350356071</v>
      </c>
      <c r="DY724" s="346">
        <f t="shared" si="1013"/>
        <v>11.606604623025165</v>
      </c>
      <c r="DZ724" s="348">
        <f t="shared" si="1013"/>
        <v>19.079143341939226</v>
      </c>
      <c r="EA724" s="346">
        <f t="shared" si="1013"/>
        <v>12.04303298669176</v>
      </c>
      <c r="EB724" s="346">
        <f t="shared" si="1013"/>
        <v>11.58141738339774</v>
      </c>
      <c r="EC724" s="346">
        <f t="shared" si="1013"/>
        <v>18.953049629910502</v>
      </c>
      <c r="ED724" s="346">
        <f t="shared" si="1013"/>
        <v>9.2129121794719193</v>
      </c>
      <c r="EE724" s="346">
        <f t="shared" si="1013"/>
        <v>18.666473033356318</v>
      </c>
      <c r="EF724" s="346">
        <f t="shared" si="1013"/>
        <v>14.698114787171765</v>
      </c>
      <c r="EG724" s="346">
        <f t="shared" si="1013"/>
        <v>7.7343715577035592</v>
      </c>
      <c r="EH724" s="346">
        <f t="shared" si="1013"/>
        <v>12.544701009695537</v>
      </c>
      <c r="EI724" s="346">
        <f t="shared" si="1013"/>
        <v>21.498427432600909</v>
      </c>
      <c r="EJ724" s="346">
        <f t="shared" si="1013"/>
        <v>3.5217398195229666</v>
      </c>
      <c r="EK724" s="346">
        <f t="shared" si="1013"/>
        <v>8.0850167052850175</v>
      </c>
      <c r="EL724" s="348">
        <f t="shared" si="1013"/>
        <v>30.170743475192022</v>
      </c>
      <c r="EM724" s="346">
        <f t="shared" si="1013"/>
        <v>15.676377072254855</v>
      </c>
      <c r="EN724" s="346">
        <f t="shared" si="1013"/>
        <v>16.280776577680143</v>
      </c>
      <c r="EO724" s="346">
        <f t="shared" si="1013"/>
        <v>31.957153649935002</v>
      </c>
      <c r="EP724" s="346">
        <f t="shared" si="1013"/>
        <v>25.689925104930648</v>
      </c>
      <c r="EQ724" s="346">
        <f t="shared" ref="EQ724:FP724" si="1014">EQ366</f>
        <v>6.238642488411001</v>
      </c>
      <c r="ER724" s="346">
        <f t="shared" si="1014"/>
        <v>31.957153649935002</v>
      </c>
      <c r="ES724" s="346">
        <f t="shared" si="1014"/>
        <v>11.77235596909156</v>
      </c>
      <c r="ET724" s="346">
        <f t="shared" si="1014"/>
        <v>14.546519893461165</v>
      </c>
      <c r="EU724" s="346">
        <f t="shared" si="1014"/>
        <v>26.318875862817901</v>
      </c>
      <c r="EV724" s="346">
        <f t="shared" si="1014"/>
        <v>17.045294526785639</v>
      </c>
      <c r="EW724" s="346">
        <f t="shared" si="1014"/>
        <v>9.2735813359162655</v>
      </c>
      <c r="EX724" s="348">
        <f t="shared" si="1014"/>
        <v>26.318875862950499</v>
      </c>
      <c r="EY724" s="346">
        <f t="shared" si="1014"/>
        <v>13.355919074614171</v>
      </c>
      <c r="EZ724" s="346">
        <f t="shared" si="1014"/>
        <v>19.120340874614172</v>
      </c>
      <c r="FA724" s="346">
        <f t="shared" si="1014"/>
        <v>32.476259949591501</v>
      </c>
      <c r="FB724" s="346">
        <f t="shared" si="1014"/>
        <v>17.141012261463228</v>
      </c>
      <c r="FC724" s="346">
        <f t="shared" si="1014"/>
        <v>19.380457481936588</v>
      </c>
      <c r="FD724" s="346">
        <f t="shared" si="1014"/>
        <v>28.4262599495915</v>
      </c>
      <c r="FE724" s="346">
        <f t="shared" si="1014"/>
        <v>18.57477772208745</v>
      </c>
      <c r="FF724" s="346">
        <f t="shared" si="1014"/>
        <v>22.887552055495807</v>
      </c>
      <c r="FG724" s="346">
        <f t="shared" si="1014"/>
        <v>23.485399915408056</v>
      </c>
      <c r="FH724" s="346">
        <f t="shared" si="1014"/>
        <v>17.094977885269913</v>
      </c>
      <c r="FI724" s="346">
        <f t="shared" si="1014"/>
        <v>25.711020665681996</v>
      </c>
      <c r="FJ724" s="348">
        <f t="shared" si="1014"/>
        <v>22.173864846495658</v>
      </c>
      <c r="FK724" s="346">
        <f t="shared" si="1014"/>
        <v>18.016468952481294</v>
      </c>
      <c r="FL724" s="346">
        <f t="shared" si="1014"/>
        <v>22.038160849417618</v>
      </c>
      <c r="FM724" s="346">
        <f t="shared" si="1014"/>
        <v>29.332774612660895</v>
      </c>
      <c r="FN724" s="346">
        <f t="shared" si="1014"/>
        <v>20.310040481209192</v>
      </c>
      <c r="FO724" s="346">
        <f t="shared" si="1014"/>
        <v>24.596989962932081</v>
      </c>
      <c r="FP724" s="346">
        <f t="shared" si="1014"/>
        <v>24.480373970418551</v>
      </c>
      <c r="FQ724" s="346">
        <f t="shared" si="1006"/>
        <v>26.0973223375467</v>
      </c>
      <c r="FR724" s="346">
        <f t="shared" si="1006"/>
        <v>26.0973223375467</v>
      </c>
      <c r="FS724" s="346">
        <f t="shared" si="1006"/>
        <v>27.482987069546699</v>
      </c>
      <c r="FT724" s="346">
        <f t="shared" si="1006"/>
        <v>24.877549419213427</v>
      </c>
      <c r="FU724" s="346">
        <f t="shared" si="1006"/>
        <v>26.540783368213397</v>
      </c>
      <c r="FV724" s="346">
        <f t="shared" si="1006"/>
        <v>24.877549419213427</v>
      </c>
      <c r="FW724" s="346">
        <v>25.52443471719846</v>
      </c>
      <c r="FX724" s="346">
        <v>25.52443471719846</v>
      </c>
      <c r="FY724" s="346">
        <v>25.52443471719846</v>
      </c>
      <c r="FZ724" s="346">
        <v>34.523905375563082</v>
      </c>
      <c r="GA724" s="346">
        <v>34.523905375563082</v>
      </c>
      <c r="GB724" s="346">
        <v>34.523905375563082</v>
      </c>
      <c r="GC724" s="346">
        <v>32.818074208225894</v>
      </c>
      <c r="GD724" s="346">
        <v>32.818074208225894</v>
      </c>
      <c r="GE724" s="346">
        <v>32.818074208225894</v>
      </c>
      <c r="GF724" s="346">
        <v>32.818074208225894</v>
      </c>
      <c r="GG724" s="346">
        <v>32.818074208225894</v>
      </c>
      <c r="GH724" s="346">
        <v>32.818074208225894</v>
      </c>
      <c r="GI724" s="346">
        <f t="shared" ref="GI724:GN724" si="1015">GI366</f>
        <v>16.2176160074929</v>
      </c>
      <c r="GJ724" s="346">
        <f t="shared" si="1015"/>
        <v>16.2176160074929</v>
      </c>
      <c r="GK724" s="346">
        <f t="shared" si="1015"/>
        <v>16.2176160074929</v>
      </c>
      <c r="GL724" s="346">
        <f t="shared" si="1015"/>
        <v>16.2176160074929</v>
      </c>
      <c r="GM724" s="346">
        <f t="shared" si="1015"/>
        <v>16.2176160074929</v>
      </c>
      <c r="GN724" s="346">
        <f t="shared" si="1015"/>
        <v>16.2176160074929</v>
      </c>
      <c r="GO724" s="346">
        <f t="shared" ref="GO724:GT724" si="1016">GO366</f>
        <v>9.518152400153971</v>
      </c>
      <c r="GP724" s="346">
        <f t="shared" si="1016"/>
        <v>9.518152400153971</v>
      </c>
      <c r="GQ724" s="346">
        <f t="shared" si="1016"/>
        <v>9.518152400153971</v>
      </c>
      <c r="GR724" s="346">
        <f t="shared" si="1016"/>
        <v>9.518152400153971</v>
      </c>
      <c r="GS724" s="346">
        <f t="shared" si="1016"/>
        <v>9.518152400153971</v>
      </c>
      <c r="GT724" s="346">
        <f t="shared" si="1016"/>
        <v>9.518152400153971</v>
      </c>
      <c r="GU724" s="346">
        <f t="shared" ref="GU724:GZ724" si="1017">GU366</f>
        <v>0</v>
      </c>
      <c r="GV724" s="346">
        <f t="shared" si="1017"/>
        <v>0</v>
      </c>
      <c r="GW724" s="346">
        <f t="shared" si="1017"/>
        <v>45.17447760066586</v>
      </c>
      <c r="GX724" s="346">
        <f t="shared" si="1017"/>
        <v>0</v>
      </c>
      <c r="GY724" s="346">
        <f t="shared" si="1017"/>
        <v>0</v>
      </c>
      <c r="GZ724" s="346">
        <f t="shared" si="1017"/>
        <v>45.17447760066586</v>
      </c>
      <c r="HA724" s="346">
        <f t="shared" ref="HA724:HF724" si="1018">HA366</f>
        <v>0</v>
      </c>
      <c r="HB724" s="346">
        <f t="shared" si="1018"/>
        <v>0</v>
      </c>
      <c r="HC724" s="346">
        <f t="shared" si="1018"/>
        <v>47.88367306829565</v>
      </c>
      <c r="HD724" s="346">
        <f t="shared" si="1018"/>
        <v>0</v>
      </c>
      <c r="HE724" s="346">
        <f t="shared" si="1018"/>
        <v>0</v>
      </c>
      <c r="HF724" s="346">
        <f t="shared" si="1018"/>
        <v>47.88367306829565</v>
      </c>
      <c r="HG724" s="346">
        <f t="shared" ref="HG724:HL724" si="1019">HG366</f>
        <v>0</v>
      </c>
      <c r="HH724" s="346">
        <f t="shared" si="1019"/>
        <v>0</v>
      </c>
      <c r="HI724" s="346">
        <f t="shared" si="1019"/>
        <v>44.842136541598634</v>
      </c>
      <c r="HJ724" s="346">
        <f t="shared" si="1019"/>
        <v>0</v>
      </c>
      <c r="HK724" s="346">
        <f t="shared" si="1019"/>
        <v>0</v>
      </c>
      <c r="HL724" s="346">
        <f t="shared" si="1019"/>
        <v>44.842136541598634</v>
      </c>
      <c r="HM724" s="346"/>
      <c r="HN724" s="349"/>
      <c r="HO724" s="357" t="s">
        <v>539</v>
      </c>
      <c r="HP724" s="307">
        <f>SUM(CE724:CJ724)</f>
        <v>157.27896677588598</v>
      </c>
      <c r="HQ724" s="302">
        <f>SUM(CK724:CP724)</f>
        <v>145.98280847068298</v>
      </c>
      <c r="HR724" s="346">
        <f t="shared" si="698"/>
        <v>303.26177524656896</v>
      </c>
      <c r="HS724" s="302">
        <f>SUM(CQ724:CV724)</f>
        <v>125.47804495703872</v>
      </c>
      <c r="HT724" s="302">
        <f>SUM(CW724:DB724)</f>
        <v>115.54565708332017</v>
      </c>
      <c r="HU724" s="346">
        <f t="shared" si="678"/>
        <v>241.0237020403589</v>
      </c>
      <c r="HV724" s="307">
        <f>SUM(DC724:DH724)</f>
        <v>96.706595515822244</v>
      </c>
      <c r="HW724" s="302">
        <f>SUM(DI724:DN724)</f>
        <v>72.2</v>
      </c>
      <c r="HX724" s="346">
        <f t="shared" si="679"/>
        <v>168.90659551582223</v>
      </c>
      <c r="HY724" s="350">
        <f>SUM(DO724:DT724)</f>
        <v>72.75</v>
      </c>
      <c r="HZ724" s="302">
        <f>SUM(DU724:DZ724)</f>
        <v>73.25</v>
      </c>
      <c r="IA724" s="346">
        <f t="shared" si="680"/>
        <v>146</v>
      </c>
      <c r="IB724" s="302">
        <f>SUM(EA724:EF724)</f>
        <v>85.155000000000001</v>
      </c>
      <c r="IC724" s="302">
        <f>SUM(EG724:EL724)</f>
        <v>83.555000000000007</v>
      </c>
      <c r="ID724" s="346">
        <f t="shared" si="681"/>
        <v>168.71</v>
      </c>
      <c r="IE724" s="350">
        <f>SUM(EM724:ER724)</f>
        <v>127.80002854314665</v>
      </c>
      <c r="IF724" s="350">
        <f>SUM(ES724:EX724)</f>
        <v>105.27550345102301</v>
      </c>
      <c r="IG724" s="346">
        <f t="shared" si="682"/>
        <v>233.07553199416967</v>
      </c>
      <c r="IH724" s="350">
        <f>SUM(EY724:FD724)</f>
        <v>129.90024959181116</v>
      </c>
      <c r="II724" s="350">
        <f>SUM(FE724:FJ724)</f>
        <v>129.92759309043888</v>
      </c>
      <c r="IJ724" s="346">
        <f t="shared" si="683"/>
        <v>259.82784268225004</v>
      </c>
      <c r="IK724" s="350">
        <f>SUM(FK724:FP724)</f>
        <v>138.77480882911962</v>
      </c>
      <c r="IL724" s="350">
        <f t="shared" si="993"/>
        <v>155.97351395128035</v>
      </c>
      <c r="IM724" s="346">
        <f t="shared" si="684"/>
        <v>294.74832278039997</v>
      </c>
      <c r="IN724" s="350">
        <f t="shared" si="865"/>
        <v>180.14502027828465</v>
      </c>
      <c r="IO724" s="350">
        <f t="shared" si="866"/>
        <v>196.90844524935534</v>
      </c>
      <c r="IP724" s="346">
        <f t="shared" si="685"/>
        <v>377.05346552764001</v>
      </c>
      <c r="IQ724" s="350">
        <f t="shared" si="867"/>
        <v>97.305696044957386</v>
      </c>
      <c r="IR724" s="350">
        <f t="shared" si="868"/>
        <v>57.10891440092383</v>
      </c>
      <c r="IS724" s="346">
        <f t="shared" si="686"/>
        <v>154.41461044588121</v>
      </c>
      <c r="IT724" s="350">
        <f>SUM(GU724:GZ724)</f>
        <v>90.348955201331719</v>
      </c>
      <c r="IU724" s="350">
        <f t="shared" si="986"/>
        <v>95.7673461365913</v>
      </c>
      <c r="IV724" s="346">
        <f>IT724+IU724</f>
        <v>186.11630133792301</v>
      </c>
      <c r="IW724" s="350">
        <f t="shared" si="700"/>
        <v>89.684273083197269</v>
      </c>
      <c r="IX724" s="350">
        <f t="shared" si="688"/>
        <v>68.848248586896176</v>
      </c>
      <c r="IY724" s="346">
        <f>FISC!AJ1046</f>
        <v>158.53252167009344</v>
      </c>
      <c r="IZ724" s="350">
        <f>FISC!AJ87*FISC!AK253/1000</f>
        <v>75.785458198205347</v>
      </c>
      <c r="JA724" s="350">
        <f>FISC!AK82*FISC!AK253/1000</f>
        <v>75.785458198205347</v>
      </c>
      <c r="JB724" s="346">
        <f>FISC!AK1046</f>
        <v>151.57091639641069</v>
      </c>
      <c r="JC724" s="350">
        <f>FISC!AK87*FISC!AL253/1000</f>
        <v>81.400457526856627</v>
      </c>
      <c r="JD724" s="350">
        <f>FISC!AL82*FISC!AL253/1000</f>
        <v>81.400457526856627</v>
      </c>
      <c r="JE724" s="346">
        <f>FISC!AL1046</f>
        <v>162.80091505371325</v>
      </c>
      <c r="JF724" s="302">
        <f>FISC!AL87*FISC!AM253/1000</f>
        <v>86.790452032281323</v>
      </c>
      <c r="JG724" s="302">
        <f>JH724-JF724</f>
        <v>86.790452032281323</v>
      </c>
      <c r="JH724" s="346">
        <f>FISC!AM1046</f>
        <v>173.58090406456265</v>
      </c>
      <c r="JI724" s="302">
        <f>FISC!AM87*FISC!AN253/1000</f>
        <v>91.703317755243191</v>
      </c>
      <c r="JJ724" s="302">
        <f>JK724-JI724</f>
        <v>91.703317755243191</v>
      </c>
      <c r="JK724" s="346">
        <f>FISC!AN1046</f>
        <v>183.40663551048638</v>
      </c>
      <c r="JL724" s="302">
        <f>FISC!AN87*FISC!AO253/1000</f>
        <v>95.71232221923276</v>
      </c>
      <c r="JM724" s="302">
        <f>JN724-JL724</f>
        <v>95.71232221923276</v>
      </c>
      <c r="JN724" s="346">
        <f>FISC!AO1046</f>
        <v>191.42464443846552</v>
      </c>
      <c r="KI724" s="349"/>
      <c r="KJ724" s="350"/>
    </row>
    <row r="725" spans="1:302" hidden="1" outlineLevel="1">
      <c r="A725" s="302"/>
      <c r="D725" s="1718" t="s">
        <v>3223</v>
      </c>
      <c r="E725" s="346"/>
      <c r="F725" s="346"/>
      <c r="G725" s="346"/>
      <c r="H725" s="346"/>
      <c r="I725" s="346"/>
      <c r="J725" s="346"/>
      <c r="K725" s="346"/>
      <c r="L725" s="346"/>
      <c r="M725" s="346"/>
      <c r="N725" s="346"/>
      <c r="O725" s="346"/>
      <c r="P725" s="346"/>
      <c r="Q725" s="346"/>
      <c r="R725" s="346"/>
      <c r="S725" s="346"/>
      <c r="T725" s="346"/>
      <c r="U725" s="346"/>
      <c r="V725" s="346"/>
      <c r="W725" s="346"/>
      <c r="X725" s="346"/>
      <c r="Y725" s="346"/>
      <c r="Z725" s="346"/>
      <c r="AA725" s="346"/>
      <c r="AB725" s="346"/>
      <c r="AC725" s="346"/>
      <c r="AD725" s="346"/>
      <c r="AE725" s="346"/>
      <c r="AF725" s="346"/>
      <c r="AG725" s="346"/>
      <c r="AH725" s="346"/>
      <c r="AI725" s="346"/>
      <c r="AJ725" s="346"/>
      <c r="AK725" s="346"/>
      <c r="AL725" s="346"/>
      <c r="AM725" s="346"/>
      <c r="AN725" s="346"/>
      <c r="AO725" s="346"/>
      <c r="AP725" s="346"/>
      <c r="AQ725" s="346"/>
      <c r="AR725" s="346"/>
      <c r="AS725" s="346"/>
      <c r="AT725" s="346"/>
      <c r="AU725" s="346"/>
      <c r="AV725" s="346"/>
      <c r="AW725" s="346"/>
      <c r="AX725" s="346"/>
      <c r="AY725" s="346"/>
      <c r="AZ725" s="346"/>
      <c r="BA725" s="346"/>
      <c r="BB725" s="346"/>
      <c r="BC725" s="346"/>
      <c r="BD725" s="346"/>
      <c r="BE725" s="346"/>
      <c r="BF725" s="346"/>
      <c r="BG725" s="346"/>
      <c r="BH725" s="346"/>
      <c r="BI725" s="346"/>
      <c r="BJ725" s="346"/>
      <c r="BK725" s="346"/>
      <c r="BL725" s="346"/>
      <c r="BM725" s="346"/>
      <c r="BN725" s="346"/>
      <c r="BO725" s="346"/>
      <c r="BP725" s="346"/>
      <c r="BQ725" s="346"/>
      <c r="BR725" s="346"/>
      <c r="BS725" s="346"/>
      <c r="BT725" s="346"/>
      <c r="BU725" s="346"/>
      <c r="BV725" s="346"/>
      <c r="BW725" s="346"/>
      <c r="BX725" s="346"/>
      <c r="BY725" s="346"/>
      <c r="BZ725" s="346"/>
      <c r="CA725" s="346"/>
      <c r="CB725" s="346"/>
      <c r="CC725" s="346"/>
      <c r="CD725" s="352"/>
      <c r="CE725" s="346"/>
      <c r="CF725" s="346"/>
      <c r="CG725" s="346"/>
      <c r="CH725" s="346"/>
      <c r="CI725" s="346"/>
      <c r="CJ725" s="346"/>
      <c r="CK725" s="346"/>
      <c r="CL725" s="346"/>
      <c r="CM725" s="346"/>
      <c r="CN725" s="346"/>
      <c r="CO725" s="346"/>
      <c r="CP725" s="348"/>
      <c r="CQ725" s="346"/>
      <c r="CR725" s="346"/>
      <c r="CS725" s="346"/>
      <c r="CT725" s="346"/>
      <c r="CU725" s="346"/>
      <c r="CV725" s="346"/>
      <c r="CW725" s="346"/>
      <c r="CX725" s="346"/>
      <c r="CY725" s="346"/>
      <c r="CZ725" s="346"/>
      <c r="DA725" s="346"/>
      <c r="DB725" s="1479"/>
      <c r="DC725" s="346"/>
      <c r="DD725" s="346"/>
      <c r="DE725" s="346"/>
      <c r="DF725" s="346"/>
      <c r="DG725" s="346"/>
      <c r="DH725" s="346"/>
      <c r="DI725" s="346"/>
      <c r="DJ725" s="346"/>
      <c r="DK725" s="346"/>
      <c r="DL725" s="346"/>
      <c r="DM725" s="346"/>
      <c r="DN725" s="348"/>
      <c r="DO725" s="346"/>
      <c r="DP725" s="346"/>
      <c r="DQ725" s="346"/>
      <c r="DR725" s="346"/>
      <c r="DS725" s="346"/>
      <c r="DT725" s="346"/>
      <c r="DU725" s="346"/>
      <c r="DV725" s="346"/>
      <c r="DW725" s="346"/>
      <c r="DX725" s="346"/>
      <c r="DY725" s="346"/>
      <c r="DZ725" s="348"/>
      <c r="EA725" s="346"/>
      <c r="EB725" s="346"/>
      <c r="EC725" s="346"/>
      <c r="ED725" s="346"/>
      <c r="EE725" s="346"/>
      <c r="EF725" s="346"/>
      <c r="EG725" s="346"/>
      <c r="EH725" s="346"/>
      <c r="EI725" s="346"/>
      <c r="EJ725" s="346"/>
      <c r="EK725" s="346"/>
      <c r="EL725" s="348"/>
      <c r="EM725" s="346"/>
      <c r="EN725" s="346"/>
      <c r="EO725" s="346"/>
      <c r="EP725" s="346"/>
      <c r="EQ725" s="346"/>
      <c r="ER725" s="346"/>
      <c r="ES725" s="346"/>
      <c r="ET725" s="346"/>
      <c r="EU725" s="346"/>
      <c r="EV725" s="346"/>
      <c r="EW725" s="346"/>
      <c r="EX725" s="348"/>
      <c r="EY725" s="346"/>
      <c r="EZ725" s="346"/>
      <c r="FA725" s="346"/>
      <c r="FB725" s="346"/>
      <c r="FC725" s="346"/>
      <c r="FD725" s="346"/>
      <c r="FE725" s="346"/>
      <c r="FF725" s="346"/>
      <c r="FG725" s="346"/>
      <c r="FH725" s="346"/>
      <c r="FI725" s="346"/>
      <c r="FJ725" s="348"/>
      <c r="FK725" s="346"/>
      <c r="FL725" s="346"/>
      <c r="FM725" s="346"/>
      <c r="FN725" s="346"/>
      <c r="FO725" s="346"/>
      <c r="FP725" s="346"/>
      <c r="FQ725" s="346"/>
      <c r="FR725" s="346"/>
      <c r="FS725" s="346"/>
      <c r="FT725" s="346"/>
      <c r="FU725" s="346"/>
      <c r="FV725" s="346"/>
      <c r="FW725" s="346"/>
      <c r="FX725" s="346"/>
      <c r="FY725" s="346"/>
      <c r="FZ725" s="346"/>
      <c r="GA725" s="346"/>
      <c r="GB725" s="346"/>
      <c r="GC725" s="346"/>
      <c r="GD725" s="346"/>
      <c r="GE725" s="346"/>
      <c r="GF725" s="346"/>
      <c r="GG725" s="346"/>
      <c r="GH725" s="346"/>
      <c r="GI725" s="1897"/>
      <c r="HN725" s="349"/>
      <c r="HO725" s="1718" t="s">
        <v>3223</v>
      </c>
      <c r="HP725" s="307"/>
      <c r="HR725" s="346"/>
      <c r="HU725" s="346"/>
      <c r="HV725" s="307"/>
      <c r="HX725" s="346"/>
      <c r="HY725" s="350"/>
      <c r="IA725" s="346"/>
      <c r="ID725" s="346"/>
      <c r="IE725" s="350"/>
      <c r="IF725" s="350"/>
      <c r="IG725" s="346"/>
      <c r="IH725" s="350"/>
      <c r="II725" s="350"/>
      <c r="IJ725" s="346"/>
      <c r="IK725" s="350"/>
      <c r="IL725" s="350">
        <f t="shared" si="993"/>
        <v>0</v>
      </c>
      <c r="IM725" s="346">
        <f>IK725+IL725</f>
        <v>0</v>
      </c>
      <c r="IN725" s="350">
        <f t="shared" si="865"/>
        <v>0</v>
      </c>
      <c r="IO725" s="350">
        <f t="shared" si="866"/>
        <v>0</v>
      </c>
      <c r="IP725" s="346">
        <f t="shared" si="685"/>
        <v>0</v>
      </c>
      <c r="IQ725" s="350">
        <f t="shared" si="867"/>
        <v>0</v>
      </c>
      <c r="IR725" s="350">
        <f t="shared" si="868"/>
        <v>0</v>
      </c>
      <c r="IS725" s="346">
        <f t="shared" si="686"/>
        <v>0</v>
      </c>
      <c r="IT725" s="350">
        <v>0</v>
      </c>
      <c r="IU725" s="350">
        <f t="shared" si="986"/>
        <v>0</v>
      </c>
      <c r="IV725" s="346">
        <f t="shared" ref="IV725:IV794" si="1020">IT725+IU725</f>
        <v>0</v>
      </c>
      <c r="IW725" s="350">
        <f t="shared" si="700"/>
        <v>0</v>
      </c>
      <c r="IX725" s="350">
        <f t="shared" si="688"/>
        <v>0</v>
      </c>
      <c r="IY725" s="346">
        <f>FISC!AJ1047</f>
        <v>0</v>
      </c>
      <c r="IZ725" s="350"/>
      <c r="JB725" s="346">
        <f>FISC!AK1047</f>
        <v>0</v>
      </c>
      <c r="JC725" s="350"/>
      <c r="JE725" s="346">
        <f>FISC!AL1047</f>
        <v>0</v>
      </c>
      <c r="JH725" s="346">
        <f>FISC!AM1047</f>
        <v>0</v>
      </c>
      <c r="JK725" s="346">
        <f>FISC!AN1047</f>
        <v>0</v>
      </c>
      <c r="JN725" s="346">
        <f>FISC!AO1047</f>
        <v>0</v>
      </c>
      <c r="KI725" s="349"/>
      <c r="KJ725" s="350"/>
    </row>
    <row r="726" spans="1:302" hidden="1" outlineLevel="1">
      <c r="A726" s="302"/>
      <c r="B726" s="117" t="s">
        <v>361</v>
      </c>
      <c r="D726" s="356" t="s">
        <v>541</v>
      </c>
      <c r="E726" s="346"/>
      <c r="F726" s="346"/>
      <c r="G726" s="346"/>
      <c r="H726" s="346"/>
      <c r="I726" s="346"/>
      <c r="J726" s="346"/>
      <c r="K726" s="346"/>
      <c r="L726" s="346"/>
      <c r="M726" s="346"/>
      <c r="N726" s="346"/>
      <c r="O726" s="346"/>
      <c r="P726" s="346"/>
      <c r="Q726" s="346"/>
      <c r="R726" s="346"/>
      <c r="S726" s="346"/>
      <c r="T726" s="346"/>
      <c r="U726" s="346"/>
      <c r="V726" s="346"/>
      <c r="W726" s="346"/>
      <c r="X726" s="346"/>
      <c r="Y726" s="346"/>
      <c r="Z726" s="346"/>
      <c r="AA726" s="346"/>
      <c r="AB726" s="346"/>
      <c r="AC726" s="346"/>
      <c r="AD726" s="346"/>
      <c r="AE726" s="346"/>
      <c r="AF726" s="346"/>
      <c r="AG726" s="346"/>
      <c r="AH726" s="346"/>
      <c r="AI726" s="346"/>
      <c r="AJ726" s="346"/>
      <c r="AK726" s="346"/>
      <c r="AL726" s="346"/>
      <c r="AM726" s="346"/>
      <c r="AN726" s="346"/>
      <c r="AO726" s="346">
        <v>0</v>
      </c>
      <c r="AP726" s="346">
        <v>0</v>
      </c>
      <c r="AQ726" s="346">
        <v>0</v>
      </c>
      <c r="AR726" s="346">
        <v>0</v>
      </c>
      <c r="AS726" s="346">
        <v>0</v>
      </c>
      <c r="AT726" s="346">
        <v>0</v>
      </c>
      <c r="AU726" s="346">
        <v>0</v>
      </c>
      <c r="AV726" s="346">
        <v>0</v>
      </c>
      <c r="AW726" s="346">
        <v>0</v>
      </c>
      <c r="AX726" s="346">
        <v>0</v>
      </c>
      <c r="AY726" s="346">
        <v>0</v>
      </c>
      <c r="AZ726" s="346">
        <v>0</v>
      </c>
      <c r="BA726" s="346">
        <v>0</v>
      </c>
      <c r="BB726" s="346">
        <v>0</v>
      </c>
      <c r="BC726" s="346">
        <v>0</v>
      </c>
      <c r="BD726" s="346">
        <v>0</v>
      </c>
      <c r="BE726" s="346">
        <v>0</v>
      </c>
      <c r="BF726" s="346">
        <v>0</v>
      </c>
      <c r="BG726" s="346">
        <v>0</v>
      </c>
      <c r="BH726" s="346">
        <v>0</v>
      </c>
      <c r="BI726" s="346">
        <v>0</v>
      </c>
      <c r="BJ726" s="346">
        <v>0</v>
      </c>
      <c r="BK726" s="346">
        <v>0</v>
      </c>
      <c r="BL726" s="346">
        <v>0</v>
      </c>
      <c r="BM726" s="346">
        <v>0</v>
      </c>
      <c r="BN726" s="346">
        <v>0</v>
      </c>
      <c r="BO726" s="346">
        <v>0</v>
      </c>
      <c r="BP726" s="346">
        <v>0</v>
      </c>
      <c r="BQ726" s="346">
        <v>0</v>
      </c>
      <c r="BR726" s="346">
        <v>0</v>
      </c>
      <c r="BS726" s="346">
        <v>0</v>
      </c>
      <c r="BT726" s="346">
        <v>0</v>
      </c>
      <c r="BU726" s="346">
        <v>0</v>
      </c>
      <c r="BV726" s="346">
        <v>0</v>
      </c>
      <c r="BW726" s="346">
        <v>0</v>
      </c>
      <c r="BX726" s="346">
        <v>0</v>
      </c>
      <c r="BY726" s="346">
        <v>0</v>
      </c>
      <c r="BZ726" s="346">
        <v>0</v>
      </c>
      <c r="CA726" s="346">
        <v>0</v>
      </c>
      <c r="CB726" s="346">
        <v>0</v>
      </c>
      <c r="CC726" s="346">
        <v>0</v>
      </c>
      <c r="CD726" s="352">
        <v>0</v>
      </c>
      <c r="CE726" s="346">
        <f t="shared" ref="CE726:DJ726" si="1021">CE367</f>
        <v>0</v>
      </c>
      <c r="CF726" s="346">
        <f t="shared" si="1021"/>
        <v>0</v>
      </c>
      <c r="CG726" s="346">
        <f t="shared" si="1021"/>
        <v>0</v>
      </c>
      <c r="CH726" s="346">
        <f t="shared" si="1021"/>
        <v>0</v>
      </c>
      <c r="CI726" s="346">
        <f t="shared" si="1021"/>
        <v>0</v>
      </c>
      <c r="CJ726" s="346">
        <f t="shared" si="1021"/>
        <v>0</v>
      </c>
      <c r="CK726" s="346">
        <f t="shared" si="1021"/>
        <v>0</v>
      </c>
      <c r="CL726" s="346">
        <f t="shared" si="1021"/>
        <v>0</v>
      </c>
      <c r="CM726" s="346">
        <f t="shared" si="1021"/>
        <v>0</v>
      </c>
      <c r="CN726" s="346">
        <f t="shared" si="1021"/>
        <v>0</v>
      </c>
      <c r="CO726" s="346">
        <f t="shared" si="1021"/>
        <v>0</v>
      </c>
      <c r="CP726" s="348">
        <f t="shared" si="1021"/>
        <v>0</v>
      </c>
      <c r="CQ726" s="346">
        <f t="shared" si="1021"/>
        <v>0</v>
      </c>
      <c r="CR726" s="346">
        <f t="shared" si="1021"/>
        <v>0</v>
      </c>
      <c r="CS726" s="346">
        <f t="shared" si="1021"/>
        <v>0</v>
      </c>
      <c r="CT726" s="346">
        <f t="shared" si="1021"/>
        <v>0</v>
      </c>
      <c r="CU726" s="346">
        <f t="shared" si="1021"/>
        <v>0</v>
      </c>
      <c r="CV726" s="346">
        <f t="shared" si="1021"/>
        <v>0</v>
      </c>
      <c r="CW726" s="346">
        <f t="shared" si="1021"/>
        <v>0</v>
      </c>
      <c r="CX726" s="346">
        <f t="shared" si="1021"/>
        <v>0</v>
      </c>
      <c r="CY726" s="346">
        <f t="shared" si="1021"/>
        <v>0</v>
      </c>
      <c r="CZ726" s="346">
        <f t="shared" si="1021"/>
        <v>0</v>
      </c>
      <c r="DA726" s="346">
        <f t="shared" si="1021"/>
        <v>0</v>
      </c>
      <c r="DB726" s="1479">
        <f t="shared" si="1021"/>
        <v>0</v>
      </c>
      <c r="DC726" s="346">
        <f t="shared" si="1021"/>
        <v>0</v>
      </c>
      <c r="DD726" s="346">
        <f t="shared" si="1021"/>
        <v>0</v>
      </c>
      <c r="DE726" s="346">
        <f t="shared" si="1021"/>
        <v>0</v>
      </c>
      <c r="DF726" s="346">
        <f t="shared" si="1021"/>
        <v>0</v>
      </c>
      <c r="DG726" s="346">
        <f t="shared" si="1021"/>
        <v>0</v>
      </c>
      <c r="DH726" s="346">
        <f t="shared" si="1021"/>
        <v>0</v>
      </c>
      <c r="DI726" s="346">
        <f t="shared" si="1021"/>
        <v>0</v>
      </c>
      <c r="DJ726" s="346">
        <f t="shared" si="1021"/>
        <v>0</v>
      </c>
      <c r="DK726" s="346">
        <f t="shared" ref="DK726:EP726" si="1022">DK367</f>
        <v>0</v>
      </c>
      <c r="DL726" s="346">
        <f t="shared" si="1022"/>
        <v>0</v>
      </c>
      <c r="DM726" s="346">
        <f t="shared" si="1022"/>
        <v>0</v>
      </c>
      <c r="DN726" s="348">
        <f t="shared" si="1022"/>
        <v>0</v>
      </c>
      <c r="DO726" s="346">
        <f t="shared" si="1022"/>
        <v>0</v>
      </c>
      <c r="DP726" s="346">
        <f t="shared" si="1022"/>
        <v>0</v>
      </c>
      <c r="DQ726" s="346">
        <f t="shared" si="1022"/>
        <v>0</v>
      </c>
      <c r="DR726" s="346">
        <f t="shared" si="1022"/>
        <v>0</v>
      </c>
      <c r="DS726" s="346">
        <f t="shared" si="1022"/>
        <v>0</v>
      </c>
      <c r="DT726" s="346">
        <f t="shared" si="1022"/>
        <v>0</v>
      </c>
      <c r="DU726" s="346">
        <f t="shared" si="1022"/>
        <v>0</v>
      </c>
      <c r="DV726" s="346">
        <f t="shared" si="1022"/>
        <v>0</v>
      </c>
      <c r="DW726" s="346">
        <f t="shared" si="1022"/>
        <v>0</v>
      </c>
      <c r="DX726" s="346">
        <f t="shared" si="1022"/>
        <v>0</v>
      </c>
      <c r="DY726" s="346">
        <f t="shared" si="1022"/>
        <v>0</v>
      </c>
      <c r="DZ726" s="348">
        <f t="shared" si="1022"/>
        <v>0</v>
      </c>
      <c r="EA726" s="346">
        <f t="shared" si="1022"/>
        <v>0</v>
      </c>
      <c r="EB726" s="346">
        <f t="shared" si="1022"/>
        <v>0</v>
      </c>
      <c r="EC726" s="346">
        <f t="shared" si="1022"/>
        <v>0</v>
      </c>
      <c r="ED726" s="346">
        <f t="shared" si="1022"/>
        <v>0</v>
      </c>
      <c r="EE726" s="346">
        <f t="shared" si="1022"/>
        <v>0</v>
      </c>
      <c r="EF726" s="346">
        <f t="shared" si="1022"/>
        <v>0</v>
      </c>
      <c r="EG726" s="346">
        <f t="shared" si="1022"/>
        <v>0</v>
      </c>
      <c r="EH726" s="346">
        <f t="shared" si="1022"/>
        <v>0</v>
      </c>
      <c r="EI726" s="346">
        <f t="shared" si="1022"/>
        <v>0</v>
      </c>
      <c r="EJ726" s="346">
        <f t="shared" si="1022"/>
        <v>0</v>
      </c>
      <c r="EK726" s="346">
        <f t="shared" si="1022"/>
        <v>0</v>
      </c>
      <c r="EL726" s="348">
        <f t="shared" si="1022"/>
        <v>0</v>
      </c>
      <c r="EM726" s="346">
        <f t="shared" si="1022"/>
        <v>0</v>
      </c>
      <c r="EN726" s="346">
        <f t="shared" si="1022"/>
        <v>0</v>
      </c>
      <c r="EO726" s="346">
        <f t="shared" si="1022"/>
        <v>0</v>
      </c>
      <c r="EP726" s="346">
        <f t="shared" si="1022"/>
        <v>0</v>
      </c>
      <c r="EQ726" s="346">
        <f t="shared" ref="EQ726:FP726" si="1023">EQ367</f>
        <v>0</v>
      </c>
      <c r="ER726" s="346">
        <f t="shared" si="1023"/>
        <v>0</v>
      </c>
      <c r="ES726" s="346">
        <f t="shared" si="1023"/>
        <v>0</v>
      </c>
      <c r="ET726" s="346">
        <f t="shared" si="1023"/>
        <v>0</v>
      </c>
      <c r="EU726" s="346">
        <f t="shared" si="1023"/>
        <v>0</v>
      </c>
      <c r="EV726" s="346">
        <f t="shared" si="1023"/>
        <v>0</v>
      </c>
      <c r="EW726" s="346">
        <f t="shared" si="1023"/>
        <v>0</v>
      </c>
      <c r="EX726" s="348">
        <f t="shared" si="1023"/>
        <v>0</v>
      </c>
      <c r="EY726" s="346">
        <f t="shared" si="1023"/>
        <v>0</v>
      </c>
      <c r="EZ726" s="346">
        <f t="shared" si="1023"/>
        <v>0</v>
      </c>
      <c r="FA726" s="346">
        <f t="shared" si="1023"/>
        <v>0</v>
      </c>
      <c r="FB726" s="346">
        <f t="shared" si="1023"/>
        <v>0</v>
      </c>
      <c r="FC726" s="346">
        <f t="shared" si="1023"/>
        <v>0</v>
      </c>
      <c r="FD726" s="346">
        <f t="shared" si="1023"/>
        <v>0</v>
      </c>
      <c r="FE726" s="346">
        <f t="shared" si="1023"/>
        <v>0</v>
      </c>
      <c r="FF726" s="346">
        <f t="shared" si="1023"/>
        <v>0</v>
      </c>
      <c r="FG726" s="346">
        <f t="shared" si="1023"/>
        <v>0</v>
      </c>
      <c r="FH726" s="346">
        <f t="shared" si="1023"/>
        <v>0</v>
      </c>
      <c r="FI726" s="346">
        <f t="shared" si="1023"/>
        <v>0</v>
      </c>
      <c r="FJ726" s="348">
        <f t="shared" si="1023"/>
        <v>0</v>
      </c>
      <c r="FK726" s="346">
        <f t="shared" si="1023"/>
        <v>0</v>
      </c>
      <c r="FL726" s="346">
        <f t="shared" si="1023"/>
        <v>0</v>
      </c>
      <c r="FM726" s="346">
        <f t="shared" si="1023"/>
        <v>0</v>
      </c>
      <c r="FN726" s="346">
        <f t="shared" si="1023"/>
        <v>0</v>
      </c>
      <c r="FO726" s="346">
        <f t="shared" si="1023"/>
        <v>0</v>
      </c>
      <c r="FP726" s="346">
        <f t="shared" si="1023"/>
        <v>0</v>
      </c>
      <c r="FQ726" s="346">
        <f t="shared" ref="FQ726:FV728" si="1024">FQ367</f>
        <v>0</v>
      </c>
      <c r="FR726" s="346">
        <f t="shared" si="1024"/>
        <v>0</v>
      </c>
      <c r="FS726" s="346">
        <f t="shared" si="1024"/>
        <v>0</v>
      </c>
      <c r="FT726" s="346">
        <f t="shared" si="1024"/>
        <v>0</v>
      </c>
      <c r="FU726" s="346">
        <f t="shared" si="1024"/>
        <v>0</v>
      </c>
      <c r="FV726" s="346">
        <f t="shared" si="1024"/>
        <v>0</v>
      </c>
      <c r="FW726" s="346">
        <v>0</v>
      </c>
      <c r="FX726" s="346">
        <v>0</v>
      </c>
      <c r="FY726" s="346">
        <v>0</v>
      </c>
      <c r="FZ726" s="346">
        <v>0</v>
      </c>
      <c r="GA726" s="346">
        <v>0</v>
      </c>
      <c r="GB726" s="346">
        <v>0</v>
      </c>
      <c r="GC726" s="346">
        <v>0</v>
      </c>
      <c r="GD726" s="346">
        <v>0</v>
      </c>
      <c r="GE726" s="346">
        <v>0</v>
      </c>
      <c r="GF726" s="346">
        <v>0</v>
      </c>
      <c r="GG726" s="346">
        <v>0</v>
      </c>
      <c r="GH726" s="346">
        <v>0</v>
      </c>
      <c r="GI726" s="346">
        <v>0</v>
      </c>
      <c r="GJ726" s="346">
        <v>0</v>
      </c>
      <c r="GK726" s="346">
        <v>0</v>
      </c>
      <c r="GL726" s="346">
        <v>0</v>
      </c>
      <c r="GM726" s="346">
        <v>0</v>
      </c>
      <c r="GN726" s="346">
        <v>0</v>
      </c>
      <c r="GO726" s="346">
        <v>0</v>
      </c>
      <c r="GP726" s="346">
        <v>0</v>
      </c>
      <c r="GQ726" s="346">
        <v>0</v>
      </c>
      <c r="GR726" s="346">
        <v>0</v>
      </c>
      <c r="GS726" s="346">
        <v>0</v>
      </c>
      <c r="GT726" s="346">
        <v>0</v>
      </c>
      <c r="GU726" s="346">
        <v>0</v>
      </c>
      <c r="GV726" s="346">
        <v>0</v>
      </c>
      <c r="GW726" s="346">
        <v>0</v>
      </c>
      <c r="GX726" s="346">
        <v>0</v>
      </c>
      <c r="GY726" s="346">
        <v>0</v>
      </c>
      <c r="GZ726" s="346">
        <v>0</v>
      </c>
      <c r="HA726" s="346">
        <v>0</v>
      </c>
      <c r="HB726" s="346">
        <v>0</v>
      </c>
      <c r="HC726" s="346">
        <v>0</v>
      </c>
      <c r="HD726" s="346">
        <v>0</v>
      </c>
      <c r="HE726" s="346">
        <v>0</v>
      </c>
      <c r="HF726" s="346">
        <v>0</v>
      </c>
      <c r="HG726" s="346">
        <v>0</v>
      </c>
      <c r="HH726" s="346">
        <v>0</v>
      </c>
      <c r="HI726" s="346">
        <v>0</v>
      </c>
      <c r="HJ726" s="346">
        <v>0</v>
      </c>
      <c r="HK726" s="346">
        <v>0</v>
      </c>
      <c r="HL726" s="346">
        <v>0</v>
      </c>
      <c r="HM726" s="346"/>
      <c r="HN726" s="349"/>
      <c r="HO726" s="356" t="s">
        <v>541</v>
      </c>
      <c r="HP726" s="307">
        <f>SUM(CE726:CJ726)</f>
        <v>0</v>
      </c>
      <c r="HQ726" s="302">
        <f>SUM(CK726:CP726)</f>
        <v>0</v>
      </c>
      <c r="HR726" s="346">
        <f t="shared" si="698"/>
        <v>0</v>
      </c>
      <c r="HS726" s="302">
        <f>SUM(CQ726:CV726)</f>
        <v>0</v>
      </c>
      <c r="HT726" s="302">
        <f>SUM(CW726:DB726)</f>
        <v>0</v>
      </c>
      <c r="HU726" s="346">
        <f t="shared" si="678"/>
        <v>0</v>
      </c>
      <c r="HV726" s="307">
        <f>SUM(DC726:DH726)</f>
        <v>0</v>
      </c>
      <c r="HW726" s="302">
        <f>SUM(DI726:DN726)</f>
        <v>0</v>
      </c>
      <c r="HX726" s="346">
        <f t="shared" si="679"/>
        <v>0</v>
      </c>
      <c r="HY726" s="350">
        <f>SUM(DO726:DT726)</f>
        <v>0</v>
      </c>
      <c r="HZ726" s="302">
        <f>SUM(DU726:DZ726)</f>
        <v>0</v>
      </c>
      <c r="IA726" s="346">
        <f t="shared" si="680"/>
        <v>0</v>
      </c>
      <c r="IB726" s="302">
        <f>SUM(EA726:EF726)</f>
        <v>0</v>
      </c>
      <c r="IC726" s="302">
        <f>SUM(EG726:EL726)</f>
        <v>0</v>
      </c>
      <c r="ID726" s="346">
        <f t="shared" si="681"/>
        <v>0</v>
      </c>
      <c r="IE726" s="350">
        <f>SUM(EM726:ER726)</f>
        <v>0</v>
      </c>
      <c r="IF726" s="350">
        <f>SUM(ES726:EX726)</f>
        <v>0</v>
      </c>
      <c r="IG726" s="346">
        <f t="shared" si="682"/>
        <v>0</v>
      </c>
      <c r="IH726" s="350">
        <f>SUM(EY726:FD726)</f>
        <v>0</v>
      </c>
      <c r="II726" s="350">
        <f>SUM(FE726:FJ726)</f>
        <v>0</v>
      </c>
      <c r="IJ726" s="346">
        <f t="shared" si="683"/>
        <v>0</v>
      </c>
      <c r="IK726" s="350">
        <f>SUM(FK726:FP726)</f>
        <v>0</v>
      </c>
      <c r="IL726" s="350">
        <f t="shared" si="993"/>
        <v>0</v>
      </c>
      <c r="IM726" s="346">
        <f t="shared" si="684"/>
        <v>0</v>
      </c>
      <c r="IN726" s="350">
        <f t="shared" si="865"/>
        <v>0</v>
      </c>
      <c r="IO726" s="350">
        <f t="shared" si="866"/>
        <v>0</v>
      </c>
      <c r="IP726" s="346">
        <f t="shared" si="685"/>
        <v>0</v>
      </c>
      <c r="IQ726" s="350">
        <f t="shared" si="867"/>
        <v>0</v>
      </c>
      <c r="IR726" s="350">
        <f t="shared" si="868"/>
        <v>0</v>
      </c>
      <c r="IS726" s="346">
        <f t="shared" si="686"/>
        <v>0</v>
      </c>
      <c r="IT726" s="350">
        <f>SUM(GU726:GZ726)</f>
        <v>0</v>
      </c>
      <c r="IU726" s="350">
        <f t="shared" si="986"/>
        <v>0</v>
      </c>
      <c r="IV726" s="346">
        <f t="shared" si="1020"/>
        <v>0</v>
      </c>
      <c r="IW726" s="350">
        <f t="shared" si="700"/>
        <v>0</v>
      </c>
      <c r="IX726" s="350">
        <f t="shared" si="688"/>
        <v>0</v>
      </c>
      <c r="IY726" s="346">
        <f>FISC!AJ1048</f>
        <v>0</v>
      </c>
      <c r="IZ726" s="350">
        <v>0</v>
      </c>
      <c r="JA726" s="302">
        <f t="shared" si="689"/>
        <v>0</v>
      </c>
      <c r="JB726" s="346">
        <f>FISC!AK1048</f>
        <v>0</v>
      </c>
      <c r="JC726" s="350">
        <v>0</v>
      </c>
      <c r="JD726" s="302">
        <f>JE726-JC726</f>
        <v>0</v>
      </c>
      <c r="JE726" s="346">
        <f>FISC!AL1048</f>
        <v>0</v>
      </c>
      <c r="JF726" s="350">
        <v>0</v>
      </c>
      <c r="JG726" s="302">
        <f>JH726-JF726</f>
        <v>0</v>
      </c>
      <c r="JH726" s="346">
        <f>FISC!AM1048</f>
        <v>0</v>
      </c>
      <c r="JI726" s="350">
        <v>0</v>
      </c>
      <c r="JJ726" s="302">
        <f>JK726-JI726</f>
        <v>0</v>
      </c>
      <c r="JK726" s="346">
        <f>FISC!AN1048</f>
        <v>0</v>
      </c>
      <c r="JL726" s="350">
        <v>0</v>
      </c>
      <c r="JM726" s="302">
        <f>JN726-JL726</f>
        <v>0</v>
      </c>
      <c r="JN726" s="346">
        <f>FISC!AO1048</f>
        <v>0</v>
      </c>
      <c r="KI726" s="349"/>
      <c r="KJ726" s="350"/>
    </row>
    <row r="727" spans="1:302" hidden="1" outlineLevel="1">
      <c r="A727" s="302"/>
      <c r="D727" s="1439" t="s">
        <v>538</v>
      </c>
      <c r="E727" s="346"/>
      <c r="F727" s="346"/>
      <c r="G727" s="346"/>
      <c r="H727" s="346"/>
      <c r="I727" s="346"/>
      <c r="J727" s="346"/>
      <c r="K727" s="346"/>
      <c r="L727" s="346"/>
      <c r="M727" s="346"/>
      <c r="N727" s="346"/>
      <c r="O727" s="346"/>
      <c r="P727" s="346"/>
      <c r="Q727" s="346"/>
      <c r="R727" s="346"/>
      <c r="S727" s="346"/>
      <c r="T727" s="346"/>
      <c r="U727" s="346"/>
      <c r="V727" s="346"/>
      <c r="W727" s="346"/>
      <c r="X727" s="346"/>
      <c r="Y727" s="346"/>
      <c r="Z727" s="346"/>
      <c r="AA727" s="346"/>
      <c r="AB727" s="346"/>
      <c r="AC727" s="346"/>
      <c r="AD727" s="346"/>
      <c r="AE727" s="346"/>
      <c r="AF727" s="346"/>
      <c r="AG727" s="346"/>
      <c r="AH727" s="346"/>
      <c r="AI727" s="346"/>
      <c r="AJ727" s="346"/>
      <c r="AK727" s="346"/>
      <c r="AL727" s="346"/>
      <c r="AM727" s="346"/>
      <c r="AN727" s="346"/>
      <c r="AO727" s="346"/>
      <c r="AP727" s="346"/>
      <c r="AQ727" s="346"/>
      <c r="AR727" s="346"/>
      <c r="AS727" s="346"/>
      <c r="AT727" s="346"/>
      <c r="AU727" s="346"/>
      <c r="AV727" s="346"/>
      <c r="AW727" s="346"/>
      <c r="AX727" s="346"/>
      <c r="AY727" s="346"/>
      <c r="AZ727" s="346"/>
      <c r="BA727" s="346"/>
      <c r="BB727" s="346"/>
      <c r="BC727" s="346"/>
      <c r="BD727" s="346"/>
      <c r="BE727" s="346"/>
      <c r="BF727" s="346"/>
      <c r="BG727" s="346"/>
      <c r="BH727" s="346"/>
      <c r="BI727" s="346"/>
      <c r="BJ727" s="346"/>
      <c r="BK727" s="346"/>
      <c r="BL727" s="346"/>
      <c r="BM727" s="346"/>
      <c r="BN727" s="346"/>
      <c r="BO727" s="346"/>
      <c r="BP727" s="346"/>
      <c r="BQ727" s="346"/>
      <c r="BR727" s="346"/>
      <c r="BS727" s="346"/>
      <c r="BT727" s="346"/>
      <c r="BU727" s="346"/>
      <c r="BV727" s="346"/>
      <c r="BW727" s="346"/>
      <c r="BX727" s="346"/>
      <c r="BY727" s="346"/>
      <c r="BZ727" s="346"/>
      <c r="CA727" s="346"/>
      <c r="CB727" s="346"/>
      <c r="CC727" s="346"/>
      <c r="CD727" s="352"/>
      <c r="CE727" s="346">
        <f t="shared" ref="CE727:DJ727" si="1025">CE368</f>
        <v>0</v>
      </c>
      <c r="CF727" s="346">
        <f t="shared" si="1025"/>
        <v>0</v>
      </c>
      <c r="CG727" s="346">
        <f t="shared" si="1025"/>
        <v>0</v>
      </c>
      <c r="CH727" s="346">
        <f t="shared" si="1025"/>
        <v>0</v>
      </c>
      <c r="CI727" s="346">
        <f t="shared" si="1025"/>
        <v>0</v>
      </c>
      <c r="CJ727" s="346">
        <f t="shared" si="1025"/>
        <v>0</v>
      </c>
      <c r="CK727" s="346">
        <f t="shared" si="1025"/>
        <v>0</v>
      </c>
      <c r="CL727" s="346">
        <f t="shared" si="1025"/>
        <v>0</v>
      </c>
      <c r="CM727" s="346">
        <f t="shared" si="1025"/>
        <v>0</v>
      </c>
      <c r="CN727" s="346">
        <f t="shared" si="1025"/>
        <v>0</v>
      </c>
      <c r="CO727" s="346">
        <f t="shared" si="1025"/>
        <v>0</v>
      </c>
      <c r="CP727" s="348">
        <f t="shared" si="1025"/>
        <v>0</v>
      </c>
      <c r="CQ727" s="346">
        <f t="shared" si="1025"/>
        <v>0</v>
      </c>
      <c r="CR727" s="346">
        <f t="shared" si="1025"/>
        <v>0</v>
      </c>
      <c r="CS727" s="346">
        <f t="shared" si="1025"/>
        <v>0</v>
      </c>
      <c r="CT727" s="346">
        <f t="shared" si="1025"/>
        <v>0</v>
      </c>
      <c r="CU727" s="346">
        <f t="shared" si="1025"/>
        <v>0</v>
      </c>
      <c r="CV727" s="346">
        <f t="shared" si="1025"/>
        <v>0</v>
      </c>
      <c r="CW727" s="346">
        <f t="shared" si="1025"/>
        <v>0</v>
      </c>
      <c r="CX727" s="346">
        <f t="shared" si="1025"/>
        <v>0</v>
      </c>
      <c r="CY727" s="346">
        <f t="shared" si="1025"/>
        <v>0</v>
      </c>
      <c r="CZ727" s="346">
        <f t="shared" si="1025"/>
        <v>0</v>
      </c>
      <c r="DA727" s="346">
        <f t="shared" si="1025"/>
        <v>0</v>
      </c>
      <c r="DB727" s="1479">
        <f t="shared" si="1025"/>
        <v>0</v>
      </c>
      <c r="DC727" s="346">
        <f t="shared" si="1025"/>
        <v>0</v>
      </c>
      <c r="DD727" s="346">
        <f t="shared" si="1025"/>
        <v>0</v>
      </c>
      <c r="DE727" s="346">
        <f t="shared" si="1025"/>
        <v>0</v>
      </c>
      <c r="DF727" s="346">
        <f t="shared" si="1025"/>
        <v>0</v>
      </c>
      <c r="DG727" s="346">
        <f t="shared" si="1025"/>
        <v>0</v>
      </c>
      <c r="DH727" s="346">
        <f t="shared" si="1025"/>
        <v>0</v>
      </c>
      <c r="DI727" s="346">
        <f t="shared" si="1025"/>
        <v>0</v>
      </c>
      <c r="DJ727" s="346">
        <f t="shared" si="1025"/>
        <v>0</v>
      </c>
      <c r="DK727" s="346">
        <f t="shared" ref="DK727:EP727" si="1026">DK368</f>
        <v>0</v>
      </c>
      <c r="DL727" s="346">
        <f t="shared" si="1026"/>
        <v>0</v>
      </c>
      <c r="DM727" s="346">
        <f t="shared" si="1026"/>
        <v>0</v>
      </c>
      <c r="DN727" s="348">
        <f t="shared" si="1026"/>
        <v>0</v>
      </c>
      <c r="DO727" s="346">
        <f t="shared" si="1026"/>
        <v>0</v>
      </c>
      <c r="DP727" s="346">
        <f t="shared" si="1026"/>
        <v>0</v>
      </c>
      <c r="DQ727" s="346">
        <f t="shared" si="1026"/>
        <v>0</v>
      </c>
      <c r="DR727" s="346">
        <f t="shared" si="1026"/>
        <v>0</v>
      </c>
      <c r="DS727" s="346">
        <f t="shared" si="1026"/>
        <v>0</v>
      </c>
      <c r="DT727" s="346">
        <f t="shared" si="1026"/>
        <v>0</v>
      </c>
      <c r="DU727" s="346">
        <f t="shared" si="1026"/>
        <v>0</v>
      </c>
      <c r="DV727" s="346">
        <f t="shared" si="1026"/>
        <v>0</v>
      </c>
      <c r="DW727" s="346">
        <f t="shared" si="1026"/>
        <v>0</v>
      </c>
      <c r="DX727" s="346">
        <f t="shared" si="1026"/>
        <v>0</v>
      </c>
      <c r="DY727" s="346">
        <f t="shared" si="1026"/>
        <v>0</v>
      </c>
      <c r="DZ727" s="348">
        <f t="shared" si="1026"/>
        <v>0</v>
      </c>
      <c r="EA727" s="346">
        <f t="shared" si="1026"/>
        <v>0</v>
      </c>
      <c r="EB727" s="346">
        <f t="shared" si="1026"/>
        <v>0</v>
      </c>
      <c r="EC727" s="346">
        <f t="shared" si="1026"/>
        <v>0</v>
      </c>
      <c r="ED727" s="346">
        <f t="shared" si="1026"/>
        <v>0</v>
      </c>
      <c r="EE727" s="346">
        <f t="shared" si="1026"/>
        <v>0</v>
      </c>
      <c r="EF727" s="346">
        <f t="shared" si="1026"/>
        <v>0</v>
      </c>
      <c r="EG727" s="346">
        <f t="shared" si="1026"/>
        <v>0</v>
      </c>
      <c r="EH727" s="346">
        <f t="shared" si="1026"/>
        <v>0</v>
      </c>
      <c r="EI727" s="346">
        <f t="shared" si="1026"/>
        <v>0</v>
      </c>
      <c r="EJ727" s="346">
        <f t="shared" si="1026"/>
        <v>0</v>
      </c>
      <c r="EK727" s="346">
        <f t="shared" si="1026"/>
        <v>0</v>
      </c>
      <c r="EL727" s="348">
        <f t="shared" si="1026"/>
        <v>0</v>
      </c>
      <c r="EM727" s="346">
        <f t="shared" si="1026"/>
        <v>0</v>
      </c>
      <c r="EN727" s="346">
        <f t="shared" si="1026"/>
        <v>0</v>
      </c>
      <c r="EO727" s="346">
        <f t="shared" si="1026"/>
        <v>0</v>
      </c>
      <c r="EP727" s="346">
        <f t="shared" si="1026"/>
        <v>0</v>
      </c>
      <c r="EQ727" s="346">
        <f t="shared" ref="EQ727:FP727" si="1027">EQ368</f>
        <v>0</v>
      </c>
      <c r="ER727" s="346">
        <f t="shared" si="1027"/>
        <v>0</v>
      </c>
      <c r="ES727" s="346">
        <f t="shared" si="1027"/>
        <v>0</v>
      </c>
      <c r="ET727" s="346">
        <f t="shared" si="1027"/>
        <v>0</v>
      </c>
      <c r="EU727" s="346">
        <f t="shared" si="1027"/>
        <v>0</v>
      </c>
      <c r="EV727" s="346">
        <f t="shared" si="1027"/>
        <v>0</v>
      </c>
      <c r="EW727" s="346">
        <f t="shared" si="1027"/>
        <v>0</v>
      </c>
      <c r="EX727" s="348">
        <f t="shared" si="1027"/>
        <v>0</v>
      </c>
      <c r="EY727" s="346">
        <f t="shared" si="1027"/>
        <v>0</v>
      </c>
      <c r="EZ727" s="346">
        <f t="shared" si="1027"/>
        <v>0</v>
      </c>
      <c r="FA727" s="346">
        <f t="shared" si="1027"/>
        <v>0</v>
      </c>
      <c r="FB727" s="346">
        <f t="shared" si="1027"/>
        <v>0</v>
      </c>
      <c r="FC727" s="346">
        <f t="shared" si="1027"/>
        <v>0</v>
      </c>
      <c r="FD727" s="346">
        <f t="shared" si="1027"/>
        <v>0</v>
      </c>
      <c r="FE727" s="346">
        <f t="shared" si="1027"/>
        <v>0</v>
      </c>
      <c r="FF727" s="346">
        <f t="shared" si="1027"/>
        <v>0</v>
      </c>
      <c r="FG727" s="346">
        <f t="shared" si="1027"/>
        <v>0</v>
      </c>
      <c r="FH727" s="346">
        <f t="shared" si="1027"/>
        <v>0</v>
      </c>
      <c r="FI727" s="346">
        <f t="shared" si="1027"/>
        <v>0</v>
      </c>
      <c r="FJ727" s="348">
        <f t="shared" si="1027"/>
        <v>0</v>
      </c>
      <c r="FK727" s="346">
        <f t="shared" si="1027"/>
        <v>0</v>
      </c>
      <c r="FL727" s="346">
        <f t="shared" si="1027"/>
        <v>0</v>
      </c>
      <c r="FM727" s="346">
        <f t="shared" si="1027"/>
        <v>0</v>
      </c>
      <c r="FN727" s="346">
        <f t="shared" si="1027"/>
        <v>0</v>
      </c>
      <c r="FO727" s="346">
        <f t="shared" si="1027"/>
        <v>0</v>
      </c>
      <c r="FP727" s="346">
        <f t="shared" si="1027"/>
        <v>0</v>
      </c>
      <c r="FQ727" s="346">
        <f t="shared" si="1024"/>
        <v>0</v>
      </c>
      <c r="FR727" s="346">
        <f t="shared" si="1024"/>
        <v>0</v>
      </c>
      <c r="FS727" s="346">
        <f t="shared" si="1024"/>
        <v>0</v>
      </c>
      <c r="FT727" s="346">
        <f t="shared" si="1024"/>
        <v>0</v>
      </c>
      <c r="FU727" s="346">
        <f t="shared" si="1024"/>
        <v>0</v>
      </c>
      <c r="FV727" s="346">
        <f t="shared" si="1024"/>
        <v>0</v>
      </c>
      <c r="FW727" s="346">
        <v>0</v>
      </c>
      <c r="FX727" s="346">
        <v>0</v>
      </c>
      <c r="FY727" s="346">
        <v>0</v>
      </c>
      <c r="FZ727" s="346">
        <v>0</v>
      </c>
      <c r="GA727" s="346">
        <v>0</v>
      </c>
      <c r="GB727" s="346">
        <v>0</v>
      </c>
      <c r="GC727" s="346">
        <v>0</v>
      </c>
      <c r="GD727" s="346">
        <v>0</v>
      </c>
      <c r="GE727" s="346">
        <v>0</v>
      </c>
      <c r="GF727" s="346">
        <v>0</v>
      </c>
      <c r="GG727" s="346">
        <v>0</v>
      </c>
      <c r="GH727" s="346">
        <v>0</v>
      </c>
      <c r="GI727" s="346">
        <v>0</v>
      </c>
      <c r="GJ727" s="346">
        <v>0</v>
      </c>
      <c r="GK727" s="346">
        <v>0</v>
      </c>
      <c r="GL727" s="346">
        <v>0</v>
      </c>
      <c r="GM727" s="346">
        <v>0</v>
      </c>
      <c r="GN727" s="346">
        <v>0</v>
      </c>
      <c r="GO727" s="346">
        <v>0</v>
      </c>
      <c r="GP727" s="346">
        <v>0</v>
      </c>
      <c r="GQ727" s="346">
        <v>0</v>
      </c>
      <c r="GR727" s="346">
        <v>0</v>
      </c>
      <c r="GS727" s="346">
        <v>0</v>
      </c>
      <c r="GT727" s="346">
        <v>0</v>
      </c>
      <c r="GU727" s="346">
        <v>0</v>
      </c>
      <c r="GV727" s="346">
        <v>0</v>
      </c>
      <c r="GW727" s="346">
        <v>0</v>
      </c>
      <c r="GX727" s="346">
        <v>0</v>
      </c>
      <c r="GY727" s="346">
        <v>0</v>
      </c>
      <c r="GZ727" s="346">
        <v>0</v>
      </c>
      <c r="HA727" s="346">
        <v>0</v>
      </c>
      <c r="HB727" s="346">
        <v>0</v>
      </c>
      <c r="HC727" s="346">
        <v>0</v>
      </c>
      <c r="HD727" s="346">
        <v>0</v>
      </c>
      <c r="HE727" s="346">
        <v>0</v>
      </c>
      <c r="HF727" s="346">
        <v>0</v>
      </c>
      <c r="HG727" s="346">
        <v>0</v>
      </c>
      <c r="HH727" s="346">
        <v>0</v>
      </c>
      <c r="HI727" s="346">
        <v>0</v>
      </c>
      <c r="HJ727" s="346">
        <v>0</v>
      </c>
      <c r="HK727" s="346">
        <v>0</v>
      </c>
      <c r="HL727" s="346">
        <v>0</v>
      </c>
      <c r="HM727" s="346"/>
      <c r="HN727" s="349"/>
      <c r="HO727" s="1439" t="s">
        <v>538</v>
      </c>
      <c r="HP727" s="307">
        <f>SUM(CE727:CJ727)</f>
        <v>0</v>
      </c>
      <c r="HQ727" s="302">
        <f>SUM(CK727:CP727)</f>
        <v>0</v>
      </c>
      <c r="HR727" s="346">
        <f t="shared" si="698"/>
        <v>0</v>
      </c>
      <c r="HS727" s="302">
        <f>SUM(CQ727:CV727)</f>
        <v>0</v>
      </c>
      <c r="HT727" s="302">
        <f>SUM(CW727:DB727)</f>
        <v>0</v>
      </c>
      <c r="HU727" s="346">
        <f t="shared" si="678"/>
        <v>0</v>
      </c>
      <c r="HV727" s="307">
        <f>SUM(DC727:DH727)</f>
        <v>0</v>
      </c>
      <c r="HW727" s="302">
        <f>SUM(DI727:DN727)</f>
        <v>0</v>
      </c>
      <c r="HX727" s="346">
        <f t="shared" si="679"/>
        <v>0</v>
      </c>
      <c r="HY727" s="350">
        <f>SUM(DO727:DT727)</f>
        <v>0</v>
      </c>
      <c r="HZ727" s="302">
        <f>SUM(DU727:DZ727)</f>
        <v>0</v>
      </c>
      <c r="IA727" s="346">
        <f t="shared" si="680"/>
        <v>0</v>
      </c>
      <c r="IB727" s="302">
        <f>SUM(EA727:EF727)</f>
        <v>0</v>
      </c>
      <c r="IC727" s="302">
        <f>SUM(EG727:EL727)</f>
        <v>0</v>
      </c>
      <c r="ID727" s="346">
        <f t="shared" si="681"/>
        <v>0</v>
      </c>
      <c r="IE727" s="350">
        <f>SUM(EM727:ER727)</f>
        <v>0</v>
      </c>
      <c r="IF727" s="350">
        <f>SUM(ES727:EX727)</f>
        <v>0</v>
      </c>
      <c r="IG727" s="346">
        <f t="shared" si="682"/>
        <v>0</v>
      </c>
      <c r="IH727" s="350">
        <f>SUM(EY727:FD727)</f>
        <v>0</v>
      </c>
      <c r="II727" s="350">
        <f>SUM(FE727:FJ727)</f>
        <v>0</v>
      </c>
      <c r="IJ727" s="346">
        <f t="shared" si="683"/>
        <v>0</v>
      </c>
      <c r="IK727" s="350">
        <f>SUM(FK727:FP727)</f>
        <v>0</v>
      </c>
      <c r="IL727" s="350">
        <f t="shared" si="993"/>
        <v>0</v>
      </c>
      <c r="IM727" s="346">
        <f t="shared" si="684"/>
        <v>0</v>
      </c>
      <c r="IN727" s="350">
        <f t="shared" si="865"/>
        <v>0</v>
      </c>
      <c r="IO727" s="350">
        <f t="shared" si="866"/>
        <v>0</v>
      </c>
      <c r="IP727" s="346">
        <f t="shared" si="685"/>
        <v>0</v>
      </c>
      <c r="IQ727" s="350">
        <f t="shared" si="867"/>
        <v>0</v>
      </c>
      <c r="IR727" s="350">
        <f t="shared" si="868"/>
        <v>0</v>
      </c>
      <c r="IS727" s="346">
        <f t="shared" si="686"/>
        <v>0</v>
      </c>
      <c r="IT727" s="350">
        <f>SUM(GU727:GZ727)</f>
        <v>0</v>
      </c>
      <c r="IU727" s="350">
        <f t="shared" si="986"/>
        <v>0</v>
      </c>
      <c r="IV727" s="346">
        <f t="shared" si="1020"/>
        <v>0</v>
      </c>
      <c r="IW727" s="350">
        <f t="shared" si="700"/>
        <v>0</v>
      </c>
      <c r="IX727" s="350">
        <f t="shared" si="688"/>
        <v>0</v>
      </c>
      <c r="IY727" s="346">
        <f>FISC!AJ1049</f>
        <v>0</v>
      </c>
      <c r="IZ727" s="350">
        <v>0</v>
      </c>
      <c r="JA727" s="302">
        <f t="shared" si="689"/>
        <v>0</v>
      </c>
      <c r="JB727" s="346">
        <f>FISC!AK1049</f>
        <v>0</v>
      </c>
      <c r="JC727" s="350">
        <v>0</v>
      </c>
      <c r="JD727" s="302">
        <f>JE727-JC727</f>
        <v>0</v>
      </c>
      <c r="JE727" s="346">
        <f>FISC!AL1049</f>
        <v>0</v>
      </c>
      <c r="JF727" s="350">
        <v>0</v>
      </c>
      <c r="JG727" s="302">
        <f>JH727-JF727</f>
        <v>0</v>
      </c>
      <c r="JH727" s="346">
        <f>FISC!AM1049</f>
        <v>0</v>
      </c>
      <c r="JI727" s="350">
        <v>0</v>
      </c>
      <c r="JJ727" s="302">
        <f>JK727-JI727</f>
        <v>0</v>
      </c>
      <c r="JK727" s="346">
        <f>FISC!AN1049</f>
        <v>0</v>
      </c>
      <c r="JL727" s="350">
        <v>0</v>
      </c>
      <c r="JM727" s="302">
        <f>JN727-JL727</f>
        <v>0</v>
      </c>
      <c r="JN727" s="346">
        <f>FISC!AO1049</f>
        <v>0</v>
      </c>
      <c r="KI727" s="349"/>
      <c r="KJ727" s="350"/>
    </row>
    <row r="728" spans="1:302" hidden="1" outlineLevel="1">
      <c r="A728" s="302"/>
      <c r="D728" s="1439" t="s">
        <v>539</v>
      </c>
      <c r="E728" s="346"/>
      <c r="F728" s="346"/>
      <c r="G728" s="346"/>
      <c r="H728" s="346"/>
      <c r="I728" s="346"/>
      <c r="J728" s="346"/>
      <c r="K728" s="346"/>
      <c r="L728" s="346"/>
      <c r="M728" s="346"/>
      <c r="N728" s="346"/>
      <c r="O728" s="346"/>
      <c r="P728" s="346"/>
      <c r="Q728" s="346"/>
      <c r="R728" s="346"/>
      <c r="S728" s="346"/>
      <c r="T728" s="346"/>
      <c r="U728" s="346"/>
      <c r="V728" s="346"/>
      <c r="W728" s="346"/>
      <c r="X728" s="346"/>
      <c r="Y728" s="346"/>
      <c r="Z728" s="346"/>
      <c r="AA728" s="346"/>
      <c r="AB728" s="346"/>
      <c r="AC728" s="346"/>
      <c r="AD728" s="346"/>
      <c r="AE728" s="346"/>
      <c r="AF728" s="346"/>
      <c r="AG728" s="346"/>
      <c r="AH728" s="346"/>
      <c r="AI728" s="346"/>
      <c r="AJ728" s="346"/>
      <c r="AK728" s="346"/>
      <c r="AL728" s="346"/>
      <c r="AM728" s="346"/>
      <c r="AN728" s="346"/>
      <c r="AO728" s="346"/>
      <c r="AP728" s="346"/>
      <c r="AQ728" s="346"/>
      <c r="AR728" s="346"/>
      <c r="AS728" s="346"/>
      <c r="AT728" s="346"/>
      <c r="AU728" s="346"/>
      <c r="AV728" s="346"/>
      <c r="AW728" s="346"/>
      <c r="AX728" s="346"/>
      <c r="AY728" s="346"/>
      <c r="AZ728" s="346"/>
      <c r="BA728" s="346"/>
      <c r="BB728" s="346"/>
      <c r="BC728" s="346"/>
      <c r="BD728" s="346"/>
      <c r="BE728" s="346"/>
      <c r="BF728" s="346"/>
      <c r="BG728" s="346"/>
      <c r="BH728" s="346"/>
      <c r="BI728" s="346"/>
      <c r="BJ728" s="346"/>
      <c r="BK728" s="346"/>
      <c r="BL728" s="346"/>
      <c r="BM728" s="346"/>
      <c r="BN728" s="346"/>
      <c r="BO728" s="346"/>
      <c r="BP728" s="346"/>
      <c r="BQ728" s="346"/>
      <c r="BR728" s="346"/>
      <c r="BS728" s="346"/>
      <c r="BT728" s="346"/>
      <c r="BU728" s="346"/>
      <c r="BV728" s="346"/>
      <c r="BW728" s="346"/>
      <c r="BX728" s="346"/>
      <c r="BY728" s="346"/>
      <c r="BZ728" s="346"/>
      <c r="CA728" s="346"/>
      <c r="CB728" s="346"/>
      <c r="CC728" s="346"/>
      <c r="CD728" s="352"/>
      <c r="CE728" s="346">
        <f t="shared" ref="CE728:DJ728" si="1028">CE369</f>
        <v>0</v>
      </c>
      <c r="CF728" s="346">
        <f t="shared" si="1028"/>
        <v>0</v>
      </c>
      <c r="CG728" s="346">
        <f t="shared" si="1028"/>
        <v>0</v>
      </c>
      <c r="CH728" s="346">
        <f t="shared" si="1028"/>
        <v>0</v>
      </c>
      <c r="CI728" s="346">
        <f t="shared" si="1028"/>
        <v>0</v>
      </c>
      <c r="CJ728" s="346">
        <f t="shared" si="1028"/>
        <v>0</v>
      </c>
      <c r="CK728" s="346">
        <f t="shared" si="1028"/>
        <v>0</v>
      </c>
      <c r="CL728" s="346">
        <f t="shared" si="1028"/>
        <v>0</v>
      </c>
      <c r="CM728" s="346">
        <f t="shared" si="1028"/>
        <v>0</v>
      </c>
      <c r="CN728" s="346">
        <f t="shared" si="1028"/>
        <v>0</v>
      </c>
      <c r="CO728" s="346">
        <f t="shared" si="1028"/>
        <v>0</v>
      </c>
      <c r="CP728" s="348">
        <f t="shared" si="1028"/>
        <v>0</v>
      </c>
      <c r="CQ728" s="346">
        <f t="shared" si="1028"/>
        <v>0</v>
      </c>
      <c r="CR728" s="346">
        <f t="shared" si="1028"/>
        <v>0</v>
      </c>
      <c r="CS728" s="346">
        <f t="shared" si="1028"/>
        <v>0</v>
      </c>
      <c r="CT728" s="346">
        <f t="shared" si="1028"/>
        <v>0</v>
      </c>
      <c r="CU728" s="346">
        <f t="shared" si="1028"/>
        <v>0</v>
      </c>
      <c r="CV728" s="346">
        <f t="shared" si="1028"/>
        <v>0</v>
      </c>
      <c r="CW728" s="346">
        <f t="shared" si="1028"/>
        <v>0</v>
      </c>
      <c r="CX728" s="346">
        <f t="shared" si="1028"/>
        <v>0</v>
      </c>
      <c r="CY728" s="346">
        <f t="shared" si="1028"/>
        <v>0</v>
      </c>
      <c r="CZ728" s="346">
        <f t="shared" si="1028"/>
        <v>0</v>
      </c>
      <c r="DA728" s="346">
        <f t="shared" si="1028"/>
        <v>0</v>
      </c>
      <c r="DB728" s="1479">
        <f t="shared" si="1028"/>
        <v>0</v>
      </c>
      <c r="DC728" s="346">
        <f t="shared" si="1028"/>
        <v>0</v>
      </c>
      <c r="DD728" s="346">
        <f t="shared" si="1028"/>
        <v>0</v>
      </c>
      <c r="DE728" s="346">
        <f t="shared" si="1028"/>
        <v>0</v>
      </c>
      <c r="DF728" s="346">
        <f t="shared" si="1028"/>
        <v>0</v>
      </c>
      <c r="DG728" s="346">
        <f t="shared" si="1028"/>
        <v>0</v>
      </c>
      <c r="DH728" s="346">
        <f t="shared" si="1028"/>
        <v>0</v>
      </c>
      <c r="DI728" s="346">
        <f t="shared" si="1028"/>
        <v>0</v>
      </c>
      <c r="DJ728" s="346">
        <f t="shared" si="1028"/>
        <v>0</v>
      </c>
      <c r="DK728" s="346">
        <f t="shared" ref="DK728:EP728" si="1029">DK369</f>
        <v>0</v>
      </c>
      <c r="DL728" s="346">
        <f t="shared" si="1029"/>
        <v>0</v>
      </c>
      <c r="DM728" s="346">
        <f t="shared" si="1029"/>
        <v>0</v>
      </c>
      <c r="DN728" s="348">
        <f t="shared" si="1029"/>
        <v>0</v>
      </c>
      <c r="DO728" s="346">
        <f t="shared" si="1029"/>
        <v>0</v>
      </c>
      <c r="DP728" s="346">
        <f t="shared" si="1029"/>
        <v>0</v>
      </c>
      <c r="DQ728" s="346">
        <f t="shared" si="1029"/>
        <v>0</v>
      </c>
      <c r="DR728" s="346">
        <f t="shared" si="1029"/>
        <v>0</v>
      </c>
      <c r="DS728" s="346">
        <f t="shared" si="1029"/>
        <v>0</v>
      </c>
      <c r="DT728" s="346">
        <f t="shared" si="1029"/>
        <v>0</v>
      </c>
      <c r="DU728" s="346">
        <f t="shared" si="1029"/>
        <v>0</v>
      </c>
      <c r="DV728" s="346">
        <f t="shared" si="1029"/>
        <v>0</v>
      </c>
      <c r="DW728" s="346">
        <f t="shared" si="1029"/>
        <v>0</v>
      </c>
      <c r="DX728" s="346">
        <f t="shared" si="1029"/>
        <v>0</v>
      </c>
      <c r="DY728" s="346">
        <f t="shared" si="1029"/>
        <v>0</v>
      </c>
      <c r="DZ728" s="348">
        <f t="shared" si="1029"/>
        <v>0</v>
      </c>
      <c r="EA728" s="346">
        <f t="shared" si="1029"/>
        <v>0</v>
      </c>
      <c r="EB728" s="346">
        <f t="shared" si="1029"/>
        <v>0</v>
      </c>
      <c r="EC728" s="346">
        <f t="shared" si="1029"/>
        <v>0</v>
      </c>
      <c r="ED728" s="346">
        <f t="shared" si="1029"/>
        <v>0</v>
      </c>
      <c r="EE728" s="346">
        <f t="shared" si="1029"/>
        <v>0</v>
      </c>
      <c r="EF728" s="346">
        <f t="shared" si="1029"/>
        <v>0</v>
      </c>
      <c r="EG728" s="346">
        <f t="shared" si="1029"/>
        <v>0</v>
      </c>
      <c r="EH728" s="346">
        <f t="shared" si="1029"/>
        <v>0</v>
      </c>
      <c r="EI728" s="346">
        <f t="shared" si="1029"/>
        <v>0</v>
      </c>
      <c r="EJ728" s="346">
        <f t="shared" si="1029"/>
        <v>0</v>
      </c>
      <c r="EK728" s="346">
        <f t="shared" si="1029"/>
        <v>0</v>
      </c>
      <c r="EL728" s="348">
        <f t="shared" si="1029"/>
        <v>0</v>
      </c>
      <c r="EM728" s="346">
        <f t="shared" si="1029"/>
        <v>0</v>
      </c>
      <c r="EN728" s="346">
        <f t="shared" si="1029"/>
        <v>0</v>
      </c>
      <c r="EO728" s="346">
        <f t="shared" si="1029"/>
        <v>0</v>
      </c>
      <c r="EP728" s="346">
        <f t="shared" si="1029"/>
        <v>0</v>
      </c>
      <c r="EQ728" s="346">
        <f t="shared" ref="EQ728:FP728" si="1030">EQ369</f>
        <v>0</v>
      </c>
      <c r="ER728" s="346">
        <f t="shared" si="1030"/>
        <v>0</v>
      </c>
      <c r="ES728" s="346">
        <f t="shared" si="1030"/>
        <v>0</v>
      </c>
      <c r="ET728" s="346">
        <f t="shared" si="1030"/>
        <v>0</v>
      </c>
      <c r="EU728" s="346">
        <f t="shared" si="1030"/>
        <v>0</v>
      </c>
      <c r="EV728" s="346">
        <f t="shared" si="1030"/>
        <v>0</v>
      </c>
      <c r="EW728" s="346">
        <f t="shared" si="1030"/>
        <v>0</v>
      </c>
      <c r="EX728" s="348">
        <f t="shared" si="1030"/>
        <v>0</v>
      </c>
      <c r="EY728" s="346">
        <f t="shared" si="1030"/>
        <v>0</v>
      </c>
      <c r="EZ728" s="346">
        <f t="shared" si="1030"/>
        <v>0</v>
      </c>
      <c r="FA728" s="346">
        <f t="shared" si="1030"/>
        <v>0</v>
      </c>
      <c r="FB728" s="346">
        <f t="shared" si="1030"/>
        <v>0</v>
      </c>
      <c r="FC728" s="346">
        <f t="shared" si="1030"/>
        <v>0</v>
      </c>
      <c r="FD728" s="346">
        <f t="shared" si="1030"/>
        <v>0</v>
      </c>
      <c r="FE728" s="346">
        <f t="shared" si="1030"/>
        <v>0</v>
      </c>
      <c r="FF728" s="346">
        <f t="shared" si="1030"/>
        <v>0</v>
      </c>
      <c r="FG728" s="346">
        <f t="shared" si="1030"/>
        <v>0</v>
      </c>
      <c r="FH728" s="346">
        <f t="shared" si="1030"/>
        <v>0</v>
      </c>
      <c r="FI728" s="346">
        <f t="shared" si="1030"/>
        <v>0</v>
      </c>
      <c r="FJ728" s="348">
        <f t="shared" si="1030"/>
        <v>0</v>
      </c>
      <c r="FK728" s="346">
        <f t="shared" si="1030"/>
        <v>0</v>
      </c>
      <c r="FL728" s="346">
        <f t="shared" si="1030"/>
        <v>0</v>
      </c>
      <c r="FM728" s="346">
        <f t="shared" si="1030"/>
        <v>0</v>
      </c>
      <c r="FN728" s="346">
        <f t="shared" si="1030"/>
        <v>0</v>
      </c>
      <c r="FO728" s="346">
        <f t="shared" si="1030"/>
        <v>0</v>
      </c>
      <c r="FP728" s="346">
        <f t="shared" si="1030"/>
        <v>0</v>
      </c>
      <c r="FQ728" s="346">
        <f t="shared" si="1024"/>
        <v>0</v>
      </c>
      <c r="FR728" s="346">
        <f t="shared" si="1024"/>
        <v>0</v>
      </c>
      <c r="FS728" s="346">
        <f t="shared" si="1024"/>
        <v>0</v>
      </c>
      <c r="FT728" s="346">
        <f t="shared" si="1024"/>
        <v>0</v>
      </c>
      <c r="FU728" s="346">
        <f t="shared" si="1024"/>
        <v>0</v>
      </c>
      <c r="FV728" s="346">
        <f t="shared" si="1024"/>
        <v>0</v>
      </c>
      <c r="FW728" s="346">
        <v>0</v>
      </c>
      <c r="FX728" s="346">
        <v>0</v>
      </c>
      <c r="FY728" s="346">
        <v>0</v>
      </c>
      <c r="FZ728" s="346">
        <v>0</v>
      </c>
      <c r="GA728" s="346">
        <v>0</v>
      </c>
      <c r="GB728" s="346">
        <v>0</v>
      </c>
      <c r="GC728" s="346">
        <v>0</v>
      </c>
      <c r="GD728" s="346">
        <v>0</v>
      </c>
      <c r="GE728" s="346">
        <v>0</v>
      </c>
      <c r="GF728" s="346">
        <v>0</v>
      </c>
      <c r="GG728" s="346">
        <v>0</v>
      </c>
      <c r="GH728" s="346">
        <v>0</v>
      </c>
      <c r="GI728" s="346">
        <v>0</v>
      </c>
      <c r="GJ728" s="346">
        <v>0</v>
      </c>
      <c r="GK728" s="346">
        <v>0</v>
      </c>
      <c r="GL728" s="346">
        <v>0</v>
      </c>
      <c r="GM728" s="346">
        <v>0</v>
      </c>
      <c r="GN728" s="346">
        <v>0</v>
      </c>
      <c r="GO728" s="346">
        <v>0</v>
      </c>
      <c r="GP728" s="346">
        <v>0</v>
      </c>
      <c r="GQ728" s="346">
        <v>0</v>
      </c>
      <c r="GR728" s="346">
        <v>0</v>
      </c>
      <c r="GS728" s="346">
        <v>0</v>
      </c>
      <c r="GT728" s="346">
        <v>0</v>
      </c>
      <c r="GU728" s="346">
        <v>0</v>
      </c>
      <c r="GV728" s="346">
        <v>0</v>
      </c>
      <c r="GW728" s="346">
        <v>0</v>
      </c>
      <c r="GX728" s="346">
        <v>0</v>
      </c>
      <c r="GY728" s="346">
        <v>0</v>
      </c>
      <c r="GZ728" s="346">
        <v>0</v>
      </c>
      <c r="HA728" s="346">
        <v>0</v>
      </c>
      <c r="HB728" s="346">
        <v>0</v>
      </c>
      <c r="HC728" s="346">
        <v>0</v>
      </c>
      <c r="HD728" s="346">
        <v>0</v>
      </c>
      <c r="HE728" s="346">
        <v>0</v>
      </c>
      <c r="HF728" s="346">
        <v>0</v>
      </c>
      <c r="HG728" s="346">
        <v>0</v>
      </c>
      <c r="HH728" s="346">
        <v>0</v>
      </c>
      <c r="HI728" s="346">
        <v>0</v>
      </c>
      <c r="HJ728" s="346">
        <v>0</v>
      </c>
      <c r="HK728" s="346">
        <v>0</v>
      </c>
      <c r="HL728" s="346">
        <v>0</v>
      </c>
      <c r="HM728" s="346"/>
      <c r="HN728" s="349"/>
      <c r="HO728" s="1439" t="s">
        <v>539</v>
      </c>
      <c r="HP728" s="307">
        <f>SUM(CE728:CJ728)</f>
        <v>0</v>
      </c>
      <c r="HQ728" s="302">
        <f>SUM(CK728:CP728)</f>
        <v>0</v>
      </c>
      <c r="HR728" s="346">
        <f t="shared" si="698"/>
        <v>0</v>
      </c>
      <c r="HS728" s="302">
        <f>SUM(CQ728:CV728)</f>
        <v>0</v>
      </c>
      <c r="HT728" s="302">
        <f>SUM(CW728:DB728)</f>
        <v>0</v>
      </c>
      <c r="HU728" s="346">
        <f t="shared" si="678"/>
        <v>0</v>
      </c>
      <c r="HV728" s="307">
        <f>SUM(DC728:DH728)</f>
        <v>0</v>
      </c>
      <c r="HW728" s="302">
        <f>SUM(DI728:DN728)</f>
        <v>0</v>
      </c>
      <c r="HX728" s="346">
        <f t="shared" si="679"/>
        <v>0</v>
      </c>
      <c r="HY728" s="350">
        <f>SUM(DO728:DT728)</f>
        <v>0</v>
      </c>
      <c r="HZ728" s="302">
        <f>SUM(DU728:DZ728)</f>
        <v>0</v>
      </c>
      <c r="IA728" s="346">
        <f t="shared" si="680"/>
        <v>0</v>
      </c>
      <c r="IB728" s="302">
        <f>SUM(EA728:EF728)</f>
        <v>0</v>
      </c>
      <c r="IC728" s="302">
        <f>SUM(EG728:EL728)</f>
        <v>0</v>
      </c>
      <c r="ID728" s="346">
        <f t="shared" si="681"/>
        <v>0</v>
      </c>
      <c r="IE728" s="350">
        <f>SUM(EM728:ER728)</f>
        <v>0</v>
      </c>
      <c r="IF728" s="350">
        <f>SUM(ES728:EX728)</f>
        <v>0</v>
      </c>
      <c r="IG728" s="346">
        <f t="shared" si="682"/>
        <v>0</v>
      </c>
      <c r="IH728" s="350">
        <f>SUM(EY728:FD728)</f>
        <v>0</v>
      </c>
      <c r="II728" s="350">
        <f>SUM(FE728:FJ728)</f>
        <v>0</v>
      </c>
      <c r="IJ728" s="346">
        <f t="shared" si="683"/>
        <v>0</v>
      </c>
      <c r="IK728" s="350">
        <f>SUM(FK728:FP728)</f>
        <v>0</v>
      </c>
      <c r="IL728" s="350">
        <f t="shared" si="993"/>
        <v>0</v>
      </c>
      <c r="IM728" s="346">
        <f>IK728+IL728</f>
        <v>0</v>
      </c>
      <c r="IN728" s="350">
        <f t="shared" si="865"/>
        <v>0</v>
      </c>
      <c r="IO728" s="350">
        <f t="shared" si="866"/>
        <v>0</v>
      </c>
      <c r="IP728" s="346">
        <f t="shared" si="685"/>
        <v>0</v>
      </c>
      <c r="IQ728" s="350">
        <f t="shared" si="867"/>
        <v>0</v>
      </c>
      <c r="IR728" s="350">
        <f t="shared" si="868"/>
        <v>0</v>
      </c>
      <c r="IS728" s="346">
        <f t="shared" si="686"/>
        <v>0</v>
      </c>
      <c r="IT728" s="350">
        <f>SUM(GU728:GZ728)</f>
        <v>0</v>
      </c>
      <c r="IU728" s="350">
        <f t="shared" si="986"/>
        <v>0</v>
      </c>
      <c r="IV728" s="346">
        <f t="shared" si="1020"/>
        <v>0</v>
      </c>
      <c r="IW728" s="350">
        <f t="shared" si="700"/>
        <v>0</v>
      </c>
      <c r="IX728" s="350">
        <f t="shared" si="688"/>
        <v>0</v>
      </c>
      <c r="IY728" s="346">
        <f>FISC!AJ1050</f>
        <v>0</v>
      </c>
      <c r="IZ728" s="350">
        <v>0</v>
      </c>
      <c r="JA728" s="302">
        <f t="shared" si="689"/>
        <v>0</v>
      </c>
      <c r="JB728" s="346">
        <f>FISC!AK1050</f>
        <v>0</v>
      </c>
      <c r="JC728" s="350">
        <v>0</v>
      </c>
      <c r="JD728" s="302">
        <f>JE728-JC728</f>
        <v>0</v>
      </c>
      <c r="JE728" s="346">
        <f>FISC!AL1050</f>
        <v>0</v>
      </c>
      <c r="JF728" s="350">
        <v>0</v>
      </c>
      <c r="JG728" s="302">
        <f>JH728-JF728</f>
        <v>0</v>
      </c>
      <c r="JH728" s="346">
        <f>FISC!AM1050</f>
        <v>0</v>
      </c>
      <c r="JI728" s="350">
        <v>0</v>
      </c>
      <c r="JJ728" s="302">
        <f>JK728-JI728</f>
        <v>0</v>
      </c>
      <c r="JK728" s="346">
        <f>FISC!AN1050</f>
        <v>0</v>
      </c>
      <c r="JL728" s="350">
        <v>0</v>
      </c>
      <c r="JM728" s="302">
        <f>JN728-JL728</f>
        <v>0</v>
      </c>
      <c r="JN728" s="346">
        <f>FISC!AO1050</f>
        <v>0</v>
      </c>
      <c r="KI728" s="349"/>
      <c r="KJ728" s="350"/>
    </row>
    <row r="729" spans="1:302" hidden="1" outlineLevel="1">
      <c r="A729" s="302"/>
      <c r="D729" s="1719" t="s">
        <v>3187</v>
      </c>
      <c r="E729" s="346"/>
      <c r="F729" s="346"/>
      <c r="G729" s="346"/>
      <c r="H729" s="346"/>
      <c r="I729" s="346"/>
      <c r="J729" s="346"/>
      <c r="K729" s="346"/>
      <c r="L729" s="346"/>
      <c r="M729" s="346"/>
      <c r="N729" s="346"/>
      <c r="O729" s="346"/>
      <c r="P729" s="346"/>
      <c r="Q729" s="346"/>
      <c r="R729" s="346"/>
      <c r="S729" s="346"/>
      <c r="T729" s="346"/>
      <c r="U729" s="346"/>
      <c r="V729" s="346"/>
      <c r="W729" s="346"/>
      <c r="X729" s="346"/>
      <c r="Y729" s="346"/>
      <c r="Z729" s="346"/>
      <c r="AA729" s="346"/>
      <c r="AB729" s="346"/>
      <c r="AC729" s="346"/>
      <c r="AD729" s="346"/>
      <c r="AE729" s="346"/>
      <c r="AF729" s="346"/>
      <c r="AG729" s="346"/>
      <c r="AH729" s="346"/>
      <c r="AI729" s="346"/>
      <c r="AJ729" s="346"/>
      <c r="AK729" s="346"/>
      <c r="AL729" s="346"/>
      <c r="AM729" s="346"/>
      <c r="AN729" s="346"/>
      <c r="AO729" s="346"/>
      <c r="AP729" s="346"/>
      <c r="AQ729" s="346"/>
      <c r="AR729" s="346"/>
      <c r="AS729" s="346"/>
      <c r="AT729" s="346"/>
      <c r="AU729" s="346"/>
      <c r="AV729" s="346"/>
      <c r="AW729" s="346"/>
      <c r="AX729" s="346"/>
      <c r="AY729" s="346"/>
      <c r="AZ729" s="346"/>
      <c r="BA729" s="346"/>
      <c r="BB729" s="346"/>
      <c r="BC729" s="346"/>
      <c r="BD729" s="346"/>
      <c r="BE729" s="346"/>
      <c r="BF729" s="346"/>
      <c r="BG729" s="346"/>
      <c r="BH729" s="346"/>
      <c r="BI729" s="346"/>
      <c r="BJ729" s="346"/>
      <c r="BK729" s="346"/>
      <c r="BL729" s="346"/>
      <c r="BM729" s="346"/>
      <c r="BN729" s="346"/>
      <c r="BO729" s="346"/>
      <c r="BP729" s="346"/>
      <c r="BQ729" s="346"/>
      <c r="BR729" s="346"/>
      <c r="BS729" s="346"/>
      <c r="BT729" s="346"/>
      <c r="BU729" s="346"/>
      <c r="BV729" s="346"/>
      <c r="BW729" s="346"/>
      <c r="BX729" s="346"/>
      <c r="BY729" s="346"/>
      <c r="BZ729" s="346"/>
      <c r="CA729" s="346"/>
      <c r="CB729" s="346"/>
      <c r="CC729" s="346"/>
      <c r="CD729" s="352"/>
      <c r="CE729" s="346"/>
      <c r="CF729" s="346"/>
      <c r="CG729" s="346"/>
      <c r="CH729" s="346"/>
      <c r="CI729" s="346"/>
      <c r="CJ729" s="346"/>
      <c r="CK729" s="346"/>
      <c r="CL729" s="346"/>
      <c r="CM729" s="346"/>
      <c r="CN729" s="346"/>
      <c r="CO729" s="346"/>
      <c r="CP729" s="348"/>
      <c r="CQ729" s="346"/>
      <c r="CR729" s="346"/>
      <c r="CS729" s="346"/>
      <c r="CT729" s="346"/>
      <c r="CU729" s="346"/>
      <c r="CV729" s="346"/>
      <c r="CW729" s="346"/>
      <c r="CX729" s="346"/>
      <c r="CY729" s="346"/>
      <c r="CZ729" s="346"/>
      <c r="DA729" s="346"/>
      <c r="DB729" s="1479"/>
      <c r="DC729" s="346"/>
      <c r="DD729" s="346"/>
      <c r="DE729" s="346"/>
      <c r="DF729" s="346"/>
      <c r="DG729" s="346"/>
      <c r="DH729" s="346"/>
      <c r="DI729" s="346"/>
      <c r="DJ729" s="346"/>
      <c r="DK729" s="346"/>
      <c r="DL729" s="346"/>
      <c r="DM729" s="346"/>
      <c r="DN729" s="348"/>
      <c r="DO729" s="346"/>
      <c r="DP729" s="346"/>
      <c r="DQ729" s="346"/>
      <c r="DR729" s="346"/>
      <c r="DS729" s="346"/>
      <c r="DT729" s="346"/>
      <c r="DU729" s="346"/>
      <c r="DV729" s="346"/>
      <c r="DW729" s="346"/>
      <c r="DX729" s="346"/>
      <c r="DY729" s="346"/>
      <c r="DZ729" s="348"/>
      <c r="EA729" s="346"/>
      <c r="EB729" s="346"/>
      <c r="EC729" s="346"/>
      <c r="ED729" s="346"/>
      <c r="EE729" s="346"/>
      <c r="EF729" s="346"/>
      <c r="EG729" s="346"/>
      <c r="EH729" s="346"/>
      <c r="EI729" s="346"/>
      <c r="EJ729" s="346"/>
      <c r="EK729" s="346"/>
      <c r="EL729" s="348"/>
      <c r="EM729" s="346"/>
      <c r="EN729" s="346"/>
      <c r="EO729" s="346"/>
      <c r="EP729" s="346"/>
      <c r="EQ729" s="346"/>
      <c r="ER729" s="346"/>
      <c r="ES729" s="346"/>
      <c r="ET729" s="346"/>
      <c r="EU729" s="346"/>
      <c r="EV729" s="346"/>
      <c r="EW729" s="346"/>
      <c r="EX729" s="348"/>
      <c r="EY729" s="346"/>
      <c r="EZ729" s="346"/>
      <c r="FA729" s="346"/>
      <c r="FB729" s="346"/>
      <c r="FC729" s="346"/>
      <c r="FD729" s="346"/>
      <c r="FE729" s="346"/>
      <c r="FF729" s="346"/>
      <c r="FG729" s="346"/>
      <c r="FH729" s="346"/>
      <c r="FI729" s="346"/>
      <c r="FJ729" s="348"/>
      <c r="FK729" s="346"/>
      <c r="FL729" s="346"/>
      <c r="FM729" s="346"/>
      <c r="FN729" s="346"/>
      <c r="FO729" s="346"/>
      <c r="FP729" s="346"/>
      <c r="FQ729" s="346"/>
      <c r="FR729" s="346"/>
      <c r="FS729" s="346"/>
      <c r="FT729" s="346"/>
      <c r="FU729" s="346"/>
      <c r="FV729" s="346"/>
      <c r="FW729" s="346">
        <v>0</v>
      </c>
      <c r="FX729" s="346">
        <v>0</v>
      </c>
      <c r="FY729" s="346">
        <v>0</v>
      </c>
      <c r="FZ729" s="346">
        <v>0</v>
      </c>
      <c r="GA729" s="346">
        <v>0</v>
      </c>
      <c r="GB729" s="346">
        <v>0</v>
      </c>
      <c r="GC729" s="346">
        <v>0</v>
      </c>
      <c r="GD729" s="346">
        <v>0</v>
      </c>
      <c r="GE729" s="346">
        <v>0</v>
      </c>
      <c r="GF729" s="346">
        <v>0</v>
      </c>
      <c r="GG729" s="346">
        <v>0</v>
      </c>
      <c r="GH729" s="346">
        <v>0</v>
      </c>
      <c r="GI729" s="346">
        <v>0</v>
      </c>
      <c r="GJ729" s="346">
        <v>0</v>
      </c>
      <c r="GK729" s="346">
        <v>0</v>
      </c>
      <c r="GL729" s="346">
        <v>0</v>
      </c>
      <c r="GM729" s="346">
        <v>0</v>
      </c>
      <c r="GN729" s="346">
        <v>0</v>
      </c>
      <c r="GO729" s="346">
        <v>0</v>
      </c>
      <c r="GP729" s="346">
        <v>0</v>
      </c>
      <c r="GQ729" s="346">
        <v>0</v>
      </c>
      <c r="GR729" s="346">
        <v>0</v>
      </c>
      <c r="GS729" s="346">
        <v>0</v>
      </c>
      <c r="GT729" s="346">
        <v>0</v>
      </c>
      <c r="GU729" s="346">
        <v>0</v>
      </c>
      <c r="GV729" s="346">
        <v>0</v>
      </c>
      <c r="GW729" s="346">
        <v>0</v>
      </c>
      <c r="GX729" s="346">
        <v>0</v>
      </c>
      <c r="GY729" s="346">
        <v>0</v>
      </c>
      <c r="GZ729" s="346">
        <v>0</v>
      </c>
      <c r="HA729" s="346">
        <v>0</v>
      </c>
      <c r="HB729" s="346">
        <v>0</v>
      </c>
      <c r="HC729" s="346">
        <v>0</v>
      </c>
      <c r="HD729" s="346">
        <v>0</v>
      </c>
      <c r="HE729" s="346">
        <v>0</v>
      </c>
      <c r="HF729" s="346">
        <v>0</v>
      </c>
      <c r="HG729" s="346">
        <v>0</v>
      </c>
      <c r="HH729" s="346">
        <v>0</v>
      </c>
      <c r="HI729" s="346">
        <v>0</v>
      </c>
      <c r="HJ729" s="346">
        <v>0</v>
      </c>
      <c r="HK729" s="346">
        <v>0</v>
      </c>
      <c r="HL729" s="346">
        <v>0</v>
      </c>
      <c r="HM729" s="346"/>
      <c r="HN729" s="349"/>
      <c r="HO729" s="1719" t="s">
        <v>3187</v>
      </c>
      <c r="HP729" s="307"/>
      <c r="HR729" s="346"/>
      <c r="HU729" s="346"/>
      <c r="HV729" s="307"/>
      <c r="HX729" s="346"/>
      <c r="HY729" s="350"/>
      <c r="IA729" s="346"/>
      <c r="ID729" s="346"/>
      <c r="IE729" s="350"/>
      <c r="IF729" s="350"/>
      <c r="IG729" s="346"/>
      <c r="IH729" s="350">
        <v>0</v>
      </c>
      <c r="II729" s="350">
        <v>0</v>
      </c>
      <c r="IJ729" s="346">
        <f t="shared" si="683"/>
        <v>0</v>
      </c>
      <c r="IK729" s="350">
        <v>0</v>
      </c>
      <c r="IL729" s="350">
        <f t="shared" si="993"/>
        <v>0</v>
      </c>
      <c r="IM729" s="346">
        <f t="shared" si="684"/>
        <v>0</v>
      </c>
      <c r="IN729" s="350">
        <f t="shared" si="865"/>
        <v>0</v>
      </c>
      <c r="IO729" s="350">
        <f t="shared" si="866"/>
        <v>0</v>
      </c>
      <c r="IP729" s="346">
        <f t="shared" si="685"/>
        <v>0</v>
      </c>
      <c r="IQ729" s="350">
        <f t="shared" si="867"/>
        <v>0</v>
      </c>
      <c r="IR729" s="350">
        <f t="shared" si="868"/>
        <v>0</v>
      </c>
      <c r="IS729" s="346">
        <f t="shared" si="686"/>
        <v>0</v>
      </c>
      <c r="IT729" s="350">
        <f>SUM(GU729:GZ729)</f>
        <v>0</v>
      </c>
      <c r="IU729" s="350">
        <f t="shared" si="986"/>
        <v>0</v>
      </c>
      <c r="IV729" s="346">
        <f t="shared" si="1020"/>
        <v>0</v>
      </c>
      <c r="IW729" s="350">
        <f t="shared" si="700"/>
        <v>0</v>
      </c>
      <c r="IX729" s="350">
        <f t="shared" si="688"/>
        <v>0</v>
      </c>
      <c r="IY729" s="346">
        <f>FISC!AJ1051</f>
        <v>0</v>
      </c>
      <c r="IZ729" s="350">
        <f>FISC!AJ105*FISC!AK253/1000</f>
        <v>0</v>
      </c>
      <c r="JA729" s="350">
        <f>FISC!AK97*FISC!AK253/1000</f>
        <v>0</v>
      </c>
      <c r="JB729" s="346">
        <f>FISC!AK1051</f>
        <v>0</v>
      </c>
      <c r="JC729" s="350">
        <f>FISC!AK105*FISC!AL253/1000</f>
        <v>32.153703751920332</v>
      </c>
      <c r="JD729" s="350">
        <f>FISC!AL97*FISC!AL253/1000</f>
        <v>32.153703751920332</v>
      </c>
      <c r="JE729" s="346">
        <f>FISC!AL1051</f>
        <v>64.307407503840665</v>
      </c>
      <c r="JF729" s="302">
        <f>FISC!AL105*FISC!AM253/1000</f>
        <v>51.424179321483031</v>
      </c>
      <c r="JG729" s="302">
        <f>JH729-JF729</f>
        <v>51.424179321483031</v>
      </c>
      <c r="JH729" s="346">
        <f>FISC!AM1051</f>
        <v>102.84835864296606</v>
      </c>
      <c r="JI729" s="302">
        <f>FISC!AM105*FISC!AN253/1000</f>
        <v>72.446799483835008</v>
      </c>
      <c r="JJ729" s="302">
        <f>JK729-JI729</f>
        <v>54.335099612876263</v>
      </c>
      <c r="JK729" s="346">
        <f>FISC!AN1051</f>
        <v>126.78189909671127</v>
      </c>
      <c r="JL729" s="302">
        <f>FISC!AN105*FISC!AO253/1000</f>
        <v>75.613964529135089</v>
      </c>
      <c r="JM729" s="302">
        <f>JN729-JL729</f>
        <v>94.517455661418879</v>
      </c>
      <c r="JN729" s="346">
        <f>FISC!AO1051</f>
        <v>170.13142019055397</v>
      </c>
      <c r="KI729" s="349"/>
      <c r="KJ729" s="350"/>
    </row>
    <row r="730" spans="1:302" hidden="1" outlineLevel="1">
      <c r="A730" s="302"/>
      <c r="B730" s="117" t="s">
        <v>361</v>
      </c>
      <c r="D730" s="354" t="s">
        <v>542</v>
      </c>
      <c r="E730" s="346">
        <f t="shared" ref="E730:BP730" si="1031">SUM(E731:E753)</f>
        <v>0</v>
      </c>
      <c r="F730" s="346">
        <f t="shared" si="1031"/>
        <v>0</v>
      </c>
      <c r="G730" s="346">
        <f t="shared" si="1031"/>
        <v>0</v>
      </c>
      <c r="H730" s="346">
        <f t="shared" si="1031"/>
        <v>0</v>
      </c>
      <c r="I730" s="346">
        <f t="shared" si="1031"/>
        <v>0</v>
      </c>
      <c r="J730" s="346">
        <f t="shared" si="1031"/>
        <v>0</v>
      </c>
      <c r="K730" s="346">
        <f t="shared" si="1031"/>
        <v>0</v>
      </c>
      <c r="L730" s="346">
        <f t="shared" si="1031"/>
        <v>0</v>
      </c>
      <c r="M730" s="346">
        <f t="shared" si="1031"/>
        <v>0</v>
      </c>
      <c r="N730" s="346">
        <f t="shared" si="1031"/>
        <v>0</v>
      </c>
      <c r="O730" s="346">
        <f t="shared" si="1031"/>
        <v>0</v>
      </c>
      <c r="P730" s="346">
        <f t="shared" si="1031"/>
        <v>0</v>
      </c>
      <c r="Q730" s="346">
        <f t="shared" si="1031"/>
        <v>0</v>
      </c>
      <c r="R730" s="346">
        <f t="shared" si="1031"/>
        <v>0</v>
      </c>
      <c r="S730" s="346">
        <f t="shared" si="1031"/>
        <v>0</v>
      </c>
      <c r="T730" s="346">
        <f t="shared" si="1031"/>
        <v>0</v>
      </c>
      <c r="U730" s="346">
        <f t="shared" si="1031"/>
        <v>0</v>
      </c>
      <c r="V730" s="346">
        <f t="shared" si="1031"/>
        <v>0</v>
      </c>
      <c r="W730" s="346">
        <f t="shared" si="1031"/>
        <v>0</v>
      </c>
      <c r="X730" s="346">
        <f t="shared" si="1031"/>
        <v>0</v>
      </c>
      <c r="Y730" s="346">
        <f t="shared" si="1031"/>
        <v>0</v>
      </c>
      <c r="Z730" s="346">
        <f t="shared" si="1031"/>
        <v>0</v>
      </c>
      <c r="AA730" s="346">
        <f t="shared" si="1031"/>
        <v>0</v>
      </c>
      <c r="AB730" s="346">
        <f t="shared" si="1031"/>
        <v>0</v>
      </c>
      <c r="AC730" s="346">
        <f t="shared" si="1031"/>
        <v>0</v>
      </c>
      <c r="AD730" s="346">
        <f t="shared" si="1031"/>
        <v>0</v>
      </c>
      <c r="AE730" s="346">
        <f t="shared" si="1031"/>
        <v>0</v>
      </c>
      <c r="AF730" s="346">
        <f t="shared" si="1031"/>
        <v>0</v>
      </c>
      <c r="AG730" s="346">
        <f t="shared" si="1031"/>
        <v>0</v>
      </c>
      <c r="AH730" s="346">
        <f t="shared" si="1031"/>
        <v>0</v>
      </c>
      <c r="AI730" s="346">
        <f t="shared" si="1031"/>
        <v>0</v>
      </c>
      <c r="AJ730" s="346">
        <f t="shared" si="1031"/>
        <v>0</v>
      </c>
      <c r="AK730" s="346">
        <f t="shared" si="1031"/>
        <v>0</v>
      </c>
      <c r="AL730" s="346">
        <f t="shared" si="1031"/>
        <v>0</v>
      </c>
      <c r="AM730" s="346">
        <f t="shared" si="1031"/>
        <v>0</v>
      </c>
      <c r="AN730" s="346">
        <f t="shared" si="1031"/>
        <v>0</v>
      </c>
      <c r="AO730" s="346">
        <f t="shared" si="1031"/>
        <v>0.73677144149999996</v>
      </c>
      <c r="AP730" s="346">
        <f t="shared" si="1031"/>
        <v>0.87022344689999998</v>
      </c>
      <c r="AQ730" s="346">
        <f t="shared" si="1031"/>
        <v>1.2205197695000001</v>
      </c>
      <c r="AR730" s="346">
        <f t="shared" si="1031"/>
        <v>11.218997224387699</v>
      </c>
      <c r="AS730" s="346">
        <f t="shared" si="1031"/>
        <v>1.1459010598400001</v>
      </c>
      <c r="AT730" s="346">
        <f t="shared" si="1031"/>
        <v>13.439773997560001</v>
      </c>
      <c r="AU730" s="346">
        <f t="shared" si="1031"/>
        <v>1.3793941121</v>
      </c>
      <c r="AV730" s="346">
        <f t="shared" si="1031"/>
        <v>1.3463665591</v>
      </c>
      <c r="AW730" s="346">
        <f t="shared" si="1031"/>
        <v>2.7954608421350797</v>
      </c>
      <c r="AX730" s="346">
        <f t="shared" si="1031"/>
        <v>12.463194194551081</v>
      </c>
      <c r="AY730" s="346">
        <f t="shared" si="1031"/>
        <v>2.8796825043380001</v>
      </c>
      <c r="AZ730" s="346">
        <f t="shared" si="1031"/>
        <v>12.240232727716002</v>
      </c>
      <c r="BA730" s="346">
        <f t="shared" si="1031"/>
        <v>1.6134195004136</v>
      </c>
      <c r="BB730" s="346">
        <f t="shared" si="1031"/>
        <v>1.5360832911</v>
      </c>
      <c r="BC730" s="346">
        <f t="shared" si="1031"/>
        <v>1.6732264774500001</v>
      </c>
      <c r="BD730" s="346">
        <f t="shared" si="1031"/>
        <v>14.741944910921598</v>
      </c>
      <c r="BE730" s="346">
        <f t="shared" si="1031"/>
        <v>2.0575662368063701</v>
      </c>
      <c r="BF730" s="346">
        <f t="shared" si="1031"/>
        <v>13.797079441020001</v>
      </c>
      <c r="BG730" s="346">
        <f t="shared" si="1031"/>
        <v>1.0195078205658223</v>
      </c>
      <c r="BH730" s="346">
        <f t="shared" si="1031"/>
        <v>1.0814504231915532</v>
      </c>
      <c r="BI730" s="346">
        <f t="shared" si="1031"/>
        <v>1.3832592429894861</v>
      </c>
      <c r="BJ730" s="346">
        <f t="shared" si="1031"/>
        <v>14.99119513133029</v>
      </c>
      <c r="BK730" s="346">
        <f t="shared" si="1031"/>
        <v>1.8934237770492439</v>
      </c>
      <c r="BL730" s="346">
        <f t="shared" si="1031"/>
        <v>13.954147275184809</v>
      </c>
      <c r="BM730" s="346">
        <f t="shared" si="1031"/>
        <v>1.7886043891709966</v>
      </c>
      <c r="BN730" s="346">
        <f t="shared" si="1031"/>
        <v>1.5941371205182304</v>
      </c>
      <c r="BO730" s="346">
        <f t="shared" si="1031"/>
        <v>14.094322102162641</v>
      </c>
      <c r="BP730" s="346">
        <f t="shared" si="1031"/>
        <v>1.8087952032119421</v>
      </c>
      <c r="BQ730" s="346">
        <f t="shared" ref="BQ730:CD730" si="1032">SUM(BQ731:BQ753)</f>
        <v>1.9733735562058536</v>
      </c>
      <c r="BR730" s="346">
        <f t="shared" si="1032"/>
        <v>14.585566951660402</v>
      </c>
      <c r="BS730" s="346">
        <f t="shared" si="1032"/>
        <v>5.5705372722639872</v>
      </c>
      <c r="BT730" s="346">
        <f t="shared" si="1032"/>
        <v>3.2445956032393015</v>
      </c>
      <c r="BU730" s="346">
        <f t="shared" si="1032"/>
        <v>3.1190568878314879</v>
      </c>
      <c r="BV730" s="346">
        <f t="shared" si="1032"/>
        <v>19.028217306632374</v>
      </c>
      <c r="BW730" s="346">
        <f t="shared" si="1032"/>
        <v>3.3744569585588167</v>
      </c>
      <c r="BX730" s="346">
        <f t="shared" si="1032"/>
        <v>16.720974450205173</v>
      </c>
      <c r="BY730" s="346">
        <f t="shared" si="1032"/>
        <v>4.2109300315163303</v>
      </c>
      <c r="BZ730" s="346">
        <f t="shared" si="1032"/>
        <v>4.3588513318034314</v>
      </c>
      <c r="CA730" s="346">
        <f t="shared" si="1032"/>
        <v>20.355346801990287</v>
      </c>
      <c r="CB730" s="346">
        <f t="shared" si="1032"/>
        <v>5.8428300556804622</v>
      </c>
      <c r="CC730" s="346">
        <f t="shared" si="1032"/>
        <v>7.4380672993229435</v>
      </c>
      <c r="CD730" s="352">
        <f t="shared" si="1032"/>
        <v>17.444373388980807</v>
      </c>
      <c r="CE730" s="346">
        <f>CE731+CE737+CE747+CE749+CE753</f>
        <v>3.773602833097268</v>
      </c>
      <c r="CF730" s="346">
        <f t="shared" ref="CF730:EQ730" si="1033">CF731+CF737+CF747+CF749+CF753</f>
        <v>7.8182821325727847</v>
      </c>
      <c r="CG730" s="346">
        <f t="shared" si="1033"/>
        <v>3.6104804731934399</v>
      </c>
      <c r="CH730" s="346">
        <f t="shared" si="1033"/>
        <v>28.03934679175023</v>
      </c>
      <c r="CI730" s="346">
        <f t="shared" si="1033"/>
        <v>4.8661733910247236</v>
      </c>
      <c r="CJ730" s="346">
        <f t="shared" si="1033"/>
        <v>18.075482076032799</v>
      </c>
      <c r="CK730" s="346">
        <f t="shared" si="1033"/>
        <v>3.7769396770250454</v>
      </c>
      <c r="CL730" s="346">
        <f t="shared" si="1033"/>
        <v>6.7874119777830728</v>
      </c>
      <c r="CM730" s="346">
        <f t="shared" si="1033"/>
        <v>23.460303531456216</v>
      </c>
      <c r="CN730" s="346">
        <f t="shared" si="1033"/>
        <v>4.2418208646173605</v>
      </c>
      <c r="CO730" s="346">
        <f t="shared" si="1033"/>
        <v>5.9256209439995917</v>
      </c>
      <c r="CP730" s="348">
        <f t="shared" si="1033"/>
        <v>26.10459214491987</v>
      </c>
      <c r="CQ730" s="346">
        <f t="shared" si="1033"/>
        <v>3.3418364696999996</v>
      </c>
      <c r="CR730" s="346">
        <f t="shared" si="1033"/>
        <v>6.5449263030962497</v>
      </c>
      <c r="CS730" s="346">
        <f t="shared" si="1033"/>
        <v>7.5501068364899995</v>
      </c>
      <c r="CT730" s="346">
        <f t="shared" si="1033"/>
        <v>16.261565968536868</v>
      </c>
      <c r="CU730" s="346">
        <f t="shared" si="1033"/>
        <v>4.6290882605947905</v>
      </c>
      <c r="CV730" s="346">
        <f t="shared" si="1033"/>
        <v>21.655439408825746</v>
      </c>
      <c r="CW730" s="346">
        <f t="shared" si="1033"/>
        <v>6.7834283947911951</v>
      </c>
      <c r="CX730" s="346">
        <f t="shared" si="1033"/>
        <v>4.1981558905599998</v>
      </c>
      <c r="CY730" s="346">
        <f t="shared" si="1033"/>
        <v>43.364985725967856</v>
      </c>
      <c r="CZ730" s="346">
        <f t="shared" si="1033"/>
        <v>23.622884144488452</v>
      </c>
      <c r="DA730" s="346">
        <f t="shared" si="1033"/>
        <v>7.0054394432192941</v>
      </c>
      <c r="DB730" s="1479">
        <f t="shared" si="1033"/>
        <v>27.583656393924237</v>
      </c>
      <c r="DC730" s="346">
        <f t="shared" si="1033"/>
        <v>3.2357062895308539</v>
      </c>
      <c r="DD730" s="346">
        <f t="shared" si="1033"/>
        <v>2.2745306210000003</v>
      </c>
      <c r="DE730" s="346">
        <f t="shared" si="1033"/>
        <v>13.538169391189323</v>
      </c>
      <c r="DF730" s="346">
        <f t="shared" si="1033"/>
        <v>25.970255474577556</v>
      </c>
      <c r="DG730" s="346">
        <f t="shared" si="1033"/>
        <v>2.9217145880000004</v>
      </c>
      <c r="DH730" s="346">
        <f t="shared" si="1033"/>
        <v>28.899659217306308</v>
      </c>
      <c r="DI730" s="346">
        <f t="shared" si="1033"/>
        <v>4.8783868162208952</v>
      </c>
      <c r="DJ730" s="346">
        <f t="shared" si="1033"/>
        <v>5.1171349970333324</v>
      </c>
      <c r="DK730" s="346">
        <f t="shared" si="1033"/>
        <v>39.458440578257921</v>
      </c>
      <c r="DL730" s="346">
        <f t="shared" si="1033"/>
        <v>5.5982327768414768</v>
      </c>
      <c r="DM730" s="346">
        <f t="shared" si="1033"/>
        <v>5.6733429452304431</v>
      </c>
      <c r="DN730" s="348">
        <f t="shared" si="1033"/>
        <v>30.030674571258462</v>
      </c>
      <c r="DO730" s="346">
        <f t="shared" si="1033"/>
        <v>5.864405474916901</v>
      </c>
      <c r="DP730" s="346">
        <f t="shared" si="1033"/>
        <v>6.8378481926238717</v>
      </c>
      <c r="DQ730" s="346">
        <f t="shared" si="1033"/>
        <v>37.116546520512699</v>
      </c>
      <c r="DR730" s="346">
        <f t="shared" si="1033"/>
        <v>12.081748573901143</v>
      </c>
      <c r="DS730" s="346">
        <f t="shared" si="1033"/>
        <v>7.3360024290356769</v>
      </c>
      <c r="DT730" s="346">
        <f t="shared" si="1033"/>
        <v>43.014089080394044</v>
      </c>
      <c r="DU730" s="346">
        <f t="shared" si="1033"/>
        <v>8.1547782268997402</v>
      </c>
      <c r="DV730" s="346">
        <f t="shared" si="1033"/>
        <v>7.0820522524339884</v>
      </c>
      <c r="DW730" s="346">
        <f t="shared" si="1033"/>
        <v>40.098563240539136</v>
      </c>
      <c r="DX730" s="346">
        <f t="shared" si="1033"/>
        <v>8.3576268002064005</v>
      </c>
      <c r="DY730" s="346">
        <f t="shared" si="1033"/>
        <v>9.8554637964104632</v>
      </c>
      <c r="DZ730" s="348">
        <f t="shared" si="1033"/>
        <v>47.360164741347774</v>
      </c>
      <c r="EA730" s="346">
        <f t="shared" si="1033"/>
        <v>7.2527547036434381</v>
      </c>
      <c r="EB730" s="346">
        <f t="shared" si="1033"/>
        <v>6.5318750234620744</v>
      </c>
      <c r="EC730" s="346">
        <f t="shared" si="1033"/>
        <v>26.858247887388359</v>
      </c>
      <c r="ED730" s="346">
        <f t="shared" si="1033"/>
        <v>28.721351107820574</v>
      </c>
      <c r="EE730" s="346">
        <f t="shared" si="1033"/>
        <v>8.5077782517982019</v>
      </c>
      <c r="EF730" s="346">
        <f t="shared" si="1033"/>
        <v>53.531702429578104</v>
      </c>
      <c r="EG730" s="346">
        <f t="shared" si="1033"/>
        <v>11.12780800442701</v>
      </c>
      <c r="EH730" s="346">
        <f t="shared" si="1033"/>
        <v>7.7831734905389149</v>
      </c>
      <c r="EI730" s="346">
        <f t="shared" si="1033"/>
        <v>23.500836516834458</v>
      </c>
      <c r="EJ730" s="346">
        <f t="shared" si="1033"/>
        <v>36.536083130647825</v>
      </c>
      <c r="EK730" s="346">
        <f t="shared" si="1033"/>
        <v>17.833473760482146</v>
      </c>
      <c r="EL730" s="348">
        <f t="shared" si="1033"/>
        <v>34.345229155187425</v>
      </c>
      <c r="EM730" s="346">
        <f t="shared" si="1033"/>
        <v>7.4888774369999993</v>
      </c>
      <c r="EN730" s="346">
        <f t="shared" si="1033"/>
        <v>40.843009521381404</v>
      </c>
      <c r="EO730" s="346">
        <f t="shared" si="1033"/>
        <v>46.785923167361609</v>
      </c>
      <c r="EP730" s="346">
        <f t="shared" si="1033"/>
        <v>18.55738308921201</v>
      </c>
      <c r="EQ730" s="346">
        <f t="shared" si="1033"/>
        <v>9.6110066193090482</v>
      </c>
      <c r="ER730" s="346">
        <f t="shared" ref="ER730:FP730" si="1034">ER731+ER737+ER747+ER749+ER753</f>
        <v>35.266688025447394</v>
      </c>
      <c r="ES730" s="346">
        <f t="shared" si="1034"/>
        <v>10.346748043999991</v>
      </c>
      <c r="ET730" s="346">
        <f t="shared" si="1034"/>
        <v>5.8391709211</v>
      </c>
      <c r="EU730" s="346">
        <f t="shared" si="1034"/>
        <v>43.662565787999995</v>
      </c>
      <c r="EV730" s="346">
        <f t="shared" si="1034"/>
        <v>16.099511322836889</v>
      </c>
      <c r="EW730" s="346">
        <f t="shared" si="1034"/>
        <v>7.045610838</v>
      </c>
      <c r="EX730" s="348">
        <f t="shared" si="1034"/>
        <v>26.208560388999999</v>
      </c>
      <c r="EY730" s="346">
        <f t="shared" si="1034"/>
        <v>9.1750337620104041</v>
      </c>
      <c r="EZ730" s="346">
        <f t="shared" si="1034"/>
        <v>21.679448522001998</v>
      </c>
      <c r="FA730" s="346">
        <f t="shared" si="1034"/>
        <v>48.108473449067887</v>
      </c>
      <c r="FB730" s="346">
        <f t="shared" si="1034"/>
        <v>41.303309647297183</v>
      </c>
      <c r="FC730" s="346">
        <f t="shared" si="1034"/>
        <v>11.81657427103638</v>
      </c>
      <c r="FD730" s="346">
        <f t="shared" si="1034"/>
        <v>41.641741794899325</v>
      </c>
      <c r="FE730" s="346">
        <f t="shared" si="1034"/>
        <v>14.735024890960016</v>
      </c>
      <c r="FF730" s="346">
        <f t="shared" si="1034"/>
        <v>9.3852508562531689</v>
      </c>
      <c r="FG730" s="346">
        <f t="shared" si="1034"/>
        <v>12.538681632529986</v>
      </c>
      <c r="FH730" s="346">
        <f t="shared" si="1034"/>
        <v>18.712704155814109</v>
      </c>
      <c r="FI730" s="346">
        <f t="shared" si="1034"/>
        <v>37.976299437211026</v>
      </c>
      <c r="FJ730" s="348">
        <f t="shared" si="1034"/>
        <v>12.722002488007465</v>
      </c>
      <c r="FK730" s="346">
        <f t="shared" si="1034"/>
        <v>8.0981259595561923</v>
      </c>
      <c r="FL730" s="346">
        <f t="shared" si="1034"/>
        <v>8.6108858428315358</v>
      </c>
      <c r="FM730" s="346">
        <f t="shared" si="1034"/>
        <v>86.909853386565914</v>
      </c>
      <c r="FN730" s="346">
        <f t="shared" si="1034"/>
        <v>27.54278671824477</v>
      </c>
      <c r="FO730" s="346">
        <f t="shared" si="1034"/>
        <v>11.169055637366844</v>
      </c>
      <c r="FP730" s="346">
        <f t="shared" si="1034"/>
        <v>67.230759273435282</v>
      </c>
      <c r="FQ730" s="346">
        <f t="shared" ref="FQ730:FV730" si="1035">FQ731+FQ737+FQ747+FQ749+FQ753</f>
        <v>10.174064402360132</v>
      </c>
      <c r="FR730" s="346">
        <f t="shared" si="1035"/>
        <v>9.5004950430328599</v>
      </c>
      <c r="FS730" s="346">
        <f t="shared" si="1035"/>
        <v>16.75108791575078</v>
      </c>
      <c r="FT730" s="346">
        <f t="shared" si="1035"/>
        <v>77.567366338390585</v>
      </c>
      <c r="FU730" s="346">
        <f t="shared" si="1035"/>
        <v>9.7849742606808618</v>
      </c>
      <c r="FV730" s="346">
        <f t="shared" si="1035"/>
        <v>52.07429201195486</v>
      </c>
      <c r="FW730" s="346">
        <v>8.3976877939031542</v>
      </c>
      <c r="FX730" s="346">
        <v>8.441170142468966</v>
      </c>
      <c r="FY730" s="346">
        <v>65.554970758750216</v>
      </c>
      <c r="FZ730" s="346">
        <v>27.739173847568807</v>
      </c>
      <c r="GA730" s="346">
        <v>57.842734102384561</v>
      </c>
      <c r="GB730" s="346">
        <v>30.421683713950962</v>
      </c>
      <c r="GC730" s="346">
        <f>15.110415030852+GC749</f>
        <v>26.179737693851997</v>
      </c>
      <c r="GD730" s="346">
        <v>46.384958962221042</v>
      </c>
      <c r="GE730" s="346">
        <v>23.136475927755605</v>
      </c>
      <c r="GF730" s="346">
        <v>29.472443897830001</v>
      </c>
      <c r="GG730" s="346">
        <v>10.466326267348695</v>
      </c>
      <c r="GH730" s="346">
        <v>67.187691652926262</v>
      </c>
      <c r="GI730" s="346">
        <f t="shared" ref="GI730:HL730" si="1036">GI731+GI737+GI747+GI749+GI753</f>
        <v>12.590526003191858</v>
      </c>
      <c r="GJ730" s="346">
        <f t="shared" si="1036"/>
        <v>12.681057377886301</v>
      </c>
      <c r="GK730" s="346">
        <f t="shared" si="1036"/>
        <v>60.163454116096645</v>
      </c>
      <c r="GL730" s="346">
        <f t="shared" si="1036"/>
        <v>16.959811841347207</v>
      </c>
      <c r="GM730" s="346">
        <f t="shared" si="1036"/>
        <v>16.763726175850447</v>
      </c>
      <c r="GN730" s="346">
        <f t="shared" si="1036"/>
        <v>67.799362869309789</v>
      </c>
      <c r="GO730" s="346">
        <f t="shared" si="1036"/>
        <v>19.205895338818436</v>
      </c>
      <c r="GP730" s="346">
        <f t="shared" si="1036"/>
        <v>16.130838637606274</v>
      </c>
      <c r="GQ730" s="346">
        <f t="shared" si="1036"/>
        <v>66.680814890480107</v>
      </c>
      <c r="GR730" s="346">
        <f t="shared" si="1036"/>
        <v>14.950413646296663</v>
      </c>
      <c r="GS730" s="346">
        <f t="shared" si="1036"/>
        <v>15.664574994576665</v>
      </c>
      <c r="GT730" s="346">
        <f t="shared" si="1036"/>
        <v>81.297665007185543</v>
      </c>
      <c r="GU730" s="346">
        <f t="shared" si="1036"/>
        <v>13.214011885146572</v>
      </c>
      <c r="GV730" s="346">
        <f t="shared" si="1036"/>
        <v>20.395870754432522</v>
      </c>
      <c r="GW730" s="346">
        <f t="shared" si="1036"/>
        <v>107.41433448584093</v>
      </c>
      <c r="GX730" s="346">
        <f t="shared" si="1036"/>
        <v>11.89728118817</v>
      </c>
      <c r="GY730" s="346">
        <f t="shared" si="1036"/>
        <v>13.508316846430001</v>
      </c>
      <c r="GZ730" s="346">
        <f t="shared" si="1036"/>
        <v>94.380821347131615</v>
      </c>
      <c r="HA730" s="346">
        <f t="shared" si="1036"/>
        <v>12.45620571672</v>
      </c>
      <c r="HB730" s="346">
        <f t="shared" si="1036"/>
        <v>19.448969497499679</v>
      </c>
      <c r="HC730" s="346">
        <f t="shared" si="1036"/>
        <v>51.51885271804791</v>
      </c>
      <c r="HD730" s="346">
        <f t="shared" si="1036"/>
        <v>47.103255782953894</v>
      </c>
      <c r="HE730" s="346">
        <f t="shared" si="1036"/>
        <v>25.458474736392294</v>
      </c>
      <c r="HF730" s="346">
        <f t="shared" si="1036"/>
        <v>43.219032775318965</v>
      </c>
      <c r="HG730" s="346">
        <f t="shared" si="1036"/>
        <v>90.19468703882589</v>
      </c>
      <c r="HH730" s="346">
        <f t="shared" si="1036"/>
        <v>12.518775859883274</v>
      </c>
      <c r="HI730" s="346">
        <f t="shared" si="1036"/>
        <v>92.218142853502783</v>
      </c>
      <c r="HJ730" s="346">
        <f t="shared" si="1036"/>
        <v>12.8345169609</v>
      </c>
      <c r="HK730" s="346">
        <f t="shared" si="1036"/>
        <v>11.02740216628</v>
      </c>
      <c r="HL730" s="346">
        <f t="shared" si="1036"/>
        <v>90.149493568346998</v>
      </c>
      <c r="HM730" s="346"/>
      <c r="HN730" s="349"/>
      <c r="HO730" s="354" t="s">
        <v>542</v>
      </c>
      <c r="HP730" s="307">
        <f t="shared" ref="HP730:HP739" si="1037">SUM(CE730:CJ730)</f>
        <v>66.183367697671244</v>
      </c>
      <c r="HQ730" s="302">
        <f t="shared" ref="HQ730:HQ739" si="1038">SUM(CK730:CP730)</f>
        <v>70.296689139801146</v>
      </c>
      <c r="HR730" s="346">
        <f t="shared" si="698"/>
        <v>136.48005683747238</v>
      </c>
      <c r="HS730" s="302">
        <f t="shared" ref="HS730:HS739" si="1039">SUM(CQ730:CV730)</f>
        <v>59.98296324724366</v>
      </c>
      <c r="HT730" s="302">
        <f t="shared" ref="HT730:HT739" si="1040">SUM(CW730:DB730)</f>
        <v>112.55854999295104</v>
      </c>
      <c r="HU730" s="346">
        <f t="shared" si="678"/>
        <v>172.54151324019472</v>
      </c>
      <c r="HV730" s="307">
        <f t="shared" ref="HV730:HV739" si="1041">SUM(DC730:DH730)</f>
        <v>76.840035581604042</v>
      </c>
      <c r="HW730" s="302">
        <f t="shared" ref="HW730:HW739" si="1042">SUM(DI730:DN730)</f>
        <v>90.756212684842538</v>
      </c>
      <c r="HX730" s="346">
        <f t="shared" si="679"/>
        <v>167.59624826644659</v>
      </c>
      <c r="HY730" s="350">
        <f t="shared" ref="HY730:HY739" si="1043">SUM(DO730:DT730)</f>
        <v>112.25064027138434</v>
      </c>
      <c r="HZ730" s="302">
        <f t="shared" ref="HZ730:HZ739" si="1044">SUM(DU730:DZ730)</f>
        <v>120.90864905783751</v>
      </c>
      <c r="IA730" s="346">
        <f t="shared" si="680"/>
        <v>233.15928932922185</v>
      </c>
      <c r="IB730" s="302">
        <f t="shared" ref="IB730:IB739" si="1045">SUM(EA730:EF730)</f>
        <v>131.40370940369075</v>
      </c>
      <c r="IC730" s="302">
        <f t="shared" ref="IC730:IC739" si="1046">SUM(EG730:EL730)</f>
        <v>131.12660405811778</v>
      </c>
      <c r="ID730" s="346">
        <f t="shared" si="681"/>
        <v>262.53031346180853</v>
      </c>
      <c r="IE730" s="350">
        <f t="shared" ref="IE730:IE739" si="1047">SUM(EM730:ER730)</f>
        <v>158.55288785971146</v>
      </c>
      <c r="IF730" s="350">
        <f t="shared" ref="IF730:IF739" si="1048">SUM(ES730:EX730)</f>
        <v>109.20216730293687</v>
      </c>
      <c r="IG730" s="346">
        <f t="shared" si="682"/>
        <v>267.75505516264832</v>
      </c>
      <c r="IH730" s="350">
        <f t="shared" ref="IH730:IH739" si="1049">SUM(EY730:FD730)</f>
        <v>173.72458144631318</v>
      </c>
      <c r="II730" s="350">
        <f t="shared" ref="II730:II739" si="1050">SUM(FE730:FJ730)</f>
        <v>106.06996346077577</v>
      </c>
      <c r="IJ730" s="346">
        <f t="shared" si="683"/>
        <v>279.79454490708895</v>
      </c>
      <c r="IK730" s="350">
        <f t="shared" ref="IK730:IK739" si="1051">SUM(FK730:FP730)</f>
        <v>209.56146681800055</v>
      </c>
      <c r="IL730" s="350">
        <f t="shared" si="993"/>
        <v>175.85227997217009</v>
      </c>
      <c r="IM730" s="346">
        <f t="shared" si="684"/>
        <v>385.41374679017065</v>
      </c>
      <c r="IN730" s="350">
        <f t="shared" ref="IN730:IN767" si="1052">SUM(FW730:GB730)</f>
        <v>198.39742035902665</v>
      </c>
      <c r="IO730" s="350">
        <f t="shared" ref="IO730:IO767" si="1053">SUM(GC730:GH730)</f>
        <v>202.82763440193361</v>
      </c>
      <c r="IP730" s="346">
        <f t="shared" si="685"/>
        <v>401.22505476096023</v>
      </c>
      <c r="IQ730" s="350">
        <f t="shared" ref="IQ730:IQ763" si="1054">SUM(GI730:GN730)</f>
        <v>186.95793838368223</v>
      </c>
      <c r="IR730" s="350">
        <f t="shared" ref="IR730:IR763" si="1055">SUM(GO730:GT730)</f>
        <v>213.9302025149637</v>
      </c>
      <c r="IS730" s="346">
        <f t="shared" si="686"/>
        <v>400.88814089864593</v>
      </c>
      <c r="IT730" s="350">
        <f>IT731+IT737+IT747+IT749+IT753</f>
        <v>260.81063650715168</v>
      </c>
      <c r="IU730" s="350">
        <f>IU731+IU737+IU747+IU749+IU753</f>
        <v>199.20479122693277</v>
      </c>
      <c r="IV730" s="346">
        <f t="shared" si="1020"/>
        <v>460.01542773408448</v>
      </c>
      <c r="IW730" s="350">
        <f t="shared" si="700"/>
        <v>308.94301844773895</v>
      </c>
      <c r="IX730" s="350">
        <f t="shared" si="688"/>
        <v>244.00473487308784</v>
      </c>
      <c r="IY730" s="346">
        <f>FISC!AJ1052</f>
        <v>552.94775332082679</v>
      </c>
      <c r="IZ730" s="350">
        <f>IZ731+IZ737+IZ747+IZ749+IZ753</f>
        <v>272.21435127329619</v>
      </c>
      <c r="JA730" s="302">
        <f t="shared" si="689"/>
        <v>272.21435127329619</v>
      </c>
      <c r="JB730" s="346">
        <f>FISC!AK1052</f>
        <v>544.42870254659238</v>
      </c>
      <c r="JC730" s="350">
        <f>JC731+JC737+JC747+JC749+JC753</f>
        <v>303.95823619365837</v>
      </c>
      <c r="JD730" s="302">
        <f t="shared" ref="JD730:JD743" si="1056">JE730-JC730</f>
        <v>303.95823619365837</v>
      </c>
      <c r="JE730" s="346">
        <f>FISC!AL1052</f>
        <v>607.91647238731673</v>
      </c>
      <c r="JF730" s="350">
        <f>JF731+JF737+JF747+JF749+JF753</f>
        <v>346.37374038914453</v>
      </c>
      <c r="JG730" s="302">
        <f t="shared" ref="JG730:JG743" si="1057">JH730-JF730</f>
        <v>346.37374038914453</v>
      </c>
      <c r="JH730" s="346">
        <f>FISC!AM1052</f>
        <v>692.74748077828906</v>
      </c>
      <c r="JI730" s="350">
        <f>JI731+JI737+JI747+JI749+JI753</f>
        <v>385.50802314137593</v>
      </c>
      <c r="JJ730" s="302">
        <f t="shared" ref="JJ730:JJ743" si="1058">JK730-JI730</f>
        <v>385.50802314137593</v>
      </c>
      <c r="JK730" s="346">
        <f>FISC!AN1052</f>
        <v>771.01604628275186</v>
      </c>
      <c r="JL730" s="350">
        <f>JL731+JL737+JL747+JL749+JL753</f>
        <v>444.94490101075536</v>
      </c>
      <c r="JM730" s="302">
        <f t="shared" ref="JM730:JM743" si="1059">JN730-JL730</f>
        <v>444.94490101075536</v>
      </c>
      <c r="JN730" s="346">
        <f>FISC!AO1052</f>
        <v>889.88980202151072</v>
      </c>
      <c r="KI730" s="349"/>
      <c r="KJ730" s="350"/>
      <c r="KM730" s="302">
        <f>SUM(KM731:KM753)</f>
        <v>0</v>
      </c>
      <c r="KN730" s="302">
        <f>SUM(KN731:KN753)</f>
        <v>0</v>
      </c>
      <c r="KO730" s="302">
        <f>SUM(KO731:KO753)</f>
        <v>0</v>
      </c>
      <c r="KP730" s="302">
        <f>SUM(KP731:KP753)</f>
        <v>0</v>
      </c>
    </row>
    <row r="731" spans="1:302" hidden="1" outlineLevel="1">
      <c r="A731" s="302"/>
      <c r="B731" s="117" t="s">
        <v>361</v>
      </c>
      <c r="D731" s="355" t="s">
        <v>543</v>
      </c>
      <c r="E731" s="346"/>
      <c r="F731" s="346"/>
      <c r="G731" s="346"/>
      <c r="H731" s="346"/>
      <c r="I731" s="346"/>
      <c r="J731" s="346"/>
      <c r="K731" s="346"/>
      <c r="L731" s="346"/>
      <c r="M731" s="346"/>
      <c r="N731" s="346"/>
      <c r="O731" s="346"/>
      <c r="P731" s="346"/>
      <c r="Q731" s="346"/>
      <c r="R731" s="346"/>
      <c r="S731" s="346"/>
      <c r="T731" s="346"/>
      <c r="U731" s="346"/>
      <c r="V731" s="346"/>
      <c r="W731" s="346"/>
      <c r="X731" s="346"/>
      <c r="Y731" s="346"/>
      <c r="Z731" s="346"/>
      <c r="AA731" s="346"/>
      <c r="AB731" s="346"/>
      <c r="AC731" s="346"/>
      <c r="AD731" s="346"/>
      <c r="AE731" s="346"/>
      <c r="AF731" s="346"/>
      <c r="AG731" s="346"/>
      <c r="AH731" s="346"/>
      <c r="AI731" s="346"/>
      <c r="AJ731" s="346"/>
      <c r="AK731" s="346"/>
      <c r="AL731" s="346"/>
      <c r="AM731" s="346"/>
      <c r="AN731" s="346"/>
      <c r="AO731" s="346">
        <v>0.154215399</v>
      </c>
      <c r="AP731" s="346">
        <v>0.165675132</v>
      </c>
      <c r="AQ731" s="346">
        <v>0.21644575699999999</v>
      </c>
      <c r="AR731" s="346">
        <v>9.7416033999999999E-2</v>
      </c>
      <c r="AS731" s="346">
        <v>0.13680968800000001</v>
      </c>
      <c r="AT731" s="346">
        <v>0.22409047600000001</v>
      </c>
      <c r="AU731" s="346">
        <v>0.310831835</v>
      </c>
      <c r="AV731" s="346">
        <v>0.20387734599999999</v>
      </c>
      <c r="AW731" s="346">
        <v>0.24274651899999999</v>
      </c>
      <c r="AX731" s="346">
        <v>0.158897132</v>
      </c>
      <c r="AY731" s="346">
        <v>0.14530776400000001</v>
      </c>
      <c r="AZ731" s="346">
        <v>0.14586431399999999</v>
      </c>
      <c r="BA731" s="346">
        <v>0.112464122</v>
      </c>
      <c r="BB731" s="346">
        <v>6.1370329000000001E-2</v>
      </c>
      <c r="BC731" s="346">
        <v>0.24344016099999999</v>
      </c>
      <c r="BD731" s="346">
        <v>6.6406132000000007E-2</v>
      </c>
      <c r="BE731" s="346">
        <v>0.121485233</v>
      </c>
      <c r="BF731" s="346">
        <v>0.29459816999999999</v>
      </c>
      <c r="BG731" s="346">
        <v>0.14374276499999999</v>
      </c>
      <c r="BH731" s="346">
        <v>5.0412472999999999E-2</v>
      </c>
      <c r="BI731" s="346">
        <v>0.119531479</v>
      </c>
      <c r="BJ731" s="346">
        <v>0.117182773</v>
      </c>
      <c r="BK731" s="346">
        <v>0.139319886</v>
      </c>
      <c r="BL731" s="346">
        <v>9.3819033999999996E-2</v>
      </c>
      <c r="BM731" s="346">
        <v>0.16605524699999999</v>
      </c>
      <c r="BN731" s="346">
        <v>0.13190608500000001</v>
      </c>
      <c r="BO731" s="346">
        <v>0.124383143</v>
      </c>
      <c r="BP731" s="346">
        <v>6.7974710999999993E-2</v>
      </c>
      <c r="BQ731" s="346">
        <v>5.0037067999999997E-2</v>
      </c>
      <c r="BR731" s="346">
        <v>7.2376399999999994E-2</v>
      </c>
      <c r="BS731" s="346">
        <v>0.52325078800000002</v>
      </c>
      <c r="BT731" s="346">
        <v>0.61815566199999994</v>
      </c>
      <c r="BU731" s="346">
        <v>0.26931280199999996</v>
      </c>
      <c r="BV731" s="346">
        <v>0.146253455</v>
      </c>
      <c r="BW731" s="346">
        <v>0.39017576100000001</v>
      </c>
      <c r="BX731" s="346">
        <v>0.31805466799999998</v>
      </c>
      <c r="BY731" s="346">
        <v>0.23199751899999999</v>
      </c>
      <c r="BZ731" s="346">
        <v>1.241697906</v>
      </c>
      <c r="CA731" s="346">
        <v>0.40994502399999999</v>
      </c>
      <c r="CB731" s="346">
        <v>0.92393205700000003</v>
      </c>
      <c r="CC731" s="346">
        <v>1.3329878239999999</v>
      </c>
      <c r="CD731" s="352">
        <v>8.6959473999999995E-2</v>
      </c>
      <c r="CE731" s="346">
        <f t="shared" ref="CE731:DJ731" si="1060">CE371</f>
        <v>0.42411765699999998</v>
      </c>
      <c r="CF731" s="346">
        <f t="shared" si="1060"/>
        <v>2.5073829549999997</v>
      </c>
      <c r="CG731" s="346">
        <f t="shared" si="1060"/>
        <v>0.49407995200000004</v>
      </c>
      <c r="CH731" s="346">
        <f t="shared" si="1060"/>
        <v>0.39170781799999999</v>
      </c>
      <c r="CI731" s="346">
        <f t="shared" si="1060"/>
        <v>0.53165609300000005</v>
      </c>
      <c r="CJ731" s="346">
        <f t="shared" si="1060"/>
        <v>0.34950223200000002</v>
      </c>
      <c r="CK731" s="346">
        <f t="shared" si="1060"/>
        <v>0.273336464</v>
      </c>
      <c r="CL731" s="346">
        <f t="shared" si="1060"/>
        <v>0.37588870600000002</v>
      </c>
      <c r="CM731" s="346">
        <f t="shared" si="1060"/>
        <v>0.27494637999999999</v>
      </c>
      <c r="CN731" s="346">
        <f t="shared" si="1060"/>
        <v>0.50402692500000001</v>
      </c>
      <c r="CO731" s="346">
        <f t="shared" si="1060"/>
        <v>0.42779299499999995</v>
      </c>
      <c r="CP731" s="348">
        <f t="shared" si="1060"/>
        <v>0.20996990900000001</v>
      </c>
      <c r="CQ731" s="346">
        <f t="shared" si="1060"/>
        <v>0.25210226200000002</v>
      </c>
      <c r="CR731" s="346">
        <f t="shared" si="1060"/>
        <v>2.6261131999999998</v>
      </c>
      <c r="CS731" s="346">
        <f t="shared" si="1060"/>
        <v>1.899018369</v>
      </c>
      <c r="CT731" s="346">
        <f t="shared" si="1060"/>
        <v>0.22562015299999999</v>
      </c>
      <c r="CU731" s="346">
        <f t="shared" si="1060"/>
        <v>0.19519945999999999</v>
      </c>
      <c r="CV731" s="346">
        <f t="shared" si="1060"/>
        <v>5.6464017999999998E-2</v>
      </c>
      <c r="CW731" s="346">
        <f t="shared" si="1060"/>
        <v>0.109400867</v>
      </c>
      <c r="CX731" s="346">
        <f t="shared" si="1060"/>
        <v>0.17085389600000001</v>
      </c>
      <c r="CY731" s="346">
        <f t="shared" si="1060"/>
        <v>0.201691177</v>
      </c>
      <c r="CZ731" s="346">
        <f t="shared" si="1060"/>
        <v>0.348341079</v>
      </c>
      <c r="DA731" s="346">
        <f t="shared" si="1060"/>
        <v>0.25666332400000003</v>
      </c>
      <c r="DB731" s="1479">
        <f t="shared" si="1060"/>
        <v>3.3604609779999999</v>
      </c>
      <c r="DC731" s="346">
        <f t="shared" si="1060"/>
        <v>0</v>
      </c>
      <c r="DD731" s="346">
        <f t="shared" si="1060"/>
        <v>0</v>
      </c>
      <c r="DE731" s="346">
        <f t="shared" si="1060"/>
        <v>0.311</v>
      </c>
      <c r="DF731" s="346">
        <f t="shared" si="1060"/>
        <v>8.0000000000000002E-3</v>
      </c>
      <c r="DG731" s="346">
        <f t="shared" si="1060"/>
        <v>0</v>
      </c>
      <c r="DH731" s="346">
        <f t="shared" si="1060"/>
        <v>0.15</v>
      </c>
      <c r="DI731" s="346">
        <f t="shared" si="1060"/>
        <v>0</v>
      </c>
      <c r="DJ731" s="346">
        <f t="shared" si="1060"/>
        <v>4.0000000000000001E-3</v>
      </c>
      <c r="DK731" s="346">
        <f t="shared" ref="DK731:EP731" si="1061">DK371</f>
        <v>0</v>
      </c>
      <c r="DL731" s="346">
        <f t="shared" si="1061"/>
        <v>0.33400000000000002</v>
      </c>
      <c r="DM731" s="346">
        <f t="shared" si="1061"/>
        <v>0</v>
      </c>
      <c r="DN731" s="348">
        <f t="shared" si="1061"/>
        <v>4.093</v>
      </c>
      <c r="DO731" s="346">
        <f t="shared" si="1061"/>
        <v>0.27275503595865902</v>
      </c>
      <c r="DP731" s="346">
        <f t="shared" si="1061"/>
        <v>0.13691573476460012</v>
      </c>
      <c r="DQ731" s="346">
        <f t="shared" si="1061"/>
        <v>0.29403610878610426</v>
      </c>
      <c r="DR731" s="346">
        <f t="shared" si="1061"/>
        <v>0.37726801619882</v>
      </c>
      <c r="DS731" s="346">
        <f t="shared" si="1061"/>
        <v>0.19325706514218965</v>
      </c>
      <c r="DT731" s="346">
        <f t="shared" si="1061"/>
        <v>0.38170584152654141</v>
      </c>
      <c r="DU731" s="346">
        <f t="shared" si="1061"/>
        <v>0.17927338428701151</v>
      </c>
      <c r="DV731" s="346">
        <f t="shared" si="1061"/>
        <v>0.3562400584501112</v>
      </c>
      <c r="DW731" s="346">
        <f t="shared" si="1061"/>
        <v>0.60798901617621515</v>
      </c>
      <c r="DX731" s="346">
        <f t="shared" si="1061"/>
        <v>0.17125279287636225</v>
      </c>
      <c r="DY731" s="346">
        <f t="shared" si="1061"/>
        <v>0.47455601938920611</v>
      </c>
      <c r="DZ731" s="348">
        <f t="shared" si="1061"/>
        <v>4.1264848004812089</v>
      </c>
      <c r="EA731" s="346">
        <f t="shared" si="1061"/>
        <v>0.99990214406361466</v>
      </c>
      <c r="EB731" s="346">
        <f t="shared" si="1061"/>
        <v>0.27852339059275361</v>
      </c>
      <c r="EC731" s="346">
        <f t="shared" si="1061"/>
        <v>0.20422662926574031</v>
      </c>
      <c r="ED731" s="346">
        <f t="shared" si="1061"/>
        <v>0.74494557809681083</v>
      </c>
      <c r="EE731" s="346">
        <f t="shared" si="1061"/>
        <v>0.63782926969350562</v>
      </c>
      <c r="EF731" s="346">
        <f t="shared" si="1061"/>
        <v>1.972298738839442</v>
      </c>
      <c r="EG731" s="346">
        <f t="shared" si="1061"/>
        <v>0.73811955136459251</v>
      </c>
      <c r="EH731" s="346">
        <f t="shared" si="1061"/>
        <v>0.38431697922910513</v>
      </c>
      <c r="EI731" s="346">
        <f t="shared" si="1061"/>
        <v>0.40575158412395818</v>
      </c>
      <c r="EJ731" s="346">
        <f t="shared" si="1061"/>
        <v>0.38080934176827952</v>
      </c>
      <c r="EK731" s="346">
        <f t="shared" si="1061"/>
        <v>0.12208876173982063</v>
      </c>
      <c r="EL731" s="348">
        <f t="shared" si="1061"/>
        <v>2.7741284554356915</v>
      </c>
      <c r="EM731" s="346">
        <f t="shared" si="1061"/>
        <v>0.446381417</v>
      </c>
      <c r="EN731" s="346">
        <f t="shared" si="1061"/>
        <v>0.37882296199999999</v>
      </c>
      <c r="EO731" s="346">
        <f t="shared" si="1061"/>
        <v>0.43899298399999997</v>
      </c>
      <c r="EP731" s="346">
        <f t="shared" si="1061"/>
        <v>0.41913514200000002</v>
      </c>
      <c r="EQ731" s="346">
        <f t="shared" ref="EQ731:FP731" si="1062">EQ371</f>
        <v>0.37956826100000002</v>
      </c>
      <c r="ER731" s="346">
        <f t="shared" si="1062"/>
        <v>0.46952987499999999</v>
      </c>
      <c r="ES731" s="346">
        <f t="shared" si="1062"/>
        <v>0.37303118600000001</v>
      </c>
      <c r="ET731" s="346">
        <f t="shared" si="1062"/>
        <v>0.39464575600000001</v>
      </c>
      <c r="EU731" s="346">
        <f t="shared" si="1062"/>
        <v>0.38522885299999998</v>
      </c>
      <c r="EV731" s="346">
        <f t="shared" si="1062"/>
        <v>0.31141468500000002</v>
      </c>
      <c r="EW731" s="346">
        <f t="shared" si="1062"/>
        <v>0.36140069600000002</v>
      </c>
      <c r="EX731" s="348">
        <f t="shared" si="1062"/>
        <v>0.37888442500000002</v>
      </c>
      <c r="EY731" s="346">
        <f t="shared" si="1062"/>
        <v>1.5790409411999997</v>
      </c>
      <c r="EZ731" s="346">
        <f t="shared" si="1062"/>
        <v>2.5435839422800002</v>
      </c>
      <c r="FA731" s="346">
        <f t="shared" si="1062"/>
        <v>2.2017863289999999</v>
      </c>
      <c r="FB731" s="346">
        <f t="shared" si="1062"/>
        <v>1.5297826892399999</v>
      </c>
      <c r="FC731" s="346">
        <f t="shared" si="1062"/>
        <v>2.7402879711199999</v>
      </c>
      <c r="FD731" s="346">
        <f t="shared" si="1062"/>
        <v>1.9113574153999999</v>
      </c>
      <c r="FE731" s="346">
        <f t="shared" si="1062"/>
        <v>1.24339174502</v>
      </c>
      <c r="FF731" s="346">
        <f t="shared" si="1062"/>
        <v>1.59248714214</v>
      </c>
      <c r="FG731" s="346">
        <f t="shared" si="1062"/>
        <v>1.7139272865199999</v>
      </c>
      <c r="FH731" s="346">
        <f t="shared" si="1062"/>
        <v>1.19660034264</v>
      </c>
      <c r="FI731" s="346">
        <f t="shared" si="1062"/>
        <v>0.80393395703999992</v>
      </c>
      <c r="FJ731" s="348">
        <f t="shared" si="1062"/>
        <v>1.2714591299400004</v>
      </c>
      <c r="FK731" s="346">
        <f t="shared" si="1062"/>
        <v>1.5928214432000001</v>
      </c>
      <c r="FL731" s="346">
        <f t="shared" si="1062"/>
        <v>1.24998923837</v>
      </c>
      <c r="FM731" s="346">
        <f t="shared" si="1062"/>
        <v>1.518097074715266</v>
      </c>
      <c r="FN731" s="346">
        <f t="shared" si="1062"/>
        <v>1.7416583268114421</v>
      </c>
      <c r="FO731" s="346">
        <f t="shared" si="1062"/>
        <v>1.1670106619498282</v>
      </c>
      <c r="FP731" s="346">
        <f t="shared" si="1062"/>
        <v>1.770644669555832</v>
      </c>
      <c r="FQ731" s="346">
        <f t="shared" ref="FQ731:FV739" si="1063">FQ371</f>
        <v>1.8155118051784016</v>
      </c>
      <c r="FR731" s="346">
        <f t="shared" si="1063"/>
        <v>2.0569109538487074</v>
      </c>
      <c r="FS731" s="346">
        <f t="shared" si="1063"/>
        <v>1.4406132151087707</v>
      </c>
      <c r="FT731" s="346">
        <f t="shared" si="1063"/>
        <v>1.4564551837749273</v>
      </c>
      <c r="FU731" s="346">
        <f t="shared" si="1063"/>
        <v>1.4431878242198071</v>
      </c>
      <c r="FV731" s="346">
        <f t="shared" si="1063"/>
        <v>2.3315102905560745</v>
      </c>
      <c r="FW731" s="346">
        <v>1.9413417945431548</v>
      </c>
      <c r="FX731" s="346">
        <v>0.93562625923935228</v>
      </c>
      <c r="FY731" s="346">
        <v>1.3737111405424205</v>
      </c>
      <c r="FZ731" s="346">
        <v>0.8299057456765998</v>
      </c>
      <c r="GA731" s="346">
        <v>0.82019962607456109</v>
      </c>
      <c r="GB731" s="346">
        <v>1.1932862675797971</v>
      </c>
      <c r="GC731" s="346">
        <v>1.0970836272819584</v>
      </c>
      <c r="GD731" s="346">
        <v>0.8630207143460058</v>
      </c>
      <c r="GE731" s="346">
        <v>0.83827016145915012</v>
      </c>
      <c r="GF731" s="346">
        <v>0.59219634099999996</v>
      </c>
      <c r="GG731" s="346">
        <v>1.279616879</v>
      </c>
      <c r="GH731" s="346">
        <v>1.585185066</v>
      </c>
      <c r="GI731" s="346">
        <f t="shared" ref="GI731:GN731" si="1064">GI371</f>
        <v>1.394870656698409</v>
      </c>
      <c r="GJ731" s="346">
        <f t="shared" si="1064"/>
        <v>1.5214866952370725</v>
      </c>
      <c r="GK731" s="346">
        <f t="shared" si="1064"/>
        <v>1.3287745824178832</v>
      </c>
      <c r="GL731" s="346">
        <f t="shared" si="1064"/>
        <v>1.1531979933135186</v>
      </c>
      <c r="GM731" s="346">
        <f t="shared" si="1064"/>
        <v>0.89835558173760088</v>
      </c>
      <c r="GN731" s="346">
        <f t="shared" si="1064"/>
        <v>1.7016470251771298</v>
      </c>
      <c r="GO731" s="346">
        <f t="shared" ref="GO731:HL731" si="1065">GO371</f>
        <v>1.1333693422496438</v>
      </c>
      <c r="GP731" s="346">
        <f t="shared" si="1065"/>
        <v>0.74823814801286437</v>
      </c>
      <c r="GQ731" s="346">
        <f t="shared" si="1065"/>
        <v>1.2292553834790385</v>
      </c>
      <c r="GR731" s="346">
        <f t="shared" si="1065"/>
        <v>1.41419585798</v>
      </c>
      <c r="GS731" s="346">
        <f t="shared" si="1065"/>
        <v>0.96602921900000005</v>
      </c>
      <c r="GT731" s="346">
        <f t="shared" si="1065"/>
        <v>1.1407991200000001</v>
      </c>
      <c r="GU731" s="346">
        <f t="shared" si="1065"/>
        <v>1.3015250044</v>
      </c>
      <c r="GV731" s="346">
        <f t="shared" si="1065"/>
        <v>1.1709209948000001</v>
      </c>
      <c r="GW731" s="346">
        <f t="shared" si="1065"/>
        <v>1.293057557</v>
      </c>
      <c r="GX731" s="346">
        <f t="shared" si="1065"/>
        <v>1.0839306975</v>
      </c>
      <c r="GY731" s="346">
        <f t="shared" si="1065"/>
        <v>1.12674518615</v>
      </c>
      <c r="GZ731" s="346">
        <f t="shared" si="1065"/>
        <v>1.0460221473</v>
      </c>
      <c r="HA731" s="346">
        <f t="shared" si="1065"/>
        <v>1.159986167</v>
      </c>
      <c r="HB731" s="346">
        <f t="shared" si="1065"/>
        <v>1.3487452909890718</v>
      </c>
      <c r="HC731" s="346">
        <f t="shared" si="1065"/>
        <v>1.1820561762499999</v>
      </c>
      <c r="HD731" s="346">
        <f t="shared" si="1065"/>
        <v>1.6419433128000001</v>
      </c>
      <c r="HE731" s="346">
        <f t="shared" si="1065"/>
        <v>10.665542854</v>
      </c>
      <c r="HF731" s="346">
        <f t="shared" si="1065"/>
        <v>1.4559923667500001</v>
      </c>
      <c r="HG731" s="346">
        <f t="shared" si="1065"/>
        <v>1.6216983287</v>
      </c>
      <c r="HH731" s="346">
        <f t="shared" si="1065"/>
        <v>1.0662832596</v>
      </c>
      <c r="HI731" s="346">
        <f t="shared" si="1065"/>
        <v>0.22232799119999999</v>
      </c>
      <c r="HJ731" s="346">
        <f t="shared" si="1065"/>
        <v>0.25443477785000002</v>
      </c>
      <c r="HK731" s="346">
        <f t="shared" si="1065"/>
        <v>0.19089202594999999</v>
      </c>
      <c r="HL731" s="346">
        <f t="shared" si="1065"/>
        <v>0.28605253489999999</v>
      </c>
      <c r="HM731" s="346"/>
      <c r="HN731" s="349"/>
      <c r="HO731" s="355" t="s">
        <v>543</v>
      </c>
      <c r="HP731" s="307">
        <f t="shared" si="1037"/>
        <v>4.6984467069999996</v>
      </c>
      <c r="HQ731" s="302">
        <f t="shared" si="1038"/>
        <v>2.065961379</v>
      </c>
      <c r="HR731" s="346">
        <f t="shared" si="698"/>
        <v>6.7644080859999995</v>
      </c>
      <c r="HS731" s="302">
        <f t="shared" si="1039"/>
        <v>5.2545174620000008</v>
      </c>
      <c r="HT731" s="302">
        <f t="shared" si="1040"/>
        <v>4.4474113209999997</v>
      </c>
      <c r="HU731" s="346">
        <f t="shared" si="678"/>
        <v>9.7019287829999996</v>
      </c>
      <c r="HV731" s="307">
        <f t="shared" si="1041"/>
        <v>0.46899999999999997</v>
      </c>
      <c r="HW731" s="302">
        <f t="shared" si="1042"/>
        <v>4.431</v>
      </c>
      <c r="HX731" s="346">
        <f t="shared" si="679"/>
        <v>4.9000000000000004</v>
      </c>
      <c r="HY731" s="350">
        <f t="shared" si="1043"/>
        <v>1.6559378023769145</v>
      </c>
      <c r="HZ731" s="302">
        <f t="shared" si="1044"/>
        <v>5.9157960716601146</v>
      </c>
      <c r="IA731" s="346">
        <f t="shared" si="680"/>
        <v>7.5717338740370295</v>
      </c>
      <c r="IB731" s="302">
        <f t="shared" si="1045"/>
        <v>4.8377257505518667</v>
      </c>
      <c r="IC731" s="302">
        <f t="shared" si="1046"/>
        <v>4.8052146736614478</v>
      </c>
      <c r="ID731" s="346">
        <f t="shared" si="681"/>
        <v>9.6429404242133145</v>
      </c>
      <c r="IE731" s="350">
        <f t="shared" si="1047"/>
        <v>2.5324306410000004</v>
      </c>
      <c r="IF731" s="350">
        <f t="shared" si="1048"/>
        <v>2.2046056009999999</v>
      </c>
      <c r="IG731" s="346">
        <f t="shared" si="682"/>
        <v>4.7370362420000003</v>
      </c>
      <c r="IH731" s="350">
        <f t="shared" si="1049"/>
        <v>12.505839288239999</v>
      </c>
      <c r="II731" s="350">
        <f t="shared" si="1050"/>
        <v>7.8217996032999997</v>
      </c>
      <c r="IJ731" s="346">
        <f t="shared" si="683"/>
        <v>20.327638891539998</v>
      </c>
      <c r="IK731" s="350">
        <f t="shared" si="1051"/>
        <v>9.0402214146023692</v>
      </c>
      <c r="IL731" s="350">
        <f t="shared" si="993"/>
        <v>10.544189272686689</v>
      </c>
      <c r="IM731" s="346">
        <f>IK731+IL731</f>
        <v>19.584410687289058</v>
      </c>
      <c r="IN731" s="350">
        <f t="shared" si="1052"/>
        <v>7.0940708336558851</v>
      </c>
      <c r="IO731" s="350">
        <f t="shared" si="1053"/>
        <v>6.2553727890871142</v>
      </c>
      <c r="IP731" s="346">
        <f t="shared" ref="IP731:IP814" si="1066">IN731+IO731</f>
        <v>13.349443622742999</v>
      </c>
      <c r="IQ731" s="350">
        <f t="shared" si="1054"/>
        <v>7.9983325345816132</v>
      </c>
      <c r="IR731" s="350">
        <f t="shared" si="1055"/>
        <v>6.6318870707215467</v>
      </c>
      <c r="IS731" s="346">
        <f t="shared" ref="IS731:IS776" si="1067">IQ731+IR731</f>
        <v>14.630219605303161</v>
      </c>
      <c r="IT731" s="350">
        <f t="shared" ref="IT731:IT747" si="1068">SUM(GU731:GZ731)</f>
        <v>7.0222015871500005</v>
      </c>
      <c r="IU731" s="350">
        <f t="shared" si="986"/>
        <v>17.454266167789072</v>
      </c>
      <c r="IV731" s="346">
        <f t="shared" si="1020"/>
        <v>24.476467754939073</v>
      </c>
      <c r="IW731" s="350">
        <f t="shared" si="700"/>
        <v>3.6416889182000003</v>
      </c>
      <c r="IX731" s="350">
        <f t="shared" ref="IX731:IX798" si="1069">IY731-IW731</f>
        <v>20.894399461929197</v>
      </c>
      <c r="IY731" s="346">
        <f>FISC!AJ1053</f>
        <v>24.536088380129197</v>
      </c>
      <c r="IZ731" s="350">
        <f t="shared" ref="IZ731:IZ743" si="1070">JB731*0.5</f>
        <v>13.198469198771244</v>
      </c>
      <c r="JA731" s="302">
        <f t="shared" si="689"/>
        <v>13.198469198771244</v>
      </c>
      <c r="JB731" s="346">
        <f>FISC!AK1053</f>
        <v>26.396938397542488</v>
      </c>
      <c r="JC731" s="350">
        <f t="shared" ref="JC731:JC743" si="1071">JE731*0.5</f>
        <v>14.738096573689957</v>
      </c>
      <c r="JD731" s="302">
        <f t="shared" si="1056"/>
        <v>14.738096573689957</v>
      </c>
      <c r="JE731" s="346">
        <f>FISC!AL1053</f>
        <v>29.476193147379913</v>
      </c>
      <c r="JF731" s="350">
        <f t="shared" ref="JF731:JF743" si="1072">JH731*0.5</f>
        <v>15.98713573627705</v>
      </c>
      <c r="JG731" s="302">
        <f t="shared" si="1057"/>
        <v>15.98713573627705</v>
      </c>
      <c r="JH731" s="346">
        <f>FISC!AM1053</f>
        <v>31.974271472554101</v>
      </c>
      <c r="JI731" s="350">
        <f t="shared" ref="JI731:JI743" si="1073">JK731*0.5</f>
        <v>18.065463381993059</v>
      </c>
      <c r="JJ731" s="302">
        <f t="shared" si="1058"/>
        <v>18.065463381993059</v>
      </c>
      <c r="JK731" s="346">
        <f>FISC!AN1053</f>
        <v>36.130926763986118</v>
      </c>
      <c r="JL731" s="350">
        <f t="shared" ref="JL731:JL743" si="1074">JN731*0.5</f>
        <v>20.413973621652161</v>
      </c>
      <c r="JM731" s="302">
        <f t="shared" si="1059"/>
        <v>20.413973621652161</v>
      </c>
      <c r="JN731" s="346">
        <f>FISC!AO1053</f>
        <v>40.827947243304322</v>
      </c>
      <c r="KI731" s="349"/>
      <c r="KJ731" s="350"/>
    </row>
    <row r="732" spans="1:302" hidden="1" outlineLevel="1">
      <c r="A732" s="302"/>
      <c r="D732" s="1439" t="s">
        <v>544</v>
      </c>
      <c r="E732" s="346"/>
      <c r="F732" s="346"/>
      <c r="G732" s="346"/>
      <c r="H732" s="346"/>
      <c r="I732" s="346"/>
      <c r="J732" s="346"/>
      <c r="K732" s="346"/>
      <c r="L732" s="346"/>
      <c r="M732" s="346"/>
      <c r="N732" s="346"/>
      <c r="O732" s="346"/>
      <c r="P732" s="346"/>
      <c r="Q732" s="346"/>
      <c r="R732" s="346"/>
      <c r="S732" s="346"/>
      <c r="T732" s="346"/>
      <c r="U732" s="346"/>
      <c r="V732" s="346"/>
      <c r="W732" s="346"/>
      <c r="X732" s="346"/>
      <c r="Y732" s="346"/>
      <c r="Z732" s="346"/>
      <c r="AA732" s="346"/>
      <c r="AB732" s="346"/>
      <c r="AC732" s="346"/>
      <c r="AD732" s="346"/>
      <c r="AE732" s="346"/>
      <c r="AF732" s="346"/>
      <c r="AG732" s="346"/>
      <c r="AH732" s="346"/>
      <c r="AI732" s="346"/>
      <c r="AJ732" s="346"/>
      <c r="AK732" s="346"/>
      <c r="AL732" s="346"/>
      <c r="AM732" s="346"/>
      <c r="AN732" s="346"/>
      <c r="AO732" s="346"/>
      <c r="AP732" s="346"/>
      <c r="AQ732" s="346"/>
      <c r="AR732" s="346"/>
      <c r="AS732" s="346"/>
      <c r="AT732" s="346"/>
      <c r="AU732" s="346"/>
      <c r="AV732" s="346"/>
      <c r="AW732" s="346"/>
      <c r="AX732" s="346"/>
      <c r="AY732" s="346"/>
      <c r="AZ732" s="346"/>
      <c r="BA732" s="346"/>
      <c r="BB732" s="346"/>
      <c r="BC732" s="346"/>
      <c r="BD732" s="346"/>
      <c r="BE732" s="346"/>
      <c r="BF732" s="346"/>
      <c r="BG732" s="346"/>
      <c r="BH732" s="346"/>
      <c r="BI732" s="346"/>
      <c r="BJ732" s="346"/>
      <c r="BK732" s="346"/>
      <c r="BL732" s="346"/>
      <c r="BM732" s="346"/>
      <c r="BN732" s="346"/>
      <c r="BO732" s="346"/>
      <c r="BP732" s="346"/>
      <c r="BQ732" s="346"/>
      <c r="BR732" s="346"/>
      <c r="BS732" s="346"/>
      <c r="BT732" s="346"/>
      <c r="BU732" s="346"/>
      <c r="BV732" s="346"/>
      <c r="BW732" s="346"/>
      <c r="BX732" s="346"/>
      <c r="BY732" s="346"/>
      <c r="BZ732" s="346"/>
      <c r="CA732" s="346"/>
      <c r="CB732" s="346"/>
      <c r="CC732" s="346"/>
      <c r="CD732" s="352"/>
      <c r="CE732" s="346">
        <f t="shared" ref="CE732:DJ732" si="1075">CE372</f>
        <v>0.31953783099999999</v>
      </c>
      <c r="CF732" s="346">
        <f t="shared" si="1075"/>
        <v>1.2531272</v>
      </c>
      <c r="CG732" s="346">
        <f t="shared" si="1075"/>
        <v>0.41102835000000004</v>
      </c>
      <c r="CH732" s="346">
        <f t="shared" si="1075"/>
        <v>0.34850524399999999</v>
      </c>
      <c r="CI732" s="346">
        <f t="shared" si="1075"/>
        <v>0.53165609300000005</v>
      </c>
      <c r="CJ732" s="346">
        <f t="shared" si="1075"/>
        <v>0.34950223200000002</v>
      </c>
      <c r="CK732" s="346">
        <f t="shared" si="1075"/>
        <v>0.23318187400000001</v>
      </c>
      <c r="CL732" s="346">
        <f t="shared" si="1075"/>
        <v>0.37588870600000002</v>
      </c>
      <c r="CM732" s="346">
        <f t="shared" si="1075"/>
        <v>0.27494637999999999</v>
      </c>
      <c r="CN732" s="346">
        <f t="shared" si="1075"/>
        <v>9.0026925000000008E-2</v>
      </c>
      <c r="CO732" s="346">
        <f t="shared" si="1075"/>
        <v>0.38279299499999997</v>
      </c>
      <c r="CP732" s="348">
        <f t="shared" si="1075"/>
        <v>0.20996990900000001</v>
      </c>
      <c r="CQ732" s="346">
        <f t="shared" si="1075"/>
        <v>0.25210226200000002</v>
      </c>
      <c r="CR732" s="346">
        <f t="shared" si="1075"/>
        <v>2.3781132</v>
      </c>
      <c r="CS732" s="346">
        <f t="shared" si="1075"/>
        <v>1.899018369</v>
      </c>
      <c r="CT732" s="346">
        <f t="shared" si="1075"/>
        <v>0.22562015299999999</v>
      </c>
      <c r="CU732" s="346">
        <f t="shared" si="1075"/>
        <v>0.19519945999999999</v>
      </c>
      <c r="CV732" s="346">
        <f t="shared" si="1075"/>
        <v>5.6464017999999998E-2</v>
      </c>
      <c r="CW732" s="346">
        <f t="shared" si="1075"/>
        <v>0.109400867</v>
      </c>
      <c r="CX732" s="346">
        <f t="shared" si="1075"/>
        <v>0.17085389600000001</v>
      </c>
      <c r="CY732" s="346">
        <f t="shared" si="1075"/>
        <v>0.201691177</v>
      </c>
      <c r="CZ732" s="346">
        <f t="shared" si="1075"/>
        <v>0.288341079</v>
      </c>
      <c r="DA732" s="346">
        <f t="shared" si="1075"/>
        <v>0.25666332400000003</v>
      </c>
      <c r="DB732" s="1479">
        <f t="shared" si="1075"/>
        <v>0.27646097800000002</v>
      </c>
      <c r="DC732" s="346">
        <f t="shared" si="1075"/>
        <v>0</v>
      </c>
      <c r="DD732" s="346">
        <f t="shared" si="1075"/>
        <v>0</v>
      </c>
      <c r="DE732" s="346">
        <f t="shared" si="1075"/>
        <v>0</v>
      </c>
      <c r="DF732" s="346">
        <f t="shared" si="1075"/>
        <v>0</v>
      </c>
      <c r="DG732" s="346">
        <f t="shared" si="1075"/>
        <v>0</v>
      </c>
      <c r="DH732" s="346">
        <f t="shared" si="1075"/>
        <v>0</v>
      </c>
      <c r="DI732" s="346">
        <f t="shared" si="1075"/>
        <v>0</v>
      </c>
      <c r="DJ732" s="346">
        <f t="shared" si="1075"/>
        <v>4.0000000000000001E-3</v>
      </c>
      <c r="DK732" s="346">
        <f t="shared" ref="DK732:EP732" si="1076">DK372</f>
        <v>0</v>
      </c>
      <c r="DL732" s="346">
        <f t="shared" si="1076"/>
        <v>2E-3</v>
      </c>
      <c r="DM732" s="346">
        <f t="shared" si="1076"/>
        <v>0</v>
      </c>
      <c r="DN732" s="348">
        <f t="shared" si="1076"/>
        <v>1.548</v>
      </c>
      <c r="DO732" s="346">
        <f t="shared" si="1076"/>
        <v>0.27275503595865902</v>
      </c>
      <c r="DP732" s="346">
        <f t="shared" si="1076"/>
        <v>0.13691573476460012</v>
      </c>
      <c r="DQ732" s="346">
        <f t="shared" si="1076"/>
        <v>0.29403610878610426</v>
      </c>
      <c r="DR732" s="346">
        <f t="shared" si="1076"/>
        <v>0.37726801619882</v>
      </c>
      <c r="DS732" s="346">
        <f t="shared" si="1076"/>
        <v>0.19325706514218965</v>
      </c>
      <c r="DT732" s="346">
        <f t="shared" si="1076"/>
        <v>0.38170584152654141</v>
      </c>
      <c r="DU732" s="346">
        <f t="shared" si="1076"/>
        <v>0.17927338428701151</v>
      </c>
      <c r="DV732" s="346">
        <f t="shared" si="1076"/>
        <v>0.3562400584501112</v>
      </c>
      <c r="DW732" s="346">
        <f t="shared" si="1076"/>
        <v>0.60798901617621515</v>
      </c>
      <c r="DX732" s="346">
        <f t="shared" si="1076"/>
        <v>0.17125279287636225</v>
      </c>
      <c r="DY732" s="346">
        <f t="shared" si="1076"/>
        <v>0.47455601938920611</v>
      </c>
      <c r="DZ732" s="348">
        <f t="shared" si="1076"/>
        <v>0.86503258648120851</v>
      </c>
      <c r="EA732" s="346">
        <f t="shared" si="1076"/>
        <v>0.99990214406361466</v>
      </c>
      <c r="EB732" s="346">
        <f t="shared" si="1076"/>
        <v>0.27852339059275361</v>
      </c>
      <c r="EC732" s="346">
        <f t="shared" si="1076"/>
        <v>0.20422662926574031</v>
      </c>
      <c r="ED732" s="346">
        <f t="shared" si="1076"/>
        <v>0.23100134709681086</v>
      </c>
      <c r="EE732" s="346">
        <f t="shared" si="1076"/>
        <v>0.63782926969350562</v>
      </c>
      <c r="EF732" s="346">
        <f t="shared" si="1076"/>
        <v>1.972298738839442</v>
      </c>
      <c r="EG732" s="346">
        <f t="shared" si="1076"/>
        <v>0.73811955136459251</v>
      </c>
      <c r="EH732" s="346">
        <f t="shared" si="1076"/>
        <v>0.38431697922910513</v>
      </c>
      <c r="EI732" s="346">
        <f t="shared" si="1076"/>
        <v>0.40575158412395818</v>
      </c>
      <c r="EJ732" s="346">
        <f t="shared" si="1076"/>
        <v>0.17080934176827953</v>
      </c>
      <c r="EK732" s="346">
        <f t="shared" si="1076"/>
        <v>0.10608876173982063</v>
      </c>
      <c r="EL732" s="348">
        <f t="shared" si="1076"/>
        <v>0.16210954043569137</v>
      </c>
      <c r="EM732" s="346">
        <f t="shared" si="1076"/>
        <v>0</v>
      </c>
      <c r="EN732" s="346">
        <f t="shared" si="1076"/>
        <v>0</v>
      </c>
      <c r="EO732" s="346">
        <f t="shared" si="1076"/>
        <v>0</v>
      </c>
      <c r="EP732" s="346">
        <f t="shared" si="1076"/>
        <v>0</v>
      </c>
      <c r="EQ732" s="346">
        <f t="shared" ref="EQ732:FP732" si="1077">EQ372</f>
        <v>0</v>
      </c>
      <c r="ER732" s="346">
        <f t="shared" si="1077"/>
        <v>0</v>
      </c>
      <c r="ES732" s="346">
        <f t="shared" si="1077"/>
        <v>0</v>
      </c>
      <c r="ET732" s="346">
        <f t="shared" si="1077"/>
        <v>0</v>
      </c>
      <c r="EU732" s="346">
        <f t="shared" si="1077"/>
        <v>0</v>
      </c>
      <c r="EV732" s="346">
        <f t="shared" si="1077"/>
        <v>0</v>
      </c>
      <c r="EW732" s="346">
        <f t="shared" si="1077"/>
        <v>0</v>
      </c>
      <c r="EX732" s="348">
        <f t="shared" si="1077"/>
        <v>0</v>
      </c>
      <c r="EY732" s="346">
        <f t="shared" si="1077"/>
        <v>1.0603227551999999</v>
      </c>
      <c r="EZ732" s="346">
        <f t="shared" si="1077"/>
        <v>2.3138055242800002</v>
      </c>
      <c r="FA732" s="346">
        <f t="shared" si="1077"/>
        <v>1.9311447209999999</v>
      </c>
      <c r="FB732" s="346">
        <f t="shared" si="1077"/>
        <v>1.2681437422399999</v>
      </c>
      <c r="FC732" s="346">
        <f t="shared" si="1077"/>
        <v>2.46918483912</v>
      </c>
      <c r="FD732" s="346">
        <f t="shared" si="1077"/>
        <v>1.5401608593999998</v>
      </c>
      <c r="FE732" s="346">
        <f t="shared" si="1077"/>
        <v>0.95148537501999997</v>
      </c>
      <c r="FF732" s="346">
        <f t="shared" si="1077"/>
        <v>1.3194295061399999</v>
      </c>
      <c r="FG732" s="346">
        <f t="shared" si="1077"/>
        <v>1.46625427952</v>
      </c>
      <c r="FH732" s="346">
        <f t="shared" si="1077"/>
        <v>0.97736562364000013</v>
      </c>
      <c r="FI732" s="346">
        <f t="shared" si="1077"/>
        <v>0.54316732103999998</v>
      </c>
      <c r="FJ732" s="348">
        <f t="shared" si="1077"/>
        <v>1.1830160649400003</v>
      </c>
      <c r="FK732" s="346">
        <f t="shared" si="1077"/>
        <v>0.93103091020000006</v>
      </c>
      <c r="FL732" s="346">
        <f t="shared" si="1077"/>
        <v>0.96139398136999998</v>
      </c>
      <c r="FM732" s="346">
        <f t="shared" si="1077"/>
        <v>1.2506923210400001</v>
      </c>
      <c r="FN732" s="346">
        <f t="shared" si="1077"/>
        <v>1.1685909724609986</v>
      </c>
      <c r="FO732" s="346">
        <f t="shared" si="1077"/>
        <v>0.91123084888249695</v>
      </c>
      <c r="FP732" s="346">
        <f t="shared" si="1077"/>
        <v>1.4607784838678952</v>
      </c>
      <c r="FQ732" s="346">
        <f t="shared" si="1063"/>
        <v>1.4595349277567042</v>
      </c>
      <c r="FR732" s="346">
        <f t="shared" si="1063"/>
        <v>1.8308382841322961</v>
      </c>
      <c r="FS732" s="346">
        <f t="shared" si="1063"/>
        <v>1.0249331411440332</v>
      </c>
      <c r="FT732" s="346">
        <f t="shared" si="1063"/>
        <v>0.90877478960336411</v>
      </c>
      <c r="FU732" s="346">
        <f t="shared" si="1063"/>
        <v>1.0316682406701274</v>
      </c>
      <c r="FV732" s="346">
        <f t="shared" si="1063"/>
        <v>1.6524999792397439</v>
      </c>
      <c r="FW732" s="346">
        <v>1.7007960426910091</v>
      </c>
      <c r="FX732" s="346">
        <v>0.79959669542324818</v>
      </c>
      <c r="FY732" s="346">
        <v>1.2455452996862408</v>
      </c>
      <c r="FZ732" s="346">
        <v>0.81583218204676855</v>
      </c>
      <c r="GA732" s="346">
        <v>0.82018315040790779</v>
      </c>
      <c r="GB732" s="346">
        <v>1.141135206401904</v>
      </c>
      <c r="GC732" s="346">
        <v>1.0970836272819584</v>
      </c>
      <c r="GD732" s="346">
        <v>0.83797054894602541</v>
      </c>
      <c r="GE732" s="346">
        <v>0.83827016145915012</v>
      </c>
      <c r="GF732" s="346">
        <v>0.59219634099999996</v>
      </c>
      <c r="GG732" s="346">
        <v>1.279616879</v>
      </c>
      <c r="GH732" s="346">
        <v>1.585185066</v>
      </c>
      <c r="GI732" s="346">
        <f t="shared" ref="GI732:GN732" si="1078">GI372</f>
        <v>0.53065387711361145</v>
      </c>
      <c r="GJ732" s="346">
        <f t="shared" si="1078"/>
        <v>0.80185078515701469</v>
      </c>
      <c r="GK732" s="346">
        <f t="shared" si="1078"/>
        <v>0.53416604367341647</v>
      </c>
      <c r="GL732" s="346">
        <f t="shared" si="1078"/>
        <v>0.57592804931351838</v>
      </c>
      <c r="GM732" s="346">
        <f t="shared" si="1078"/>
        <v>0.24123587277145539</v>
      </c>
      <c r="GN732" s="346">
        <f t="shared" si="1078"/>
        <v>0.75691242965084937</v>
      </c>
      <c r="GO732" s="346">
        <f t="shared" ref="GO732:HL732" si="1079">GO372</f>
        <v>0.21224006759173406</v>
      </c>
      <c r="GP732" s="346">
        <f t="shared" si="1079"/>
        <v>0.1624172070128643</v>
      </c>
      <c r="GQ732" s="346">
        <f t="shared" si="1079"/>
        <v>0.48718092297107868</v>
      </c>
      <c r="GR732" s="346">
        <f t="shared" si="1079"/>
        <v>0.54503668098000002</v>
      </c>
      <c r="GS732" s="346">
        <f t="shared" si="1079"/>
        <v>0.29089334500000003</v>
      </c>
      <c r="GT732" s="346">
        <f t="shared" si="1079"/>
        <v>0.33836328300000001</v>
      </c>
      <c r="GU732" s="346">
        <f t="shared" si="1079"/>
        <v>0.28986165739999997</v>
      </c>
      <c r="GV732" s="346">
        <f t="shared" si="1079"/>
        <v>0.38619191680000009</v>
      </c>
      <c r="GW732" s="346">
        <f t="shared" si="1079"/>
        <v>0.54144656599999996</v>
      </c>
      <c r="GX732" s="346">
        <f t="shared" si="1079"/>
        <v>0.2007817415</v>
      </c>
      <c r="GY732" s="346">
        <f t="shared" si="1079"/>
        <v>0.31793908015</v>
      </c>
      <c r="GZ732" s="346">
        <f t="shared" si="1079"/>
        <v>0.33982641530000002</v>
      </c>
      <c r="HA732" s="346">
        <f t="shared" si="1079"/>
        <v>0.18146204899999999</v>
      </c>
      <c r="HB732" s="346">
        <f t="shared" si="1079"/>
        <v>0.35237570398907175</v>
      </c>
      <c r="HC732" s="346">
        <f t="shared" si="1079"/>
        <v>0.45324221125000003</v>
      </c>
      <c r="HD732" s="346">
        <f t="shared" si="1079"/>
        <v>0.40902524880000002</v>
      </c>
      <c r="HE732" s="346">
        <f t="shared" si="1079"/>
        <v>0.36810757999999999</v>
      </c>
      <c r="HF732" s="346">
        <f t="shared" si="1079"/>
        <v>0.41576074974999999</v>
      </c>
      <c r="HG732" s="346">
        <f t="shared" si="1079"/>
        <v>0.2952884717</v>
      </c>
      <c r="HH732" s="346">
        <f t="shared" si="1079"/>
        <v>0.30457031560000003</v>
      </c>
      <c r="HI732" s="346">
        <f t="shared" si="1079"/>
        <v>0.19902697019999999</v>
      </c>
      <c r="HJ732" s="346">
        <f t="shared" si="1079"/>
        <v>0.25352194385000004</v>
      </c>
      <c r="HK732" s="346">
        <f t="shared" si="1079"/>
        <v>0.17668310194999998</v>
      </c>
      <c r="HL732" s="346">
        <f t="shared" si="1079"/>
        <v>0.27235725389999998</v>
      </c>
      <c r="HM732" s="346"/>
      <c r="HN732" s="349"/>
      <c r="HO732" s="1439" t="s">
        <v>544</v>
      </c>
      <c r="HP732" s="307">
        <f t="shared" si="1037"/>
        <v>3.2133569500000001</v>
      </c>
      <c r="HQ732" s="302">
        <f t="shared" si="1038"/>
        <v>1.5668067889999999</v>
      </c>
      <c r="HR732" s="346">
        <f t="shared" si="698"/>
        <v>4.7801637389999998</v>
      </c>
      <c r="HS732" s="302">
        <f t="shared" si="1039"/>
        <v>5.0065174619999997</v>
      </c>
      <c r="HT732" s="302">
        <f t="shared" si="1040"/>
        <v>1.303411321</v>
      </c>
      <c r="HU732" s="346">
        <f t="shared" si="678"/>
        <v>6.3099287830000002</v>
      </c>
      <c r="HV732" s="307">
        <f t="shared" si="1041"/>
        <v>0</v>
      </c>
      <c r="HW732" s="302">
        <f t="shared" si="1042"/>
        <v>1.554</v>
      </c>
      <c r="HX732" s="346">
        <f t="shared" si="679"/>
        <v>1.554</v>
      </c>
      <c r="HY732" s="350">
        <f t="shared" si="1043"/>
        <v>1.6559378023769145</v>
      </c>
      <c r="HZ732" s="302">
        <f t="shared" si="1044"/>
        <v>2.6543438576601144</v>
      </c>
      <c r="IA732" s="346">
        <f t="shared" si="680"/>
        <v>4.3102816600370293</v>
      </c>
      <c r="IB732" s="302">
        <f t="shared" si="1045"/>
        <v>4.3237815195518667</v>
      </c>
      <c r="IC732" s="302">
        <f t="shared" si="1046"/>
        <v>1.9671957586614472</v>
      </c>
      <c r="ID732" s="346">
        <f t="shared" si="681"/>
        <v>6.2909772782133135</v>
      </c>
      <c r="IE732" s="350">
        <f t="shared" si="1047"/>
        <v>0</v>
      </c>
      <c r="IF732" s="350">
        <f t="shared" si="1048"/>
        <v>0</v>
      </c>
      <c r="IG732" s="346">
        <f t="shared" si="682"/>
        <v>0</v>
      </c>
      <c r="IH732" s="350">
        <f t="shared" si="1049"/>
        <v>10.58276244124</v>
      </c>
      <c r="II732" s="350">
        <f t="shared" si="1050"/>
        <v>6.4407181703000003</v>
      </c>
      <c r="IJ732" s="346">
        <f t="shared" si="683"/>
        <v>17.023480611540002</v>
      </c>
      <c r="IK732" s="350">
        <f t="shared" si="1051"/>
        <v>6.6837175178213917</v>
      </c>
      <c r="IL732" s="350">
        <f t="shared" si="993"/>
        <v>7.9082493625462691</v>
      </c>
      <c r="IM732" s="346">
        <f t="shared" ref="IM732:IM763" si="1080">IK732+IL732</f>
        <v>14.591966880367661</v>
      </c>
      <c r="IN732" s="350">
        <f t="shared" si="1052"/>
        <v>6.5230885766570781</v>
      </c>
      <c r="IO732" s="350">
        <f t="shared" si="1053"/>
        <v>6.2303226236871341</v>
      </c>
      <c r="IP732" s="346">
        <f t="shared" si="1066"/>
        <v>12.753411200344212</v>
      </c>
      <c r="IQ732" s="350">
        <f t="shared" si="1054"/>
        <v>3.4407470576798653</v>
      </c>
      <c r="IR732" s="350">
        <f t="shared" si="1055"/>
        <v>2.0361315065556771</v>
      </c>
      <c r="IS732" s="346">
        <f t="shared" si="1067"/>
        <v>5.4768785642355429</v>
      </c>
      <c r="IT732" s="350">
        <f t="shared" si="1068"/>
        <v>2.0760473771499997</v>
      </c>
      <c r="IU732" s="350">
        <f t="shared" si="986"/>
        <v>2.1799735427890718</v>
      </c>
      <c r="IV732" s="346">
        <f t="shared" si="1020"/>
        <v>4.2560209199390719</v>
      </c>
      <c r="IW732" s="350">
        <f t="shared" ref="IW732:IW799" si="1081">SUM(HG732:HL732)</f>
        <v>1.5014480572000002</v>
      </c>
      <c r="IX732" s="350">
        <f t="shared" si="1069"/>
        <v>21.970904612038598</v>
      </c>
      <c r="IY732" s="346">
        <f>FISC!AJ1054</f>
        <v>23.4723526692386</v>
      </c>
      <c r="IZ732" s="350">
        <f t="shared" si="1070"/>
        <v>12.62626376821075</v>
      </c>
      <c r="JA732" s="302">
        <f t="shared" si="689"/>
        <v>12.62626376821075</v>
      </c>
      <c r="JB732" s="346">
        <f>FISC!AK1054</f>
        <v>25.2525275364215</v>
      </c>
      <c r="JC732" s="350">
        <f t="shared" ref="JC732" si="1082">JE732*0.5</f>
        <v>14.099142254928834</v>
      </c>
      <c r="JD732" s="302">
        <f t="shared" ref="JD732" si="1083">JE732-JC732</f>
        <v>14.099142254928834</v>
      </c>
      <c r="JE732" s="346">
        <f>FISC!AL1054</f>
        <v>28.198284509857668</v>
      </c>
      <c r="JF732" s="350">
        <f t="shared" si="1072"/>
        <v>15.294030668588048</v>
      </c>
      <c r="JG732" s="302">
        <f t="shared" si="1057"/>
        <v>15.294030668588048</v>
      </c>
      <c r="JH732" s="346">
        <f>FISC!AM1054</f>
        <v>30.588061337176097</v>
      </c>
      <c r="JI732" s="350">
        <f t="shared" si="1073"/>
        <v>17.282254655504492</v>
      </c>
      <c r="JJ732" s="302">
        <f t="shared" si="1058"/>
        <v>17.282254655504492</v>
      </c>
      <c r="JK732" s="346">
        <f>FISC!AN1054</f>
        <v>34.564509311008983</v>
      </c>
      <c r="JL732" s="350">
        <f t="shared" si="1074"/>
        <v>19.528947760720072</v>
      </c>
      <c r="JM732" s="302">
        <f t="shared" si="1059"/>
        <v>19.528947760720072</v>
      </c>
      <c r="JN732" s="346">
        <f>FISC!AO1054</f>
        <v>39.057895521440145</v>
      </c>
      <c r="KI732" s="349"/>
      <c r="KJ732" s="350"/>
    </row>
    <row r="733" spans="1:302" hidden="1" outlineLevel="1">
      <c r="A733" s="302"/>
      <c r="D733" s="1722" t="s">
        <v>545</v>
      </c>
      <c r="E733" s="346"/>
      <c r="F733" s="346"/>
      <c r="G733" s="346"/>
      <c r="H733" s="346"/>
      <c r="I733" s="346"/>
      <c r="J733" s="346"/>
      <c r="K733" s="346"/>
      <c r="L733" s="346"/>
      <c r="M733" s="346"/>
      <c r="N733" s="346"/>
      <c r="O733" s="346"/>
      <c r="P733" s="346"/>
      <c r="Q733" s="346"/>
      <c r="R733" s="346"/>
      <c r="S733" s="346"/>
      <c r="T733" s="346"/>
      <c r="U733" s="346"/>
      <c r="V733" s="346"/>
      <c r="W733" s="346"/>
      <c r="X733" s="346"/>
      <c r="Y733" s="346"/>
      <c r="Z733" s="346"/>
      <c r="AA733" s="346"/>
      <c r="AB733" s="346"/>
      <c r="AC733" s="346"/>
      <c r="AD733" s="346"/>
      <c r="AE733" s="346"/>
      <c r="AF733" s="346"/>
      <c r="AG733" s="346"/>
      <c r="AH733" s="346"/>
      <c r="AI733" s="346"/>
      <c r="AJ733" s="346"/>
      <c r="AK733" s="346"/>
      <c r="AL733" s="346"/>
      <c r="AM733" s="346"/>
      <c r="AN733" s="346"/>
      <c r="AO733" s="346"/>
      <c r="AP733" s="346"/>
      <c r="AQ733" s="346"/>
      <c r="AR733" s="346"/>
      <c r="AS733" s="346"/>
      <c r="AT733" s="346"/>
      <c r="AU733" s="346"/>
      <c r="AV733" s="346"/>
      <c r="AW733" s="346"/>
      <c r="AX733" s="346"/>
      <c r="AY733" s="346"/>
      <c r="AZ733" s="346"/>
      <c r="BA733" s="346"/>
      <c r="BB733" s="346"/>
      <c r="BC733" s="346"/>
      <c r="BD733" s="346"/>
      <c r="BE733" s="346"/>
      <c r="BF733" s="346"/>
      <c r="BG733" s="346"/>
      <c r="BH733" s="346"/>
      <c r="BI733" s="346"/>
      <c r="BJ733" s="346"/>
      <c r="BK733" s="346"/>
      <c r="BL733" s="346"/>
      <c r="BM733" s="346"/>
      <c r="BN733" s="346"/>
      <c r="BO733" s="346"/>
      <c r="BP733" s="346"/>
      <c r="BQ733" s="346"/>
      <c r="BR733" s="346"/>
      <c r="BS733" s="346"/>
      <c r="BT733" s="346"/>
      <c r="BU733" s="346"/>
      <c r="BV733" s="346"/>
      <c r="BW733" s="346"/>
      <c r="BX733" s="346"/>
      <c r="BY733" s="346"/>
      <c r="BZ733" s="346"/>
      <c r="CA733" s="346"/>
      <c r="CB733" s="346"/>
      <c r="CC733" s="346"/>
      <c r="CD733" s="352"/>
      <c r="CE733" s="346">
        <f t="shared" ref="CE733:DJ733" si="1084">CE373</f>
        <v>0.104579826</v>
      </c>
      <c r="CF733" s="346">
        <f t="shared" si="1084"/>
        <v>1.254255755</v>
      </c>
      <c r="CG733" s="346">
        <f t="shared" si="1084"/>
        <v>8.3051602000000002E-2</v>
      </c>
      <c r="CH733" s="346">
        <f t="shared" si="1084"/>
        <v>4.3202574000000001E-2</v>
      </c>
      <c r="CI733" s="346">
        <f t="shared" si="1084"/>
        <v>0</v>
      </c>
      <c r="CJ733" s="346">
        <f t="shared" si="1084"/>
        <v>0</v>
      </c>
      <c r="CK733" s="346">
        <f t="shared" si="1084"/>
        <v>4.0154589999999997E-2</v>
      </c>
      <c r="CL733" s="346">
        <f t="shared" si="1084"/>
        <v>0</v>
      </c>
      <c r="CM733" s="346">
        <f t="shared" si="1084"/>
        <v>0</v>
      </c>
      <c r="CN733" s="346">
        <f t="shared" si="1084"/>
        <v>0.41399999999999998</v>
      </c>
      <c r="CO733" s="346">
        <f t="shared" si="1084"/>
        <v>4.4999999999999998E-2</v>
      </c>
      <c r="CP733" s="348">
        <f t="shared" si="1084"/>
        <v>0</v>
      </c>
      <c r="CQ733" s="346">
        <f t="shared" si="1084"/>
        <v>0</v>
      </c>
      <c r="CR733" s="346">
        <f t="shared" si="1084"/>
        <v>0.248</v>
      </c>
      <c r="CS733" s="346">
        <f t="shared" si="1084"/>
        <v>0</v>
      </c>
      <c r="CT733" s="346">
        <f t="shared" si="1084"/>
        <v>0</v>
      </c>
      <c r="CU733" s="346">
        <f t="shared" si="1084"/>
        <v>0</v>
      </c>
      <c r="CV733" s="346">
        <f t="shared" si="1084"/>
        <v>0</v>
      </c>
      <c r="CW733" s="346">
        <f t="shared" si="1084"/>
        <v>0</v>
      </c>
      <c r="CX733" s="346">
        <f t="shared" si="1084"/>
        <v>0</v>
      </c>
      <c r="CY733" s="346">
        <f t="shared" si="1084"/>
        <v>0</v>
      </c>
      <c r="CZ733" s="346">
        <f t="shared" si="1084"/>
        <v>0.06</v>
      </c>
      <c r="DA733" s="346">
        <f t="shared" si="1084"/>
        <v>0</v>
      </c>
      <c r="DB733" s="1479">
        <f t="shared" si="1084"/>
        <v>3.0840000000000001</v>
      </c>
      <c r="DC733" s="346">
        <f t="shared" si="1084"/>
        <v>0</v>
      </c>
      <c r="DD733" s="346">
        <f t="shared" si="1084"/>
        <v>0</v>
      </c>
      <c r="DE733" s="346">
        <f t="shared" si="1084"/>
        <v>0.311</v>
      </c>
      <c r="DF733" s="346">
        <f t="shared" si="1084"/>
        <v>8.0000000000000002E-3</v>
      </c>
      <c r="DG733" s="346">
        <f t="shared" si="1084"/>
        <v>0</v>
      </c>
      <c r="DH733" s="346">
        <f t="shared" si="1084"/>
        <v>0.15</v>
      </c>
      <c r="DI733" s="346">
        <f t="shared" si="1084"/>
        <v>0</v>
      </c>
      <c r="DJ733" s="346">
        <f t="shared" si="1084"/>
        <v>0</v>
      </c>
      <c r="DK733" s="346">
        <f t="shared" ref="DK733:EP733" si="1085">DK373</f>
        <v>0</v>
      </c>
      <c r="DL733" s="346">
        <f t="shared" si="1085"/>
        <v>0.33200000000000002</v>
      </c>
      <c r="DM733" s="346">
        <f t="shared" si="1085"/>
        <v>0</v>
      </c>
      <c r="DN733" s="348">
        <f t="shared" si="1085"/>
        <v>2.5449999999999999</v>
      </c>
      <c r="DO733" s="346">
        <f t="shared" si="1085"/>
        <v>0</v>
      </c>
      <c r="DP733" s="346">
        <f t="shared" si="1085"/>
        <v>0</v>
      </c>
      <c r="DQ733" s="346">
        <f t="shared" si="1085"/>
        <v>0</v>
      </c>
      <c r="DR733" s="346">
        <f t="shared" si="1085"/>
        <v>0</v>
      </c>
      <c r="DS733" s="346">
        <f t="shared" si="1085"/>
        <v>0</v>
      </c>
      <c r="DT733" s="346">
        <f t="shared" si="1085"/>
        <v>0</v>
      </c>
      <c r="DU733" s="346">
        <f t="shared" si="1085"/>
        <v>0</v>
      </c>
      <c r="DV733" s="346">
        <f t="shared" si="1085"/>
        <v>0</v>
      </c>
      <c r="DW733" s="346">
        <f t="shared" si="1085"/>
        <v>0</v>
      </c>
      <c r="DX733" s="346">
        <f t="shared" si="1085"/>
        <v>0</v>
      </c>
      <c r="DY733" s="346">
        <f t="shared" si="1085"/>
        <v>0</v>
      </c>
      <c r="DZ733" s="348">
        <f t="shared" si="1085"/>
        <v>3.2614522140000002</v>
      </c>
      <c r="EA733" s="346">
        <f t="shared" si="1085"/>
        <v>0</v>
      </c>
      <c r="EB733" s="346">
        <f t="shared" si="1085"/>
        <v>0</v>
      </c>
      <c r="EC733" s="346">
        <f t="shared" si="1085"/>
        <v>0</v>
      </c>
      <c r="ED733" s="346">
        <f t="shared" si="1085"/>
        <v>0.51394423099999997</v>
      </c>
      <c r="EE733" s="346">
        <f t="shared" si="1085"/>
        <v>0</v>
      </c>
      <c r="EF733" s="346">
        <f t="shared" si="1085"/>
        <v>0</v>
      </c>
      <c r="EG733" s="346">
        <f t="shared" si="1085"/>
        <v>0</v>
      </c>
      <c r="EH733" s="346">
        <f t="shared" si="1085"/>
        <v>0</v>
      </c>
      <c r="EI733" s="346">
        <f t="shared" si="1085"/>
        <v>0</v>
      </c>
      <c r="EJ733" s="346">
        <f t="shared" si="1085"/>
        <v>0.21</v>
      </c>
      <c r="EK733" s="346">
        <f t="shared" si="1085"/>
        <v>1.6E-2</v>
      </c>
      <c r="EL733" s="348">
        <f t="shared" si="1085"/>
        <v>2.6120189150000002</v>
      </c>
      <c r="EM733" s="346">
        <f t="shared" si="1085"/>
        <v>0</v>
      </c>
      <c r="EN733" s="346">
        <f t="shared" si="1085"/>
        <v>0</v>
      </c>
      <c r="EO733" s="346">
        <f t="shared" si="1085"/>
        <v>0</v>
      </c>
      <c r="EP733" s="346">
        <f t="shared" si="1085"/>
        <v>0</v>
      </c>
      <c r="EQ733" s="346">
        <f t="shared" ref="EQ733:FP733" si="1086">EQ373</f>
        <v>0</v>
      </c>
      <c r="ER733" s="346">
        <f t="shared" si="1086"/>
        <v>0</v>
      </c>
      <c r="ES733" s="346">
        <f t="shared" si="1086"/>
        <v>0</v>
      </c>
      <c r="ET733" s="346">
        <f t="shared" si="1086"/>
        <v>0</v>
      </c>
      <c r="EU733" s="346">
        <f t="shared" si="1086"/>
        <v>0</v>
      </c>
      <c r="EV733" s="346">
        <f t="shared" si="1086"/>
        <v>0</v>
      </c>
      <c r="EW733" s="346">
        <f t="shared" si="1086"/>
        <v>0</v>
      </c>
      <c r="EX733" s="348">
        <f t="shared" si="1086"/>
        <v>0</v>
      </c>
      <c r="EY733" s="346">
        <f t="shared" si="1086"/>
        <v>0</v>
      </c>
      <c r="EZ733" s="346">
        <f t="shared" si="1086"/>
        <v>0</v>
      </c>
      <c r="FA733" s="346">
        <f t="shared" si="1086"/>
        <v>0</v>
      </c>
      <c r="FB733" s="346">
        <f t="shared" si="1086"/>
        <v>0</v>
      </c>
      <c r="FC733" s="346">
        <f t="shared" si="1086"/>
        <v>0</v>
      </c>
      <c r="FD733" s="346">
        <f t="shared" si="1086"/>
        <v>0</v>
      </c>
      <c r="FE733" s="346">
        <f t="shared" si="1086"/>
        <v>0</v>
      </c>
      <c r="FF733" s="346">
        <f t="shared" si="1086"/>
        <v>0</v>
      </c>
      <c r="FG733" s="346">
        <f t="shared" si="1086"/>
        <v>0</v>
      </c>
      <c r="FH733" s="346">
        <f t="shared" si="1086"/>
        <v>0</v>
      </c>
      <c r="FI733" s="346">
        <f t="shared" si="1086"/>
        <v>0</v>
      </c>
      <c r="FJ733" s="348">
        <f t="shared" si="1086"/>
        <v>0</v>
      </c>
      <c r="FK733" s="346">
        <f t="shared" si="1086"/>
        <v>0</v>
      </c>
      <c r="FL733" s="346">
        <f t="shared" si="1086"/>
        <v>0</v>
      </c>
      <c r="FM733" s="346">
        <f t="shared" si="1086"/>
        <v>0</v>
      </c>
      <c r="FN733" s="346">
        <f t="shared" si="1086"/>
        <v>0</v>
      </c>
      <c r="FO733" s="346">
        <f t="shared" si="1086"/>
        <v>0</v>
      </c>
      <c r="FP733" s="346">
        <f t="shared" si="1086"/>
        <v>0</v>
      </c>
      <c r="FQ733" s="346">
        <f t="shared" si="1063"/>
        <v>0</v>
      </c>
      <c r="FR733" s="346">
        <f t="shared" si="1063"/>
        <v>0</v>
      </c>
      <c r="FS733" s="346">
        <f t="shared" si="1063"/>
        <v>0</v>
      </c>
      <c r="FT733" s="346">
        <f t="shared" si="1063"/>
        <v>0</v>
      </c>
      <c r="FU733" s="346">
        <f t="shared" si="1063"/>
        <v>0</v>
      </c>
      <c r="FV733" s="346">
        <f t="shared" si="1063"/>
        <v>0</v>
      </c>
      <c r="FW733" s="346">
        <v>0</v>
      </c>
      <c r="FX733" s="346">
        <v>0</v>
      </c>
      <c r="FY733" s="346">
        <v>0</v>
      </c>
      <c r="FZ733" s="346">
        <v>0</v>
      </c>
      <c r="GA733" s="346">
        <v>0</v>
      </c>
      <c r="GB733" s="346">
        <v>0</v>
      </c>
      <c r="GC733" s="346">
        <v>0</v>
      </c>
      <c r="GD733" s="346">
        <v>0</v>
      </c>
      <c r="GE733" s="346">
        <v>0</v>
      </c>
      <c r="GF733" s="346">
        <v>0</v>
      </c>
      <c r="GG733" s="346">
        <v>0</v>
      </c>
      <c r="GH733" s="346">
        <v>0</v>
      </c>
      <c r="GI733" s="346">
        <v>0</v>
      </c>
      <c r="GJ733" s="346">
        <v>0</v>
      </c>
      <c r="GK733" s="346">
        <v>0</v>
      </c>
      <c r="GL733" s="346">
        <v>0</v>
      </c>
      <c r="GM733" s="346">
        <v>0</v>
      </c>
      <c r="GN733" s="346">
        <v>0</v>
      </c>
      <c r="GO733" s="346">
        <v>0</v>
      </c>
      <c r="GP733" s="346">
        <v>0</v>
      </c>
      <c r="GQ733" s="346">
        <v>0</v>
      </c>
      <c r="GR733" s="346">
        <v>0</v>
      </c>
      <c r="GS733" s="346">
        <v>0</v>
      </c>
      <c r="GT733" s="346">
        <v>0</v>
      </c>
      <c r="GU733" s="346">
        <f>GU373</f>
        <v>0</v>
      </c>
      <c r="GV733" s="346">
        <f t="shared" ref="GV733:HL733" si="1087">GV373</f>
        <v>0</v>
      </c>
      <c r="GW733" s="346">
        <f t="shared" si="1087"/>
        <v>0</v>
      </c>
      <c r="GX733" s="346">
        <f t="shared" si="1087"/>
        <v>0</v>
      </c>
      <c r="GY733" s="346">
        <f t="shared" si="1087"/>
        <v>0</v>
      </c>
      <c r="GZ733" s="346">
        <f t="shared" si="1087"/>
        <v>0</v>
      </c>
      <c r="HA733" s="346">
        <f t="shared" si="1087"/>
        <v>0</v>
      </c>
      <c r="HB733" s="346">
        <f t="shared" si="1087"/>
        <v>0</v>
      </c>
      <c r="HC733" s="346">
        <f t="shared" si="1087"/>
        <v>0</v>
      </c>
      <c r="HD733" s="346">
        <f t="shared" si="1087"/>
        <v>0</v>
      </c>
      <c r="HE733" s="346">
        <f t="shared" si="1087"/>
        <v>9.3539999999999992</v>
      </c>
      <c r="HF733" s="346">
        <f t="shared" si="1087"/>
        <v>0</v>
      </c>
      <c r="HG733" s="346">
        <f t="shared" si="1087"/>
        <v>0</v>
      </c>
      <c r="HH733" s="346">
        <f t="shared" si="1087"/>
        <v>0</v>
      </c>
      <c r="HI733" s="346">
        <f t="shared" si="1087"/>
        <v>0</v>
      </c>
      <c r="HJ733" s="346">
        <f t="shared" si="1087"/>
        <v>0</v>
      </c>
      <c r="HK733" s="346">
        <f t="shared" si="1087"/>
        <v>0</v>
      </c>
      <c r="HL733" s="346">
        <f t="shared" si="1087"/>
        <v>0</v>
      </c>
      <c r="HM733" s="346"/>
      <c r="HN733" s="349"/>
      <c r="HO733" s="1722" t="s">
        <v>545</v>
      </c>
      <c r="HP733" s="307">
        <f t="shared" si="1037"/>
        <v>1.4850897569999999</v>
      </c>
      <c r="HQ733" s="302">
        <f t="shared" si="1038"/>
        <v>0.49915458999999995</v>
      </c>
      <c r="HR733" s="346">
        <f t="shared" si="698"/>
        <v>1.9842443469999997</v>
      </c>
      <c r="HS733" s="302">
        <f t="shared" si="1039"/>
        <v>0.248</v>
      </c>
      <c r="HT733" s="302">
        <f t="shared" si="1040"/>
        <v>3.1440000000000001</v>
      </c>
      <c r="HU733" s="346">
        <f t="shared" si="678"/>
        <v>3.3920000000000003</v>
      </c>
      <c r="HV733" s="307">
        <f t="shared" si="1041"/>
        <v>0.46899999999999997</v>
      </c>
      <c r="HW733" s="302">
        <f t="shared" si="1042"/>
        <v>2.8769999999999998</v>
      </c>
      <c r="HX733" s="346">
        <f t="shared" si="679"/>
        <v>3.3459999999999996</v>
      </c>
      <c r="HY733" s="350">
        <f t="shared" si="1043"/>
        <v>0</v>
      </c>
      <c r="HZ733" s="302">
        <f t="shared" si="1044"/>
        <v>3.2614522140000002</v>
      </c>
      <c r="IA733" s="346">
        <f t="shared" si="680"/>
        <v>3.2614522140000002</v>
      </c>
      <c r="IB733" s="302">
        <f t="shared" si="1045"/>
        <v>0.51394423099999997</v>
      </c>
      <c r="IC733" s="302">
        <f t="shared" si="1046"/>
        <v>2.8380189150000001</v>
      </c>
      <c r="ID733" s="346">
        <f t="shared" si="681"/>
        <v>3.3519631460000001</v>
      </c>
      <c r="IE733" s="350">
        <f t="shared" si="1047"/>
        <v>0</v>
      </c>
      <c r="IF733" s="350">
        <f t="shared" si="1048"/>
        <v>0</v>
      </c>
      <c r="IG733" s="346">
        <f t="shared" si="682"/>
        <v>0</v>
      </c>
      <c r="IH733" s="350">
        <f t="shared" si="1049"/>
        <v>0</v>
      </c>
      <c r="II733" s="350">
        <f t="shared" si="1050"/>
        <v>0</v>
      </c>
      <c r="IJ733" s="346">
        <f t="shared" si="683"/>
        <v>0</v>
      </c>
      <c r="IK733" s="350">
        <f t="shared" si="1051"/>
        <v>0</v>
      </c>
      <c r="IL733" s="350">
        <f t="shared" si="993"/>
        <v>0</v>
      </c>
      <c r="IM733" s="346">
        <f t="shared" si="1080"/>
        <v>0</v>
      </c>
      <c r="IN733" s="350">
        <f t="shared" si="1052"/>
        <v>0</v>
      </c>
      <c r="IO733" s="350">
        <f t="shared" si="1053"/>
        <v>0</v>
      </c>
      <c r="IP733" s="346">
        <f t="shared" si="1066"/>
        <v>0</v>
      </c>
      <c r="IQ733" s="350">
        <f t="shared" si="1054"/>
        <v>0</v>
      </c>
      <c r="IR733" s="350">
        <f t="shared" si="1055"/>
        <v>0</v>
      </c>
      <c r="IS733" s="346">
        <f t="shared" si="1067"/>
        <v>0</v>
      </c>
      <c r="IT733" s="350">
        <f t="shared" si="1068"/>
        <v>0</v>
      </c>
      <c r="IU733" s="350">
        <f t="shared" si="986"/>
        <v>9.3539999999999992</v>
      </c>
      <c r="IV733" s="346">
        <f t="shared" si="1020"/>
        <v>9.3539999999999992</v>
      </c>
      <c r="IW733" s="350">
        <f t="shared" si="1081"/>
        <v>0</v>
      </c>
      <c r="IX733" s="350">
        <f t="shared" si="1069"/>
        <v>0</v>
      </c>
      <c r="IY733" s="346">
        <f>FISC!AJ1055</f>
        <v>0</v>
      </c>
      <c r="IZ733" s="350">
        <f t="shared" si="1070"/>
        <v>0</v>
      </c>
      <c r="JA733" s="302">
        <f t="shared" si="689"/>
        <v>0</v>
      </c>
      <c r="JB733" s="346">
        <f>FISC!AK1055</f>
        <v>0</v>
      </c>
      <c r="JC733" s="350">
        <f t="shared" si="1071"/>
        <v>0</v>
      </c>
      <c r="JD733" s="302">
        <f t="shared" si="1056"/>
        <v>0</v>
      </c>
      <c r="JE733" s="346">
        <f>FISC!AL1055</f>
        <v>0</v>
      </c>
      <c r="JF733" s="350">
        <f t="shared" si="1072"/>
        <v>0</v>
      </c>
      <c r="JG733" s="302">
        <f t="shared" si="1057"/>
        <v>0</v>
      </c>
      <c r="JH733" s="346">
        <f>FISC!AM1055</f>
        <v>0</v>
      </c>
      <c r="JI733" s="350">
        <f t="shared" si="1073"/>
        <v>0</v>
      </c>
      <c r="JJ733" s="302">
        <f t="shared" si="1058"/>
        <v>0</v>
      </c>
      <c r="JK733" s="346">
        <f>FISC!AN1055</f>
        <v>0</v>
      </c>
      <c r="JL733" s="350">
        <f t="shared" si="1074"/>
        <v>0</v>
      </c>
      <c r="JM733" s="302">
        <f t="shared" si="1059"/>
        <v>0</v>
      </c>
      <c r="JN733" s="346">
        <f>FISC!AO1055</f>
        <v>0</v>
      </c>
      <c r="KI733" s="349"/>
      <c r="KJ733" s="350"/>
    </row>
    <row r="734" spans="1:302" hidden="1" outlineLevel="1">
      <c r="A734" s="302"/>
      <c r="D734" s="1722" t="s">
        <v>546</v>
      </c>
      <c r="E734" s="346"/>
      <c r="F734" s="346"/>
      <c r="G734" s="346"/>
      <c r="H734" s="346"/>
      <c r="I734" s="346"/>
      <c r="J734" s="346"/>
      <c r="K734" s="346"/>
      <c r="L734" s="346"/>
      <c r="M734" s="346"/>
      <c r="N734" s="346"/>
      <c r="O734" s="346"/>
      <c r="P734" s="346"/>
      <c r="Q734" s="346"/>
      <c r="R734" s="346"/>
      <c r="S734" s="346"/>
      <c r="T734" s="346"/>
      <c r="U734" s="346"/>
      <c r="V734" s="346"/>
      <c r="W734" s="346"/>
      <c r="X734" s="346"/>
      <c r="Y734" s="346"/>
      <c r="Z734" s="346"/>
      <c r="AA734" s="346"/>
      <c r="AB734" s="346"/>
      <c r="AC734" s="346"/>
      <c r="AD734" s="346"/>
      <c r="AE734" s="346"/>
      <c r="AF734" s="346"/>
      <c r="AG734" s="346"/>
      <c r="AH734" s="346"/>
      <c r="AI734" s="346"/>
      <c r="AJ734" s="346"/>
      <c r="AK734" s="346"/>
      <c r="AL734" s="346"/>
      <c r="AM734" s="346"/>
      <c r="AN734" s="346"/>
      <c r="AO734" s="346"/>
      <c r="AP734" s="346"/>
      <c r="AQ734" s="346"/>
      <c r="AR734" s="346"/>
      <c r="AS734" s="346"/>
      <c r="AT734" s="346"/>
      <c r="AU734" s="346"/>
      <c r="AV734" s="346"/>
      <c r="AW734" s="346"/>
      <c r="AX734" s="346"/>
      <c r="AY734" s="346"/>
      <c r="AZ734" s="346"/>
      <c r="BA734" s="346"/>
      <c r="BB734" s="346"/>
      <c r="BC734" s="346"/>
      <c r="BD734" s="346"/>
      <c r="BE734" s="346"/>
      <c r="BF734" s="346"/>
      <c r="BG734" s="346"/>
      <c r="BH734" s="346"/>
      <c r="BI734" s="346"/>
      <c r="BJ734" s="346"/>
      <c r="BK734" s="346"/>
      <c r="BL734" s="346"/>
      <c r="BM734" s="346"/>
      <c r="BN734" s="346"/>
      <c r="BO734" s="346"/>
      <c r="BP734" s="346"/>
      <c r="BQ734" s="346"/>
      <c r="BR734" s="346"/>
      <c r="BS734" s="346"/>
      <c r="BT734" s="346"/>
      <c r="BU734" s="346"/>
      <c r="BV734" s="346"/>
      <c r="BW734" s="346"/>
      <c r="BX734" s="346"/>
      <c r="BY734" s="346"/>
      <c r="BZ734" s="346"/>
      <c r="CA734" s="346"/>
      <c r="CB734" s="346"/>
      <c r="CC734" s="346"/>
      <c r="CD734" s="352"/>
      <c r="CE734" s="346">
        <f t="shared" ref="CE734:DJ734" si="1088">CE374</f>
        <v>0</v>
      </c>
      <c r="CF734" s="346">
        <f t="shared" si="1088"/>
        <v>0</v>
      </c>
      <c r="CG734" s="346">
        <f t="shared" si="1088"/>
        <v>0</v>
      </c>
      <c r="CH734" s="346">
        <f t="shared" si="1088"/>
        <v>0</v>
      </c>
      <c r="CI734" s="346">
        <f t="shared" si="1088"/>
        <v>0</v>
      </c>
      <c r="CJ734" s="346">
        <f t="shared" si="1088"/>
        <v>0</v>
      </c>
      <c r="CK734" s="346">
        <f t="shared" si="1088"/>
        <v>0</v>
      </c>
      <c r="CL734" s="346">
        <f t="shared" si="1088"/>
        <v>0</v>
      </c>
      <c r="CM734" s="346">
        <f t="shared" si="1088"/>
        <v>0</v>
      </c>
      <c r="CN734" s="346">
        <f t="shared" si="1088"/>
        <v>0</v>
      </c>
      <c r="CO734" s="346">
        <f t="shared" si="1088"/>
        <v>0</v>
      </c>
      <c r="CP734" s="348">
        <f t="shared" si="1088"/>
        <v>0</v>
      </c>
      <c r="CQ734" s="346">
        <f t="shared" si="1088"/>
        <v>0</v>
      </c>
      <c r="CR734" s="346">
        <f t="shared" si="1088"/>
        <v>0</v>
      </c>
      <c r="CS734" s="346">
        <f t="shared" si="1088"/>
        <v>0</v>
      </c>
      <c r="CT734" s="346">
        <f t="shared" si="1088"/>
        <v>0</v>
      </c>
      <c r="CU734" s="346">
        <f t="shared" si="1088"/>
        <v>0</v>
      </c>
      <c r="CV734" s="346">
        <f t="shared" si="1088"/>
        <v>0</v>
      </c>
      <c r="CW734" s="346">
        <f t="shared" si="1088"/>
        <v>0</v>
      </c>
      <c r="CX734" s="346">
        <f t="shared" si="1088"/>
        <v>0</v>
      </c>
      <c r="CY734" s="346">
        <f t="shared" si="1088"/>
        <v>0</v>
      </c>
      <c r="CZ734" s="346">
        <f t="shared" si="1088"/>
        <v>0</v>
      </c>
      <c r="DA734" s="346">
        <f t="shared" si="1088"/>
        <v>0</v>
      </c>
      <c r="DB734" s="1479">
        <f t="shared" si="1088"/>
        <v>0</v>
      </c>
      <c r="DC734" s="346">
        <f t="shared" si="1088"/>
        <v>0</v>
      </c>
      <c r="DD734" s="346">
        <f t="shared" si="1088"/>
        <v>0</v>
      </c>
      <c r="DE734" s="346">
        <f t="shared" si="1088"/>
        <v>0</v>
      </c>
      <c r="DF734" s="346">
        <f t="shared" si="1088"/>
        <v>0</v>
      </c>
      <c r="DG734" s="346">
        <f t="shared" si="1088"/>
        <v>0</v>
      </c>
      <c r="DH734" s="346">
        <f t="shared" si="1088"/>
        <v>0</v>
      </c>
      <c r="DI734" s="346">
        <f t="shared" si="1088"/>
        <v>0</v>
      </c>
      <c r="DJ734" s="346">
        <f t="shared" si="1088"/>
        <v>0</v>
      </c>
      <c r="DK734" s="346">
        <f t="shared" ref="DK734:EP734" si="1089">DK374</f>
        <v>0</v>
      </c>
      <c r="DL734" s="346">
        <f t="shared" si="1089"/>
        <v>0</v>
      </c>
      <c r="DM734" s="346">
        <f t="shared" si="1089"/>
        <v>0</v>
      </c>
      <c r="DN734" s="348">
        <f t="shared" si="1089"/>
        <v>0</v>
      </c>
      <c r="DO734" s="346">
        <f t="shared" si="1089"/>
        <v>0</v>
      </c>
      <c r="DP734" s="346">
        <f t="shared" si="1089"/>
        <v>0</v>
      </c>
      <c r="DQ734" s="346">
        <f t="shared" si="1089"/>
        <v>0</v>
      </c>
      <c r="DR734" s="346">
        <f t="shared" si="1089"/>
        <v>0</v>
      </c>
      <c r="DS734" s="346">
        <f t="shared" si="1089"/>
        <v>0</v>
      </c>
      <c r="DT734" s="346">
        <f t="shared" si="1089"/>
        <v>0</v>
      </c>
      <c r="DU734" s="346">
        <f t="shared" si="1089"/>
        <v>0</v>
      </c>
      <c r="DV734" s="346">
        <f t="shared" si="1089"/>
        <v>0</v>
      </c>
      <c r="DW734" s="346">
        <f t="shared" si="1089"/>
        <v>0</v>
      </c>
      <c r="DX734" s="346">
        <f t="shared" si="1089"/>
        <v>0</v>
      </c>
      <c r="DY734" s="346">
        <f t="shared" si="1089"/>
        <v>0</v>
      </c>
      <c r="DZ734" s="348">
        <f t="shared" si="1089"/>
        <v>0</v>
      </c>
      <c r="EA734" s="346">
        <f t="shared" si="1089"/>
        <v>0</v>
      </c>
      <c r="EB734" s="346">
        <f t="shared" si="1089"/>
        <v>0</v>
      </c>
      <c r="EC734" s="346">
        <f t="shared" si="1089"/>
        <v>0</v>
      </c>
      <c r="ED734" s="346">
        <f t="shared" si="1089"/>
        <v>0</v>
      </c>
      <c r="EE734" s="346">
        <f t="shared" si="1089"/>
        <v>0</v>
      </c>
      <c r="EF734" s="346">
        <f t="shared" si="1089"/>
        <v>0</v>
      </c>
      <c r="EG734" s="346">
        <f t="shared" si="1089"/>
        <v>0</v>
      </c>
      <c r="EH734" s="346">
        <f t="shared" si="1089"/>
        <v>0</v>
      </c>
      <c r="EI734" s="346">
        <f t="shared" si="1089"/>
        <v>0</v>
      </c>
      <c r="EJ734" s="346">
        <f t="shared" si="1089"/>
        <v>0</v>
      </c>
      <c r="EK734" s="346">
        <f t="shared" si="1089"/>
        <v>0</v>
      </c>
      <c r="EL734" s="348">
        <f t="shared" si="1089"/>
        <v>0</v>
      </c>
      <c r="EM734" s="346">
        <f t="shared" si="1089"/>
        <v>0</v>
      </c>
      <c r="EN734" s="346">
        <f t="shared" si="1089"/>
        <v>0</v>
      </c>
      <c r="EO734" s="346">
        <f t="shared" si="1089"/>
        <v>0</v>
      </c>
      <c r="EP734" s="346">
        <f t="shared" si="1089"/>
        <v>0</v>
      </c>
      <c r="EQ734" s="346">
        <f t="shared" ref="EQ734:FP734" si="1090">EQ374</f>
        <v>0</v>
      </c>
      <c r="ER734" s="346">
        <f t="shared" si="1090"/>
        <v>0</v>
      </c>
      <c r="ES734" s="346">
        <f t="shared" si="1090"/>
        <v>0</v>
      </c>
      <c r="ET734" s="346">
        <f t="shared" si="1090"/>
        <v>0</v>
      </c>
      <c r="EU734" s="346">
        <f t="shared" si="1090"/>
        <v>0</v>
      </c>
      <c r="EV734" s="346">
        <f t="shared" si="1090"/>
        <v>0</v>
      </c>
      <c r="EW734" s="346">
        <f t="shared" si="1090"/>
        <v>0</v>
      </c>
      <c r="EX734" s="348">
        <f t="shared" si="1090"/>
        <v>0</v>
      </c>
      <c r="EY734" s="346">
        <f t="shared" si="1090"/>
        <v>0</v>
      </c>
      <c r="EZ734" s="346">
        <f t="shared" si="1090"/>
        <v>0</v>
      </c>
      <c r="FA734" s="346">
        <f t="shared" si="1090"/>
        <v>0</v>
      </c>
      <c r="FB734" s="346">
        <f t="shared" si="1090"/>
        <v>0</v>
      </c>
      <c r="FC734" s="346">
        <f t="shared" si="1090"/>
        <v>0</v>
      </c>
      <c r="FD734" s="346">
        <f t="shared" si="1090"/>
        <v>0</v>
      </c>
      <c r="FE734" s="346">
        <f t="shared" si="1090"/>
        <v>0</v>
      </c>
      <c r="FF734" s="346">
        <f t="shared" si="1090"/>
        <v>0</v>
      </c>
      <c r="FG734" s="346">
        <f t="shared" si="1090"/>
        <v>0</v>
      </c>
      <c r="FH734" s="346">
        <f t="shared" si="1090"/>
        <v>0</v>
      </c>
      <c r="FI734" s="346">
        <f t="shared" si="1090"/>
        <v>0</v>
      </c>
      <c r="FJ734" s="348">
        <f t="shared" si="1090"/>
        <v>0</v>
      </c>
      <c r="FK734" s="346">
        <f t="shared" si="1090"/>
        <v>0</v>
      </c>
      <c r="FL734" s="346">
        <f t="shared" si="1090"/>
        <v>0</v>
      </c>
      <c r="FM734" s="346">
        <f t="shared" si="1090"/>
        <v>0</v>
      </c>
      <c r="FN734" s="346">
        <f t="shared" si="1090"/>
        <v>0</v>
      </c>
      <c r="FO734" s="346">
        <f t="shared" si="1090"/>
        <v>0</v>
      </c>
      <c r="FP734" s="346">
        <f t="shared" si="1090"/>
        <v>0</v>
      </c>
      <c r="FQ734" s="346">
        <f t="shared" si="1063"/>
        <v>0</v>
      </c>
      <c r="FR734" s="346">
        <f t="shared" si="1063"/>
        <v>0</v>
      </c>
      <c r="FS734" s="346">
        <f t="shared" si="1063"/>
        <v>0</v>
      </c>
      <c r="FT734" s="346">
        <f t="shared" si="1063"/>
        <v>0</v>
      </c>
      <c r="FU734" s="346">
        <f t="shared" si="1063"/>
        <v>0</v>
      </c>
      <c r="FV734" s="346">
        <f t="shared" si="1063"/>
        <v>0</v>
      </c>
      <c r="FW734" s="346">
        <v>0</v>
      </c>
      <c r="FX734" s="346">
        <v>0</v>
      </c>
      <c r="FY734" s="346">
        <v>0</v>
      </c>
      <c r="FZ734" s="346">
        <v>0</v>
      </c>
      <c r="GA734" s="346">
        <v>0</v>
      </c>
      <c r="GB734" s="346">
        <v>0</v>
      </c>
      <c r="GC734" s="346">
        <v>0</v>
      </c>
      <c r="GD734" s="346">
        <v>0</v>
      </c>
      <c r="GE734" s="346">
        <v>0</v>
      </c>
      <c r="GF734" s="346">
        <v>0</v>
      </c>
      <c r="GG734" s="346">
        <v>0</v>
      </c>
      <c r="GH734" s="346">
        <v>0</v>
      </c>
      <c r="GI734" s="346">
        <v>0</v>
      </c>
      <c r="GJ734" s="346">
        <v>0</v>
      </c>
      <c r="GK734" s="346">
        <v>0</v>
      </c>
      <c r="GL734" s="346">
        <v>0</v>
      </c>
      <c r="GM734" s="346">
        <v>0</v>
      </c>
      <c r="GN734" s="346">
        <v>0</v>
      </c>
      <c r="GO734" s="346">
        <v>0</v>
      </c>
      <c r="GP734" s="346">
        <v>0</v>
      </c>
      <c r="GQ734" s="346">
        <v>0</v>
      </c>
      <c r="GR734" s="346">
        <v>0</v>
      </c>
      <c r="GS734" s="346">
        <v>0</v>
      </c>
      <c r="GT734" s="346">
        <v>0</v>
      </c>
      <c r="GU734" s="346">
        <v>0</v>
      </c>
      <c r="GV734" s="346">
        <v>0</v>
      </c>
      <c r="GW734" s="346">
        <v>0</v>
      </c>
      <c r="GX734" s="346">
        <v>0</v>
      </c>
      <c r="GY734" s="346">
        <v>0</v>
      </c>
      <c r="GZ734" s="346">
        <v>0</v>
      </c>
      <c r="HA734" s="346">
        <v>0</v>
      </c>
      <c r="HB734" s="346">
        <v>0</v>
      </c>
      <c r="HC734" s="346">
        <v>0</v>
      </c>
      <c r="HD734" s="346">
        <v>0</v>
      </c>
      <c r="HE734" s="346">
        <v>0</v>
      </c>
      <c r="HF734" s="346">
        <v>0</v>
      </c>
      <c r="HG734" s="346">
        <v>0</v>
      </c>
      <c r="HH734" s="346">
        <v>0</v>
      </c>
      <c r="HI734" s="346">
        <v>0</v>
      </c>
      <c r="HJ734" s="346">
        <v>0</v>
      </c>
      <c r="HK734" s="346">
        <v>0</v>
      </c>
      <c r="HL734" s="346">
        <v>0</v>
      </c>
      <c r="HM734" s="346"/>
      <c r="HN734" s="349"/>
      <c r="HO734" s="1722" t="s">
        <v>546</v>
      </c>
      <c r="HP734" s="307">
        <f t="shared" si="1037"/>
        <v>0</v>
      </c>
      <c r="HQ734" s="302">
        <f t="shared" si="1038"/>
        <v>0</v>
      </c>
      <c r="HR734" s="346">
        <f t="shared" si="698"/>
        <v>0</v>
      </c>
      <c r="HS734" s="302">
        <f t="shared" si="1039"/>
        <v>0</v>
      </c>
      <c r="HT734" s="302">
        <f t="shared" si="1040"/>
        <v>0</v>
      </c>
      <c r="HU734" s="346">
        <f t="shared" si="678"/>
        <v>0</v>
      </c>
      <c r="HV734" s="307">
        <f t="shared" si="1041"/>
        <v>0</v>
      </c>
      <c r="HW734" s="302">
        <f t="shared" si="1042"/>
        <v>0</v>
      </c>
      <c r="HX734" s="346">
        <f t="shared" si="679"/>
        <v>0</v>
      </c>
      <c r="HY734" s="350">
        <f t="shared" si="1043"/>
        <v>0</v>
      </c>
      <c r="HZ734" s="302">
        <f t="shared" si="1044"/>
        <v>0</v>
      </c>
      <c r="IA734" s="346">
        <f t="shared" si="680"/>
        <v>0</v>
      </c>
      <c r="IB734" s="302">
        <f t="shared" si="1045"/>
        <v>0</v>
      </c>
      <c r="IC734" s="302">
        <f t="shared" si="1046"/>
        <v>0</v>
      </c>
      <c r="ID734" s="346">
        <f t="shared" si="681"/>
        <v>0</v>
      </c>
      <c r="IE734" s="350">
        <f t="shared" si="1047"/>
        <v>0</v>
      </c>
      <c r="IF734" s="350">
        <f t="shared" si="1048"/>
        <v>0</v>
      </c>
      <c r="IG734" s="346">
        <f t="shared" si="682"/>
        <v>0</v>
      </c>
      <c r="IH734" s="350">
        <f t="shared" si="1049"/>
        <v>0</v>
      </c>
      <c r="II734" s="350">
        <f t="shared" si="1050"/>
        <v>0</v>
      </c>
      <c r="IJ734" s="346">
        <f t="shared" si="683"/>
        <v>0</v>
      </c>
      <c r="IK734" s="350">
        <f t="shared" si="1051"/>
        <v>0</v>
      </c>
      <c r="IL734" s="350">
        <f t="shared" si="993"/>
        <v>0</v>
      </c>
      <c r="IM734" s="346">
        <f>IK734+IL734</f>
        <v>0</v>
      </c>
      <c r="IN734" s="350">
        <f t="shared" si="1052"/>
        <v>0</v>
      </c>
      <c r="IO734" s="350">
        <f t="shared" si="1053"/>
        <v>0</v>
      </c>
      <c r="IP734" s="346">
        <f t="shared" si="1066"/>
        <v>0</v>
      </c>
      <c r="IQ734" s="350">
        <f t="shared" si="1054"/>
        <v>0</v>
      </c>
      <c r="IR734" s="350">
        <f t="shared" si="1055"/>
        <v>0</v>
      </c>
      <c r="IS734" s="346">
        <f t="shared" si="1067"/>
        <v>0</v>
      </c>
      <c r="IT734" s="350">
        <f t="shared" si="1068"/>
        <v>0</v>
      </c>
      <c r="IU734" s="350">
        <f t="shared" si="986"/>
        <v>0</v>
      </c>
      <c r="IV734" s="346">
        <f t="shared" si="1020"/>
        <v>0</v>
      </c>
      <c r="IW734" s="350">
        <f t="shared" si="1081"/>
        <v>0</v>
      </c>
      <c r="IX734" s="350">
        <f t="shared" si="1069"/>
        <v>0</v>
      </c>
      <c r="IY734" s="346">
        <f>FISC!AJ1056</f>
        <v>0</v>
      </c>
      <c r="IZ734" s="350">
        <f t="shared" si="1070"/>
        <v>0</v>
      </c>
      <c r="JA734" s="302">
        <f t="shared" ref="JA734:JA743" si="1091">JB734-IZ734</f>
        <v>0</v>
      </c>
      <c r="JB734" s="346">
        <f>FISC!AK1056</f>
        <v>0</v>
      </c>
      <c r="JC734" s="350">
        <f t="shared" si="1071"/>
        <v>0</v>
      </c>
      <c r="JD734" s="302">
        <f t="shared" si="1056"/>
        <v>0</v>
      </c>
      <c r="JE734" s="346">
        <f>FISC!AL1056</f>
        <v>0</v>
      </c>
      <c r="JF734" s="350">
        <f t="shared" si="1072"/>
        <v>0</v>
      </c>
      <c r="JG734" s="302">
        <f t="shared" si="1057"/>
        <v>0</v>
      </c>
      <c r="JH734" s="346">
        <f>FISC!AM1056</f>
        <v>0</v>
      </c>
      <c r="JI734" s="350">
        <f t="shared" si="1073"/>
        <v>0</v>
      </c>
      <c r="JJ734" s="302">
        <f t="shared" si="1058"/>
        <v>0</v>
      </c>
      <c r="JK734" s="346">
        <f>FISC!AN1056</f>
        <v>0</v>
      </c>
      <c r="JL734" s="350">
        <f t="shared" si="1074"/>
        <v>0</v>
      </c>
      <c r="JM734" s="302">
        <f t="shared" si="1059"/>
        <v>0</v>
      </c>
      <c r="JN734" s="346">
        <f>FISC!AO1056</f>
        <v>0</v>
      </c>
      <c r="KI734" s="349"/>
      <c r="KJ734" s="350"/>
    </row>
    <row r="735" spans="1:302" hidden="1" outlineLevel="1">
      <c r="A735" s="302"/>
      <c r="D735" s="1743" t="s">
        <v>3229</v>
      </c>
      <c r="E735" s="346"/>
      <c r="F735" s="346"/>
      <c r="G735" s="346"/>
      <c r="H735" s="346"/>
      <c r="I735" s="346"/>
      <c r="J735" s="346"/>
      <c r="K735" s="346"/>
      <c r="L735" s="346"/>
      <c r="M735" s="346"/>
      <c r="N735" s="346"/>
      <c r="O735" s="346"/>
      <c r="P735" s="346"/>
      <c r="Q735" s="346"/>
      <c r="R735" s="346"/>
      <c r="S735" s="346"/>
      <c r="T735" s="346"/>
      <c r="U735" s="346"/>
      <c r="V735" s="346"/>
      <c r="W735" s="346"/>
      <c r="X735" s="346"/>
      <c r="Y735" s="346"/>
      <c r="Z735" s="346"/>
      <c r="AA735" s="346"/>
      <c r="AB735" s="346"/>
      <c r="AC735" s="346"/>
      <c r="AD735" s="346"/>
      <c r="AE735" s="346"/>
      <c r="AF735" s="346"/>
      <c r="AG735" s="346"/>
      <c r="AH735" s="346"/>
      <c r="AI735" s="346"/>
      <c r="AJ735" s="346"/>
      <c r="AK735" s="346"/>
      <c r="AL735" s="346"/>
      <c r="AM735" s="346"/>
      <c r="AN735" s="346"/>
      <c r="AO735" s="346"/>
      <c r="AP735" s="346"/>
      <c r="AQ735" s="346"/>
      <c r="AR735" s="346"/>
      <c r="AS735" s="346"/>
      <c r="AT735" s="346"/>
      <c r="AU735" s="346"/>
      <c r="AV735" s="346"/>
      <c r="AW735" s="346"/>
      <c r="AX735" s="346"/>
      <c r="AY735" s="346"/>
      <c r="AZ735" s="346"/>
      <c r="BA735" s="346"/>
      <c r="BB735" s="346"/>
      <c r="BC735" s="346"/>
      <c r="BD735" s="346"/>
      <c r="BE735" s="346"/>
      <c r="BF735" s="346"/>
      <c r="BG735" s="346"/>
      <c r="BH735" s="346"/>
      <c r="BI735" s="346"/>
      <c r="BJ735" s="346"/>
      <c r="BK735" s="346"/>
      <c r="BL735" s="346"/>
      <c r="BM735" s="346"/>
      <c r="BN735" s="346"/>
      <c r="BO735" s="346"/>
      <c r="BP735" s="346"/>
      <c r="BQ735" s="346"/>
      <c r="BR735" s="346"/>
      <c r="BS735" s="346"/>
      <c r="BT735" s="346"/>
      <c r="BU735" s="346"/>
      <c r="BV735" s="346"/>
      <c r="BW735" s="346"/>
      <c r="BX735" s="346"/>
      <c r="BY735" s="346"/>
      <c r="BZ735" s="346"/>
      <c r="CA735" s="346"/>
      <c r="CB735" s="346"/>
      <c r="CC735" s="346"/>
      <c r="CD735" s="352"/>
      <c r="CE735" s="346">
        <f t="shared" ref="CE735:DJ735" si="1092">CE375</f>
        <v>0</v>
      </c>
      <c r="CF735" s="346">
        <f t="shared" si="1092"/>
        <v>0</v>
      </c>
      <c r="CG735" s="346">
        <f t="shared" si="1092"/>
        <v>0</v>
      </c>
      <c r="CH735" s="346">
        <f t="shared" si="1092"/>
        <v>0</v>
      </c>
      <c r="CI735" s="346">
        <f t="shared" si="1092"/>
        <v>0</v>
      </c>
      <c r="CJ735" s="346">
        <f t="shared" si="1092"/>
        <v>0</v>
      </c>
      <c r="CK735" s="346">
        <f t="shared" si="1092"/>
        <v>0</v>
      </c>
      <c r="CL735" s="346">
        <f t="shared" si="1092"/>
        <v>0</v>
      </c>
      <c r="CM735" s="346">
        <f t="shared" si="1092"/>
        <v>0</v>
      </c>
      <c r="CN735" s="346">
        <f t="shared" si="1092"/>
        <v>0</v>
      </c>
      <c r="CO735" s="346">
        <f t="shared" si="1092"/>
        <v>0</v>
      </c>
      <c r="CP735" s="348">
        <f t="shared" si="1092"/>
        <v>0</v>
      </c>
      <c r="CQ735" s="346">
        <f t="shared" si="1092"/>
        <v>0</v>
      </c>
      <c r="CR735" s="346">
        <f t="shared" si="1092"/>
        <v>0</v>
      </c>
      <c r="CS735" s="346">
        <f t="shared" si="1092"/>
        <v>0</v>
      </c>
      <c r="CT735" s="346">
        <f t="shared" si="1092"/>
        <v>0</v>
      </c>
      <c r="CU735" s="346">
        <f t="shared" si="1092"/>
        <v>0</v>
      </c>
      <c r="CV735" s="346">
        <f t="shared" si="1092"/>
        <v>0</v>
      </c>
      <c r="CW735" s="346">
        <f t="shared" si="1092"/>
        <v>0</v>
      </c>
      <c r="CX735" s="346">
        <f t="shared" si="1092"/>
        <v>0</v>
      </c>
      <c r="CY735" s="346">
        <f t="shared" si="1092"/>
        <v>0</v>
      </c>
      <c r="CZ735" s="346">
        <f t="shared" si="1092"/>
        <v>0</v>
      </c>
      <c r="DA735" s="346">
        <f t="shared" si="1092"/>
        <v>0</v>
      </c>
      <c r="DB735" s="1479">
        <f t="shared" si="1092"/>
        <v>0</v>
      </c>
      <c r="DC735" s="346">
        <f t="shared" si="1092"/>
        <v>0</v>
      </c>
      <c r="DD735" s="346">
        <f t="shared" si="1092"/>
        <v>0</v>
      </c>
      <c r="DE735" s="346">
        <f t="shared" si="1092"/>
        <v>0</v>
      </c>
      <c r="DF735" s="346">
        <f t="shared" si="1092"/>
        <v>0</v>
      </c>
      <c r="DG735" s="346">
        <f t="shared" si="1092"/>
        <v>0</v>
      </c>
      <c r="DH735" s="346">
        <f t="shared" si="1092"/>
        <v>0</v>
      </c>
      <c r="DI735" s="346">
        <f t="shared" si="1092"/>
        <v>0</v>
      </c>
      <c r="DJ735" s="346">
        <f t="shared" si="1092"/>
        <v>0</v>
      </c>
      <c r="DK735" s="346">
        <f t="shared" ref="DK735:EP735" si="1093">DK375</f>
        <v>0</v>
      </c>
      <c r="DL735" s="346">
        <f t="shared" si="1093"/>
        <v>0</v>
      </c>
      <c r="DM735" s="346">
        <f t="shared" si="1093"/>
        <v>0</v>
      </c>
      <c r="DN735" s="348">
        <f t="shared" si="1093"/>
        <v>0</v>
      </c>
      <c r="DO735" s="346">
        <f t="shared" si="1093"/>
        <v>0</v>
      </c>
      <c r="DP735" s="346">
        <f t="shared" si="1093"/>
        <v>0</v>
      </c>
      <c r="DQ735" s="346">
        <f t="shared" si="1093"/>
        <v>0</v>
      </c>
      <c r="DR735" s="346">
        <f t="shared" si="1093"/>
        <v>0</v>
      </c>
      <c r="DS735" s="346">
        <f t="shared" si="1093"/>
        <v>0</v>
      </c>
      <c r="DT735" s="346">
        <f t="shared" si="1093"/>
        <v>0</v>
      </c>
      <c r="DU735" s="346">
        <f t="shared" si="1093"/>
        <v>0</v>
      </c>
      <c r="DV735" s="346">
        <f t="shared" si="1093"/>
        <v>0</v>
      </c>
      <c r="DW735" s="346">
        <f t="shared" si="1093"/>
        <v>0</v>
      </c>
      <c r="DX735" s="346">
        <f t="shared" si="1093"/>
        <v>0</v>
      </c>
      <c r="DY735" s="346">
        <f t="shared" si="1093"/>
        <v>0</v>
      </c>
      <c r="DZ735" s="348">
        <f t="shared" si="1093"/>
        <v>0</v>
      </c>
      <c r="EA735" s="346">
        <f t="shared" si="1093"/>
        <v>0</v>
      </c>
      <c r="EB735" s="346">
        <f t="shared" si="1093"/>
        <v>0</v>
      </c>
      <c r="EC735" s="346">
        <f t="shared" si="1093"/>
        <v>0</v>
      </c>
      <c r="ED735" s="346">
        <f t="shared" si="1093"/>
        <v>0</v>
      </c>
      <c r="EE735" s="346">
        <f t="shared" si="1093"/>
        <v>0</v>
      </c>
      <c r="EF735" s="346">
        <f t="shared" si="1093"/>
        <v>0</v>
      </c>
      <c r="EG735" s="346">
        <f t="shared" si="1093"/>
        <v>0</v>
      </c>
      <c r="EH735" s="346">
        <f t="shared" si="1093"/>
        <v>0</v>
      </c>
      <c r="EI735" s="346">
        <f t="shared" si="1093"/>
        <v>0</v>
      </c>
      <c r="EJ735" s="346">
        <f t="shared" si="1093"/>
        <v>0</v>
      </c>
      <c r="EK735" s="346">
        <f t="shared" si="1093"/>
        <v>0</v>
      </c>
      <c r="EL735" s="348">
        <f t="shared" si="1093"/>
        <v>0</v>
      </c>
      <c r="EM735" s="346">
        <f t="shared" si="1093"/>
        <v>0</v>
      </c>
      <c r="EN735" s="346">
        <f t="shared" si="1093"/>
        <v>0</v>
      </c>
      <c r="EO735" s="346">
        <f t="shared" si="1093"/>
        <v>0</v>
      </c>
      <c r="EP735" s="346">
        <f t="shared" si="1093"/>
        <v>0</v>
      </c>
      <c r="EQ735" s="346">
        <f t="shared" ref="EQ735:FP735" si="1094">EQ375</f>
        <v>0</v>
      </c>
      <c r="ER735" s="346">
        <f t="shared" si="1094"/>
        <v>0</v>
      </c>
      <c r="ES735" s="346">
        <f t="shared" si="1094"/>
        <v>0</v>
      </c>
      <c r="ET735" s="346">
        <f t="shared" si="1094"/>
        <v>0</v>
      </c>
      <c r="EU735" s="346">
        <f t="shared" si="1094"/>
        <v>0</v>
      </c>
      <c r="EV735" s="346">
        <f t="shared" si="1094"/>
        <v>0</v>
      </c>
      <c r="EW735" s="346">
        <f t="shared" si="1094"/>
        <v>0</v>
      </c>
      <c r="EX735" s="348">
        <f t="shared" si="1094"/>
        <v>0</v>
      </c>
      <c r="EY735" s="346">
        <f t="shared" si="1094"/>
        <v>0</v>
      </c>
      <c r="EZ735" s="346">
        <f t="shared" si="1094"/>
        <v>0</v>
      </c>
      <c r="FA735" s="346">
        <f t="shared" si="1094"/>
        <v>0</v>
      </c>
      <c r="FB735" s="346">
        <f t="shared" si="1094"/>
        <v>0</v>
      </c>
      <c r="FC735" s="346">
        <f t="shared" si="1094"/>
        <v>0</v>
      </c>
      <c r="FD735" s="346">
        <f t="shared" si="1094"/>
        <v>0</v>
      </c>
      <c r="FE735" s="346">
        <f t="shared" si="1094"/>
        <v>0</v>
      </c>
      <c r="FF735" s="346">
        <f t="shared" si="1094"/>
        <v>0</v>
      </c>
      <c r="FG735" s="346">
        <f t="shared" si="1094"/>
        <v>0</v>
      </c>
      <c r="FH735" s="346">
        <f t="shared" si="1094"/>
        <v>0</v>
      </c>
      <c r="FI735" s="346">
        <f t="shared" si="1094"/>
        <v>0</v>
      </c>
      <c r="FJ735" s="348">
        <f t="shared" si="1094"/>
        <v>0</v>
      </c>
      <c r="FK735" s="346">
        <f t="shared" si="1094"/>
        <v>0</v>
      </c>
      <c r="FL735" s="346">
        <f t="shared" si="1094"/>
        <v>0</v>
      </c>
      <c r="FM735" s="346">
        <f t="shared" si="1094"/>
        <v>0</v>
      </c>
      <c r="FN735" s="346">
        <f t="shared" si="1094"/>
        <v>0</v>
      </c>
      <c r="FO735" s="346">
        <f t="shared" si="1094"/>
        <v>0</v>
      </c>
      <c r="FP735" s="346">
        <f t="shared" si="1094"/>
        <v>0</v>
      </c>
      <c r="FQ735" s="346">
        <f t="shared" si="1063"/>
        <v>0</v>
      </c>
      <c r="FR735" s="346">
        <f t="shared" si="1063"/>
        <v>0</v>
      </c>
      <c r="FS735" s="346">
        <f t="shared" si="1063"/>
        <v>0</v>
      </c>
      <c r="FT735" s="346">
        <f t="shared" si="1063"/>
        <v>0</v>
      </c>
      <c r="FU735" s="346">
        <f t="shared" si="1063"/>
        <v>0</v>
      </c>
      <c r="FV735" s="346">
        <f t="shared" si="1063"/>
        <v>0</v>
      </c>
      <c r="FW735" s="346">
        <v>0</v>
      </c>
      <c r="FX735" s="346">
        <v>0</v>
      </c>
      <c r="FY735" s="346">
        <v>0</v>
      </c>
      <c r="FZ735" s="346">
        <v>0</v>
      </c>
      <c r="GA735" s="346">
        <v>0</v>
      </c>
      <c r="GB735" s="346">
        <v>0</v>
      </c>
      <c r="GC735" s="346">
        <v>0</v>
      </c>
      <c r="GD735" s="346">
        <v>0</v>
      </c>
      <c r="GE735" s="346">
        <v>0</v>
      </c>
      <c r="GF735" s="346">
        <v>0</v>
      </c>
      <c r="GG735" s="346">
        <v>0</v>
      </c>
      <c r="GH735" s="346">
        <v>0</v>
      </c>
      <c r="GI735" s="346">
        <v>0</v>
      </c>
      <c r="GJ735" s="346">
        <v>0</v>
      </c>
      <c r="GK735" s="346">
        <v>0</v>
      </c>
      <c r="GL735" s="346">
        <v>0</v>
      </c>
      <c r="GM735" s="346">
        <v>0</v>
      </c>
      <c r="GN735" s="346">
        <v>0</v>
      </c>
      <c r="GO735" s="346">
        <v>0</v>
      </c>
      <c r="GP735" s="346">
        <v>0</v>
      </c>
      <c r="GQ735" s="346">
        <v>0</v>
      </c>
      <c r="GR735" s="346">
        <v>0</v>
      </c>
      <c r="GS735" s="346">
        <v>0</v>
      </c>
      <c r="GT735" s="346">
        <v>0</v>
      </c>
      <c r="GU735" s="346">
        <v>0</v>
      </c>
      <c r="GV735" s="346">
        <v>0</v>
      </c>
      <c r="GW735" s="346">
        <v>0</v>
      </c>
      <c r="GX735" s="346">
        <v>0</v>
      </c>
      <c r="GY735" s="346">
        <v>0</v>
      </c>
      <c r="GZ735" s="346">
        <v>0</v>
      </c>
      <c r="HA735" s="346">
        <v>0</v>
      </c>
      <c r="HB735" s="346">
        <v>0</v>
      </c>
      <c r="HC735" s="346">
        <v>0</v>
      </c>
      <c r="HD735" s="346">
        <v>0</v>
      </c>
      <c r="HE735" s="346">
        <v>0</v>
      </c>
      <c r="HF735" s="346">
        <v>0</v>
      </c>
      <c r="HG735" s="346">
        <v>0</v>
      </c>
      <c r="HH735" s="346">
        <v>0</v>
      </c>
      <c r="HI735" s="346">
        <v>0</v>
      </c>
      <c r="HJ735" s="346">
        <v>0</v>
      </c>
      <c r="HK735" s="346">
        <v>0</v>
      </c>
      <c r="HL735" s="346">
        <v>0</v>
      </c>
      <c r="HM735" s="346"/>
      <c r="HN735" s="349"/>
      <c r="HO735" s="1743" t="s">
        <v>3229</v>
      </c>
      <c r="HP735" s="307">
        <f t="shared" si="1037"/>
        <v>0</v>
      </c>
      <c r="HQ735" s="302">
        <f t="shared" si="1038"/>
        <v>0</v>
      </c>
      <c r="HR735" s="346">
        <f t="shared" si="698"/>
        <v>0</v>
      </c>
      <c r="HS735" s="302">
        <f t="shared" si="1039"/>
        <v>0</v>
      </c>
      <c r="HT735" s="302">
        <f t="shared" si="1040"/>
        <v>0</v>
      </c>
      <c r="HU735" s="346">
        <f t="shared" si="678"/>
        <v>0</v>
      </c>
      <c r="HV735" s="307">
        <f t="shared" si="1041"/>
        <v>0</v>
      </c>
      <c r="HW735" s="302">
        <f t="shared" si="1042"/>
        <v>0</v>
      </c>
      <c r="HX735" s="346">
        <f t="shared" si="679"/>
        <v>0</v>
      </c>
      <c r="HY735" s="350">
        <f t="shared" si="1043"/>
        <v>0</v>
      </c>
      <c r="HZ735" s="302">
        <f t="shared" si="1044"/>
        <v>0</v>
      </c>
      <c r="IA735" s="346">
        <f t="shared" si="680"/>
        <v>0</v>
      </c>
      <c r="IB735" s="302">
        <f t="shared" si="1045"/>
        <v>0</v>
      </c>
      <c r="IC735" s="302">
        <f t="shared" si="1046"/>
        <v>0</v>
      </c>
      <c r="ID735" s="346">
        <f t="shared" si="681"/>
        <v>0</v>
      </c>
      <c r="IE735" s="350">
        <f t="shared" si="1047"/>
        <v>0</v>
      </c>
      <c r="IF735" s="350">
        <f t="shared" si="1048"/>
        <v>0</v>
      </c>
      <c r="IG735" s="346">
        <f t="shared" si="682"/>
        <v>0</v>
      </c>
      <c r="IH735" s="350">
        <f t="shared" si="1049"/>
        <v>0</v>
      </c>
      <c r="II735" s="350">
        <f t="shared" si="1050"/>
        <v>0</v>
      </c>
      <c r="IJ735" s="346">
        <f t="shared" si="683"/>
        <v>0</v>
      </c>
      <c r="IK735" s="350">
        <f t="shared" si="1051"/>
        <v>0</v>
      </c>
      <c r="IL735" s="350">
        <f t="shared" si="993"/>
        <v>0</v>
      </c>
      <c r="IM735" s="346">
        <f t="shared" si="1080"/>
        <v>0</v>
      </c>
      <c r="IN735" s="350">
        <f t="shared" si="1052"/>
        <v>0</v>
      </c>
      <c r="IO735" s="350">
        <f t="shared" si="1053"/>
        <v>0</v>
      </c>
      <c r="IP735" s="346">
        <f t="shared" si="1066"/>
        <v>0</v>
      </c>
      <c r="IQ735" s="350">
        <f t="shared" si="1054"/>
        <v>0</v>
      </c>
      <c r="IR735" s="350">
        <f t="shared" si="1055"/>
        <v>0</v>
      </c>
      <c r="IS735" s="346">
        <f t="shared" si="1067"/>
        <v>0</v>
      </c>
      <c r="IT735" s="350">
        <f t="shared" si="1068"/>
        <v>0</v>
      </c>
      <c r="IU735" s="350">
        <f t="shared" si="986"/>
        <v>0</v>
      </c>
      <c r="IV735" s="346">
        <f t="shared" si="1020"/>
        <v>0</v>
      </c>
      <c r="IW735" s="350">
        <f t="shared" si="1081"/>
        <v>0</v>
      </c>
      <c r="IX735" s="350">
        <f t="shared" si="1069"/>
        <v>0</v>
      </c>
      <c r="IY735" s="346">
        <f>FISC!AJ1057</f>
        <v>0</v>
      </c>
      <c r="IZ735" s="350">
        <f t="shared" si="1070"/>
        <v>0</v>
      </c>
      <c r="JA735" s="302">
        <f t="shared" si="1091"/>
        <v>0</v>
      </c>
      <c r="JB735" s="346">
        <f>FISC!AK1057</f>
        <v>0</v>
      </c>
      <c r="JC735" s="350">
        <f t="shared" si="1071"/>
        <v>0</v>
      </c>
      <c r="JD735" s="302">
        <f t="shared" si="1056"/>
        <v>0</v>
      </c>
      <c r="JE735" s="346">
        <f>FISC!AL1057</f>
        <v>0</v>
      </c>
      <c r="JF735" s="350">
        <f t="shared" si="1072"/>
        <v>0</v>
      </c>
      <c r="JG735" s="302">
        <f t="shared" si="1057"/>
        <v>0</v>
      </c>
      <c r="JH735" s="346">
        <f>FISC!AM1057</f>
        <v>0</v>
      </c>
      <c r="JI735" s="350">
        <f t="shared" si="1073"/>
        <v>0</v>
      </c>
      <c r="JJ735" s="302">
        <f t="shared" si="1058"/>
        <v>0</v>
      </c>
      <c r="JK735" s="346">
        <f>FISC!AN1057</f>
        <v>0</v>
      </c>
      <c r="JL735" s="350">
        <f t="shared" si="1074"/>
        <v>0</v>
      </c>
      <c r="JM735" s="302">
        <f t="shared" si="1059"/>
        <v>0</v>
      </c>
      <c r="JN735" s="346">
        <f>FISC!AO1057</f>
        <v>0</v>
      </c>
      <c r="KI735" s="349"/>
      <c r="KJ735" s="350"/>
    </row>
    <row r="736" spans="1:302" hidden="1" outlineLevel="1">
      <c r="A736" s="302"/>
      <c r="D736" s="1439" t="s">
        <v>3183</v>
      </c>
      <c r="E736" s="346"/>
      <c r="F736" s="346"/>
      <c r="G736" s="346"/>
      <c r="H736" s="346"/>
      <c r="I736" s="346"/>
      <c r="J736" s="346"/>
      <c r="K736" s="346"/>
      <c r="L736" s="346"/>
      <c r="M736" s="346"/>
      <c r="N736" s="346"/>
      <c r="O736" s="346"/>
      <c r="P736" s="346"/>
      <c r="Q736" s="346"/>
      <c r="R736" s="346"/>
      <c r="S736" s="346"/>
      <c r="T736" s="346"/>
      <c r="U736" s="346"/>
      <c r="V736" s="346"/>
      <c r="W736" s="346"/>
      <c r="X736" s="346"/>
      <c r="Y736" s="346"/>
      <c r="Z736" s="346"/>
      <c r="AA736" s="346"/>
      <c r="AB736" s="346"/>
      <c r="AC736" s="346"/>
      <c r="AD736" s="346"/>
      <c r="AE736" s="346"/>
      <c r="AF736" s="346"/>
      <c r="AG736" s="346"/>
      <c r="AH736" s="346"/>
      <c r="AI736" s="346"/>
      <c r="AJ736" s="346"/>
      <c r="AK736" s="346"/>
      <c r="AL736" s="346"/>
      <c r="AM736" s="346"/>
      <c r="AN736" s="346"/>
      <c r="AO736" s="346"/>
      <c r="AP736" s="346"/>
      <c r="AQ736" s="346"/>
      <c r="AR736" s="346"/>
      <c r="AS736" s="346"/>
      <c r="AT736" s="346"/>
      <c r="AU736" s="346"/>
      <c r="AV736" s="346"/>
      <c r="AW736" s="346"/>
      <c r="AX736" s="346"/>
      <c r="AY736" s="346"/>
      <c r="AZ736" s="346"/>
      <c r="BA736" s="346"/>
      <c r="BB736" s="346"/>
      <c r="BC736" s="346"/>
      <c r="BD736" s="346"/>
      <c r="BE736" s="346"/>
      <c r="BF736" s="346"/>
      <c r="BG736" s="346"/>
      <c r="BH736" s="346"/>
      <c r="BI736" s="346"/>
      <c r="BJ736" s="346"/>
      <c r="BK736" s="346"/>
      <c r="BL736" s="346"/>
      <c r="BM736" s="346"/>
      <c r="BN736" s="346"/>
      <c r="BO736" s="346"/>
      <c r="BP736" s="346"/>
      <c r="BQ736" s="346"/>
      <c r="BR736" s="346"/>
      <c r="BS736" s="346"/>
      <c r="BT736" s="346"/>
      <c r="BU736" s="346"/>
      <c r="BV736" s="346"/>
      <c r="BW736" s="346"/>
      <c r="BX736" s="346"/>
      <c r="BY736" s="346"/>
      <c r="BZ736" s="346"/>
      <c r="CA736" s="346"/>
      <c r="CB736" s="346"/>
      <c r="CC736" s="346"/>
      <c r="CD736" s="352"/>
      <c r="CE736" s="346">
        <f t="shared" ref="CE736:DJ736" si="1095">CE376</f>
        <v>0</v>
      </c>
      <c r="CF736" s="346">
        <f t="shared" si="1095"/>
        <v>0</v>
      </c>
      <c r="CG736" s="346">
        <f t="shared" si="1095"/>
        <v>0</v>
      </c>
      <c r="CH736" s="346">
        <f t="shared" si="1095"/>
        <v>0</v>
      </c>
      <c r="CI736" s="346">
        <f t="shared" si="1095"/>
        <v>0</v>
      </c>
      <c r="CJ736" s="346">
        <f t="shared" si="1095"/>
        <v>0</v>
      </c>
      <c r="CK736" s="346">
        <f t="shared" si="1095"/>
        <v>0</v>
      </c>
      <c r="CL736" s="346">
        <f t="shared" si="1095"/>
        <v>0</v>
      </c>
      <c r="CM736" s="346">
        <f t="shared" si="1095"/>
        <v>0</v>
      </c>
      <c r="CN736" s="346">
        <f t="shared" si="1095"/>
        <v>0</v>
      </c>
      <c r="CO736" s="346">
        <f t="shared" si="1095"/>
        <v>0</v>
      </c>
      <c r="CP736" s="348">
        <f t="shared" si="1095"/>
        <v>0</v>
      </c>
      <c r="CQ736" s="346">
        <f t="shared" si="1095"/>
        <v>0</v>
      </c>
      <c r="CR736" s="346">
        <f t="shared" si="1095"/>
        <v>0</v>
      </c>
      <c r="CS736" s="346">
        <f t="shared" si="1095"/>
        <v>0</v>
      </c>
      <c r="CT736" s="346">
        <f t="shared" si="1095"/>
        <v>0</v>
      </c>
      <c r="CU736" s="346">
        <f t="shared" si="1095"/>
        <v>0</v>
      </c>
      <c r="CV736" s="346">
        <f t="shared" si="1095"/>
        <v>0</v>
      </c>
      <c r="CW736" s="346">
        <f t="shared" si="1095"/>
        <v>0</v>
      </c>
      <c r="CX736" s="346">
        <f t="shared" si="1095"/>
        <v>0</v>
      </c>
      <c r="CY736" s="346">
        <f t="shared" si="1095"/>
        <v>0</v>
      </c>
      <c r="CZ736" s="346">
        <f t="shared" si="1095"/>
        <v>0</v>
      </c>
      <c r="DA736" s="346">
        <f t="shared" si="1095"/>
        <v>0</v>
      </c>
      <c r="DB736" s="1479">
        <f t="shared" si="1095"/>
        <v>0</v>
      </c>
      <c r="DC736" s="346">
        <f t="shared" si="1095"/>
        <v>0</v>
      </c>
      <c r="DD736" s="346">
        <f t="shared" si="1095"/>
        <v>0</v>
      </c>
      <c r="DE736" s="346">
        <f t="shared" si="1095"/>
        <v>0</v>
      </c>
      <c r="DF736" s="346">
        <f t="shared" si="1095"/>
        <v>0</v>
      </c>
      <c r="DG736" s="346">
        <f t="shared" si="1095"/>
        <v>0</v>
      </c>
      <c r="DH736" s="346">
        <f t="shared" si="1095"/>
        <v>0</v>
      </c>
      <c r="DI736" s="346">
        <f t="shared" si="1095"/>
        <v>0</v>
      </c>
      <c r="DJ736" s="346">
        <f t="shared" si="1095"/>
        <v>0</v>
      </c>
      <c r="DK736" s="346">
        <f t="shared" ref="DK736:EP736" si="1096">DK376</f>
        <v>0</v>
      </c>
      <c r="DL736" s="346">
        <f t="shared" si="1096"/>
        <v>0</v>
      </c>
      <c r="DM736" s="346">
        <f t="shared" si="1096"/>
        <v>0</v>
      </c>
      <c r="DN736" s="348">
        <f t="shared" si="1096"/>
        <v>0</v>
      </c>
      <c r="DO736" s="346">
        <f t="shared" si="1096"/>
        <v>0</v>
      </c>
      <c r="DP736" s="346">
        <f t="shared" si="1096"/>
        <v>0</v>
      </c>
      <c r="DQ736" s="346">
        <f t="shared" si="1096"/>
        <v>0</v>
      </c>
      <c r="DR736" s="346">
        <f t="shared" si="1096"/>
        <v>0</v>
      </c>
      <c r="DS736" s="346">
        <f t="shared" si="1096"/>
        <v>0</v>
      </c>
      <c r="DT736" s="346">
        <f t="shared" si="1096"/>
        <v>0</v>
      </c>
      <c r="DU736" s="346">
        <f t="shared" si="1096"/>
        <v>0</v>
      </c>
      <c r="DV736" s="346">
        <f t="shared" si="1096"/>
        <v>0</v>
      </c>
      <c r="DW736" s="346">
        <f t="shared" si="1096"/>
        <v>0</v>
      </c>
      <c r="DX736" s="346">
        <f t="shared" si="1096"/>
        <v>0</v>
      </c>
      <c r="DY736" s="346">
        <f t="shared" si="1096"/>
        <v>0</v>
      </c>
      <c r="DZ736" s="348">
        <f t="shared" si="1096"/>
        <v>0</v>
      </c>
      <c r="EA736" s="346">
        <f t="shared" si="1096"/>
        <v>0</v>
      </c>
      <c r="EB736" s="346">
        <f t="shared" si="1096"/>
        <v>0</v>
      </c>
      <c r="EC736" s="346">
        <f t="shared" si="1096"/>
        <v>0</v>
      </c>
      <c r="ED736" s="346">
        <f t="shared" si="1096"/>
        <v>0</v>
      </c>
      <c r="EE736" s="346">
        <f t="shared" si="1096"/>
        <v>0</v>
      </c>
      <c r="EF736" s="346">
        <f t="shared" si="1096"/>
        <v>0</v>
      </c>
      <c r="EG736" s="346">
        <f t="shared" si="1096"/>
        <v>0</v>
      </c>
      <c r="EH736" s="346">
        <f t="shared" si="1096"/>
        <v>0</v>
      </c>
      <c r="EI736" s="346">
        <f t="shared" si="1096"/>
        <v>0</v>
      </c>
      <c r="EJ736" s="346">
        <f t="shared" si="1096"/>
        <v>0</v>
      </c>
      <c r="EK736" s="346">
        <f t="shared" si="1096"/>
        <v>0</v>
      </c>
      <c r="EL736" s="348">
        <f t="shared" si="1096"/>
        <v>0</v>
      </c>
      <c r="EM736" s="346">
        <f t="shared" si="1096"/>
        <v>0.446381417</v>
      </c>
      <c r="EN736" s="346">
        <f t="shared" si="1096"/>
        <v>0.37882296199999999</v>
      </c>
      <c r="EO736" s="346">
        <f t="shared" si="1096"/>
        <v>0.43899298399999997</v>
      </c>
      <c r="EP736" s="346">
        <f t="shared" si="1096"/>
        <v>0.41913514200000002</v>
      </c>
      <c r="EQ736" s="346">
        <f t="shared" ref="EQ736:FP736" si="1097">EQ376</f>
        <v>0.37956826100000002</v>
      </c>
      <c r="ER736" s="346">
        <f t="shared" si="1097"/>
        <v>0.46952987499999999</v>
      </c>
      <c r="ES736" s="346">
        <f t="shared" si="1097"/>
        <v>0.37303118600000001</v>
      </c>
      <c r="ET736" s="346">
        <f t="shared" si="1097"/>
        <v>0.39464575600000001</v>
      </c>
      <c r="EU736" s="346">
        <f t="shared" si="1097"/>
        <v>0.38522885299999998</v>
      </c>
      <c r="EV736" s="346">
        <f t="shared" si="1097"/>
        <v>0.31141468500000002</v>
      </c>
      <c r="EW736" s="346">
        <f t="shared" si="1097"/>
        <v>0.36140069600000002</v>
      </c>
      <c r="EX736" s="348">
        <f t="shared" si="1097"/>
        <v>0.37888442500000002</v>
      </c>
      <c r="EY736" s="346">
        <f t="shared" si="1097"/>
        <v>0.51871818599999997</v>
      </c>
      <c r="EZ736" s="346">
        <f t="shared" si="1097"/>
        <v>0.22977841800000001</v>
      </c>
      <c r="FA736" s="346">
        <f t="shared" si="1097"/>
        <v>0.27064160799999998</v>
      </c>
      <c r="FB736" s="346">
        <f t="shared" si="1097"/>
        <v>0.26163894700000001</v>
      </c>
      <c r="FC736" s="346">
        <f t="shared" si="1097"/>
        <v>0.27110313200000002</v>
      </c>
      <c r="FD736" s="346">
        <f t="shared" si="1097"/>
        <v>0.37119655600000001</v>
      </c>
      <c r="FE736" s="346">
        <f t="shared" si="1097"/>
        <v>0.29190637000000003</v>
      </c>
      <c r="FF736" s="346">
        <f t="shared" si="1097"/>
        <v>0.27305763599999999</v>
      </c>
      <c r="FG736" s="346">
        <f t="shared" si="1097"/>
        <v>0.247673007</v>
      </c>
      <c r="FH736" s="346">
        <f t="shared" si="1097"/>
        <v>0.21923471899999999</v>
      </c>
      <c r="FI736" s="346">
        <f t="shared" si="1097"/>
        <v>0.260766636</v>
      </c>
      <c r="FJ736" s="348">
        <f t="shared" si="1097"/>
        <v>8.8443065000000001E-2</v>
      </c>
      <c r="FK736" s="346">
        <f t="shared" si="1097"/>
        <v>0.66179053300000001</v>
      </c>
      <c r="FL736" s="346">
        <f t="shared" si="1097"/>
        <v>0.28859525699999999</v>
      </c>
      <c r="FM736" s="346">
        <f t="shared" si="1097"/>
        <v>0.26740475367526595</v>
      </c>
      <c r="FN736" s="346">
        <f t="shared" si="1097"/>
        <v>0.57306735435044331</v>
      </c>
      <c r="FO736" s="346">
        <f t="shared" si="1097"/>
        <v>0.25577981306733133</v>
      </c>
      <c r="FP736" s="346">
        <f t="shared" si="1097"/>
        <v>0.30986618568793678</v>
      </c>
      <c r="FQ736" s="346">
        <f t="shared" si="1063"/>
        <v>0.35597687742169737</v>
      </c>
      <c r="FR736" s="346">
        <f t="shared" si="1063"/>
        <v>0.22607266971641143</v>
      </c>
      <c r="FS736" s="346">
        <f t="shared" si="1063"/>
        <v>0.41568007396473755</v>
      </c>
      <c r="FT736" s="346">
        <f t="shared" si="1063"/>
        <v>0.54768039417156322</v>
      </c>
      <c r="FU736" s="346">
        <f t="shared" si="1063"/>
        <v>0.41151958354967971</v>
      </c>
      <c r="FV736" s="346">
        <f t="shared" si="1063"/>
        <v>0.67901031131633072</v>
      </c>
      <c r="FW736" s="346">
        <v>0.24054575185214569</v>
      </c>
      <c r="FX736" s="346">
        <v>0.13602956381610412</v>
      </c>
      <c r="FY736" s="346">
        <v>0.1281658408561796</v>
      </c>
      <c r="FZ736" s="346">
        <v>1.4073563629831214E-2</v>
      </c>
      <c r="GA736" s="346">
        <v>1.6475666653356817E-5</v>
      </c>
      <c r="GB736" s="346">
        <v>5.2151061177893136E-2</v>
      </c>
      <c r="GC736" s="346">
        <f>GC376</f>
        <v>1.1531979933135186</v>
      </c>
      <c r="GD736" s="346">
        <f t="shared" ref="GD736:GZ736" si="1098">GD376</f>
        <v>0.89835558173760088</v>
      </c>
      <c r="GE736" s="346">
        <f t="shared" si="1098"/>
        <v>1.7016470251771298</v>
      </c>
      <c r="GF736" s="346">
        <f t="shared" si="1098"/>
        <v>0</v>
      </c>
      <c r="GG736" s="346">
        <f t="shared" si="1098"/>
        <v>0</v>
      </c>
      <c r="GH736" s="346">
        <f t="shared" si="1098"/>
        <v>0</v>
      </c>
      <c r="GI736" s="346">
        <f t="shared" si="1098"/>
        <v>0.8642167795847977</v>
      </c>
      <c r="GJ736" s="346">
        <f t="shared" si="1098"/>
        <v>0.71963591008005778</v>
      </c>
      <c r="GK736" s="346">
        <f t="shared" si="1098"/>
        <v>0.79460853874446669</v>
      </c>
      <c r="GL736" s="346">
        <f t="shared" si="1098"/>
        <v>0.57726994399999998</v>
      </c>
      <c r="GM736" s="346">
        <f t="shared" si="1098"/>
        <v>0.65711970896614547</v>
      </c>
      <c r="GN736" s="346">
        <f t="shared" si="1098"/>
        <v>0.94473459552628036</v>
      </c>
      <c r="GO736" s="346">
        <f t="shared" si="1098"/>
        <v>0.92112927465790972</v>
      </c>
      <c r="GP736" s="346">
        <f t="shared" si="1098"/>
        <v>0.58582094100000004</v>
      </c>
      <c r="GQ736" s="346">
        <f t="shared" si="1098"/>
        <v>0.74207446050795989</v>
      </c>
      <c r="GR736" s="346">
        <f t="shared" si="1098"/>
        <v>0.86915917700000001</v>
      </c>
      <c r="GS736" s="346">
        <f t="shared" si="1098"/>
        <v>0.67513587399999997</v>
      </c>
      <c r="GT736" s="346">
        <f t="shared" si="1098"/>
        <v>0.80243583699999999</v>
      </c>
      <c r="GU736" s="346">
        <f t="shared" si="1098"/>
        <v>1.011663347</v>
      </c>
      <c r="GV736" s="346">
        <f t="shared" si="1098"/>
        <v>0.78472907800000002</v>
      </c>
      <c r="GW736" s="346">
        <f t="shared" si="1098"/>
        <v>0.75161099099999995</v>
      </c>
      <c r="GX736" s="346">
        <f t="shared" si="1098"/>
        <v>0.88314895599999998</v>
      </c>
      <c r="GY736" s="346">
        <f t="shared" si="1098"/>
        <v>0.80880610600000002</v>
      </c>
      <c r="GZ736" s="346">
        <f t="shared" si="1098"/>
        <v>0.70619573199999996</v>
      </c>
      <c r="HA736" s="346">
        <f t="shared" ref="HA736:HL736" si="1099">HA376</f>
        <v>0.97852411800000005</v>
      </c>
      <c r="HB736" s="346">
        <f t="shared" si="1099"/>
        <v>0.996369587</v>
      </c>
      <c r="HC736" s="346">
        <f t="shared" si="1099"/>
        <v>0.72881396499999995</v>
      </c>
      <c r="HD736" s="346">
        <f t="shared" si="1099"/>
        <v>1.2329180639999999</v>
      </c>
      <c r="HE736" s="346">
        <f t="shared" si="1099"/>
        <v>0.94343527400000005</v>
      </c>
      <c r="HF736" s="346">
        <f t="shared" si="1099"/>
        <v>1.0402316170000001</v>
      </c>
      <c r="HG736" s="346">
        <f t="shared" si="1099"/>
        <v>1.326409857</v>
      </c>
      <c r="HH736" s="346">
        <f t="shared" si="1099"/>
        <v>0.761712944</v>
      </c>
      <c r="HI736" s="346">
        <f t="shared" si="1099"/>
        <v>2.3301021000000002E-2</v>
      </c>
      <c r="HJ736" s="346">
        <f t="shared" si="1099"/>
        <v>9.1283399999999995E-4</v>
      </c>
      <c r="HK736" s="346">
        <f t="shared" si="1099"/>
        <v>1.4208924E-2</v>
      </c>
      <c r="HL736" s="346">
        <f t="shared" si="1099"/>
        <v>1.3695281E-2</v>
      </c>
      <c r="HM736" s="346"/>
      <c r="HN736" s="349"/>
      <c r="HO736" s="1439" t="s">
        <v>3183</v>
      </c>
      <c r="HP736" s="307">
        <f t="shared" si="1037"/>
        <v>0</v>
      </c>
      <c r="HQ736" s="302">
        <f t="shared" si="1038"/>
        <v>0</v>
      </c>
      <c r="HR736" s="346">
        <f t="shared" si="698"/>
        <v>0</v>
      </c>
      <c r="HS736" s="302">
        <f t="shared" si="1039"/>
        <v>0</v>
      </c>
      <c r="HT736" s="302">
        <f t="shared" si="1040"/>
        <v>0</v>
      </c>
      <c r="HU736" s="346">
        <f t="shared" si="678"/>
        <v>0</v>
      </c>
      <c r="HV736" s="307">
        <f t="shared" si="1041"/>
        <v>0</v>
      </c>
      <c r="HW736" s="302">
        <f t="shared" si="1042"/>
        <v>0</v>
      </c>
      <c r="HX736" s="346">
        <f t="shared" si="679"/>
        <v>0</v>
      </c>
      <c r="HY736" s="350">
        <f t="shared" si="1043"/>
        <v>0</v>
      </c>
      <c r="HZ736" s="302">
        <f t="shared" si="1044"/>
        <v>0</v>
      </c>
      <c r="IA736" s="346">
        <f t="shared" si="680"/>
        <v>0</v>
      </c>
      <c r="IB736" s="302">
        <f t="shared" si="1045"/>
        <v>0</v>
      </c>
      <c r="IC736" s="302">
        <f t="shared" si="1046"/>
        <v>0</v>
      </c>
      <c r="ID736" s="346">
        <f t="shared" si="681"/>
        <v>0</v>
      </c>
      <c r="IE736" s="350">
        <f t="shared" si="1047"/>
        <v>2.5324306410000004</v>
      </c>
      <c r="IF736" s="350">
        <f t="shared" si="1048"/>
        <v>2.2046056009999999</v>
      </c>
      <c r="IG736" s="346">
        <f t="shared" si="682"/>
        <v>4.7370362420000003</v>
      </c>
      <c r="IH736" s="350">
        <f t="shared" si="1049"/>
        <v>1.9230768469999999</v>
      </c>
      <c r="II736" s="350">
        <f t="shared" si="1050"/>
        <v>1.3810814330000001</v>
      </c>
      <c r="IJ736" s="346">
        <f t="shared" si="683"/>
        <v>3.3041582800000002</v>
      </c>
      <c r="IK736" s="350">
        <f t="shared" si="1051"/>
        <v>2.3565038967809775</v>
      </c>
      <c r="IL736" s="350">
        <f t="shared" si="993"/>
        <v>2.63593991014042</v>
      </c>
      <c r="IM736" s="346">
        <f>IK736+IL736</f>
        <v>4.992443806921397</v>
      </c>
      <c r="IN736" s="350">
        <f t="shared" si="1052"/>
        <v>0.57098225699880711</v>
      </c>
      <c r="IO736" s="350">
        <f t="shared" si="1053"/>
        <v>3.753200600228249</v>
      </c>
      <c r="IP736" s="346">
        <f t="shared" si="1066"/>
        <v>4.324182857227056</v>
      </c>
      <c r="IQ736" s="350">
        <f t="shared" si="1054"/>
        <v>4.5575854769017488</v>
      </c>
      <c r="IR736" s="350">
        <f t="shared" si="1055"/>
        <v>4.5957555641658701</v>
      </c>
      <c r="IS736" s="346">
        <f t="shared" si="1067"/>
        <v>9.1533410410676197</v>
      </c>
      <c r="IT736" s="350">
        <f t="shared" si="1068"/>
        <v>4.9461542100000004</v>
      </c>
      <c r="IU736" s="350">
        <f t="shared" si="986"/>
        <v>5.9202926250000001</v>
      </c>
      <c r="IV736" s="346">
        <f t="shared" si="1020"/>
        <v>10.866446835000001</v>
      </c>
      <c r="IW736" s="350">
        <f t="shared" si="1081"/>
        <v>2.1402408610000001</v>
      </c>
      <c r="IX736" s="350">
        <f t="shared" si="1069"/>
        <v>-1.07650515010943</v>
      </c>
      <c r="IY736" s="346">
        <f>FISC!AJ1058</f>
        <v>1.0637357108905701</v>
      </c>
      <c r="IZ736" s="350">
        <f t="shared" si="1070"/>
        <v>0.57220543056049655</v>
      </c>
      <c r="JA736" s="302">
        <f t="shared" si="1091"/>
        <v>0.57220543056049655</v>
      </c>
      <c r="JB736" s="346">
        <f>FISC!AK1058</f>
        <v>1.1444108611209931</v>
      </c>
      <c r="JC736" s="350">
        <f t="shared" si="1071"/>
        <v>0.63895431876111508</v>
      </c>
      <c r="JD736" s="302">
        <f t="shared" si="1056"/>
        <v>0.63895431876111508</v>
      </c>
      <c r="JE736" s="346">
        <f>FISC!AL1058</f>
        <v>1.2779086375222302</v>
      </c>
      <c r="JF736" s="350">
        <f t="shared" si="1072"/>
        <v>0.69310506768899893</v>
      </c>
      <c r="JG736" s="302">
        <f t="shared" si="1057"/>
        <v>0.69310506768899893</v>
      </c>
      <c r="JH736" s="346">
        <f>FISC!AM1058</f>
        <v>1.3862101353779979</v>
      </c>
      <c r="JI736" s="350">
        <f t="shared" si="1073"/>
        <v>0.78320872648856854</v>
      </c>
      <c r="JJ736" s="302">
        <f t="shared" si="1058"/>
        <v>0.78320872648856854</v>
      </c>
      <c r="JK736" s="346">
        <f>FISC!AN1058</f>
        <v>1.5664174529771371</v>
      </c>
      <c r="JL736" s="350">
        <f t="shared" si="1074"/>
        <v>0.88502586093208258</v>
      </c>
      <c r="JM736" s="302">
        <f t="shared" si="1059"/>
        <v>0.88502586093208258</v>
      </c>
      <c r="JN736" s="346">
        <f>FISC!AO1058</f>
        <v>1.7700517218641652</v>
      </c>
      <c r="KI736" s="349"/>
      <c r="KJ736" s="350"/>
    </row>
    <row r="737" spans="1:296" hidden="1" outlineLevel="1">
      <c r="A737" s="302"/>
      <c r="B737" s="117" t="s">
        <v>361</v>
      </c>
      <c r="D737" s="355" t="s">
        <v>549</v>
      </c>
      <c r="E737" s="346"/>
      <c r="F737" s="346"/>
      <c r="G737" s="346"/>
      <c r="H737" s="346"/>
      <c r="I737" s="346"/>
      <c r="J737" s="346"/>
      <c r="K737" s="346"/>
      <c r="L737" s="346"/>
      <c r="M737" s="346"/>
      <c r="N737" s="346"/>
      <c r="O737" s="346"/>
      <c r="P737" s="346"/>
      <c r="Q737" s="346"/>
      <c r="R737" s="346"/>
      <c r="S737" s="346"/>
      <c r="T737" s="346"/>
      <c r="U737" s="346"/>
      <c r="V737" s="346"/>
      <c r="W737" s="346"/>
      <c r="X737" s="346"/>
      <c r="Y737" s="346"/>
      <c r="Z737" s="346"/>
      <c r="AA737" s="346"/>
      <c r="AB737" s="346"/>
      <c r="AC737" s="346"/>
      <c r="AD737" s="346"/>
      <c r="AE737" s="346"/>
      <c r="AF737" s="346"/>
      <c r="AG737" s="346"/>
      <c r="AH737" s="346"/>
      <c r="AI737" s="346"/>
      <c r="AJ737" s="346"/>
      <c r="AK737" s="346"/>
      <c r="AL737" s="346"/>
      <c r="AM737" s="346"/>
      <c r="AN737" s="346"/>
      <c r="AO737" s="346">
        <v>9.1938191000000002E-2</v>
      </c>
      <c r="AP737" s="346">
        <v>0.131073096</v>
      </c>
      <c r="AQ737" s="346">
        <v>0.15234457100000001</v>
      </c>
      <c r="AR737" s="346">
        <v>10.423360935587699</v>
      </c>
      <c r="AS737" s="346">
        <v>0.25242462974000002</v>
      </c>
      <c r="AT737" s="346">
        <v>12.158069341760001</v>
      </c>
      <c r="AU737" s="346">
        <v>0.44914714</v>
      </c>
      <c r="AV737" s="346">
        <v>0.38593147500000002</v>
      </c>
      <c r="AW737" s="346">
        <v>1.6494841447350799</v>
      </c>
      <c r="AX737" s="346">
        <v>11.46493262275108</v>
      </c>
      <c r="AY737" s="346">
        <v>1.6592442891380002</v>
      </c>
      <c r="AZ737" s="346">
        <v>10.458299885916</v>
      </c>
      <c r="BA737" s="346">
        <v>0.62426544431359998</v>
      </c>
      <c r="BB737" s="346">
        <v>0.49748634920000001</v>
      </c>
      <c r="BC737" s="346">
        <v>0.24290696525</v>
      </c>
      <c r="BD737" s="346">
        <v>13.880545030221599</v>
      </c>
      <c r="BE737" s="346">
        <v>0.66758697920637033</v>
      </c>
      <c r="BF737" s="346">
        <v>11.861815910320001</v>
      </c>
      <c r="BG737" s="346">
        <v>0.35866325106582247</v>
      </c>
      <c r="BH737" s="346">
        <v>0.45773928059155317</v>
      </c>
      <c r="BI737" s="346">
        <v>0.45848911188948605</v>
      </c>
      <c r="BJ737" s="346">
        <v>13.791902066230291</v>
      </c>
      <c r="BK737" s="346">
        <v>0.47825054964924363</v>
      </c>
      <c r="BL737" s="346">
        <v>12.420486216384809</v>
      </c>
      <c r="BM737" s="346">
        <v>0.46987664377099669</v>
      </c>
      <c r="BN737" s="346">
        <v>0.53759858011823058</v>
      </c>
      <c r="BO737" s="346">
        <v>12.639872382862642</v>
      </c>
      <c r="BP737" s="346">
        <v>0.44254918401194199</v>
      </c>
      <c r="BQ737" s="346">
        <v>0.63188435270585375</v>
      </c>
      <c r="BR737" s="346">
        <v>12.551800247860402</v>
      </c>
      <c r="BS737" s="346">
        <v>4.0331948522639864</v>
      </c>
      <c r="BT737" s="346">
        <v>1.6871768931393016</v>
      </c>
      <c r="BU737" s="346">
        <v>1.688170825631488</v>
      </c>
      <c r="BV737" s="346">
        <v>17.679750081232374</v>
      </c>
      <c r="BW737" s="346">
        <v>1.7607482601588165</v>
      </c>
      <c r="BX737" s="346">
        <v>14.682762745605173</v>
      </c>
      <c r="BY737" s="346">
        <v>2.7265063734163308</v>
      </c>
      <c r="BZ737" s="346">
        <v>1.5601356600034322</v>
      </c>
      <c r="CA737" s="346">
        <v>17.558414323590288</v>
      </c>
      <c r="CB737" s="346">
        <v>2.9659494073804624</v>
      </c>
      <c r="CC737" s="346">
        <v>3.0355734911229435</v>
      </c>
      <c r="CD737" s="352">
        <v>13.255613202980808</v>
      </c>
      <c r="CE737" s="346">
        <f t="shared" ref="CE737:DJ737" si="1100">CE377</f>
        <v>1.6167831411972675</v>
      </c>
      <c r="CF737" s="346">
        <f t="shared" si="1100"/>
        <v>3.6882050805727848</v>
      </c>
      <c r="CG737" s="346">
        <f t="shared" si="1100"/>
        <v>1.5499662068934397</v>
      </c>
      <c r="CH737" s="346">
        <f t="shared" si="1100"/>
        <v>26.117188124450227</v>
      </c>
      <c r="CI737" s="346">
        <f t="shared" si="1100"/>
        <v>1.7346709986247237</v>
      </c>
      <c r="CJ737" s="346">
        <f t="shared" si="1100"/>
        <v>14.8250584171328</v>
      </c>
      <c r="CK737" s="346">
        <f t="shared" si="1100"/>
        <v>1.5574821470250453</v>
      </c>
      <c r="CL737" s="346">
        <f t="shared" si="1100"/>
        <v>4.5251111390830721</v>
      </c>
      <c r="CM737" s="346">
        <f t="shared" si="1100"/>
        <v>20.497836527856215</v>
      </c>
      <c r="CN737" s="346">
        <f t="shared" si="1100"/>
        <v>1.5607754299173602</v>
      </c>
      <c r="CO737" s="346">
        <f t="shared" si="1100"/>
        <v>2.9002088036995914</v>
      </c>
      <c r="CP737" s="348">
        <f t="shared" si="1100"/>
        <v>21.072294191219871</v>
      </c>
      <c r="CQ737" s="346">
        <f t="shared" si="1100"/>
        <v>1.3976488369</v>
      </c>
      <c r="CR737" s="346">
        <f t="shared" si="1100"/>
        <v>2.1886302990962498</v>
      </c>
      <c r="CS737" s="346">
        <f t="shared" si="1100"/>
        <v>1.7718507181900001</v>
      </c>
      <c r="CT737" s="346">
        <f t="shared" si="1100"/>
        <v>13.24638598783687</v>
      </c>
      <c r="CU737" s="346">
        <f t="shared" si="1100"/>
        <v>2.15872342799479</v>
      </c>
      <c r="CV737" s="346">
        <f t="shared" si="1100"/>
        <v>18.838668766725746</v>
      </c>
      <c r="CW737" s="346">
        <f t="shared" si="1100"/>
        <v>4.431410708191196</v>
      </c>
      <c r="CX737" s="346">
        <f t="shared" si="1100"/>
        <v>2.0922114548600002</v>
      </c>
      <c r="CY737" s="346">
        <f t="shared" si="1100"/>
        <v>40.092281139967852</v>
      </c>
      <c r="CZ737" s="346">
        <f t="shared" si="1100"/>
        <v>20.010567568988449</v>
      </c>
      <c r="DA737" s="346">
        <f t="shared" si="1100"/>
        <v>3.7238746661192943</v>
      </c>
      <c r="DB737" s="1479">
        <f t="shared" si="1100"/>
        <v>18.278076595324237</v>
      </c>
      <c r="DC737" s="346">
        <f t="shared" si="1100"/>
        <v>3.1417062895308541</v>
      </c>
      <c r="DD737" s="346">
        <f t="shared" si="1100"/>
        <v>1.9695306210000001</v>
      </c>
      <c r="DE737" s="346">
        <f t="shared" si="1100"/>
        <v>12.773169391189322</v>
      </c>
      <c r="DF737" s="346">
        <f t="shared" si="1100"/>
        <v>25.440255474577558</v>
      </c>
      <c r="DG737" s="346">
        <f t="shared" si="1100"/>
        <v>2.3677145880000001</v>
      </c>
      <c r="DH737" s="346">
        <f t="shared" si="1100"/>
        <v>28.26765921730631</v>
      </c>
      <c r="DI737" s="346">
        <f t="shared" si="1100"/>
        <v>4.4783868162208949</v>
      </c>
      <c r="DJ737" s="346">
        <f t="shared" si="1100"/>
        <v>2.8081349970333327</v>
      </c>
      <c r="DK737" s="346">
        <f t="shared" ref="DK737:EP737" si="1101">DK377</f>
        <v>39.258440578257918</v>
      </c>
      <c r="DL737" s="346">
        <f t="shared" si="1101"/>
        <v>5.1262327768414773</v>
      </c>
      <c r="DM737" s="346">
        <f t="shared" si="1101"/>
        <v>5.6073429452304433</v>
      </c>
      <c r="DN737" s="348">
        <f t="shared" si="1101"/>
        <v>25.829674571258462</v>
      </c>
      <c r="DO737" s="346">
        <f t="shared" si="1101"/>
        <v>4.0942054783773099</v>
      </c>
      <c r="DP737" s="346">
        <f t="shared" si="1101"/>
        <v>5.4135775290166368</v>
      </c>
      <c r="DQ737" s="346">
        <f t="shared" si="1101"/>
        <v>35.250741832944399</v>
      </c>
      <c r="DR737" s="346">
        <f t="shared" si="1101"/>
        <v>9.504193312803924</v>
      </c>
      <c r="DS737" s="346">
        <f t="shared" si="1101"/>
        <v>5.3330825097904846</v>
      </c>
      <c r="DT737" s="346">
        <f t="shared" si="1101"/>
        <v>37.063371463442813</v>
      </c>
      <c r="DU737" s="346">
        <f t="shared" si="1101"/>
        <v>5.6997514422082549</v>
      </c>
      <c r="DV737" s="346">
        <f t="shared" si="1101"/>
        <v>4.9474619458595495</v>
      </c>
      <c r="DW737" s="346">
        <f t="shared" si="1101"/>
        <v>36.400695935424416</v>
      </c>
      <c r="DX737" s="346">
        <f t="shared" si="1101"/>
        <v>5.5610277849819187</v>
      </c>
      <c r="DY737" s="346">
        <f t="shared" si="1101"/>
        <v>5.4410584619438662</v>
      </c>
      <c r="DZ737" s="348">
        <f t="shared" si="1101"/>
        <v>35.784775285212312</v>
      </c>
      <c r="EA737" s="346">
        <f t="shared" si="1101"/>
        <v>4.7554075989988913</v>
      </c>
      <c r="EB737" s="346">
        <f t="shared" si="1101"/>
        <v>4.9659967040266864</v>
      </c>
      <c r="EC737" s="346">
        <f t="shared" si="1101"/>
        <v>25.082252679340424</v>
      </c>
      <c r="ED737" s="346">
        <f t="shared" si="1101"/>
        <v>25.776118284825365</v>
      </c>
      <c r="EE737" s="346">
        <f t="shared" si="1101"/>
        <v>6.0602861280016933</v>
      </c>
      <c r="EF737" s="346">
        <f t="shared" si="1101"/>
        <v>45.990391915313971</v>
      </c>
      <c r="EG737" s="346">
        <f t="shared" si="1101"/>
        <v>8.1139350526579435</v>
      </c>
      <c r="EH737" s="346">
        <f t="shared" si="1101"/>
        <v>5.6205062631854821</v>
      </c>
      <c r="EI737" s="346">
        <f t="shared" si="1101"/>
        <v>20.005206643771992</v>
      </c>
      <c r="EJ737" s="346">
        <f t="shared" si="1101"/>
        <v>33.529927566531427</v>
      </c>
      <c r="EK737" s="346">
        <f t="shared" si="1101"/>
        <v>13.771535683664935</v>
      </c>
      <c r="EL737" s="348">
        <f t="shared" si="1101"/>
        <v>24.122196044097482</v>
      </c>
      <c r="EM737" s="346">
        <f t="shared" si="1101"/>
        <v>7.0424960199999997</v>
      </c>
      <c r="EN737" s="346">
        <f t="shared" si="1101"/>
        <v>40.464186559381403</v>
      </c>
      <c r="EO737" s="346">
        <f t="shared" si="1101"/>
        <v>44.179945981361605</v>
      </c>
      <c r="EP737" s="346">
        <f t="shared" si="1101"/>
        <v>18.138247947212012</v>
      </c>
      <c r="EQ737" s="346">
        <f t="shared" ref="EQ737:FP737" si="1102">EQ377</f>
        <v>9.2314383583090489</v>
      </c>
      <c r="ER737" s="346">
        <f t="shared" si="1102"/>
        <v>32.580119317447398</v>
      </c>
      <c r="ES737" s="346">
        <f t="shared" si="1102"/>
        <v>9.9737168579999906</v>
      </c>
      <c r="ET737" s="346">
        <f t="shared" si="1102"/>
        <v>5.4445251651</v>
      </c>
      <c r="EU737" s="346">
        <f t="shared" si="1102"/>
        <v>41.373921715999998</v>
      </c>
      <c r="EV737" s="346">
        <f t="shared" si="1102"/>
        <v>15.78809663783689</v>
      </c>
      <c r="EW737" s="346">
        <f t="shared" si="1102"/>
        <v>6.6842101419999995</v>
      </c>
      <c r="EX737" s="348">
        <f t="shared" si="1102"/>
        <v>23.707248927999999</v>
      </c>
      <c r="EY737" s="346">
        <f t="shared" si="1102"/>
        <v>6.6932532325704042</v>
      </c>
      <c r="EZ737" s="346">
        <f t="shared" si="1102"/>
        <v>18.554647278281998</v>
      </c>
      <c r="FA737" s="346">
        <f t="shared" si="1102"/>
        <v>41.627558053227887</v>
      </c>
      <c r="FB737" s="346">
        <f t="shared" si="1102"/>
        <v>38.38300759809718</v>
      </c>
      <c r="FC737" s="346">
        <f t="shared" si="1102"/>
        <v>6.8850920704863805</v>
      </c>
      <c r="FD737" s="346">
        <f t="shared" si="1102"/>
        <v>36.049170045379327</v>
      </c>
      <c r="FE737" s="346">
        <f t="shared" si="1102"/>
        <v>12.075919238000001</v>
      </c>
      <c r="FF737" s="346">
        <f t="shared" si="1102"/>
        <v>6.7709654623431845</v>
      </c>
      <c r="FG737" s="346">
        <f t="shared" si="1102"/>
        <v>10.011704121280001</v>
      </c>
      <c r="FH737" s="346">
        <f t="shared" si="1102"/>
        <v>17.026678205514109</v>
      </c>
      <c r="FI737" s="346">
        <f t="shared" si="1102"/>
        <v>36.479603600361024</v>
      </c>
      <c r="FJ737" s="348">
        <f t="shared" si="1102"/>
        <v>8.9335278420674644</v>
      </c>
      <c r="FK737" s="346">
        <f t="shared" si="1102"/>
        <v>5.4905550594923902</v>
      </c>
      <c r="FL737" s="346">
        <f t="shared" si="1102"/>
        <v>6.2787814167982532</v>
      </c>
      <c r="FM737" s="346">
        <f t="shared" si="1102"/>
        <v>83.458812788193399</v>
      </c>
      <c r="FN737" s="346">
        <f t="shared" si="1102"/>
        <v>8.3265681001028167</v>
      </c>
      <c r="FO737" s="346">
        <f t="shared" si="1102"/>
        <v>8.8591909554926929</v>
      </c>
      <c r="FP737" s="346">
        <f t="shared" si="1102"/>
        <v>58.91475530991125</v>
      </c>
      <c r="FQ737" s="346">
        <f t="shared" si="1063"/>
        <v>5.8595706443440356</v>
      </c>
      <c r="FR737" s="346">
        <f t="shared" si="1063"/>
        <v>6.2599139299738091</v>
      </c>
      <c r="FS737" s="346">
        <f t="shared" si="1063"/>
        <v>9.4871765382705071</v>
      </c>
      <c r="FT737" s="346">
        <f t="shared" si="1063"/>
        <v>55.644611207796316</v>
      </c>
      <c r="FU737" s="346">
        <f t="shared" si="1063"/>
        <v>7.1824640136957143</v>
      </c>
      <c r="FV737" s="346">
        <f t="shared" si="1063"/>
        <v>45.591714286455286</v>
      </c>
      <c r="FW737" s="346">
        <v>5.6655055174853022</v>
      </c>
      <c r="FX737" s="346">
        <v>6.2887759753053363</v>
      </c>
      <c r="FY737" s="346">
        <v>58.373979038208603</v>
      </c>
      <c r="FZ737" s="346">
        <v>14.239249687379989</v>
      </c>
      <c r="GA737" s="346">
        <v>55.523537706356599</v>
      </c>
      <c r="GB737" s="346">
        <v>21.796173973252806</v>
      </c>
      <c r="GC737" s="346">
        <v>12.081231768389062</v>
      </c>
      <c r="GD737" s="346">
        <v>44.661561328771228</v>
      </c>
      <c r="GE737" s="346">
        <v>16.396063073699835</v>
      </c>
      <c r="GF737" s="346">
        <v>27.358875574197342</v>
      </c>
      <c r="GG737" s="346">
        <v>7.9164675246468104</v>
      </c>
      <c r="GH737" s="346">
        <v>58.361683088513075</v>
      </c>
      <c r="GI737" s="346">
        <f t="shared" ref="GI737:GN737" si="1103">GI377</f>
        <v>9.8596502289075616</v>
      </c>
      <c r="GJ737" s="346">
        <f t="shared" si="1103"/>
        <v>9.9968046967865281</v>
      </c>
      <c r="GK737" s="346">
        <f t="shared" si="1103"/>
        <v>53.533450637127352</v>
      </c>
      <c r="GL737" s="346">
        <f t="shared" si="1103"/>
        <v>14.333028802406302</v>
      </c>
      <c r="GM737" s="346">
        <f t="shared" si="1103"/>
        <v>15.093809356477131</v>
      </c>
      <c r="GN737" s="346">
        <f t="shared" si="1103"/>
        <v>56.873159462766402</v>
      </c>
      <c r="GO737" s="346">
        <f t="shared" ref="GO737:GZ737" si="1104">GO377</f>
        <v>17.250100366304356</v>
      </c>
      <c r="GP737" s="346">
        <f t="shared" si="1104"/>
        <v>14.793392160612864</v>
      </c>
      <c r="GQ737" s="346">
        <f t="shared" si="1104"/>
        <v>59.605681422716977</v>
      </c>
      <c r="GR737" s="346">
        <f t="shared" si="1104"/>
        <v>12.331705050066665</v>
      </c>
      <c r="GS737" s="346">
        <f t="shared" si="1104"/>
        <v>13.634477371386666</v>
      </c>
      <c r="GT737" s="346">
        <f t="shared" si="1104"/>
        <v>44.025331526085537</v>
      </c>
      <c r="GU737" s="346">
        <f t="shared" si="1104"/>
        <v>10.725449950520662</v>
      </c>
      <c r="GV737" s="346">
        <f t="shared" si="1104"/>
        <v>18.292511232904008</v>
      </c>
      <c r="GW737" s="346">
        <f t="shared" si="1104"/>
        <v>98.30599488412571</v>
      </c>
      <c r="GX737" s="346">
        <f t="shared" si="1104"/>
        <v>9.93325176912</v>
      </c>
      <c r="GY737" s="346">
        <f t="shared" si="1104"/>
        <v>11.446578424230001</v>
      </c>
      <c r="GZ737" s="346">
        <f t="shared" si="1104"/>
        <v>86.049504158581627</v>
      </c>
      <c r="HA737" s="346">
        <f t="shared" ref="HA737:HL737" si="1105">HA377</f>
        <v>10.54084457327</v>
      </c>
      <c r="HB737" s="346">
        <f t="shared" si="1105"/>
        <v>17.166397923217019</v>
      </c>
      <c r="HC737" s="346">
        <f t="shared" si="1105"/>
        <v>42.109037957926915</v>
      </c>
      <c r="HD737" s="346">
        <f t="shared" si="1105"/>
        <v>43.848020775653893</v>
      </c>
      <c r="HE737" s="346">
        <f t="shared" si="1105"/>
        <v>13.317024965192294</v>
      </c>
      <c r="HF737" s="346">
        <f t="shared" si="1105"/>
        <v>33.61055604821896</v>
      </c>
      <c r="HG737" s="346">
        <f t="shared" si="1105"/>
        <v>35.068585017825903</v>
      </c>
      <c r="HH737" s="346">
        <f t="shared" si="1105"/>
        <v>9.9394322954332726</v>
      </c>
      <c r="HI737" s="346">
        <f t="shared" si="1105"/>
        <v>83.885068981852783</v>
      </c>
      <c r="HJ737" s="346">
        <f t="shared" si="1105"/>
        <v>10.554418169950001</v>
      </c>
      <c r="HK737" s="346">
        <f t="shared" si="1105"/>
        <v>9.5265210894300001</v>
      </c>
      <c r="HL737" s="346">
        <f t="shared" si="1105"/>
        <v>80.824137047996999</v>
      </c>
      <c r="HM737" s="346"/>
      <c r="HN737" s="349"/>
      <c r="HO737" s="355" t="s">
        <v>549</v>
      </c>
      <c r="HP737" s="307">
        <f t="shared" si="1037"/>
        <v>49.531871968871243</v>
      </c>
      <c r="HQ737" s="302">
        <f t="shared" si="1038"/>
        <v>52.113708238801152</v>
      </c>
      <c r="HR737" s="346">
        <f t="shared" si="698"/>
        <v>101.6455802076724</v>
      </c>
      <c r="HS737" s="302">
        <f t="shared" si="1039"/>
        <v>39.601908036743652</v>
      </c>
      <c r="HT737" s="302">
        <f t="shared" si="1040"/>
        <v>88.628422133451039</v>
      </c>
      <c r="HU737" s="346">
        <f t="shared" si="678"/>
        <v>128.23033017019469</v>
      </c>
      <c r="HV737" s="307">
        <f t="shared" si="1041"/>
        <v>73.960035581604046</v>
      </c>
      <c r="HW737" s="302">
        <f t="shared" si="1042"/>
        <v>83.108212684842528</v>
      </c>
      <c r="HX737" s="346">
        <f t="shared" si="679"/>
        <v>157.06824826644657</v>
      </c>
      <c r="HY737" s="350">
        <f t="shared" si="1043"/>
        <v>96.65917212637558</v>
      </c>
      <c r="HZ737" s="302">
        <f t="shared" si="1044"/>
        <v>93.834770855630325</v>
      </c>
      <c r="IA737" s="346">
        <f t="shared" si="680"/>
        <v>190.4939429820059</v>
      </c>
      <c r="IB737" s="302">
        <f t="shared" si="1045"/>
        <v>112.63045331050702</v>
      </c>
      <c r="IC737" s="302">
        <f t="shared" si="1046"/>
        <v>105.16330725390925</v>
      </c>
      <c r="ID737" s="346">
        <f t="shared" si="681"/>
        <v>217.79376056441629</v>
      </c>
      <c r="IE737" s="350">
        <f t="shared" si="1047"/>
        <v>151.63643418371146</v>
      </c>
      <c r="IF737" s="350">
        <f t="shared" si="1048"/>
        <v>102.97171944693687</v>
      </c>
      <c r="IG737" s="346">
        <f t="shared" si="682"/>
        <v>254.60815363064833</v>
      </c>
      <c r="IH737" s="350">
        <f t="shared" si="1049"/>
        <v>148.19272827804318</v>
      </c>
      <c r="II737" s="350">
        <f t="shared" si="1050"/>
        <v>91.298398469565782</v>
      </c>
      <c r="IJ737" s="346">
        <f t="shared" si="683"/>
        <v>239.49112674760897</v>
      </c>
      <c r="IK737" s="350">
        <f t="shared" si="1051"/>
        <v>171.32866362999081</v>
      </c>
      <c r="IL737" s="350">
        <f t="shared" si="993"/>
        <v>130.02545062053565</v>
      </c>
      <c r="IM737" s="346">
        <f t="shared" si="1080"/>
        <v>301.35411425052644</v>
      </c>
      <c r="IN737" s="350">
        <f t="shared" si="1052"/>
        <v>161.88722189798864</v>
      </c>
      <c r="IO737" s="350">
        <f t="shared" si="1053"/>
        <v>166.77588235821736</v>
      </c>
      <c r="IP737" s="346">
        <f t="shared" si="1066"/>
        <v>328.663104256206</v>
      </c>
      <c r="IQ737" s="350">
        <f t="shared" si="1054"/>
        <v>159.68990318447129</v>
      </c>
      <c r="IR737" s="350">
        <f t="shared" si="1055"/>
        <v>161.64068789717305</v>
      </c>
      <c r="IS737" s="346">
        <f t="shared" si="1067"/>
        <v>321.33059108164434</v>
      </c>
      <c r="IT737" s="350">
        <f t="shared" si="1068"/>
        <v>234.75329041948203</v>
      </c>
      <c r="IU737" s="350">
        <f t="shared" si="986"/>
        <v>160.59188224347909</v>
      </c>
      <c r="IV737" s="346">
        <f t="shared" si="1020"/>
        <v>395.34517266296109</v>
      </c>
      <c r="IW737" s="350">
        <f t="shared" si="1081"/>
        <v>229.79816260248896</v>
      </c>
      <c r="IX737" s="350">
        <f t="shared" si="1069"/>
        <v>209.72096850149131</v>
      </c>
      <c r="IY737" s="346">
        <f>FISC!AJ1059</f>
        <v>439.51913110398027</v>
      </c>
      <c r="IZ737" s="350">
        <f t="shared" si="1070"/>
        <v>238.12042125054504</v>
      </c>
      <c r="JA737" s="302">
        <f t="shared" si="1091"/>
        <v>238.12042125054504</v>
      </c>
      <c r="JB737" s="346">
        <f>FISC!AK1059</f>
        <v>476.24084250109007</v>
      </c>
      <c r="JC737" s="350">
        <f t="shared" si="1071"/>
        <v>265.90289931789857</v>
      </c>
      <c r="JD737" s="302">
        <f t="shared" si="1056"/>
        <v>265.90289931789857</v>
      </c>
      <c r="JE737" s="346">
        <f>FISC!AL1059</f>
        <v>531.80579863579715</v>
      </c>
      <c r="JF737" s="350">
        <f t="shared" si="1072"/>
        <v>304.23337886239176</v>
      </c>
      <c r="JG737" s="302">
        <f t="shared" si="1057"/>
        <v>304.23337886239176</v>
      </c>
      <c r="JH737" s="346">
        <f>FISC!AM1059</f>
        <v>608.46675772478352</v>
      </c>
      <c r="JI737" s="350">
        <f t="shared" si="1073"/>
        <v>339.72453801993976</v>
      </c>
      <c r="JJ737" s="302">
        <f t="shared" si="1058"/>
        <v>339.72453801993976</v>
      </c>
      <c r="JK737" s="346">
        <f>FISC!AN1059</f>
        <v>679.44907603987951</v>
      </c>
      <c r="JL737" s="350">
        <f t="shared" si="1074"/>
        <v>395.24810970069268</v>
      </c>
      <c r="JM737" s="302">
        <f t="shared" si="1059"/>
        <v>395.24810970069268</v>
      </c>
      <c r="JN737" s="346">
        <f>FISC!AO1059</f>
        <v>790.49621940138536</v>
      </c>
      <c r="KI737" s="349"/>
      <c r="KJ737" s="350"/>
    </row>
    <row r="738" spans="1:296" hidden="1" outlineLevel="1">
      <c r="A738" s="302"/>
      <c r="D738" s="1439" t="s">
        <v>550</v>
      </c>
      <c r="E738" s="346"/>
      <c r="F738" s="346"/>
      <c r="G738" s="346"/>
      <c r="H738" s="346"/>
      <c r="I738" s="346"/>
      <c r="J738" s="346"/>
      <c r="K738" s="346"/>
      <c r="L738" s="346"/>
      <c r="M738" s="346"/>
      <c r="N738" s="346"/>
      <c r="O738" s="346"/>
      <c r="P738" s="346"/>
      <c r="Q738" s="346"/>
      <c r="R738" s="346"/>
      <c r="S738" s="346"/>
      <c r="T738" s="346"/>
      <c r="U738" s="346"/>
      <c r="V738" s="346"/>
      <c r="W738" s="346"/>
      <c r="X738" s="346"/>
      <c r="Y738" s="346"/>
      <c r="Z738" s="346"/>
      <c r="AA738" s="346"/>
      <c r="AB738" s="346"/>
      <c r="AC738" s="346"/>
      <c r="AD738" s="346"/>
      <c r="AE738" s="346"/>
      <c r="AF738" s="346"/>
      <c r="AG738" s="346"/>
      <c r="AH738" s="346"/>
      <c r="AI738" s="346"/>
      <c r="AJ738" s="346"/>
      <c r="AK738" s="346"/>
      <c r="AL738" s="346"/>
      <c r="AM738" s="346"/>
      <c r="AN738" s="346"/>
      <c r="AO738" s="346"/>
      <c r="AP738" s="346"/>
      <c r="AQ738" s="346"/>
      <c r="AR738" s="346"/>
      <c r="AS738" s="346"/>
      <c r="AT738" s="346"/>
      <c r="AU738" s="346"/>
      <c r="AV738" s="346"/>
      <c r="AW738" s="346"/>
      <c r="AX738" s="346"/>
      <c r="AY738" s="346"/>
      <c r="AZ738" s="346"/>
      <c r="BA738" s="346"/>
      <c r="BB738" s="346"/>
      <c r="BC738" s="346"/>
      <c r="BD738" s="346"/>
      <c r="BE738" s="346"/>
      <c r="BF738" s="346"/>
      <c r="BG738" s="346"/>
      <c r="BH738" s="346"/>
      <c r="BI738" s="346"/>
      <c r="BJ738" s="346"/>
      <c r="BK738" s="346"/>
      <c r="BL738" s="346"/>
      <c r="BM738" s="346"/>
      <c r="BN738" s="346"/>
      <c r="BO738" s="346"/>
      <c r="BP738" s="346"/>
      <c r="BQ738" s="346"/>
      <c r="BR738" s="346"/>
      <c r="BS738" s="346"/>
      <c r="BT738" s="346"/>
      <c r="BU738" s="346"/>
      <c r="BV738" s="346"/>
      <c r="BW738" s="346"/>
      <c r="BX738" s="346"/>
      <c r="BY738" s="346"/>
      <c r="BZ738" s="346"/>
      <c r="CA738" s="346"/>
      <c r="CB738" s="346"/>
      <c r="CC738" s="346"/>
      <c r="CD738" s="352"/>
      <c r="CE738" s="346">
        <f t="shared" ref="CE738:DJ738" si="1106">CE378</f>
        <v>0</v>
      </c>
      <c r="CF738" s="346">
        <f t="shared" si="1106"/>
        <v>0</v>
      </c>
      <c r="CG738" s="346">
        <f t="shared" si="1106"/>
        <v>0</v>
      </c>
      <c r="CH738" s="346">
        <f t="shared" si="1106"/>
        <v>0</v>
      </c>
      <c r="CI738" s="346">
        <f t="shared" si="1106"/>
        <v>0</v>
      </c>
      <c r="CJ738" s="346">
        <f t="shared" si="1106"/>
        <v>0</v>
      </c>
      <c r="CK738" s="346">
        <f t="shared" si="1106"/>
        <v>0</v>
      </c>
      <c r="CL738" s="346">
        <f t="shared" si="1106"/>
        <v>0</v>
      </c>
      <c r="CM738" s="346">
        <f t="shared" si="1106"/>
        <v>0</v>
      </c>
      <c r="CN738" s="346">
        <f t="shared" si="1106"/>
        <v>0</v>
      </c>
      <c r="CO738" s="346">
        <f t="shared" si="1106"/>
        <v>0</v>
      </c>
      <c r="CP738" s="348">
        <f t="shared" si="1106"/>
        <v>0</v>
      </c>
      <c r="CQ738" s="346">
        <f t="shared" si="1106"/>
        <v>0</v>
      </c>
      <c r="CR738" s="346">
        <f t="shared" si="1106"/>
        <v>0</v>
      </c>
      <c r="CS738" s="346">
        <f t="shared" si="1106"/>
        <v>0</v>
      </c>
      <c r="CT738" s="346">
        <f t="shared" si="1106"/>
        <v>0</v>
      </c>
      <c r="CU738" s="346">
        <f t="shared" si="1106"/>
        <v>0</v>
      </c>
      <c r="CV738" s="346">
        <f t="shared" si="1106"/>
        <v>0</v>
      </c>
      <c r="CW738" s="346">
        <f t="shared" si="1106"/>
        <v>0</v>
      </c>
      <c r="CX738" s="346">
        <f t="shared" si="1106"/>
        <v>0</v>
      </c>
      <c r="CY738" s="346">
        <f t="shared" si="1106"/>
        <v>0</v>
      </c>
      <c r="CZ738" s="346">
        <f t="shared" si="1106"/>
        <v>0</v>
      </c>
      <c r="DA738" s="346">
        <f t="shared" si="1106"/>
        <v>0</v>
      </c>
      <c r="DB738" s="1479">
        <f t="shared" si="1106"/>
        <v>0</v>
      </c>
      <c r="DC738" s="346">
        <f t="shared" si="1106"/>
        <v>0</v>
      </c>
      <c r="DD738" s="346">
        <f t="shared" si="1106"/>
        <v>0</v>
      </c>
      <c r="DE738" s="346">
        <f t="shared" si="1106"/>
        <v>0</v>
      </c>
      <c r="DF738" s="346">
        <f t="shared" si="1106"/>
        <v>0</v>
      </c>
      <c r="DG738" s="346">
        <f t="shared" si="1106"/>
        <v>0</v>
      </c>
      <c r="DH738" s="346">
        <f t="shared" si="1106"/>
        <v>0</v>
      </c>
      <c r="DI738" s="346">
        <f t="shared" si="1106"/>
        <v>0</v>
      </c>
      <c r="DJ738" s="346">
        <f t="shared" si="1106"/>
        <v>0</v>
      </c>
      <c r="DK738" s="346">
        <f t="shared" ref="DK738:EP738" si="1107">DK378</f>
        <v>0</v>
      </c>
      <c r="DL738" s="346">
        <f t="shared" si="1107"/>
        <v>0</v>
      </c>
      <c r="DM738" s="346">
        <f t="shared" si="1107"/>
        <v>0</v>
      </c>
      <c r="DN738" s="348">
        <f t="shared" si="1107"/>
        <v>0</v>
      </c>
      <c r="DO738" s="346">
        <f t="shared" si="1107"/>
        <v>0</v>
      </c>
      <c r="DP738" s="346">
        <f t="shared" si="1107"/>
        <v>0</v>
      </c>
      <c r="DQ738" s="346">
        <f t="shared" si="1107"/>
        <v>0</v>
      </c>
      <c r="DR738" s="346">
        <f t="shared" si="1107"/>
        <v>0</v>
      </c>
      <c r="DS738" s="346">
        <f t="shared" si="1107"/>
        <v>0</v>
      </c>
      <c r="DT738" s="346">
        <f t="shared" si="1107"/>
        <v>0</v>
      </c>
      <c r="DU738" s="346">
        <f t="shared" si="1107"/>
        <v>0</v>
      </c>
      <c r="DV738" s="346">
        <f t="shared" si="1107"/>
        <v>0</v>
      </c>
      <c r="DW738" s="346">
        <f t="shared" si="1107"/>
        <v>0</v>
      </c>
      <c r="DX738" s="346">
        <f t="shared" si="1107"/>
        <v>0</v>
      </c>
      <c r="DY738" s="346">
        <f t="shared" si="1107"/>
        <v>0</v>
      </c>
      <c r="DZ738" s="348">
        <f t="shared" si="1107"/>
        <v>0</v>
      </c>
      <c r="EA738" s="346">
        <f t="shared" si="1107"/>
        <v>0</v>
      </c>
      <c r="EB738" s="346">
        <f t="shared" si="1107"/>
        <v>0</v>
      </c>
      <c r="EC738" s="346">
        <f t="shared" si="1107"/>
        <v>0</v>
      </c>
      <c r="ED738" s="346">
        <f t="shared" si="1107"/>
        <v>0</v>
      </c>
      <c r="EE738" s="346">
        <f t="shared" si="1107"/>
        <v>0</v>
      </c>
      <c r="EF738" s="346">
        <f t="shared" si="1107"/>
        <v>0</v>
      </c>
      <c r="EG738" s="346">
        <f t="shared" si="1107"/>
        <v>0</v>
      </c>
      <c r="EH738" s="346">
        <f t="shared" si="1107"/>
        <v>0</v>
      </c>
      <c r="EI738" s="346">
        <f t="shared" si="1107"/>
        <v>0</v>
      </c>
      <c r="EJ738" s="346">
        <f t="shared" si="1107"/>
        <v>0</v>
      </c>
      <c r="EK738" s="346">
        <f t="shared" si="1107"/>
        <v>0</v>
      </c>
      <c r="EL738" s="348">
        <f t="shared" si="1107"/>
        <v>0</v>
      </c>
      <c r="EM738" s="346">
        <f t="shared" si="1107"/>
        <v>0</v>
      </c>
      <c r="EN738" s="346">
        <f t="shared" si="1107"/>
        <v>0</v>
      </c>
      <c r="EO738" s="346">
        <f t="shared" si="1107"/>
        <v>0</v>
      </c>
      <c r="EP738" s="346">
        <f t="shared" si="1107"/>
        <v>0</v>
      </c>
      <c r="EQ738" s="346">
        <f t="shared" ref="EQ738:FP738" si="1108">EQ378</f>
        <v>0</v>
      </c>
      <c r="ER738" s="346">
        <f t="shared" si="1108"/>
        <v>0</v>
      </c>
      <c r="ES738" s="346">
        <f t="shared" si="1108"/>
        <v>0</v>
      </c>
      <c r="ET738" s="346">
        <f t="shared" si="1108"/>
        <v>0</v>
      </c>
      <c r="EU738" s="346">
        <f t="shared" si="1108"/>
        <v>0</v>
      </c>
      <c r="EV738" s="346">
        <f t="shared" si="1108"/>
        <v>0</v>
      </c>
      <c r="EW738" s="346">
        <f t="shared" si="1108"/>
        <v>0</v>
      </c>
      <c r="EX738" s="348">
        <f t="shared" si="1108"/>
        <v>0</v>
      </c>
      <c r="EY738" s="346">
        <f t="shared" si="1108"/>
        <v>0</v>
      </c>
      <c r="EZ738" s="346">
        <f t="shared" si="1108"/>
        <v>0</v>
      </c>
      <c r="FA738" s="346">
        <f t="shared" si="1108"/>
        <v>0</v>
      </c>
      <c r="FB738" s="346">
        <f t="shared" si="1108"/>
        <v>0</v>
      </c>
      <c r="FC738" s="346">
        <f t="shared" si="1108"/>
        <v>0</v>
      </c>
      <c r="FD738" s="346">
        <f t="shared" si="1108"/>
        <v>0</v>
      </c>
      <c r="FE738" s="346">
        <f t="shared" si="1108"/>
        <v>0</v>
      </c>
      <c r="FF738" s="346">
        <f t="shared" si="1108"/>
        <v>0</v>
      </c>
      <c r="FG738" s="346">
        <f t="shared" si="1108"/>
        <v>0</v>
      </c>
      <c r="FH738" s="346">
        <f t="shared" si="1108"/>
        <v>0</v>
      </c>
      <c r="FI738" s="346">
        <f t="shared" si="1108"/>
        <v>0</v>
      </c>
      <c r="FJ738" s="348">
        <f t="shared" si="1108"/>
        <v>0</v>
      </c>
      <c r="FK738" s="346">
        <f t="shared" si="1108"/>
        <v>0</v>
      </c>
      <c r="FL738" s="346">
        <f t="shared" si="1108"/>
        <v>0</v>
      </c>
      <c r="FM738" s="346">
        <f t="shared" si="1108"/>
        <v>0</v>
      </c>
      <c r="FN738" s="346">
        <f t="shared" si="1108"/>
        <v>0</v>
      </c>
      <c r="FO738" s="346">
        <f t="shared" si="1108"/>
        <v>0</v>
      </c>
      <c r="FP738" s="346">
        <f t="shared" si="1108"/>
        <v>0</v>
      </c>
      <c r="FQ738" s="346">
        <f t="shared" si="1063"/>
        <v>0</v>
      </c>
      <c r="FR738" s="346">
        <f t="shared" si="1063"/>
        <v>0</v>
      </c>
      <c r="FS738" s="346">
        <f t="shared" si="1063"/>
        <v>0</v>
      </c>
      <c r="FT738" s="346">
        <f t="shared" si="1063"/>
        <v>0</v>
      </c>
      <c r="FU738" s="346">
        <f t="shared" si="1063"/>
        <v>0</v>
      </c>
      <c r="FV738" s="346">
        <f t="shared" si="1063"/>
        <v>0</v>
      </c>
      <c r="FW738" s="346">
        <v>0</v>
      </c>
      <c r="FX738" s="346">
        <v>0</v>
      </c>
      <c r="FY738" s="346">
        <v>0</v>
      </c>
      <c r="FZ738" s="346">
        <v>0</v>
      </c>
      <c r="GA738" s="346">
        <v>0</v>
      </c>
      <c r="GB738" s="346">
        <v>0</v>
      </c>
      <c r="GC738" s="346">
        <v>0</v>
      </c>
      <c r="GD738" s="346">
        <v>0</v>
      </c>
      <c r="GE738" s="346">
        <v>0</v>
      </c>
      <c r="GF738" s="346">
        <v>0</v>
      </c>
      <c r="GG738" s="346">
        <v>0</v>
      </c>
      <c r="GH738" s="346">
        <v>0</v>
      </c>
      <c r="GI738" s="346">
        <v>0</v>
      </c>
      <c r="GJ738" s="346">
        <v>0</v>
      </c>
      <c r="GK738" s="346">
        <v>0</v>
      </c>
      <c r="GL738" s="346">
        <v>0</v>
      </c>
      <c r="GM738" s="346">
        <v>0</v>
      </c>
      <c r="GN738" s="346">
        <v>0</v>
      </c>
      <c r="GO738" s="346">
        <v>0</v>
      </c>
      <c r="GP738" s="346">
        <v>0</v>
      </c>
      <c r="GQ738" s="346">
        <v>0</v>
      </c>
      <c r="GR738" s="346">
        <v>0</v>
      </c>
      <c r="GS738" s="346">
        <v>0</v>
      </c>
      <c r="GT738" s="346">
        <v>0</v>
      </c>
      <c r="GU738" s="346">
        <v>0</v>
      </c>
      <c r="GV738" s="346">
        <v>0</v>
      </c>
      <c r="GW738" s="346">
        <v>0</v>
      </c>
      <c r="GX738" s="346">
        <v>0</v>
      </c>
      <c r="GY738" s="346">
        <v>0</v>
      </c>
      <c r="GZ738" s="346">
        <v>0</v>
      </c>
      <c r="HA738" s="346">
        <v>0</v>
      </c>
      <c r="HB738" s="346">
        <v>0</v>
      </c>
      <c r="HC738" s="346">
        <v>0</v>
      </c>
      <c r="HD738" s="346">
        <v>0</v>
      </c>
      <c r="HE738" s="346">
        <v>0</v>
      </c>
      <c r="HF738" s="346">
        <v>0</v>
      </c>
      <c r="HG738" s="346">
        <v>0</v>
      </c>
      <c r="HH738" s="346">
        <v>0</v>
      </c>
      <c r="HI738" s="346">
        <v>0</v>
      </c>
      <c r="HJ738" s="346">
        <v>0</v>
      </c>
      <c r="HK738" s="346">
        <v>0</v>
      </c>
      <c r="HL738" s="346">
        <v>0</v>
      </c>
      <c r="HM738" s="346"/>
      <c r="HN738" s="349"/>
      <c r="HO738" s="1439" t="s">
        <v>550</v>
      </c>
      <c r="HP738" s="307">
        <f t="shared" si="1037"/>
        <v>0</v>
      </c>
      <c r="HQ738" s="302">
        <f t="shared" si="1038"/>
        <v>0</v>
      </c>
      <c r="HR738" s="346">
        <f t="shared" si="698"/>
        <v>0</v>
      </c>
      <c r="HS738" s="302">
        <f t="shared" si="1039"/>
        <v>0</v>
      </c>
      <c r="HT738" s="302">
        <f t="shared" si="1040"/>
        <v>0</v>
      </c>
      <c r="HU738" s="346">
        <f t="shared" si="678"/>
        <v>0</v>
      </c>
      <c r="HV738" s="307">
        <f t="shared" si="1041"/>
        <v>0</v>
      </c>
      <c r="HW738" s="302">
        <f t="shared" si="1042"/>
        <v>0</v>
      </c>
      <c r="HX738" s="346">
        <f t="shared" si="679"/>
        <v>0</v>
      </c>
      <c r="HY738" s="350">
        <f t="shared" si="1043"/>
        <v>0</v>
      </c>
      <c r="HZ738" s="302">
        <f t="shared" si="1044"/>
        <v>0</v>
      </c>
      <c r="IA738" s="346">
        <f t="shared" si="680"/>
        <v>0</v>
      </c>
      <c r="IB738" s="302">
        <f t="shared" si="1045"/>
        <v>0</v>
      </c>
      <c r="IC738" s="302">
        <f t="shared" si="1046"/>
        <v>0</v>
      </c>
      <c r="ID738" s="346">
        <f t="shared" si="681"/>
        <v>0</v>
      </c>
      <c r="IE738" s="350">
        <f t="shared" si="1047"/>
        <v>0</v>
      </c>
      <c r="IF738" s="350">
        <f t="shared" si="1048"/>
        <v>0</v>
      </c>
      <c r="IG738" s="346">
        <f t="shared" si="682"/>
        <v>0</v>
      </c>
      <c r="IH738" s="350">
        <f t="shared" si="1049"/>
        <v>0</v>
      </c>
      <c r="II738" s="350">
        <f t="shared" si="1050"/>
        <v>0</v>
      </c>
      <c r="IJ738" s="346">
        <f t="shared" si="683"/>
        <v>0</v>
      </c>
      <c r="IK738" s="350">
        <f t="shared" si="1051"/>
        <v>0</v>
      </c>
      <c r="IL738" s="350">
        <f t="shared" si="993"/>
        <v>0</v>
      </c>
      <c r="IM738" s="346">
        <f t="shared" si="1080"/>
        <v>0</v>
      </c>
      <c r="IN738" s="350">
        <f t="shared" si="1052"/>
        <v>0</v>
      </c>
      <c r="IO738" s="350">
        <f t="shared" si="1053"/>
        <v>0</v>
      </c>
      <c r="IP738" s="346">
        <f t="shared" si="1066"/>
        <v>0</v>
      </c>
      <c r="IQ738" s="350">
        <f t="shared" si="1054"/>
        <v>0</v>
      </c>
      <c r="IR738" s="350">
        <f t="shared" si="1055"/>
        <v>0</v>
      </c>
      <c r="IS738" s="346">
        <f t="shared" si="1067"/>
        <v>0</v>
      </c>
      <c r="IT738" s="350">
        <f t="shared" si="1068"/>
        <v>0</v>
      </c>
      <c r="IU738" s="350">
        <f t="shared" si="986"/>
        <v>0</v>
      </c>
      <c r="IV738" s="346">
        <f t="shared" si="1020"/>
        <v>0</v>
      </c>
      <c r="IW738" s="350">
        <f t="shared" si="1081"/>
        <v>0</v>
      </c>
      <c r="IX738" s="350">
        <f t="shared" si="1069"/>
        <v>0</v>
      </c>
      <c r="IY738" s="346">
        <f>FISC!AJ1060</f>
        <v>0</v>
      </c>
      <c r="IZ738" s="350">
        <f t="shared" si="1070"/>
        <v>0</v>
      </c>
      <c r="JA738" s="302">
        <f t="shared" si="1091"/>
        <v>0</v>
      </c>
      <c r="JB738" s="346">
        <f>FISC!AK1060</f>
        <v>0</v>
      </c>
      <c r="JC738" s="350">
        <f t="shared" si="1071"/>
        <v>0</v>
      </c>
      <c r="JD738" s="302">
        <f t="shared" si="1056"/>
        <v>0</v>
      </c>
      <c r="JE738" s="346">
        <f>FISC!AL1060</f>
        <v>0</v>
      </c>
      <c r="JF738" s="350">
        <f t="shared" si="1072"/>
        <v>0</v>
      </c>
      <c r="JG738" s="302">
        <f t="shared" si="1057"/>
        <v>0</v>
      </c>
      <c r="JH738" s="346">
        <f>FISC!AM1060</f>
        <v>0</v>
      </c>
      <c r="JI738" s="350">
        <f t="shared" si="1073"/>
        <v>0</v>
      </c>
      <c r="JJ738" s="302">
        <f t="shared" si="1058"/>
        <v>0</v>
      </c>
      <c r="JK738" s="346">
        <f>FISC!AN1060</f>
        <v>0</v>
      </c>
      <c r="JL738" s="350">
        <f t="shared" si="1074"/>
        <v>0</v>
      </c>
      <c r="JM738" s="302">
        <f t="shared" si="1059"/>
        <v>0</v>
      </c>
      <c r="JN738" s="346">
        <f>FISC!AO1060</f>
        <v>0</v>
      </c>
      <c r="KI738" s="349"/>
      <c r="KJ738" s="350"/>
    </row>
    <row r="739" spans="1:296" hidden="1" outlineLevel="1">
      <c r="A739" s="302"/>
      <c r="D739" s="1439" t="s">
        <v>551</v>
      </c>
      <c r="E739" s="346"/>
      <c r="F739" s="346"/>
      <c r="G739" s="346"/>
      <c r="H739" s="346"/>
      <c r="I739" s="346"/>
      <c r="J739" s="346"/>
      <c r="K739" s="346"/>
      <c r="L739" s="346"/>
      <c r="M739" s="346"/>
      <c r="N739" s="346"/>
      <c r="O739" s="346"/>
      <c r="P739" s="346"/>
      <c r="Q739" s="346"/>
      <c r="R739" s="346"/>
      <c r="S739" s="346"/>
      <c r="T739" s="346"/>
      <c r="U739" s="346"/>
      <c r="V739" s="346"/>
      <c r="W739" s="346"/>
      <c r="X739" s="346"/>
      <c r="Y739" s="346"/>
      <c r="Z739" s="346"/>
      <c r="AA739" s="346"/>
      <c r="AB739" s="346"/>
      <c r="AC739" s="346"/>
      <c r="AD739" s="346"/>
      <c r="AE739" s="346"/>
      <c r="AF739" s="346"/>
      <c r="AG739" s="346"/>
      <c r="AH739" s="346"/>
      <c r="AI739" s="346"/>
      <c r="AJ739" s="346"/>
      <c r="AK739" s="346"/>
      <c r="AL739" s="346"/>
      <c r="AM739" s="346"/>
      <c r="AN739" s="346"/>
      <c r="AO739" s="346"/>
      <c r="AP739" s="346"/>
      <c r="AQ739" s="346"/>
      <c r="AR739" s="346"/>
      <c r="AS739" s="346"/>
      <c r="AT739" s="346"/>
      <c r="AU739" s="346"/>
      <c r="AV739" s="346"/>
      <c r="AW739" s="346"/>
      <c r="AX739" s="346"/>
      <c r="AY739" s="346"/>
      <c r="AZ739" s="346"/>
      <c r="BA739" s="346"/>
      <c r="BB739" s="346"/>
      <c r="BC739" s="346"/>
      <c r="BD739" s="346"/>
      <c r="BE739" s="346"/>
      <c r="BF739" s="346"/>
      <c r="BG739" s="346"/>
      <c r="BH739" s="346"/>
      <c r="BI739" s="346"/>
      <c r="BJ739" s="346"/>
      <c r="BK739" s="346"/>
      <c r="BL739" s="346"/>
      <c r="BM739" s="346"/>
      <c r="BN739" s="346"/>
      <c r="BO739" s="346"/>
      <c r="BP739" s="346"/>
      <c r="BQ739" s="346"/>
      <c r="BR739" s="346"/>
      <c r="BS739" s="346"/>
      <c r="BT739" s="346"/>
      <c r="BU739" s="346"/>
      <c r="BV739" s="346"/>
      <c r="BW739" s="346"/>
      <c r="BX739" s="346"/>
      <c r="BY739" s="346"/>
      <c r="BZ739" s="346"/>
      <c r="CA739" s="346"/>
      <c r="CB739" s="346"/>
      <c r="CC739" s="346"/>
      <c r="CD739" s="352"/>
      <c r="CE739" s="346">
        <f t="shared" ref="CE739:DJ739" si="1109">CE379</f>
        <v>0.84612021500000001</v>
      </c>
      <c r="CF739" s="346">
        <f t="shared" si="1109"/>
        <v>1.239917706</v>
      </c>
      <c r="CG739" s="346">
        <f t="shared" si="1109"/>
        <v>0.81163455799999995</v>
      </c>
      <c r="CH739" s="346">
        <f t="shared" si="1109"/>
        <v>1.1469411650000001</v>
      </c>
      <c r="CI739" s="346">
        <f t="shared" si="1109"/>
        <v>1.0924245699999999</v>
      </c>
      <c r="CJ739" s="346">
        <f t="shared" si="1109"/>
        <v>0.91695716599999999</v>
      </c>
      <c r="CK739" s="346">
        <f t="shared" si="1109"/>
        <v>0.88386281799999999</v>
      </c>
      <c r="CL739" s="346">
        <f t="shared" si="1109"/>
        <v>0.79949821899999995</v>
      </c>
      <c r="CM739" s="346">
        <f t="shared" si="1109"/>
        <v>1.094622336</v>
      </c>
      <c r="CN739" s="346">
        <f t="shared" si="1109"/>
        <v>0.66101670800000001</v>
      </c>
      <c r="CO739" s="346">
        <f t="shared" si="1109"/>
        <v>1.37028259</v>
      </c>
      <c r="CP739" s="348">
        <f t="shared" si="1109"/>
        <v>1.239677871</v>
      </c>
      <c r="CQ739" s="346">
        <f t="shared" si="1109"/>
        <v>0.75713307200000002</v>
      </c>
      <c r="CR739" s="346">
        <f t="shared" si="1109"/>
        <v>0.86384865900000007</v>
      </c>
      <c r="CS739" s="346">
        <f t="shared" si="1109"/>
        <v>1.0818581519999999</v>
      </c>
      <c r="CT739" s="346">
        <f t="shared" si="1109"/>
        <v>0.94316988899999998</v>
      </c>
      <c r="CU739" s="346">
        <f t="shared" si="1109"/>
        <v>1.1399535000000001</v>
      </c>
      <c r="CV739" s="346">
        <f t="shared" si="1109"/>
        <v>0.869352397</v>
      </c>
      <c r="CW739" s="346">
        <f t="shared" si="1109"/>
        <v>1.0327421210000001</v>
      </c>
      <c r="CX739" s="346">
        <f t="shared" si="1109"/>
        <v>0.80614112999999998</v>
      </c>
      <c r="CY739" s="346">
        <f t="shared" si="1109"/>
        <v>0.80478576099999999</v>
      </c>
      <c r="CZ739" s="346">
        <f t="shared" si="1109"/>
        <v>1.25552967</v>
      </c>
      <c r="DA739" s="346">
        <f t="shared" si="1109"/>
        <v>1.2630899390000001</v>
      </c>
      <c r="DB739" s="1479">
        <f t="shared" si="1109"/>
        <v>1.595495163</v>
      </c>
      <c r="DC739" s="346">
        <f t="shared" si="1109"/>
        <v>2.7323422260000001</v>
      </c>
      <c r="DD739" s="346">
        <f t="shared" si="1109"/>
        <v>1.9695306210000001</v>
      </c>
      <c r="DE739" s="346">
        <f t="shared" si="1109"/>
        <v>2.9419112730000001</v>
      </c>
      <c r="DF739" s="346">
        <f t="shared" si="1109"/>
        <v>2.210264118</v>
      </c>
      <c r="DG739" s="346">
        <f t="shared" si="1109"/>
        <v>2.3677145880000001</v>
      </c>
      <c r="DH739" s="346">
        <f t="shared" si="1109"/>
        <v>4.6395279880000002</v>
      </c>
      <c r="DI739" s="346">
        <f t="shared" si="1109"/>
        <v>3.299215857333333</v>
      </c>
      <c r="DJ739" s="346">
        <f t="shared" si="1109"/>
        <v>2.3583743803333328</v>
      </c>
      <c r="DK739" s="346">
        <f t="shared" ref="DK739:EP739" si="1110">DK379</f>
        <v>4.6481581993333325</v>
      </c>
      <c r="DL739" s="346">
        <f t="shared" si="1110"/>
        <v>2.216913984333333</v>
      </c>
      <c r="DM739" s="346">
        <f t="shared" si="1110"/>
        <v>2.4478672073333327</v>
      </c>
      <c r="DN739" s="348">
        <f t="shared" si="1110"/>
        <v>0.55133333333333301</v>
      </c>
      <c r="DO739" s="346">
        <f t="shared" si="1110"/>
        <v>3.2524888553773099</v>
      </c>
      <c r="DP739" s="346">
        <f t="shared" si="1110"/>
        <v>3.446459883927349</v>
      </c>
      <c r="DQ739" s="346">
        <f t="shared" si="1110"/>
        <v>3.5689261370808989</v>
      </c>
      <c r="DR739" s="346">
        <f t="shared" si="1110"/>
        <v>3.3435633859533533</v>
      </c>
      <c r="DS739" s="346">
        <f t="shared" si="1110"/>
        <v>3.5286734867164888</v>
      </c>
      <c r="DT739" s="346">
        <f t="shared" si="1110"/>
        <v>7.0173774340976163</v>
      </c>
      <c r="DU739" s="346">
        <f t="shared" si="1110"/>
        <v>4.229113230208255</v>
      </c>
      <c r="DV739" s="346">
        <f t="shared" si="1110"/>
        <v>4.1098691158595493</v>
      </c>
      <c r="DW739" s="346">
        <f t="shared" si="1110"/>
        <v>4.6729895104244159</v>
      </c>
      <c r="DX739" s="346">
        <f t="shared" si="1110"/>
        <v>3.8017053499615452</v>
      </c>
      <c r="DY739" s="346">
        <f t="shared" si="1110"/>
        <v>4.477257558041666</v>
      </c>
      <c r="DZ739" s="348">
        <f t="shared" si="1110"/>
        <v>5.698768663492813</v>
      </c>
      <c r="EA739" s="346">
        <f t="shared" si="1110"/>
        <v>3.9136909759988914</v>
      </c>
      <c r="EB739" s="346">
        <f t="shared" si="1110"/>
        <v>3.8151139260266862</v>
      </c>
      <c r="EC739" s="346">
        <f t="shared" si="1110"/>
        <v>4.1558004443404251</v>
      </c>
      <c r="ED739" s="346">
        <f t="shared" si="1110"/>
        <v>4.7867844218253621</v>
      </c>
      <c r="EE739" s="346">
        <f t="shared" si="1110"/>
        <v>5.183299164001693</v>
      </c>
      <c r="EF739" s="346">
        <f t="shared" si="1110"/>
        <v>7.8901812493139687</v>
      </c>
      <c r="EG739" s="346">
        <f t="shared" si="1110"/>
        <v>4.2537307356579444</v>
      </c>
      <c r="EH739" s="346">
        <f t="shared" si="1110"/>
        <v>4.018994933185482</v>
      </c>
      <c r="EI739" s="346">
        <f t="shared" si="1110"/>
        <v>4.9306483567719921</v>
      </c>
      <c r="EJ739" s="346">
        <f t="shared" si="1110"/>
        <v>4.5815354485314277</v>
      </c>
      <c r="EK739" s="346">
        <f t="shared" si="1110"/>
        <v>4.032344568664934</v>
      </c>
      <c r="EL739" s="348">
        <f t="shared" si="1110"/>
        <v>5.3981107900974807</v>
      </c>
      <c r="EM739" s="346">
        <f t="shared" si="1110"/>
        <v>4.9193208039999998</v>
      </c>
      <c r="EN739" s="346">
        <f t="shared" si="1110"/>
        <v>4.1769152370000002</v>
      </c>
      <c r="EO739" s="346">
        <f t="shared" si="1110"/>
        <v>9.3931258549999992</v>
      </c>
      <c r="EP739" s="346">
        <f t="shared" si="1110"/>
        <v>7.2205925710000001</v>
      </c>
      <c r="EQ739" s="346">
        <f t="shared" ref="EQ739:FP739" si="1111">EQ379</f>
        <v>8.1619172199999994</v>
      </c>
      <c r="ER739" s="346">
        <f t="shared" si="1111"/>
        <v>12.602468755</v>
      </c>
      <c r="ES739" s="346">
        <f t="shared" si="1111"/>
        <v>6.4096278329999903</v>
      </c>
      <c r="ET739" s="346">
        <f t="shared" si="1111"/>
        <v>4.5777012901000003</v>
      </c>
      <c r="EU739" s="346">
        <f t="shared" si="1111"/>
        <v>10.178172785999999</v>
      </c>
      <c r="EV739" s="346">
        <f t="shared" si="1111"/>
        <v>5.7319480469999995</v>
      </c>
      <c r="EW739" s="346">
        <f t="shared" si="1111"/>
        <v>5.753748055</v>
      </c>
      <c r="EX739" s="348">
        <f t="shared" si="1111"/>
        <v>12.849049871</v>
      </c>
      <c r="EY739" s="346">
        <f t="shared" si="1111"/>
        <v>5.262664585000004</v>
      </c>
      <c r="EZ739" s="346">
        <f t="shared" si="1111"/>
        <v>4.9105104329999971</v>
      </c>
      <c r="FA739" s="346">
        <f t="shared" si="1111"/>
        <v>10.614566404999994</v>
      </c>
      <c r="FB739" s="346">
        <f t="shared" si="1111"/>
        <v>5.982973087666668</v>
      </c>
      <c r="FC739" s="346">
        <f t="shared" si="1111"/>
        <v>5.0321488136666686</v>
      </c>
      <c r="FD739" s="346">
        <f t="shared" si="1111"/>
        <v>13.741639270186663</v>
      </c>
      <c r="FE739" s="346">
        <f t="shared" si="1111"/>
        <v>10.973276706</v>
      </c>
      <c r="FF739" s="346">
        <f t="shared" si="1111"/>
        <v>5.2036532519400005</v>
      </c>
      <c r="FG739" s="346">
        <f t="shared" si="1111"/>
        <v>8.8470259482800007</v>
      </c>
      <c r="FH739" s="346">
        <f t="shared" si="1111"/>
        <v>2.0223138180000007</v>
      </c>
      <c r="FI739" s="346">
        <f t="shared" si="1111"/>
        <v>4.7078686879999996</v>
      </c>
      <c r="FJ739" s="348">
        <f t="shared" si="1111"/>
        <v>8.2387352850674649</v>
      </c>
      <c r="FK739" s="346">
        <f t="shared" si="1111"/>
        <v>4.1809635077728302</v>
      </c>
      <c r="FL739" s="346">
        <f t="shared" si="1111"/>
        <v>4.344070762522632</v>
      </c>
      <c r="FM739" s="346">
        <f t="shared" si="1111"/>
        <v>7.7392183635863887</v>
      </c>
      <c r="FN739" s="346">
        <f t="shared" si="1111"/>
        <v>7.1681718182082301</v>
      </c>
      <c r="FO739" s="346">
        <f t="shared" si="1111"/>
        <v>4.4930568851904198</v>
      </c>
      <c r="FP739" s="346">
        <f t="shared" si="1111"/>
        <v>13.26570507691347</v>
      </c>
      <c r="FQ739" s="346">
        <f t="shared" si="1063"/>
        <v>4.775869532086837</v>
      </c>
      <c r="FR739" s="346">
        <f t="shared" si="1063"/>
        <v>5.2003298556468467</v>
      </c>
      <c r="FS739" s="346">
        <f t="shared" si="1063"/>
        <v>8.2771314033253613</v>
      </c>
      <c r="FT739" s="346">
        <f t="shared" si="1063"/>
        <v>1.7569701169257621</v>
      </c>
      <c r="FU739" s="346">
        <f t="shared" si="1063"/>
        <v>5.9387130385604241</v>
      </c>
      <c r="FV739" s="346">
        <f t="shared" si="1063"/>
        <v>9.8571338504248942</v>
      </c>
      <c r="FW739" s="346">
        <v>4.5564002029239381</v>
      </c>
      <c r="FX739" s="346">
        <v>5.0377439437933438</v>
      </c>
      <c r="FY739" s="346">
        <v>17.27022690215097</v>
      </c>
      <c r="FZ739" s="346">
        <v>13.138111052309924</v>
      </c>
      <c r="GA739" s="346">
        <v>12.167709325778533</v>
      </c>
      <c r="GB739" s="346">
        <v>16.18517118848273</v>
      </c>
      <c r="GC739" s="346">
        <v>10.914465227937068</v>
      </c>
      <c r="GD739" s="346">
        <v>43.632295053877669</v>
      </c>
      <c r="GE739" s="346">
        <v>15.13273897558325</v>
      </c>
      <c r="GF739" s="346">
        <v>2.6328494555600752</v>
      </c>
      <c r="GG739" s="346">
        <v>6.6875427071732885</v>
      </c>
      <c r="GH739" s="346">
        <v>18.959289332746017</v>
      </c>
      <c r="GI739" s="346">
        <f t="shared" ref="GI739:GN739" si="1112">GI379</f>
        <v>5.9181546022953997</v>
      </c>
      <c r="GJ739" s="346">
        <f t="shared" si="1112"/>
        <v>6.1299909303831379</v>
      </c>
      <c r="GK739" s="346">
        <f t="shared" si="1112"/>
        <v>11.704692125427322</v>
      </c>
      <c r="GL739" s="346">
        <f t="shared" si="1112"/>
        <v>10.205421723916889</v>
      </c>
      <c r="GM739" s="346">
        <f t="shared" si="1112"/>
        <v>10.072698733208821</v>
      </c>
      <c r="GN739" s="346">
        <f t="shared" si="1112"/>
        <v>12.930866568233451</v>
      </c>
      <c r="GO739" s="346">
        <f t="shared" ref="GO739:HL739" si="1113">GO379</f>
        <v>11.890697832311565</v>
      </c>
      <c r="GP739" s="346">
        <f t="shared" si="1113"/>
        <v>10.619063331474727</v>
      </c>
      <c r="GQ739" s="346">
        <f t="shared" si="1113"/>
        <v>11.799154777326669</v>
      </c>
      <c r="GR739" s="346">
        <f t="shared" si="1113"/>
        <v>7.9459349121666669</v>
      </c>
      <c r="GS739" s="346">
        <f t="shared" si="1113"/>
        <v>8.132609364166667</v>
      </c>
      <c r="GT739" s="346">
        <f t="shared" si="1113"/>
        <v>8.9813491721666683</v>
      </c>
      <c r="GU739" s="346">
        <f t="shared" si="1113"/>
        <v>8.5854644437892578</v>
      </c>
      <c r="GV739" s="346">
        <f t="shared" si="1113"/>
        <v>7.426674227940719</v>
      </c>
      <c r="GW739" s="346">
        <f t="shared" si="1113"/>
        <v>26.038505397220156</v>
      </c>
      <c r="GX739" s="346">
        <f t="shared" si="1113"/>
        <v>7.2679998719099999</v>
      </c>
      <c r="GY739" s="346">
        <f t="shared" si="1113"/>
        <v>7.1623864173899996</v>
      </c>
      <c r="GZ739" s="346">
        <f t="shared" si="1113"/>
        <v>18.713971455980001</v>
      </c>
      <c r="HA739" s="346">
        <f t="shared" si="1113"/>
        <v>7.9620785439800006</v>
      </c>
      <c r="HB739" s="346">
        <f t="shared" si="1113"/>
        <v>6.9139648996799998</v>
      </c>
      <c r="HC739" s="346">
        <f t="shared" si="1113"/>
        <v>20.125925459074047</v>
      </c>
      <c r="HD739" s="346">
        <f t="shared" si="1113"/>
        <v>5.78453051376</v>
      </c>
      <c r="HE739" s="346">
        <f t="shared" si="1113"/>
        <v>6.7625461797399993</v>
      </c>
      <c r="HF739" s="346">
        <f t="shared" si="1113"/>
        <v>30.974578281569183</v>
      </c>
      <c r="HG739" s="346">
        <f t="shared" si="1113"/>
        <v>7.3758758163199989</v>
      </c>
      <c r="HH739" s="346">
        <f t="shared" si="1113"/>
        <v>7.096768563569972</v>
      </c>
      <c r="HI739" s="346">
        <f t="shared" si="1113"/>
        <v>23.531517947129998</v>
      </c>
      <c r="HJ739" s="346">
        <f t="shared" si="1113"/>
        <v>7.2577778196400011</v>
      </c>
      <c r="HK739" s="346">
        <f t="shared" si="1113"/>
        <v>6.8773916845333005</v>
      </c>
      <c r="HL739" s="346">
        <f t="shared" si="1113"/>
        <v>25.861054325533701</v>
      </c>
      <c r="HM739" s="346"/>
      <c r="HN739" s="349"/>
      <c r="HO739" s="1439" t="s">
        <v>551</v>
      </c>
      <c r="HP739" s="307">
        <f t="shared" si="1037"/>
        <v>6.0539953799999999</v>
      </c>
      <c r="HQ739" s="302">
        <f t="shared" si="1038"/>
        <v>6.0489605419999997</v>
      </c>
      <c r="HR739" s="346">
        <f t="shared" si="698"/>
        <v>12.102955922</v>
      </c>
      <c r="HS739" s="302">
        <f t="shared" si="1039"/>
        <v>5.6553156690000002</v>
      </c>
      <c r="HT739" s="302">
        <f t="shared" si="1040"/>
        <v>6.7577837839999999</v>
      </c>
      <c r="HU739" s="346">
        <f t="shared" si="678"/>
        <v>12.413099453000001</v>
      </c>
      <c r="HV739" s="307">
        <f t="shared" si="1041"/>
        <v>16.861290814</v>
      </c>
      <c r="HW739" s="302">
        <f t="shared" si="1042"/>
        <v>15.521862961999997</v>
      </c>
      <c r="HX739" s="346">
        <f t="shared" si="679"/>
        <v>32.383153776</v>
      </c>
      <c r="HY739" s="350">
        <f t="shared" si="1043"/>
        <v>24.157489183153018</v>
      </c>
      <c r="HZ739" s="302">
        <f t="shared" si="1044"/>
        <v>26.989703427988246</v>
      </c>
      <c r="IA739" s="346">
        <f t="shared" si="680"/>
        <v>51.147192611141264</v>
      </c>
      <c r="IB739" s="302">
        <f t="shared" si="1045"/>
        <v>29.744870181507025</v>
      </c>
      <c r="IC739" s="302">
        <f t="shared" si="1046"/>
        <v>27.215364832909255</v>
      </c>
      <c r="ID739" s="346">
        <f t="shared" si="681"/>
        <v>56.960235014416284</v>
      </c>
      <c r="IE739" s="350">
        <f t="shared" si="1047"/>
        <v>46.474340441999999</v>
      </c>
      <c r="IF739" s="350">
        <f t="shared" si="1048"/>
        <v>45.500247882099984</v>
      </c>
      <c r="IG739" s="346">
        <f t="shared" si="682"/>
        <v>91.974588324099983</v>
      </c>
      <c r="IH739" s="350">
        <f t="shared" si="1049"/>
        <v>45.544502594519997</v>
      </c>
      <c r="II739" s="350">
        <f t="shared" si="1050"/>
        <v>39.992873697287465</v>
      </c>
      <c r="IJ739" s="346">
        <f t="shared" si="683"/>
        <v>85.537376291807462</v>
      </c>
      <c r="IK739" s="350">
        <f t="shared" si="1051"/>
        <v>41.191186414193972</v>
      </c>
      <c r="IL739" s="350">
        <f t="shared" si="993"/>
        <v>35.806147796970123</v>
      </c>
      <c r="IM739" s="346">
        <f>IK739+IL739</f>
        <v>76.997334211164087</v>
      </c>
      <c r="IN739" s="350">
        <f t="shared" si="1052"/>
        <v>68.355362615439432</v>
      </c>
      <c r="IO739" s="350">
        <f t="shared" si="1053"/>
        <v>97.959180752877387</v>
      </c>
      <c r="IP739" s="346">
        <f t="shared" si="1066"/>
        <v>166.31454336831683</v>
      </c>
      <c r="IQ739" s="350">
        <f t="shared" si="1054"/>
        <v>56.961824683465025</v>
      </c>
      <c r="IR739" s="350">
        <f t="shared" si="1055"/>
        <v>59.36880938961297</v>
      </c>
      <c r="IS739" s="346">
        <f t="shared" si="1067"/>
        <v>116.33063407307799</v>
      </c>
      <c r="IT739" s="350">
        <f t="shared" si="1068"/>
        <v>75.195001814230139</v>
      </c>
      <c r="IU739" s="350">
        <f t="shared" si="986"/>
        <v>78.523623877803232</v>
      </c>
      <c r="IV739" s="346">
        <f t="shared" si="1020"/>
        <v>153.71862569203336</v>
      </c>
      <c r="IW739" s="350">
        <f t="shared" si="1081"/>
        <v>78.000386156726961</v>
      </c>
      <c r="IX739" s="350">
        <f t="shared" si="1069"/>
        <v>124.31533961953511</v>
      </c>
      <c r="IY739" s="346">
        <f>FISC!AJ1061</f>
        <v>202.31572577626207</v>
      </c>
      <c r="IZ739" s="350">
        <f t="shared" si="1070"/>
        <v>124.77715029561053</v>
      </c>
      <c r="JA739" s="302">
        <f t="shared" si="1091"/>
        <v>124.77715029561053</v>
      </c>
      <c r="JB739" s="346">
        <f>FISC!AK1061</f>
        <v>249.55430059122105</v>
      </c>
      <c r="JC739" s="350">
        <f t="shared" si="1071"/>
        <v>144.06418337205051</v>
      </c>
      <c r="JD739" s="302">
        <f t="shared" si="1056"/>
        <v>144.06418337205051</v>
      </c>
      <c r="JE739" s="346">
        <f>FISC!AL1061</f>
        <v>288.12836674410102</v>
      </c>
      <c r="JF739" s="350">
        <f t="shared" si="1072"/>
        <v>171.74185298250245</v>
      </c>
      <c r="JG739" s="302">
        <f t="shared" si="1057"/>
        <v>171.74185298250245</v>
      </c>
      <c r="JH739" s="346">
        <f>FISC!AM1061</f>
        <v>343.4837059650049</v>
      </c>
      <c r="JI739" s="350">
        <f t="shared" si="1073"/>
        <v>197.94965974763232</v>
      </c>
      <c r="JJ739" s="302">
        <f t="shared" si="1058"/>
        <v>197.94965974763232</v>
      </c>
      <c r="JK739" s="346">
        <f>FISC!AN1061</f>
        <v>395.89931949526465</v>
      </c>
      <c r="JL739" s="350">
        <f t="shared" si="1074"/>
        <v>246.05142706630701</v>
      </c>
      <c r="JM739" s="302">
        <f t="shared" si="1059"/>
        <v>246.05142706630701</v>
      </c>
      <c r="JN739" s="346">
        <f>FISC!AO1061</f>
        <v>492.10285413261403</v>
      </c>
      <c r="KI739" s="349"/>
      <c r="KJ739" s="350"/>
    </row>
    <row r="740" spans="1:296" hidden="1" outlineLevel="1">
      <c r="A740" s="302"/>
      <c r="D740" s="1636" t="s">
        <v>3189</v>
      </c>
      <c r="E740" s="346"/>
      <c r="F740" s="346"/>
      <c r="G740" s="346"/>
      <c r="H740" s="346"/>
      <c r="I740" s="346"/>
      <c r="J740" s="346"/>
      <c r="K740" s="346"/>
      <c r="L740" s="346"/>
      <c r="M740" s="346"/>
      <c r="N740" s="346"/>
      <c r="O740" s="346"/>
      <c r="P740" s="346"/>
      <c r="Q740" s="346"/>
      <c r="R740" s="346"/>
      <c r="S740" s="346"/>
      <c r="T740" s="346"/>
      <c r="U740" s="346"/>
      <c r="V740" s="346"/>
      <c r="W740" s="346"/>
      <c r="X740" s="346"/>
      <c r="Y740" s="346"/>
      <c r="Z740" s="346"/>
      <c r="AA740" s="346"/>
      <c r="AB740" s="346"/>
      <c r="AC740" s="346"/>
      <c r="AD740" s="346"/>
      <c r="AE740" s="346"/>
      <c r="AF740" s="346"/>
      <c r="AG740" s="346"/>
      <c r="AH740" s="346"/>
      <c r="AI740" s="346"/>
      <c r="AJ740" s="346"/>
      <c r="AK740" s="346"/>
      <c r="AL740" s="346"/>
      <c r="AM740" s="346"/>
      <c r="AN740" s="346"/>
      <c r="AO740" s="346"/>
      <c r="AP740" s="346"/>
      <c r="AQ740" s="346"/>
      <c r="AR740" s="346"/>
      <c r="AS740" s="346"/>
      <c r="AT740" s="346"/>
      <c r="AU740" s="346"/>
      <c r="AV740" s="346"/>
      <c r="AW740" s="346"/>
      <c r="AX740" s="346"/>
      <c r="AY740" s="346"/>
      <c r="AZ740" s="346"/>
      <c r="BA740" s="346"/>
      <c r="BB740" s="346"/>
      <c r="BC740" s="346"/>
      <c r="BD740" s="346"/>
      <c r="BE740" s="346"/>
      <c r="BF740" s="346"/>
      <c r="BG740" s="346"/>
      <c r="BH740" s="346"/>
      <c r="BI740" s="346"/>
      <c r="BJ740" s="346"/>
      <c r="BK740" s="346"/>
      <c r="BL740" s="346"/>
      <c r="BM740" s="346"/>
      <c r="BN740" s="346"/>
      <c r="BO740" s="346"/>
      <c r="BP740" s="346"/>
      <c r="BQ740" s="346"/>
      <c r="BR740" s="346"/>
      <c r="BS740" s="346"/>
      <c r="BT740" s="346"/>
      <c r="BU740" s="346"/>
      <c r="BV740" s="346"/>
      <c r="BW740" s="346"/>
      <c r="BX740" s="346"/>
      <c r="BY740" s="346"/>
      <c r="BZ740" s="346"/>
      <c r="CA740" s="346"/>
      <c r="CB740" s="346"/>
      <c r="CC740" s="346"/>
      <c r="CD740" s="352"/>
      <c r="CE740" s="346"/>
      <c r="CF740" s="346"/>
      <c r="CG740" s="346"/>
      <c r="CH740" s="346"/>
      <c r="CI740" s="346"/>
      <c r="CJ740" s="346"/>
      <c r="CK740" s="346"/>
      <c r="CL740" s="346"/>
      <c r="CM740" s="346"/>
      <c r="CN740" s="346"/>
      <c r="CO740" s="346"/>
      <c r="CP740" s="348"/>
      <c r="CQ740" s="346"/>
      <c r="CR740" s="346"/>
      <c r="CS740" s="346"/>
      <c r="CT740" s="346"/>
      <c r="CU740" s="346"/>
      <c r="CV740" s="346"/>
      <c r="CW740" s="346"/>
      <c r="CX740" s="346"/>
      <c r="CY740" s="346"/>
      <c r="CZ740" s="346"/>
      <c r="DA740" s="346"/>
      <c r="DB740" s="1479"/>
      <c r="DC740" s="346"/>
      <c r="DD740" s="346"/>
      <c r="DE740" s="346"/>
      <c r="DF740" s="346"/>
      <c r="DG740" s="346"/>
      <c r="DH740" s="346"/>
      <c r="DI740" s="346"/>
      <c r="DJ740" s="346"/>
      <c r="DK740" s="346"/>
      <c r="DL740" s="346"/>
      <c r="DM740" s="346"/>
      <c r="DN740" s="348"/>
      <c r="DO740" s="346"/>
      <c r="DP740" s="346"/>
      <c r="DQ740" s="346"/>
      <c r="DR740" s="346"/>
      <c r="DS740" s="346"/>
      <c r="DT740" s="346"/>
      <c r="DU740" s="346"/>
      <c r="DV740" s="346"/>
      <c r="DW740" s="346"/>
      <c r="DX740" s="346"/>
      <c r="DY740" s="346"/>
      <c r="DZ740" s="348"/>
      <c r="EA740" s="346"/>
      <c r="EB740" s="346"/>
      <c r="EC740" s="346"/>
      <c r="ED740" s="346"/>
      <c r="EE740" s="346"/>
      <c r="EF740" s="346"/>
      <c r="EG740" s="346"/>
      <c r="EH740" s="346"/>
      <c r="EI740" s="346"/>
      <c r="EJ740" s="346"/>
      <c r="EK740" s="346"/>
      <c r="EL740" s="348"/>
      <c r="EM740" s="346"/>
      <c r="EN740" s="346"/>
      <c r="EO740" s="346"/>
      <c r="EP740" s="346"/>
      <c r="EQ740" s="346"/>
      <c r="ER740" s="346"/>
      <c r="ES740" s="346"/>
      <c r="ET740" s="346"/>
      <c r="EU740" s="346"/>
      <c r="EV740" s="346"/>
      <c r="EW740" s="346"/>
      <c r="EX740" s="348"/>
      <c r="EY740" s="346"/>
      <c r="EZ740" s="346"/>
      <c r="FA740" s="346"/>
      <c r="FB740" s="346"/>
      <c r="FC740" s="346"/>
      <c r="FD740" s="346"/>
      <c r="FE740" s="346"/>
      <c r="FF740" s="346"/>
      <c r="FG740" s="346"/>
      <c r="FH740" s="346"/>
      <c r="FI740" s="346"/>
      <c r="FJ740" s="348"/>
      <c r="FK740" s="346"/>
      <c r="FL740" s="346"/>
      <c r="FM740" s="346"/>
      <c r="FN740" s="346"/>
      <c r="FO740" s="346"/>
      <c r="FP740" s="346"/>
      <c r="FQ740" s="346"/>
      <c r="FR740" s="346"/>
      <c r="FS740" s="346"/>
      <c r="FT740" s="346"/>
      <c r="FU740" s="346"/>
      <c r="FV740" s="346"/>
      <c r="FW740" s="346">
        <v>0.92318832435999987</v>
      </c>
      <c r="FX740" s="346">
        <v>1.5247529943199998</v>
      </c>
      <c r="FY740" s="346">
        <v>2.4596694842077933</v>
      </c>
      <c r="FZ740" s="346">
        <v>1.9307226408922056</v>
      </c>
      <c r="GA740" s="346">
        <v>1.6797785813100017</v>
      </c>
      <c r="GB740" s="346">
        <v>2.0582854242527948</v>
      </c>
      <c r="GC740" s="346">
        <v>1.6530114376372036</v>
      </c>
      <c r="GD740" s="346">
        <v>1.9862153990710003</v>
      </c>
      <c r="GE740" s="346">
        <v>2.0711385295390019</v>
      </c>
      <c r="GF740" s="346">
        <v>2.173728671830002</v>
      </c>
      <c r="GG740" s="346">
        <v>1.7955816243486999</v>
      </c>
      <c r="GH740" s="346">
        <v>2.7172967976912994</v>
      </c>
      <c r="GI740" s="1897">
        <v>2.0682120853497188</v>
      </c>
      <c r="GJ740" s="1897">
        <v>2.1222335614302805</v>
      </c>
      <c r="GK740" s="1897">
        <v>1.8292268649079999</v>
      </c>
      <c r="GL740" s="1897">
        <v>2.1035890286338392</v>
      </c>
      <c r="GM740" s="1897">
        <v>2.3860223618304586</v>
      </c>
      <c r="GN740" s="1897">
        <v>2.964427220312726</v>
      </c>
      <c r="GO740" s="1897">
        <v>2.6429249151448997</v>
      </c>
      <c r="GP740" s="1897">
        <v>2.2986638383080602</v>
      </c>
      <c r="GQ740" s="1897">
        <v>3.0314129841599997</v>
      </c>
      <c r="GR740" s="1897">
        <v>0</v>
      </c>
      <c r="GS740" s="1897">
        <v>0</v>
      </c>
      <c r="GT740" s="1897">
        <v>0</v>
      </c>
      <c r="GU740" s="1897">
        <v>5.2474914807892574</v>
      </c>
      <c r="GV740" s="1897">
        <v>3.7494254769407198</v>
      </c>
      <c r="GW740" s="1897">
        <v>3.3178440732201553</v>
      </c>
      <c r="GX740" s="1897">
        <v>4.0079416719100003</v>
      </c>
      <c r="GY740" s="1897">
        <v>3.8370378613900002</v>
      </c>
      <c r="GZ740" s="1897">
        <v>4.1440972879800002</v>
      </c>
      <c r="HA740" s="1897">
        <v>4.9510413419800017</v>
      </c>
      <c r="HB740" s="1897">
        <v>3.84974374968</v>
      </c>
      <c r="HC740" s="1897">
        <v>4.7290830312940493</v>
      </c>
      <c r="HD740" s="1897">
        <v>3.1378757267599999</v>
      </c>
      <c r="HE740" s="1897">
        <v>3.6100148057399997</v>
      </c>
      <c r="HF740" s="1897">
        <v>4.2565477254699999</v>
      </c>
      <c r="HG740" s="1897">
        <v>4.362090478319999</v>
      </c>
      <c r="HH740" s="1897">
        <v>4.1285172975699718</v>
      </c>
      <c r="HI740" s="1897">
        <v>3.4442858281299995</v>
      </c>
      <c r="HJ740" s="1897">
        <v>3.8810005356400015</v>
      </c>
      <c r="HK740" s="1897">
        <v>3.8656673255333005</v>
      </c>
      <c r="HL740" s="1897">
        <v>4.1938272115336996</v>
      </c>
      <c r="HM740" s="1897"/>
      <c r="HN740" s="349"/>
      <c r="HO740" s="1636" t="s">
        <v>3189</v>
      </c>
      <c r="HP740" s="307"/>
      <c r="HR740" s="346"/>
      <c r="HU740" s="346"/>
      <c r="HV740" s="307"/>
      <c r="HX740" s="346"/>
      <c r="HY740" s="350"/>
      <c r="IA740" s="346"/>
      <c r="ID740" s="346"/>
      <c r="IE740" s="350"/>
      <c r="IF740" s="350"/>
      <c r="IG740" s="346"/>
      <c r="IH740" s="350"/>
      <c r="II740" s="350"/>
      <c r="IJ740" s="346"/>
      <c r="IK740" s="350">
        <v>9.1052140446290366</v>
      </c>
      <c r="IL740" s="350">
        <f t="shared" si="993"/>
        <v>0</v>
      </c>
      <c r="IM740" s="346">
        <f t="shared" si="1080"/>
        <v>9.1052140446290366</v>
      </c>
      <c r="IN740" s="350">
        <f t="shared" si="1052"/>
        <v>10.576397449342796</v>
      </c>
      <c r="IO740" s="350">
        <f t="shared" si="1053"/>
        <v>12.396972460117206</v>
      </c>
      <c r="IP740" s="346">
        <f t="shared" si="1066"/>
        <v>22.973369909460004</v>
      </c>
      <c r="IQ740" s="350">
        <f t="shared" si="1054"/>
        <v>13.473711122465023</v>
      </c>
      <c r="IR740" s="350">
        <f t="shared" si="1055"/>
        <v>7.9730017376129592</v>
      </c>
      <c r="IS740" s="346">
        <f t="shared" si="1067"/>
        <v>21.44671286007798</v>
      </c>
      <c r="IT740" s="350">
        <f t="shared" si="1068"/>
        <v>24.303837852230135</v>
      </c>
      <c r="IU740" s="350">
        <f t="shared" si="986"/>
        <v>24.53430638092405</v>
      </c>
      <c r="IV740" s="346">
        <f t="shared" si="1020"/>
        <v>48.838144233154182</v>
      </c>
      <c r="IW740" s="350">
        <f t="shared" si="1081"/>
        <v>23.875388676726971</v>
      </c>
      <c r="IX740" s="350">
        <f t="shared" si="1069"/>
        <v>21.423422477810199</v>
      </c>
      <c r="IY740" s="346">
        <f>FISC!AJ1062</f>
        <v>45.298811154537169</v>
      </c>
      <c r="IZ740" s="350">
        <f t="shared" si="1070"/>
        <v>24.914346134995444</v>
      </c>
      <c r="JA740" s="302">
        <f t="shared" si="1091"/>
        <v>24.914346134995444</v>
      </c>
      <c r="JB740" s="346">
        <f>FISC!AK1062</f>
        <v>49.828692269990889</v>
      </c>
      <c r="JC740" s="350">
        <f t="shared" si="1071"/>
        <v>27.40578074849499</v>
      </c>
      <c r="JD740" s="302">
        <f t="shared" si="1056"/>
        <v>27.40578074849499</v>
      </c>
      <c r="JE740" s="346">
        <f>FISC!AL1062</f>
        <v>54.811561496989981</v>
      </c>
      <c r="JF740" s="350">
        <f t="shared" si="1072"/>
        <v>30.146358823344492</v>
      </c>
      <c r="JG740" s="302">
        <f t="shared" si="1057"/>
        <v>30.146358823344492</v>
      </c>
      <c r="JH740" s="346">
        <f>FISC!AM1062</f>
        <v>60.292717646688985</v>
      </c>
      <c r="JI740" s="350">
        <f t="shared" si="1073"/>
        <v>33.160994705678945</v>
      </c>
      <c r="JJ740" s="302">
        <f t="shared" si="1058"/>
        <v>33.160994705678945</v>
      </c>
      <c r="JK740" s="346">
        <f>FISC!AN1062</f>
        <v>66.32198941135789</v>
      </c>
      <c r="JL740" s="350">
        <f t="shared" si="1074"/>
        <v>36.477094176246844</v>
      </c>
      <c r="JM740" s="302">
        <f t="shared" si="1059"/>
        <v>36.477094176246844</v>
      </c>
      <c r="JN740" s="346">
        <f>FISC!AO1062</f>
        <v>72.954188352493688</v>
      </c>
      <c r="KI740" s="349"/>
      <c r="KJ740" s="350"/>
    </row>
    <row r="741" spans="1:296" hidden="1" outlineLevel="1">
      <c r="A741" s="302"/>
      <c r="D741" s="1636" t="s">
        <v>3140</v>
      </c>
      <c r="E741" s="346"/>
      <c r="F741" s="346"/>
      <c r="G741" s="346"/>
      <c r="H741" s="346"/>
      <c r="I741" s="346"/>
      <c r="J741" s="346"/>
      <c r="K741" s="346"/>
      <c r="L741" s="346"/>
      <c r="M741" s="346"/>
      <c r="N741" s="346"/>
      <c r="O741" s="346"/>
      <c r="P741" s="346"/>
      <c r="Q741" s="346"/>
      <c r="R741" s="346"/>
      <c r="S741" s="346"/>
      <c r="T741" s="346"/>
      <c r="U741" s="346"/>
      <c r="V741" s="346"/>
      <c r="W741" s="346"/>
      <c r="X741" s="346"/>
      <c r="Y741" s="346"/>
      <c r="Z741" s="346"/>
      <c r="AA741" s="346"/>
      <c r="AB741" s="346"/>
      <c r="AC741" s="346"/>
      <c r="AD741" s="346"/>
      <c r="AE741" s="346"/>
      <c r="AF741" s="346"/>
      <c r="AG741" s="346"/>
      <c r="AH741" s="346"/>
      <c r="AI741" s="346"/>
      <c r="AJ741" s="346"/>
      <c r="AK741" s="346"/>
      <c r="AL741" s="346"/>
      <c r="AM741" s="346"/>
      <c r="AN741" s="346"/>
      <c r="AO741" s="346"/>
      <c r="AP741" s="346"/>
      <c r="AQ741" s="346"/>
      <c r="AR741" s="346"/>
      <c r="AS741" s="346"/>
      <c r="AT741" s="346"/>
      <c r="AU741" s="346"/>
      <c r="AV741" s="346"/>
      <c r="AW741" s="346"/>
      <c r="AX741" s="346"/>
      <c r="AY741" s="346"/>
      <c r="AZ741" s="346"/>
      <c r="BA741" s="346"/>
      <c r="BB741" s="346"/>
      <c r="BC741" s="346"/>
      <c r="BD741" s="346"/>
      <c r="BE741" s="346"/>
      <c r="BF741" s="346"/>
      <c r="BG741" s="346"/>
      <c r="BH741" s="346"/>
      <c r="BI741" s="346"/>
      <c r="BJ741" s="346"/>
      <c r="BK741" s="346"/>
      <c r="BL741" s="346"/>
      <c r="BM741" s="346"/>
      <c r="BN741" s="346"/>
      <c r="BO741" s="346"/>
      <c r="BP741" s="346"/>
      <c r="BQ741" s="346"/>
      <c r="BR741" s="346"/>
      <c r="BS741" s="346"/>
      <c r="BT741" s="346"/>
      <c r="BU741" s="346"/>
      <c r="BV741" s="346"/>
      <c r="BW741" s="346"/>
      <c r="BX741" s="346"/>
      <c r="BY741" s="346"/>
      <c r="BZ741" s="346"/>
      <c r="CA741" s="346"/>
      <c r="CB741" s="346"/>
      <c r="CC741" s="346"/>
      <c r="CD741" s="352"/>
      <c r="CE741" s="346">
        <v>0</v>
      </c>
      <c r="CF741" s="346">
        <v>0</v>
      </c>
      <c r="CG741" s="346">
        <v>0</v>
      </c>
      <c r="CH741" s="346">
        <v>0</v>
      </c>
      <c r="CI741" s="346">
        <v>0</v>
      </c>
      <c r="CJ741" s="346">
        <v>0</v>
      </c>
      <c r="CK741" s="346">
        <v>0</v>
      </c>
      <c r="CL741" s="346">
        <v>0</v>
      </c>
      <c r="CM741" s="346">
        <v>0</v>
      </c>
      <c r="CN741" s="346">
        <v>0</v>
      </c>
      <c r="CO741" s="346">
        <v>0</v>
      </c>
      <c r="CP741" s="348">
        <v>0</v>
      </c>
      <c r="CQ741" s="346"/>
      <c r="CR741" s="346"/>
      <c r="CS741" s="346"/>
      <c r="CT741" s="346"/>
      <c r="CU741" s="346"/>
      <c r="CV741" s="346"/>
      <c r="CW741" s="346"/>
      <c r="CX741" s="346"/>
      <c r="CY741" s="346"/>
      <c r="CZ741" s="346"/>
      <c r="DA741" s="346"/>
      <c r="DB741" s="1479"/>
      <c r="DC741" s="346"/>
      <c r="DD741" s="346"/>
      <c r="DE741" s="346"/>
      <c r="DF741" s="346"/>
      <c r="DG741" s="346"/>
      <c r="DH741" s="346"/>
      <c r="DI741" s="346"/>
      <c r="DJ741" s="346"/>
      <c r="DK741" s="346"/>
      <c r="DL741" s="346"/>
      <c r="DM741" s="346"/>
      <c r="DN741" s="348"/>
      <c r="DO741" s="346"/>
      <c r="DP741" s="346"/>
      <c r="DQ741" s="346"/>
      <c r="DR741" s="346"/>
      <c r="DS741" s="346"/>
      <c r="DT741" s="346"/>
      <c r="DU741" s="346"/>
      <c r="DV741" s="346"/>
      <c r="DW741" s="346"/>
      <c r="DX741" s="346"/>
      <c r="DY741" s="346"/>
      <c r="DZ741" s="348"/>
      <c r="EA741" s="346"/>
      <c r="EB741" s="346"/>
      <c r="EC741" s="346"/>
      <c r="ED741" s="346"/>
      <c r="EE741" s="346"/>
      <c r="EF741" s="346"/>
      <c r="EG741" s="346"/>
      <c r="EH741" s="346"/>
      <c r="EI741" s="346"/>
      <c r="EJ741" s="346"/>
      <c r="EK741" s="346"/>
      <c r="EL741" s="348"/>
      <c r="EM741" s="346"/>
      <c r="EN741" s="346"/>
      <c r="EO741" s="346"/>
      <c r="EP741" s="346"/>
      <c r="EQ741" s="346"/>
      <c r="ER741" s="346"/>
      <c r="ES741" s="346"/>
      <c r="ET741" s="346"/>
      <c r="EU741" s="346"/>
      <c r="EV741" s="346"/>
      <c r="EW741" s="346"/>
      <c r="EX741" s="348"/>
      <c r="EY741" s="346"/>
      <c r="EZ741" s="346"/>
      <c r="FA741" s="346"/>
      <c r="FB741" s="346"/>
      <c r="FC741" s="346"/>
      <c r="FD741" s="346"/>
      <c r="FE741" s="346"/>
      <c r="FF741" s="346"/>
      <c r="FG741" s="346"/>
      <c r="FH741" s="346"/>
      <c r="FI741" s="346"/>
      <c r="FJ741" s="348"/>
      <c r="FK741" s="346"/>
      <c r="FL741" s="346"/>
      <c r="FM741" s="346"/>
      <c r="FN741" s="346"/>
      <c r="FO741" s="346"/>
      <c r="FP741" s="346"/>
      <c r="FQ741" s="346"/>
      <c r="FR741" s="346"/>
      <c r="FS741" s="346"/>
      <c r="FT741" s="346"/>
      <c r="FU741" s="346"/>
      <c r="FV741" s="346"/>
      <c r="FW741" s="346">
        <v>2.7427314350000001</v>
      </c>
      <c r="FX741" s="346">
        <v>3.3048278679999998</v>
      </c>
      <c r="FY741" s="346">
        <v>3.4209741390000001</v>
      </c>
      <c r="FZ741" s="346">
        <v>3.0838155999999999</v>
      </c>
      <c r="GA741" s="346">
        <v>3.3429999769999998</v>
      </c>
      <c r="GB741" s="346">
        <v>3.4417001489999999</v>
      </c>
      <c r="GC741" s="346">
        <v>3.8239994500000001</v>
      </c>
      <c r="GD741" s="346">
        <v>2.876337382</v>
      </c>
      <c r="GE741" s="346">
        <v>3.549066308</v>
      </c>
      <c r="GF741" s="346">
        <v>2.6945463589999998</v>
      </c>
      <c r="GG741" s="346">
        <v>3.33441718</v>
      </c>
      <c r="GH741" s="346">
        <v>3.9168072249999999</v>
      </c>
      <c r="GI741" s="1897">
        <v>3.3601609429999999</v>
      </c>
      <c r="GJ741" s="1897">
        <v>3.8932636230000002</v>
      </c>
      <c r="GK741" s="1897">
        <v>3.6109727999999999</v>
      </c>
      <c r="GL741" s="1897">
        <v>3.6337095530000001</v>
      </c>
      <c r="GM741" s="1897">
        <v>3.7568253989999998</v>
      </c>
      <c r="GN741" s="1897">
        <v>4.0893793110000001</v>
      </c>
      <c r="GO741" s="1897">
        <v>4.4531423920000002</v>
      </c>
      <c r="GP741" s="1897">
        <v>3.5257689679999999</v>
      </c>
      <c r="GQ741" s="1897">
        <v>3.9731112679999998</v>
      </c>
      <c r="GR741" s="1897">
        <v>3.1513043870000002</v>
      </c>
      <c r="GS741" s="1897">
        <v>3.3379788389999998</v>
      </c>
      <c r="GT741" s="1897">
        <v>4.1867186470000002</v>
      </c>
      <c r="GU741" s="1897">
        <v>3.3379729629999999</v>
      </c>
      <c r="GV741" s="1897">
        <v>3.6769997509999999</v>
      </c>
      <c r="GW741" s="1897">
        <v>3.6830813880000002</v>
      </c>
      <c r="GX741" s="1897">
        <v>3.2600522000000001</v>
      </c>
      <c r="GY741" s="1897">
        <v>3.3253455559999998</v>
      </c>
      <c r="GZ741" s="1897">
        <v>3.619165873</v>
      </c>
      <c r="HA741" s="1897">
        <v>3.010857202</v>
      </c>
      <c r="HB741" s="1897">
        <v>3.0642211499999998</v>
      </c>
      <c r="HC741" s="1897">
        <v>2.8411651629999999</v>
      </c>
      <c r="HD741" s="1897">
        <v>2.6463547869999999</v>
      </c>
      <c r="HE741" s="1897">
        <v>3.1518743740000001</v>
      </c>
      <c r="HF741" s="1897">
        <v>3.3228378709999999</v>
      </c>
      <c r="HG741" s="1897">
        <v>3.0137853379999999</v>
      </c>
      <c r="HH741" s="1897">
        <v>2.9682512660000002</v>
      </c>
      <c r="HI741" s="1897">
        <v>2.970953373</v>
      </c>
      <c r="HJ741" s="1897">
        <v>3.3767772840000001</v>
      </c>
      <c r="HK741" s="1897">
        <v>3.011724359</v>
      </c>
      <c r="HL741" s="1897">
        <v>3.530008016</v>
      </c>
      <c r="HM741" s="1897"/>
      <c r="HN741" s="349"/>
      <c r="HO741" s="1636" t="s">
        <v>3140</v>
      </c>
      <c r="HP741" s="307"/>
      <c r="HR741" s="346"/>
      <c r="HU741" s="346"/>
      <c r="HV741" s="307"/>
      <c r="HX741" s="346"/>
      <c r="HY741" s="350"/>
      <c r="IA741" s="346"/>
      <c r="ID741" s="346"/>
      <c r="IE741" s="350"/>
      <c r="IF741" s="350"/>
      <c r="IG741" s="346"/>
      <c r="IH741" s="350"/>
      <c r="II741" s="350"/>
      <c r="IJ741" s="346"/>
      <c r="IK741" s="1774">
        <v>19.722913615500001</v>
      </c>
      <c r="IL741" s="350">
        <f t="shared" si="993"/>
        <v>0</v>
      </c>
      <c r="IM741" s="346">
        <f t="shared" si="1080"/>
        <v>19.722913615500001</v>
      </c>
      <c r="IN741" s="350">
        <f t="shared" si="1052"/>
        <v>19.337049168</v>
      </c>
      <c r="IO741" s="350">
        <f t="shared" si="1053"/>
        <v>20.195173904000001</v>
      </c>
      <c r="IP741" s="346">
        <f t="shared" si="1066"/>
        <v>39.532223072000001</v>
      </c>
      <c r="IQ741" s="350">
        <f t="shared" si="1054"/>
        <v>22.344311628999996</v>
      </c>
      <c r="IR741" s="350">
        <f t="shared" si="1055"/>
        <v>22.628024500999999</v>
      </c>
      <c r="IS741" s="346">
        <f t="shared" si="1067"/>
        <v>44.972336129999995</v>
      </c>
      <c r="IT741" s="350">
        <f t="shared" si="1068"/>
        <v>20.902617730999999</v>
      </c>
      <c r="IU741" s="350">
        <f t="shared" si="986"/>
        <v>18.037310547000001</v>
      </c>
      <c r="IV741" s="346">
        <f t="shared" si="1020"/>
        <v>38.939928277999996</v>
      </c>
      <c r="IW741" s="350">
        <f t="shared" si="1081"/>
        <v>18.871499636000003</v>
      </c>
      <c r="IX741" s="350">
        <f t="shared" si="1069"/>
        <v>42.324040636506176</v>
      </c>
      <c r="IY741" s="346">
        <f>FISC!AJ1063</f>
        <v>61.195540272506179</v>
      </c>
      <c r="IZ741" s="350">
        <f t="shared" si="1070"/>
        <v>33.604473179404899</v>
      </c>
      <c r="JA741" s="302">
        <f t="shared" si="1091"/>
        <v>33.604473179404899</v>
      </c>
      <c r="JB741" s="346">
        <f>FISC!AK1063</f>
        <v>67.208946358809797</v>
      </c>
      <c r="JC741" s="350">
        <f t="shared" si="1071"/>
        <v>33.604473179404891</v>
      </c>
      <c r="JD741" s="302">
        <f t="shared" si="1056"/>
        <v>33.604473179404891</v>
      </c>
      <c r="JE741" s="346">
        <f>FISC!AL1063</f>
        <v>67.208946358809783</v>
      </c>
      <c r="JF741" s="350">
        <f t="shared" si="1072"/>
        <v>33.604473179404891</v>
      </c>
      <c r="JG741" s="302">
        <f t="shared" si="1057"/>
        <v>33.604473179404891</v>
      </c>
      <c r="JH741" s="346">
        <f>FISC!AM1063</f>
        <v>67.208946358809783</v>
      </c>
      <c r="JI741" s="350">
        <f t="shared" si="1073"/>
        <v>33.604473179404891</v>
      </c>
      <c r="JJ741" s="302">
        <f t="shared" si="1058"/>
        <v>33.604473179404891</v>
      </c>
      <c r="JK741" s="346">
        <f>FISC!AN1063</f>
        <v>67.208946358809783</v>
      </c>
      <c r="JL741" s="350">
        <f t="shared" si="1074"/>
        <v>33.604473179404891</v>
      </c>
      <c r="JM741" s="302">
        <f t="shared" si="1059"/>
        <v>33.604473179404891</v>
      </c>
      <c r="JN741" s="346">
        <f>FISC!AO1063</f>
        <v>67.208946358809783</v>
      </c>
      <c r="KI741" s="349"/>
      <c r="KJ741" s="350"/>
    </row>
    <row r="742" spans="1:296" hidden="1" outlineLevel="1">
      <c r="A742" s="302"/>
      <c r="D742" s="1636" t="s">
        <v>3141</v>
      </c>
      <c r="E742" s="346"/>
      <c r="F742" s="346"/>
      <c r="G742" s="346"/>
      <c r="H742" s="346"/>
      <c r="I742" s="346"/>
      <c r="J742" s="346"/>
      <c r="K742" s="346"/>
      <c r="L742" s="346"/>
      <c r="M742" s="346"/>
      <c r="N742" s="346"/>
      <c r="O742" s="346"/>
      <c r="P742" s="346"/>
      <c r="Q742" s="346"/>
      <c r="R742" s="346"/>
      <c r="S742" s="346"/>
      <c r="T742" s="346"/>
      <c r="U742" s="346"/>
      <c r="V742" s="346"/>
      <c r="W742" s="346"/>
      <c r="X742" s="346"/>
      <c r="Y742" s="346"/>
      <c r="Z742" s="346"/>
      <c r="AA742" s="346"/>
      <c r="AB742" s="346"/>
      <c r="AC742" s="346"/>
      <c r="AD742" s="346"/>
      <c r="AE742" s="346"/>
      <c r="AF742" s="346"/>
      <c r="AG742" s="346"/>
      <c r="AH742" s="346"/>
      <c r="AI742" s="346"/>
      <c r="AJ742" s="346"/>
      <c r="AK742" s="346"/>
      <c r="AL742" s="346"/>
      <c r="AM742" s="346"/>
      <c r="AN742" s="346"/>
      <c r="AO742" s="346"/>
      <c r="AP742" s="346"/>
      <c r="AQ742" s="346"/>
      <c r="AR742" s="346"/>
      <c r="AS742" s="346"/>
      <c r="AT742" s="346"/>
      <c r="AU742" s="346"/>
      <c r="AV742" s="346"/>
      <c r="AW742" s="346"/>
      <c r="AX742" s="346"/>
      <c r="AY742" s="346"/>
      <c r="AZ742" s="346"/>
      <c r="BA742" s="346"/>
      <c r="BB742" s="346"/>
      <c r="BC742" s="346"/>
      <c r="BD742" s="346"/>
      <c r="BE742" s="346"/>
      <c r="BF742" s="346"/>
      <c r="BG742" s="346"/>
      <c r="BH742" s="346"/>
      <c r="BI742" s="346"/>
      <c r="BJ742" s="346"/>
      <c r="BK742" s="346"/>
      <c r="BL742" s="346"/>
      <c r="BM742" s="346"/>
      <c r="BN742" s="346"/>
      <c r="BO742" s="346"/>
      <c r="BP742" s="346"/>
      <c r="BQ742" s="346"/>
      <c r="BR742" s="346"/>
      <c r="BS742" s="346"/>
      <c r="BT742" s="346"/>
      <c r="BU742" s="346"/>
      <c r="BV742" s="346"/>
      <c r="BW742" s="346"/>
      <c r="BX742" s="346"/>
      <c r="BY742" s="346"/>
      <c r="BZ742" s="346"/>
      <c r="CA742" s="346"/>
      <c r="CB742" s="346"/>
      <c r="CC742" s="346"/>
      <c r="CD742" s="352"/>
      <c r="CE742" s="346">
        <v>0</v>
      </c>
      <c r="CF742" s="346">
        <v>0</v>
      </c>
      <c r="CG742" s="346">
        <v>0</v>
      </c>
      <c r="CH742" s="346">
        <v>0</v>
      </c>
      <c r="CI742" s="346">
        <v>0</v>
      </c>
      <c r="CJ742" s="346">
        <v>0</v>
      </c>
      <c r="CK742" s="346">
        <v>0</v>
      </c>
      <c r="CL742" s="346">
        <v>0</v>
      </c>
      <c r="CM742" s="346">
        <v>0</v>
      </c>
      <c r="CN742" s="346">
        <v>0</v>
      </c>
      <c r="CO742" s="346">
        <v>0</v>
      </c>
      <c r="CP742" s="348">
        <v>0</v>
      </c>
      <c r="CQ742" s="346"/>
      <c r="CR742" s="346"/>
      <c r="CS742" s="346"/>
      <c r="CT742" s="346"/>
      <c r="CU742" s="346"/>
      <c r="CV742" s="346"/>
      <c r="CW742" s="346"/>
      <c r="CX742" s="346"/>
      <c r="CY742" s="346"/>
      <c r="CZ742" s="346"/>
      <c r="DA742" s="346"/>
      <c r="DB742" s="1479"/>
      <c r="DC742" s="346"/>
      <c r="DD742" s="346"/>
      <c r="DE742" s="346"/>
      <c r="DF742" s="346"/>
      <c r="DG742" s="346"/>
      <c r="DH742" s="346"/>
      <c r="DI742" s="346"/>
      <c r="DJ742" s="346"/>
      <c r="DK742" s="346"/>
      <c r="DL742" s="346"/>
      <c r="DM742" s="346"/>
      <c r="DN742" s="348"/>
      <c r="DO742" s="346"/>
      <c r="DP742" s="346"/>
      <c r="DQ742" s="346"/>
      <c r="DR742" s="346"/>
      <c r="DS742" s="346"/>
      <c r="DT742" s="346"/>
      <c r="DU742" s="346"/>
      <c r="DV742" s="346"/>
      <c r="DW742" s="346"/>
      <c r="DX742" s="346"/>
      <c r="DY742" s="346"/>
      <c r="DZ742" s="348"/>
      <c r="EA742" s="346"/>
      <c r="EB742" s="346"/>
      <c r="EC742" s="346"/>
      <c r="ED742" s="346"/>
      <c r="EE742" s="346"/>
      <c r="EF742" s="346"/>
      <c r="EG742" s="346"/>
      <c r="EH742" s="346"/>
      <c r="EI742" s="346"/>
      <c r="EJ742" s="346"/>
      <c r="EK742" s="346"/>
      <c r="EL742" s="348"/>
      <c r="EM742" s="346"/>
      <c r="EN742" s="346"/>
      <c r="EO742" s="346"/>
      <c r="EP742" s="346"/>
      <c r="EQ742" s="346"/>
      <c r="ER742" s="346"/>
      <c r="ES742" s="346"/>
      <c r="ET742" s="346"/>
      <c r="EU742" s="346"/>
      <c r="EV742" s="346"/>
      <c r="EW742" s="346"/>
      <c r="EX742" s="348"/>
      <c r="EY742" s="346"/>
      <c r="EZ742" s="346"/>
      <c r="FA742" s="346"/>
      <c r="FB742" s="346"/>
      <c r="FC742" s="346"/>
      <c r="FD742" s="346"/>
      <c r="FE742" s="346"/>
      <c r="FF742" s="346"/>
      <c r="FG742" s="346"/>
      <c r="FH742" s="346"/>
      <c r="FI742" s="346"/>
      <c r="FJ742" s="348"/>
      <c r="FK742" s="346"/>
      <c r="FL742" s="346"/>
      <c r="FM742" s="346"/>
      <c r="FN742" s="346"/>
      <c r="FO742" s="346"/>
      <c r="FP742" s="346"/>
      <c r="FQ742" s="346"/>
      <c r="FR742" s="346"/>
      <c r="FS742" s="346"/>
      <c r="FT742" s="346"/>
      <c r="FU742" s="346"/>
      <c r="FV742" s="346"/>
      <c r="FW742" s="346">
        <v>0.89048044356393818</v>
      </c>
      <c r="FX742" s="346">
        <v>0.20816308147334395</v>
      </c>
      <c r="FY742" s="346">
        <v>11.389583278943176</v>
      </c>
      <c r="FZ742" s="346">
        <v>8.1235728114177181</v>
      </c>
      <c r="GA742" s="346">
        <v>7.1449307674685318</v>
      </c>
      <c r="GB742" s="346">
        <v>10.685185615229937</v>
      </c>
      <c r="GC742" s="346">
        <v>5.4374543402998636</v>
      </c>
      <c r="GD742" s="346">
        <v>38.769742272806667</v>
      </c>
      <c r="GE742" s="346">
        <v>9.5125341380442467</v>
      </c>
      <c r="GF742" s="346">
        <v>0</v>
      </c>
      <c r="GG742" s="346">
        <v>1.5575439028245883</v>
      </c>
      <c r="GH742" s="346">
        <v>12.325185310054717</v>
      </c>
      <c r="GI742" s="1897">
        <v>0.4897815739456805</v>
      </c>
      <c r="GJ742" s="1897">
        <v>0.1144937459528574</v>
      </c>
      <c r="GK742" s="1897">
        <v>6.2644924605193237</v>
      </c>
      <c r="GL742" s="1897">
        <v>4.4681231422830496</v>
      </c>
      <c r="GM742" s="1897">
        <v>3.929850972378361</v>
      </c>
      <c r="GN742" s="1897">
        <v>5.8770600369207262</v>
      </c>
      <c r="GO742" s="1897">
        <v>4.7946305251666672</v>
      </c>
      <c r="GP742" s="1897">
        <v>4.7946305251666672</v>
      </c>
      <c r="GQ742" s="1897">
        <v>4.7946305251666672</v>
      </c>
      <c r="GR742" s="1897">
        <v>4.7946305251666672</v>
      </c>
      <c r="GS742" s="1897">
        <v>4.7946305251666672</v>
      </c>
      <c r="GT742" s="1897">
        <v>4.7946305251666672</v>
      </c>
      <c r="GU742" s="1897">
        <v>0</v>
      </c>
      <c r="GV742" s="1897">
        <v>0</v>
      </c>
      <c r="GW742" s="1897">
        <v>19.037579936</v>
      </c>
      <c r="GX742" s="1897">
        <v>0</v>
      </c>
      <c r="GY742" s="1897">
        <v>0</v>
      </c>
      <c r="GZ742" s="1897">
        <v>10.950588294999999</v>
      </c>
      <c r="HA742" s="1897">
        <v>0</v>
      </c>
      <c r="HB742" s="1897">
        <v>0</v>
      </c>
      <c r="HC742" s="1897">
        <v>12.555359264779998</v>
      </c>
      <c r="HD742" s="1897">
        <v>0</v>
      </c>
      <c r="HE742" s="1897">
        <v>0</v>
      </c>
      <c r="HF742" s="1897">
        <v>13.93294442322</v>
      </c>
      <c r="HG742" s="1897">
        <v>0</v>
      </c>
      <c r="HH742" s="1897">
        <v>0</v>
      </c>
      <c r="HI742" s="1897">
        <v>17.116278745999999</v>
      </c>
      <c r="HJ742" s="1897">
        <v>0</v>
      </c>
      <c r="HK742" s="1897">
        <v>0</v>
      </c>
      <c r="HL742" s="1897">
        <v>18.137219097999999</v>
      </c>
      <c r="HM742" s="1897"/>
      <c r="HN742" s="349"/>
      <c r="HO742" s="1636" t="s">
        <v>3141</v>
      </c>
      <c r="HP742" s="307"/>
      <c r="HR742" s="346"/>
      <c r="HU742" s="346"/>
      <c r="HV742" s="307"/>
      <c r="HX742" s="346"/>
      <c r="HY742" s="350"/>
      <c r="IA742" s="346"/>
      <c r="ID742" s="346"/>
      <c r="IE742" s="350"/>
      <c r="IF742" s="350"/>
      <c r="IG742" s="346"/>
      <c r="IH742" s="350"/>
      <c r="II742" s="350"/>
      <c r="IJ742" s="346"/>
      <c r="IK742" s="1774">
        <v>8.8921222545000003</v>
      </c>
      <c r="IL742" s="350">
        <f t="shared" si="993"/>
        <v>0</v>
      </c>
      <c r="IM742" s="346">
        <f t="shared" si="1080"/>
        <v>8.8921222545000003</v>
      </c>
      <c r="IN742" s="350">
        <f t="shared" si="1052"/>
        <v>38.441915998096647</v>
      </c>
      <c r="IO742" s="350">
        <f t="shared" si="1053"/>
        <v>67.602459964030089</v>
      </c>
      <c r="IP742" s="346">
        <f t="shared" si="1066"/>
        <v>106.04437596212674</v>
      </c>
      <c r="IQ742" s="350">
        <f t="shared" si="1054"/>
        <v>21.143801931999999</v>
      </c>
      <c r="IR742" s="350">
        <f t="shared" si="1055"/>
        <v>28.767783151000003</v>
      </c>
      <c r="IS742" s="346">
        <f t="shared" si="1067"/>
        <v>49.911585083000006</v>
      </c>
      <c r="IT742" s="350">
        <f t="shared" si="1068"/>
        <v>29.988168231</v>
      </c>
      <c r="IU742" s="350">
        <f t="shared" si="986"/>
        <v>26.488303687999998</v>
      </c>
      <c r="IV742" s="346">
        <f t="shared" si="1020"/>
        <v>56.476471918999998</v>
      </c>
      <c r="IW742" s="350">
        <f t="shared" si="1081"/>
        <v>35.253497843999995</v>
      </c>
      <c r="IX742" s="350">
        <f t="shared" si="1069"/>
        <v>18.380802156000009</v>
      </c>
      <c r="IY742" s="346">
        <f>FISC!AJ1064</f>
        <v>53.634300000000003</v>
      </c>
      <c r="IZ742" s="350">
        <f t="shared" si="1070"/>
        <v>36.276400865770576</v>
      </c>
      <c r="JA742" s="302">
        <f t="shared" si="1091"/>
        <v>36.276400865770576</v>
      </c>
      <c r="JB742" s="346">
        <f>FISC!AK1064</f>
        <v>72.552801731541152</v>
      </c>
      <c r="JC742" s="350">
        <f t="shared" si="1071"/>
        <v>41.3473764278841</v>
      </c>
      <c r="JD742" s="302">
        <f t="shared" si="1056"/>
        <v>41.3473764278841</v>
      </c>
      <c r="JE742" s="346">
        <f>FISC!AL1064</f>
        <v>82.694752855768201</v>
      </c>
      <c r="JF742" s="350">
        <f t="shared" si="1072"/>
        <v>46.428504016631578</v>
      </c>
      <c r="JG742" s="302">
        <f t="shared" si="1057"/>
        <v>46.428504016631578</v>
      </c>
      <c r="JH742" s="346">
        <f>FISC!AM1064</f>
        <v>92.857008033263156</v>
      </c>
      <c r="JI742" s="350">
        <f t="shared" si="1073"/>
        <v>51.652668384673468</v>
      </c>
      <c r="JJ742" s="302">
        <f t="shared" si="1058"/>
        <v>51.652668384673468</v>
      </c>
      <c r="JK742" s="346">
        <f>FISC!AN1064</f>
        <v>103.30533676934694</v>
      </c>
      <c r="JL742" s="350">
        <f t="shared" si="1074"/>
        <v>57.850178852210732</v>
      </c>
      <c r="JM742" s="302">
        <f t="shared" si="1059"/>
        <v>57.850178852210732</v>
      </c>
      <c r="JN742" s="346">
        <f>FISC!AO1064</f>
        <v>115.70035770442146</v>
      </c>
      <c r="KI742" s="349"/>
      <c r="KJ742" s="350"/>
    </row>
    <row r="743" spans="1:296" hidden="1" outlineLevel="1">
      <c r="A743" s="302"/>
      <c r="D743" s="1439" t="s">
        <v>552</v>
      </c>
      <c r="E743" s="346"/>
      <c r="F743" s="346"/>
      <c r="G743" s="346"/>
      <c r="H743" s="346"/>
      <c r="I743" s="346"/>
      <c r="J743" s="346"/>
      <c r="K743" s="346"/>
      <c r="L743" s="346"/>
      <c r="M743" s="346"/>
      <c r="N743" s="346"/>
      <c r="O743" s="346"/>
      <c r="P743" s="346"/>
      <c r="Q743" s="346"/>
      <c r="R743" s="346"/>
      <c r="S743" s="346"/>
      <c r="T743" s="346"/>
      <c r="U743" s="346"/>
      <c r="V743" s="346"/>
      <c r="W743" s="346"/>
      <c r="X743" s="346"/>
      <c r="Y743" s="346"/>
      <c r="Z743" s="346"/>
      <c r="AA743" s="346"/>
      <c r="AB743" s="346"/>
      <c r="AC743" s="346"/>
      <c r="AD743" s="346"/>
      <c r="AE743" s="346"/>
      <c r="AF743" s="346"/>
      <c r="AG743" s="346"/>
      <c r="AH743" s="346"/>
      <c r="AI743" s="346"/>
      <c r="AJ743" s="346"/>
      <c r="AK743" s="346"/>
      <c r="AL743" s="346"/>
      <c r="AM743" s="346"/>
      <c r="AN743" s="346"/>
      <c r="AO743" s="346"/>
      <c r="AP743" s="346"/>
      <c r="AQ743" s="346"/>
      <c r="AR743" s="346"/>
      <c r="AS743" s="346"/>
      <c r="AT743" s="346"/>
      <c r="AU743" s="346"/>
      <c r="AV743" s="346"/>
      <c r="AW743" s="346"/>
      <c r="AX743" s="346"/>
      <c r="AY743" s="346"/>
      <c r="AZ743" s="346"/>
      <c r="BA743" s="346"/>
      <c r="BB743" s="346"/>
      <c r="BC743" s="346"/>
      <c r="BD743" s="346"/>
      <c r="BE743" s="346"/>
      <c r="BF743" s="346"/>
      <c r="BG743" s="346"/>
      <c r="BH743" s="346"/>
      <c r="BI743" s="346"/>
      <c r="BJ743" s="346"/>
      <c r="BK743" s="346"/>
      <c r="BL743" s="346"/>
      <c r="BM743" s="346"/>
      <c r="BN743" s="346"/>
      <c r="BO743" s="346"/>
      <c r="BP743" s="346"/>
      <c r="BQ743" s="346"/>
      <c r="BR743" s="346"/>
      <c r="BS743" s="346"/>
      <c r="BT743" s="346"/>
      <c r="BU743" s="346"/>
      <c r="BV743" s="346"/>
      <c r="BW743" s="346"/>
      <c r="BX743" s="346"/>
      <c r="BY743" s="346"/>
      <c r="BZ743" s="346"/>
      <c r="CA743" s="346"/>
      <c r="CB743" s="346"/>
      <c r="CC743" s="346"/>
      <c r="CD743" s="352"/>
      <c r="CE743" s="346">
        <f t="shared" ref="CE743:DJ743" si="1114">CE380</f>
        <v>0.77066292619726762</v>
      </c>
      <c r="CF743" s="346">
        <f t="shared" si="1114"/>
        <v>2.4482873745727849</v>
      </c>
      <c r="CG743" s="346">
        <f t="shared" si="1114"/>
        <v>0.73833164889343972</v>
      </c>
      <c r="CH743" s="346">
        <f t="shared" si="1114"/>
        <v>24.970246959450225</v>
      </c>
      <c r="CI743" s="346">
        <f t="shared" si="1114"/>
        <v>0.64224642862472392</v>
      </c>
      <c r="CJ743" s="346">
        <f t="shared" si="1114"/>
        <v>13.9081012511328</v>
      </c>
      <c r="CK743" s="346">
        <f t="shared" si="1114"/>
        <v>0.67361932902504518</v>
      </c>
      <c r="CL743" s="346">
        <f t="shared" si="1114"/>
        <v>3.7256129200830719</v>
      </c>
      <c r="CM743" s="346">
        <f t="shared" si="1114"/>
        <v>19.403214191856215</v>
      </c>
      <c r="CN743" s="346">
        <f t="shared" si="1114"/>
        <v>0.89975872191736017</v>
      </c>
      <c r="CO743" s="346">
        <f t="shared" si="1114"/>
        <v>1.5299262136995913</v>
      </c>
      <c r="CP743" s="348">
        <f t="shared" si="1114"/>
        <v>19.83261632021987</v>
      </c>
      <c r="CQ743" s="346">
        <f t="shared" si="1114"/>
        <v>0.64051576489999995</v>
      </c>
      <c r="CR743" s="346">
        <f t="shared" si="1114"/>
        <v>1.3247816400962495</v>
      </c>
      <c r="CS743" s="346">
        <f t="shared" si="1114"/>
        <v>0.68999256619000005</v>
      </c>
      <c r="CT743" s="346">
        <f t="shared" si="1114"/>
        <v>12.30321609883687</v>
      </c>
      <c r="CU743" s="346">
        <f t="shared" si="1114"/>
        <v>1.0187699279947897</v>
      </c>
      <c r="CV743" s="346">
        <f t="shared" si="1114"/>
        <v>17.969316369725746</v>
      </c>
      <c r="CW743" s="346">
        <f t="shared" si="1114"/>
        <v>3.3986685871911959</v>
      </c>
      <c r="CX743" s="346">
        <f t="shared" si="1114"/>
        <v>1.2860703248600001</v>
      </c>
      <c r="CY743" s="346">
        <f t="shared" si="1114"/>
        <v>39.287495378967854</v>
      </c>
      <c r="CZ743" s="346">
        <f t="shared" si="1114"/>
        <v>18.755037898988448</v>
      </c>
      <c r="DA743" s="346">
        <f t="shared" si="1114"/>
        <v>2.4607847271192944</v>
      </c>
      <c r="DB743" s="1479">
        <f t="shared" si="1114"/>
        <v>16.682581432324238</v>
      </c>
      <c r="DC743" s="346">
        <f t="shared" si="1114"/>
        <v>0.40936406353085403</v>
      </c>
      <c r="DD743" s="346">
        <f t="shared" si="1114"/>
        <v>0</v>
      </c>
      <c r="DE743" s="346">
        <f t="shared" si="1114"/>
        <v>9.8312581181893215</v>
      </c>
      <c r="DF743" s="346">
        <f t="shared" si="1114"/>
        <v>23.229991356577557</v>
      </c>
      <c r="DG743" s="346">
        <f t="shared" si="1114"/>
        <v>0</v>
      </c>
      <c r="DH743" s="346">
        <f t="shared" si="1114"/>
        <v>23.628131229306309</v>
      </c>
      <c r="DI743" s="346">
        <f t="shared" si="1114"/>
        <v>1.1791709588875621</v>
      </c>
      <c r="DJ743" s="346">
        <f t="shared" si="1114"/>
        <v>0.4497606167</v>
      </c>
      <c r="DK743" s="346">
        <f t="shared" ref="DK743:EP743" si="1115">DK380</f>
        <v>34.610282378924587</v>
      </c>
      <c r="DL743" s="346">
        <f t="shared" si="1115"/>
        <v>2.9093187925081443</v>
      </c>
      <c r="DM743" s="346">
        <f t="shared" si="1115"/>
        <v>3.1594757378971106</v>
      </c>
      <c r="DN743" s="348">
        <f t="shared" si="1115"/>
        <v>25.27834123792513</v>
      </c>
      <c r="DO743" s="346">
        <f t="shared" si="1115"/>
        <v>0.84171662300000005</v>
      </c>
      <c r="DP743" s="346">
        <f t="shared" si="1115"/>
        <v>1.967117645089288</v>
      </c>
      <c r="DQ743" s="346">
        <f t="shared" si="1115"/>
        <v>31.681815695863499</v>
      </c>
      <c r="DR743" s="346">
        <f t="shared" si="1115"/>
        <v>6.1606299268505698</v>
      </c>
      <c r="DS743" s="346">
        <f t="shared" si="1115"/>
        <v>1.804409023073996</v>
      </c>
      <c r="DT743" s="346">
        <f t="shared" si="1115"/>
        <v>30.045994029345199</v>
      </c>
      <c r="DU743" s="346">
        <f t="shared" si="1115"/>
        <v>1.4706382119999999</v>
      </c>
      <c r="DV743" s="346">
        <f t="shared" si="1115"/>
        <v>0.83759282999999995</v>
      </c>
      <c r="DW743" s="346">
        <f t="shared" si="1115"/>
        <v>31.727706425000001</v>
      </c>
      <c r="DX743" s="346">
        <f t="shared" si="1115"/>
        <v>1.759322435020374</v>
      </c>
      <c r="DY743" s="346">
        <f t="shared" si="1115"/>
        <v>0.96380090390219997</v>
      </c>
      <c r="DZ743" s="348">
        <f t="shared" si="1115"/>
        <v>30.086006621719498</v>
      </c>
      <c r="EA743" s="346">
        <f t="shared" si="1115"/>
        <v>0.84171662300000005</v>
      </c>
      <c r="EB743" s="346">
        <f t="shared" si="1115"/>
        <v>1.1508827779999999</v>
      </c>
      <c r="EC743" s="346">
        <f t="shared" si="1115"/>
        <v>20.926452234999999</v>
      </c>
      <c r="ED743" s="346">
        <f t="shared" si="1115"/>
        <v>20.989333863000002</v>
      </c>
      <c r="EE743" s="346">
        <f t="shared" si="1115"/>
        <v>0.87698696399999998</v>
      </c>
      <c r="EF743" s="346">
        <f t="shared" si="1115"/>
        <v>38.100210666000002</v>
      </c>
      <c r="EG743" s="346">
        <f t="shared" si="1115"/>
        <v>3.860204317</v>
      </c>
      <c r="EH743" s="346">
        <f t="shared" si="1115"/>
        <v>1.6015113299999999</v>
      </c>
      <c r="EI743" s="346">
        <f t="shared" si="1115"/>
        <v>15.074558287</v>
      </c>
      <c r="EJ743" s="346">
        <f t="shared" si="1115"/>
        <v>28.948392117999997</v>
      </c>
      <c r="EK743" s="346">
        <f t="shared" si="1115"/>
        <v>9.7391911150000006</v>
      </c>
      <c r="EL743" s="348">
        <f t="shared" si="1115"/>
        <v>18.724085254000002</v>
      </c>
      <c r="EM743" s="346">
        <f t="shared" si="1115"/>
        <v>2.1231752159999999</v>
      </c>
      <c r="EN743" s="346">
        <f t="shared" si="1115"/>
        <v>36.2872713223814</v>
      </c>
      <c r="EO743" s="346">
        <f t="shared" si="1115"/>
        <v>34.786820126361604</v>
      </c>
      <c r="EP743" s="346">
        <f t="shared" si="1115"/>
        <v>10.917655376212011</v>
      </c>
      <c r="EQ743" s="346">
        <f t="shared" ref="EQ743:FP743" si="1116">EQ380</f>
        <v>1.0695211383090499</v>
      </c>
      <c r="ER743" s="346">
        <f t="shared" si="1116"/>
        <v>19.977650562447401</v>
      </c>
      <c r="ES743" s="346">
        <f t="shared" si="1116"/>
        <v>3.5640890249999999</v>
      </c>
      <c r="ET743" s="346">
        <f t="shared" si="1116"/>
        <v>0.86682387499999991</v>
      </c>
      <c r="EU743" s="346">
        <f t="shared" si="1116"/>
        <v>31.195748930000001</v>
      </c>
      <c r="EV743" s="346">
        <f t="shared" si="1116"/>
        <v>10.056148590836891</v>
      </c>
      <c r="EW743" s="346">
        <f t="shared" si="1116"/>
        <v>0.93046208699999999</v>
      </c>
      <c r="EX743" s="348">
        <f t="shared" si="1116"/>
        <v>10.858199057</v>
      </c>
      <c r="EY743" s="346">
        <f t="shared" si="1116"/>
        <v>1.4305886475704002</v>
      </c>
      <c r="EZ743" s="346">
        <f t="shared" si="1116"/>
        <v>13.644136845282</v>
      </c>
      <c r="FA743" s="346">
        <f t="shared" si="1116"/>
        <v>31.012991648227889</v>
      </c>
      <c r="FB743" s="346">
        <f t="shared" si="1116"/>
        <v>32.400034510430515</v>
      </c>
      <c r="FC743" s="346">
        <f t="shared" si="1116"/>
        <v>1.8529432568197119</v>
      </c>
      <c r="FD743" s="346">
        <f t="shared" si="1116"/>
        <v>22.307530775192664</v>
      </c>
      <c r="FE743" s="346">
        <f t="shared" si="1116"/>
        <v>1.102642532</v>
      </c>
      <c r="FF743" s="346">
        <f t="shared" si="1116"/>
        <v>1.5673122104031836</v>
      </c>
      <c r="FG743" s="346">
        <f t="shared" si="1116"/>
        <v>1.164678173</v>
      </c>
      <c r="FH743" s="346">
        <f t="shared" si="1116"/>
        <v>15.00436438751411</v>
      </c>
      <c r="FI743" s="346">
        <f t="shared" si="1116"/>
        <v>31.771734912361026</v>
      </c>
      <c r="FJ743" s="348">
        <f t="shared" si="1116"/>
        <v>0.69479255699999998</v>
      </c>
      <c r="FK743" s="346">
        <f t="shared" si="1116"/>
        <v>1.30959155171956</v>
      </c>
      <c r="FL743" s="346">
        <f t="shared" si="1116"/>
        <v>1.9347106542756209</v>
      </c>
      <c r="FM743" s="346">
        <f t="shared" si="1116"/>
        <v>75.71959442460701</v>
      </c>
      <c r="FN743" s="346">
        <f t="shared" si="1116"/>
        <v>1.1583962818945865</v>
      </c>
      <c r="FO743" s="346">
        <f t="shared" si="1116"/>
        <v>4.366134070302274</v>
      </c>
      <c r="FP743" s="346">
        <f t="shared" si="1116"/>
        <v>45.64905023299778</v>
      </c>
      <c r="FQ743" s="346">
        <f t="shared" ref="FQ743:FV743" si="1117">FQ380</f>
        <v>1.0837011122571989</v>
      </c>
      <c r="FR743" s="346">
        <f t="shared" si="1117"/>
        <v>1.059584074326962</v>
      </c>
      <c r="FS743" s="346">
        <f t="shared" si="1117"/>
        <v>1.2100451349451466</v>
      </c>
      <c r="FT743" s="346">
        <f t="shared" si="1117"/>
        <v>53.887641090870552</v>
      </c>
      <c r="FU743" s="346">
        <f t="shared" si="1117"/>
        <v>1.24375097513529</v>
      </c>
      <c r="FV743" s="346">
        <f t="shared" si="1117"/>
        <v>35.734580436030392</v>
      </c>
      <c r="FW743" s="346">
        <v>1.1091053145613641</v>
      </c>
      <c r="FX743" s="346">
        <v>1.251032031511992</v>
      </c>
      <c r="FY743" s="346">
        <v>41.103752136057629</v>
      </c>
      <c r="FZ743" s="346">
        <v>1.1011386350700656</v>
      </c>
      <c r="GA743" s="346">
        <v>43.355828380578068</v>
      </c>
      <c r="GB743" s="346">
        <v>5.6110027847700756</v>
      </c>
      <c r="GC743" s="346">
        <v>1.1667665404519934</v>
      </c>
      <c r="GD743" s="346">
        <v>1.0292662748935573</v>
      </c>
      <c r="GE743" s="346">
        <v>1.2633240981165843</v>
      </c>
      <c r="GF743" s="346">
        <v>24.726026118637265</v>
      </c>
      <c r="GG743" s="346">
        <v>1.2289248174735214</v>
      </c>
      <c r="GH743" s="346">
        <v>39.402393755767058</v>
      </c>
      <c r="GI743" s="346">
        <f t="shared" ref="GI743:HL743" si="1118">GI380</f>
        <v>0</v>
      </c>
      <c r="GJ743" s="346">
        <f t="shared" si="1118"/>
        <v>0</v>
      </c>
      <c r="GK743" s="346">
        <f t="shared" si="1118"/>
        <v>37.830943720766165</v>
      </c>
      <c r="GL743" s="346">
        <f t="shared" si="1118"/>
        <v>0</v>
      </c>
      <c r="GM743" s="346">
        <f t="shared" si="1118"/>
        <v>0</v>
      </c>
      <c r="GN743" s="346">
        <f t="shared" si="1118"/>
        <v>39.097062721909495</v>
      </c>
      <c r="GO743" s="346">
        <f t="shared" si="1118"/>
        <v>0</v>
      </c>
      <c r="GP743" s="346">
        <f t="shared" si="1118"/>
        <v>0</v>
      </c>
      <c r="GQ743" s="346">
        <f t="shared" si="1118"/>
        <v>42.755879130666671</v>
      </c>
      <c r="GR743" s="346">
        <f t="shared" si="1118"/>
        <v>0</v>
      </c>
      <c r="GS743" s="346">
        <f t="shared" si="1118"/>
        <v>0</v>
      </c>
      <c r="GT743" s="346">
        <f t="shared" si="1118"/>
        <v>26.769587676048875</v>
      </c>
      <c r="GU743" s="346">
        <f t="shared" si="1118"/>
        <v>2.1399855067314051</v>
      </c>
      <c r="GV743" s="346">
        <f t="shared" si="1118"/>
        <v>10.865837004963289</v>
      </c>
      <c r="GW743" s="346">
        <f t="shared" si="1118"/>
        <v>72.267489486905546</v>
      </c>
      <c r="GX743" s="346">
        <f t="shared" si="1118"/>
        <v>2.6652518972100006</v>
      </c>
      <c r="GY743" s="346">
        <f t="shared" si="1118"/>
        <v>4.2841920068400006</v>
      </c>
      <c r="GZ743" s="346">
        <f t="shared" si="1118"/>
        <v>67.335532702601625</v>
      </c>
      <c r="HA743" s="346">
        <f t="shared" si="1118"/>
        <v>2.5787660292899997</v>
      </c>
      <c r="HB743" s="346">
        <f t="shared" si="1118"/>
        <v>10.252433023537021</v>
      </c>
      <c r="HC743" s="346">
        <f t="shared" si="1118"/>
        <v>21.983112498852869</v>
      </c>
      <c r="HD743" s="346">
        <f t="shared" si="1118"/>
        <v>38.063490261893897</v>
      </c>
      <c r="HE743" s="346">
        <f t="shared" si="1118"/>
        <v>6.5544787854522948</v>
      </c>
      <c r="HF743" s="346">
        <f t="shared" si="1118"/>
        <v>2.6359777666497743</v>
      </c>
      <c r="HG743" s="346">
        <f t="shared" si="1118"/>
        <v>27.692709201505902</v>
      </c>
      <c r="HH743" s="346">
        <f t="shared" si="1118"/>
        <v>2.8426637318633006</v>
      </c>
      <c r="HI743" s="346">
        <f t="shared" si="1118"/>
        <v>60.353551034722791</v>
      </c>
      <c r="HJ743" s="346">
        <f t="shared" si="1118"/>
        <v>3.2966403503099988</v>
      </c>
      <c r="HK743" s="346">
        <f t="shared" si="1118"/>
        <v>2.6491294048966991</v>
      </c>
      <c r="HL743" s="346">
        <f t="shared" si="1118"/>
        <v>54.963082722463305</v>
      </c>
      <c r="HM743" s="346"/>
      <c r="HN743" s="349"/>
      <c r="HO743" s="1439" t="s">
        <v>552</v>
      </c>
      <c r="HP743" s="307">
        <f>SUM(CE743:CJ743)</f>
        <v>43.47787658887124</v>
      </c>
      <c r="HQ743" s="302">
        <f>SUM(CK743:CP743)</f>
        <v>46.064747696801156</v>
      </c>
      <c r="HR743" s="346">
        <f t="shared" si="698"/>
        <v>89.542624285672389</v>
      </c>
      <c r="HS743" s="302">
        <f>SUM(CQ743:CV743)</f>
        <v>33.946592367743655</v>
      </c>
      <c r="HT743" s="302">
        <f>SUM(CW743:DB743)</f>
        <v>81.870638349451028</v>
      </c>
      <c r="HU743" s="346">
        <f t="shared" si="678"/>
        <v>115.81723071719469</v>
      </c>
      <c r="HV743" s="307">
        <f>SUM(DC743:DH743)</f>
        <v>57.098744767604046</v>
      </c>
      <c r="HW743" s="302">
        <f>SUM(DI743:DN743)</f>
        <v>67.586349722842542</v>
      </c>
      <c r="HX743" s="346">
        <f t="shared" si="679"/>
        <v>124.68509449044659</v>
      </c>
      <c r="HY743" s="350">
        <f>SUM(DO743:DT743)</f>
        <v>72.501682943222548</v>
      </c>
      <c r="HZ743" s="302">
        <f>SUM(DU743:DZ743)</f>
        <v>66.845067427642078</v>
      </c>
      <c r="IA743" s="346">
        <f t="shared" si="680"/>
        <v>139.34675037086464</v>
      </c>
      <c r="IB743" s="302">
        <f>SUM(EA743:EF743)</f>
        <v>82.885583128999997</v>
      </c>
      <c r="IC743" s="302">
        <f>SUM(EG743:EL743)</f>
        <v>77.947942420999993</v>
      </c>
      <c r="ID743" s="346">
        <f t="shared" si="681"/>
        <v>160.83352554999999</v>
      </c>
      <c r="IE743" s="350">
        <f>SUM(EM743:ER743)</f>
        <v>105.16209374171149</v>
      </c>
      <c r="IF743" s="350">
        <f>SUM(ES743:EX743)</f>
        <v>57.471471564836897</v>
      </c>
      <c r="IG743" s="346">
        <f t="shared" si="682"/>
        <v>162.63356530654838</v>
      </c>
      <c r="IH743" s="350">
        <f>SUM(EY743:FD743)</f>
        <v>102.64822568352318</v>
      </c>
      <c r="II743" s="350">
        <f>SUM(FE743:FJ743)</f>
        <v>51.305524772278318</v>
      </c>
      <c r="IJ743" s="346">
        <f t="shared" si="683"/>
        <v>153.9537504558015</v>
      </c>
      <c r="IK743" s="350">
        <f>SUM(FK743:FP743)</f>
        <v>130.13747721579682</v>
      </c>
      <c r="IL743" s="350">
        <f t="shared" si="993"/>
        <v>94.219302823565542</v>
      </c>
      <c r="IM743" s="346">
        <f t="shared" si="1080"/>
        <v>224.35678003936238</v>
      </c>
      <c r="IN743" s="350">
        <f t="shared" si="1052"/>
        <v>93.531859282549192</v>
      </c>
      <c r="IO743" s="350">
        <f t="shared" si="1053"/>
        <v>68.816701605339972</v>
      </c>
      <c r="IP743" s="346">
        <f t="shared" si="1066"/>
        <v>162.34856088788916</v>
      </c>
      <c r="IQ743" s="350">
        <f t="shared" si="1054"/>
        <v>76.928006442675667</v>
      </c>
      <c r="IR743" s="350">
        <f t="shared" si="1055"/>
        <v>69.525466806715542</v>
      </c>
      <c r="IS743" s="346">
        <f t="shared" si="1067"/>
        <v>146.45347324939121</v>
      </c>
      <c r="IT743" s="350">
        <f t="shared" si="1068"/>
        <v>159.55828860525185</v>
      </c>
      <c r="IU743" s="350">
        <f t="shared" si="986"/>
        <v>82.06825836567586</v>
      </c>
      <c r="IV743" s="346">
        <f t="shared" si="1020"/>
        <v>241.62654697092771</v>
      </c>
      <c r="IW743" s="350">
        <f t="shared" si="1081"/>
        <v>151.797776445762</v>
      </c>
      <c r="IX743" s="350">
        <f t="shared" si="1069"/>
        <v>85.405628881956233</v>
      </c>
      <c r="IY743" s="346">
        <f>FISC!AJ1065</f>
        <v>237.20340532771823</v>
      </c>
      <c r="IZ743" s="350">
        <f t="shared" si="1070"/>
        <v>113.34327095493451</v>
      </c>
      <c r="JA743" s="302">
        <f t="shared" si="1091"/>
        <v>113.34327095493451</v>
      </c>
      <c r="JB743" s="346">
        <f>FISC!AK1065</f>
        <v>226.68654190986902</v>
      </c>
      <c r="JC743" s="350">
        <f t="shared" si="1071"/>
        <v>121.83871594584805</v>
      </c>
      <c r="JD743" s="302">
        <f t="shared" si="1056"/>
        <v>121.83871594584805</v>
      </c>
      <c r="JE743" s="346">
        <f>FISC!AL1065</f>
        <v>243.6774318916961</v>
      </c>
      <c r="JF743" s="350">
        <f t="shared" si="1072"/>
        <v>132.49152587988934</v>
      </c>
      <c r="JG743" s="302">
        <f t="shared" si="1057"/>
        <v>132.49152587988934</v>
      </c>
      <c r="JH743" s="346">
        <f>FISC!AM1065</f>
        <v>264.98305175977868</v>
      </c>
      <c r="JI743" s="350">
        <f t="shared" si="1073"/>
        <v>141.77487827230743</v>
      </c>
      <c r="JJ743" s="302">
        <f t="shared" si="1058"/>
        <v>141.77487827230743</v>
      </c>
      <c r="JK743" s="346">
        <f>FISC!AN1065</f>
        <v>283.54975654461487</v>
      </c>
      <c r="JL743" s="350">
        <f t="shared" si="1074"/>
        <v>149.1966826343857</v>
      </c>
      <c r="JM743" s="302">
        <f t="shared" si="1059"/>
        <v>149.1966826343857</v>
      </c>
      <c r="JN743" s="346">
        <f>FISC!AO1065</f>
        <v>298.39336526877139</v>
      </c>
      <c r="KI743" s="349"/>
      <c r="KJ743" s="350"/>
    </row>
    <row r="744" spans="1:296" hidden="1" outlineLevel="1">
      <c r="A744" s="302"/>
      <c r="D744" s="1635" t="s">
        <v>3128</v>
      </c>
      <c r="E744" s="346"/>
      <c r="F744" s="346"/>
      <c r="G744" s="346"/>
      <c r="H744" s="346"/>
      <c r="I744" s="346"/>
      <c r="J744" s="346"/>
      <c r="K744" s="346"/>
      <c r="L744" s="346"/>
      <c r="M744" s="346"/>
      <c r="N744" s="346"/>
      <c r="O744" s="346"/>
      <c r="P744" s="346"/>
      <c r="Q744" s="346"/>
      <c r="R744" s="346"/>
      <c r="S744" s="346"/>
      <c r="T744" s="346"/>
      <c r="U744" s="346"/>
      <c r="V744" s="346"/>
      <c r="W744" s="346"/>
      <c r="X744" s="346"/>
      <c r="Y744" s="346"/>
      <c r="Z744" s="346"/>
      <c r="AA744" s="346"/>
      <c r="AB744" s="346"/>
      <c r="AC744" s="346"/>
      <c r="AD744" s="346"/>
      <c r="AE744" s="346"/>
      <c r="AF744" s="346"/>
      <c r="AG744" s="346"/>
      <c r="AH744" s="346"/>
      <c r="AI744" s="346"/>
      <c r="AJ744" s="346"/>
      <c r="AK744" s="346"/>
      <c r="AL744" s="346"/>
      <c r="AM744" s="346"/>
      <c r="AN744" s="346"/>
      <c r="AO744" s="346"/>
      <c r="AP744" s="346"/>
      <c r="AQ744" s="346"/>
      <c r="AR744" s="346"/>
      <c r="AS744" s="346"/>
      <c r="AT744" s="346"/>
      <c r="AU744" s="346"/>
      <c r="AV744" s="346"/>
      <c r="AW744" s="346"/>
      <c r="AX744" s="346"/>
      <c r="AY744" s="346"/>
      <c r="AZ744" s="346"/>
      <c r="BA744" s="346"/>
      <c r="BB744" s="346"/>
      <c r="BC744" s="346"/>
      <c r="BD744" s="346"/>
      <c r="BE744" s="346"/>
      <c r="BF744" s="346"/>
      <c r="BG744" s="346"/>
      <c r="BH744" s="346"/>
      <c r="BI744" s="346"/>
      <c r="BJ744" s="346"/>
      <c r="BK744" s="346"/>
      <c r="BL744" s="346"/>
      <c r="BM744" s="346"/>
      <c r="BN744" s="346"/>
      <c r="BO744" s="346"/>
      <c r="BP744" s="346"/>
      <c r="BQ744" s="346"/>
      <c r="BR744" s="346"/>
      <c r="BS744" s="346"/>
      <c r="BT744" s="346"/>
      <c r="BU744" s="346"/>
      <c r="BV744" s="346"/>
      <c r="BW744" s="346"/>
      <c r="BX744" s="346"/>
      <c r="BY744" s="346"/>
      <c r="BZ744" s="346"/>
      <c r="CA744" s="346"/>
      <c r="CB744" s="346"/>
      <c r="CC744" s="346"/>
      <c r="CD744" s="352"/>
      <c r="CE744" s="1656">
        <v>0</v>
      </c>
      <c r="CF744" s="1656">
        <v>1.7720709642719998</v>
      </c>
      <c r="CG744" s="1656">
        <v>0</v>
      </c>
      <c r="CH744" s="1656">
        <v>24.277350664404999</v>
      </c>
      <c r="CI744" s="1656">
        <v>0</v>
      </c>
      <c r="CJ744" s="1656">
        <v>13.187791715238999</v>
      </c>
      <c r="CK744" s="1656">
        <v>0</v>
      </c>
      <c r="CL744" s="1656">
        <v>3.1359618529199995</v>
      </c>
      <c r="CM744" s="1656">
        <v>18.798441418391999</v>
      </c>
      <c r="CN744" s="1656">
        <v>0.34932004166400005</v>
      </c>
      <c r="CO744" s="346">
        <v>0.85506566784197013</v>
      </c>
      <c r="CP744" s="348">
        <v>19.123361426614217</v>
      </c>
      <c r="CQ744" s="346">
        <v>0</v>
      </c>
      <c r="CR744" s="346">
        <v>0.5883615519562494</v>
      </c>
      <c r="CS744" s="346">
        <v>0</v>
      </c>
      <c r="CT744" s="346"/>
      <c r="CU744" s="346"/>
      <c r="CV744" s="346"/>
      <c r="CW744" s="346"/>
      <c r="CX744" s="346"/>
      <c r="CY744" s="346"/>
      <c r="CZ744" s="346"/>
      <c r="DA744" s="346"/>
      <c r="DB744" s="1479"/>
      <c r="DC744" s="346"/>
      <c r="DD744" s="346"/>
      <c r="DE744" s="346"/>
      <c r="DF744" s="346"/>
      <c r="DG744" s="346"/>
      <c r="DH744" s="346"/>
      <c r="DI744" s="346"/>
      <c r="DJ744" s="346"/>
      <c r="DK744" s="346"/>
      <c r="DL744" s="346"/>
      <c r="DM744" s="346"/>
      <c r="DN744" s="348"/>
      <c r="DO744" s="346"/>
      <c r="DP744" s="346"/>
      <c r="DQ744" s="346"/>
      <c r="DR744" s="346"/>
      <c r="DS744" s="346"/>
      <c r="DT744" s="346"/>
      <c r="DU744" s="346"/>
      <c r="DV744" s="346"/>
      <c r="DW744" s="346"/>
      <c r="DX744" s="346"/>
      <c r="DY744" s="346"/>
      <c r="DZ744" s="348"/>
      <c r="EA744" s="346"/>
      <c r="EB744" s="346"/>
      <c r="EC744" s="346"/>
      <c r="ED744" s="346"/>
      <c r="EE744" s="346"/>
      <c r="EF744" s="346"/>
      <c r="EG744" s="346"/>
      <c r="EH744" s="346"/>
      <c r="EI744" s="346"/>
      <c r="EJ744" s="346"/>
      <c r="EK744" s="346"/>
      <c r="EL744" s="348"/>
      <c r="EM744" s="346"/>
      <c r="EN744" s="346"/>
      <c r="EO744" s="346"/>
      <c r="EP744" s="346"/>
      <c r="EQ744" s="346"/>
      <c r="ER744" s="346"/>
      <c r="ES744" s="346"/>
      <c r="ET744" s="346"/>
      <c r="EU744" s="346"/>
      <c r="EV744" s="346"/>
      <c r="EW744" s="346"/>
      <c r="EX744" s="348"/>
      <c r="EY744" s="346"/>
      <c r="EZ744" s="346"/>
      <c r="FA744" s="346"/>
      <c r="FB744" s="346"/>
      <c r="FC744" s="346"/>
      <c r="FD744" s="346"/>
      <c r="FE744" s="346"/>
      <c r="FF744" s="346"/>
      <c r="FG744" s="346"/>
      <c r="FH744" s="346"/>
      <c r="FI744" s="346"/>
      <c r="FJ744" s="348"/>
      <c r="FK744" s="346"/>
      <c r="FL744" s="346"/>
      <c r="FM744" s="346"/>
      <c r="FN744" s="346"/>
      <c r="FO744" s="346"/>
      <c r="FP744" s="346"/>
      <c r="FQ744" s="346"/>
      <c r="FR744" s="346"/>
      <c r="FS744" s="346"/>
      <c r="FT744" s="346"/>
      <c r="FU744" s="346"/>
      <c r="FV744" s="346"/>
      <c r="FW744" s="346">
        <v>0</v>
      </c>
      <c r="FX744" s="346">
        <v>0.13815066190961411</v>
      </c>
      <c r="FY744" s="346">
        <v>39.901259719999999</v>
      </c>
      <c r="FZ744" s="346">
        <v>0</v>
      </c>
      <c r="GA744" s="346">
        <v>42.270651444000002</v>
      </c>
      <c r="GB744" s="346">
        <v>0</v>
      </c>
      <c r="GC744" s="346">
        <v>0</v>
      </c>
      <c r="GD744" s="346">
        <v>0</v>
      </c>
      <c r="GE744" s="346">
        <v>0</v>
      </c>
      <c r="GF744" s="346">
        <v>23.460708399999998</v>
      </c>
      <c r="GG744" s="346">
        <v>0</v>
      </c>
      <c r="GH744" s="346">
        <v>37.967731396234953</v>
      </c>
      <c r="GI744" s="1897">
        <v>0</v>
      </c>
      <c r="GJ744" s="1897">
        <v>0</v>
      </c>
      <c r="GK744" s="1897">
        <v>37.830943720766165</v>
      </c>
      <c r="GL744" s="1897">
        <v>0</v>
      </c>
      <c r="GM744" s="1897">
        <v>0</v>
      </c>
      <c r="GN744" s="1897">
        <v>39.097062721909495</v>
      </c>
      <c r="GO744" s="1897">
        <v>0</v>
      </c>
      <c r="GP744" s="1897">
        <v>0</v>
      </c>
      <c r="GQ744" s="1897">
        <v>42.755879130666671</v>
      </c>
      <c r="GR744" s="1897">
        <v>0</v>
      </c>
      <c r="GS744" s="1897">
        <v>0</v>
      </c>
      <c r="GT744" s="1897">
        <v>26.769587676048875</v>
      </c>
      <c r="GU744" s="1897">
        <v>0</v>
      </c>
      <c r="GV744" s="1897">
        <v>8.3532185703925492</v>
      </c>
      <c r="GW744" s="1897">
        <v>69.735063820311296</v>
      </c>
      <c r="GX744" s="1897">
        <v>0</v>
      </c>
      <c r="GY744" s="1897">
        <v>0</v>
      </c>
      <c r="GZ744" s="1897">
        <v>64.860627565871624</v>
      </c>
      <c r="HA744" s="1897">
        <v>0</v>
      </c>
      <c r="HB744" s="1897">
        <v>7.6904207837038214</v>
      </c>
      <c r="HC744" s="1897">
        <v>19.23650826862179</v>
      </c>
      <c r="HD744" s="1897">
        <v>35.777865754843894</v>
      </c>
      <c r="HE744" s="1897">
        <v>3.9089259962722953</v>
      </c>
      <c r="HF744" s="1897">
        <v>0</v>
      </c>
      <c r="HG744" s="1897">
        <v>24.893886267105898</v>
      </c>
      <c r="HH744" s="1897">
        <v>0</v>
      </c>
      <c r="HI744" s="1897">
        <v>57.657934019426094</v>
      </c>
      <c r="HJ744" s="1897">
        <v>0</v>
      </c>
      <c r="HK744" s="1897">
        <v>0</v>
      </c>
      <c r="HL744" s="1897">
        <v>52.553518996000001</v>
      </c>
      <c r="HM744" s="1897"/>
      <c r="HN744" s="349"/>
      <c r="HO744" s="1635" t="s">
        <v>3128</v>
      </c>
      <c r="HP744" s="307"/>
      <c r="HR744" s="346">
        <f t="shared" si="698"/>
        <v>0</v>
      </c>
      <c r="HU744" s="346">
        <f t="shared" si="678"/>
        <v>0</v>
      </c>
      <c r="HV744" s="307"/>
      <c r="HX744" s="346">
        <f t="shared" si="679"/>
        <v>0</v>
      </c>
      <c r="HY744" s="350"/>
      <c r="IA744" s="346">
        <f t="shared" si="680"/>
        <v>0</v>
      </c>
      <c r="ID744" s="346">
        <f t="shared" si="681"/>
        <v>0</v>
      </c>
      <c r="IE744" s="350"/>
      <c r="IF744" s="350"/>
      <c r="IG744" s="346">
        <f t="shared" si="682"/>
        <v>0</v>
      </c>
      <c r="IH744" s="350"/>
      <c r="II744" s="350"/>
      <c r="IJ744" s="346">
        <f t="shared" si="683"/>
        <v>0</v>
      </c>
      <c r="IK744" s="350">
        <v>122.21989487944499</v>
      </c>
      <c r="IL744" s="350">
        <f t="shared" si="993"/>
        <v>0</v>
      </c>
      <c r="IM744" s="346">
        <f>IK744+IL744</f>
        <v>122.21989487944499</v>
      </c>
      <c r="IN744" s="350">
        <f t="shared" si="1052"/>
        <v>82.310061825909614</v>
      </c>
      <c r="IO744" s="350">
        <f t="shared" si="1053"/>
        <v>61.428439796234954</v>
      </c>
      <c r="IP744" s="346">
        <f t="shared" si="1066"/>
        <v>143.73850162214455</v>
      </c>
      <c r="IQ744" s="350">
        <f t="shared" si="1054"/>
        <v>76.928006442675667</v>
      </c>
      <c r="IR744" s="350">
        <f t="shared" si="1055"/>
        <v>69.525466806715542</v>
      </c>
      <c r="IS744" s="346">
        <f t="shared" si="1067"/>
        <v>146.45347324939121</v>
      </c>
      <c r="IT744" s="350">
        <f t="shared" si="1068"/>
        <v>142.94890995657548</v>
      </c>
      <c r="IU744" s="350">
        <f t="shared" si="986"/>
        <v>66.613720803441808</v>
      </c>
      <c r="IV744" s="346">
        <f t="shared" si="1020"/>
        <v>209.56263076001727</v>
      </c>
      <c r="IW744" s="350">
        <f t="shared" si="1081"/>
        <v>135.10533928253199</v>
      </c>
      <c r="IX744" s="350">
        <f t="shared" si="1069"/>
        <v>74.89077817180268</v>
      </c>
      <c r="IY744" s="346">
        <f>FISC!AJ1066</f>
        <v>209.99611745433467</v>
      </c>
      <c r="IZ744" s="350">
        <f>FISC!AJ417</f>
        <v>98.624497302189511</v>
      </c>
      <c r="JA744" s="350">
        <f>FISC!AK416</f>
        <v>98.624497302189511</v>
      </c>
      <c r="JB744" s="346">
        <f>FISC!AK1066</f>
        <v>197.24899460437902</v>
      </c>
      <c r="JC744" s="350">
        <f>FISC!AK417</f>
        <v>105.93165753195345</v>
      </c>
      <c r="JD744" s="350">
        <f>FISC!AL416</f>
        <v>105.93165753195345</v>
      </c>
      <c r="JE744" s="346">
        <f>FISC!AL1066</f>
        <v>211.8633150639069</v>
      </c>
      <c r="JF744" s="350">
        <f>FISC!AL417</f>
        <v>112.94600449504487</v>
      </c>
      <c r="JG744" s="350">
        <f>FISC!AM416</f>
        <v>112.94600449504487</v>
      </c>
      <c r="JH744" s="346">
        <f>FISC!AM1066</f>
        <v>225.89200899008975</v>
      </c>
      <c r="JI744" s="350">
        <f>FISC!AM417</f>
        <v>119.33943304664193</v>
      </c>
      <c r="JJ744" s="350">
        <f>FISC!AN416</f>
        <v>119.33943304664193</v>
      </c>
      <c r="JK744" s="346">
        <f>FISC!AN1066</f>
        <v>238.67886609328386</v>
      </c>
      <c r="JL744" s="350">
        <f>FISC!AN417</f>
        <v>124.55660873368646</v>
      </c>
      <c r="JM744" s="350">
        <f>FISC!AO416</f>
        <v>124.55660873368646</v>
      </c>
      <c r="JN744" s="346">
        <f>FISC!AO1066</f>
        <v>249.11321746737292</v>
      </c>
      <c r="KI744" s="349"/>
      <c r="KJ744" s="350"/>
    </row>
    <row r="745" spans="1:296" hidden="1" outlineLevel="1">
      <c r="A745" s="302"/>
      <c r="D745" s="1635" t="s">
        <v>3129</v>
      </c>
      <c r="E745" s="346"/>
      <c r="F745" s="346"/>
      <c r="G745" s="346"/>
      <c r="H745" s="346"/>
      <c r="I745" s="346"/>
      <c r="J745" s="346"/>
      <c r="K745" s="346"/>
      <c r="L745" s="346"/>
      <c r="M745" s="346"/>
      <c r="N745" s="346"/>
      <c r="O745" s="346"/>
      <c r="P745" s="346"/>
      <c r="Q745" s="346"/>
      <c r="R745" s="346"/>
      <c r="S745" s="346"/>
      <c r="T745" s="346"/>
      <c r="U745" s="346"/>
      <c r="V745" s="346"/>
      <c r="W745" s="346"/>
      <c r="X745" s="346"/>
      <c r="Y745" s="346"/>
      <c r="Z745" s="346"/>
      <c r="AA745" s="346"/>
      <c r="AB745" s="346"/>
      <c r="AC745" s="346"/>
      <c r="AD745" s="346"/>
      <c r="AE745" s="346"/>
      <c r="AF745" s="346"/>
      <c r="AG745" s="346"/>
      <c r="AH745" s="346"/>
      <c r="AI745" s="346"/>
      <c r="AJ745" s="346"/>
      <c r="AK745" s="346"/>
      <c r="AL745" s="346"/>
      <c r="AM745" s="346"/>
      <c r="AN745" s="346"/>
      <c r="AO745" s="346"/>
      <c r="AP745" s="346"/>
      <c r="AQ745" s="346"/>
      <c r="AR745" s="346"/>
      <c r="AS745" s="346"/>
      <c r="AT745" s="346"/>
      <c r="AU745" s="346"/>
      <c r="AV745" s="346"/>
      <c r="AW745" s="346"/>
      <c r="AX745" s="346"/>
      <c r="AY745" s="346"/>
      <c r="AZ745" s="346"/>
      <c r="BA745" s="346"/>
      <c r="BB745" s="346"/>
      <c r="BC745" s="346"/>
      <c r="BD745" s="346"/>
      <c r="BE745" s="346"/>
      <c r="BF745" s="346"/>
      <c r="BG745" s="346"/>
      <c r="BH745" s="346"/>
      <c r="BI745" s="346"/>
      <c r="BJ745" s="346"/>
      <c r="BK745" s="346"/>
      <c r="BL745" s="346"/>
      <c r="BM745" s="346"/>
      <c r="BN745" s="346"/>
      <c r="BO745" s="346"/>
      <c r="BP745" s="346"/>
      <c r="BQ745" s="346"/>
      <c r="BR745" s="346"/>
      <c r="BS745" s="346"/>
      <c r="BT745" s="346"/>
      <c r="BU745" s="346"/>
      <c r="BV745" s="346"/>
      <c r="BW745" s="346"/>
      <c r="BX745" s="346"/>
      <c r="BY745" s="346"/>
      <c r="BZ745" s="346"/>
      <c r="CA745" s="346"/>
      <c r="CB745" s="346"/>
      <c r="CC745" s="346"/>
      <c r="CD745" s="352"/>
      <c r="CE745" s="1656">
        <v>0.77066292599999997</v>
      </c>
      <c r="CF745" s="1656">
        <v>0.67621640999999999</v>
      </c>
      <c r="CG745" s="1656">
        <v>0.73833164799999995</v>
      </c>
      <c r="CH745" s="1656">
        <v>0.69289629500000005</v>
      </c>
      <c r="CI745" s="1656">
        <v>0.64224642799999998</v>
      </c>
      <c r="CJ745" s="1656">
        <v>0.72030953499999995</v>
      </c>
      <c r="CK745" s="1656">
        <v>0.67361932899999999</v>
      </c>
      <c r="CL745" s="1656">
        <v>0.58965106700000003</v>
      </c>
      <c r="CM745" s="1656">
        <v>0.60477277299999999</v>
      </c>
      <c r="CN745" s="1656">
        <v>0.55043867999999996</v>
      </c>
      <c r="CO745" s="1656">
        <v>0.67486054500000003</v>
      </c>
      <c r="CP745" s="1657">
        <v>0.709254893</v>
      </c>
      <c r="CQ745" s="1656">
        <v>0.64051576489999995</v>
      </c>
      <c r="CR745" s="1656">
        <v>0.73642008814000004</v>
      </c>
      <c r="CS745" s="1656">
        <v>0.68999256619000005</v>
      </c>
      <c r="CT745" s="1656">
        <v>0.68641791488000004</v>
      </c>
      <c r="CU745" s="1656">
        <v>0.68865280364000003</v>
      </c>
      <c r="CV745" s="1656">
        <v>0.70344162925999998</v>
      </c>
      <c r="CW745" s="1656">
        <v>0.68109045918</v>
      </c>
      <c r="CX745" s="346"/>
      <c r="CY745" s="346"/>
      <c r="CZ745" s="346"/>
      <c r="DA745" s="346"/>
      <c r="DB745" s="1479"/>
      <c r="DC745" s="346"/>
      <c r="DD745" s="346"/>
      <c r="DE745" s="346"/>
      <c r="DF745" s="346"/>
      <c r="DG745" s="346"/>
      <c r="DH745" s="346"/>
      <c r="DI745" s="346"/>
      <c r="DJ745" s="346"/>
      <c r="DK745" s="346"/>
      <c r="DL745" s="346"/>
      <c r="DM745" s="346"/>
      <c r="DN745" s="348"/>
      <c r="DO745" s="346"/>
      <c r="DP745" s="346"/>
      <c r="DQ745" s="346"/>
      <c r="DR745" s="346"/>
      <c r="DS745" s="346"/>
      <c r="DT745" s="346"/>
      <c r="DU745" s="346"/>
      <c r="DV745" s="346"/>
      <c r="DW745" s="346"/>
      <c r="DX745" s="346"/>
      <c r="DY745" s="346"/>
      <c r="DZ745" s="348"/>
      <c r="EA745" s="346"/>
      <c r="EB745" s="346"/>
      <c r="EC745" s="346"/>
      <c r="ED745" s="346"/>
      <c r="EE745" s="346"/>
      <c r="EF745" s="346"/>
      <c r="EG745" s="346"/>
      <c r="EH745" s="346"/>
      <c r="EI745" s="346"/>
      <c r="EJ745" s="346"/>
      <c r="EK745" s="346"/>
      <c r="EL745" s="348"/>
      <c r="EM745" s="346"/>
      <c r="EN745" s="346"/>
      <c r="EO745" s="346"/>
      <c r="EP745" s="346"/>
      <c r="EQ745" s="346"/>
      <c r="ER745" s="346"/>
      <c r="ES745" s="346"/>
      <c r="ET745" s="346"/>
      <c r="EU745" s="346"/>
      <c r="EV745" s="346"/>
      <c r="EW745" s="346"/>
      <c r="EX745" s="348"/>
      <c r="EY745" s="346"/>
      <c r="EZ745" s="346"/>
      <c r="FA745" s="346"/>
      <c r="FB745" s="346"/>
      <c r="FC745" s="346"/>
      <c r="FD745" s="346"/>
      <c r="FE745" s="346"/>
      <c r="FF745" s="346"/>
      <c r="FG745" s="346"/>
      <c r="FH745" s="346"/>
      <c r="FI745" s="346"/>
      <c r="FJ745" s="348"/>
      <c r="FK745" s="346"/>
      <c r="FL745" s="346"/>
      <c r="FM745" s="346"/>
      <c r="FN745" s="346"/>
      <c r="FO745" s="346"/>
      <c r="FP745" s="346"/>
      <c r="FQ745" s="346"/>
      <c r="FR745" s="346"/>
      <c r="FS745" s="346"/>
      <c r="FT745" s="346"/>
      <c r="FU745" s="346"/>
      <c r="FV745" s="346"/>
      <c r="FW745" s="346">
        <v>1.0837539477113503</v>
      </c>
      <c r="FX745" s="346">
        <v>1.1663178391680293</v>
      </c>
      <c r="FY745" s="346">
        <v>1.1001783191763348</v>
      </c>
      <c r="FZ745" s="346">
        <v>0.99185076430458929</v>
      </c>
      <c r="GA745" s="346">
        <v>0.98033894384328968</v>
      </c>
      <c r="GB745" s="346">
        <v>0.94836407593313243</v>
      </c>
      <c r="GC745" s="346">
        <v>1.0492069098999999</v>
      </c>
      <c r="GD745" s="346">
        <v>0.93045151773000001</v>
      </c>
      <c r="GE745" s="346">
        <v>1.1183841883199999</v>
      </c>
      <c r="GF745" s="346">
        <v>1.1779837591148656</v>
      </c>
      <c r="GG745" s="346">
        <v>1.1722366772700004</v>
      </c>
      <c r="GH745" s="346">
        <v>1.2878633637100028</v>
      </c>
      <c r="GI745" s="1897">
        <v>0</v>
      </c>
      <c r="GJ745" s="1897">
        <v>0</v>
      </c>
      <c r="GK745" s="1897">
        <v>0</v>
      </c>
      <c r="GL745" s="1897">
        <v>0</v>
      </c>
      <c r="GM745" s="1897">
        <v>0</v>
      </c>
      <c r="GN745" s="1897">
        <v>0</v>
      </c>
      <c r="GO745" s="1897">
        <v>0</v>
      </c>
      <c r="GP745" s="1897">
        <v>0</v>
      </c>
      <c r="GQ745" s="1897">
        <v>0</v>
      </c>
      <c r="GR745" s="1897">
        <v>0</v>
      </c>
      <c r="GS745" s="1897">
        <v>0</v>
      </c>
      <c r="GT745" s="1897">
        <v>0</v>
      </c>
      <c r="GU745" s="1897">
        <v>1.9217092337999999</v>
      </c>
      <c r="GV745" s="1897">
        <v>2.2274812110000002</v>
      </c>
      <c r="GW745" s="1897">
        <v>2.2418770073199998</v>
      </c>
      <c r="GX745" s="1897">
        <v>2.29056076629</v>
      </c>
      <c r="GY745" s="1897">
        <v>2.0612422753200002</v>
      </c>
      <c r="GZ745" s="1897">
        <v>2.1457213335800001</v>
      </c>
      <c r="HA745" s="1897">
        <v>2.2639101732899998</v>
      </c>
      <c r="HB745" s="1897">
        <v>2.1925374570231999</v>
      </c>
      <c r="HC745" s="1897">
        <v>2.2617460433892003</v>
      </c>
      <c r="HD745" s="1897">
        <v>1.7822107191800001</v>
      </c>
      <c r="HE745" s="1897">
        <v>2.06722526726</v>
      </c>
      <c r="HF745" s="1897">
        <v>2.1364147207899999</v>
      </c>
      <c r="HG745" s="1897">
        <v>2.3489911910500001</v>
      </c>
      <c r="HH745" s="1897">
        <v>2.4842257622399999</v>
      </c>
      <c r="HI745" s="1897">
        <v>2.2972412095100001</v>
      </c>
      <c r="HJ745" s="1897">
        <v>2.5047021677500001</v>
      </c>
      <c r="HK745" s="1897">
        <v>2.18045563543</v>
      </c>
      <c r="HL745" s="1897">
        <v>1.8077513333599999</v>
      </c>
      <c r="HM745" s="1897"/>
      <c r="HN745" s="349"/>
      <c r="HO745" s="1635" t="s">
        <v>3129</v>
      </c>
      <c r="HP745" s="307"/>
      <c r="HR745" s="346"/>
      <c r="HU745" s="346"/>
      <c r="HV745" s="307"/>
      <c r="HX745" s="346"/>
      <c r="HY745" s="350"/>
      <c r="IA745" s="346"/>
      <c r="ID745" s="346"/>
      <c r="IE745" s="350"/>
      <c r="IF745" s="350"/>
      <c r="IG745" s="346"/>
      <c r="IH745" s="350"/>
      <c r="II745" s="350"/>
      <c r="IJ745" s="346"/>
      <c r="IK745" s="1774">
        <v>6.6782439365000004</v>
      </c>
      <c r="IL745" s="350">
        <f t="shared" si="993"/>
        <v>0</v>
      </c>
      <c r="IM745" s="346">
        <f t="shared" si="1080"/>
        <v>6.6782439365000004</v>
      </c>
      <c r="IN745" s="350">
        <f t="shared" si="1052"/>
        <v>6.2708038901367251</v>
      </c>
      <c r="IO745" s="350">
        <f t="shared" si="1053"/>
        <v>6.7361264160448684</v>
      </c>
      <c r="IP745" s="346">
        <f t="shared" si="1066"/>
        <v>13.006930306181594</v>
      </c>
      <c r="IQ745" s="350">
        <f t="shared" si="1054"/>
        <v>0</v>
      </c>
      <c r="IR745" s="350">
        <f t="shared" si="1055"/>
        <v>0</v>
      </c>
      <c r="IS745" s="346">
        <f t="shared" si="1067"/>
        <v>0</v>
      </c>
      <c r="IT745" s="350">
        <f t="shared" si="1068"/>
        <v>12.888591827309998</v>
      </c>
      <c r="IU745" s="350">
        <f t="shared" si="986"/>
        <v>12.7040443809324</v>
      </c>
      <c r="IV745" s="346">
        <f t="shared" si="1020"/>
        <v>25.592636208242396</v>
      </c>
      <c r="IW745" s="350">
        <f t="shared" si="1081"/>
        <v>13.623367299340002</v>
      </c>
      <c r="IX745" s="350">
        <f t="shared" si="1069"/>
        <v>13.583920574043569</v>
      </c>
      <c r="IY745" s="346">
        <f>FISC!AJ1067</f>
        <v>27.207287873383571</v>
      </c>
      <c r="IZ745" s="350">
        <f>JB745*0.5</f>
        <v>14.718773652745002</v>
      </c>
      <c r="JA745" s="302">
        <f t="shared" ref="JA745:JA764" si="1119">JB745-IZ745</f>
        <v>14.718773652745002</v>
      </c>
      <c r="JB745" s="346">
        <f>FISC!AK1067</f>
        <v>29.437547305490003</v>
      </c>
      <c r="JC745" s="350">
        <f>JE745*0.5</f>
        <v>15.907058413894607</v>
      </c>
      <c r="JD745" s="302">
        <f t="shared" ref="JD745:JD764" si="1120">JE745-JC745</f>
        <v>15.907058413894607</v>
      </c>
      <c r="JE745" s="346">
        <f>FISC!AL1067</f>
        <v>31.814116827789213</v>
      </c>
      <c r="JF745" s="350">
        <f>JH745*0.5</f>
        <v>19.545521384844474</v>
      </c>
      <c r="JG745" s="302">
        <f t="shared" ref="JG745:JG764" si="1121">JH745-JF745</f>
        <v>19.545521384844474</v>
      </c>
      <c r="JH745" s="346">
        <f>FISC!AM1067</f>
        <v>39.091042769688947</v>
      </c>
      <c r="JI745" s="350">
        <f>JK745*0.5</f>
        <v>22.435445225665511</v>
      </c>
      <c r="JJ745" s="302">
        <f t="shared" ref="JJ745:JJ764" si="1122">JK745-JI745</f>
        <v>22.435445225665511</v>
      </c>
      <c r="JK745" s="346">
        <f>FISC!AN1067</f>
        <v>44.870890451331022</v>
      </c>
      <c r="JL745" s="350">
        <f>JN745*0.5</f>
        <v>24.640073900699235</v>
      </c>
      <c r="JM745" s="302">
        <f t="shared" ref="JM745:JM764" si="1123">JN745-JL745</f>
        <v>24.640073900699235</v>
      </c>
      <c r="JN745" s="346">
        <f>FISC!AO1067</f>
        <v>49.280147801398471</v>
      </c>
      <c r="KI745" s="349"/>
      <c r="KJ745" s="350"/>
    </row>
    <row r="746" spans="1:296" hidden="1" outlineLevel="1">
      <c r="A746" s="302"/>
      <c r="D746" s="1439" t="s">
        <v>553</v>
      </c>
      <c r="E746" s="346"/>
      <c r="F746" s="346"/>
      <c r="G746" s="346"/>
      <c r="H746" s="346"/>
      <c r="I746" s="346"/>
      <c r="J746" s="346"/>
      <c r="K746" s="346"/>
      <c r="L746" s="346"/>
      <c r="M746" s="346"/>
      <c r="N746" s="346"/>
      <c r="O746" s="346"/>
      <c r="P746" s="346"/>
      <c r="Q746" s="346"/>
      <c r="R746" s="346"/>
      <c r="S746" s="346"/>
      <c r="T746" s="346"/>
      <c r="U746" s="346"/>
      <c r="V746" s="346"/>
      <c r="W746" s="346"/>
      <c r="X746" s="346"/>
      <c r="Y746" s="346"/>
      <c r="Z746" s="346"/>
      <c r="AA746" s="346"/>
      <c r="AB746" s="346"/>
      <c r="AC746" s="346"/>
      <c r="AD746" s="346"/>
      <c r="AE746" s="346"/>
      <c r="AF746" s="346"/>
      <c r="AG746" s="346"/>
      <c r="AH746" s="346"/>
      <c r="AI746" s="346"/>
      <c r="AJ746" s="346"/>
      <c r="AK746" s="346"/>
      <c r="AL746" s="346"/>
      <c r="AM746" s="346"/>
      <c r="AN746" s="346"/>
      <c r="AO746" s="346"/>
      <c r="AP746" s="346"/>
      <c r="AQ746" s="346"/>
      <c r="AR746" s="346"/>
      <c r="AS746" s="346"/>
      <c r="AT746" s="346"/>
      <c r="AU746" s="346"/>
      <c r="AV746" s="346"/>
      <c r="AW746" s="346"/>
      <c r="AX746" s="346"/>
      <c r="AY746" s="346"/>
      <c r="AZ746" s="346"/>
      <c r="BA746" s="346"/>
      <c r="BB746" s="346"/>
      <c r="BC746" s="346"/>
      <c r="BD746" s="346"/>
      <c r="BE746" s="346"/>
      <c r="BF746" s="346"/>
      <c r="BG746" s="346"/>
      <c r="BH746" s="346"/>
      <c r="BI746" s="346"/>
      <c r="BJ746" s="346"/>
      <c r="BK746" s="346"/>
      <c r="BL746" s="346"/>
      <c r="BM746" s="346"/>
      <c r="BN746" s="346"/>
      <c r="BO746" s="346"/>
      <c r="BP746" s="346"/>
      <c r="BQ746" s="346"/>
      <c r="BR746" s="346"/>
      <c r="BS746" s="346"/>
      <c r="BT746" s="346"/>
      <c r="BU746" s="346"/>
      <c r="BV746" s="346"/>
      <c r="BW746" s="346"/>
      <c r="BX746" s="346"/>
      <c r="BY746" s="346"/>
      <c r="BZ746" s="346"/>
      <c r="CA746" s="346"/>
      <c r="CB746" s="346"/>
      <c r="CC746" s="346"/>
      <c r="CD746" s="352"/>
      <c r="CE746" s="346">
        <f t="shared" ref="CE746:DJ746" si="1124">CE381</f>
        <v>0</v>
      </c>
      <c r="CF746" s="346">
        <f t="shared" si="1124"/>
        <v>0</v>
      </c>
      <c r="CG746" s="346">
        <f t="shared" si="1124"/>
        <v>0</v>
      </c>
      <c r="CH746" s="346">
        <f t="shared" si="1124"/>
        <v>0</v>
      </c>
      <c r="CI746" s="346">
        <f t="shared" si="1124"/>
        <v>0</v>
      </c>
      <c r="CJ746" s="346">
        <f t="shared" si="1124"/>
        <v>0</v>
      </c>
      <c r="CK746" s="346">
        <f t="shared" si="1124"/>
        <v>0</v>
      </c>
      <c r="CL746" s="346">
        <f t="shared" si="1124"/>
        <v>0</v>
      </c>
      <c r="CM746" s="346">
        <f t="shared" si="1124"/>
        <v>0</v>
      </c>
      <c r="CN746" s="346">
        <f t="shared" si="1124"/>
        <v>0</v>
      </c>
      <c r="CO746" s="346">
        <f t="shared" si="1124"/>
        <v>0</v>
      </c>
      <c r="CP746" s="348">
        <f t="shared" si="1124"/>
        <v>0</v>
      </c>
      <c r="CQ746" s="346">
        <f t="shared" si="1124"/>
        <v>0</v>
      </c>
      <c r="CR746" s="346">
        <f t="shared" si="1124"/>
        <v>0</v>
      </c>
      <c r="CS746" s="346">
        <f t="shared" si="1124"/>
        <v>0</v>
      </c>
      <c r="CT746" s="346">
        <f t="shared" si="1124"/>
        <v>0</v>
      </c>
      <c r="CU746" s="346">
        <f t="shared" si="1124"/>
        <v>0</v>
      </c>
      <c r="CV746" s="346">
        <f t="shared" si="1124"/>
        <v>0</v>
      </c>
      <c r="CW746" s="346">
        <f t="shared" si="1124"/>
        <v>0</v>
      </c>
      <c r="CX746" s="346">
        <f t="shared" si="1124"/>
        <v>0</v>
      </c>
      <c r="CY746" s="346">
        <f t="shared" si="1124"/>
        <v>0</v>
      </c>
      <c r="CZ746" s="346">
        <f t="shared" si="1124"/>
        <v>0</v>
      </c>
      <c r="DA746" s="346">
        <f t="shared" si="1124"/>
        <v>0</v>
      </c>
      <c r="DB746" s="1479">
        <f t="shared" si="1124"/>
        <v>0</v>
      </c>
      <c r="DC746" s="346">
        <f t="shared" si="1124"/>
        <v>0</v>
      </c>
      <c r="DD746" s="346">
        <f t="shared" si="1124"/>
        <v>0</v>
      </c>
      <c r="DE746" s="346">
        <f t="shared" si="1124"/>
        <v>0</v>
      </c>
      <c r="DF746" s="346">
        <f t="shared" si="1124"/>
        <v>0</v>
      </c>
      <c r="DG746" s="346">
        <f t="shared" si="1124"/>
        <v>0</v>
      </c>
      <c r="DH746" s="346">
        <f t="shared" si="1124"/>
        <v>0</v>
      </c>
      <c r="DI746" s="346">
        <f t="shared" si="1124"/>
        <v>0</v>
      </c>
      <c r="DJ746" s="346">
        <f t="shared" si="1124"/>
        <v>0</v>
      </c>
      <c r="DK746" s="346">
        <f t="shared" ref="DK746:EP746" si="1125">DK381</f>
        <v>0</v>
      </c>
      <c r="DL746" s="346">
        <f t="shared" si="1125"/>
        <v>0</v>
      </c>
      <c r="DM746" s="346">
        <f t="shared" si="1125"/>
        <v>0</v>
      </c>
      <c r="DN746" s="348">
        <f t="shared" si="1125"/>
        <v>0</v>
      </c>
      <c r="DO746" s="346">
        <f t="shared" si="1125"/>
        <v>0</v>
      </c>
      <c r="DP746" s="346">
        <f t="shared" si="1125"/>
        <v>0</v>
      </c>
      <c r="DQ746" s="346">
        <f t="shared" si="1125"/>
        <v>0</v>
      </c>
      <c r="DR746" s="346">
        <f t="shared" si="1125"/>
        <v>0</v>
      </c>
      <c r="DS746" s="346">
        <f t="shared" si="1125"/>
        <v>0</v>
      </c>
      <c r="DT746" s="346">
        <f t="shared" si="1125"/>
        <v>0</v>
      </c>
      <c r="DU746" s="346">
        <f t="shared" si="1125"/>
        <v>0</v>
      </c>
      <c r="DV746" s="346">
        <f t="shared" si="1125"/>
        <v>0</v>
      </c>
      <c r="DW746" s="346">
        <f t="shared" si="1125"/>
        <v>0</v>
      </c>
      <c r="DX746" s="346">
        <f t="shared" si="1125"/>
        <v>0</v>
      </c>
      <c r="DY746" s="346">
        <f t="shared" si="1125"/>
        <v>0</v>
      </c>
      <c r="DZ746" s="348">
        <f t="shared" si="1125"/>
        <v>0</v>
      </c>
      <c r="EA746" s="346">
        <f t="shared" si="1125"/>
        <v>0</v>
      </c>
      <c r="EB746" s="346">
        <f t="shared" si="1125"/>
        <v>0</v>
      </c>
      <c r="EC746" s="346">
        <f t="shared" si="1125"/>
        <v>0</v>
      </c>
      <c r="ED746" s="346">
        <f t="shared" si="1125"/>
        <v>0</v>
      </c>
      <c r="EE746" s="346">
        <f t="shared" si="1125"/>
        <v>0</v>
      </c>
      <c r="EF746" s="346">
        <f t="shared" si="1125"/>
        <v>0</v>
      </c>
      <c r="EG746" s="346">
        <f t="shared" si="1125"/>
        <v>0</v>
      </c>
      <c r="EH746" s="346">
        <f t="shared" si="1125"/>
        <v>0</v>
      </c>
      <c r="EI746" s="346">
        <f t="shared" si="1125"/>
        <v>0</v>
      </c>
      <c r="EJ746" s="346">
        <f t="shared" si="1125"/>
        <v>0</v>
      </c>
      <c r="EK746" s="346">
        <f t="shared" si="1125"/>
        <v>0</v>
      </c>
      <c r="EL746" s="348">
        <f t="shared" si="1125"/>
        <v>0</v>
      </c>
      <c r="EM746" s="346">
        <f t="shared" si="1125"/>
        <v>0</v>
      </c>
      <c r="EN746" s="346">
        <f t="shared" si="1125"/>
        <v>0</v>
      </c>
      <c r="EO746" s="346">
        <f t="shared" si="1125"/>
        <v>0</v>
      </c>
      <c r="EP746" s="346">
        <f t="shared" si="1125"/>
        <v>0</v>
      </c>
      <c r="EQ746" s="346">
        <f t="shared" ref="EQ746:FP746" si="1126">EQ381</f>
        <v>0</v>
      </c>
      <c r="ER746" s="346">
        <f t="shared" si="1126"/>
        <v>0</v>
      </c>
      <c r="ES746" s="346">
        <f t="shared" si="1126"/>
        <v>0</v>
      </c>
      <c r="ET746" s="346">
        <f t="shared" si="1126"/>
        <v>0</v>
      </c>
      <c r="EU746" s="346">
        <f t="shared" si="1126"/>
        <v>0</v>
      </c>
      <c r="EV746" s="346">
        <f t="shared" si="1126"/>
        <v>0</v>
      </c>
      <c r="EW746" s="346">
        <f t="shared" si="1126"/>
        <v>0</v>
      </c>
      <c r="EX746" s="348">
        <f t="shared" si="1126"/>
        <v>0</v>
      </c>
      <c r="EY746" s="346">
        <f t="shared" si="1126"/>
        <v>0</v>
      </c>
      <c r="EZ746" s="346">
        <f t="shared" si="1126"/>
        <v>0</v>
      </c>
      <c r="FA746" s="346">
        <f t="shared" si="1126"/>
        <v>0</v>
      </c>
      <c r="FB746" s="346">
        <f t="shared" si="1126"/>
        <v>0</v>
      </c>
      <c r="FC746" s="346">
        <f t="shared" si="1126"/>
        <v>0</v>
      </c>
      <c r="FD746" s="346">
        <f t="shared" si="1126"/>
        <v>0</v>
      </c>
      <c r="FE746" s="346">
        <f t="shared" si="1126"/>
        <v>0</v>
      </c>
      <c r="FF746" s="346">
        <f t="shared" si="1126"/>
        <v>0</v>
      </c>
      <c r="FG746" s="346">
        <f t="shared" si="1126"/>
        <v>0</v>
      </c>
      <c r="FH746" s="346">
        <f t="shared" si="1126"/>
        <v>0</v>
      </c>
      <c r="FI746" s="346">
        <f t="shared" si="1126"/>
        <v>0</v>
      </c>
      <c r="FJ746" s="348">
        <f t="shared" si="1126"/>
        <v>0</v>
      </c>
      <c r="FK746" s="346">
        <f t="shared" si="1126"/>
        <v>0</v>
      </c>
      <c r="FL746" s="346">
        <f t="shared" si="1126"/>
        <v>0</v>
      </c>
      <c r="FM746" s="346">
        <f t="shared" si="1126"/>
        <v>0</v>
      </c>
      <c r="FN746" s="346">
        <f t="shared" si="1126"/>
        <v>0</v>
      </c>
      <c r="FO746" s="346">
        <f t="shared" si="1126"/>
        <v>0</v>
      </c>
      <c r="FP746" s="346">
        <f t="shared" si="1126"/>
        <v>0</v>
      </c>
      <c r="FQ746" s="346">
        <f t="shared" ref="FQ746:FV747" si="1127">FQ381</f>
        <v>0</v>
      </c>
      <c r="FR746" s="346">
        <f t="shared" si="1127"/>
        <v>0</v>
      </c>
      <c r="FS746" s="346">
        <f t="shared" si="1127"/>
        <v>0</v>
      </c>
      <c r="FT746" s="346">
        <f t="shared" si="1127"/>
        <v>0</v>
      </c>
      <c r="FU746" s="346">
        <f t="shared" si="1127"/>
        <v>0</v>
      </c>
      <c r="FV746" s="346">
        <f t="shared" si="1127"/>
        <v>0</v>
      </c>
      <c r="FW746" s="346">
        <v>0</v>
      </c>
      <c r="FX746" s="346">
        <v>0</v>
      </c>
      <c r="FY746" s="346">
        <v>0</v>
      </c>
      <c r="FZ746" s="346">
        <v>0</v>
      </c>
      <c r="GA746" s="346">
        <v>0</v>
      </c>
      <c r="GB746" s="346">
        <v>0</v>
      </c>
      <c r="GC746" s="346">
        <v>0</v>
      </c>
      <c r="GD746" s="346">
        <v>0</v>
      </c>
      <c r="GE746" s="346">
        <v>0</v>
      </c>
      <c r="GF746" s="346">
        <v>0</v>
      </c>
      <c r="GG746" s="346">
        <v>0</v>
      </c>
      <c r="GH746" s="346">
        <v>0</v>
      </c>
      <c r="GI746" s="346">
        <v>0</v>
      </c>
      <c r="GJ746" s="346">
        <v>0</v>
      </c>
      <c r="GK746" s="346">
        <v>0</v>
      </c>
      <c r="GL746" s="346">
        <v>0</v>
      </c>
      <c r="GM746" s="346">
        <v>0</v>
      </c>
      <c r="GN746" s="346">
        <v>0</v>
      </c>
      <c r="GO746" s="346">
        <v>0</v>
      </c>
      <c r="GP746" s="346">
        <v>0</v>
      </c>
      <c r="GQ746" s="346">
        <v>0</v>
      </c>
      <c r="GR746" s="346">
        <v>0</v>
      </c>
      <c r="GS746" s="346">
        <v>0</v>
      </c>
      <c r="GT746" s="346">
        <v>0</v>
      </c>
      <c r="GU746" s="346">
        <v>0</v>
      </c>
      <c r="GV746" s="346">
        <v>0</v>
      </c>
      <c r="GW746" s="346">
        <v>0</v>
      </c>
      <c r="GX746" s="346">
        <v>0</v>
      </c>
      <c r="GY746" s="346">
        <v>0</v>
      </c>
      <c r="GZ746" s="346">
        <v>0</v>
      </c>
      <c r="HA746" s="346">
        <v>0</v>
      </c>
      <c r="HB746" s="346">
        <v>0</v>
      </c>
      <c r="HC746" s="346">
        <v>0</v>
      </c>
      <c r="HD746" s="346">
        <v>0</v>
      </c>
      <c r="HE746" s="346">
        <v>0</v>
      </c>
      <c r="HF746" s="346">
        <v>0</v>
      </c>
      <c r="HG746" s="346">
        <v>0</v>
      </c>
      <c r="HH746" s="346">
        <v>0</v>
      </c>
      <c r="HI746" s="346">
        <v>0</v>
      </c>
      <c r="HJ746" s="346">
        <v>0</v>
      </c>
      <c r="HK746" s="346">
        <v>0</v>
      </c>
      <c r="HL746" s="346">
        <v>0</v>
      </c>
      <c r="HM746" s="346"/>
      <c r="HN746" s="349"/>
      <c r="HO746" s="1439" t="s">
        <v>553</v>
      </c>
      <c r="HP746" s="307">
        <f>SUM(CE746:CJ746)</f>
        <v>0</v>
      </c>
      <c r="HQ746" s="302">
        <f>SUM(CK746:CP746)</f>
        <v>0</v>
      </c>
      <c r="HR746" s="346">
        <f t="shared" si="698"/>
        <v>0</v>
      </c>
      <c r="HS746" s="302">
        <f>SUM(CQ746:CV746)</f>
        <v>0</v>
      </c>
      <c r="HT746" s="302">
        <f>SUM(CW746:DB746)</f>
        <v>0</v>
      </c>
      <c r="HU746" s="346">
        <f>HS746+HT746</f>
        <v>0</v>
      </c>
      <c r="HV746" s="307">
        <f>SUM(DC746:DH746)</f>
        <v>0</v>
      </c>
      <c r="HW746" s="302">
        <f>SUM(DI746:DN746)</f>
        <v>0</v>
      </c>
      <c r="HX746" s="346">
        <f>HV746+HW746</f>
        <v>0</v>
      </c>
      <c r="HY746" s="350">
        <f>SUM(DO746:DT746)</f>
        <v>0</v>
      </c>
      <c r="HZ746" s="302">
        <f>SUM(DU746:DZ746)</f>
        <v>0</v>
      </c>
      <c r="IA746" s="346">
        <f>HY746+HZ746</f>
        <v>0</v>
      </c>
      <c r="IB746" s="302">
        <f>SUM(EA746:EF746)</f>
        <v>0</v>
      </c>
      <c r="IC746" s="302">
        <f>SUM(EG746:EL746)</f>
        <v>0</v>
      </c>
      <c r="ID746" s="346">
        <f>IB746+IC746</f>
        <v>0</v>
      </c>
      <c r="IE746" s="350">
        <f>SUM(EM746:ER746)</f>
        <v>0</v>
      </c>
      <c r="IF746" s="350">
        <f>SUM(ES746:EX746)</f>
        <v>0</v>
      </c>
      <c r="IG746" s="346">
        <f>IE746+IF746</f>
        <v>0</v>
      </c>
      <c r="IH746" s="350">
        <f>SUM(EY746:FD746)</f>
        <v>0</v>
      </c>
      <c r="II746" s="350">
        <f>SUM(FE746:FJ746)</f>
        <v>0</v>
      </c>
      <c r="IJ746" s="346">
        <f>IH746+II746</f>
        <v>0</v>
      </c>
      <c r="IK746" s="350">
        <f>SUM(FK746:FP746)</f>
        <v>0</v>
      </c>
      <c r="IL746" s="350">
        <f t="shared" si="993"/>
        <v>0</v>
      </c>
      <c r="IM746" s="346">
        <f t="shared" si="1080"/>
        <v>0</v>
      </c>
      <c r="IN746" s="350">
        <f t="shared" si="1052"/>
        <v>0</v>
      </c>
      <c r="IO746" s="350">
        <f t="shared" si="1053"/>
        <v>0</v>
      </c>
      <c r="IP746" s="346">
        <f t="shared" si="1066"/>
        <v>0</v>
      </c>
      <c r="IQ746" s="350">
        <f t="shared" si="1054"/>
        <v>0</v>
      </c>
      <c r="IR746" s="350">
        <f t="shared" si="1055"/>
        <v>0</v>
      </c>
      <c r="IS746" s="346">
        <f t="shared" si="1067"/>
        <v>0</v>
      </c>
      <c r="IT746" s="350">
        <f t="shared" si="1068"/>
        <v>0</v>
      </c>
      <c r="IU746" s="350">
        <f t="shared" si="986"/>
        <v>0</v>
      </c>
      <c r="IV746" s="346">
        <f t="shared" si="1020"/>
        <v>0</v>
      </c>
      <c r="IW746" s="350">
        <f t="shared" si="1081"/>
        <v>0</v>
      </c>
      <c r="IX746" s="350">
        <f t="shared" si="1069"/>
        <v>0</v>
      </c>
      <c r="IY746" s="346">
        <f>FISC!AJ1068</f>
        <v>0</v>
      </c>
      <c r="IZ746" s="350">
        <f>JB746*0.48</f>
        <v>0</v>
      </c>
      <c r="JA746" s="302">
        <f t="shared" si="1119"/>
        <v>0</v>
      </c>
      <c r="JB746" s="346">
        <f>FISC!AK1068</f>
        <v>0</v>
      </c>
      <c r="JC746" s="350">
        <f>JE746*0.5</f>
        <v>0</v>
      </c>
      <c r="JD746" s="302">
        <f t="shared" si="1120"/>
        <v>0</v>
      </c>
      <c r="JE746" s="346">
        <f>FISC!AL1068</f>
        <v>0</v>
      </c>
      <c r="JF746" s="350">
        <f>JH746*0.5</f>
        <v>0</v>
      </c>
      <c r="JG746" s="302">
        <f t="shared" si="1121"/>
        <v>0</v>
      </c>
      <c r="JH746" s="346">
        <f>FISC!AM1068</f>
        <v>0</v>
      </c>
      <c r="JI746" s="350">
        <f>JK746*0.5</f>
        <v>0</v>
      </c>
      <c r="JJ746" s="302">
        <f t="shared" si="1122"/>
        <v>0</v>
      </c>
      <c r="JK746" s="346">
        <f>FISC!AN1068</f>
        <v>0</v>
      </c>
      <c r="JL746" s="350">
        <f>JN746*0.5</f>
        <v>0</v>
      </c>
      <c r="JM746" s="302">
        <f t="shared" si="1123"/>
        <v>0</v>
      </c>
      <c r="JN746" s="346">
        <f>FISC!AO1068</f>
        <v>0</v>
      </c>
      <c r="KI746" s="349"/>
      <c r="KJ746" s="350"/>
    </row>
    <row r="747" spans="1:296" hidden="1" outlineLevel="1">
      <c r="A747" s="302"/>
      <c r="B747" s="117" t="s">
        <v>361</v>
      </c>
      <c r="D747" s="355" t="s">
        <v>554</v>
      </c>
      <c r="E747" s="346"/>
      <c r="F747" s="346"/>
      <c r="G747" s="346"/>
      <c r="H747" s="346"/>
      <c r="I747" s="346"/>
      <c r="J747" s="346"/>
      <c r="K747" s="346"/>
      <c r="L747" s="346"/>
      <c r="M747" s="346"/>
      <c r="N747" s="346"/>
      <c r="O747" s="346"/>
      <c r="P747" s="346"/>
      <c r="Q747" s="346"/>
      <c r="R747" s="346"/>
      <c r="S747" s="346"/>
      <c r="T747" s="346"/>
      <c r="U747" s="346"/>
      <c r="V747" s="346"/>
      <c r="W747" s="346"/>
      <c r="X747" s="346"/>
      <c r="Y747" s="346"/>
      <c r="Z747" s="346"/>
      <c r="AA747" s="346"/>
      <c r="AB747" s="346"/>
      <c r="AC747" s="346"/>
      <c r="AD747" s="346"/>
      <c r="AE747" s="346"/>
      <c r="AF747" s="346"/>
      <c r="AG747" s="346"/>
      <c r="AH747" s="346"/>
      <c r="AI747" s="346"/>
      <c r="AJ747" s="346"/>
      <c r="AK747" s="346"/>
      <c r="AL747" s="346"/>
      <c r="AM747" s="346"/>
      <c r="AN747" s="346"/>
      <c r="AO747" s="346">
        <v>0.49061785149999998</v>
      </c>
      <c r="AP747" s="346">
        <v>0.57347521889999997</v>
      </c>
      <c r="AQ747" s="346">
        <v>0.85172944149999996</v>
      </c>
      <c r="AR747" s="346">
        <v>0.69822025479999994</v>
      </c>
      <c r="AS747" s="346">
        <v>0.75666674210000007</v>
      </c>
      <c r="AT747" s="346">
        <v>1.0576141798000001</v>
      </c>
      <c r="AU747" s="346">
        <v>0.61941513710000007</v>
      </c>
      <c r="AV747" s="346">
        <v>0.75655773810000004</v>
      </c>
      <c r="AW747" s="346">
        <v>0.90323017839999997</v>
      </c>
      <c r="AX747" s="346">
        <v>0.83936443979999997</v>
      </c>
      <c r="AY747" s="346">
        <v>1.0751304511999999</v>
      </c>
      <c r="AZ747" s="346">
        <v>1.6360685278</v>
      </c>
      <c r="BA747" s="346">
        <v>0.87668993410000007</v>
      </c>
      <c r="BB747" s="346">
        <v>0.97722661290000001</v>
      </c>
      <c r="BC747" s="346">
        <v>1.1868793512</v>
      </c>
      <c r="BD747" s="346">
        <v>0.79499374870000006</v>
      </c>
      <c r="BE747" s="346">
        <v>1.2684940245999998</v>
      </c>
      <c r="BF747" s="346">
        <v>1.6406653607000001</v>
      </c>
      <c r="BG747" s="346">
        <v>0.51710180449999998</v>
      </c>
      <c r="BH747" s="346">
        <v>0.57329866959999998</v>
      </c>
      <c r="BI747" s="346">
        <v>0.80523865210000001</v>
      </c>
      <c r="BJ747" s="346">
        <v>1.0821102920999999</v>
      </c>
      <c r="BK747" s="346">
        <v>1.2758533414000002</v>
      </c>
      <c r="BL747" s="346">
        <v>1.4398420247999999</v>
      </c>
      <c r="BM747" s="346">
        <v>1.1526724984000001</v>
      </c>
      <c r="BN747" s="346">
        <v>0.92463245539999994</v>
      </c>
      <c r="BO747" s="346">
        <v>1.3300665762999999</v>
      </c>
      <c r="BP747" s="346">
        <v>1.2982713082000001</v>
      </c>
      <c r="BQ747" s="346">
        <v>1.2914521354999999</v>
      </c>
      <c r="BR747" s="346">
        <v>1.9613903038</v>
      </c>
      <c r="BS747" s="346">
        <v>0.93947939400000002</v>
      </c>
      <c r="BT747" s="346">
        <v>0.81593192510000001</v>
      </c>
      <c r="BU747" s="346">
        <v>0.86615940320000007</v>
      </c>
      <c r="BV747" s="346">
        <v>0.98600151039999995</v>
      </c>
      <c r="BW747" s="346">
        <v>1.1051260374</v>
      </c>
      <c r="BX747" s="346">
        <v>1.6165270275999999</v>
      </c>
      <c r="BY747" s="346">
        <v>1.1210591530999998</v>
      </c>
      <c r="BZ747" s="346">
        <v>1.3009832557999998</v>
      </c>
      <c r="CA747" s="346">
        <v>1.8301724414</v>
      </c>
      <c r="CB747" s="346">
        <v>1.6988992652999999</v>
      </c>
      <c r="CC747" s="346">
        <v>2.5794741742</v>
      </c>
      <c r="CD747" s="352">
        <v>4.1018007120000002</v>
      </c>
      <c r="CE747" s="346">
        <f t="shared" ref="CE747:DJ747" si="1128">CE382</f>
        <v>1.6134028819000001</v>
      </c>
      <c r="CF747" s="346">
        <f t="shared" si="1128"/>
        <v>1.50922179</v>
      </c>
      <c r="CG747" s="346">
        <f t="shared" si="1128"/>
        <v>1.4936350092999999</v>
      </c>
      <c r="CH747" s="346">
        <f t="shared" si="1128"/>
        <v>1.4227659573</v>
      </c>
      <c r="CI747" s="346">
        <f t="shared" si="1128"/>
        <v>1.9368911554000001</v>
      </c>
      <c r="CJ747" s="346">
        <f t="shared" si="1128"/>
        <v>2.5915063589000003</v>
      </c>
      <c r="CK747" s="346">
        <f t="shared" si="1128"/>
        <v>1.883544903</v>
      </c>
      <c r="CL747" s="346">
        <f t="shared" si="1128"/>
        <v>1.5830303257</v>
      </c>
      <c r="CM747" s="346">
        <f t="shared" si="1128"/>
        <v>2.3257963326</v>
      </c>
      <c r="CN747" s="346">
        <f t="shared" si="1128"/>
        <v>1.7250185097000001</v>
      </c>
      <c r="CO747" s="346">
        <f t="shared" si="1128"/>
        <v>2.1126191453000001</v>
      </c>
      <c r="CP747" s="348">
        <f t="shared" si="1128"/>
        <v>3.6523280446999999</v>
      </c>
      <c r="CQ747" s="346">
        <f t="shared" si="1128"/>
        <v>1.6340853708</v>
      </c>
      <c r="CR747" s="346">
        <f t="shared" si="1128"/>
        <v>1.688182804</v>
      </c>
      <c r="CS747" s="346">
        <f t="shared" si="1128"/>
        <v>2.7012377493000002</v>
      </c>
      <c r="CT747" s="346">
        <f t="shared" si="1128"/>
        <v>2.6915598276999999</v>
      </c>
      <c r="CU747" s="346">
        <f t="shared" si="1128"/>
        <v>2.1741653726000001</v>
      </c>
      <c r="CV747" s="346">
        <f t="shared" si="1128"/>
        <v>2.3883066240999997</v>
      </c>
      <c r="CW747" s="346">
        <f t="shared" si="1128"/>
        <v>1.8756168195999998</v>
      </c>
      <c r="CX747" s="346">
        <f t="shared" si="1128"/>
        <v>1.9300905397000001</v>
      </c>
      <c r="CY747" s="346">
        <f t="shared" si="1128"/>
        <v>2.6670134089999999</v>
      </c>
      <c r="CZ747" s="346">
        <f t="shared" si="1128"/>
        <v>3.2249754964999999</v>
      </c>
      <c r="DA747" s="346">
        <f t="shared" si="1128"/>
        <v>2.5619014530999999</v>
      </c>
      <c r="DB747" s="1479">
        <f t="shared" si="1128"/>
        <v>4.0061188206000002</v>
      </c>
      <c r="DC747" s="346">
        <f t="shared" si="1128"/>
        <v>0</v>
      </c>
      <c r="DD747" s="346">
        <f t="shared" si="1128"/>
        <v>0</v>
      </c>
      <c r="DE747" s="346">
        <f t="shared" si="1128"/>
        <v>0</v>
      </c>
      <c r="DF747" s="346">
        <f t="shared" si="1128"/>
        <v>0</v>
      </c>
      <c r="DG747" s="346">
        <f t="shared" si="1128"/>
        <v>0</v>
      </c>
      <c r="DH747" s="346">
        <f t="shared" si="1128"/>
        <v>0</v>
      </c>
      <c r="DI747" s="346">
        <f t="shared" si="1128"/>
        <v>0</v>
      </c>
      <c r="DJ747" s="346">
        <f t="shared" si="1128"/>
        <v>0</v>
      </c>
      <c r="DK747" s="346">
        <f t="shared" ref="DK747:EP747" si="1129">DK382</f>
        <v>0</v>
      </c>
      <c r="DL747" s="346">
        <f t="shared" si="1129"/>
        <v>0</v>
      </c>
      <c r="DM747" s="346">
        <f t="shared" si="1129"/>
        <v>0</v>
      </c>
      <c r="DN747" s="348">
        <f t="shared" si="1129"/>
        <v>0</v>
      </c>
      <c r="DO747" s="346">
        <f t="shared" si="1129"/>
        <v>1.4974449605809317</v>
      </c>
      <c r="DP747" s="346">
        <f t="shared" si="1129"/>
        <v>1.2873549288426345</v>
      </c>
      <c r="DQ747" s="346">
        <f t="shared" si="1129"/>
        <v>1.571768578782196</v>
      </c>
      <c r="DR747" s="346">
        <f t="shared" si="1129"/>
        <v>2.2002872448983992</v>
      </c>
      <c r="DS747" s="346">
        <f t="shared" si="1129"/>
        <v>1.8096628541030026</v>
      </c>
      <c r="DT747" s="346">
        <f t="shared" si="1129"/>
        <v>5.5690117754246877</v>
      </c>
      <c r="DU747" s="346">
        <f t="shared" si="1129"/>
        <v>2.2757534004044748</v>
      </c>
      <c r="DV747" s="346">
        <f t="shared" si="1129"/>
        <v>1.7783502481243276</v>
      </c>
      <c r="DW747" s="346">
        <f t="shared" si="1129"/>
        <v>3.0898782889385061</v>
      </c>
      <c r="DX747" s="346">
        <f t="shared" si="1129"/>
        <v>2.6253462223481199</v>
      </c>
      <c r="DY747" s="346">
        <f t="shared" si="1129"/>
        <v>3.939849315077391</v>
      </c>
      <c r="DZ747" s="348">
        <f t="shared" si="1129"/>
        <v>7.4489046556542498</v>
      </c>
      <c r="EA747" s="346">
        <f t="shared" si="1129"/>
        <v>1.4974449605809317</v>
      </c>
      <c r="EB747" s="346">
        <f t="shared" si="1129"/>
        <v>1.2873549288426345</v>
      </c>
      <c r="EC747" s="346">
        <f t="shared" si="1129"/>
        <v>1.571768578782196</v>
      </c>
      <c r="ED747" s="346">
        <f t="shared" si="1129"/>
        <v>2.2002872448983992</v>
      </c>
      <c r="EE747" s="346">
        <f t="shared" si="1129"/>
        <v>1.8096628541030026</v>
      </c>
      <c r="EF747" s="346">
        <f t="shared" si="1129"/>
        <v>5.5690117754246877</v>
      </c>
      <c r="EG747" s="346">
        <f t="shared" si="1129"/>
        <v>2.2757534004044748</v>
      </c>
      <c r="EH747" s="346">
        <f t="shared" si="1129"/>
        <v>1.7783502481243276</v>
      </c>
      <c r="EI747" s="346">
        <f t="shared" si="1129"/>
        <v>3.0898782889385061</v>
      </c>
      <c r="EJ747" s="346">
        <f t="shared" si="1129"/>
        <v>2.6253462223481199</v>
      </c>
      <c r="EK747" s="346">
        <f t="shared" si="1129"/>
        <v>3.939849315077391</v>
      </c>
      <c r="EL747" s="348">
        <f t="shared" si="1129"/>
        <v>7.4489046556542498</v>
      </c>
      <c r="EM747" s="346">
        <f t="shared" si="1129"/>
        <v>0</v>
      </c>
      <c r="EN747" s="346">
        <f t="shared" si="1129"/>
        <v>0</v>
      </c>
      <c r="EO747" s="346">
        <f t="shared" si="1129"/>
        <v>2.1669842020000001</v>
      </c>
      <c r="EP747" s="346">
        <f t="shared" si="1129"/>
        <v>0</v>
      </c>
      <c r="EQ747" s="346">
        <f t="shared" ref="EQ747:FP747" si="1130">EQ382</f>
        <v>0</v>
      </c>
      <c r="ER747" s="346">
        <f t="shared" si="1130"/>
        <v>2.2170388330000002</v>
      </c>
      <c r="ES747" s="346">
        <f t="shared" si="1130"/>
        <v>0</v>
      </c>
      <c r="ET747" s="346">
        <f t="shared" si="1130"/>
        <v>0</v>
      </c>
      <c r="EU747" s="346">
        <f t="shared" si="1130"/>
        <v>1.9034152189999993</v>
      </c>
      <c r="EV747" s="346">
        <f t="shared" si="1130"/>
        <v>0</v>
      </c>
      <c r="EW747" s="346">
        <f t="shared" si="1130"/>
        <v>0</v>
      </c>
      <c r="EX747" s="348">
        <f t="shared" si="1130"/>
        <v>2.1224270360000013</v>
      </c>
      <c r="EY747" s="346">
        <f t="shared" si="1130"/>
        <v>0.90273958824</v>
      </c>
      <c r="EZ747" s="346">
        <f t="shared" si="1130"/>
        <v>0.58121730144000006</v>
      </c>
      <c r="FA747" s="346">
        <f t="shared" si="1130"/>
        <v>4.2791290668400004</v>
      </c>
      <c r="FB747" s="346">
        <f t="shared" si="1130"/>
        <v>1.3905193599600001</v>
      </c>
      <c r="FC747" s="346">
        <f t="shared" si="1130"/>
        <v>2.1911942294299998</v>
      </c>
      <c r="FD747" s="346">
        <f t="shared" si="1130"/>
        <v>3.6812143341199994</v>
      </c>
      <c r="FE747" s="346">
        <f t="shared" si="1130"/>
        <v>1.4157139079400154</v>
      </c>
      <c r="FF747" s="346">
        <f t="shared" si="1130"/>
        <v>1.0217982517699848</v>
      </c>
      <c r="FG747" s="346">
        <f t="shared" si="1130"/>
        <v>0.813050224729985</v>
      </c>
      <c r="FH747" s="346">
        <f t="shared" si="1130"/>
        <v>0.48942560766000004</v>
      </c>
      <c r="FI747" s="346">
        <f t="shared" si="1130"/>
        <v>0.69276187980999993</v>
      </c>
      <c r="FJ747" s="348">
        <f t="shared" si="1130"/>
        <v>2.5170155160000003</v>
      </c>
      <c r="FK747" s="346">
        <f t="shared" si="1130"/>
        <v>1.0147494568638025</v>
      </c>
      <c r="FL747" s="346">
        <f t="shared" si="1130"/>
        <v>1.0821151876632829</v>
      </c>
      <c r="FM747" s="346">
        <f t="shared" si="1130"/>
        <v>1.9329435236572441</v>
      </c>
      <c r="FN747" s="346">
        <f t="shared" si="1130"/>
        <v>1.2647023778557429</v>
      </c>
      <c r="FO747" s="346">
        <f t="shared" si="1130"/>
        <v>1.1428540199243229</v>
      </c>
      <c r="FP747" s="346">
        <f t="shared" si="1130"/>
        <v>6.5453592939681995</v>
      </c>
      <c r="FQ747" s="346">
        <f t="shared" si="1127"/>
        <v>2.498981952837696</v>
      </c>
      <c r="FR747" s="346">
        <f t="shared" si="1127"/>
        <v>1.1836701592103434</v>
      </c>
      <c r="FS747" s="346">
        <f t="shared" si="1127"/>
        <v>5.8232981623715014</v>
      </c>
      <c r="FT747" s="346">
        <f t="shared" si="1127"/>
        <v>1.3713336858193401</v>
      </c>
      <c r="FU747" s="346">
        <f t="shared" si="1127"/>
        <v>1.15932242276534</v>
      </c>
      <c r="FV747" s="346">
        <f t="shared" si="1127"/>
        <v>4.1510674349435019</v>
      </c>
      <c r="FW747" s="346">
        <v>0.79084048187469802</v>
      </c>
      <c r="FX747" s="346">
        <v>1.2167679079242772</v>
      </c>
      <c r="FY747" s="346">
        <v>5.8072805799991887</v>
      </c>
      <c r="FZ747" s="346">
        <v>1.2534786565122167</v>
      </c>
      <c r="GA747" s="346">
        <v>1.498996769953403</v>
      </c>
      <c r="GB747" s="346">
        <v>7.4322234731183601</v>
      </c>
      <c r="GC747" s="346">
        <v>1.9320996351809372</v>
      </c>
      <c r="GD747" s="346">
        <v>0.86037691910380965</v>
      </c>
      <c r="GE747" s="346">
        <v>5.9021426925966187</v>
      </c>
      <c r="GF747" s="346">
        <v>1.5213719826326582</v>
      </c>
      <c r="GG747" s="346">
        <v>1.2702418637018846</v>
      </c>
      <c r="GH747" s="346">
        <v>7.2408234984131798</v>
      </c>
      <c r="GI747" s="346">
        <f t="shared" ref="GI747:GN747" si="1131">GI382</f>
        <v>1.3360051175858887</v>
      </c>
      <c r="GJ747" s="346">
        <f t="shared" si="1131"/>
        <v>1.1627659858627004</v>
      </c>
      <c r="GK747" s="346">
        <f t="shared" si="1131"/>
        <v>5.3012288965514101</v>
      </c>
      <c r="GL747" s="346">
        <f t="shared" si="1131"/>
        <v>1.4735850456273876</v>
      </c>
      <c r="GM747" s="346">
        <f t="shared" si="1131"/>
        <v>0.77156123763571494</v>
      </c>
      <c r="GN747" s="346">
        <f t="shared" si="1131"/>
        <v>9.2245563813662628</v>
      </c>
      <c r="GO747" s="346">
        <f t="shared" ref="GO747:HL747" si="1132">GO382</f>
        <v>0.82242563026443727</v>
      </c>
      <c r="GP747" s="346">
        <f t="shared" si="1132"/>
        <v>0.58920832898054376</v>
      </c>
      <c r="GQ747" s="346">
        <f t="shared" si="1132"/>
        <v>5.8458780842840969</v>
      </c>
      <c r="GR747" s="346">
        <f t="shared" si="1132"/>
        <v>1.20451273825</v>
      </c>
      <c r="GS747" s="346">
        <f t="shared" si="1132"/>
        <v>1.0640684041900001</v>
      </c>
      <c r="GT747" s="346">
        <f t="shared" si="1132"/>
        <v>36.131534361100002</v>
      </c>
      <c r="GU747" s="346">
        <f t="shared" si="1132"/>
        <v>1.1870369302259087</v>
      </c>
      <c r="GV747" s="346">
        <f t="shared" si="1132"/>
        <v>0.93243852672851468</v>
      </c>
      <c r="GW747" s="346">
        <f t="shared" si="1132"/>
        <v>7.8152820447152225</v>
      </c>
      <c r="GX747" s="346">
        <f t="shared" si="1132"/>
        <v>0.88009872154999991</v>
      </c>
      <c r="GY747" s="346">
        <f t="shared" si="1132"/>
        <v>0.93499323604999995</v>
      </c>
      <c r="GZ747" s="346">
        <f t="shared" si="1132"/>
        <v>7.2852950412500004</v>
      </c>
      <c r="HA747" s="346">
        <f t="shared" si="1132"/>
        <v>0.75537497644999996</v>
      </c>
      <c r="HB747" s="346">
        <f t="shared" si="1132"/>
        <v>0.93382628329358708</v>
      </c>
      <c r="HC747" s="346">
        <f t="shared" si="1132"/>
        <v>8.2277585838709957</v>
      </c>
      <c r="HD747" s="346">
        <f t="shared" si="1132"/>
        <v>1.6132916945</v>
      </c>
      <c r="HE747" s="346">
        <f t="shared" si="1132"/>
        <v>1.4759069171999999</v>
      </c>
      <c r="HF747" s="346">
        <f t="shared" si="1132"/>
        <v>8.1524843603499999</v>
      </c>
      <c r="HG747" s="346">
        <f t="shared" si="1132"/>
        <v>1.4338250452999999</v>
      </c>
      <c r="HH747" s="346">
        <f t="shared" si="1132"/>
        <v>1.51306030485</v>
      </c>
      <c r="HI747" s="346">
        <f t="shared" si="1132"/>
        <v>8.1107458804500006</v>
      </c>
      <c r="HJ747" s="346">
        <f t="shared" si="1132"/>
        <v>2.0256640131000001</v>
      </c>
      <c r="HK747" s="346">
        <f t="shared" si="1132"/>
        <v>1.3099890509000001</v>
      </c>
      <c r="HL747" s="346">
        <f t="shared" si="1132"/>
        <v>9.0393039854499992</v>
      </c>
      <c r="HM747" s="346"/>
      <c r="HN747" s="349"/>
      <c r="HO747" s="355" t="s">
        <v>554</v>
      </c>
      <c r="HP747" s="307">
        <f>SUM(CE747:CJ747)</f>
        <v>10.5674231528</v>
      </c>
      <c r="HQ747" s="302">
        <f>SUM(CK747:CP747)</f>
        <v>13.282337260999999</v>
      </c>
      <c r="HR747" s="346">
        <f>HP747+HQ747</f>
        <v>23.849760413799999</v>
      </c>
      <c r="HS747" s="302">
        <f>SUM(CQ747:CV747)</f>
        <v>13.277537748500002</v>
      </c>
      <c r="HT747" s="302">
        <f>SUM(CW747:DB747)</f>
        <v>16.265716538500001</v>
      </c>
      <c r="HU747" s="346">
        <f>HS747+HT747</f>
        <v>29.543254287000003</v>
      </c>
      <c r="HV747" s="307">
        <f>SUM(DC747:DH747)</f>
        <v>0</v>
      </c>
      <c r="HW747" s="302">
        <f>SUM(DI747:DN747)</f>
        <v>0</v>
      </c>
      <c r="HX747" s="346">
        <f>HV747+HW747</f>
        <v>0</v>
      </c>
      <c r="HY747" s="350">
        <f>SUM(DO747:DT747)</f>
        <v>13.935530342631852</v>
      </c>
      <c r="HZ747" s="302">
        <f>SUM(DU747:DZ747)</f>
        <v>21.158082130547072</v>
      </c>
      <c r="IA747" s="346">
        <f>HY747+HZ747</f>
        <v>35.093612473178922</v>
      </c>
      <c r="IB747" s="302">
        <f>SUM(EA747:EF747)</f>
        <v>13.935530342631852</v>
      </c>
      <c r="IC747" s="302">
        <f>SUM(EG747:EL747)</f>
        <v>21.158082130547072</v>
      </c>
      <c r="ID747" s="346">
        <f>IB747+IC747</f>
        <v>35.093612473178922</v>
      </c>
      <c r="IE747" s="350">
        <f>SUM(EM747:ER747)</f>
        <v>4.3840230350000002</v>
      </c>
      <c r="IF747" s="350">
        <f>SUM(ES747:EX747)</f>
        <v>4.0258422550000006</v>
      </c>
      <c r="IG747" s="346">
        <f>IE747+IF747</f>
        <v>8.4098652900000008</v>
      </c>
      <c r="IH747" s="350">
        <f>SUM(EY747:FD747)</f>
        <v>13.02601388003</v>
      </c>
      <c r="II747" s="350">
        <f>SUM(FE747:FJ747)</f>
        <v>6.9497653879099861</v>
      </c>
      <c r="IJ747" s="346">
        <f>IH747+II747</f>
        <v>19.975779267939984</v>
      </c>
      <c r="IK747" s="350">
        <f>SUM(FK747:FP747)</f>
        <v>12.982723859932594</v>
      </c>
      <c r="IL747" s="350">
        <f t="shared" si="993"/>
        <v>16.187673817947722</v>
      </c>
      <c r="IM747" s="346">
        <f t="shared" si="1080"/>
        <v>29.170397677880317</v>
      </c>
      <c r="IN747" s="350">
        <f t="shared" si="1052"/>
        <v>17.999587869382143</v>
      </c>
      <c r="IO747" s="350">
        <f t="shared" si="1053"/>
        <v>18.727056591629086</v>
      </c>
      <c r="IP747" s="346">
        <f t="shared" si="1066"/>
        <v>36.726644461011233</v>
      </c>
      <c r="IQ747" s="350">
        <f t="shared" si="1054"/>
        <v>19.269702664629364</v>
      </c>
      <c r="IR747" s="350">
        <f t="shared" si="1055"/>
        <v>45.657627547069083</v>
      </c>
      <c r="IS747" s="346">
        <f t="shared" si="1067"/>
        <v>64.927330211698447</v>
      </c>
      <c r="IT747" s="350">
        <f t="shared" si="1068"/>
        <v>19.035144500519646</v>
      </c>
      <c r="IU747" s="350">
        <f t="shared" si="986"/>
        <v>21.158642815664585</v>
      </c>
      <c r="IV747" s="346">
        <f t="shared" si="1020"/>
        <v>40.193787316184228</v>
      </c>
      <c r="IW747" s="350">
        <f t="shared" si="1081"/>
        <v>23.432588280049998</v>
      </c>
      <c r="IX747" s="350">
        <f t="shared" si="1069"/>
        <v>13.389366909667302</v>
      </c>
      <c r="IY747" s="346">
        <f>FISC!AJ1069</f>
        <v>36.821955189717301</v>
      </c>
      <c r="IZ747" s="350">
        <f>JB747*0.5</f>
        <v>20.895460823979882</v>
      </c>
      <c r="JA747" s="302">
        <f t="shared" si="1119"/>
        <v>20.895460823979882</v>
      </c>
      <c r="JB747" s="346">
        <f>FISC!AK1069</f>
        <v>41.790921647959763</v>
      </c>
      <c r="JC747" s="350">
        <f>JE747*0.5</f>
        <v>23.317240302069845</v>
      </c>
      <c r="JD747" s="302">
        <f t="shared" si="1120"/>
        <v>23.317240302069845</v>
      </c>
      <c r="JE747" s="346">
        <f>FISC!AL1069</f>
        <v>46.634480604139689</v>
      </c>
      <c r="JF747" s="350">
        <f>JH747*0.5</f>
        <v>26.153225790475751</v>
      </c>
      <c r="JG747" s="302">
        <f t="shared" si="1121"/>
        <v>26.153225790475751</v>
      </c>
      <c r="JH747" s="346">
        <f>FISC!AM1069</f>
        <v>52.306451580951503</v>
      </c>
      <c r="JI747" s="350">
        <f>JK747*0.5</f>
        <v>27.71802173944311</v>
      </c>
      <c r="JJ747" s="302">
        <f t="shared" si="1122"/>
        <v>27.71802173944311</v>
      </c>
      <c r="JK747" s="346">
        <f>FISC!AN1069</f>
        <v>55.436043478886219</v>
      </c>
      <c r="JL747" s="350">
        <f>JN747*0.5</f>
        <v>29.282817688410482</v>
      </c>
      <c r="JM747" s="302">
        <f t="shared" si="1123"/>
        <v>29.282817688410482</v>
      </c>
      <c r="JN747" s="346">
        <f>FISC!AO1069</f>
        <v>58.565635376820964</v>
      </c>
      <c r="KI747" s="349"/>
      <c r="KJ747" s="350"/>
    </row>
    <row r="748" spans="1:296" hidden="1" outlineLevel="1">
      <c r="A748" s="302"/>
      <c r="D748" s="1637" t="s">
        <v>3130</v>
      </c>
      <c r="E748" s="346"/>
      <c r="F748" s="346"/>
      <c r="G748" s="346"/>
      <c r="H748" s="346"/>
      <c r="I748" s="346"/>
      <c r="J748" s="346"/>
      <c r="K748" s="346"/>
      <c r="L748" s="346"/>
      <c r="M748" s="346"/>
      <c r="N748" s="346"/>
      <c r="O748" s="346"/>
      <c r="P748" s="346"/>
      <c r="Q748" s="346"/>
      <c r="R748" s="346"/>
      <c r="S748" s="346"/>
      <c r="T748" s="346"/>
      <c r="U748" s="346"/>
      <c r="V748" s="346"/>
      <c r="W748" s="346"/>
      <c r="X748" s="346"/>
      <c r="Y748" s="346"/>
      <c r="Z748" s="346"/>
      <c r="AA748" s="346"/>
      <c r="AB748" s="346"/>
      <c r="AC748" s="346"/>
      <c r="AD748" s="346"/>
      <c r="AE748" s="346"/>
      <c r="AF748" s="346"/>
      <c r="AG748" s="346"/>
      <c r="AH748" s="346"/>
      <c r="AI748" s="346"/>
      <c r="AJ748" s="346"/>
      <c r="AK748" s="346"/>
      <c r="AL748" s="346"/>
      <c r="AM748" s="346"/>
      <c r="AN748" s="346"/>
      <c r="AO748" s="346"/>
      <c r="AP748" s="346"/>
      <c r="AQ748" s="346"/>
      <c r="AR748" s="346"/>
      <c r="AS748" s="346"/>
      <c r="AT748" s="346"/>
      <c r="AU748" s="346"/>
      <c r="AV748" s="346"/>
      <c r="AW748" s="346"/>
      <c r="AX748" s="346"/>
      <c r="AY748" s="346"/>
      <c r="AZ748" s="346"/>
      <c r="BA748" s="346"/>
      <c r="BB748" s="346"/>
      <c r="BC748" s="346"/>
      <c r="BD748" s="346"/>
      <c r="BE748" s="346"/>
      <c r="BF748" s="346"/>
      <c r="BG748" s="346"/>
      <c r="BH748" s="346"/>
      <c r="BI748" s="346"/>
      <c r="BJ748" s="346"/>
      <c r="BK748" s="346"/>
      <c r="BL748" s="346"/>
      <c r="BM748" s="346"/>
      <c r="BN748" s="346"/>
      <c r="BO748" s="346"/>
      <c r="BP748" s="346"/>
      <c r="BQ748" s="346"/>
      <c r="BR748" s="346"/>
      <c r="BS748" s="346"/>
      <c r="BT748" s="346"/>
      <c r="BU748" s="346"/>
      <c r="BV748" s="346"/>
      <c r="BW748" s="346"/>
      <c r="BX748" s="346"/>
      <c r="BY748" s="346"/>
      <c r="BZ748" s="346"/>
      <c r="CA748" s="346"/>
      <c r="CB748" s="346"/>
      <c r="CC748" s="346"/>
      <c r="CD748" s="352"/>
      <c r="CE748" s="346">
        <v>0</v>
      </c>
      <c r="CF748" s="346">
        <v>0</v>
      </c>
      <c r="CG748" s="346">
        <v>0</v>
      </c>
      <c r="CH748" s="346">
        <v>0</v>
      </c>
      <c r="CI748" s="346">
        <v>0</v>
      </c>
      <c r="CJ748" s="346">
        <v>0</v>
      </c>
      <c r="CK748" s="346">
        <v>0</v>
      </c>
      <c r="CL748" s="346">
        <v>0</v>
      </c>
      <c r="CM748" s="346">
        <v>0</v>
      </c>
      <c r="CN748" s="346">
        <v>0</v>
      </c>
      <c r="CO748" s="346">
        <v>0</v>
      </c>
      <c r="CP748" s="348">
        <v>0</v>
      </c>
      <c r="CQ748" s="346"/>
      <c r="CR748" s="346"/>
      <c r="CS748" s="346"/>
      <c r="CT748" s="346"/>
      <c r="CU748" s="346"/>
      <c r="CV748" s="346"/>
      <c r="CW748" s="346"/>
      <c r="CX748" s="346"/>
      <c r="CY748" s="346"/>
      <c r="CZ748" s="346"/>
      <c r="DA748" s="346"/>
      <c r="DB748" s="1479"/>
      <c r="DC748" s="346"/>
      <c r="DD748" s="346"/>
      <c r="DE748" s="346"/>
      <c r="DF748" s="346"/>
      <c r="DG748" s="346"/>
      <c r="DH748" s="346"/>
      <c r="DI748" s="346"/>
      <c r="DJ748" s="346"/>
      <c r="DK748" s="346"/>
      <c r="DL748" s="346"/>
      <c r="DM748" s="346"/>
      <c r="DN748" s="348"/>
      <c r="DO748" s="346"/>
      <c r="DP748" s="346"/>
      <c r="DQ748" s="346"/>
      <c r="DR748" s="346"/>
      <c r="DS748" s="346"/>
      <c r="DT748" s="346"/>
      <c r="DU748" s="346"/>
      <c r="DV748" s="346"/>
      <c r="DW748" s="346"/>
      <c r="DX748" s="346"/>
      <c r="DY748" s="346"/>
      <c r="DZ748" s="348"/>
      <c r="EA748" s="346"/>
      <c r="EB748" s="346"/>
      <c r="EC748" s="346"/>
      <c r="ED748" s="346"/>
      <c r="EE748" s="346"/>
      <c r="EF748" s="346"/>
      <c r="EG748" s="346"/>
      <c r="EH748" s="346"/>
      <c r="EI748" s="346"/>
      <c r="EJ748" s="346"/>
      <c r="EK748" s="346"/>
      <c r="EL748" s="348"/>
      <c r="EM748" s="346"/>
      <c r="EN748" s="346"/>
      <c r="EO748" s="346"/>
      <c r="EP748" s="346"/>
      <c r="EQ748" s="346"/>
      <c r="ER748" s="346"/>
      <c r="ES748" s="346"/>
      <c r="ET748" s="346"/>
      <c r="EU748" s="346"/>
      <c r="EV748" s="346"/>
      <c r="EW748" s="346"/>
      <c r="EX748" s="348"/>
      <c r="EY748" s="346"/>
      <c r="EZ748" s="346"/>
      <c r="FA748" s="346"/>
      <c r="FB748" s="346"/>
      <c r="FC748" s="346"/>
      <c r="FD748" s="346"/>
      <c r="FE748" s="346"/>
      <c r="FF748" s="346"/>
      <c r="FG748" s="346"/>
      <c r="FH748" s="346"/>
      <c r="FI748" s="346"/>
      <c r="FJ748" s="348"/>
      <c r="FK748" s="346"/>
      <c r="FL748" s="346"/>
      <c r="FM748" s="346"/>
      <c r="FN748" s="346"/>
      <c r="FO748" s="346"/>
      <c r="FP748" s="346"/>
      <c r="FQ748" s="346"/>
      <c r="FR748" s="346"/>
      <c r="FS748" s="346"/>
      <c r="FT748" s="346"/>
      <c r="FU748" s="346"/>
      <c r="FV748" s="346"/>
      <c r="FW748" s="346">
        <v>0</v>
      </c>
      <c r="FX748" s="346">
        <v>0</v>
      </c>
      <c r="FY748" s="346">
        <v>0</v>
      </c>
      <c r="FZ748" s="346">
        <v>0</v>
      </c>
      <c r="GA748" s="346">
        <v>0</v>
      </c>
      <c r="GB748" s="346">
        <v>5.0882907560000001</v>
      </c>
      <c r="GC748" s="346">
        <v>0</v>
      </c>
      <c r="GD748" s="346">
        <v>0</v>
      </c>
      <c r="GE748" s="346">
        <v>4.1749723110000003</v>
      </c>
      <c r="GF748" s="346">
        <v>0</v>
      </c>
      <c r="GG748" s="346">
        <v>0</v>
      </c>
      <c r="GH748" s="346">
        <v>7.5733823740000004</v>
      </c>
      <c r="GI748" s="1897">
        <v>0</v>
      </c>
      <c r="GJ748" s="1897">
        <v>0</v>
      </c>
      <c r="GK748" s="1901">
        <v>4.2565631896947203</v>
      </c>
      <c r="GL748" s="1897">
        <v>0</v>
      </c>
      <c r="GM748" s="1897">
        <v>0</v>
      </c>
      <c r="GN748" s="1901">
        <v>7.8374443953052797</v>
      </c>
      <c r="GO748" s="1901">
        <v>0</v>
      </c>
      <c r="GP748" s="1901">
        <v>0</v>
      </c>
      <c r="GQ748" s="1901">
        <v>4.668619745</v>
      </c>
      <c r="GR748" s="1901">
        <v>0</v>
      </c>
      <c r="GS748" s="1901">
        <v>0</v>
      </c>
      <c r="GT748" s="1901">
        <v>6.4630102349999996</v>
      </c>
      <c r="GU748" s="1901">
        <v>0</v>
      </c>
      <c r="GV748" s="1901">
        <v>0</v>
      </c>
      <c r="GW748" s="1901">
        <v>6.9110671999999997</v>
      </c>
      <c r="GX748" s="1901">
        <v>0</v>
      </c>
      <c r="GY748" s="1901">
        <v>0</v>
      </c>
      <c r="GZ748" s="1901">
        <v>6.4017662</v>
      </c>
      <c r="HA748" s="1901">
        <v>0</v>
      </c>
      <c r="HB748" s="1901">
        <v>0</v>
      </c>
      <c r="HC748" s="1901">
        <v>6.6403872000000002</v>
      </c>
      <c r="HD748" s="1901">
        <v>0</v>
      </c>
      <c r="HE748" s="1901">
        <v>0</v>
      </c>
      <c r="HF748" s="1901">
        <v>5.6018812000000002</v>
      </c>
      <c r="HG748" s="1901">
        <v>0</v>
      </c>
      <c r="HH748" s="1901">
        <v>0</v>
      </c>
      <c r="HI748" s="1901">
        <v>6.6362009999999998</v>
      </c>
      <c r="HJ748" s="1901">
        <v>0</v>
      </c>
      <c r="HK748" s="1901">
        <v>0</v>
      </c>
      <c r="HL748" s="1901">
        <v>7.6570984879999999</v>
      </c>
      <c r="HM748" s="1901"/>
      <c r="HN748" s="349"/>
      <c r="HO748" s="1637" t="s">
        <v>3130</v>
      </c>
      <c r="HP748" s="307"/>
      <c r="HR748" s="346"/>
      <c r="HU748" s="346"/>
      <c r="HV748" s="307"/>
      <c r="HX748" s="346"/>
      <c r="HY748" s="350"/>
      <c r="IA748" s="346"/>
      <c r="ID748" s="346"/>
      <c r="IE748" s="350"/>
      <c r="IF748" s="350"/>
      <c r="IG748" s="346"/>
      <c r="IH748" s="350"/>
      <c r="II748" s="350"/>
      <c r="IJ748" s="346"/>
      <c r="IK748" s="1774">
        <v>6.3</v>
      </c>
      <c r="IL748" s="350">
        <f t="shared" si="993"/>
        <v>0</v>
      </c>
      <c r="IM748" s="346">
        <f t="shared" si="1080"/>
        <v>6.3</v>
      </c>
      <c r="IN748" s="350">
        <f t="shared" si="1052"/>
        <v>5.0882907560000001</v>
      </c>
      <c r="IO748" s="350">
        <f t="shared" si="1053"/>
        <v>11.748354685000001</v>
      </c>
      <c r="IP748" s="346">
        <f t="shared" si="1066"/>
        <v>16.836645441000002</v>
      </c>
      <c r="IQ748" s="350">
        <f t="shared" si="1054"/>
        <v>12.094007585</v>
      </c>
      <c r="IR748" s="350">
        <f t="shared" si="1055"/>
        <v>11.13162998</v>
      </c>
      <c r="IS748" s="346">
        <f t="shared" si="1067"/>
        <v>23.225637565</v>
      </c>
      <c r="IT748" s="350">
        <f>SUM(GU748:GZ748)+2.5</f>
        <v>15.812833399999999</v>
      </c>
      <c r="IU748" s="350">
        <f t="shared" si="986"/>
        <v>12.2422684</v>
      </c>
      <c r="IV748" s="346">
        <f t="shared" si="1020"/>
        <v>28.055101799999999</v>
      </c>
      <c r="IW748" s="350">
        <f t="shared" si="1081"/>
        <v>14.293299487999999</v>
      </c>
      <c r="IX748" s="350">
        <f t="shared" si="1069"/>
        <v>11.718454430000001</v>
      </c>
      <c r="IY748" s="346">
        <f>FISC!AJ1070</f>
        <v>26.011753918</v>
      </c>
      <c r="IZ748" s="350">
        <f t="shared" ref="IZ748:IZ753" si="1133">JB748*0.5</f>
        <v>14.532936684499999</v>
      </c>
      <c r="JA748" s="302">
        <f t="shared" si="1119"/>
        <v>14.532936684499999</v>
      </c>
      <c r="JB748" s="346">
        <f>FISC!AK1070</f>
        <v>29.065873368999998</v>
      </c>
      <c r="JC748" s="350">
        <f t="shared" ref="JC748:JC753" si="1134">JE748*0.5</f>
        <v>15.9299376405</v>
      </c>
      <c r="JD748" s="302">
        <f t="shared" si="1120"/>
        <v>15.9299376405</v>
      </c>
      <c r="JE748" s="346">
        <f>FISC!AL1070</f>
        <v>31.859875281000001</v>
      </c>
      <c r="JF748" s="350">
        <f t="shared" ref="JF748:JF753" si="1135">JH748*0.5</f>
        <v>17.3269385965</v>
      </c>
      <c r="JG748" s="302">
        <f t="shared" si="1121"/>
        <v>17.3269385965</v>
      </c>
      <c r="JH748" s="346">
        <f>FISC!AM1070</f>
        <v>34.653877193</v>
      </c>
      <c r="JI748" s="350">
        <f t="shared" ref="JI748:JI753" si="1136">JK748*0.5</f>
        <v>18.723939552499999</v>
      </c>
      <c r="JJ748" s="302">
        <f t="shared" si="1122"/>
        <v>18.723939552499999</v>
      </c>
      <c r="JK748" s="346">
        <f>FISC!AN1070</f>
        <v>37.447879104999998</v>
      </c>
      <c r="JL748" s="350">
        <f t="shared" ref="JL748:JL753" si="1137">JN748*0.5</f>
        <v>20.120940508499999</v>
      </c>
      <c r="JM748" s="302">
        <f t="shared" si="1123"/>
        <v>20.120940508499999</v>
      </c>
      <c r="JN748" s="346">
        <f>FISC!AO1070</f>
        <v>40.241881016999997</v>
      </c>
      <c r="KI748" s="349"/>
      <c r="KJ748" s="350"/>
    </row>
    <row r="749" spans="1:296" hidden="1" outlineLevel="1">
      <c r="A749" s="302"/>
      <c r="B749" s="117" t="s">
        <v>361</v>
      </c>
      <c r="D749" s="1720" t="s">
        <v>3230</v>
      </c>
      <c r="E749" s="346"/>
      <c r="F749" s="346"/>
      <c r="G749" s="346"/>
      <c r="H749" s="346"/>
      <c r="I749" s="346"/>
      <c r="J749" s="346"/>
      <c r="K749" s="346"/>
      <c r="L749" s="346"/>
      <c r="M749" s="346"/>
      <c r="N749" s="346"/>
      <c r="O749" s="346"/>
      <c r="P749" s="346"/>
      <c r="Q749" s="346"/>
      <c r="R749" s="346"/>
      <c r="S749" s="346"/>
      <c r="T749" s="346"/>
      <c r="U749" s="346"/>
      <c r="V749" s="346"/>
      <c r="W749" s="346"/>
      <c r="X749" s="346"/>
      <c r="Y749" s="346"/>
      <c r="Z749" s="346"/>
      <c r="AA749" s="346"/>
      <c r="AB749" s="346"/>
      <c r="AC749" s="346"/>
      <c r="AD749" s="346"/>
      <c r="AE749" s="346"/>
      <c r="AF749" s="346"/>
      <c r="AG749" s="346"/>
      <c r="AH749" s="346"/>
      <c r="AI749" s="346"/>
      <c r="AJ749" s="346"/>
      <c r="AK749" s="346"/>
      <c r="AL749" s="346"/>
      <c r="AM749" s="346"/>
      <c r="AN749" s="346"/>
      <c r="AO749" s="346">
        <v>0</v>
      </c>
      <c r="AP749" s="346">
        <v>0</v>
      </c>
      <c r="AQ749" s="346">
        <v>0</v>
      </c>
      <c r="AR749" s="346">
        <v>0</v>
      </c>
      <c r="AS749" s="346">
        <v>0</v>
      </c>
      <c r="AT749" s="346">
        <v>0</v>
      </c>
      <c r="AU749" s="346">
        <v>0</v>
      </c>
      <c r="AV749" s="346">
        <v>0</v>
      </c>
      <c r="AW749" s="346">
        <v>0</v>
      </c>
      <c r="AX749" s="346">
        <v>0</v>
      </c>
      <c r="AY749" s="346">
        <v>0</v>
      </c>
      <c r="AZ749" s="346">
        <v>0</v>
      </c>
      <c r="BA749" s="346">
        <v>0</v>
      </c>
      <c r="BB749" s="346">
        <v>0</v>
      </c>
      <c r="BC749" s="346">
        <v>0</v>
      </c>
      <c r="BD749" s="346">
        <v>0</v>
      </c>
      <c r="BE749" s="346">
        <v>0</v>
      </c>
      <c r="BF749" s="346">
        <v>0</v>
      </c>
      <c r="BG749" s="346">
        <v>0</v>
      </c>
      <c r="BH749" s="346">
        <v>0</v>
      </c>
      <c r="BI749" s="346">
        <v>0</v>
      </c>
      <c r="BJ749" s="346">
        <v>0</v>
      </c>
      <c r="BK749" s="346">
        <v>0</v>
      </c>
      <c r="BL749" s="346">
        <v>0</v>
      </c>
      <c r="BM749" s="346">
        <v>0</v>
      </c>
      <c r="BN749" s="346">
        <v>0</v>
      </c>
      <c r="BO749" s="346">
        <v>0</v>
      </c>
      <c r="BP749" s="346">
        <v>0</v>
      </c>
      <c r="BQ749" s="346">
        <v>0</v>
      </c>
      <c r="BR749" s="346">
        <v>0</v>
      </c>
      <c r="BS749" s="346">
        <v>0</v>
      </c>
      <c r="BT749" s="346">
        <v>0</v>
      </c>
      <c r="BU749" s="346">
        <v>0</v>
      </c>
      <c r="BV749" s="346">
        <v>0</v>
      </c>
      <c r="BW749" s="346">
        <v>0</v>
      </c>
      <c r="BX749" s="346">
        <v>0</v>
      </c>
      <c r="BY749" s="346">
        <v>0</v>
      </c>
      <c r="BZ749" s="346">
        <v>0</v>
      </c>
      <c r="CA749" s="346">
        <v>0</v>
      </c>
      <c r="CB749" s="346">
        <v>0</v>
      </c>
      <c r="CC749" s="346">
        <v>0</v>
      </c>
      <c r="CD749" s="352">
        <v>0</v>
      </c>
      <c r="CE749" s="346">
        <f t="shared" ref="CE749:DJ749" si="1138">CE383</f>
        <v>0</v>
      </c>
      <c r="CF749" s="346">
        <f t="shared" si="1138"/>
        <v>0</v>
      </c>
      <c r="CG749" s="346">
        <f t="shared" si="1138"/>
        <v>0</v>
      </c>
      <c r="CH749" s="346">
        <f t="shared" si="1138"/>
        <v>0</v>
      </c>
      <c r="CI749" s="346">
        <f t="shared" si="1138"/>
        <v>0</v>
      </c>
      <c r="CJ749" s="346">
        <f t="shared" si="1138"/>
        <v>0</v>
      </c>
      <c r="CK749" s="346">
        <f t="shared" si="1138"/>
        <v>0</v>
      </c>
      <c r="CL749" s="346">
        <f t="shared" si="1138"/>
        <v>0</v>
      </c>
      <c r="CM749" s="346">
        <f t="shared" si="1138"/>
        <v>0</v>
      </c>
      <c r="CN749" s="346">
        <f t="shared" si="1138"/>
        <v>0</v>
      </c>
      <c r="CO749" s="346">
        <f t="shared" si="1138"/>
        <v>0</v>
      </c>
      <c r="CP749" s="348">
        <f t="shared" si="1138"/>
        <v>0</v>
      </c>
      <c r="CQ749" s="346">
        <f t="shared" si="1138"/>
        <v>0</v>
      </c>
      <c r="CR749" s="346">
        <f t="shared" si="1138"/>
        <v>0</v>
      </c>
      <c r="CS749" s="346">
        <f t="shared" si="1138"/>
        <v>0</v>
      </c>
      <c r="CT749" s="346">
        <f t="shared" si="1138"/>
        <v>0</v>
      </c>
      <c r="CU749" s="346">
        <f t="shared" si="1138"/>
        <v>0</v>
      </c>
      <c r="CV749" s="346">
        <f t="shared" si="1138"/>
        <v>0</v>
      </c>
      <c r="CW749" s="346">
        <f t="shared" si="1138"/>
        <v>0</v>
      </c>
      <c r="CX749" s="346">
        <f t="shared" si="1138"/>
        <v>0</v>
      </c>
      <c r="CY749" s="346">
        <f t="shared" si="1138"/>
        <v>0</v>
      </c>
      <c r="CZ749" s="346">
        <f t="shared" si="1138"/>
        <v>0</v>
      </c>
      <c r="DA749" s="346">
        <f t="shared" si="1138"/>
        <v>0</v>
      </c>
      <c r="DB749" s="1479">
        <f t="shared" si="1138"/>
        <v>0</v>
      </c>
      <c r="DC749" s="346">
        <f t="shared" si="1138"/>
        <v>0</v>
      </c>
      <c r="DD749" s="346">
        <f t="shared" si="1138"/>
        <v>0</v>
      </c>
      <c r="DE749" s="346">
        <f t="shared" si="1138"/>
        <v>0</v>
      </c>
      <c r="DF749" s="346">
        <f t="shared" si="1138"/>
        <v>0</v>
      </c>
      <c r="DG749" s="346">
        <f t="shared" si="1138"/>
        <v>0</v>
      </c>
      <c r="DH749" s="346">
        <f t="shared" si="1138"/>
        <v>0</v>
      </c>
      <c r="DI749" s="346">
        <f t="shared" si="1138"/>
        <v>0</v>
      </c>
      <c r="DJ749" s="346">
        <f t="shared" si="1138"/>
        <v>0</v>
      </c>
      <c r="DK749" s="346">
        <f t="shared" ref="DK749:EP749" si="1139">DK383</f>
        <v>0</v>
      </c>
      <c r="DL749" s="346">
        <f t="shared" si="1139"/>
        <v>0</v>
      </c>
      <c r="DM749" s="346">
        <f t="shared" si="1139"/>
        <v>0</v>
      </c>
      <c r="DN749" s="348">
        <f t="shared" si="1139"/>
        <v>0</v>
      </c>
      <c r="DO749" s="346">
        <f t="shared" si="1139"/>
        <v>0</v>
      </c>
      <c r="DP749" s="346">
        <f t="shared" si="1139"/>
        <v>0</v>
      </c>
      <c r="DQ749" s="346">
        <f t="shared" si="1139"/>
        <v>0</v>
      </c>
      <c r="DR749" s="346">
        <f t="shared" si="1139"/>
        <v>0</v>
      </c>
      <c r="DS749" s="346">
        <f t="shared" si="1139"/>
        <v>0</v>
      </c>
      <c r="DT749" s="346">
        <f t="shared" si="1139"/>
        <v>0</v>
      </c>
      <c r="DU749" s="346">
        <f t="shared" si="1139"/>
        <v>0</v>
      </c>
      <c r="DV749" s="346">
        <f t="shared" si="1139"/>
        <v>0</v>
      </c>
      <c r="DW749" s="346">
        <f t="shared" si="1139"/>
        <v>0</v>
      </c>
      <c r="DX749" s="346">
        <f t="shared" si="1139"/>
        <v>0</v>
      </c>
      <c r="DY749" s="346">
        <f t="shared" si="1139"/>
        <v>0</v>
      </c>
      <c r="DZ749" s="348">
        <f t="shared" si="1139"/>
        <v>0</v>
      </c>
      <c r="EA749" s="346">
        <f t="shared" si="1139"/>
        <v>0</v>
      </c>
      <c r="EB749" s="346">
        <f t="shared" si="1139"/>
        <v>0</v>
      </c>
      <c r="EC749" s="346">
        <f t="shared" si="1139"/>
        <v>0</v>
      </c>
      <c r="ED749" s="346">
        <f t="shared" si="1139"/>
        <v>0</v>
      </c>
      <c r="EE749" s="346">
        <f t="shared" si="1139"/>
        <v>0</v>
      </c>
      <c r="EF749" s="346">
        <f t="shared" si="1139"/>
        <v>0</v>
      </c>
      <c r="EG749" s="346">
        <f t="shared" si="1139"/>
        <v>0</v>
      </c>
      <c r="EH749" s="346">
        <f t="shared" si="1139"/>
        <v>0</v>
      </c>
      <c r="EI749" s="346">
        <f t="shared" si="1139"/>
        <v>0</v>
      </c>
      <c r="EJ749" s="346">
        <f t="shared" si="1139"/>
        <v>0</v>
      </c>
      <c r="EK749" s="346">
        <f t="shared" si="1139"/>
        <v>0</v>
      </c>
      <c r="EL749" s="348">
        <f t="shared" si="1139"/>
        <v>0</v>
      </c>
      <c r="EM749" s="346">
        <f t="shared" si="1139"/>
        <v>0</v>
      </c>
      <c r="EN749" s="346">
        <f t="shared" si="1139"/>
        <v>0</v>
      </c>
      <c r="EO749" s="346">
        <f t="shared" si="1139"/>
        <v>0</v>
      </c>
      <c r="EP749" s="346">
        <f t="shared" si="1139"/>
        <v>0</v>
      </c>
      <c r="EQ749" s="346">
        <f t="shared" ref="EQ749:FP749" si="1140">EQ383</f>
        <v>0</v>
      </c>
      <c r="ER749" s="346">
        <f t="shared" si="1140"/>
        <v>0</v>
      </c>
      <c r="ES749" s="346">
        <f t="shared" si="1140"/>
        <v>0</v>
      </c>
      <c r="ET749" s="346">
        <f t="shared" si="1140"/>
        <v>0</v>
      </c>
      <c r="EU749" s="346">
        <f t="shared" si="1140"/>
        <v>0</v>
      </c>
      <c r="EV749" s="346">
        <f t="shared" si="1140"/>
        <v>0</v>
      </c>
      <c r="EW749" s="346">
        <f t="shared" si="1140"/>
        <v>0</v>
      </c>
      <c r="EX749" s="348">
        <f t="shared" si="1140"/>
        <v>0</v>
      </c>
      <c r="EY749" s="346">
        <f t="shared" si="1140"/>
        <v>0</v>
      </c>
      <c r="EZ749" s="346">
        <f t="shared" si="1140"/>
        <v>0</v>
      </c>
      <c r="FA749" s="346">
        <f t="shared" si="1140"/>
        <v>0</v>
      </c>
      <c r="FB749" s="346">
        <f t="shared" si="1140"/>
        <v>0</v>
      </c>
      <c r="FC749" s="346">
        <f t="shared" si="1140"/>
        <v>0</v>
      </c>
      <c r="FD749" s="346">
        <f t="shared" si="1140"/>
        <v>0</v>
      </c>
      <c r="FE749" s="346">
        <f t="shared" si="1140"/>
        <v>0</v>
      </c>
      <c r="FF749" s="346">
        <f t="shared" si="1140"/>
        <v>0</v>
      </c>
      <c r="FG749" s="346">
        <f t="shared" si="1140"/>
        <v>0</v>
      </c>
      <c r="FH749" s="346">
        <f t="shared" si="1140"/>
        <v>0</v>
      </c>
      <c r="FI749" s="346">
        <f t="shared" si="1140"/>
        <v>0</v>
      </c>
      <c r="FJ749" s="348">
        <f t="shared" si="1140"/>
        <v>0</v>
      </c>
      <c r="FK749" s="346">
        <f t="shared" si="1140"/>
        <v>0</v>
      </c>
      <c r="FL749" s="346">
        <f t="shared" si="1140"/>
        <v>0</v>
      </c>
      <c r="FM749" s="346">
        <f t="shared" si="1140"/>
        <v>0</v>
      </c>
      <c r="FN749" s="346">
        <f t="shared" si="1140"/>
        <v>16.209857913474771</v>
      </c>
      <c r="FO749" s="346">
        <f t="shared" si="1140"/>
        <v>0</v>
      </c>
      <c r="FP749" s="346">
        <f t="shared" si="1140"/>
        <v>0</v>
      </c>
      <c r="FQ749" s="346">
        <f t="shared" ref="FQ749:FV751" si="1141">FQ383</f>
        <v>0</v>
      </c>
      <c r="FR749" s="346">
        <f t="shared" si="1141"/>
        <v>0</v>
      </c>
      <c r="FS749" s="346">
        <f t="shared" si="1141"/>
        <v>0</v>
      </c>
      <c r="FT749" s="346">
        <f t="shared" si="1141"/>
        <v>19.094966261</v>
      </c>
      <c r="FU749" s="346">
        <f t="shared" si="1141"/>
        <v>0</v>
      </c>
      <c r="FV749" s="346">
        <f t="shared" si="1141"/>
        <v>0</v>
      </c>
      <c r="FW749" s="346">
        <v>0</v>
      </c>
      <c r="FX749" s="346">
        <v>0</v>
      </c>
      <c r="FY749" s="346">
        <v>0</v>
      </c>
      <c r="FZ749" s="346">
        <v>11.416539758000001</v>
      </c>
      <c r="GA749" s="346">
        <v>0</v>
      </c>
      <c r="GB749" s="346">
        <v>0</v>
      </c>
      <c r="GC749" s="346">
        <f>GC751</f>
        <v>11.069322662999999</v>
      </c>
      <c r="GD749" s="346">
        <v>0</v>
      </c>
      <c r="GE749" s="346">
        <v>0</v>
      </c>
      <c r="GF749" s="346">
        <v>0</v>
      </c>
      <c r="GG749" s="346">
        <v>0</v>
      </c>
      <c r="GH749" s="346">
        <v>0</v>
      </c>
      <c r="GI749" s="346">
        <v>0</v>
      </c>
      <c r="GJ749" s="346">
        <v>0</v>
      </c>
      <c r="GK749" s="346">
        <v>0</v>
      </c>
      <c r="GL749" s="346">
        <v>0</v>
      </c>
      <c r="GM749" s="346">
        <v>0</v>
      </c>
      <c r="GN749" s="346">
        <v>0</v>
      </c>
      <c r="GO749" s="346">
        <v>0</v>
      </c>
      <c r="GP749" s="346">
        <v>0</v>
      </c>
      <c r="GQ749" s="346">
        <v>0</v>
      </c>
      <c r="GR749" s="346">
        <v>0</v>
      </c>
      <c r="GS749" s="346">
        <v>0</v>
      </c>
      <c r="GT749" s="346">
        <v>0</v>
      </c>
      <c r="GU749" s="346">
        <v>0</v>
      </c>
      <c r="GV749" s="346">
        <v>0</v>
      </c>
      <c r="GW749" s="346">
        <v>0</v>
      </c>
      <c r="GX749" s="346">
        <v>0</v>
      </c>
      <c r="GY749" s="346">
        <v>0</v>
      </c>
      <c r="GZ749" s="346">
        <v>0</v>
      </c>
      <c r="HA749" s="346">
        <v>0</v>
      </c>
      <c r="HB749" s="346">
        <v>0</v>
      </c>
      <c r="HC749" s="346">
        <v>0</v>
      </c>
      <c r="HD749" s="346">
        <v>0</v>
      </c>
      <c r="HE749" s="346">
        <v>0</v>
      </c>
      <c r="HF749" s="346">
        <v>0</v>
      </c>
      <c r="HG749" s="346">
        <f>HG750+HG751</f>
        <v>52.070578646999998</v>
      </c>
      <c r="HH749" s="346">
        <f t="shared" ref="HH749:HL749" si="1142">HH750+HH751</f>
        <v>0</v>
      </c>
      <c r="HI749" s="346">
        <f t="shared" si="1142"/>
        <v>0</v>
      </c>
      <c r="HJ749" s="346">
        <f t="shared" si="1142"/>
        <v>0</v>
      </c>
      <c r="HK749" s="346">
        <f t="shared" si="1142"/>
        <v>0</v>
      </c>
      <c r="HL749" s="346">
        <f t="shared" si="1142"/>
        <v>0</v>
      </c>
      <c r="HM749" s="346"/>
      <c r="HN749" s="349"/>
      <c r="HO749" s="1720" t="s">
        <v>3230</v>
      </c>
      <c r="HP749" s="307">
        <f>SUM(CE749:CJ749)</f>
        <v>0</v>
      </c>
      <c r="HQ749" s="302">
        <f>SUM(CK749:CP749)</f>
        <v>0</v>
      </c>
      <c r="HR749" s="346">
        <f>HP749+HQ749</f>
        <v>0</v>
      </c>
      <c r="HS749" s="302">
        <f>SUM(CQ749:CV749)</f>
        <v>0</v>
      </c>
      <c r="HT749" s="302">
        <f>SUM(CW749:DB749)</f>
        <v>0</v>
      </c>
      <c r="HU749" s="346">
        <f>HS749+HT749</f>
        <v>0</v>
      </c>
      <c r="HV749" s="307">
        <f>SUM(DC749:DH749)</f>
        <v>0</v>
      </c>
      <c r="HW749" s="302">
        <f>SUM(DI749:DN749)</f>
        <v>0</v>
      </c>
      <c r="HX749" s="346">
        <f>HV749+HW749</f>
        <v>0</v>
      </c>
      <c r="HY749" s="350">
        <f>SUM(DO749:DT749)</f>
        <v>0</v>
      </c>
      <c r="HZ749" s="302">
        <f>SUM(DU749:DZ749)</f>
        <v>0</v>
      </c>
      <c r="IA749" s="346">
        <f>HY749+HZ749</f>
        <v>0</v>
      </c>
      <c r="IB749" s="302">
        <f>SUM(EA749:EF749)</f>
        <v>0</v>
      </c>
      <c r="IC749" s="302">
        <f>SUM(EG749:EL749)</f>
        <v>0</v>
      </c>
      <c r="ID749" s="346">
        <f>IB749+IC749</f>
        <v>0</v>
      </c>
      <c r="IE749" s="350">
        <f>SUM(EM749:ER749)</f>
        <v>0</v>
      </c>
      <c r="IF749" s="350">
        <f>SUM(ES749:EX749)</f>
        <v>0</v>
      </c>
      <c r="IG749" s="346">
        <f>IE749+IF749</f>
        <v>0</v>
      </c>
      <c r="IH749" s="350">
        <f>SUM(EY749:FD749)</f>
        <v>0</v>
      </c>
      <c r="II749" s="350">
        <f>SUM(FE749:FJ749)</f>
        <v>0</v>
      </c>
      <c r="IJ749" s="346">
        <f>IH749+II749</f>
        <v>0</v>
      </c>
      <c r="IK749" s="350">
        <f t="shared" ref="IK749:IK755" si="1143">SUM(FK749:FP749)</f>
        <v>16.209857913474771</v>
      </c>
      <c r="IL749" s="350">
        <f t="shared" si="993"/>
        <v>19.094966261</v>
      </c>
      <c r="IM749" s="346">
        <f t="shared" si="1080"/>
        <v>35.304824174474774</v>
      </c>
      <c r="IN749" s="350">
        <f t="shared" si="1052"/>
        <v>11.416539758000001</v>
      </c>
      <c r="IO749" s="350">
        <f t="shared" si="1053"/>
        <v>11.069322662999999</v>
      </c>
      <c r="IP749" s="346">
        <f t="shared" si="1066"/>
        <v>22.485862421</v>
      </c>
      <c r="IQ749" s="350">
        <f t="shared" si="1054"/>
        <v>0</v>
      </c>
      <c r="IR749" s="350">
        <f t="shared" si="1055"/>
        <v>0</v>
      </c>
      <c r="IS749" s="346">
        <f t="shared" si="1067"/>
        <v>0</v>
      </c>
      <c r="IT749" s="350">
        <f>SUM(GU749:GZ749)</f>
        <v>0</v>
      </c>
      <c r="IU749" s="350">
        <f t="shared" si="986"/>
        <v>0</v>
      </c>
      <c r="IV749" s="346">
        <f t="shared" si="1020"/>
        <v>0</v>
      </c>
      <c r="IW749" s="350">
        <f t="shared" si="1081"/>
        <v>52.070578646999998</v>
      </c>
      <c r="IX749" s="350">
        <f t="shared" si="1069"/>
        <v>0</v>
      </c>
      <c r="IY749" s="346">
        <f>FISC!AJ1071</f>
        <v>52.070578646999998</v>
      </c>
      <c r="IZ749" s="350">
        <f t="shared" si="1133"/>
        <v>0</v>
      </c>
      <c r="JA749" s="302">
        <f t="shared" si="1119"/>
        <v>0</v>
      </c>
      <c r="JB749" s="346">
        <f>FISC!AK1071</f>
        <v>0</v>
      </c>
      <c r="JC749" s="350">
        <f t="shared" si="1134"/>
        <v>0</v>
      </c>
      <c r="JD749" s="302">
        <f t="shared" si="1120"/>
        <v>0</v>
      </c>
      <c r="JE749" s="346">
        <f>FISC!AL1071</f>
        <v>0</v>
      </c>
      <c r="JF749" s="350">
        <f t="shared" si="1135"/>
        <v>0</v>
      </c>
      <c r="JG749" s="302">
        <f t="shared" si="1121"/>
        <v>0</v>
      </c>
      <c r="JH749" s="346">
        <f>FISC!AM1071</f>
        <v>0</v>
      </c>
      <c r="JI749" s="350">
        <f t="shared" si="1136"/>
        <v>0</v>
      </c>
      <c r="JJ749" s="302">
        <f t="shared" si="1122"/>
        <v>0</v>
      </c>
      <c r="JK749" s="346">
        <f>FISC!AN1071</f>
        <v>0</v>
      </c>
      <c r="JL749" s="350">
        <f t="shared" si="1137"/>
        <v>0</v>
      </c>
      <c r="JM749" s="302">
        <f t="shared" si="1123"/>
        <v>0</v>
      </c>
      <c r="JN749" s="346">
        <f>FISC!AO1071</f>
        <v>0</v>
      </c>
      <c r="KI749" s="349"/>
      <c r="KJ749" s="350"/>
    </row>
    <row r="750" spans="1:296" hidden="1" outlineLevel="1">
      <c r="A750" s="302"/>
      <c r="D750" s="1439" t="s">
        <v>538</v>
      </c>
      <c r="E750" s="346"/>
      <c r="F750" s="346"/>
      <c r="G750" s="346"/>
      <c r="H750" s="346"/>
      <c r="I750" s="346"/>
      <c r="J750" s="346"/>
      <c r="K750" s="346"/>
      <c r="L750" s="346"/>
      <c r="M750" s="346"/>
      <c r="N750" s="346"/>
      <c r="O750" s="346"/>
      <c r="P750" s="346"/>
      <c r="Q750" s="346"/>
      <c r="R750" s="346"/>
      <c r="S750" s="346"/>
      <c r="T750" s="346"/>
      <c r="U750" s="346"/>
      <c r="V750" s="346"/>
      <c r="W750" s="346"/>
      <c r="X750" s="346"/>
      <c r="Y750" s="346"/>
      <c r="Z750" s="346"/>
      <c r="AA750" s="346"/>
      <c r="AB750" s="346"/>
      <c r="AC750" s="346"/>
      <c r="AD750" s="346"/>
      <c r="AE750" s="346"/>
      <c r="AF750" s="346"/>
      <c r="AG750" s="346"/>
      <c r="AH750" s="346"/>
      <c r="AI750" s="346"/>
      <c r="AJ750" s="346"/>
      <c r="AK750" s="346"/>
      <c r="AL750" s="346"/>
      <c r="AM750" s="346"/>
      <c r="AN750" s="346"/>
      <c r="AO750" s="346"/>
      <c r="AP750" s="346"/>
      <c r="AQ750" s="346"/>
      <c r="AR750" s="346"/>
      <c r="AS750" s="346"/>
      <c r="AT750" s="346"/>
      <c r="AU750" s="346"/>
      <c r="AV750" s="346"/>
      <c r="AW750" s="346"/>
      <c r="AX750" s="346"/>
      <c r="AY750" s="346"/>
      <c r="AZ750" s="346"/>
      <c r="BA750" s="346"/>
      <c r="BB750" s="346"/>
      <c r="BC750" s="346"/>
      <c r="BD750" s="346"/>
      <c r="BE750" s="346"/>
      <c r="BF750" s="346"/>
      <c r="BG750" s="346"/>
      <c r="BH750" s="346"/>
      <c r="BI750" s="346"/>
      <c r="BJ750" s="346"/>
      <c r="BK750" s="346"/>
      <c r="BL750" s="346"/>
      <c r="BM750" s="346"/>
      <c r="BN750" s="346"/>
      <c r="BO750" s="346"/>
      <c r="BP750" s="346"/>
      <c r="BQ750" s="346"/>
      <c r="BR750" s="346"/>
      <c r="BS750" s="346"/>
      <c r="BT750" s="346"/>
      <c r="BU750" s="346"/>
      <c r="BV750" s="346"/>
      <c r="BW750" s="346"/>
      <c r="BX750" s="346"/>
      <c r="BY750" s="346"/>
      <c r="BZ750" s="346"/>
      <c r="CA750" s="346"/>
      <c r="CB750" s="346"/>
      <c r="CC750" s="346"/>
      <c r="CD750" s="352"/>
      <c r="CE750" s="346">
        <f t="shared" ref="CE750:DJ750" si="1144">CE384</f>
        <v>0</v>
      </c>
      <c r="CF750" s="346">
        <f t="shared" si="1144"/>
        <v>0</v>
      </c>
      <c r="CG750" s="346">
        <f t="shared" si="1144"/>
        <v>0</v>
      </c>
      <c r="CH750" s="346">
        <f t="shared" si="1144"/>
        <v>0</v>
      </c>
      <c r="CI750" s="346">
        <f t="shared" si="1144"/>
        <v>0</v>
      </c>
      <c r="CJ750" s="346">
        <f t="shared" si="1144"/>
        <v>0</v>
      </c>
      <c r="CK750" s="346">
        <f t="shared" si="1144"/>
        <v>0</v>
      </c>
      <c r="CL750" s="346">
        <f t="shared" si="1144"/>
        <v>0</v>
      </c>
      <c r="CM750" s="346">
        <f t="shared" si="1144"/>
        <v>0</v>
      </c>
      <c r="CN750" s="346">
        <f t="shared" si="1144"/>
        <v>0</v>
      </c>
      <c r="CO750" s="346">
        <f t="shared" si="1144"/>
        <v>0</v>
      </c>
      <c r="CP750" s="348">
        <f t="shared" si="1144"/>
        <v>0</v>
      </c>
      <c r="CQ750" s="346">
        <f t="shared" si="1144"/>
        <v>0</v>
      </c>
      <c r="CR750" s="346">
        <f t="shared" si="1144"/>
        <v>0</v>
      </c>
      <c r="CS750" s="346">
        <f t="shared" si="1144"/>
        <v>0</v>
      </c>
      <c r="CT750" s="346">
        <f t="shared" si="1144"/>
        <v>0</v>
      </c>
      <c r="CU750" s="346">
        <f t="shared" si="1144"/>
        <v>0</v>
      </c>
      <c r="CV750" s="346">
        <f t="shared" si="1144"/>
        <v>0</v>
      </c>
      <c r="CW750" s="346">
        <f t="shared" si="1144"/>
        <v>0</v>
      </c>
      <c r="CX750" s="346">
        <f t="shared" si="1144"/>
        <v>0</v>
      </c>
      <c r="CY750" s="346">
        <f t="shared" si="1144"/>
        <v>0</v>
      </c>
      <c r="CZ750" s="346">
        <f t="shared" si="1144"/>
        <v>0</v>
      </c>
      <c r="DA750" s="346">
        <f t="shared" si="1144"/>
        <v>0</v>
      </c>
      <c r="DB750" s="1479">
        <f t="shared" si="1144"/>
        <v>0</v>
      </c>
      <c r="DC750" s="346">
        <f t="shared" si="1144"/>
        <v>0</v>
      </c>
      <c r="DD750" s="346">
        <f t="shared" si="1144"/>
        <v>0</v>
      </c>
      <c r="DE750" s="346">
        <f t="shared" si="1144"/>
        <v>0</v>
      </c>
      <c r="DF750" s="346">
        <f t="shared" si="1144"/>
        <v>0</v>
      </c>
      <c r="DG750" s="346">
        <f t="shared" si="1144"/>
        <v>0</v>
      </c>
      <c r="DH750" s="346">
        <f t="shared" si="1144"/>
        <v>0</v>
      </c>
      <c r="DI750" s="346">
        <f t="shared" si="1144"/>
        <v>0</v>
      </c>
      <c r="DJ750" s="346">
        <f t="shared" si="1144"/>
        <v>0</v>
      </c>
      <c r="DK750" s="346">
        <f t="shared" ref="DK750:EP750" si="1145">DK384</f>
        <v>0</v>
      </c>
      <c r="DL750" s="346">
        <f t="shared" si="1145"/>
        <v>0</v>
      </c>
      <c r="DM750" s="346">
        <f t="shared" si="1145"/>
        <v>0</v>
      </c>
      <c r="DN750" s="348">
        <f t="shared" si="1145"/>
        <v>0</v>
      </c>
      <c r="DO750" s="346">
        <f t="shared" si="1145"/>
        <v>0</v>
      </c>
      <c r="DP750" s="346">
        <f t="shared" si="1145"/>
        <v>0</v>
      </c>
      <c r="DQ750" s="346">
        <f t="shared" si="1145"/>
        <v>0</v>
      </c>
      <c r="DR750" s="346">
        <f t="shared" si="1145"/>
        <v>0</v>
      </c>
      <c r="DS750" s="346">
        <f t="shared" si="1145"/>
        <v>0</v>
      </c>
      <c r="DT750" s="346">
        <f t="shared" si="1145"/>
        <v>0</v>
      </c>
      <c r="DU750" s="346">
        <f t="shared" si="1145"/>
        <v>0</v>
      </c>
      <c r="DV750" s="346">
        <f t="shared" si="1145"/>
        <v>0</v>
      </c>
      <c r="DW750" s="346">
        <f t="shared" si="1145"/>
        <v>0</v>
      </c>
      <c r="DX750" s="346">
        <f t="shared" si="1145"/>
        <v>0</v>
      </c>
      <c r="DY750" s="346">
        <f t="shared" si="1145"/>
        <v>0</v>
      </c>
      <c r="DZ750" s="348">
        <f t="shared" si="1145"/>
        <v>0</v>
      </c>
      <c r="EA750" s="346">
        <f t="shared" si="1145"/>
        <v>0</v>
      </c>
      <c r="EB750" s="346">
        <f t="shared" si="1145"/>
        <v>0</v>
      </c>
      <c r="EC750" s="346">
        <f t="shared" si="1145"/>
        <v>0</v>
      </c>
      <c r="ED750" s="346">
        <f t="shared" si="1145"/>
        <v>0</v>
      </c>
      <c r="EE750" s="346">
        <f t="shared" si="1145"/>
        <v>0</v>
      </c>
      <c r="EF750" s="346">
        <f t="shared" si="1145"/>
        <v>0</v>
      </c>
      <c r="EG750" s="346">
        <f t="shared" si="1145"/>
        <v>0</v>
      </c>
      <c r="EH750" s="346">
        <f t="shared" si="1145"/>
        <v>0</v>
      </c>
      <c r="EI750" s="346">
        <f t="shared" si="1145"/>
        <v>0</v>
      </c>
      <c r="EJ750" s="346">
        <f t="shared" si="1145"/>
        <v>0</v>
      </c>
      <c r="EK750" s="346">
        <f t="shared" si="1145"/>
        <v>0</v>
      </c>
      <c r="EL750" s="348">
        <f t="shared" si="1145"/>
        <v>0</v>
      </c>
      <c r="EM750" s="346">
        <f t="shared" si="1145"/>
        <v>0</v>
      </c>
      <c r="EN750" s="346">
        <f t="shared" si="1145"/>
        <v>0</v>
      </c>
      <c r="EO750" s="346">
        <f t="shared" si="1145"/>
        <v>0</v>
      </c>
      <c r="EP750" s="346">
        <f t="shared" si="1145"/>
        <v>0</v>
      </c>
      <c r="EQ750" s="346">
        <f t="shared" ref="EQ750:FP750" si="1146">EQ384</f>
        <v>0</v>
      </c>
      <c r="ER750" s="346">
        <f t="shared" si="1146"/>
        <v>0</v>
      </c>
      <c r="ES750" s="346">
        <f t="shared" si="1146"/>
        <v>0</v>
      </c>
      <c r="ET750" s="346">
        <f t="shared" si="1146"/>
        <v>0</v>
      </c>
      <c r="EU750" s="346">
        <f t="shared" si="1146"/>
        <v>0</v>
      </c>
      <c r="EV750" s="346">
        <f t="shared" si="1146"/>
        <v>0</v>
      </c>
      <c r="EW750" s="346">
        <f t="shared" si="1146"/>
        <v>0</v>
      </c>
      <c r="EX750" s="348">
        <f t="shared" si="1146"/>
        <v>0</v>
      </c>
      <c r="EY750" s="346">
        <f t="shared" si="1146"/>
        <v>0</v>
      </c>
      <c r="EZ750" s="346">
        <f t="shared" si="1146"/>
        <v>0</v>
      </c>
      <c r="FA750" s="346">
        <f t="shared" si="1146"/>
        <v>0</v>
      </c>
      <c r="FB750" s="346">
        <f t="shared" si="1146"/>
        <v>0</v>
      </c>
      <c r="FC750" s="346">
        <f t="shared" si="1146"/>
        <v>0</v>
      </c>
      <c r="FD750" s="346">
        <f t="shared" si="1146"/>
        <v>0</v>
      </c>
      <c r="FE750" s="346">
        <f t="shared" si="1146"/>
        <v>0</v>
      </c>
      <c r="FF750" s="346">
        <f t="shared" si="1146"/>
        <v>0</v>
      </c>
      <c r="FG750" s="346">
        <f t="shared" si="1146"/>
        <v>0</v>
      </c>
      <c r="FH750" s="346">
        <f t="shared" si="1146"/>
        <v>0</v>
      </c>
      <c r="FI750" s="346">
        <f t="shared" si="1146"/>
        <v>0</v>
      </c>
      <c r="FJ750" s="348">
        <f t="shared" si="1146"/>
        <v>0</v>
      </c>
      <c r="FK750" s="346">
        <f t="shared" si="1146"/>
        <v>0</v>
      </c>
      <c r="FL750" s="346">
        <f t="shared" si="1146"/>
        <v>0</v>
      </c>
      <c r="FM750" s="346">
        <f t="shared" si="1146"/>
        <v>0</v>
      </c>
      <c r="FN750" s="346">
        <f t="shared" si="1146"/>
        <v>0</v>
      </c>
      <c r="FO750" s="346">
        <f t="shared" si="1146"/>
        <v>0</v>
      </c>
      <c r="FP750" s="346">
        <f t="shared" si="1146"/>
        <v>0</v>
      </c>
      <c r="FQ750" s="346">
        <f t="shared" si="1141"/>
        <v>0</v>
      </c>
      <c r="FR750" s="346">
        <f t="shared" si="1141"/>
        <v>0</v>
      </c>
      <c r="FS750" s="346">
        <f t="shared" si="1141"/>
        <v>0</v>
      </c>
      <c r="FT750" s="346">
        <f t="shared" si="1141"/>
        <v>0</v>
      </c>
      <c r="FU750" s="346">
        <f t="shared" si="1141"/>
        <v>0</v>
      </c>
      <c r="FV750" s="346">
        <f t="shared" si="1141"/>
        <v>0</v>
      </c>
      <c r="FW750" s="346">
        <v>0</v>
      </c>
      <c r="FX750" s="346">
        <v>0</v>
      </c>
      <c r="FY750" s="346">
        <v>0</v>
      </c>
      <c r="FZ750" s="346">
        <v>0</v>
      </c>
      <c r="GA750" s="346">
        <v>0</v>
      </c>
      <c r="GB750" s="346">
        <v>0</v>
      </c>
      <c r="GC750" s="346">
        <v>0</v>
      </c>
      <c r="GD750" s="346">
        <v>0</v>
      </c>
      <c r="GE750" s="346">
        <v>0</v>
      </c>
      <c r="GF750" s="346">
        <v>0</v>
      </c>
      <c r="GG750" s="346">
        <v>0</v>
      </c>
      <c r="GH750" s="346">
        <v>0</v>
      </c>
      <c r="GI750" s="346">
        <v>0</v>
      </c>
      <c r="GJ750" s="346">
        <v>0</v>
      </c>
      <c r="GK750" s="346">
        <v>0</v>
      </c>
      <c r="GL750" s="346">
        <v>0</v>
      </c>
      <c r="GM750" s="346">
        <v>0</v>
      </c>
      <c r="GN750" s="346">
        <v>0</v>
      </c>
      <c r="GO750" s="346">
        <v>0</v>
      </c>
      <c r="GP750" s="346">
        <v>0</v>
      </c>
      <c r="GQ750" s="346">
        <v>0</v>
      </c>
      <c r="GR750" s="346">
        <v>0</v>
      </c>
      <c r="GS750" s="346">
        <v>0</v>
      </c>
      <c r="GT750" s="346">
        <v>0</v>
      </c>
      <c r="GU750" s="346">
        <v>0</v>
      </c>
      <c r="GV750" s="346">
        <v>0</v>
      </c>
      <c r="GW750" s="346">
        <v>0</v>
      </c>
      <c r="GX750" s="346">
        <v>0</v>
      </c>
      <c r="GY750" s="346">
        <v>0</v>
      </c>
      <c r="GZ750" s="346">
        <v>0</v>
      </c>
      <c r="HA750" s="346">
        <v>0</v>
      </c>
      <c r="HB750" s="346">
        <v>0</v>
      </c>
      <c r="HC750" s="346">
        <v>0</v>
      </c>
      <c r="HD750" s="346">
        <v>0</v>
      </c>
      <c r="HE750" s="346">
        <v>0</v>
      </c>
      <c r="HF750" s="346">
        <v>0</v>
      </c>
      <c r="HG750" s="346">
        <f>HG384</f>
        <v>52.070578646999998</v>
      </c>
      <c r="HH750" s="346">
        <f t="shared" ref="HH750:HL751" si="1147">HH384</f>
        <v>0</v>
      </c>
      <c r="HI750" s="346">
        <f t="shared" si="1147"/>
        <v>0</v>
      </c>
      <c r="HJ750" s="346">
        <f t="shared" si="1147"/>
        <v>0</v>
      </c>
      <c r="HK750" s="346">
        <f t="shared" si="1147"/>
        <v>0</v>
      </c>
      <c r="HL750" s="346">
        <f t="shared" si="1147"/>
        <v>0</v>
      </c>
      <c r="HM750" s="346"/>
      <c r="HN750" s="349"/>
      <c r="HO750" s="1439" t="s">
        <v>538</v>
      </c>
      <c r="HP750" s="307">
        <f>SUM(CE750:CJ750)</f>
        <v>0</v>
      </c>
      <c r="HQ750" s="302">
        <f>SUM(CK750:CP750)</f>
        <v>0</v>
      </c>
      <c r="HR750" s="346">
        <f>HP750+HQ750</f>
        <v>0</v>
      </c>
      <c r="HS750" s="302">
        <f>SUM(CQ750:CV750)</f>
        <v>0</v>
      </c>
      <c r="HT750" s="302">
        <f>SUM(CW750:DB750)</f>
        <v>0</v>
      </c>
      <c r="HU750" s="346">
        <f>HS750+HT750</f>
        <v>0</v>
      </c>
      <c r="HV750" s="307">
        <f>SUM(DC750:DH750)</f>
        <v>0</v>
      </c>
      <c r="HW750" s="302">
        <f>SUM(DI750:DN750)</f>
        <v>0</v>
      </c>
      <c r="HX750" s="346">
        <f>HV750+HW750</f>
        <v>0</v>
      </c>
      <c r="HY750" s="350">
        <f>SUM(DO750:DT750)</f>
        <v>0</v>
      </c>
      <c r="HZ750" s="302">
        <f>SUM(DU750:DZ750)</f>
        <v>0</v>
      </c>
      <c r="IA750" s="346">
        <f>HY750+HZ750</f>
        <v>0</v>
      </c>
      <c r="IB750" s="302">
        <f>SUM(EA750:EF750)</f>
        <v>0</v>
      </c>
      <c r="IC750" s="302">
        <f>SUM(EG750:EL750)</f>
        <v>0</v>
      </c>
      <c r="ID750" s="346">
        <f>IB750+IC750</f>
        <v>0</v>
      </c>
      <c r="IE750" s="350">
        <f>SUM(EM750:ER750)</f>
        <v>0</v>
      </c>
      <c r="IF750" s="350">
        <f>SUM(ES750:EX750)</f>
        <v>0</v>
      </c>
      <c r="IG750" s="346">
        <f>IE750+IF750</f>
        <v>0</v>
      </c>
      <c r="IH750" s="350">
        <f>SUM(EY750:FD750)</f>
        <v>0</v>
      </c>
      <c r="II750" s="350">
        <f>SUM(FE750:FJ750)</f>
        <v>0</v>
      </c>
      <c r="IJ750" s="346">
        <f>IH750+II750</f>
        <v>0</v>
      </c>
      <c r="IK750" s="350">
        <f t="shared" si="1143"/>
        <v>0</v>
      </c>
      <c r="IL750" s="350">
        <f t="shared" si="993"/>
        <v>0</v>
      </c>
      <c r="IM750" s="346">
        <f t="shared" si="1080"/>
        <v>0</v>
      </c>
      <c r="IN750" s="350">
        <f t="shared" si="1052"/>
        <v>0</v>
      </c>
      <c r="IO750" s="350">
        <f t="shared" si="1053"/>
        <v>0</v>
      </c>
      <c r="IP750" s="346">
        <f t="shared" si="1066"/>
        <v>0</v>
      </c>
      <c r="IQ750" s="350">
        <f t="shared" si="1054"/>
        <v>0</v>
      </c>
      <c r="IR750" s="350">
        <f t="shared" si="1055"/>
        <v>0</v>
      </c>
      <c r="IS750" s="346">
        <f t="shared" si="1067"/>
        <v>0</v>
      </c>
      <c r="IT750" s="350">
        <f>SUM(GU750:GZ750)</f>
        <v>0</v>
      </c>
      <c r="IU750" s="350">
        <f t="shared" si="986"/>
        <v>0</v>
      </c>
      <c r="IV750" s="346">
        <f t="shared" si="1020"/>
        <v>0</v>
      </c>
      <c r="IW750" s="350">
        <f t="shared" si="1081"/>
        <v>52.070578646999998</v>
      </c>
      <c r="IX750" s="350">
        <f t="shared" si="1069"/>
        <v>0</v>
      </c>
      <c r="IY750" s="346">
        <f>FISC!AJ1072</f>
        <v>52.070578646999998</v>
      </c>
      <c r="IZ750" s="350">
        <f t="shared" si="1133"/>
        <v>0</v>
      </c>
      <c r="JA750" s="302">
        <f t="shared" si="1119"/>
        <v>0</v>
      </c>
      <c r="JB750" s="346">
        <f>FISC!AK1072</f>
        <v>0</v>
      </c>
      <c r="JC750" s="350">
        <f t="shared" si="1134"/>
        <v>0</v>
      </c>
      <c r="JD750" s="302">
        <f t="shared" si="1120"/>
        <v>0</v>
      </c>
      <c r="JE750" s="346">
        <f>FISC!AL1072</f>
        <v>0</v>
      </c>
      <c r="JF750" s="350">
        <f t="shared" si="1135"/>
        <v>0</v>
      </c>
      <c r="JG750" s="302">
        <f t="shared" si="1121"/>
        <v>0</v>
      </c>
      <c r="JH750" s="346">
        <f>FISC!AM1072</f>
        <v>0</v>
      </c>
      <c r="JI750" s="350">
        <f t="shared" si="1136"/>
        <v>0</v>
      </c>
      <c r="JJ750" s="302">
        <f t="shared" si="1122"/>
        <v>0</v>
      </c>
      <c r="JK750" s="346">
        <f>FISC!AN1072</f>
        <v>0</v>
      </c>
      <c r="JL750" s="350">
        <f t="shared" si="1137"/>
        <v>0</v>
      </c>
      <c r="JM750" s="302">
        <f t="shared" si="1123"/>
        <v>0</v>
      </c>
      <c r="JN750" s="346">
        <f>FISC!AO1072</f>
        <v>0</v>
      </c>
      <c r="KI750" s="349"/>
      <c r="KJ750" s="350"/>
    </row>
    <row r="751" spans="1:296" hidden="1" outlineLevel="1">
      <c r="A751" s="302"/>
      <c r="D751" s="1439" t="s">
        <v>539</v>
      </c>
      <c r="E751" s="346"/>
      <c r="F751" s="346"/>
      <c r="G751" s="346"/>
      <c r="H751" s="346"/>
      <c r="I751" s="346"/>
      <c r="J751" s="346"/>
      <c r="K751" s="346"/>
      <c r="L751" s="346"/>
      <c r="M751" s="346"/>
      <c r="N751" s="346"/>
      <c r="O751" s="346"/>
      <c r="P751" s="346"/>
      <c r="Q751" s="346"/>
      <c r="R751" s="346"/>
      <c r="S751" s="346"/>
      <c r="T751" s="346"/>
      <c r="U751" s="346"/>
      <c r="V751" s="346"/>
      <c r="W751" s="346"/>
      <c r="X751" s="346"/>
      <c r="Y751" s="346"/>
      <c r="Z751" s="346"/>
      <c r="AA751" s="346"/>
      <c r="AB751" s="346"/>
      <c r="AC751" s="346"/>
      <c r="AD751" s="346"/>
      <c r="AE751" s="346"/>
      <c r="AF751" s="346"/>
      <c r="AG751" s="346"/>
      <c r="AH751" s="346"/>
      <c r="AI751" s="346"/>
      <c r="AJ751" s="346"/>
      <c r="AK751" s="346"/>
      <c r="AL751" s="346"/>
      <c r="AM751" s="346"/>
      <c r="AN751" s="346"/>
      <c r="AO751" s="346"/>
      <c r="AP751" s="346"/>
      <c r="AQ751" s="346"/>
      <c r="AR751" s="346"/>
      <c r="AS751" s="346"/>
      <c r="AT751" s="346"/>
      <c r="AU751" s="346"/>
      <c r="AV751" s="346"/>
      <c r="AW751" s="346"/>
      <c r="AX751" s="346"/>
      <c r="AY751" s="346"/>
      <c r="AZ751" s="346"/>
      <c r="BA751" s="346"/>
      <c r="BB751" s="346"/>
      <c r="BC751" s="346"/>
      <c r="BD751" s="346"/>
      <c r="BE751" s="346"/>
      <c r="BF751" s="346"/>
      <c r="BG751" s="346"/>
      <c r="BH751" s="346"/>
      <c r="BI751" s="346"/>
      <c r="BJ751" s="346"/>
      <c r="BK751" s="346"/>
      <c r="BL751" s="346"/>
      <c r="BM751" s="346"/>
      <c r="BN751" s="346"/>
      <c r="BO751" s="346"/>
      <c r="BP751" s="346"/>
      <c r="BQ751" s="346"/>
      <c r="BR751" s="346"/>
      <c r="BS751" s="346"/>
      <c r="BT751" s="346"/>
      <c r="BU751" s="346"/>
      <c r="BV751" s="346"/>
      <c r="BW751" s="346"/>
      <c r="BX751" s="346"/>
      <c r="BY751" s="346"/>
      <c r="BZ751" s="346"/>
      <c r="CA751" s="346"/>
      <c r="CB751" s="346"/>
      <c r="CC751" s="346"/>
      <c r="CD751" s="352"/>
      <c r="CE751" s="346">
        <f t="shared" ref="CE751:DJ751" si="1148">CE385</f>
        <v>0</v>
      </c>
      <c r="CF751" s="346">
        <f t="shared" si="1148"/>
        <v>0</v>
      </c>
      <c r="CG751" s="346">
        <f t="shared" si="1148"/>
        <v>0</v>
      </c>
      <c r="CH751" s="346">
        <f t="shared" si="1148"/>
        <v>0</v>
      </c>
      <c r="CI751" s="346">
        <f t="shared" si="1148"/>
        <v>0</v>
      </c>
      <c r="CJ751" s="346">
        <f t="shared" si="1148"/>
        <v>0</v>
      </c>
      <c r="CK751" s="346">
        <f t="shared" si="1148"/>
        <v>0</v>
      </c>
      <c r="CL751" s="346">
        <f t="shared" si="1148"/>
        <v>0</v>
      </c>
      <c r="CM751" s="346">
        <f t="shared" si="1148"/>
        <v>0</v>
      </c>
      <c r="CN751" s="346">
        <f t="shared" si="1148"/>
        <v>0</v>
      </c>
      <c r="CO751" s="346">
        <f t="shared" si="1148"/>
        <v>0</v>
      </c>
      <c r="CP751" s="348">
        <f t="shared" si="1148"/>
        <v>0</v>
      </c>
      <c r="CQ751" s="346">
        <f t="shared" si="1148"/>
        <v>0</v>
      </c>
      <c r="CR751" s="346">
        <f t="shared" si="1148"/>
        <v>0</v>
      </c>
      <c r="CS751" s="346">
        <f t="shared" si="1148"/>
        <v>0</v>
      </c>
      <c r="CT751" s="346">
        <f t="shared" si="1148"/>
        <v>0</v>
      </c>
      <c r="CU751" s="346">
        <f t="shared" si="1148"/>
        <v>0</v>
      </c>
      <c r="CV751" s="346">
        <f t="shared" si="1148"/>
        <v>0</v>
      </c>
      <c r="CW751" s="346">
        <f t="shared" si="1148"/>
        <v>0</v>
      </c>
      <c r="CX751" s="346">
        <f t="shared" si="1148"/>
        <v>0</v>
      </c>
      <c r="CY751" s="346">
        <f t="shared" si="1148"/>
        <v>0</v>
      </c>
      <c r="CZ751" s="346">
        <f t="shared" si="1148"/>
        <v>0</v>
      </c>
      <c r="DA751" s="346">
        <f t="shared" si="1148"/>
        <v>0</v>
      </c>
      <c r="DB751" s="1479">
        <f t="shared" si="1148"/>
        <v>0</v>
      </c>
      <c r="DC751" s="346">
        <f t="shared" si="1148"/>
        <v>0</v>
      </c>
      <c r="DD751" s="346">
        <f t="shared" si="1148"/>
        <v>0</v>
      </c>
      <c r="DE751" s="346">
        <f t="shared" si="1148"/>
        <v>0</v>
      </c>
      <c r="DF751" s="346">
        <f t="shared" si="1148"/>
        <v>0</v>
      </c>
      <c r="DG751" s="346">
        <f t="shared" si="1148"/>
        <v>0</v>
      </c>
      <c r="DH751" s="346">
        <f t="shared" si="1148"/>
        <v>0</v>
      </c>
      <c r="DI751" s="346">
        <f t="shared" si="1148"/>
        <v>0</v>
      </c>
      <c r="DJ751" s="346">
        <f t="shared" si="1148"/>
        <v>0</v>
      </c>
      <c r="DK751" s="346">
        <f t="shared" ref="DK751:EP751" si="1149">DK385</f>
        <v>0</v>
      </c>
      <c r="DL751" s="346">
        <f t="shared" si="1149"/>
        <v>0</v>
      </c>
      <c r="DM751" s="346">
        <f t="shared" si="1149"/>
        <v>0</v>
      </c>
      <c r="DN751" s="348">
        <f t="shared" si="1149"/>
        <v>0</v>
      </c>
      <c r="DO751" s="346">
        <f t="shared" si="1149"/>
        <v>0</v>
      </c>
      <c r="DP751" s="346">
        <f t="shared" si="1149"/>
        <v>0</v>
      </c>
      <c r="DQ751" s="346">
        <f t="shared" si="1149"/>
        <v>0</v>
      </c>
      <c r="DR751" s="346">
        <f t="shared" si="1149"/>
        <v>0</v>
      </c>
      <c r="DS751" s="346">
        <f t="shared" si="1149"/>
        <v>0</v>
      </c>
      <c r="DT751" s="346">
        <f t="shared" si="1149"/>
        <v>0</v>
      </c>
      <c r="DU751" s="346">
        <f t="shared" si="1149"/>
        <v>0</v>
      </c>
      <c r="DV751" s="346">
        <f t="shared" si="1149"/>
        <v>0</v>
      </c>
      <c r="DW751" s="346">
        <f t="shared" si="1149"/>
        <v>0</v>
      </c>
      <c r="DX751" s="346">
        <f t="shared" si="1149"/>
        <v>0</v>
      </c>
      <c r="DY751" s="346">
        <f t="shared" si="1149"/>
        <v>0</v>
      </c>
      <c r="DZ751" s="348">
        <f t="shared" si="1149"/>
        <v>0</v>
      </c>
      <c r="EA751" s="346">
        <f t="shared" si="1149"/>
        <v>0</v>
      </c>
      <c r="EB751" s="346">
        <f t="shared" si="1149"/>
        <v>0</v>
      </c>
      <c r="EC751" s="346">
        <f t="shared" si="1149"/>
        <v>0</v>
      </c>
      <c r="ED751" s="346">
        <f t="shared" si="1149"/>
        <v>0</v>
      </c>
      <c r="EE751" s="346">
        <f t="shared" si="1149"/>
        <v>0</v>
      </c>
      <c r="EF751" s="346">
        <f t="shared" si="1149"/>
        <v>0</v>
      </c>
      <c r="EG751" s="346">
        <f t="shared" si="1149"/>
        <v>0</v>
      </c>
      <c r="EH751" s="346">
        <f t="shared" si="1149"/>
        <v>0</v>
      </c>
      <c r="EI751" s="346">
        <f t="shared" si="1149"/>
        <v>0</v>
      </c>
      <c r="EJ751" s="346">
        <f t="shared" si="1149"/>
        <v>0</v>
      </c>
      <c r="EK751" s="346">
        <f t="shared" si="1149"/>
        <v>0</v>
      </c>
      <c r="EL751" s="348">
        <f t="shared" si="1149"/>
        <v>0</v>
      </c>
      <c r="EM751" s="346">
        <f t="shared" si="1149"/>
        <v>0</v>
      </c>
      <c r="EN751" s="346">
        <f t="shared" si="1149"/>
        <v>0</v>
      </c>
      <c r="EO751" s="346">
        <f t="shared" si="1149"/>
        <v>0</v>
      </c>
      <c r="EP751" s="346">
        <f t="shared" si="1149"/>
        <v>0</v>
      </c>
      <c r="EQ751" s="346">
        <f t="shared" ref="EQ751:FP751" si="1150">EQ385</f>
        <v>0</v>
      </c>
      <c r="ER751" s="346">
        <f t="shared" si="1150"/>
        <v>0</v>
      </c>
      <c r="ES751" s="346">
        <f t="shared" si="1150"/>
        <v>0</v>
      </c>
      <c r="ET751" s="346">
        <f t="shared" si="1150"/>
        <v>0</v>
      </c>
      <c r="EU751" s="346">
        <f t="shared" si="1150"/>
        <v>0</v>
      </c>
      <c r="EV751" s="346">
        <f t="shared" si="1150"/>
        <v>0</v>
      </c>
      <c r="EW751" s="346">
        <f t="shared" si="1150"/>
        <v>0</v>
      </c>
      <c r="EX751" s="348">
        <f t="shared" si="1150"/>
        <v>0</v>
      </c>
      <c r="EY751" s="346">
        <f t="shared" si="1150"/>
        <v>0</v>
      </c>
      <c r="EZ751" s="346">
        <f t="shared" si="1150"/>
        <v>0</v>
      </c>
      <c r="FA751" s="346">
        <f t="shared" si="1150"/>
        <v>0</v>
      </c>
      <c r="FB751" s="346">
        <f t="shared" si="1150"/>
        <v>0</v>
      </c>
      <c r="FC751" s="346">
        <f t="shared" si="1150"/>
        <v>0</v>
      </c>
      <c r="FD751" s="346">
        <f t="shared" si="1150"/>
        <v>0</v>
      </c>
      <c r="FE751" s="346">
        <f t="shared" si="1150"/>
        <v>0</v>
      </c>
      <c r="FF751" s="346">
        <f t="shared" si="1150"/>
        <v>0</v>
      </c>
      <c r="FG751" s="346">
        <f t="shared" si="1150"/>
        <v>0</v>
      </c>
      <c r="FH751" s="346">
        <f t="shared" si="1150"/>
        <v>0</v>
      </c>
      <c r="FI751" s="346">
        <f t="shared" si="1150"/>
        <v>0</v>
      </c>
      <c r="FJ751" s="348">
        <f t="shared" si="1150"/>
        <v>0</v>
      </c>
      <c r="FK751" s="346">
        <f t="shared" si="1150"/>
        <v>0</v>
      </c>
      <c r="FL751" s="346">
        <f t="shared" si="1150"/>
        <v>0</v>
      </c>
      <c r="FM751" s="346">
        <f t="shared" si="1150"/>
        <v>0</v>
      </c>
      <c r="FN751" s="346">
        <f t="shared" si="1150"/>
        <v>16.209857913474771</v>
      </c>
      <c r="FO751" s="346">
        <f t="shared" si="1150"/>
        <v>0</v>
      </c>
      <c r="FP751" s="346">
        <f t="shared" si="1150"/>
        <v>0</v>
      </c>
      <c r="FQ751" s="346">
        <f t="shared" si="1141"/>
        <v>0</v>
      </c>
      <c r="FR751" s="346">
        <f t="shared" si="1141"/>
        <v>0</v>
      </c>
      <c r="FS751" s="346">
        <f t="shared" si="1141"/>
        <v>0</v>
      </c>
      <c r="FT751" s="346">
        <f t="shared" si="1141"/>
        <v>19.094966261</v>
      </c>
      <c r="FU751" s="346">
        <f t="shared" si="1141"/>
        <v>0</v>
      </c>
      <c r="FV751" s="346">
        <f t="shared" si="1141"/>
        <v>0</v>
      </c>
      <c r="FW751" s="346">
        <v>0</v>
      </c>
      <c r="FX751" s="346">
        <v>0</v>
      </c>
      <c r="FY751" s="346">
        <v>0</v>
      </c>
      <c r="FZ751" s="346">
        <v>11.416539758000001</v>
      </c>
      <c r="GA751" s="346">
        <v>0</v>
      </c>
      <c r="GB751" s="346">
        <v>0</v>
      </c>
      <c r="GC751" s="346">
        <v>11.069322662999999</v>
      </c>
      <c r="GD751" s="346">
        <v>0</v>
      </c>
      <c r="GE751" s="346">
        <v>0</v>
      </c>
      <c r="GF751" s="346">
        <v>0</v>
      </c>
      <c r="GG751" s="346">
        <v>0</v>
      </c>
      <c r="GH751" s="346">
        <v>0</v>
      </c>
      <c r="GI751" s="346">
        <v>0</v>
      </c>
      <c r="GJ751" s="346">
        <v>0</v>
      </c>
      <c r="GK751" s="346">
        <v>0</v>
      </c>
      <c r="GL751" s="346">
        <v>0</v>
      </c>
      <c r="GM751" s="346">
        <v>0</v>
      </c>
      <c r="GN751" s="346">
        <v>0</v>
      </c>
      <c r="GO751" s="346">
        <v>0</v>
      </c>
      <c r="GP751" s="346">
        <v>0</v>
      </c>
      <c r="GQ751" s="346">
        <v>0</v>
      </c>
      <c r="GR751" s="346">
        <v>0</v>
      </c>
      <c r="GS751" s="346">
        <v>0</v>
      </c>
      <c r="GT751" s="346">
        <v>0</v>
      </c>
      <c r="GU751" s="346">
        <v>0</v>
      </c>
      <c r="GV751" s="346">
        <v>0</v>
      </c>
      <c r="GW751" s="346">
        <v>0</v>
      </c>
      <c r="GX751" s="346">
        <v>0</v>
      </c>
      <c r="GY751" s="346">
        <v>0</v>
      </c>
      <c r="GZ751" s="346">
        <v>0</v>
      </c>
      <c r="HA751" s="346">
        <v>0</v>
      </c>
      <c r="HB751" s="346">
        <v>0</v>
      </c>
      <c r="HC751" s="346">
        <v>0</v>
      </c>
      <c r="HD751" s="346">
        <v>0</v>
      </c>
      <c r="HE751" s="346">
        <v>0</v>
      </c>
      <c r="HF751" s="346">
        <v>0</v>
      </c>
      <c r="HG751" s="346">
        <f>HG385</f>
        <v>0</v>
      </c>
      <c r="HH751" s="346">
        <f t="shared" si="1147"/>
        <v>0</v>
      </c>
      <c r="HI751" s="346">
        <f t="shared" si="1147"/>
        <v>0</v>
      </c>
      <c r="HJ751" s="346">
        <f t="shared" si="1147"/>
        <v>0</v>
      </c>
      <c r="HK751" s="346">
        <f t="shared" si="1147"/>
        <v>0</v>
      </c>
      <c r="HL751" s="346">
        <f t="shared" si="1147"/>
        <v>0</v>
      </c>
      <c r="HM751" s="346"/>
      <c r="HN751" s="349"/>
      <c r="HO751" s="1439" t="s">
        <v>539</v>
      </c>
      <c r="HP751" s="307">
        <f>SUM(CE751:CJ751)</f>
        <v>0</v>
      </c>
      <c r="HQ751" s="302">
        <f>SUM(CK751:CP751)</f>
        <v>0</v>
      </c>
      <c r="HR751" s="346">
        <f>HP751+HQ751</f>
        <v>0</v>
      </c>
      <c r="HS751" s="302">
        <f>SUM(CQ751:CV751)</f>
        <v>0</v>
      </c>
      <c r="HT751" s="302">
        <f>SUM(CW751:DB751)</f>
        <v>0</v>
      </c>
      <c r="HU751" s="346">
        <f>HS751+HT751</f>
        <v>0</v>
      </c>
      <c r="HV751" s="307">
        <f>SUM(DC751:DH751)</f>
        <v>0</v>
      </c>
      <c r="HW751" s="302">
        <f>SUM(DI751:DN751)</f>
        <v>0</v>
      </c>
      <c r="HX751" s="346">
        <f>HV751+HW751</f>
        <v>0</v>
      </c>
      <c r="HY751" s="350">
        <f>SUM(DO751:DT751)</f>
        <v>0</v>
      </c>
      <c r="HZ751" s="302">
        <f>SUM(DU751:DZ751)</f>
        <v>0</v>
      </c>
      <c r="IA751" s="346">
        <f>HY751+HZ751</f>
        <v>0</v>
      </c>
      <c r="IB751" s="302">
        <f>SUM(EA751:EF751)</f>
        <v>0</v>
      </c>
      <c r="IC751" s="302">
        <f>SUM(EG751:EL751)</f>
        <v>0</v>
      </c>
      <c r="ID751" s="346">
        <f>IB751+IC751</f>
        <v>0</v>
      </c>
      <c r="IE751" s="350">
        <f>SUM(EM751:ER751)</f>
        <v>0</v>
      </c>
      <c r="IF751" s="350">
        <f>SUM(ES751:EX751)</f>
        <v>0</v>
      </c>
      <c r="IG751" s="346">
        <f>IE751+IF751</f>
        <v>0</v>
      </c>
      <c r="IH751" s="350">
        <f>SUM(EY751:FD751)</f>
        <v>0</v>
      </c>
      <c r="II751" s="350">
        <f>SUM(FE751:FJ751)</f>
        <v>0</v>
      </c>
      <c r="IJ751" s="346">
        <f>IH751+II751</f>
        <v>0</v>
      </c>
      <c r="IK751" s="350">
        <f t="shared" si="1143"/>
        <v>16.209857913474771</v>
      </c>
      <c r="IL751" s="350">
        <f t="shared" si="993"/>
        <v>19.094966261</v>
      </c>
      <c r="IM751" s="346">
        <f t="shared" si="1080"/>
        <v>35.304824174474774</v>
      </c>
      <c r="IN751" s="350">
        <f t="shared" si="1052"/>
        <v>11.416539758000001</v>
      </c>
      <c r="IO751" s="350">
        <f t="shared" si="1053"/>
        <v>11.069322662999999</v>
      </c>
      <c r="IP751" s="346">
        <f t="shared" si="1066"/>
        <v>22.485862421</v>
      </c>
      <c r="IQ751" s="350">
        <f t="shared" si="1054"/>
        <v>0</v>
      </c>
      <c r="IR751" s="350">
        <f t="shared" si="1055"/>
        <v>0</v>
      </c>
      <c r="IS751" s="346">
        <f t="shared" si="1067"/>
        <v>0</v>
      </c>
      <c r="IT751" s="350">
        <f>SUM(GU751:GZ751)</f>
        <v>0</v>
      </c>
      <c r="IU751" s="350">
        <f t="shared" si="986"/>
        <v>0</v>
      </c>
      <c r="IV751" s="346">
        <f t="shared" si="1020"/>
        <v>0</v>
      </c>
      <c r="IW751" s="350">
        <f t="shared" si="1081"/>
        <v>0</v>
      </c>
      <c r="IX751" s="350">
        <f t="shared" si="1069"/>
        <v>0</v>
      </c>
      <c r="IY751" s="346">
        <f>FISC!AJ1073</f>
        <v>0</v>
      </c>
      <c r="IZ751" s="350">
        <f t="shared" si="1133"/>
        <v>0</v>
      </c>
      <c r="JA751" s="302">
        <f t="shared" si="1119"/>
        <v>0</v>
      </c>
      <c r="JB751" s="346">
        <f>FISC!AK1073</f>
        <v>0</v>
      </c>
      <c r="JC751" s="350">
        <f t="shared" si="1134"/>
        <v>0</v>
      </c>
      <c r="JD751" s="302">
        <f t="shared" si="1120"/>
        <v>0</v>
      </c>
      <c r="JE751" s="346">
        <f>FISC!AL1073</f>
        <v>0</v>
      </c>
      <c r="JF751" s="350">
        <f t="shared" si="1135"/>
        <v>0</v>
      </c>
      <c r="JG751" s="302">
        <f t="shared" si="1121"/>
        <v>0</v>
      </c>
      <c r="JH751" s="346">
        <f>FISC!AM1073</f>
        <v>0</v>
      </c>
      <c r="JI751" s="350">
        <f t="shared" si="1136"/>
        <v>0</v>
      </c>
      <c r="JJ751" s="302">
        <f t="shared" si="1122"/>
        <v>0</v>
      </c>
      <c r="JK751" s="346">
        <f>FISC!AN1073</f>
        <v>0</v>
      </c>
      <c r="JL751" s="350">
        <f t="shared" si="1137"/>
        <v>0</v>
      </c>
      <c r="JM751" s="302">
        <f t="shared" si="1123"/>
        <v>0</v>
      </c>
      <c r="JN751" s="346">
        <f>FISC!AO1073</f>
        <v>0</v>
      </c>
      <c r="KI751" s="349"/>
      <c r="KJ751" s="350"/>
    </row>
    <row r="752" spans="1:296" hidden="1" outlineLevel="1">
      <c r="A752" s="302"/>
      <c r="D752" s="1638" t="s">
        <v>3188</v>
      </c>
      <c r="E752" s="346"/>
      <c r="F752" s="346"/>
      <c r="G752" s="346"/>
      <c r="H752" s="346"/>
      <c r="I752" s="346"/>
      <c r="J752" s="346"/>
      <c r="K752" s="346"/>
      <c r="L752" s="346"/>
      <c r="M752" s="346"/>
      <c r="N752" s="346"/>
      <c r="O752" s="346"/>
      <c r="P752" s="346"/>
      <c r="Q752" s="346"/>
      <c r="R752" s="346"/>
      <c r="S752" s="346"/>
      <c r="T752" s="346"/>
      <c r="U752" s="346"/>
      <c r="V752" s="346"/>
      <c r="W752" s="346"/>
      <c r="X752" s="346"/>
      <c r="Y752" s="346"/>
      <c r="Z752" s="346"/>
      <c r="AA752" s="346"/>
      <c r="AB752" s="346"/>
      <c r="AC752" s="346"/>
      <c r="AD752" s="346"/>
      <c r="AE752" s="346"/>
      <c r="AF752" s="346"/>
      <c r="AG752" s="346"/>
      <c r="AH752" s="346"/>
      <c r="AI752" s="346"/>
      <c r="AJ752" s="346"/>
      <c r="AK752" s="346"/>
      <c r="AL752" s="346"/>
      <c r="AM752" s="346"/>
      <c r="AN752" s="346"/>
      <c r="AO752" s="346"/>
      <c r="AP752" s="346"/>
      <c r="AQ752" s="346"/>
      <c r="AR752" s="346"/>
      <c r="AS752" s="346"/>
      <c r="AT752" s="346"/>
      <c r="AU752" s="346"/>
      <c r="AV752" s="346"/>
      <c r="AW752" s="346"/>
      <c r="AX752" s="346"/>
      <c r="AY752" s="346"/>
      <c r="AZ752" s="346"/>
      <c r="BA752" s="346"/>
      <c r="BB752" s="346"/>
      <c r="BC752" s="346"/>
      <c r="BD752" s="346"/>
      <c r="BE752" s="346"/>
      <c r="BF752" s="346"/>
      <c r="BG752" s="346"/>
      <c r="BH752" s="346"/>
      <c r="BI752" s="346"/>
      <c r="BJ752" s="346"/>
      <c r="BK752" s="346"/>
      <c r="BL752" s="346"/>
      <c r="BM752" s="346"/>
      <c r="BN752" s="346"/>
      <c r="BO752" s="346"/>
      <c r="BP752" s="346"/>
      <c r="BQ752" s="346"/>
      <c r="BR752" s="346"/>
      <c r="BS752" s="346"/>
      <c r="BT752" s="346"/>
      <c r="BU752" s="346"/>
      <c r="BV752" s="346"/>
      <c r="BW752" s="346"/>
      <c r="BX752" s="346"/>
      <c r="BY752" s="346"/>
      <c r="BZ752" s="346"/>
      <c r="CA752" s="346"/>
      <c r="CB752" s="346"/>
      <c r="CC752" s="346"/>
      <c r="CD752" s="352"/>
      <c r="CE752" s="346"/>
      <c r="CF752" s="346"/>
      <c r="CG752" s="346"/>
      <c r="CH752" s="346"/>
      <c r="CI752" s="346"/>
      <c r="CJ752" s="346"/>
      <c r="CK752" s="346"/>
      <c r="CL752" s="346"/>
      <c r="CM752" s="346"/>
      <c r="CN752" s="346"/>
      <c r="CO752" s="346"/>
      <c r="CP752" s="348"/>
      <c r="CQ752" s="346"/>
      <c r="CR752" s="346"/>
      <c r="CS752" s="346"/>
      <c r="CT752" s="346"/>
      <c r="CU752" s="346"/>
      <c r="CV752" s="346"/>
      <c r="CW752" s="346"/>
      <c r="CX752" s="346"/>
      <c r="CY752" s="346"/>
      <c r="CZ752" s="346"/>
      <c r="DA752" s="346"/>
      <c r="DB752" s="1479"/>
      <c r="DC752" s="346"/>
      <c r="DD752" s="346"/>
      <c r="DE752" s="346"/>
      <c r="DF752" s="346"/>
      <c r="DG752" s="346"/>
      <c r="DH752" s="346"/>
      <c r="DI752" s="346"/>
      <c r="DJ752" s="346"/>
      <c r="DK752" s="346"/>
      <c r="DL752" s="346"/>
      <c r="DM752" s="346"/>
      <c r="DN752" s="348"/>
      <c r="DO752" s="346"/>
      <c r="DP752" s="346"/>
      <c r="DQ752" s="346"/>
      <c r="DR752" s="346"/>
      <c r="DS752" s="346"/>
      <c r="DT752" s="346"/>
      <c r="DU752" s="346"/>
      <c r="DV752" s="346"/>
      <c r="DW752" s="346"/>
      <c r="DX752" s="346"/>
      <c r="DY752" s="346"/>
      <c r="DZ752" s="348"/>
      <c r="EA752" s="346"/>
      <c r="EB752" s="346"/>
      <c r="EC752" s="346"/>
      <c r="ED752" s="346"/>
      <c r="EE752" s="346"/>
      <c r="EF752" s="346"/>
      <c r="EG752" s="346"/>
      <c r="EH752" s="346"/>
      <c r="EI752" s="346"/>
      <c r="EJ752" s="346"/>
      <c r="EK752" s="346"/>
      <c r="EL752" s="348"/>
      <c r="EM752" s="346"/>
      <c r="EN752" s="346"/>
      <c r="EO752" s="346"/>
      <c r="EP752" s="346"/>
      <c r="EQ752" s="346"/>
      <c r="ER752" s="346"/>
      <c r="ES752" s="346"/>
      <c r="ET752" s="346"/>
      <c r="EU752" s="346"/>
      <c r="EV752" s="346"/>
      <c r="EW752" s="346"/>
      <c r="EX752" s="348"/>
      <c r="EY752" s="346"/>
      <c r="EZ752" s="346"/>
      <c r="FA752" s="346"/>
      <c r="FB752" s="346"/>
      <c r="FC752" s="346"/>
      <c r="FD752" s="346"/>
      <c r="FE752" s="346"/>
      <c r="FF752" s="346"/>
      <c r="FG752" s="346"/>
      <c r="FH752" s="346"/>
      <c r="FI752" s="346"/>
      <c r="FJ752" s="348"/>
      <c r="FK752" s="346"/>
      <c r="FL752" s="346"/>
      <c r="FM752" s="346"/>
      <c r="FN752" s="346"/>
      <c r="FO752" s="346"/>
      <c r="FP752" s="346"/>
      <c r="FQ752" s="346"/>
      <c r="FR752" s="346"/>
      <c r="FS752" s="346"/>
      <c r="FT752" s="346"/>
      <c r="FU752" s="346"/>
      <c r="FV752" s="346"/>
      <c r="FW752" s="346">
        <v>0</v>
      </c>
      <c r="FX752" s="346">
        <v>0</v>
      </c>
      <c r="FY752" s="346">
        <v>0</v>
      </c>
      <c r="FZ752" s="346">
        <v>11.416539758000001</v>
      </c>
      <c r="GA752" s="346">
        <v>0</v>
      </c>
      <c r="GB752" s="346">
        <v>0</v>
      </c>
      <c r="GC752" s="346">
        <v>11.069322662999999</v>
      </c>
      <c r="GD752" s="346">
        <v>0</v>
      </c>
      <c r="GE752" s="346">
        <v>0</v>
      </c>
      <c r="GF752" s="346">
        <v>0</v>
      </c>
      <c r="GG752" s="346">
        <v>0</v>
      </c>
      <c r="GH752" s="346">
        <v>0</v>
      </c>
      <c r="GI752" s="346">
        <v>0</v>
      </c>
      <c r="GJ752" s="346">
        <v>0</v>
      </c>
      <c r="GK752" s="346">
        <v>0</v>
      </c>
      <c r="GL752" s="346">
        <v>0</v>
      </c>
      <c r="GM752" s="346">
        <v>0</v>
      </c>
      <c r="GN752" s="346">
        <v>0</v>
      </c>
      <c r="GO752" s="346">
        <v>0</v>
      </c>
      <c r="GP752" s="346">
        <v>0</v>
      </c>
      <c r="GQ752" s="346">
        <v>0</v>
      </c>
      <c r="GR752" s="346">
        <v>0</v>
      </c>
      <c r="GS752" s="346">
        <v>0</v>
      </c>
      <c r="GT752" s="346">
        <v>0</v>
      </c>
      <c r="GU752" s="346">
        <v>0</v>
      </c>
      <c r="GV752" s="346">
        <v>0</v>
      </c>
      <c r="GW752" s="346">
        <v>0</v>
      </c>
      <c r="GX752" s="346">
        <v>0</v>
      </c>
      <c r="GY752" s="346">
        <v>0</v>
      </c>
      <c r="GZ752" s="346">
        <v>0</v>
      </c>
      <c r="HA752" s="346">
        <v>0</v>
      </c>
      <c r="HB752" s="346">
        <v>0</v>
      </c>
      <c r="HC752" s="346">
        <v>0</v>
      </c>
      <c r="HD752" s="346">
        <v>0</v>
      </c>
      <c r="HE752" s="346">
        <v>0</v>
      </c>
      <c r="HF752" s="346">
        <v>0</v>
      </c>
      <c r="HG752" s="346">
        <v>0</v>
      </c>
      <c r="HH752" s="346">
        <v>0</v>
      </c>
      <c r="HI752" s="346">
        <v>0</v>
      </c>
      <c r="HJ752" s="346">
        <v>0</v>
      </c>
      <c r="HK752" s="346">
        <v>0</v>
      </c>
      <c r="HL752" s="346">
        <v>0</v>
      </c>
      <c r="HM752" s="346"/>
      <c r="HN752" s="349"/>
      <c r="HO752" s="1638" t="s">
        <v>3188</v>
      </c>
      <c r="HP752" s="307"/>
      <c r="HR752" s="346"/>
      <c r="HU752" s="346"/>
      <c r="HV752" s="307"/>
      <c r="HX752" s="346"/>
      <c r="HY752" s="350"/>
      <c r="IA752" s="346"/>
      <c r="ID752" s="346"/>
      <c r="IE752" s="350"/>
      <c r="IF752" s="350"/>
      <c r="IG752" s="346"/>
      <c r="IH752" s="350"/>
      <c r="II752" s="350"/>
      <c r="IJ752" s="346"/>
      <c r="IK752" s="350">
        <f t="shared" si="1143"/>
        <v>0</v>
      </c>
      <c r="IL752" s="350">
        <f t="shared" si="993"/>
        <v>0</v>
      </c>
      <c r="IM752" s="346">
        <f t="shared" si="1080"/>
        <v>0</v>
      </c>
      <c r="IN752" s="350">
        <f t="shared" si="1052"/>
        <v>11.416539758000001</v>
      </c>
      <c r="IO752" s="350">
        <f t="shared" si="1053"/>
        <v>11.069322662999999</v>
      </c>
      <c r="IP752" s="346">
        <f t="shared" si="1066"/>
        <v>22.485862421</v>
      </c>
      <c r="IQ752" s="350">
        <f t="shared" si="1054"/>
        <v>0</v>
      </c>
      <c r="IR752" s="350">
        <f t="shared" si="1055"/>
        <v>0</v>
      </c>
      <c r="IS752" s="346">
        <f t="shared" si="1067"/>
        <v>0</v>
      </c>
      <c r="IT752" s="350">
        <f>SUM(GU752:GZ752)</f>
        <v>0</v>
      </c>
      <c r="IU752" s="350">
        <f t="shared" si="986"/>
        <v>0</v>
      </c>
      <c r="IV752" s="346">
        <f t="shared" si="1020"/>
        <v>0</v>
      </c>
      <c r="IW752" s="350">
        <f t="shared" si="1081"/>
        <v>0</v>
      </c>
      <c r="IX752" s="350">
        <f t="shared" si="1069"/>
        <v>0</v>
      </c>
      <c r="IY752" s="346">
        <f>FISC!AJ1074</f>
        <v>0</v>
      </c>
      <c r="IZ752" s="350">
        <f t="shared" si="1133"/>
        <v>0</v>
      </c>
      <c r="JA752" s="302">
        <f t="shared" si="1119"/>
        <v>0</v>
      </c>
      <c r="JB752" s="346">
        <f>FISC!AK1074</f>
        <v>0</v>
      </c>
      <c r="JC752" s="350">
        <f t="shared" si="1134"/>
        <v>0</v>
      </c>
      <c r="JD752" s="302">
        <f t="shared" si="1120"/>
        <v>0</v>
      </c>
      <c r="JE752" s="346">
        <f>FISC!AL1074</f>
        <v>0</v>
      </c>
      <c r="JF752" s="350">
        <f t="shared" si="1135"/>
        <v>0</v>
      </c>
      <c r="JG752" s="302">
        <f t="shared" si="1121"/>
        <v>0</v>
      </c>
      <c r="JH752" s="346">
        <f>FISC!AM1074</f>
        <v>0</v>
      </c>
      <c r="JI752" s="350">
        <f t="shared" si="1136"/>
        <v>0</v>
      </c>
      <c r="JJ752" s="302">
        <f t="shared" si="1122"/>
        <v>0</v>
      </c>
      <c r="JK752" s="346">
        <f>FISC!AN1074</f>
        <v>0</v>
      </c>
      <c r="JL752" s="350">
        <f t="shared" si="1137"/>
        <v>0</v>
      </c>
      <c r="JM752" s="302">
        <f t="shared" si="1123"/>
        <v>0</v>
      </c>
      <c r="JN752" s="346">
        <f>FISC!AO1074</f>
        <v>0</v>
      </c>
      <c r="KI752" s="349"/>
      <c r="KJ752" s="350"/>
    </row>
    <row r="753" spans="1:302" hidden="1" outlineLevel="1">
      <c r="A753" s="302"/>
      <c r="B753" s="117" t="s">
        <v>361</v>
      </c>
      <c r="D753" s="1720" t="s">
        <v>3231</v>
      </c>
      <c r="E753" s="346"/>
      <c r="F753" s="346"/>
      <c r="G753" s="346"/>
      <c r="H753" s="346"/>
      <c r="I753" s="346"/>
      <c r="J753" s="346"/>
      <c r="K753" s="346"/>
      <c r="L753" s="346"/>
      <c r="M753" s="346"/>
      <c r="N753" s="346"/>
      <c r="O753" s="346"/>
      <c r="P753" s="346"/>
      <c r="Q753" s="346"/>
      <c r="R753" s="346"/>
      <c r="S753" s="346"/>
      <c r="T753" s="346"/>
      <c r="U753" s="346"/>
      <c r="V753" s="346"/>
      <c r="W753" s="346"/>
      <c r="X753" s="346"/>
      <c r="Y753" s="346"/>
      <c r="Z753" s="346"/>
      <c r="AA753" s="346"/>
      <c r="AB753" s="346"/>
      <c r="AC753" s="346"/>
      <c r="AD753" s="346"/>
      <c r="AE753" s="346"/>
      <c r="AF753" s="346"/>
      <c r="AG753" s="346"/>
      <c r="AH753" s="346"/>
      <c r="AI753" s="346"/>
      <c r="AJ753" s="346"/>
      <c r="AK753" s="346"/>
      <c r="AL753" s="346"/>
      <c r="AM753" s="346"/>
      <c r="AN753" s="346"/>
      <c r="AO753" s="346">
        <v>0</v>
      </c>
      <c r="AP753" s="346">
        <v>0</v>
      </c>
      <c r="AQ753" s="346">
        <v>0</v>
      </c>
      <c r="AR753" s="346">
        <v>0</v>
      </c>
      <c r="AS753" s="346">
        <v>0</v>
      </c>
      <c r="AT753" s="346">
        <v>0</v>
      </c>
      <c r="AU753" s="346">
        <v>0</v>
      </c>
      <c r="AV753" s="346">
        <v>0</v>
      </c>
      <c r="AW753" s="346">
        <v>0</v>
      </c>
      <c r="AX753" s="346">
        <v>0</v>
      </c>
      <c r="AY753" s="346">
        <v>0</v>
      </c>
      <c r="AZ753" s="346">
        <v>0</v>
      </c>
      <c r="BA753" s="346">
        <v>0</v>
      </c>
      <c r="BB753" s="346">
        <v>0</v>
      </c>
      <c r="BC753" s="346">
        <v>0</v>
      </c>
      <c r="BD753" s="346">
        <v>0</v>
      </c>
      <c r="BE753" s="346">
        <v>0</v>
      </c>
      <c r="BF753" s="346">
        <v>0</v>
      </c>
      <c r="BG753" s="346">
        <v>0</v>
      </c>
      <c r="BH753" s="346">
        <v>0</v>
      </c>
      <c r="BI753" s="346">
        <v>0</v>
      </c>
      <c r="BJ753" s="346">
        <v>0</v>
      </c>
      <c r="BK753" s="346">
        <v>0</v>
      </c>
      <c r="BL753" s="346">
        <v>0</v>
      </c>
      <c r="BM753" s="346">
        <v>0</v>
      </c>
      <c r="BN753" s="346">
        <v>0</v>
      </c>
      <c r="BO753" s="346">
        <v>0</v>
      </c>
      <c r="BP753" s="346">
        <v>0</v>
      </c>
      <c r="BQ753" s="346">
        <v>0</v>
      </c>
      <c r="BR753" s="346">
        <v>0</v>
      </c>
      <c r="BS753" s="346">
        <v>7.4612237999999997E-2</v>
      </c>
      <c r="BT753" s="346">
        <v>0.123331123</v>
      </c>
      <c r="BU753" s="346">
        <v>0.295413857</v>
      </c>
      <c r="BV753" s="346">
        <v>0.21621225999999999</v>
      </c>
      <c r="BW753" s="346">
        <v>0.1184069</v>
      </c>
      <c r="BX753" s="346">
        <v>0.103630009</v>
      </c>
      <c r="BY753" s="346">
        <v>0.13136698599999999</v>
      </c>
      <c r="BZ753" s="346">
        <v>0.25603450999999999</v>
      </c>
      <c r="CA753" s="346">
        <v>0.55681501300000003</v>
      </c>
      <c r="CB753" s="346">
        <v>0.25404932600000002</v>
      </c>
      <c r="CC753" s="346">
        <v>0.49003181000000001</v>
      </c>
      <c r="CD753" s="352">
        <v>0</v>
      </c>
      <c r="CE753" s="346">
        <f t="shared" ref="CE753:DJ753" si="1151">CE386</f>
        <v>0.119299153</v>
      </c>
      <c r="CF753" s="346">
        <f t="shared" si="1151"/>
        <v>0.11347230699999999</v>
      </c>
      <c r="CG753" s="346">
        <f t="shared" si="1151"/>
        <v>7.2799304999999995E-2</v>
      </c>
      <c r="CH753" s="346">
        <f t="shared" si="1151"/>
        <v>0.107684892</v>
      </c>
      <c r="CI753" s="346">
        <f t="shared" si="1151"/>
        <v>0.662955144</v>
      </c>
      <c r="CJ753" s="346">
        <f t="shared" si="1151"/>
        <v>0.30941506800000002</v>
      </c>
      <c r="CK753" s="346">
        <f t="shared" si="1151"/>
        <v>6.2576163000000004E-2</v>
      </c>
      <c r="CL753" s="346">
        <f t="shared" si="1151"/>
        <v>0.303381807</v>
      </c>
      <c r="CM753" s="346">
        <f t="shared" si="1151"/>
        <v>0.36172429099999998</v>
      </c>
      <c r="CN753" s="346">
        <f t="shared" si="1151"/>
        <v>0.45200000000000001</v>
      </c>
      <c r="CO753" s="346">
        <f t="shared" si="1151"/>
        <v>0.48499999999999999</v>
      </c>
      <c r="CP753" s="348">
        <f t="shared" si="1151"/>
        <v>1.17</v>
      </c>
      <c r="CQ753" s="346">
        <f t="shared" si="1151"/>
        <v>5.8000000000000003E-2</v>
      </c>
      <c r="CR753" s="346">
        <f t="shared" si="1151"/>
        <v>4.2000000000000003E-2</v>
      </c>
      <c r="CS753" s="346">
        <f t="shared" si="1151"/>
        <v>1.1779999999999999</v>
      </c>
      <c r="CT753" s="346">
        <f t="shared" si="1151"/>
        <v>9.8000000000000004E-2</v>
      </c>
      <c r="CU753" s="346">
        <f t="shared" si="1151"/>
        <v>0.10100000000000001</v>
      </c>
      <c r="CV753" s="346">
        <f t="shared" si="1151"/>
        <v>0.372</v>
      </c>
      <c r="CW753" s="346">
        <f t="shared" si="1151"/>
        <v>0.36699999999999999</v>
      </c>
      <c r="CX753" s="346">
        <f t="shared" si="1151"/>
        <v>5.0000000000000001E-3</v>
      </c>
      <c r="CY753" s="346">
        <f t="shared" si="1151"/>
        <v>0.40400000000000003</v>
      </c>
      <c r="CZ753" s="346">
        <f t="shared" si="1151"/>
        <v>3.9E-2</v>
      </c>
      <c r="DA753" s="346">
        <f t="shared" si="1151"/>
        <v>0.46300000000000002</v>
      </c>
      <c r="DB753" s="1479">
        <f t="shared" si="1151"/>
        <v>1.9390000000000001</v>
      </c>
      <c r="DC753" s="346">
        <f t="shared" si="1151"/>
        <v>9.4E-2</v>
      </c>
      <c r="DD753" s="346">
        <f t="shared" si="1151"/>
        <v>0.30499999999999999</v>
      </c>
      <c r="DE753" s="346">
        <f t="shared" si="1151"/>
        <v>0.45400000000000001</v>
      </c>
      <c r="DF753" s="346">
        <f t="shared" si="1151"/>
        <v>0.52200000000000002</v>
      </c>
      <c r="DG753" s="346">
        <f t="shared" si="1151"/>
        <v>0.55400000000000005</v>
      </c>
      <c r="DH753" s="346">
        <f t="shared" si="1151"/>
        <v>0.48199999999999998</v>
      </c>
      <c r="DI753" s="346">
        <f t="shared" si="1151"/>
        <v>0.4</v>
      </c>
      <c r="DJ753" s="346">
        <f t="shared" si="1151"/>
        <v>2.3050000000000002</v>
      </c>
      <c r="DK753" s="346">
        <f t="shared" ref="DK753:EP753" si="1152">DK386</f>
        <v>0.2</v>
      </c>
      <c r="DL753" s="346">
        <f t="shared" si="1152"/>
        <v>0.13800000000000001</v>
      </c>
      <c r="DM753" s="346">
        <f t="shared" si="1152"/>
        <v>6.6000000000000003E-2</v>
      </c>
      <c r="DN753" s="348">
        <f t="shared" si="1152"/>
        <v>0.108</v>
      </c>
      <c r="DO753" s="346">
        <f t="shared" si="1152"/>
        <v>0</v>
      </c>
      <c r="DP753" s="346">
        <f t="shared" si="1152"/>
        <v>0</v>
      </c>
      <c r="DQ753" s="346">
        <f t="shared" si="1152"/>
        <v>0</v>
      </c>
      <c r="DR753" s="346">
        <f t="shared" si="1152"/>
        <v>0</v>
      </c>
      <c r="DS753" s="346">
        <f t="shared" si="1152"/>
        <v>0</v>
      </c>
      <c r="DT753" s="346">
        <f t="shared" si="1152"/>
        <v>0</v>
      </c>
      <c r="DU753" s="346">
        <f t="shared" si="1152"/>
        <v>0</v>
      </c>
      <c r="DV753" s="346">
        <f t="shared" si="1152"/>
        <v>0</v>
      </c>
      <c r="DW753" s="346">
        <f t="shared" si="1152"/>
        <v>0</v>
      </c>
      <c r="DX753" s="346">
        <f t="shared" si="1152"/>
        <v>0</v>
      </c>
      <c r="DY753" s="346">
        <f t="shared" si="1152"/>
        <v>0</v>
      </c>
      <c r="DZ753" s="348">
        <f t="shared" si="1152"/>
        <v>0</v>
      </c>
      <c r="EA753" s="346">
        <f t="shared" si="1152"/>
        <v>0</v>
      </c>
      <c r="EB753" s="346">
        <f t="shared" si="1152"/>
        <v>0</v>
      </c>
      <c r="EC753" s="346">
        <f t="shared" si="1152"/>
        <v>0</v>
      </c>
      <c r="ED753" s="346">
        <f t="shared" si="1152"/>
        <v>0</v>
      </c>
      <c r="EE753" s="346">
        <f t="shared" si="1152"/>
        <v>0</v>
      </c>
      <c r="EF753" s="346">
        <f t="shared" si="1152"/>
        <v>0</v>
      </c>
      <c r="EG753" s="346">
        <f t="shared" si="1152"/>
        <v>0</v>
      </c>
      <c r="EH753" s="346">
        <f t="shared" si="1152"/>
        <v>0</v>
      </c>
      <c r="EI753" s="346">
        <f t="shared" si="1152"/>
        <v>0</v>
      </c>
      <c r="EJ753" s="346">
        <f t="shared" si="1152"/>
        <v>0</v>
      </c>
      <c r="EK753" s="346">
        <f t="shared" si="1152"/>
        <v>0</v>
      </c>
      <c r="EL753" s="348">
        <f t="shared" si="1152"/>
        <v>0</v>
      </c>
      <c r="EM753" s="346">
        <f t="shared" si="1152"/>
        <v>0</v>
      </c>
      <c r="EN753" s="346">
        <f t="shared" si="1152"/>
        <v>0</v>
      </c>
      <c r="EO753" s="346">
        <f t="shared" si="1152"/>
        <v>0</v>
      </c>
      <c r="EP753" s="346">
        <f t="shared" si="1152"/>
        <v>0</v>
      </c>
      <c r="EQ753" s="346">
        <f t="shared" ref="EQ753:FP753" si="1153">EQ386</f>
        <v>0</v>
      </c>
      <c r="ER753" s="346">
        <f t="shared" si="1153"/>
        <v>0</v>
      </c>
      <c r="ES753" s="346">
        <f t="shared" si="1153"/>
        <v>0</v>
      </c>
      <c r="ET753" s="346">
        <f t="shared" si="1153"/>
        <v>0</v>
      </c>
      <c r="EU753" s="346">
        <f t="shared" si="1153"/>
        <v>0</v>
      </c>
      <c r="EV753" s="346">
        <f t="shared" si="1153"/>
        <v>0</v>
      </c>
      <c r="EW753" s="346">
        <f t="shared" si="1153"/>
        <v>0</v>
      </c>
      <c r="EX753" s="348">
        <f t="shared" si="1153"/>
        <v>0</v>
      </c>
      <c r="EY753" s="346">
        <f t="shared" si="1153"/>
        <v>0</v>
      </c>
      <c r="EZ753" s="346">
        <f t="shared" si="1153"/>
        <v>0</v>
      </c>
      <c r="FA753" s="346">
        <f t="shared" si="1153"/>
        <v>0</v>
      </c>
      <c r="FB753" s="346">
        <f t="shared" si="1153"/>
        <v>0</v>
      </c>
      <c r="FC753" s="346">
        <f t="shared" si="1153"/>
        <v>0</v>
      </c>
      <c r="FD753" s="346">
        <f t="shared" si="1153"/>
        <v>0</v>
      </c>
      <c r="FE753" s="346">
        <f t="shared" si="1153"/>
        <v>0</v>
      </c>
      <c r="FF753" s="346">
        <f t="shared" si="1153"/>
        <v>0</v>
      </c>
      <c r="FG753" s="346">
        <f t="shared" si="1153"/>
        <v>0</v>
      </c>
      <c r="FH753" s="346">
        <f t="shared" si="1153"/>
        <v>0</v>
      </c>
      <c r="FI753" s="346">
        <f t="shared" si="1153"/>
        <v>0</v>
      </c>
      <c r="FJ753" s="348">
        <f t="shared" si="1153"/>
        <v>0</v>
      </c>
      <c r="FK753" s="346">
        <f t="shared" si="1153"/>
        <v>0</v>
      </c>
      <c r="FL753" s="346">
        <f t="shared" si="1153"/>
        <v>0</v>
      </c>
      <c r="FM753" s="346">
        <f t="shared" si="1153"/>
        <v>0</v>
      </c>
      <c r="FN753" s="346">
        <f t="shared" si="1153"/>
        <v>0</v>
      </c>
      <c r="FO753" s="346">
        <f t="shared" si="1153"/>
        <v>0</v>
      </c>
      <c r="FP753" s="346">
        <f t="shared" si="1153"/>
        <v>0</v>
      </c>
      <c r="FQ753" s="346">
        <f t="shared" ref="FQ753:FV753" si="1154">FQ386</f>
        <v>0</v>
      </c>
      <c r="FR753" s="346">
        <f t="shared" si="1154"/>
        <v>0</v>
      </c>
      <c r="FS753" s="346">
        <f t="shared" si="1154"/>
        <v>0</v>
      </c>
      <c r="FT753" s="346">
        <f t="shared" si="1154"/>
        <v>0</v>
      </c>
      <c r="FU753" s="346">
        <f t="shared" si="1154"/>
        <v>0</v>
      </c>
      <c r="FV753" s="346">
        <f t="shared" si="1154"/>
        <v>0</v>
      </c>
      <c r="FW753" s="346">
        <v>0</v>
      </c>
      <c r="FX753" s="346">
        <v>0</v>
      </c>
      <c r="FY753" s="346">
        <v>0</v>
      </c>
      <c r="FZ753" s="346">
        <v>0</v>
      </c>
      <c r="GA753" s="346">
        <v>0</v>
      </c>
      <c r="GB753" s="346">
        <v>0</v>
      </c>
      <c r="GC753" s="346">
        <v>0</v>
      </c>
      <c r="GD753" s="346">
        <v>0</v>
      </c>
      <c r="GE753" s="346">
        <v>0</v>
      </c>
      <c r="GF753" s="346">
        <v>0</v>
      </c>
      <c r="GG753" s="346">
        <v>0</v>
      </c>
      <c r="GH753" s="346">
        <v>0</v>
      </c>
      <c r="GI753" s="346">
        <v>0</v>
      </c>
      <c r="GJ753" s="346">
        <v>0</v>
      </c>
      <c r="GK753" s="346">
        <v>0</v>
      </c>
      <c r="GL753" s="346">
        <v>0</v>
      </c>
      <c r="GM753" s="346">
        <v>0</v>
      </c>
      <c r="GN753" s="346">
        <v>0</v>
      </c>
      <c r="GO753" s="346">
        <v>0</v>
      </c>
      <c r="GP753" s="346">
        <v>0</v>
      </c>
      <c r="GQ753" s="346">
        <v>0</v>
      </c>
      <c r="GR753" s="346">
        <v>0</v>
      </c>
      <c r="GS753" s="346">
        <v>0</v>
      </c>
      <c r="GT753" s="346">
        <v>0</v>
      </c>
      <c r="GU753" s="346">
        <v>0</v>
      </c>
      <c r="GV753" s="346">
        <v>0</v>
      </c>
      <c r="GW753" s="346">
        <v>0</v>
      </c>
      <c r="GX753" s="346">
        <v>0</v>
      </c>
      <c r="GY753" s="346">
        <v>0</v>
      </c>
      <c r="GZ753" s="346">
        <v>0</v>
      </c>
      <c r="HA753" s="346">
        <v>0</v>
      </c>
      <c r="HB753" s="346">
        <v>0</v>
      </c>
      <c r="HC753" s="346">
        <v>0</v>
      </c>
      <c r="HD753" s="346">
        <v>0</v>
      </c>
      <c r="HE753" s="346">
        <v>0</v>
      </c>
      <c r="HF753" s="346">
        <v>0</v>
      </c>
      <c r="HG753" s="346">
        <v>0</v>
      </c>
      <c r="HH753" s="346">
        <v>0</v>
      </c>
      <c r="HI753" s="346">
        <v>0</v>
      </c>
      <c r="HJ753" s="346">
        <v>0</v>
      </c>
      <c r="HK753" s="346">
        <v>0</v>
      </c>
      <c r="HL753" s="346">
        <v>0</v>
      </c>
      <c r="HM753" s="346"/>
      <c r="HN753" s="349"/>
      <c r="HO753" s="1720" t="s">
        <v>3231</v>
      </c>
      <c r="HP753" s="307">
        <f>SUM(CE753:CJ753)</f>
        <v>1.3856258690000001</v>
      </c>
      <c r="HQ753" s="302">
        <f>SUM(CK753:CP753)</f>
        <v>2.8346822609999998</v>
      </c>
      <c r="HR753" s="346">
        <f>HP753+HQ753</f>
        <v>4.2203081299999994</v>
      </c>
      <c r="HS753" s="302">
        <f>SUM(CQ753:CV753)</f>
        <v>1.8490000000000002</v>
      </c>
      <c r="HT753" s="302">
        <f>SUM(CW753:DB753)</f>
        <v>3.2170000000000001</v>
      </c>
      <c r="HU753" s="346">
        <f>HS753+HT753</f>
        <v>5.0660000000000007</v>
      </c>
      <c r="HV753" s="307">
        <f>SUM(DC753:DH753)</f>
        <v>2.411</v>
      </c>
      <c r="HW753" s="302">
        <f>SUM(DI753:DN753)</f>
        <v>3.2170000000000001</v>
      </c>
      <c r="HX753" s="346">
        <f>HV753+HW753</f>
        <v>5.6280000000000001</v>
      </c>
      <c r="HY753" s="350">
        <f>SUM(DO753:DT753)</f>
        <v>0</v>
      </c>
      <c r="HZ753" s="302">
        <f>SUM(DU753:DZ753)</f>
        <v>0</v>
      </c>
      <c r="IA753" s="346">
        <f>HY753+HZ753</f>
        <v>0</v>
      </c>
      <c r="IB753" s="302">
        <f>SUM(EA753:EF753)</f>
        <v>0</v>
      </c>
      <c r="IC753" s="302">
        <f>SUM(EG753:EL753)</f>
        <v>0</v>
      </c>
      <c r="ID753" s="346">
        <f>IB753+IC753</f>
        <v>0</v>
      </c>
      <c r="IE753" s="350">
        <f>SUM(EM753:ER753)</f>
        <v>0</v>
      </c>
      <c r="IF753" s="350">
        <f>SUM(ES753:EX753)</f>
        <v>0</v>
      </c>
      <c r="IG753" s="346">
        <f>IE753+IF753</f>
        <v>0</v>
      </c>
      <c r="IH753" s="350">
        <f>SUM(EY753:FD753)</f>
        <v>0</v>
      </c>
      <c r="II753" s="350">
        <f>SUM(FE753:FJ753)</f>
        <v>0</v>
      </c>
      <c r="IJ753" s="346">
        <f>IH753+II753</f>
        <v>0</v>
      </c>
      <c r="IK753" s="350">
        <f t="shared" si="1143"/>
        <v>0</v>
      </c>
      <c r="IL753" s="350">
        <f t="shared" si="993"/>
        <v>0</v>
      </c>
      <c r="IM753" s="346">
        <f t="shared" si="1080"/>
        <v>0</v>
      </c>
      <c r="IN753" s="350">
        <f t="shared" si="1052"/>
        <v>0</v>
      </c>
      <c r="IO753" s="350">
        <f t="shared" si="1053"/>
        <v>0</v>
      </c>
      <c r="IP753" s="346">
        <f t="shared" si="1066"/>
        <v>0</v>
      </c>
      <c r="IQ753" s="350">
        <f t="shared" si="1054"/>
        <v>0</v>
      </c>
      <c r="IR753" s="350">
        <f t="shared" si="1055"/>
        <v>0</v>
      </c>
      <c r="IS753" s="346">
        <f t="shared" si="1067"/>
        <v>0</v>
      </c>
      <c r="IT753" s="350">
        <f>SUM(GU753:GZ753)</f>
        <v>0</v>
      </c>
      <c r="IU753" s="350">
        <f t="shared" si="986"/>
        <v>0</v>
      </c>
      <c r="IV753" s="346">
        <f t="shared" si="1020"/>
        <v>0</v>
      </c>
      <c r="IW753" s="350">
        <f t="shared" si="1081"/>
        <v>0</v>
      </c>
      <c r="IX753" s="350">
        <f t="shared" si="1069"/>
        <v>0</v>
      </c>
      <c r="IY753" s="346">
        <f>FISC!AJ1075</f>
        <v>0</v>
      </c>
      <c r="IZ753" s="350">
        <f t="shared" si="1133"/>
        <v>0</v>
      </c>
      <c r="JA753" s="302">
        <f t="shared" si="1119"/>
        <v>0</v>
      </c>
      <c r="JB753" s="346">
        <f>FISC!AK1075</f>
        <v>0</v>
      </c>
      <c r="JC753" s="350">
        <f t="shared" si="1134"/>
        <v>0</v>
      </c>
      <c r="JD753" s="302">
        <f t="shared" si="1120"/>
        <v>0</v>
      </c>
      <c r="JE753" s="346">
        <f>FISC!AL1075</f>
        <v>0</v>
      </c>
      <c r="JF753" s="350">
        <f t="shared" si="1135"/>
        <v>0</v>
      </c>
      <c r="JG753" s="302">
        <f t="shared" si="1121"/>
        <v>0</v>
      </c>
      <c r="JH753" s="346">
        <f>FISC!AM1075</f>
        <v>0</v>
      </c>
      <c r="JI753" s="350">
        <f t="shared" si="1136"/>
        <v>0</v>
      </c>
      <c r="JJ753" s="302">
        <f t="shared" si="1122"/>
        <v>0</v>
      </c>
      <c r="JK753" s="346">
        <f>FISC!AN1075</f>
        <v>0</v>
      </c>
      <c r="JL753" s="350">
        <f t="shared" si="1137"/>
        <v>0</v>
      </c>
      <c r="JM753" s="302">
        <f t="shared" si="1123"/>
        <v>0</v>
      </c>
      <c r="JN753" s="346">
        <f>FISC!AO1075</f>
        <v>0</v>
      </c>
      <c r="KI753" s="349"/>
      <c r="KJ753" s="350"/>
    </row>
    <row r="754" spans="1:302" hidden="1" outlineLevel="1">
      <c r="A754" s="302"/>
      <c r="B754" s="117" t="s">
        <v>361</v>
      </c>
      <c r="D754" s="354" t="s">
        <v>590</v>
      </c>
      <c r="E754" s="346">
        <f t="shared" ref="E754:AJ754" si="1155">E755+E757+E779+E780+E789+E795+E811+E813</f>
        <v>0</v>
      </c>
      <c r="F754" s="346">
        <f t="shared" si="1155"/>
        <v>0</v>
      </c>
      <c r="G754" s="346">
        <f t="shared" si="1155"/>
        <v>0</v>
      </c>
      <c r="H754" s="346">
        <f t="shared" si="1155"/>
        <v>0</v>
      </c>
      <c r="I754" s="346">
        <f t="shared" si="1155"/>
        <v>0</v>
      </c>
      <c r="J754" s="346">
        <f t="shared" si="1155"/>
        <v>0</v>
      </c>
      <c r="K754" s="346">
        <f t="shared" si="1155"/>
        <v>0</v>
      </c>
      <c r="L754" s="346">
        <f t="shared" si="1155"/>
        <v>0</v>
      </c>
      <c r="M754" s="346">
        <f t="shared" si="1155"/>
        <v>0</v>
      </c>
      <c r="N754" s="346">
        <f t="shared" si="1155"/>
        <v>0</v>
      </c>
      <c r="O754" s="346">
        <f t="shared" si="1155"/>
        <v>0</v>
      </c>
      <c r="P754" s="346">
        <f t="shared" si="1155"/>
        <v>0</v>
      </c>
      <c r="Q754" s="346">
        <f t="shared" si="1155"/>
        <v>0</v>
      </c>
      <c r="R754" s="346">
        <f t="shared" si="1155"/>
        <v>0</v>
      </c>
      <c r="S754" s="346">
        <f t="shared" si="1155"/>
        <v>0</v>
      </c>
      <c r="T754" s="346">
        <f t="shared" si="1155"/>
        <v>0</v>
      </c>
      <c r="U754" s="346">
        <f t="shared" si="1155"/>
        <v>0</v>
      </c>
      <c r="V754" s="346">
        <f t="shared" si="1155"/>
        <v>0</v>
      </c>
      <c r="W754" s="346">
        <f t="shared" si="1155"/>
        <v>0</v>
      </c>
      <c r="X754" s="346">
        <f t="shared" si="1155"/>
        <v>0</v>
      </c>
      <c r="Y754" s="346">
        <f t="shared" si="1155"/>
        <v>0</v>
      </c>
      <c r="Z754" s="346">
        <f t="shared" si="1155"/>
        <v>0</v>
      </c>
      <c r="AA754" s="346">
        <f t="shared" si="1155"/>
        <v>0</v>
      </c>
      <c r="AB754" s="346">
        <f t="shared" si="1155"/>
        <v>0</v>
      </c>
      <c r="AC754" s="346">
        <f t="shared" si="1155"/>
        <v>0</v>
      </c>
      <c r="AD754" s="346">
        <f t="shared" si="1155"/>
        <v>0</v>
      </c>
      <c r="AE754" s="346">
        <f t="shared" si="1155"/>
        <v>0</v>
      </c>
      <c r="AF754" s="346">
        <f t="shared" si="1155"/>
        <v>0</v>
      </c>
      <c r="AG754" s="346">
        <f t="shared" si="1155"/>
        <v>0</v>
      </c>
      <c r="AH754" s="346">
        <f t="shared" si="1155"/>
        <v>0</v>
      </c>
      <c r="AI754" s="346">
        <f t="shared" si="1155"/>
        <v>0</v>
      </c>
      <c r="AJ754" s="346">
        <f t="shared" si="1155"/>
        <v>0</v>
      </c>
      <c r="AK754" s="346">
        <f t="shared" ref="AK754:BP754" si="1156">AK755+AK757+AK779+AK780+AK789+AK795+AK811+AK813</f>
        <v>0</v>
      </c>
      <c r="AL754" s="346">
        <f t="shared" si="1156"/>
        <v>0</v>
      </c>
      <c r="AM754" s="346">
        <f t="shared" si="1156"/>
        <v>0</v>
      </c>
      <c r="AN754" s="346">
        <f t="shared" si="1156"/>
        <v>0</v>
      </c>
      <c r="AO754" s="346">
        <f t="shared" si="1156"/>
        <v>0.4218368758062</v>
      </c>
      <c r="AP754" s="346">
        <f t="shared" si="1156"/>
        <v>0.15930158205101999</v>
      </c>
      <c r="AQ754" s="346">
        <f t="shared" si="1156"/>
        <v>0.61614968011050009</v>
      </c>
      <c r="AR754" s="346">
        <f t="shared" si="1156"/>
        <v>0.29238099254990002</v>
      </c>
      <c r="AS754" s="346">
        <f t="shared" si="1156"/>
        <v>0.49848143689416663</v>
      </c>
      <c r="AT754" s="346">
        <f t="shared" si="1156"/>
        <v>0.27567536453119995</v>
      </c>
      <c r="AU754" s="346">
        <f t="shared" si="1156"/>
        <v>0.41900182074452003</v>
      </c>
      <c r="AV754" s="346">
        <f t="shared" si="1156"/>
        <v>5.9318858289000003E-3</v>
      </c>
      <c r="AW754" s="346">
        <f t="shared" si="1156"/>
        <v>0.31037488525610002</v>
      </c>
      <c r="AX754" s="346">
        <f t="shared" si="1156"/>
        <v>0.79970507613979092</v>
      </c>
      <c r="AY754" s="346">
        <f t="shared" si="1156"/>
        <v>0.12941338107390002</v>
      </c>
      <c r="AZ754" s="346">
        <f t="shared" si="1156"/>
        <v>0.66349748529589991</v>
      </c>
      <c r="BA754" s="346">
        <f t="shared" si="1156"/>
        <v>0.43553760418569998</v>
      </c>
      <c r="BB754" s="346">
        <f t="shared" si="1156"/>
        <v>1.0110004030600001E-2</v>
      </c>
      <c r="BC754" s="346">
        <f t="shared" si="1156"/>
        <v>0.92716271887939983</v>
      </c>
      <c r="BD754" s="346">
        <f t="shared" si="1156"/>
        <v>0.33346708193720004</v>
      </c>
      <c r="BE754" s="346">
        <f t="shared" si="1156"/>
        <v>0.16446884016910002</v>
      </c>
      <c r="BF754" s="346">
        <f t="shared" si="1156"/>
        <v>0.46283348290624249</v>
      </c>
      <c r="BG754" s="346">
        <f t="shared" si="1156"/>
        <v>47.211846316241342</v>
      </c>
      <c r="BH754" s="346">
        <f t="shared" si="1156"/>
        <v>74.45831871456619</v>
      </c>
      <c r="BI754" s="346">
        <f t="shared" si="1156"/>
        <v>45.532160173451999</v>
      </c>
      <c r="BJ754" s="346">
        <f t="shared" si="1156"/>
        <v>75.295248003342707</v>
      </c>
      <c r="BK754" s="346">
        <f t="shared" si="1156"/>
        <v>53.105264547779008</v>
      </c>
      <c r="BL754" s="346">
        <f t="shared" si="1156"/>
        <v>38.754961242518796</v>
      </c>
      <c r="BM754" s="346">
        <f t="shared" si="1156"/>
        <v>69.929913903593913</v>
      </c>
      <c r="BN754" s="346">
        <f t="shared" si="1156"/>
        <v>49.273468699155501</v>
      </c>
      <c r="BO754" s="346">
        <f t="shared" si="1156"/>
        <v>48.539825571859296</v>
      </c>
      <c r="BP754" s="346">
        <f t="shared" si="1156"/>
        <v>83.436657257436394</v>
      </c>
      <c r="BQ754" s="346">
        <f t="shared" ref="BQ754:CV754" si="1157">BQ755+BQ757+BQ779+BQ780+BQ789+BQ795+BQ811+BQ813</f>
        <v>70.304949398627159</v>
      </c>
      <c r="BR754" s="346">
        <f t="shared" si="1157"/>
        <v>28.275897556700397</v>
      </c>
      <c r="BS754" s="346">
        <f t="shared" si="1157"/>
        <v>61.815081714061002</v>
      </c>
      <c r="BT754" s="346">
        <f t="shared" si="1157"/>
        <v>54.432380561523502</v>
      </c>
      <c r="BU754" s="346">
        <f t="shared" si="1157"/>
        <v>38.381478157159499</v>
      </c>
      <c r="BV754" s="346">
        <f t="shared" si="1157"/>
        <v>84.69430708071971</v>
      </c>
      <c r="BW754" s="346">
        <f t="shared" si="1157"/>
        <v>52.963476475276906</v>
      </c>
      <c r="BX754" s="346">
        <f t="shared" si="1157"/>
        <v>37.893483078853301</v>
      </c>
      <c r="BY754" s="346">
        <f t="shared" si="1157"/>
        <v>62.100208835434358</v>
      </c>
      <c r="BZ754" s="346">
        <f t="shared" si="1157"/>
        <v>63.563128624635553</v>
      </c>
      <c r="CA754" s="346">
        <f t="shared" si="1157"/>
        <v>44.987419374886883</v>
      </c>
      <c r="CB754" s="346">
        <f t="shared" si="1157"/>
        <v>82.44895081532394</v>
      </c>
      <c r="CC754" s="346">
        <f t="shared" si="1157"/>
        <v>110.29717865720355</v>
      </c>
      <c r="CD754" s="352">
        <f t="shared" si="1157"/>
        <v>44.276011968101493</v>
      </c>
      <c r="CE754" s="346">
        <f t="shared" si="1157"/>
        <v>71.458612352207666</v>
      </c>
      <c r="CF754" s="346">
        <f t="shared" si="1157"/>
        <v>80.614230169444525</v>
      </c>
      <c r="CG754" s="346">
        <f t="shared" si="1157"/>
        <v>56.53873985673652</v>
      </c>
      <c r="CH754" s="346">
        <f t="shared" si="1157"/>
        <v>112.84926202137515</v>
      </c>
      <c r="CI754" s="346">
        <f t="shared" si="1157"/>
        <v>58.41319784896168</v>
      </c>
      <c r="CJ754" s="346">
        <f t="shared" si="1157"/>
        <v>58.648621584906493</v>
      </c>
      <c r="CK754" s="346">
        <f t="shared" si="1157"/>
        <v>95.979081952908501</v>
      </c>
      <c r="CL754" s="346">
        <f t="shared" si="1157"/>
        <v>62.087554476596175</v>
      </c>
      <c r="CM754" s="346">
        <f t="shared" si="1157"/>
        <v>59.108390563097089</v>
      </c>
      <c r="CN754" s="346">
        <f t="shared" si="1157"/>
        <v>114.98262093264997</v>
      </c>
      <c r="CO754" s="346">
        <f t="shared" si="1157"/>
        <v>84.451621389061472</v>
      </c>
      <c r="CP754" s="348">
        <f t="shared" si="1157"/>
        <v>47.933403958317456</v>
      </c>
      <c r="CQ754" s="346">
        <f t="shared" si="1157"/>
        <v>100.17957960570411</v>
      </c>
      <c r="CR754" s="346">
        <f t="shared" si="1157"/>
        <v>76.755145306457905</v>
      </c>
      <c r="CS754" s="346">
        <f t="shared" si="1157"/>
        <v>78.99562305287499</v>
      </c>
      <c r="CT754" s="346">
        <f t="shared" si="1157"/>
        <v>90.375015269121633</v>
      </c>
      <c r="CU754" s="346">
        <f t="shared" si="1157"/>
        <v>74.556325616232883</v>
      </c>
      <c r="CV754" s="346">
        <f t="shared" si="1157"/>
        <v>74.798320147405676</v>
      </c>
      <c r="CW754" s="346">
        <f t="shared" ref="CW754:EB754" si="1158">CW755+CW757+CW779+CW780+CW789+CW795+CW811+CW813</f>
        <v>83.594369939108489</v>
      </c>
      <c r="CX754" s="346">
        <f t="shared" si="1158"/>
        <v>55.364763503715224</v>
      </c>
      <c r="CY754" s="346">
        <f t="shared" si="1158"/>
        <v>102.5462955264567</v>
      </c>
      <c r="CZ754" s="346">
        <f t="shared" si="1158"/>
        <v>137.93081720125494</v>
      </c>
      <c r="DA754" s="346">
        <f t="shared" si="1158"/>
        <v>75.620315410053152</v>
      </c>
      <c r="DB754" s="1479">
        <f t="shared" si="1158"/>
        <v>36.487652212698229</v>
      </c>
      <c r="DC754" s="346">
        <f t="shared" si="1158"/>
        <v>115.07450532287467</v>
      </c>
      <c r="DD754" s="346">
        <f t="shared" si="1158"/>
        <v>88.600249235000007</v>
      </c>
      <c r="DE754" s="346">
        <f t="shared" si="1158"/>
        <v>75.262546940399986</v>
      </c>
      <c r="DF754" s="346">
        <f t="shared" si="1158"/>
        <v>152.2468426775811</v>
      </c>
      <c r="DG754" s="346">
        <f t="shared" si="1158"/>
        <v>83.222383627999989</v>
      </c>
      <c r="DH754" s="346">
        <f t="shared" si="1158"/>
        <v>76.716107223000009</v>
      </c>
      <c r="DI754" s="346">
        <f t="shared" si="1158"/>
        <v>124.87842583198848</v>
      </c>
      <c r="DJ754" s="346">
        <f t="shared" si="1158"/>
        <v>78.511082680869407</v>
      </c>
      <c r="DK754" s="346">
        <f t="shared" si="1158"/>
        <v>90.745945551081348</v>
      </c>
      <c r="DL754" s="346">
        <f t="shared" si="1158"/>
        <v>125.2924094857818</v>
      </c>
      <c r="DM754" s="346">
        <f t="shared" si="1158"/>
        <v>74.90322348545844</v>
      </c>
      <c r="DN754" s="348">
        <f t="shared" si="1158"/>
        <v>61.502820190708533</v>
      </c>
      <c r="DO754" s="346">
        <f t="shared" si="1158"/>
        <v>144.07550871509005</v>
      </c>
      <c r="DP754" s="346">
        <f t="shared" si="1158"/>
        <v>113.07770425551797</v>
      </c>
      <c r="DQ754" s="346">
        <f t="shared" si="1158"/>
        <v>76.082356122777597</v>
      </c>
      <c r="DR754" s="346">
        <f t="shared" si="1158"/>
        <v>156.06651094656246</v>
      </c>
      <c r="DS754" s="346">
        <f t="shared" si="1158"/>
        <v>104.26100455498974</v>
      </c>
      <c r="DT754" s="346">
        <f t="shared" si="1158"/>
        <v>111.50208148811539</v>
      </c>
      <c r="DU754" s="346">
        <f t="shared" si="1158"/>
        <v>132.61847265266206</v>
      </c>
      <c r="DV754" s="346">
        <f t="shared" si="1158"/>
        <v>104.58270080807941</v>
      </c>
      <c r="DW754" s="346">
        <f t="shared" si="1158"/>
        <v>79.563794331681549</v>
      </c>
      <c r="DX754" s="346">
        <f t="shared" si="1158"/>
        <v>153.83782506362562</v>
      </c>
      <c r="DY754" s="346">
        <f t="shared" si="1158"/>
        <v>100.9167906141913</v>
      </c>
      <c r="DZ754" s="348">
        <f t="shared" si="1158"/>
        <v>46.872684568321155</v>
      </c>
      <c r="EA754" s="346">
        <f t="shared" si="1158"/>
        <v>145.30212676947173</v>
      </c>
      <c r="EB754" s="346">
        <f t="shared" si="1158"/>
        <v>130.68953977944261</v>
      </c>
      <c r="EC754" s="346">
        <f t="shared" ref="EC754:FH754" si="1159">EC755+EC757+EC779+EC780+EC789+EC795+EC811+EC813</f>
        <v>141.10338209713646</v>
      </c>
      <c r="ED754" s="346">
        <f t="shared" si="1159"/>
        <v>140.02275301199998</v>
      </c>
      <c r="EE754" s="346">
        <f t="shared" si="1159"/>
        <v>96.151639869999997</v>
      </c>
      <c r="EF754" s="346">
        <f t="shared" si="1159"/>
        <v>90.247179783000007</v>
      </c>
      <c r="EG754" s="346">
        <f t="shared" si="1159"/>
        <v>156.25003193032137</v>
      </c>
      <c r="EH754" s="346">
        <f t="shared" si="1159"/>
        <v>94.812955786241616</v>
      </c>
      <c r="EI754" s="346">
        <f t="shared" si="1159"/>
        <v>124.76817025059032</v>
      </c>
      <c r="EJ754" s="346">
        <f t="shared" si="1159"/>
        <v>119.00127803696546</v>
      </c>
      <c r="EK754" s="346">
        <f t="shared" si="1159"/>
        <v>120.87081263640491</v>
      </c>
      <c r="EL754" s="348">
        <f t="shared" si="1159"/>
        <v>77.702326093316088</v>
      </c>
      <c r="EM754" s="346">
        <f t="shared" si="1159"/>
        <v>109.85451754499697</v>
      </c>
      <c r="EN754" s="346">
        <f t="shared" si="1159"/>
        <v>125.79905447463875</v>
      </c>
      <c r="EO754" s="346">
        <f t="shared" si="1159"/>
        <v>102.91453615671431</v>
      </c>
      <c r="EP754" s="346">
        <f t="shared" si="1159"/>
        <v>157.58331419881409</v>
      </c>
      <c r="EQ754" s="346">
        <f t="shared" si="1159"/>
        <v>145.96961350311793</v>
      </c>
      <c r="ER754" s="346">
        <f t="shared" si="1159"/>
        <v>106.89384576221238</v>
      </c>
      <c r="ES754" s="346">
        <f t="shared" si="1159"/>
        <v>135.51409806396794</v>
      </c>
      <c r="ET754" s="346">
        <f t="shared" si="1159"/>
        <v>117.00239800372515</v>
      </c>
      <c r="EU754" s="346">
        <f t="shared" si="1159"/>
        <v>138.66612055156887</v>
      </c>
      <c r="EV754" s="346">
        <f t="shared" si="1159"/>
        <v>276.39451889608108</v>
      </c>
      <c r="EW754" s="346">
        <f t="shared" si="1159"/>
        <v>169.57482779654237</v>
      </c>
      <c r="EX754" s="348">
        <f t="shared" si="1159"/>
        <v>80.696747638226839</v>
      </c>
      <c r="EY754" s="346">
        <f t="shared" si="1159"/>
        <v>135.54473385247792</v>
      </c>
      <c r="EZ754" s="346">
        <f t="shared" si="1159"/>
        <v>150.91730850391738</v>
      </c>
      <c r="FA754" s="346">
        <f t="shared" si="1159"/>
        <v>150.34048970330511</v>
      </c>
      <c r="FB754" s="346">
        <f t="shared" si="1159"/>
        <v>152.86264558400836</v>
      </c>
      <c r="FC754" s="346">
        <f t="shared" si="1159"/>
        <v>167.49266295468342</v>
      </c>
      <c r="FD754" s="346">
        <f t="shared" si="1159"/>
        <v>153.30630701289576</v>
      </c>
      <c r="FE754" s="346">
        <f t="shared" si="1159"/>
        <v>141.90985569054118</v>
      </c>
      <c r="FF754" s="346">
        <f t="shared" si="1159"/>
        <v>166.06225588561682</v>
      </c>
      <c r="FG754" s="346">
        <f t="shared" si="1159"/>
        <v>169.20589458029306</v>
      </c>
      <c r="FH754" s="346">
        <f t="shared" si="1159"/>
        <v>147.73294296268554</v>
      </c>
      <c r="FI754" s="346">
        <f t="shared" ref="FI754:FV754" si="1160">FI755+FI757+FI779+FI780+FI789+FI795+FI811+FI813</f>
        <v>252.83473571944506</v>
      </c>
      <c r="FJ754" s="348">
        <f t="shared" si="1160"/>
        <v>112.92171774518997</v>
      </c>
      <c r="FK754" s="346">
        <f t="shared" si="1160"/>
        <v>219.1918465372174</v>
      </c>
      <c r="FL754" s="346">
        <f t="shared" si="1160"/>
        <v>155.82205387646056</v>
      </c>
      <c r="FM754" s="346">
        <f t="shared" si="1160"/>
        <v>167.81463236436889</v>
      </c>
      <c r="FN754" s="346">
        <f t="shared" si="1160"/>
        <v>142.24071716064336</v>
      </c>
      <c r="FO754" s="346">
        <f t="shared" si="1160"/>
        <v>198.30870370624206</v>
      </c>
      <c r="FP754" s="346">
        <f t="shared" si="1160"/>
        <v>160.83325130389358</v>
      </c>
      <c r="FQ754" s="346">
        <f t="shared" si="1160"/>
        <v>119.74511789993736</v>
      </c>
      <c r="FR754" s="346">
        <f t="shared" si="1160"/>
        <v>161.14429667342094</v>
      </c>
      <c r="FS754" s="346">
        <f t="shared" si="1160"/>
        <v>182.70007181548141</v>
      </c>
      <c r="FT754" s="346">
        <f t="shared" si="1160"/>
        <v>170.5411933862847</v>
      </c>
      <c r="FU754" s="346">
        <f t="shared" si="1160"/>
        <v>289.50421094387059</v>
      </c>
      <c r="FV754" s="346">
        <f t="shared" si="1160"/>
        <v>121.51134231148433</v>
      </c>
      <c r="FW754" s="346">
        <v>151.80794224983575</v>
      </c>
      <c r="FX754" s="346">
        <v>182.72433729046381</v>
      </c>
      <c r="FY754" s="346">
        <v>288.38844737599351</v>
      </c>
      <c r="FZ754" s="346">
        <v>177.82332819536788</v>
      </c>
      <c r="GA754" s="346">
        <v>179.01943237914801</v>
      </c>
      <c r="GB754" s="346">
        <v>164.6325557816927</v>
      </c>
      <c r="GC754" s="346">
        <v>197.80811904856702</v>
      </c>
      <c r="GD754" s="346">
        <v>250.93833467570244</v>
      </c>
      <c r="GE754" s="346">
        <v>208.77223398815104</v>
      </c>
      <c r="GF754" s="346">
        <v>230.91735339860341</v>
      </c>
      <c r="GG754" s="346">
        <v>262.55063902730666</v>
      </c>
      <c r="GH754" s="346">
        <v>172.5182399804556</v>
      </c>
      <c r="GI754" s="1897">
        <f>GI755+GI757+GI780+GI789+GI795+GI811+GI813</f>
        <v>257.5454968214832</v>
      </c>
      <c r="GJ754" s="1897">
        <f>GJ755+GJ757+GJ780+GJ789+GJ795+GJ811+GJ813</f>
        <v>281.09502307627758</v>
      </c>
      <c r="GK754" s="1897">
        <f t="shared" ref="GK754:GN754" si="1161">GK755+GK757+GK780+GK789+GK795+GK811+GK813</f>
        <v>241.58285759185569</v>
      </c>
      <c r="GL754" s="1897">
        <f t="shared" si="1161"/>
        <v>205.05214757106037</v>
      </c>
      <c r="GM754" s="1897">
        <f t="shared" si="1161"/>
        <v>216.49314831084266</v>
      </c>
      <c r="GN754" s="1897">
        <f t="shared" si="1161"/>
        <v>159.05253265239878</v>
      </c>
      <c r="GO754" s="1897">
        <f t="shared" ref="GO754:HL754" si="1162">GO755+GO757+GO780+GO789+GO795+GO811+GO813</f>
        <v>225.1136218782292</v>
      </c>
      <c r="GP754" s="1897">
        <f t="shared" si="1162"/>
        <v>212.3992348710471</v>
      </c>
      <c r="GQ754" s="1897">
        <f t="shared" si="1162"/>
        <v>207.33054668257515</v>
      </c>
      <c r="GR754" s="1897">
        <f t="shared" si="1162"/>
        <v>304.74168630998582</v>
      </c>
      <c r="GS754" s="1897">
        <f t="shared" si="1162"/>
        <v>380.85325936667687</v>
      </c>
      <c r="GT754" s="1897">
        <f t="shared" si="1162"/>
        <v>165.43507792166898</v>
      </c>
      <c r="GU754" s="1897">
        <f t="shared" si="1162"/>
        <v>184.67336250382041</v>
      </c>
      <c r="GV754" s="1897">
        <f t="shared" si="1162"/>
        <v>277.40657337020019</v>
      </c>
      <c r="GW754" s="1897">
        <f t="shared" si="1162"/>
        <v>265.32312881129747</v>
      </c>
      <c r="GX754" s="1897">
        <f t="shared" si="1162"/>
        <v>215.34851151694906</v>
      </c>
      <c r="GY754" s="1897">
        <f t="shared" si="1162"/>
        <v>246.89019660525443</v>
      </c>
      <c r="GZ754" s="1897">
        <f t="shared" si="1162"/>
        <v>224.44205997715068</v>
      </c>
      <c r="HA754" s="1897">
        <f t="shared" si="1162"/>
        <v>260.7184256565896</v>
      </c>
      <c r="HB754" s="1897">
        <f t="shared" si="1162"/>
        <v>306.47656616645116</v>
      </c>
      <c r="HC754" s="1897">
        <f t="shared" si="1162"/>
        <v>204.06977351211842</v>
      </c>
      <c r="HD754" s="1897">
        <f t="shared" si="1162"/>
        <v>268.19963427527472</v>
      </c>
      <c r="HE754" s="1897">
        <f t="shared" si="1162"/>
        <v>382.08929568552065</v>
      </c>
      <c r="HF754" s="1897">
        <f t="shared" si="1162"/>
        <v>337.30442969236077</v>
      </c>
      <c r="HG754" s="1897">
        <f t="shared" si="1162"/>
        <v>321.69801477579097</v>
      </c>
      <c r="HH754" s="1897">
        <f t="shared" si="1162"/>
        <v>307.53239991234278</v>
      </c>
      <c r="HI754" s="1897">
        <f t="shared" si="1162"/>
        <v>269.78428803422031</v>
      </c>
      <c r="HJ754" s="1897">
        <f t="shared" si="1162"/>
        <v>270.49260047235538</v>
      </c>
      <c r="HK754" s="1897">
        <f t="shared" si="1162"/>
        <v>308.416940630711</v>
      </c>
      <c r="HL754" s="1897">
        <f t="shared" si="1162"/>
        <v>234.35814688386597</v>
      </c>
      <c r="HM754" s="1897"/>
      <c r="HN754" s="349"/>
      <c r="HO754" s="354" t="s">
        <v>590</v>
      </c>
      <c r="HP754" s="307">
        <f>SUM(CE754:CJ754)</f>
        <v>438.52266383363207</v>
      </c>
      <c r="HQ754" s="302">
        <f>SUM(CK754:CP754)</f>
        <v>464.54267327263068</v>
      </c>
      <c r="HR754" s="346">
        <f>HP754+HQ754</f>
        <v>903.06533710626275</v>
      </c>
      <c r="HS754" s="302">
        <f>SUM(CQ754:CV754)</f>
        <v>495.66000899779721</v>
      </c>
      <c r="HT754" s="302">
        <f>SUM(CW754:DB754)</f>
        <v>491.5442137932867</v>
      </c>
      <c r="HU754" s="346">
        <f>HS754+HT754</f>
        <v>987.20422279108391</v>
      </c>
      <c r="HV754" s="307">
        <f>SUM(DC754:DH754)</f>
        <v>591.12263502685573</v>
      </c>
      <c r="HW754" s="302">
        <f>SUM(DI754:DN754)</f>
        <v>555.83390722588808</v>
      </c>
      <c r="HX754" s="346">
        <f>HV754+HW754</f>
        <v>1146.9565422527439</v>
      </c>
      <c r="HY754" s="350">
        <f>SUM(DO754:DT754)</f>
        <v>705.06516608305321</v>
      </c>
      <c r="HZ754" s="302">
        <f>SUM(DU754:DZ754)</f>
        <v>618.39226803856104</v>
      </c>
      <c r="IA754" s="346">
        <f>HY754+HZ754</f>
        <v>1323.4574341216144</v>
      </c>
      <c r="IB754" s="302">
        <f>SUM(EA754:EF754)</f>
        <v>743.5166213110507</v>
      </c>
      <c r="IC754" s="302">
        <f>SUM(EG754:EL754)</f>
        <v>693.40557473383979</v>
      </c>
      <c r="ID754" s="346">
        <f>IB754+IC754</f>
        <v>1436.9221960448904</v>
      </c>
      <c r="IE754" s="350">
        <f>SUM(EM754:ER754)</f>
        <v>749.01488164049442</v>
      </c>
      <c r="IF754" s="350">
        <f>SUM(ES754:EX754)</f>
        <v>917.84871095011215</v>
      </c>
      <c r="IG754" s="346">
        <f>IE754+IF754</f>
        <v>1666.8635925906065</v>
      </c>
      <c r="IH754" s="350">
        <f>SUM(EY754:FD754)</f>
        <v>910.46414761128801</v>
      </c>
      <c r="II754" s="350">
        <f>SUM(FE754:FJ754)</f>
        <v>990.6674025837716</v>
      </c>
      <c r="IJ754" s="346">
        <f>IH754+II754</f>
        <v>1901.1315501950596</v>
      </c>
      <c r="IK754" s="350">
        <f t="shared" si="1143"/>
        <v>1044.2112049488258</v>
      </c>
      <c r="IL754" s="350">
        <f t="shared" si="993"/>
        <v>1045.1462330304794</v>
      </c>
      <c r="IM754" s="346">
        <f t="shared" si="1080"/>
        <v>2089.3574379793054</v>
      </c>
      <c r="IN754" s="350">
        <f t="shared" si="1052"/>
        <v>1144.3960432725016</v>
      </c>
      <c r="IO754" s="350">
        <f t="shared" si="1053"/>
        <v>1323.504920118786</v>
      </c>
      <c r="IP754" s="346">
        <f t="shared" si="1066"/>
        <v>2467.9009633912874</v>
      </c>
      <c r="IQ754" s="350">
        <f t="shared" si="1054"/>
        <v>1360.8212060239184</v>
      </c>
      <c r="IR754" s="350">
        <f t="shared" si="1055"/>
        <v>1495.8734270301832</v>
      </c>
      <c r="IS754" s="346">
        <f t="shared" si="1067"/>
        <v>2856.6946330541014</v>
      </c>
      <c r="IT754" s="350">
        <f>IT755+IT757+IT779+IT780+IT789+IT795+IT811+IT813</f>
        <v>1414.083832784672</v>
      </c>
      <c r="IU754" s="350">
        <f>IU755+IU757+IU779+IU780+IU789+IU795+IU811+IU813</f>
        <v>1758.8581249883155</v>
      </c>
      <c r="IV754" s="346">
        <f t="shared" si="1020"/>
        <v>3172.9419577729877</v>
      </c>
      <c r="IW754" s="350">
        <f t="shared" si="1081"/>
        <v>1712.2823907092866</v>
      </c>
      <c r="IX754" s="350">
        <f t="shared" si="1069"/>
        <v>1837.261990670831</v>
      </c>
      <c r="IY754" s="346">
        <f>FISC!AJ1076</f>
        <v>3549.5443813801176</v>
      </c>
      <c r="IZ754" s="350">
        <f>IZ755+IZ757+IZ779+IZ780+IZ789+IZ795+IZ811+IZ813</f>
        <v>2288.0977010173992</v>
      </c>
      <c r="JA754" s="302">
        <f t="shared" si="1119"/>
        <v>1751.8048217137798</v>
      </c>
      <c r="JB754" s="346">
        <f>FISC!AK1076</f>
        <v>4039.902522731179</v>
      </c>
      <c r="JC754" s="350">
        <f>JC755+JC757+JC779+JC780+JC789+JC795+JC811+JC813</f>
        <v>2376.7045687473419</v>
      </c>
      <c r="JD754" s="302">
        <f t="shared" si="1120"/>
        <v>1984.7281400411148</v>
      </c>
      <c r="JE754" s="346">
        <f>FISC!AL1076</f>
        <v>4361.4327087884567</v>
      </c>
      <c r="JF754" s="350">
        <f>JF755+JF757+JF779+JF780+JF789+JF795+JF811+JF813</f>
        <v>2640.409262628812</v>
      </c>
      <c r="JG754" s="302">
        <f t="shared" si="1121"/>
        <v>2327.7393339543032</v>
      </c>
      <c r="JH754" s="346">
        <f>FISC!AM1076</f>
        <v>4968.1485965831152</v>
      </c>
      <c r="JI754" s="350">
        <f>JI755+JI757+JI779+JI780+JI789+JI795+JI811+JI813</f>
        <v>2917.4130081376838</v>
      </c>
      <c r="JJ754" s="302">
        <f t="shared" si="1122"/>
        <v>2591.8249296287127</v>
      </c>
      <c r="JK754" s="346">
        <f>FISC!AN1076</f>
        <v>5509.2379377663965</v>
      </c>
      <c r="JL754" s="350">
        <f>JL755+JL757+JL779+JL780+JL789+JL795+JL811+JL813</f>
        <v>3192.0756559878182</v>
      </c>
      <c r="JM754" s="302">
        <f t="shared" si="1123"/>
        <v>3088.0290551006046</v>
      </c>
      <c r="JN754" s="346">
        <f>FISC!AO1076</f>
        <v>6280.1047110884228</v>
      </c>
      <c r="KI754" s="349"/>
      <c r="KJ754" s="350"/>
      <c r="KM754" s="302">
        <f>KM755+KM757+KM779+KM780+KM789+KM795+KM811+KM813</f>
        <v>0</v>
      </c>
      <c r="KN754" s="302">
        <f>KN755+KN757+KN779+KN780+KN789+KN795+KN811+KN813</f>
        <v>0</v>
      </c>
      <c r="KO754" s="302">
        <f>KO755+KO757+KO779+KO780+KO789+KO795+KO811+KO813</f>
        <v>0</v>
      </c>
      <c r="KP754" s="302">
        <f>KP755+KP757+KP779+KP780+KP789+KP795+KP811+KP813</f>
        <v>0</v>
      </c>
    </row>
    <row r="755" spans="1:302" hidden="1" outlineLevel="1">
      <c r="A755" s="302"/>
      <c r="B755" s="117" t="s">
        <v>361</v>
      </c>
      <c r="D755" s="355" t="s">
        <v>559</v>
      </c>
      <c r="E755" s="346">
        <f>E390</f>
        <v>0</v>
      </c>
      <c r="F755" s="346"/>
      <c r="G755" s="346"/>
      <c r="H755" s="346"/>
      <c r="I755" s="346"/>
      <c r="J755" s="346"/>
      <c r="K755" s="346"/>
      <c r="L755" s="346"/>
      <c r="M755" s="346"/>
      <c r="N755" s="346"/>
      <c r="O755" s="346"/>
      <c r="P755" s="346"/>
      <c r="Q755" s="346"/>
      <c r="R755" s="346"/>
      <c r="S755" s="346"/>
      <c r="T755" s="346"/>
      <c r="U755" s="346"/>
      <c r="V755" s="346"/>
      <c r="W755" s="346"/>
      <c r="X755" s="346"/>
      <c r="Y755" s="346"/>
      <c r="Z755" s="346"/>
      <c r="AA755" s="346"/>
      <c r="AB755" s="346"/>
      <c r="AC755" s="346"/>
      <c r="AD755" s="346"/>
      <c r="AE755" s="346"/>
      <c r="AF755" s="346"/>
      <c r="AG755" s="346"/>
      <c r="AH755" s="346"/>
      <c r="AI755" s="346"/>
      <c r="AJ755" s="346"/>
      <c r="AK755" s="346"/>
      <c r="AL755" s="346"/>
      <c r="AM755" s="346"/>
      <c r="AN755" s="346"/>
      <c r="AO755" s="346"/>
      <c r="AP755" s="346"/>
      <c r="AQ755" s="346"/>
      <c r="AR755" s="346"/>
      <c r="AS755" s="346"/>
      <c r="AT755" s="346"/>
      <c r="AU755" s="346"/>
      <c r="AV755" s="346"/>
      <c r="AW755" s="346"/>
      <c r="AX755" s="346"/>
      <c r="AY755" s="346"/>
      <c r="AZ755" s="346"/>
      <c r="BA755" s="346"/>
      <c r="BB755" s="346"/>
      <c r="BC755" s="346"/>
      <c r="BD755" s="346"/>
      <c r="BE755" s="346"/>
      <c r="BF755" s="346"/>
      <c r="BG755" s="346">
        <v>15.095381744879999</v>
      </c>
      <c r="BH755" s="346">
        <v>20.234721632060001</v>
      </c>
      <c r="BI755" s="346">
        <v>14.452226852000001</v>
      </c>
      <c r="BJ755" s="346">
        <v>23.318940307999998</v>
      </c>
      <c r="BK755" s="346">
        <v>14.50986174</v>
      </c>
      <c r="BL755" s="346">
        <v>13.045122568</v>
      </c>
      <c r="BM755" s="346">
        <v>21.147525022</v>
      </c>
      <c r="BN755" s="346">
        <v>14.770075467</v>
      </c>
      <c r="BO755" s="346">
        <v>15.294659724000001</v>
      </c>
      <c r="BP755" s="346">
        <v>27.17590221307</v>
      </c>
      <c r="BQ755" s="346">
        <v>20.518297496999999</v>
      </c>
      <c r="BR755" s="346">
        <v>14.395791967999999</v>
      </c>
      <c r="BS755" s="346">
        <v>21.803452902</v>
      </c>
      <c r="BT755" s="346">
        <v>23.410404086</v>
      </c>
      <c r="BU755" s="346">
        <v>15.341779162</v>
      </c>
      <c r="BV755" s="346">
        <v>30.313546311</v>
      </c>
      <c r="BW755" s="346">
        <v>18.581134969000001</v>
      </c>
      <c r="BX755" s="346">
        <v>17.695401184000001</v>
      </c>
      <c r="BY755" s="346">
        <v>22.579168789000001</v>
      </c>
      <c r="BZ755" s="346">
        <v>22.708549825999999</v>
      </c>
      <c r="CA755" s="346">
        <v>19.934396320000001</v>
      </c>
      <c r="CB755" s="346">
        <v>28.639394724999999</v>
      </c>
      <c r="CC755" s="346">
        <v>20.336807159999999</v>
      </c>
      <c r="CD755" s="352">
        <v>17.158938525</v>
      </c>
      <c r="CE755" s="346">
        <f t="shared" ref="CE755:DJ755" si="1163">CE390</f>
        <v>12.084946429</v>
      </c>
      <c r="CF755" s="346">
        <f t="shared" si="1163"/>
        <v>16.641337970999999</v>
      </c>
      <c r="CG755" s="346">
        <f t="shared" si="1163"/>
        <v>11.535242481999999</v>
      </c>
      <c r="CH755" s="346">
        <f t="shared" si="1163"/>
        <v>13.446777431999999</v>
      </c>
      <c r="CI755" s="346">
        <f t="shared" si="1163"/>
        <v>11.549069116</v>
      </c>
      <c r="CJ755" s="346">
        <f t="shared" si="1163"/>
        <v>21.617347962</v>
      </c>
      <c r="CK755" s="346">
        <f t="shared" si="1163"/>
        <v>18.68057962</v>
      </c>
      <c r="CL755" s="346">
        <f t="shared" si="1163"/>
        <v>12.042587356</v>
      </c>
      <c r="CM755" s="346">
        <f t="shared" si="1163"/>
        <v>11.203913953000001</v>
      </c>
      <c r="CN755" s="346">
        <f t="shared" si="1163"/>
        <v>20.462549265</v>
      </c>
      <c r="CO755" s="346">
        <f t="shared" si="1163"/>
        <v>14.246940855</v>
      </c>
      <c r="CP755" s="348">
        <f t="shared" si="1163"/>
        <v>13.797846104</v>
      </c>
      <c r="CQ755" s="346">
        <f t="shared" si="1163"/>
        <v>22.125224177</v>
      </c>
      <c r="CR755" s="346">
        <f t="shared" si="1163"/>
        <v>11.680938012999999</v>
      </c>
      <c r="CS755" s="346">
        <f t="shared" si="1163"/>
        <v>10.632267025000001</v>
      </c>
      <c r="CT755" s="346">
        <f t="shared" si="1163"/>
        <v>14.917411334000001</v>
      </c>
      <c r="CU755" s="346">
        <f t="shared" si="1163"/>
        <v>17.665506487000002</v>
      </c>
      <c r="CV755" s="346">
        <f t="shared" si="1163"/>
        <v>16.019195677999999</v>
      </c>
      <c r="CW755" s="346">
        <f t="shared" si="1163"/>
        <v>14.803298207000001</v>
      </c>
      <c r="CX755" s="346">
        <f t="shared" si="1163"/>
        <v>10.862487550000001</v>
      </c>
      <c r="CY755" s="346">
        <f t="shared" si="1163"/>
        <v>13.994371896000001</v>
      </c>
      <c r="CZ755" s="346">
        <f t="shared" si="1163"/>
        <v>29.684601096999998</v>
      </c>
      <c r="DA755" s="346">
        <f t="shared" si="1163"/>
        <v>12.741810667999999</v>
      </c>
      <c r="DB755" s="1479">
        <f t="shared" si="1163"/>
        <v>12.381021744</v>
      </c>
      <c r="DC755" s="346">
        <f t="shared" si="1163"/>
        <v>21.025343853999999</v>
      </c>
      <c r="DD755" s="346">
        <f t="shared" si="1163"/>
        <v>17.064450883999999</v>
      </c>
      <c r="DE755" s="346">
        <f t="shared" si="1163"/>
        <v>12.503224723000001</v>
      </c>
      <c r="DF755" s="346">
        <f t="shared" si="1163"/>
        <v>26.648569129999998</v>
      </c>
      <c r="DG755" s="346">
        <f t="shared" si="1163"/>
        <v>12.589854769</v>
      </c>
      <c r="DH755" s="346">
        <f t="shared" si="1163"/>
        <v>12.981874009</v>
      </c>
      <c r="DI755" s="346">
        <f t="shared" si="1163"/>
        <v>24.570269512000003</v>
      </c>
      <c r="DJ755" s="346">
        <f t="shared" si="1163"/>
        <v>14.147599534999999</v>
      </c>
      <c r="DK755" s="346">
        <f t="shared" ref="DK755:EP755" si="1164">DK390</f>
        <v>17.980855743999999</v>
      </c>
      <c r="DL755" s="346">
        <f t="shared" si="1164"/>
        <v>25.03187844</v>
      </c>
      <c r="DM755" s="346">
        <f t="shared" si="1164"/>
        <v>14.284373578</v>
      </c>
      <c r="DN755" s="348">
        <f t="shared" si="1164"/>
        <v>15.932570696999999</v>
      </c>
      <c r="DO755" s="346">
        <f t="shared" si="1164"/>
        <v>29.167450424999998</v>
      </c>
      <c r="DP755" s="346">
        <f t="shared" si="1164"/>
        <v>19.129080138999999</v>
      </c>
      <c r="DQ755" s="346">
        <f t="shared" si="1164"/>
        <v>14.161995213999999</v>
      </c>
      <c r="DR755" s="346">
        <f t="shared" si="1164"/>
        <v>24.304254657000001</v>
      </c>
      <c r="DS755" s="346">
        <f t="shared" si="1164"/>
        <v>22.521776881000001</v>
      </c>
      <c r="DT755" s="346">
        <f t="shared" si="1164"/>
        <v>28.084439060000001</v>
      </c>
      <c r="DU755" s="346">
        <f t="shared" si="1164"/>
        <v>17.621245055999999</v>
      </c>
      <c r="DV755" s="346">
        <f t="shared" si="1164"/>
        <v>14.694104893</v>
      </c>
      <c r="DW755" s="346">
        <f t="shared" si="1164"/>
        <v>15.788266745</v>
      </c>
      <c r="DX755" s="346">
        <f t="shared" si="1164"/>
        <v>18.858721238000001</v>
      </c>
      <c r="DY755" s="346">
        <f t="shared" si="1164"/>
        <v>20.154612772</v>
      </c>
      <c r="DZ755" s="348">
        <f t="shared" si="1164"/>
        <v>12.514045055</v>
      </c>
      <c r="EA755" s="346">
        <f t="shared" si="1164"/>
        <v>19.792766867000001</v>
      </c>
      <c r="EB755" s="346">
        <f t="shared" si="1164"/>
        <v>29.107965469</v>
      </c>
      <c r="EC755" s="346">
        <f t="shared" si="1164"/>
        <v>17.851015699000001</v>
      </c>
      <c r="ED755" s="346">
        <f t="shared" si="1164"/>
        <v>25.050136369999997</v>
      </c>
      <c r="EE755" s="346">
        <f t="shared" si="1164"/>
        <v>16.03047767</v>
      </c>
      <c r="EF755" s="346">
        <f t="shared" si="1164"/>
        <v>17.075456347999999</v>
      </c>
      <c r="EG755" s="346">
        <f t="shared" si="1164"/>
        <v>29.697801458000001</v>
      </c>
      <c r="EH755" s="346">
        <f t="shared" si="1164"/>
        <v>17.353562953000001</v>
      </c>
      <c r="EI755" s="346">
        <f t="shared" si="1164"/>
        <v>19.302877180999999</v>
      </c>
      <c r="EJ755" s="346">
        <f t="shared" si="1164"/>
        <v>16.074630841000001</v>
      </c>
      <c r="EK755" s="346">
        <f t="shared" si="1164"/>
        <v>17.364053209000001</v>
      </c>
      <c r="EL755" s="348">
        <f t="shared" si="1164"/>
        <v>27.018982661999999</v>
      </c>
      <c r="EM755" s="346">
        <f t="shared" si="1164"/>
        <v>22.357965588999999</v>
      </c>
      <c r="EN755" s="346">
        <f t="shared" si="1164"/>
        <v>16.751667105999999</v>
      </c>
      <c r="EO755" s="346">
        <f t="shared" si="1164"/>
        <v>21.494867534000001</v>
      </c>
      <c r="EP755" s="346">
        <f t="shared" si="1164"/>
        <v>19.897867833999999</v>
      </c>
      <c r="EQ755" s="346">
        <f t="shared" ref="EQ755:FP755" si="1165">EQ390</f>
        <v>20.456608388999999</v>
      </c>
      <c r="ER755" s="346">
        <f t="shared" si="1165"/>
        <v>19.093174125000001</v>
      </c>
      <c r="ES755" s="346">
        <f t="shared" si="1165"/>
        <v>18.326633822000002</v>
      </c>
      <c r="ET755" s="346">
        <f t="shared" si="1165"/>
        <v>16.340402107999999</v>
      </c>
      <c r="EU755" s="346">
        <f t="shared" si="1165"/>
        <v>19.299630279999999</v>
      </c>
      <c r="EV755" s="346">
        <f t="shared" si="1165"/>
        <v>30.557929358999999</v>
      </c>
      <c r="EW755" s="346">
        <f t="shared" si="1165"/>
        <v>18.860687762000001</v>
      </c>
      <c r="EX755" s="348">
        <f t="shared" si="1165"/>
        <v>18.451488112</v>
      </c>
      <c r="EY755" s="346">
        <f t="shared" si="1165"/>
        <v>24.239414982</v>
      </c>
      <c r="EZ755" s="346">
        <f t="shared" si="1165"/>
        <v>22.120656127</v>
      </c>
      <c r="FA755" s="346">
        <f t="shared" si="1165"/>
        <v>24.752837227000001</v>
      </c>
      <c r="FB755" s="346">
        <f t="shared" si="1165"/>
        <v>21.791038657000001</v>
      </c>
      <c r="FC755" s="346">
        <f t="shared" si="1165"/>
        <v>20.659359716000001</v>
      </c>
      <c r="FD755" s="346">
        <f t="shared" si="1165"/>
        <v>20.369496972</v>
      </c>
      <c r="FE755" s="346">
        <f t="shared" si="1165"/>
        <v>23.644461118999999</v>
      </c>
      <c r="FF755" s="346">
        <f t="shared" si="1165"/>
        <v>23.365711551</v>
      </c>
      <c r="FG755" s="346">
        <f t="shared" si="1165"/>
        <v>23.756543451999999</v>
      </c>
      <c r="FH755" s="346">
        <f t="shared" si="1165"/>
        <v>21.769161843999999</v>
      </c>
      <c r="FI755" s="346">
        <f t="shared" si="1165"/>
        <v>20.625322347000001</v>
      </c>
      <c r="FJ755" s="348">
        <f t="shared" si="1165"/>
        <v>19.233060912999999</v>
      </c>
      <c r="FK755" s="346">
        <f t="shared" si="1165"/>
        <v>29.570546665999998</v>
      </c>
      <c r="FL755" s="346">
        <f t="shared" si="1165"/>
        <v>22.137874499999999</v>
      </c>
      <c r="FM755" s="346">
        <f t="shared" si="1165"/>
        <v>27.730051836000001</v>
      </c>
      <c r="FN755" s="346">
        <f t="shared" si="1165"/>
        <v>21.882148518000001</v>
      </c>
      <c r="FO755" s="346">
        <f t="shared" si="1165"/>
        <v>23.733691864000001</v>
      </c>
      <c r="FP755" s="346">
        <f t="shared" si="1165"/>
        <v>24.722198594999998</v>
      </c>
      <c r="FQ755" s="346">
        <f t="shared" ref="FQ755:FV755" si="1166">FQ390</f>
        <v>24.172258857999999</v>
      </c>
      <c r="FR755" s="346">
        <f t="shared" si="1166"/>
        <v>23.306203089</v>
      </c>
      <c r="FS755" s="346">
        <f t="shared" si="1166"/>
        <v>27.001394251000001</v>
      </c>
      <c r="FT755" s="346">
        <f t="shared" si="1166"/>
        <v>27.925303683999999</v>
      </c>
      <c r="FU755" s="346">
        <f t="shared" si="1166"/>
        <v>22.811686567999999</v>
      </c>
      <c r="FV755" s="346">
        <f t="shared" si="1166"/>
        <v>27.270000856999999</v>
      </c>
      <c r="FW755" s="346">
        <v>27.985889607000001</v>
      </c>
      <c r="FX755" s="346">
        <v>25.470386143999999</v>
      </c>
      <c r="FY755" s="346">
        <v>27.882268113999999</v>
      </c>
      <c r="FZ755" s="346">
        <v>23.928393582000002</v>
      </c>
      <c r="GA755" s="346">
        <v>23.051851422999999</v>
      </c>
      <c r="GB755" s="346">
        <v>27.792378003</v>
      </c>
      <c r="GC755" s="346">
        <v>27.425837423000001</v>
      </c>
      <c r="GD755" s="346">
        <v>23.265284333</v>
      </c>
      <c r="GE755" s="346">
        <v>31.804743653999999</v>
      </c>
      <c r="GF755" s="346">
        <v>28.850202827</v>
      </c>
      <c r="GG755" s="346">
        <v>24.292558516</v>
      </c>
      <c r="GH755" s="346">
        <v>25.983635314000001</v>
      </c>
      <c r="GI755" s="1897">
        <f>GI390</f>
        <v>30.113241413643486</v>
      </c>
      <c r="GJ755" s="1897">
        <f t="shared" ref="GJ755:GN755" si="1167">GJ390</f>
        <v>35.679176520696799</v>
      </c>
      <c r="GK755" s="1897">
        <f t="shared" si="1167"/>
        <v>31.007582065659722</v>
      </c>
      <c r="GL755" s="1897">
        <f t="shared" si="1167"/>
        <v>28.178557720533593</v>
      </c>
      <c r="GM755" s="1897">
        <f t="shared" si="1167"/>
        <v>27.095698616651859</v>
      </c>
      <c r="GN755" s="1897">
        <f t="shared" si="1167"/>
        <v>31.791908731814541</v>
      </c>
      <c r="GO755" s="1897">
        <f t="shared" ref="GO755:HL755" si="1168">GO390</f>
        <v>29.058697854856561</v>
      </c>
      <c r="GP755" s="1897">
        <f t="shared" si="1168"/>
        <v>26.849872090047256</v>
      </c>
      <c r="GQ755" s="1897">
        <f t="shared" si="1168"/>
        <v>29.84603631209621</v>
      </c>
      <c r="GR755" s="1897">
        <f t="shared" si="1168"/>
        <v>32.732846604310609</v>
      </c>
      <c r="GS755" s="1897">
        <f t="shared" si="1168"/>
        <v>31.472732499674731</v>
      </c>
      <c r="GT755" s="1897">
        <f t="shared" si="1168"/>
        <v>33.887481956014653</v>
      </c>
      <c r="GU755" s="1897">
        <f t="shared" si="1168"/>
        <v>33.482240844000003</v>
      </c>
      <c r="GV755" s="1897">
        <f t="shared" si="1168"/>
        <v>39.155358345000003</v>
      </c>
      <c r="GW755" s="1897">
        <f t="shared" si="1168"/>
        <v>32.590146595999997</v>
      </c>
      <c r="GX755" s="1897">
        <f t="shared" si="1168"/>
        <v>45.176959107999998</v>
      </c>
      <c r="GY755" s="1897">
        <f t="shared" si="1168"/>
        <v>41.296475426999997</v>
      </c>
      <c r="GZ755" s="1897">
        <f t="shared" si="1168"/>
        <v>41.820793868999999</v>
      </c>
      <c r="HA755" s="1897">
        <f t="shared" si="1168"/>
        <v>37.895347049999998</v>
      </c>
      <c r="HB755" s="1897">
        <f t="shared" si="1168"/>
        <v>32.708509130000003</v>
      </c>
      <c r="HC755" s="1897">
        <f t="shared" si="1168"/>
        <v>36.492180198</v>
      </c>
      <c r="HD755" s="1897">
        <f t="shared" si="1168"/>
        <v>40.309171553999995</v>
      </c>
      <c r="HE755" s="1897">
        <f t="shared" si="1168"/>
        <v>42.03648329</v>
      </c>
      <c r="HF755" s="1897">
        <f t="shared" si="1168"/>
        <v>44.443864097999999</v>
      </c>
      <c r="HG755" s="1897">
        <f t="shared" si="1168"/>
        <v>44.858994987000003</v>
      </c>
      <c r="HH755" s="1897">
        <f t="shared" si="1168"/>
        <v>58.406326470000003</v>
      </c>
      <c r="HI755" s="1897">
        <f t="shared" si="1168"/>
        <v>34.531688420999998</v>
      </c>
      <c r="HJ755" s="1897">
        <f t="shared" si="1168"/>
        <v>41.914696309999997</v>
      </c>
      <c r="HK755" s="1897">
        <f t="shared" si="1168"/>
        <v>36.137116851999998</v>
      </c>
      <c r="HL755" s="1897">
        <f t="shared" si="1168"/>
        <v>59.012358837000001</v>
      </c>
      <c r="HM755" s="1897"/>
      <c r="HN755" s="349"/>
      <c r="HO755" s="355" t="s">
        <v>559</v>
      </c>
      <c r="HP755" s="307">
        <f>SUM(CE755:CJ755)</f>
        <v>86.874721391999998</v>
      </c>
      <c r="HQ755" s="302">
        <f>SUM(CK755:CP755)</f>
        <v>90.434417152999998</v>
      </c>
      <c r="HR755" s="346">
        <f>HP755+HQ755</f>
        <v>177.309138545</v>
      </c>
      <c r="HS755" s="302">
        <f>SUM(CQ755:CV755)</f>
        <v>93.040542714000011</v>
      </c>
      <c r="HT755" s="302">
        <f>SUM(CW755:DB755)</f>
        <v>94.467591161999991</v>
      </c>
      <c r="HU755" s="346">
        <f>HS755+HT755</f>
        <v>187.50813387599999</v>
      </c>
      <c r="HV755" s="307">
        <f>SUM(DC755:DH755)</f>
        <v>102.81331736899999</v>
      </c>
      <c r="HW755" s="302">
        <f>SUM(DI755:DN755)</f>
        <v>111.94754750600001</v>
      </c>
      <c r="HX755" s="346">
        <f>HV755+HW755</f>
        <v>214.76086487499998</v>
      </c>
      <c r="HY755" s="350">
        <f>SUM(DO755:DT755)</f>
        <v>137.36899637599998</v>
      </c>
      <c r="HZ755" s="302">
        <f>SUM(DU755:DZ755)</f>
        <v>99.630995759000001</v>
      </c>
      <c r="IA755" s="346">
        <f>HY755+HZ755</f>
        <v>236.99999213499999</v>
      </c>
      <c r="IB755" s="302">
        <f>SUM(EA755:EF755)</f>
        <v>124.90781842300001</v>
      </c>
      <c r="IC755" s="302">
        <f>SUM(EG755:EL755)</f>
        <v>126.811908304</v>
      </c>
      <c r="ID755" s="346">
        <f>IB755+IC755</f>
        <v>251.71972672700002</v>
      </c>
      <c r="IE755" s="350">
        <f>SUM(EM755:ER755)</f>
        <v>120.05215057700001</v>
      </c>
      <c r="IF755" s="350">
        <f>SUM(ES755:EX755)</f>
        <v>121.836771443</v>
      </c>
      <c r="IG755" s="346">
        <f>IE755+IF755</f>
        <v>241.88892202</v>
      </c>
      <c r="IH755" s="350">
        <f>SUM(EY755:FD755)</f>
        <v>133.932803681</v>
      </c>
      <c r="II755" s="350">
        <f>SUM(FE755:FJ755)</f>
        <v>132.394261226</v>
      </c>
      <c r="IJ755" s="346">
        <f>IH755+II755</f>
        <v>266.32706490700002</v>
      </c>
      <c r="IK755" s="350">
        <f t="shared" si="1143"/>
        <v>149.77651197900002</v>
      </c>
      <c r="IL755" s="350">
        <f t="shared" si="993"/>
        <v>152.48684730700001</v>
      </c>
      <c r="IM755" s="346">
        <f t="shared" si="1080"/>
        <v>302.26335928600002</v>
      </c>
      <c r="IN755" s="350">
        <f t="shared" si="1052"/>
        <v>156.111166873</v>
      </c>
      <c r="IO755" s="350">
        <f t="shared" si="1053"/>
        <v>161.62226206699998</v>
      </c>
      <c r="IP755" s="346">
        <f t="shared" si="1066"/>
        <v>317.73342893999995</v>
      </c>
      <c r="IQ755" s="350">
        <f t="shared" si="1054"/>
        <v>183.86616506899998</v>
      </c>
      <c r="IR755" s="350">
        <f t="shared" si="1055"/>
        <v>183.84766731700003</v>
      </c>
      <c r="IS755" s="346">
        <f t="shared" si="1067"/>
        <v>367.71383238600004</v>
      </c>
      <c r="IT755" s="350">
        <f t="shared" ref="IT755:IT779" si="1169">SUM(GU755:GZ755)</f>
        <v>233.52197418899999</v>
      </c>
      <c r="IU755" s="350">
        <f t="shared" si="986"/>
        <v>233.88555532000001</v>
      </c>
      <c r="IV755" s="346">
        <f t="shared" si="1020"/>
        <v>467.40752950900003</v>
      </c>
      <c r="IW755" s="350">
        <f t="shared" si="1081"/>
        <v>274.86118187699998</v>
      </c>
      <c r="IX755" s="350">
        <f t="shared" si="1069"/>
        <v>293.74911418041353</v>
      </c>
      <c r="IY755" s="346">
        <f>FISC!AJ1077</f>
        <v>568.61029605741351</v>
      </c>
      <c r="IZ755" s="350">
        <f>JB755*0.5</f>
        <v>336.33528235285195</v>
      </c>
      <c r="JA755" s="302">
        <f t="shared" si="1119"/>
        <v>336.33528235285195</v>
      </c>
      <c r="JB755" s="346">
        <f>FISC!AK1077</f>
        <v>672.6705647057039</v>
      </c>
      <c r="JC755" s="350">
        <f>JE755*0.5</f>
        <v>378.5735702042652</v>
      </c>
      <c r="JD755" s="302">
        <f t="shared" si="1120"/>
        <v>378.5735702042652</v>
      </c>
      <c r="JE755" s="346">
        <f>FISC!AL1077</f>
        <v>757.14714040853039</v>
      </c>
      <c r="JF755" s="350">
        <f>JH755*0.5</f>
        <v>428.71117354791079</v>
      </c>
      <c r="JG755" s="302">
        <f t="shared" si="1121"/>
        <v>428.71117354791079</v>
      </c>
      <c r="JH755" s="346">
        <f>FISC!AM1077</f>
        <v>857.42234709582158</v>
      </c>
      <c r="JI755" s="350">
        <f>JK755*0.5</f>
        <v>484.26821867813493</v>
      </c>
      <c r="JJ755" s="302">
        <f t="shared" si="1122"/>
        <v>484.26821867813493</v>
      </c>
      <c r="JK755" s="346">
        <f>FISC!AN1077</f>
        <v>968.53643735626986</v>
      </c>
      <c r="JL755" s="350">
        <f>JN755*0.5</f>
        <v>545.91238082304415</v>
      </c>
      <c r="JM755" s="302">
        <f t="shared" si="1123"/>
        <v>545.91238082304415</v>
      </c>
      <c r="JN755" s="346">
        <f>FISC!AO1077</f>
        <v>1091.8247616460883</v>
      </c>
      <c r="KI755" s="349"/>
      <c r="KJ755" s="350"/>
    </row>
    <row r="756" spans="1:302" hidden="1" outlineLevel="1">
      <c r="A756" s="302"/>
      <c r="D756" s="1638" t="s">
        <v>3245</v>
      </c>
      <c r="E756" s="346"/>
      <c r="F756" s="346"/>
      <c r="G756" s="346"/>
      <c r="H756" s="346"/>
      <c r="I756" s="346"/>
      <c r="J756" s="346"/>
      <c r="K756" s="346"/>
      <c r="L756" s="346"/>
      <c r="M756" s="346"/>
      <c r="N756" s="346"/>
      <c r="O756" s="346"/>
      <c r="P756" s="346"/>
      <c r="Q756" s="346"/>
      <c r="R756" s="346"/>
      <c r="S756" s="346"/>
      <c r="T756" s="346"/>
      <c r="U756" s="346"/>
      <c r="V756" s="346"/>
      <c r="W756" s="346"/>
      <c r="X756" s="346"/>
      <c r="Y756" s="346"/>
      <c r="Z756" s="346"/>
      <c r="AA756" s="346"/>
      <c r="AB756" s="346"/>
      <c r="AC756" s="346"/>
      <c r="AD756" s="346"/>
      <c r="AE756" s="346"/>
      <c r="AF756" s="346"/>
      <c r="AG756" s="346"/>
      <c r="AH756" s="346"/>
      <c r="AI756" s="346"/>
      <c r="AJ756" s="346"/>
      <c r="AK756" s="346"/>
      <c r="AL756" s="346"/>
      <c r="AM756" s="346"/>
      <c r="AN756" s="346"/>
      <c r="AO756" s="346"/>
      <c r="AP756" s="346"/>
      <c r="AQ756" s="346"/>
      <c r="AR756" s="346"/>
      <c r="AS756" s="346"/>
      <c r="AT756" s="346"/>
      <c r="AU756" s="346"/>
      <c r="AV756" s="346"/>
      <c r="AW756" s="346"/>
      <c r="AX756" s="346"/>
      <c r="AY756" s="346"/>
      <c r="AZ756" s="346"/>
      <c r="BA756" s="346"/>
      <c r="BB756" s="346"/>
      <c r="BC756" s="346"/>
      <c r="BD756" s="346"/>
      <c r="BE756" s="346"/>
      <c r="BF756" s="346"/>
      <c r="BG756" s="346"/>
      <c r="BH756" s="346"/>
      <c r="BI756" s="346"/>
      <c r="BJ756" s="346"/>
      <c r="BK756" s="346"/>
      <c r="BL756" s="346"/>
      <c r="BM756" s="346"/>
      <c r="BN756" s="346"/>
      <c r="BO756" s="346"/>
      <c r="BP756" s="346"/>
      <c r="BQ756" s="346"/>
      <c r="BR756" s="346"/>
      <c r="BS756" s="346"/>
      <c r="BT756" s="346"/>
      <c r="BU756" s="346"/>
      <c r="BV756" s="346"/>
      <c r="BW756" s="346"/>
      <c r="BX756" s="346"/>
      <c r="BY756" s="346"/>
      <c r="BZ756" s="346"/>
      <c r="CA756" s="346"/>
      <c r="CB756" s="346"/>
      <c r="CC756" s="346"/>
      <c r="CD756" s="352"/>
      <c r="CE756" s="346"/>
      <c r="CF756" s="346"/>
      <c r="CG756" s="346"/>
      <c r="CH756" s="346"/>
      <c r="CI756" s="346"/>
      <c r="CJ756" s="346"/>
      <c r="CK756" s="346"/>
      <c r="CL756" s="346"/>
      <c r="CM756" s="346"/>
      <c r="CN756" s="346"/>
      <c r="CO756" s="346"/>
      <c r="CP756" s="348"/>
      <c r="CQ756" s="346"/>
      <c r="CR756" s="346"/>
      <c r="CS756" s="346"/>
      <c r="CT756" s="346"/>
      <c r="CU756" s="346"/>
      <c r="CV756" s="346"/>
      <c r="CW756" s="346"/>
      <c r="CX756" s="346"/>
      <c r="CY756" s="346"/>
      <c r="CZ756" s="346"/>
      <c r="DA756" s="346"/>
      <c r="DB756" s="1479"/>
      <c r="DC756" s="346"/>
      <c r="DD756" s="346"/>
      <c r="DE756" s="346"/>
      <c r="DF756" s="346"/>
      <c r="DG756" s="346"/>
      <c r="DH756" s="346"/>
      <c r="DI756" s="346"/>
      <c r="DJ756" s="346"/>
      <c r="DK756" s="346"/>
      <c r="DL756" s="346"/>
      <c r="DM756" s="346"/>
      <c r="DN756" s="348"/>
      <c r="DO756" s="346"/>
      <c r="DP756" s="346"/>
      <c r="DQ756" s="346"/>
      <c r="DR756" s="346"/>
      <c r="DS756" s="346"/>
      <c r="DT756" s="346"/>
      <c r="DU756" s="346"/>
      <c r="DV756" s="346"/>
      <c r="DW756" s="346"/>
      <c r="DX756" s="346"/>
      <c r="DY756" s="346"/>
      <c r="DZ756" s="348"/>
      <c r="EA756" s="346"/>
      <c r="EB756" s="346"/>
      <c r="EC756" s="346"/>
      <c r="ED756" s="346"/>
      <c r="EE756" s="346"/>
      <c r="EF756" s="346"/>
      <c r="EG756" s="346"/>
      <c r="EH756" s="346"/>
      <c r="EI756" s="346"/>
      <c r="EJ756" s="346"/>
      <c r="EK756" s="346"/>
      <c r="EL756" s="348"/>
      <c r="EM756" s="346"/>
      <c r="EN756" s="346"/>
      <c r="EO756" s="346"/>
      <c r="EP756" s="346"/>
      <c r="EQ756" s="346"/>
      <c r="ER756" s="346"/>
      <c r="ES756" s="346"/>
      <c r="ET756" s="346"/>
      <c r="EU756" s="346"/>
      <c r="EV756" s="346"/>
      <c r="EW756" s="346"/>
      <c r="EX756" s="348"/>
      <c r="EY756" s="346"/>
      <c r="EZ756" s="346"/>
      <c r="FA756" s="346"/>
      <c r="FB756" s="346"/>
      <c r="FC756" s="346"/>
      <c r="FD756" s="346"/>
      <c r="FE756" s="346"/>
      <c r="FF756" s="346"/>
      <c r="FG756" s="346"/>
      <c r="FH756" s="346"/>
      <c r="FI756" s="346"/>
      <c r="FJ756" s="348"/>
      <c r="FK756" s="346"/>
      <c r="FL756" s="346"/>
      <c r="FM756" s="346"/>
      <c r="FN756" s="346"/>
      <c r="FO756" s="346"/>
      <c r="FP756" s="346"/>
      <c r="FQ756" s="346"/>
      <c r="FR756" s="346"/>
      <c r="FS756" s="346"/>
      <c r="FT756" s="346"/>
      <c r="FU756" s="346"/>
      <c r="FV756" s="346"/>
      <c r="FW756" s="346"/>
      <c r="FX756" s="346"/>
      <c r="FY756" s="346"/>
      <c r="FZ756" s="346"/>
      <c r="GA756" s="346"/>
      <c r="GB756" s="346"/>
      <c r="GC756" s="346"/>
      <c r="GD756" s="346"/>
      <c r="GE756" s="346"/>
      <c r="GF756" s="346"/>
      <c r="GG756" s="346"/>
      <c r="GH756" s="346"/>
      <c r="GI756" s="1897"/>
      <c r="HN756" s="349"/>
      <c r="HO756" s="1638" t="s">
        <v>3245</v>
      </c>
      <c r="HP756" s="307"/>
      <c r="HR756" s="346"/>
      <c r="HU756" s="346"/>
      <c r="HV756" s="307"/>
      <c r="HX756" s="346"/>
      <c r="HY756" s="350"/>
      <c r="IA756" s="346"/>
      <c r="ID756" s="346"/>
      <c r="IE756" s="350"/>
      <c r="IF756" s="350"/>
      <c r="IG756" s="346"/>
      <c r="IH756" s="350"/>
      <c r="II756" s="350"/>
      <c r="IJ756" s="346"/>
      <c r="IK756" s="350">
        <v>30.456305773067402</v>
      </c>
      <c r="IL756" s="350">
        <f t="shared" si="993"/>
        <v>0</v>
      </c>
      <c r="IM756" s="346">
        <f t="shared" si="1080"/>
        <v>30.456305773067402</v>
      </c>
      <c r="IN756" s="350">
        <f t="shared" si="1052"/>
        <v>0</v>
      </c>
      <c r="IO756" s="350">
        <f t="shared" si="1053"/>
        <v>0</v>
      </c>
      <c r="IP756" s="346">
        <f t="shared" si="1066"/>
        <v>0</v>
      </c>
      <c r="IQ756" s="350">
        <f t="shared" si="1054"/>
        <v>0</v>
      </c>
      <c r="IR756" s="350">
        <f t="shared" si="1055"/>
        <v>0</v>
      </c>
      <c r="IS756" s="346">
        <f t="shared" si="1067"/>
        <v>0</v>
      </c>
      <c r="IT756" s="350">
        <f t="shared" si="1169"/>
        <v>0</v>
      </c>
      <c r="IU756" s="350">
        <f t="shared" si="986"/>
        <v>0</v>
      </c>
      <c r="IV756" s="346">
        <f t="shared" si="1020"/>
        <v>0</v>
      </c>
      <c r="IW756" s="350">
        <f t="shared" si="1081"/>
        <v>0</v>
      </c>
      <c r="IX756" s="350">
        <f t="shared" si="1069"/>
        <v>0</v>
      </c>
      <c r="IY756" s="346">
        <f>FISC!AJ1078</f>
        <v>0</v>
      </c>
      <c r="IZ756" s="350">
        <f>JB756*0.5</f>
        <v>0</v>
      </c>
      <c r="JA756" s="302">
        <f t="shared" si="1119"/>
        <v>0</v>
      </c>
      <c r="JB756" s="346">
        <f>FISC!AK1078</f>
        <v>0</v>
      </c>
      <c r="JC756" s="350">
        <f>JE756*0.5</f>
        <v>0</v>
      </c>
      <c r="JD756" s="302">
        <f t="shared" si="1120"/>
        <v>0</v>
      </c>
      <c r="JE756" s="346">
        <f>FISC!AL1078</f>
        <v>0</v>
      </c>
      <c r="JF756" s="350">
        <f>JH756*0.5</f>
        <v>0</v>
      </c>
      <c r="JG756" s="302">
        <f t="shared" si="1121"/>
        <v>0</v>
      </c>
      <c r="JH756" s="346">
        <f>FISC!AM1078</f>
        <v>0</v>
      </c>
      <c r="JI756" s="350">
        <f>JK756*0.5</f>
        <v>0</v>
      </c>
      <c r="JJ756" s="302">
        <f t="shared" si="1122"/>
        <v>0</v>
      </c>
      <c r="JK756" s="346">
        <f>FISC!AN1078</f>
        <v>0</v>
      </c>
      <c r="JL756" s="350">
        <f>JN756*0.5</f>
        <v>0</v>
      </c>
      <c r="JM756" s="302">
        <f t="shared" si="1123"/>
        <v>0</v>
      </c>
      <c r="JN756" s="346">
        <f>FISC!AO1078</f>
        <v>0</v>
      </c>
      <c r="KI756" s="349"/>
      <c r="KJ756" s="350"/>
    </row>
    <row r="757" spans="1:302" hidden="1" outlineLevel="1">
      <c r="A757" s="302"/>
      <c r="B757" s="117" t="s">
        <v>361</v>
      </c>
      <c r="D757" s="355" t="s">
        <v>560</v>
      </c>
      <c r="E757" s="346">
        <f>E391</f>
        <v>0</v>
      </c>
      <c r="F757" s="346"/>
      <c r="G757" s="346"/>
      <c r="H757" s="346"/>
      <c r="I757" s="346"/>
      <c r="J757" s="346"/>
      <c r="K757" s="346"/>
      <c r="L757" s="346"/>
      <c r="M757" s="346"/>
      <c r="N757" s="346"/>
      <c r="O757" s="346"/>
      <c r="P757" s="346"/>
      <c r="Q757" s="346"/>
      <c r="R757" s="346"/>
      <c r="S757" s="346"/>
      <c r="T757" s="346"/>
      <c r="U757" s="346"/>
      <c r="V757" s="346"/>
      <c r="W757" s="346"/>
      <c r="X757" s="346"/>
      <c r="Y757" s="346"/>
      <c r="Z757" s="346"/>
      <c r="AA757" s="346"/>
      <c r="AB757" s="346"/>
      <c r="AC757" s="346"/>
      <c r="AD757" s="346"/>
      <c r="AE757" s="346"/>
      <c r="AF757" s="346"/>
      <c r="AG757" s="346"/>
      <c r="AH757" s="346"/>
      <c r="AI757" s="346"/>
      <c r="AJ757" s="346"/>
      <c r="AK757" s="346"/>
      <c r="AL757" s="346"/>
      <c r="AM757" s="346"/>
      <c r="AN757" s="346"/>
      <c r="AO757" s="346"/>
      <c r="AP757" s="346"/>
      <c r="AQ757" s="346"/>
      <c r="AR757" s="346"/>
      <c r="AS757" s="346"/>
      <c r="AT757" s="346"/>
      <c r="AU757" s="346"/>
      <c r="AV757" s="346"/>
      <c r="AW757" s="346"/>
      <c r="AX757" s="346"/>
      <c r="AY757" s="346"/>
      <c r="AZ757" s="346"/>
      <c r="BA757" s="346"/>
      <c r="BB757" s="346"/>
      <c r="BC757" s="346"/>
      <c r="BD757" s="346"/>
      <c r="BE757" s="346"/>
      <c r="BF757" s="346"/>
      <c r="BG757" s="346">
        <v>20.688596970159999</v>
      </c>
      <c r="BH757" s="346">
        <v>40.874441569289999</v>
      </c>
      <c r="BI757" s="346">
        <v>20.520046135729999</v>
      </c>
      <c r="BJ757" s="346">
        <v>37.145521713000001</v>
      </c>
      <c r="BK757" s="346">
        <v>26.691796255</v>
      </c>
      <c r="BL757" s="346">
        <v>15.134125903999999</v>
      </c>
      <c r="BM757" s="346">
        <v>30.254810819999999</v>
      </c>
      <c r="BN757" s="346">
        <v>23.314049823000001</v>
      </c>
      <c r="BO757" s="346">
        <v>20.342163519269999</v>
      </c>
      <c r="BP757" s="346">
        <v>34.491371984129998</v>
      </c>
      <c r="BQ757" s="346">
        <v>36.223673911790002</v>
      </c>
      <c r="BR757" s="346">
        <v>8.2638545402499997</v>
      </c>
      <c r="BS757" s="346">
        <v>21.700445538</v>
      </c>
      <c r="BT757" s="346">
        <v>18.251936741130002</v>
      </c>
      <c r="BU757" s="346">
        <v>12.904327297</v>
      </c>
      <c r="BV757" s="346">
        <v>32.799223348159998</v>
      </c>
      <c r="BW757" s="346">
        <v>17.501554906999999</v>
      </c>
      <c r="BX757" s="346">
        <v>10.529887762</v>
      </c>
      <c r="BY757" s="346">
        <v>23.578153191999998</v>
      </c>
      <c r="BZ757" s="346">
        <v>16.604365275299998</v>
      </c>
      <c r="CA757" s="346">
        <v>13.98110791561</v>
      </c>
      <c r="CB757" s="346">
        <v>28.17318181141</v>
      </c>
      <c r="CC757" s="346">
        <v>27.699043616179999</v>
      </c>
      <c r="CD757" s="352">
        <v>10.53953322998</v>
      </c>
      <c r="CE757" s="346">
        <f t="shared" ref="CE757:DJ757" si="1170">CE391</f>
        <v>15.731054242000001</v>
      </c>
      <c r="CF757" s="346">
        <f t="shared" si="1170"/>
        <v>16.405483981</v>
      </c>
      <c r="CG757" s="346">
        <f t="shared" si="1170"/>
        <v>21.585533810000001</v>
      </c>
      <c r="CH757" s="346">
        <f t="shared" si="1170"/>
        <v>27.350314616999999</v>
      </c>
      <c r="CI757" s="346">
        <f t="shared" si="1170"/>
        <v>13.658730389</v>
      </c>
      <c r="CJ757" s="346">
        <f t="shared" si="1170"/>
        <v>18.427161891000001</v>
      </c>
      <c r="CK757" s="346">
        <f t="shared" si="1170"/>
        <v>39.833826203000001</v>
      </c>
      <c r="CL757" s="346">
        <f t="shared" si="1170"/>
        <v>18.251172755999999</v>
      </c>
      <c r="CM757" s="346">
        <f t="shared" si="1170"/>
        <v>14.671889995000001</v>
      </c>
      <c r="CN757" s="346">
        <f t="shared" si="1170"/>
        <v>50.69286614</v>
      </c>
      <c r="CO757" s="346">
        <f t="shared" si="1170"/>
        <v>25.034705138</v>
      </c>
      <c r="CP757" s="348">
        <f t="shared" si="1170"/>
        <v>16.970877212000001</v>
      </c>
      <c r="CQ757" s="346">
        <f t="shared" si="1170"/>
        <v>20.994125008000001</v>
      </c>
      <c r="CR757" s="346">
        <f t="shared" si="1170"/>
        <v>20.283407453999999</v>
      </c>
      <c r="CS757" s="346">
        <f t="shared" si="1170"/>
        <v>31.619234175999999</v>
      </c>
      <c r="CT757" s="346">
        <f t="shared" si="1170"/>
        <v>19.26378047</v>
      </c>
      <c r="CU757" s="346">
        <f t="shared" si="1170"/>
        <v>24.645373439</v>
      </c>
      <c r="CV757" s="346">
        <f t="shared" si="1170"/>
        <v>18.372023926000001</v>
      </c>
      <c r="CW757" s="346">
        <f t="shared" si="1170"/>
        <v>21.650760910999999</v>
      </c>
      <c r="CX757" s="346">
        <f t="shared" si="1170"/>
        <v>15.237479366000001</v>
      </c>
      <c r="CY757" s="346">
        <f t="shared" si="1170"/>
        <v>34.053341205000002</v>
      </c>
      <c r="CZ757" s="346">
        <f t="shared" si="1170"/>
        <v>26.004351462999999</v>
      </c>
      <c r="DA757" s="346">
        <f t="shared" si="1170"/>
        <v>18.784718505000001</v>
      </c>
      <c r="DB757" s="1479">
        <f t="shared" si="1170"/>
        <v>6.0589450539999996</v>
      </c>
      <c r="DC757" s="346">
        <f t="shared" si="1170"/>
        <v>38.149480719000003</v>
      </c>
      <c r="DD757" s="346">
        <f t="shared" si="1170"/>
        <v>23.557425863999999</v>
      </c>
      <c r="DE757" s="346">
        <f t="shared" si="1170"/>
        <v>30.633589646000001</v>
      </c>
      <c r="DF757" s="346">
        <f t="shared" si="1170"/>
        <v>49.601166610999996</v>
      </c>
      <c r="DG757" s="346">
        <f t="shared" si="1170"/>
        <v>20.703508348</v>
      </c>
      <c r="DH757" s="346">
        <f t="shared" si="1170"/>
        <v>22.386334601000001</v>
      </c>
      <c r="DI757" s="346">
        <f t="shared" si="1170"/>
        <v>42.277166563999998</v>
      </c>
      <c r="DJ757" s="346">
        <f t="shared" si="1170"/>
        <v>21.631391396000001</v>
      </c>
      <c r="DK757" s="346">
        <f t="shared" ref="DK757:EP757" si="1171">DK391</f>
        <v>23.819228024000001</v>
      </c>
      <c r="DL757" s="346">
        <f t="shared" si="1171"/>
        <v>14.698335522000001</v>
      </c>
      <c r="DM757" s="346">
        <f t="shared" si="1171"/>
        <v>27.17271002</v>
      </c>
      <c r="DN757" s="348">
        <f t="shared" si="1171"/>
        <v>15.134866927999999</v>
      </c>
      <c r="DO757" s="346">
        <f t="shared" si="1171"/>
        <v>47.374549019</v>
      </c>
      <c r="DP757" s="346">
        <f t="shared" si="1171"/>
        <v>45.593146375000003</v>
      </c>
      <c r="DQ757" s="346">
        <f t="shared" si="1171"/>
        <v>28.136756302999999</v>
      </c>
      <c r="DR757" s="346">
        <f t="shared" si="1171"/>
        <v>45.042658940000003</v>
      </c>
      <c r="DS757" s="346">
        <f t="shared" si="1171"/>
        <v>30.61220647</v>
      </c>
      <c r="DT757" s="346">
        <f t="shared" si="1171"/>
        <v>46.316157398999998</v>
      </c>
      <c r="DU757" s="346">
        <f t="shared" si="1171"/>
        <v>50.922013946</v>
      </c>
      <c r="DV757" s="346">
        <f t="shared" si="1171"/>
        <v>23.300554481999999</v>
      </c>
      <c r="DW757" s="346">
        <f t="shared" si="1171"/>
        <v>24.161431893</v>
      </c>
      <c r="DX757" s="346">
        <f t="shared" si="1171"/>
        <v>52.569274215999997</v>
      </c>
      <c r="DY757" s="346">
        <f t="shared" si="1171"/>
        <v>24.781575438000001</v>
      </c>
      <c r="DZ757" s="348">
        <f t="shared" si="1171"/>
        <v>8.3918777309999992</v>
      </c>
      <c r="EA757" s="346">
        <f t="shared" si="1171"/>
        <v>69.744524425999998</v>
      </c>
      <c r="EB757" s="346">
        <f t="shared" si="1171"/>
        <v>29.526782001000001</v>
      </c>
      <c r="EC757" s="346">
        <f t="shared" si="1171"/>
        <v>51.114499516999999</v>
      </c>
      <c r="ED757" s="346">
        <f t="shared" si="1171"/>
        <v>48.703344149000003</v>
      </c>
      <c r="EE757" s="346">
        <f t="shared" si="1171"/>
        <v>29.01836788</v>
      </c>
      <c r="EF757" s="346">
        <f t="shared" si="1171"/>
        <v>31.611046483999999</v>
      </c>
      <c r="EG757" s="346">
        <f t="shared" si="1171"/>
        <v>41.164901991000001</v>
      </c>
      <c r="EH757" s="346">
        <f t="shared" si="1171"/>
        <v>17.915828225999999</v>
      </c>
      <c r="EI757" s="346">
        <f t="shared" si="1171"/>
        <v>33.183104206000003</v>
      </c>
      <c r="EJ757" s="346">
        <f t="shared" si="1171"/>
        <v>25.228070025000001</v>
      </c>
      <c r="EK757" s="346">
        <f t="shared" si="1171"/>
        <v>43.216112066999997</v>
      </c>
      <c r="EL757" s="348">
        <f t="shared" si="1171"/>
        <v>22.027895014999999</v>
      </c>
      <c r="EM757" s="346">
        <f t="shared" si="1171"/>
        <v>27.052861472453998</v>
      </c>
      <c r="EN757" s="346">
        <f t="shared" si="1171"/>
        <v>56.237058191454004</v>
      </c>
      <c r="EO757" s="346">
        <f t="shared" si="1171"/>
        <v>23.925407272453999</v>
      </c>
      <c r="EP757" s="346">
        <f t="shared" si="1171"/>
        <v>41.124411655454004</v>
      </c>
      <c r="EQ757" s="346">
        <f t="shared" ref="EQ757:FV757" si="1172">EQ391</f>
        <v>33.319237932454001</v>
      </c>
      <c r="ER757" s="346">
        <f t="shared" si="1172"/>
        <v>19.377736530453998</v>
      </c>
      <c r="ES757" s="346">
        <f t="shared" si="1172"/>
        <v>36.394684280454001</v>
      </c>
      <c r="ET757" s="346">
        <f t="shared" si="1172"/>
        <v>27.574568909453998</v>
      </c>
      <c r="EU757" s="346">
        <f t="shared" si="1172"/>
        <v>34.076756706453999</v>
      </c>
      <c r="EV757" s="346">
        <f t="shared" si="1172"/>
        <v>110.485519330454</v>
      </c>
      <c r="EW757" s="346">
        <f t="shared" si="1172"/>
        <v>54.780842942454001</v>
      </c>
      <c r="EX757" s="348">
        <f t="shared" si="1172"/>
        <v>17.718438524454001</v>
      </c>
      <c r="EY757" s="346">
        <f t="shared" si="1172"/>
        <v>34.066597782166703</v>
      </c>
      <c r="EZ757" s="346">
        <f t="shared" si="1172"/>
        <v>32.383621068166704</v>
      </c>
      <c r="FA757" s="346">
        <f t="shared" si="1172"/>
        <v>45.417365403166706</v>
      </c>
      <c r="FB757" s="346">
        <f t="shared" si="1172"/>
        <v>27.211199387166602</v>
      </c>
      <c r="FC757" s="346">
        <f t="shared" si="1172"/>
        <v>47.7747409241667</v>
      </c>
      <c r="FD757" s="346">
        <f t="shared" si="1172"/>
        <v>36.368678084166703</v>
      </c>
      <c r="FE757" s="346">
        <f t="shared" si="1172"/>
        <v>53.806526589999997</v>
      </c>
      <c r="FF757" s="346">
        <f t="shared" si="1172"/>
        <v>52.605987659</v>
      </c>
      <c r="FG757" s="346">
        <f t="shared" si="1172"/>
        <v>69.132440504000002</v>
      </c>
      <c r="FH757" s="346">
        <f t="shared" si="1172"/>
        <v>55.429907583999999</v>
      </c>
      <c r="FI757" s="346">
        <f t="shared" si="1172"/>
        <v>65.508302673000003</v>
      </c>
      <c r="FJ757" s="348">
        <f t="shared" si="1172"/>
        <v>52.641321752000003</v>
      </c>
      <c r="FK757" s="346">
        <f t="shared" si="1172"/>
        <v>54.894438030000003</v>
      </c>
      <c r="FL757" s="346">
        <f t="shared" si="1172"/>
        <v>54.930171158999997</v>
      </c>
      <c r="FM757" s="346">
        <f t="shared" si="1172"/>
        <v>51.826503940000002</v>
      </c>
      <c r="FN757" s="346">
        <f t="shared" si="1172"/>
        <v>36.277940762</v>
      </c>
      <c r="FO757" s="346">
        <f t="shared" si="1172"/>
        <v>35.521056952000002</v>
      </c>
      <c r="FP757" s="346">
        <f t="shared" si="1172"/>
        <v>55.347619846999997</v>
      </c>
      <c r="FQ757" s="346">
        <f t="shared" si="1172"/>
        <v>23.825312903</v>
      </c>
      <c r="FR757" s="346">
        <f t="shared" si="1172"/>
        <v>28.573352698000001</v>
      </c>
      <c r="FS757" s="346">
        <f t="shared" si="1172"/>
        <v>57.081974254000002</v>
      </c>
      <c r="FT757" s="346">
        <f t="shared" si="1172"/>
        <v>49.100866228000001</v>
      </c>
      <c r="FU757" s="346">
        <f t="shared" si="1172"/>
        <v>127.31638301700001</v>
      </c>
      <c r="FV757" s="346">
        <f t="shared" si="1172"/>
        <v>49.280792273000003</v>
      </c>
      <c r="FW757" s="346">
        <v>33.126714421999999</v>
      </c>
      <c r="FX757" s="346">
        <v>33.956093015999997</v>
      </c>
      <c r="FY757" s="346">
        <v>56.031679732000001</v>
      </c>
      <c r="FZ757" s="346">
        <v>67.436981486999997</v>
      </c>
      <c r="GA757" s="346">
        <v>43.402174666999997</v>
      </c>
      <c r="GB757" s="346">
        <v>48.40213387</v>
      </c>
      <c r="GC757" s="346">
        <v>60.231999448000003</v>
      </c>
      <c r="GD757" s="346">
        <v>59.949230440999997</v>
      </c>
      <c r="GE757" s="346">
        <v>65.633617379</v>
      </c>
      <c r="GF757" s="346">
        <v>82.122683185</v>
      </c>
      <c r="GG757" s="346">
        <v>68.668458121000015</v>
      </c>
      <c r="GH757" s="346">
        <v>69.451322118999997</v>
      </c>
      <c r="GI757" s="1897">
        <f>GI391</f>
        <v>86.392535342069294</v>
      </c>
      <c r="GJ757" s="1897">
        <f t="shared" ref="GJ757:GN757" si="1173">GJ391</f>
        <v>69.968808116422721</v>
      </c>
      <c r="GK757" s="1897">
        <f t="shared" si="1173"/>
        <v>70.838656541507945</v>
      </c>
      <c r="GL757" s="1897">
        <f t="shared" si="1173"/>
        <v>61.869439425874084</v>
      </c>
      <c r="GM757" s="1897">
        <f t="shared" si="1173"/>
        <v>54.37241176452406</v>
      </c>
      <c r="GN757" s="1897">
        <f t="shared" si="1173"/>
        <v>40.239489522601893</v>
      </c>
      <c r="GO757" s="1897">
        <f t="shared" ref="GO757:HL757" si="1174">GO391</f>
        <v>50.573129334638331</v>
      </c>
      <c r="GP757" s="1897">
        <f t="shared" si="1174"/>
        <v>44.460187846740155</v>
      </c>
      <c r="GQ757" s="1897">
        <f t="shared" si="1174"/>
        <v>63.04187707262151</v>
      </c>
      <c r="GR757" s="1897">
        <f t="shared" si="1174"/>
        <v>68.459258315378122</v>
      </c>
      <c r="GS757" s="1897">
        <f t="shared" si="1174"/>
        <v>108.7472268109677</v>
      </c>
      <c r="GT757" s="1897">
        <f t="shared" si="1174"/>
        <v>24.236979906654174</v>
      </c>
      <c r="GU757" s="1897">
        <f t="shared" si="1174"/>
        <v>46.042977123999997</v>
      </c>
      <c r="GV757" s="1897">
        <f t="shared" si="1174"/>
        <v>42.101963419</v>
      </c>
      <c r="GW757" s="1897">
        <f t="shared" si="1174"/>
        <v>100.174835649</v>
      </c>
      <c r="GX757" s="1897">
        <f t="shared" si="1174"/>
        <v>59.234085694000001</v>
      </c>
      <c r="GY757" s="1897">
        <f t="shared" si="1174"/>
        <v>44.001146071999997</v>
      </c>
      <c r="GZ757" s="1897">
        <f t="shared" si="1174"/>
        <v>65.571522169999994</v>
      </c>
      <c r="HA757" s="1897">
        <f t="shared" si="1174"/>
        <v>68.671740002999996</v>
      </c>
      <c r="HB757" s="1897">
        <f t="shared" si="1174"/>
        <v>69.454597501999999</v>
      </c>
      <c r="HC757" s="1897">
        <f t="shared" si="1174"/>
        <v>38.842915599000001</v>
      </c>
      <c r="HD757" s="1897">
        <f t="shared" si="1174"/>
        <v>71.721038477999997</v>
      </c>
      <c r="HE757" s="1897">
        <f t="shared" si="1174"/>
        <v>120.50202976200001</v>
      </c>
      <c r="HF757" s="1897">
        <f t="shared" si="1174"/>
        <v>72.381148528000097</v>
      </c>
      <c r="HG757" s="1897">
        <f t="shared" si="1174"/>
        <v>126.526735375</v>
      </c>
      <c r="HH757" s="1897">
        <f t="shared" si="1174"/>
        <v>48.773793664000003</v>
      </c>
      <c r="HI757" s="1897">
        <f t="shared" si="1174"/>
        <v>62.230954531000002</v>
      </c>
      <c r="HJ757" s="1897">
        <f t="shared" si="1174"/>
        <v>84.179196735999994</v>
      </c>
      <c r="HK757" s="1897">
        <f t="shared" si="1174"/>
        <v>87.520883905000005</v>
      </c>
      <c r="HL757" s="1897">
        <f t="shared" si="1174"/>
        <v>45.030092752000002</v>
      </c>
      <c r="HM757" s="1897"/>
      <c r="HN757" s="349"/>
      <c r="HO757" s="355" t="s">
        <v>560</v>
      </c>
      <c r="HP757" s="307">
        <f>SUM(CE757:CJ757)</f>
        <v>113.15827892999999</v>
      </c>
      <c r="HQ757" s="302">
        <f>SUM(CK757:CP757)</f>
        <v>165.45533744400001</v>
      </c>
      <c r="HR757" s="346">
        <f>HP757+HQ757</f>
        <v>278.613616374</v>
      </c>
      <c r="HS757" s="302">
        <f>SUM(CQ757:CV757)</f>
        <v>135.177944473</v>
      </c>
      <c r="HT757" s="302">
        <f>SUM(CW757:DB757)</f>
        <v>121.78959650400002</v>
      </c>
      <c r="HU757" s="346">
        <f>HS757+HT757</f>
        <v>256.967540977</v>
      </c>
      <c r="HV757" s="307">
        <f>SUM(DC757:DH757)</f>
        <v>185.03150578899999</v>
      </c>
      <c r="HW757" s="302">
        <f>SUM(DI757:DN757)</f>
        <v>144.73369845400001</v>
      </c>
      <c r="HX757" s="346">
        <f>HV757+HW757</f>
        <v>329.76520424299997</v>
      </c>
      <c r="HY757" s="350">
        <f>SUM(DO757:DT757)</f>
        <v>243.07547450599998</v>
      </c>
      <c r="HZ757" s="302">
        <f>SUM(DU757:DZ757)</f>
        <v>184.126727706</v>
      </c>
      <c r="IA757" s="346">
        <f>HY757+HZ757</f>
        <v>427.20220221199997</v>
      </c>
      <c r="IB757" s="302">
        <f>SUM(EA757:EF757)</f>
        <v>259.71856445700001</v>
      </c>
      <c r="IC757" s="302">
        <f>SUM(EG757:EL757)</f>
        <v>182.73591153000001</v>
      </c>
      <c r="ID757" s="346">
        <f>IB757+IC757</f>
        <v>442.45447598700002</v>
      </c>
      <c r="IE757" s="350">
        <f>SUM(EM757:ER757)</f>
        <v>201.036713054724</v>
      </c>
      <c r="IF757" s="350">
        <f>SUM(ES757:EX757)</f>
        <v>281.03081069372399</v>
      </c>
      <c r="IG757" s="346">
        <f>IE757+IF757</f>
        <v>482.06752374844802</v>
      </c>
      <c r="IH757" s="350">
        <f>SUM(EY757:FD757)</f>
        <v>223.22220264900014</v>
      </c>
      <c r="II757" s="350">
        <f>SUM(FE757:FJ757)</f>
        <v>349.124486762</v>
      </c>
      <c r="IJ757" s="346">
        <f>IH757+II757</f>
        <v>572.34668941100017</v>
      </c>
      <c r="IK757" s="350">
        <f>SUM(FK757:FP757)</f>
        <v>288.79773069000004</v>
      </c>
      <c r="IL757" s="350">
        <f t="shared" si="993"/>
        <v>335.17868137300002</v>
      </c>
      <c r="IM757" s="346">
        <f t="shared" si="1080"/>
        <v>623.976412063</v>
      </c>
      <c r="IN757" s="350">
        <f t="shared" si="1052"/>
        <v>282.35577719399998</v>
      </c>
      <c r="IO757" s="350">
        <f t="shared" si="1053"/>
        <v>406.05731069300003</v>
      </c>
      <c r="IP757" s="346">
        <f t="shared" si="1066"/>
        <v>688.41308788700007</v>
      </c>
      <c r="IQ757" s="350">
        <f t="shared" si="1054"/>
        <v>383.681340713</v>
      </c>
      <c r="IR757" s="350">
        <f t="shared" si="1055"/>
        <v>359.51865928700005</v>
      </c>
      <c r="IS757" s="346">
        <f t="shared" si="1067"/>
        <v>743.2</v>
      </c>
      <c r="IT757" s="350">
        <f t="shared" si="1169"/>
        <v>357.12653012799996</v>
      </c>
      <c r="IU757" s="350">
        <f t="shared" si="986"/>
        <v>441.57346987200009</v>
      </c>
      <c r="IV757" s="346">
        <f t="shared" si="1020"/>
        <v>798.7</v>
      </c>
      <c r="IW757" s="350">
        <f t="shared" si="1081"/>
        <v>454.26165696299995</v>
      </c>
      <c r="IX757" s="350">
        <f t="shared" si="1069"/>
        <v>411.97606531269992</v>
      </c>
      <c r="IY757" s="346">
        <f>FISC!AJ1079</f>
        <v>866.23772227569987</v>
      </c>
      <c r="IZ757" s="350">
        <f>JB757*0.6</f>
        <v>533.6148104285661</v>
      </c>
      <c r="JA757" s="302">
        <f t="shared" si="1119"/>
        <v>355.74320695237736</v>
      </c>
      <c r="JB757" s="346">
        <f>FISC!AK1079</f>
        <v>889.35801738094347</v>
      </c>
      <c r="JC757" s="350">
        <f>JE757*0.6</f>
        <v>600.15023003333147</v>
      </c>
      <c r="JD757" s="302">
        <f t="shared" si="1120"/>
        <v>400.10015335555443</v>
      </c>
      <c r="JE757" s="346">
        <f>FISC!AL1079</f>
        <v>1000.2503833888859</v>
      </c>
      <c r="JF757" s="350">
        <f>JH757*0.55</f>
        <v>624.4407338650193</v>
      </c>
      <c r="JG757" s="302">
        <f t="shared" si="1121"/>
        <v>510.90605498047023</v>
      </c>
      <c r="JH757" s="346">
        <f>FISC!AM1079</f>
        <v>1135.3467888454895</v>
      </c>
      <c r="JI757" s="350">
        <f>JK757*0.55</f>
        <v>701.08447754026452</v>
      </c>
      <c r="JJ757" s="302">
        <f t="shared" si="1122"/>
        <v>573.61457253294361</v>
      </c>
      <c r="JK757" s="346">
        <f>FISC!AN1079</f>
        <v>1274.6990500732081</v>
      </c>
      <c r="JL757" s="350">
        <f>JN757*0.55</f>
        <v>741.60255580652677</v>
      </c>
      <c r="JM757" s="302">
        <f t="shared" si="1123"/>
        <v>606.76572747806733</v>
      </c>
      <c r="JN757" s="346">
        <f>FISC!AO1079</f>
        <v>1348.3682832845941</v>
      </c>
      <c r="KI757" s="349"/>
      <c r="KJ757" s="350"/>
    </row>
    <row r="758" spans="1:302" hidden="1" outlineLevel="1">
      <c r="A758" s="302"/>
      <c r="D758" s="1638" t="s">
        <v>3675</v>
      </c>
      <c r="E758" s="346"/>
      <c r="F758" s="346"/>
      <c r="G758" s="346"/>
      <c r="H758" s="346"/>
      <c r="I758" s="346"/>
      <c r="J758" s="346"/>
      <c r="K758" s="346"/>
      <c r="L758" s="346"/>
      <c r="M758" s="346"/>
      <c r="N758" s="346"/>
      <c r="O758" s="346"/>
      <c r="P758" s="346"/>
      <c r="Q758" s="346"/>
      <c r="R758" s="346"/>
      <c r="S758" s="346"/>
      <c r="T758" s="346"/>
      <c r="U758" s="346"/>
      <c r="V758" s="346"/>
      <c r="W758" s="346"/>
      <c r="X758" s="346"/>
      <c r="Y758" s="346"/>
      <c r="Z758" s="346"/>
      <c r="AA758" s="346"/>
      <c r="AB758" s="346"/>
      <c r="AC758" s="346"/>
      <c r="AD758" s="346"/>
      <c r="AE758" s="346"/>
      <c r="AF758" s="346"/>
      <c r="AG758" s="346"/>
      <c r="AH758" s="346"/>
      <c r="AI758" s="346"/>
      <c r="AJ758" s="346"/>
      <c r="AK758" s="346"/>
      <c r="AL758" s="346"/>
      <c r="AM758" s="346"/>
      <c r="AN758" s="346"/>
      <c r="AO758" s="346"/>
      <c r="AP758" s="346"/>
      <c r="AQ758" s="346"/>
      <c r="AR758" s="346"/>
      <c r="AS758" s="346"/>
      <c r="AT758" s="346"/>
      <c r="AU758" s="346"/>
      <c r="AV758" s="346"/>
      <c r="AW758" s="346"/>
      <c r="AX758" s="346"/>
      <c r="AY758" s="346"/>
      <c r="AZ758" s="346"/>
      <c r="BA758" s="346"/>
      <c r="BB758" s="346"/>
      <c r="BC758" s="346"/>
      <c r="BD758" s="346"/>
      <c r="BE758" s="346"/>
      <c r="BF758" s="346"/>
      <c r="BG758" s="346"/>
      <c r="BH758" s="346"/>
      <c r="BI758" s="346"/>
      <c r="BJ758" s="346"/>
      <c r="BK758" s="346"/>
      <c r="BL758" s="346"/>
      <c r="BM758" s="346"/>
      <c r="BN758" s="346"/>
      <c r="BO758" s="346"/>
      <c r="BP758" s="346"/>
      <c r="BQ758" s="346"/>
      <c r="BR758" s="346"/>
      <c r="BS758" s="346"/>
      <c r="BT758" s="346"/>
      <c r="BU758" s="346"/>
      <c r="BV758" s="346"/>
      <c r="BW758" s="346"/>
      <c r="BX758" s="346"/>
      <c r="BY758" s="346"/>
      <c r="BZ758" s="346"/>
      <c r="CA758" s="346"/>
      <c r="CB758" s="346"/>
      <c r="CC758" s="346"/>
      <c r="CD758" s="352"/>
      <c r="CE758" s="346"/>
      <c r="CF758" s="346"/>
      <c r="CG758" s="346"/>
      <c r="CH758" s="346"/>
      <c r="CI758" s="346"/>
      <c r="CJ758" s="346"/>
      <c r="CK758" s="346"/>
      <c r="CL758" s="346"/>
      <c r="CM758" s="346"/>
      <c r="CN758" s="346"/>
      <c r="CO758" s="346"/>
      <c r="CP758" s="348"/>
      <c r="CQ758" s="346"/>
      <c r="CR758" s="346"/>
      <c r="CS758" s="346"/>
      <c r="CT758" s="346"/>
      <c r="CU758" s="346"/>
      <c r="CV758" s="346"/>
      <c r="CW758" s="346"/>
      <c r="CX758" s="346"/>
      <c r="CY758" s="346"/>
      <c r="CZ758" s="346"/>
      <c r="DA758" s="346"/>
      <c r="DB758" s="1479"/>
      <c r="DC758" s="346"/>
      <c r="DD758" s="346"/>
      <c r="DE758" s="346"/>
      <c r="DF758" s="346"/>
      <c r="DG758" s="346"/>
      <c r="DH758" s="346"/>
      <c r="DI758" s="346"/>
      <c r="DJ758" s="346"/>
      <c r="DK758" s="346"/>
      <c r="DL758" s="346"/>
      <c r="DM758" s="346"/>
      <c r="DN758" s="348"/>
      <c r="DO758" s="346"/>
      <c r="DP758" s="346"/>
      <c r="DQ758" s="346"/>
      <c r="DR758" s="346"/>
      <c r="DS758" s="346"/>
      <c r="DT758" s="346"/>
      <c r="DU758" s="346"/>
      <c r="DV758" s="346"/>
      <c r="DW758" s="346"/>
      <c r="DX758" s="346"/>
      <c r="DY758" s="346"/>
      <c r="DZ758" s="348"/>
      <c r="EA758" s="346"/>
      <c r="EB758" s="346"/>
      <c r="EC758" s="346"/>
      <c r="ED758" s="346"/>
      <c r="EE758" s="346"/>
      <c r="EF758" s="346"/>
      <c r="EG758" s="346"/>
      <c r="EH758" s="346"/>
      <c r="EI758" s="346"/>
      <c r="EJ758" s="346"/>
      <c r="EK758" s="346"/>
      <c r="EL758" s="348"/>
      <c r="EM758" s="346"/>
      <c r="EN758" s="346"/>
      <c r="EO758" s="346"/>
      <c r="EP758" s="346"/>
      <c r="EQ758" s="346"/>
      <c r="ER758" s="346"/>
      <c r="ES758" s="346"/>
      <c r="ET758" s="346"/>
      <c r="EU758" s="346"/>
      <c r="EV758" s="346"/>
      <c r="EW758" s="346"/>
      <c r="EX758" s="348"/>
      <c r="EY758" s="346"/>
      <c r="EZ758" s="346"/>
      <c r="FA758" s="346"/>
      <c r="FB758" s="346"/>
      <c r="FC758" s="346"/>
      <c r="FD758" s="346"/>
      <c r="FE758" s="346"/>
      <c r="FF758" s="346"/>
      <c r="FG758" s="346"/>
      <c r="FH758" s="346"/>
      <c r="FI758" s="346"/>
      <c r="FJ758" s="348"/>
      <c r="FK758" s="346"/>
      <c r="FL758" s="346"/>
      <c r="FM758" s="346"/>
      <c r="FN758" s="346"/>
      <c r="FO758" s="346"/>
      <c r="FP758" s="346"/>
      <c r="FQ758" s="346"/>
      <c r="FR758" s="346"/>
      <c r="FS758" s="346"/>
      <c r="FT758" s="346"/>
      <c r="FU758" s="346"/>
      <c r="FV758" s="346"/>
      <c r="FW758" s="346"/>
      <c r="FX758" s="346"/>
      <c r="FY758" s="346"/>
      <c r="FZ758" s="346"/>
      <c r="GA758" s="346"/>
      <c r="GB758" s="346"/>
      <c r="GC758" s="346"/>
      <c r="GD758" s="346"/>
      <c r="GE758" s="346"/>
      <c r="GF758" s="346"/>
      <c r="GG758" s="346"/>
      <c r="GH758" s="346"/>
      <c r="GI758" s="1897"/>
      <c r="GJ758" s="1897"/>
      <c r="GK758" s="1897"/>
      <c r="GL758" s="1897"/>
      <c r="GM758" s="1897"/>
      <c r="GN758" s="1897"/>
      <c r="GO758" s="1897"/>
      <c r="GP758" s="1897"/>
      <c r="GQ758" s="1897"/>
      <c r="GR758" s="1897"/>
      <c r="GS758" s="1897"/>
      <c r="GT758" s="1897"/>
      <c r="GU758" s="1897"/>
      <c r="GV758" s="1897"/>
      <c r="GW758" s="1897"/>
      <c r="GX758" s="1897"/>
      <c r="GY758" s="1897"/>
      <c r="GZ758" s="1897"/>
      <c r="HA758" s="1897"/>
      <c r="HB758" s="1897"/>
      <c r="HC758" s="1897"/>
      <c r="HD758" s="1897"/>
      <c r="HE758" s="1897"/>
      <c r="HF758" s="1897"/>
      <c r="HG758" s="1897"/>
      <c r="HH758" s="1897"/>
      <c r="HI758" s="1897"/>
      <c r="HJ758" s="1897"/>
      <c r="HK758" s="1897"/>
      <c r="HL758" s="1897"/>
      <c r="HM758" s="1897"/>
      <c r="HN758" s="349"/>
      <c r="HO758" s="355"/>
      <c r="HP758" s="307"/>
      <c r="HR758" s="346"/>
      <c r="HU758" s="346"/>
      <c r="HV758" s="307"/>
      <c r="HX758" s="346"/>
      <c r="HY758" s="350"/>
      <c r="IA758" s="346"/>
      <c r="ID758" s="346"/>
      <c r="IE758" s="350"/>
      <c r="IF758" s="350"/>
      <c r="IG758" s="346"/>
      <c r="IH758" s="350"/>
      <c r="II758" s="350"/>
      <c r="IJ758" s="346"/>
      <c r="IK758" s="350"/>
      <c r="IL758" s="350"/>
      <c r="IM758" s="346"/>
      <c r="IN758" s="350"/>
      <c r="IO758" s="350"/>
      <c r="IP758" s="346"/>
      <c r="IQ758" s="350"/>
      <c r="IR758" s="350"/>
      <c r="IS758" s="346"/>
      <c r="IT758" s="350"/>
      <c r="IU758" s="350"/>
      <c r="IV758" s="346"/>
      <c r="IW758" s="350">
        <f t="shared" si="1081"/>
        <v>0</v>
      </c>
      <c r="IX758" s="350">
        <f t="shared" si="1069"/>
        <v>82.8</v>
      </c>
      <c r="IY758" s="346">
        <f>FISC!AJ1080</f>
        <v>82.8</v>
      </c>
      <c r="IZ758" s="350"/>
      <c r="JB758" s="346"/>
      <c r="JC758" s="350"/>
      <c r="JE758" s="346"/>
      <c r="JF758" s="350"/>
      <c r="JH758" s="346"/>
      <c r="JI758" s="350"/>
      <c r="JK758" s="346"/>
      <c r="JL758" s="350"/>
      <c r="JN758" s="346"/>
      <c r="KI758" s="349"/>
      <c r="KJ758" s="350"/>
    </row>
    <row r="759" spans="1:302" hidden="1" outlineLevel="1">
      <c r="A759" s="302"/>
      <c r="D759" s="1638" t="s">
        <v>3691</v>
      </c>
      <c r="E759" s="346"/>
      <c r="F759" s="346"/>
      <c r="G759" s="346"/>
      <c r="H759" s="346"/>
      <c r="I759" s="346"/>
      <c r="J759" s="346"/>
      <c r="K759" s="346"/>
      <c r="L759" s="346"/>
      <c r="M759" s="346"/>
      <c r="N759" s="346"/>
      <c r="O759" s="346"/>
      <c r="P759" s="346"/>
      <c r="Q759" s="346"/>
      <c r="R759" s="346"/>
      <c r="S759" s="346"/>
      <c r="T759" s="346"/>
      <c r="U759" s="346"/>
      <c r="V759" s="346"/>
      <c r="W759" s="346"/>
      <c r="X759" s="346"/>
      <c r="Y759" s="346"/>
      <c r="Z759" s="346"/>
      <c r="AA759" s="346"/>
      <c r="AB759" s="346"/>
      <c r="AC759" s="346"/>
      <c r="AD759" s="346"/>
      <c r="AE759" s="346"/>
      <c r="AF759" s="346"/>
      <c r="AG759" s="346"/>
      <c r="AH759" s="346"/>
      <c r="AI759" s="346"/>
      <c r="AJ759" s="346"/>
      <c r="AK759" s="346"/>
      <c r="AL759" s="346"/>
      <c r="AM759" s="346"/>
      <c r="AN759" s="346"/>
      <c r="AO759" s="346"/>
      <c r="AP759" s="346"/>
      <c r="AQ759" s="346"/>
      <c r="AR759" s="346"/>
      <c r="AS759" s="346"/>
      <c r="AT759" s="346"/>
      <c r="AU759" s="346"/>
      <c r="AV759" s="346"/>
      <c r="AW759" s="346"/>
      <c r="AX759" s="346"/>
      <c r="AY759" s="346"/>
      <c r="AZ759" s="346"/>
      <c r="BA759" s="346"/>
      <c r="BB759" s="346"/>
      <c r="BC759" s="346"/>
      <c r="BD759" s="346"/>
      <c r="BE759" s="346"/>
      <c r="BF759" s="346"/>
      <c r="BG759" s="346"/>
      <c r="BH759" s="346"/>
      <c r="BI759" s="346"/>
      <c r="BJ759" s="346"/>
      <c r="BK759" s="346"/>
      <c r="BL759" s="346"/>
      <c r="BM759" s="346"/>
      <c r="BN759" s="346"/>
      <c r="BO759" s="346"/>
      <c r="BP759" s="346"/>
      <c r="BQ759" s="346"/>
      <c r="BR759" s="346"/>
      <c r="BS759" s="346"/>
      <c r="BT759" s="346"/>
      <c r="BU759" s="346"/>
      <c r="BV759" s="346"/>
      <c r="BW759" s="346"/>
      <c r="BX759" s="346"/>
      <c r="BY759" s="346"/>
      <c r="BZ759" s="346"/>
      <c r="CA759" s="346"/>
      <c r="CB759" s="346"/>
      <c r="CC759" s="346"/>
      <c r="CD759" s="352"/>
      <c r="CE759" s="346"/>
      <c r="CF759" s="346"/>
      <c r="CG759" s="346"/>
      <c r="CH759" s="346"/>
      <c r="CI759" s="346"/>
      <c r="CJ759" s="346"/>
      <c r="CK759" s="346"/>
      <c r="CL759" s="346"/>
      <c r="CM759" s="346"/>
      <c r="CN759" s="346"/>
      <c r="CO759" s="346"/>
      <c r="CP759" s="348"/>
      <c r="CQ759" s="346"/>
      <c r="CR759" s="346"/>
      <c r="CS759" s="346"/>
      <c r="CT759" s="346"/>
      <c r="CU759" s="346"/>
      <c r="CV759" s="346"/>
      <c r="CW759" s="346"/>
      <c r="CX759" s="346"/>
      <c r="CY759" s="346"/>
      <c r="CZ759" s="346"/>
      <c r="DA759" s="346"/>
      <c r="DB759" s="1479"/>
      <c r="DC759" s="346"/>
      <c r="DD759" s="346"/>
      <c r="DE759" s="346"/>
      <c r="DF759" s="346"/>
      <c r="DG759" s="346"/>
      <c r="DH759" s="346"/>
      <c r="DI759" s="346"/>
      <c r="DJ759" s="346"/>
      <c r="DK759" s="346"/>
      <c r="DL759" s="346"/>
      <c r="DM759" s="346"/>
      <c r="DN759" s="348"/>
      <c r="DO759" s="346"/>
      <c r="DP759" s="346"/>
      <c r="DQ759" s="346"/>
      <c r="DR759" s="346"/>
      <c r="DS759" s="346"/>
      <c r="DT759" s="346"/>
      <c r="DU759" s="346"/>
      <c r="DV759" s="346"/>
      <c r="DW759" s="346"/>
      <c r="DX759" s="346"/>
      <c r="DY759" s="346"/>
      <c r="DZ759" s="348"/>
      <c r="EA759" s="346"/>
      <c r="EB759" s="346"/>
      <c r="EC759" s="346"/>
      <c r="ED759" s="346"/>
      <c r="EE759" s="346"/>
      <c r="EF759" s="346"/>
      <c r="EG759" s="346"/>
      <c r="EH759" s="346"/>
      <c r="EI759" s="346"/>
      <c r="EJ759" s="346"/>
      <c r="EK759" s="346"/>
      <c r="EL759" s="348"/>
      <c r="EM759" s="346"/>
      <c r="EN759" s="346"/>
      <c r="EO759" s="346"/>
      <c r="EP759" s="346"/>
      <c r="EQ759" s="346"/>
      <c r="ER759" s="346"/>
      <c r="ES759" s="346"/>
      <c r="ET759" s="346"/>
      <c r="EU759" s="346"/>
      <c r="EV759" s="346"/>
      <c r="EW759" s="346"/>
      <c r="EX759" s="348"/>
      <c r="EY759" s="346"/>
      <c r="EZ759" s="346"/>
      <c r="FA759" s="346"/>
      <c r="FB759" s="346"/>
      <c r="FC759" s="346"/>
      <c r="FD759" s="346"/>
      <c r="FE759" s="346"/>
      <c r="FF759" s="346"/>
      <c r="FG759" s="346"/>
      <c r="FH759" s="346"/>
      <c r="FI759" s="346"/>
      <c r="FJ759" s="348"/>
      <c r="FK759" s="346"/>
      <c r="FL759" s="346"/>
      <c r="FM759" s="346"/>
      <c r="FN759" s="346"/>
      <c r="FO759" s="346"/>
      <c r="FP759" s="346"/>
      <c r="FQ759" s="346"/>
      <c r="FR759" s="346"/>
      <c r="FS759" s="346"/>
      <c r="FT759" s="346"/>
      <c r="FU759" s="346"/>
      <c r="FV759" s="346"/>
      <c r="FW759" s="346"/>
      <c r="FX759" s="346"/>
      <c r="FY759" s="346"/>
      <c r="FZ759" s="346"/>
      <c r="GA759" s="346"/>
      <c r="GB759" s="346"/>
      <c r="GC759" s="346"/>
      <c r="GD759" s="346"/>
      <c r="GE759" s="346"/>
      <c r="GF759" s="346"/>
      <c r="GG759" s="346"/>
      <c r="GH759" s="346"/>
      <c r="GI759" s="1897"/>
      <c r="GJ759" s="1897"/>
      <c r="GK759" s="1897"/>
      <c r="GL759" s="1897"/>
      <c r="GM759" s="1897"/>
      <c r="GN759" s="1897"/>
      <c r="GO759" s="1897"/>
      <c r="GP759" s="1897"/>
      <c r="GQ759" s="1897"/>
      <c r="GR759" s="1897"/>
      <c r="GS759" s="1897"/>
      <c r="GT759" s="1897"/>
      <c r="GU759" s="1897"/>
      <c r="GV759" s="1897"/>
      <c r="GW759" s="1897"/>
      <c r="GX759" s="1897"/>
      <c r="GY759" s="1897"/>
      <c r="GZ759" s="1897"/>
      <c r="HA759" s="1897"/>
      <c r="HB759" s="1897"/>
      <c r="HC759" s="1897"/>
      <c r="HD759" s="1897"/>
      <c r="HE759" s="1897"/>
      <c r="HF759" s="1897"/>
      <c r="HG759" s="1897"/>
      <c r="HH759" s="1897"/>
      <c r="HI759" s="1897"/>
      <c r="HJ759" s="1897"/>
      <c r="HK759" s="1897"/>
      <c r="HL759" s="1897"/>
      <c r="HM759" s="1897"/>
      <c r="HN759" s="349"/>
      <c r="HO759" s="355"/>
      <c r="HP759" s="307"/>
      <c r="HR759" s="346"/>
      <c r="HU759" s="346"/>
      <c r="HV759" s="307"/>
      <c r="HX759" s="346"/>
      <c r="HY759" s="350"/>
      <c r="IA759" s="346"/>
      <c r="ID759" s="346"/>
      <c r="IE759" s="350"/>
      <c r="IF759" s="350"/>
      <c r="IG759" s="346"/>
      <c r="IH759" s="350"/>
      <c r="II759" s="350"/>
      <c r="IJ759" s="346"/>
      <c r="IK759" s="350"/>
      <c r="IL759" s="350"/>
      <c r="IM759" s="346"/>
      <c r="IN759" s="350"/>
      <c r="IO759" s="350"/>
      <c r="IP759" s="346"/>
      <c r="IQ759" s="350"/>
      <c r="IR759" s="350"/>
      <c r="IS759" s="346"/>
      <c r="IT759" s="350"/>
      <c r="IU759" s="350"/>
      <c r="IV759" s="346"/>
      <c r="IW759" s="350">
        <f t="shared" si="1081"/>
        <v>0</v>
      </c>
      <c r="IX759" s="350">
        <f t="shared" si="1069"/>
        <v>50</v>
      </c>
      <c r="IY759" s="346">
        <f>FISC!AJ1081</f>
        <v>50</v>
      </c>
      <c r="IZ759" s="350">
        <f>JB759</f>
        <v>0</v>
      </c>
      <c r="JA759" s="302">
        <f>JB759-IZ759</f>
        <v>0</v>
      </c>
      <c r="JB759" s="346">
        <f>FISC!AK1081</f>
        <v>0</v>
      </c>
      <c r="JC759" s="350"/>
      <c r="JE759" s="346"/>
      <c r="JF759" s="350"/>
      <c r="JH759" s="346"/>
      <c r="JI759" s="350"/>
      <c r="JK759" s="346"/>
      <c r="JL759" s="350"/>
      <c r="JN759" s="346"/>
      <c r="KI759" s="349"/>
      <c r="KJ759" s="350"/>
    </row>
    <row r="760" spans="1:302" hidden="1" outlineLevel="1">
      <c r="A760" s="302"/>
      <c r="D760" s="1638" t="s">
        <v>3191</v>
      </c>
      <c r="E760" s="346"/>
      <c r="F760" s="346"/>
      <c r="G760" s="346"/>
      <c r="H760" s="346"/>
      <c r="I760" s="346"/>
      <c r="J760" s="346"/>
      <c r="K760" s="346"/>
      <c r="L760" s="346"/>
      <c r="M760" s="346"/>
      <c r="N760" s="346"/>
      <c r="O760" s="346"/>
      <c r="P760" s="346"/>
      <c r="Q760" s="346"/>
      <c r="R760" s="346"/>
      <c r="S760" s="346"/>
      <c r="T760" s="346"/>
      <c r="U760" s="346"/>
      <c r="V760" s="346"/>
      <c r="W760" s="346"/>
      <c r="X760" s="346"/>
      <c r="Y760" s="346"/>
      <c r="Z760" s="346"/>
      <c r="AA760" s="346"/>
      <c r="AB760" s="346"/>
      <c r="AC760" s="346"/>
      <c r="AD760" s="346"/>
      <c r="AE760" s="346"/>
      <c r="AF760" s="346"/>
      <c r="AG760" s="346"/>
      <c r="AH760" s="346"/>
      <c r="AI760" s="346"/>
      <c r="AJ760" s="346"/>
      <c r="AK760" s="346"/>
      <c r="AL760" s="346"/>
      <c r="AM760" s="346"/>
      <c r="AN760" s="346"/>
      <c r="AO760" s="346"/>
      <c r="AP760" s="346"/>
      <c r="AQ760" s="346"/>
      <c r="AR760" s="346"/>
      <c r="AS760" s="346"/>
      <c r="AT760" s="346"/>
      <c r="AU760" s="346"/>
      <c r="AV760" s="346"/>
      <c r="AW760" s="346"/>
      <c r="AX760" s="346"/>
      <c r="AY760" s="346"/>
      <c r="AZ760" s="346"/>
      <c r="BA760" s="346"/>
      <c r="BB760" s="346"/>
      <c r="BC760" s="346"/>
      <c r="BD760" s="346"/>
      <c r="BE760" s="346"/>
      <c r="BF760" s="346"/>
      <c r="BG760" s="346"/>
      <c r="BH760" s="346"/>
      <c r="BI760" s="346"/>
      <c r="BJ760" s="346"/>
      <c r="BK760" s="346"/>
      <c r="BL760" s="346"/>
      <c r="BM760" s="346"/>
      <c r="BN760" s="346"/>
      <c r="BO760" s="346"/>
      <c r="BP760" s="346"/>
      <c r="BQ760" s="346"/>
      <c r="BR760" s="346"/>
      <c r="BS760" s="346"/>
      <c r="BT760" s="346"/>
      <c r="BU760" s="346"/>
      <c r="BV760" s="346"/>
      <c r="BW760" s="346"/>
      <c r="BX760" s="346"/>
      <c r="BY760" s="346"/>
      <c r="BZ760" s="346"/>
      <c r="CA760" s="346"/>
      <c r="CB760" s="346"/>
      <c r="CC760" s="346"/>
      <c r="CD760" s="352"/>
      <c r="CE760" s="346"/>
      <c r="CF760" s="346"/>
      <c r="CG760" s="346"/>
      <c r="CH760" s="346"/>
      <c r="CI760" s="346"/>
      <c r="CJ760" s="346"/>
      <c r="CK760" s="346"/>
      <c r="CL760" s="346"/>
      <c r="CM760" s="346"/>
      <c r="CN760" s="346"/>
      <c r="CO760" s="346"/>
      <c r="CP760" s="348"/>
      <c r="CQ760" s="346"/>
      <c r="CR760" s="346"/>
      <c r="CS760" s="346"/>
      <c r="CT760" s="346"/>
      <c r="CU760" s="346"/>
      <c r="CV760" s="346"/>
      <c r="CW760" s="346"/>
      <c r="CX760" s="346"/>
      <c r="CY760" s="346"/>
      <c r="CZ760" s="346"/>
      <c r="DA760" s="346"/>
      <c r="DB760" s="1479"/>
      <c r="DC760" s="346"/>
      <c r="DD760" s="346"/>
      <c r="DE760" s="346"/>
      <c r="DF760" s="346"/>
      <c r="DG760" s="346"/>
      <c r="DH760" s="346"/>
      <c r="DI760" s="346"/>
      <c r="DJ760" s="346"/>
      <c r="DK760" s="346"/>
      <c r="DL760" s="346"/>
      <c r="DM760" s="346"/>
      <c r="DN760" s="348"/>
      <c r="DO760" s="346"/>
      <c r="DP760" s="346"/>
      <c r="DQ760" s="346"/>
      <c r="DR760" s="346"/>
      <c r="DS760" s="346"/>
      <c r="DT760" s="346"/>
      <c r="DU760" s="346"/>
      <c r="DV760" s="346"/>
      <c r="DW760" s="346"/>
      <c r="DX760" s="346"/>
      <c r="DY760" s="346"/>
      <c r="DZ760" s="348"/>
      <c r="EA760" s="346"/>
      <c r="EB760" s="346"/>
      <c r="EC760" s="346"/>
      <c r="ED760" s="346"/>
      <c r="EE760" s="346"/>
      <c r="EF760" s="346"/>
      <c r="EG760" s="346"/>
      <c r="EH760" s="346"/>
      <c r="EI760" s="346"/>
      <c r="EJ760" s="346"/>
      <c r="EK760" s="346"/>
      <c r="EL760" s="348"/>
      <c r="EM760" s="346"/>
      <c r="EN760" s="346"/>
      <c r="EO760" s="346"/>
      <c r="EP760" s="346"/>
      <c r="EQ760" s="346"/>
      <c r="ER760" s="346"/>
      <c r="ES760" s="346"/>
      <c r="ET760" s="346"/>
      <c r="EU760" s="346"/>
      <c r="EV760" s="346"/>
      <c r="EW760" s="346"/>
      <c r="EX760" s="348"/>
      <c r="EY760" s="346"/>
      <c r="EZ760" s="346"/>
      <c r="FA760" s="346"/>
      <c r="FB760" s="346"/>
      <c r="FC760" s="346"/>
      <c r="FD760" s="346"/>
      <c r="FE760" s="346"/>
      <c r="FF760" s="346"/>
      <c r="FG760" s="346"/>
      <c r="FH760" s="346"/>
      <c r="FI760" s="346"/>
      <c r="FJ760" s="348"/>
      <c r="FK760" s="346"/>
      <c r="FL760" s="346"/>
      <c r="FM760" s="346"/>
      <c r="FN760" s="346"/>
      <c r="FO760" s="346"/>
      <c r="FP760" s="346"/>
      <c r="FQ760" s="346"/>
      <c r="FR760" s="346"/>
      <c r="FS760" s="346"/>
      <c r="FT760" s="346"/>
      <c r="FU760" s="346"/>
      <c r="FV760" s="346"/>
      <c r="FW760" s="346"/>
      <c r="FX760" s="346"/>
      <c r="FY760" s="346"/>
      <c r="FZ760" s="346"/>
      <c r="GA760" s="346"/>
      <c r="GB760" s="346"/>
      <c r="GC760" s="346"/>
      <c r="GD760" s="346"/>
      <c r="GE760" s="346"/>
      <c r="GF760" s="346"/>
      <c r="GG760" s="346"/>
      <c r="GH760" s="346"/>
      <c r="GI760" s="1897"/>
      <c r="HN760" s="349"/>
      <c r="HO760" s="1638" t="s">
        <v>3191</v>
      </c>
      <c r="HP760" s="307"/>
      <c r="HR760" s="346"/>
      <c r="HU760" s="346"/>
      <c r="HV760" s="307"/>
      <c r="HX760" s="346"/>
      <c r="HY760" s="350"/>
      <c r="IA760" s="346"/>
      <c r="ID760" s="346"/>
      <c r="IE760" s="350"/>
      <c r="IF760" s="350"/>
      <c r="IG760" s="346"/>
      <c r="IH760" s="350"/>
      <c r="II760" s="350"/>
      <c r="IJ760" s="346"/>
      <c r="IK760" s="350">
        <v>11.463177382</v>
      </c>
      <c r="IL760" s="350">
        <f t="shared" si="993"/>
        <v>0</v>
      </c>
      <c r="IM760" s="346">
        <f t="shared" si="1080"/>
        <v>11.463177382</v>
      </c>
      <c r="IN760" s="350">
        <f t="shared" si="1052"/>
        <v>0</v>
      </c>
      <c r="IO760" s="350">
        <f t="shared" si="1053"/>
        <v>0</v>
      </c>
      <c r="IP760" s="346">
        <f t="shared" si="1066"/>
        <v>0</v>
      </c>
      <c r="IQ760" s="350">
        <f t="shared" si="1054"/>
        <v>0</v>
      </c>
      <c r="IR760" s="350">
        <f t="shared" si="1055"/>
        <v>0</v>
      </c>
      <c r="IS760" s="346">
        <f t="shared" si="1067"/>
        <v>0</v>
      </c>
      <c r="IT760" s="350">
        <f t="shared" si="1169"/>
        <v>0</v>
      </c>
      <c r="IU760" s="350">
        <f t="shared" si="986"/>
        <v>0</v>
      </c>
      <c r="IV760" s="346">
        <f t="shared" si="1020"/>
        <v>0</v>
      </c>
      <c r="IW760" s="350">
        <f t="shared" si="1081"/>
        <v>0</v>
      </c>
      <c r="IX760" s="350">
        <f t="shared" si="1069"/>
        <v>0</v>
      </c>
      <c r="IY760" s="346">
        <f>FISC!AJ1082</f>
        <v>0</v>
      </c>
      <c r="IZ760" s="350">
        <f>JB760*0.55</f>
        <v>0</v>
      </c>
      <c r="JA760" s="302">
        <f t="shared" si="1119"/>
        <v>0</v>
      </c>
      <c r="JB760" s="346">
        <f>FISC!AK1082</f>
        <v>0</v>
      </c>
      <c r="JC760" s="350">
        <f>JE760*0.55</f>
        <v>0</v>
      </c>
      <c r="JD760" s="302">
        <f t="shared" si="1120"/>
        <v>0</v>
      </c>
      <c r="JE760" s="346">
        <f>FISC!AL1082</f>
        <v>0</v>
      </c>
      <c r="JF760" s="350">
        <f>JH760*0.55</f>
        <v>0</v>
      </c>
      <c r="JG760" s="302">
        <f t="shared" si="1121"/>
        <v>0</v>
      </c>
      <c r="JH760" s="346">
        <f>FISC!AM1082</f>
        <v>0</v>
      </c>
      <c r="JI760" s="350">
        <f>JK760*0.55</f>
        <v>0</v>
      </c>
      <c r="JJ760" s="302">
        <f t="shared" si="1122"/>
        <v>0</v>
      </c>
      <c r="JK760" s="346">
        <f>FISC!AN1082</f>
        <v>0</v>
      </c>
      <c r="JL760" s="350">
        <f>JN760*0.55</f>
        <v>0</v>
      </c>
      <c r="JM760" s="302">
        <f t="shared" si="1123"/>
        <v>0</v>
      </c>
      <c r="JN760" s="346">
        <f>FISC!AO1082</f>
        <v>0</v>
      </c>
      <c r="KI760" s="349"/>
      <c r="KJ760" s="350"/>
    </row>
    <row r="761" spans="1:302" hidden="1" outlineLevel="1">
      <c r="A761" s="302"/>
      <c r="D761" s="1636" t="s">
        <v>3210</v>
      </c>
      <c r="E761" s="346"/>
      <c r="F761" s="346"/>
      <c r="G761" s="346"/>
      <c r="H761" s="346"/>
      <c r="I761" s="346"/>
      <c r="J761" s="346"/>
      <c r="K761" s="346"/>
      <c r="L761" s="346"/>
      <c r="M761" s="346"/>
      <c r="N761" s="346"/>
      <c r="O761" s="346"/>
      <c r="P761" s="346"/>
      <c r="Q761" s="346"/>
      <c r="R761" s="346"/>
      <c r="S761" s="346"/>
      <c r="T761" s="346"/>
      <c r="U761" s="346"/>
      <c r="V761" s="346"/>
      <c r="W761" s="346"/>
      <c r="X761" s="346"/>
      <c r="Y761" s="346"/>
      <c r="Z761" s="346"/>
      <c r="AA761" s="346"/>
      <c r="AB761" s="346"/>
      <c r="AC761" s="346"/>
      <c r="AD761" s="346"/>
      <c r="AE761" s="346"/>
      <c r="AF761" s="346"/>
      <c r="AG761" s="346"/>
      <c r="AH761" s="346"/>
      <c r="AI761" s="346"/>
      <c r="AJ761" s="346"/>
      <c r="AK761" s="346"/>
      <c r="AL761" s="346"/>
      <c r="AM761" s="346"/>
      <c r="AN761" s="346"/>
      <c r="AO761" s="346"/>
      <c r="AP761" s="346"/>
      <c r="AQ761" s="346"/>
      <c r="AR761" s="346"/>
      <c r="AS761" s="346"/>
      <c r="AT761" s="346"/>
      <c r="AU761" s="346"/>
      <c r="AV761" s="346"/>
      <c r="AW761" s="346"/>
      <c r="AX761" s="346"/>
      <c r="AY761" s="346"/>
      <c r="AZ761" s="346"/>
      <c r="BA761" s="346"/>
      <c r="BB761" s="346"/>
      <c r="BC761" s="346"/>
      <c r="BD761" s="346"/>
      <c r="BE761" s="346"/>
      <c r="BF761" s="346"/>
      <c r="BG761" s="346"/>
      <c r="BH761" s="346"/>
      <c r="BI761" s="346"/>
      <c r="BJ761" s="346"/>
      <c r="BK761" s="346"/>
      <c r="BL761" s="346"/>
      <c r="BM761" s="346"/>
      <c r="BN761" s="346"/>
      <c r="BO761" s="346"/>
      <c r="BP761" s="346"/>
      <c r="BQ761" s="346"/>
      <c r="BR761" s="346"/>
      <c r="BS761" s="346"/>
      <c r="BT761" s="346"/>
      <c r="BU761" s="346"/>
      <c r="BV761" s="346"/>
      <c r="BW761" s="346"/>
      <c r="BX761" s="346"/>
      <c r="BY761" s="346"/>
      <c r="BZ761" s="346"/>
      <c r="CA761" s="346"/>
      <c r="CB761" s="346"/>
      <c r="CC761" s="346"/>
      <c r="CD761" s="352"/>
      <c r="CE761" s="346"/>
      <c r="CF761" s="346"/>
      <c r="CG761" s="346"/>
      <c r="CH761" s="346"/>
      <c r="CI761" s="346"/>
      <c r="CJ761" s="346"/>
      <c r="CK761" s="346"/>
      <c r="CL761" s="346"/>
      <c r="CM761" s="346"/>
      <c r="CN761" s="346"/>
      <c r="CO761" s="346"/>
      <c r="CP761" s="348"/>
      <c r="CQ761" s="346"/>
      <c r="CR761" s="346"/>
      <c r="CS761" s="346"/>
      <c r="CT761" s="346"/>
      <c r="CU761" s="346"/>
      <c r="CV761" s="346"/>
      <c r="CW761" s="346"/>
      <c r="CX761" s="346"/>
      <c r="CY761" s="346"/>
      <c r="CZ761" s="346"/>
      <c r="DA761" s="346"/>
      <c r="DB761" s="1479"/>
      <c r="DC761" s="346"/>
      <c r="DD761" s="346"/>
      <c r="DE761" s="346"/>
      <c r="DF761" s="346"/>
      <c r="DG761" s="346"/>
      <c r="DH761" s="346"/>
      <c r="DI761" s="346"/>
      <c r="DJ761" s="346"/>
      <c r="DK761" s="346"/>
      <c r="DL761" s="346"/>
      <c r="DM761" s="346"/>
      <c r="DN761" s="348"/>
      <c r="DO761" s="346"/>
      <c r="DP761" s="346"/>
      <c r="DQ761" s="346"/>
      <c r="DR761" s="346"/>
      <c r="DS761" s="346"/>
      <c r="DT761" s="346"/>
      <c r="DU761" s="346"/>
      <c r="DV761" s="346"/>
      <c r="DW761" s="346"/>
      <c r="DX761" s="346"/>
      <c r="DY761" s="346"/>
      <c r="DZ761" s="348"/>
      <c r="EA761" s="346"/>
      <c r="EB761" s="346"/>
      <c r="EC761" s="346"/>
      <c r="ED761" s="346"/>
      <c r="EE761" s="346"/>
      <c r="EF761" s="346"/>
      <c r="EG761" s="346"/>
      <c r="EH761" s="346"/>
      <c r="EI761" s="346"/>
      <c r="EJ761" s="346"/>
      <c r="EK761" s="346"/>
      <c r="EL761" s="348"/>
      <c r="EM761" s="346"/>
      <c r="EN761" s="346"/>
      <c r="EO761" s="346"/>
      <c r="EP761" s="346"/>
      <c r="EQ761" s="346"/>
      <c r="ER761" s="346"/>
      <c r="ES761" s="346"/>
      <c r="ET761" s="346"/>
      <c r="EU761" s="346"/>
      <c r="EV761" s="346"/>
      <c r="EW761" s="346"/>
      <c r="EX761" s="348"/>
      <c r="EY761" s="346"/>
      <c r="EZ761" s="346"/>
      <c r="FA761" s="346"/>
      <c r="FB761" s="346"/>
      <c r="FC761" s="346"/>
      <c r="FD761" s="346"/>
      <c r="FE761" s="346"/>
      <c r="FF761" s="346"/>
      <c r="FG761" s="346"/>
      <c r="FH761" s="346"/>
      <c r="FI761" s="346"/>
      <c r="FJ761" s="348"/>
      <c r="FK761" s="346"/>
      <c r="FL761" s="346"/>
      <c r="FM761" s="346"/>
      <c r="FN761" s="346"/>
      <c r="FO761" s="346"/>
      <c r="FP761" s="346"/>
      <c r="FQ761" s="346"/>
      <c r="FR761" s="346"/>
      <c r="FS761" s="346"/>
      <c r="FT761" s="346"/>
      <c r="FU761" s="346"/>
      <c r="FV761" s="346"/>
      <c r="FW761" s="346"/>
      <c r="FX761" s="346"/>
      <c r="FY761" s="346"/>
      <c r="FZ761" s="346"/>
      <c r="GA761" s="346"/>
      <c r="GB761" s="346"/>
      <c r="GC761" s="346"/>
      <c r="GD761" s="346"/>
      <c r="GE761" s="346"/>
      <c r="GF761" s="346"/>
      <c r="GG761" s="346"/>
      <c r="GH761" s="346"/>
      <c r="GI761" s="1897"/>
      <c r="HN761" s="349"/>
      <c r="HO761" s="1636" t="s">
        <v>3210</v>
      </c>
      <c r="HP761" s="307"/>
      <c r="HR761" s="346"/>
      <c r="HU761" s="346"/>
      <c r="HV761" s="307"/>
      <c r="HX761" s="346"/>
      <c r="HY761" s="350"/>
      <c r="IA761" s="346"/>
      <c r="ID761" s="346"/>
      <c r="IE761" s="350"/>
      <c r="IF761" s="350"/>
      <c r="IG761" s="346"/>
      <c r="IH761" s="350"/>
      <c r="II761" s="350"/>
      <c r="IJ761" s="346"/>
      <c r="IK761" s="350">
        <v>0</v>
      </c>
      <c r="IL761" s="350">
        <f t="shared" si="993"/>
        <v>0</v>
      </c>
      <c r="IM761" s="346">
        <f t="shared" si="1080"/>
        <v>0</v>
      </c>
      <c r="IN761" s="350">
        <f t="shared" si="1052"/>
        <v>0</v>
      </c>
      <c r="IO761" s="350">
        <f t="shared" si="1053"/>
        <v>0</v>
      </c>
      <c r="IP761" s="346">
        <f t="shared" si="1066"/>
        <v>0</v>
      </c>
      <c r="IQ761" s="350">
        <f t="shared" si="1054"/>
        <v>0</v>
      </c>
      <c r="IR761" s="350">
        <f t="shared" si="1055"/>
        <v>0</v>
      </c>
      <c r="IS761" s="346">
        <f t="shared" si="1067"/>
        <v>0</v>
      </c>
      <c r="IT761" s="350">
        <f t="shared" si="1169"/>
        <v>0</v>
      </c>
      <c r="IU761" s="350">
        <f t="shared" si="986"/>
        <v>0</v>
      </c>
      <c r="IV761" s="346">
        <f t="shared" si="1020"/>
        <v>0</v>
      </c>
      <c r="IW761" s="350">
        <f t="shared" si="1081"/>
        <v>0</v>
      </c>
      <c r="IX761" s="350">
        <f t="shared" si="1069"/>
        <v>0</v>
      </c>
      <c r="IY761" s="346">
        <f>FISC!AJ1083</f>
        <v>0</v>
      </c>
      <c r="IZ761" s="350">
        <f>JB761*0.55</f>
        <v>0</v>
      </c>
      <c r="JA761" s="302">
        <f t="shared" si="1119"/>
        <v>0</v>
      </c>
      <c r="JB761" s="346">
        <f>FISC!AK1083</f>
        <v>0</v>
      </c>
      <c r="JC761" s="350">
        <f>JE761*0.55</f>
        <v>0</v>
      </c>
      <c r="JD761" s="302">
        <f t="shared" si="1120"/>
        <v>0</v>
      </c>
      <c r="JE761" s="346">
        <f>FISC!AL1083</f>
        <v>0</v>
      </c>
      <c r="JF761" s="350">
        <f>JH761*0.55</f>
        <v>0</v>
      </c>
      <c r="JG761" s="302">
        <f t="shared" si="1121"/>
        <v>0</v>
      </c>
      <c r="JH761" s="346">
        <f>FISC!AM1083</f>
        <v>0</v>
      </c>
      <c r="JI761" s="350">
        <f>JK761*0.55</f>
        <v>0</v>
      </c>
      <c r="JJ761" s="302">
        <f t="shared" si="1122"/>
        <v>0</v>
      </c>
      <c r="JK761" s="346">
        <f>FISC!AN1083</f>
        <v>0</v>
      </c>
      <c r="JL761" s="350">
        <f>JN761*0.55</f>
        <v>0</v>
      </c>
      <c r="JM761" s="302">
        <f t="shared" si="1123"/>
        <v>0</v>
      </c>
      <c r="JN761" s="346">
        <f>FISC!AO1083</f>
        <v>0</v>
      </c>
      <c r="KI761" s="349"/>
      <c r="KJ761" s="350"/>
    </row>
    <row r="762" spans="1:302" hidden="1" outlineLevel="1">
      <c r="A762" s="302"/>
      <c r="D762" s="1638" t="s">
        <v>3192</v>
      </c>
      <c r="E762" s="346"/>
      <c r="F762" s="346"/>
      <c r="G762" s="346"/>
      <c r="H762" s="346"/>
      <c r="I762" s="346"/>
      <c r="J762" s="346"/>
      <c r="K762" s="346"/>
      <c r="L762" s="346"/>
      <c r="M762" s="346"/>
      <c r="N762" s="346"/>
      <c r="O762" s="346"/>
      <c r="P762" s="346"/>
      <c r="Q762" s="346"/>
      <c r="R762" s="346"/>
      <c r="S762" s="346"/>
      <c r="T762" s="346"/>
      <c r="U762" s="346"/>
      <c r="V762" s="346"/>
      <c r="W762" s="346"/>
      <c r="X762" s="346"/>
      <c r="Y762" s="346"/>
      <c r="Z762" s="346"/>
      <c r="AA762" s="346"/>
      <c r="AB762" s="346"/>
      <c r="AC762" s="346"/>
      <c r="AD762" s="346"/>
      <c r="AE762" s="346"/>
      <c r="AF762" s="346"/>
      <c r="AG762" s="346"/>
      <c r="AH762" s="346"/>
      <c r="AI762" s="346"/>
      <c r="AJ762" s="346"/>
      <c r="AK762" s="346"/>
      <c r="AL762" s="346"/>
      <c r="AM762" s="346"/>
      <c r="AN762" s="346"/>
      <c r="AO762" s="346"/>
      <c r="AP762" s="346"/>
      <c r="AQ762" s="346"/>
      <c r="AR762" s="346"/>
      <c r="AS762" s="346"/>
      <c r="AT762" s="346"/>
      <c r="AU762" s="346"/>
      <c r="AV762" s="346"/>
      <c r="AW762" s="346"/>
      <c r="AX762" s="346"/>
      <c r="AY762" s="346"/>
      <c r="AZ762" s="346"/>
      <c r="BA762" s="346"/>
      <c r="BB762" s="346"/>
      <c r="BC762" s="346"/>
      <c r="BD762" s="346"/>
      <c r="BE762" s="346"/>
      <c r="BF762" s="346"/>
      <c r="BG762" s="346"/>
      <c r="BH762" s="346"/>
      <c r="BI762" s="346"/>
      <c r="BJ762" s="346"/>
      <c r="BK762" s="346"/>
      <c r="BL762" s="346"/>
      <c r="BM762" s="346"/>
      <c r="BN762" s="346"/>
      <c r="BO762" s="346"/>
      <c r="BP762" s="346"/>
      <c r="BQ762" s="346"/>
      <c r="BR762" s="346"/>
      <c r="BS762" s="346"/>
      <c r="BT762" s="346"/>
      <c r="BU762" s="346"/>
      <c r="BV762" s="346"/>
      <c r="BW762" s="346"/>
      <c r="BX762" s="346"/>
      <c r="BY762" s="346"/>
      <c r="BZ762" s="346"/>
      <c r="CA762" s="346"/>
      <c r="CB762" s="346"/>
      <c r="CC762" s="346"/>
      <c r="CD762" s="352"/>
      <c r="CE762" s="346"/>
      <c r="CF762" s="346"/>
      <c r="CG762" s="346"/>
      <c r="CH762" s="346"/>
      <c r="CI762" s="346"/>
      <c r="CJ762" s="346"/>
      <c r="CK762" s="346"/>
      <c r="CL762" s="346"/>
      <c r="CM762" s="346"/>
      <c r="CN762" s="346"/>
      <c r="CO762" s="346"/>
      <c r="CP762" s="348"/>
      <c r="CQ762" s="346"/>
      <c r="CR762" s="346"/>
      <c r="CS762" s="346"/>
      <c r="CT762" s="346"/>
      <c r="CU762" s="346"/>
      <c r="CV762" s="346"/>
      <c r="CW762" s="346"/>
      <c r="CX762" s="346"/>
      <c r="CY762" s="346"/>
      <c r="CZ762" s="346"/>
      <c r="DA762" s="346"/>
      <c r="DB762" s="1479"/>
      <c r="DC762" s="346"/>
      <c r="DD762" s="346"/>
      <c r="DE762" s="346"/>
      <c r="DF762" s="346"/>
      <c r="DG762" s="346"/>
      <c r="DH762" s="346"/>
      <c r="DI762" s="346"/>
      <c r="DJ762" s="346"/>
      <c r="DK762" s="346"/>
      <c r="DL762" s="346"/>
      <c r="DM762" s="346"/>
      <c r="DN762" s="348"/>
      <c r="DO762" s="346"/>
      <c r="DP762" s="346"/>
      <c r="DQ762" s="346"/>
      <c r="DR762" s="346"/>
      <c r="DS762" s="346"/>
      <c r="DT762" s="346"/>
      <c r="DU762" s="346"/>
      <c r="DV762" s="346"/>
      <c r="DW762" s="346"/>
      <c r="DX762" s="346"/>
      <c r="DY762" s="346"/>
      <c r="DZ762" s="348"/>
      <c r="EA762" s="346"/>
      <c r="EB762" s="346"/>
      <c r="EC762" s="346"/>
      <c r="ED762" s="346"/>
      <c r="EE762" s="346"/>
      <c r="EF762" s="346"/>
      <c r="EG762" s="346"/>
      <c r="EH762" s="346"/>
      <c r="EI762" s="346"/>
      <c r="EJ762" s="346"/>
      <c r="EK762" s="346"/>
      <c r="EL762" s="348"/>
      <c r="EM762" s="346"/>
      <c r="EN762" s="346"/>
      <c r="EO762" s="346"/>
      <c r="EP762" s="346"/>
      <c r="EQ762" s="346"/>
      <c r="ER762" s="346"/>
      <c r="ES762" s="346"/>
      <c r="ET762" s="346"/>
      <c r="EU762" s="346"/>
      <c r="EV762" s="346"/>
      <c r="EW762" s="346"/>
      <c r="EX762" s="348"/>
      <c r="EY762" s="346"/>
      <c r="EZ762" s="346"/>
      <c r="FA762" s="346"/>
      <c r="FB762" s="346"/>
      <c r="FC762" s="346"/>
      <c r="FD762" s="346"/>
      <c r="FE762" s="346"/>
      <c r="FF762" s="346"/>
      <c r="FG762" s="346"/>
      <c r="FH762" s="346"/>
      <c r="FI762" s="346"/>
      <c r="FJ762" s="348"/>
      <c r="FK762" s="346"/>
      <c r="FL762" s="346"/>
      <c r="FM762" s="346"/>
      <c r="FN762" s="346"/>
      <c r="FO762" s="346"/>
      <c r="FP762" s="346"/>
      <c r="FQ762" s="346"/>
      <c r="FR762" s="346"/>
      <c r="FS762" s="346"/>
      <c r="FT762" s="346"/>
      <c r="FU762" s="346"/>
      <c r="FV762" s="346"/>
      <c r="FW762" s="346"/>
      <c r="FX762" s="346"/>
      <c r="FY762" s="346"/>
      <c r="FZ762" s="346"/>
      <c r="GA762" s="346"/>
      <c r="GB762" s="346"/>
      <c r="GC762" s="346"/>
      <c r="GD762" s="346"/>
      <c r="GE762" s="346"/>
      <c r="GF762" s="346"/>
      <c r="GG762" s="346"/>
      <c r="GH762" s="346"/>
      <c r="GI762" s="1897"/>
      <c r="HN762" s="349"/>
      <c r="HO762" s="1638" t="s">
        <v>3192</v>
      </c>
      <c r="HP762" s="307"/>
      <c r="HR762" s="346"/>
      <c r="HU762" s="346"/>
      <c r="HV762" s="307"/>
      <c r="HX762" s="346"/>
      <c r="HY762" s="350"/>
      <c r="IA762" s="346"/>
      <c r="ID762" s="346"/>
      <c r="IE762" s="350"/>
      <c r="IF762" s="350"/>
      <c r="IG762" s="346"/>
      <c r="IH762" s="350"/>
      <c r="II762" s="350"/>
      <c r="IJ762" s="346"/>
      <c r="IK762" s="350">
        <v>0</v>
      </c>
      <c r="IL762" s="350">
        <f t="shared" si="993"/>
        <v>0</v>
      </c>
      <c r="IM762" s="346">
        <f t="shared" si="1080"/>
        <v>0</v>
      </c>
      <c r="IN762" s="350">
        <f t="shared" si="1052"/>
        <v>0</v>
      </c>
      <c r="IO762" s="350">
        <f t="shared" si="1053"/>
        <v>0</v>
      </c>
      <c r="IP762" s="346">
        <f t="shared" si="1066"/>
        <v>0</v>
      </c>
      <c r="IQ762" s="350">
        <f t="shared" si="1054"/>
        <v>0</v>
      </c>
      <c r="IR762" s="350">
        <f t="shared" si="1055"/>
        <v>0</v>
      </c>
      <c r="IS762" s="346">
        <f t="shared" si="1067"/>
        <v>0</v>
      </c>
      <c r="IT762" s="350">
        <f t="shared" si="1169"/>
        <v>0</v>
      </c>
      <c r="IU762" s="350">
        <f t="shared" si="986"/>
        <v>0</v>
      </c>
      <c r="IV762" s="346">
        <f t="shared" si="1020"/>
        <v>0</v>
      </c>
      <c r="IW762" s="350">
        <f t="shared" si="1081"/>
        <v>0</v>
      </c>
      <c r="IX762" s="350">
        <f t="shared" si="1069"/>
        <v>0</v>
      </c>
      <c r="IY762" s="346">
        <f>FISC!AJ1084</f>
        <v>0</v>
      </c>
      <c r="IZ762" s="350">
        <f>JB762*0.55</f>
        <v>0</v>
      </c>
      <c r="JA762" s="302">
        <f t="shared" si="1119"/>
        <v>0</v>
      </c>
      <c r="JB762" s="346">
        <f>FISC!AK1084</f>
        <v>0</v>
      </c>
      <c r="JC762" s="350">
        <f>JE762*0.55</f>
        <v>0</v>
      </c>
      <c r="JD762" s="302">
        <f t="shared" si="1120"/>
        <v>0</v>
      </c>
      <c r="JE762" s="346">
        <f>FISC!AL1084</f>
        <v>0</v>
      </c>
      <c r="JF762" s="350">
        <f>JH762*0.55</f>
        <v>0</v>
      </c>
      <c r="JG762" s="302">
        <f t="shared" si="1121"/>
        <v>0</v>
      </c>
      <c r="JH762" s="346">
        <f>FISC!AM1084</f>
        <v>0</v>
      </c>
      <c r="JI762" s="350">
        <f>JK762*0.55</f>
        <v>0</v>
      </c>
      <c r="JJ762" s="302">
        <f t="shared" si="1122"/>
        <v>0</v>
      </c>
      <c r="JK762" s="346">
        <f>FISC!AN1084</f>
        <v>0</v>
      </c>
      <c r="JL762" s="350">
        <f>JN762*0.55</f>
        <v>0</v>
      </c>
      <c r="JM762" s="302">
        <f t="shared" si="1123"/>
        <v>0</v>
      </c>
      <c r="JN762" s="346">
        <f>FISC!AO1084</f>
        <v>0</v>
      </c>
      <c r="KI762" s="349"/>
      <c r="KJ762" s="350"/>
    </row>
    <row r="763" spans="1:302" hidden="1" outlineLevel="1">
      <c r="A763" s="302"/>
      <c r="D763" s="1638" t="s">
        <v>3122</v>
      </c>
      <c r="E763" s="346"/>
      <c r="F763" s="346"/>
      <c r="G763" s="346"/>
      <c r="H763" s="346"/>
      <c r="I763" s="346"/>
      <c r="J763" s="346"/>
      <c r="K763" s="346"/>
      <c r="L763" s="346"/>
      <c r="M763" s="346"/>
      <c r="N763" s="346"/>
      <c r="O763" s="346"/>
      <c r="P763" s="346"/>
      <c r="Q763" s="346"/>
      <c r="R763" s="346"/>
      <c r="S763" s="346"/>
      <c r="T763" s="346"/>
      <c r="U763" s="346"/>
      <c r="V763" s="346"/>
      <c r="W763" s="346"/>
      <c r="X763" s="346"/>
      <c r="Y763" s="346"/>
      <c r="Z763" s="346"/>
      <c r="AA763" s="346"/>
      <c r="AB763" s="346"/>
      <c r="AC763" s="346"/>
      <c r="AD763" s="346"/>
      <c r="AE763" s="346"/>
      <c r="AF763" s="346"/>
      <c r="AG763" s="346"/>
      <c r="AH763" s="346"/>
      <c r="AI763" s="346"/>
      <c r="AJ763" s="346"/>
      <c r="AK763" s="346"/>
      <c r="AL763" s="346"/>
      <c r="AM763" s="346"/>
      <c r="AN763" s="346"/>
      <c r="AO763" s="346"/>
      <c r="AP763" s="346"/>
      <c r="AQ763" s="346"/>
      <c r="AR763" s="346"/>
      <c r="AS763" s="346"/>
      <c r="AT763" s="346"/>
      <c r="AU763" s="346"/>
      <c r="AV763" s="346"/>
      <c r="AW763" s="346"/>
      <c r="AX763" s="346"/>
      <c r="AY763" s="346"/>
      <c r="AZ763" s="346"/>
      <c r="BA763" s="346"/>
      <c r="BB763" s="346"/>
      <c r="BC763" s="346"/>
      <c r="BD763" s="346"/>
      <c r="BE763" s="346"/>
      <c r="BF763" s="346"/>
      <c r="BG763" s="346"/>
      <c r="BH763" s="346"/>
      <c r="BI763" s="346"/>
      <c r="BJ763" s="346"/>
      <c r="BK763" s="346"/>
      <c r="BL763" s="346"/>
      <c r="BM763" s="346"/>
      <c r="BN763" s="346"/>
      <c r="BO763" s="346"/>
      <c r="BP763" s="346"/>
      <c r="BQ763" s="346"/>
      <c r="BR763" s="346"/>
      <c r="BS763" s="346"/>
      <c r="BT763" s="346"/>
      <c r="BU763" s="346"/>
      <c r="BV763" s="346"/>
      <c r="BW763" s="346"/>
      <c r="BX763" s="346"/>
      <c r="BY763" s="346"/>
      <c r="BZ763" s="346"/>
      <c r="CA763" s="346"/>
      <c r="CB763" s="346"/>
      <c r="CC763" s="346"/>
      <c r="CD763" s="352"/>
      <c r="CE763" s="346">
        <v>0</v>
      </c>
      <c r="CF763" s="346">
        <v>0</v>
      </c>
      <c r="CG763" s="346">
        <v>0</v>
      </c>
      <c r="CH763" s="346">
        <v>0</v>
      </c>
      <c r="CI763" s="346">
        <v>0</v>
      </c>
      <c r="CJ763" s="346">
        <v>0</v>
      </c>
      <c r="CK763" s="346">
        <v>0</v>
      </c>
      <c r="CL763" s="346">
        <v>0</v>
      </c>
      <c r="CM763" s="346">
        <v>0</v>
      </c>
      <c r="CN763" s="346">
        <v>0</v>
      </c>
      <c r="CO763" s="346">
        <v>0</v>
      </c>
      <c r="CP763" s="348">
        <v>0</v>
      </c>
      <c r="CQ763" s="346"/>
      <c r="CR763" s="346"/>
      <c r="CS763" s="346"/>
      <c r="CT763" s="346"/>
      <c r="CU763" s="346"/>
      <c r="CV763" s="346"/>
      <c r="CW763" s="346"/>
      <c r="CX763" s="346"/>
      <c r="CY763" s="346"/>
      <c r="CZ763" s="346"/>
      <c r="DA763" s="346"/>
      <c r="DB763" s="1479"/>
      <c r="DC763" s="346"/>
      <c r="DD763" s="346"/>
      <c r="DE763" s="346"/>
      <c r="DF763" s="346"/>
      <c r="DG763" s="346"/>
      <c r="DH763" s="346"/>
      <c r="DI763" s="346"/>
      <c r="DJ763" s="346"/>
      <c r="DK763" s="346"/>
      <c r="DL763" s="346"/>
      <c r="DM763" s="346"/>
      <c r="DN763" s="348"/>
      <c r="DO763" s="346"/>
      <c r="DP763" s="346"/>
      <c r="DQ763" s="346"/>
      <c r="DR763" s="346"/>
      <c r="DS763" s="346"/>
      <c r="DT763" s="346"/>
      <c r="DU763" s="346"/>
      <c r="DV763" s="346"/>
      <c r="DW763" s="346"/>
      <c r="DX763" s="346"/>
      <c r="DY763" s="346"/>
      <c r="DZ763" s="348"/>
      <c r="EA763" s="346"/>
      <c r="EB763" s="346"/>
      <c r="EC763" s="346"/>
      <c r="ED763" s="346"/>
      <c r="EE763" s="346"/>
      <c r="EF763" s="346"/>
      <c r="EG763" s="346"/>
      <c r="EH763" s="346"/>
      <c r="EI763" s="346"/>
      <c r="EJ763" s="346"/>
      <c r="EK763" s="346"/>
      <c r="EL763" s="348"/>
      <c r="EM763" s="346"/>
      <c r="EN763" s="346"/>
      <c r="EO763" s="346"/>
      <c r="EP763" s="346"/>
      <c r="EQ763" s="346"/>
      <c r="ER763" s="346"/>
      <c r="ES763" s="346"/>
      <c r="ET763" s="346"/>
      <c r="EU763" s="346"/>
      <c r="EV763" s="346"/>
      <c r="EW763" s="346"/>
      <c r="EX763" s="348"/>
      <c r="EY763" s="346"/>
      <c r="EZ763" s="346"/>
      <c r="FA763" s="346"/>
      <c r="FB763" s="346"/>
      <c r="FC763" s="346"/>
      <c r="FD763" s="346"/>
      <c r="FE763" s="346"/>
      <c r="FF763" s="346"/>
      <c r="FG763" s="346"/>
      <c r="FH763" s="346"/>
      <c r="FI763" s="346"/>
      <c r="FJ763" s="348"/>
      <c r="FK763" s="346"/>
      <c r="FL763" s="346"/>
      <c r="FM763" s="346"/>
      <c r="FN763" s="346"/>
      <c r="FO763" s="346"/>
      <c r="FP763" s="346"/>
      <c r="FQ763" s="346"/>
      <c r="FR763" s="346"/>
      <c r="FS763" s="346"/>
      <c r="FT763" s="346"/>
      <c r="FU763" s="346"/>
      <c r="FV763" s="346"/>
      <c r="FW763" s="346"/>
      <c r="FX763" s="346"/>
      <c r="FY763" s="346"/>
      <c r="FZ763" s="346"/>
      <c r="GA763" s="346"/>
      <c r="GB763" s="346"/>
      <c r="GC763" s="346"/>
      <c r="GD763" s="346"/>
      <c r="GE763" s="346"/>
      <c r="GF763" s="346"/>
      <c r="GG763" s="346"/>
      <c r="GH763" s="346"/>
      <c r="GI763" s="1897"/>
      <c r="HN763" s="349"/>
      <c r="HO763" s="1638" t="s">
        <v>3122</v>
      </c>
      <c r="HP763" s="307"/>
      <c r="HR763" s="346"/>
      <c r="HU763" s="346"/>
      <c r="HV763" s="307"/>
      <c r="HX763" s="346"/>
      <c r="HY763" s="350"/>
      <c r="IA763" s="346"/>
      <c r="ID763" s="346"/>
      <c r="IE763" s="350"/>
      <c r="IF763" s="350"/>
      <c r="IG763" s="346"/>
      <c r="IH763" s="350"/>
      <c r="II763" s="350"/>
      <c r="IJ763" s="346"/>
      <c r="IK763" s="350">
        <f>SUM(FK763:FP763)</f>
        <v>0</v>
      </c>
      <c r="IL763" s="350">
        <f t="shared" si="993"/>
        <v>0</v>
      </c>
      <c r="IM763" s="346">
        <f t="shared" si="1080"/>
        <v>0</v>
      </c>
      <c r="IN763" s="350">
        <f t="shared" si="1052"/>
        <v>0</v>
      </c>
      <c r="IO763" s="350">
        <f t="shared" si="1053"/>
        <v>0</v>
      </c>
      <c r="IP763" s="346">
        <f t="shared" si="1066"/>
        <v>0</v>
      </c>
      <c r="IQ763" s="350">
        <f t="shared" si="1054"/>
        <v>0</v>
      </c>
      <c r="IR763" s="350">
        <f t="shared" si="1055"/>
        <v>0</v>
      </c>
      <c r="IS763" s="346">
        <f t="shared" si="1067"/>
        <v>0</v>
      </c>
      <c r="IT763" s="350">
        <f t="shared" si="1169"/>
        <v>0</v>
      </c>
      <c r="IU763" s="350">
        <f t="shared" si="986"/>
        <v>0</v>
      </c>
      <c r="IV763" s="346">
        <f t="shared" si="1020"/>
        <v>0</v>
      </c>
      <c r="IW763" s="350">
        <f t="shared" si="1081"/>
        <v>0</v>
      </c>
      <c r="IX763" s="350">
        <f t="shared" si="1069"/>
        <v>0</v>
      </c>
      <c r="IY763" s="346">
        <f>FISC!AJ1085</f>
        <v>0</v>
      </c>
      <c r="IZ763" s="350">
        <f>JB763*0.55</f>
        <v>0</v>
      </c>
      <c r="JA763" s="302">
        <f t="shared" si="1119"/>
        <v>0</v>
      </c>
      <c r="JB763" s="346">
        <f>FISC!AK1085</f>
        <v>0</v>
      </c>
      <c r="JC763" s="350">
        <f>JE763*0.55</f>
        <v>0</v>
      </c>
      <c r="JD763" s="302">
        <f t="shared" si="1120"/>
        <v>0</v>
      </c>
      <c r="JE763" s="346">
        <f>FISC!AL1085</f>
        <v>0</v>
      </c>
      <c r="JF763" s="350">
        <f>JH763*0.55</f>
        <v>0</v>
      </c>
      <c r="JG763" s="302">
        <f t="shared" si="1121"/>
        <v>0</v>
      </c>
      <c r="JH763" s="346">
        <f>FISC!AM1085</f>
        <v>0</v>
      </c>
      <c r="JI763" s="350">
        <f>JK763*0.55</f>
        <v>0</v>
      </c>
      <c r="JJ763" s="302">
        <f t="shared" si="1122"/>
        <v>0</v>
      </c>
      <c r="JK763" s="346">
        <f>FISC!AN1085</f>
        <v>0</v>
      </c>
      <c r="JL763" s="350">
        <f>JN763*0.55</f>
        <v>0</v>
      </c>
      <c r="JM763" s="302">
        <f t="shared" si="1123"/>
        <v>0</v>
      </c>
      <c r="JN763" s="346">
        <f>FISC!AO1085</f>
        <v>0</v>
      </c>
      <c r="KI763" s="349"/>
      <c r="KJ763" s="350"/>
    </row>
    <row r="764" spans="1:302" hidden="1" outlineLevel="1">
      <c r="A764" s="302"/>
      <c r="D764" s="1638" t="s">
        <v>3121</v>
      </c>
      <c r="E764" s="346"/>
      <c r="F764" s="346"/>
      <c r="G764" s="346"/>
      <c r="H764" s="346"/>
      <c r="I764" s="346"/>
      <c r="J764" s="346"/>
      <c r="K764" s="346"/>
      <c r="L764" s="346"/>
      <c r="M764" s="346"/>
      <c r="N764" s="346"/>
      <c r="O764" s="346"/>
      <c r="P764" s="346"/>
      <c r="Q764" s="346"/>
      <c r="R764" s="346"/>
      <c r="S764" s="346"/>
      <c r="T764" s="346"/>
      <c r="U764" s="346"/>
      <c r="V764" s="346"/>
      <c r="W764" s="346"/>
      <c r="X764" s="346"/>
      <c r="Y764" s="346"/>
      <c r="Z764" s="346"/>
      <c r="AA764" s="346"/>
      <c r="AB764" s="346"/>
      <c r="AC764" s="346"/>
      <c r="AD764" s="346"/>
      <c r="AE764" s="346"/>
      <c r="AF764" s="346"/>
      <c r="AG764" s="346"/>
      <c r="AH764" s="346"/>
      <c r="AI764" s="346"/>
      <c r="AJ764" s="346"/>
      <c r="AK764" s="346"/>
      <c r="AL764" s="346"/>
      <c r="AM764" s="346"/>
      <c r="AN764" s="346"/>
      <c r="AO764" s="346"/>
      <c r="AP764" s="346"/>
      <c r="AQ764" s="346"/>
      <c r="AR764" s="346"/>
      <c r="AS764" s="346"/>
      <c r="AT764" s="346"/>
      <c r="AU764" s="346"/>
      <c r="AV764" s="346"/>
      <c r="AW764" s="346"/>
      <c r="AX764" s="346"/>
      <c r="AY764" s="346"/>
      <c r="AZ764" s="346"/>
      <c r="BA764" s="346"/>
      <c r="BB764" s="346"/>
      <c r="BC764" s="346"/>
      <c r="BD764" s="346"/>
      <c r="BE764" s="346"/>
      <c r="BF764" s="346"/>
      <c r="BG764" s="346"/>
      <c r="BH764" s="346"/>
      <c r="BI764" s="346"/>
      <c r="BJ764" s="346"/>
      <c r="BK764" s="346"/>
      <c r="BL764" s="346"/>
      <c r="BM764" s="346"/>
      <c r="BN764" s="346"/>
      <c r="BO764" s="346"/>
      <c r="BP764" s="346"/>
      <c r="BQ764" s="346"/>
      <c r="BR764" s="346"/>
      <c r="BS764" s="346"/>
      <c r="BT764" s="346"/>
      <c r="BU764" s="346"/>
      <c r="BV764" s="346"/>
      <c r="BW764" s="346"/>
      <c r="BX764" s="346"/>
      <c r="BY764" s="346"/>
      <c r="BZ764" s="346"/>
      <c r="CA764" s="346"/>
      <c r="CB764" s="346"/>
      <c r="CC764" s="346"/>
      <c r="CD764" s="352"/>
      <c r="CE764" s="346">
        <v>0</v>
      </c>
      <c r="CF764" s="346">
        <v>0</v>
      </c>
      <c r="CG764" s="346">
        <v>0</v>
      </c>
      <c r="CH764" s="346">
        <v>0</v>
      </c>
      <c r="CI764" s="346">
        <v>0</v>
      </c>
      <c r="CJ764" s="346">
        <v>0</v>
      </c>
      <c r="CK764" s="346">
        <v>0</v>
      </c>
      <c r="CL764" s="346">
        <v>0</v>
      </c>
      <c r="CM764" s="346">
        <v>0</v>
      </c>
      <c r="CN764" s="346">
        <v>0</v>
      </c>
      <c r="CO764" s="346">
        <v>0</v>
      </c>
      <c r="CP764" s="348">
        <v>0</v>
      </c>
      <c r="CQ764" s="346"/>
      <c r="CR764" s="346"/>
      <c r="CS764" s="346"/>
      <c r="CT764" s="346"/>
      <c r="CU764" s="346"/>
      <c r="CV764" s="346"/>
      <c r="CW764" s="346"/>
      <c r="CX764" s="346"/>
      <c r="CY764" s="346"/>
      <c r="CZ764" s="346"/>
      <c r="DA764" s="346"/>
      <c r="DB764" s="1479"/>
      <c r="DC764" s="346"/>
      <c r="DD764" s="346"/>
      <c r="DE764" s="346"/>
      <c r="DF764" s="346"/>
      <c r="DG764" s="346"/>
      <c r="DH764" s="346"/>
      <c r="DI764" s="346"/>
      <c r="DJ764" s="346"/>
      <c r="DK764" s="346"/>
      <c r="DL764" s="346"/>
      <c r="DM764" s="346"/>
      <c r="DN764" s="348"/>
      <c r="DO764" s="346"/>
      <c r="DP764" s="346"/>
      <c r="DQ764" s="346"/>
      <c r="DR764" s="346"/>
      <c r="DS764" s="346"/>
      <c r="DT764" s="346"/>
      <c r="DU764" s="346"/>
      <c r="DV764" s="346"/>
      <c r="DW764" s="346"/>
      <c r="DX764" s="346"/>
      <c r="DY764" s="346"/>
      <c r="DZ764" s="348"/>
      <c r="EA764" s="346"/>
      <c r="EB764" s="346"/>
      <c r="EC764" s="346"/>
      <c r="ED764" s="346"/>
      <c r="EE764" s="346"/>
      <c r="EF764" s="346"/>
      <c r="EG764" s="346"/>
      <c r="EH764" s="346"/>
      <c r="EI764" s="346"/>
      <c r="EJ764" s="346"/>
      <c r="EK764" s="346"/>
      <c r="EL764" s="348"/>
      <c r="EM764" s="346"/>
      <c r="EN764" s="346"/>
      <c r="EO764" s="346"/>
      <c r="EP764" s="346"/>
      <c r="EQ764" s="346"/>
      <c r="ER764" s="346"/>
      <c r="ES764" s="346"/>
      <c r="ET764" s="346"/>
      <c r="EU764" s="346"/>
      <c r="EV764" s="346"/>
      <c r="EW764" s="346"/>
      <c r="EX764" s="348"/>
      <c r="EY764" s="346"/>
      <c r="EZ764" s="346"/>
      <c r="FA764" s="346"/>
      <c r="FB764" s="346"/>
      <c r="FC764" s="346"/>
      <c r="FD764" s="346"/>
      <c r="FE764" s="346"/>
      <c r="FF764" s="346"/>
      <c r="FG764" s="346"/>
      <c r="FH764" s="346"/>
      <c r="FI764" s="346"/>
      <c r="FJ764" s="348"/>
      <c r="FK764" s="346"/>
      <c r="FL764" s="346"/>
      <c r="FM764" s="346"/>
      <c r="FN764" s="346"/>
      <c r="FO764" s="346"/>
      <c r="FP764" s="346"/>
      <c r="FQ764" s="346"/>
      <c r="FR764" s="346"/>
      <c r="FS764" s="346"/>
      <c r="FT764" s="346"/>
      <c r="FU764" s="346"/>
      <c r="FV764" s="346"/>
      <c r="FW764" s="346"/>
      <c r="FX764" s="346"/>
      <c r="FY764" s="346"/>
      <c r="FZ764" s="346"/>
      <c r="GA764" s="346"/>
      <c r="GB764" s="346"/>
      <c r="GC764" s="346"/>
      <c r="GD764" s="346"/>
      <c r="GE764" s="346"/>
      <c r="GF764" s="346"/>
      <c r="GG764" s="346"/>
      <c r="GH764" s="346"/>
      <c r="GI764" s="1897">
        <f>GI744</f>
        <v>0</v>
      </c>
      <c r="GJ764" s="1897">
        <f t="shared" ref="GJ764:HL764" si="1175">GJ744</f>
        <v>0</v>
      </c>
      <c r="GK764" s="1897">
        <f t="shared" si="1175"/>
        <v>37.830943720766165</v>
      </c>
      <c r="GL764" s="1897">
        <f t="shared" si="1175"/>
        <v>0</v>
      </c>
      <c r="GM764" s="1897">
        <f t="shared" si="1175"/>
        <v>0</v>
      </c>
      <c r="GN764" s="1897">
        <f t="shared" si="1175"/>
        <v>39.097062721909495</v>
      </c>
      <c r="GO764" s="1897">
        <f t="shared" si="1175"/>
        <v>0</v>
      </c>
      <c r="GP764" s="1897">
        <f t="shared" si="1175"/>
        <v>0</v>
      </c>
      <c r="GQ764" s="1897">
        <f t="shared" si="1175"/>
        <v>42.755879130666671</v>
      </c>
      <c r="GR764" s="1897">
        <f t="shared" si="1175"/>
        <v>0</v>
      </c>
      <c r="GS764" s="1897">
        <f t="shared" si="1175"/>
        <v>0</v>
      </c>
      <c r="GT764" s="1897">
        <f t="shared" si="1175"/>
        <v>26.769587676048875</v>
      </c>
      <c r="GU764" s="1897">
        <f t="shared" si="1175"/>
        <v>0</v>
      </c>
      <c r="GV764" s="1897">
        <f t="shared" si="1175"/>
        <v>8.3532185703925492</v>
      </c>
      <c r="GW764" s="1897">
        <f t="shared" si="1175"/>
        <v>69.735063820311296</v>
      </c>
      <c r="GX764" s="1897">
        <f t="shared" si="1175"/>
        <v>0</v>
      </c>
      <c r="GY764" s="1897">
        <f t="shared" si="1175"/>
        <v>0</v>
      </c>
      <c r="GZ764" s="1897">
        <f t="shared" si="1175"/>
        <v>64.860627565871624</v>
      </c>
      <c r="HA764" s="1897">
        <f t="shared" si="1175"/>
        <v>0</v>
      </c>
      <c r="HB764" s="1897">
        <f t="shared" si="1175"/>
        <v>7.6904207837038214</v>
      </c>
      <c r="HC764" s="1897">
        <f t="shared" si="1175"/>
        <v>19.23650826862179</v>
      </c>
      <c r="HD764" s="1897">
        <f t="shared" si="1175"/>
        <v>35.777865754843894</v>
      </c>
      <c r="HE764" s="1897">
        <f t="shared" si="1175"/>
        <v>3.9089259962722953</v>
      </c>
      <c r="HF764" s="1897">
        <f t="shared" si="1175"/>
        <v>0</v>
      </c>
      <c r="HG764" s="1897">
        <f t="shared" si="1175"/>
        <v>24.893886267105898</v>
      </c>
      <c r="HH764" s="1897">
        <f t="shared" si="1175"/>
        <v>0</v>
      </c>
      <c r="HI764" s="1897">
        <f t="shared" si="1175"/>
        <v>57.657934019426094</v>
      </c>
      <c r="HJ764" s="1897">
        <f t="shared" si="1175"/>
        <v>0</v>
      </c>
      <c r="HK764" s="1897">
        <f t="shared" si="1175"/>
        <v>0</v>
      </c>
      <c r="HL764" s="1897">
        <f t="shared" si="1175"/>
        <v>52.553518996000001</v>
      </c>
      <c r="HM764" s="1897"/>
      <c r="HN764" s="349"/>
      <c r="HO764" s="1638" t="s">
        <v>3121</v>
      </c>
      <c r="HP764" s="307"/>
      <c r="HR764" s="346"/>
      <c r="HU764" s="346"/>
      <c r="HV764" s="307"/>
      <c r="HX764" s="346"/>
      <c r="HY764" s="350"/>
      <c r="IA764" s="346"/>
      <c r="ID764" s="346"/>
      <c r="IE764" s="350"/>
      <c r="IF764" s="350"/>
      <c r="IG764" s="346"/>
      <c r="IH764" s="350"/>
      <c r="II764" s="350"/>
      <c r="IJ764" s="346"/>
      <c r="IK764" s="350">
        <v>91.545131231999989</v>
      </c>
      <c r="IL764" s="350">
        <f t="shared" si="993"/>
        <v>0</v>
      </c>
      <c r="IM764" s="346">
        <f>IK764+IL764</f>
        <v>91.545131231999989</v>
      </c>
      <c r="IN764" s="350">
        <f t="shared" si="1052"/>
        <v>0</v>
      </c>
      <c r="IO764" s="350">
        <f t="shared" si="1053"/>
        <v>0</v>
      </c>
      <c r="IP764" s="346">
        <f t="shared" si="1066"/>
        <v>0</v>
      </c>
      <c r="IQ764" s="350">
        <f t="shared" ref="IQ764:IQ775" si="1176">SUM(GI764:GN764)</f>
        <v>76.928006442675667</v>
      </c>
      <c r="IR764" s="350">
        <f t="shared" ref="IR764:IR776" si="1177">SUM(GO764:GT764)</f>
        <v>69.525466806715542</v>
      </c>
      <c r="IS764" s="346">
        <f t="shared" si="1067"/>
        <v>146.45347324939121</v>
      </c>
      <c r="IT764" s="350">
        <f t="shared" si="1169"/>
        <v>142.94890995657548</v>
      </c>
      <c r="IU764" s="350">
        <f t="shared" si="986"/>
        <v>66.613720803441808</v>
      </c>
      <c r="IV764" s="346">
        <f t="shared" si="1020"/>
        <v>209.56263076001727</v>
      </c>
      <c r="IW764" s="350">
        <f t="shared" si="1081"/>
        <v>135.10533928253199</v>
      </c>
      <c r="IX764" s="350">
        <f t="shared" si="1069"/>
        <v>74.89077817180268</v>
      </c>
      <c r="IY764" s="346">
        <f>FISC!AJ1086</f>
        <v>209.99611745433467</v>
      </c>
      <c r="IZ764" s="350">
        <f>IZ744</f>
        <v>98.624497302189511</v>
      </c>
      <c r="JA764" s="302">
        <f t="shared" si="1119"/>
        <v>98.624497302189511</v>
      </c>
      <c r="JB764" s="346">
        <f>FISC!AK1086</f>
        <v>197.24899460437902</v>
      </c>
      <c r="JC764" s="350">
        <f>JC744</f>
        <v>105.93165753195345</v>
      </c>
      <c r="JD764" s="302">
        <f t="shared" si="1120"/>
        <v>105.93165753195345</v>
      </c>
      <c r="JE764" s="346">
        <f>FISC!AL1086</f>
        <v>211.8633150639069</v>
      </c>
      <c r="JF764" s="350">
        <f>JF744</f>
        <v>112.94600449504487</v>
      </c>
      <c r="JG764" s="302">
        <f t="shared" si="1121"/>
        <v>112.94600449504487</v>
      </c>
      <c r="JH764" s="346">
        <f>FISC!AM1086</f>
        <v>225.89200899008975</v>
      </c>
      <c r="JI764" s="350">
        <f>JI744</f>
        <v>119.33943304664193</v>
      </c>
      <c r="JJ764" s="302">
        <f t="shared" si="1122"/>
        <v>119.33943304664193</v>
      </c>
      <c r="JK764" s="346">
        <f>FISC!AN1086</f>
        <v>238.67886609328386</v>
      </c>
      <c r="JL764" s="350">
        <f>JL744</f>
        <v>124.55660873368646</v>
      </c>
      <c r="JM764" s="302">
        <f t="shared" si="1123"/>
        <v>124.55660873368646</v>
      </c>
      <c r="JN764" s="346">
        <f>FISC!AO1086</f>
        <v>249.11321746737292</v>
      </c>
      <c r="KI764" s="349"/>
      <c r="KJ764" s="350"/>
    </row>
    <row r="765" spans="1:302" hidden="1" outlineLevel="1">
      <c r="A765" s="302"/>
      <c r="D765" s="1604" t="s">
        <v>3292</v>
      </c>
      <c r="E765" s="346"/>
      <c r="F765" s="346"/>
      <c r="G765" s="346"/>
      <c r="H765" s="346"/>
      <c r="I765" s="346"/>
      <c r="J765" s="346"/>
      <c r="K765" s="346"/>
      <c r="L765" s="346"/>
      <c r="M765" s="346"/>
      <c r="N765" s="346"/>
      <c r="O765" s="346"/>
      <c r="P765" s="346"/>
      <c r="Q765" s="346"/>
      <c r="R765" s="346"/>
      <c r="S765" s="346"/>
      <c r="T765" s="346"/>
      <c r="U765" s="346"/>
      <c r="V765" s="346"/>
      <c r="W765" s="346"/>
      <c r="X765" s="346"/>
      <c r="Y765" s="346"/>
      <c r="Z765" s="346"/>
      <c r="AA765" s="346"/>
      <c r="AB765" s="346"/>
      <c r="AC765" s="346"/>
      <c r="AD765" s="346"/>
      <c r="AE765" s="346"/>
      <c r="AF765" s="346"/>
      <c r="AG765" s="346"/>
      <c r="AH765" s="346"/>
      <c r="AI765" s="346"/>
      <c r="AJ765" s="346"/>
      <c r="AK765" s="346"/>
      <c r="AL765" s="346"/>
      <c r="AM765" s="346"/>
      <c r="AN765" s="346"/>
      <c r="AO765" s="346"/>
      <c r="AP765" s="346"/>
      <c r="AQ765" s="346"/>
      <c r="AR765" s="346"/>
      <c r="AS765" s="346"/>
      <c r="AT765" s="346"/>
      <c r="AU765" s="346"/>
      <c r="AV765" s="346"/>
      <c r="AW765" s="346"/>
      <c r="AX765" s="346"/>
      <c r="AY765" s="346"/>
      <c r="AZ765" s="346"/>
      <c r="BA765" s="346"/>
      <c r="BB765" s="346"/>
      <c r="BC765" s="346"/>
      <c r="BD765" s="346"/>
      <c r="BE765" s="346"/>
      <c r="BF765" s="346"/>
      <c r="BG765" s="346"/>
      <c r="BH765" s="346"/>
      <c r="BI765" s="346"/>
      <c r="BJ765" s="346"/>
      <c r="BK765" s="346"/>
      <c r="BL765" s="346"/>
      <c r="BM765" s="346"/>
      <c r="BN765" s="346"/>
      <c r="BO765" s="346"/>
      <c r="BP765" s="346"/>
      <c r="BQ765" s="346"/>
      <c r="BR765" s="346"/>
      <c r="BS765" s="346"/>
      <c r="BT765" s="346"/>
      <c r="BU765" s="346"/>
      <c r="BV765" s="346"/>
      <c r="BW765" s="346"/>
      <c r="BX765" s="346"/>
      <c r="BY765" s="346"/>
      <c r="BZ765" s="346"/>
      <c r="CA765" s="346"/>
      <c r="CB765" s="346"/>
      <c r="CC765" s="346"/>
      <c r="CD765" s="352"/>
      <c r="CE765" s="346"/>
      <c r="CF765" s="346"/>
      <c r="CG765" s="346"/>
      <c r="CH765" s="346"/>
      <c r="CI765" s="346"/>
      <c r="CJ765" s="346"/>
      <c r="CK765" s="346"/>
      <c r="CL765" s="346"/>
      <c r="CM765" s="346"/>
      <c r="CN765" s="346"/>
      <c r="CO765" s="346"/>
      <c r="CP765" s="348"/>
      <c r="CQ765" s="346"/>
      <c r="CR765" s="346"/>
      <c r="CS765" s="346"/>
      <c r="CT765" s="346"/>
      <c r="CU765" s="346"/>
      <c r="CV765" s="346"/>
      <c r="CW765" s="346"/>
      <c r="CX765" s="346"/>
      <c r="CY765" s="346"/>
      <c r="CZ765" s="346"/>
      <c r="DA765" s="346"/>
      <c r="DB765" s="1479"/>
      <c r="DC765" s="346"/>
      <c r="DD765" s="346"/>
      <c r="DE765" s="346"/>
      <c r="DF765" s="346"/>
      <c r="DG765" s="346"/>
      <c r="DH765" s="346"/>
      <c r="DI765" s="346"/>
      <c r="DJ765" s="346"/>
      <c r="DK765" s="346"/>
      <c r="DL765" s="346"/>
      <c r="DM765" s="346"/>
      <c r="DN765" s="348"/>
      <c r="DO765" s="346"/>
      <c r="DP765" s="346"/>
      <c r="DQ765" s="346"/>
      <c r="DR765" s="346"/>
      <c r="DS765" s="346"/>
      <c r="DT765" s="346"/>
      <c r="DU765" s="346"/>
      <c r="DV765" s="346"/>
      <c r="DW765" s="346"/>
      <c r="DX765" s="346"/>
      <c r="DY765" s="346"/>
      <c r="DZ765" s="348"/>
      <c r="EA765" s="346"/>
      <c r="EB765" s="346"/>
      <c r="EC765" s="346"/>
      <c r="ED765" s="346"/>
      <c r="EE765" s="346"/>
      <c r="EF765" s="346"/>
      <c r="EG765" s="346"/>
      <c r="EH765" s="346"/>
      <c r="EI765" s="346"/>
      <c r="EJ765" s="346"/>
      <c r="EK765" s="346"/>
      <c r="EL765" s="348"/>
      <c r="EM765" s="346"/>
      <c r="EN765" s="346"/>
      <c r="EO765" s="346"/>
      <c r="EP765" s="346"/>
      <c r="EQ765" s="346"/>
      <c r="ER765" s="346"/>
      <c r="ES765" s="346"/>
      <c r="ET765" s="346"/>
      <c r="EU765" s="346"/>
      <c r="EV765" s="346"/>
      <c r="EW765" s="346"/>
      <c r="EX765" s="348"/>
      <c r="EY765" s="346"/>
      <c r="EZ765" s="346"/>
      <c r="FA765" s="346"/>
      <c r="FB765" s="346"/>
      <c r="FC765" s="346"/>
      <c r="FD765" s="346"/>
      <c r="FE765" s="346"/>
      <c r="FF765" s="346"/>
      <c r="FG765" s="346"/>
      <c r="FH765" s="346"/>
      <c r="FI765" s="346"/>
      <c r="FJ765" s="348"/>
      <c r="FK765" s="346"/>
      <c r="FL765" s="346"/>
      <c r="FM765" s="346"/>
      <c r="FN765" s="346"/>
      <c r="FO765" s="346"/>
      <c r="FP765" s="346"/>
      <c r="FQ765" s="346"/>
      <c r="FR765" s="346"/>
      <c r="FS765" s="346"/>
      <c r="FT765" s="346"/>
      <c r="FU765" s="346"/>
      <c r="FV765" s="346"/>
      <c r="FW765" s="346"/>
      <c r="FX765" s="346"/>
      <c r="FY765" s="346"/>
      <c r="FZ765" s="346"/>
      <c r="GA765" s="346"/>
      <c r="GB765" s="346"/>
      <c r="GC765" s="346"/>
      <c r="GD765" s="346"/>
      <c r="GE765" s="346"/>
      <c r="GF765" s="346"/>
      <c r="GG765" s="346"/>
      <c r="GH765" s="346"/>
      <c r="GI765" s="1897"/>
      <c r="HN765" s="349"/>
      <c r="HO765" s="1604" t="s">
        <v>3292</v>
      </c>
      <c r="HP765" s="307"/>
      <c r="HR765" s="346"/>
      <c r="HU765" s="346"/>
      <c r="HV765" s="307"/>
      <c r="HX765" s="346"/>
      <c r="HY765" s="350"/>
      <c r="IA765" s="346"/>
      <c r="ID765" s="346"/>
      <c r="IE765" s="350"/>
      <c r="IF765" s="350"/>
      <c r="IG765" s="346"/>
      <c r="IH765" s="350"/>
      <c r="II765" s="350"/>
      <c r="IJ765" s="346"/>
      <c r="IK765" s="350"/>
      <c r="IL765" s="350"/>
      <c r="IM765" s="346">
        <f>IK765+IL765</f>
        <v>0</v>
      </c>
      <c r="IN765" s="350">
        <f t="shared" si="1052"/>
        <v>0</v>
      </c>
      <c r="IO765" s="350">
        <f t="shared" si="1053"/>
        <v>0</v>
      </c>
      <c r="IP765" s="346">
        <f t="shared" si="1066"/>
        <v>0</v>
      </c>
      <c r="IQ765" s="350">
        <f t="shared" si="1176"/>
        <v>0</v>
      </c>
      <c r="IR765" s="350">
        <f t="shared" si="1177"/>
        <v>0</v>
      </c>
      <c r="IS765" s="346">
        <f t="shared" si="1067"/>
        <v>0</v>
      </c>
      <c r="IT765" s="350">
        <f t="shared" si="1169"/>
        <v>0</v>
      </c>
      <c r="IU765" s="350">
        <f t="shared" si="986"/>
        <v>0</v>
      </c>
      <c r="IV765" s="346">
        <f t="shared" si="1020"/>
        <v>0</v>
      </c>
      <c r="IW765" s="350">
        <f t="shared" si="1081"/>
        <v>0</v>
      </c>
      <c r="IX765" s="350">
        <f t="shared" si="1069"/>
        <v>0</v>
      </c>
      <c r="IY765" s="346">
        <f>FISC!AJ1087</f>
        <v>0</v>
      </c>
      <c r="IZ765" s="350"/>
      <c r="JB765" s="346">
        <f>FISC!AK1087</f>
        <v>0</v>
      </c>
      <c r="JC765" s="350"/>
      <c r="JE765" s="346">
        <f>FISC!AL1087</f>
        <v>0</v>
      </c>
      <c r="JH765" s="346">
        <f>FISC!AM1087</f>
        <v>0</v>
      </c>
      <c r="JK765" s="346">
        <f>FISC!AN1087</f>
        <v>0</v>
      </c>
      <c r="JN765" s="346">
        <f>FISC!AO1087</f>
        <v>0</v>
      </c>
      <c r="KI765" s="349"/>
      <c r="KJ765" s="350"/>
    </row>
    <row r="766" spans="1:302" hidden="1" outlineLevel="1">
      <c r="A766" s="302"/>
      <c r="D766" s="1604" t="s">
        <v>3299</v>
      </c>
      <c r="E766" s="346"/>
      <c r="F766" s="346"/>
      <c r="G766" s="346"/>
      <c r="H766" s="346"/>
      <c r="I766" s="346"/>
      <c r="J766" s="346"/>
      <c r="K766" s="346"/>
      <c r="L766" s="346"/>
      <c r="M766" s="346"/>
      <c r="N766" s="346"/>
      <c r="O766" s="346"/>
      <c r="P766" s="346"/>
      <c r="Q766" s="346"/>
      <c r="R766" s="346"/>
      <c r="S766" s="346"/>
      <c r="T766" s="346"/>
      <c r="U766" s="346"/>
      <c r="V766" s="346"/>
      <c r="W766" s="346"/>
      <c r="X766" s="346"/>
      <c r="Y766" s="346"/>
      <c r="Z766" s="346"/>
      <c r="AA766" s="346"/>
      <c r="AB766" s="346"/>
      <c r="AC766" s="346"/>
      <c r="AD766" s="346"/>
      <c r="AE766" s="346"/>
      <c r="AF766" s="346"/>
      <c r="AG766" s="346"/>
      <c r="AH766" s="346"/>
      <c r="AI766" s="346"/>
      <c r="AJ766" s="346"/>
      <c r="AK766" s="346"/>
      <c r="AL766" s="346"/>
      <c r="AM766" s="346"/>
      <c r="AN766" s="346"/>
      <c r="AO766" s="346"/>
      <c r="AP766" s="346"/>
      <c r="AQ766" s="346"/>
      <c r="AR766" s="346"/>
      <c r="AS766" s="346"/>
      <c r="AT766" s="346"/>
      <c r="AU766" s="346"/>
      <c r="AV766" s="346"/>
      <c r="AW766" s="346"/>
      <c r="AX766" s="346"/>
      <c r="AY766" s="346"/>
      <c r="AZ766" s="346"/>
      <c r="BA766" s="346"/>
      <c r="BB766" s="346"/>
      <c r="BC766" s="346"/>
      <c r="BD766" s="346"/>
      <c r="BE766" s="346"/>
      <c r="BF766" s="346"/>
      <c r="BG766" s="346"/>
      <c r="BH766" s="346"/>
      <c r="BI766" s="346"/>
      <c r="BJ766" s="346"/>
      <c r="BK766" s="346"/>
      <c r="BL766" s="346"/>
      <c r="BM766" s="346"/>
      <c r="BN766" s="346"/>
      <c r="BO766" s="346"/>
      <c r="BP766" s="346"/>
      <c r="BQ766" s="346"/>
      <c r="BR766" s="346"/>
      <c r="BS766" s="346"/>
      <c r="BT766" s="346"/>
      <c r="BU766" s="346"/>
      <c r="BV766" s="346"/>
      <c r="BW766" s="346"/>
      <c r="BX766" s="346"/>
      <c r="BY766" s="346"/>
      <c r="BZ766" s="346"/>
      <c r="CA766" s="346"/>
      <c r="CB766" s="346"/>
      <c r="CC766" s="346"/>
      <c r="CD766" s="352"/>
      <c r="CE766" s="346"/>
      <c r="CF766" s="346"/>
      <c r="CG766" s="346"/>
      <c r="CH766" s="346"/>
      <c r="CI766" s="346"/>
      <c r="CJ766" s="346"/>
      <c r="CK766" s="346"/>
      <c r="CL766" s="346"/>
      <c r="CM766" s="346"/>
      <c r="CN766" s="346"/>
      <c r="CO766" s="346"/>
      <c r="CP766" s="348"/>
      <c r="CQ766" s="346"/>
      <c r="CR766" s="346"/>
      <c r="CS766" s="346"/>
      <c r="CT766" s="346"/>
      <c r="CU766" s="346"/>
      <c r="CV766" s="346"/>
      <c r="CW766" s="346"/>
      <c r="CX766" s="346"/>
      <c r="CY766" s="346"/>
      <c r="CZ766" s="346"/>
      <c r="DA766" s="346"/>
      <c r="DB766" s="1479"/>
      <c r="DC766" s="346"/>
      <c r="DD766" s="346"/>
      <c r="DE766" s="346"/>
      <c r="DF766" s="346"/>
      <c r="DG766" s="346"/>
      <c r="DH766" s="346"/>
      <c r="DI766" s="346"/>
      <c r="DJ766" s="346"/>
      <c r="DK766" s="346"/>
      <c r="DL766" s="346"/>
      <c r="DM766" s="346"/>
      <c r="DN766" s="348"/>
      <c r="DO766" s="346"/>
      <c r="DP766" s="346"/>
      <c r="DQ766" s="346"/>
      <c r="DR766" s="346"/>
      <c r="DS766" s="346"/>
      <c r="DT766" s="346"/>
      <c r="DU766" s="346"/>
      <c r="DV766" s="346"/>
      <c r="DW766" s="346"/>
      <c r="DX766" s="346"/>
      <c r="DY766" s="346"/>
      <c r="DZ766" s="348"/>
      <c r="EA766" s="346"/>
      <c r="EB766" s="346"/>
      <c r="EC766" s="346"/>
      <c r="ED766" s="346"/>
      <c r="EE766" s="346"/>
      <c r="EF766" s="346"/>
      <c r="EG766" s="346"/>
      <c r="EH766" s="346"/>
      <c r="EI766" s="346"/>
      <c r="EJ766" s="346"/>
      <c r="EK766" s="346"/>
      <c r="EL766" s="348"/>
      <c r="EM766" s="346"/>
      <c r="EN766" s="346"/>
      <c r="EO766" s="346"/>
      <c r="EP766" s="346"/>
      <c r="EQ766" s="346"/>
      <c r="ER766" s="346"/>
      <c r="ES766" s="346"/>
      <c r="ET766" s="346"/>
      <c r="EU766" s="346"/>
      <c r="EV766" s="346"/>
      <c r="EW766" s="346"/>
      <c r="EX766" s="348"/>
      <c r="EY766" s="346"/>
      <c r="EZ766" s="346"/>
      <c r="FA766" s="346"/>
      <c r="FB766" s="346"/>
      <c r="FC766" s="346"/>
      <c r="FD766" s="346"/>
      <c r="FE766" s="346"/>
      <c r="FF766" s="346"/>
      <c r="FG766" s="346"/>
      <c r="FH766" s="346"/>
      <c r="FI766" s="346"/>
      <c r="FJ766" s="348"/>
      <c r="FK766" s="346"/>
      <c r="FL766" s="346"/>
      <c r="FM766" s="346"/>
      <c r="FN766" s="346"/>
      <c r="FO766" s="346"/>
      <c r="FP766" s="346"/>
      <c r="FQ766" s="346"/>
      <c r="FR766" s="346"/>
      <c r="FS766" s="346"/>
      <c r="FT766" s="346"/>
      <c r="FU766" s="346"/>
      <c r="FV766" s="346"/>
      <c r="FW766" s="346"/>
      <c r="FX766" s="346"/>
      <c r="FY766" s="346"/>
      <c r="FZ766" s="346"/>
      <c r="GA766" s="346"/>
      <c r="GB766" s="346"/>
      <c r="GC766" s="346"/>
      <c r="GD766" s="346"/>
      <c r="GE766" s="346"/>
      <c r="GF766" s="346"/>
      <c r="GG766" s="346"/>
      <c r="GH766" s="346"/>
      <c r="GI766" s="1897"/>
      <c r="HN766" s="349"/>
      <c r="HO766" s="1604" t="s">
        <v>3299</v>
      </c>
      <c r="HP766" s="307"/>
      <c r="HR766" s="346"/>
      <c r="HU766" s="346"/>
      <c r="HV766" s="307"/>
      <c r="HX766" s="346"/>
      <c r="HY766" s="350"/>
      <c r="IA766" s="346"/>
      <c r="ID766" s="346"/>
      <c r="IE766" s="350"/>
      <c r="IF766" s="350"/>
      <c r="IG766" s="346"/>
      <c r="IH766" s="350"/>
      <c r="II766" s="350"/>
      <c r="IJ766" s="346"/>
      <c r="IK766" s="350"/>
      <c r="IL766" s="350"/>
      <c r="IM766" s="346">
        <f>IK766+IL766</f>
        <v>0</v>
      </c>
      <c r="IN766" s="350">
        <f t="shared" si="1052"/>
        <v>0</v>
      </c>
      <c r="IO766" s="350">
        <f t="shared" si="1053"/>
        <v>0</v>
      </c>
      <c r="IP766" s="346">
        <f t="shared" si="1066"/>
        <v>0</v>
      </c>
      <c r="IQ766" s="350">
        <f t="shared" si="1176"/>
        <v>0</v>
      </c>
      <c r="IR766" s="350">
        <f t="shared" si="1177"/>
        <v>0</v>
      </c>
      <c r="IS766" s="346">
        <f t="shared" si="1067"/>
        <v>0</v>
      </c>
      <c r="IT766" s="350">
        <f t="shared" si="1169"/>
        <v>0</v>
      </c>
      <c r="IU766" s="350">
        <f t="shared" si="986"/>
        <v>0</v>
      </c>
      <c r="IV766" s="346">
        <f t="shared" si="1020"/>
        <v>0</v>
      </c>
      <c r="IW766" s="350">
        <f t="shared" si="1081"/>
        <v>0</v>
      </c>
      <c r="IX766" s="350">
        <f t="shared" si="1069"/>
        <v>0</v>
      </c>
      <c r="IY766" s="346">
        <f>FISC!AJ1088</f>
        <v>0</v>
      </c>
      <c r="IZ766" s="350"/>
      <c r="JB766" s="346">
        <f>FISC!AK1088</f>
        <v>0</v>
      </c>
      <c r="JC766" s="350"/>
      <c r="JE766" s="346">
        <f>FISC!AL1088</f>
        <v>0</v>
      </c>
      <c r="JH766" s="346">
        <f>FISC!AM1088</f>
        <v>0</v>
      </c>
      <c r="JK766" s="346">
        <f>FISC!AN1088</f>
        <v>0</v>
      </c>
      <c r="JN766" s="346">
        <f>FISC!AO1088</f>
        <v>0</v>
      </c>
      <c r="KI766" s="349"/>
      <c r="KJ766" s="350"/>
    </row>
    <row r="767" spans="1:302" hidden="1" outlineLevel="1">
      <c r="A767" s="302"/>
      <c r="D767" s="1604" t="str">
        <f>FISC!D1089</f>
        <v>o/w Foods (Under Grain Reserve)</v>
      </c>
      <c r="E767" s="346"/>
      <c r="F767" s="346"/>
      <c r="G767" s="346"/>
      <c r="H767" s="346"/>
      <c r="I767" s="346"/>
      <c r="J767" s="346"/>
      <c r="K767" s="346"/>
      <c r="L767" s="346"/>
      <c r="M767" s="346"/>
      <c r="N767" s="346"/>
      <c r="O767" s="346"/>
      <c r="P767" s="346"/>
      <c r="Q767" s="346"/>
      <c r="R767" s="346"/>
      <c r="S767" s="346"/>
      <c r="T767" s="346"/>
      <c r="U767" s="346"/>
      <c r="V767" s="346"/>
      <c r="W767" s="346"/>
      <c r="X767" s="346"/>
      <c r="Y767" s="346"/>
      <c r="Z767" s="346"/>
      <c r="AA767" s="346"/>
      <c r="AB767" s="346"/>
      <c r="AC767" s="346"/>
      <c r="AD767" s="346"/>
      <c r="AE767" s="346"/>
      <c r="AF767" s="346"/>
      <c r="AG767" s="346"/>
      <c r="AH767" s="346"/>
      <c r="AI767" s="346"/>
      <c r="AJ767" s="346"/>
      <c r="AK767" s="346"/>
      <c r="AL767" s="346"/>
      <c r="AM767" s="346"/>
      <c r="AN767" s="346"/>
      <c r="AO767" s="346"/>
      <c r="AP767" s="346"/>
      <c r="AQ767" s="346"/>
      <c r="AR767" s="346"/>
      <c r="AS767" s="346"/>
      <c r="AT767" s="346"/>
      <c r="AU767" s="346"/>
      <c r="AV767" s="346"/>
      <c r="AW767" s="346"/>
      <c r="AX767" s="346"/>
      <c r="AY767" s="346"/>
      <c r="AZ767" s="346"/>
      <c r="BA767" s="346"/>
      <c r="BB767" s="346"/>
      <c r="BC767" s="346"/>
      <c r="BD767" s="346"/>
      <c r="BE767" s="346"/>
      <c r="BF767" s="346"/>
      <c r="BG767" s="346"/>
      <c r="BH767" s="346"/>
      <c r="BI767" s="346"/>
      <c r="BJ767" s="346"/>
      <c r="BK767" s="346"/>
      <c r="BL767" s="346"/>
      <c r="BM767" s="346"/>
      <c r="BN767" s="346"/>
      <c r="BO767" s="346"/>
      <c r="BP767" s="346"/>
      <c r="BQ767" s="346"/>
      <c r="BR767" s="346"/>
      <c r="BS767" s="346"/>
      <c r="BT767" s="346"/>
      <c r="BU767" s="346"/>
      <c r="BV767" s="346"/>
      <c r="BW767" s="346"/>
      <c r="BX767" s="346"/>
      <c r="BY767" s="346"/>
      <c r="BZ767" s="346"/>
      <c r="CA767" s="346"/>
      <c r="CB767" s="346"/>
      <c r="CC767" s="346"/>
      <c r="CD767" s="352"/>
      <c r="CE767" s="346"/>
      <c r="CF767" s="346"/>
      <c r="CG767" s="346"/>
      <c r="CH767" s="346"/>
      <c r="CI767" s="346"/>
      <c r="CJ767" s="346"/>
      <c r="CK767" s="346"/>
      <c r="CL767" s="346"/>
      <c r="CM767" s="346"/>
      <c r="CN767" s="346"/>
      <c r="CO767" s="346"/>
      <c r="CP767" s="348"/>
      <c r="CQ767" s="346"/>
      <c r="CR767" s="346"/>
      <c r="CS767" s="346"/>
      <c r="CT767" s="346"/>
      <c r="CU767" s="346"/>
      <c r="CV767" s="346"/>
      <c r="CW767" s="346"/>
      <c r="CX767" s="346"/>
      <c r="CY767" s="346"/>
      <c r="CZ767" s="346"/>
      <c r="DA767" s="346"/>
      <c r="DB767" s="1479"/>
      <c r="DC767" s="346"/>
      <c r="DD767" s="346"/>
      <c r="DE767" s="346"/>
      <c r="DF767" s="346"/>
      <c r="DG767" s="346"/>
      <c r="DH767" s="346"/>
      <c r="DI767" s="346"/>
      <c r="DJ767" s="346"/>
      <c r="DK767" s="346"/>
      <c r="DL767" s="346"/>
      <c r="DM767" s="346"/>
      <c r="DN767" s="348"/>
      <c r="DO767" s="346"/>
      <c r="DP767" s="346"/>
      <c r="DQ767" s="346"/>
      <c r="DR767" s="346"/>
      <c r="DS767" s="346"/>
      <c r="DT767" s="346"/>
      <c r="DU767" s="346"/>
      <c r="DV767" s="346"/>
      <c r="DW767" s="346"/>
      <c r="DX767" s="346"/>
      <c r="DY767" s="346"/>
      <c r="DZ767" s="348"/>
      <c r="EA767" s="346"/>
      <c r="EB767" s="346"/>
      <c r="EC767" s="346"/>
      <c r="ED767" s="346"/>
      <c r="EE767" s="346"/>
      <c r="EF767" s="346"/>
      <c r="EG767" s="346"/>
      <c r="EH767" s="346"/>
      <c r="EI767" s="346"/>
      <c r="EJ767" s="346"/>
      <c r="EK767" s="346"/>
      <c r="EL767" s="348"/>
      <c r="EM767" s="346"/>
      <c r="EN767" s="346"/>
      <c r="EO767" s="346"/>
      <c r="EP767" s="346"/>
      <c r="EQ767" s="346"/>
      <c r="ER767" s="346"/>
      <c r="ES767" s="346"/>
      <c r="ET767" s="346"/>
      <c r="EU767" s="346"/>
      <c r="EV767" s="346"/>
      <c r="EW767" s="346"/>
      <c r="EX767" s="348"/>
      <c r="EY767" s="346"/>
      <c r="EZ767" s="346"/>
      <c r="FA767" s="346"/>
      <c r="FB767" s="346"/>
      <c r="FC767" s="346"/>
      <c r="FD767" s="346"/>
      <c r="FE767" s="346"/>
      <c r="FF767" s="346"/>
      <c r="FG767" s="346"/>
      <c r="FH767" s="346"/>
      <c r="FI767" s="346"/>
      <c r="FJ767" s="348"/>
      <c r="FK767" s="346"/>
      <c r="FL767" s="346"/>
      <c r="FM767" s="346"/>
      <c r="FN767" s="346"/>
      <c r="FO767" s="346"/>
      <c r="FP767" s="346"/>
      <c r="FQ767" s="346"/>
      <c r="FR767" s="346"/>
      <c r="FS767" s="346"/>
      <c r="FT767" s="346"/>
      <c r="FU767" s="346"/>
      <c r="FV767" s="346"/>
      <c r="FW767" s="346"/>
      <c r="FX767" s="346"/>
      <c r="FY767" s="346"/>
      <c r="FZ767" s="346"/>
      <c r="GA767" s="346"/>
      <c r="GB767" s="346"/>
      <c r="GC767" s="346"/>
      <c r="GD767" s="346"/>
      <c r="GE767" s="346"/>
      <c r="GF767" s="346"/>
      <c r="GG767" s="346"/>
      <c r="GH767" s="346"/>
      <c r="GI767" s="1897"/>
      <c r="HN767" s="349"/>
      <c r="HO767" s="1604"/>
      <c r="HP767" s="307"/>
      <c r="HR767" s="346"/>
      <c r="HU767" s="346"/>
      <c r="HV767" s="307"/>
      <c r="HX767" s="346"/>
      <c r="HY767" s="350"/>
      <c r="IA767" s="346"/>
      <c r="ID767" s="346"/>
      <c r="IE767" s="350"/>
      <c r="IF767" s="350"/>
      <c r="IG767" s="346"/>
      <c r="IH767" s="350"/>
      <c r="II767" s="350"/>
      <c r="IJ767" s="346"/>
      <c r="IK767" s="350"/>
      <c r="IL767" s="350"/>
      <c r="IM767" s="346"/>
      <c r="IN767" s="350">
        <f t="shared" si="1052"/>
        <v>0</v>
      </c>
      <c r="IO767" s="350">
        <f t="shared" si="1053"/>
        <v>0</v>
      </c>
      <c r="IP767" s="346">
        <f t="shared" si="1066"/>
        <v>0</v>
      </c>
      <c r="IQ767" s="350">
        <f t="shared" si="1176"/>
        <v>0</v>
      </c>
      <c r="IR767" s="350">
        <f t="shared" si="1177"/>
        <v>0</v>
      </c>
      <c r="IS767" s="346">
        <f t="shared" si="1067"/>
        <v>0</v>
      </c>
      <c r="IT767" s="350">
        <f t="shared" si="1169"/>
        <v>0</v>
      </c>
      <c r="IU767" s="350">
        <f t="shared" si="986"/>
        <v>0</v>
      </c>
      <c r="IV767" s="346">
        <f t="shared" si="1020"/>
        <v>0</v>
      </c>
      <c r="IW767" s="350">
        <f t="shared" si="1081"/>
        <v>0</v>
      </c>
      <c r="IX767" s="350">
        <f t="shared" si="1069"/>
        <v>0</v>
      </c>
      <c r="IY767" s="346">
        <f>FISC!AJ1089</f>
        <v>0</v>
      </c>
      <c r="IZ767" s="350"/>
      <c r="JB767" s="346">
        <f>FISC!AK1089</f>
        <v>0</v>
      </c>
      <c r="JC767" s="350"/>
      <c r="JE767" s="346">
        <f>FISC!AL1089</f>
        <v>0</v>
      </c>
      <c r="JH767" s="346">
        <f>FISC!AM1089</f>
        <v>0</v>
      </c>
      <c r="JK767" s="346">
        <f>FISC!AN1089</f>
        <v>0</v>
      </c>
      <c r="JN767" s="346">
        <f>FISC!AO1089</f>
        <v>0</v>
      </c>
      <c r="KI767" s="349"/>
      <c r="KJ767" s="350"/>
    </row>
    <row r="768" spans="1:302" hidden="1" outlineLevel="1">
      <c r="A768" s="302"/>
      <c r="D768" s="1681" t="s">
        <v>3390</v>
      </c>
      <c r="E768" s="346"/>
      <c r="F768" s="346"/>
      <c r="G768" s="346"/>
      <c r="H768" s="346"/>
      <c r="I768" s="346"/>
      <c r="J768" s="346"/>
      <c r="K768" s="346"/>
      <c r="L768" s="346"/>
      <c r="M768" s="346"/>
      <c r="N768" s="346"/>
      <c r="O768" s="346"/>
      <c r="P768" s="346"/>
      <c r="Q768" s="346"/>
      <c r="R768" s="346"/>
      <c r="S768" s="346"/>
      <c r="T768" s="346"/>
      <c r="U768" s="346"/>
      <c r="V768" s="346"/>
      <c r="W768" s="346"/>
      <c r="X768" s="346"/>
      <c r="Y768" s="346"/>
      <c r="Z768" s="346"/>
      <c r="AA768" s="346"/>
      <c r="AB768" s="346"/>
      <c r="AC768" s="346"/>
      <c r="AD768" s="346"/>
      <c r="AE768" s="346"/>
      <c r="AF768" s="346"/>
      <c r="AG768" s="346"/>
      <c r="AH768" s="346"/>
      <c r="AI768" s="346"/>
      <c r="AJ768" s="346"/>
      <c r="AK768" s="346"/>
      <c r="AL768" s="346"/>
      <c r="AM768" s="346"/>
      <c r="AN768" s="346"/>
      <c r="AO768" s="346"/>
      <c r="AP768" s="346"/>
      <c r="AQ768" s="346"/>
      <c r="AR768" s="346"/>
      <c r="AS768" s="346"/>
      <c r="AT768" s="346"/>
      <c r="AU768" s="346"/>
      <c r="AV768" s="346"/>
      <c r="AW768" s="346"/>
      <c r="AX768" s="346"/>
      <c r="AY768" s="346"/>
      <c r="AZ768" s="346"/>
      <c r="BA768" s="346"/>
      <c r="BB768" s="346"/>
      <c r="BC768" s="346"/>
      <c r="BD768" s="346"/>
      <c r="BE768" s="346"/>
      <c r="BF768" s="346"/>
      <c r="BG768" s="346"/>
      <c r="BH768" s="346"/>
      <c r="BI768" s="346"/>
      <c r="BJ768" s="346"/>
      <c r="BK768" s="346"/>
      <c r="BL768" s="346"/>
      <c r="BM768" s="346"/>
      <c r="BN768" s="346"/>
      <c r="BO768" s="346"/>
      <c r="BP768" s="346"/>
      <c r="BQ768" s="346"/>
      <c r="BR768" s="346"/>
      <c r="BS768" s="346"/>
      <c r="BT768" s="346"/>
      <c r="BU768" s="346"/>
      <c r="BV768" s="346"/>
      <c r="BW768" s="346"/>
      <c r="BX768" s="346"/>
      <c r="BY768" s="346"/>
      <c r="BZ768" s="346"/>
      <c r="CA768" s="346"/>
      <c r="CB768" s="346"/>
      <c r="CC768" s="346"/>
      <c r="CD768" s="352"/>
      <c r="CE768" s="346"/>
      <c r="CF768" s="346"/>
      <c r="CG768" s="346"/>
      <c r="CH768" s="346"/>
      <c r="CI768" s="346"/>
      <c r="CJ768" s="346"/>
      <c r="CK768" s="346"/>
      <c r="CL768" s="346"/>
      <c r="CM768" s="346"/>
      <c r="CN768" s="346"/>
      <c r="CO768" s="346"/>
      <c r="CP768" s="348"/>
      <c r="CQ768" s="346"/>
      <c r="CR768" s="346"/>
      <c r="CS768" s="346"/>
      <c r="CT768" s="346"/>
      <c r="CU768" s="346"/>
      <c r="CV768" s="346"/>
      <c r="CW768" s="346"/>
      <c r="CX768" s="346"/>
      <c r="CY768" s="346"/>
      <c r="CZ768" s="346"/>
      <c r="DA768" s="346"/>
      <c r="DB768" s="1479"/>
      <c r="DC768" s="346"/>
      <c r="DD768" s="346"/>
      <c r="DE768" s="346"/>
      <c r="DF768" s="346"/>
      <c r="DG768" s="346"/>
      <c r="DH768" s="346"/>
      <c r="DI768" s="346"/>
      <c r="DJ768" s="346"/>
      <c r="DK768" s="346"/>
      <c r="DL768" s="346"/>
      <c r="DM768" s="346"/>
      <c r="DN768" s="348"/>
      <c r="DO768" s="346"/>
      <c r="DP768" s="346"/>
      <c r="DQ768" s="346"/>
      <c r="DR768" s="346"/>
      <c r="DS768" s="346"/>
      <c r="DT768" s="346"/>
      <c r="DU768" s="346"/>
      <c r="DV768" s="346"/>
      <c r="DW768" s="346"/>
      <c r="DX768" s="346"/>
      <c r="DY768" s="346"/>
      <c r="DZ768" s="348"/>
      <c r="EA768" s="346"/>
      <c r="EB768" s="346"/>
      <c r="EC768" s="346"/>
      <c r="ED768" s="346"/>
      <c r="EE768" s="346"/>
      <c r="EF768" s="346"/>
      <c r="EG768" s="346"/>
      <c r="EH768" s="346"/>
      <c r="EI768" s="346"/>
      <c r="EJ768" s="346"/>
      <c r="EK768" s="346"/>
      <c r="EL768" s="348"/>
      <c r="EM768" s="346"/>
      <c r="EN768" s="346"/>
      <c r="EO768" s="346"/>
      <c r="EP768" s="346"/>
      <c r="EQ768" s="346"/>
      <c r="ER768" s="346"/>
      <c r="ES768" s="346"/>
      <c r="ET768" s="346"/>
      <c r="EU768" s="346"/>
      <c r="EV768" s="346"/>
      <c r="EW768" s="346"/>
      <c r="EX768" s="348"/>
      <c r="EY768" s="346"/>
      <c r="EZ768" s="346"/>
      <c r="FA768" s="346"/>
      <c r="FB768" s="346"/>
      <c r="FC768" s="346"/>
      <c r="FD768" s="346"/>
      <c r="FE768" s="346"/>
      <c r="FF768" s="346"/>
      <c r="FG768" s="346"/>
      <c r="FH768" s="346"/>
      <c r="FI768" s="346"/>
      <c r="FJ768" s="348"/>
      <c r="FK768" s="346"/>
      <c r="FL768" s="346"/>
      <c r="FM768" s="346"/>
      <c r="FN768" s="346"/>
      <c r="FO768" s="346"/>
      <c r="FP768" s="346"/>
      <c r="FQ768" s="346"/>
      <c r="FR768" s="346"/>
      <c r="FS768" s="346"/>
      <c r="FT768" s="346"/>
      <c r="FU768" s="346"/>
      <c r="FV768" s="346"/>
      <c r="FW768" s="346"/>
      <c r="FX768" s="346"/>
      <c r="FY768" s="346"/>
      <c r="FZ768" s="346"/>
      <c r="GA768" s="346"/>
      <c r="GB768" s="346"/>
      <c r="GC768" s="346"/>
      <c r="GD768" s="346"/>
      <c r="GE768" s="346"/>
      <c r="GF768" s="346"/>
      <c r="GG768" s="346"/>
      <c r="GH768" s="346"/>
      <c r="GI768" s="1897"/>
      <c r="HN768" s="349"/>
      <c r="HO768" s="1604"/>
      <c r="HP768" s="307"/>
      <c r="HR768" s="346"/>
      <c r="HU768" s="346"/>
      <c r="HV768" s="307"/>
      <c r="HX768" s="346"/>
      <c r="HY768" s="350"/>
      <c r="IA768" s="346"/>
      <c r="ID768" s="346"/>
      <c r="IE768" s="350"/>
      <c r="IF768" s="350"/>
      <c r="IG768" s="346"/>
      <c r="IH768" s="350"/>
      <c r="II768" s="350"/>
      <c r="IJ768" s="346"/>
      <c r="IK768" s="350"/>
      <c r="IL768" s="350"/>
      <c r="IM768" s="346"/>
      <c r="IN768" s="350"/>
      <c r="IO768" s="350"/>
      <c r="IP768" s="346"/>
      <c r="IQ768" s="350">
        <f t="shared" si="1176"/>
        <v>0</v>
      </c>
      <c r="IR768" s="350">
        <f t="shared" si="1177"/>
        <v>0</v>
      </c>
      <c r="IS768" s="346">
        <f t="shared" si="1067"/>
        <v>0</v>
      </c>
      <c r="IT768" s="350">
        <f t="shared" si="1169"/>
        <v>0</v>
      </c>
      <c r="IU768" s="350">
        <f t="shared" si="986"/>
        <v>0</v>
      </c>
      <c r="IV768" s="346">
        <f t="shared" si="1020"/>
        <v>0</v>
      </c>
      <c r="IW768" s="350">
        <f t="shared" si="1081"/>
        <v>0</v>
      </c>
      <c r="IX768" s="350" t="e">
        <f t="shared" si="1069"/>
        <v>#REF!</v>
      </c>
      <c r="IY768" s="346" t="e">
        <f>FISC!#REF!</f>
        <v>#REF!</v>
      </c>
      <c r="IZ768" s="350"/>
      <c r="JB768" s="346" t="e">
        <f>FISC!#REF!</f>
        <v>#REF!</v>
      </c>
      <c r="JC768" s="350"/>
      <c r="JE768" s="346" t="e">
        <f>FISC!#REF!</f>
        <v>#REF!</v>
      </c>
      <c r="JH768" s="346" t="e">
        <f>FISC!#REF!</f>
        <v>#REF!</v>
      </c>
      <c r="JK768" s="346" t="e">
        <f>FISC!#REF!</f>
        <v>#REF!</v>
      </c>
      <c r="JN768" s="346" t="e">
        <f>FISC!#REF!</f>
        <v>#REF!</v>
      </c>
      <c r="KI768" s="349"/>
      <c r="KJ768" s="350"/>
    </row>
    <row r="769" spans="1:296" hidden="1" outlineLevel="1">
      <c r="A769" s="302"/>
      <c r="D769" s="1681" t="s">
        <v>3391</v>
      </c>
      <c r="E769" s="346"/>
      <c r="F769" s="346"/>
      <c r="G769" s="346"/>
      <c r="H769" s="346"/>
      <c r="I769" s="346"/>
      <c r="J769" s="346"/>
      <c r="K769" s="346"/>
      <c r="L769" s="346"/>
      <c r="M769" s="346"/>
      <c r="N769" s="346"/>
      <c r="O769" s="346"/>
      <c r="P769" s="346"/>
      <c r="Q769" s="346"/>
      <c r="R769" s="346"/>
      <c r="S769" s="346"/>
      <c r="T769" s="346"/>
      <c r="U769" s="346"/>
      <c r="V769" s="346"/>
      <c r="W769" s="346"/>
      <c r="X769" s="346"/>
      <c r="Y769" s="346"/>
      <c r="Z769" s="346"/>
      <c r="AA769" s="346"/>
      <c r="AB769" s="346"/>
      <c r="AC769" s="346"/>
      <c r="AD769" s="346"/>
      <c r="AE769" s="346"/>
      <c r="AF769" s="346"/>
      <c r="AG769" s="346"/>
      <c r="AH769" s="346"/>
      <c r="AI769" s="346"/>
      <c r="AJ769" s="346"/>
      <c r="AK769" s="346"/>
      <c r="AL769" s="346"/>
      <c r="AM769" s="346"/>
      <c r="AN769" s="346"/>
      <c r="AO769" s="346"/>
      <c r="AP769" s="346"/>
      <c r="AQ769" s="346"/>
      <c r="AR769" s="346"/>
      <c r="AS769" s="346"/>
      <c r="AT769" s="346"/>
      <c r="AU769" s="346"/>
      <c r="AV769" s="346"/>
      <c r="AW769" s="346"/>
      <c r="AX769" s="346"/>
      <c r="AY769" s="346"/>
      <c r="AZ769" s="346"/>
      <c r="BA769" s="346"/>
      <c r="BB769" s="346"/>
      <c r="BC769" s="346"/>
      <c r="BD769" s="346"/>
      <c r="BE769" s="346"/>
      <c r="BF769" s="346"/>
      <c r="BG769" s="346"/>
      <c r="BH769" s="346"/>
      <c r="BI769" s="346"/>
      <c r="BJ769" s="346"/>
      <c r="BK769" s="346"/>
      <c r="BL769" s="346"/>
      <c r="BM769" s="346"/>
      <c r="BN769" s="346"/>
      <c r="BO769" s="346"/>
      <c r="BP769" s="346"/>
      <c r="BQ769" s="346"/>
      <c r="BR769" s="346"/>
      <c r="BS769" s="346"/>
      <c r="BT769" s="346"/>
      <c r="BU769" s="346"/>
      <c r="BV769" s="346"/>
      <c r="BW769" s="346"/>
      <c r="BX769" s="346"/>
      <c r="BY769" s="346"/>
      <c r="BZ769" s="346"/>
      <c r="CA769" s="346"/>
      <c r="CB769" s="346"/>
      <c r="CC769" s="346"/>
      <c r="CD769" s="352"/>
      <c r="CE769" s="346"/>
      <c r="CF769" s="346"/>
      <c r="CG769" s="346"/>
      <c r="CH769" s="346"/>
      <c r="CI769" s="346"/>
      <c r="CJ769" s="346"/>
      <c r="CK769" s="346"/>
      <c r="CL769" s="346"/>
      <c r="CM769" s="346"/>
      <c r="CN769" s="346"/>
      <c r="CO769" s="346"/>
      <c r="CP769" s="348"/>
      <c r="CQ769" s="346"/>
      <c r="CR769" s="346"/>
      <c r="CS769" s="346"/>
      <c r="CT769" s="346"/>
      <c r="CU769" s="346"/>
      <c r="CV769" s="346"/>
      <c r="CW769" s="346"/>
      <c r="CX769" s="346"/>
      <c r="CY769" s="346"/>
      <c r="CZ769" s="346"/>
      <c r="DA769" s="346"/>
      <c r="DB769" s="1479"/>
      <c r="DC769" s="346"/>
      <c r="DD769" s="346"/>
      <c r="DE769" s="346"/>
      <c r="DF769" s="346"/>
      <c r="DG769" s="346"/>
      <c r="DH769" s="346"/>
      <c r="DI769" s="346"/>
      <c r="DJ769" s="346"/>
      <c r="DK769" s="346"/>
      <c r="DL769" s="346"/>
      <c r="DM769" s="346"/>
      <c r="DN769" s="348"/>
      <c r="DO769" s="346"/>
      <c r="DP769" s="346"/>
      <c r="DQ769" s="346"/>
      <c r="DR769" s="346"/>
      <c r="DS769" s="346"/>
      <c r="DT769" s="346"/>
      <c r="DU769" s="346"/>
      <c r="DV769" s="346"/>
      <c r="DW769" s="346"/>
      <c r="DX769" s="346"/>
      <c r="DY769" s="346"/>
      <c r="DZ769" s="348"/>
      <c r="EA769" s="346"/>
      <c r="EB769" s="346"/>
      <c r="EC769" s="346"/>
      <c r="ED769" s="346"/>
      <c r="EE769" s="346"/>
      <c r="EF769" s="346"/>
      <c r="EG769" s="346"/>
      <c r="EH769" s="346"/>
      <c r="EI769" s="346"/>
      <c r="EJ769" s="346"/>
      <c r="EK769" s="346"/>
      <c r="EL769" s="348"/>
      <c r="EM769" s="346"/>
      <c r="EN769" s="346"/>
      <c r="EO769" s="346"/>
      <c r="EP769" s="346"/>
      <c r="EQ769" s="346"/>
      <c r="ER769" s="346"/>
      <c r="ES769" s="346"/>
      <c r="ET769" s="346"/>
      <c r="EU769" s="346"/>
      <c r="EV769" s="346"/>
      <c r="EW769" s="346"/>
      <c r="EX769" s="348"/>
      <c r="EY769" s="346"/>
      <c r="EZ769" s="346"/>
      <c r="FA769" s="346"/>
      <c r="FB769" s="346"/>
      <c r="FC769" s="346"/>
      <c r="FD769" s="346"/>
      <c r="FE769" s="346"/>
      <c r="FF769" s="346"/>
      <c r="FG769" s="346"/>
      <c r="FH769" s="346"/>
      <c r="FI769" s="346"/>
      <c r="FJ769" s="348"/>
      <c r="FK769" s="346"/>
      <c r="FL769" s="346"/>
      <c r="FM769" s="346"/>
      <c r="FN769" s="346"/>
      <c r="FO769" s="346"/>
      <c r="FP769" s="346"/>
      <c r="FQ769" s="346"/>
      <c r="FR769" s="346"/>
      <c r="FS769" s="346"/>
      <c r="FT769" s="346"/>
      <c r="FU769" s="346"/>
      <c r="FV769" s="346"/>
      <c r="FW769" s="346"/>
      <c r="FX769" s="346"/>
      <c r="FY769" s="346"/>
      <c r="FZ769" s="346"/>
      <c r="GA769" s="346"/>
      <c r="GB769" s="346"/>
      <c r="GC769" s="346"/>
      <c r="GD769" s="346"/>
      <c r="GE769" s="346"/>
      <c r="GF769" s="346"/>
      <c r="GG769" s="346"/>
      <c r="GH769" s="346"/>
      <c r="GI769" s="1897"/>
      <c r="HN769" s="349"/>
      <c r="HO769" s="1604"/>
      <c r="HP769" s="307"/>
      <c r="HR769" s="346"/>
      <c r="HU769" s="346"/>
      <c r="HV769" s="307"/>
      <c r="HX769" s="346"/>
      <c r="HY769" s="350"/>
      <c r="IA769" s="346"/>
      <c r="ID769" s="346"/>
      <c r="IE769" s="350"/>
      <c r="IF769" s="350"/>
      <c r="IG769" s="346"/>
      <c r="IH769" s="350"/>
      <c r="II769" s="350"/>
      <c r="IJ769" s="346"/>
      <c r="IK769" s="350"/>
      <c r="IL769" s="350"/>
      <c r="IM769" s="346"/>
      <c r="IN769" s="350"/>
      <c r="IO769" s="350"/>
      <c r="IP769" s="346"/>
      <c r="IQ769" s="350">
        <f t="shared" si="1176"/>
        <v>0</v>
      </c>
      <c r="IR769" s="350">
        <f t="shared" si="1177"/>
        <v>0</v>
      </c>
      <c r="IS769" s="346">
        <f t="shared" si="1067"/>
        <v>0</v>
      </c>
      <c r="IT769" s="350">
        <f t="shared" si="1169"/>
        <v>0</v>
      </c>
      <c r="IU769" s="350">
        <f t="shared" si="986"/>
        <v>0</v>
      </c>
      <c r="IV769" s="346">
        <f t="shared" si="1020"/>
        <v>0</v>
      </c>
      <c r="IW769" s="350">
        <f t="shared" si="1081"/>
        <v>0</v>
      </c>
      <c r="IX769" s="350" t="e">
        <f t="shared" si="1069"/>
        <v>#REF!</v>
      </c>
      <c r="IY769" s="346" t="e">
        <f>FISC!#REF!</f>
        <v>#REF!</v>
      </c>
      <c r="IZ769" s="350"/>
      <c r="JB769" s="346" t="e">
        <f>FISC!#REF!</f>
        <v>#REF!</v>
      </c>
      <c r="JC769" s="350"/>
      <c r="JE769" s="346" t="e">
        <f>FISC!#REF!</f>
        <v>#REF!</v>
      </c>
      <c r="JH769" s="346" t="e">
        <f>FISC!#REF!</f>
        <v>#REF!</v>
      </c>
      <c r="JK769" s="346" t="e">
        <f>FISC!#REF!</f>
        <v>#REF!</v>
      </c>
      <c r="JN769" s="346" t="e">
        <f>FISC!#REF!</f>
        <v>#REF!</v>
      </c>
      <c r="KI769" s="349"/>
      <c r="KJ769" s="350"/>
    </row>
    <row r="770" spans="1:296" hidden="1" outlineLevel="1">
      <c r="A770" s="302"/>
      <c r="D770" s="1681" t="s">
        <v>3392</v>
      </c>
      <c r="E770" s="346"/>
      <c r="F770" s="346"/>
      <c r="G770" s="346"/>
      <c r="H770" s="346"/>
      <c r="I770" s="346"/>
      <c r="J770" s="346"/>
      <c r="K770" s="346"/>
      <c r="L770" s="346"/>
      <c r="M770" s="346"/>
      <c r="N770" s="346"/>
      <c r="O770" s="346"/>
      <c r="P770" s="346"/>
      <c r="Q770" s="346"/>
      <c r="R770" s="346"/>
      <c r="S770" s="346"/>
      <c r="T770" s="346"/>
      <c r="U770" s="346"/>
      <c r="V770" s="346"/>
      <c r="W770" s="346"/>
      <c r="X770" s="346"/>
      <c r="Y770" s="346"/>
      <c r="Z770" s="346"/>
      <c r="AA770" s="346"/>
      <c r="AB770" s="346"/>
      <c r="AC770" s="346"/>
      <c r="AD770" s="346"/>
      <c r="AE770" s="346"/>
      <c r="AF770" s="346"/>
      <c r="AG770" s="346"/>
      <c r="AH770" s="346"/>
      <c r="AI770" s="346"/>
      <c r="AJ770" s="346"/>
      <c r="AK770" s="346"/>
      <c r="AL770" s="346"/>
      <c r="AM770" s="346"/>
      <c r="AN770" s="346"/>
      <c r="AO770" s="346"/>
      <c r="AP770" s="346"/>
      <c r="AQ770" s="346"/>
      <c r="AR770" s="346"/>
      <c r="AS770" s="346"/>
      <c r="AT770" s="346"/>
      <c r="AU770" s="346"/>
      <c r="AV770" s="346"/>
      <c r="AW770" s="346"/>
      <c r="AX770" s="346"/>
      <c r="AY770" s="346"/>
      <c r="AZ770" s="346"/>
      <c r="BA770" s="346"/>
      <c r="BB770" s="346"/>
      <c r="BC770" s="346"/>
      <c r="BD770" s="346"/>
      <c r="BE770" s="346"/>
      <c r="BF770" s="346"/>
      <c r="BG770" s="346"/>
      <c r="BH770" s="346"/>
      <c r="BI770" s="346"/>
      <c r="BJ770" s="346"/>
      <c r="BK770" s="346"/>
      <c r="BL770" s="346"/>
      <c r="BM770" s="346"/>
      <c r="BN770" s="346"/>
      <c r="BO770" s="346"/>
      <c r="BP770" s="346"/>
      <c r="BQ770" s="346"/>
      <c r="BR770" s="346"/>
      <c r="BS770" s="346"/>
      <c r="BT770" s="346"/>
      <c r="BU770" s="346"/>
      <c r="BV770" s="346"/>
      <c r="BW770" s="346"/>
      <c r="BX770" s="346"/>
      <c r="BY770" s="346"/>
      <c r="BZ770" s="346"/>
      <c r="CA770" s="346"/>
      <c r="CB770" s="346"/>
      <c r="CC770" s="346"/>
      <c r="CD770" s="352"/>
      <c r="CE770" s="346"/>
      <c r="CF770" s="346"/>
      <c r="CG770" s="346"/>
      <c r="CH770" s="346"/>
      <c r="CI770" s="346"/>
      <c r="CJ770" s="346"/>
      <c r="CK770" s="346"/>
      <c r="CL770" s="346"/>
      <c r="CM770" s="346"/>
      <c r="CN770" s="346"/>
      <c r="CO770" s="346"/>
      <c r="CP770" s="348"/>
      <c r="CQ770" s="346"/>
      <c r="CR770" s="346"/>
      <c r="CS770" s="346"/>
      <c r="CT770" s="346"/>
      <c r="CU770" s="346"/>
      <c r="CV770" s="346"/>
      <c r="CW770" s="346"/>
      <c r="CX770" s="346"/>
      <c r="CY770" s="346"/>
      <c r="CZ770" s="346"/>
      <c r="DA770" s="346"/>
      <c r="DB770" s="1479"/>
      <c r="DC770" s="346"/>
      <c r="DD770" s="346"/>
      <c r="DE770" s="346"/>
      <c r="DF770" s="346"/>
      <c r="DG770" s="346"/>
      <c r="DH770" s="346"/>
      <c r="DI770" s="346"/>
      <c r="DJ770" s="346"/>
      <c r="DK770" s="346"/>
      <c r="DL770" s="346"/>
      <c r="DM770" s="346"/>
      <c r="DN770" s="348"/>
      <c r="DO770" s="346"/>
      <c r="DP770" s="346"/>
      <c r="DQ770" s="346"/>
      <c r="DR770" s="346"/>
      <c r="DS770" s="346"/>
      <c r="DT770" s="346"/>
      <c r="DU770" s="346"/>
      <c r="DV770" s="346"/>
      <c r="DW770" s="346"/>
      <c r="DX770" s="346"/>
      <c r="DY770" s="346"/>
      <c r="DZ770" s="348"/>
      <c r="EA770" s="346"/>
      <c r="EB770" s="346"/>
      <c r="EC770" s="346"/>
      <c r="ED770" s="346"/>
      <c r="EE770" s="346"/>
      <c r="EF770" s="346"/>
      <c r="EG770" s="346"/>
      <c r="EH770" s="346"/>
      <c r="EI770" s="346"/>
      <c r="EJ770" s="346"/>
      <c r="EK770" s="346"/>
      <c r="EL770" s="348"/>
      <c r="EM770" s="346"/>
      <c r="EN770" s="346"/>
      <c r="EO770" s="346"/>
      <c r="EP770" s="346"/>
      <c r="EQ770" s="346"/>
      <c r="ER770" s="346"/>
      <c r="ES770" s="346"/>
      <c r="ET770" s="346"/>
      <c r="EU770" s="346"/>
      <c r="EV770" s="346"/>
      <c r="EW770" s="346"/>
      <c r="EX770" s="348"/>
      <c r="EY770" s="346"/>
      <c r="EZ770" s="346"/>
      <c r="FA770" s="346"/>
      <c r="FB770" s="346"/>
      <c r="FC770" s="346"/>
      <c r="FD770" s="346"/>
      <c r="FE770" s="346"/>
      <c r="FF770" s="346"/>
      <c r="FG770" s="346"/>
      <c r="FH770" s="346"/>
      <c r="FI770" s="346"/>
      <c r="FJ770" s="348"/>
      <c r="FK770" s="346"/>
      <c r="FL770" s="346"/>
      <c r="FM770" s="346"/>
      <c r="FN770" s="346"/>
      <c r="FO770" s="346"/>
      <c r="FP770" s="346"/>
      <c r="FQ770" s="346"/>
      <c r="FR770" s="346"/>
      <c r="FS770" s="346"/>
      <c r="FT770" s="346"/>
      <c r="FU770" s="346"/>
      <c r="FV770" s="346"/>
      <c r="FW770" s="346"/>
      <c r="FX770" s="346"/>
      <c r="FY770" s="346"/>
      <c r="FZ770" s="346"/>
      <c r="GA770" s="346"/>
      <c r="GB770" s="346"/>
      <c r="GC770" s="346"/>
      <c r="GD770" s="346"/>
      <c r="GE770" s="346"/>
      <c r="GF770" s="346"/>
      <c r="GG770" s="346"/>
      <c r="GH770" s="346"/>
      <c r="GI770" s="1897"/>
      <c r="HN770" s="349"/>
      <c r="HO770" s="1604"/>
      <c r="HP770" s="307"/>
      <c r="HR770" s="346"/>
      <c r="HU770" s="346"/>
      <c r="HV770" s="307"/>
      <c r="HX770" s="346"/>
      <c r="HY770" s="350"/>
      <c r="IA770" s="346"/>
      <c r="ID770" s="346"/>
      <c r="IE770" s="350"/>
      <c r="IF770" s="350"/>
      <c r="IG770" s="346"/>
      <c r="IH770" s="350"/>
      <c r="II770" s="350"/>
      <c r="IJ770" s="346"/>
      <c r="IK770" s="350"/>
      <c r="IL770" s="350"/>
      <c r="IM770" s="346"/>
      <c r="IN770" s="350"/>
      <c r="IO770" s="350"/>
      <c r="IP770" s="346"/>
      <c r="IQ770" s="350">
        <f t="shared" si="1176"/>
        <v>0</v>
      </c>
      <c r="IR770" s="350">
        <f t="shared" si="1177"/>
        <v>0</v>
      </c>
      <c r="IS770" s="346">
        <f t="shared" si="1067"/>
        <v>0</v>
      </c>
      <c r="IT770" s="350">
        <f t="shared" si="1169"/>
        <v>0</v>
      </c>
      <c r="IU770" s="350">
        <f t="shared" si="986"/>
        <v>0</v>
      </c>
      <c r="IV770" s="346">
        <f t="shared" si="1020"/>
        <v>0</v>
      </c>
      <c r="IW770" s="350">
        <f t="shared" si="1081"/>
        <v>0</v>
      </c>
      <c r="IX770" s="350" t="e">
        <f t="shared" si="1069"/>
        <v>#REF!</v>
      </c>
      <c r="IY770" s="346" t="e">
        <f>FISC!#REF!</f>
        <v>#REF!</v>
      </c>
      <c r="IZ770" s="350"/>
      <c r="JB770" s="346" t="e">
        <f>FISC!#REF!</f>
        <v>#REF!</v>
      </c>
      <c r="JC770" s="350"/>
      <c r="JE770" s="346" t="e">
        <f>FISC!#REF!</f>
        <v>#REF!</v>
      </c>
      <c r="JH770" s="346" t="e">
        <f>FISC!#REF!</f>
        <v>#REF!</v>
      </c>
      <c r="JK770" s="346" t="e">
        <f>FISC!#REF!</f>
        <v>#REF!</v>
      </c>
      <c r="JN770" s="346" t="e">
        <f>FISC!#REF!</f>
        <v>#REF!</v>
      </c>
      <c r="KI770" s="349"/>
      <c r="KJ770" s="350"/>
    </row>
    <row r="771" spans="1:296" hidden="1" outlineLevel="1">
      <c r="A771" s="302"/>
      <c r="D771" s="1681" t="s">
        <v>3393</v>
      </c>
      <c r="E771" s="346"/>
      <c r="F771" s="346"/>
      <c r="G771" s="346"/>
      <c r="H771" s="346"/>
      <c r="I771" s="346"/>
      <c r="J771" s="346"/>
      <c r="K771" s="346"/>
      <c r="L771" s="346"/>
      <c r="M771" s="346"/>
      <c r="N771" s="346"/>
      <c r="O771" s="346"/>
      <c r="P771" s="346"/>
      <c r="Q771" s="346"/>
      <c r="R771" s="346"/>
      <c r="S771" s="346"/>
      <c r="T771" s="346"/>
      <c r="U771" s="346"/>
      <c r="V771" s="346"/>
      <c r="W771" s="346"/>
      <c r="X771" s="346"/>
      <c r="Y771" s="346"/>
      <c r="Z771" s="346"/>
      <c r="AA771" s="346"/>
      <c r="AB771" s="346"/>
      <c r="AC771" s="346"/>
      <c r="AD771" s="346"/>
      <c r="AE771" s="346"/>
      <c r="AF771" s="346"/>
      <c r="AG771" s="346"/>
      <c r="AH771" s="346"/>
      <c r="AI771" s="346"/>
      <c r="AJ771" s="346"/>
      <c r="AK771" s="346"/>
      <c r="AL771" s="346"/>
      <c r="AM771" s="346"/>
      <c r="AN771" s="346"/>
      <c r="AO771" s="346"/>
      <c r="AP771" s="346"/>
      <c r="AQ771" s="346"/>
      <c r="AR771" s="346"/>
      <c r="AS771" s="346"/>
      <c r="AT771" s="346"/>
      <c r="AU771" s="346"/>
      <c r="AV771" s="346"/>
      <c r="AW771" s="346"/>
      <c r="AX771" s="346"/>
      <c r="AY771" s="346"/>
      <c r="AZ771" s="346"/>
      <c r="BA771" s="346"/>
      <c r="BB771" s="346"/>
      <c r="BC771" s="346"/>
      <c r="BD771" s="346"/>
      <c r="BE771" s="346"/>
      <c r="BF771" s="346"/>
      <c r="BG771" s="346"/>
      <c r="BH771" s="346"/>
      <c r="BI771" s="346"/>
      <c r="BJ771" s="346"/>
      <c r="BK771" s="346"/>
      <c r="BL771" s="346"/>
      <c r="BM771" s="346"/>
      <c r="BN771" s="346"/>
      <c r="BO771" s="346"/>
      <c r="BP771" s="346"/>
      <c r="BQ771" s="346"/>
      <c r="BR771" s="346"/>
      <c r="BS771" s="346"/>
      <c r="BT771" s="346"/>
      <c r="BU771" s="346"/>
      <c r="BV771" s="346"/>
      <c r="BW771" s="346"/>
      <c r="BX771" s="346"/>
      <c r="BY771" s="346"/>
      <c r="BZ771" s="346"/>
      <c r="CA771" s="346"/>
      <c r="CB771" s="346"/>
      <c r="CC771" s="346"/>
      <c r="CD771" s="352"/>
      <c r="CE771" s="346"/>
      <c r="CF771" s="346"/>
      <c r="CG771" s="346"/>
      <c r="CH771" s="346"/>
      <c r="CI771" s="346"/>
      <c r="CJ771" s="346"/>
      <c r="CK771" s="346"/>
      <c r="CL771" s="346"/>
      <c r="CM771" s="346"/>
      <c r="CN771" s="346"/>
      <c r="CO771" s="346"/>
      <c r="CP771" s="348"/>
      <c r="CQ771" s="346"/>
      <c r="CR771" s="346"/>
      <c r="CS771" s="346"/>
      <c r="CT771" s="346"/>
      <c r="CU771" s="346"/>
      <c r="CV771" s="346"/>
      <c r="CW771" s="346"/>
      <c r="CX771" s="346"/>
      <c r="CY771" s="346"/>
      <c r="CZ771" s="346"/>
      <c r="DA771" s="346"/>
      <c r="DB771" s="1479"/>
      <c r="DC771" s="346"/>
      <c r="DD771" s="346"/>
      <c r="DE771" s="346"/>
      <c r="DF771" s="346"/>
      <c r="DG771" s="346"/>
      <c r="DH771" s="346"/>
      <c r="DI771" s="346"/>
      <c r="DJ771" s="346"/>
      <c r="DK771" s="346"/>
      <c r="DL771" s="346"/>
      <c r="DM771" s="346"/>
      <c r="DN771" s="348"/>
      <c r="DO771" s="346"/>
      <c r="DP771" s="346"/>
      <c r="DQ771" s="346"/>
      <c r="DR771" s="346"/>
      <c r="DS771" s="346"/>
      <c r="DT771" s="346"/>
      <c r="DU771" s="346"/>
      <c r="DV771" s="346"/>
      <c r="DW771" s="346"/>
      <c r="DX771" s="346"/>
      <c r="DY771" s="346"/>
      <c r="DZ771" s="348"/>
      <c r="EA771" s="346"/>
      <c r="EB771" s="346"/>
      <c r="EC771" s="346"/>
      <c r="ED771" s="346"/>
      <c r="EE771" s="346"/>
      <c r="EF771" s="346"/>
      <c r="EG771" s="346"/>
      <c r="EH771" s="346"/>
      <c r="EI771" s="346"/>
      <c r="EJ771" s="346"/>
      <c r="EK771" s="346"/>
      <c r="EL771" s="348"/>
      <c r="EM771" s="346"/>
      <c r="EN771" s="346"/>
      <c r="EO771" s="346"/>
      <c r="EP771" s="346"/>
      <c r="EQ771" s="346"/>
      <c r="ER771" s="346"/>
      <c r="ES771" s="346"/>
      <c r="ET771" s="346"/>
      <c r="EU771" s="346"/>
      <c r="EV771" s="346"/>
      <c r="EW771" s="346"/>
      <c r="EX771" s="348"/>
      <c r="EY771" s="346"/>
      <c r="EZ771" s="346"/>
      <c r="FA771" s="346"/>
      <c r="FB771" s="346"/>
      <c r="FC771" s="346"/>
      <c r="FD771" s="346"/>
      <c r="FE771" s="346"/>
      <c r="FF771" s="346"/>
      <c r="FG771" s="346"/>
      <c r="FH771" s="346"/>
      <c r="FI771" s="346"/>
      <c r="FJ771" s="348"/>
      <c r="FK771" s="346"/>
      <c r="FL771" s="346"/>
      <c r="FM771" s="346"/>
      <c r="FN771" s="346"/>
      <c r="FO771" s="346"/>
      <c r="FP771" s="346"/>
      <c r="FQ771" s="346"/>
      <c r="FR771" s="346"/>
      <c r="FS771" s="346"/>
      <c r="FT771" s="346"/>
      <c r="FU771" s="346"/>
      <c r="FV771" s="346"/>
      <c r="FW771" s="346"/>
      <c r="FX771" s="346"/>
      <c r="FY771" s="346"/>
      <c r="FZ771" s="346"/>
      <c r="GA771" s="346"/>
      <c r="GB771" s="346"/>
      <c r="GC771" s="346"/>
      <c r="GD771" s="346"/>
      <c r="GE771" s="346"/>
      <c r="GF771" s="346"/>
      <c r="GG771" s="346"/>
      <c r="GH771" s="346"/>
      <c r="GI771" s="1897"/>
      <c r="HN771" s="349"/>
      <c r="HO771" s="1604"/>
      <c r="HP771" s="307"/>
      <c r="HR771" s="346"/>
      <c r="HU771" s="346"/>
      <c r="HV771" s="307"/>
      <c r="HX771" s="346"/>
      <c r="HY771" s="350"/>
      <c r="IA771" s="346"/>
      <c r="ID771" s="346"/>
      <c r="IE771" s="350"/>
      <c r="IF771" s="350"/>
      <c r="IG771" s="346"/>
      <c r="IH771" s="350"/>
      <c r="II771" s="350"/>
      <c r="IJ771" s="346"/>
      <c r="IK771" s="350"/>
      <c r="IL771" s="350"/>
      <c r="IM771" s="346"/>
      <c r="IN771" s="350"/>
      <c r="IO771" s="350"/>
      <c r="IP771" s="346"/>
      <c r="IQ771" s="350">
        <f t="shared" si="1176"/>
        <v>0</v>
      </c>
      <c r="IR771" s="350">
        <f t="shared" si="1177"/>
        <v>0</v>
      </c>
      <c r="IS771" s="346">
        <f t="shared" si="1067"/>
        <v>0</v>
      </c>
      <c r="IT771" s="350">
        <f t="shared" si="1169"/>
        <v>0</v>
      </c>
      <c r="IU771" s="350">
        <f t="shared" si="986"/>
        <v>0</v>
      </c>
      <c r="IV771" s="346">
        <f t="shared" si="1020"/>
        <v>0</v>
      </c>
      <c r="IW771" s="350">
        <f t="shared" si="1081"/>
        <v>0</v>
      </c>
      <c r="IX771" s="350" t="e">
        <f t="shared" si="1069"/>
        <v>#REF!</v>
      </c>
      <c r="IY771" s="346" t="e">
        <f>FISC!#REF!</f>
        <v>#REF!</v>
      </c>
      <c r="IZ771" s="350"/>
      <c r="JB771" s="346" t="e">
        <f>FISC!#REF!</f>
        <v>#REF!</v>
      </c>
      <c r="JC771" s="350"/>
      <c r="JE771" s="346" t="e">
        <f>FISC!#REF!</f>
        <v>#REF!</v>
      </c>
      <c r="JH771" s="346" t="e">
        <f>FISC!#REF!</f>
        <v>#REF!</v>
      </c>
      <c r="JK771" s="346" t="e">
        <f>FISC!#REF!</f>
        <v>#REF!</v>
      </c>
      <c r="JN771" s="346" t="e">
        <f>FISC!#REF!</f>
        <v>#REF!</v>
      </c>
      <c r="KI771" s="349"/>
      <c r="KJ771" s="350"/>
    </row>
    <row r="772" spans="1:296" hidden="1" outlineLevel="1">
      <c r="A772" s="302"/>
      <c r="D772" s="1681" t="s">
        <v>3394</v>
      </c>
      <c r="E772" s="346"/>
      <c r="F772" s="346"/>
      <c r="G772" s="346"/>
      <c r="H772" s="346"/>
      <c r="I772" s="346"/>
      <c r="J772" s="346"/>
      <c r="K772" s="346"/>
      <c r="L772" s="346"/>
      <c r="M772" s="346"/>
      <c r="N772" s="346"/>
      <c r="O772" s="346"/>
      <c r="P772" s="346"/>
      <c r="Q772" s="346"/>
      <c r="R772" s="346"/>
      <c r="S772" s="346"/>
      <c r="T772" s="346"/>
      <c r="U772" s="346"/>
      <c r="V772" s="346"/>
      <c r="W772" s="346"/>
      <c r="X772" s="346"/>
      <c r="Y772" s="346"/>
      <c r="Z772" s="346"/>
      <c r="AA772" s="346"/>
      <c r="AB772" s="346"/>
      <c r="AC772" s="346"/>
      <c r="AD772" s="346"/>
      <c r="AE772" s="346"/>
      <c r="AF772" s="346"/>
      <c r="AG772" s="346"/>
      <c r="AH772" s="346"/>
      <c r="AI772" s="346"/>
      <c r="AJ772" s="346"/>
      <c r="AK772" s="346"/>
      <c r="AL772" s="346"/>
      <c r="AM772" s="346"/>
      <c r="AN772" s="346"/>
      <c r="AO772" s="346"/>
      <c r="AP772" s="346"/>
      <c r="AQ772" s="346"/>
      <c r="AR772" s="346"/>
      <c r="AS772" s="346"/>
      <c r="AT772" s="346"/>
      <c r="AU772" s="346"/>
      <c r="AV772" s="346"/>
      <c r="AW772" s="346"/>
      <c r="AX772" s="346"/>
      <c r="AY772" s="346"/>
      <c r="AZ772" s="346"/>
      <c r="BA772" s="346"/>
      <c r="BB772" s="346"/>
      <c r="BC772" s="346"/>
      <c r="BD772" s="346"/>
      <c r="BE772" s="346"/>
      <c r="BF772" s="346"/>
      <c r="BG772" s="346"/>
      <c r="BH772" s="346"/>
      <c r="BI772" s="346"/>
      <c r="BJ772" s="346"/>
      <c r="BK772" s="346"/>
      <c r="BL772" s="346"/>
      <c r="BM772" s="346"/>
      <c r="BN772" s="346"/>
      <c r="BO772" s="346"/>
      <c r="BP772" s="346"/>
      <c r="BQ772" s="346"/>
      <c r="BR772" s="346"/>
      <c r="BS772" s="346"/>
      <c r="BT772" s="346"/>
      <c r="BU772" s="346"/>
      <c r="BV772" s="346"/>
      <c r="BW772" s="346"/>
      <c r="BX772" s="346"/>
      <c r="BY772" s="346"/>
      <c r="BZ772" s="346"/>
      <c r="CA772" s="346"/>
      <c r="CB772" s="346"/>
      <c r="CC772" s="346"/>
      <c r="CD772" s="352"/>
      <c r="CE772" s="346"/>
      <c r="CF772" s="346"/>
      <c r="CG772" s="346"/>
      <c r="CH772" s="346"/>
      <c r="CI772" s="346"/>
      <c r="CJ772" s="346"/>
      <c r="CK772" s="346"/>
      <c r="CL772" s="346"/>
      <c r="CM772" s="346"/>
      <c r="CN772" s="346"/>
      <c r="CO772" s="346"/>
      <c r="CP772" s="348"/>
      <c r="CQ772" s="346"/>
      <c r="CR772" s="346"/>
      <c r="CS772" s="346"/>
      <c r="CT772" s="346"/>
      <c r="CU772" s="346"/>
      <c r="CV772" s="346"/>
      <c r="CW772" s="346"/>
      <c r="CX772" s="346"/>
      <c r="CY772" s="346"/>
      <c r="CZ772" s="346"/>
      <c r="DA772" s="346"/>
      <c r="DB772" s="1479"/>
      <c r="DC772" s="346"/>
      <c r="DD772" s="346"/>
      <c r="DE772" s="346"/>
      <c r="DF772" s="346"/>
      <c r="DG772" s="346"/>
      <c r="DH772" s="346"/>
      <c r="DI772" s="346"/>
      <c r="DJ772" s="346"/>
      <c r="DK772" s="346"/>
      <c r="DL772" s="346"/>
      <c r="DM772" s="346"/>
      <c r="DN772" s="348"/>
      <c r="DO772" s="346"/>
      <c r="DP772" s="346"/>
      <c r="DQ772" s="346"/>
      <c r="DR772" s="346"/>
      <c r="DS772" s="346"/>
      <c r="DT772" s="346"/>
      <c r="DU772" s="346"/>
      <c r="DV772" s="346"/>
      <c r="DW772" s="346"/>
      <c r="DX772" s="346"/>
      <c r="DY772" s="346"/>
      <c r="DZ772" s="348"/>
      <c r="EA772" s="346"/>
      <c r="EB772" s="346"/>
      <c r="EC772" s="346"/>
      <c r="ED772" s="346"/>
      <c r="EE772" s="346"/>
      <c r="EF772" s="346"/>
      <c r="EG772" s="346"/>
      <c r="EH772" s="346"/>
      <c r="EI772" s="346"/>
      <c r="EJ772" s="346"/>
      <c r="EK772" s="346"/>
      <c r="EL772" s="348"/>
      <c r="EM772" s="346"/>
      <c r="EN772" s="346"/>
      <c r="EO772" s="346"/>
      <c r="EP772" s="346"/>
      <c r="EQ772" s="346"/>
      <c r="ER772" s="346"/>
      <c r="ES772" s="346"/>
      <c r="ET772" s="346"/>
      <c r="EU772" s="346"/>
      <c r="EV772" s="346"/>
      <c r="EW772" s="346"/>
      <c r="EX772" s="348"/>
      <c r="EY772" s="346"/>
      <c r="EZ772" s="346"/>
      <c r="FA772" s="346"/>
      <c r="FB772" s="346"/>
      <c r="FC772" s="346"/>
      <c r="FD772" s="346"/>
      <c r="FE772" s="346"/>
      <c r="FF772" s="346"/>
      <c r="FG772" s="346"/>
      <c r="FH772" s="346"/>
      <c r="FI772" s="346"/>
      <c r="FJ772" s="348"/>
      <c r="FK772" s="346"/>
      <c r="FL772" s="346"/>
      <c r="FM772" s="346"/>
      <c r="FN772" s="346"/>
      <c r="FO772" s="346"/>
      <c r="FP772" s="346"/>
      <c r="FQ772" s="346"/>
      <c r="FR772" s="346"/>
      <c r="FS772" s="346"/>
      <c r="FT772" s="346"/>
      <c r="FU772" s="346"/>
      <c r="FV772" s="346"/>
      <c r="FW772" s="346"/>
      <c r="FX772" s="346"/>
      <c r="FY772" s="346"/>
      <c r="FZ772" s="346"/>
      <c r="GA772" s="346"/>
      <c r="GB772" s="346"/>
      <c r="GC772" s="346"/>
      <c r="GD772" s="346"/>
      <c r="GE772" s="346"/>
      <c r="GF772" s="346"/>
      <c r="GG772" s="346"/>
      <c r="GH772" s="346"/>
      <c r="GI772" s="1897"/>
      <c r="HN772" s="349"/>
      <c r="HO772" s="1604"/>
      <c r="HP772" s="307"/>
      <c r="HR772" s="346"/>
      <c r="HU772" s="346"/>
      <c r="HV772" s="307"/>
      <c r="HX772" s="346"/>
      <c r="HY772" s="350"/>
      <c r="IA772" s="346"/>
      <c r="ID772" s="346"/>
      <c r="IE772" s="350"/>
      <c r="IF772" s="350"/>
      <c r="IG772" s="346"/>
      <c r="IH772" s="350"/>
      <c r="II772" s="350"/>
      <c r="IJ772" s="346"/>
      <c r="IK772" s="350"/>
      <c r="IL772" s="350"/>
      <c r="IM772" s="346"/>
      <c r="IN772" s="350"/>
      <c r="IO772" s="350"/>
      <c r="IP772" s="346"/>
      <c r="IQ772" s="350">
        <f t="shared" si="1176"/>
        <v>0</v>
      </c>
      <c r="IR772" s="350">
        <f t="shared" si="1177"/>
        <v>0</v>
      </c>
      <c r="IS772" s="346">
        <f t="shared" si="1067"/>
        <v>0</v>
      </c>
      <c r="IT772" s="350">
        <f t="shared" si="1169"/>
        <v>0</v>
      </c>
      <c r="IU772" s="350">
        <f t="shared" si="986"/>
        <v>0</v>
      </c>
      <c r="IV772" s="346">
        <f t="shared" si="1020"/>
        <v>0</v>
      </c>
      <c r="IW772" s="350">
        <f t="shared" si="1081"/>
        <v>0</v>
      </c>
      <c r="IX772" s="350" t="e">
        <f t="shared" si="1069"/>
        <v>#REF!</v>
      </c>
      <c r="IY772" s="346" t="e">
        <f>FISC!#REF!</f>
        <v>#REF!</v>
      </c>
      <c r="IZ772" s="350"/>
      <c r="JB772" s="346" t="e">
        <f>FISC!#REF!</f>
        <v>#REF!</v>
      </c>
      <c r="JC772" s="350"/>
      <c r="JE772" s="346" t="e">
        <f>FISC!#REF!</f>
        <v>#REF!</v>
      </c>
      <c r="JH772" s="346" t="e">
        <f>FISC!#REF!</f>
        <v>#REF!</v>
      </c>
      <c r="JJ772" s="1037"/>
      <c r="JK772" s="346" t="e">
        <f>FISC!#REF!</f>
        <v>#REF!</v>
      </c>
      <c r="JN772" s="346" t="e">
        <f>FISC!#REF!</f>
        <v>#REF!</v>
      </c>
      <c r="KI772" s="349"/>
      <c r="KJ772" s="350"/>
    </row>
    <row r="773" spans="1:296" hidden="1" outlineLevel="1">
      <c r="A773" s="302"/>
      <c r="D773" s="1681" t="s">
        <v>3395</v>
      </c>
      <c r="E773" s="346"/>
      <c r="F773" s="346"/>
      <c r="G773" s="346"/>
      <c r="H773" s="346"/>
      <c r="I773" s="346"/>
      <c r="J773" s="346"/>
      <c r="K773" s="346"/>
      <c r="L773" s="346"/>
      <c r="M773" s="346"/>
      <c r="N773" s="346"/>
      <c r="O773" s="346"/>
      <c r="P773" s="346"/>
      <c r="Q773" s="346"/>
      <c r="R773" s="346"/>
      <c r="S773" s="346"/>
      <c r="T773" s="346"/>
      <c r="U773" s="346"/>
      <c r="V773" s="346"/>
      <c r="W773" s="346"/>
      <c r="X773" s="346"/>
      <c r="Y773" s="346"/>
      <c r="Z773" s="346"/>
      <c r="AA773" s="346"/>
      <c r="AB773" s="346"/>
      <c r="AC773" s="346"/>
      <c r="AD773" s="346"/>
      <c r="AE773" s="346"/>
      <c r="AF773" s="346"/>
      <c r="AG773" s="346"/>
      <c r="AH773" s="346"/>
      <c r="AI773" s="346"/>
      <c r="AJ773" s="346"/>
      <c r="AK773" s="346"/>
      <c r="AL773" s="346"/>
      <c r="AM773" s="346"/>
      <c r="AN773" s="346"/>
      <c r="AO773" s="346"/>
      <c r="AP773" s="346"/>
      <c r="AQ773" s="346"/>
      <c r="AR773" s="346"/>
      <c r="AS773" s="346"/>
      <c r="AT773" s="346"/>
      <c r="AU773" s="346"/>
      <c r="AV773" s="346"/>
      <c r="AW773" s="346"/>
      <c r="AX773" s="346"/>
      <c r="AY773" s="346"/>
      <c r="AZ773" s="346"/>
      <c r="BA773" s="346"/>
      <c r="BB773" s="346"/>
      <c r="BC773" s="346"/>
      <c r="BD773" s="346"/>
      <c r="BE773" s="346"/>
      <c r="BF773" s="346"/>
      <c r="BG773" s="346"/>
      <c r="BH773" s="346"/>
      <c r="BI773" s="346"/>
      <c r="BJ773" s="346"/>
      <c r="BK773" s="346"/>
      <c r="BL773" s="346"/>
      <c r="BM773" s="346"/>
      <c r="BN773" s="346"/>
      <c r="BO773" s="346"/>
      <c r="BP773" s="346"/>
      <c r="BQ773" s="346"/>
      <c r="BR773" s="346"/>
      <c r="BS773" s="346"/>
      <c r="BT773" s="346"/>
      <c r="BU773" s="346"/>
      <c r="BV773" s="346"/>
      <c r="BW773" s="346"/>
      <c r="BX773" s="346"/>
      <c r="BY773" s="346"/>
      <c r="BZ773" s="346"/>
      <c r="CA773" s="346"/>
      <c r="CB773" s="346"/>
      <c r="CC773" s="346"/>
      <c r="CD773" s="352"/>
      <c r="CE773" s="346"/>
      <c r="CF773" s="346"/>
      <c r="CG773" s="346"/>
      <c r="CH773" s="346"/>
      <c r="CI773" s="346"/>
      <c r="CJ773" s="346"/>
      <c r="CK773" s="346"/>
      <c r="CL773" s="346"/>
      <c r="CM773" s="346"/>
      <c r="CN773" s="346"/>
      <c r="CO773" s="346"/>
      <c r="CP773" s="348"/>
      <c r="CQ773" s="346"/>
      <c r="CR773" s="346"/>
      <c r="CS773" s="346"/>
      <c r="CT773" s="346"/>
      <c r="CU773" s="346"/>
      <c r="CV773" s="346"/>
      <c r="CW773" s="346"/>
      <c r="CX773" s="346"/>
      <c r="CY773" s="346"/>
      <c r="CZ773" s="346"/>
      <c r="DA773" s="346"/>
      <c r="DB773" s="1479"/>
      <c r="DC773" s="346"/>
      <c r="DD773" s="346"/>
      <c r="DE773" s="346"/>
      <c r="DF773" s="346"/>
      <c r="DG773" s="346"/>
      <c r="DH773" s="346"/>
      <c r="DI773" s="346"/>
      <c r="DJ773" s="346"/>
      <c r="DK773" s="346"/>
      <c r="DL773" s="346"/>
      <c r="DM773" s="346"/>
      <c r="DN773" s="348"/>
      <c r="DO773" s="346"/>
      <c r="DP773" s="346"/>
      <c r="DQ773" s="346"/>
      <c r="DR773" s="346"/>
      <c r="DS773" s="346"/>
      <c r="DT773" s="346"/>
      <c r="DU773" s="346"/>
      <c r="DV773" s="346"/>
      <c r="DW773" s="346"/>
      <c r="DX773" s="346"/>
      <c r="DY773" s="346"/>
      <c r="DZ773" s="348"/>
      <c r="EA773" s="346"/>
      <c r="EB773" s="346"/>
      <c r="EC773" s="346"/>
      <c r="ED773" s="346"/>
      <c r="EE773" s="346"/>
      <c r="EF773" s="346"/>
      <c r="EG773" s="346"/>
      <c r="EH773" s="346"/>
      <c r="EI773" s="346"/>
      <c r="EJ773" s="346"/>
      <c r="EK773" s="346"/>
      <c r="EL773" s="348"/>
      <c r="EM773" s="346"/>
      <c r="EN773" s="346"/>
      <c r="EO773" s="346"/>
      <c r="EP773" s="346"/>
      <c r="EQ773" s="346"/>
      <c r="ER773" s="346"/>
      <c r="ES773" s="346"/>
      <c r="ET773" s="346"/>
      <c r="EU773" s="346"/>
      <c r="EV773" s="346"/>
      <c r="EW773" s="346"/>
      <c r="EX773" s="348"/>
      <c r="EY773" s="346"/>
      <c r="EZ773" s="346"/>
      <c r="FA773" s="346"/>
      <c r="FB773" s="346"/>
      <c r="FC773" s="346"/>
      <c r="FD773" s="346"/>
      <c r="FE773" s="346"/>
      <c r="FF773" s="346"/>
      <c r="FG773" s="346"/>
      <c r="FH773" s="346"/>
      <c r="FI773" s="346"/>
      <c r="FJ773" s="348"/>
      <c r="FK773" s="346"/>
      <c r="FL773" s="346"/>
      <c r="FM773" s="346"/>
      <c r="FN773" s="346"/>
      <c r="FO773" s="346"/>
      <c r="FP773" s="346"/>
      <c r="FQ773" s="346"/>
      <c r="FR773" s="346"/>
      <c r="FS773" s="346"/>
      <c r="FT773" s="346"/>
      <c r="FU773" s="346"/>
      <c r="FV773" s="346"/>
      <c r="FW773" s="346"/>
      <c r="FX773" s="346"/>
      <c r="FY773" s="346"/>
      <c r="FZ773" s="346"/>
      <c r="GA773" s="346"/>
      <c r="GB773" s="346"/>
      <c r="GC773" s="346"/>
      <c r="GD773" s="346"/>
      <c r="GE773" s="346"/>
      <c r="GF773" s="346"/>
      <c r="GG773" s="346"/>
      <c r="GH773" s="346"/>
      <c r="GI773" s="1897"/>
      <c r="HN773" s="349"/>
      <c r="HO773" s="1604"/>
      <c r="HP773" s="307"/>
      <c r="HR773" s="346"/>
      <c r="HU773" s="346"/>
      <c r="HV773" s="307"/>
      <c r="HX773" s="346"/>
      <c r="HY773" s="350"/>
      <c r="IA773" s="346"/>
      <c r="ID773" s="346"/>
      <c r="IE773" s="350"/>
      <c r="IF773" s="350"/>
      <c r="IG773" s="346"/>
      <c r="IH773" s="350"/>
      <c r="II773" s="350"/>
      <c r="IJ773" s="346"/>
      <c r="IK773" s="350"/>
      <c r="IL773" s="350"/>
      <c r="IM773" s="346"/>
      <c r="IN773" s="350"/>
      <c r="IO773" s="350"/>
      <c r="IP773" s="346"/>
      <c r="IQ773" s="350">
        <f t="shared" si="1176"/>
        <v>0</v>
      </c>
      <c r="IR773" s="350">
        <f t="shared" si="1177"/>
        <v>0</v>
      </c>
      <c r="IS773" s="346">
        <f t="shared" si="1067"/>
        <v>0</v>
      </c>
      <c r="IT773" s="350">
        <f t="shared" si="1169"/>
        <v>0</v>
      </c>
      <c r="IU773" s="350">
        <f t="shared" si="986"/>
        <v>0</v>
      </c>
      <c r="IV773" s="346">
        <f t="shared" si="1020"/>
        <v>0</v>
      </c>
      <c r="IW773" s="350">
        <f t="shared" si="1081"/>
        <v>0</v>
      </c>
      <c r="IX773" s="350" t="e">
        <f t="shared" si="1069"/>
        <v>#REF!</v>
      </c>
      <c r="IY773" s="346" t="e">
        <f>FISC!#REF!</f>
        <v>#REF!</v>
      </c>
      <c r="IZ773" s="350"/>
      <c r="JB773" s="346" t="e">
        <f>FISC!#REF!</f>
        <v>#REF!</v>
      </c>
      <c r="JC773" s="350"/>
      <c r="JE773" s="346" t="e">
        <f>FISC!#REF!</f>
        <v>#REF!</v>
      </c>
      <c r="JH773" s="346" t="e">
        <f>FISC!#REF!</f>
        <v>#REF!</v>
      </c>
      <c r="JK773" s="346" t="e">
        <f>FISC!#REF!</f>
        <v>#REF!</v>
      </c>
      <c r="JN773" s="346" t="e">
        <f>FISC!#REF!</f>
        <v>#REF!</v>
      </c>
      <c r="KI773" s="349"/>
      <c r="KJ773" s="350"/>
    </row>
    <row r="774" spans="1:296" hidden="1" outlineLevel="1">
      <c r="A774" s="302"/>
      <c r="D774" s="1681" t="s">
        <v>3396</v>
      </c>
      <c r="E774" s="346"/>
      <c r="F774" s="346"/>
      <c r="G774" s="346"/>
      <c r="H774" s="346"/>
      <c r="I774" s="346"/>
      <c r="J774" s="346"/>
      <c r="K774" s="346"/>
      <c r="L774" s="346"/>
      <c r="M774" s="346"/>
      <c r="N774" s="346"/>
      <c r="O774" s="346"/>
      <c r="P774" s="346"/>
      <c r="Q774" s="346"/>
      <c r="R774" s="346"/>
      <c r="S774" s="346"/>
      <c r="T774" s="346"/>
      <c r="U774" s="346"/>
      <c r="V774" s="346"/>
      <c r="W774" s="346"/>
      <c r="X774" s="346"/>
      <c r="Y774" s="346"/>
      <c r="Z774" s="346"/>
      <c r="AA774" s="346"/>
      <c r="AB774" s="346"/>
      <c r="AC774" s="346"/>
      <c r="AD774" s="346"/>
      <c r="AE774" s="346"/>
      <c r="AF774" s="346"/>
      <c r="AG774" s="346"/>
      <c r="AH774" s="346"/>
      <c r="AI774" s="346"/>
      <c r="AJ774" s="346"/>
      <c r="AK774" s="346"/>
      <c r="AL774" s="346"/>
      <c r="AM774" s="346"/>
      <c r="AN774" s="346"/>
      <c r="AO774" s="346"/>
      <c r="AP774" s="346"/>
      <c r="AQ774" s="346"/>
      <c r="AR774" s="346"/>
      <c r="AS774" s="346"/>
      <c r="AT774" s="346"/>
      <c r="AU774" s="346"/>
      <c r="AV774" s="346"/>
      <c r="AW774" s="346"/>
      <c r="AX774" s="346"/>
      <c r="AY774" s="346"/>
      <c r="AZ774" s="346"/>
      <c r="BA774" s="346"/>
      <c r="BB774" s="346"/>
      <c r="BC774" s="346"/>
      <c r="BD774" s="346"/>
      <c r="BE774" s="346"/>
      <c r="BF774" s="346"/>
      <c r="BG774" s="346"/>
      <c r="BH774" s="346"/>
      <c r="BI774" s="346"/>
      <c r="BJ774" s="346"/>
      <c r="BK774" s="346"/>
      <c r="BL774" s="346"/>
      <c r="BM774" s="346"/>
      <c r="BN774" s="346"/>
      <c r="BO774" s="346"/>
      <c r="BP774" s="346"/>
      <c r="BQ774" s="346"/>
      <c r="BR774" s="346"/>
      <c r="BS774" s="346"/>
      <c r="BT774" s="346"/>
      <c r="BU774" s="346"/>
      <c r="BV774" s="346"/>
      <c r="BW774" s="346"/>
      <c r="BX774" s="346"/>
      <c r="BY774" s="346"/>
      <c r="BZ774" s="346"/>
      <c r="CA774" s="346"/>
      <c r="CB774" s="346"/>
      <c r="CC774" s="346"/>
      <c r="CD774" s="352"/>
      <c r="CE774" s="346"/>
      <c r="CF774" s="346"/>
      <c r="CG774" s="346"/>
      <c r="CH774" s="346"/>
      <c r="CI774" s="346"/>
      <c r="CJ774" s="346"/>
      <c r="CK774" s="346"/>
      <c r="CL774" s="346"/>
      <c r="CM774" s="346"/>
      <c r="CN774" s="346"/>
      <c r="CO774" s="346"/>
      <c r="CP774" s="348"/>
      <c r="CQ774" s="346"/>
      <c r="CR774" s="346"/>
      <c r="CS774" s="346"/>
      <c r="CT774" s="346"/>
      <c r="CU774" s="346"/>
      <c r="CV774" s="346"/>
      <c r="CW774" s="346"/>
      <c r="CX774" s="346"/>
      <c r="CY774" s="346"/>
      <c r="CZ774" s="346"/>
      <c r="DA774" s="346"/>
      <c r="DB774" s="1479"/>
      <c r="DC774" s="346"/>
      <c r="DD774" s="346"/>
      <c r="DE774" s="346"/>
      <c r="DF774" s="346"/>
      <c r="DG774" s="346"/>
      <c r="DH774" s="346"/>
      <c r="DI774" s="346"/>
      <c r="DJ774" s="346"/>
      <c r="DK774" s="346"/>
      <c r="DL774" s="346"/>
      <c r="DM774" s="346"/>
      <c r="DN774" s="348"/>
      <c r="DO774" s="346"/>
      <c r="DP774" s="346"/>
      <c r="DQ774" s="346"/>
      <c r="DR774" s="346"/>
      <c r="DS774" s="346"/>
      <c r="DT774" s="346"/>
      <c r="DU774" s="346"/>
      <c r="DV774" s="346"/>
      <c r="DW774" s="346"/>
      <c r="DX774" s="346"/>
      <c r="DY774" s="346"/>
      <c r="DZ774" s="348"/>
      <c r="EA774" s="346"/>
      <c r="EB774" s="346"/>
      <c r="EC774" s="346"/>
      <c r="ED774" s="346"/>
      <c r="EE774" s="346"/>
      <c r="EF774" s="346"/>
      <c r="EG774" s="346"/>
      <c r="EH774" s="346"/>
      <c r="EI774" s="346"/>
      <c r="EJ774" s="346"/>
      <c r="EK774" s="346"/>
      <c r="EL774" s="348"/>
      <c r="EM774" s="346"/>
      <c r="EN774" s="346"/>
      <c r="EO774" s="346"/>
      <c r="EP774" s="346"/>
      <c r="EQ774" s="346"/>
      <c r="ER774" s="346"/>
      <c r="ES774" s="346"/>
      <c r="ET774" s="346"/>
      <c r="EU774" s="346"/>
      <c r="EV774" s="346"/>
      <c r="EW774" s="346"/>
      <c r="EX774" s="348"/>
      <c r="EY774" s="346"/>
      <c r="EZ774" s="346"/>
      <c r="FA774" s="346"/>
      <c r="FB774" s="346"/>
      <c r="FC774" s="346"/>
      <c r="FD774" s="346"/>
      <c r="FE774" s="346"/>
      <c r="FF774" s="346"/>
      <c r="FG774" s="346"/>
      <c r="FH774" s="346"/>
      <c r="FI774" s="346"/>
      <c r="FJ774" s="348"/>
      <c r="FK774" s="346"/>
      <c r="FL774" s="346"/>
      <c r="FM774" s="346"/>
      <c r="FN774" s="346"/>
      <c r="FO774" s="346"/>
      <c r="FP774" s="346"/>
      <c r="FQ774" s="346"/>
      <c r="FR774" s="346"/>
      <c r="FS774" s="346"/>
      <c r="FT774" s="346"/>
      <c r="FU774" s="346"/>
      <c r="FV774" s="346"/>
      <c r="FW774" s="346"/>
      <c r="FX774" s="346"/>
      <c r="FY774" s="346"/>
      <c r="FZ774" s="346"/>
      <c r="GA774" s="346"/>
      <c r="GB774" s="346"/>
      <c r="GC774" s="346"/>
      <c r="GD774" s="346"/>
      <c r="GE774" s="346"/>
      <c r="GF774" s="346"/>
      <c r="GG774" s="346"/>
      <c r="GH774" s="346"/>
      <c r="GI774" s="1897"/>
      <c r="HN774" s="349"/>
      <c r="HO774" s="1604"/>
      <c r="HP774" s="307"/>
      <c r="HR774" s="346"/>
      <c r="HU774" s="346"/>
      <c r="HV774" s="307"/>
      <c r="HX774" s="346"/>
      <c r="HY774" s="350"/>
      <c r="IA774" s="346"/>
      <c r="ID774" s="346"/>
      <c r="IE774" s="350"/>
      <c r="IF774" s="350"/>
      <c r="IG774" s="346"/>
      <c r="IH774" s="350"/>
      <c r="II774" s="350"/>
      <c r="IJ774" s="346"/>
      <c r="IK774" s="350"/>
      <c r="IL774" s="350"/>
      <c r="IM774" s="346"/>
      <c r="IN774" s="350"/>
      <c r="IO774" s="350"/>
      <c r="IP774" s="346"/>
      <c r="IQ774" s="350">
        <f t="shared" si="1176"/>
        <v>0</v>
      </c>
      <c r="IR774" s="350">
        <f t="shared" si="1177"/>
        <v>0</v>
      </c>
      <c r="IS774" s="346">
        <f t="shared" si="1067"/>
        <v>0</v>
      </c>
      <c r="IT774" s="350">
        <f t="shared" si="1169"/>
        <v>0</v>
      </c>
      <c r="IU774" s="350">
        <f t="shared" si="986"/>
        <v>0</v>
      </c>
      <c r="IV774" s="346">
        <f t="shared" si="1020"/>
        <v>0</v>
      </c>
      <c r="IW774" s="350">
        <f t="shared" si="1081"/>
        <v>0</v>
      </c>
      <c r="IX774" s="350" t="e">
        <f t="shared" si="1069"/>
        <v>#REF!</v>
      </c>
      <c r="IY774" s="346" t="e">
        <f>FISC!#REF!</f>
        <v>#REF!</v>
      </c>
      <c r="IZ774" s="350"/>
      <c r="JB774" s="346" t="e">
        <f>FISC!#REF!</f>
        <v>#REF!</v>
      </c>
      <c r="JC774" s="350"/>
      <c r="JE774" s="346" t="e">
        <f>FISC!#REF!</f>
        <v>#REF!</v>
      </c>
      <c r="JH774" s="346" t="e">
        <f>FISC!#REF!</f>
        <v>#REF!</v>
      </c>
      <c r="JK774" s="346" t="e">
        <f>FISC!#REF!</f>
        <v>#REF!</v>
      </c>
      <c r="JN774" s="346" t="e">
        <f>FISC!#REF!</f>
        <v>#REF!</v>
      </c>
      <c r="KI774" s="349"/>
      <c r="KJ774" s="350"/>
    </row>
    <row r="775" spans="1:296" hidden="1" outlineLevel="1">
      <c r="A775" s="302"/>
      <c r="D775" s="1681" t="s">
        <v>3397</v>
      </c>
      <c r="E775" s="346"/>
      <c r="F775" s="346"/>
      <c r="G775" s="346"/>
      <c r="H775" s="346"/>
      <c r="I775" s="346"/>
      <c r="J775" s="346"/>
      <c r="K775" s="346"/>
      <c r="L775" s="346"/>
      <c r="M775" s="346"/>
      <c r="N775" s="346"/>
      <c r="O775" s="346"/>
      <c r="P775" s="346"/>
      <c r="Q775" s="346"/>
      <c r="R775" s="346"/>
      <c r="S775" s="346"/>
      <c r="T775" s="346"/>
      <c r="U775" s="346"/>
      <c r="V775" s="346"/>
      <c r="W775" s="346"/>
      <c r="X775" s="346"/>
      <c r="Y775" s="346"/>
      <c r="Z775" s="346"/>
      <c r="AA775" s="346"/>
      <c r="AB775" s="346"/>
      <c r="AC775" s="346"/>
      <c r="AD775" s="346"/>
      <c r="AE775" s="346"/>
      <c r="AF775" s="346"/>
      <c r="AG775" s="346"/>
      <c r="AH775" s="346"/>
      <c r="AI775" s="346"/>
      <c r="AJ775" s="346"/>
      <c r="AK775" s="346"/>
      <c r="AL775" s="346"/>
      <c r="AM775" s="346"/>
      <c r="AN775" s="346"/>
      <c r="AO775" s="346"/>
      <c r="AP775" s="346"/>
      <c r="AQ775" s="346"/>
      <c r="AR775" s="346"/>
      <c r="AS775" s="346"/>
      <c r="AT775" s="346"/>
      <c r="AU775" s="346"/>
      <c r="AV775" s="346"/>
      <c r="AW775" s="346"/>
      <c r="AX775" s="346"/>
      <c r="AY775" s="346"/>
      <c r="AZ775" s="346"/>
      <c r="BA775" s="346"/>
      <c r="BB775" s="346"/>
      <c r="BC775" s="346"/>
      <c r="BD775" s="346"/>
      <c r="BE775" s="346"/>
      <c r="BF775" s="346"/>
      <c r="BG775" s="346"/>
      <c r="BH775" s="346"/>
      <c r="BI775" s="346"/>
      <c r="BJ775" s="346"/>
      <c r="BK775" s="346"/>
      <c r="BL775" s="346"/>
      <c r="BM775" s="346"/>
      <c r="BN775" s="346"/>
      <c r="BO775" s="346"/>
      <c r="BP775" s="346"/>
      <c r="BQ775" s="346"/>
      <c r="BR775" s="346"/>
      <c r="BS775" s="346"/>
      <c r="BT775" s="346"/>
      <c r="BU775" s="346"/>
      <c r="BV775" s="346"/>
      <c r="BW775" s="346"/>
      <c r="BX775" s="346"/>
      <c r="BY775" s="346"/>
      <c r="BZ775" s="346"/>
      <c r="CA775" s="346"/>
      <c r="CB775" s="346"/>
      <c r="CC775" s="346"/>
      <c r="CD775" s="352"/>
      <c r="CE775" s="346"/>
      <c r="CF775" s="346"/>
      <c r="CG775" s="346"/>
      <c r="CH775" s="346"/>
      <c r="CI775" s="346"/>
      <c r="CJ775" s="346"/>
      <c r="CK775" s="346"/>
      <c r="CL775" s="346"/>
      <c r="CM775" s="346"/>
      <c r="CN775" s="346"/>
      <c r="CO775" s="346"/>
      <c r="CP775" s="348"/>
      <c r="CQ775" s="346"/>
      <c r="CR775" s="346"/>
      <c r="CS775" s="346"/>
      <c r="CT775" s="346"/>
      <c r="CU775" s="346"/>
      <c r="CV775" s="346"/>
      <c r="CW775" s="346"/>
      <c r="CX775" s="346"/>
      <c r="CY775" s="346"/>
      <c r="CZ775" s="346"/>
      <c r="DA775" s="346"/>
      <c r="DB775" s="1479"/>
      <c r="DC775" s="346"/>
      <c r="DD775" s="346"/>
      <c r="DE775" s="346"/>
      <c r="DF775" s="346"/>
      <c r="DG775" s="346"/>
      <c r="DH775" s="346"/>
      <c r="DI775" s="346"/>
      <c r="DJ775" s="346"/>
      <c r="DK775" s="346"/>
      <c r="DL775" s="346"/>
      <c r="DM775" s="346"/>
      <c r="DN775" s="348"/>
      <c r="DO775" s="346"/>
      <c r="DP775" s="346"/>
      <c r="DQ775" s="346"/>
      <c r="DR775" s="346"/>
      <c r="DS775" s="346"/>
      <c r="DT775" s="346"/>
      <c r="DU775" s="346"/>
      <c r="DV775" s="346"/>
      <c r="DW775" s="346"/>
      <c r="DX775" s="346"/>
      <c r="DY775" s="346"/>
      <c r="DZ775" s="348"/>
      <c r="EA775" s="346"/>
      <c r="EB775" s="346"/>
      <c r="EC775" s="346"/>
      <c r="ED775" s="346"/>
      <c r="EE775" s="346"/>
      <c r="EF775" s="346"/>
      <c r="EG775" s="346"/>
      <c r="EH775" s="346"/>
      <c r="EI775" s="346"/>
      <c r="EJ775" s="346"/>
      <c r="EK775" s="346"/>
      <c r="EL775" s="348"/>
      <c r="EM775" s="346"/>
      <c r="EN775" s="346"/>
      <c r="EO775" s="346"/>
      <c r="EP775" s="346"/>
      <c r="EQ775" s="346"/>
      <c r="ER775" s="346"/>
      <c r="ES775" s="346"/>
      <c r="ET775" s="346"/>
      <c r="EU775" s="346"/>
      <c r="EV775" s="346"/>
      <c r="EW775" s="346"/>
      <c r="EX775" s="348"/>
      <c r="EY775" s="346"/>
      <c r="EZ775" s="346"/>
      <c r="FA775" s="346"/>
      <c r="FB775" s="346"/>
      <c r="FC775" s="346"/>
      <c r="FD775" s="346"/>
      <c r="FE775" s="346"/>
      <c r="FF775" s="346"/>
      <c r="FG775" s="346"/>
      <c r="FH775" s="346"/>
      <c r="FI775" s="346"/>
      <c r="FJ775" s="348"/>
      <c r="FK775" s="346"/>
      <c r="FL775" s="346"/>
      <c r="FM775" s="346"/>
      <c r="FN775" s="346"/>
      <c r="FO775" s="346"/>
      <c r="FP775" s="346"/>
      <c r="FQ775" s="346"/>
      <c r="FR775" s="346"/>
      <c r="FS775" s="346"/>
      <c r="FT775" s="346"/>
      <c r="FU775" s="346"/>
      <c r="FV775" s="346"/>
      <c r="FW775" s="346"/>
      <c r="FX775" s="346"/>
      <c r="FY775" s="346"/>
      <c r="FZ775" s="346"/>
      <c r="GA775" s="346"/>
      <c r="GB775" s="346"/>
      <c r="GC775" s="346"/>
      <c r="GD775" s="346"/>
      <c r="GE775" s="346"/>
      <c r="GF775" s="346"/>
      <c r="GG775" s="346"/>
      <c r="GH775" s="346"/>
      <c r="GI775" s="1897"/>
      <c r="HN775" s="349"/>
      <c r="HO775" s="1604"/>
      <c r="HP775" s="307"/>
      <c r="HR775" s="346"/>
      <c r="HU775" s="346"/>
      <c r="HV775" s="307"/>
      <c r="HX775" s="346"/>
      <c r="HY775" s="350"/>
      <c r="IA775" s="346"/>
      <c r="ID775" s="346"/>
      <c r="IE775" s="350"/>
      <c r="IF775" s="350"/>
      <c r="IG775" s="346"/>
      <c r="IH775" s="350"/>
      <c r="II775" s="350"/>
      <c r="IJ775" s="346"/>
      <c r="IK775" s="350"/>
      <c r="IL775" s="350"/>
      <c r="IM775" s="346"/>
      <c r="IN775" s="350"/>
      <c r="IO775" s="350"/>
      <c r="IP775" s="346"/>
      <c r="IQ775" s="350">
        <f t="shared" si="1176"/>
        <v>0</v>
      </c>
      <c r="IR775" s="350">
        <f t="shared" si="1177"/>
        <v>0</v>
      </c>
      <c r="IS775" s="346">
        <f t="shared" si="1067"/>
        <v>0</v>
      </c>
      <c r="IT775" s="350">
        <f t="shared" si="1169"/>
        <v>0</v>
      </c>
      <c r="IU775" s="350">
        <f t="shared" si="986"/>
        <v>0</v>
      </c>
      <c r="IV775" s="346">
        <f t="shared" si="1020"/>
        <v>0</v>
      </c>
      <c r="IW775" s="350">
        <f t="shared" si="1081"/>
        <v>0</v>
      </c>
      <c r="IX775" s="350" t="e">
        <f t="shared" si="1069"/>
        <v>#REF!</v>
      </c>
      <c r="IY775" s="346" t="e">
        <f>FISC!#REF!</f>
        <v>#REF!</v>
      </c>
      <c r="IZ775" s="350"/>
      <c r="JB775" s="346" t="e">
        <f>FISC!#REF!</f>
        <v>#REF!</v>
      </c>
      <c r="JC775" s="350"/>
      <c r="JD775" s="1037"/>
      <c r="JE775" s="346" t="e">
        <f>FISC!#REF!</f>
        <v>#REF!</v>
      </c>
      <c r="JH775" s="346" t="e">
        <f>FISC!#REF!</f>
        <v>#REF!</v>
      </c>
      <c r="JK775" s="346" t="e">
        <f>FISC!#REF!</f>
        <v>#REF!</v>
      </c>
      <c r="JN775" s="346" t="e">
        <f>FISC!#REF!</f>
        <v>#REF!</v>
      </c>
      <c r="KI775" s="349"/>
      <c r="KJ775" s="350"/>
    </row>
    <row r="776" spans="1:296" hidden="1" outlineLevel="1">
      <c r="A776" s="302"/>
      <c r="D776" s="1604" t="s">
        <v>3402</v>
      </c>
      <c r="E776" s="346"/>
      <c r="F776" s="346"/>
      <c r="G776" s="346"/>
      <c r="H776" s="346"/>
      <c r="I776" s="346"/>
      <c r="J776" s="346"/>
      <c r="K776" s="346"/>
      <c r="L776" s="346"/>
      <c r="M776" s="346"/>
      <c r="N776" s="346"/>
      <c r="O776" s="346"/>
      <c r="P776" s="346"/>
      <c r="Q776" s="346"/>
      <c r="R776" s="346"/>
      <c r="S776" s="346"/>
      <c r="T776" s="346"/>
      <c r="U776" s="346"/>
      <c r="V776" s="346"/>
      <c r="W776" s="346"/>
      <c r="X776" s="346"/>
      <c r="Y776" s="346"/>
      <c r="Z776" s="346"/>
      <c r="AA776" s="346"/>
      <c r="AB776" s="346"/>
      <c r="AC776" s="346"/>
      <c r="AD776" s="346"/>
      <c r="AE776" s="346"/>
      <c r="AF776" s="346"/>
      <c r="AG776" s="346"/>
      <c r="AH776" s="346"/>
      <c r="AI776" s="346"/>
      <c r="AJ776" s="346"/>
      <c r="AK776" s="346"/>
      <c r="AL776" s="346"/>
      <c r="AM776" s="346"/>
      <c r="AN776" s="346"/>
      <c r="AO776" s="346"/>
      <c r="AP776" s="346"/>
      <c r="AQ776" s="346"/>
      <c r="AR776" s="346"/>
      <c r="AS776" s="346"/>
      <c r="AT776" s="346"/>
      <c r="AU776" s="346"/>
      <c r="AV776" s="346"/>
      <c r="AW776" s="346"/>
      <c r="AX776" s="346"/>
      <c r="AY776" s="346"/>
      <c r="AZ776" s="346"/>
      <c r="BA776" s="346"/>
      <c r="BB776" s="346"/>
      <c r="BC776" s="346"/>
      <c r="BD776" s="346"/>
      <c r="BE776" s="346"/>
      <c r="BF776" s="346"/>
      <c r="BG776" s="346"/>
      <c r="BH776" s="346"/>
      <c r="BI776" s="346"/>
      <c r="BJ776" s="346"/>
      <c r="BK776" s="346"/>
      <c r="BL776" s="346"/>
      <c r="BM776" s="346"/>
      <c r="BN776" s="346"/>
      <c r="BO776" s="346"/>
      <c r="BP776" s="346"/>
      <c r="BQ776" s="346"/>
      <c r="BR776" s="346"/>
      <c r="BS776" s="346"/>
      <c r="BT776" s="346"/>
      <c r="BU776" s="346"/>
      <c r="BV776" s="346"/>
      <c r="BW776" s="346"/>
      <c r="BX776" s="346"/>
      <c r="BY776" s="346"/>
      <c r="BZ776" s="346"/>
      <c r="CA776" s="346"/>
      <c r="CB776" s="346"/>
      <c r="CC776" s="346"/>
      <c r="CD776" s="352"/>
      <c r="CE776" s="346"/>
      <c r="CF776" s="346"/>
      <c r="CG776" s="346"/>
      <c r="CH776" s="346"/>
      <c r="CI776" s="346"/>
      <c r="CJ776" s="346"/>
      <c r="CK776" s="346"/>
      <c r="CL776" s="346"/>
      <c r="CM776" s="346"/>
      <c r="CN776" s="346"/>
      <c r="CO776" s="346"/>
      <c r="CP776" s="348"/>
      <c r="CQ776" s="346"/>
      <c r="CR776" s="346"/>
      <c r="CS776" s="346"/>
      <c r="CT776" s="346"/>
      <c r="CU776" s="346"/>
      <c r="CV776" s="346"/>
      <c r="CW776" s="346"/>
      <c r="CX776" s="346"/>
      <c r="CY776" s="346"/>
      <c r="CZ776" s="346"/>
      <c r="DA776" s="346"/>
      <c r="DB776" s="1479"/>
      <c r="DC776" s="346"/>
      <c r="DD776" s="346"/>
      <c r="DE776" s="346"/>
      <c r="DF776" s="346"/>
      <c r="DG776" s="346"/>
      <c r="DH776" s="346"/>
      <c r="DI776" s="346"/>
      <c r="DJ776" s="346"/>
      <c r="DK776" s="346"/>
      <c r="DL776" s="346"/>
      <c r="DM776" s="346"/>
      <c r="DN776" s="348"/>
      <c r="DO776" s="346"/>
      <c r="DP776" s="346"/>
      <c r="DQ776" s="346"/>
      <c r="DR776" s="346"/>
      <c r="DS776" s="346"/>
      <c r="DT776" s="346"/>
      <c r="DU776" s="346"/>
      <c r="DV776" s="346"/>
      <c r="DW776" s="346"/>
      <c r="DX776" s="346"/>
      <c r="DY776" s="346"/>
      <c r="DZ776" s="348"/>
      <c r="EA776" s="346"/>
      <c r="EB776" s="346"/>
      <c r="EC776" s="346"/>
      <c r="ED776" s="346"/>
      <c r="EE776" s="346"/>
      <c r="EF776" s="346"/>
      <c r="EG776" s="346"/>
      <c r="EH776" s="346"/>
      <c r="EI776" s="346"/>
      <c r="EJ776" s="346"/>
      <c r="EK776" s="346"/>
      <c r="EL776" s="348"/>
      <c r="EM776" s="346"/>
      <c r="EN776" s="346"/>
      <c r="EO776" s="346"/>
      <c r="EP776" s="346"/>
      <c r="EQ776" s="346"/>
      <c r="ER776" s="346"/>
      <c r="ES776" s="346"/>
      <c r="ET776" s="346"/>
      <c r="EU776" s="346"/>
      <c r="EV776" s="346"/>
      <c r="EW776" s="346"/>
      <c r="EX776" s="348"/>
      <c r="EY776" s="346"/>
      <c r="EZ776" s="346"/>
      <c r="FA776" s="346"/>
      <c r="FB776" s="346"/>
      <c r="FC776" s="346"/>
      <c r="FD776" s="346"/>
      <c r="FE776" s="346"/>
      <c r="FF776" s="346"/>
      <c r="FG776" s="346"/>
      <c r="FH776" s="346"/>
      <c r="FI776" s="346"/>
      <c r="FJ776" s="348"/>
      <c r="FK776" s="346"/>
      <c r="FL776" s="346"/>
      <c r="FM776" s="346"/>
      <c r="FN776" s="346"/>
      <c r="FO776" s="346"/>
      <c r="FP776" s="346"/>
      <c r="FQ776" s="346"/>
      <c r="FR776" s="346"/>
      <c r="FS776" s="346"/>
      <c r="FT776" s="346"/>
      <c r="FU776" s="346"/>
      <c r="FV776" s="346"/>
      <c r="FW776" s="346"/>
      <c r="FX776" s="346"/>
      <c r="FY776" s="346"/>
      <c r="FZ776" s="346"/>
      <c r="GA776" s="346"/>
      <c r="GB776" s="346"/>
      <c r="GC776" s="346"/>
      <c r="GD776" s="346"/>
      <c r="GE776" s="346"/>
      <c r="GF776" s="346"/>
      <c r="GG776" s="346"/>
      <c r="GH776" s="346"/>
      <c r="GI776" s="1897"/>
      <c r="HN776" s="349"/>
      <c r="HO776" s="1604"/>
      <c r="HP776" s="307"/>
      <c r="HR776" s="346"/>
      <c r="HU776" s="346"/>
      <c r="HV776" s="307"/>
      <c r="HX776" s="346"/>
      <c r="HY776" s="350"/>
      <c r="IA776" s="346"/>
      <c r="ID776" s="346"/>
      <c r="IE776" s="350"/>
      <c r="IF776" s="350"/>
      <c r="IG776" s="346"/>
      <c r="IH776" s="350"/>
      <c r="II776" s="350"/>
      <c r="IJ776" s="346"/>
      <c r="IK776" s="350"/>
      <c r="IL776" s="350"/>
      <c r="IM776" s="346"/>
      <c r="IN776" s="350"/>
      <c r="IO776" s="350"/>
      <c r="IP776" s="346"/>
      <c r="IQ776" s="350">
        <f>IS77/2</f>
        <v>0</v>
      </c>
      <c r="IR776" s="350">
        <f t="shared" si="1177"/>
        <v>0</v>
      </c>
      <c r="IS776" s="346">
        <f t="shared" si="1067"/>
        <v>0</v>
      </c>
      <c r="IT776" s="350">
        <f t="shared" si="1169"/>
        <v>0</v>
      </c>
      <c r="IU776" s="350">
        <f t="shared" si="986"/>
        <v>0</v>
      </c>
      <c r="IV776" s="346">
        <f t="shared" si="1020"/>
        <v>0</v>
      </c>
      <c r="IW776" s="350">
        <f t="shared" si="1081"/>
        <v>0</v>
      </c>
      <c r="IX776" s="350">
        <f t="shared" si="1069"/>
        <v>0</v>
      </c>
      <c r="IY776" s="346">
        <f>FISC!AJ1091</f>
        <v>0</v>
      </c>
      <c r="IZ776" s="350"/>
      <c r="JB776" s="346">
        <f>FISC!AK1091</f>
        <v>0</v>
      </c>
      <c r="JC776" s="350"/>
      <c r="JE776" s="346">
        <f>FISC!AL1091</f>
        <v>0</v>
      </c>
      <c r="JG776" s="1922"/>
      <c r="JH776" s="346">
        <f>FISC!AM1091</f>
        <v>0</v>
      </c>
      <c r="JK776" s="346">
        <f>FISC!AN1091</f>
        <v>0</v>
      </c>
      <c r="JN776" s="346">
        <f>FISC!AO1091</f>
        <v>0</v>
      </c>
      <c r="KI776" s="349"/>
      <c r="KJ776" s="350"/>
    </row>
    <row r="777" spans="1:296" hidden="1" outlineLevel="1">
      <c r="A777" s="302"/>
      <c r="D777" s="1924" t="str">
        <f>FISC!D1092</f>
        <v>Flood response</v>
      </c>
      <c r="E777" s="346"/>
      <c r="F777" s="346"/>
      <c r="G777" s="346"/>
      <c r="H777" s="346"/>
      <c r="I777" s="346"/>
      <c r="J777" s="346"/>
      <c r="K777" s="346"/>
      <c r="L777" s="346"/>
      <c r="M777" s="346"/>
      <c r="N777" s="346"/>
      <c r="O777" s="346"/>
      <c r="P777" s="346"/>
      <c r="Q777" s="346"/>
      <c r="R777" s="346"/>
      <c r="S777" s="346"/>
      <c r="T777" s="346"/>
      <c r="U777" s="346"/>
      <c r="V777" s="346"/>
      <c r="W777" s="346"/>
      <c r="X777" s="346"/>
      <c r="Y777" s="346"/>
      <c r="Z777" s="346"/>
      <c r="AA777" s="346"/>
      <c r="AB777" s="346"/>
      <c r="AC777" s="346"/>
      <c r="AD777" s="346"/>
      <c r="AE777" s="346"/>
      <c r="AF777" s="346"/>
      <c r="AG777" s="346"/>
      <c r="AH777" s="346"/>
      <c r="AI777" s="346"/>
      <c r="AJ777" s="346"/>
      <c r="AK777" s="346"/>
      <c r="AL777" s="346"/>
      <c r="AM777" s="346"/>
      <c r="AN777" s="346"/>
      <c r="AO777" s="346"/>
      <c r="AP777" s="346"/>
      <c r="AQ777" s="346"/>
      <c r="AR777" s="346"/>
      <c r="AS777" s="346"/>
      <c r="AT777" s="346"/>
      <c r="AU777" s="346"/>
      <c r="AV777" s="346"/>
      <c r="AW777" s="346"/>
      <c r="AX777" s="346"/>
      <c r="AY777" s="346"/>
      <c r="AZ777" s="346"/>
      <c r="BA777" s="346"/>
      <c r="BB777" s="346"/>
      <c r="BC777" s="346"/>
      <c r="BD777" s="346"/>
      <c r="BE777" s="346"/>
      <c r="BF777" s="346"/>
      <c r="BG777" s="346"/>
      <c r="BH777" s="346"/>
      <c r="BI777" s="346"/>
      <c r="BJ777" s="346"/>
      <c r="BK777" s="346"/>
      <c r="BL777" s="346"/>
      <c r="BM777" s="346"/>
      <c r="BN777" s="346"/>
      <c r="BO777" s="346"/>
      <c r="BP777" s="346"/>
      <c r="BQ777" s="346"/>
      <c r="BR777" s="346"/>
      <c r="BS777" s="346"/>
      <c r="BT777" s="346"/>
      <c r="BU777" s="346"/>
      <c r="BV777" s="346"/>
      <c r="BW777" s="346"/>
      <c r="BX777" s="346"/>
      <c r="BY777" s="346"/>
      <c r="BZ777" s="346"/>
      <c r="CA777" s="346"/>
      <c r="CB777" s="346"/>
      <c r="CC777" s="346"/>
      <c r="CD777" s="352"/>
      <c r="CE777" s="346"/>
      <c r="CF777" s="346"/>
      <c r="CG777" s="346"/>
      <c r="CH777" s="346"/>
      <c r="CI777" s="346"/>
      <c r="CJ777" s="346"/>
      <c r="CK777" s="346"/>
      <c r="CL777" s="346"/>
      <c r="CM777" s="346"/>
      <c r="CN777" s="346"/>
      <c r="CO777" s="346"/>
      <c r="CP777" s="348"/>
      <c r="CQ777" s="346"/>
      <c r="CR777" s="346"/>
      <c r="CS777" s="346"/>
      <c r="CT777" s="346"/>
      <c r="CU777" s="346"/>
      <c r="CV777" s="346"/>
      <c r="CW777" s="346"/>
      <c r="CX777" s="346"/>
      <c r="CY777" s="346"/>
      <c r="CZ777" s="346"/>
      <c r="DA777" s="346"/>
      <c r="DB777" s="1479"/>
      <c r="DC777" s="346"/>
      <c r="DD777" s="346"/>
      <c r="DE777" s="346"/>
      <c r="DF777" s="346"/>
      <c r="DG777" s="346"/>
      <c r="DH777" s="346"/>
      <c r="DI777" s="346"/>
      <c r="DJ777" s="346"/>
      <c r="DK777" s="346"/>
      <c r="DL777" s="346"/>
      <c r="DM777" s="346"/>
      <c r="DN777" s="348"/>
      <c r="DO777" s="346"/>
      <c r="DP777" s="346"/>
      <c r="DQ777" s="346"/>
      <c r="DR777" s="346"/>
      <c r="DS777" s="346"/>
      <c r="DT777" s="346"/>
      <c r="DU777" s="346"/>
      <c r="DV777" s="346"/>
      <c r="DW777" s="346"/>
      <c r="DX777" s="346"/>
      <c r="DY777" s="346"/>
      <c r="DZ777" s="348"/>
      <c r="EA777" s="346"/>
      <c r="EB777" s="346"/>
      <c r="EC777" s="346"/>
      <c r="ED777" s="346"/>
      <c r="EE777" s="346"/>
      <c r="EF777" s="346"/>
      <c r="EG777" s="346"/>
      <c r="EH777" s="346"/>
      <c r="EI777" s="346"/>
      <c r="EJ777" s="346"/>
      <c r="EK777" s="346"/>
      <c r="EL777" s="348"/>
      <c r="EM777" s="346"/>
      <c r="EN777" s="346"/>
      <c r="EO777" s="346"/>
      <c r="EP777" s="346"/>
      <c r="EQ777" s="346"/>
      <c r="ER777" s="346"/>
      <c r="ES777" s="346"/>
      <c r="ET777" s="346"/>
      <c r="EU777" s="346"/>
      <c r="EV777" s="346"/>
      <c r="EW777" s="346"/>
      <c r="EX777" s="348"/>
      <c r="EY777" s="346"/>
      <c r="EZ777" s="346"/>
      <c r="FA777" s="346"/>
      <c r="FB777" s="346"/>
      <c r="FC777" s="346"/>
      <c r="FD777" s="346"/>
      <c r="FE777" s="346"/>
      <c r="FF777" s="346"/>
      <c r="FG777" s="346"/>
      <c r="FH777" s="346"/>
      <c r="FI777" s="346"/>
      <c r="FJ777" s="348"/>
      <c r="FK777" s="346"/>
      <c r="FL777" s="346"/>
      <c r="FM777" s="346"/>
      <c r="FN777" s="346"/>
      <c r="FO777" s="346"/>
      <c r="FP777" s="346"/>
      <c r="FQ777" s="346"/>
      <c r="FR777" s="346"/>
      <c r="FS777" s="346"/>
      <c r="FT777" s="346"/>
      <c r="FU777" s="346"/>
      <c r="FV777" s="346"/>
      <c r="FW777" s="346"/>
      <c r="FX777" s="346"/>
      <c r="FY777" s="346"/>
      <c r="FZ777" s="346"/>
      <c r="GA777" s="346"/>
      <c r="GB777" s="346"/>
      <c r="GC777" s="346"/>
      <c r="GD777" s="346"/>
      <c r="GE777" s="346"/>
      <c r="GF777" s="346"/>
      <c r="GG777" s="346"/>
      <c r="GH777" s="346"/>
      <c r="GI777" s="1897"/>
      <c r="HN777" s="349"/>
      <c r="HO777" s="1604"/>
      <c r="HP777" s="307"/>
      <c r="HR777" s="346"/>
      <c r="HU777" s="346"/>
      <c r="HV777" s="307"/>
      <c r="HX777" s="346"/>
      <c r="HY777" s="350"/>
      <c r="IA777" s="346"/>
      <c r="ID777" s="346"/>
      <c r="IE777" s="350"/>
      <c r="IF777" s="350"/>
      <c r="IG777" s="346"/>
      <c r="IH777" s="350"/>
      <c r="II777" s="350"/>
      <c r="IJ777" s="346"/>
      <c r="IK777" s="350"/>
      <c r="IL777" s="350"/>
      <c r="IM777" s="346"/>
      <c r="IN777" s="350"/>
      <c r="IO777" s="350"/>
      <c r="IP777" s="346"/>
      <c r="IQ777" s="350">
        <v>0</v>
      </c>
      <c r="IR777" s="350">
        <f>IS777</f>
        <v>23.1</v>
      </c>
      <c r="IS777" s="346">
        <v>23.1</v>
      </c>
      <c r="IT777" s="350">
        <f t="shared" si="1169"/>
        <v>0</v>
      </c>
      <c r="IU777" s="350">
        <f t="shared" si="986"/>
        <v>0</v>
      </c>
      <c r="IV777" s="346">
        <f t="shared" si="1020"/>
        <v>0</v>
      </c>
      <c r="IW777" s="350">
        <f t="shared" si="1081"/>
        <v>0</v>
      </c>
      <c r="IX777" s="350">
        <f t="shared" si="1069"/>
        <v>1</v>
      </c>
      <c r="IY777" s="346">
        <f>FISC!AJ1092</f>
        <v>1</v>
      </c>
      <c r="IZ777" s="350"/>
      <c r="JA777" s="2306"/>
      <c r="JB777" s="346">
        <f>FISC!AK1092</f>
        <v>0</v>
      </c>
      <c r="JC777" s="350"/>
      <c r="JE777" s="346">
        <f>FISC!AL1092</f>
        <v>0</v>
      </c>
      <c r="JH777" s="346">
        <f>FISC!AM1092</f>
        <v>0</v>
      </c>
      <c r="JK777" s="346">
        <f>FISC!AN1092</f>
        <v>0</v>
      </c>
      <c r="JN777" s="346">
        <f>FISC!AO1092</f>
        <v>0</v>
      </c>
      <c r="KI777" s="349"/>
      <c r="KJ777" s="350"/>
    </row>
    <row r="778" spans="1:296" hidden="1" outlineLevel="1">
      <c r="A778" s="302"/>
      <c r="D778" s="1924" t="str">
        <f>FISC!D1093</f>
        <v xml:space="preserve">UK Contigent </v>
      </c>
      <c r="E778" s="346"/>
      <c r="F778" s="346"/>
      <c r="G778" s="346"/>
      <c r="H778" s="346"/>
      <c r="I778" s="346"/>
      <c r="J778" s="346"/>
      <c r="K778" s="346"/>
      <c r="L778" s="346"/>
      <c r="M778" s="346"/>
      <c r="N778" s="346"/>
      <c r="O778" s="346"/>
      <c r="P778" s="346"/>
      <c r="Q778" s="346"/>
      <c r="R778" s="346"/>
      <c r="S778" s="346"/>
      <c r="T778" s="346"/>
      <c r="U778" s="346"/>
      <c r="V778" s="346"/>
      <c r="W778" s="346"/>
      <c r="X778" s="346"/>
      <c r="Y778" s="346"/>
      <c r="Z778" s="346"/>
      <c r="AA778" s="346"/>
      <c r="AB778" s="346"/>
      <c r="AC778" s="346"/>
      <c r="AD778" s="346"/>
      <c r="AE778" s="346"/>
      <c r="AF778" s="346"/>
      <c r="AG778" s="346"/>
      <c r="AH778" s="346"/>
      <c r="AI778" s="346"/>
      <c r="AJ778" s="346"/>
      <c r="AK778" s="346"/>
      <c r="AL778" s="346"/>
      <c r="AM778" s="346"/>
      <c r="AN778" s="346"/>
      <c r="AO778" s="346"/>
      <c r="AP778" s="346"/>
      <c r="AQ778" s="346"/>
      <c r="AR778" s="346"/>
      <c r="AS778" s="346"/>
      <c r="AT778" s="346"/>
      <c r="AU778" s="346"/>
      <c r="AV778" s="346"/>
      <c r="AW778" s="346"/>
      <c r="AX778" s="346"/>
      <c r="AY778" s="346"/>
      <c r="AZ778" s="346"/>
      <c r="BA778" s="346"/>
      <c r="BB778" s="346"/>
      <c r="BC778" s="346"/>
      <c r="BD778" s="346"/>
      <c r="BE778" s="346"/>
      <c r="BF778" s="346"/>
      <c r="BG778" s="346"/>
      <c r="BH778" s="346"/>
      <c r="BI778" s="346"/>
      <c r="BJ778" s="346"/>
      <c r="BK778" s="346"/>
      <c r="BL778" s="346"/>
      <c r="BM778" s="346"/>
      <c r="BN778" s="346"/>
      <c r="BO778" s="346"/>
      <c r="BP778" s="346"/>
      <c r="BQ778" s="346"/>
      <c r="BR778" s="346"/>
      <c r="BS778" s="346"/>
      <c r="BT778" s="346"/>
      <c r="BU778" s="346"/>
      <c r="BV778" s="346"/>
      <c r="BW778" s="346"/>
      <c r="BX778" s="346"/>
      <c r="BY778" s="346"/>
      <c r="BZ778" s="346"/>
      <c r="CA778" s="346"/>
      <c r="CB778" s="346"/>
      <c r="CC778" s="346"/>
      <c r="CD778" s="352"/>
      <c r="CE778" s="346"/>
      <c r="CF778" s="346"/>
      <c r="CG778" s="346"/>
      <c r="CH778" s="346"/>
      <c r="CI778" s="346"/>
      <c r="CJ778" s="346"/>
      <c r="CK778" s="346"/>
      <c r="CL778" s="346"/>
      <c r="CM778" s="346"/>
      <c r="CN778" s="346"/>
      <c r="CO778" s="346"/>
      <c r="CP778" s="348"/>
      <c r="CQ778" s="346"/>
      <c r="CR778" s="346"/>
      <c r="CS778" s="346"/>
      <c r="CT778" s="346"/>
      <c r="CU778" s="346"/>
      <c r="CV778" s="346"/>
      <c r="CW778" s="346"/>
      <c r="CX778" s="346"/>
      <c r="CY778" s="346"/>
      <c r="CZ778" s="346"/>
      <c r="DA778" s="346"/>
      <c r="DB778" s="1479"/>
      <c r="DC778" s="346"/>
      <c r="DD778" s="346"/>
      <c r="DE778" s="346"/>
      <c r="DF778" s="346"/>
      <c r="DG778" s="346"/>
      <c r="DH778" s="346"/>
      <c r="DI778" s="346"/>
      <c r="DJ778" s="346"/>
      <c r="DK778" s="346"/>
      <c r="DL778" s="346"/>
      <c r="DM778" s="346"/>
      <c r="DN778" s="348"/>
      <c r="DO778" s="346"/>
      <c r="DP778" s="346"/>
      <c r="DQ778" s="346"/>
      <c r="DR778" s="346"/>
      <c r="DS778" s="346"/>
      <c r="DT778" s="346"/>
      <c r="DU778" s="346"/>
      <c r="DV778" s="346"/>
      <c r="DW778" s="346"/>
      <c r="DX778" s="346"/>
      <c r="DY778" s="346"/>
      <c r="DZ778" s="348"/>
      <c r="EA778" s="346"/>
      <c r="EB778" s="346"/>
      <c r="EC778" s="346"/>
      <c r="ED778" s="346"/>
      <c r="EE778" s="346"/>
      <c r="EF778" s="346"/>
      <c r="EG778" s="346"/>
      <c r="EH778" s="346"/>
      <c r="EI778" s="346"/>
      <c r="EJ778" s="346"/>
      <c r="EK778" s="346"/>
      <c r="EL778" s="348"/>
      <c r="EM778" s="346"/>
      <c r="EN778" s="346"/>
      <c r="EO778" s="346"/>
      <c r="EP778" s="346"/>
      <c r="EQ778" s="346"/>
      <c r="ER778" s="346"/>
      <c r="ES778" s="346"/>
      <c r="ET778" s="346"/>
      <c r="EU778" s="346"/>
      <c r="EV778" s="346"/>
      <c r="EW778" s="346"/>
      <c r="EX778" s="348"/>
      <c r="EY778" s="346"/>
      <c r="EZ778" s="346"/>
      <c r="FA778" s="346"/>
      <c r="FB778" s="346"/>
      <c r="FC778" s="346"/>
      <c r="FD778" s="346"/>
      <c r="FE778" s="346"/>
      <c r="FF778" s="346"/>
      <c r="FG778" s="346"/>
      <c r="FH778" s="346"/>
      <c r="FI778" s="346"/>
      <c r="FJ778" s="348"/>
      <c r="FK778" s="346"/>
      <c r="FL778" s="346"/>
      <c r="FM778" s="346"/>
      <c r="FN778" s="346"/>
      <c r="FO778" s="346"/>
      <c r="FP778" s="346"/>
      <c r="FQ778" s="346"/>
      <c r="FR778" s="346"/>
      <c r="FS778" s="346"/>
      <c r="FT778" s="346"/>
      <c r="FU778" s="346"/>
      <c r="FV778" s="346"/>
      <c r="FW778" s="346"/>
      <c r="FX778" s="346"/>
      <c r="FY778" s="346"/>
      <c r="FZ778" s="346"/>
      <c r="GA778" s="346"/>
      <c r="GB778" s="346"/>
      <c r="GC778" s="346"/>
      <c r="GD778" s="346"/>
      <c r="GE778" s="346"/>
      <c r="GF778" s="346"/>
      <c r="GG778" s="346"/>
      <c r="GH778" s="346"/>
      <c r="GI778" s="1897"/>
      <c r="HN778" s="349"/>
      <c r="HO778" s="1604"/>
      <c r="HP778" s="307"/>
      <c r="HR778" s="346"/>
      <c r="HU778" s="346"/>
      <c r="HV778" s="307"/>
      <c r="HX778" s="346"/>
      <c r="HY778" s="350"/>
      <c r="IA778" s="346"/>
      <c r="ID778" s="346"/>
      <c r="IE778" s="350"/>
      <c r="IF778" s="350"/>
      <c r="IG778" s="346"/>
      <c r="IH778" s="350"/>
      <c r="II778" s="350"/>
      <c r="IJ778" s="346"/>
      <c r="IK778" s="350"/>
      <c r="IL778" s="350"/>
      <c r="IM778" s="346"/>
      <c r="IN778" s="350"/>
      <c r="IO778" s="350"/>
      <c r="IP778" s="346"/>
      <c r="IQ778" s="350">
        <f>IS778</f>
        <v>0</v>
      </c>
      <c r="IR778" s="350">
        <f t="shared" ref="IR778:IR793" si="1178">SUM(GO778:GT778)</f>
        <v>0</v>
      </c>
      <c r="IS778" s="346"/>
      <c r="IT778" s="350">
        <f t="shared" si="1169"/>
        <v>0</v>
      </c>
      <c r="IU778" s="350">
        <f t="shared" si="986"/>
        <v>0</v>
      </c>
      <c r="IV778" s="346">
        <f t="shared" si="1020"/>
        <v>0</v>
      </c>
      <c r="IW778" s="350">
        <f t="shared" si="1081"/>
        <v>0</v>
      </c>
      <c r="IX778" s="350">
        <f t="shared" si="1069"/>
        <v>33.67</v>
      </c>
      <c r="IY778" s="346">
        <f>FISC!AJ1093</f>
        <v>33.67</v>
      </c>
      <c r="IZ778" s="350"/>
      <c r="JB778" s="346"/>
      <c r="JC778" s="350"/>
      <c r="JE778" s="346"/>
      <c r="JH778" s="346"/>
      <c r="JK778" s="346"/>
      <c r="JN778" s="346"/>
      <c r="KI778" s="349"/>
      <c r="KJ778" s="350"/>
    </row>
    <row r="779" spans="1:296" hidden="1" outlineLevel="1">
      <c r="A779" s="302"/>
      <c r="B779" s="117" t="s">
        <v>361</v>
      </c>
      <c r="D779" s="355" t="s">
        <v>561</v>
      </c>
      <c r="E779" s="346"/>
      <c r="F779" s="346"/>
      <c r="G779" s="346"/>
      <c r="H779" s="346"/>
      <c r="I779" s="346"/>
      <c r="J779" s="346"/>
      <c r="K779" s="346"/>
      <c r="L779" s="346"/>
      <c r="M779" s="346"/>
      <c r="N779" s="346"/>
      <c r="O779" s="346"/>
      <c r="P779" s="346"/>
      <c r="Q779" s="346"/>
      <c r="R779" s="346"/>
      <c r="S779" s="346"/>
      <c r="T779" s="346"/>
      <c r="U779" s="346"/>
      <c r="V779" s="346"/>
      <c r="W779" s="346"/>
      <c r="X779" s="346"/>
      <c r="Y779" s="346"/>
      <c r="Z779" s="346"/>
      <c r="AA779" s="346"/>
      <c r="AB779" s="346"/>
      <c r="AC779" s="346"/>
      <c r="AD779" s="346"/>
      <c r="AE779" s="346"/>
      <c r="AF779" s="346"/>
      <c r="AG779" s="346"/>
      <c r="AH779" s="346"/>
      <c r="AI779" s="346"/>
      <c r="AJ779" s="346"/>
      <c r="AK779" s="346"/>
      <c r="AL779" s="346"/>
      <c r="AM779" s="346"/>
      <c r="AN779" s="346"/>
      <c r="AO779" s="346"/>
      <c r="AP779" s="346"/>
      <c r="AQ779" s="346"/>
      <c r="AR779" s="346"/>
      <c r="AS779" s="346"/>
      <c r="AT779" s="346"/>
      <c r="AU779" s="346"/>
      <c r="AV779" s="346"/>
      <c r="AW779" s="346"/>
      <c r="AX779" s="346"/>
      <c r="AY779" s="346"/>
      <c r="AZ779" s="346"/>
      <c r="BA779" s="346"/>
      <c r="BB779" s="346"/>
      <c r="BC779" s="346"/>
      <c r="BD779" s="346"/>
      <c r="BE779" s="346"/>
      <c r="BF779" s="346"/>
      <c r="BG779" s="346">
        <v>0</v>
      </c>
      <c r="BH779" s="346">
        <v>0</v>
      </c>
      <c r="BI779" s="346">
        <v>0</v>
      </c>
      <c r="BJ779" s="346">
        <v>0</v>
      </c>
      <c r="BK779" s="346">
        <v>0</v>
      </c>
      <c r="BL779" s="346">
        <v>0</v>
      </c>
      <c r="BM779" s="346">
        <v>0</v>
      </c>
      <c r="BN779" s="346">
        <v>0</v>
      </c>
      <c r="BO779" s="346">
        <v>0</v>
      </c>
      <c r="BP779" s="346">
        <v>0</v>
      </c>
      <c r="BQ779" s="346">
        <v>0</v>
      </c>
      <c r="BR779" s="346">
        <v>0</v>
      </c>
      <c r="BS779" s="346">
        <v>0</v>
      </c>
      <c r="BT779" s="346">
        <v>0</v>
      </c>
      <c r="BU779" s="346">
        <v>0</v>
      </c>
      <c r="BV779" s="346">
        <v>0</v>
      </c>
      <c r="BW779" s="346">
        <v>0</v>
      </c>
      <c r="BX779" s="346">
        <v>0</v>
      </c>
      <c r="BY779" s="346">
        <v>0</v>
      </c>
      <c r="BZ779" s="346">
        <v>0</v>
      </c>
      <c r="CA779" s="346">
        <v>0</v>
      </c>
      <c r="CB779" s="346">
        <v>0</v>
      </c>
      <c r="CC779" s="346">
        <v>0</v>
      </c>
      <c r="CD779" s="352">
        <v>0</v>
      </c>
      <c r="CE779" s="346">
        <f t="shared" ref="CE779:DJ779" si="1179">CE392</f>
        <v>0</v>
      </c>
      <c r="CF779" s="346">
        <f t="shared" si="1179"/>
        <v>0</v>
      </c>
      <c r="CG779" s="346">
        <f t="shared" si="1179"/>
        <v>0</v>
      </c>
      <c r="CH779" s="346">
        <f t="shared" si="1179"/>
        <v>0</v>
      </c>
      <c r="CI779" s="346">
        <f t="shared" si="1179"/>
        <v>0</v>
      </c>
      <c r="CJ779" s="346">
        <f t="shared" si="1179"/>
        <v>0</v>
      </c>
      <c r="CK779" s="346">
        <f t="shared" si="1179"/>
        <v>0</v>
      </c>
      <c r="CL779" s="346">
        <f t="shared" si="1179"/>
        <v>0</v>
      </c>
      <c r="CM779" s="346">
        <f t="shared" si="1179"/>
        <v>0</v>
      </c>
      <c r="CN779" s="346">
        <f t="shared" si="1179"/>
        <v>0</v>
      </c>
      <c r="CO779" s="346">
        <f t="shared" si="1179"/>
        <v>0</v>
      </c>
      <c r="CP779" s="348">
        <f t="shared" si="1179"/>
        <v>0</v>
      </c>
      <c r="CQ779" s="346">
        <f t="shared" si="1179"/>
        <v>0</v>
      </c>
      <c r="CR779" s="346">
        <f t="shared" si="1179"/>
        <v>0</v>
      </c>
      <c r="CS779" s="346">
        <f t="shared" si="1179"/>
        <v>0</v>
      </c>
      <c r="CT779" s="346">
        <f t="shared" si="1179"/>
        <v>0</v>
      </c>
      <c r="CU779" s="346">
        <f t="shared" si="1179"/>
        <v>0</v>
      </c>
      <c r="CV779" s="346">
        <f t="shared" si="1179"/>
        <v>0</v>
      </c>
      <c r="CW779" s="346">
        <f t="shared" si="1179"/>
        <v>0</v>
      </c>
      <c r="CX779" s="346">
        <f t="shared" si="1179"/>
        <v>0</v>
      </c>
      <c r="CY779" s="346">
        <f t="shared" si="1179"/>
        <v>0</v>
      </c>
      <c r="CZ779" s="346">
        <f t="shared" si="1179"/>
        <v>0</v>
      </c>
      <c r="DA779" s="346">
        <f t="shared" si="1179"/>
        <v>0</v>
      </c>
      <c r="DB779" s="1479">
        <f t="shared" si="1179"/>
        <v>0</v>
      </c>
      <c r="DC779" s="346">
        <f t="shared" si="1179"/>
        <v>0</v>
      </c>
      <c r="DD779" s="346">
        <f t="shared" si="1179"/>
        <v>0</v>
      </c>
      <c r="DE779" s="346">
        <f t="shared" si="1179"/>
        <v>0</v>
      </c>
      <c r="DF779" s="346">
        <f t="shared" si="1179"/>
        <v>0</v>
      </c>
      <c r="DG779" s="346">
        <f t="shared" si="1179"/>
        <v>0</v>
      </c>
      <c r="DH779" s="346">
        <f t="shared" si="1179"/>
        <v>0</v>
      </c>
      <c r="DI779" s="346">
        <f t="shared" si="1179"/>
        <v>0</v>
      </c>
      <c r="DJ779" s="346">
        <f t="shared" si="1179"/>
        <v>0</v>
      </c>
      <c r="DK779" s="346">
        <f t="shared" ref="DK779:EP779" si="1180">DK392</f>
        <v>0</v>
      </c>
      <c r="DL779" s="346">
        <f t="shared" si="1180"/>
        <v>0</v>
      </c>
      <c r="DM779" s="346">
        <f t="shared" si="1180"/>
        <v>0</v>
      </c>
      <c r="DN779" s="348">
        <f t="shared" si="1180"/>
        <v>0</v>
      </c>
      <c r="DO779" s="346">
        <f t="shared" si="1180"/>
        <v>0</v>
      </c>
      <c r="DP779" s="346">
        <f t="shared" si="1180"/>
        <v>0</v>
      </c>
      <c r="DQ779" s="346">
        <f t="shared" si="1180"/>
        <v>0</v>
      </c>
      <c r="DR779" s="346">
        <f t="shared" si="1180"/>
        <v>0</v>
      </c>
      <c r="DS779" s="346">
        <f t="shared" si="1180"/>
        <v>0</v>
      </c>
      <c r="DT779" s="346">
        <f t="shared" si="1180"/>
        <v>0</v>
      </c>
      <c r="DU779" s="346">
        <f t="shared" si="1180"/>
        <v>0</v>
      </c>
      <c r="DV779" s="346">
        <f t="shared" si="1180"/>
        <v>0</v>
      </c>
      <c r="DW779" s="346">
        <f t="shared" si="1180"/>
        <v>0</v>
      </c>
      <c r="DX779" s="346">
        <f t="shared" si="1180"/>
        <v>0</v>
      </c>
      <c r="DY779" s="346">
        <f t="shared" si="1180"/>
        <v>0</v>
      </c>
      <c r="DZ779" s="348">
        <f t="shared" si="1180"/>
        <v>0</v>
      </c>
      <c r="EA779" s="346">
        <f t="shared" si="1180"/>
        <v>0</v>
      </c>
      <c r="EB779" s="346">
        <f t="shared" si="1180"/>
        <v>0</v>
      </c>
      <c r="EC779" s="346">
        <f t="shared" si="1180"/>
        <v>0</v>
      </c>
      <c r="ED779" s="346">
        <f t="shared" si="1180"/>
        <v>0</v>
      </c>
      <c r="EE779" s="346">
        <f t="shared" si="1180"/>
        <v>0</v>
      </c>
      <c r="EF779" s="346">
        <f t="shared" si="1180"/>
        <v>0</v>
      </c>
      <c r="EG779" s="346">
        <f t="shared" si="1180"/>
        <v>0</v>
      </c>
      <c r="EH779" s="346">
        <f t="shared" si="1180"/>
        <v>0</v>
      </c>
      <c r="EI779" s="346">
        <f t="shared" si="1180"/>
        <v>0</v>
      </c>
      <c r="EJ779" s="346">
        <f t="shared" si="1180"/>
        <v>0</v>
      </c>
      <c r="EK779" s="346">
        <f t="shared" si="1180"/>
        <v>0</v>
      </c>
      <c r="EL779" s="348">
        <f t="shared" si="1180"/>
        <v>0</v>
      </c>
      <c r="EM779" s="346">
        <f t="shared" si="1180"/>
        <v>0</v>
      </c>
      <c r="EN779" s="346">
        <f t="shared" si="1180"/>
        <v>0</v>
      </c>
      <c r="EO779" s="346">
        <f t="shared" si="1180"/>
        <v>0</v>
      </c>
      <c r="EP779" s="346">
        <f t="shared" si="1180"/>
        <v>0</v>
      </c>
      <c r="EQ779" s="346">
        <f t="shared" ref="EQ779:FP779" si="1181">EQ392</f>
        <v>0</v>
      </c>
      <c r="ER779" s="346">
        <f t="shared" si="1181"/>
        <v>0</v>
      </c>
      <c r="ES779" s="346">
        <f t="shared" si="1181"/>
        <v>0</v>
      </c>
      <c r="ET779" s="346">
        <f t="shared" si="1181"/>
        <v>0</v>
      </c>
      <c r="EU779" s="346">
        <f t="shared" si="1181"/>
        <v>0</v>
      </c>
      <c r="EV779" s="346">
        <f t="shared" si="1181"/>
        <v>0</v>
      </c>
      <c r="EW779" s="346">
        <f t="shared" si="1181"/>
        <v>0</v>
      </c>
      <c r="EX779" s="348">
        <f t="shared" si="1181"/>
        <v>0</v>
      </c>
      <c r="EY779" s="346">
        <f t="shared" si="1181"/>
        <v>0</v>
      </c>
      <c r="EZ779" s="346">
        <f t="shared" si="1181"/>
        <v>0</v>
      </c>
      <c r="FA779" s="346">
        <f t="shared" si="1181"/>
        <v>0</v>
      </c>
      <c r="FB779" s="346">
        <f t="shared" si="1181"/>
        <v>0</v>
      </c>
      <c r="FC779" s="346">
        <f t="shared" si="1181"/>
        <v>0</v>
      </c>
      <c r="FD779" s="346">
        <f t="shared" si="1181"/>
        <v>0</v>
      </c>
      <c r="FE779" s="346">
        <f t="shared" si="1181"/>
        <v>0</v>
      </c>
      <c r="FF779" s="346">
        <f t="shared" si="1181"/>
        <v>0</v>
      </c>
      <c r="FG779" s="346">
        <f t="shared" si="1181"/>
        <v>0</v>
      </c>
      <c r="FH779" s="346">
        <f t="shared" si="1181"/>
        <v>0</v>
      </c>
      <c r="FI779" s="346">
        <f t="shared" si="1181"/>
        <v>0</v>
      </c>
      <c r="FJ779" s="348">
        <f t="shared" si="1181"/>
        <v>0</v>
      </c>
      <c r="FK779" s="346">
        <f t="shared" si="1181"/>
        <v>0</v>
      </c>
      <c r="FL779" s="346">
        <f t="shared" si="1181"/>
        <v>0</v>
      </c>
      <c r="FM779" s="346">
        <f t="shared" si="1181"/>
        <v>0</v>
      </c>
      <c r="FN779" s="346">
        <f t="shared" si="1181"/>
        <v>0</v>
      </c>
      <c r="FO779" s="346">
        <f t="shared" si="1181"/>
        <v>0</v>
      </c>
      <c r="FP779" s="346">
        <f t="shared" si="1181"/>
        <v>0</v>
      </c>
      <c r="FQ779" s="346">
        <f t="shared" ref="FQ779:FV779" si="1182">FQ392</f>
        <v>0</v>
      </c>
      <c r="FR779" s="346">
        <f t="shared" si="1182"/>
        <v>0</v>
      </c>
      <c r="FS779" s="346">
        <f t="shared" si="1182"/>
        <v>0</v>
      </c>
      <c r="FT779" s="346">
        <f t="shared" si="1182"/>
        <v>0</v>
      </c>
      <c r="FU779" s="346">
        <f t="shared" si="1182"/>
        <v>0</v>
      </c>
      <c r="FV779" s="346">
        <f t="shared" si="1182"/>
        <v>0</v>
      </c>
      <c r="FW779" s="346">
        <v>0</v>
      </c>
      <c r="FX779" s="346">
        <v>0</v>
      </c>
      <c r="FY779" s="346">
        <v>0</v>
      </c>
      <c r="FZ779" s="346">
        <v>0</v>
      </c>
      <c r="GA779" s="346">
        <v>0</v>
      </c>
      <c r="GB779" s="346">
        <v>0</v>
      </c>
      <c r="GC779" s="346">
        <v>0</v>
      </c>
      <c r="GD779" s="346">
        <v>0</v>
      </c>
      <c r="GE779" s="346">
        <v>0</v>
      </c>
      <c r="GF779" s="346">
        <v>0</v>
      </c>
      <c r="GG779" s="346">
        <v>0</v>
      </c>
      <c r="GH779" s="346">
        <v>0</v>
      </c>
      <c r="GI779" s="1897"/>
      <c r="HN779" s="349"/>
      <c r="HO779" s="355" t="s">
        <v>561</v>
      </c>
      <c r="HP779" s="307">
        <f>SUM(CE779:CJ779)</f>
        <v>0</v>
      </c>
      <c r="HQ779" s="302">
        <f>SUM(CK779:CP779)</f>
        <v>0</v>
      </c>
      <c r="HR779" s="346">
        <f>HP779+HQ779</f>
        <v>0</v>
      </c>
      <c r="HS779" s="302">
        <f>SUM(CQ779:CV779)</f>
        <v>0</v>
      </c>
      <c r="HT779" s="302">
        <f>SUM(CW779:DB779)</f>
        <v>0</v>
      </c>
      <c r="HU779" s="346">
        <f>HS779+HT779</f>
        <v>0</v>
      </c>
      <c r="HV779" s="307">
        <f>SUM(DC779:DH779)</f>
        <v>0</v>
      </c>
      <c r="HW779" s="302">
        <f>SUM(DI779:DN779)</f>
        <v>0</v>
      </c>
      <c r="HX779" s="346">
        <f>HV779+HW779</f>
        <v>0</v>
      </c>
      <c r="HY779" s="350">
        <f>SUM(DO779:DT779)</f>
        <v>0</v>
      </c>
      <c r="HZ779" s="302">
        <f>SUM(DU779:DZ779)</f>
        <v>0</v>
      </c>
      <c r="IA779" s="346">
        <f>HY779+HZ779</f>
        <v>0</v>
      </c>
      <c r="IB779" s="302">
        <f>SUM(EA779:EF779)</f>
        <v>0</v>
      </c>
      <c r="IC779" s="302">
        <f>SUM(EG779:EL779)</f>
        <v>0</v>
      </c>
      <c r="ID779" s="346">
        <f>IB779+IC779</f>
        <v>0</v>
      </c>
      <c r="IE779" s="350">
        <f>SUM(EM779:ER779)</f>
        <v>0</v>
      </c>
      <c r="IF779" s="350">
        <f>SUM(ES779:EX779)</f>
        <v>0</v>
      </c>
      <c r="IG779" s="346">
        <f>IE779+IF779</f>
        <v>0</v>
      </c>
      <c r="IH779" s="350">
        <f>SUM(EY779:FD779)</f>
        <v>0</v>
      </c>
      <c r="II779" s="350">
        <f>SUM(FE779:FJ779)</f>
        <v>0</v>
      </c>
      <c r="IJ779" s="346">
        <f>IH779+II779</f>
        <v>0</v>
      </c>
      <c r="IK779" s="350">
        <f>SUM(FK779:FP779)</f>
        <v>0</v>
      </c>
      <c r="IL779" s="350">
        <f>SUM(FQ779:FV779)</f>
        <v>0</v>
      </c>
      <c r="IM779" s="346">
        <f t="shared" ref="IM779:IM862" si="1183">IK779+IL779</f>
        <v>0</v>
      </c>
      <c r="IN779" s="350">
        <f t="shared" ref="IN779:IN793" si="1184">SUM(FW779:GB779)</f>
        <v>0</v>
      </c>
      <c r="IO779" s="350">
        <f t="shared" ref="IO779:IO793" si="1185">SUM(GC779:GH779)</f>
        <v>0</v>
      </c>
      <c r="IP779" s="346">
        <f t="shared" si="1066"/>
        <v>0</v>
      </c>
      <c r="IQ779" s="350">
        <f t="shared" ref="IQ779:IQ808" si="1186">SUM(GI779:GN779)</f>
        <v>0</v>
      </c>
      <c r="IR779" s="350">
        <f t="shared" si="1178"/>
        <v>0</v>
      </c>
      <c r="IS779" s="346">
        <f t="shared" ref="IS779" si="1187">IQ779+IR779</f>
        <v>0</v>
      </c>
      <c r="IT779" s="350">
        <f t="shared" si="1169"/>
        <v>0</v>
      </c>
      <c r="IU779" s="350">
        <f t="shared" si="986"/>
        <v>0</v>
      </c>
      <c r="IV779" s="346">
        <f t="shared" si="1020"/>
        <v>0</v>
      </c>
      <c r="IW779" s="350">
        <f t="shared" si="1081"/>
        <v>0</v>
      </c>
      <c r="IX779" s="350">
        <f t="shared" si="1069"/>
        <v>0</v>
      </c>
      <c r="IY779" s="346">
        <f>FISC!AJ1094</f>
        <v>0</v>
      </c>
      <c r="IZ779" s="350">
        <f>JB779*0.55</f>
        <v>0</v>
      </c>
      <c r="JA779" s="302">
        <f>JB779-IZ779</f>
        <v>0</v>
      </c>
      <c r="JB779" s="346">
        <f>FISC!AK1094</f>
        <v>0</v>
      </c>
      <c r="JC779" s="350">
        <f>JE779*0.55</f>
        <v>0</v>
      </c>
      <c r="JD779" s="302">
        <f>JE779-JC779</f>
        <v>0</v>
      </c>
      <c r="JE779" s="346">
        <f>FISC!AL1094</f>
        <v>0</v>
      </c>
      <c r="JF779" s="350">
        <f>JH779*0.55</f>
        <v>0</v>
      </c>
      <c r="JG779" s="302">
        <f>JH779-JF779</f>
        <v>0</v>
      </c>
      <c r="JH779" s="346">
        <f>FISC!AM1094</f>
        <v>0</v>
      </c>
      <c r="JI779" s="350">
        <f>JK779*0.55</f>
        <v>0</v>
      </c>
      <c r="JJ779" s="302">
        <f>JK779-JI779</f>
        <v>0</v>
      </c>
      <c r="JK779" s="346">
        <f>FISC!AN1094</f>
        <v>0</v>
      </c>
      <c r="JL779" s="350">
        <f>JN779*0.55</f>
        <v>0</v>
      </c>
      <c r="JM779" s="302">
        <f>JN779-JL779</f>
        <v>0</v>
      </c>
      <c r="JN779" s="346">
        <f>FISC!AO1094</f>
        <v>0</v>
      </c>
      <c r="KI779" s="349"/>
      <c r="KJ779" s="350"/>
    </row>
    <row r="780" spans="1:296" hidden="1" outlineLevel="1">
      <c r="A780" s="302"/>
      <c r="B780" s="117" t="s">
        <v>361</v>
      </c>
      <c r="D780" s="355" t="s">
        <v>544</v>
      </c>
      <c r="E780" s="346">
        <f>SUM(E781:E788)</f>
        <v>0</v>
      </c>
      <c r="F780" s="346">
        <f t="shared" ref="F780:AN780" si="1188">SUM(F781:F788)</f>
        <v>0</v>
      </c>
      <c r="G780" s="346">
        <f t="shared" si="1188"/>
        <v>0</v>
      </c>
      <c r="H780" s="346">
        <f t="shared" si="1188"/>
        <v>0</v>
      </c>
      <c r="I780" s="346">
        <f t="shared" si="1188"/>
        <v>0</v>
      </c>
      <c r="J780" s="346">
        <f t="shared" si="1188"/>
        <v>0</v>
      </c>
      <c r="K780" s="346">
        <f t="shared" si="1188"/>
        <v>0</v>
      </c>
      <c r="L780" s="346">
        <f t="shared" si="1188"/>
        <v>0</v>
      </c>
      <c r="M780" s="346">
        <f t="shared" si="1188"/>
        <v>0</v>
      </c>
      <c r="N780" s="346">
        <f t="shared" si="1188"/>
        <v>0</v>
      </c>
      <c r="O780" s="346">
        <f t="shared" si="1188"/>
        <v>0</v>
      </c>
      <c r="P780" s="346">
        <f t="shared" si="1188"/>
        <v>0</v>
      </c>
      <c r="Q780" s="346">
        <f t="shared" si="1188"/>
        <v>0</v>
      </c>
      <c r="R780" s="346">
        <f t="shared" si="1188"/>
        <v>0</v>
      </c>
      <c r="S780" s="346">
        <f t="shared" si="1188"/>
        <v>0</v>
      </c>
      <c r="T780" s="346">
        <f t="shared" si="1188"/>
        <v>0</v>
      </c>
      <c r="U780" s="346">
        <f t="shared" si="1188"/>
        <v>0</v>
      </c>
      <c r="V780" s="346">
        <f t="shared" si="1188"/>
        <v>0</v>
      </c>
      <c r="W780" s="346">
        <f t="shared" si="1188"/>
        <v>0</v>
      </c>
      <c r="X780" s="346">
        <f t="shared" si="1188"/>
        <v>0</v>
      </c>
      <c r="Y780" s="346">
        <f t="shared" si="1188"/>
        <v>0</v>
      </c>
      <c r="Z780" s="346">
        <f t="shared" si="1188"/>
        <v>0</v>
      </c>
      <c r="AA780" s="346">
        <f t="shared" si="1188"/>
        <v>0</v>
      </c>
      <c r="AB780" s="346">
        <f t="shared" si="1188"/>
        <v>0</v>
      </c>
      <c r="AC780" s="346">
        <f t="shared" si="1188"/>
        <v>0</v>
      </c>
      <c r="AD780" s="346">
        <f t="shared" si="1188"/>
        <v>0</v>
      </c>
      <c r="AE780" s="346">
        <f t="shared" si="1188"/>
        <v>0</v>
      </c>
      <c r="AF780" s="346">
        <f t="shared" si="1188"/>
        <v>0</v>
      </c>
      <c r="AG780" s="346">
        <f t="shared" si="1188"/>
        <v>0</v>
      </c>
      <c r="AH780" s="346">
        <f t="shared" si="1188"/>
        <v>0</v>
      </c>
      <c r="AI780" s="346">
        <f t="shared" si="1188"/>
        <v>0</v>
      </c>
      <c r="AJ780" s="346">
        <f t="shared" si="1188"/>
        <v>0</v>
      </c>
      <c r="AK780" s="346">
        <f t="shared" si="1188"/>
        <v>0</v>
      </c>
      <c r="AL780" s="346">
        <f t="shared" si="1188"/>
        <v>0</v>
      </c>
      <c r="AM780" s="346">
        <f t="shared" si="1188"/>
        <v>0</v>
      </c>
      <c r="AN780" s="346">
        <f t="shared" si="1188"/>
        <v>0</v>
      </c>
      <c r="AO780" s="346">
        <v>0.4218368758062</v>
      </c>
      <c r="AP780" s="346">
        <v>0.15930158205101999</v>
      </c>
      <c r="AQ780" s="346">
        <v>0.61614968011050009</v>
      </c>
      <c r="AR780" s="346">
        <v>0.29238099254990002</v>
      </c>
      <c r="AS780" s="346">
        <v>0.49848143689416663</v>
      </c>
      <c r="AT780" s="346">
        <v>0.27567536453119995</v>
      </c>
      <c r="AU780" s="346">
        <v>0.41900182074452003</v>
      </c>
      <c r="AV780" s="346">
        <v>5.9318858289000003E-3</v>
      </c>
      <c r="AW780" s="346">
        <v>0.31037488525610002</v>
      </c>
      <c r="AX780" s="346">
        <v>0.79970507613979092</v>
      </c>
      <c r="AY780" s="346">
        <v>0.12941338107390002</v>
      </c>
      <c r="AZ780" s="346">
        <v>0.66349748529589991</v>
      </c>
      <c r="BA780" s="346">
        <v>0.43553760418569998</v>
      </c>
      <c r="BB780" s="346">
        <v>1.0110004030600001E-2</v>
      </c>
      <c r="BC780" s="346">
        <v>0.92716271887939983</v>
      </c>
      <c r="BD780" s="346">
        <v>0.33346708193720004</v>
      </c>
      <c r="BE780" s="346">
        <v>0.16446884016910002</v>
      </c>
      <c r="BF780" s="346">
        <v>0.46283348290624249</v>
      </c>
      <c r="BG780" s="346">
        <v>0.34485740744133997</v>
      </c>
      <c r="BH780" s="346">
        <v>0.30562707834620001</v>
      </c>
      <c r="BI780" s="346">
        <v>3.3601754949219997</v>
      </c>
      <c r="BJ780" s="346">
        <v>0.59681958301269999</v>
      </c>
      <c r="BK780" s="346">
        <v>2.0890156368090151</v>
      </c>
      <c r="BL780" s="346">
        <v>1.8031393205187998</v>
      </c>
      <c r="BM780" s="346">
        <v>1.2142396788939136</v>
      </c>
      <c r="BN780" s="346">
        <v>1.3229422414755001</v>
      </c>
      <c r="BO780" s="346">
        <v>3.0085895774793001</v>
      </c>
      <c r="BP780" s="346">
        <v>0.78100995393640005</v>
      </c>
      <c r="BQ780" s="346">
        <v>0.65027402884715879</v>
      </c>
      <c r="BR780" s="346">
        <v>2.4558580965804002</v>
      </c>
      <c r="BS780" s="346">
        <v>0.45094108136100008</v>
      </c>
      <c r="BT780" s="346">
        <v>1.0678396655835001</v>
      </c>
      <c r="BU780" s="346">
        <v>1.4880671191095001</v>
      </c>
      <c r="BV780" s="346">
        <v>2.7541784805996996</v>
      </c>
      <c r="BW780" s="346">
        <v>2.2767338273769</v>
      </c>
      <c r="BX780" s="346">
        <v>1.4121463977633</v>
      </c>
      <c r="BY780" s="346">
        <v>2.270093522034367</v>
      </c>
      <c r="BZ780" s="346">
        <v>1.0974112566455481</v>
      </c>
      <c r="CA780" s="346">
        <v>2.2065212052468857</v>
      </c>
      <c r="CB780" s="346">
        <v>3.2157618047839458</v>
      </c>
      <c r="CC780" s="346">
        <v>2.047564474213543</v>
      </c>
      <c r="CD780" s="352">
        <v>3.9780344484414991</v>
      </c>
      <c r="CE780" s="346">
        <f t="shared" ref="CE780:DJ780" si="1189">CE393</f>
        <v>1.609796041207662</v>
      </c>
      <c r="CF780" s="346">
        <f t="shared" si="1189"/>
        <v>2.8524102618245348</v>
      </c>
      <c r="CG780" s="346">
        <f t="shared" si="1189"/>
        <v>2.7971942746565119</v>
      </c>
      <c r="CH780" s="346">
        <f t="shared" si="1189"/>
        <v>10.859034179375151</v>
      </c>
      <c r="CI780" s="346">
        <f t="shared" si="1189"/>
        <v>2.3939403119616838</v>
      </c>
      <c r="CJ780" s="346">
        <f t="shared" si="1189"/>
        <v>1.6320062209064963</v>
      </c>
      <c r="CK780" s="346">
        <f t="shared" si="1189"/>
        <v>1.8258375629085111</v>
      </c>
      <c r="CL780" s="346">
        <f t="shared" si="1189"/>
        <v>1.2099095125961763</v>
      </c>
      <c r="CM780" s="346">
        <f t="shared" si="1189"/>
        <v>2.958625179097079</v>
      </c>
      <c r="CN780" s="346">
        <f t="shared" si="1189"/>
        <v>11.505393079649982</v>
      </c>
      <c r="CO780" s="346">
        <f t="shared" si="1189"/>
        <v>1.6941676820614811</v>
      </c>
      <c r="CP780" s="348">
        <f t="shared" si="1189"/>
        <v>2.2384904943174666</v>
      </c>
      <c r="CQ780" s="346">
        <f t="shared" si="1189"/>
        <v>1.6860845587041022</v>
      </c>
      <c r="CR780" s="346">
        <f t="shared" si="1189"/>
        <v>2.4916075424579196</v>
      </c>
      <c r="CS780" s="346">
        <f t="shared" si="1189"/>
        <v>2.3814895858749945</v>
      </c>
      <c r="CT780" s="346">
        <f t="shared" si="1189"/>
        <v>11.364908252121625</v>
      </c>
      <c r="CU780" s="346">
        <f t="shared" si="1189"/>
        <v>2.9515366672328889</v>
      </c>
      <c r="CV780" s="346">
        <f t="shared" si="1189"/>
        <v>1.1844693454056754</v>
      </c>
      <c r="CW780" s="346">
        <f t="shared" si="1189"/>
        <v>1.2312581831084859</v>
      </c>
      <c r="CX780" s="346">
        <f t="shared" si="1189"/>
        <v>3.0364179947152299</v>
      </c>
      <c r="CY780" s="346">
        <f t="shared" si="1189"/>
        <v>2.4927100474566961</v>
      </c>
      <c r="CZ780" s="346">
        <f t="shared" si="1189"/>
        <v>12.010492029254976</v>
      </c>
      <c r="DA780" s="346">
        <f t="shared" si="1189"/>
        <v>3.1357305790531549</v>
      </c>
      <c r="DB780" s="1479">
        <f t="shared" si="1189"/>
        <v>1.9055707876982277</v>
      </c>
      <c r="DC780" s="346">
        <f t="shared" si="1189"/>
        <v>1.319552671874697</v>
      </c>
      <c r="DD780" s="346">
        <f t="shared" si="1189"/>
        <v>5.1373690910000001</v>
      </c>
      <c r="DE780" s="346">
        <f t="shared" si="1189"/>
        <v>2.9720018613999999</v>
      </c>
      <c r="DF780" s="346">
        <f t="shared" si="1189"/>
        <v>12.247483175581106</v>
      </c>
      <c r="DG780" s="346">
        <f t="shared" si="1189"/>
        <v>4.4292552779999994</v>
      </c>
      <c r="DH780" s="346">
        <f t="shared" si="1189"/>
        <v>1.487965363</v>
      </c>
      <c r="DI780" s="346">
        <f t="shared" si="1189"/>
        <v>2.1749165699884609</v>
      </c>
      <c r="DJ780" s="346">
        <f t="shared" si="1189"/>
        <v>5.4458020928694051</v>
      </c>
      <c r="DK780" s="346">
        <f t="shared" ref="DK780:EP780" si="1190">DK393</f>
        <v>2.7054398880813491</v>
      </c>
      <c r="DL780" s="346">
        <f t="shared" si="1190"/>
        <v>12.417007610781795</v>
      </c>
      <c r="DM780" s="346">
        <f t="shared" si="1190"/>
        <v>4.7381492344584499</v>
      </c>
      <c r="DN780" s="348">
        <f t="shared" si="1190"/>
        <v>1.7671193954611395</v>
      </c>
      <c r="DO780" s="346">
        <f t="shared" si="1190"/>
        <v>1.5624071460900535</v>
      </c>
      <c r="DP780" s="346">
        <f t="shared" si="1190"/>
        <v>2.5781712165179771</v>
      </c>
      <c r="DQ780" s="346">
        <f t="shared" si="1190"/>
        <v>10.308560738777594</v>
      </c>
      <c r="DR780" s="346">
        <f t="shared" si="1190"/>
        <v>12.804770040562477</v>
      </c>
      <c r="DS780" s="346">
        <f t="shared" si="1190"/>
        <v>6.9211153639897427</v>
      </c>
      <c r="DT780" s="346">
        <f t="shared" si="1190"/>
        <v>2.8734650891153914</v>
      </c>
      <c r="DU780" s="346">
        <f t="shared" si="1190"/>
        <v>3.1088051856620535</v>
      </c>
      <c r="DV780" s="346">
        <f t="shared" si="1190"/>
        <v>8.2619049010794026</v>
      </c>
      <c r="DW780" s="346">
        <f t="shared" si="1190"/>
        <v>3.466102372681549</v>
      </c>
      <c r="DX780" s="346">
        <f t="shared" si="1190"/>
        <v>15.094986895292301</v>
      </c>
      <c r="DY780" s="346">
        <f t="shared" si="1190"/>
        <v>1.9753938718579782</v>
      </c>
      <c r="DZ780" s="348">
        <f t="shared" si="1190"/>
        <v>3.2361918775691323</v>
      </c>
      <c r="EA780" s="346">
        <f t="shared" si="1190"/>
        <v>3.5015318324717364</v>
      </c>
      <c r="EB780" s="346">
        <f t="shared" si="1190"/>
        <v>9.8382652614426149</v>
      </c>
      <c r="EC780" s="346">
        <f t="shared" si="1190"/>
        <v>6.3399289731364812</v>
      </c>
      <c r="ED780" s="346">
        <f t="shared" si="1190"/>
        <v>13.964768911</v>
      </c>
      <c r="EE780" s="346">
        <f t="shared" si="1190"/>
        <v>8.0898960740000003</v>
      </c>
      <c r="EF780" s="346">
        <f t="shared" si="1190"/>
        <v>2.7822407029999998</v>
      </c>
      <c r="EG780" s="346">
        <f t="shared" si="1190"/>
        <v>3.3499686910857536</v>
      </c>
      <c r="EH780" s="346">
        <f t="shared" si="1190"/>
        <v>11.022596140739683</v>
      </c>
      <c r="EI780" s="346">
        <f t="shared" si="1190"/>
        <v>2.3467054732964439</v>
      </c>
      <c r="EJ780" s="346">
        <f t="shared" si="1190"/>
        <v>18.03617356978901</v>
      </c>
      <c r="EK780" s="346">
        <f t="shared" si="1190"/>
        <v>7.0078950868328036</v>
      </c>
      <c r="EL780" s="348">
        <f t="shared" si="1190"/>
        <v>5.2986119352560879</v>
      </c>
      <c r="EM780" s="346">
        <f t="shared" si="1190"/>
        <v>3.8486211165429598</v>
      </c>
      <c r="EN780" s="346">
        <f t="shared" si="1190"/>
        <v>10.700859893184743</v>
      </c>
      <c r="EO780" s="346">
        <f t="shared" si="1190"/>
        <v>4.6521633732603025</v>
      </c>
      <c r="EP780" s="346">
        <f t="shared" si="1190"/>
        <v>16.309403906360082</v>
      </c>
      <c r="EQ780" s="346">
        <f t="shared" ref="EQ780:FP780" si="1191">EQ393</f>
        <v>3.6079288626639343</v>
      </c>
      <c r="ER780" s="346">
        <f t="shared" si="1191"/>
        <v>11.427364020758388</v>
      </c>
      <c r="ES780" s="346">
        <f t="shared" si="1191"/>
        <v>4.599654032513925</v>
      </c>
      <c r="ET780" s="346">
        <f t="shared" si="1191"/>
        <v>11.417378753271166</v>
      </c>
      <c r="EU780" s="346">
        <f t="shared" si="1191"/>
        <v>6.4693827281148817</v>
      </c>
      <c r="EV780" s="346">
        <f t="shared" si="1191"/>
        <v>14.166945028627095</v>
      </c>
      <c r="EW780" s="346">
        <f t="shared" si="1191"/>
        <v>12.389836306088334</v>
      </c>
      <c r="EX780" s="348">
        <f t="shared" si="1191"/>
        <v>2.9029321177728376</v>
      </c>
      <c r="EY780" s="346">
        <f t="shared" si="1191"/>
        <v>4.2582108953112154</v>
      </c>
      <c r="EZ780" s="346">
        <f t="shared" si="1191"/>
        <v>15.021419806750689</v>
      </c>
      <c r="FA780" s="346">
        <f t="shared" si="1191"/>
        <v>5.9664849941384102</v>
      </c>
      <c r="FB780" s="346">
        <f t="shared" si="1191"/>
        <v>19.494149095841749</v>
      </c>
      <c r="FC780" s="346">
        <f t="shared" si="1191"/>
        <v>16.49008988651671</v>
      </c>
      <c r="FD780" s="346">
        <f t="shared" si="1191"/>
        <v>6.2893872257290457</v>
      </c>
      <c r="FE780" s="346">
        <f t="shared" si="1191"/>
        <v>6.7110417965411377</v>
      </c>
      <c r="FF780" s="346">
        <f t="shared" si="1191"/>
        <v>15.967883407616835</v>
      </c>
      <c r="FG780" s="346">
        <f t="shared" si="1191"/>
        <v>9.0334709392930357</v>
      </c>
      <c r="FH780" s="346">
        <f t="shared" si="1191"/>
        <v>21.409498307685546</v>
      </c>
      <c r="FI780" s="346">
        <f t="shared" si="1191"/>
        <v>9.427931472445044</v>
      </c>
      <c r="FJ780" s="348">
        <f t="shared" si="1191"/>
        <v>9.0492364981899645</v>
      </c>
      <c r="FK780" s="346">
        <f t="shared" si="1191"/>
        <v>6.5947894472174173</v>
      </c>
      <c r="FL780" s="346">
        <f t="shared" si="1191"/>
        <v>20.565895935460542</v>
      </c>
      <c r="FM780" s="346">
        <f t="shared" si="1191"/>
        <v>12.429435277368885</v>
      </c>
      <c r="FN780" s="346">
        <f t="shared" si="1191"/>
        <v>16.620546338643344</v>
      </c>
      <c r="FO780" s="346">
        <f t="shared" si="1191"/>
        <v>21.72806158524206</v>
      </c>
      <c r="FP780" s="346">
        <f t="shared" si="1191"/>
        <v>5.9063976818935888</v>
      </c>
      <c r="FQ780" s="346">
        <f t="shared" ref="FQ780:FV780" si="1192">FQ393</f>
        <v>7.7234116519373588</v>
      </c>
      <c r="FR780" s="346">
        <f t="shared" si="1192"/>
        <v>25.884777593420942</v>
      </c>
      <c r="FS780" s="346">
        <f t="shared" si="1192"/>
        <v>13.113680258481391</v>
      </c>
      <c r="FT780" s="346">
        <f t="shared" si="1192"/>
        <v>18.082788732618027</v>
      </c>
      <c r="FU780" s="346">
        <f t="shared" si="1192"/>
        <v>24.841553885203947</v>
      </c>
      <c r="FV780" s="346">
        <f t="shared" si="1192"/>
        <v>7.1945375148176671</v>
      </c>
      <c r="FW780" s="346">
        <v>10.295539063835768</v>
      </c>
      <c r="FX780" s="346">
        <v>39.167970075463799</v>
      </c>
      <c r="FY780" s="346">
        <v>11.62923901199345</v>
      </c>
      <c r="FZ780" s="346">
        <v>4.5180598263678782</v>
      </c>
      <c r="GA780" s="346">
        <v>29.225468595148026</v>
      </c>
      <c r="GB780" s="346">
        <v>7.3349480486927394</v>
      </c>
      <c r="GC780" s="346">
        <v>8.8797004205670298</v>
      </c>
      <c r="GD780" s="346">
        <v>51.884085011702439</v>
      </c>
      <c r="GE780" s="346">
        <v>12.065713394151027</v>
      </c>
      <c r="GF780" s="346">
        <v>5.2082692012701033</v>
      </c>
      <c r="GG780" s="346">
        <v>34.678660724973334</v>
      </c>
      <c r="GH780" s="346">
        <v>5.4473070258898044</v>
      </c>
      <c r="GI780" s="1897">
        <f>GI393</f>
        <v>9.9897070448089718</v>
      </c>
      <c r="GJ780" s="1897">
        <f t="shared" ref="GJ780:GN780" si="1193">GJ393</f>
        <v>59.010171550458026</v>
      </c>
      <c r="GK780" s="1897">
        <f t="shared" si="1193"/>
        <v>15.037356993349603</v>
      </c>
      <c r="GL780" s="1897">
        <f t="shared" si="1193"/>
        <v>4.8984271749860095</v>
      </c>
      <c r="GM780" s="1897">
        <f t="shared" si="1193"/>
        <v>42.644514433000012</v>
      </c>
      <c r="GN780" s="1897">
        <f t="shared" si="1193"/>
        <v>5.7326379243156538</v>
      </c>
      <c r="GO780" s="1897">
        <f t="shared" ref="GO780:HL780" si="1194">GO393</f>
        <v>12.737969542313675</v>
      </c>
      <c r="GP780" s="1897">
        <f t="shared" si="1194"/>
        <v>65.092827532489011</v>
      </c>
      <c r="GQ780" s="1897">
        <f t="shared" si="1194"/>
        <v>16.970537585874933</v>
      </c>
      <c r="GR780" s="1897">
        <f t="shared" si="1194"/>
        <v>9.8890309096020115</v>
      </c>
      <c r="GS780" s="1897">
        <f t="shared" si="1194"/>
        <v>54.600416828589402</v>
      </c>
      <c r="GT780" s="1897">
        <f t="shared" si="1194"/>
        <v>6.8992594013140653</v>
      </c>
      <c r="GU780" s="1897">
        <f t="shared" si="1194"/>
        <v>15.022112417820438</v>
      </c>
      <c r="GV780" s="1897">
        <f t="shared" si="1194"/>
        <v>70.298226307200196</v>
      </c>
      <c r="GW780" s="1897">
        <f t="shared" si="1194"/>
        <v>15.436662169297446</v>
      </c>
      <c r="GX780" s="1897">
        <f t="shared" si="1194"/>
        <v>9.0332611239490976</v>
      </c>
      <c r="GY780" s="1897">
        <f t="shared" si="1194"/>
        <v>62.140814393254452</v>
      </c>
      <c r="GZ780" s="1897">
        <f t="shared" si="1194"/>
        <v>20.142187697150661</v>
      </c>
      <c r="HA780" s="1897">
        <f t="shared" si="1194"/>
        <v>20.40374766858961</v>
      </c>
      <c r="HB780" s="1897">
        <f t="shared" si="1194"/>
        <v>78.486753669451161</v>
      </c>
      <c r="HC780" s="1897">
        <f t="shared" si="1194"/>
        <v>16.46431260011844</v>
      </c>
      <c r="HD780" s="1897">
        <f t="shared" si="1194"/>
        <v>10.767929105274723</v>
      </c>
      <c r="HE780" s="1897">
        <f t="shared" si="1194"/>
        <v>65.730429704520603</v>
      </c>
      <c r="HF780" s="1897">
        <f t="shared" si="1194"/>
        <v>33.794247993360699</v>
      </c>
      <c r="HG780" s="1897">
        <f t="shared" si="1194"/>
        <v>21.67188593179101</v>
      </c>
      <c r="HH780" s="1897">
        <f t="shared" si="1194"/>
        <v>84.382055637342688</v>
      </c>
      <c r="HI780" s="1897">
        <f t="shared" si="1194"/>
        <v>17.086074993220311</v>
      </c>
      <c r="HJ780" s="1897">
        <f t="shared" si="1194"/>
        <v>12.926356922355417</v>
      </c>
      <c r="HK780" s="1897">
        <f t="shared" si="1194"/>
        <v>69.18838194771098</v>
      </c>
      <c r="HL780" s="1897">
        <f t="shared" si="1194"/>
        <v>19.114210311865982</v>
      </c>
      <c r="HM780" s="1897"/>
      <c r="HN780" s="349"/>
      <c r="HO780" s="355" t="s">
        <v>544</v>
      </c>
      <c r="HP780" s="307">
        <f>SUM(CE780:CJ780)</f>
        <v>22.144381289932042</v>
      </c>
      <c r="HQ780" s="302">
        <f>SUM(CK780:CP780)</f>
        <v>21.432423510630695</v>
      </c>
      <c r="HR780" s="346">
        <f>HP780+HQ780</f>
        <v>43.576804800562741</v>
      </c>
      <c r="HS780" s="302">
        <f>SUM(CQ780:CV780)</f>
        <v>22.060095951797205</v>
      </c>
      <c r="HT780" s="302">
        <f>SUM(CW780:DB780)</f>
        <v>23.812179621286774</v>
      </c>
      <c r="HU780" s="346">
        <f>HS780+HT780</f>
        <v>45.872275573083982</v>
      </c>
      <c r="HV780" s="307">
        <f>SUM(DC780:DH780)</f>
        <v>27.593627440855805</v>
      </c>
      <c r="HW780" s="302">
        <f>SUM(DI780:DN780)</f>
        <v>29.248434791640602</v>
      </c>
      <c r="HX780" s="346">
        <f>HV780+HW780</f>
        <v>56.842062232496403</v>
      </c>
      <c r="HY780" s="350">
        <f>SUM(DO780:DT780)</f>
        <v>37.048489595053233</v>
      </c>
      <c r="HZ780" s="302">
        <f>SUM(DU780:DZ780)</f>
        <v>35.143385104142418</v>
      </c>
      <c r="IA780" s="346">
        <f>HY780+HZ780</f>
        <v>72.191874699195651</v>
      </c>
      <c r="IB780" s="302">
        <f>SUM(EA780:EF780)</f>
        <v>44.516631755050831</v>
      </c>
      <c r="IC780" s="302">
        <f>SUM(EG780:EL780)</f>
        <v>47.06195089699979</v>
      </c>
      <c r="ID780" s="346">
        <f>IB780+IC780</f>
        <v>91.578582652050613</v>
      </c>
      <c r="IE780" s="350">
        <f>SUM(EM780:ER780)</f>
        <v>50.546341172770411</v>
      </c>
      <c r="IF780" s="350">
        <f>SUM(ES780:EX780)</f>
        <v>51.946128966388237</v>
      </c>
      <c r="IG780" s="346">
        <f>IE780+IF780</f>
        <v>102.49247013915866</v>
      </c>
      <c r="IH780" s="350">
        <f>SUM(EY780:FD780)</f>
        <v>67.519741904287812</v>
      </c>
      <c r="II780" s="350">
        <f>SUM(FE780:FJ780)</f>
        <v>71.599062421771563</v>
      </c>
      <c r="IJ780" s="346">
        <f>IH780+II780</f>
        <v>139.11880432605938</v>
      </c>
      <c r="IK780" s="350">
        <f>SUM(FK780:FP780)</f>
        <v>83.845126265825854</v>
      </c>
      <c r="IL780" s="350">
        <f>SUM(FQ780:FV780)</f>
        <v>96.840749636479345</v>
      </c>
      <c r="IM780" s="346">
        <f t="shared" si="1183"/>
        <v>180.68587590230521</v>
      </c>
      <c r="IN780" s="350">
        <f t="shared" si="1184"/>
        <v>102.17122462150166</v>
      </c>
      <c r="IO780" s="350">
        <f t="shared" si="1185"/>
        <v>118.16373577855374</v>
      </c>
      <c r="IP780" s="346">
        <f t="shared" si="1066"/>
        <v>220.33496040005542</v>
      </c>
      <c r="IQ780" s="350">
        <f t="shared" si="1186"/>
        <v>137.31281512091829</v>
      </c>
      <c r="IR780" s="350">
        <f t="shared" si="1178"/>
        <v>166.19004180018311</v>
      </c>
      <c r="IS780" s="346">
        <f t="shared" ref="IS780:IS793" si="1195">IQ780+IR780</f>
        <v>303.5028569211014</v>
      </c>
      <c r="IT780" s="350">
        <f>IT781+IT788</f>
        <v>192.07326410867228</v>
      </c>
      <c r="IU780" s="350">
        <f>IU781+IU788</f>
        <v>225.64742074131522</v>
      </c>
      <c r="IV780" s="346">
        <f t="shared" si="1020"/>
        <v>417.72068484998749</v>
      </c>
      <c r="IW780" s="350">
        <f t="shared" si="1081"/>
        <v>224.36896574428638</v>
      </c>
      <c r="IX780" s="350">
        <f t="shared" si="1069"/>
        <v>278.57400197828963</v>
      </c>
      <c r="IY780" s="346">
        <f>FISC!AJ1095</f>
        <v>502.94296772257599</v>
      </c>
      <c r="IZ780" s="350">
        <f>IZ781+IZ788</f>
        <v>268.74331082933145</v>
      </c>
      <c r="JA780" s="302">
        <f>JB780-IZ780</f>
        <v>335.35168113219265</v>
      </c>
      <c r="JB780" s="346">
        <f>FISC!AK1095</f>
        <v>604.0949919615241</v>
      </c>
      <c r="JC780" s="350">
        <f>JC781+JC788</f>
        <v>343.7873290582304</v>
      </c>
      <c r="JD780" s="302">
        <f>JE780-JC780</f>
        <v>351.78145248975761</v>
      </c>
      <c r="JE780" s="346">
        <f>FISC!AL1095</f>
        <v>695.56878154798801</v>
      </c>
      <c r="JF780" s="350">
        <f>JF781+JF788</f>
        <v>364.49642988590199</v>
      </c>
      <c r="JG780" s="302">
        <f>JH780-JF780</f>
        <v>407.2655949363882</v>
      </c>
      <c r="JH780" s="346">
        <f>FISC!AM1095</f>
        <v>771.76202482229019</v>
      </c>
      <c r="JI780" s="350">
        <f>JI781+JI788</f>
        <v>380.45897549990252</v>
      </c>
      <c r="JJ780" s="302">
        <f>JK780-JI780</f>
        <v>439.24779145606192</v>
      </c>
      <c r="JK780" s="346">
        <f>FISC!AN1095</f>
        <v>819.70676695596444</v>
      </c>
      <c r="JL780" s="350">
        <f>JL781+JL788</f>
        <v>397.71239873446427</v>
      </c>
      <c r="JM780" s="302">
        <f>JN780-JL780</f>
        <v>745.69804194194751</v>
      </c>
      <c r="JN780" s="346">
        <f>FISC!AO1095</f>
        <v>1143.4104406764118</v>
      </c>
      <c r="KI780" s="349"/>
      <c r="KJ780" s="350"/>
    </row>
    <row r="781" spans="1:296" hidden="1" outlineLevel="1">
      <c r="A781" s="302"/>
      <c r="B781" s="117" t="s">
        <v>361</v>
      </c>
      <c r="D781" s="357" t="s">
        <v>562</v>
      </c>
      <c r="E781" s="346"/>
      <c r="F781" s="346"/>
      <c r="G781" s="346"/>
      <c r="H781" s="346"/>
      <c r="I781" s="346"/>
      <c r="J781" s="346"/>
      <c r="K781" s="346"/>
      <c r="L781" s="346"/>
      <c r="M781" s="346"/>
      <c r="N781" s="346"/>
      <c r="O781" s="346"/>
      <c r="P781" s="346"/>
      <c r="Q781" s="346"/>
      <c r="R781" s="346"/>
      <c r="S781" s="346"/>
      <c r="T781" s="346"/>
      <c r="U781" s="346"/>
      <c r="V781" s="346"/>
      <c r="W781" s="346"/>
      <c r="X781" s="346"/>
      <c r="Y781" s="346"/>
      <c r="Z781" s="346"/>
      <c r="AA781" s="346"/>
      <c r="AB781" s="346"/>
      <c r="AC781" s="346"/>
      <c r="AD781" s="346"/>
      <c r="AE781" s="346"/>
      <c r="AF781" s="346"/>
      <c r="AG781" s="346"/>
      <c r="AH781" s="346"/>
      <c r="AI781" s="346"/>
      <c r="AJ781" s="346"/>
      <c r="AK781" s="346"/>
      <c r="AL781" s="346"/>
      <c r="AM781" s="346"/>
      <c r="AN781" s="346"/>
      <c r="AO781" s="346">
        <v>0.4218368758062</v>
      </c>
      <c r="AP781" s="346">
        <v>0.15930158205101999</v>
      </c>
      <c r="AQ781" s="346">
        <v>0.61614968011050009</v>
      </c>
      <c r="AR781" s="346">
        <v>0.29238099254990002</v>
      </c>
      <c r="AS781" s="346">
        <v>0.49848143689416663</v>
      </c>
      <c r="AT781" s="346">
        <v>0.27567536453119995</v>
      </c>
      <c r="AU781" s="346">
        <v>0.41900182074452003</v>
      </c>
      <c r="AV781" s="346">
        <v>5.9318858289000003E-3</v>
      </c>
      <c r="AW781" s="346">
        <v>0.31037488525610002</v>
      </c>
      <c r="AX781" s="346">
        <v>0.79970507613979092</v>
      </c>
      <c r="AY781" s="346">
        <v>0.12941338107390002</v>
      </c>
      <c r="AZ781" s="346">
        <v>0.66349748529589991</v>
      </c>
      <c r="BA781" s="346">
        <v>0.43553760418569998</v>
      </c>
      <c r="BB781" s="346">
        <v>1.0110004030600001E-2</v>
      </c>
      <c r="BC781" s="346">
        <v>0.92716271887939983</v>
      </c>
      <c r="BD781" s="346">
        <v>0.33346708193720004</v>
      </c>
      <c r="BE781" s="346">
        <v>0.16446884016910002</v>
      </c>
      <c r="BF781" s="346">
        <v>0.46283348290624249</v>
      </c>
      <c r="BG781" s="346">
        <v>0.34485740744133997</v>
      </c>
      <c r="BH781" s="346">
        <v>9.8169443462000003E-3</v>
      </c>
      <c r="BI781" s="346">
        <v>1.2120026289219998</v>
      </c>
      <c r="BJ781" s="346">
        <v>0.33039555101270002</v>
      </c>
      <c r="BK781" s="346">
        <v>0.32488939680901541</v>
      </c>
      <c r="BL781" s="346">
        <v>0.34050568651879998</v>
      </c>
      <c r="BM781" s="346">
        <v>0.39396392489391369</v>
      </c>
      <c r="BN781" s="346">
        <v>7.2656133475500012E-2</v>
      </c>
      <c r="BO781" s="346">
        <v>1.2065038944793001</v>
      </c>
      <c r="BP781" s="346">
        <v>0.31303042793640007</v>
      </c>
      <c r="BQ781" s="346">
        <v>0.34902942384715879</v>
      </c>
      <c r="BR781" s="346">
        <v>0.31419376258039999</v>
      </c>
      <c r="BS781" s="346">
        <v>0.43520851936100008</v>
      </c>
      <c r="BT781" s="346">
        <v>0.1174770905835</v>
      </c>
      <c r="BU781" s="346">
        <v>1.4745296531095</v>
      </c>
      <c r="BV781" s="346">
        <v>0.32665665659969995</v>
      </c>
      <c r="BW781" s="346">
        <v>0.39447036437689997</v>
      </c>
      <c r="BX781" s="346">
        <v>0.29238563276329999</v>
      </c>
      <c r="BY781" s="346">
        <v>0.58962372103436689</v>
      </c>
      <c r="BZ781" s="346">
        <v>0.26209405264554808</v>
      </c>
      <c r="CA781" s="346">
        <v>1.5240433492468854</v>
      </c>
      <c r="CB781" s="346">
        <v>0.94911435578394543</v>
      </c>
      <c r="CC781" s="346">
        <v>0.83735857921354295</v>
      </c>
      <c r="CD781" s="352">
        <v>0.3171077764414989</v>
      </c>
      <c r="CE781" s="346">
        <f t="shared" ref="CE781:DJ781" si="1196">CE394</f>
        <v>0.6969246684296645</v>
      </c>
      <c r="CF781" s="346">
        <f t="shared" si="1196"/>
        <v>0.20840830560696241</v>
      </c>
      <c r="CG781" s="346">
        <f t="shared" si="1196"/>
        <v>0.97392462447706141</v>
      </c>
      <c r="CH781" s="346">
        <f t="shared" si="1196"/>
        <v>9.8554909258991508</v>
      </c>
      <c r="CI781" s="346">
        <f t="shared" si="1196"/>
        <v>0.32145879232868413</v>
      </c>
      <c r="CJ781" s="346">
        <f t="shared" si="1196"/>
        <v>0.19237510966634239</v>
      </c>
      <c r="CK781" s="346">
        <f t="shared" si="1196"/>
        <v>0.71346271088450908</v>
      </c>
      <c r="CL781" s="346">
        <f t="shared" si="1196"/>
        <v>0.21600343383900905</v>
      </c>
      <c r="CM781" s="346">
        <f t="shared" si="1196"/>
        <v>1.1769884505048114</v>
      </c>
      <c r="CN781" s="346">
        <f t="shared" si="1196"/>
        <v>10.349296616037982</v>
      </c>
      <c r="CO781" s="346">
        <f t="shared" si="1196"/>
        <v>0.49532113773663172</v>
      </c>
      <c r="CP781" s="348">
        <f t="shared" si="1196"/>
        <v>0.33179743428691255</v>
      </c>
      <c r="CQ781" s="346">
        <f t="shared" si="1196"/>
        <v>0.79099153748848061</v>
      </c>
      <c r="CR781" s="346">
        <f t="shared" si="1196"/>
        <v>0.11403729645791975</v>
      </c>
      <c r="CS781" s="346">
        <f t="shared" si="1196"/>
        <v>1.4733748898749943</v>
      </c>
      <c r="CT781" s="346">
        <f t="shared" si="1196"/>
        <v>10.366451704121625</v>
      </c>
      <c r="CU781" s="346">
        <f t="shared" si="1196"/>
        <v>0.50758294923288882</v>
      </c>
      <c r="CV781" s="346">
        <f t="shared" si="1196"/>
        <v>0.35534728540567539</v>
      </c>
      <c r="CW781" s="346">
        <f t="shared" si="1196"/>
        <v>0.24830707547233477</v>
      </c>
      <c r="CX781" s="346">
        <f t="shared" si="1196"/>
        <v>0.74359800471522997</v>
      </c>
      <c r="CY781" s="346">
        <f t="shared" si="1196"/>
        <v>1.1104098504566957</v>
      </c>
      <c r="CZ781" s="346">
        <f t="shared" si="1196"/>
        <v>11.084422587891101</v>
      </c>
      <c r="DA781" s="346">
        <f t="shared" si="1196"/>
        <v>0.40285186905315495</v>
      </c>
      <c r="DB781" s="1479">
        <f t="shared" si="1196"/>
        <v>0.41327722969822789</v>
      </c>
      <c r="DC781" s="346">
        <f t="shared" si="1196"/>
        <v>0.30581300002400003</v>
      </c>
      <c r="DD781" s="346">
        <f t="shared" si="1196"/>
        <v>1.3218321449999999</v>
      </c>
      <c r="DE781" s="346">
        <f t="shared" si="1196"/>
        <v>1.7112772300000001</v>
      </c>
      <c r="DF781" s="346">
        <f t="shared" si="1196"/>
        <v>10.920185254000002</v>
      </c>
      <c r="DG781" s="346">
        <f t="shared" si="1196"/>
        <v>0.41516584300000003</v>
      </c>
      <c r="DH781" s="346">
        <f t="shared" si="1196"/>
        <v>0.48394333900000003</v>
      </c>
      <c r="DI781" s="346">
        <f t="shared" si="1196"/>
        <v>1.017606302988461</v>
      </c>
      <c r="DJ781" s="346">
        <f t="shared" si="1196"/>
        <v>1.3759804558694051</v>
      </c>
      <c r="DK781" s="346">
        <f t="shared" ref="DK781:EP781" si="1197">DK394</f>
        <v>1.4788225950813481</v>
      </c>
      <c r="DL781" s="346">
        <f t="shared" si="1197"/>
        <v>11.335465838468624</v>
      </c>
      <c r="DM781" s="346">
        <f t="shared" si="1197"/>
        <v>0.57451591380627609</v>
      </c>
      <c r="DN781" s="348">
        <f t="shared" si="1197"/>
        <v>0.40663164738113922</v>
      </c>
      <c r="DO781" s="346">
        <f t="shared" si="1197"/>
        <v>0.32722966209005344</v>
      </c>
      <c r="DP781" s="346">
        <f t="shared" si="1197"/>
        <v>1.9954767715179773</v>
      </c>
      <c r="DQ781" s="346">
        <f t="shared" si="1197"/>
        <v>2.9979238477775936</v>
      </c>
      <c r="DR781" s="346">
        <f t="shared" si="1197"/>
        <v>11.535534062562478</v>
      </c>
      <c r="DS781" s="346">
        <f t="shared" si="1197"/>
        <v>1.269771634989743</v>
      </c>
      <c r="DT781" s="346">
        <f t="shared" si="1197"/>
        <v>0.36580835911539161</v>
      </c>
      <c r="DU781" s="346">
        <f t="shared" si="1197"/>
        <v>1.2244464356620535</v>
      </c>
      <c r="DV781" s="346">
        <f t="shared" si="1197"/>
        <v>1.4120260280794017</v>
      </c>
      <c r="DW781" s="346">
        <f t="shared" si="1197"/>
        <v>3.1098523726815488</v>
      </c>
      <c r="DX781" s="346">
        <f t="shared" si="1197"/>
        <v>11.528777302292301</v>
      </c>
      <c r="DY781" s="346">
        <f t="shared" si="1197"/>
        <v>0.82126644185797826</v>
      </c>
      <c r="DZ781" s="348">
        <f t="shared" si="1197"/>
        <v>0.35050648456913208</v>
      </c>
      <c r="EA781" s="346">
        <f t="shared" si="1197"/>
        <v>1.3678306704717365</v>
      </c>
      <c r="EB781" s="346">
        <f t="shared" si="1197"/>
        <v>2.772290399442614</v>
      </c>
      <c r="EC781" s="346">
        <f t="shared" si="1197"/>
        <v>3.5298521251364812</v>
      </c>
      <c r="ED781" s="346">
        <f t="shared" si="1197"/>
        <v>11.962555195</v>
      </c>
      <c r="EE781" s="346">
        <f t="shared" si="1197"/>
        <v>0.92720009700000006</v>
      </c>
      <c r="EF781" s="346">
        <f t="shared" si="1197"/>
        <v>0.30176913599999999</v>
      </c>
      <c r="EG781" s="346">
        <f t="shared" si="1197"/>
        <v>1.1161334320857534</v>
      </c>
      <c r="EH781" s="346">
        <f t="shared" si="1197"/>
        <v>3.0604763937396848</v>
      </c>
      <c r="EI781" s="346">
        <f t="shared" si="1197"/>
        <v>2.0036299772964439</v>
      </c>
      <c r="EJ781" s="346">
        <f t="shared" si="1197"/>
        <v>13.871885997789011</v>
      </c>
      <c r="EK781" s="346">
        <f t="shared" si="1197"/>
        <v>0.75602008683280353</v>
      </c>
      <c r="EL781" s="348">
        <f t="shared" si="1197"/>
        <v>1.0089266132560877</v>
      </c>
      <c r="EM781" s="346">
        <f t="shared" si="1197"/>
        <v>1.6198623873765028</v>
      </c>
      <c r="EN781" s="346">
        <f t="shared" si="1197"/>
        <v>2.7373024249772246</v>
      </c>
      <c r="EO781" s="346">
        <f t="shared" si="1197"/>
        <v>2.0123866936801722</v>
      </c>
      <c r="EP781" s="346">
        <f t="shared" si="1197"/>
        <v>14.22283591316187</v>
      </c>
      <c r="EQ781" s="346">
        <f t="shared" ref="EQ781:FP781" si="1198">EQ394</f>
        <v>1.4073944976639343</v>
      </c>
      <c r="ER781" s="346">
        <f t="shared" si="1198"/>
        <v>1.0850148726375077</v>
      </c>
      <c r="ES781" s="346">
        <f t="shared" si="1198"/>
        <v>1.7520355385139252</v>
      </c>
      <c r="ET781" s="346">
        <f t="shared" si="1198"/>
        <v>2.5448483032711651</v>
      </c>
      <c r="EU781" s="346">
        <f t="shared" si="1198"/>
        <v>4.4114107411148815</v>
      </c>
      <c r="EV781" s="346">
        <f t="shared" si="1198"/>
        <v>12.708406492627095</v>
      </c>
      <c r="EW781" s="346">
        <f t="shared" si="1198"/>
        <v>2.0007631160883328</v>
      </c>
      <c r="EX781" s="348">
        <f t="shared" si="1198"/>
        <v>1.3867201917728373</v>
      </c>
      <c r="EY781" s="346">
        <f t="shared" si="1198"/>
        <v>2.2628124293112153</v>
      </c>
      <c r="EZ781" s="346">
        <f t="shared" si="1198"/>
        <v>3.0044166297506907</v>
      </c>
      <c r="FA781" s="346">
        <f t="shared" si="1198"/>
        <v>4.6224758041384097</v>
      </c>
      <c r="FB781" s="346">
        <f t="shared" si="1198"/>
        <v>15.064061914841748</v>
      </c>
      <c r="FC781" s="346">
        <f t="shared" si="1198"/>
        <v>2.678425054516711</v>
      </c>
      <c r="FD781" s="346">
        <f t="shared" si="1198"/>
        <v>0.80721773972904587</v>
      </c>
      <c r="FE781" s="346">
        <f t="shared" si="1198"/>
        <v>3.5610480045411377</v>
      </c>
      <c r="FF781" s="346">
        <f t="shared" si="1198"/>
        <v>3.2167937696168343</v>
      </c>
      <c r="FG781" s="346">
        <f t="shared" si="1198"/>
        <v>5.2020126962930346</v>
      </c>
      <c r="FH781" s="346">
        <f t="shared" si="1198"/>
        <v>14.917319584685547</v>
      </c>
      <c r="FI781" s="346">
        <f t="shared" si="1198"/>
        <v>3.1411812884450443</v>
      </c>
      <c r="FJ781" s="348">
        <f t="shared" si="1198"/>
        <v>2.3392490061899642</v>
      </c>
      <c r="FK781" s="346">
        <f t="shared" si="1198"/>
        <v>2.1311138522174171</v>
      </c>
      <c r="FL781" s="346">
        <f t="shared" si="1198"/>
        <v>3.6659391624605435</v>
      </c>
      <c r="FM781" s="346">
        <f t="shared" si="1198"/>
        <v>6.6097783233688849</v>
      </c>
      <c r="FN781" s="346">
        <f t="shared" si="1198"/>
        <v>14.472022977643345</v>
      </c>
      <c r="FO781" s="346">
        <f t="shared" si="1198"/>
        <v>3.8616398652420614</v>
      </c>
      <c r="FP781" s="346">
        <f t="shared" si="1198"/>
        <v>2.0407557288935885</v>
      </c>
      <c r="FQ781" s="346">
        <f t="shared" ref="FQ781:FV781" si="1199">FQ394</f>
        <v>3.018595064937359</v>
      </c>
      <c r="FR781" s="346">
        <f t="shared" si="1199"/>
        <v>4.1255898384212824</v>
      </c>
      <c r="FS781" s="346">
        <f t="shared" si="1199"/>
        <v>7.0408369434813904</v>
      </c>
      <c r="FT781" s="346">
        <f t="shared" si="1199"/>
        <v>14.877754502618028</v>
      </c>
      <c r="FU781" s="346">
        <f t="shared" si="1199"/>
        <v>3.4291717512039499</v>
      </c>
      <c r="FV781" s="346">
        <f t="shared" si="1199"/>
        <v>1.9037964901119899</v>
      </c>
      <c r="FW781" s="346">
        <v>3.0111710048357687</v>
      </c>
      <c r="FX781" s="346">
        <v>10.635850491463801</v>
      </c>
      <c r="FY781" s="346">
        <v>6.8643131069934498</v>
      </c>
      <c r="FZ781" s="346">
        <v>1.3540609383678777</v>
      </c>
      <c r="GA781" s="346">
        <v>4.381167408148027</v>
      </c>
      <c r="GB781" s="346">
        <v>1.55055324269274</v>
      </c>
      <c r="GC781" s="346">
        <v>4.1413609305670294</v>
      </c>
      <c r="GD781" s="346">
        <v>21.884791707702441</v>
      </c>
      <c r="GE781" s="346">
        <v>7.526577834151027</v>
      </c>
      <c r="GF781" s="346">
        <v>3.4334906522701032</v>
      </c>
      <c r="GG781" s="346">
        <v>4.0878705869733327</v>
      </c>
      <c r="GH781" s="346">
        <v>1.0963131248898048</v>
      </c>
      <c r="GI781" s="1897">
        <f>GI394</f>
        <v>3.3092056958089713</v>
      </c>
      <c r="GJ781" s="1897">
        <f t="shared" ref="GJ781:GN781" si="1200">GJ394</f>
        <v>22.650780052458025</v>
      </c>
      <c r="GK781" s="1897">
        <f t="shared" si="1200"/>
        <v>7.5170681773496026</v>
      </c>
      <c r="GL781" s="1897">
        <f t="shared" si="1200"/>
        <v>2.3543160589860102</v>
      </c>
      <c r="GM781" s="1897">
        <f t="shared" si="1200"/>
        <v>6.4630748740000126</v>
      </c>
      <c r="GN781" s="1897">
        <f t="shared" si="1200"/>
        <v>1.0409838473156541</v>
      </c>
      <c r="GO781" s="1897">
        <f t="shared" ref="GO781:HL781" si="1201">GO394</f>
        <v>4.8511278593136762</v>
      </c>
      <c r="GP781" s="1897">
        <f t="shared" si="1201"/>
        <v>24.788084443489012</v>
      </c>
      <c r="GQ781" s="1897">
        <f t="shared" si="1201"/>
        <v>7.2483733268749315</v>
      </c>
      <c r="GR781" s="1897">
        <f t="shared" si="1201"/>
        <v>7.5574463796020108</v>
      </c>
      <c r="GS781" s="1897">
        <f t="shared" si="1201"/>
        <v>11.596701611589399</v>
      </c>
      <c r="GT781" s="1897">
        <f t="shared" si="1201"/>
        <v>1.4719005173140647</v>
      </c>
      <c r="GU781" s="1897">
        <f t="shared" si="1201"/>
        <v>6.7227833908204371</v>
      </c>
      <c r="GV781" s="1897">
        <f t="shared" si="1201"/>
        <v>28.717426718200194</v>
      </c>
      <c r="GW781" s="1897">
        <f t="shared" si="1201"/>
        <v>9.5612216072974459</v>
      </c>
      <c r="GX781" s="1897">
        <f t="shared" si="1201"/>
        <v>5.5347149109490976</v>
      </c>
      <c r="GY781" s="1897">
        <f t="shared" si="1201"/>
        <v>17.935308096254452</v>
      </c>
      <c r="GZ781" s="1897">
        <f t="shared" si="1201"/>
        <v>9.6507458941506616</v>
      </c>
      <c r="HA781" s="1897">
        <f t="shared" si="1201"/>
        <v>7.4258548075896105</v>
      </c>
      <c r="HB781" s="1897">
        <f t="shared" si="1201"/>
        <v>33.340351213451157</v>
      </c>
      <c r="HC781" s="1897">
        <f t="shared" si="1201"/>
        <v>10.396354616118439</v>
      </c>
      <c r="HD781" s="1897">
        <f t="shared" si="1201"/>
        <v>6.8946206912747234</v>
      </c>
      <c r="HE781" s="1897">
        <f t="shared" si="1201"/>
        <v>20.578426141520598</v>
      </c>
      <c r="HF781" s="1897">
        <f t="shared" si="1201"/>
        <v>26.494068693360703</v>
      </c>
      <c r="HG781" s="1897">
        <f t="shared" si="1201"/>
        <v>10.205643385021778</v>
      </c>
      <c r="HH781" s="1897">
        <f t="shared" si="1201"/>
        <v>34.923771469304235</v>
      </c>
      <c r="HI781" s="1897">
        <f t="shared" si="1201"/>
        <v>11.380694865912622</v>
      </c>
      <c r="HJ781" s="1897">
        <f t="shared" si="1201"/>
        <v>8.9568610229708039</v>
      </c>
      <c r="HK781" s="1897">
        <f t="shared" si="1201"/>
        <v>22.883165412710976</v>
      </c>
      <c r="HL781" s="1897">
        <f t="shared" si="1201"/>
        <v>10.657852581327523</v>
      </c>
      <c r="HM781" s="1897"/>
      <c r="HN781" s="349"/>
      <c r="HO781" s="357" t="s">
        <v>562</v>
      </c>
      <c r="HP781" s="307">
        <f>SUM(CE781:CJ781)</f>
        <v>12.248582426407866</v>
      </c>
      <c r="HQ781" s="302">
        <f>SUM(CK781:CP781)</f>
        <v>13.282869783289856</v>
      </c>
      <c r="HR781" s="346">
        <f>HP781+HQ781</f>
        <v>25.531452209697722</v>
      </c>
      <c r="HS781" s="302">
        <f>SUM(CQ781:CV781)</f>
        <v>13.607785662581584</v>
      </c>
      <c r="HT781" s="302">
        <f>SUM(CW781:DB781)</f>
        <v>14.002866617286744</v>
      </c>
      <c r="HU781" s="346">
        <f>HS781+HT781</f>
        <v>27.610652279868326</v>
      </c>
      <c r="HV781" s="307">
        <f>SUM(DC781:DH781)</f>
        <v>15.158216811024001</v>
      </c>
      <c r="HW781" s="302">
        <f>SUM(DI781:DN781)</f>
        <v>16.189022753595253</v>
      </c>
      <c r="HX781" s="346">
        <f>HV781+HW781</f>
        <v>31.347239564619255</v>
      </c>
      <c r="HY781" s="350">
        <f>SUM(DO781:DT781)</f>
        <v>18.491744338053238</v>
      </c>
      <c r="HZ781" s="302">
        <f>SUM(DU781:DZ781)</f>
        <v>18.446875065142414</v>
      </c>
      <c r="IA781" s="346">
        <f>HY781+HZ781</f>
        <v>36.938619403195652</v>
      </c>
      <c r="IB781" s="302">
        <f>SUM(EA781:EF781)</f>
        <v>20.86149762305083</v>
      </c>
      <c r="IC781" s="302">
        <f>SUM(EG781:EL781)</f>
        <v>21.817072500999785</v>
      </c>
      <c r="ID781" s="346">
        <f>IB781+IC781</f>
        <v>42.678570124050616</v>
      </c>
      <c r="IE781" s="350">
        <f>SUM(EM781:ER781)</f>
        <v>23.084796789497211</v>
      </c>
      <c r="IF781" s="350">
        <f>SUM(ES781:EX781)</f>
        <v>24.804184383388236</v>
      </c>
      <c r="IG781" s="346">
        <f>IE781+IF781</f>
        <v>47.888981172885451</v>
      </c>
      <c r="IH781" s="350">
        <f>SUM(EY781:FD781)</f>
        <v>28.439409572287822</v>
      </c>
      <c r="II781" s="350">
        <f>SUM(FE781:FJ781)</f>
        <v>32.377604349771559</v>
      </c>
      <c r="IJ781" s="346">
        <f>IH781+II781</f>
        <v>60.817013922059381</v>
      </c>
      <c r="IK781" s="350">
        <f>SUM(FK781:FP781)</f>
        <v>32.781249909825839</v>
      </c>
      <c r="IL781" s="350">
        <f>SUM(FQ781:FV781)</f>
        <v>34.395744590774001</v>
      </c>
      <c r="IM781" s="346">
        <f t="shared" si="1183"/>
        <v>67.176994500599847</v>
      </c>
      <c r="IN781" s="350">
        <f t="shared" si="1184"/>
        <v>27.797116192501662</v>
      </c>
      <c r="IO781" s="350">
        <f t="shared" si="1185"/>
        <v>42.170404836553729</v>
      </c>
      <c r="IP781" s="346">
        <f t="shared" si="1066"/>
        <v>69.967521029055391</v>
      </c>
      <c r="IQ781" s="350">
        <f t="shared" si="1186"/>
        <v>43.335428705918268</v>
      </c>
      <c r="IR781" s="350">
        <f t="shared" si="1178"/>
        <v>57.5136341381831</v>
      </c>
      <c r="IS781" s="346">
        <f t="shared" si="1195"/>
        <v>100.84906284410137</v>
      </c>
      <c r="IT781" s="350">
        <f t="shared" ref="IT781:IT810" si="1202">SUM(GU781:GZ781)</f>
        <v>78.122200617672291</v>
      </c>
      <c r="IU781" s="350">
        <f t="shared" si="986"/>
        <v>105.12967616331522</v>
      </c>
      <c r="IV781" s="346">
        <f t="shared" si="1020"/>
        <v>183.25187678098752</v>
      </c>
      <c r="IW781" s="350">
        <f t="shared" si="1081"/>
        <v>99.007988737247942</v>
      </c>
      <c r="IX781" s="350">
        <f t="shared" si="1069"/>
        <v>139.96412961728959</v>
      </c>
      <c r="IY781" s="346">
        <f>FISC!AJ1096</f>
        <v>238.97211835453751</v>
      </c>
      <c r="IZ781" s="350">
        <f>(((FISC!AJ145+FISC!AJ151))*FISC!AK253/1000)</f>
        <v>123.82615222873142</v>
      </c>
      <c r="JA781" s="350">
        <f>+(((FISC!AK133+FISC!AK139))*FISC!AK253/1000)</f>
        <v>185.69606035260784</v>
      </c>
      <c r="JB781" s="346">
        <f>FISC!AK1096</f>
        <v>327.79301948552416</v>
      </c>
      <c r="JC781" s="350">
        <f>(((FISC!AK145+FISC!AK151)-(FISC!AK146+FISC!AK152))*FISC!AL253/1000)</f>
        <v>203.54585925123041</v>
      </c>
      <c r="JD781" s="350">
        <f>+(((FISC!AL133+FISC!AL139)-(FISC!AL134+FISC!AL140))*FISC!AL253/1000)</f>
        <v>206.33305933686151</v>
      </c>
      <c r="JE781" s="346">
        <f>FISC!AL1096</f>
        <v>429.78765490998796</v>
      </c>
      <c r="JF781" s="350">
        <f>(((FISC!AL145+FISC!AL151)-(FISC!AL146+FISC!AL152))*FISC!AM253/1000)</f>
        <v>225.71830945390201</v>
      </c>
      <c r="JG781" s="350">
        <f>+(((FISC!AM133+FISC!AM139)-(FISC!AM134+FISC!AM140))*FISC!AM253/1000)</f>
        <v>229.59426661016516</v>
      </c>
      <c r="JH781" s="346">
        <f>FISC!AM1096</f>
        <v>511.32712094529018</v>
      </c>
      <c r="JI781" s="350">
        <f>(((FISC!AM145+FISC!AM151)-(FISC!AM146+FISC!AM152))*FISC!AN253/1000)</f>
        <v>247.88121907190254</v>
      </c>
      <c r="JJ781" s="350">
        <f>+(((FISC!AN133+FISC!AN139)-(FISC!AN134+FISC!AN140))*FISC!AN253/1000)</f>
        <v>251.5289727215721</v>
      </c>
      <c r="JK781" s="346">
        <f>FISC!AN1096</f>
        <v>571.71862821396439</v>
      </c>
      <c r="JL781" s="350">
        <f>(((FISC!AN145+FISC!AN151)-(FISC!AN146+FISC!AN152))*FISC!AO253/1000)</f>
        <v>267.69253517846431</v>
      </c>
      <c r="JM781" s="350">
        <f>+(((FISC!AO133+FISC!AO139)-(FISC!AO134+FISC!AO140))*FISC!AO253/1000)</f>
        <v>269.38219793805848</v>
      </c>
      <c r="JN781" s="346">
        <f>FISC!AO1096</f>
        <v>903.56593629441181</v>
      </c>
      <c r="KI781" s="349"/>
      <c r="KJ781" s="350"/>
    </row>
    <row r="782" spans="1:296" hidden="1" outlineLevel="1">
      <c r="A782" s="302"/>
      <c r="D782" s="1635" t="s">
        <v>3161</v>
      </c>
      <c r="E782" s="346"/>
      <c r="F782" s="346"/>
      <c r="G782" s="346"/>
      <c r="H782" s="346"/>
      <c r="I782" s="346"/>
      <c r="J782" s="346"/>
      <c r="K782" s="346"/>
      <c r="L782" s="346"/>
      <c r="M782" s="346"/>
      <c r="N782" s="346"/>
      <c r="O782" s="346"/>
      <c r="P782" s="346"/>
      <c r="Q782" s="346"/>
      <c r="R782" s="346"/>
      <c r="S782" s="346"/>
      <c r="T782" s="346"/>
      <c r="U782" s="346"/>
      <c r="V782" s="346"/>
      <c r="W782" s="346"/>
      <c r="X782" s="346"/>
      <c r="Y782" s="346"/>
      <c r="Z782" s="346"/>
      <c r="AA782" s="346"/>
      <c r="AB782" s="346"/>
      <c r="AC782" s="346"/>
      <c r="AD782" s="346"/>
      <c r="AE782" s="346"/>
      <c r="AF782" s="346"/>
      <c r="AG782" s="346"/>
      <c r="AH782" s="346"/>
      <c r="AI782" s="346"/>
      <c r="AJ782" s="346"/>
      <c r="AK782" s="346"/>
      <c r="AL782" s="346"/>
      <c r="AM782" s="346"/>
      <c r="AN782" s="346"/>
      <c r="AO782" s="346"/>
      <c r="AP782" s="346"/>
      <c r="AQ782" s="346"/>
      <c r="AR782" s="346"/>
      <c r="AS782" s="346"/>
      <c r="AT782" s="346"/>
      <c r="AU782" s="346"/>
      <c r="AV782" s="346"/>
      <c r="AW782" s="346"/>
      <c r="AX782" s="346"/>
      <c r="AY782" s="346"/>
      <c r="AZ782" s="346"/>
      <c r="BA782" s="346"/>
      <c r="BB782" s="346"/>
      <c r="BC782" s="346"/>
      <c r="BD782" s="346"/>
      <c r="BE782" s="346"/>
      <c r="BF782" s="346"/>
      <c r="BG782" s="346"/>
      <c r="BH782" s="346"/>
      <c r="BI782" s="346"/>
      <c r="BJ782" s="346"/>
      <c r="BK782" s="346"/>
      <c r="BL782" s="346"/>
      <c r="BM782" s="346"/>
      <c r="BN782" s="346"/>
      <c r="BO782" s="346"/>
      <c r="BP782" s="346"/>
      <c r="BQ782" s="346"/>
      <c r="BR782" s="346"/>
      <c r="BS782" s="346"/>
      <c r="BT782" s="346"/>
      <c r="BU782" s="346"/>
      <c r="BV782" s="346"/>
      <c r="BW782" s="346"/>
      <c r="BX782" s="346"/>
      <c r="BY782" s="346"/>
      <c r="BZ782" s="346"/>
      <c r="CA782" s="346"/>
      <c r="CB782" s="346"/>
      <c r="CC782" s="346"/>
      <c r="CD782" s="352"/>
      <c r="CE782" s="346">
        <v>0</v>
      </c>
      <c r="CF782" s="346">
        <v>0</v>
      </c>
      <c r="CG782" s="346">
        <v>0</v>
      </c>
      <c r="CH782" s="346">
        <v>0</v>
      </c>
      <c r="CI782" s="346">
        <v>0</v>
      </c>
      <c r="CJ782" s="346">
        <v>0</v>
      </c>
      <c r="CK782" s="346">
        <v>0</v>
      </c>
      <c r="CL782" s="346">
        <v>0</v>
      </c>
      <c r="CM782" s="346">
        <v>0</v>
      </c>
      <c r="CN782" s="346">
        <v>0</v>
      </c>
      <c r="CO782" s="346">
        <v>0</v>
      </c>
      <c r="CP782" s="348">
        <v>0</v>
      </c>
      <c r="CQ782" s="346"/>
      <c r="CR782" s="346"/>
      <c r="CS782" s="346"/>
      <c r="CT782" s="346"/>
      <c r="CU782" s="346"/>
      <c r="CV782" s="346"/>
      <c r="CW782" s="346"/>
      <c r="CX782" s="346"/>
      <c r="CY782" s="346"/>
      <c r="CZ782" s="346"/>
      <c r="DA782" s="346"/>
      <c r="DB782" s="1479"/>
      <c r="DC782" s="346"/>
      <c r="DD782" s="346"/>
      <c r="DE782" s="346"/>
      <c r="DF782" s="346"/>
      <c r="DG782" s="346"/>
      <c r="DH782" s="346"/>
      <c r="DI782" s="346"/>
      <c r="DJ782" s="346"/>
      <c r="DK782" s="346"/>
      <c r="DL782" s="346"/>
      <c r="DM782" s="346"/>
      <c r="DN782" s="348"/>
      <c r="DO782" s="346"/>
      <c r="DP782" s="346"/>
      <c r="DQ782" s="346"/>
      <c r="DR782" s="346"/>
      <c r="DS782" s="346"/>
      <c r="DT782" s="346"/>
      <c r="DU782" s="346"/>
      <c r="DV782" s="346"/>
      <c r="DW782" s="346"/>
      <c r="DX782" s="346"/>
      <c r="DY782" s="346"/>
      <c r="DZ782" s="348"/>
      <c r="EA782" s="346"/>
      <c r="EB782" s="346"/>
      <c r="EC782" s="346"/>
      <c r="ED782" s="346"/>
      <c r="EE782" s="346"/>
      <c r="EF782" s="346"/>
      <c r="EG782" s="346"/>
      <c r="EH782" s="346"/>
      <c r="EI782" s="346"/>
      <c r="EJ782" s="346"/>
      <c r="EK782" s="346"/>
      <c r="EL782" s="348"/>
      <c r="EM782" s="346"/>
      <c r="EN782" s="346"/>
      <c r="EO782" s="346"/>
      <c r="EP782" s="346"/>
      <c r="EQ782" s="346"/>
      <c r="ER782" s="346"/>
      <c r="ES782" s="346"/>
      <c r="ET782" s="346"/>
      <c r="EU782" s="346"/>
      <c r="EV782" s="346"/>
      <c r="EW782" s="346"/>
      <c r="EX782" s="348"/>
      <c r="EY782" s="346"/>
      <c r="EZ782" s="346"/>
      <c r="FA782" s="346"/>
      <c r="FB782" s="346"/>
      <c r="FC782" s="346"/>
      <c r="FD782" s="346"/>
      <c r="FE782" s="346"/>
      <c r="FF782" s="346"/>
      <c r="FG782" s="346"/>
      <c r="FH782" s="346"/>
      <c r="FI782" s="346"/>
      <c r="FJ782" s="348"/>
      <c r="FK782" s="346"/>
      <c r="FL782" s="346"/>
      <c r="FM782" s="346"/>
      <c r="FN782" s="346"/>
      <c r="FO782" s="346"/>
      <c r="FP782" s="346"/>
      <c r="FQ782" s="346"/>
      <c r="FR782" s="346"/>
      <c r="FS782" s="346"/>
      <c r="FT782" s="346"/>
      <c r="FU782" s="346"/>
      <c r="FV782" s="346"/>
      <c r="FW782" s="346">
        <v>0</v>
      </c>
      <c r="FX782" s="346">
        <v>0</v>
      </c>
      <c r="FY782" s="346">
        <v>0.63037547199999999</v>
      </c>
      <c r="FZ782" s="346">
        <v>0</v>
      </c>
      <c r="GA782" s="346">
        <v>0</v>
      </c>
      <c r="GB782" s="346">
        <v>0.47990930399999998</v>
      </c>
      <c r="GC782" s="346">
        <v>0</v>
      </c>
      <c r="GD782" s="346">
        <v>0</v>
      </c>
      <c r="GE782" s="346">
        <v>0.324788089</v>
      </c>
      <c r="GF782" s="346">
        <v>0</v>
      </c>
      <c r="GG782" s="346">
        <v>0</v>
      </c>
      <c r="GH782" s="346">
        <v>0.164867811</v>
      </c>
      <c r="GI782" s="1897"/>
      <c r="HN782" s="349"/>
      <c r="HO782" s="1635" t="s">
        <v>3161</v>
      </c>
      <c r="HP782" s="307"/>
      <c r="HR782" s="346"/>
      <c r="HU782" s="346"/>
      <c r="HV782" s="307"/>
      <c r="HX782" s="346"/>
      <c r="HY782" s="350"/>
      <c r="IA782" s="346"/>
      <c r="ID782" s="346"/>
      <c r="IE782" s="350"/>
      <c r="IF782" s="350"/>
      <c r="IG782" s="346"/>
      <c r="IH782" s="350"/>
      <c r="II782" s="350"/>
      <c r="IJ782" s="346"/>
      <c r="IK782" s="350">
        <v>2.243714128537631</v>
      </c>
      <c r="IL782" s="350">
        <f>SUM(FQ782:FV782)</f>
        <v>0</v>
      </c>
      <c r="IM782" s="346">
        <f t="shared" si="1183"/>
        <v>2.243714128537631</v>
      </c>
      <c r="IN782" s="350">
        <f t="shared" si="1184"/>
        <v>1.1102847759999999</v>
      </c>
      <c r="IO782" s="350">
        <f t="shared" si="1185"/>
        <v>0.48965590000000003</v>
      </c>
      <c r="IP782" s="346">
        <f t="shared" si="1066"/>
        <v>1.5999406759999999</v>
      </c>
      <c r="IQ782" s="350">
        <f t="shared" si="1186"/>
        <v>0</v>
      </c>
      <c r="IR782" s="350">
        <f t="shared" si="1178"/>
        <v>0</v>
      </c>
      <c r="IS782" s="346">
        <f t="shared" si="1195"/>
        <v>0</v>
      </c>
      <c r="IT782" s="350">
        <f t="shared" si="1202"/>
        <v>0</v>
      </c>
      <c r="IU782" s="350">
        <f t="shared" si="986"/>
        <v>0</v>
      </c>
      <c r="IV782" s="346">
        <f t="shared" si="1020"/>
        <v>0</v>
      </c>
      <c r="IW782" s="350">
        <f t="shared" si="1081"/>
        <v>0</v>
      </c>
      <c r="IX782" s="350">
        <f t="shared" si="1069"/>
        <v>0</v>
      </c>
      <c r="IY782" s="346">
        <f>FISC!AJ1098</f>
        <v>0</v>
      </c>
      <c r="IZ782" s="350">
        <f>JB782*0.55</f>
        <v>0</v>
      </c>
      <c r="JA782" s="302">
        <f>JB782-IZ782</f>
        <v>0</v>
      </c>
      <c r="JB782" s="346">
        <f>FISC!AK1098</f>
        <v>0</v>
      </c>
      <c r="JC782" s="350">
        <f>JE782*0.55</f>
        <v>0.75209263442989671</v>
      </c>
      <c r="JD782" s="302">
        <f>JE782-JC782</f>
        <v>0.61534851907900634</v>
      </c>
      <c r="JE782" s="346">
        <f>FISC!AL1098</f>
        <v>1.3674411535089031</v>
      </c>
      <c r="JF782" s="350">
        <f>JH782*0.55</f>
        <v>3.7406790908620318</v>
      </c>
      <c r="JG782" s="302">
        <f>JH782-JF782</f>
        <v>3.0605556197962072</v>
      </c>
      <c r="JH782" s="346">
        <f>FISC!AM1098</f>
        <v>6.8012347106582389</v>
      </c>
      <c r="JI782" s="350">
        <f>JK782*0.55</f>
        <v>6.773558740159924</v>
      </c>
      <c r="JJ782" s="302">
        <f>JK782-JI782</f>
        <v>5.5420026055853917</v>
      </c>
      <c r="JK782" s="346">
        <f>FISC!AN1098</f>
        <v>12.315561345745316</v>
      </c>
      <c r="JL782" s="350">
        <f>JN782*0.55</f>
        <v>10.294393116355131</v>
      </c>
      <c r="JM782" s="302">
        <f>JN782-JL782</f>
        <v>8.422685277017834</v>
      </c>
      <c r="JN782" s="346">
        <f>FISC!AO1098</f>
        <v>18.717078393372965</v>
      </c>
      <c r="KI782" s="349"/>
      <c r="KJ782" s="350"/>
    </row>
    <row r="783" spans="1:296" hidden="1" outlineLevel="1">
      <c r="A783" s="302"/>
      <c r="D783" s="1635" t="s">
        <v>3788</v>
      </c>
      <c r="E783" s="346"/>
      <c r="F783" s="346"/>
      <c r="G783" s="346"/>
      <c r="H783" s="346"/>
      <c r="I783" s="346"/>
      <c r="J783" s="346"/>
      <c r="K783" s="346"/>
      <c r="L783" s="346"/>
      <c r="M783" s="346"/>
      <c r="N783" s="346"/>
      <c r="O783" s="346"/>
      <c r="P783" s="346"/>
      <c r="Q783" s="346"/>
      <c r="R783" s="346"/>
      <c r="S783" s="346"/>
      <c r="T783" s="346"/>
      <c r="U783" s="346"/>
      <c r="V783" s="346"/>
      <c r="W783" s="346"/>
      <c r="X783" s="346"/>
      <c r="Y783" s="346"/>
      <c r="Z783" s="346"/>
      <c r="AA783" s="346"/>
      <c r="AB783" s="346"/>
      <c r="AC783" s="346"/>
      <c r="AD783" s="346"/>
      <c r="AE783" s="346"/>
      <c r="AF783" s="346"/>
      <c r="AG783" s="346"/>
      <c r="AH783" s="346"/>
      <c r="AI783" s="346"/>
      <c r="AJ783" s="346"/>
      <c r="AK783" s="346"/>
      <c r="AL783" s="346"/>
      <c r="AM783" s="346"/>
      <c r="AN783" s="346"/>
      <c r="AO783" s="346"/>
      <c r="AP783" s="346"/>
      <c r="AQ783" s="346"/>
      <c r="AR783" s="346"/>
      <c r="AS783" s="346"/>
      <c r="AT783" s="346"/>
      <c r="AU783" s="346"/>
      <c r="AV783" s="346"/>
      <c r="AW783" s="346"/>
      <c r="AX783" s="346"/>
      <c r="AY783" s="346"/>
      <c r="AZ783" s="346"/>
      <c r="BA783" s="346"/>
      <c r="BB783" s="346"/>
      <c r="BC783" s="346"/>
      <c r="BD783" s="346"/>
      <c r="BE783" s="346"/>
      <c r="BF783" s="346"/>
      <c r="BG783" s="346"/>
      <c r="BH783" s="346"/>
      <c r="BI783" s="346"/>
      <c r="BJ783" s="346"/>
      <c r="BK783" s="346"/>
      <c r="BL783" s="346"/>
      <c r="BM783" s="346"/>
      <c r="BN783" s="346"/>
      <c r="BO783" s="346"/>
      <c r="BP783" s="346"/>
      <c r="BQ783" s="346"/>
      <c r="BR783" s="346"/>
      <c r="BS783" s="346"/>
      <c r="BT783" s="346"/>
      <c r="BU783" s="346"/>
      <c r="BV783" s="346"/>
      <c r="BW783" s="346"/>
      <c r="BX783" s="346"/>
      <c r="BY783" s="346"/>
      <c r="BZ783" s="346"/>
      <c r="CA783" s="346"/>
      <c r="CB783" s="346"/>
      <c r="CC783" s="346"/>
      <c r="CD783" s="352"/>
      <c r="CE783" s="346"/>
      <c r="CF783" s="346"/>
      <c r="CG783" s="346"/>
      <c r="CH783" s="346"/>
      <c r="CI783" s="346"/>
      <c r="CJ783" s="346"/>
      <c r="CK783" s="346"/>
      <c r="CL783" s="346"/>
      <c r="CM783" s="346"/>
      <c r="CN783" s="346"/>
      <c r="CO783" s="346"/>
      <c r="CP783" s="348"/>
      <c r="CQ783" s="346"/>
      <c r="CR783" s="346"/>
      <c r="CS783" s="346"/>
      <c r="CT783" s="346"/>
      <c r="CU783" s="346"/>
      <c r="CV783" s="346"/>
      <c r="CW783" s="346"/>
      <c r="CX783" s="346"/>
      <c r="CY783" s="346"/>
      <c r="CZ783" s="346"/>
      <c r="DA783" s="346"/>
      <c r="DB783" s="1479"/>
      <c r="DC783" s="346"/>
      <c r="DD783" s="346"/>
      <c r="DE783" s="346"/>
      <c r="DF783" s="346"/>
      <c r="DG783" s="346"/>
      <c r="DH783" s="346"/>
      <c r="DI783" s="346"/>
      <c r="DJ783" s="346"/>
      <c r="DK783" s="346"/>
      <c r="DL783" s="346"/>
      <c r="DM783" s="346"/>
      <c r="DN783" s="348"/>
      <c r="DO783" s="346"/>
      <c r="DP783" s="346"/>
      <c r="DQ783" s="346"/>
      <c r="DR783" s="346"/>
      <c r="DS783" s="346"/>
      <c r="DT783" s="346"/>
      <c r="DU783" s="346"/>
      <c r="DV783" s="346"/>
      <c r="DW783" s="346"/>
      <c r="DX783" s="346"/>
      <c r="DY783" s="346"/>
      <c r="DZ783" s="348"/>
      <c r="EA783" s="346"/>
      <c r="EB783" s="346"/>
      <c r="EC783" s="346"/>
      <c r="ED783" s="346"/>
      <c r="EE783" s="346"/>
      <c r="EF783" s="346"/>
      <c r="EG783" s="346"/>
      <c r="EH783" s="346"/>
      <c r="EI783" s="346"/>
      <c r="EJ783" s="346"/>
      <c r="EK783" s="346"/>
      <c r="EL783" s="348"/>
      <c r="EM783" s="346"/>
      <c r="EN783" s="346"/>
      <c r="EO783" s="346"/>
      <c r="EP783" s="346"/>
      <c r="EQ783" s="346"/>
      <c r="ER783" s="346"/>
      <c r="ES783" s="346"/>
      <c r="ET783" s="346"/>
      <c r="EU783" s="346"/>
      <c r="EV783" s="346"/>
      <c r="EW783" s="346"/>
      <c r="EX783" s="348"/>
      <c r="EY783" s="346"/>
      <c r="EZ783" s="346"/>
      <c r="FA783" s="346"/>
      <c r="FB783" s="346"/>
      <c r="FC783" s="346"/>
      <c r="FD783" s="346"/>
      <c r="FE783" s="346"/>
      <c r="FF783" s="346"/>
      <c r="FG783" s="346"/>
      <c r="FH783" s="346"/>
      <c r="FI783" s="346"/>
      <c r="FJ783" s="348"/>
      <c r="FK783" s="346"/>
      <c r="FL783" s="346"/>
      <c r="FM783" s="346"/>
      <c r="FN783" s="346"/>
      <c r="FO783" s="346"/>
      <c r="FP783" s="346"/>
      <c r="FQ783" s="346"/>
      <c r="FR783" s="346"/>
      <c r="FS783" s="346"/>
      <c r="FT783" s="346"/>
      <c r="FU783" s="346"/>
      <c r="FV783" s="346"/>
      <c r="FW783" s="346"/>
      <c r="FX783" s="346"/>
      <c r="FY783" s="346"/>
      <c r="FZ783" s="346"/>
      <c r="GA783" s="346"/>
      <c r="GB783" s="346"/>
      <c r="GC783" s="346"/>
      <c r="GD783" s="346"/>
      <c r="GE783" s="346"/>
      <c r="GF783" s="346"/>
      <c r="GG783" s="346"/>
      <c r="GH783" s="346"/>
      <c r="GI783" s="1897"/>
      <c r="HN783" s="349"/>
      <c r="HO783" s="1635"/>
      <c r="HP783" s="307"/>
      <c r="HR783" s="346"/>
      <c r="HU783" s="346"/>
      <c r="HV783" s="307"/>
      <c r="HX783" s="346"/>
      <c r="HY783" s="350"/>
      <c r="IA783" s="346"/>
      <c r="ID783" s="346"/>
      <c r="IE783" s="350"/>
      <c r="IF783" s="350"/>
      <c r="IG783" s="346"/>
      <c r="IH783" s="350"/>
      <c r="II783" s="350"/>
      <c r="IJ783" s="346"/>
      <c r="IK783" s="350"/>
      <c r="IL783" s="350"/>
      <c r="IM783" s="346"/>
      <c r="IN783" s="350"/>
      <c r="IO783" s="350"/>
      <c r="IP783" s="346"/>
      <c r="IQ783" s="350"/>
      <c r="IR783" s="350"/>
      <c r="IS783" s="346"/>
      <c r="IT783" s="350"/>
      <c r="IU783" s="350"/>
      <c r="IV783" s="346"/>
      <c r="IW783" s="350"/>
      <c r="IX783" s="350"/>
      <c r="IY783" s="346"/>
      <c r="IZ783" s="350">
        <f>(((FISC!AJ134+FISC!AJ140))*FISC!AK253/1000)</f>
        <v>0</v>
      </c>
      <c r="JA783" s="350">
        <f>(((FISC!AK134+FISC!AK140))*FISC!AK253/1000)</f>
        <v>0</v>
      </c>
      <c r="JB783" s="346">
        <f>FISC!AK1097</f>
        <v>0</v>
      </c>
      <c r="JC783" s="350">
        <f>(((FISC!AK146+FISC!AK152))*FISC!AL253/1000)</f>
        <v>0</v>
      </c>
      <c r="JD783" s="302">
        <f>(((FISC!AL134+FISC!AL140))*FISC!AL253/1000)</f>
        <v>19.908736321896146</v>
      </c>
      <c r="JE783" s="346">
        <f>FISC!AL1097</f>
        <v>19.908736321896146</v>
      </c>
      <c r="JF783" s="350">
        <f>(((FISC!AL146+FISC!AL152))*FISC!AM253/1000)</f>
        <v>21.227008757276071</v>
      </c>
      <c r="JG783" s="302">
        <f>(((FISC!AM134+FISC!AM140))*FISC!AM253/1000)</f>
        <v>34.787536123946992</v>
      </c>
      <c r="JH783" s="346">
        <f>FISC!AM1097</f>
        <v>56.014544881223067</v>
      </c>
      <c r="JI783" s="350">
        <f>(((FISC!AM146+FISC!AM152))*FISC!AN253/1000)</f>
        <v>36.756721556303873</v>
      </c>
      <c r="JJ783" s="302">
        <f>(((FISC!AN134+FISC!AN140))*FISC!AP253/1000)</f>
        <v>38.533791549100457</v>
      </c>
      <c r="JK783" s="346">
        <f>FISC!AN1097</f>
        <v>72.308436420489798</v>
      </c>
      <c r="JL783" s="350">
        <f>(((FISC!AN146+FISC!AN152))*FISC!AO253/1000)</f>
        <v>35.84824715403461</v>
      </c>
      <c r="JM783" s="302">
        <f>(((FISC!AO134+FISC!AO140))*FISC!AO253/1000)</f>
        <v>29.45431059238382</v>
      </c>
      <c r="JN783" s="346">
        <f>FISC!AO1097</f>
        <v>65.302557746418429</v>
      </c>
      <c r="KI783" s="349"/>
      <c r="KJ783" s="350"/>
    </row>
    <row r="784" spans="1:296" hidden="1" outlineLevel="1">
      <c r="A784" s="302"/>
      <c r="D784" s="1635" t="s">
        <v>3789</v>
      </c>
      <c r="E784" s="346"/>
      <c r="F784" s="346"/>
      <c r="G784" s="346"/>
      <c r="H784" s="346"/>
      <c r="I784" s="346"/>
      <c r="J784" s="346"/>
      <c r="K784" s="346"/>
      <c r="L784" s="346"/>
      <c r="M784" s="346"/>
      <c r="N784" s="346"/>
      <c r="O784" s="346"/>
      <c r="P784" s="346"/>
      <c r="Q784" s="346"/>
      <c r="R784" s="346"/>
      <c r="S784" s="346"/>
      <c r="T784" s="346"/>
      <c r="U784" s="346"/>
      <c r="V784" s="346"/>
      <c r="W784" s="346"/>
      <c r="X784" s="346"/>
      <c r="Y784" s="346"/>
      <c r="Z784" s="346"/>
      <c r="AA784" s="346"/>
      <c r="AB784" s="346"/>
      <c r="AC784" s="346"/>
      <c r="AD784" s="346"/>
      <c r="AE784" s="346"/>
      <c r="AF784" s="346"/>
      <c r="AG784" s="346"/>
      <c r="AH784" s="346"/>
      <c r="AI784" s="346"/>
      <c r="AJ784" s="346"/>
      <c r="AK784" s="346"/>
      <c r="AL784" s="346"/>
      <c r="AM784" s="346"/>
      <c r="AN784" s="346"/>
      <c r="AO784" s="346"/>
      <c r="AP784" s="346"/>
      <c r="AQ784" s="346"/>
      <c r="AR784" s="346"/>
      <c r="AS784" s="346"/>
      <c r="AT784" s="346"/>
      <c r="AU784" s="346"/>
      <c r="AV784" s="346"/>
      <c r="AW784" s="346"/>
      <c r="AX784" s="346"/>
      <c r="AY784" s="346"/>
      <c r="AZ784" s="346"/>
      <c r="BA784" s="346"/>
      <c r="BB784" s="346"/>
      <c r="BC784" s="346"/>
      <c r="BD784" s="346"/>
      <c r="BE784" s="346"/>
      <c r="BF784" s="346"/>
      <c r="BG784" s="346"/>
      <c r="BH784" s="346"/>
      <c r="BI784" s="346"/>
      <c r="BJ784" s="346"/>
      <c r="BK784" s="346"/>
      <c r="BL784" s="346"/>
      <c r="BM784" s="346"/>
      <c r="BN784" s="346"/>
      <c r="BO784" s="346"/>
      <c r="BP784" s="346"/>
      <c r="BQ784" s="346"/>
      <c r="BR784" s="346"/>
      <c r="BS784" s="346"/>
      <c r="BT784" s="346"/>
      <c r="BU784" s="346"/>
      <c r="BV784" s="346"/>
      <c r="BW784" s="346"/>
      <c r="BX784" s="346"/>
      <c r="BY784" s="346"/>
      <c r="BZ784" s="346"/>
      <c r="CA784" s="346"/>
      <c r="CB784" s="346"/>
      <c r="CC784" s="346"/>
      <c r="CD784" s="352"/>
      <c r="CE784" s="346"/>
      <c r="CF784" s="346"/>
      <c r="CG784" s="346"/>
      <c r="CH784" s="346"/>
      <c r="CI784" s="346"/>
      <c r="CJ784" s="346"/>
      <c r="CK784" s="346"/>
      <c r="CL784" s="346"/>
      <c r="CM784" s="346"/>
      <c r="CN784" s="346"/>
      <c r="CO784" s="346"/>
      <c r="CP784" s="348"/>
      <c r="CQ784" s="346"/>
      <c r="CR784" s="346"/>
      <c r="CS784" s="346"/>
      <c r="CT784" s="346"/>
      <c r="CU784" s="346"/>
      <c r="CV784" s="346"/>
      <c r="CW784" s="346"/>
      <c r="CX784" s="346"/>
      <c r="CY784" s="346"/>
      <c r="CZ784" s="346"/>
      <c r="DA784" s="346"/>
      <c r="DB784" s="1479"/>
      <c r="DC784" s="346"/>
      <c r="DD784" s="346"/>
      <c r="DE784" s="346"/>
      <c r="DF784" s="346"/>
      <c r="DG784" s="346"/>
      <c r="DH784" s="346"/>
      <c r="DI784" s="346"/>
      <c r="DJ784" s="346"/>
      <c r="DK784" s="346"/>
      <c r="DL784" s="346"/>
      <c r="DM784" s="346"/>
      <c r="DN784" s="348"/>
      <c r="DO784" s="346"/>
      <c r="DP784" s="346"/>
      <c r="DQ784" s="346"/>
      <c r="DR784" s="346"/>
      <c r="DS784" s="346"/>
      <c r="DT784" s="346"/>
      <c r="DU784" s="346"/>
      <c r="DV784" s="346"/>
      <c r="DW784" s="346"/>
      <c r="DX784" s="346"/>
      <c r="DY784" s="346"/>
      <c r="DZ784" s="348"/>
      <c r="EA784" s="346"/>
      <c r="EB784" s="346"/>
      <c r="EC784" s="346"/>
      <c r="ED784" s="346"/>
      <c r="EE784" s="346"/>
      <c r="EF784" s="346"/>
      <c r="EG784" s="346"/>
      <c r="EH784" s="346"/>
      <c r="EI784" s="346"/>
      <c r="EJ784" s="346"/>
      <c r="EK784" s="346"/>
      <c r="EL784" s="348"/>
      <c r="EM784" s="346"/>
      <c r="EN784" s="346"/>
      <c r="EO784" s="346"/>
      <c r="EP784" s="346"/>
      <c r="EQ784" s="346"/>
      <c r="ER784" s="346"/>
      <c r="ES784" s="346"/>
      <c r="ET784" s="346"/>
      <c r="EU784" s="346"/>
      <c r="EV784" s="346"/>
      <c r="EW784" s="346"/>
      <c r="EX784" s="348"/>
      <c r="EY784" s="346"/>
      <c r="EZ784" s="346"/>
      <c r="FA784" s="346"/>
      <c r="FB784" s="346"/>
      <c r="FC784" s="346"/>
      <c r="FD784" s="346"/>
      <c r="FE784" s="346"/>
      <c r="FF784" s="346"/>
      <c r="FG784" s="346"/>
      <c r="FH784" s="346"/>
      <c r="FI784" s="346"/>
      <c r="FJ784" s="348"/>
      <c r="FK784" s="346"/>
      <c r="FL784" s="346"/>
      <c r="FM784" s="346"/>
      <c r="FN784" s="346"/>
      <c r="FO784" s="346"/>
      <c r="FP784" s="346"/>
      <c r="FQ784" s="346"/>
      <c r="FR784" s="346"/>
      <c r="FS784" s="346"/>
      <c r="FT784" s="346"/>
      <c r="FU784" s="346"/>
      <c r="FV784" s="346"/>
      <c r="FW784" s="346"/>
      <c r="FX784" s="346"/>
      <c r="FY784" s="346"/>
      <c r="FZ784" s="346"/>
      <c r="GA784" s="346"/>
      <c r="GB784" s="346"/>
      <c r="GC784" s="346"/>
      <c r="GD784" s="346"/>
      <c r="GE784" s="346"/>
      <c r="GF784" s="346"/>
      <c r="GG784" s="346"/>
      <c r="GH784" s="346"/>
      <c r="GI784" s="1897"/>
      <c r="HN784" s="349"/>
      <c r="HO784" s="1635"/>
      <c r="HP784" s="307"/>
      <c r="HR784" s="346"/>
      <c r="HU784" s="346"/>
      <c r="HV784" s="307"/>
      <c r="HX784" s="346"/>
      <c r="HY784" s="350"/>
      <c r="IA784" s="346"/>
      <c r="ID784" s="346"/>
      <c r="IE784" s="350"/>
      <c r="IF784" s="350"/>
      <c r="IG784" s="346"/>
      <c r="IH784" s="350"/>
      <c r="II784" s="350"/>
      <c r="IJ784" s="346"/>
      <c r="IK784" s="350"/>
      <c r="IL784" s="350"/>
      <c r="IM784" s="346"/>
      <c r="IN784" s="350"/>
      <c r="IO784" s="350"/>
      <c r="IP784" s="346"/>
      <c r="IQ784" s="350"/>
      <c r="IR784" s="350"/>
      <c r="IS784" s="346"/>
      <c r="IT784" s="350"/>
      <c r="IU784" s="350"/>
      <c r="IV784" s="346"/>
      <c r="IW784" s="350"/>
      <c r="IX784" s="350"/>
      <c r="IY784" s="346"/>
      <c r="IZ784" s="350">
        <f>(((FISC!AJ135+FISC!AJ141))*FISC!AK253/1000)</f>
        <v>0</v>
      </c>
      <c r="JA784" s="350">
        <f>(((FISC!AK135+FISC!AK141))*FISC!AK253/1000)</f>
        <v>0</v>
      </c>
      <c r="JB784" s="346">
        <f>FISC!AK1098</f>
        <v>0</v>
      </c>
      <c r="JC784" s="350">
        <f>(((FISC!AK147+FISC!AK153))*FISC!AL253/1000)</f>
        <v>0</v>
      </c>
      <c r="JD784" s="302">
        <f>(((FISC!AL135+FISC!AL141))*FISC!AL253/1000)</f>
        <v>1.3674411535089031</v>
      </c>
      <c r="JE784" s="346">
        <f>FISC!AL1098</f>
        <v>1.3674411535089031</v>
      </c>
      <c r="JF784" s="350">
        <f>(((FISC!AL147+FISC!AL153))*FISC!AM253/1000)</f>
        <v>2.9159746627081367</v>
      </c>
      <c r="JG784" s="302">
        <f>(((FISC!AM135+FISC!AM141))*FISC!AM253/1000)</f>
        <v>3.8852600479501032</v>
      </c>
      <c r="JH784" s="346">
        <f>FISC!AM1098</f>
        <v>6.8012347106582389</v>
      </c>
      <c r="JI784" s="350">
        <f>(((FISC!AM147+FISC!AM153))*FISC!AN253/1000)</f>
        <v>8.2103704291232038</v>
      </c>
      <c r="JJ784" s="302">
        <f>(((FISC!AN135+FISC!AN141))*FISC!AP253/1000)</f>
        <v>4.4495341970053062</v>
      </c>
      <c r="JK784" s="346">
        <f>FISC!AN1098</f>
        <v>12.315561345745316</v>
      </c>
      <c r="JL784" s="350">
        <f>(((FISC!AN147+FISC!AN153))*FISC!AO253/1000)</f>
        <v>11.902676291136308</v>
      </c>
      <c r="JM784" s="302">
        <f>(((FISC!AO135+FISC!AO141))*FISC!AO253/1000)</f>
        <v>6.8144021022366559</v>
      </c>
      <c r="JN784" s="346">
        <f>FISC!AO1098</f>
        <v>18.717078393372965</v>
      </c>
      <c r="KI784" s="349"/>
      <c r="KJ784" s="350"/>
    </row>
    <row r="785" spans="1:296" hidden="1" outlineLevel="1">
      <c r="A785" s="302"/>
      <c r="D785" s="1635" t="s">
        <v>3790</v>
      </c>
      <c r="E785" s="346"/>
      <c r="F785" s="346"/>
      <c r="G785" s="346"/>
      <c r="H785" s="346"/>
      <c r="I785" s="346"/>
      <c r="J785" s="346"/>
      <c r="K785" s="346"/>
      <c r="L785" s="346"/>
      <c r="M785" s="346"/>
      <c r="N785" s="346"/>
      <c r="O785" s="346"/>
      <c r="P785" s="346"/>
      <c r="Q785" s="346"/>
      <c r="R785" s="346"/>
      <c r="S785" s="346"/>
      <c r="T785" s="346"/>
      <c r="U785" s="346"/>
      <c r="V785" s="346"/>
      <c r="W785" s="346"/>
      <c r="X785" s="346"/>
      <c r="Y785" s="346"/>
      <c r="Z785" s="346"/>
      <c r="AA785" s="346"/>
      <c r="AB785" s="346"/>
      <c r="AC785" s="346"/>
      <c r="AD785" s="346"/>
      <c r="AE785" s="346"/>
      <c r="AF785" s="346"/>
      <c r="AG785" s="346"/>
      <c r="AH785" s="346"/>
      <c r="AI785" s="346"/>
      <c r="AJ785" s="346"/>
      <c r="AK785" s="346"/>
      <c r="AL785" s="346"/>
      <c r="AM785" s="346"/>
      <c r="AN785" s="346"/>
      <c r="AO785" s="346"/>
      <c r="AP785" s="346"/>
      <c r="AQ785" s="346"/>
      <c r="AR785" s="346"/>
      <c r="AS785" s="346"/>
      <c r="AT785" s="346"/>
      <c r="AU785" s="346"/>
      <c r="AV785" s="346"/>
      <c r="AW785" s="346"/>
      <c r="AX785" s="346"/>
      <c r="AY785" s="346"/>
      <c r="AZ785" s="346"/>
      <c r="BA785" s="346"/>
      <c r="BB785" s="346"/>
      <c r="BC785" s="346"/>
      <c r="BD785" s="346"/>
      <c r="BE785" s="346"/>
      <c r="BF785" s="346"/>
      <c r="BG785" s="346"/>
      <c r="BH785" s="346"/>
      <c r="BI785" s="346"/>
      <c r="BJ785" s="346"/>
      <c r="BK785" s="346"/>
      <c r="BL785" s="346"/>
      <c r="BM785" s="346"/>
      <c r="BN785" s="346"/>
      <c r="BO785" s="346"/>
      <c r="BP785" s="346"/>
      <c r="BQ785" s="346"/>
      <c r="BR785" s="346"/>
      <c r="BS785" s="346"/>
      <c r="BT785" s="346"/>
      <c r="BU785" s="346"/>
      <c r="BV785" s="346"/>
      <c r="BW785" s="346"/>
      <c r="BX785" s="346"/>
      <c r="BY785" s="346"/>
      <c r="BZ785" s="346"/>
      <c r="CA785" s="346"/>
      <c r="CB785" s="346"/>
      <c r="CC785" s="346"/>
      <c r="CD785" s="352"/>
      <c r="CE785" s="346"/>
      <c r="CF785" s="346"/>
      <c r="CG785" s="346"/>
      <c r="CH785" s="346"/>
      <c r="CI785" s="346"/>
      <c r="CJ785" s="346"/>
      <c r="CK785" s="346"/>
      <c r="CL785" s="346"/>
      <c r="CM785" s="346"/>
      <c r="CN785" s="346"/>
      <c r="CO785" s="346"/>
      <c r="CP785" s="348"/>
      <c r="CQ785" s="346"/>
      <c r="CR785" s="346"/>
      <c r="CS785" s="346"/>
      <c r="CT785" s="346"/>
      <c r="CU785" s="346"/>
      <c r="CV785" s="346"/>
      <c r="CW785" s="346"/>
      <c r="CX785" s="346"/>
      <c r="CY785" s="346"/>
      <c r="CZ785" s="346"/>
      <c r="DA785" s="346"/>
      <c r="DB785" s="1479"/>
      <c r="DC785" s="346"/>
      <c r="DD785" s="346"/>
      <c r="DE785" s="346"/>
      <c r="DF785" s="346"/>
      <c r="DG785" s="346"/>
      <c r="DH785" s="346"/>
      <c r="DI785" s="346"/>
      <c r="DJ785" s="346"/>
      <c r="DK785" s="346"/>
      <c r="DL785" s="346"/>
      <c r="DM785" s="346"/>
      <c r="DN785" s="348"/>
      <c r="DO785" s="346"/>
      <c r="DP785" s="346"/>
      <c r="DQ785" s="346"/>
      <c r="DR785" s="346"/>
      <c r="DS785" s="346"/>
      <c r="DT785" s="346"/>
      <c r="DU785" s="346"/>
      <c r="DV785" s="346"/>
      <c r="DW785" s="346"/>
      <c r="DX785" s="346"/>
      <c r="DY785" s="346"/>
      <c r="DZ785" s="348"/>
      <c r="EA785" s="346"/>
      <c r="EB785" s="346"/>
      <c r="EC785" s="346"/>
      <c r="ED785" s="346"/>
      <c r="EE785" s="346"/>
      <c r="EF785" s="346"/>
      <c r="EG785" s="346"/>
      <c r="EH785" s="346"/>
      <c r="EI785" s="346"/>
      <c r="EJ785" s="346"/>
      <c r="EK785" s="346"/>
      <c r="EL785" s="348"/>
      <c r="EM785" s="346"/>
      <c r="EN785" s="346"/>
      <c r="EO785" s="346"/>
      <c r="EP785" s="346"/>
      <c r="EQ785" s="346"/>
      <c r="ER785" s="346"/>
      <c r="ES785" s="346"/>
      <c r="ET785" s="346"/>
      <c r="EU785" s="346"/>
      <c r="EV785" s="346"/>
      <c r="EW785" s="346"/>
      <c r="EX785" s="348"/>
      <c r="EY785" s="346"/>
      <c r="EZ785" s="346"/>
      <c r="FA785" s="346"/>
      <c r="FB785" s="346"/>
      <c r="FC785" s="346"/>
      <c r="FD785" s="346"/>
      <c r="FE785" s="346"/>
      <c r="FF785" s="346"/>
      <c r="FG785" s="346"/>
      <c r="FH785" s="346"/>
      <c r="FI785" s="346"/>
      <c r="FJ785" s="348"/>
      <c r="FK785" s="346"/>
      <c r="FL785" s="346"/>
      <c r="FM785" s="346"/>
      <c r="FN785" s="346"/>
      <c r="FO785" s="346"/>
      <c r="FP785" s="346"/>
      <c r="FQ785" s="346"/>
      <c r="FR785" s="346"/>
      <c r="FS785" s="346"/>
      <c r="FT785" s="346"/>
      <c r="FU785" s="346"/>
      <c r="FV785" s="346"/>
      <c r="FW785" s="346"/>
      <c r="FX785" s="346"/>
      <c r="FY785" s="346"/>
      <c r="FZ785" s="346"/>
      <c r="GA785" s="346"/>
      <c r="GB785" s="346"/>
      <c r="GC785" s="346"/>
      <c r="GD785" s="346"/>
      <c r="GE785" s="346"/>
      <c r="GF785" s="346"/>
      <c r="GG785" s="346"/>
      <c r="GH785" s="346"/>
      <c r="GI785" s="1897"/>
      <c r="HN785" s="349"/>
      <c r="HO785" s="1635"/>
      <c r="HP785" s="307"/>
      <c r="HR785" s="346"/>
      <c r="HU785" s="346"/>
      <c r="HV785" s="307"/>
      <c r="HX785" s="346"/>
      <c r="HY785" s="350"/>
      <c r="IA785" s="346"/>
      <c r="ID785" s="346"/>
      <c r="IE785" s="350"/>
      <c r="IF785" s="350"/>
      <c r="IG785" s="346"/>
      <c r="IH785" s="350"/>
      <c r="II785" s="350"/>
      <c r="IJ785" s="346"/>
      <c r="IK785" s="350"/>
      <c r="IL785" s="350"/>
      <c r="IM785" s="346"/>
      <c r="IN785" s="350"/>
      <c r="IO785" s="350"/>
      <c r="IP785" s="346"/>
      <c r="IQ785" s="350"/>
      <c r="IR785" s="350"/>
      <c r="IS785" s="346"/>
      <c r="IT785" s="350"/>
      <c r="IU785" s="350"/>
      <c r="IV785" s="346"/>
      <c r="IW785" s="350"/>
      <c r="IX785" s="350"/>
      <c r="IY785" s="346"/>
      <c r="IZ785" s="350">
        <f>(((FISC!AJ136+FISC!AJ142))*FISC!AK253/1000)</f>
        <v>0</v>
      </c>
      <c r="JA785" s="350">
        <f>(((FISC!AK136+FISC!AK142))*FISC!AK253/1000)</f>
        <v>58.374698730275497</v>
      </c>
      <c r="JB785" s="346">
        <f>FISC!AK1099</f>
        <v>58.374698730275497</v>
      </c>
      <c r="JC785" s="350">
        <f>(((FISC!AK148+FISC!AK154))*FISC!AL253/1000)</f>
        <v>62.699722316244653</v>
      </c>
      <c r="JD785" s="302">
        <f>(((FISC!AL136+FISC!AL142))*FISC!AL253/1000)</f>
        <v>62.699722316244653</v>
      </c>
      <c r="JE785" s="346">
        <f>FISC!AL1099</f>
        <v>125.39944463248931</v>
      </c>
      <c r="JF785" s="350">
        <f>(((FISC!AL148+FISC!AL154))*FISC!AM253/1000)</f>
        <v>66.85143311792794</v>
      </c>
      <c r="JG785" s="302">
        <f>(((FISC!AM136+FISC!AM142))*FISC!AM253/1000)</f>
        <v>66.85143311792794</v>
      </c>
      <c r="JH785" s="346">
        <f>FISC!AM1099</f>
        <v>133.70286623585588</v>
      </c>
      <c r="JI785" s="350">
        <f>(((FISC!AM148+FISC!AM154))*FISC!AN253/1000)</f>
        <v>70.635629496739128</v>
      </c>
      <c r="JJ785" s="302">
        <f>(((FISC!AN136+FISC!AN142))*FISC!AP253/1000)</f>
        <v>76.560543798374738</v>
      </c>
      <c r="JK785" s="346">
        <f>FISC!AN1099</f>
        <v>141.27125899347826</v>
      </c>
      <c r="JL785" s="350">
        <f>(((FISC!AN148+FISC!AN154))*FISC!AO253/1000)</f>
        <v>73.723615415906707</v>
      </c>
      <c r="JM785" s="302">
        <f>(((FISC!AO136+FISC!AO142))*FISC!AO253/1000)</f>
        <v>73.723615415906707</v>
      </c>
      <c r="JN785" s="346">
        <f>FISC!AO1099</f>
        <v>147.44723083181341</v>
      </c>
      <c r="KI785" s="349"/>
      <c r="KJ785" s="350"/>
    </row>
    <row r="786" spans="1:296" hidden="1" outlineLevel="1">
      <c r="A786" s="302"/>
      <c r="D786" s="1635" t="s">
        <v>3292</v>
      </c>
      <c r="E786" s="346"/>
      <c r="F786" s="346"/>
      <c r="G786" s="346"/>
      <c r="H786" s="346"/>
      <c r="I786" s="346"/>
      <c r="J786" s="346"/>
      <c r="K786" s="346"/>
      <c r="L786" s="346"/>
      <c r="M786" s="346"/>
      <c r="N786" s="346"/>
      <c r="O786" s="346"/>
      <c r="P786" s="346"/>
      <c r="Q786" s="346"/>
      <c r="R786" s="346"/>
      <c r="S786" s="346"/>
      <c r="T786" s="346"/>
      <c r="U786" s="346"/>
      <c r="V786" s="346"/>
      <c r="W786" s="346"/>
      <c r="X786" s="346"/>
      <c r="Y786" s="346"/>
      <c r="Z786" s="346"/>
      <c r="AA786" s="346"/>
      <c r="AB786" s="346"/>
      <c r="AC786" s="346"/>
      <c r="AD786" s="346"/>
      <c r="AE786" s="346"/>
      <c r="AF786" s="346"/>
      <c r="AG786" s="346"/>
      <c r="AH786" s="346"/>
      <c r="AI786" s="346"/>
      <c r="AJ786" s="346"/>
      <c r="AK786" s="346"/>
      <c r="AL786" s="346"/>
      <c r="AM786" s="346"/>
      <c r="AN786" s="346"/>
      <c r="AO786" s="346"/>
      <c r="AP786" s="346"/>
      <c r="AQ786" s="346"/>
      <c r="AR786" s="346"/>
      <c r="AS786" s="346"/>
      <c r="AT786" s="346"/>
      <c r="AU786" s="346"/>
      <c r="AV786" s="346"/>
      <c r="AW786" s="346"/>
      <c r="AX786" s="346"/>
      <c r="AY786" s="346"/>
      <c r="AZ786" s="346"/>
      <c r="BA786" s="346"/>
      <c r="BB786" s="346"/>
      <c r="BC786" s="346"/>
      <c r="BD786" s="346"/>
      <c r="BE786" s="346"/>
      <c r="BF786" s="346"/>
      <c r="BG786" s="346"/>
      <c r="BH786" s="346"/>
      <c r="BI786" s="346"/>
      <c r="BJ786" s="346"/>
      <c r="BK786" s="346"/>
      <c r="BL786" s="346"/>
      <c r="BM786" s="346"/>
      <c r="BN786" s="346"/>
      <c r="BO786" s="346"/>
      <c r="BP786" s="346"/>
      <c r="BQ786" s="346"/>
      <c r="BR786" s="346"/>
      <c r="BS786" s="346"/>
      <c r="BT786" s="346"/>
      <c r="BU786" s="346"/>
      <c r="BV786" s="346"/>
      <c r="BW786" s="346"/>
      <c r="BX786" s="346"/>
      <c r="BY786" s="346"/>
      <c r="BZ786" s="346"/>
      <c r="CA786" s="346"/>
      <c r="CB786" s="346"/>
      <c r="CC786" s="346"/>
      <c r="CD786" s="352"/>
      <c r="CE786" s="346"/>
      <c r="CF786" s="346"/>
      <c r="CG786" s="346"/>
      <c r="CH786" s="346"/>
      <c r="CI786" s="346"/>
      <c r="CJ786" s="346"/>
      <c r="CK786" s="346"/>
      <c r="CL786" s="346"/>
      <c r="CM786" s="346"/>
      <c r="CN786" s="346"/>
      <c r="CO786" s="346"/>
      <c r="CP786" s="348"/>
      <c r="CQ786" s="346"/>
      <c r="CR786" s="346"/>
      <c r="CS786" s="346"/>
      <c r="CT786" s="346"/>
      <c r="CU786" s="346"/>
      <c r="CV786" s="346"/>
      <c r="CW786" s="346"/>
      <c r="CX786" s="346"/>
      <c r="CY786" s="346"/>
      <c r="CZ786" s="346"/>
      <c r="DA786" s="346"/>
      <c r="DB786" s="1479"/>
      <c r="DC786" s="346"/>
      <c r="DD786" s="346"/>
      <c r="DE786" s="346"/>
      <c r="DF786" s="346"/>
      <c r="DG786" s="346"/>
      <c r="DH786" s="346"/>
      <c r="DI786" s="346"/>
      <c r="DJ786" s="346"/>
      <c r="DK786" s="346"/>
      <c r="DL786" s="346"/>
      <c r="DM786" s="346"/>
      <c r="DN786" s="348"/>
      <c r="DO786" s="346"/>
      <c r="DP786" s="346"/>
      <c r="DQ786" s="346"/>
      <c r="DR786" s="346"/>
      <c r="DS786" s="346"/>
      <c r="DT786" s="346"/>
      <c r="DU786" s="346"/>
      <c r="DV786" s="346"/>
      <c r="DW786" s="346"/>
      <c r="DX786" s="346"/>
      <c r="DY786" s="346"/>
      <c r="DZ786" s="348"/>
      <c r="EA786" s="346"/>
      <c r="EB786" s="346"/>
      <c r="EC786" s="346"/>
      <c r="ED786" s="346"/>
      <c r="EE786" s="346"/>
      <c r="EF786" s="346"/>
      <c r="EG786" s="346"/>
      <c r="EH786" s="346"/>
      <c r="EI786" s="346"/>
      <c r="EJ786" s="346"/>
      <c r="EK786" s="346"/>
      <c r="EL786" s="348"/>
      <c r="EM786" s="346"/>
      <c r="EN786" s="346"/>
      <c r="EO786" s="346"/>
      <c r="EP786" s="346"/>
      <c r="EQ786" s="346"/>
      <c r="ER786" s="346"/>
      <c r="ES786" s="346"/>
      <c r="ET786" s="346"/>
      <c r="EU786" s="346"/>
      <c r="EV786" s="346"/>
      <c r="EW786" s="346"/>
      <c r="EX786" s="348"/>
      <c r="EY786" s="346"/>
      <c r="EZ786" s="346"/>
      <c r="FA786" s="346"/>
      <c r="FB786" s="346"/>
      <c r="FC786" s="346"/>
      <c r="FD786" s="346"/>
      <c r="FE786" s="346"/>
      <c r="FF786" s="346"/>
      <c r="FG786" s="346"/>
      <c r="FH786" s="346"/>
      <c r="FI786" s="346"/>
      <c r="FJ786" s="348"/>
      <c r="FK786" s="346"/>
      <c r="FL786" s="346"/>
      <c r="FM786" s="346"/>
      <c r="FN786" s="346"/>
      <c r="FO786" s="346"/>
      <c r="FP786" s="346"/>
      <c r="FQ786" s="346"/>
      <c r="FR786" s="346"/>
      <c r="FS786" s="346"/>
      <c r="FT786" s="346"/>
      <c r="FU786" s="346"/>
      <c r="FV786" s="346"/>
      <c r="FW786" s="346"/>
      <c r="FX786" s="346"/>
      <c r="FY786" s="346"/>
      <c r="FZ786" s="346"/>
      <c r="GA786" s="346"/>
      <c r="GB786" s="346"/>
      <c r="GC786" s="346"/>
      <c r="GD786" s="346"/>
      <c r="GE786" s="346"/>
      <c r="GF786" s="346"/>
      <c r="GG786" s="346"/>
      <c r="GH786" s="346"/>
      <c r="GI786" s="1897"/>
      <c r="HN786" s="349"/>
      <c r="HO786" s="1635"/>
      <c r="HP786" s="307"/>
      <c r="HR786" s="346"/>
      <c r="HU786" s="346"/>
      <c r="HV786" s="307"/>
      <c r="HX786" s="346"/>
      <c r="HY786" s="350"/>
      <c r="IA786" s="346"/>
      <c r="ID786" s="346"/>
      <c r="IE786" s="350"/>
      <c r="IF786" s="350"/>
      <c r="IG786" s="346"/>
      <c r="IH786" s="350"/>
      <c r="II786" s="350"/>
      <c r="IJ786" s="346"/>
      <c r="IK786" s="350"/>
      <c r="IL786" s="350"/>
      <c r="IM786" s="346"/>
      <c r="IN786" s="350"/>
      <c r="IO786" s="350"/>
      <c r="IP786" s="346"/>
      <c r="IQ786" s="350"/>
      <c r="IR786" s="350"/>
      <c r="IS786" s="346"/>
      <c r="IT786" s="350"/>
      <c r="IU786" s="350"/>
      <c r="IV786" s="346"/>
      <c r="IW786" s="350"/>
      <c r="IX786" s="350"/>
      <c r="IY786" s="346"/>
      <c r="IZ786" s="350">
        <f>FISC!AK1100</f>
        <v>18.270806904184909</v>
      </c>
      <c r="JA786" s="302">
        <f>JB786-IZ786</f>
        <v>0</v>
      </c>
      <c r="JB786" s="346">
        <f>FISC!AK1100</f>
        <v>18.270806904184909</v>
      </c>
      <c r="JC786" s="350">
        <v>0</v>
      </c>
      <c r="JD786" s="302">
        <v>0</v>
      </c>
      <c r="JE786" s="346">
        <f>FISC!AL1100</f>
        <v>0</v>
      </c>
      <c r="JF786" s="350">
        <v>0</v>
      </c>
      <c r="JG786" s="302">
        <v>0</v>
      </c>
      <c r="JH786" s="346">
        <f>FISC!AM1100</f>
        <v>0</v>
      </c>
      <c r="JI786" s="350">
        <v>0</v>
      </c>
      <c r="JJ786" s="302">
        <v>0</v>
      </c>
      <c r="JK786" s="346">
        <f>FISC!AN1100</f>
        <v>0</v>
      </c>
      <c r="JL786" s="350">
        <v>0</v>
      </c>
      <c r="JM786" s="302">
        <v>0</v>
      </c>
      <c r="JN786" s="346">
        <f>FISC!AO1100</f>
        <v>0</v>
      </c>
      <c r="KI786" s="349"/>
      <c r="KJ786" s="350"/>
    </row>
    <row r="787" spans="1:296" hidden="1" outlineLevel="1">
      <c r="A787" s="302"/>
      <c r="D787" s="1635" t="s">
        <v>3314</v>
      </c>
      <c r="E787" s="346"/>
      <c r="F787" s="346"/>
      <c r="G787" s="346"/>
      <c r="H787" s="346"/>
      <c r="I787" s="346"/>
      <c r="J787" s="346"/>
      <c r="K787" s="346"/>
      <c r="L787" s="346"/>
      <c r="M787" s="346"/>
      <c r="N787" s="346"/>
      <c r="O787" s="346"/>
      <c r="P787" s="346"/>
      <c r="Q787" s="346"/>
      <c r="R787" s="346"/>
      <c r="S787" s="346"/>
      <c r="T787" s="346"/>
      <c r="U787" s="346"/>
      <c r="V787" s="346"/>
      <c r="W787" s="346"/>
      <c r="X787" s="346"/>
      <c r="Y787" s="346"/>
      <c r="Z787" s="346"/>
      <c r="AA787" s="346"/>
      <c r="AB787" s="346"/>
      <c r="AC787" s="346"/>
      <c r="AD787" s="346"/>
      <c r="AE787" s="346"/>
      <c r="AF787" s="346"/>
      <c r="AG787" s="346"/>
      <c r="AH787" s="346"/>
      <c r="AI787" s="346"/>
      <c r="AJ787" s="346"/>
      <c r="AK787" s="346"/>
      <c r="AL787" s="346"/>
      <c r="AM787" s="346"/>
      <c r="AN787" s="346"/>
      <c r="AO787" s="346"/>
      <c r="AP787" s="346"/>
      <c r="AQ787" s="346"/>
      <c r="AR787" s="346"/>
      <c r="AS787" s="346"/>
      <c r="AT787" s="346"/>
      <c r="AU787" s="346"/>
      <c r="AV787" s="346"/>
      <c r="AW787" s="346"/>
      <c r="AX787" s="346"/>
      <c r="AY787" s="346"/>
      <c r="AZ787" s="346"/>
      <c r="BA787" s="346"/>
      <c r="BB787" s="346"/>
      <c r="BC787" s="346"/>
      <c r="BD787" s="346"/>
      <c r="BE787" s="346"/>
      <c r="BF787" s="346"/>
      <c r="BG787" s="346"/>
      <c r="BH787" s="346"/>
      <c r="BI787" s="346"/>
      <c r="BJ787" s="346"/>
      <c r="BK787" s="346"/>
      <c r="BL787" s="346"/>
      <c r="BM787" s="346"/>
      <c r="BN787" s="346"/>
      <c r="BO787" s="346"/>
      <c r="BP787" s="346"/>
      <c r="BQ787" s="346"/>
      <c r="BR787" s="346"/>
      <c r="BS787" s="346"/>
      <c r="BT787" s="346"/>
      <c r="BU787" s="346"/>
      <c r="BV787" s="346"/>
      <c r="BW787" s="346"/>
      <c r="BX787" s="346"/>
      <c r="BY787" s="346"/>
      <c r="BZ787" s="346"/>
      <c r="CA787" s="346"/>
      <c r="CB787" s="346"/>
      <c r="CC787" s="346"/>
      <c r="CD787" s="352"/>
      <c r="CE787" s="346"/>
      <c r="CF787" s="346"/>
      <c r="CG787" s="346"/>
      <c r="CH787" s="346"/>
      <c r="CI787" s="346"/>
      <c r="CJ787" s="346"/>
      <c r="CK787" s="346"/>
      <c r="CL787" s="346"/>
      <c r="CM787" s="346"/>
      <c r="CN787" s="346"/>
      <c r="CO787" s="346"/>
      <c r="CP787" s="348"/>
      <c r="CQ787" s="346"/>
      <c r="CR787" s="346"/>
      <c r="CS787" s="346"/>
      <c r="CT787" s="346"/>
      <c r="CU787" s="346"/>
      <c r="CV787" s="346"/>
      <c r="CW787" s="346"/>
      <c r="CX787" s="346"/>
      <c r="CY787" s="346"/>
      <c r="CZ787" s="346"/>
      <c r="DA787" s="346"/>
      <c r="DB787" s="1479"/>
      <c r="DC787" s="346"/>
      <c r="DD787" s="346"/>
      <c r="DE787" s="346"/>
      <c r="DF787" s="346"/>
      <c r="DG787" s="346"/>
      <c r="DH787" s="346"/>
      <c r="DI787" s="346"/>
      <c r="DJ787" s="346"/>
      <c r="DK787" s="346"/>
      <c r="DL787" s="346"/>
      <c r="DM787" s="346"/>
      <c r="DN787" s="348"/>
      <c r="DO787" s="346"/>
      <c r="DP787" s="346"/>
      <c r="DQ787" s="346"/>
      <c r="DR787" s="346"/>
      <c r="DS787" s="346"/>
      <c r="DT787" s="346"/>
      <c r="DU787" s="346"/>
      <c r="DV787" s="346"/>
      <c r="DW787" s="346"/>
      <c r="DX787" s="346"/>
      <c r="DY787" s="346"/>
      <c r="DZ787" s="348"/>
      <c r="EA787" s="346"/>
      <c r="EB787" s="346"/>
      <c r="EC787" s="346"/>
      <c r="ED787" s="346"/>
      <c r="EE787" s="346"/>
      <c r="EF787" s="346"/>
      <c r="EG787" s="346"/>
      <c r="EH787" s="346"/>
      <c r="EI787" s="346"/>
      <c r="EJ787" s="346"/>
      <c r="EK787" s="346"/>
      <c r="EL787" s="348"/>
      <c r="EM787" s="346"/>
      <c r="EN787" s="346"/>
      <c r="EO787" s="346"/>
      <c r="EP787" s="346"/>
      <c r="EQ787" s="346"/>
      <c r="ER787" s="346"/>
      <c r="ES787" s="346"/>
      <c r="ET787" s="346"/>
      <c r="EU787" s="346"/>
      <c r="EV787" s="346"/>
      <c r="EW787" s="346"/>
      <c r="EX787" s="348"/>
      <c r="EY787" s="346"/>
      <c r="EZ787" s="346"/>
      <c r="FA787" s="346"/>
      <c r="FB787" s="346"/>
      <c r="FC787" s="346"/>
      <c r="FD787" s="346"/>
      <c r="FE787" s="346"/>
      <c r="FF787" s="346"/>
      <c r="FG787" s="346"/>
      <c r="FH787" s="346"/>
      <c r="FI787" s="346"/>
      <c r="FJ787" s="348"/>
      <c r="FK787" s="346"/>
      <c r="FL787" s="346"/>
      <c r="FM787" s="346"/>
      <c r="FN787" s="346"/>
      <c r="FO787" s="346"/>
      <c r="FP787" s="346"/>
      <c r="FQ787" s="346"/>
      <c r="FR787" s="346"/>
      <c r="FS787" s="346"/>
      <c r="FT787" s="346"/>
      <c r="FU787" s="346"/>
      <c r="FV787" s="346"/>
      <c r="FW787" s="346">
        <v>0</v>
      </c>
      <c r="FX787" s="346">
        <v>0</v>
      </c>
      <c r="FY787" s="346">
        <v>0</v>
      </c>
      <c r="FZ787" s="346">
        <v>0</v>
      </c>
      <c r="GA787" s="346">
        <v>0</v>
      </c>
      <c r="GB787" s="346">
        <v>0</v>
      </c>
      <c r="GC787" s="346">
        <v>0</v>
      </c>
      <c r="GD787" s="346">
        <v>0</v>
      </c>
      <c r="GE787" s="346">
        <v>0</v>
      </c>
      <c r="GF787" s="346">
        <v>0</v>
      </c>
      <c r="GG787" s="346">
        <v>0</v>
      </c>
      <c r="GH787" s="346">
        <v>0</v>
      </c>
      <c r="GI787" s="1897"/>
      <c r="HM787" s="2178"/>
      <c r="HN787" s="349"/>
      <c r="HO787" s="1635"/>
      <c r="HP787" s="307"/>
      <c r="HR787" s="346"/>
      <c r="HU787" s="346"/>
      <c r="HV787" s="307"/>
      <c r="HX787" s="346"/>
      <c r="HY787" s="350"/>
      <c r="IA787" s="346"/>
      <c r="ID787" s="346"/>
      <c r="IE787" s="350"/>
      <c r="IF787" s="350"/>
      <c r="IG787" s="346"/>
      <c r="IH787" s="350"/>
      <c r="II787" s="350"/>
      <c r="IJ787" s="346"/>
      <c r="IK787" s="350"/>
      <c r="IL787" s="350"/>
      <c r="IM787" s="346"/>
      <c r="IN787" s="350">
        <f t="shared" si="1184"/>
        <v>0</v>
      </c>
      <c r="IO787" s="350">
        <f t="shared" si="1185"/>
        <v>0</v>
      </c>
      <c r="IP787" s="346">
        <f t="shared" si="1066"/>
        <v>0</v>
      </c>
      <c r="IQ787" s="350">
        <f t="shared" si="1186"/>
        <v>0</v>
      </c>
      <c r="IR787" s="350">
        <f t="shared" si="1178"/>
        <v>0</v>
      </c>
      <c r="IS787" s="346">
        <f t="shared" si="1195"/>
        <v>0</v>
      </c>
      <c r="IT787" s="350">
        <f t="shared" si="1202"/>
        <v>0</v>
      </c>
      <c r="IU787" s="350">
        <f t="shared" si="986"/>
        <v>0</v>
      </c>
      <c r="IV787" s="346">
        <f t="shared" si="1020"/>
        <v>0</v>
      </c>
      <c r="IW787" s="350">
        <f t="shared" si="1081"/>
        <v>0</v>
      </c>
      <c r="IX787" s="350">
        <f t="shared" si="1069"/>
        <v>9.8468837338422682E-2</v>
      </c>
      <c r="IY787" s="346">
        <f>FISC!AJ1101</f>
        <v>9.8468837338422682E-2</v>
      </c>
      <c r="IZ787" s="350"/>
      <c r="JB787" s="346">
        <f>FISC!AK1101</f>
        <v>0</v>
      </c>
      <c r="JC787" s="350"/>
      <c r="JE787" s="346">
        <f>FISC!AN1101</f>
        <v>0</v>
      </c>
      <c r="JF787" s="350"/>
      <c r="JH787" s="346">
        <f>FISC!AQ1101</f>
        <v>0</v>
      </c>
      <c r="JI787" s="350"/>
      <c r="JK787" s="346">
        <f>FISC!AT1101</f>
        <v>0</v>
      </c>
      <c r="JL787" s="350"/>
      <c r="JM787" s="302">
        <v>0</v>
      </c>
      <c r="JN787" s="346">
        <f>FISC!AO1101</f>
        <v>0</v>
      </c>
      <c r="KI787" s="349"/>
      <c r="KJ787" s="350"/>
    </row>
    <row r="788" spans="1:296" hidden="1" outlineLevel="1">
      <c r="A788" s="302"/>
      <c r="B788" s="117" t="s">
        <v>361</v>
      </c>
      <c r="D788" s="357" t="s">
        <v>563</v>
      </c>
      <c r="E788" s="346"/>
      <c r="F788" s="346"/>
      <c r="G788" s="346"/>
      <c r="H788" s="346"/>
      <c r="I788" s="346"/>
      <c r="J788" s="346"/>
      <c r="K788" s="346"/>
      <c r="L788" s="346"/>
      <c r="M788" s="346"/>
      <c r="N788" s="346"/>
      <c r="O788" s="346"/>
      <c r="P788" s="346"/>
      <c r="Q788" s="346"/>
      <c r="R788" s="346"/>
      <c r="S788" s="346"/>
      <c r="T788" s="346"/>
      <c r="U788" s="346"/>
      <c r="V788" s="346"/>
      <c r="W788" s="346"/>
      <c r="X788" s="346"/>
      <c r="Y788" s="346"/>
      <c r="Z788" s="346"/>
      <c r="AA788" s="346"/>
      <c r="AB788" s="346"/>
      <c r="AC788" s="346"/>
      <c r="AD788" s="346"/>
      <c r="AE788" s="346"/>
      <c r="AF788" s="346"/>
      <c r="AG788" s="346"/>
      <c r="AH788" s="346"/>
      <c r="AI788" s="346"/>
      <c r="AJ788" s="346"/>
      <c r="AK788" s="346"/>
      <c r="AL788" s="346"/>
      <c r="AM788" s="346"/>
      <c r="AN788" s="346"/>
      <c r="AO788" s="346">
        <v>0</v>
      </c>
      <c r="AP788" s="346">
        <v>0</v>
      </c>
      <c r="AQ788" s="346">
        <v>0</v>
      </c>
      <c r="AR788" s="346">
        <v>0</v>
      </c>
      <c r="AS788" s="346">
        <v>0</v>
      </c>
      <c r="AT788" s="346">
        <v>0</v>
      </c>
      <c r="AU788" s="346">
        <v>0</v>
      </c>
      <c r="AV788" s="346">
        <v>0</v>
      </c>
      <c r="AW788" s="346">
        <v>0</v>
      </c>
      <c r="AX788" s="346">
        <v>0</v>
      </c>
      <c r="AY788" s="346">
        <v>0</v>
      </c>
      <c r="AZ788" s="346">
        <v>0</v>
      </c>
      <c r="BA788" s="346">
        <v>0</v>
      </c>
      <c r="BB788" s="346">
        <v>0</v>
      </c>
      <c r="BC788" s="346">
        <v>0</v>
      </c>
      <c r="BD788" s="346">
        <v>0</v>
      </c>
      <c r="BE788" s="346">
        <v>0</v>
      </c>
      <c r="BF788" s="346">
        <v>0</v>
      </c>
      <c r="BG788" s="346">
        <v>0</v>
      </c>
      <c r="BH788" s="346">
        <v>0.295810134</v>
      </c>
      <c r="BI788" s="346">
        <v>2.1481728659999999</v>
      </c>
      <c r="BJ788" s="346">
        <v>0.26642403199999998</v>
      </c>
      <c r="BK788" s="346">
        <v>1.76412624</v>
      </c>
      <c r="BL788" s="346">
        <v>1.4626336339999999</v>
      </c>
      <c r="BM788" s="346">
        <v>0.82027575399999997</v>
      </c>
      <c r="BN788" s="346">
        <v>1.2502861080000001</v>
      </c>
      <c r="BO788" s="346">
        <v>1.802085683</v>
      </c>
      <c r="BP788" s="346">
        <v>0.46797952599999998</v>
      </c>
      <c r="BQ788" s="346">
        <v>0.301244605</v>
      </c>
      <c r="BR788" s="346">
        <v>2.1416643340000001</v>
      </c>
      <c r="BS788" s="346">
        <v>1.5732561999999999E-2</v>
      </c>
      <c r="BT788" s="346">
        <v>0.95036257499999999</v>
      </c>
      <c r="BU788" s="346">
        <v>1.3537466E-2</v>
      </c>
      <c r="BV788" s="346">
        <v>2.4275218239999998</v>
      </c>
      <c r="BW788" s="346">
        <v>1.8822634629999999</v>
      </c>
      <c r="BX788" s="346">
        <v>1.1197607650000001</v>
      </c>
      <c r="BY788" s="346">
        <v>1.6804698010000001</v>
      </c>
      <c r="BZ788" s="346">
        <v>0.83531720399999998</v>
      </c>
      <c r="CA788" s="346">
        <v>0.68247785599999999</v>
      </c>
      <c r="CB788" s="346">
        <v>2.2666474490000001</v>
      </c>
      <c r="CC788" s="346">
        <v>1.2102058950000001</v>
      </c>
      <c r="CD788" s="352">
        <v>3.660926672</v>
      </c>
      <c r="CE788" s="346">
        <f t="shared" ref="CE788:DJ788" si="1203">CE395</f>
        <v>0.91287137277799746</v>
      </c>
      <c r="CF788" s="346">
        <f t="shared" si="1203"/>
        <v>2.6440019562175725</v>
      </c>
      <c r="CG788" s="346">
        <f t="shared" si="1203"/>
        <v>1.8232696501794503</v>
      </c>
      <c r="CH788" s="346">
        <f t="shared" si="1203"/>
        <v>1.003543253476</v>
      </c>
      <c r="CI788" s="346">
        <f t="shared" si="1203"/>
        <v>2.0724815196329995</v>
      </c>
      <c r="CJ788" s="346">
        <f t="shared" si="1203"/>
        <v>1.4396311112401539</v>
      </c>
      <c r="CK788" s="346">
        <f t="shared" si="1203"/>
        <v>1.112374852024002</v>
      </c>
      <c r="CL788" s="346">
        <f t="shared" si="1203"/>
        <v>0.9939060787571673</v>
      </c>
      <c r="CM788" s="346">
        <f t="shared" si="1203"/>
        <v>1.7816367285922678</v>
      </c>
      <c r="CN788" s="346">
        <f t="shared" si="1203"/>
        <v>1.1560964636119997</v>
      </c>
      <c r="CO788" s="346">
        <f t="shared" si="1203"/>
        <v>1.1988465443248493</v>
      </c>
      <c r="CP788" s="348">
        <f t="shared" si="1203"/>
        <v>1.9066930600305543</v>
      </c>
      <c r="CQ788" s="346">
        <f t="shared" si="1203"/>
        <v>0.89509302121562162</v>
      </c>
      <c r="CR788" s="346">
        <f t="shared" si="1203"/>
        <v>2.3775702459999999</v>
      </c>
      <c r="CS788" s="346">
        <f t="shared" si="1203"/>
        <v>0.90811469600000005</v>
      </c>
      <c r="CT788" s="346">
        <f t="shared" si="1203"/>
        <v>0.99845654799999994</v>
      </c>
      <c r="CU788" s="346">
        <f t="shared" si="1203"/>
        <v>2.4439537179999999</v>
      </c>
      <c r="CV788" s="346">
        <f t="shared" si="1203"/>
        <v>0.82912205999999999</v>
      </c>
      <c r="CW788" s="346">
        <f t="shared" si="1203"/>
        <v>0.98295110763615112</v>
      </c>
      <c r="CX788" s="346">
        <f t="shared" si="1203"/>
        <v>2.2928199899999999</v>
      </c>
      <c r="CY788" s="346">
        <f t="shared" si="1203"/>
        <v>1.3823001970000002</v>
      </c>
      <c r="CZ788" s="346">
        <f t="shared" si="1203"/>
        <v>0.9260694413638757</v>
      </c>
      <c r="DA788" s="346">
        <f t="shared" si="1203"/>
        <v>2.73287871</v>
      </c>
      <c r="DB788" s="1479">
        <f t="shared" si="1203"/>
        <v>1.4922935579999999</v>
      </c>
      <c r="DC788" s="346">
        <f t="shared" si="1203"/>
        <v>1.013739671850697</v>
      </c>
      <c r="DD788" s="346">
        <f t="shared" si="1203"/>
        <v>3.8155369459999999</v>
      </c>
      <c r="DE788" s="346">
        <f t="shared" si="1203"/>
        <v>1.2607246313999998</v>
      </c>
      <c r="DF788" s="346">
        <f t="shared" si="1203"/>
        <v>1.327297921581104</v>
      </c>
      <c r="DG788" s="346">
        <f t="shared" si="1203"/>
        <v>4.0140894349999998</v>
      </c>
      <c r="DH788" s="346">
        <f t="shared" si="1203"/>
        <v>1.004022024</v>
      </c>
      <c r="DI788" s="346">
        <f t="shared" si="1203"/>
        <v>1.1573102669999999</v>
      </c>
      <c r="DJ788" s="346">
        <f t="shared" si="1203"/>
        <v>4.0698216370000004</v>
      </c>
      <c r="DK788" s="346">
        <f t="shared" ref="DK788:EP788" si="1204">DK395</f>
        <v>1.2266172930000008</v>
      </c>
      <c r="DL788" s="346">
        <f t="shared" si="1204"/>
        <v>1.0815417723131717</v>
      </c>
      <c r="DM788" s="346">
        <f t="shared" si="1204"/>
        <v>4.1636333206521741</v>
      </c>
      <c r="DN788" s="348">
        <f t="shared" si="1204"/>
        <v>1.3604877480800004</v>
      </c>
      <c r="DO788" s="346">
        <f t="shared" si="1204"/>
        <v>1.235177484</v>
      </c>
      <c r="DP788" s="346">
        <f t="shared" si="1204"/>
        <v>0.58269444500000001</v>
      </c>
      <c r="DQ788" s="346">
        <f t="shared" si="1204"/>
        <v>7.3106368909999997</v>
      </c>
      <c r="DR788" s="346">
        <f t="shared" si="1204"/>
        <v>1.269235978</v>
      </c>
      <c r="DS788" s="346">
        <f t="shared" si="1204"/>
        <v>5.6513437289999997</v>
      </c>
      <c r="DT788" s="346">
        <f t="shared" si="1204"/>
        <v>2.5076567299999999</v>
      </c>
      <c r="DU788" s="346">
        <f t="shared" si="1204"/>
        <v>1.8843587500000001</v>
      </c>
      <c r="DV788" s="346">
        <f t="shared" si="1204"/>
        <v>6.8498788730000006</v>
      </c>
      <c r="DW788" s="346">
        <f t="shared" si="1204"/>
        <v>0.35625000000000001</v>
      </c>
      <c r="DX788" s="346">
        <f t="shared" si="1204"/>
        <v>3.566209593</v>
      </c>
      <c r="DY788" s="346">
        <f t="shared" si="1204"/>
        <v>1.15412743</v>
      </c>
      <c r="DZ788" s="348">
        <f t="shared" si="1204"/>
        <v>2.8856853930000002</v>
      </c>
      <c r="EA788" s="346">
        <f t="shared" si="1204"/>
        <v>2.1337011619999999</v>
      </c>
      <c r="EB788" s="346">
        <f t="shared" si="1204"/>
        <v>7.065974862</v>
      </c>
      <c r="EC788" s="346">
        <f t="shared" si="1204"/>
        <v>2.810076848</v>
      </c>
      <c r="ED788" s="346">
        <f t="shared" si="1204"/>
        <v>2.002213716</v>
      </c>
      <c r="EE788" s="346">
        <f t="shared" si="1204"/>
        <v>7.1626959770000003</v>
      </c>
      <c r="EF788" s="346">
        <f t="shared" si="1204"/>
        <v>2.4804715669999999</v>
      </c>
      <c r="EG788" s="346">
        <f t="shared" si="1204"/>
        <v>2.2338352590000001</v>
      </c>
      <c r="EH788" s="346">
        <f t="shared" si="1204"/>
        <v>7.9621197469999991</v>
      </c>
      <c r="EI788" s="346">
        <f t="shared" si="1204"/>
        <v>0.34307549599999998</v>
      </c>
      <c r="EJ788" s="346">
        <f t="shared" si="1204"/>
        <v>4.1642875720000001</v>
      </c>
      <c r="EK788" s="346">
        <f t="shared" si="1204"/>
        <v>6.2518750000000001</v>
      </c>
      <c r="EL788" s="348">
        <f t="shared" si="1204"/>
        <v>4.2896853220000004</v>
      </c>
      <c r="EM788" s="346">
        <f t="shared" si="1204"/>
        <v>2.228758729166457</v>
      </c>
      <c r="EN788" s="346">
        <f t="shared" si="1204"/>
        <v>7.9635574682075188</v>
      </c>
      <c r="EO788" s="346">
        <f t="shared" si="1204"/>
        <v>2.6397766795801307</v>
      </c>
      <c r="EP788" s="346">
        <f t="shared" si="1204"/>
        <v>2.0865679931982122</v>
      </c>
      <c r="EQ788" s="346">
        <f t="shared" ref="EQ788:FP788" si="1205">EQ395</f>
        <v>2.2005343650000002</v>
      </c>
      <c r="ER788" s="346">
        <f t="shared" si="1205"/>
        <v>10.34234914812088</v>
      </c>
      <c r="ES788" s="346">
        <f t="shared" si="1205"/>
        <v>2.8476184939999998</v>
      </c>
      <c r="ET788" s="346">
        <f t="shared" si="1205"/>
        <v>8.8725304500000011</v>
      </c>
      <c r="EU788" s="346">
        <f t="shared" si="1205"/>
        <v>2.0579719870000002</v>
      </c>
      <c r="EV788" s="346">
        <f t="shared" si="1205"/>
        <v>1.4585385360000001</v>
      </c>
      <c r="EW788" s="346">
        <f t="shared" si="1205"/>
        <v>10.389073190000001</v>
      </c>
      <c r="EX788" s="348">
        <f t="shared" si="1205"/>
        <v>1.516211926</v>
      </c>
      <c r="EY788" s="346">
        <f t="shared" si="1205"/>
        <v>1.9953984659999999</v>
      </c>
      <c r="EZ788" s="346">
        <f t="shared" si="1205"/>
        <v>12.017003176999999</v>
      </c>
      <c r="FA788" s="346">
        <f t="shared" si="1205"/>
        <v>1.34400919</v>
      </c>
      <c r="FB788" s="346">
        <f t="shared" si="1205"/>
        <v>4.4300871810000002</v>
      </c>
      <c r="FC788" s="346">
        <f t="shared" si="1205"/>
        <v>13.811664832</v>
      </c>
      <c r="FD788" s="346">
        <f t="shared" si="1205"/>
        <v>5.4821694860000001</v>
      </c>
      <c r="FE788" s="346">
        <f t="shared" si="1205"/>
        <v>3.1499937920000001</v>
      </c>
      <c r="FF788" s="346">
        <f t="shared" si="1205"/>
        <v>12.751089638</v>
      </c>
      <c r="FG788" s="346">
        <f t="shared" si="1205"/>
        <v>3.8314582430000002</v>
      </c>
      <c r="FH788" s="346">
        <f t="shared" si="1205"/>
        <v>6.4921787229999994</v>
      </c>
      <c r="FI788" s="346">
        <f t="shared" si="1205"/>
        <v>6.2867501839999997</v>
      </c>
      <c r="FJ788" s="348">
        <f t="shared" si="1205"/>
        <v>6.7099874919999998</v>
      </c>
      <c r="FK788" s="346">
        <f t="shared" si="1205"/>
        <v>4.4636755949999998</v>
      </c>
      <c r="FL788" s="346">
        <f t="shared" si="1205"/>
        <v>16.899956773</v>
      </c>
      <c r="FM788" s="346">
        <f t="shared" si="1205"/>
        <v>5.819656954</v>
      </c>
      <c r="FN788" s="346">
        <f t="shared" si="1205"/>
        <v>2.1485233610000001</v>
      </c>
      <c r="FO788" s="346">
        <f t="shared" si="1205"/>
        <v>17.866421719999998</v>
      </c>
      <c r="FP788" s="346">
        <f t="shared" si="1205"/>
        <v>3.8656419530000004</v>
      </c>
      <c r="FQ788" s="346">
        <f t="shared" ref="FQ788:FV788" si="1206">FQ395</f>
        <v>4.7048165869999998</v>
      </c>
      <c r="FR788" s="346">
        <f t="shared" si="1206"/>
        <v>21.759187754999658</v>
      </c>
      <c r="FS788" s="346">
        <f t="shared" si="1206"/>
        <v>6.0728433150000001</v>
      </c>
      <c r="FT788" s="346">
        <f t="shared" si="1206"/>
        <v>3.2050342299999999</v>
      </c>
      <c r="FU788" s="346">
        <f t="shared" si="1206"/>
        <v>21.412382133999998</v>
      </c>
      <c r="FV788" s="346">
        <f t="shared" si="1206"/>
        <v>5.2907410247056772</v>
      </c>
      <c r="FW788" s="346">
        <v>7.2843680590000002</v>
      </c>
      <c r="FX788" s="346">
        <v>28.532119584</v>
      </c>
      <c r="FY788" s="346">
        <v>4.7649259050000001</v>
      </c>
      <c r="FZ788" s="346">
        <v>3.1639988880000001</v>
      </c>
      <c r="GA788" s="346">
        <v>24.844301186999999</v>
      </c>
      <c r="GB788" s="346">
        <v>5.7843948059999999</v>
      </c>
      <c r="GC788" s="346">
        <v>4.7383394899999995</v>
      </c>
      <c r="GD788" s="346">
        <v>29.999293304000002</v>
      </c>
      <c r="GE788" s="346">
        <v>4.5391355600000001</v>
      </c>
      <c r="GF788" s="346">
        <v>1.7747785490000001</v>
      </c>
      <c r="GG788" s="346">
        <v>30.590790138000003</v>
      </c>
      <c r="GH788" s="346">
        <v>4.3509939009999998</v>
      </c>
      <c r="GI788" s="1902">
        <f>GI395</f>
        <v>6.680501349</v>
      </c>
      <c r="GJ788" s="1902">
        <f t="shared" ref="GJ788:HL788" si="1207">GJ395</f>
        <v>36.359391498000001</v>
      </c>
      <c r="GK788" s="1902">
        <f t="shared" si="1207"/>
        <v>7.5202888159999999</v>
      </c>
      <c r="GL788" s="1902">
        <f t="shared" si="1207"/>
        <v>2.5441111159999998</v>
      </c>
      <c r="GM788" s="2178">
        <f t="shared" si="1207"/>
        <v>36.181439558999998</v>
      </c>
      <c r="GN788" s="2178">
        <f t="shared" si="1207"/>
        <v>4.6916540769999999</v>
      </c>
      <c r="GO788" s="2178">
        <f t="shared" si="1207"/>
        <v>7.8868416830000001</v>
      </c>
      <c r="GP788" s="2178">
        <f t="shared" si="1207"/>
        <v>40.304743088999999</v>
      </c>
      <c r="GQ788" s="2178">
        <f t="shared" si="1207"/>
        <v>9.7221642589999995</v>
      </c>
      <c r="GR788" s="2178">
        <f t="shared" si="1207"/>
        <v>2.3315845300000002</v>
      </c>
      <c r="GS788" s="2178">
        <f t="shared" si="1207"/>
        <v>43.003715217</v>
      </c>
      <c r="GT788" s="2178">
        <f t="shared" si="1207"/>
        <v>5.4273588840000002</v>
      </c>
      <c r="GU788" s="2178">
        <f t="shared" si="1207"/>
        <v>8.2993290270000006</v>
      </c>
      <c r="GV788" s="2178">
        <f t="shared" si="1207"/>
        <v>41.580799589000002</v>
      </c>
      <c r="GW788" s="2178">
        <f t="shared" si="1207"/>
        <v>5.8754405619999996</v>
      </c>
      <c r="GX788" s="2178">
        <f t="shared" si="1207"/>
        <v>3.498546213</v>
      </c>
      <c r="GY788" s="2178">
        <f t="shared" si="1207"/>
        <v>44.205506296999999</v>
      </c>
      <c r="GZ788" s="2178">
        <f t="shared" si="1207"/>
        <v>10.491441803000001</v>
      </c>
      <c r="HA788" s="2178">
        <f t="shared" si="1207"/>
        <v>12.977892861000001</v>
      </c>
      <c r="HB788" s="2178">
        <f t="shared" si="1207"/>
        <v>45.146402455999997</v>
      </c>
      <c r="HC788" s="2178">
        <f t="shared" si="1207"/>
        <v>6.0679579840000004</v>
      </c>
      <c r="HD788" s="2178">
        <f t="shared" si="1207"/>
        <v>3.8733084139999998</v>
      </c>
      <c r="HE788" s="2178">
        <f t="shared" si="1207"/>
        <v>45.152003563000001</v>
      </c>
      <c r="HF788" s="2178">
        <f t="shared" si="1207"/>
        <v>7.3001792999999999</v>
      </c>
      <c r="HG788" s="2178">
        <f t="shared" si="1207"/>
        <v>11.46624254676923</v>
      </c>
      <c r="HH788" s="2178">
        <f t="shared" si="1207"/>
        <v>49.45828416803846</v>
      </c>
      <c r="HI788" s="2178">
        <f t="shared" si="1207"/>
        <v>5.7053801273076896</v>
      </c>
      <c r="HJ788" s="2178">
        <f t="shared" si="1207"/>
        <v>3.9694958993846128</v>
      </c>
      <c r="HK788" s="2178">
        <f t="shared" si="1207"/>
        <v>46.305216535</v>
      </c>
      <c r="HL788" s="2178">
        <f t="shared" si="1207"/>
        <v>8.4563577305384605</v>
      </c>
      <c r="HM788" s="2178"/>
      <c r="HN788" s="349"/>
      <c r="HO788" s="357" t="s">
        <v>563</v>
      </c>
      <c r="HP788" s="307">
        <f>SUM(CE788:CJ788)</f>
        <v>9.895798863524174</v>
      </c>
      <c r="HQ788" s="302">
        <f>SUM(CK788:CP788)</f>
        <v>8.1495537273408409</v>
      </c>
      <c r="HR788" s="346">
        <f>HP788+HQ788</f>
        <v>18.045352590865015</v>
      </c>
      <c r="HS788" s="302">
        <f>SUM(CQ788:CV788)</f>
        <v>8.452310289215621</v>
      </c>
      <c r="HT788" s="302">
        <f>SUM(CW788:DB788)</f>
        <v>9.8093130040000265</v>
      </c>
      <c r="HU788" s="346">
        <f>HS788+HT788</f>
        <v>18.261623293215649</v>
      </c>
      <c r="HV788" s="307">
        <f>SUM(DC788:DH788)</f>
        <v>12.435410629831798</v>
      </c>
      <c r="HW788" s="302">
        <f>SUM(DI788:DN788)</f>
        <v>13.059412038045346</v>
      </c>
      <c r="HX788" s="346">
        <f>HV788+HW788</f>
        <v>25.494822667877145</v>
      </c>
      <c r="HY788" s="350">
        <f>SUM(DO788:DT788)</f>
        <v>18.556745256999999</v>
      </c>
      <c r="HZ788" s="302">
        <f>SUM(DU788:DZ788)</f>
        <v>16.696510039</v>
      </c>
      <c r="IA788" s="346">
        <f>HY788+HZ788</f>
        <v>35.253255295999999</v>
      </c>
      <c r="IB788" s="302">
        <f>SUM(EA788:EF788)</f>
        <v>23.655134131999997</v>
      </c>
      <c r="IC788" s="302">
        <f>SUM(EG788:EL788)</f>
        <v>25.244878396000001</v>
      </c>
      <c r="ID788" s="346">
        <f>IB788+IC788</f>
        <v>48.900012527999998</v>
      </c>
      <c r="IE788" s="350">
        <f>SUM(EM788:ER788)</f>
        <v>27.4615443832732</v>
      </c>
      <c r="IF788" s="350">
        <f>SUM(ES788:EX788)</f>
        <v>27.141944583000004</v>
      </c>
      <c r="IG788" s="346">
        <f>IE788+IF788</f>
        <v>54.603488966273204</v>
      </c>
      <c r="IH788" s="350">
        <f>SUM(EY788:FD788)</f>
        <v>39.080332331999998</v>
      </c>
      <c r="II788" s="350">
        <f>SUM(FE788:FJ788)</f>
        <v>39.221458072000004</v>
      </c>
      <c r="IJ788" s="346">
        <f>IH788+II788</f>
        <v>78.301790404000002</v>
      </c>
      <c r="IK788" s="350">
        <f>SUM(FK788:FP788)</f>
        <v>51.063876355999994</v>
      </c>
      <c r="IL788" s="350">
        <f t="shared" ref="IL788:IL793" si="1208">SUM(FQ788:FV788)</f>
        <v>62.445005045705329</v>
      </c>
      <c r="IM788" s="346">
        <f t="shared" si="1183"/>
        <v>113.50888140170532</v>
      </c>
      <c r="IN788" s="350">
        <f t="shared" si="1184"/>
        <v>74.374108428999989</v>
      </c>
      <c r="IO788" s="350">
        <f t="shared" si="1185"/>
        <v>75.993330941999986</v>
      </c>
      <c r="IP788" s="346">
        <f t="shared" si="1066"/>
        <v>150.36743937099999</v>
      </c>
      <c r="IQ788" s="350">
        <f t="shared" si="1186"/>
        <v>93.977386414999998</v>
      </c>
      <c r="IR788" s="350">
        <f t="shared" si="1178"/>
        <v>108.676407662</v>
      </c>
      <c r="IS788" s="346">
        <f t="shared" si="1195"/>
        <v>202.65379407699999</v>
      </c>
      <c r="IT788" s="350">
        <f t="shared" si="1202"/>
        <v>113.951063491</v>
      </c>
      <c r="IU788" s="350">
        <f t="shared" si="986"/>
        <v>120.51774457799999</v>
      </c>
      <c r="IV788" s="346">
        <f t="shared" si="1020"/>
        <v>234.46880806899998</v>
      </c>
      <c r="IW788" s="350">
        <f t="shared" si="1081"/>
        <v>125.36097700703844</v>
      </c>
      <c r="IX788" s="350">
        <f t="shared" si="1069"/>
        <v>138.60987236099999</v>
      </c>
      <c r="IY788" s="346">
        <f>FISC!AJ1102</f>
        <v>263.97084936803844</v>
      </c>
      <c r="IZ788" s="350">
        <f>FISC!AJ178</f>
        <v>144.9171586006</v>
      </c>
      <c r="JA788" s="302">
        <f t="shared" ref="JA788:JA793" si="1209">JB788-IZ788</f>
        <v>131.3848138754</v>
      </c>
      <c r="JB788" s="346">
        <f>FISC!AK1102</f>
        <v>276.301972476</v>
      </c>
      <c r="JC788" s="350">
        <f>FISC!AK178</f>
        <v>140.24146980699999</v>
      </c>
      <c r="JD788" s="302">
        <f t="shared" ref="JD788:JD813" si="1210">JE788-JC788</f>
        <v>125.539656831</v>
      </c>
      <c r="JE788" s="346">
        <f>FISC!AL1102</f>
        <v>265.78112663799999</v>
      </c>
      <c r="JF788" s="350">
        <f>FISC!AL178</f>
        <v>138.77812043200001</v>
      </c>
      <c r="JG788" s="302">
        <f t="shared" ref="JG788:JG793" si="1211">JH788-JF788</f>
        <v>121.656783445</v>
      </c>
      <c r="JH788" s="346">
        <f>FISC!AM1102</f>
        <v>260.43490387700001</v>
      </c>
      <c r="JI788" s="350">
        <f>FISC!AM178</f>
        <v>132.57775642799999</v>
      </c>
      <c r="JJ788" s="302">
        <f t="shared" ref="JJ788:JJ793" si="1212">JK788-JI788</f>
        <v>115.410382314</v>
      </c>
      <c r="JK788" s="346">
        <f>FISC!AN1102</f>
        <v>247.98813874199999</v>
      </c>
      <c r="JL788" s="350">
        <f>FISC!AN178</f>
        <v>130.01986355599999</v>
      </c>
      <c r="JM788" s="302">
        <f t="shared" ref="JM788:JM793" si="1213">JN788-JL788</f>
        <v>109.82464082600001</v>
      </c>
      <c r="JN788" s="346">
        <f>FISC!AO1102</f>
        <v>239.844504382</v>
      </c>
      <c r="KI788" s="349"/>
      <c r="KJ788" s="350"/>
    </row>
    <row r="789" spans="1:296" hidden="1" outlineLevel="1">
      <c r="A789" s="302"/>
      <c r="B789" s="117" t="s">
        <v>361</v>
      </c>
      <c r="D789" s="355" t="s">
        <v>564</v>
      </c>
      <c r="E789" s="346"/>
      <c r="F789" s="346"/>
      <c r="G789" s="346"/>
      <c r="H789" s="346"/>
      <c r="I789" s="346"/>
      <c r="J789" s="346"/>
      <c r="K789" s="346"/>
      <c r="L789" s="346"/>
      <c r="M789" s="346"/>
      <c r="N789" s="346"/>
      <c r="O789" s="346"/>
      <c r="P789" s="346"/>
      <c r="Q789" s="346"/>
      <c r="R789" s="346"/>
      <c r="S789" s="346"/>
      <c r="T789" s="346"/>
      <c r="U789" s="346"/>
      <c r="V789" s="346"/>
      <c r="W789" s="346"/>
      <c r="X789" s="346"/>
      <c r="Y789" s="346"/>
      <c r="Z789" s="346"/>
      <c r="AA789" s="346"/>
      <c r="AB789" s="346"/>
      <c r="AC789" s="346"/>
      <c r="AD789" s="346"/>
      <c r="AE789" s="346"/>
      <c r="AF789" s="346"/>
      <c r="AG789" s="346"/>
      <c r="AH789" s="346"/>
      <c r="AI789" s="346"/>
      <c r="AJ789" s="346"/>
      <c r="AK789" s="346"/>
      <c r="AL789" s="346"/>
      <c r="AM789" s="346"/>
      <c r="AN789" s="346"/>
      <c r="AO789" s="346"/>
      <c r="AP789" s="346"/>
      <c r="AQ789" s="346"/>
      <c r="AR789" s="346"/>
      <c r="AS789" s="346"/>
      <c r="AT789" s="346"/>
      <c r="AU789" s="346"/>
      <c r="AV789" s="346"/>
      <c r="AW789" s="346"/>
      <c r="AX789" s="346"/>
      <c r="AY789" s="346"/>
      <c r="AZ789" s="346"/>
      <c r="BA789" s="346"/>
      <c r="BB789" s="346"/>
      <c r="BC789" s="346"/>
      <c r="BD789" s="346"/>
      <c r="BE789" s="346"/>
      <c r="BF789" s="346"/>
      <c r="BG789" s="346">
        <v>6.3785177499200003</v>
      </c>
      <c r="BH789" s="346">
        <v>4.0654800229900001</v>
      </c>
      <c r="BI789" s="346">
        <v>2.80533423313</v>
      </c>
      <c r="BJ789" s="346">
        <v>4.7663082563300003</v>
      </c>
      <c r="BK789" s="346">
        <v>3.2685378679699997</v>
      </c>
      <c r="BL789" s="346">
        <v>3.8206991270000001</v>
      </c>
      <c r="BM789" s="346">
        <v>8.0645339810000003</v>
      </c>
      <c r="BN789" s="346">
        <v>3.0150156429099999</v>
      </c>
      <c r="BO789" s="346">
        <v>4.3463340936899995</v>
      </c>
      <c r="BP789" s="346">
        <v>7.2452022508400002</v>
      </c>
      <c r="BQ789" s="346">
        <v>4.9420447697899998</v>
      </c>
      <c r="BR789" s="346">
        <v>1.063222133</v>
      </c>
      <c r="BS789" s="346">
        <v>6.6829778989999999</v>
      </c>
      <c r="BT789" s="346">
        <v>3.7495323539999998</v>
      </c>
      <c r="BU789" s="346">
        <v>3.509515398</v>
      </c>
      <c r="BV789" s="346">
        <v>6.1784874490000004</v>
      </c>
      <c r="BW789" s="346">
        <v>5.453476276</v>
      </c>
      <c r="BX789" s="346">
        <v>1.2915165689999999</v>
      </c>
      <c r="BY789" s="346">
        <v>5.3627638649999998</v>
      </c>
      <c r="BZ789" s="346">
        <v>7.7077092819999997</v>
      </c>
      <c r="CA789" s="346">
        <v>2.15723574</v>
      </c>
      <c r="CB789" s="346">
        <v>6.4913424829600004</v>
      </c>
      <c r="CC789" s="346">
        <v>48.523234726809996</v>
      </c>
      <c r="CD789" s="352">
        <v>9.2677013269999993</v>
      </c>
      <c r="CE789" s="346">
        <f t="shared" ref="CE789:DJ789" si="1214">CE396</f>
        <v>6.6679294430000002</v>
      </c>
      <c r="CF789" s="346">
        <f t="shared" si="1214"/>
        <v>12.098923981</v>
      </c>
      <c r="CG789" s="346">
        <f t="shared" si="1214"/>
        <v>5.2774683080000004</v>
      </c>
      <c r="CH789" s="346">
        <f t="shared" si="1214"/>
        <v>8.405649017</v>
      </c>
      <c r="CI789" s="346">
        <f t="shared" si="1214"/>
        <v>5.4065421210000002</v>
      </c>
      <c r="CJ789" s="346">
        <f t="shared" si="1214"/>
        <v>3.7144937200000001</v>
      </c>
      <c r="CK789" s="346">
        <f t="shared" si="1214"/>
        <v>7.775769103</v>
      </c>
      <c r="CL789" s="346">
        <f t="shared" si="1214"/>
        <v>3.7131871599999999</v>
      </c>
      <c r="CM789" s="346">
        <f t="shared" si="1214"/>
        <v>2.2626719899999999</v>
      </c>
      <c r="CN789" s="346">
        <f t="shared" si="1214"/>
        <v>1.1571859680000001</v>
      </c>
      <c r="CO789" s="346">
        <f t="shared" si="1214"/>
        <v>4.4389136469999997</v>
      </c>
      <c r="CP789" s="348">
        <f t="shared" si="1214"/>
        <v>2.08324423</v>
      </c>
      <c r="CQ789" s="346">
        <f t="shared" si="1214"/>
        <v>8.2475725890000007</v>
      </c>
      <c r="CR789" s="346">
        <f t="shared" si="1214"/>
        <v>9.9187609339999998</v>
      </c>
      <c r="CS789" s="346">
        <f t="shared" si="1214"/>
        <v>8.5722125560000002</v>
      </c>
      <c r="CT789" s="346">
        <f t="shared" si="1214"/>
        <v>6.32988368</v>
      </c>
      <c r="CU789" s="346">
        <f t="shared" si="1214"/>
        <v>5.6792275099999996</v>
      </c>
      <c r="CV789" s="346">
        <f t="shared" si="1214"/>
        <v>5.3217766769999999</v>
      </c>
      <c r="CW789" s="346">
        <f t="shared" si="1214"/>
        <v>4.4623873239999998</v>
      </c>
      <c r="CX789" s="346">
        <f t="shared" si="1214"/>
        <v>3.4693421350000002</v>
      </c>
      <c r="CY789" s="346">
        <f t="shared" si="1214"/>
        <v>8.36510277</v>
      </c>
      <c r="CZ789" s="346">
        <f t="shared" si="1214"/>
        <v>0.69293743799999996</v>
      </c>
      <c r="DA789" s="346">
        <f t="shared" si="1214"/>
        <v>6.0929688799999999</v>
      </c>
      <c r="DB789" s="1479">
        <f t="shared" si="1214"/>
        <v>3.5319322839999998</v>
      </c>
      <c r="DC789" s="346">
        <f t="shared" si="1214"/>
        <v>6.475683912</v>
      </c>
      <c r="DD789" s="346">
        <f t="shared" si="1214"/>
        <v>5.6815871610000004</v>
      </c>
      <c r="DE789" s="346">
        <f t="shared" si="1214"/>
        <v>6.1174112559999996</v>
      </c>
      <c r="DF789" s="346">
        <f t="shared" si="1214"/>
        <v>7.8252532439999998</v>
      </c>
      <c r="DG789" s="346">
        <f t="shared" si="1214"/>
        <v>8.2094107090000001</v>
      </c>
      <c r="DH789" s="346">
        <f t="shared" si="1214"/>
        <v>17.117251670999998</v>
      </c>
      <c r="DI789" s="346">
        <f t="shared" si="1214"/>
        <v>5.8424231969999996</v>
      </c>
      <c r="DJ789" s="346">
        <f t="shared" si="1214"/>
        <v>4.5755028119999999</v>
      </c>
      <c r="DK789" s="346">
        <f t="shared" ref="DK789:EP789" si="1215">DK396</f>
        <v>6.3702584880000002</v>
      </c>
      <c r="DL789" s="346">
        <f t="shared" si="1215"/>
        <v>6.0890114610000001</v>
      </c>
      <c r="DM789" s="346">
        <f t="shared" si="1215"/>
        <v>4.2403280079999996</v>
      </c>
      <c r="DN789" s="348">
        <f t="shared" si="1215"/>
        <v>5.8292554430000001</v>
      </c>
      <c r="DO789" s="346">
        <f t="shared" si="1215"/>
        <v>5.416907331</v>
      </c>
      <c r="DP789" s="346">
        <f t="shared" si="1215"/>
        <v>7.213350685</v>
      </c>
      <c r="DQ789" s="346">
        <f t="shared" si="1215"/>
        <v>7.0325999880000003</v>
      </c>
      <c r="DR789" s="346">
        <f t="shared" si="1215"/>
        <v>7.1949629220000002</v>
      </c>
      <c r="DS789" s="346">
        <f t="shared" si="1215"/>
        <v>7.6855553429999999</v>
      </c>
      <c r="DT789" s="346">
        <f t="shared" si="1215"/>
        <v>6.0765222530000003</v>
      </c>
      <c r="DU789" s="346">
        <f t="shared" si="1215"/>
        <v>7.4745157129999997</v>
      </c>
      <c r="DV789" s="346">
        <f t="shared" si="1215"/>
        <v>7.5177942230000001</v>
      </c>
      <c r="DW789" s="346">
        <f t="shared" si="1215"/>
        <v>7.1178850169999999</v>
      </c>
      <c r="DX789" s="346">
        <f t="shared" si="1215"/>
        <v>7.1008529359999999</v>
      </c>
      <c r="DY789" s="346">
        <f t="shared" si="1215"/>
        <v>8.1943856339999996</v>
      </c>
      <c r="DZ789" s="348">
        <f t="shared" si="1215"/>
        <v>8.2006891339999992</v>
      </c>
      <c r="EA789" s="346">
        <f t="shared" si="1215"/>
        <v>9.965989532</v>
      </c>
      <c r="EB789" s="346">
        <f t="shared" si="1215"/>
        <v>4.13940047</v>
      </c>
      <c r="EC789" s="346">
        <f t="shared" si="1215"/>
        <v>22.010918264000001</v>
      </c>
      <c r="ED789" s="346">
        <f t="shared" si="1215"/>
        <v>7.5019909370000004</v>
      </c>
      <c r="EE789" s="346">
        <f t="shared" si="1215"/>
        <v>6.9683450159999998</v>
      </c>
      <c r="EF789" s="346">
        <f t="shared" si="1215"/>
        <v>8.2763239150000008</v>
      </c>
      <c r="EG789" s="346">
        <f t="shared" si="1215"/>
        <v>7.0859523250000001</v>
      </c>
      <c r="EH789" s="346">
        <f t="shared" si="1215"/>
        <v>6.9871453910000003</v>
      </c>
      <c r="EI789" s="346">
        <f t="shared" si="1215"/>
        <v>12.972594826</v>
      </c>
      <c r="EJ789" s="346">
        <f t="shared" si="1215"/>
        <v>4.3793459710000002</v>
      </c>
      <c r="EK789" s="346">
        <f t="shared" si="1215"/>
        <v>9.0947721230000003</v>
      </c>
      <c r="EL789" s="348">
        <f t="shared" si="1215"/>
        <v>0.14426433599999999</v>
      </c>
      <c r="EM789" s="346">
        <f t="shared" si="1215"/>
        <v>18.047042097999999</v>
      </c>
      <c r="EN789" s="346">
        <f t="shared" si="1215"/>
        <v>5.1734300920000003</v>
      </c>
      <c r="EO789" s="346">
        <f t="shared" si="1215"/>
        <v>19.373641127999999</v>
      </c>
      <c r="EP789" s="346">
        <f t="shared" si="1215"/>
        <v>15.147041689</v>
      </c>
      <c r="EQ789" s="346">
        <f t="shared" ref="EQ789:FP789" si="1216">EQ396</f>
        <v>20.341753901000001</v>
      </c>
      <c r="ER789" s="346">
        <f t="shared" si="1216"/>
        <v>3.115334458</v>
      </c>
      <c r="ES789" s="346">
        <f t="shared" si="1216"/>
        <v>19.644847804000001</v>
      </c>
      <c r="ET789" s="346">
        <f t="shared" si="1216"/>
        <v>9.7095882860000007</v>
      </c>
      <c r="EU789" s="346">
        <f t="shared" si="1216"/>
        <v>19.394544584999998</v>
      </c>
      <c r="EV789" s="346">
        <f t="shared" si="1216"/>
        <v>10.761032169</v>
      </c>
      <c r="EW789" s="346">
        <f t="shared" si="1216"/>
        <v>14.622692425</v>
      </c>
      <c r="EX789" s="348">
        <f t="shared" si="1216"/>
        <v>16.695182059</v>
      </c>
      <c r="EY789" s="346">
        <f t="shared" si="1216"/>
        <v>21.712690575</v>
      </c>
      <c r="EZ789" s="346">
        <f t="shared" si="1216"/>
        <v>11.114351987999999</v>
      </c>
      <c r="FA789" s="346">
        <f t="shared" si="1216"/>
        <v>11.900032509000001</v>
      </c>
      <c r="FB789" s="346">
        <f t="shared" si="1216"/>
        <v>14.591524823</v>
      </c>
      <c r="FC789" s="346">
        <f t="shared" si="1216"/>
        <v>11.329730545</v>
      </c>
      <c r="FD789" s="346">
        <f t="shared" si="1216"/>
        <v>24.254430887000002</v>
      </c>
      <c r="FE789" s="346">
        <f t="shared" si="1216"/>
        <v>8.2005321450000004</v>
      </c>
      <c r="FF789" s="346">
        <f t="shared" si="1216"/>
        <v>15.204791503999999</v>
      </c>
      <c r="FG789" s="346">
        <f t="shared" si="1216"/>
        <v>16.483069240999999</v>
      </c>
      <c r="FH789" s="346">
        <f t="shared" si="1216"/>
        <v>14.577293595</v>
      </c>
      <c r="FI789" s="346">
        <f t="shared" si="1216"/>
        <v>102.28117342</v>
      </c>
      <c r="FJ789" s="348">
        <f t="shared" si="1216"/>
        <v>0.29768140900000001</v>
      </c>
      <c r="FK789" s="346">
        <f t="shared" si="1216"/>
        <v>27.811291294</v>
      </c>
      <c r="FL789" s="346">
        <f t="shared" si="1216"/>
        <v>11.225479156</v>
      </c>
      <c r="FM789" s="346">
        <f t="shared" si="1216"/>
        <v>13.472792721999999</v>
      </c>
      <c r="FN789" s="346">
        <f t="shared" si="1216"/>
        <v>20.684093917999999</v>
      </c>
      <c r="FO789" s="346">
        <f t="shared" si="1216"/>
        <v>61.666165581000001</v>
      </c>
      <c r="FP789" s="346">
        <f t="shared" si="1216"/>
        <v>17.208988356999999</v>
      </c>
      <c r="FQ789" s="346">
        <f t="shared" ref="FQ789:FV789" si="1217">FQ396</f>
        <v>11.890612138</v>
      </c>
      <c r="FR789" s="346">
        <f t="shared" si="1217"/>
        <v>18.955776752999999</v>
      </c>
      <c r="FS789" s="346">
        <f t="shared" si="1217"/>
        <v>39.958805716999997</v>
      </c>
      <c r="FT789" s="346">
        <f t="shared" si="1217"/>
        <v>11.446025357</v>
      </c>
      <c r="FU789" s="346">
        <f t="shared" si="1217"/>
        <v>25.094716684000002</v>
      </c>
      <c r="FV789" s="346">
        <f t="shared" si="1217"/>
        <v>0.74752762899998404</v>
      </c>
      <c r="FW789" s="346">
        <v>19.459869106999999</v>
      </c>
      <c r="FX789" s="346">
        <v>21.798099390000001</v>
      </c>
      <c r="FY789" s="346">
        <v>121.53742553799999</v>
      </c>
      <c r="FZ789" s="346">
        <v>13.339598613</v>
      </c>
      <c r="GA789" s="346">
        <v>12.817958090999999</v>
      </c>
      <c r="GB789" s="346">
        <v>13.872035842000001</v>
      </c>
      <c r="GC789" s="346">
        <v>24.110871527</v>
      </c>
      <c r="GD789" s="346">
        <v>25.281675928999999</v>
      </c>
      <c r="GE789" s="346">
        <v>14.967056428999999</v>
      </c>
      <c r="GF789" s="346">
        <v>46.727591418999999</v>
      </c>
      <c r="GG789" s="346">
        <v>44.496763434999998</v>
      </c>
      <c r="GH789" s="346">
        <v>23.764900379</v>
      </c>
      <c r="GI789" s="1902">
        <f>GI396</f>
        <v>48.572632648943184</v>
      </c>
      <c r="GJ789" s="1902">
        <f t="shared" ref="GJ789:HL789" si="1218">GJ396</f>
        <v>20.202051609109375</v>
      </c>
      <c r="GK789" s="1902">
        <f t="shared" si="1218"/>
        <v>19.825315741947424</v>
      </c>
      <c r="GL789" s="1902">
        <f t="shared" si="1218"/>
        <v>23.652918717333343</v>
      </c>
      <c r="GM789" s="2178">
        <f t="shared" si="1218"/>
        <v>22.167689045333344</v>
      </c>
      <c r="GN789" s="2178">
        <f t="shared" si="1218"/>
        <v>19.389259348333344</v>
      </c>
      <c r="GO789" s="2178">
        <f t="shared" si="1218"/>
        <v>20.759894925980809</v>
      </c>
      <c r="GP789" s="2178">
        <f t="shared" si="1218"/>
        <v>12.191398810348149</v>
      </c>
      <c r="GQ789" s="2178">
        <f t="shared" si="1218"/>
        <v>33.126157733671022</v>
      </c>
      <c r="GR789" s="2178">
        <f t="shared" si="1218"/>
        <v>17.087662801262233</v>
      </c>
      <c r="GS789" s="2178">
        <f t="shared" si="1218"/>
        <v>44.173862473216531</v>
      </c>
      <c r="GT789" s="2178">
        <f t="shared" si="1218"/>
        <v>17.729099891521237</v>
      </c>
      <c r="GU789" s="2178">
        <f t="shared" si="1218"/>
        <v>7.2778571059999999</v>
      </c>
      <c r="GV789" s="2178">
        <f t="shared" si="1218"/>
        <v>24.224672508000001</v>
      </c>
      <c r="GW789" s="2178">
        <f t="shared" si="1218"/>
        <v>22.873544955</v>
      </c>
      <c r="GX789" s="2178">
        <f t="shared" si="1218"/>
        <v>26.666355211999999</v>
      </c>
      <c r="GY789" s="2178">
        <f t="shared" si="1218"/>
        <v>26.187000513999998</v>
      </c>
      <c r="GZ789" s="2178">
        <f t="shared" si="1218"/>
        <v>22.596829109000002</v>
      </c>
      <c r="HA789" s="2178">
        <f t="shared" si="1218"/>
        <v>35.653566965000003</v>
      </c>
      <c r="HB789" s="2178">
        <f t="shared" si="1218"/>
        <v>32.817662089999999</v>
      </c>
      <c r="HC789" s="2178">
        <f t="shared" si="1218"/>
        <v>32.060185777000001</v>
      </c>
      <c r="HD789" s="2178">
        <f t="shared" si="1218"/>
        <v>23.181013326999999</v>
      </c>
      <c r="HE789" s="2178">
        <f t="shared" si="1218"/>
        <v>24.577714099000001</v>
      </c>
      <c r="HF789" s="2178">
        <f t="shared" si="1218"/>
        <v>29.304074536000002</v>
      </c>
      <c r="HG789" s="2178">
        <f t="shared" si="1218"/>
        <v>18.472463404999999</v>
      </c>
      <c r="HH789" s="2178">
        <f t="shared" si="1218"/>
        <v>18.661090970000011</v>
      </c>
      <c r="HI789" s="2178">
        <f t="shared" si="1218"/>
        <v>43.132407661999999</v>
      </c>
      <c r="HJ789" s="2178">
        <f t="shared" si="1218"/>
        <v>14.141613391</v>
      </c>
      <c r="HK789" s="2178">
        <f t="shared" si="1218"/>
        <v>29.299425105000001</v>
      </c>
      <c r="HL789" s="2178">
        <f t="shared" si="1218"/>
        <v>29.410570914999994</v>
      </c>
      <c r="HM789" s="2178"/>
      <c r="HN789" s="349"/>
      <c r="HO789" s="355" t="s">
        <v>564</v>
      </c>
      <c r="HP789" s="307">
        <f>SUM(CE789:CJ789)</f>
        <v>41.571006590000003</v>
      </c>
      <c r="HQ789" s="302">
        <f>SUM(CK789:CP789)</f>
        <v>21.430972097999998</v>
      </c>
      <c r="HR789" s="346">
        <f>HP789+HQ789</f>
        <v>63.001978688000001</v>
      </c>
      <c r="HS789" s="302">
        <f>SUM(CQ789:CV789)</f>
        <v>44.069433945999997</v>
      </c>
      <c r="HT789" s="302">
        <f>SUM(CW789:DB789)</f>
        <v>26.614670831000002</v>
      </c>
      <c r="HU789" s="346">
        <f>HS789+HT789</f>
        <v>70.684104777000002</v>
      </c>
      <c r="HV789" s="307">
        <f>SUM(DC789:DH789)</f>
        <v>51.426597952999998</v>
      </c>
      <c r="HW789" s="302">
        <f>SUM(DI789:DN789)</f>
        <v>32.946779409000001</v>
      </c>
      <c r="HX789" s="346">
        <f>HV789+HW789</f>
        <v>84.373377361999999</v>
      </c>
      <c r="HY789" s="350">
        <f>SUM(DO789:DT789)</f>
        <v>40.619898522</v>
      </c>
      <c r="HZ789" s="302">
        <f>SUM(DU789:DZ789)</f>
        <v>45.606122657</v>
      </c>
      <c r="IA789" s="346">
        <f>HY789+HZ789</f>
        <v>86.226021179</v>
      </c>
      <c r="IB789" s="302">
        <f>SUM(EA789:EF789)</f>
        <v>58.862968134000006</v>
      </c>
      <c r="IC789" s="302">
        <f>SUM(EG789:EL789)</f>
        <v>40.664074971999995</v>
      </c>
      <c r="ID789" s="346">
        <f>IB789+IC789</f>
        <v>99.527043106000008</v>
      </c>
      <c r="IE789" s="350">
        <f>SUM(EM789:ER789)</f>
        <v>81.198243366</v>
      </c>
      <c r="IF789" s="350">
        <f>SUM(ES789:EX789)</f>
        <v>90.827887328000003</v>
      </c>
      <c r="IG789" s="346">
        <f>IE789+IF789</f>
        <v>172.02613069400002</v>
      </c>
      <c r="IH789" s="350">
        <f>SUM(EY789:FD789)</f>
        <v>94.902761326999993</v>
      </c>
      <c r="II789" s="350">
        <f>SUM(FE789:FJ789)</f>
        <v>157.04454131400001</v>
      </c>
      <c r="IJ789" s="346">
        <f>IH789+II789</f>
        <v>251.94730264100002</v>
      </c>
      <c r="IK789" s="350">
        <f>SUM(FK789:FP789)</f>
        <v>152.06881102800003</v>
      </c>
      <c r="IL789" s="350">
        <f t="shared" si="1208"/>
        <v>108.09346427799998</v>
      </c>
      <c r="IM789" s="346">
        <f t="shared" si="1183"/>
        <v>260.16227530600003</v>
      </c>
      <c r="IN789" s="350">
        <f t="shared" si="1184"/>
        <v>202.82498658099999</v>
      </c>
      <c r="IO789" s="350">
        <f t="shared" si="1185"/>
        <v>179.34885911800001</v>
      </c>
      <c r="IP789" s="346">
        <f t="shared" si="1066"/>
        <v>382.17384569900003</v>
      </c>
      <c r="IQ789" s="350">
        <f t="shared" si="1186"/>
        <v>153.80986711100002</v>
      </c>
      <c r="IR789" s="350">
        <f t="shared" si="1178"/>
        <v>145.06807663599997</v>
      </c>
      <c r="IS789" s="346">
        <f t="shared" si="1195"/>
        <v>298.87794374700002</v>
      </c>
      <c r="IT789" s="350">
        <f t="shared" si="1202"/>
        <v>129.82625940399998</v>
      </c>
      <c r="IU789" s="350">
        <f t="shared" si="986"/>
        <v>177.594216794</v>
      </c>
      <c r="IV789" s="346">
        <f t="shared" si="1020"/>
        <v>307.42047619799996</v>
      </c>
      <c r="IW789" s="350">
        <f t="shared" si="1081"/>
        <v>153.11757144799998</v>
      </c>
      <c r="IX789" s="350">
        <f t="shared" si="1069"/>
        <v>169.4553418864848</v>
      </c>
      <c r="IY789" s="346">
        <f>FISC!AJ1103</f>
        <v>322.57291333448478</v>
      </c>
      <c r="IZ789" s="350">
        <f>JB789*0.8</f>
        <v>392.22999819500291</v>
      </c>
      <c r="JA789" s="302">
        <f t="shared" si="1209"/>
        <v>98.057499548750684</v>
      </c>
      <c r="JB789" s="346">
        <f>FISC!AK1103</f>
        <v>490.28749774375359</v>
      </c>
      <c r="JC789" s="350">
        <f>JE789*0.564448862751318</f>
        <v>176.90757480887774</v>
      </c>
      <c r="JD789" s="302">
        <f t="shared" si="1210"/>
        <v>136.50890360613639</v>
      </c>
      <c r="JE789" s="346">
        <f>FISC!AL1103</f>
        <v>313.41647841501413</v>
      </c>
      <c r="JF789" s="350">
        <f>JH789*0.580653193139725</f>
        <v>200.47073417959137</v>
      </c>
      <c r="JG789" s="302">
        <f t="shared" si="1211"/>
        <v>144.77964340913786</v>
      </c>
      <c r="JH789" s="346">
        <f>FISC!AM1103</f>
        <v>345.25037758872924</v>
      </c>
      <c r="JI789" s="350">
        <f>JK789*0.566425405611506</f>
        <v>204.77165977646254</v>
      </c>
      <c r="JJ789" s="302">
        <f t="shared" si="1212"/>
        <v>156.74400980300052</v>
      </c>
      <c r="JK789" s="346">
        <f>FISC!AN1103</f>
        <v>361.51566957946307</v>
      </c>
      <c r="JL789" s="350">
        <f>JN789*0.6</f>
        <v>217.47739565264976</v>
      </c>
      <c r="JM789" s="302">
        <f t="shared" si="1213"/>
        <v>144.98493043509984</v>
      </c>
      <c r="JN789" s="346">
        <f>FISC!AO1103</f>
        <v>362.4623260877496</v>
      </c>
      <c r="KI789" s="349"/>
      <c r="KJ789" s="350"/>
    </row>
    <row r="790" spans="1:296" hidden="1" outlineLevel="1">
      <c r="A790" s="302"/>
      <c r="B790" s="117" t="s">
        <v>361</v>
      </c>
      <c r="D790" s="358" t="s">
        <v>3300</v>
      </c>
      <c r="E790" s="346"/>
      <c r="F790" s="346"/>
      <c r="G790" s="346"/>
      <c r="H790" s="346"/>
      <c r="I790" s="346"/>
      <c r="J790" s="346"/>
      <c r="K790" s="346"/>
      <c r="L790" s="346"/>
      <c r="M790" s="346"/>
      <c r="N790" s="346"/>
      <c r="O790" s="346"/>
      <c r="P790" s="346"/>
      <c r="Q790" s="346"/>
      <c r="R790" s="346"/>
      <c r="S790" s="346"/>
      <c r="T790" s="346"/>
      <c r="U790" s="346"/>
      <c r="V790" s="346"/>
      <c r="W790" s="346"/>
      <c r="X790" s="346"/>
      <c r="Y790" s="346"/>
      <c r="Z790" s="346"/>
      <c r="AA790" s="346"/>
      <c r="AB790" s="346"/>
      <c r="AC790" s="346"/>
      <c r="AD790" s="346"/>
      <c r="AE790" s="346"/>
      <c r="AF790" s="346"/>
      <c r="AG790" s="346"/>
      <c r="AH790" s="346"/>
      <c r="AI790" s="346"/>
      <c r="AJ790" s="346"/>
      <c r="AK790" s="346"/>
      <c r="AL790" s="346"/>
      <c r="AM790" s="346"/>
      <c r="AN790" s="346"/>
      <c r="AO790" s="346"/>
      <c r="AP790" s="346"/>
      <c r="AQ790" s="346"/>
      <c r="AR790" s="346"/>
      <c r="AS790" s="346"/>
      <c r="AT790" s="346"/>
      <c r="AU790" s="346"/>
      <c r="AV790" s="346"/>
      <c r="AW790" s="346"/>
      <c r="AX790" s="346"/>
      <c r="AY790" s="346"/>
      <c r="AZ790" s="346"/>
      <c r="BA790" s="346"/>
      <c r="BB790" s="346"/>
      <c r="BC790" s="346"/>
      <c r="BD790" s="346"/>
      <c r="BE790" s="346"/>
      <c r="BF790" s="346"/>
      <c r="BG790" s="346"/>
      <c r="BH790" s="346"/>
      <c r="BI790" s="346"/>
      <c r="BJ790" s="346"/>
      <c r="BK790" s="346"/>
      <c r="BL790" s="346"/>
      <c r="BM790" s="346"/>
      <c r="BN790" s="346"/>
      <c r="BO790" s="346"/>
      <c r="BP790" s="346"/>
      <c r="BQ790" s="346"/>
      <c r="BR790" s="346"/>
      <c r="BS790" s="346"/>
      <c r="BT790" s="346"/>
      <c r="BU790" s="346"/>
      <c r="BV790" s="346"/>
      <c r="BW790" s="346"/>
      <c r="BX790" s="346"/>
      <c r="BY790" s="346"/>
      <c r="BZ790" s="346"/>
      <c r="CA790" s="346"/>
      <c r="CB790" s="346"/>
      <c r="CC790" s="346"/>
      <c r="CD790" s="352"/>
      <c r="CE790" s="346">
        <v>2.390504993</v>
      </c>
      <c r="CF790" s="346">
        <v>7.4228355150000001</v>
      </c>
      <c r="CG790" s="346">
        <v>3.3296801729999999</v>
      </c>
      <c r="CH790" s="346">
        <v>3.6924955100000001</v>
      </c>
      <c r="CI790" s="346">
        <v>4</v>
      </c>
      <c r="CJ790" s="346">
        <v>2.8368251789999999</v>
      </c>
      <c r="CK790" s="346">
        <v>2.7035992700000002</v>
      </c>
      <c r="CL790" s="346">
        <v>2.8833706860000001</v>
      </c>
      <c r="CM790" s="346">
        <v>1.6852193000000001E-2</v>
      </c>
      <c r="CN790" s="346">
        <v>0.34203537899999997</v>
      </c>
      <c r="CO790" s="346">
        <v>8.5795100999999999E-2</v>
      </c>
      <c r="CP790" s="348">
        <v>1.722784256</v>
      </c>
      <c r="CQ790" s="346">
        <v>3.3838203980000001</v>
      </c>
      <c r="CR790" s="346">
        <v>5.7186317999999998</v>
      </c>
      <c r="CS790" s="346">
        <v>6.1350750520000004</v>
      </c>
      <c r="CT790" s="346">
        <v>2.87493949</v>
      </c>
      <c r="CU790" s="346">
        <v>4.2249999999999996</v>
      </c>
      <c r="CV790" s="346">
        <v>3.3</v>
      </c>
      <c r="CW790" s="346">
        <v>3.7043971180000002</v>
      </c>
      <c r="CX790" s="346">
        <v>3.3</v>
      </c>
      <c r="CY790" s="346">
        <v>6.7</v>
      </c>
      <c r="CZ790" s="346">
        <v>0</v>
      </c>
      <c r="DA790" s="346">
        <v>3.4</v>
      </c>
      <c r="DB790" s="1479">
        <v>3.3</v>
      </c>
      <c r="DC790" s="346">
        <v>3.3</v>
      </c>
      <c r="DD790" s="346">
        <v>3.3</v>
      </c>
      <c r="DE790" s="346">
        <v>3.3</v>
      </c>
      <c r="DF790" s="346">
        <v>3.3</v>
      </c>
      <c r="DG790" s="346">
        <v>3.3</v>
      </c>
      <c r="DH790" s="346">
        <v>3.3</v>
      </c>
      <c r="DI790" s="346">
        <v>3.3</v>
      </c>
      <c r="DJ790" s="346">
        <v>3.3</v>
      </c>
      <c r="DK790" s="346">
        <v>3.3</v>
      </c>
      <c r="DL790" s="346">
        <v>3.3</v>
      </c>
      <c r="DM790" s="346">
        <v>3.3</v>
      </c>
      <c r="DN790" s="348">
        <v>3.3</v>
      </c>
      <c r="DO790" s="346">
        <v>4.8980108539999998</v>
      </c>
      <c r="DP790" s="346">
        <v>6.5999999989999996</v>
      </c>
      <c r="DQ790" s="346">
        <v>6.81953502</v>
      </c>
      <c r="DR790" s="346">
        <v>6.81953502</v>
      </c>
      <c r="DS790" s="346">
        <v>7.6440726510000001</v>
      </c>
      <c r="DT790" s="346">
        <v>5.9949982159999999</v>
      </c>
      <c r="DU790" s="346">
        <v>6.81953502</v>
      </c>
      <c r="DV790" s="346">
        <v>6.81953502</v>
      </c>
      <c r="DW790" s="346">
        <v>6.81953502</v>
      </c>
      <c r="DX790" s="346">
        <v>6.8195348039999999</v>
      </c>
      <c r="DY790" s="346">
        <v>7.9879124170000004</v>
      </c>
      <c r="DZ790" s="348">
        <v>6.8195350120000002</v>
      </c>
      <c r="EA790" s="346">
        <v>9.8000000000000007</v>
      </c>
      <c r="EB790" s="346">
        <v>3.81953502</v>
      </c>
      <c r="EC790" s="346">
        <v>2.1819535019999998</v>
      </c>
      <c r="ED790" s="346">
        <v>6.8195350039999996</v>
      </c>
      <c r="EE790" s="346">
        <v>6.81953502</v>
      </c>
      <c r="EF790" s="346">
        <v>6.8195350279999998</v>
      </c>
      <c r="EG790" s="346">
        <v>6.81953502</v>
      </c>
      <c r="EH790" s="346">
        <v>6.81953502</v>
      </c>
      <c r="EI790" s="346">
        <v>12.721860212999999</v>
      </c>
      <c r="EJ790" s="346">
        <v>4.3411505400000001</v>
      </c>
      <c r="EK790" s="346">
        <v>8.6823010800000002</v>
      </c>
      <c r="EL790" s="348">
        <v>0</v>
      </c>
      <c r="EM790" s="346">
        <v>14.730464983999999</v>
      </c>
      <c r="EN790" s="346">
        <v>3.2421803100000002</v>
      </c>
      <c r="EO790" s="346">
        <v>17.972645320000002</v>
      </c>
      <c r="EP790" s="346">
        <v>8.9863226459999996</v>
      </c>
      <c r="EQ790" s="346">
        <v>18.986322625</v>
      </c>
      <c r="ER790" s="346">
        <v>0</v>
      </c>
      <c r="ES790" s="346">
        <v>17.972645289999999</v>
      </c>
      <c r="ET790" s="346">
        <v>8.9863226449999996</v>
      </c>
      <c r="EU790" s="346">
        <v>8.9863226600000008</v>
      </c>
      <c r="EV790" s="346">
        <v>8.9863226449999996</v>
      </c>
      <c r="EW790" s="346">
        <v>8.9863226479999998</v>
      </c>
      <c r="EX790" s="348">
        <v>0</v>
      </c>
      <c r="EY790" s="346">
        <v>19.983332424</v>
      </c>
      <c r="EZ790" s="346">
        <v>9.9833333399999997</v>
      </c>
      <c r="FA790" s="346">
        <v>9.9833333349999993</v>
      </c>
      <c r="FB790" s="346">
        <v>9.9833333349999993</v>
      </c>
      <c r="FC790" s="346">
        <v>9.9833333349999993</v>
      </c>
      <c r="FD790" s="346">
        <v>9.9833332549999998</v>
      </c>
      <c r="FE790" s="346">
        <v>5.9900000010000003</v>
      </c>
      <c r="FF790" s="346">
        <v>14.016666670999999</v>
      </c>
      <c r="FG790" s="346">
        <v>12.000000003</v>
      </c>
      <c r="FH790" s="346">
        <v>14.01666666</v>
      </c>
      <c r="FI790" s="346">
        <v>11.999999153999999</v>
      </c>
      <c r="FJ790" s="348">
        <v>0</v>
      </c>
      <c r="FK790" s="346">
        <v>14.01666666</v>
      </c>
      <c r="FL790" s="346">
        <v>14.01666666</v>
      </c>
      <c r="FM790" s="346">
        <v>14.01666666</v>
      </c>
      <c r="FN790" s="346">
        <v>14.01666666</v>
      </c>
      <c r="FO790" s="346">
        <v>14.01666666</v>
      </c>
      <c r="FP790" s="346">
        <v>14.01666666</v>
      </c>
      <c r="FQ790" s="346">
        <v>10.011228034</v>
      </c>
      <c r="FR790" s="346">
        <v>10.66133542</v>
      </c>
      <c r="FS790" s="346">
        <v>12.011228021999999</v>
      </c>
      <c r="FT790" s="346">
        <v>10.209801628999999</v>
      </c>
      <c r="FU790" s="346">
        <v>22.022456064</v>
      </c>
      <c r="FV790" s="346">
        <v>0</v>
      </c>
      <c r="FW790" s="346">
        <v>13.897358157999999</v>
      </c>
      <c r="FX790" s="346">
        <v>12.011228024999999</v>
      </c>
      <c r="FY790" s="346">
        <v>113.70904721399999</v>
      </c>
      <c r="FZ790" s="346">
        <v>12.011228023999999</v>
      </c>
      <c r="GA790" s="346">
        <v>12.011228829</v>
      </c>
      <c r="GB790" s="346">
        <v>12.011228037</v>
      </c>
      <c r="GC790" s="346">
        <v>12.631579267999999</v>
      </c>
      <c r="GD790" s="346">
        <v>12.011228471000001</v>
      </c>
      <c r="GE790" s="346">
        <v>12.322820347</v>
      </c>
      <c r="GF790" s="346">
        <v>12.323885028999999</v>
      </c>
      <c r="GG790" s="346">
        <v>24.022456063</v>
      </c>
      <c r="GH790" s="346">
        <v>11.1</v>
      </c>
      <c r="GI790" s="1897">
        <v>13.683892987</v>
      </c>
      <c r="GJ790" s="1897">
        <v>12.662296105999999</v>
      </c>
      <c r="GK790" s="1897">
        <v>12.179882039000001</v>
      </c>
      <c r="GL790" s="1897">
        <v>10.597303736000001</v>
      </c>
      <c r="GM790" s="1897">
        <v>15.134926411</v>
      </c>
      <c r="GN790" s="1897">
        <v>14.171137517</v>
      </c>
      <c r="GO790" s="1897">
        <v>13.614349638</v>
      </c>
      <c r="GP790" s="1897">
        <v>12.623696037</v>
      </c>
      <c r="GQ790" s="1897">
        <v>13.514222057</v>
      </c>
      <c r="GR790" s="1897">
        <v>19.302051208530845</v>
      </c>
      <c r="GS790" s="1897">
        <v>18.772056935919586</v>
      </c>
      <c r="GT790" s="1897">
        <v>20.944185327549565</v>
      </c>
      <c r="GU790" s="1897">
        <v>7.2067368209999998</v>
      </c>
      <c r="GV790" s="1897">
        <v>16.815718496999999</v>
      </c>
      <c r="GW790" s="1897">
        <v>12.011228035</v>
      </c>
      <c r="GX790" s="1897">
        <v>12.385181258999999</v>
      </c>
      <c r="GY790" s="1897">
        <v>11.960267955999999</v>
      </c>
      <c r="GZ790" s="1897">
        <v>14.608982337</v>
      </c>
      <c r="HA790" s="1897">
        <v>9.9030098989999988</v>
      </c>
      <c r="HB790" s="1897">
        <v>12.011228019000001</v>
      </c>
      <c r="HC790" s="1897">
        <v>12.011228017000001</v>
      </c>
      <c r="HD790" s="1897">
        <v>14.711228041000002</v>
      </c>
      <c r="HE790" s="1897">
        <v>24.021016862</v>
      </c>
      <c r="HF790" s="1897">
        <v>28.9</v>
      </c>
      <c r="HG790" s="1897">
        <v>12.415000935</v>
      </c>
      <c r="HH790" s="1897">
        <v>13.961227801</v>
      </c>
      <c r="HI790" s="1897">
        <v>13.961227598999999</v>
      </c>
      <c r="HJ790" s="1897">
        <v>12.011227845000001</v>
      </c>
      <c r="HK790" s="1897">
        <v>15.413681217999999</v>
      </c>
      <c r="HL790" s="1897">
        <v>12.011227999000001</v>
      </c>
      <c r="HM790" s="1897"/>
      <c r="HN790" s="349"/>
      <c r="HO790" s="358" t="s">
        <v>3300</v>
      </c>
      <c r="HP790" s="307">
        <f>SUM(CE790:CJ790)</f>
        <v>23.672341369999998</v>
      </c>
      <c r="HQ790" s="302">
        <f>SUM(CK790:CP790)</f>
        <v>7.7544368850000014</v>
      </c>
      <c r="HR790" s="346">
        <f>HP790+HQ790</f>
        <v>31.426778254999999</v>
      </c>
      <c r="HS790" s="302">
        <f>SUM(CQ790:CV790)</f>
        <v>25.637466739999997</v>
      </c>
      <c r="HT790" s="302">
        <f>SUM(CW790:DB790)</f>
        <v>20.404397117999999</v>
      </c>
      <c r="HU790" s="346">
        <f>HS790+HT790</f>
        <v>46.041863857999999</v>
      </c>
      <c r="HV790" s="307">
        <f>SUM(DC790:DH790)</f>
        <v>19.8</v>
      </c>
      <c r="HW790" s="302">
        <f>SUM(DI790:DN790)</f>
        <v>19.8</v>
      </c>
      <c r="HX790" s="346">
        <f>HV790+HW790</f>
        <v>39.6</v>
      </c>
      <c r="HY790" s="350">
        <f>SUM(DO790:DT790)</f>
        <v>38.776151759999998</v>
      </c>
      <c r="HZ790" s="302">
        <f>SUM(DU790:DZ790)</f>
        <v>42.085587293000003</v>
      </c>
      <c r="IA790" s="346">
        <f>HY790+HZ790</f>
        <v>80.861739053000008</v>
      </c>
      <c r="IB790" s="302">
        <f>SUM(EA790:EF790)</f>
        <v>36.260093573999995</v>
      </c>
      <c r="IC790" s="302">
        <f>SUM(EG790:EL790)</f>
        <v>39.384381873000002</v>
      </c>
      <c r="ID790" s="346">
        <f>IB790+IC790</f>
        <v>75.644475446999991</v>
      </c>
      <c r="IE790" s="350">
        <f>SUM(EM790:ER790)</f>
        <v>63.917935884999999</v>
      </c>
      <c r="IF790" s="350">
        <f>SUM(ES790:EX790)</f>
        <v>53.917935887999995</v>
      </c>
      <c r="IG790" s="346">
        <f>IE790+IF790</f>
        <v>117.83587177299999</v>
      </c>
      <c r="IH790" s="350">
        <f>SUM(EY790:FD790)</f>
        <v>69.899999023999996</v>
      </c>
      <c r="II790" s="350">
        <f>SUM(FE790:FJ790)</f>
        <v>58.023332489000005</v>
      </c>
      <c r="IJ790" s="346">
        <f>IH790+II790</f>
        <v>127.92333151299999</v>
      </c>
      <c r="IK790" s="350">
        <v>81.294568721999994</v>
      </c>
      <c r="IL790" s="350">
        <f t="shared" si="1208"/>
        <v>64.91604916899999</v>
      </c>
      <c r="IM790" s="346">
        <f t="shared" si="1183"/>
        <v>146.21061789099997</v>
      </c>
      <c r="IN790" s="350">
        <f t="shared" si="1184"/>
        <v>175.65131828699998</v>
      </c>
      <c r="IO790" s="350">
        <f t="shared" si="1185"/>
        <v>84.411969177999993</v>
      </c>
      <c r="IP790" s="346">
        <f t="shared" si="1066"/>
        <v>260.06328746499997</v>
      </c>
      <c r="IQ790" s="350">
        <f t="shared" si="1186"/>
        <v>78.429438795999999</v>
      </c>
      <c r="IR790" s="350">
        <f t="shared" si="1178"/>
        <v>98.770561204000003</v>
      </c>
      <c r="IS790" s="346">
        <f t="shared" si="1195"/>
        <v>177.2</v>
      </c>
      <c r="IT790" s="350">
        <f t="shared" si="1202"/>
        <v>74.988114905000003</v>
      </c>
      <c r="IU790" s="350">
        <f t="shared" ref="IU790:IU813" si="1219">SUM(HA790:HF790)</f>
        <v>101.55771083799999</v>
      </c>
      <c r="IV790" s="346">
        <f t="shared" si="1020"/>
        <v>176.54582574299999</v>
      </c>
      <c r="IW790" s="350">
        <f t="shared" si="1081"/>
        <v>79.773593396999999</v>
      </c>
      <c r="IX790" s="350">
        <f t="shared" si="1069"/>
        <v>82.054441666740942</v>
      </c>
      <c r="IY790" s="346">
        <f>FISC!AJ1104</f>
        <v>161.82803506374094</v>
      </c>
      <c r="IZ790" s="350">
        <f>JB790*1</f>
        <v>169.39295807671687</v>
      </c>
      <c r="JA790" s="302">
        <f t="shared" si="1209"/>
        <v>0</v>
      </c>
      <c r="JB790" s="346">
        <f>FISC!AK1104</f>
        <v>169.39295807671687</v>
      </c>
      <c r="JC790" s="350">
        <f>(FISC!AK76*FISC!AL253/1000)</f>
        <v>54.697646140356113</v>
      </c>
      <c r="JD790" s="302">
        <f t="shared" si="1210"/>
        <v>36.42442942239866</v>
      </c>
      <c r="JE790" s="346">
        <f>FISC!AL1104</f>
        <v>91.122075562754773</v>
      </c>
      <c r="JF790" s="350">
        <f>(FISC!AL76*FISC!AM253/1000)</f>
        <v>58.254451952156927</v>
      </c>
      <c r="JG790" s="302">
        <f t="shared" si="1211"/>
        <v>28.06916834412101</v>
      </c>
      <c r="JH790" s="346">
        <f>FISC!AM1104</f>
        <v>86.323620296277937</v>
      </c>
      <c r="JI790" s="350">
        <f>(FISC!AM76*FISC!AN253/1000)</f>
        <v>44.487080148440889</v>
      </c>
      <c r="JJ790" s="302">
        <f t="shared" si="1212"/>
        <v>25.346606746091901</v>
      </c>
      <c r="JK790" s="346">
        <f>FISC!AN1104</f>
        <v>69.833686894532789</v>
      </c>
      <c r="JL790" s="350">
        <f>(FISC!AN76*FISC!AO253/1000)</f>
        <v>36.631945546877233</v>
      </c>
      <c r="JM790" s="302">
        <f t="shared" si="1213"/>
        <v>3.0500853451962229</v>
      </c>
      <c r="JN790" s="346">
        <f>FISC!AO1104</f>
        <v>39.682030892073456</v>
      </c>
      <c r="KI790" s="349"/>
      <c r="KJ790" s="350"/>
    </row>
    <row r="791" spans="1:296" hidden="1" outlineLevel="1">
      <c r="A791" s="302"/>
      <c r="D791" s="1896" t="s">
        <v>3301</v>
      </c>
      <c r="E791" s="346"/>
      <c r="F791" s="346"/>
      <c r="G791" s="346"/>
      <c r="H791" s="346"/>
      <c r="I791" s="346"/>
      <c r="J791" s="346"/>
      <c r="K791" s="346"/>
      <c r="L791" s="346"/>
      <c r="M791" s="346"/>
      <c r="N791" s="346"/>
      <c r="O791" s="346"/>
      <c r="P791" s="346"/>
      <c r="Q791" s="346"/>
      <c r="R791" s="346"/>
      <c r="S791" s="346"/>
      <c r="T791" s="346"/>
      <c r="U791" s="346"/>
      <c r="V791" s="346"/>
      <c r="W791" s="346"/>
      <c r="X791" s="346"/>
      <c r="Y791" s="346"/>
      <c r="Z791" s="346"/>
      <c r="AA791" s="346"/>
      <c r="AB791" s="346"/>
      <c r="AC791" s="346"/>
      <c r="AD791" s="346"/>
      <c r="AE791" s="346"/>
      <c r="AF791" s="346"/>
      <c r="AG791" s="346"/>
      <c r="AH791" s="346"/>
      <c r="AI791" s="346"/>
      <c r="AJ791" s="346"/>
      <c r="AK791" s="346"/>
      <c r="AL791" s="346"/>
      <c r="AM791" s="346"/>
      <c r="AN791" s="346"/>
      <c r="AO791" s="346"/>
      <c r="AP791" s="346"/>
      <c r="AQ791" s="346"/>
      <c r="AR791" s="346"/>
      <c r="AS791" s="346"/>
      <c r="AT791" s="346"/>
      <c r="AU791" s="346"/>
      <c r="AV791" s="346"/>
      <c r="AW791" s="346"/>
      <c r="AX791" s="346"/>
      <c r="AY791" s="346"/>
      <c r="AZ791" s="346"/>
      <c r="BA791" s="346"/>
      <c r="BB791" s="346"/>
      <c r="BC791" s="346"/>
      <c r="BD791" s="346"/>
      <c r="BE791" s="346"/>
      <c r="BF791" s="346"/>
      <c r="BG791" s="346"/>
      <c r="BH791" s="346"/>
      <c r="BI791" s="346"/>
      <c r="BJ791" s="346"/>
      <c r="BK791" s="346"/>
      <c r="BL791" s="346"/>
      <c r="BM791" s="346"/>
      <c r="BN791" s="346"/>
      <c r="BO791" s="346"/>
      <c r="BP791" s="346"/>
      <c r="BQ791" s="346"/>
      <c r="BR791" s="346"/>
      <c r="BS791" s="346"/>
      <c r="BT791" s="346"/>
      <c r="BU791" s="346"/>
      <c r="BV791" s="346"/>
      <c r="BW791" s="346"/>
      <c r="BX791" s="346"/>
      <c r="BY791" s="346"/>
      <c r="BZ791" s="346"/>
      <c r="CA791" s="346"/>
      <c r="CB791" s="346"/>
      <c r="CC791" s="346"/>
      <c r="CD791" s="352"/>
      <c r="CE791" s="346"/>
      <c r="CF791" s="346"/>
      <c r="CG791" s="346"/>
      <c r="CH791" s="346"/>
      <c r="CI791" s="346"/>
      <c r="CJ791" s="346"/>
      <c r="CK791" s="346"/>
      <c r="CL791" s="346"/>
      <c r="CM791" s="346"/>
      <c r="CN791" s="346"/>
      <c r="CO791" s="346"/>
      <c r="CP791" s="348"/>
      <c r="CQ791" s="346"/>
      <c r="CR791" s="346"/>
      <c r="CS791" s="346"/>
      <c r="CT791" s="346"/>
      <c r="CU791" s="346"/>
      <c r="CV791" s="346"/>
      <c r="CW791" s="346"/>
      <c r="CX791" s="346"/>
      <c r="CY791" s="346"/>
      <c r="CZ791" s="346"/>
      <c r="DA791" s="346"/>
      <c r="DB791" s="1479"/>
      <c r="DC791" s="346"/>
      <c r="DD791" s="346"/>
      <c r="DE791" s="346"/>
      <c r="DF791" s="346"/>
      <c r="DG791" s="346"/>
      <c r="DH791" s="346"/>
      <c r="DI791" s="346"/>
      <c r="DJ791" s="346"/>
      <c r="DK791" s="346"/>
      <c r="DL791" s="346"/>
      <c r="DM791" s="346"/>
      <c r="DN791" s="348"/>
      <c r="DO791" s="346"/>
      <c r="DP791" s="346"/>
      <c r="DQ791" s="346"/>
      <c r="DR791" s="346"/>
      <c r="DS791" s="346"/>
      <c r="DT791" s="346"/>
      <c r="DU791" s="346"/>
      <c r="DV791" s="346"/>
      <c r="DW791" s="346"/>
      <c r="DX791" s="346"/>
      <c r="DY791" s="346"/>
      <c r="DZ791" s="348"/>
      <c r="EA791" s="346"/>
      <c r="EB791" s="346"/>
      <c r="EC791" s="346"/>
      <c r="ED791" s="346"/>
      <c r="EE791" s="346"/>
      <c r="EF791" s="346"/>
      <c r="EG791" s="346"/>
      <c r="EH791" s="346"/>
      <c r="EI791" s="346"/>
      <c r="EJ791" s="346"/>
      <c r="EK791" s="346"/>
      <c r="EL791" s="348"/>
      <c r="EM791" s="346"/>
      <c r="EN791" s="346"/>
      <c r="EO791" s="346"/>
      <c r="EP791" s="346"/>
      <c r="EQ791" s="346"/>
      <c r="ER791" s="346"/>
      <c r="ES791" s="346"/>
      <c r="ET791" s="346"/>
      <c r="EU791" s="346"/>
      <c r="EV791" s="346"/>
      <c r="EW791" s="346"/>
      <c r="EX791" s="348"/>
      <c r="EY791" s="346"/>
      <c r="EZ791" s="346"/>
      <c r="FA791" s="346"/>
      <c r="FB791" s="346"/>
      <c r="FC791" s="346"/>
      <c r="FD791" s="346"/>
      <c r="FE791" s="346"/>
      <c r="FF791" s="346"/>
      <c r="FG791" s="346"/>
      <c r="FH791" s="346"/>
      <c r="FI791" s="346"/>
      <c r="FJ791" s="348"/>
      <c r="FK791" s="346"/>
      <c r="FL791" s="346"/>
      <c r="FM791" s="346"/>
      <c r="FN791" s="346"/>
      <c r="FO791" s="346"/>
      <c r="FP791" s="346"/>
      <c r="FQ791" s="346"/>
      <c r="FR791" s="346"/>
      <c r="FS791" s="346"/>
      <c r="FT791" s="346"/>
      <c r="FU791" s="346"/>
      <c r="FV791" s="346">
        <v>0</v>
      </c>
      <c r="FW791" s="346">
        <v>0</v>
      </c>
      <c r="FX791" s="346">
        <v>0</v>
      </c>
      <c r="FY791" s="346">
        <v>101.47101130509982</v>
      </c>
      <c r="FZ791" s="346">
        <v>0</v>
      </c>
      <c r="GA791" s="346">
        <v>0</v>
      </c>
      <c r="GB791" s="346">
        <v>0</v>
      </c>
      <c r="GC791" s="346">
        <v>0</v>
      </c>
      <c r="GD791" s="346">
        <v>0</v>
      </c>
      <c r="GE791" s="346">
        <v>0</v>
      </c>
      <c r="GF791" s="346">
        <v>0</v>
      </c>
      <c r="GG791" s="346">
        <v>0</v>
      </c>
      <c r="GH791" s="346">
        <v>0</v>
      </c>
      <c r="GI791" s="1897">
        <v>0</v>
      </c>
      <c r="GJ791" s="1897">
        <v>0</v>
      </c>
      <c r="GK791" s="1897">
        <v>0</v>
      </c>
      <c r="GL791" s="1897">
        <v>0</v>
      </c>
      <c r="GM791" s="1897">
        <v>0</v>
      </c>
      <c r="GN791" s="1897">
        <v>0</v>
      </c>
      <c r="GO791" s="1897">
        <v>0</v>
      </c>
      <c r="GP791" s="1897">
        <v>0</v>
      </c>
      <c r="GQ791" s="1897">
        <v>0</v>
      </c>
      <c r="GR791" s="1897">
        <v>0</v>
      </c>
      <c r="GS791" s="1897">
        <v>0</v>
      </c>
      <c r="GT791" s="1897">
        <v>0</v>
      </c>
      <c r="GU791" s="1897">
        <v>0</v>
      </c>
      <c r="GV791" s="1897">
        <v>0</v>
      </c>
      <c r="GW791" s="1897">
        <v>0</v>
      </c>
      <c r="GX791" s="1897">
        <v>0</v>
      </c>
      <c r="GY791" s="1897">
        <v>0</v>
      </c>
      <c r="GZ791" s="1897">
        <v>0</v>
      </c>
      <c r="HA791" s="1897">
        <v>0</v>
      </c>
      <c r="HB791" s="1897">
        <v>0</v>
      </c>
      <c r="HC791" s="1897">
        <v>0</v>
      </c>
      <c r="HD791" s="1897">
        <v>0</v>
      </c>
      <c r="HE791" s="1897">
        <v>0</v>
      </c>
      <c r="HF791" s="1897">
        <v>0</v>
      </c>
      <c r="HG791" s="1897">
        <v>0</v>
      </c>
      <c r="HH791" s="1897">
        <v>0</v>
      </c>
      <c r="HI791" s="1897">
        <v>0</v>
      </c>
      <c r="HJ791" s="1897">
        <v>0</v>
      </c>
      <c r="HK791" s="1897">
        <v>0</v>
      </c>
      <c r="HL791" s="1897">
        <v>0</v>
      </c>
      <c r="HM791" s="1897"/>
      <c r="HN791" s="349"/>
      <c r="HO791" s="1805" t="s">
        <v>3301</v>
      </c>
      <c r="HP791" s="307"/>
      <c r="HR791" s="346"/>
      <c r="HU791" s="346"/>
      <c r="HV791" s="307"/>
      <c r="HX791" s="346"/>
      <c r="HY791" s="350"/>
      <c r="IA791" s="346"/>
      <c r="ID791" s="346"/>
      <c r="IE791" s="350"/>
      <c r="IF791" s="350"/>
      <c r="IG791" s="346"/>
      <c r="IH791" s="350"/>
      <c r="II791" s="350"/>
      <c r="IJ791" s="346"/>
      <c r="IK791" s="350">
        <v>0</v>
      </c>
      <c r="IL791" s="350">
        <f t="shared" si="1208"/>
        <v>0</v>
      </c>
      <c r="IM791" s="346">
        <f t="shared" si="1183"/>
        <v>0</v>
      </c>
      <c r="IN791" s="350">
        <f t="shared" si="1184"/>
        <v>101.47101130509982</v>
      </c>
      <c r="IO791" s="350">
        <f t="shared" si="1185"/>
        <v>0</v>
      </c>
      <c r="IP791" s="346">
        <f t="shared" si="1066"/>
        <v>101.47101130509982</v>
      </c>
      <c r="IQ791" s="350">
        <f t="shared" si="1186"/>
        <v>0</v>
      </c>
      <c r="IR791" s="350">
        <f t="shared" si="1178"/>
        <v>0</v>
      </c>
      <c r="IS791" s="346">
        <f t="shared" si="1195"/>
        <v>0</v>
      </c>
      <c r="IT791" s="350">
        <f t="shared" si="1202"/>
        <v>0</v>
      </c>
      <c r="IU791" s="350">
        <f t="shared" si="1219"/>
        <v>0</v>
      </c>
      <c r="IV791" s="346">
        <f t="shared" si="1020"/>
        <v>0</v>
      </c>
      <c r="IW791" s="350">
        <f t="shared" si="1081"/>
        <v>0</v>
      </c>
      <c r="IX791" s="350">
        <f t="shared" si="1069"/>
        <v>0</v>
      </c>
      <c r="IY791" s="346">
        <f>FISC!AJ1107</f>
        <v>0</v>
      </c>
      <c r="IZ791" s="350">
        <f>JB791*1</f>
        <v>121.82599314474984</v>
      </c>
      <c r="JA791" s="302">
        <f t="shared" si="1209"/>
        <v>0</v>
      </c>
      <c r="JB791" s="346">
        <f>FISC!AK1107</f>
        <v>121.82599314474984</v>
      </c>
      <c r="JC791" s="350">
        <f t="shared" ref="JC791:JC813" si="1220">JE791*0.55</f>
        <v>0</v>
      </c>
      <c r="JD791" s="302">
        <f t="shared" si="1210"/>
        <v>0</v>
      </c>
      <c r="JE791" s="346">
        <f>FISC!AL1107</f>
        <v>0</v>
      </c>
      <c r="JF791" s="350">
        <f t="shared" ref="JF791:JF793" si="1221">JH791*0.55</f>
        <v>0</v>
      </c>
      <c r="JG791" s="302">
        <f t="shared" si="1211"/>
        <v>0</v>
      </c>
      <c r="JH791" s="346">
        <f>FISC!AM1107</f>
        <v>0</v>
      </c>
      <c r="JI791" s="350">
        <f t="shared" ref="JI791" si="1222">JK791*0.55</f>
        <v>0</v>
      </c>
      <c r="JJ791" s="302">
        <f t="shared" si="1212"/>
        <v>0</v>
      </c>
      <c r="JK791" s="346">
        <f>FISC!AN1107</f>
        <v>0</v>
      </c>
      <c r="JL791" s="350">
        <f t="shared" ref="JL791" si="1223">JN791*0.55</f>
        <v>0</v>
      </c>
      <c r="JM791" s="302">
        <f t="shared" si="1213"/>
        <v>0</v>
      </c>
      <c r="JN791" s="346">
        <f>FISC!AO1107</f>
        <v>0</v>
      </c>
      <c r="KI791" s="349"/>
      <c r="KJ791" s="350"/>
    </row>
    <row r="792" spans="1:296" hidden="1" outlineLevel="1">
      <c r="A792" s="302"/>
      <c r="D792" s="1637" t="s">
        <v>3120</v>
      </c>
      <c r="E792" s="346"/>
      <c r="F792" s="346"/>
      <c r="G792" s="346"/>
      <c r="H792" s="346"/>
      <c r="I792" s="346"/>
      <c r="J792" s="346"/>
      <c r="K792" s="346"/>
      <c r="L792" s="346"/>
      <c r="M792" s="346"/>
      <c r="N792" s="346"/>
      <c r="O792" s="346"/>
      <c r="P792" s="346"/>
      <c r="Q792" s="346"/>
      <c r="R792" s="346"/>
      <c r="S792" s="346"/>
      <c r="T792" s="346"/>
      <c r="U792" s="346"/>
      <c r="V792" s="346"/>
      <c r="W792" s="346"/>
      <c r="X792" s="346"/>
      <c r="Y792" s="346"/>
      <c r="Z792" s="346"/>
      <c r="AA792" s="346"/>
      <c r="AB792" s="346"/>
      <c r="AC792" s="346"/>
      <c r="AD792" s="346"/>
      <c r="AE792" s="346"/>
      <c r="AF792" s="346"/>
      <c r="AG792" s="346"/>
      <c r="AH792" s="346"/>
      <c r="AI792" s="346"/>
      <c r="AJ792" s="346"/>
      <c r="AK792" s="346"/>
      <c r="AL792" s="346"/>
      <c r="AM792" s="346"/>
      <c r="AN792" s="346"/>
      <c r="AO792" s="346"/>
      <c r="AP792" s="346"/>
      <c r="AQ792" s="346"/>
      <c r="AR792" s="346"/>
      <c r="AS792" s="346"/>
      <c r="AT792" s="346"/>
      <c r="AU792" s="346"/>
      <c r="AV792" s="346"/>
      <c r="AW792" s="346"/>
      <c r="AX792" s="346"/>
      <c r="AY792" s="346"/>
      <c r="AZ792" s="346"/>
      <c r="BA792" s="346"/>
      <c r="BB792" s="346"/>
      <c r="BC792" s="346"/>
      <c r="BD792" s="346"/>
      <c r="BE792" s="346"/>
      <c r="BF792" s="346"/>
      <c r="BG792" s="346"/>
      <c r="BH792" s="346"/>
      <c r="BI792" s="346"/>
      <c r="BJ792" s="346"/>
      <c r="BK792" s="346"/>
      <c r="BL792" s="346"/>
      <c r="BM792" s="346"/>
      <c r="BN792" s="346"/>
      <c r="BO792" s="346"/>
      <c r="BP792" s="346"/>
      <c r="BQ792" s="346"/>
      <c r="BR792" s="346"/>
      <c r="BS792" s="346"/>
      <c r="BT792" s="346"/>
      <c r="BU792" s="346"/>
      <c r="BV792" s="346"/>
      <c r="BW792" s="346"/>
      <c r="BX792" s="346"/>
      <c r="BY792" s="346"/>
      <c r="BZ792" s="346"/>
      <c r="CA792" s="346"/>
      <c r="CB792" s="346"/>
      <c r="CC792" s="346"/>
      <c r="CD792" s="352"/>
      <c r="CE792" s="346">
        <v>0</v>
      </c>
      <c r="CF792" s="346">
        <v>0</v>
      </c>
      <c r="CG792" s="346">
        <v>0</v>
      </c>
      <c r="CH792" s="346">
        <v>0</v>
      </c>
      <c r="CI792" s="346">
        <v>0</v>
      </c>
      <c r="CJ792" s="346">
        <v>0</v>
      </c>
      <c r="CK792" s="346">
        <v>0</v>
      </c>
      <c r="CL792" s="346">
        <v>0</v>
      </c>
      <c r="CM792" s="346">
        <v>0</v>
      </c>
      <c r="CN792" s="346">
        <v>0</v>
      </c>
      <c r="CO792" s="346">
        <v>0</v>
      </c>
      <c r="CP792" s="348">
        <v>0</v>
      </c>
      <c r="CQ792" s="346"/>
      <c r="CR792" s="346"/>
      <c r="CS792" s="346"/>
      <c r="CT792" s="346"/>
      <c r="CU792" s="346"/>
      <c r="CV792" s="346"/>
      <c r="CW792" s="346"/>
      <c r="CX792" s="346"/>
      <c r="CY792" s="346"/>
      <c r="CZ792" s="346"/>
      <c r="DA792" s="346"/>
      <c r="DB792" s="1479"/>
      <c r="DC792" s="346"/>
      <c r="DD792" s="346"/>
      <c r="DE792" s="346"/>
      <c r="DF792" s="346"/>
      <c r="DG792" s="346"/>
      <c r="DH792" s="346"/>
      <c r="DI792" s="346"/>
      <c r="DJ792" s="346"/>
      <c r="DK792" s="346"/>
      <c r="DL792" s="346"/>
      <c r="DM792" s="346"/>
      <c r="DN792" s="348"/>
      <c r="DO792" s="346"/>
      <c r="DP792" s="346"/>
      <c r="DQ792" s="346"/>
      <c r="DR792" s="346"/>
      <c r="DS792" s="346"/>
      <c r="DT792" s="346"/>
      <c r="DU792" s="346"/>
      <c r="DV792" s="346"/>
      <c r="DW792" s="346"/>
      <c r="DX792" s="346"/>
      <c r="DY792" s="346"/>
      <c r="DZ792" s="348"/>
      <c r="EA792" s="346"/>
      <c r="EB792" s="346"/>
      <c r="EC792" s="346"/>
      <c r="ED792" s="346"/>
      <c r="EE792" s="346"/>
      <c r="EF792" s="346"/>
      <c r="EG792" s="346"/>
      <c r="EH792" s="346"/>
      <c r="EI792" s="346"/>
      <c r="EJ792" s="346"/>
      <c r="EK792" s="346"/>
      <c r="EL792" s="348"/>
      <c r="EM792" s="346"/>
      <c r="EN792" s="346"/>
      <c r="EO792" s="346"/>
      <c r="EP792" s="346"/>
      <c r="EQ792" s="346"/>
      <c r="ER792" s="346"/>
      <c r="ES792" s="346"/>
      <c r="ET792" s="346"/>
      <c r="EU792" s="346"/>
      <c r="EV792" s="346"/>
      <c r="EW792" s="346"/>
      <c r="EX792" s="348"/>
      <c r="EY792" s="346"/>
      <c r="EZ792" s="346"/>
      <c r="FA792" s="346"/>
      <c r="FB792" s="346"/>
      <c r="FC792" s="346"/>
      <c r="FD792" s="346"/>
      <c r="FE792" s="346"/>
      <c r="FF792" s="346"/>
      <c r="FG792" s="346"/>
      <c r="FH792" s="346"/>
      <c r="FI792" s="346"/>
      <c r="FJ792" s="348"/>
      <c r="FK792" s="346"/>
      <c r="FL792" s="346"/>
      <c r="FM792" s="346"/>
      <c r="FN792" s="346"/>
      <c r="FO792" s="346"/>
      <c r="FP792" s="346"/>
      <c r="FQ792" s="346"/>
      <c r="FR792" s="346"/>
      <c r="FS792" s="346"/>
      <c r="FT792" s="346"/>
      <c r="FU792" s="346"/>
      <c r="FV792" s="346"/>
      <c r="FW792" s="346">
        <v>0</v>
      </c>
      <c r="FX792" s="346">
        <v>7.6285068750000002</v>
      </c>
      <c r="FY792" s="346">
        <v>6.9130072079999998</v>
      </c>
      <c r="FZ792" s="346">
        <v>0.972275589</v>
      </c>
      <c r="GA792" s="346">
        <v>0</v>
      </c>
      <c r="GB792" s="346">
        <v>1.034397571</v>
      </c>
      <c r="GC792" s="346">
        <v>10.066324409</v>
      </c>
      <c r="GD792" s="346">
        <v>10.599482423</v>
      </c>
      <c r="GE792" s="346">
        <v>5.3324771999999999E-2</v>
      </c>
      <c r="GF792" s="346">
        <v>33.243282190999999</v>
      </c>
      <c r="GG792" s="346">
        <v>19.476485557</v>
      </c>
      <c r="GH792" s="346">
        <v>12.37468082</v>
      </c>
      <c r="GI792" s="1902">
        <v>32.256767070999999</v>
      </c>
      <c r="GJ792" s="1902">
        <v>6.4450805139999998</v>
      </c>
      <c r="GK792" s="1902">
        <v>6.571172647</v>
      </c>
      <c r="GL792" s="1902">
        <v>12.127108992</v>
      </c>
      <c r="GM792" s="1902">
        <v>6.1042566450000004</v>
      </c>
      <c r="GN792" s="1902">
        <v>4.2896158419999999</v>
      </c>
      <c r="GO792" s="1897">
        <v>9.304975828988816</v>
      </c>
      <c r="GP792" s="1897">
        <v>6.6989191371131268E-2</v>
      </c>
      <c r="GQ792" s="1897">
        <v>24.539645321640059</v>
      </c>
      <c r="GR792" s="1897">
        <v>0.5082772655566401</v>
      </c>
      <c r="GS792" s="1897">
        <v>9.774879751092028</v>
      </c>
      <c r="GT792" s="1897">
        <v>1.3112309303513316</v>
      </c>
      <c r="GU792" s="1897">
        <v>0</v>
      </c>
      <c r="GV792" s="1897">
        <v>6.8304974759999997</v>
      </c>
      <c r="GW792" s="1897">
        <v>9.5906353109999998</v>
      </c>
      <c r="GX792" s="1897">
        <v>14.106473953</v>
      </c>
      <c r="GY792" s="1897">
        <v>13.981949655999999</v>
      </c>
      <c r="GZ792" s="1897">
        <v>7.1623217090000004</v>
      </c>
      <c r="HA792" s="1897">
        <v>22.627860151</v>
      </c>
      <c r="HB792" s="1897">
        <v>20.647062464999998</v>
      </c>
      <c r="HC792" s="1897">
        <v>18.670902823999999</v>
      </c>
      <c r="HD792" s="1897">
        <v>5.5958601909999999</v>
      </c>
      <c r="HE792" s="1897">
        <v>0</v>
      </c>
      <c r="HF792" s="1897">
        <v>0.41469011299999892</v>
      </c>
      <c r="HG792" s="1897">
        <v>2.125583716</v>
      </c>
      <c r="HH792" s="1897">
        <v>0</v>
      </c>
      <c r="HI792" s="1897">
        <v>30.551920456000001</v>
      </c>
      <c r="HJ792" s="1897">
        <v>0</v>
      </c>
      <c r="HK792" s="1897">
        <v>8.1419603909999996</v>
      </c>
      <c r="HL792" s="1897">
        <v>22.898849463999998</v>
      </c>
      <c r="HM792" s="1897"/>
      <c r="HN792" s="349"/>
      <c r="HO792" s="1637" t="s">
        <v>3120</v>
      </c>
      <c r="HP792" s="307"/>
      <c r="HR792" s="346"/>
      <c r="HU792" s="346"/>
      <c r="HV792" s="307"/>
      <c r="HX792" s="346"/>
      <c r="HY792" s="350"/>
      <c r="IA792" s="346"/>
      <c r="ID792" s="346"/>
      <c r="IE792" s="350"/>
      <c r="IF792" s="350"/>
      <c r="IG792" s="346"/>
      <c r="IH792" s="350"/>
      <c r="II792" s="350"/>
      <c r="IJ792" s="346"/>
      <c r="IK792" s="350">
        <v>66.655878622000003</v>
      </c>
      <c r="IL792" s="350">
        <f t="shared" si="1208"/>
        <v>0</v>
      </c>
      <c r="IM792" s="346">
        <f t="shared" si="1183"/>
        <v>66.655878622000003</v>
      </c>
      <c r="IN792" s="350">
        <f t="shared" si="1184"/>
        <v>16.548187243000001</v>
      </c>
      <c r="IO792" s="350">
        <f t="shared" si="1185"/>
        <v>85.813580172000002</v>
      </c>
      <c r="IP792" s="346">
        <f t="shared" si="1066"/>
        <v>102.361767415</v>
      </c>
      <c r="IQ792" s="350">
        <f t="shared" si="1186"/>
        <v>67.794001710999993</v>
      </c>
      <c r="IR792" s="350">
        <f t="shared" si="1178"/>
        <v>45.505998289000004</v>
      </c>
      <c r="IS792" s="346">
        <f t="shared" si="1195"/>
        <v>113.3</v>
      </c>
      <c r="IT792" s="350">
        <f t="shared" si="1202"/>
        <v>51.67187810499999</v>
      </c>
      <c r="IU792" s="350">
        <f t="shared" si="1219"/>
        <v>67.956375743999985</v>
      </c>
      <c r="IV792" s="346">
        <f t="shared" si="1020"/>
        <v>119.62825384899998</v>
      </c>
      <c r="IW792" s="350">
        <f t="shared" si="1081"/>
        <v>63.718314026999991</v>
      </c>
      <c r="IX792" s="350">
        <f t="shared" si="1069"/>
        <v>63.069185973000017</v>
      </c>
      <c r="IY792" s="346">
        <f>FISC!AJ1108</f>
        <v>126.78750000000001</v>
      </c>
      <c r="IZ792" s="350">
        <f>JB792*0.55</f>
        <v>73.219781250000011</v>
      </c>
      <c r="JA792" s="302">
        <f t="shared" si="1209"/>
        <v>59.907093750000001</v>
      </c>
      <c r="JB792" s="346">
        <f>FISC!AK1108</f>
        <v>133.12687500000001</v>
      </c>
      <c r="JC792" s="350">
        <f t="shared" si="1220"/>
        <v>81.640056093750019</v>
      </c>
      <c r="JD792" s="302">
        <f t="shared" si="1210"/>
        <v>66.796409531249992</v>
      </c>
      <c r="JE792" s="346">
        <f>FISC!AL1108</f>
        <v>148.43646562500001</v>
      </c>
      <c r="JF792" s="350">
        <f>JH792*0.55</f>
        <v>85.72205889843751</v>
      </c>
      <c r="JG792" s="302">
        <f t="shared" si="1211"/>
        <v>70.1362300078125</v>
      </c>
      <c r="JH792" s="346">
        <f>FISC!AM1108</f>
        <v>155.85828890625001</v>
      </c>
      <c r="JI792" s="350">
        <f>JK792*0.55</f>
        <v>90.008161843359389</v>
      </c>
      <c r="JJ792" s="302">
        <f t="shared" si="1212"/>
        <v>73.643041508203126</v>
      </c>
      <c r="JK792" s="346">
        <f>FISC!AN1108</f>
        <v>163.65120335156251</v>
      </c>
      <c r="JL792" s="350">
        <f>JN792*0.55</f>
        <v>94.508569935527376</v>
      </c>
      <c r="JM792" s="302">
        <f t="shared" si="1213"/>
        <v>77.325193583613284</v>
      </c>
      <c r="JN792" s="346">
        <f>FISC!AO1108</f>
        <v>171.83376351914066</v>
      </c>
      <c r="KI792" s="349"/>
      <c r="KJ792" s="350"/>
    </row>
    <row r="793" spans="1:296" hidden="1" outlineLevel="1">
      <c r="A793" s="302"/>
      <c r="D793" s="1638" t="s">
        <v>3214</v>
      </c>
      <c r="E793" s="346"/>
      <c r="F793" s="346"/>
      <c r="G793" s="346"/>
      <c r="H793" s="346"/>
      <c r="I793" s="346"/>
      <c r="J793" s="346"/>
      <c r="K793" s="346"/>
      <c r="L793" s="346"/>
      <c r="M793" s="346"/>
      <c r="N793" s="346"/>
      <c r="O793" s="346"/>
      <c r="P793" s="346"/>
      <c r="Q793" s="346"/>
      <c r="R793" s="346"/>
      <c r="S793" s="346"/>
      <c r="T793" s="346"/>
      <c r="U793" s="346"/>
      <c r="V793" s="346"/>
      <c r="W793" s="346"/>
      <c r="X793" s="346"/>
      <c r="Y793" s="346"/>
      <c r="Z793" s="346"/>
      <c r="AA793" s="346"/>
      <c r="AB793" s="346"/>
      <c r="AC793" s="346"/>
      <c r="AD793" s="346"/>
      <c r="AE793" s="346"/>
      <c r="AF793" s="346"/>
      <c r="AG793" s="346"/>
      <c r="AH793" s="346"/>
      <c r="AI793" s="346"/>
      <c r="AJ793" s="346"/>
      <c r="AK793" s="346"/>
      <c r="AL793" s="346"/>
      <c r="AM793" s="346"/>
      <c r="AN793" s="346"/>
      <c r="AO793" s="346"/>
      <c r="AP793" s="346"/>
      <c r="AQ793" s="346"/>
      <c r="AR793" s="346"/>
      <c r="AS793" s="346"/>
      <c r="AT793" s="346"/>
      <c r="AU793" s="346"/>
      <c r="AV793" s="346"/>
      <c r="AW793" s="346"/>
      <c r="AX793" s="346"/>
      <c r="AY793" s="346"/>
      <c r="AZ793" s="346"/>
      <c r="BA793" s="346"/>
      <c r="BB793" s="346"/>
      <c r="BC793" s="346"/>
      <c r="BD793" s="346"/>
      <c r="BE793" s="346"/>
      <c r="BF793" s="346"/>
      <c r="BG793" s="346"/>
      <c r="BH793" s="346"/>
      <c r="BI793" s="346"/>
      <c r="BJ793" s="346"/>
      <c r="BK793" s="346"/>
      <c r="BL793" s="346"/>
      <c r="BM793" s="346"/>
      <c r="BN793" s="346"/>
      <c r="BO793" s="346"/>
      <c r="BP793" s="346"/>
      <c r="BQ793" s="346"/>
      <c r="BR793" s="346"/>
      <c r="BS793" s="346"/>
      <c r="BT793" s="346"/>
      <c r="BU793" s="346"/>
      <c r="BV793" s="346"/>
      <c r="BW793" s="346"/>
      <c r="BX793" s="346"/>
      <c r="BY793" s="346"/>
      <c r="BZ793" s="346"/>
      <c r="CA793" s="346"/>
      <c r="CB793" s="346"/>
      <c r="CC793" s="346"/>
      <c r="CD793" s="352"/>
      <c r="CE793" s="346"/>
      <c r="CF793" s="346"/>
      <c r="CG793" s="346"/>
      <c r="CH793" s="346"/>
      <c r="CI793" s="346"/>
      <c r="CJ793" s="346"/>
      <c r="CK793" s="346"/>
      <c r="CL793" s="346"/>
      <c r="CM793" s="346"/>
      <c r="CN793" s="346"/>
      <c r="CO793" s="346"/>
      <c r="CP793" s="348"/>
      <c r="CQ793" s="346"/>
      <c r="CR793" s="346"/>
      <c r="CS793" s="346"/>
      <c r="CT793" s="346"/>
      <c r="CU793" s="346"/>
      <c r="CV793" s="346"/>
      <c r="CW793" s="346"/>
      <c r="CX793" s="346"/>
      <c r="CY793" s="346"/>
      <c r="CZ793" s="346"/>
      <c r="DA793" s="346"/>
      <c r="DB793" s="1479"/>
      <c r="DC793" s="346"/>
      <c r="DD793" s="346"/>
      <c r="DE793" s="346"/>
      <c r="DF793" s="346"/>
      <c r="DG793" s="346"/>
      <c r="DH793" s="346"/>
      <c r="DI793" s="346"/>
      <c r="DJ793" s="346"/>
      <c r="DK793" s="346"/>
      <c r="DL793" s="346"/>
      <c r="DM793" s="346"/>
      <c r="DN793" s="348"/>
      <c r="DO793" s="346"/>
      <c r="DP793" s="346"/>
      <c r="DQ793" s="346"/>
      <c r="DR793" s="346"/>
      <c r="DS793" s="346"/>
      <c r="DT793" s="346"/>
      <c r="DU793" s="346"/>
      <c r="DV793" s="346"/>
      <c r="DW793" s="346"/>
      <c r="DX793" s="346"/>
      <c r="DY793" s="346"/>
      <c r="DZ793" s="348"/>
      <c r="EA793" s="346"/>
      <c r="EB793" s="346"/>
      <c r="EC793" s="346"/>
      <c r="ED793" s="346"/>
      <c r="EE793" s="346"/>
      <c r="EF793" s="346"/>
      <c r="EG793" s="346"/>
      <c r="EH793" s="346"/>
      <c r="EI793" s="346"/>
      <c r="EJ793" s="346"/>
      <c r="EK793" s="346"/>
      <c r="EL793" s="348"/>
      <c r="EM793" s="346"/>
      <c r="EN793" s="346"/>
      <c r="EO793" s="346"/>
      <c r="EP793" s="346"/>
      <c r="EQ793" s="346"/>
      <c r="ER793" s="346"/>
      <c r="ES793" s="346"/>
      <c r="ET793" s="346"/>
      <c r="EU793" s="346"/>
      <c r="EV793" s="346"/>
      <c r="EW793" s="346"/>
      <c r="EX793" s="348"/>
      <c r="EY793" s="346"/>
      <c r="EZ793" s="346"/>
      <c r="FA793" s="346"/>
      <c r="FB793" s="346"/>
      <c r="FC793" s="346"/>
      <c r="FD793" s="346"/>
      <c r="FE793" s="346"/>
      <c r="FF793" s="346"/>
      <c r="FG793" s="346"/>
      <c r="FH793" s="346"/>
      <c r="FI793" s="346"/>
      <c r="FJ793" s="348"/>
      <c r="FK793" s="346"/>
      <c r="FL793" s="346"/>
      <c r="FM793" s="346"/>
      <c r="FN793" s="346"/>
      <c r="FO793" s="346"/>
      <c r="FP793" s="346"/>
      <c r="FQ793" s="346"/>
      <c r="FR793" s="346"/>
      <c r="FS793" s="346"/>
      <c r="FT793" s="346"/>
      <c r="FU793" s="346"/>
      <c r="FV793" s="346"/>
      <c r="FW793" s="346">
        <v>0</v>
      </c>
      <c r="FX793" s="346">
        <v>0</v>
      </c>
      <c r="FY793" s="346">
        <v>0</v>
      </c>
      <c r="FZ793" s="346">
        <v>0</v>
      </c>
      <c r="GA793" s="346">
        <v>0</v>
      </c>
      <c r="GB793" s="346">
        <v>0</v>
      </c>
      <c r="GC793" s="346">
        <v>0</v>
      </c>
      <c r="GD793" s="346">
        <v>0</v>
      </c>
      <c r="GE793" s="346">
        <v>0</v>
      </c>
      <c r="GF793" s="346">
        <v>0</v>
      </c>
      <c r="GG793" s="346">
        <v>0</v>
      </c>
      <c r="GH793" s="346">
        <v>0</v>
      </c>
      <c r="GI793" s="1897">
        <v>0</v>
      </c>
      <c r="GJ793" s="1897">
        <v>0</v>
      </c>
      <c r="GK793" s="1897">
        <v>0</v>
      </c>
      <c r="GL793" s="1897">
        <v>0</v>
      </c>
      <c r="GM793" s="1897">
        <v>0</v>
      </c>
      <c r="GN793" s="1897">
        <v>0</v>
      </c>
      <c r="GO793" s="1897">
        <v>0</v>
      </c>
      <c r="GP793" s="1897">
        <v>0</v>
      </c>
      <c r="GQ793" s="1897">
        <v>0</v>
      </c>
      <c r="GR793" s="1897">
        <v>0</v>
      </c>
      <c r="GS793" s="1897">
        <v>0</v>
      </c>
      <c r="GT793" s="1897">
        <v>0</v>
      </c>
      <c r="GU793" s="1897">
        <v>0</v>
      </c>
      <c r="GV793" s="1897">
        <v>0</v>
      </c>
      <c r="GW793" s="1897">
        <v>0</v>
      </c>
      <c r="GX793" s="1897">
        <v>0</v>
      </c>
      <c r="GY793" s="1897">
        <v>0</v>
      </c>
      <c r="GZ793" s="1897">
        <v>0</v>
      </c>
      <c r="HA793" s="1897">
        <v>0</v>
      </c>
      <c r="HB793" s="1897">
        <v>0</v>
      </c>
      <c r="HC793" s="1897">
        <v>0</v>
      </c>
      <c r="HD793" s="1897">
        <v>0</v>
      </c>
      <c r="HE793" s="1897">
        <v>0</v>
      </c>
      <c r="HF793" s="1897">
        <v>0</v>
      </c>
      <c r="HG793" s="1897">
        <v>0</v>
      </c>
      <c r="HH793" s="1897">
        <v>0</v>
      </c>
      <c r="HI793" s="1897">
        <v>0</v>
      </c>
      <c r="HJ793" s="1897">
        <v>0</v>
      </c>
      <c r="HK793" s="1897">
        <v>0</v>
      </c>
      <c r="HL793" s="1897">
        <v>0</v>
      </c>
      <c r="HM793" s="1897"/>
      <c r="HN793" s="349"/>
      <c r="HO793" s="1638" t="s">
        <v>3214</v>
      </c>
      <c r="HP793" s="307"/>
      <c r="HR793" s="346"/>
      <c r="HU793" s="346"/>
      <c r="HV793" s="307"/>
      <c r="HX793" s="346"/>
      <c r="HY793" s="350"/>
      <c r="IA793" s="346"/>
      <c r="ID793" s="346"/>
      <c r="IE793" s="350"/>
      <c r="IF793" s="350"/>
      <c r="IG793" s="346"/>
      <c r="IH793" s="350"/>
      <c r="II793" s="350"/>
      <c r="IJ793" s="346"/>
      <c r="IK793" s="350">
        <v>12.3</v>
      </c>
      <c r="IL793" s="350">
        <f t="shared" si="1208"/>
        <v>0</v>
      </c>
      <c r="IM793" s="346">
        <f t="shared" si="1183"/>
        <v>12.3</v>
      </c>
      <c r="IN793" s="350">
        <f t="shared" si="1184"/>
        <v>0</v>
      </c>
      <c r="IO793" s="350">
        <f t="shared" si="1185"/>
        <v>0</v>
      </c>
      <c r="IP793" s="346">
        <f t="shared" si="1066"/>
        <v>0</v>
      </c>
      <c r="IQ793" s="350">
        <f t="shared" si="1186"/>
        <v>0</v>
      </c>
      <c r="IR793" s="350">
        <f t="shared" si="1178"/>
        <v>0</v>
      </c>
      <c r="IS793" s="346">
        <f t="shared" si="1195"/>
        <v>0</v>
      </c>
      <c r="IT793" s="350">
        <f t="shared" si="1202"/>
        <v>0</v>
      </c>
      <c r="IU793" s="350">
        <f t="shared" si="1219"/>
        <v>0</v>
      </c>
      <c r="IV793" s="346">
        <f t="shared" si="1020"/>
        <v>0</v>
      </c>
      <c r="IW793" s="350">
        <f t="shared" si="1081"/>
        <v>0</v>
      </c>
      <c r="IX793" s="350">
        <f t="shared" si="1069"/>
        <v>0</v>
      </c>
      <c r="IY793" s="346">
        <f>FISC!AJ1109</f>
        <v>0</v>
      </c>
      <c r="IZ793" s="350">
        <f>JB793*0.55</f>
        <v>0</v>
      </c>
      <c r="JA793" s="302">
        <f t="shared" si="1209"/>
        <v>0</v>
      </c>
      <c r="JB793" s="346">
        <f>FISC!AK1109</f>
        <v>0</v>
      </c>
      <c r="JC793" s="350">
        <f t="shared" si="1220"/>
        <v>0</v>
      </c>
      <c r="JD793" s="302">
        <f t="shared" si="1210"/>
        <v>0</v>
      </c>
      <c r="JE793" s="346">
        <f>FISC!AL1109</f>
        <v>0</v>
      </c>
      <c r="JF793" s="350">
        <f t="shared" si="1221"/>
        <v>0</v>
      </c>
      <c r="JG793" s="302">
        <f t="shared" si="1211"/>
        <v>0</v>
      </c>
      <c r="JH793" s="346">
        <f>FISC!AM1109</f>
        <v>0</v>
      </c>
      <c r="JI793" s="350">
        <f t="shared" ref="JI793" si="1224">JK793*0.55</f>
        <v>0</v>
      </c>
      <c r="JJ793" s="302">
        <f t="shared" si="1212"/>
        <v>0</v>
      </c>
      <c r="JK793" s="346">
        <f>FISC!AN1109</f>
        <v>0</v>
      </c>
      <c r="JL793" s="350">
        <f t="shared" ref="JL793" si="1225">JN793*0.55</f>
        <v>0</v>
      </c>
      <c r="JM793" s="302">
        <f t="shared" si="1213"/>
        <v>0</v>
      </c>
      <c r="JN793" s="346">
        <f>FISC!AO1109</f>
        <v>0</v>
      </c>
      <c r="KI793" s="349"/>
      <c r="KJ793" s="350"/>
    </row>
    <row r="794" spans="1:296" hidden="1" outlineLevel="1">
      <c r="A794" s="302"/>
      <c r="D794" s="1924" t="str">
        <f>FISC!D1110</f>
        <v>Flood response</v>
      </c>
      <c r="E794" s="346"/>
      <c r="F794" s="346"/>
      <c r="G794" s="346"/>
      <c r="H794" s="346"/>
      <c r="I794" s="346"/>
      <c r="J794" s="346"/>
      <c r="K794" s="346"/>
      <c r="L794" s="346"/>
      <c r="M794" s="346"/>
      <c r="N794" s="346"/>
      <c r="O794" s="346"/>
      <c r="P794" s="346"/>
      <c r="Q794" s="346"/>
      <c r="R794" s="346"/>
      <c r="S794" s="346"/>
      <c r="T794" s="346"/>
      <c r="U794" s="346"/>
      <c r="V794" s="346"/>
      <c r="W794" s="346"/>
      <c r="X794" s="346"/>
      <c r="Y794" s="346"/>
      <c r="Z794" s="346"/>
      <c r="AA794" s="346"/>
      <c r="AB794" s="346"/>
      <c r="AC794" s="346"/>
      <c r="AD794" s="346"/>
      <c r="AE794" s="346"/>
      <c r="AF794" s="346"/>
      <c r="AG794" s="346"/>
      <c r="AH794" s="346"/>
      <c r="AI794" s="346"/>
      <c r="AJ794" s="346"/>
      <c r="AK794" s="346"/>
      <c r="AL794" s="346"/>
      <c r="AM794" s="346"/>
      <c r="AN794" s="346"/>
      <c r="AO794" s="346"/>
      <c r="AP794" s="346"/>
      <c r="AQ794" s="346"/>
      <c r="AR794" s="346"/>
      <c r="AS794" s="346"/>
      <c r="AT794" s="346"/>
      <c r="AU794" s="346"/>
      <c r="AV794" s="346"/>
      <c r="AW794" s="346"/>
      <c r="AX794" s="346"/>
      <c r="AY794" s="346"/>
      <c r="AZ794" s="346"/>
      <c r="BA794" s="346"/>
      <c r="BB794" s="346"/>
      <c r="BC794" s="346"/>
      <c r="BD794" s="346"/>
      <c r="BE794" s="346"/>
      <c r="BF794" s="346"/>
      <c r="BG794" s="346"/>
      <c r="BH794" s="346"/>
      <c r="BI794" s="346"/>
      <c r="BJ794" s="346"/>
      <c r="BK794" s="346"/>
      <c r="BL794" s="346"/>
      <c r="BM794" s="346"/>
      <c r="BN794" s="346"/>
      <c r="BO794" s="346"/>
      <c r="BP794" s="346"/>
      <c r="BQ794" s="346"/>
      <c r="BR794" s="346"/>
      <c r="BS794" s="346"/>
      <c r="BT794" s="346"/>
      <c r="BU794" s="346"/>
      <c r="BV794" s="346"/>
      <c r="BW794" s="346"/>
      <c r="BX794" s="346"/>
      <c r="BY794" s="346"/>
      <c r="BZ794" s="346"/>
      <c r="CA794" s="346"/>
      <c r="CB794" s="346"/>
      <c r="CC794" s="346"/>
      <c r="CD794" s="352"/>
      <c r="CE794" s="346"/>
      <c r="CF794" s="346"/>
      <c r="CG794" s="346"/>
      <c r="CH794" s="346"/>
      <c r="CI794" s="346"/>
      <c r="CJ794" s="346"/>
      <c r="CK794" s="346"/>
      <c r="CL794" s="346"/>
      <c r="CM794" s="346"/>
      <c r="CN794" s="346"/>
      <c r="CO794" s="346"/>
      <c r="CP794" s="348"/>
      <c r="CQ794" s="346"/>
      <c r="CR794" s="346"/>
      <c r="CS794" s="346"/>
      <c r="CT794" s="346"/>
      <c r="CU794" s="346"/>
      <c r="CV794" s="346"/>
      <c r="CW794" s="346"/>
      <c r="CX794" s="346"/>
      <c r="CY794" s="346"/>
      <c r="CZ794" s="346"/>
      <c r="DA794" s="346"/>
      <c r="DB794" s="1479"/>
      <c r="DC794" s="346"/>
      <c r="DD794" s="346"/>
      <c r="DE794" s="346"/>
      <c r="DF794" s="346"/>
      <c r="DG794" s="346"/>
      <c r="DH794" s="346"/>
      <c r="DI794" s="346"/>
      <c r="DJ794" s="346"/>
      <c r="DK794" s="346"/>
      <c r="DL794" s="346"/>
      <c r="DM794" s="346"/>
      <c r="DN794" s="348"/>
      <c r="DO794" s="346"/>
      <c r="DP794" s="346"/>
      <c r="DQ794" s="346"/>
      <c r="DR794" s="346"/>
      <c r="DS794" s="346"/>
      <c r="DT794" s="346"/>
      <c r="DU794" s="346"/>
      <c r="DV794" s="346"/>
      <c r="DW794" s="346"/>
      <c r="DX794" s="346"/>
      <c r="DY794" s="346"/>
      <c r="DZ794" s="348"/>
      <c r="EA794" s="346"/>
      <c r="EB794" s="346"/>
      <c r="EC794" s="346"/>
      <c r="ED794" s="346"/>
      <c r="EE794" s="346"/>
      <c r="EF794" s="346"/>
      <c r="EG794" s="346"/>
      <c r="EH794" s="346"/>
      <c r="EI794" s="346"/>
      <c r="EJ794" s="346"/>
      <c r="EK794" s="346"/>
      <c r="EL794" s="348"/>
      <c r="EM794" s="346"/>
      <c r="EN794" s="346"/>
      <c r="EO794" s="346"/>
      <c r="EP794" s="346"/>
      <c r="EQ794" s="346"/>
      <c r="ER794" s="346"/>
      <c r="ES794" s="346"/>
      <c r="ET794" s="346"/>
      <c r="EU794" s="346"/>
      <c r="EV794" s="346"/>
      <c r="EW794" s="346"/>
      <c r="EX794" s="348"/>
      <c r="EY794" s="346"/>
      <c r="EZ794" s="346"/>
      <c r="FA794" s="346"/>
      <c r="FB794" s="346"/>
      <c r="FC794" s="346"/>
      <c r="FD794" s="346"/>
      <c r="FE794" s="346"/>
      <c r="FF794" s="346"/>
      <c r="FG794" s="346"/>
      <c r="FH794" s="346"/>
      <c r="FI794" s="346"/>
      <c r="FJ794" s="348"/>
      <c r="FK794" s="346"/>
      <c r="FL794" s="346"/>
      <c r="FM794" s="346"/>
      <c r="FN794" s="346"/>
      <c r="FO794" s="346"/>
      <c r="FP794" s="346"/>
      <c r="FQ794" s="346"/>
      <c r="FR794" s="346"/>
      <c r="FS794" s="346"/>
      <c r="FT794" s="346"/>
      <c r="FU794" s="346"/>
      <c r="FV794" s="346"/>
      <c r="FW794" s="346"/>
      <c r="FX794" s="346"/>
      <c r="FY794" s="346"/>
      <c r="FZ794" s="346"/>
      <c r="GA794" s="346"/>
      <c r="GB794" s="346"/>
      <c r="GC794" s="346"/>
      <c r="GD794" s="346"/>
      <c r="GE794" s="346"/>
      <c r="GF794" s="346"/>
      <c r="GG794" s="346"/>
      <c r="GH794" s="346"/>
      <c r="GI794" s="1897">
        <v>0</v>
      </c>
      <c r="GJ794" s="1897">
        <v>0</v>
      </c>
      <c r="GK794" s="1897">
        <v>0</v>
      </c>
      <c r="GL794" s="1897">
        <v>0</v>
      </c>
      <c r="GM794" s="1897">
        <v>0</v>
      </c>
      <c r="GN794" s="1897">
        <v>0</v>
      </c>
      <c r="GO794" s="1897">
        <v>0</v>
      </c>
      <c r="GP794" s="1897">
        <v>0</v>
      </c>
      <c r="GQ794" s="1897">
        <v>0</v>
      </c>
      <c r="GR794" s="1897">
        <v>0</v>
      </c>
      <c r="GS794" s="1897">
        <v>0</v>
      </c>
      <c r="GT794" s="1897">
        <v>0</v>
      </c>
      <c r="GU794" s="1897">
        <v>0</v>
      </c>
      <c r="GV794" s="1897">
        <v>0</v>
      </c>
      <c r="GW794" s="1897">
        <v>0</v>
      </c>
      <c r="GX794" s="1897">
        <v>0</v>
      </c>
      <c r="GY794" s="1897">
        <v>0</v>
      </c>
      <c r="GZ794" s="1897">
        <v>0</v>
      </c>
      <c r="HA794" s="1897">
        <v>0</v>
      </c>
      <c r="HB794" s="1897">
        <v>0</v>
      </c>
      <c r="HC794" s="1897">
        <v>0</v>
      </c>
      <c r="HD794" s="1897">
        <v>0</v>
      </c>
      <c r="HE794" s="1897">
        <v>0</v>
      </c>
      <c r="HF794" s="1897">
        <v>0</v>
      </c>
      <c r="HG794" s="1897">
        <v>0</v>
      </c>
      <c r="HH794" s="1897">
        <v>0</v>
      </c>
      <c r="HI794" s="1897">
        <v>0</v>
      </c>
      <c r="HJ794" s="1897">
        <v>0</v>
      </c>
      <c r="HK794" s="1897">
        <v>0</v>
      </c>
      <c r="HL794" s="1897">
        <v>0</v>
      </c>
      <c r="HM794" s="1897"/>
      <c r="HN794" s="349"/>
      <c r="HO794" s="1638"/>
      <c r="HP794" s="307"/>
      <c r="HR794" s="346"/>
      <c r="HU794" s="346"/>
      <c r="HV794" s="307"/>
      <c r="HX794" s="346"/>
      <c r="HY794" s="350"/>
      <c r="IA794" s="346"/>
      <c r="ID794" s="346"/>
      <c r="IE794" s="350"/>
      <c r="IF794" s="350"/>
      <c r="IG794" s="346"/>
      <c r="IH794" s="350"/>
      <c r="II794" s="350"/>
      <c r="IJ794" s="346"/>
      <c r="IK794" s="350"/>
      <c r="IL794" s="350"/>
      <c r="IM794" s="346"/>
      <c r="IN794" s="350"/>
      <c r="IO794" s="350"/>
      <c r="IP794" s="346"/>
      <c r="IQ794" s="350">
        <f t="shared" si="1186"/>
        <v>0</v>
      </c>
      <c r="IR794" s="350">
        <f t="shared" ref="IR794" si="1226">IS794-IQ794</f>
        <v>0</v>
      </c>
      <c r="IS794" s="346"/>
      <c r="IT794" s="350">
        <f t="shared" si="1202"/>
        <v>0</v>
      </c>
      <c r="IU794" s="350">
        <f t="shared" si="1219"/>
        <v>0</v>
      </c>
      <c r="IV794" s="346">
        <f t="shared" si="1020"/>
        <v>0</v>
      </c>
      <c r="IW794" s="350">
        <f t="shared" si="1081"/>
        <v>0</v>
      </c>
      <c r="IX794" s="350">
        <f t="shared" si="1069"/>
        <v>3.3019919856434474</v>
      </c>
      <c r="IY794" s="346">
        <f>FISC!AJ1110</f>
        <v>3.3019919856434474</v>
      </c>
      <c r="IZ794" s="350"/>
      <c r="JB794" s="346">
        <f>FISC!AK1110</f>
        <v>0</v>
      </c>
      <c r="JC794" s="350"/>
      <c r="JE794" s="346">
        <f>FISC!AL1110</f>
        <v>0</v>
      </c>
      <c r="JF794" s="350"/>
      <c r="JH794" s="346">
        <f>FISC!AM1110</f>
        <v>0</v>
      </c>
      <c r="JI794" s="350"/>
      <c r="JK794" s="346">
        <f>FISC!AN1110</f>
        <v>0</v>
      </c>
      <c r="JL794" s="350"/>
      <c r="JN794" s="346">
        <f>FISC!AO1110</f>
        <v>0</v>
      </c>
      <c r="KI794" s="349"/>
      <c r="KJ794" s="350"/>
    </row>
    <row r="795" spans="1:296" hidden="1" outlineLevel="1">
      <c r="A795" s="302"/>
      <c r="B795" s="117" t="s">
        <v>361</v>
      </c>
      <c r="D795" s="355" t="s">
        <v>536</v>
      </c>
      <c r="E795" s="346">
        <f>E392</f>
        <v>0</v>
      </c>
      <c r="F795" s="346"/>
      <c r="G795" s="346"/>
      <c r="H795" s="346"/>
      <c r="I795" s="346"/>
      <c r="J795" s="346"/>
      <c r="K795" s="346"/>
      <c r="L795" s="346"/>
      <c r="M795" s="346"/>
      <c r="N795" s="346"/>
      <c r="O795" s="346"/>
      <c r="P795" s="346"/>
      <c r="Q795" s="346"/>
      <c r="R795" s="346"/>
      <c r="S795" s="346"/>
      <c r="T795" s="346"/>
      <c r="U795" s="346"/>
      <c r="V795" s="346"/>
      <c r="W795" s="346"/>
      <c r="X795" s="346"/>
      <c r="Y795" s="346"/>
      <c r="Z795" s="346"/>
      <c r="AA795" s="346"/>
      <c r="AB795" s="346"/>
      <c r="AC795" s="346"/>
      <c r="AD795" s="346"/>
      <c r="AE795" s="346"/>
      <c r="AF795" s="346"/>
      <c r="AG795" s="346"/>
      <c r="AH795" s="346"/>
      <c r="AI795" s="346"/>
      <c r="AJ795" s="346"/>
      <c r="AK795" s="346"/>
      <c r="AL795" s="346"/>
      <c r="AM795" s="346"/>
      <c r="AN795" s="346"/>
      <c r="AO795" s="346"/>
      <c r="AP795" s="346"/>
      <c r="AQ795" s="346"/>
      <c r="AR795" s="346"/>
      <c r="AS795" s="346"/>
      <c r="AT795" s="346"/>
      <c r="AU795" s="346"/>
      <c r="AV795" s="346"/>
      <c r="AW795" s="346"/>
      <c r="AX795" s="346"/>
      <c r="AY795" s="346"/>
      <c r="AZ795" s="346"/>
      <c r="BA795" s="346"/>
      <c r="BB795" s="346"/>
      <c r="BC795" s="346"/>
      <c r="BD795" s="346"/>
      <c r="BE795" s="346"/>
      <c r="BF795" s="346"/>
      <c r="BG795" s="346">
        <v>3.1646682589999999</v>
      </c>
      <c r="BH795" s="346">
        <v>2.1216136630000002</v>
      </c>
      <c r="BI795" s="346">
        <v>2.3155693419999999</v>
      </c>
      <c r="BJ795" s="346">
        <v>2.5309561120000001</v>
      </c>
      <c r="BK795" s="346">
        <v>2.7737807399999999</v>
      </c>
      <c r="BL795" s="346">
        <v>1.5672233330000001</v>
      </c>
      <c r="BM795" s="346">
        <v>3.3278472560000001</v>
      </c>
      <c r="BN795" s="346">
        <v>2.5370519859999998</v>
      </c>
      <c r="BO795" s="346">
        <v>2.1932652959999999</v>
      </c>
      <c r="BP795" s="346">
        <v>3.4204437099999998</v>
      </c>
      <c r="BQ795" s="346">
        <v>2.7780433250000001</v>
      </c>
      <c r="BR795" s="346">
        <v>0.61276477799999995</v>
      </c>
      <c r="BS795" s="346">
        <v>5.1194473450000002</v>
      </c>
      <c r="BT795" s="346">
        <v>3.0308389149999999</v>
      </c>
      <c r="BU795" s="346">
        <v>2.544931402</v>
      </c>
      <c r="BV795" s="346">
        <v>5.5550273419999998</v>
      </c>
      <c r="BW795" s="346">
        <v>4.5210786729999999</v>
      </c>
      <c r="BX795" s="346">
        <v>2.167588388</v>
      </c>
      <c r="BY795" s="346">
        <v>3.5910185179999998</v>
      </c>
      <c r="BZ795" s="346">
        <v>5.9705719950000002</v>
      </c>
      <c r="CA795" s="346">
        <v>2.6081275690000001</v>
      </c>
      <c r="CB795" s="346">
        <v>8.3581914560000001</v>
      </c>
      <c r="CC795" s="346">
        <v>4.2095795059999999</v>
      </c>
      <c r="CD795" s="352">
        <v>0.76434555999999998</v>
      </c>
      <c r="CE795" s="346">
        <f t="shared" ref="CE795:DJ795" si="1227">CE397</f>
        <v>31.008725541</v>
      </c>
      <c r="CF795" s="346">
        <f t="shared" si="1227"/>
        <v>30.273590683999998</v>
      </c>
      <c r="CG795" s="346">
        <f t="shared" si="1227"/>
        <v>10.388528758</v>
      </c>
      <c r="CH795" s="346">
        <f t="shared" si="1227"/>
        <v>45.974676111000001</v>
      </c>
      <c r="CI795" s="346">
        <f t="shared" si="1227"/>
        <v>19.159041667</v>
      </c>
      <c r="CJ795" s="346">
        <f t="shared" si="1227"/>
        <v>11.326817985</v>
      </c>
      <c r="CK795" s="346">
        <f t="shared" si="1227"/>
        <v>22.656131712000001</v>
      </c>
      <c r="CL795" s="346">
        <f t="shared" si="1227"/>
        <v>22.451381885</v>
      </c>
      <c r="CM795" s="346">
        <f t="shared" si="1227"/>
        <v>24.544405571999999</v>
      </c>
      <c r="CN795" s="346">
        <f t="shared" si="1227"/>
        <v>24.582048647000001</v>
      </c>
      <c r="CO795" s="346">
        <f t="shared" si="1227"/>
        <v>33.096296940999999</v>
      </c>
      <c r="CP795" s="348">
        <f t="shared" si="1227"/>
        <v>10.013272434999999</v>
      </c>
      <c r="CQ795" s="346">
        <f t="shared" si="1227"/>
        <v>40.197981695000003</v>
      </c>
      <c r="CR795" s="346">
        <f t="shared" si="1227"/>
        <v>26.933200114000002</v>
      </c>
      <c r="CS795" s="346">
        <f t="shared" si="1227"/>
        <v>19.441149207000002</v>
      </c>
      <c r="CT795" s="346">
        <f t="shared" si="1227"/>
        <v>31.297604437</v>
      </c>
      <c r="CU795" s="346">
        <f t="shared" si="1227"/>
        <v>18.023438837999997</v>
      </c>
      <c r="CV795" s="346">
        <f t="shared" si="1227"/>
        <v>15.158096090000001</v>
      </c>
      <c r="CW795" s="346">
        <f t="shared" si="1227"/>
        <v>32.060133296000004</v>
      </c>
      <c r="CX795" s="346">
        <f t="shared" si="1227"/>
        <v>17.047897988999999</v>
      </c>
      <c r="CY795" s="346">
        <f t="shared" si="1227"/>
        <v>36.135962094999996</v>
      </c>
      <c r="CZ795" s="346">
        <f t="shared" si="1227"/>
        <v>63.817836987</v>
      </c>
      <c r="DA795" s="346">
        <f t="shared" si="1227"/>
        <v>27.188026968999999</v>
      </c>
      <c r="DB795" s="1479">
        <f t="shared" si="1227"/>
        <v>8.63308608</v>
      </c>
      <c r="DC795" s="346">
        <f t="shared" si="1227"/>
        <v>40.971297198999999</v>
      </c>
      <c r="DD795" s="346">
        <f t="shared" si="1227"/>
        <v>28.142253245999999</v>
      </c>
      <c r="DE795" s="346">
        <f t="shared" si="1227"/>
        <v>17.836921271999998</v>
      </c>
      <c r="DF795" s="346">
        <f t="shared" si="1227"/>
        <v>45.278462911000005</v>
      </c>
      <c r="DG795" s="346">
        <f t="shared" si="1227"/>
        <v>25.677184793999999</v>
      </c>
      <c r="DH795" s="346">
        <f t="shared" si="1227"/>
        <v>16.894015403000001</v>
      </c>
      <c r="DI795" s="346">
        <f t="shared" si="1227"/>
        <v>44.115917728999996</v>
      </c>
      <c r="DJ795" s="346">
        <f t="shared" si="1227"/>
        <v>25.669929577000001</v>
      </c>
      <c r="DK795" s="346">
        <f t="shared" ref="DK795:EP795" si="1228">DK397</f>
        <v>27.229701075999998</v>
      </c>
      <c r="DL795" s="346">
        <f t="shared" si="1228"/>
        <v>55.300866290000002</v>
      </c>
      <c r="DM795" s="346">
        <f t="shared" si="1228"/>
        <v>18.793402807</v>
      </c>
      <c r="DN795" s="348">
        <f t="shared" si="1228"/>
        <v>19.262689222247403</v>
      </c>
      <c r="DO795" s="346">
        <f t="shared" si="1228"/>
        <v>46.197484413999995</v>
      </c>
      <c r="DP795" s="346">
        <f t="shared" si="1228"/>
        <v>24.385606298999999</v>
      </c>
      <c r="DQ795" s="346">
        <f t="shared" si="1228"/>
        <v>13.644596873000001</v>
      </c>
      <c r="DR795" s="346">
        <f t="shared" si="1228"/>
        <v>50.457270012999999</v>
      </c>
      <c r="DS795" s="346">
        <f t="shared" si="1228"/>
        <v>31.662977454999996</v>
      </c>
      <c r="DT795" s="346">
        <f t="shared" si="1228"/>
        <v>21.938369661000003</v>
      </c>
      <c r="DU795" s="346">
        <f t="shared" si="1228"/>
        <v>38.391949325999995</v>
      </c>
      <c r="DV795" s="346">
        <f t="shared" si="1228"/>
        <v>43.113182641000002</v>
      </c>
      <c r="DW795" s="346">
        <f t="shared" si="1228"/>
        <v>25.743103059999999</v>
      </c>
      <c r="DX795" s="346">
        <f t="shared" si="1228"/>
        <v>46.866339303333334</v>
      </c>
      <c r="DY795" s="346">
        <f t="shared" si="1228"/>
        <v>34.434867947333331</v>
      </c>
      <c r="DZ795" s="348">
        <f t="shared" si="1228"/>
        <v>12.80126987175203</v>
      </c>
      <c r="EA795" s="346">
        <f t="shared" si="1228"/>
        <v>28.923093293999997</v>
      </c>
      <c r="EB795" s="346">
        <f t="shared" si="1228"/>
        <v>50.393107370999999</v>
      </c>
      <c r="EC795" s="346">
        <f t="shared" si="1228"/>
        <v>32.933496165000001</v>
      </c>
      <c r="ED795" s="346">
        <f t="shared" si="1228"/>
        <v>35.124546735999999</v>
      </c>
      <c r="EE795" s="346">
        <f t="shared" si="1228"/>
        <v>22.884346067000003</v>
      </c>
      <c r="EF795" s="346">
        <f t="shared" si="1228"/>
        <v>22.275510945000001</v>
      </c>
      <c r="EG795" s="346">
        <f t="shared" si="1228"/>
        <v>64.550786417235614</v>
      </c>
      <c r="EH795" s="346">
        <f t="shared" si="1228"/>
        <v>29.359093324501938</v>
      </c>
      <c r="EI795" s="346">
        <f t="shared" si="1228"/>
        <v>37.523301943293859</v>
      </c>
      <c r="EJ795" s="346">
        <f t="shared" si="1228"/>
        <v>43.275898819176454</v>
      </c>
      <c r="EK795" s="346">
        <f t="shared" si="1228"/>
        <v>33.662990266572109</v>
      </c>
      <c r="EL795" s="348">
        <f t="shared" si="1228"/>
        <v>17.761979595060005</v>
      </c>
      <c r="EM795" s="346">
        <f t="shared" si="1228"/>
        <v>29.030877602</v>
      </c>
      <c r="EN795" s="346">
        <f t="shared" si="1228"/>
        <v>25.655147072999998</v>
      </c>
      <c r="EO795" s="346">
        <f t="shared" si="1228"/>
        <v>23.792101198999998</v>
      </c>
      <c r="EP795" s="346">
        <f t="shared" si="1228"/>
        <v>50.102805647000004</v>
      </c>
      <c r="EQ795" s="346">
        <f t="shared" ref="EQ795:FV795" si="1229">EQ397</f>
        <v>41.398202655000006</v>
      </c>
      <c r="ER795" s="346">
        <f t="shared" si="1229"/>
        <v>46.237368814</v>
      </c>
      <c r="ES795" s="346">
        <f t="shared" si="1229"/>
        <v>40.012950528000005</v>
      </c>
      <c r="ET795" s="346">
        <f t="shared" si="1229"/>
        <v>40.463490118000003</v>
      </c>
      <c r="EU795" s="346">
        <f t="shared" si="1229"/>
        <v>46.847186884999999</v>
      </c>
      <c r="EV795" s="346">
        <f t="shared" si="1229"/>
        <v>75.076510902999999</v>
      </c>
      <c r="EW795" s="346">
        <f t="shared" si="1229"/>
        <v>35.338310145000001</v>
      </c>
      <c r="EX795" s="348">
        <f t="shared" si="1229"/>
        <v>17.990818781000002</v>
      </c>
      <c r="EY795" s="346">
        <f t="shared" si="1229"/>
        <v>27.701123551999999</v>
      </c>
      <c r="EZ795" s="346">
        <f t="shared" si="1229"/>
        <v>49.266670255999998</v>
      </c>
      <c r="FA795" s="346">
        <f t="shared" si="1229"/>
        <v>53.066344902000004</v>
      </c>
      <c r="FB795" s="346">
        <f t="shared" si="1229"/>
        <v>52.420088438000001</v>
      </c>
      <c r="FC795" s="346">
        <f t="shared" si="1229"/>
        <v>49.256024263</v>
      </c>
      <c r="FD795" s="346">
        <f t="shared" si="1229"/>
        <v>54.089250282000002</v>
      </c>
      <c r="FE795" s="346">
        <f t="shared" si="1229"/>
        <v>43.509716311000005</v>
      </c>
      <c r="FF795" s="346">
        <f t="shared" si="1229"/>
        <v>39.572331683000002</v>
      </c>
      <c r="FG795" s="346">
        <f t="shared" si="1229"/>
        <v>34.260734192000001</v>
      </c>
      <c r="FH795" s="346">
        <f t="shared" si="1229"/>
        <v>26.601249519</v>
      </c>
      <c r="FI795" s="346">
        <f t="shared" si="1229"/>
        <v>41.101621154</v>
      </c>
      <c r="FJ795" s="348">
        <f t="shared" si="1229"/>
        <v>29.527389233000001</v>
      </c>
      <c r="FK795" s="346">
        <f t="shared" si="1229"/>
        <v>84.098326310999994</v>
      </c>
      <c r="FL795" s="346">
        <f t="shared" si="1229"/>
        <v>35.121430478000001</v>
      </c>
      <c r="FM795" s="346">
        <f t="shared" si="1229"/>
        <v>40.145696149000003</v>
      </c>
      <c r="FN795" s="346">
        <f t="shared" si="1229"/>
        <v>38.326486105000001</v>
      </c>
      <c r="FO795" s="346">
        <f t="shared" si="1229"/>
        <v>45.336893605</v>
      </c>
      <c r="FP795" s="346">
        <f t="shared" si="1229"/>
        <v>48.220412689</v>
      </c>
      <c r="FQ795" s="346">
        <f t="shared" si="1229"/>
        <v>34.066299086000001</v>
      </c>
      <c r="FR795" s="346">
        <f t="shared" si="1229"/>
        <v>54.421940470999999</v>
      </c>
      <c r="FS795" s="346">
        <f t="shared" si="1229"/>
        <v>35.178569396999997</v>
      </c>
      <c r="FT795" s="346">
        <f t="shared" si="1229"/>
        <v>45.794808373666662</v>
      </c>
      <c r="FU795" s="346">
        <f t="shared" si="1229"/>
        <v>56.330775904666666</v>
      </c>
      <c r="FV795" s="346">
        <f t="shared" si="1229"/>
        <v>31.932306715666666</v>
      </c>
      <c r="FW795" s="346">
        <v>49.644555738999998</v>
      </c>
      <c r="FX795" s="346">
        <v>51.787573881999997</v>
      </c>
      <c r="FY795" s="346">
        <v>49.700702286000002</v>
      </c>
      <c r="FZ795" s="346">
        <v>45.945355274000001</v>
      </c>
      <c r="GA795" s="346">
        <v>42.378368439999996</v>
      </c>
      <c r="GB795" s="346">
        <v>59.465739681999999</v>
      </c>
      <c r="GC795" s="346">
        <v>64.698303151000005</v>
      </c>
      <c r="GD795" s="346">
        <v>64.279214105000008</v>
      </c>
      <c r="GE795" s="346">
        <v>64.141880111000006</v>
      </c>
      <c r="GF795" s="346">
        <v>54.639908537333326</v>
      </c>
      <c r="GG795" s="346">
        <v>70.65288782333333</v>
      </c>
      <c r="GH795" s="346">
        <v>38.226623678565829</v>
      </c>
      <c r="GI795" s="1897">
        <f>GI397</f>
        <v>68.357943656699163</v>
      </c>
      <c r="GJ795" s="1897">
        <f t="shared" ref="GJ795:HL795" si="1230">GJ397</f>
        <v>66.716042902865539</v>
      </c>
      <c r="GK795" s="1897">
        <f t="shared" si="1230"/>
        <v>73.92601344043527</v>
      </c>
      <c r="GL795" s="1897">
        <f t="shared" si="1230"/>
        <v>84.116058985333353</v>
      </c>
      <c r="GM795" s="1897">
        <f t="shared" si="1230"/>
        <v>68.072882353333355</v>
      </c>
      <c r="GN795" s="1897">
        <f t="shared" si="1230"/>
        <v>56.77643928833335</v>
      </c>
      <c r="GO795" s="1897">
        <f t="shared" si="1230"/>
        <v>82.723558430967941</v>
      </c>
      <c r="GP795" s="1897">
        <f t="shared" si="1230"/>
        <v>55.129834198301069</v>
      </c>
      <c r="GQ795" s="1897">
        <f t="shared" si="1230"/>
        <v>59.004763408730994</v>
      </c>
      <c r="GR795" s="1897">
        <f t="shared" si="1230"/>
        <v>149.54675498597339</v>
      </c>
      <c r="GS795" s="1897">
        <f t="shared" si="1230"/>
        <v>128.7977703820456</v>
      </c>
      <c r="GT795" s="1897">
        <f t="shared" si="1230"/>
        <v>76.431937966981039</v>
      </c>
      <c r="GU795" s="1897">
        <f t="shared" si="1230"/>
        <v>72.147118411000008</v>
      </c>
      <c r="GV795" s="1897">
        <f t="shared" si="1230"/>
        <v>82.529984952999996</v>
      </c>
      <c r="GW795" s="1897">
        <f t="shared" si="1230"/>
        <v>74.879853226999998</v>
      </c>
      <c r="GX795" s="1897">
        <f t="shared" si="1230"/>
        <v>58.730634465999998</v>
      </c>
      <c r="GY795" s="1897">
        <f t="shared" si="1230"/>
        <v>60.138067425999992</v>
      </c>
      <c r="GZ795" s="1897">
        <f t="shared" si="1230"/>
        <v>59.501611813000004</v>
      </c>
      <c r="HA795" s="1897">
        <f t="shared" si="1230"/>
        <v>86.615461240000002</v>
      </c>
      <c r="HB795" s="1897">
        <f t="shared" si="1230"/>
        <v>81.329232770999994</v>
      </c>
      <c r="HC795" s="1897">
        <f t="shared" si="1230"/>
        <v>68.96629579399999</v>
      </c>
      <c r="HD795" s="1897">
        <f t="shared" si="1230"/>
        <v>99.96426489800001</v>
      </c>
      <c r="HE795" s="1897">
        <f t="shared" si="1230"/>
        <v>101.97527852</v>
      </c>
      <c r="HF795" s="1897">
        <f t="shared" si="1230"/>
        <v>146.862624471</v>
      </c>
      <c r="HG795" s="1897">
        <f t="shared" si="1230"/>
        <v>83.062962446</v>
      </c>
      <c r="HH795" s="1897">
        <f t="shared" si="1230"/>
        <v>87.773137496999993</v>
      </c>
      <c r="HI795" s="1897">
        <f t="shared" si="1230"/>
        <v>88.919496663000004</v>
      </c>
      <c r="HJ795" s="1897">
        <f t="shared" si="1230"/>
        <v>93.989719910000005</v>
      </c>
      <c r="HK795" s="1897">
        <f t="shared" si="1230"/>
        <v>80.270886625000003</v>
      </c>
      <c r="HL795" s="1897">
        <f t="shared" si="1230"/>
        <v>66.450143421999996</v>
      </c>
      <c r="HM795" s="1897"/>
      <c r="HN795" s="349"/>
      <c r="HO795" s="355" t="s">
        <v>536</v>
      </c>
      <c r="HP795" s="302">
        <f>SUM(CE795:CJ795)</f>
        <v>148.13138074599999</v>
      </c>
      <c r="HQ795" s="302">
        <f>SUM(CK795:CP795)</f>
        <v>137.34353719199999</v>
      </c>
      <c r="HR795" s="346">
        <f>HP795+HQ795</f>
        <v>285.47491793799998</v>
      </c>
      <c r="HS795" s="302">
        <f>SUM(CQ795:CV795)</f>
        <v>151.051470381</v>
      </c>
      <c r="HT795" s="302">
        <f>SUM(CW795:DB795)</f>
        <v>184.88294341599999</v>
      </c>
      <c r="HU795" s="346">
        <f>HS795+HT795</f>
        <v>335.93441379699999</v>
      </c>
      <c r="HV795" s="302">
        <f>SUM(DC795:DH795)</f>
        <v>174.80013482499999</v>
      </c>
      <c r="HW795" s="302">
        <f>SUM(DI795:DN795)</f>
        <v>190.3725067012474</v>
      </c>
      <c r="HX795" s="346">
        <f>HV795+HW795</f>
        <v>365.17264152624739</v>
      </c>
      <c r="HY795" s="302">
        <f>SUM(DO795:DT795)</f>
        <v>188.28630471499997</v>
      </c>
      <c r="HZ795" s="302">
        <f>SUM(DU795:DZ795)</f>
        <v>201.35071214941865</v>
      </c>
      <c r="IA795" s="346">
        <f>HY795+HZ795</f>
        <v>389.63701686441863</v>
      </c>
      <c r="IB795" s="302">
        <f>SUM(EA795:EF795)</f>
        <v>192.53410057800002</v>
      </c>
      <c r="IC795" s="302">
        <f>SUM(EG795:EL795)</f>
        <v>226.13405036583998</v>
      </c>
      <c r="ID795" s="346">
        <f>IB795+IC795</f>
        <v>418.66815094384003</v>
      </c>
      <c r="IE795" s="302">
        <f>SUM(EM795:ER795)</f>
        <v>216.21650299000001</v>
      </c>
      <c r="IF795" s="302">
        <f>SUM(ES795:EX795)</f>
        <v>255.72926736000002</v>
      </c>
      <c r="IG795" s="346">
        <f>IE795+IF795</f>
        <v>471.94577035000003</v>
      </c>
      <c r="IH795" s="302">
        <f>SUM(EY795:FD795)</f>
        <v>285.79950169300002</v>
      </c>
      <c r="II795" s="302">
        <f>SUM(FE795:FJ795)</f>
        <v>214.57304209200004</v>
      </c>
      <c r="IJ795" s="346">
        <f>IH795+II795</f>
        <v>500.37254378500006</v>
      </c>
      <c r="IK795" s="350">
        <f>SUM(FK795:FP795)</f>
        <v>291.24924533699999</v>
      </c>
      <c r="IL795" s="350">
        <f>SUM(FQ795:FV795)</f>
        <v>257.72469994799997</v>
      </c>
      <c r="IM795" s="638">
        <f t="shared" si="1183"/>
        <v>548.9739452849999</v>
      </c>
      <c r="IN795" s="350">
        <f t="shared" ref="IN795:IN808" si="1231">SUM(FW795:GB795)</f>
        <v>298.922295303</v>
      </c>
      <c r="IO795" s="350">
        <f t="shared" ref="IO795:IO808" si="1232">SUM(GC795:GH795)</f>
        <v>356.63881740623248</v>
      </c>
      <c r="IP795" s="346">
        <f t="shared" si="1066"/>
        <v>655.56111270923248</v>
      </c>
      <c r="IQ795" s="350">
        <f t="shared" si="1186"/>
        <v>417.965380627</v>
      </c>
      <c r="IR795" s="350">
        <f t="shared" ref="IR795:IR808" si="1233">SUM(GO795:GT795)</f>
        <v>551.63461937300008</v>
      </c>
      <c r="IS795" s="346">
        <f t="shared" ref="IS795:IS805" si="1234">IQ795+IR795</f>
        <v>969.60000000000014</v>
      </c>
      <c r="IT795" s="350">
        <f t="shared" si="1202"/>
        <v>407.92727029600002</v>
      </c>
      <c r="IU795" s="350">
        <f t="shared" si="1219"/>
        <v>585.71315769400007</v>
      </c>
      <c r="IV795" s="346">
        <f t="shared" ref="IV795:IV853" si="1235">IT795+IU795</f>
        <v>993.64042799000003</v>
      </c>
      <c r="IW795" s="350">
        <f t="shared" si="1081"/>
        <v>500.466346563</v>
      </c>
      <c r="IX795" s="350">
        <f t="shared" si="1069"/>
        <v>576.97186464203048</v>
      </c>
      <c r="IY795" s="346">
        <f>FISC!AJ1111</f>
        <v>1077.4382112050305</v>
      </c>
      <c r="IZ795" s="350">
        <f>JB795*0.55</f>
        <v>635.57352449513803</v>
      </c>
      <c r="JA795" s="302">
        <f t="shared" ref="JA795:JA802" si="1236">JB795-IZ795</f>
        <v>520.0147018596582</v>
      </c>
      <c r="JB795" s="346">
        <f>FISC!AK1111</f>
        <v>1155.5882263547962</v>
      </c>
      <c r="JC795" s="350">
        <f>JE795*0.552847128477785</f>
        <v>746.17942818174004</v>
      </c>
      <c r="JD795" s="302">
        <f t="shared" si="1210"/>
        <v>603.52357242220285</v>
      </c>
      <c r="JE795" s="346">
        <f>FISC!AL1111</f>
        <v>1349.7030006039429</v>
      </c>
      <c r="JF795" s="350">
        <f>JH795*0.552847128477785</f>
        <v>874.68428968994556</v>
      </c>
      <c r="JG795" s="302">
        <f t="shared" ref="JG795:JG802" si="1237">JH795-JF795</f>
        <v>707.46065533004628</v>
      </c>
      <c r="JH795" s="346">
        <f>FISC!AM1111</f>
        <v>1582.1449450199918</v>
      </c>
      <c r="JI795" s="350">
        <f>JK795*0.552847128477785</f>
        <v>980.72641567584094</v>
      </c>
      <c r="JJ795" s="302">
        <f t="shared" ref="JJ795:JJ802" si="1238">JK795-JI795</f>
        <v>793.22946680505959</v>
      </c>
      <c r="JK795" s="346">
        <f>FISC!AN1111</f>
        <v>1773.9558824809005</v>
      </c>
      <c r="JL795" s="350">
        <f>JN795*0.552847128477785</f>
        <v>1097.009365946134</v>
      </c>
      <c r="JM795" s="302">
        <f t="shared" ref="JM795:JM802" si="1239">JN795-JL795</f>
        <v>887.28124431108267</v>
      </c>
      <c r="JN795" s="346">
        <f>FISC!AO1111</f>
        <v>1984.2906102572167</v>
      </c>
      <c r="KI795" s="349"/>
      <c r="KJ795" s="350"/>
    </row>
    <row r="796" spans="1:296" hidden="1" outlineLevel="1">
      <c r="A796" s="302"/>
      <c r="D796" s="1638" t="s">
        <v>3123</v>
      </c>
      <c r="E796" s="346"/>
      <c r="F796" s="346"/>
      <c r="G796" s="346"/>
      <c r="H796" s="346"/>
      <c r="I796" s="346"/>
      <c r="J796" s="346"/>
      <c r="K796" s="346"/>
      <c r="L796" s="346"/>
      <c r="M796" s="346"/>
      <c r="N796" s="346"/>
      <c r="O796" s="346"/>
      <c r="P796" s="346"/>
      <c r="Q796" s="346"/>
      <c r="R796" s="346"/>
      <c r="S796" s="346"/>
      <c r="T796" s="346"/>
      <c r="U796" s="346"/>
      <c r="V796" s="346"/>
      <c r="W796" s="346"/>
      <c r="X796" s="346"/>
      <c r="Y796" s="346"/>
      <c r="Z796" s="346"/>
      <c r="AA796" s="346"/>
      <c r="AB796" s="346"/>
      <c r="AC796" s="346"/>
      <c r="AD796" s="346"/>
      <c r="AE796" s="346"/>
      <c r="AF796" s="346"/>
      <c r="AG796" s="346"/>
      <c r="AH796" s="346"/>
      <c r="AI796" s="346"/>
      <c r="AJ796" s="346"/>
      <c r="AK796" s="346"/>
      <c r="AL796" s="346"/>
      <c r="AM796" s="346"/>
      <c r="AN796" s="346"/>
      <c r="AO796" s="346"/>
      <c r="AP796" s="346"/>
      <c r="AQ796" s="346"/>
      <c r="AR796" s="346"/>
      <c r="AS796" s="346"/>
      <c r="AT796" s="346"/>
      <c r="AU796" s="346"/>
      <c r="AV796" s="346"/>
      <c r="AW796" s="346"/>
      <c r="AX796" s="346"/>
      <c r="AY796" s="346"/>
      <c r="AZ796" s="346"/>
      <c r="BA796" s="346"/>
      <c r="BB796" s="346"/>
      <c r="BC796" s="346"/>
      <c r="BD796" s="346"/>
      <c r="BE796" s="346"/>
      <c r="BF796" s="346"/>
      <c r="BG796" s="346"/>
      <c r="BH796" s="346"/>
      <c r="BI796" s="346"/>
      <c r="BJ796" s="346"/>
      <c r="BK796" s="346"/>
      <c r="BL796" s="346"/>
      <c r="BM796" s="346"/>
      <c r="BN796" s="346"/>
      <c r="BO796" s="346"/>
      <c r="BP796" s="346"/>
      <c r="BQ796" s="346"/>
      <c r="BR796" s="346"/>
      <c r="BS796" s="346"/>
      <c r="BT796" s="346"/>
      <c r="BU796" s="346"/>
      <c r="BV796" s="346"/>
      <c r="BW796" s="346"/>
      <c r="BX796" s="346"/>
      <c r="BY796" s="346"/>
      <c r="BZ796" s="346"/>
      <c r="CA796" s="346"/>
      <c r="CB796" s="346"/>
      <c r="CC796" s="346"/>
      <c r="CD796" s="352"/>
      <c r="CE796" s="346">
        <v>0</v>
      </c>
      <c r="CF796" s="346">
        <v>0</v>
      </c>
      <c r="CG796" s="346">
        <v>0</v>
      </c>
      <c r="CH796" s="346">
        <v>0</v>
      </c>
      <c r="CI796" s="346">
        <v>0</v>
      </c>
      <c r="CJ796" s="346">
        <v>0</v>
      </c>
      <c r="CK796" s="346">
        <v>0</v>
      </c>
      <c r="CL796" s="346">
        <v>0</v>
      </c>
      <c r="CM796" s="346">
        <v>0</v>
      </c>
      <c r="CN796" s="346">
        <v>0</v>
      </c>
      <c r="CO796" s="346">
        <v>0</v>
      </c>
      <c r="CP796" s="348">
        <v>0</v>
      </c>
      <c r="CQ796" s="346"/>
      <c r="CR796" s="346"/>
      <c r="CS796" s="346"/>
      <c r="CT796" s="346"/>
      <c r="CU796" s="346"/>
      <c r="CV796" s="346"/>
      <c r="CW796" s="346"/>
      <c r="CX796" s="346"/>
      <c r="CY796" s="346"/>
      <c r="CZ796" s="346"/>
      <c r="DA796" s="346"/>
      <c r="DB796" s="1479"/>
      <c r="DC796" s="346"/>
      <c r="DD796" s="346"/>
      <c r="DE796" s="346"/>
      <c r="DF796" s="346"/>
      <c r="DG796" s="346"/>
      <c r="DH796" s="346"/>
      <c r="DI796" s="346"/>
      <c r="DJ796" s="346"/>
      <c r="DK796" s="346"/>
      <c r="DL796" s="346"/>
      <c r="DM796" s="346"/>
      <c r="DN796" s="348"/>
      <c r="DO796" s="346"/>
      <c r="DP796" s="346"/>
      <c r="DQ796" s="346"/>
      <c r="DR796" s="346"/>
      <c r="DS796" s="346"/>
      <c r="DT796" s="346"/>
      <c r="DU796" s="346"/>
      <c r="DV796" s="346"/>
      <c r="DW796" s="346"/>
      <c r="DX796" s="346"/>
      <c r="DY796" s="346"/>
      <c r="DZ796" s="348"/>
      <c r="EA796" s="346"/>
      <c r="EB796" s="346"/>
      <c r="EC796" s="346"/>
      <c r="ED796" s="346"/>
      <c r="EE796" s="346"/>
      <c r="EF796" s="346"/>
      <c r="EG796" s="346"/>
      <c r="EH796" s="346"/>
      <c r="EI796" s="346"/>
      <c r="EJ796" s="346"/>
      <c r="EK796" s="346"/>
      <c r="EL796" s="348"/>
      <c r="EM796" s="346"/>
      <c r="EN796" s="346"/>
      <c r="EO796" s="346"/>
      <c r="EP796" s="346"/>
      <c r="EQ796" s="346"/>
      <c r="ER796" s="346"/>
      <c r="ES796" s="346"/>
      <c r="ET796" s="346"/>
      <c r="EU796" s="346"/>
      <c r="EV796" s="346"/>
      <c r="EW796" s="346"/>
      <c r="EX796" s="348"/>
      <c r="EY796" s="346"/>
      <c r="EZ796" s="346"/>
      <c r="FA796" s="346"/>
      <c r="FB796" s="346"/>
      <c r="FC796" s="346"/>
      <c r="FD796" s="346"/>
      <c r="FE796" s="346"/>
      <c r="FF796" s="346"/>
      <c r="FG796" s="346"/>
      <c r="FH796" s="346"/>
      <c r="FI796" s="346"/>
      <c r="FJ796" s="348"/>
      <c r="FK796" s="346">
        <v>2.1371688739999999</v>
      </c>
      <c r="FL796" s="346">
        <v>2.8902153849999999</v>
      </c>
      <c r="FM796" s="346">
        <v>1.6417362049999999</v>
      </c>
      <c r="FN796" s="346">
        <v>2.1219189379999999</v>
      </c>
      <c r="FO796" s="346">
        <v>1.8290154240000001</v>
      </c>
      <c r="FP796" s="346">
        <v>3.3174320709999998</v>
      </c>
      <c r="FQ796" s="346">
        <v>3.4286400449999999</v>
      </c>
      <c r="FR796" s="346">
        <v>2.2141364800000001</v>
      </c>
      <c r="FS796" s="346">
        <v>1.986429378</v>
      </c>
      <c r="FT796" s="346">
        <v>3.1210657579999999</v>
      </c>
      <c r="FU796" s="346">
        <v>2.9628546120000001</v>
      </c>
      <c r="FV796" s="346">
        <v>1.459065176</v>
      </c>
      <c r="FW796" s="346">
        <v>2.0362483359999999</v>
      </c>
      <c r="FX796" s="346">
        <v>1.921306264</v>
      </c>
      <c r="FY796" s="346">
        <v>1.554755807</v>
      </c>
      <c r="FZ796" s="346">
        <v>1.912427434</v>
      </c>
      <c r="GA796" s="346">
        <v>2.301903802</v>
      </c>
      <c r="GB796" s="346">
        <v>1.5034970670000001</v>
      </c>
      <c r="GC796" s="346">
        <v>2.8282554229999999</v>
      </c>
      <c r="GD796" s="346">
        <v>3.916467269</v>
      </c>
      <c r="GE796" s="346">
        <v>3.0435174800000002</v>
      </c>
      <c r="GF796" s="346">
        <v>4.0775103829999999</v>
      </c>
      <c r="GG796" s="346">
        <v>4.0398529500000002</v>
      </c>
      <c r="GH796" s="346">
        <v>2.819814630572504</v>
      </c>
      <c r="GI796" s="1897">
        <f>GH796/GH795*GI795</f>
        <v>5.042473310220501</v>
      </c>
      <c r="GJ796" s="1897">
        <f t="shared" ref="GJ796:GM796" si="1240">GI796/GI795*GJ795</f>
        <v>4.9213573098502117</v>
      </c>
      <c r="GK796" s="1897">
        <f t="shared" si="1240"/>
        <v>5.4532060176720218</v>
      </c>
      <c r="GL796" s="1897">
        <f t="shared" si="1240"/>
        <v>6.204882120571356</v>
      </c>
      <c r="GM796" s="1897">
        <f t="shared" si="1240"/>
        <v>5.0214455563545037</v>
      </c>
      <c r="GN796" s="1897">
        <f>GM796/GM795*GN795</f>
        <v>4.1881552376498155</v>
      </c>
      <c r="GO796" s="1897">
        <v>2.394374231226009</v>
      </c>
      <c r="GP796" s="1897">
        <v>2.4001466263561686</v>
      </c>
      <c r="GQ796" s="1897">
        <v>2.0018517860899641</v>
      </c>
      <c r="GR796" s="1897">
        <v>4.4210207876349639</v>
      </c>
      <c r="GS796" s="1897">
        <v>4.392470597202931</v>
      </c>
      <c r="GT796" s="1897">
        <v>6.1165085663307446</v>
      </c>
      <c r="GU796" s="1897">
        <v>4.1272821479999999</v>
      </c>
      <c r="GV796" s="1897">
        <v>4.6155939940000001</v>
      </c>
      <c r="GW796" s="1897">
        <v>4.4799232730000007</v>
      </c>
      <c r="GX796" s="1897">
        <v>4.6761860149999999</v>
      </c>
      <c r="GY796" s="1897">
        <v>4.6743918930000001</v>
      </c>
      <c r="GZ796" s="1897">
        <v>4.4357542399999996</v>
      </c>
      <c r="HA796" s="1897">
        <v>4.0301846770000003</v>
      </c>
      <c r="HB796" s="1897">
        <v>4.5359558339999992</v>
      </c>
      <c r="HC796" s="1897">
        <v>4.4626346840000002</v>
      </c>
      <c r="HD796" s="1897">
        <v>7.273365514</v>
      </c>
      <c r="HE796" s="1897">
        <v>9.011865169</v>
      </c>
      <c r="HF796" s="1897">
        <v>12.120709433999998</v>
      </c>
      <c r="HG796" s="1897">
        <v>7.4331707580000002</v>
      </c>
      <c r="HH796" s="1897">
        <v>7.4976811229999996</v>
      </c>
      <c r="HI796" s="1897">
        <v>4.4924958670000006</v>
      </c>
      <c r="HJ796" s="1897">
        <v>9.1305875980000017</v>
      </c>
      <c r="HK796" s="1897">
        <v>7.8619391840000006</v>
      </c>
      <c r="HL796" s="1897">
        <v>2.3271163929999998</v>
      </c>
      <c r="HM796" s="1897"/>
      <c r="HN796" s="349"/>
      <c r="HO796" s="1638" t="s">
        <v>3123</v>
      </c>
      <c r="HP796" s="302">
        <f>HP795*7%</f>
        <v>10.369196652220001</v>
      </c>
      <c r="HQ796" s="302">
        <f>HQ795*7%</f>
        <v>9.6140476034399995</v>
      </c>
      <c r="HR796" s="346">
        <f>HP796+HQ796</f>
        <v>19.983244255660001</v>
      </c>
      <c r="HS796" s="302">
        <f>HS795*7%</f>
        <v>10.57360292667</v>
      </c>
      <c r="HT796" s="302">
        <f>HT795*7%</f>
        <v>12.941806039120001</v>
      </c>
      <c r="HU796" s="346">
        <f>HS796+HT796</f>
        <v>23.515408965790002</v>
      </c>
      <c r="HV796" s="302">
        <f>HV795*7%</f>
        <v>12.236009437750001</v>
      </c>
      <c r="HW796" s="302">
        <f>HW795*7%</f>
        <v>13.32607546908732</v>
      </c>
      <c r="HX796" s="346">
        <f>HV796+HW796</f>
        <v>25.56208490683732</v>
      </c>
      <c r="HY796" s="302">
        <f>HY795*7%</f>
        <v>13.180041330049999</v>
      </c>
      <c r="HZ796" s="302">
        <f>HZ795*7%</f>
        <v>14.094549850459307</v>
      </c>
      <c r="IA796" s="346">
        <f>HY796+HZ796</f>
        <v>27.274591180509304</v>
      </c>
      <c r="IB796" s="302">
        <f>IB795*7%</f>
        <v>13.477387040460004</v>
      </c>
      <c r="IC796" s="302">
        <f>IC795*7%</f>
        <v>15.829383525608801</v>
      </c>
      <c r="ID796" s="346">
        <f>IB796+IC796</f>
        <v>29.306770566068806</v>
      </c>
      <c r="IE796" s="302">
        <f>IE795*7%</f>
        <v>15.135155209300002</v>
      </c>
      <c r="IF796" s="302">
        <f>IF795*7%</f>
        <v>17.901048715200002</v>
      </c>
      <c r="IG796" s="346">
        <f>IE796+IF796</f>
        <v>33.036203924500001</v>
      </c>
      <c r="IH796" s="302">
        <f>IH795*7%</f>
        <v>20.005965118510005</v>
      </c>
      <c r="II796" s="302">
        <f>II795*7%</f>
        <v>15.020112946440005</v>
      </c>
      <c r="IJ796" s="346">
        <f>IH796+II796</f>
        <v>35.026078064950013</v>
      </c>
      <c r="IK796" s="350">
        <v>13.937486896999999</v>
      </c>
      <c r="IL796" s="350">
        <f>SUM(FQ796:FV796)</f>
        <v>15.172191449</v>
      </c>
      <c r="IM796" s="346">
        <f>IK796+IL796</f>
        <v>29.109678345999999</v>
      </c>
      <c r="IN796" s="350">
        <f t="shared" si="1231"/>
        <v>11.23013871</v>
      </c>
      <c r="IO796" s="350">
        <f t="shared" si="1232"/>
        <v>20.725418135572507</v>
      </c>
      <c r="IP796" s="346">
        <f t="shared" si="1066"/>
        <v>31.955556845572509</v>
      </c>
      <c r="IQ796" s="350">
        <f t="shared" si="1186"/>
        <v>30.831519552318412</v>
      </c>
      <c r="IR796" s="350">
        <f t="shared" si="1233"/>
        <v>21.726372594840779</v>
      </c>
      <c r="IS796" s="346">
        <f t="shared" si="1234"/>
        <v>52.557892147159194</v>
      </c>
      <c r="IT796" s="350">
        <f t="shared" si="1202"/>
        <v>27.009131562999997</v>
      </c>
      <c r="IU796" s="350">
        <f t="shared" si="1219"/>
        <v>41.434715311999994</v>
      </c>
      <c r="IV796" s="346">
        <f t="shared" si="1235"/>
        <v>68.443846874999991</v>
      </c>
      <c r="IW796" s="350">
        <f t="shared" si="1081"/>
        <v>38.742990922999994</v>
      </c>
      <c r="IX796" s="350">
        <f t="shared" si="1069"/>
        <v>52.326476076787728</v>
      </c>
      <c r="IY796" s="346">
        <f>FISC!AJ1112</f>
        <v>91.069466999787721</v>
      </c>
      <c r="IZ796" s="350">
        <f t="shared" ref="IZ796:IZ812" si="1241">JB796*0.55</f>
        <v>56.791351202944028</v>
      </c>
      <c r="JA796" s="302">
        <f t="shared" si="1236"/>
        <v>46.465650984226926</v>
      </c>
      <c r="JB796" s="346">
        <f>FISC!AK1112</f>
        <v>103.25700218717095</v>
      </c>
      <c r="JC796" s="350">
        <f t="shared" si="1220"/>
        <v>63.430606029772278</v>
      </c>
      <c r="JD796" s="302">
        <f t="shared" si="1210"/>
        <v>51.897768569813678</v>
      </c>
      <c r="JE796" s="346">
        <f>FISC!AL1112</f>
        <v>115.32837459958596</v>
      </c>
      <c r="JF796" s="350">
        <f>JH796*0.55</f>
        <v>64.472207752564358</v>
      </c>
      <c r="JG796" s="302">
        <f t="shared" si="1237"/>
        <v>52.749988161189009</v>
      </c>
      <c r="JH796" s="346">
        <f>FISC!AM1112</f>
        <v>117.22219591375337</v>
      </c>
      <c r="JI796" s="350">
        <f>JK796*0.55</f>
        <v>65.513809475356453</v>
      </c>
      <c r="JJ796" s="302">
        <f t="shared" si="1238"/>
        <v>53.602207752564354</v>
      </c>
      <c r="JK796" s="346">
        <f>FISC!AN1112</f>
        <v>119.11601722792081</v>
      </c>
      <c r="JL796" s="350">
        <f>JN796*0.55</f>
        <v>66.555411198148519</v>
      </c>
      <c r="JM796" s="302">
        <f t="shared" si="1239"/>
        <v>54.454427343939685</v>
      </c>
      <c r="JN796" s="346">
        <f>FISC!AO1112</f>
        <v>121.0098385420882</v>
      </c>
      <c r="KI796" s="349"/>
      <c r="KJ796" s="350"/>
    </row>
    <row r="797" spans="1:296" hidden="1" outlineLevel="1">
      <c r="A797" s="302"/>
      <c r="D797" s="1636" t="s">
        <v>586</v>
      </c>
      <c r="E797" s="346"/>
      <c r="F797" s="346"/>
      <c r="G797" s="346"/>
      <c r="H797" s="346"/>
      <c r="I797" s="346"/>
      <c r="J797" s="346"/>
      <c r="K797" s="346"/>
      <c r="L797" s="346"/>
      <c r="M797" s="346"/>
      <c r="N797" s="346"/>
      <c r="O797" s="346"/>
      <c r="P797" s="346"/>
      <c r="Q797" s="346"/>
      <c r="R797" s="346"/>
      <c r="S797" s="346"/>
      <c r="T797" s="346"/>
      <c r="U797" s="346"/>
      <c r="V797" s="346"/>
      <c r="W797" s="346"/>
      <c r="X797" s="346"/>
      <c r="Y797" s="346"/>
      <c r="Z797" s="346"/>
      <c r="AA797" s="346"/>
      <c r="AB797" s="346"/>
      <c r="AC797" s="346"/>
      <c r="AD797" s="346"/>
      <c r="AE797" s="346"/>
      <c r="AF797" s="346"/>
      <c r="AG797" s="346"/>
      <c r="AH797" s="346"/>
      <c r="AI797" s="346"/>
      <c r="AJ797" s="346"/>
      <c r="AK797" s="346"/>
      <c r="AL797" s="346"/>
      <c r="AM797" s="346"/>
      <c r="AN797" s="346"/>
      <c r="AO797" s="346"/>
      <c r="AP797" s="346"/>
      <c r="AQ797" s="346"/>
      <c r="AR797" s="346"/>
      <c r="AS797" s="346"/>
      <c r="AT797" s="346"/>
      <c r="AU797" s="346"/>
      <c r="AV797" s="346"/>
      <c r="AW797" s="346"/>
      <c r="AX797" s="346"/>
      <c r="AY797" s="346"/>
      <c r="AZ797" s="346"/>
      <c r="BA797" s="346"/>
      <c r="BB797" s="346"/>
      <c r="BC797" s="346"/>
      <c r="BD797" s="346"/>
      <c r="BE797" s="346"/>
      <c r="BF797" s="346"/>
      <c r="BG797" s="346"/>
      <c r="BH797" s="346"/>
      <c r="BI797" s="346"/>
      <c r="BJ797" s="346"/>
      <c r="BK797" s="346"/>
      <c r="BL797" s="346"/>
      <c r="BM797" s="346"/>
      <c r="BN797" s="346"/>
      <c r="BO797" s="346"/>
      <c r="BP797" s="346"/>
      <c r="BQ797" s="346"/>
      <c r="BR797" s="346"/>
      <c r="BS797" s="346"/>
      <c r="BT797" s="346"/>
      <c r="BU797" s="346"/>
      <c r="BV797" s="346"/>
      <c r="BW797" s="346"/>
      <c r="BX797" s="346"/>
      <c r="BY797" s="346"/>
      <c r="BZ797" s="346"/>
      <c r="CA797" s="346"/>
      <c r="CB797" s="346"/>
      <c r="CC797" s="346"/>
      <c r="CD797" s="352"/>
      <c r="CE797" s="346">
        <v>0</v>
      </c>
      <c r="CF797" s="346">
        <v>0</v>
      </c>
      <c r="CG797" s="346">
        <v>0</v>
      </c>
      <c r="CH797" s="346">
        <v>0</v>
      </c>
      <c r="CI797" s="346">
        <v>0</v>
      </c>
      <c r="CJ797" s="346">
        <v>0</v>
      </c>
      <c r="CK797" s="346">
        <v>0</v>
      </c>
      <c r="CL797" s="346">
        <v>0</v>
      </c>
      <c r="CM797" s="346">
        <v>0</v>
      </c>
      <c r="CN797" s="346">
        <v>0</v>
      </c>
      <c r="CO797" s="346">
        <v>0</v>
      </c>
      <c r="CP797" s="348">
        <v>0</v>
      </c>
      <c r="CQ797" s="346"/>
      <c r="CR797" s="346"/>
      <c r="CS797" s="346"/>
      <c r="CT797" s="346"/>
      <c r="CU797" s="346"/>
      <c r="CV797" s="346"/>
      <c r="CW797" s="346"/>
      <c r="CX797" s="346"/>
      <c r="CY797" s="346"/>
      <c r="CZ797" s="346"/>
      <c r="DA797" s="346"/>
      <c r="DB797" s="1479"/>
      <c r="DC797" s="346"/>
      <c r="DD797" s="346"/>
      <c r="DE797" s="346"/>
      <c r="DF797" s="346"/>
      <c r="DG797" s="346"/>
      <c r="DH797" s="346"/>
      <c r="DI797" s="346"/>
      <c r="DJ797" s="346"/>
      <c r="DK797" s="346"/>
      <c r="DL797" s="346"/>
      <c r="DM797" s="346"/>
      <c r="DN797" s="348"/>
      <c r="DO797" s="346"/>
      <c r="DP797" s="346"/>
      <c r="DQ797" s="346"/>
      <c r="DR797" s="346"/>
      <c r="DS797" s="346"/>
      <c r="DT797" s="346"/>
      <c r="DU797" s="346"/>
      <c r="DV797" s="346"/>
      <c r="DW797" s="346"/>
      <c r="DX797" s="346"/>
      <c r="DY797" s="346"/>
      <c r="DZ797" s="348"/>
      <c r="EA797" s="346"/>
      <c r="EB797" s="346"/>
      <c r="EC797" s="346"/>
      <c r="ED797" s="346"/>
      <c r="EE797" s="346"/>
      <c r="EF797" s="346"/>
      <c r="EG797" s="346"/>
      <c r="EH797" s="346"/>
      <c r="EI797" s="346"/>
      <c r="EJ797" s="346"/>
      <c r="EK797" s="346"/>
      <c r="EL797" s="348"/>
      <c r="EM797" s="346"/>
      <c r="EN797" s="346"/>
      <c r="EO797" s="346"/>
      <c r="EP797" s="346"/>
      <c r="EQ797" s="346"/>
      <c r="ER797" s="346"/>
      <c r="ES797" s="346"/>
      <c r="ET797" s="346"/>
      <c r="EU797" s="346"/>
      <c r="EV797" s="346"/>
      <c r="EW797" s="346"/>
      <c r="EX797" s="348"/>
      <c r="EY797" s="346"/>
      <c r="EZ797" s="346"/>
      <c r="FA797" s="346"/>
      <c r="FB797" s="346"/>
      <c r="FC797" s="346"/>
      <c r="FD797" s="346"/>
      <c r="FE797" s="346"/>
      <c r="FF797" s="346"/>
      <c r="FG797" s="346"/>
      <c r="FH797" s="346"/>
      <c r="FI797" s="346"/>
      <c r="FJ797" s="348"/>
      <c r="FK797" s="346">
        <v>1.645408304</v>
      </c>
      <c r="FL797" s="346">
        <v>1.4702972000000001</v>
      </c>
      <c r="FM797" s="346">
        <v>1.5447394780000001</v>
      </c>
      <c r="FN797" s="346">
        <v>1.6877584059999999</v>
      </c>
      <c r="FO797" s="346">
        <v>1.5500421259999999</v>
      </c>
      <c r="FP797" s="346">
        <v>1.550014995</v>
      </c>
      <c r="FQ797" s="346">
        <v>1.571009085</v>
      </c>
      <c r="FR797" s="346">
        <v>1.4258154869999999</v>
      </c>
      <c r="FS797" s="346">
        <v>1.425815061</v>
      </c>
      <c r="FT797" s="346">
        <v>1.6292769739999999</v>
      </c>
      <c r="FU797" s="346">
        <v>1.48672358</v>
      </c>
      <c r="FV797" s="346">
        <v>1.4351826160000001</v>
      </c>
      <c r="FW797" s="346">
        <v>1.578747739</v>
      </c>
      <c r="FX797" s="346">
        <v>1.456572991</v>
      </c>
      <c r="FY797" s="346">
        <v>1.434116454</v>
      </c>
      <c r="FZ797" s="346">
        <v>1.524731576</v>
      </c>
      <c r="GA797" s="346">
        <v>1.501272494</v>
      </c>
      <c r="GB797" s="346">
        <v>1.485732469</v>
      </c>
      <c r="GC797" s="346">
        <v>1.6305605519999999</v>
      </c>
      <c r="GD797" s="346">
        <v>2.4271531460000002</v>
      </c>
      <c r="GE797" s="346">
        <v>2.9299431650000001</v>
      </c>
      <c r="GF797" s="346">
        <v>3.5495222709999998</v>
      </c>
      <c r="GG797" s="346">
        <v>2.727995919</v>
      </c>
      <c r="GH797" s="346">
        <v>2.8092080695725041</v>
      </c>
      <c r="GI797" s="1897">
        <f>GI796-GI799</f>
        <v>3.405036465980265</v>
      </c>
      <c r="GJ797" s="1897">
        <f t="shared" ref="GJ797:GM797" si="1242">GJ796-GJ799</f>
        <v>3.3232503319736417</v>
      </c>
      <c r="GK797" s="1897">
        <f t="shared" si="1242"/>
        <v>3.6823923904644893</v>
      </c>
      <c r="GL797" s="1897">
        <f t="shared" si="1242"/>
        <v>4.1899775344037522</v>
      </c>
      <c r="GM797" s="1897">
        <f t="shared" si="1242"/>
        <v>3.3908370316339784</v>
      </c>
      <c r="GN797" s="1897">
        <f>GN796-GN799</f>
        <v>2.8281401669452277</v>
      </c>
      <c r="GO797" s="1897">
        <v>1.5903192130027022</v>
      </c>
      <c r="GP797" s="1897">
        <v>1.5705014257670262</v>
      </c>
      <c r="GQ797" s="1897">
        <v>1.8621303010295343</v>
      </c>
      <c r="GR797" s="1897">
        <v>3.984146728808089</v>
      </c>
      <c r="GS797" s="1897">
        <v>3.9782170336070259</v>
      </c>
      <c r="GT797" s="1897">
        <v>3.524997605359852</v>
      </c>
      <c r="GU797" s="1897">
        <v>2.6969169429999997</v>
      </c>
      <c r="GV797" s="1897">
        <v>3.1855014830000004</v>
      </c>
      <c r="GW797" s="1897">
        <v>2.8602765080000001</v>
      </c>
      <c r="GX797" s="1897">
        <v>3.2497314399999997</v>
      </c>
      <c r="GY797" s="1897">
        <v>3.1248673199999999</v>
      </c>
      <c r="GZ797" s="1897">
        <v>2.8860398329999999</v>
      </c>
      <c r="HA797" s="1897">
        <v>2.712376017</v>
      </c>
      <c r="HB797" s="1897">
        <v>3.0217059209999997</v>
      </c>
      <c r="HC797" s="1897">
        <v>2.914505084</v>
      </c>
      <c r="HD797" s="1897">
        <v>4.1702437020000005</v>
      </c>
      <c r="HE797" s="1897">
        <v>4.3090685249999998</v>
      </c>
      <c r="HF797" s="1897">
        <v>6.8217058489999998</v>
      </c>
      <c r="HG797" s="1897">
        <v>2.4146400790000002</v>
      </c>
      <c r="HH797" s="1897">
        <v>2.4043520030000001</v>
      </c>
      <c r="HI797" s="1897">
        <v>4.3597835979999999</v>
      </c>
      <c r="HJ797" s="1897">
        <v>8.9632848020000004</v>
      </c>
      <c r="HK797" s="1897">
        <v>2.4275935359999998</v>
      </c>
      <c r="HL797" s="1897">
        <v>2.3098135970000002</v>
      </c>
      <c r="HM797" s="1897"/>
      <c r="HN797" s="349"/>
      <c r="HO797" s="1636" t="s">
        <v>586</v>
      </c>
      <c r="HP797" s="302">
        <f>HP796*61%</f>
        <v>6.3252099578542005</v>
      </c>
      <c r="HQ797" s="302">
        <f>HQ796*61%</f>
        <v>5.8645690380983995</v>
      </c>
      <c r="HR797" s="346">
        <f t="shared" ref="HR797:HR805" si="1243">HP797+HQ797</f>
        <v>12.189778995952601</v>
      </c>
      <c r="HS797" s="302">
        <f>HS796*61%</f>
        <v>6.4498977852686998</v>
      </c>
      <c r="HT797" s="302">
        <f>HT796*61%</f>
        <v>7.8945016838632007</v>
      </c>
      <c r="HU797" s="346">
        <f t="shared" ref="HU797:HU805" si="1244">HS797+HT797</f>
        <v>14.344399469131901</v>
      </c>
      <c r="HV797" s="302">
        <f>HV796*61%</f>
        <v>7.4639657570275002</v>
      </c>
      <c r="HW797" s="302">
        <f>HW796*61%</f>
        <v>8.128906036143265</v>
      </c>
      <c r="HX797" s="346">
        <f t="shared" ref="HX797:HX805" si="1245">HV797+HW797</f>
        <v>15.592871793170765</v>
      </c>
      <c r="HY797" s="302">
        <f>HY796*61%</f>
        <v>8.0398252113304984</v>
      </c>
      <c r="HZ797" s="302">
        <f>HZ796*61%</f>
        <v>8.5976754087801766</v>
      </c>
      <c r="IA797" s="346">
        <f t="shared" ref="IA797:IA805" si="1246">HY797+HZ797</f>
        <v>16.637500620110675</v>
      </c>
      <c r="IB797" s="302">
        <f>IB796*61%</f>
        <v>8.2212060946806016</v>
      </c>
      <c r="IC797" s="302">
        <f>IC796*61%</f>
        <v>9.6559239506213679</v>
      </c>
      <c r="ID797" s="346">
        <f t="shared" ref="ID797:ID805" si="1247">IB797+IC797</f>
        <v>17.877130045301968</v>
      </c>
      <c r="IE797" s="302">
        <f>IE796*61%</f>
        <v>9.2324446776730014</v>
      </c>
      <c r="IF797" s="302">
        <f>IF796*61%</f>
        <v>10.919639716272</v>
      </c>
      <c r="IG797" s="346">
        <f t="shared" ref="IG797:IG805" si="1248">IE797+IF797</f>
        <v>20.152084393945003</v>
      </c>
      <c r="IH797" s="302">
        <f>IH796*61%</f>
        <v>12.203638722291103</v>
      </c>
      <c r="II797" s="302">
        <f>II796*61%</f>
        <v>9.1622688973284028</v>
      </c>
      <c r="IJ797" s="346">
        <f t="shared" ref="IJ797:IJ805" si="1249">IH797+II797</f>
        <v>21.365907619619506</v>
      </c>
      <c r="IK797" s="350">
        <v>9.4482605090000007</v>
      </c>
      <c r="IL797" s="350">
        <f>SUM(FQ797:FV797)</f>
        <v>8.9738228030000009</v>
      </c>
      <c r="IM797" s="346">
        <f t="shared" si="1183"/>
        <v>18.422083312000002</v>
      </c>
      <c r="IN797" s="350">
        <f t="shared" si="1231"/>
        <v>8.9811737229999995</v>
      </c>
      <c r="IO797" s="350">
        <f t="shared" si="1232"/>
        <v>16.074383122572506</v>
      </c>
      <c r="IP797" s="346">
        <f t="shared" si="1066"/>
        <v>25.055556845572504</v>
      </c>
      <c r="IQ797" s="350">
        <f t="shared" si="1186"/>
        <v>20.819633921401355</v>
      </c>
      <c r="IR797" s="350">
        <f t="shared" si="1233"/>
        <v>16.510312307574228</v>
      </c>
      <c r="IS797" s="346">
        <f t="shared" si="1234"/>
        <v>37.329946228975587</v>
      </c>
      <c r="IT797" s="350">
        <f t="shared" si="1202"/>
        <v>18.003333526999999</v>
      </c>
      <c r="IU797" s="350">
        <f t="shared" si="1219"/>
        <v>23.949605097999999</v>
      </c>
      <c r="IV797" s="346">
        <f t="shared" si="1235"/>
        <v>41.952938625000002</v>
      </c>
      <c r="IW797" s="350">
        <f t="shared" si="1081"/>
        <v>22.879467615000003</v>
      </c>
      <c r="IX797" s="350">
        <f t="shared" si="1069"/>
        <v>28.891205835422817</v>
      </c>
      <c r="IY797" s="346">
        <f>FISC!AJ1113</f>
        <v>51.770673450422819</v>
      </c>
      <c r="IZ797" s="350">
        <f t="shared" si="1241"/>
        <v>32.727419763275137</v>
      </c>
      <c r="JA797" s="302">
        <f t="shared" si="1236"/>
        <v>26.776979806316014</v>
      </c>
      <c r="JB797" s="346">
        <f>FISC!AK1113</f>
        <v>59.504399569591151</v>
      </c>
      <c r="JC797" s="350">
        <f t="shared" si="1220"/>
        <v>36.645606029772274</v>
      </c>
      <c r="JD797" s="302">
        <f t="shared" si="1210"/>
        <v>29.982768569813679</v>
      </c>
      <c r="JE797" s="346">
        <f>FISC!AL1113</f>
        <v>66.628374599585953</v>
      </c>
      <c r="JF797" s="350">
        <f>JH797*0.55</f>
        <v>37.687207752564355</v>
      </c>
      <c r="JG797" s="302">
        <f t="shared" si="1237"/>
        <v>30.83498816118901</v>
      </c>
      <c r="JH797" s="346">
        <f>FISC!AM1113</f>
        <v>68.522195913753364</v>
      </c>
      <c r="JI797" s="350">
        <f>JK797*0.55</f>
        <v>38.728809475356442</v>
      </c>
      <c r="JJ797" s="302">
        <f t="shared" si="1238"/>
        <v>31.687207752564362</v>
      </c>
      <c r="JK797" s="346">
        <f>FISC!AN1113</f>
        <v>70.416017227920804</v>
      </c>
      <c r="JL797" s="350">
        <f>JN797*0.55</f>
        <v>39.770411198148516</v>
      </c>
      <c r="JM797" s="302">
        <f t="shared" si="1239"/>
        <v>32.539427343939685</v>
      </c>
      <c r="JN797" s="346">
        <f>FISC!AO1113</f>
        <v>72.309838542088201</v>
      </c>
      <c r="KI797" s="349"/>
      <c r="KJ797" s="350"/>
    </row>
    <row r="798" spans="1:296" hidden="1" outlineLevel="1">
      <c r="A798" s="302"/>
      <c r="D798" s="1635" t="s">
        <v>3197</v>
      </c>
      <c r="E798" s="346"/>
      <c r="F798" s="346"/>
      <c r="G798" s="346"/>
      <c r="H798" s="346"/>
      <c r="I798" s="346"/>
      <c r="J798" s="346"/>
      <c r="K798" s="346"/>
      <c r="L798" s="346"/>
      <c r="M798" s="346"/>
      <c r="N798" s="346"/>
      <c r="O798" s="346"/>
      <c r="P798" s="346"/>
      <c r="Q798" s="346"/>
      <c r="R798" s="346"/>
      <c r="S798" s="346"/>
      <c r="T798" s="346"/>
      <c r="U798" s="346"/>
      <c r="V798" s="346"/>
      <c r="W798" s="346"/>
      <c r="X798" s="346"/>
      <c r="Y798" s="346"/>
      <c r="Z798" s="346"/>
      <c r="AA798" s="346"/>
      <c r="AB798" s="346"/>
      <c r="AC798" s="346"/>
      <c r="AD798" s="346"/>
      <c r="AE798" s="346"/>
      <c r="AF798" s="346"/>
      <c r="AG798" s="346"/>
      <c r="AH798" s="346"/>
      <c r="AI798" s="346"/>
      <c r="AJ798" s="346"/>
      <c r="AK798" s="346"/>
      <c r="AL798" s="346"/>
      <c r="AM798" s="346"/>
      <c r="AN798" s="346"/>
      <c r="AO798" s="346"/>
      <c r="AP798" s="346"/>
      <c r="AQ798" s="346"/>
      <c r="AR798" s="346"/>
      <c r="AS798" s="346"/>
      <c r="AT798" s="346"/>
      <c r="AU798" s="346"/>
      <c r="AV798" s="346"/>
      <c r="AW798" s="346"/>
      <c r="AX798" s="346"/>
      <c r="AY798" s="346"/>
      <c r="AZ798" s="346"/>
      <c r="BA798" s="346"/>
      <c r="BB798" s="346"/>
      <c r="BC798" s="346"/>
      <c r="BD798" s="346"/>
      <c r="BE798" s="346"/>
      <c r="BF798" s="346"/>
      <c r="BG798" s="346"/>
      <c r="BH798" s="346"/>
      <c r="BI798" s="346"/>
      <c r="BJ798" s="346"/>
      <c r="BK798" s="346"/>
      <c r="BL798" s="346"/>
      <c r="BM798" s="346"/>
      <c r="BN798" s="346"/>
      <c r="BO798" s="346"/>
      <c r="BP798" s="346"/>
      <c r="BQ798" s="346"/>
      <c r="BR798" s="346"/>
      <c r="BS798" s="346"/>
      <c r="BT798" s="346"/>
      <c r="BU798" s="346"/>
      <c r="BV798" s="346"/>
      <c r="BW798" s="346"/>
      <c r="BX798" s="346"/>
      <c r="BY798" s="346"/>
      <c r="BZ798" s="346"/>
      <c r="CA798" s="346"/>
      <c r="CB798" s="346"/>
      <c r="CC798" s="346"/>
      <c r="CD798" s="352"/>
      <c r="CE798" s="346"/>
      <c r="CF798" s="346"/>
      <c r="CG798" s="346"/>
      <c r="CH798" s="346"/>
      <c r="CI798" s="346"/>
      <c r="CJ798" s="346"/>
      <c r="CK798" s="346"/>
      <c r="CL798" s="346"/>
      <c r="CM798" s="346"/>
      <c r="CN798" s="346"/>
      <c r="CO798" s="346"/>
      <c r="CP798" s="348"/>
      <c r="CQ798" s="346"/>
      <c r="CR798" s="346"/>
      <c r="CS798" s="346"/>
      <c r="CT798" s="346"/>
      <c r="CU798" s="346"/>
      <c r="CV798" s="346"/>
      <c r="CW798" s="346"/>
      <c r="CX798" s="346"/>
      <c r="CY798" s="346"/>
      <c r="CZ798" s="346"/>
      <c r="DA798" s="346"/>
      <c r="DB798" s="1479"/>
      <c r="DC798" s="346"/>
      <c r="DD798" s="346"/>
      <c r="DE798" s="346"/>
      <c r="DF798" s="346"/>
      <c r="DG798" s="346"/>
      <c r="DH798" s="346"/>
      <c r="DI798" s="346"/>
      <c r="DJ798" s="346"/>
      <c r="DK798" s="346"/>
      <c r="DL798" s="346"/>
      <c r="DM798" s="346"/>
      <c r="DN798" s="348"/>
      <c r="DO798" s="346"/>
      <c r="DP798" s="346"/>
      <c r="DQ798" s="346"/>
      <c r="DR798" s="346"/>
      <c r="DS798" s="346"/>
      <c r="DT798" s="346"/>
      <c r="DU798" s="346"/>
      <c r="DV798" s="346"/>
      <c r="DW798" s="346"/>
      <c r="DX798" s="346"/>
      <c r="DY798" s="346"/>
      <c r="DZ798" s="348"/>
      <c r="EA798" s="346"/>
      <c r="EB798" s="346"/>
      <c r="EC798" s="346"/>
      <c r="ED798" s="346"/>
      <c r="EE798" s="346"/>
      <c r="EF798" s="346"/>
      <c r="EG798" s="346"/>
      <c r="EH798" s="346"/>
      <c r="EI798" s="346"/>
      <c r="EJ798" s="346"/>
      <c r="EK798" s="346"/>
      <c r="EL798" s="348"/>
      <c r="EM798" s="346"/>
      <c r="EN798" s="346"/>
      <c r="EO798" s="346"/>
      <c r="EP798" s="346"/>
      <c r="EQ798" s="346"/>
      <c r="ER798" s="346"/>
      <c r="ES798" s="346"/>
      <c r="ET798" s="346"/>
      <c r="EU798" s="346"/>
      <c r="EV798" s="346"/>
      <c r="EW798" s="346"/>
      <c r="EX798" s="348"/>
      <c r="EY798" s="346"/>
      <c r="EZ798" s="346"/>
      <c r="FA798" s="346"/>
      <c r="FB798" s="346"/>
      <c r="FC798" s="346"/>
      <c r="FD798" s="346"/>
      <c r="FE798" s="346"/>
      <c r="FF798" s="346"/>
      <c r="FG798" s="346"/>
      <c r="FH798" s="346"/>
      <c r="FI798" s="346"/>
      <c r="FJ798" s="348"/>
      <c r="FK798" s="346">
        <v>1.4220644140000001</v>
      </c>
      <c r="FL798" s="346">
        <v>1.3937961539999999</v>
      </c>
      <c r="FM798" s="346">
        <v>1.450332677</v>
      </c>
      <c r="FN798" s="346">
        <v>1.426627922</v>
      </c>
      <c r="FO798" s="346">
        <v>1.4220644140000001</v>
      </c>
      <c r="FP798" s="346">
        <v>1.435370856</v>
      </c>
      <c r="FQ798" s="346">
        <v>1.3524104079999999</v>
      </c>
      <c r="FR798" s="346">
        <v>1.3524104079999999</v>
      </c>
      <c r="FS798" s="346">
        <v>1.352409982</v>
      </c>
      <c r="FT798" s="346">
        <v>1.435181754</v>
      </c>
      <c r="FU798" s="346">
        <v>1.435181754</v>
      </c>
      <c r="FV798" s="346">
        <v>1.4351826160000001</v>
      </c>
      <c r="FW798" s="346">
        <v>1.393772494</v>
      </c>
      <c r="FX798" s="346">
        <v>1.393772494</v>
      </c>
      <c r="FY798" s="346">
        <v>1.3939524940000001</v>
      </c>
      <c r="FZ798" s="346">
        <v>1.3939524940000001</v>
      </c>
      <c r="GA798" s="346">
        <v>1.393772494</v>
      </c>
      <c r="GB798" s="346">
        <v>1.393772494</v>
      </c>
      <c r="GC798" s="346">
        <v>1.427153146</v>
      </c>
      <c r="GD798" s="346">
        <v>2.4271531460000002</v>
      </c>
      <c r="GE798" s="346">
        <v>2.9299431650000001</v>
      </c>
      <c r="GF798" s="346">
        <v>2.4485203090000001</v>
      </c>
      <c r="GG798" s="346">
        <v>2.7029959190000001</v>
      </c>
      <c r="GH798" s="346">
        <v>2.8092080695725041</v>
      </c>
      <c r="GI798" s="1897">
        <v>1.3144160300000001</v>
      </c>
      <c r="GJ798" s="1897">
        <v>2.56750072</v>
      </c>
      <c r="GK798" s="1897">
        <v>1.9409583749999999</v>
      </c>
      <c r="GL798" s="1897">
        <v>1.732610859</v>
      </c>
      <c r="GM798" s="1897">
        <v>1.702680996</v>
      </c>
      <c r="GN798" s="1897">
        <v>2.3875832699999999</v>
      </c>
      <c r="GO798" s="1897">
        <v>1.5088087701860999</v>
      </c>
      <c r="GP798" s="1897">
        <v>1.4972201459138099</v>
      </c>
      <c r="GQ798" s="1897">
        <v>1.7687772132834327</v>
      </c>
      <c r="GR798" s="1897">
        <v>3.5954092801093025</v>
      </c>
      <c r="GS798" s="1897">
        <v>3.9782170336070259</v>
      </c>
      <c r="GT798" s="1897">
        <v>3.524997605359852</v>
      </c>
      <c r="GU798" s="1897">
        <v>2.6365614650000002</v>
      </c>
      <c r="GV798" s="1897">
        <v>3.1300024860000004</v>
      </c>
      <c r="GW798" s="1897">
        <v>2.7601328069999997</v>
      </c>
      <c r="GX798" s="1897">
        <v>3.0078976319999997</v>
      </c>
      <c r="GY798" s="1897">
        <v>2.8704634430000002</v>
      </c>
      <c r="GZ798" s="1897">
        <v>2.7212567559999998</v>
      </c>
      <c r="HA798" s="1897">
        <v>2.304234176</v>
      </c>
      <c r="HB798" s="1897">
        <v>2.7217059209999999</v>
      </c>
      <c r="HC798" s="1897">
        <v>2.604234215</v>
      </c>
      <c r="HD798" s="1897">
        <v>2.0653872230000001</v>
      </c>
      <c r="HE798" s="1897">
        <v>3.3090685249999998</v>
      </c>
      <c r="HF798" s="1897">
        <v>3.8217058489999998</v>
      </c>
      <c r="HG798" s="1897">
        <v>2.2829496319999998</v>
      </c>
      <c r="HH798" s="1897">
        <v>2.2795030170000001</v>
      </c>
      <c r="HI798" s="1897">
        <v>4.2829496319999993</v>
      </c>
      <c r="HJ798" s="1897">
        <v>3.7829496310000001</v>
      </c>
      <c r="HK798" s="1897">
        <v>2.2829796309999999</v>
      </c>
      <c r="HL798" s="1897">
        <v>2.2829796309999999</v>
      </c>
      <c r="HM798" s="1897"/>
      <c r="HN798" s="349"/>
      <c r="HO798" s="1635" t="s">
        <v>3197</v>
      </c>
      <c r="HP798" s="302">
        <f>HP797*76%</f>
        <v>4.8071595679691921</v>
      </c>
      <c r="HQ798" s="302">
        <f>HQ797*76%</f>
        <v>4.4570724689547836</v>
      </c>
      <c r="HR798" s="346">
        <f t="shared" si="1243"/>
        <v>9.2642320369239748</v>
      </c>
      <c r="HS798" s="302">
        <f>HS797*76%</f>
        <v>4.9019223168042121</v>
      </c>
      <c r="HT798" s="302">
        <f>HT797*76%</f>
        <v>5.9998212797360324</v>
      </c>
      <c r="HU798" s="346">
        <f t="shared" si="1244"/>
        <v>10.901743596540244</v>
      </c>
      <c r="HV798" s="302">
        <f>HV797*76%</f>
        <v>5.6726139753409006</v>
      </c>
      <c r="HW798" s="302">
        <f>HW797*76%</f>
        <v>6.1779685874688814</v>
      </c>
      <c r="HX798" s="346">
        <f t="shared" si="1245"/>
        <v>11.850582562809782</v>
      </c>
      <c r="HY798" s="302">
        <f>HY797*76%</f>
        <v>6.1102671606111789</v>
      </c>
      <c r="HZ798" s="302">
        <f>HZ797*76%</f>
        <v>6.534233310672934</v>
      </c>
      <c r="IA798" s="346">
        <f t="shared" si="1246"/>
        <v>12.644500471284113</v>
      </c>
      <c r="IB798" s="302">
        <f>IB797*76%</f>
        <v>6.2481166319572576</v>
      </c>
      <c r="IC798" s="302">
        <f>IC797*76%</f>
        <v>7.3385022024722399</v>
      </c>
      <c r="ID798" s="346">
        <f t="shared" si="1247"/>
        <v>13.586618834429498</v>
      </c>
      <c r="IE798" s="302">
        <f>IE797*76%</f>
        <v>7.0166579550314809</v>
      </c>
      <c r="IF798" s="302">
        <f>IF797*76%</f>
        <v>8.2989261843667208</v>
      </c>
      <c r="IG798" s="346">
        <f t="shared" si="1248"/>
        <v>15.315584139398201</v>
      </c>
      <c r="IH798" s="302">
        <f>IH797*76%</f>
        <v>9.2747654289412385</v>
      </c>
      <c r="II798" s="302">
        <f>II797*76%</f>
        <v>6.9633243619695859</v>
      </c>
      <c r="IJ798" s="346">
        <f t="shared" si="1249"/>
        <v>16.238089790910823</v>
      </c>
      <c r="IK798" s="350">
        <v>8.5502564369999998</v>
      </c>
      <c r="IL798" s="350">
        <f>SUM(FQ798:FV798)</f>
        <v>8.3627769220000001</v>
      </c>
      <c r="IM798" s="346">
        <f t="shared" si="1183"/>
        <v>16.913033359</v>
      </c>
      <c r="IN798" s="350">
        <f t="shared" si="1231"/>
        <v>8.3629949640000003</v>
      </c>
      <c r="IO798" s="350">
        <f t="shared" si="1232"/>
        <v>14.744973754572504</v>
      </c>
      <c r="IP798" s="346">
        <f t="shared" si="1066"/>
        <v>23.107968718572504</v>
      </c>
      <c r="IQ798" s="350">
        <f t="shared" si="1186"/>
        <v>11.645750250000001</v>
      </c>
      <c r="IR798" s="350">
        <f t="shared" si="1233"/>
        <v>15.873430048459523</v>
      </c>
      <c r="IS798" s="346">
        <f t="shared" si="1234"/>
        <v>27.519180298459524</v>
      </c>
      <c r="IT798" s="350">
        <f t="shared" si="1202"/>
        <v>17.126314589</v>
      </c>
      <c r="IU798" s="350">
        <f t="shared" si="1219"/>
        <v>16.826335909000001</v>
      </c>
      <c r="IV798" s="346">
        <f t="shared" si="1235"/>
        <v>33.952650497999997</v>
      </c>
      <c r="IW798" s="350">
        <f t="shared" si="1081"/>
        <v>17.194311173999999</v>
      </c>
      <c r="IX798" s="350">
        <f t="shared" si="1069"/>
        <v>20.146420797251118</v>
      </c>
      <c r="IY798" s="346">
        <f>FISC!AJ1114</f>
        <v>37.340731971251117</v>
      </c>
      <c r="IZ798" s="350">
        <f>JB798*0.5</f>
        <v>20.190731971251125</v>
      </c>
      <c r="JA798" s="302">
        <f t="shared" si="1236"/>
        <v>20.190731971251125</v>
      </c>
      <c r="JB798" s="346">
        <f>FISC!AK1114</f>
        <v>40.381463942502251</v>
      </c>
      <c r="JC798" s="350">
        <f>JE798*0.5</f>
        <v>22.664187299792978</v>
      </c>
      <c r="JD798" s="302">
        <f t="shared" si="1210"/>
        <v>22.664187299792978</v>
      </c>
      <c r="JE798" s="346">
        <f>FISC!AL1114</f>
        <v>45.328374599585956</v>
      </c>
      <c r="JF798" s="350">
        <f>JH798*0.5</f>
        <v>23.611097956876687</v>
      </c>
      <c r="JG798" s="302">
        <f t="shared" si="1237"/>
        <v>23.611097956876687</v>
      </c>
      <c r="JH798" s="346">
        <f>FISC!AM1114</f>
        <v>47.222195913753374</v>
      </c>
      <c r="JI798" s="350">
        <f>JK798*0.5</f>
        <v>24.558008613960403</v>
      </c>
      <c r="JJ798" s="302">
        <f t="shared" si="1238"/>
        <v>24.558008613960403</v>
      </c>
      <c r="JK798" s="346">
        <f>FISC!AN1114</f>
        <v>49.116017227920807</v>
      </c>
      <c r="JL798" s="350">
        <f t="shared" ref="JL798:JL799" si="1250">JN798*0.55</f>
        <v>28.055411198148516</v>
      </c>
      <c r="JM798" s="302">
        <f t="shared" si="1239"/>
        <v>22.954427343939688</v>
      </c>
      <c r="JN798" s="346">
        <f>FISC!AO1114</f>
        <v>51.009838542088204</v>
      </c>
      <c r="KI798" s="349"/>
      <c r="KJ798" s="350"/>
    </row>
    <row r="799" spans="1:296" hidden="1" outlineLevel="1">
      <c r="A799" s="302"/>
      <c r="D799" s="1636" t="s">
        <v>587</v>
      </c>
      <c r="E799" s="346"/>
      <c r="F799" s="346"/>
      <c r="G799" s="346"/>
      <c r="H799" s="346"/>
      <c r="I799" s="346"/>
      <c r="J799" s="346"/>
      <c r="K799" s="346"/>
      <c r="L799" s="346"/>
      <c r="M799" s="346"/>
      <c r="N799" s="346"/>
      <c r="O799" s="346"/>
      <c r="P799" s="346"/>
      <c r="Q799" s="346"/>
      <c r="R799" s="346"/>
      <c r="S799" s="346"/>
      <c r="T799" s="346"/>
      <c r="U799" s="346"/>
      <c r="V799" s="346"/>
      <c r="W799" s="346"/>
      <c r="X799" s="346"/>
      <c r="Y799" s="346"/>
      <c r="Z799" s="346"/>
      <c r="AA799" s="346"/>
      <c r="AB799" s="346"/>
      <c r="AC799" s="346"/>
      <c r="AD799" s="346"/>
      <c r="AE799" s="346"/>
      <c r="AF799" s="346"/>
      <c r="AG799" s="346"/>
      <c r="AH799" s="346"/>
      <c r="AI799" s="346"/>
      <c r="AJ799" s="346"/>
      <c r="AK799" s="346"/>
      <c r="AL799" s="346"/>
      <c r="AM799" s="346"/>
      <c r="AN799" s="346"/>
      <c r="AO799" s="346"/>
      <c r="AP799" s="346"/>
      <c r="AQ799" s="346"/>
      <c r="AR799" s="346"/>
      <c r="AS799" s="346"/>
      <c r="AT799" s="346"/>
      <c r="AU799" s="346"/>
      <c r="AV799" s="346"/>
      <c r="AW799" s="346"/>
      <c r="AX799" s="346"/>
      <c r="AY799" s="346"/>
      <c r="AZ799" s="346"/>
      <c r="BA799" s="346"/>
      <c r="BB799" s="346"/>
      <c r="BC799" s="346"/>
      <c r="BD799" s="346"/>
      <c r="BE799" s="346"/>
      <c r="BF799" s="346"/>
      <c r="BG799" s="346"/>
      <c r="BH799" s="346"/>
      <c r="BI799" s="346"/>
      <c r="BJ799" s="346"/>
      <c r="BK799" s="346"/>
      <c r="BL799" s="346"/>
      <c r="BM799" s="346"/>
      <c r="BN799" s="346"/>
      <c r="BO799" s="346"/>
      <c r="BP799" s="346"/>
      <c r="BQ799" s="346"/>
      <c r="BR799" s="346"/>
      <c r="BS799" s="346"/>
      <c r="BT799" s="346"/>
      <c r="BU799" s="346"/>
      <c r="BV799" s="346"/>
      <c r="BW799" s="346"/>
      <c r="BX799" s="346"/>
      <c r="BY799" s="346"/>
      <c r="BZ799" s="346"/>
      <c r="CA799" s="346"/>
      <c r="CB799" s="346"/>
      <c r="CC799" s="346"/>
      <c r="CD799" s="352"/>
      <c r="CE799" s="346">
        <v>0</v>
      </c>
      <c r="CF799" s="346">
        <v>0</v>
      </c>
      <c r="CG799" s="346">
        <v>0</v>
      </c>
      <c r="CH799" s="346">
        <v>0</v>
      </c>
      <c r="CI799" s="346">
        <v>0</v>
      </c>
      <c r="CJ799" s="346">
        <v>0</v>
      </c>
      <c r="CK799" s="346">
        <v>0</v>
      </c>
      <c r="CL799" s="346">
        <v>0</v>
      </c>
      <c r="CM799" s="346">
        <v>0</v>
      </c>
      <c r="CN799" s="346">
        <v>0</v>
      </c>
      <c r="CO799" s="346">
        <v>0</v>
      </c>
      <c r="CP799" s="348">
        <v>0</v>
      </c>
      <c r="CQ799" s="346"/>
      <c r="CR799" s="346"/>
      <c r="CS799" s="346"/>
      <c r="CT799" s="346"/>
      <c r="CU799" s="346"/>
      <c r="CV799" s="346"/>
      <c r="CW799" s="346"/>
      <c r="CX799" s="346"/>
      <c r="CY799" s="346"/>
      <c r="CZ799" s="346"/>
      <c r="DA799" s="346"/>
      <c r="DB799" s="1479"/>
      <c r="DC799" s="346"/>
      <c r="DD799" s="346"/>
      <c r="DE799" s="346"/>
      <c r="DF799" s="346"/>
      <c r="DG799" s="346"/>
      <c r="DH799" s="346"/>
      <c r="DI799" s="346"/>
      <c r="DJ799" s="346"/>
      <c r="DK799" s="346"/>
      <c r="DL799" s="346"/>
      <c r="DM799" s="346"/>
      <c r="DN799" s="348"/>
      <c r="DO799" s="346"/>
      <c r="DP799" s="346"/>
      <c r="DQ799" s="346"/>
      <c r="DR799" s="346"/>
      <c r="DS799" s="346"/>
      <c r="DT799" s="346"/>
      <c r="DU799" s="346"/>
      <c r="DV799" s="346"/>
      <c r="DW799" s="346"/>
      <c r="DX799" s="346"/>
      <c r="DY799" s="346"/>
      <c r="DZ799" s="348"/>
      <c r="EA799" s="346"/>
      <c r="EB799" s="346"/>
      <c r="EC799" s="346"/>
      <c r="ED799" s="346"/>
      <c r="EE799" s="346"/>
      <c r="EF799" s="346"/>
      <c r="EG799" s="346"/>
      <c r="EH799" s="346"/>
      <c r="EI799" s="346"/>
      <c r="EJ799" s="346"/>
      <c r="EK799" s="346"/>
      <c r="EL799" s="348"/>
      <c r="EM799" s="346"/>
      <c r="EN799" s="346"/>
      <c r="EO799" s="346"/>
      <c r="EP799" s="346"/>
      <c r="EQ799" s="346"/>
      <c r="ER799" s="346"/>
      <c r="ES799" s="346"/>
      <c r="ET799" s="346"/>
      <c r="EU799" s="346"/>
      <c r="EV799" s="346"/>
      <c r="EW799" s="346"/>
      <c r="EX799" s="348"/>
      <c r="EY799" s="346"/>
      <c r="EZ799" s="346"/>
      <c r="FA799" s="346"/>
      <c r="FB799" s="346"/>
      <c r="FC799" s="346"/>
      <c r="FD799" s="346"/>
      <c r="FE799" s="346"/>
      <c r="FF799" s="346"/>
      <c r="FG799" s="346"/>
      <c r="FH799" s="346"/>
      <c r="FI799" s="346"/>
      <c r="FJ799" s="348"/>
      <c r="FK799" s="346">
        <v>0.49176057000000001</v>
      </c>
      <c r="FL799" s="346">
        <v>1.419918185</v>
      </c>
      <c r="FM799" s="346">
        <v>9.6996727000000005E-2</v>
      </c>
      <c r="FN799" s="346">
        <v>0.43416053199999999</v>
      </c>
      <c r="FO799" s="346">
        <v>0.27897329799999998</v>
      </c>
      <c r="FP799" s="346">
        <v>1.7674170760000001</v>
      </c>
      <c r="FQ799" s="346">
        <v>1.8576309600000001</v>
      </c>
      <c r="FR799" s="346">
        <v>0.78832099300000003</v>
      </c>
      <c r="FS799" s="346">
        <v>0.56061431699999997</v>
      </c>
      <c r="FT799" s="346">
        <v>1.4917887839999999</v>
      </c>
      <c r="FU799" s="346">
        <v>1.4761310320000001</v>
      </c>
      <c r="FV799" s="346">
        <v>2.3882560000000001E-2</v>
      </c>
      <c r="FW799" s="346">
        <v>0.45750059700000001</v>
      </c>
      <c r="FX799" s="346">
        <v>0.464733273</v>
      </c>
      <c r="FY799" s="346">
        <v>0.120639353</v>
      </c>
      <c r="FZ799" s="346">
        <v>0.387695858</v>
      </c>
      <c r="GA799" s="346">
        <v>0.80063130800000004</v>
      </c>
      <c r="GB799" s="346">
        <v>1.7764598E-2</v>
      </c>
      <c r="GC799" s="346">
        <v>1.1976948709999999</v>
      </c>
      <c r="GD799" s="346">
        <v>1.489314123</v>
      </c>
      <c r="GE799" s="346">
        <v>0.113574315</v>
      </c>
      <c r="GF799" s="346">
        <v>0.52798811199999995</v>
      </c>
      <c r="GG799" s="346">
        <v>1.311857031</v>
      </c>
      <c r="GH799" s="346">
        <v>1.0606561E-2</v>
      </c>
      <c r="GI799" s="1897">
        <f>$GG$799/$GG$796*GI796</f>
        <v>1.6374368442402361</v>
      </c>
      <c r="GJ799" s="1897">
        <f t="shared" ref="GJ799:GN799" si="1251">$GG$799/$GG$796*GJ796</f>
        <v>1.59810697787657</v>
      </c>
      <c r="GK799" s="1897">
        <f t="shared" si="1251"/>
        <v>1.7708136272075328</v>
      </c>
      <c r="GL799" s="1897">
        <f t="shared" si="1251"/>
        <v>2.0149045861676038</v>
      </c>
      <c r="GM799" s="1897">
        <f t="shared" si="1251"/>
        <v>1.6306085247205253</v>
      </c>
      <c r="GN799" s="1897">
        <f t="shared" si="1251"/>
        <v>1.3600150707045875</v>
      </c>
      <c r="GO799" s="1897">
        <v>0.80405501822330661</v>
      </c>
      <c r="GP799" s="1897">
        <v>0.8296452005891426</v>
      </c>
      <c r="GQ799" s="1897">
        <v>0.13972148506042958</v>
      </c>
      <c r="GR799" s="1897">
        <v>0.43687405882687508</v>
      </c>
      <c r="GS799" s="1897">
        <v>0.41425356359590526</v>
      </c>
      <c r="GT799" s="1897">
        <v>2.5915109609708931</v>
      </c>
      <c r="GU799" s="1897">
        <v>1.430365205</v>
      </c>
      <c r="GV799" s="1897">
        <v>1.430092511</v>
      </c>
      <c r="GW799" s="1897">
        <v>1.6196467650000002</v>
      </c>
      <c r="GX799" s="1897">
        <v>1.4264545749999999</v>
      </c>
      <c r="GY799" s="1897">
        <v>1.549524573</v>
      </c>
      <c r="GZ799" s="1897">
        <v>1.549714407</v>
      </c>
      <c r="HA799" s="1897">
        <v>1.3178086600000001</v>
      </c>
      <c r="HB799" s="1897">
        <v>1.514249913</v>
      </c>
      <c r="HC799" s="1897">
        <v>1.5481296</v>
      </c>
      <c r="HD799" s="1897">
        <v>3.1031218119999999</v>
      </c>
      <c r="HE799" s="1897">
        <v>4.7027966440000002</v>
      </c>
      <c r="HF799" s="1897">
        <v>5.2990035849999995</v>
      </c>
      <c r="HG799" s="1897">
        <v>5.0185306790000004</v>
      </c>
      <c r="HH799" s="1897">
        <v>5.0933291199999999</v>
      </c>
      <c r="HI799" s="1897">
        <v>0.13271226899999999</v>
      </c>
      <c r="HJ799" s="1897">
        <v>0.167302796</v>
      </c>
      <c r="HK799" s="1897">
        <v>5.4343456479999999</v>
      </c>
      <c r="HL799" s="1897">
        <v>1.7302795999999999E-2</v>
      </c>
      <c r="HM799" s="1897"/>
      <c r="HN799" s="349"/>
      <c r="HO799" s="1636" t="s">
        <v>587</v>
      </c>
      <c r="HP799" s="302">
        <f>HP796-HP797</f>
        <v>4.0439866943658007</v>
      </c>
      <c r="HQ799" s="302">
        <f>HQ796-HQ797</f>
        <v>3.7494785653416001</v>
      </c>
      <c r="HR799" s="346">
        <f t="shared" si="1243"/>
        <v>7.7934652597074008</v>
      </c>
      <c r="HS799" s="302">
        <f>HS796-HS797</f>
        <v>4.1237051414013006</v>
      </c>
      <c r="HT799" s="302">
        <f>HT796-HT797</f>
        <v>5.0473043552568004</v>
      </c>
      <c r="HU799" s="346">
        <f t="shared" si="1244"/>
        <v>9.1710094966581011</v>
      </c>
      <c r="HV799" s="302">
        <f>HV796-HV797</f>
        <v>4.7720436807225006</v>
      </c>
      <c r="HW799" s="302">
        <f>HW796-HW797</f>
        <v>5.1971694329440545</v>
      </c>
      <c r="HX799" s="346">
        <f t="shared" si="1245"/>
        <v>9.9692131136665552</v>
      </c>
      <c r="HY799" s="302">
        <f>HY796-HY797</f>
        <v>5.1402161187195006</v>
      </c>
      <c r="HZ799" s="302">
        <f>HZ796-HZ797</f>
        <v>5.4968744416791306</v>
      </c>
      <c r="IA799" s="346">
        <f t="shared" si="1246"/>
        <v>10.637090560398631</v>
      </c>
      <c r="IB799" s="302">
        <f>IB796-IB797</f>
        <v>5.256180945779402</v>
      </c>
      <c r="IC799" s="302">
        <f>IC796-IC797</f>
        <v>6.173459574987433</v>
      </c>
      <c r="ID799" s="346">
        <f t="shared" si="1247"/>
        <v>11.429640520766835</v>
      </c>
      <c r="IE799" s="302">
        <f>IE796-IE797</f>
        <v>5.902710531627001</v>
      </c>
      <c r="IF799" s="302">
        <f>IF796-IF797</f>
        <v>6.9814089989280017</v>
      </c>
      <c r="IG799" s="346">
        <f t="shared" si="1248"/>
        <v>12.884119530555003</v>
      </c>
      <c r="IH799" s="302">
        <f>IH796-IH797</f>
        <v>7.802326396218902</v>
      </c>
      <c r="II799" s="302">
        <f>II796-II797</f>
        <v>5.8578440491116019</v>
      </c>
      <c r="IJ799" s="346">
        <f t="shared" si="1249"/>
        <v>13.660170445330504</v>
      </c>
      <c r="IK799" s="350">
        <v>4.4892263879999996</v>
      </c>
      <c r="IL799" s="350">
        <f>SUM(FQ799:FV799)</f>
        <v>6.1983686459999996</v>
      </c>
      <c r="IM799" s="346">
        <f t="shared" si="1183"/>
        <v>10.687595033999999</v>
      </c>
      <c r="IN799" s="350">
        <f t="shared" si="1231"/>
        <v>2.2489649869999999</v>
      </c>
      <c r="IO799" s="350">
        <f t="shared" si="1232"/>
        <v>4.6510350130000004</v>
      </c>
      <c r="IP799" s="346">
        <f t="shared" si="1066"/>
        <v>6.9</v>
      </c>
      <c r="IQ799" s="350">
        <f t="shared" si="1186"/>
        <v>10.011885630917057</v>
      </c>
      <c r="IR799" s="350">
        <f t="shared" si="1233"/>
        <v>5.2160602872665525</v>
      </c>
      <c r="IS799" s="346">
        <f t="shared" si="1234"/>
        <v>15.227945918183609</v>
      </c>
      <c r="IT799" s="350">
        <f t="shared" si="1202"/>
        <v>9.0057980359999998</v>
      </c>
      <c r="IU799" s="350">
        <f t="shared" si="1219"/>
        <v>17.485110214000002</v>
      </c>
      <c r="IV799" s="346">
        <f t="shared" si="1235"/>
        <v>26.490908250000004</v>
      </c>
      <c r="IW799" s="350">
        <f t="shared" si="1081"/>
        <v>15.863523308000001</v>
      </c>
      <c r="IX799" s="350">
        <f t="shared" ref="IX799:IX862" si="1252">IY799-IW799</f>
        <v>23.435270241364901</v>
      </c>
      <c r="IY799" s="346">
        <f>FISC!AJ1115</f>
        <v>39.298793549364902</v>
      </c>
      <c r="IZ799" s="350">
        <f t="shared" si="1241"/>
        <v>24.063931439668895</v>
      </c>
      <c r="JA799" s="302">
        <f t="shared" si="1236"/>
        <v>19.688671177910908</v>
      </c>
      <c r="JB799" s="346">
        <f>FISC!AK1115</f>
        <v>43.752602617579804</v>
      </c>
      <c r="JC799" s="350">
        <f t="shared" si="1220"/>
        <v>26.785000000000004</v>
      </c>
      <c r="JD799" s="302">
        <f t="shared" si="1210"/>
        <v>21.914999999999999</v>
      </c>
      <c r="JE799" s="346">
        <f>FISC!AL1115</f>
        <v>48.7</v>
      </c>
      <c r="JF799" s="350">
        <f t="shared" ref="JF799" si="1253">JH799*0.55</f>
        <v>26.785000000000004</v>
      </c>
      <c r="JG799" s="302">
        <f t="shared" si="1237"/>
        <v>21.914999999999999</v>
      </c>
      <c r="JH799" s="346">
        <f>FISC!AM1115</f>
        <v>48.7</v>
      </c>
      <c r="JI799" s="350">
        <f t="shared" ref="JI799" si="1254">JK799*0.55</f>
        <v>26.785000000000004</v>
      </c>
      <c r="JJ799" s="302">
        <f t="shared" si="1238"/>
        <v>21.914999999999999</v>
      </c>
      <c r="JK799" s="346">
        <f>FISC!AN1115</f>
        <v>48.7</v>
      </c>
      <c r="JL799" s="350">
        <f t="shared" si="1250"/>
        <v>26.785000000000004</v>
      </c>
      <c r="JM799" s="302">
        <f t="shared" si="1239"/>
        <v>21.914999999999999</v>
      </c>
      <c r="JN799" s="346">
        <f>FISC!AO1115</f>
        <v>48.7</v>
      </c>
      <c r="KI799" s="349"/>
      <c r="KJ799" s="350"/>
    </row>
    <row r="800" spans="1:296" ht="15.5" hidden="1" outlineLevel="1" thickBot="1">
      <c r="A800" s="302"/>
      <c r="D800" s="1638" t="s">
        <v>3124</v>
      </c>
      <c r="E800" s="346"/>
      <c r="F800" s="346"/>
      <c r="G800" s="346"/>
      <c r="H800" s="346"/>
      <c r="I800" s="346"/>
      <c r="J800" s="346"/>
      <c r="K800" s="346"/>
      <c r="L800" s="346"/>
      <c r="M800" s="346"/>
      <c r="N800" s="346"/>
      <c r="O800" s="346"/>
      <c r="P800" s="346"/>
      <c r="Q800" s="346"/>
      <c r="R800" s="346"/>
      <c r="S800" s="346"/>
      <c r="T800" s="346"/>
      <c r="U800" s="346"/>
      <c r="V800" s="346"/>
      <c r="W800" s="346"/>
      <c r="X800" s="346"/>
      <c r="Y800" s="346"/>
      <c r="Z800" s="346"/>
      <c r="AA800" s="346"/>
      <c r="AB800" s="346"/>
      <c r="AC800" s="346"/>
      <c r="AD800" s="346"/>
      <c r="AE800" s="346"/>
      <c r="AF800" s="346"/>
      <c r="AG800" s="346"/>
      <c r="AH800" s="346"/>
      <c r="AI800" s="346"/>
      <c r="AJ800" s="346"/>
      <c r="AK800" s="346"/>
      <c r="AL800" s="346"/>
      <c r="AM800" s="346"/>
      <c r="AN800" s="346"/>
      <c r="AO800" s="346"/>
      <c r="AP800" s="346"/>
      <c r="AQ800" s="346"/>
      <c r="AR800" s="346"/>
      <c r="AS800" s="346"/>
      <c r="AT800" s="346"/>
      <c r="AU800" s="346"/>
      <c r="AV800" s="346"/>
      <c r="AW800" s="346"/>
      <c r="AX800" s="346"/>
      <c r="AY800" s="346"/>
      <c r="AZ800" s="346"/>
      <c r="BA800" s="346"/>
      <c r="BB800" s="346"/>
      <c r="BC800" s="346"/>
      <c r="BD800" s="346"/>
      <c r="BE800" s="346"/>
      <c r="BF800" s="346"/>
      <c r="BG800" s="346"/>
      <c r="BH800" s="346"/>
      <c r="BI800" s="346"/>
      <c r="BJ800" s="346"/>
      <c r="BK800" s="346"/>
      <c r="BL800" s="346"/>
      <c r="BM800" s="346"/>
      <c r="BN800" s="346"/>
      <c r="BO800" s="346"/>
      <c r="BP800" s="346"/>
      <c r="BQ800" s="346"/>
      <c r="BR800" s="346"/>
      <c r="BS800" s="346"/>
      <c r="BT800" s="346"/>
      <c r="BU800" s="346"/>
      <c r="BV800" s="346"/>
      <c r="BW800" s="346"/>
      <c r="BX800" s="346"/>
      <c r="BY800" s="346"/>
      <c r="BZ800" s="346"/>
      <c r="CA800" s="346"/>
      <c r="CB800" s="346"/>
      <c r="CC800" s="346"/>
      <c r="CD800" s="352"/>
      <c r="CE800" s="346">
        <v>0</v>
      </c>
      <c r="CF800" s="346">
        <v>0</v>
      </c>
      <c r="CG800" s="346">
        <v>0</v>
      </c>
      <c r="CH800" s="346">
        <v>0</v>
      </c>
      <c r="CI800" s="346">
        <v>0</v>
      </c>
      <c r="CJ800" s="346">
        <v>0</v>
      </c>
      <c r="CK800" s="346">
        <v>0</v>
      </c>
      <c r="CL800" s="346">
        <v>0</v>
      </c>
      <c r="CM800" s="346">
        <v>0</v>
      </c>
      <c r="CN800" s="346">
        <v>0</v>
      </c>
      <c r="CO800" s="346">
        <v>0</v>
      </c>
      <c r="CP800" s="348">
        <v>0</v>
      </c>
      <c r="CQ800" s="346"/>
      <c r="CR800" s="346"/>
      <c r="CS800" s="346"/>
      <c r="CT800" s="346"/>
      <c r="CU800" s="346"/>
      <c r="CV800" s="346"/>
      <c r="CW800" s="346"/>
      <c r="CX800" s="346"/>
      <c r="CY800" s="346"/>
      <c r="CZ800" s="346"/>
      <c r="DA800" s="346"/>
      <c r="DB800" s="1479"/>
      <c r="DC800" s="346"/>
      <c r="DD800" s="346"/>
      <c r="DE800" s="346"/>
      <c r="DF800" s="346"/>
      <c r="DG800" s="346"/>
      <c r="DH800" s="346"/>
      <c r="DI800" s="346"/>
      <c r="DJ800" s="346"/>
      <c r="DK800" s="346"/>
      <c r="DL800" s="346"/>
      <c r="DM800" s="346"/>
      <c r="DN800" s="348"/>
      <c r="DO800" s="346"/>
      <c r="DP800" s="346"/>
      <c r="DQ800" s="346"/>
      <c r="DR800" s="346"/>
      <c r="DS800" s="346"/>
      <c r="DT800" s="346"/>
      <c r="DU800" s="346"/>
      <c r="DV800" s="346"/>
      <c r="DW800" s="346"/>
      <c r="DX800" s="346"/>
      <c r="DY800" s="346"/>
      <c r="DZ800" s="348"/>
      <c r="EA800" s="346"/>
      <c r="EB800" s="346"/>
      <c r="EC800" s="346"/>
      <c r="ED800" s="346"/>
      <c r="EE800" s="346"/>
      <c r="EF800" s="346"/>
      <c r="EG800" s="346"/>
      <c r="EH800" s="346"/>
      <c r="EI800" s="346"/>
      <c r="EJ800" s="346"/>
      <c r="EK800" s="346"/>
      <c r="EL800" s="348"/>
      <c r="EM800" s="346"/>
      <c r="EN800" s="346"/>
      <c r="EO800" s="346"/>
      <c r="EP800" s="346"/>
      <c r="EQ800" s="346"/>
      <c r="ER800" s="346"/>
      <c r="ES800" s="346"/>
      <c r="ET800" s="346"/>
      <c r="EU800" s="346"/>
      <c r="EV800" s="346"/>
      <c r="EW800" s="346"/>
      <c r="EX800" s="348"/>
      <c r="EY800" s="346"/>
      <c r="EZ800" s="346"/>
      <c r="FA800" s="346"/>
      <c r="FB800" s="346"/>
      <c r="FC800" s="346"/>
      <c r="FD800" s="346"/>
      <c r="FE800" s="346"/>
      <c r="FF800" s="346"/>
      <c r="FG800" s="346"/>
      <c r="FH800" s="346"/>
      <c r="FI800" s="346"/>
      <c r="FJ800" s="348"/>
      <c r="FK800" s="346">
        <v>81.961157436999997</v>
      </c>
      <c r="FL800" s="346">
        <v>32.231215093000003</v>
      </c>
      <c r="FM800" s="346">
        <v>38.503959944000002</v>
      </c>
      <c r="FN800" s="346">
        <v>36.204567167</v>
      </c>
      <c r="FO800" s="346">
        <v>43.507878181000002</v>
      </c>
      <c r="FP800" s="346">
        <v>44.902980618000001</v>
      </c>
      <c r="FQ800" s="346">
        <v>30.637659040999999</v>
      </c>
      <c r="FR800" s="346">
        <v>52.207803991000006</v>
      </c>
      <c r="FS800" s="346">
        <v>33.192140019</v>
      </c>
      <c r="FT800" s="346">
        <v>42.673742615666661</v>
      </c>
      <c r="FU800" s="346">
        <v>53.367921292666665</v>
      </c>
      <c r="FV800" s="346">
        <v>30.473241539666667</v>
      </c>
      <c r="FW800" s="346">
        <v>47.608307402999998</v>
      </c>
      <c r="FX800" s="346">
        <v>49.866267618000002</v>
      </c>
      <c r="FY800" s="346">
        <v>48.145946479000003</v>
      </c>
      <c r="FZ800" s="346">
        <v>44.032927839999999</v>
      </c>
      <c r="GA800" s="346">
        <v>40.076464637999997</v>
      </c>
      <c r="GB800" s="346">
        <v>57.962242615000008</v>
      </c>
      <c r="GC800" s="346">
        <v>61.870047727999996</v>
      </c>
      <c r="GD800" s="346">
        <v>60.362746835999999</v>
      </c>
      <c r="GE800" s="346">
        <v>61.098362631000001</v>
      </c>
      <c r="GF800" s="346">
        <v>50.56239815433333</v>
      </c>
      <c r="GG800" s="346">
        <v>66.613034873333319</v>
      </c>
      <c r="GH800" s="346">
        <v>35.406809047993328</v>
      </c>
      <c r="GI800" s="1897">
        <f>GH800/GH795*GI795</f>
        <v>63.315470346478669</v>
      </c>
      <c r="GJ800" s="1897">
        <f t="shared" ref="GJ800:GM800" si="1255">GI800/GI795*GJ795</f>
        <v>61.79468559301533</v>
      </c>
      <c r="GK800" s="1897">
        <f>GJ800/GJ795*GK795</f>
        <v>68.472807422763253</v>
      </c>
      <c r="GL800" s="1897">
        <f>GK800/GK795*GL795</f>
        <v>77.911176864762012</v>
      </c>
      <c r="GM800" s="1897">
        <f t="shared" si="1255"/>
        <v>63.051436796978862</v>
      </c>
      <c r="GN800" s="1897">
        <f>GM800/GM795*GN795</f>
        <v>52.588284050683548</v>
      </c>
      <c r="GO800" s="1897">
        <v>80.329184199741931</v>
      </c>
      <c r="GP800" s="1897">
        <v>52.729687571944901</v>
      </c>
      <c r="GQ800" s="1897">
        <v>57.00291162264103</v>
      </c>
      <c r="GR800" s="1897">
        <v>145.12573419833842</v>
      </c>
      <c r="GS800" s="1897">
        <v>124.40529978484267</v>
      </c>
      <c r="GT800" s="1897">
        <v>70.315429400650288</v>
      </c>
      <c r="GU800" s="1897">
        <v>68.019836263000002</v>
      </c>
      <c r="GV800" s="1897">
        <v>77.914390959000002</v>
      </c>
      <c r="GW800" s="1897">
        <v>70.399929954000001</v>
      </c>
      <c r="GX800" s="1897">
        <v>54.054448450999999</v>
      </c>
      <c r="GY800" s="1897">
        <v>55.463675532999993</v>
      </c>
      <c r="GZ800" s="1897">
        <v>55.065857573000002</v>
      </c>
      <c r="HA800" s="1897">
        <v>82.585276563000008</v>
      </c>
      <c r="HB800" s="1897">
        <v>76.793276937000002</v>
      </c>
      <c r="HC800" s="1897">
        <v>64.503661109999996</v>
      </c>
      <c r="HD800" s="1897">
        <v>92.690899384000005</v>
      </c>
      <c r="HE800" s="1897">
        <v>92.963413351</v>
      </c>
      <c r="HF800" s="1897">
        <v>134.74191503700001</v>
      </c>
      <c r="HG800" s="1897">
        <v>75.629791687999997</v>
      </c>
      <c r="HH800" s="1897">
        <v>80.275456374000001</v>
      </c>
      <c r="HI800" s="1897">
        <v>84.427000796000002</v>
      </c>
      <c r="HJ800" s="1897">
        <v>84.859132312</v>
      </c>
      <c r="HK800" s="1897">
        <v>72.408947440999995</v>
      </c>
      <c r="HL800" s="1897">
        <v>64.123027028999999</v>
      </c>
      <c r="HM800" s="1897"/>
      <c r="HN800" s="349"/>
      <c r="HO800" s="1638" t="s">
        <v>3124</v>
      </c>
      <c r="HP800" s="302">
        <f>HP795-HP796</f>
        <v>137.76218409377998</v>
      </c>
      <c r="HQ800" s="302">
        <f>HQ795-HQ796</f>
        <v>127.72948958855999</v>
      </c>
      <c r="HR800" s="346">
        <f t="shared" si="1243"/>
        <v>265.49167368233998</v>
      </c>
      <c r="HS800" s="302">
        <f>HS795-HS796</f>
        <v>140.47786745433001</v>
      </c>
      <c r="HT800" s="302">
        <f>HT795-HT796</f>
        <v>171.94113737687999</v>
      </c>
      <c r="HU800" s="346">
        <f t="shared" si="1244"/>
        <v>312.41900483121003</v>
      </c>
      <c r="HV800" s="302">
        <f>HV795-HV796</f>
        <v>162.56412538724999</v>
      </c>
      <c r="HW800" s="302">
        <f>HW795-HW796</f>
        <v>177.04643123216007</v>
      </c>
      <c r="HX800" s="346">
        <f t="shared" si="1245"/>
        <v>339.61055661941009</v>
      </c>
      <c r="HY800" s="302">
        <f>HY795-HY796</f>
        <v>175.10626338494998</v>
      </c>
      <c r="HZ800" s="302">
        <f>HZ795-HZ796</f>
        <v>187.25616229895934</v>
      </c>
      <c r="IA800" s="346">
        <f t="shared" si="1246"/>
        <v>362.36242568390935</v>
      </c>
      <c r="IB800" s="302">
        <f>IB795-IB796</f>
        <v>179.05671353754002</v>
      </c>
      <c r="IC800" s="302">
        <f>IC795-IC796</f>
        <v>210.30466684023119</v>
      </c>
      <c r="ID800" s="346">
        <f t="shared" si="1247"/>
        <v>389.36138037777118</v>
      </c>
      <c r="IE800" s="302">
        <f>IE795-IE796</f>
        <v>201.08134778070001</v>
      </c>
      <c r="IF800" s="302">
        <f>IF795-IF796</f>
        <v>237.82821864480002</v>
      </c>
      <c r="IG800" s="346">
        <f t="shared" si="1248"/>
        <v>438.90956642550003</v>
      </c>
      <c r="IH800" s="302">
        <f>IH795-IH796</f>
        <v>265.79353657449002</v>
      </c>
      <c r="II800" s="302">
        <f>II795-II796</f>
        <v>199.55292914556003</v>
      </c>
      <c r="IJ800" s="346">
        <f t="shared" si="1249"/>
        <v>465.34646572005005</v>
      </c>
      <c r="IK800" s="350">
        <v>275.691249105</v>
      </c>
      <c r="IL800" s="350">
        <v>66.599999999999994</v>
      </c>
      <c r="IM800" s="346">
        <f t="shared" si="1183"/>
        <v>342.29124910500002</v>
      </c>
      <c r="IN800" s="350">
        <f t="shared" si="1231"/>
        <v>287.69215659300005</v>
      </c>
      <c r="IO800" s="350">
        <f t="shared" si="1232"/>
        <v>335.91339927065997</v>
      </c>
      <c r="IP800" s="346">
        <f t="shared" si="1066"/>
        <v>623.60555586366002</v>
      </c>
      <c r="IQ800" s="350">
        <f t="shared" si="1186"/>
        <v>387.1338610746817</v>
      </c>
      <c r="IR800" s="350">
        <f t="shared" si="1233"/>
        <v>529.9082467781592</v>
      </c>
      <c r="IS800" s="346">
        <f t="shared" si="1234"/>
        <v>917.0421078528409</v>
      </c>
      <c r="IT800" s="350">
        <f t="shared" si="1202"/>
        <v>380.91813873300003</v>
      </c>
      <c r="IU800" s="350">
        <f t="shared" si="1219"/>
        <v>544.27844238199998</v>
      </c>
      <c r="IV800" s="346">
        <f t="shared" si="1235"/>
        <v>925.19658111500007</v>
      </c>
      <c r="IW800" s="350">
        <f t="shared" ref="IW800:IW863" si="1256">SUM(HG800:HL800)</f>
        <v>461.72335564000002</v>
      </c>
      <c r="IX800" s="350">
        <f t="shared" si="1252"/>
        <v>524.6453885652428</v>
      </c>
      <c r="IY800" s="346">
        <f>FISC!AJ1116</f>
        <v>986.36874420524282</v>
      </c>
      <c r="IZ800" s="350">
        <f>JB800*0.55</f>
        <v>578.78217329219399</v>
      </c>
      <c r="JA800" s="302">
        <f t="shared" si="1236"/>
        <v>473.54905087543136</v>
      </c>
      <c r="JB800" s="346">
        <f>FISC!AK1116</f>
        <v>1052.3312241676254</v>
      </c>
      <c r="JC800" s="350">
        <f>JE800*0.553132120132523</f>
        <v>682.77225391958018</v>
      </c>
      <c r="JD800" s="302">
        <f t="shared" si="1210"/>
        <v>551.60237208477679</v>
      </c>
      <c r="JE800" s="346">
        <f>FISC!AL1116</f>
        <v>1234.374626004357</v>
      </c>
      <c r="JF800" s="350">
        <f>JH800*0.553132120132523</f>
        <v>810.29582604349764</v>
      </c>
      <c r="JG800" s="302">
        <f t="shared" si="1237"/>
        <v>654.62692306274073</v>
      </c>
      <c r="JH800" s="346">
        <f>FISC!AM1116</f>
        <v>1464.9227491062384</v>
      </c>
      <c r="JI800" s="350">
        <f>JK800*0.553132120132523</f>
        <v>915.34508314719938</v>
      </c>
      <c r="JJ800" s="302">
        <f t="shared" si="1238"/>
        <v>739.49478210578036</v>
      </c>
      <c r="JK800" s="346">
        <f>FISC!AN1116</f>
        <v>1654.8398652529797</v>
      </c>
      <c r="JL800" s="350">
        <f>JN800*0.553132120132523</f>
        <v>1030.6404436609528</v>
      </c>
      <c r="JM800" s="302">
        <f t="shared" si="1239"/>
        <v>832.64032805417582</v>
      </c>
      <c r="JN800" s="346">
        <f>FISC!AO1116</f>
        <v>1863.2807717151286</v>
      </c>
      <c r="KI800" s="349"/>
      <c r="KJ800" s="350"/>
    </row>
    <row r="801" spans="1:302" ht="15.5" hidden="1" outlineLevel="1" thickBot="1">
      <c r="A801" s="302"/>
      <c r="D801" s="1636" t="s">
        <v>586</v>
      </c>
      <c r="E801" s="346"/>
      <c r="F801" s="346"/>
      <c r="G801" s="346"/>
      <c r="H801" s="346"/>
      <c r="I801" s="346"/>
      <c r="J801" s="346"/>
      <c r="K801" s="346"/>
      <c r="L801" s="346"/>
      <c r="M801" s="346"/>
      <c r="N801" s="346"/>
      <c r="O801" s="346"/>
      <c r="P801" s="346"/>
      <c r="Q801" s="346"/>
      <c r="R801" s="346"/>
      <c r="S801" s="346"/>
      <c r="T801" s="346"/>
      <c r="U801" s="346"/>
      <c r="V801" s="346"/>
      <c r="W801" s="346"/>
      <c r="X801" s="346"/>
      <c r="Y801" s="346"/>
      <c r="Z801" s="346"/>
      <c r="AA801" s="346"/>
      <c r="AB801" s="346"/>
      <c r="AC801" s="346"/>
      <c r="AD801" s="346"/>
      <c r="AE801" s="346"/>
      <c r="AF801" s="346"/>
      <c r="AG801" s="346"/>
      <c r="AH801" s="346"/>
      <c r="AI801" s="346"/>
      <c r="AJ801" s="346"/>
      <c r="AK801" s="346"/>
      <c r="AL801" s="346"/>
      <c r="AM801" s="346"/>
      <c r="AN801" s="346"/>
      <c r="AO801" s="346"/>
      <c r="AP801" s="346"/>
      <c r="AQ801" s="346"/>
      <c r="AR801" s="346"/>
      <c r="AS801" s="346"/>
      <c r="AT801" s="346"/>
      <c r="AU801" s="346"/>
      <c r="AV801" s="346"/>
      <c r="AW801" s="346"/>
      <c r="AX801" s="346"/>
      <c r="AY801" s="346"/>
      <c r="AZ801" s="346"/>
      <c r="BA801" s="346"/>
      <c r="BB801" s="346"/>
      <c r="BC801" s="346"/>
      <c r="BD801" s="346"/>
      <c r="BE801" s="346"/>
      <c r="BF801" s="346"/>
      <c r="BG801" s="346"/>
      <c r="BH801" s="346"/>
      <c r="BI801" s="346"/>
      <c r="BJ801" s="346"/>
      <c r="BK801" s="346"/>
      <c r="BL801" s="346"/>
      <c r="BM801" s="346"/>
      <c r="BN801" s="346"/>
      <c r="BO801" s="346"/>
      <c r="BP801" s="346"/>
      <c r="BQ801" s="346"/>
      <c r="BR801" s="346"/>
      <c r="BS801" s="346"/>
      <c r="BT801" s="346"/>
      <c r="BU801" s="346"/>
      <c r="BV801" s="346"/>
      <c r="BW801" s="346"/>
      <c r="BX801" s="346"/>
      <c r="BY801" s="346"/>
      <c r="BZ801" s="346"/>
      <c r="CA801" s="346"/>
      <c r="CB801" s="346"/>
      <c r="CC801" s="346"/>
      <c r="CD801" s="352"/>
      <c r="CE801" s="346">
        <v>0</v>
      </c>
      <c r="CF801" s="346">
        <v>0</v>
      </c>
      <c r="CG801" s="346">
        <v>0</v>
      </c>
      <c r="CH801" s="346">
        <v>0</v>
      </c>
      <c r="CI801" s="346">
        <v>0</v>
      </c>
      <c r="CJ801" s="346">
        <v>0</v>
      </c>
      <c r="CK801" s="346">
        <v>0</v>
      </c>
      <c r="CL801" s="346">
        <v>0</v>
      </c>
      <c r="CM801" s="346">
        <v>0</v>
      </c>
      <c r="CN801" s="346">
        <v>0</v>
      </c>
      <c r="CO801" s="346">
        <v>0</v>
      </c>
      <c r="CP801" s="348">
        <v>0</v>
      </c>
      <c r="CQ801" s="346"/>
      <c r="CR801" s="346"/>
      <c r="CS801" s="346"/>
      <c r="CT801" s="346"/>
      <c r="CU801" s="346"/>
      <c r="CV801" s="346"/>
      <c r="CW801" s="346"/>
      <c r="CX801" s="346"/>
      <c r="CY801" s="346"/>
      <c r="CZ801" s="346"/>
      <c r="DA801" s="346"/>
      <c r="DB801" s="1479"/>
      <c r="DC801" s="346"/>
      <c r="DD801" s="346"/>
      <c r="DE801" s="346"/>
      <c r="DF801" s="346"/>
      <c r="DG801" s="346"/>
      <c r="DH801" s="346"/>
      <c r="DI801" s="346"/>
      <c r="DJ801" s="346"/>
      <c r="DK801" s="346"/>
      <c r="DL801" s="346"/>
      <c r="DM801" s="346"/>
      <c r="DN801" s="348"/>
      <c r="DO801" s="346"/>
      <c r="DP801" s="346"/>
      <c r="DQ801" s="346"/>
      <c r="DR801" s="346"/>
      <c r="DS801" s="346"/>
      <c r="DT801" s="346"/>
      <c r="DU801" s="346"/>
      <c r="DV801" s="346"/>
      <c r="DW801" s="346"/>
      <c r="DX801" s="346"/>
      <c r="DY801" s="346"/>
      <c r="DZ801" s="348"/>
      <c r="EA801" s="346"/>
      <c r="EB801" s="346"/>
      <c r="EC801" s="346"/>
      <c r="ED801" s="346"/>
      <c r="EE801" s="346"/>
      <c r="EF801" s="346"/>
      <c r="EG801" s="346"/>
      <c r="EH801" s="346"/>
      <c r="EI801" s="346"/>
      <c r="EJ801" s="346"/>
      <c r="EK801" s="346"/>
      <c r="EL801" s="348"/>
      <c r="EM801" s="346"/>
      <c r="EN801" s="346"/>
      <c r="EO801" s="346"/>
      <c r="EP801" s="346"/>
      <c r="EQ801" s="346"/>
      <c r="ER801" s="346"/>
      <c r="ES801" s="346"/>
      <c r="ET801" s="346"/>
      <c r="EU801" s="346"/>
      <c r="EV801" s="346"/>
      <c r="EW801" s="346"/>
      <c r="EX801" s="348"/>
      <c r="EY801" s="346"/>
      <c r="EZ801" s="346"/>
      <c r="FA801" s="346"/>
      <c r="FB801" s="346"/>
      <c r="FC801" s="346"/>
      <c r="FD801" s="346"/>
      <c r="FE801" s="346"/>
      <c r="FF801" s="346"/>
      <c r="FG801" s="346"/>
      <c r="FH801" s="346"/>
      <c r="FI801" s="346"/>
      <c r="FJ801" s="346"/>
      <c r="FK801" s="1863">
        <v>21.013475028999999</v>
      </c>
      <c r="FL801" s="1864">
        <v>15.359581321</v>
      </c>
      <c r="FM801" s="1864">
        <v>28.156760133999999</v>
      </c>
      <c r="FN801" s="1864">
        <v>20.497816748999998</v>
      </c>
      <c r="FO801" s="1864">
        <v>25.275483776000002</v>
      </c>
      <c r="FP801" s="1864">
        <v>26.235161446999999</v>
      </c>
      <c r="FQ801" s="1864">
        <v>15.928431709</v>
      </c>
      <c r="FR801" s="1864">
        <v>35.645222158999999</v>
      </c>
      <c r="FS801" s="1864">
        <v>24.373610070000002</v>
      </c>
      <c r="FT801" s="1864">
        <v>27.144436080999998</v>
      </c>
      <c r="FU801" s="1864">
        <v>34.213692524999999</v>
      </c>
      <c r="FV801" s="1865">
        <v>19.364294269999998</v>
      </c>
      <c r="FW801" s="1865">
        <v>29.781235358</v>
      </c>
      <c r="FX801" s="1865">
        <v>36.793182447</v>
      </c>
      <c r="FY801" s="1865">
        <v>34.093462453000001</v>
      </c>
      <c r="FZ801" s="1865">
        <v>31.306597431</v>
      </c>
      <c r="GA801" s="1865">
        <v>30.761781915999997</v>
      </c>
      <c r="GB801" s="1865">
        <v>44.081339828000004</v>
      </c>
      <c r="GC801" s="1865">
        <v>49.436025641999997</v>
      </c>
      <c r="GD801" s="1865">
        <v>47.410516025</v>
      </c>
      <c r="GE801" s="1865">
        <v>53.783933732000001</v>
      </c>
      <c r="GF801" s="1865">
        <v>40.624879982333326</v>
      </c>
      <c r="GG801" s="1865">
        <v>56.515140672333317</v>
      </c>
      <c r="GH801" s="1865">
        <v>33.594453238993324</v>
      </c>
      <c r="GI801" s="1897">
        <f>GI800-GI804</f>
        <v>45.013457499478669</v>
      </c>
      <c r="GJ801" s="1897">
        <f t="shared" ref="GJ801:GK801" si="1257">GJ800-GJ804</f>
        <v>49.620369932015329</v>
      </c>
      <c r="GK801" s="1897">
        <f t="shared" si="1257"/>
        <v>46.370719951763249</v>
      </c>
      <c r="GL801" s="1897">
        <v>65.844789846095338</v>
      </c>
      <c r="GM801" s="1897">
        <v>49.375770024312182</v>
      </c>
      <c r="GN801" s="1897">
        <v>33.954399937016873</v>
      </c>
      <c r="GO801" s="1897">
        <v>61.079093148709482</v>
      </c>
      <c r="GP801" s="1897">
        <v>33.765329866053001</v>
      </c>
      <c r="GQ801" s="1897">
        <v>34.389260875581215</v>
      </c>
      <c r="GR801" s="1897">
        <v>97.794277297681461</v>
      </c>
      <c r="GS801" s="1897">
        <v>108.82744907665959</v>
      </c>
      <c r="GT801" s="1897">
        <v>70.229227827890327</v>
      </c>
      <c r="GU801" s="1897">
        <v>45.722296176</v>
      </c>
      <c r="GV801" s="1897">
        <v>41.990718362999999</v>
      </c>
      <c r="GW801" s="1897">
        <v>59.900200235</v>
      </c>
      <c r="GX801" s="1897">
        <v>43.570037036999999</v>
      </c>
      <c r="GY801" s="1897">
        <v>47.172167208999994</v>
      </c>
      <c r="GZ801" s="1897">
        <v>45.029397557999999</v>
      </c>
      <c r="HA801" s="1897">
        <v>62.350099483000001</v>
      </c>
      <c r="HB801" s="1897">
        <v>58.620192950000003</v>
      </c>
      <c r="HC801" s="1897">
        <v>48.328629614</v>
      </c>
      <c r="HD801" s="1897">
        <v>60.701139401000006</v>
      </c>
      <c r="HE801" s="1897">
        <v>55.675628447999998</v>
      </c>
      <c r="HF801" s="1897">
        <v>134.66983843700001</v>
      </c>
      <c r="HG801" s="1897">
        <v>56.194506648000001</v>
      </c>
      <c r="HH801" s="1897">
        <v>53.497334382000012</v>
      </c>
      <c r="HI801" s="1897">
        <v>58.446258956999998</v>
      </c>
      <c r="HJ801" s="1897">
        <v>73.752120038000001</v>
      </c>
      <c r="HK801" s="1897">
        <v>63.112744493999998</v>
      </c>
      <c r="HL801" s="1897">
        <v>60.729562366000003</v>
      </c>
      <c r="HM801" s="1897"/>
      <c r="HN801" s="349"/>
      <c r="HO801" s="1636" t="s">
        <v>586</v>
      </c>
      <c r="HP801" s="302">
        <f>HP800*77%</f>
        <v>106.07688175221058</v>
      </c>
      <c r="HQ801" s="302">
        <f>HQ800*77%</f>
        <v>98.351706983191193</v>
      </c>
      <c r="HR801" s="346">
        <f t="shared" si="1243"/>
        <v>204.42858873540177</v>
      </c>
      <c r="HS801" s="302">
        <f>HS800*77%</f>
        <v>108.16795793983411</v>
      </c>
      <c r="HT801" s="302">
        <f>HT800*77%</f>
        <v>132.39467578019759</v>
      </c>
      <c r="HU801" s="346">
        <f t="shared" si="1244"/>
        <v>240.5626337200317</v>
      </c>
      <c r="HV801" s="302">
        <f>HV800*77%</f>
        <v>125.17437654818249</v>
      </c>
      <c r="HW801" s="302">
        <f>HW800*77%</f>
        <v>136.32575204876326</v>
      </c>
      <c r="HX801" s="346">
        <f t="shared" si="1245"/>
        <v>261.50012859694573</v>
      </c>
      <c r="HY801" s="302">
        <f>HY800*77%</f>
        <v>134.83182280641148</v>
      </c>
      <c r="HZ801" s="302">
        <f>HZ800*77%</f>
        <v>144.18724497019869</v>
      </c>
      <c r="IA801" s="346">
        <f t="shared" si="1246"/>
        <v>279.0190677766102</v>
      </c>
      <c r="IB801" s="302">
        <f>IB800*77%</f>
        <v>137.87366942390582</v>
      </c>
      <c r="IC801" s="302">
        <f>IC800*77%</f>
        <v>161.93459346697801</v>
      </c>
      <c r="ID801" s="346">
        <f t="shared" si="1247"/>
        <v>299.80826289088384</v>
      </c>
      <c r="IE801" s="302">
        <f>IE800*77%</f>
        <v>154.83263779113901</v>
      </c>
      <c r="IF801" s="302">
        <f>IF800*77%</f>
        <v>183.12772835649602</v>
      </c>
      <c r="IG801" s="346">
        <f t="shared" si="1248"/>
        <v>337.960366147635</v>
      </c>
      <c r="IH801" s="302">
        <f>IH800*77%</f>
        <v>204.66102316235731</v>
      </c>
      <c r="II801" s="302">
        <f>II800*77%</f>
        <v>153.65575544208122</v>
      </c>
      <c r="IJ801" s="346">
        <f t="shared" si="1249"/>
        <v>358.31677860443853</v>
      </c>
      <c r="IK801" s="350">
        <v>162.903540749</v>
      </c>
      <c r="IL801" s="350">
        <f>SUM(FQ801:FV801)</f>
        <v>156.66968681399999</v>
      </c>
      <c r="IM801" s="346">
        <f t="shared" si="1183"/>
        <v>319.57322756299999</v>
      </c>
      <c r="IN801" s="350">
        <f t="shared" si="1231"/>
        <v>206.817599433</v>
      </c>
      <c r="IO801" s="350">
        <f t="shared" si="1232"/>
        <v>281.36494929265996</v>
      </c>
      <c r="IP801" s="346">
        <f t="shared" si="1066"/>
        <v>488.18254872565996</v>
      </c>
      <c r="IQ801" s="350">
        <f t="shared" si="1186"/>
        <v>290.1795071906817</v>
      </c>
      <c r="IR801" s="350">
        <f t="shared" si="1233"/>
        <v>406.08463809257506</v>
      </c>
      <c r="IS801" s="346">
        <f t="shared" si="1234"/>
        <v>696.26414528325677</v>
      </c>
      <c r="IT801" s="350">
        <f t="shared" si="1202"/>
        <v>283.38481657800003</v>
      </c>
      <c r="IU801" s="350">
        <f t="shared" si="1219"/>
        <v>420.345528333</v>
      </c>
      <c r="IV801" s="346">
        <f t="shared" si="1235"/>
        <v>703.73034491099997</v>
      </c>
      <c r="IW801" s="350">
        <f t="shared" si="1256"/>
        <v>365.73252688499997</v>
      </c>
      <c r="IX801" s="350">
        <f t="shared" si="1252"/>
        <v>401.49564719005605</v>
      </c>
      <c r="IY801" s="346">
        <f>FISC!AJ1117</f>
        <v>767.22817407505602</v>
      </c>
      <c r="IZ801" s="350">
        <f>JB801*0.55</f>
        <v>447.30532995493712</v>
      </c>
      <c r="JA801" s="302">
        <f t="shared" si="1236"/>
        <v>365.97708814494848</v>
      </c>
      <c r="JB801" s="346">
        <f>FISC!AK1117</f>
        <v>813.2824180998856</v>
      </c>
      <c r="JC801" s="350">
        <f>JE801*0.554082637682918</f>
        <v>526.37868486316643</v>
      </c>
      <c r="JD801" s="302">
        <f t="shared" si="1210"/>
        <v>423.62163830955569</v>
      </c>
      <c r="JE801" s="346">
        <f>FISC!AL1117</f>
        <v>950.00032317272212</v>
      </c>
      <c r="JF801" s="350">
        <f>JH801*0.554082637682918</f>
        <v>607.82889344252794</v>
      </c>
      <c r="JG801" s="302">
        <f t="shared" si="1237"/>
        <v>489.17153953326056</v>
      </c>
      <c r="JH801" s="346">
        <f>FISC!AM1117</f>
        <v>1097.0004329757885</v>
      </c>
      <c r="JI801" s="350">
        <f>JK801*0.554082637682918</f>
        <v>686.88599079936466</v>
      </c>
      <c r="JJ801" s="302">
        <f t="shared" si="1238"/>
        <v>552.79550088535643</v>
      </c>
      <c r="JK801" s="346">
        <f>FISC!AN1117</f>
        <v>1239.6814916847211</v>
      </c>
      <c r="JL801" s="350">
        <f>JN801*0.554082637682918</f>
        <v>773.57444542755127</v>
      </c>
      <c r="JM801" s="302">
        <f t="shared" si="1239"/>
        <v>622.56106364111713</v>
      </c>
      <c r="JN801" s="346">
        <f>FISC!AO1117</f>
        <v>1396.1355090686684</v>
      </c>
      <c r="KI801" s="349"/>
      <c r="KJ801" s="350"/>
    </row>
    <row r="802" spans="1:302" hidden="1" outlineLevel="1">
      <c r="A802" s="302"/>
      <c r="D802" s="1635" t="s">
        <v>3197</v>
      </c>
      <c r="E802" s="346"/>
      <c r="F802" s="346"/>
      <c r="G802" s="346"/>
      <c r="H802" s="346"/>
      <c r="I802" s="346"/>
      <c r="J802" s="346"/>
      <c r="K802" s="346"/>
      <c r="L802" s="346"/>
      <c r="M802" s="346"/>
      <c r="N802" s="346"/>
      <c r="O802" s="346"/>
      <c r="P802" s="346"/>
      <c r="Q802" s="346"/>
      <c r="R802" s="346"/>
      <c r="S802" s="346"/>
      <c r="T802" s="346"/>
      <c r="U802" s="346"/>
      <c r="V802" s="346"/>
      <c r="W802" s="346"/>
      <c r="X802" s="346"/>
      <c r="Y802" s="346"/>
      <c r="Z802" s="346"/>
      <c r="AA802" s="346"/>
      <c r="AB802" s="346"/>
      <c r="AC802" s="346"/>
      <c r="AD802" s="346"/>
      <c r="AE802" s="346"/>
      <c r="AF802" s="346"/>
      <c r="AG802" s="346"/>
      <c r="AH802" s="346"/>
      <c r="AI802" s="346"/>
      <c r="AJ802" s="346"/>
      <c r="AK802" s="346"/>
      <c r="AL802" s="346"/>
      <c r="AM802" s="346"/>
      <c r="AN802" s="346"/>
      <c r="AO802" s="346"/>
      <c r="AP802" s="346"/>
      <c r="AQ802" s="346"/>
      <c r="AR802" s="346"/>
      <c r="AS802" s="346"/>
      <c r="AT802" s="346"/>
      <c r="AU802" s="346"/>
      <c r="AV802" s="346"/>
      <c r="AW802" s="346"/>
      <c r="AX802" s="346"/>
      <c r="AY802" s="346"/>
      <c r="AZ802" s="346"/>
      <c r="BA802" s="346"/>
      <c r="BB802" s="346"/>
      <c r="BC802" s="346"/>
      <c r="BD802" s="346"/>
      <c r="BE802" s="346"/>
      <c r="BF802" s="346"/>
      <c r="BG802" s="346"/>
      <c r="BH802" s="346"/>
      <c r="BI802" s="346"/>
      <c r="BJ802" s="346"/>
      <c r="BK802" s="346"/>
      <c r="BL802" s="346"/>
      <c r="BM802" s="346"/>
      <c r="BN802" s="346"/>
      <c r="BO802" s="346"/>
      <c r="BP802" s="346"/>
      <c r="BQ802" s="346"/>
      <c r="BR802" s="346"/>
      <c r="BS802" s="346"/>
      <c r="BT802" s="346"/>
      <c r="BU802" s="346"/>
      <c r="BV802" s="346"/>
      <c r="BW802" s="346"/>
      <c r="BX802" s="346"/>
      <c r="BY802" s="346"/>
      <c r="BZ802" s="346"/>
      <c r="CA802" s="346"/>
      <c r="CB802" s="346"/>
      <c r="CC802" s="346"/>
      <c r="CD802" s="352"/>
      <c r="CE802" s="346"/>
      <c r="CF802" s="346"/>
      <c r="CG802" s="346"/>
      <c r="CH802" s="346"/>
      <c r="CI802" s="346"/>
      <c r="CJ802" s="346"/>
      <c r="CK802" s="346"/>
      <c r="CL802" s="346"/>
      <c r="CM802" s="346"/>
      <c r="CN802" s="346"/>
      <c r="CO802" s="346"/>
      <c r="CP802" s="348"/>
      <c r="CQ802" s="346"/>
      <c r="CR802" s="346"/>
      <c r="CS802" s="346"/>
      <c r="CT802" s="346"/>
      <c r="CU802" s="346"/>
      <c r="CV802" s="346"/>
      <c r="CW802" s="346"/>
      <c r="CX802" s="346"/>
      <c r="CY802" s="346"/>
      <c r="CZ802" s="346"/>
      <c r="DA802" s="346"/>
      <c r="DB802" s="1479"/>
      <c r="DC802" s="346"/>
      <c r="DD802" s="346"/>
      <c r="DE802" s="346"/>
      <c r="DF802" s="346"/>
      <c r="DG802" s="346"/>
      <c r="DH802" s="346"/>
      <c r="DI802" s="346"/>
      <c r="DJ802" s="346"/>
      <c r="DK802" s="346"/>
      <c r="DL802" s="346"/>
      <c r="DM802" s="346"/>
      <c r="DN802" s="348"/>
      <c r="DO802" s="346"/>
      <c r="DP802" s="346"/>
      <c r="DQ802" s="346"/>
      <c r="DR802" s="346"/>
      <c r="DS802" s="346"/>
      <c r="DT802" s="346"/>
      <c r="DU802" s="346"/>
      <c r="DV802" s="346"/>
      <c r="DW802" s="346"/>
      <c r="DX802" s="346"/>
      <c r="DY802" s="346"/>
      <c r="DZ802" s="348"/>
      <c r="EA802" s="346"/>
      <c r="EB802" s="346"/>
      <c r="EC802" s="346"/>
      <c r="ED802" s="346"/>
      <c r="EE802" s="346"/>
      <c r="EF802" s="346"/>
      <c r="EG802" s="346"/>
      <c r="EH802" s="346"/>
      <c r="EI802" s="346"/>
      <c r="EJ802" s="346"/>
      <c r="EK802" s="346"/>
      <c r="EL802" s="348"/>
      <c r="EM802" s="346"/>
      <c r="EN802" s="346"/>
      <c r="EO802" s="346"/>
      <c r="EP802" s="346"/>
      <c r="EQ802" s="346"/>
      <c r="ER802" s="346"/>
      <c r="ES802" s="346"/>
      <c r="ET802" s="346"/>
      <c r="EU802" s="346"/>
      <c r="EV802" s="346"/>
      <c r="EW802" s="346"/>
      <c r="EX802" s="348"/>
      <c r="EY802" s="346"/>
      <c r="EZ802" s="346"/>
      <c r="FA802" s="346"/>
      <c r="FB802" s="346"/>
      <c r="FC802" s="346"/>
      <c r="FD802" s="346"/>
      <c r="FE802" s="346"/>
      <c r="FF802" s="346"/>
      <c r="FG802" s="346"/>
      <c r="FH802" s="346"/>
      <c r="FI802" s="346"/>
      <c r="FJ802" s="348"/>
      <c r="FK802" s="346">
        <v>17.482311929000002</v>
      </c>
      <c r="FL802" s="346">
        <v>11.107099948</v>
      </c>
      <c r="FM802" s="346">
        <v>23.679509856999999</v>
      </c>
      <c r="FN802" s="346">
        <v>17.293242465999999</v>
      </c>
      <c r="FO802" s="346">
        <v>22.692469431999999</v>
      </c>
      <c r="FP802" s="346">
        <v>19.269962512999999</v>
      </c>
      <c r="FQ802" s="346">
        <v>12.758703525</v>
      </c>
      <c r="FR802" s="346">
        <v>24.922946290999999</v>
      </c>
      <c r="FS802" s="346">
        <v>20.048546124000001</v>
      </c>
      <c r="FT802" s="346">
        <v>21.973771252999999</v>
      </c>
      <c r="FU802" s="346">
        <v>23.041330871</v>
      </c>
      <c r="FV802" s="346">
        <v>18.024937914999999</v>
      </c>
      <c r="FW802" s="346">
        <v>22.100498948999999</v>
      </c>
      <c r="FX802" s="346">
        <v>24.565963848999999</v>
      </c>
      <c r="FY802" s="346">
        <v>23.576615412999999</v>
      </c>
      <c r="FZ802" s="346">
        <v>23.594416938999998</v>
      </c>
      <c r="GA802" s="346">
        <v>23.165967116000001</v>
      </c>
      <c r="GB802" s="346">
        <v>21.417965687999999</v>
      </c>
      <c r="GC802" s="346">
        <v>26.446485598999999</v>
      </c>
      <c r="GD802" s="346">
        <v>24.253297138000001</v>
      </c>
      <c r="GE802" s="346">
        <v>24.832493839000001</v>
      </c>
      <c r="GF802" s="346">
        <v>33.262776429333329</v>
      </c>
      <c r="GG802" s="346">
        <v>32.914308960333329</v>
      </c>
      <c r="GH802" s="346">
        <v>28.011158680333327</v>
      </c>
      <c r="GI802" s="1897">
        <v>24.112011126999999</v>
      </c>
      <c r="GJ802" s="1897">
        <v>30.688406675</v>
      </c>
      <c r="GK802" s="1897">
        <v>38.752014398999997</v>
      </c>
      <c r="GL802" s="1897">
        <v>26.683033745333333</v>
      </c>
      <c r="GM802" s="1897">
        <v>42.554643577613213</v>
      </c>
      <c r="GN802" s="1897">
        <v>29.696257655678231</v>
      </c>
      <c r="GO802" s="1897">
        <v>26.693782936018216</v>
      </c>
      <c r="GP802" s="1897">
        <v>26.59898166045965</v>
      </c>
      <c r="GQ802" s="1897">
        <v>27.663310263398909</v>
      </c>
      <c r="GR802" s="1897">
        <v>55.600319948377077</v>
      </c>
      <c r="GS802" s="1897">
        <v>54.053561318717733</v>
      </c>
      <c r="GT802" s="1897">
        <v>51.955715162471257</v>
      </c>
      <c r="GU802" s="1897">
        <v>44.490954549999998</v>
      </c>
      <c r="GV802" s="1897">
        <v>40.536396447000001</v>
      </c>
      <c r="GW802" s="1897">
        <v>46.101277069000005</v>
      </c>
      <c r="GX802" s="1897">
        <v>36.666316277</v>
      </c>
      <c r="GY802" s="1897">
        <v>43.568330525</v>
      </c>
      <c r="GZ802" s="1897">
        <v>40.251576471</v>
      </c>
      <c r="HA802" s="1897">
        <v>40.073467524000002</v>
      </c>
      <c r="HB802" s="1897">
        <v>40.629131823999998</v>
      </c>
      <c r="HC802" s="1897">
        <v>35.057675195999998</v>
      </c>
      <c r="HD802" s="1897">
        <v>49.377102291</v>
      </c>
      <c r="HE802" s="1897">
        <v>44.041375311000003</v>
      </c>
      <c r="HF802" s="1897">
        <v>42.247151621999997</v>
      </c>
      <c r="HG802" s="1897">
        <v>46.235886852</v>
      </c>
      <c r="HH802" s="1897">
        <v>48.572149047000003</v>
      </c>
      <c r="HI802" s="1897">
        <v>47.741308574000001</v>
      </c>
      <c r="HJ802" s="1897">
        <v>42.699416268999997</v>
      </c>
      <c r="HK802" s="1897">
        <v>42.190504504000003</v>
      </c>
      <c r="HL802" s="1897">
        <v>57.727348865000003</v>
      </c>
      <c r="HM802" s="1897"/>
      <c r="HN802" s="349"/>
      <c r="HO802" s="1635" t="s">
        <v>3197</v>
      </c>
      <c r="HP802" s="302">
        <f>HP801*70%</f>
        <v>74.253817226547397</v>
      </c>
      <c r="HQ802" s="302">
        <f>HQ801*70%</f>
        <v>68.846194888233825</v>
      </c>
      <c r="HR802" s="346">
        <f t="shared" si="1243"/>
        <v>143.10001211478124</v>
      </c>
      <c r="HS802" s="302">
        <f>HS801*70%</f>
        <v>75.717570557883874</v>
      </c>
      <c r="HT802" s="302">
        <f>HT801*70%</f>
        <v>92.676273046138306</v>
      </c>
      <c r="HU802" s="346">
        <f t="shared" si="1244"/>
        <v>168.39384360402218</v>
      </c>
      <c r="HV802" s="302">
        <f>HV801*70%</f>
        <v>87.622063583727737</v>
      </c>
      <c r="HW802" s="302">
        <f>HW801*70%</f>
        <v>95.428026434134281</v>
      </c>
      <c r="HX802" s="346">
        <f t="shared" si="1245"/>
        <v>183.05009001786203</v>
      </c>
      <c r="HY802" s="302">
        <f>HY801*70%</f>
        <v>94.382275964488031</v>
      </c>
      <c r="HZ802" s="302">
        <f>HZ801*70%</f>
        <v>100.93107147913908</v>
      </c>
      <c r="IA802" s="346">
        <f t="shared" si="1246"/>
        <v>195.31334744362709</v>
      </c>
      <c r="IB802" s="302">
        <f>IB801*70%</f>
        <v>96.511568596734065</v>
      </c>
      <c r="IC802" s="302">
        <f>IC801*70%</f>
        <v>113.35421542688461</v>
      </c>
      <c r="ID802" s="346">
        <f t="shared" si="1247"/>
        <v>209.86578402361869</v>
      </c>
      <c r="IE802" s="302">
        <f>IE801*70%</f>
        <v>108.3828464537973</v>
      </c>
      <c r="IF802" s="302">
        <f>IF801*70%</f>
        <v>128.18940984954722</v>
      </c>
      <c r="IG802" s="346">
        <f t="shared" si="1248"/>
        <v>236.57225630334452</v>
      </c>
      <c r="IH802" s="302">
        <f>IH801*70%</f>
        <v>143.26271621365009</v>
      </c>
      <c r="II802" s="302">
        <f>II801*70%</f>
        <v>107.55902880945685</v>
      </c>
      <c r="IJ802" s="346">
        <f t="shared" si="1249"/>
        <v>250.82174502310693</v>
      </c>
      <c r="IK802" s="350">
        <v>111.524596145</v>
      </c>
      <c r="IL802" s="350">
        <f>SUM(FQ802:FV802)</f>
        <v>120.77023597899999</v>
      </c>
      <c r="IM802" s="346">
        <f t="shared" si="1183"/>
        <v>232.29483212399998</v>
      </c>
      <c r="IN802" s="350">
        <f t="shared" si="1231"/>
        <v>138.42142795399999</v>
      </c>
      <c r="IO802" s="350">
        <f t="shared" si="1232"/>
        <v>169.72052064599998</v>
      </c>
      <c r="IP802" s="346">
        <f t="shared" si="1066"/>
        <v>308.14194859999998</v>
      </c>
      <c r="IQ802" s="350">
        <f t="shared" si="1186"/>
        <v>192.48636717962478</v>
      </c>
      <c r="IR802" s="350">
        <f t="shared" si="1233"/>
        <v>242.56567128944283</v>
      </c>
      <c r="IS802" s="346">
        <f t="shared" si="1234"/>
        <v>435.05203846906761</v>
      </c>
      <c r="IT802" s="350">
        <f t="shared" si="1202"/>
        <v>251.61485133899998</v>
      </c>
      <c r="IU802" s="350">
        <f t="shared" si="1219"/>
        <v>251.42590376799998</v>
      </c>
      <c r="IV802" s="346">
        <f t="shared" si="1235"/>
        <v>503.040755107</v>
      </c>
      <c r="IW802" s="350">
        <f t="shared" si="1256"/>
        <v>285.166614111</v>
      </c>
      <c r="IX802" s="350">
        <f t="shared" si="1252"/>
        <v>294.81028156327051</v>
      </c>
      <c r="IY802" s="346">
        <f>FISC!AJ1118</f>
        <v>579.97689567427051</v>
      </c>
      <c r="IZ802" s="350">
        <f>JB802*0.5</f>
        <v>350.12476300926727</v>
      </c>
      <c r="JA802" s="302">
        <f t="shared" si="1236"/>
        <v>350.12476300926727</v>
      </c>
      <c r="JB802" s="346">
        <f>FISC!AK1118</f>
        <v>700.24952601853454</v>
      </c>
      <c r="JC802" s="350">
        <f>JE802*0.5</f>
        <v>394.55323042520081</v>
      </c>
      <c r="JD802" s="302">
        <f t="shared" si="1210"/>
        <v>394.55323042520081</v>
      </c>
      <c r="JE802" s="346">
        <f>FISC!AL1118</f>
        <v>789.10646085040162</v>
      </c>
      <c r="JF802" s="350">
        <f>JH802*0.5</f>
        <v>448.13078768075644</v>
      </c>
      <c r="JG802" s="302">
        <f t="shared" si="1237"/>
        <v>448.13078768075644</v>
      </c>
      <c r="JH802" s="346">
        <f>FISC!AM1118</f>
        <v>896.26157536151288</v>
      </c>
      <c r="JI802" s="350">
        <f>JK802*0.5</f>
        <v>507.39740147508417</v>
      </c>
      <c r="JJ802" s="302">
        <f t="shared" si="1238"/>
        <v>507.39740147508417</v>
      </c>
      <c r="JK802" s="346">
        <f>FISC!AN1118</f>
        <v>1014.7948029501683</v>
      </c>
      <c r="JL802" s="350">
        <f>JN802*0.5</f>
        <v>544.91285413808657</v>
      </c>
      <c r="JM802" s="302">
        <f t="shared" si="1239"/>
        <v>544.91285413808657</v>
      </c>
      <c r="JN802" s="346">
        <f>FISC!AO1118</f>
        <v>1089.8257082761731</v>
      </c>
      <c r="KI802" s="349"/>
      <c r="KJ802" s="350"/>
    </row>
    <row r="803" spans="1:302" ht="15.5" hidden="1" outlineLevel="1" thickBot="1">
      <c r="A803" s="302"/>
      <c r="D803" s="1635" t="str">
        <f>FISC!D1119</f>
        <v>o/w Refugees integration spending</v>
      </c>
      <c r="E803" s="346"/>
      <c r="F803" s="346"/>
      <c r="G803" s="346"/>
      <c r="H803" s="346"/>
      <c r="I803" s="346"/>
      <c r="J803" s="346"/>
      <c r="K803" s="346"/>
      <c r="L803" s="346"/>
      <c r="M803" s="346"/>
      <c r="N803" s="346"/>
      <c r="O803" s="346"/>
      <c r="P803" s="346"/>
      <c r="Q803" s="346"/>
      <c r="R803" s="346"/>
      <c r="S803" s="346"/>
      <c r="T803" s="346"/>
      <c r="U803" s="346"/>
      <c r="V803" s="346"/>
      <c r="W803" s="346"/>
      <c r="X803" s="346"/>
      <c r="Y803" s="346"/>
      <c r="Z803" s="346"/>
      <c r="AA803" s="346"/>
      <c r="AB803" s="346"/>
      <c r="AC803" s="346"/>
      <c r="AD803" s="346"/>
      <c r="AE803" s="346"/>
      <c r="AF803" s="346"/>
      <c r="AG803" s="346"/>
      <c r="AH803" s="346"/>
      <c r="AI803" s="346"/>
      <c r="AJ803" s="346"/>
      <c r="AK803" s="346"/>
      <c r="AL803" s="346"/>
      <c r="AM803" s="346"/>
      <c r="AN803" s="346"/>
      <c r="AO803" s="346"/>
      <c r="AP803" s="346"/>
      <c r="AQ803" s="346"/>
      <c r="AR803" s="346"/>
      <c r="AS803" s="346"/>
      <c r="AT803" s="346"/>
      <c r="AU803" s="346"/>
      <c r="AV803" s="346"/>
      <c r="AW803" s="346"/>
      <c r="AX803" s="346"/>
      <c r="AY803" s="346"/>
      <c r="AZ803" s="346"/>
      <c r="BA803" s="346"/>
      <c r="BB803" s="346"/>
      <c r="BC803" s="346"/>
      <c r="BD803" s="346"/>
      <c r="BE803" s="346"/>
      <c r="BF803" s="346"/>
      <c r="BG803" s="346"/>
      <c r="BH803" s="346"/>
      <c r="BI803" s="346"/>
      <c r="BJ803" s="346"/>
      <c r="BK803" s="346"/>
      <c r="BL803" s="346"/>
      <c r="BM803" s="346"/>
      <c r="BN803" s="346"/>
      <c r="BO803" s="346"/>
      <c r="BP803" s="346"/>
      <c r="BQ803" s="346"/>
      <c r="BR803" s="346"/>
      <c r="BS803" s="346"/>
      <c r="BT803" s="346"/>
      <c r="BU803" s="346"/>
      <c r="BV803" s="346"/>
      <c r="BW803" s="346"/>
      <c r="BX803" s="346"/>
      <c r="BY803" s="346"/>
      <c r="BZ803" s="346"/>
      <c r="CA803" s="346"/>
      <c r="CB803" s="346"/>
      <c r="CC803" s="346"/>
      <c r="CD803" s="352"/>
      <c r="CE803" s="346"/>
      <c r="CF803" s="346"/>
      <c r="CG803" s="346"/>
      <c r="CH803" s="346"/>
      <c r="CI803" s="346"/>
      <c r="CJ803" s="346"/>
      <c r="CK803" s="346"/>
      <c r="CL803" s="346"/>
      <c r="CM803" s="346"/>
      <c r="CN803" s="346"/>
      <c r="CO803" s="346"/>
      <c r="CP803" s="348"/>
      <c r="CQ803" s="346"/>
      <c r="CR803" s="346"/>
      <c r="CS803" s="346"/>
      <c r="CT803" s="346"/>
      <c r="CU803" s="346"/>
      <c r="CV803" s="346"/>
      <c r="CW803" s="346"/>
      <c r="CX803" s="346"/>
      <c r="CY803" s="346"/>
      <c r="CZ803" s="346"/>
      <c r="DA803" s="346"/>
      <c r="DB803" s="1479"/>
      <c r="DC803" s="346"/>
      <c r="DD803" s="346"/>
      <c r="DE803" s="346"/>
      <c r="DF803" s="346"/>
      <c r="DG803" s="346"/>
      <c r="DH803" s="346"/>
      <c r="DI803" s="346"/>
      <c r="DJ803" s="346"/>
      <c r="DK803" s="346"/>
      <c r="DL803" s="346"/>
      <c r="DM803" s="346"/>
      <c r="DN803" s="348"/>
      <c r="DO803" s="346"/>
      <c r="DP803" s="346"/>
      <c r="DQ803" s="346"/>
      <c r="DR803" s="346"/>
      <c r="DS803" s="346"/>
      <c r="DT803" s="346"/>
      <c r="DU803" s="346"/>
      <c r="DV803" s="346"/>
      <c r="DW803" s="346"/>
      <c r="DX803" s="346"/>
      <c r="DY803" s="346"/>
      <c r="DZ803" s="348"/>
      <c r="EA803" s="346"/>
      <c r="EB803" s="346"/>
      <c r="EC803" s="346"/>
      <c r="ED803" s="346"/>
      <c r="EE803" s="346"/>
      <c r="EF803" s="346"/>
      <c r="EG803" s="346"/>
      <c r="EH803" s="346"/>
      <c r="EI803" s="346"/>
      <c r="EJ803" s="346"/>
      <c r="EK803" s="346"/>
      <c r="EL803" s="348"/>
      <c r="EM803" s="346"/>
      <c r="EN803" s="346"/>
      <c r="EO803" s="346"/>
      <c r="EP803" s="346"/>
      <c r="EQ803" s="346"/>
      <c r="ER803" s="346"/>
      <c r="ES803" s="346"/>
      <c r="ET803" s="346"/>
      <c r="EU803" s="346"/>
      <c r="EV803" s="346"/>
      <c r="EW803" s="346"/>
      <c r="EX803" s="348"/>
      <c r="EY803" s="346"/>
      <c r="EZ803" s="346"/>
      <c r="FA803" s="346"/>
      <c r="FB803" s="346"/>
      <c r="FC803" s="346"/>
      <c r="FD803" s="346"/>
      <c r="FE803" s="346"/>
      <c r="FF803" s="346"/>
      <c r="FG803" s="346"/>
      <c r="FH803" s="346"/>
      <c r="FI803" s="346"/>
      <c r="FJ803" s="348"/>
      <c r="FK803" s="346"/>
      <c r="FL803" s="346"/>
      <c r="FM803" s="346"/>
      <c r="FN803" s="346"/>
      <c r="FO803" s="346"/>
      <c r="FP803" s="346"/>
      <c r="FQ803" s="346"/>
      <c r="FR803" s="346"/>
      <c r="FS803" s="346"/>
      <c r="FT803" s="346"/>
      <c r="FU803" s="346"/>
      <c r="FV803" s="346"/>
      <c r="FW803" s="346">
        <v>0</v>
      </c>
      <c r="FX803" s="346">
        <v>0</v>
      </c>
      <c r="FY803" s="346">
        <v>0</v>
      </c>
      <c r="FZ803" s="346">
        <v>0</v>
      </c>
      <c r="GA803" s="346">
        <v>0</v>
      </c>
      <c r="GB803" s="346">
        <v>0</v>
      </c>
      <c r="GC803" s="346">
        <v>0</v>
      </c>
      <c r="GD803" s="346">
        <v>0</v>
      </c>
      <c r="GE803" s="346">
        <v>0</v>
      </c>
      <c r="GF803" s="346">
        <v>0</v>
      </c>
      <c r="GG803" s="346">
        <v>0</v>
      </c>
      <c r="GH803" s="346">
        <v>0</v>
      </c>
      <c r="GI803" s="1897">
        <v>0</v>
      </c>
      <c r="GJ803" s="1897">
        <v>0</v>
      </c>
      <c r="GK803" s="1897">
        <v>0</v>
      </c>
      <c r="GL803" s="1897">
        <v>0</v>
      </c>
      <c r="GM803" s="1897">
        <v>0</v>
      </c>
      <c r="GN803" s="1897">
        <v>0</v>
      </c>
      <c r="GO803" s="1897">
        <v>0</v>
      </c>
      <c r="GP803" s="1897">
        <v>0</v>
      </c>
      <c r="GQ803" s="1897">
        <v>0</v>
      </c>
      <c r="GR803" s="1897">
        <v>0</v>
      </c>
      <c r="GS803" s="1897">
        <v>0</v>
      </c>
      <c r="GT803" s="1897">
        <v>0</v>
      </c>
      <c r="GU803" s="1897">
        <v>0</v>
      </c>
      <c r="GV803" s="1897">
        <v>0</v>
      </c>
      <c r="GW803" s="1897">
        <v>0</v>
      </c>
      <c r="GX803" s="1897">
        <v>0</v>
      </c>
      <c r="GY803" s="1897">
        <v>0</v>
      </c>
      <c r="GZ803" s="1897">
        <v>0</v>
      </c>
      <c r="HA803" s="1897">
        <v>0</v>
      </c>
      <c r="HB803" s="1897">
        <v>0</v>
      </c>
      <c r="HC803" s="1897">
        <v>0</v>
      </c>
      <c r="HD803" s="1897">
        <v>0</v>
      </c>
      <c r="HE803" s="1897">
        <v>0</v>
      </c>
      <c r="HF803" s="1897">
        <v>0</v>
      </c>
      <c r="HG803" s="1897">
        <v>0</v>
      </c>
      <c r="HH803" s="1897">
        <v>0</v>
      </c>
      <c r="HI803" s="1897">
        <v>0</v>
      </c>
      <c r="HJ803" s="1897">
        <v>0</v>
      </c>
      <c r="HK803" s="1897">
        <v>0</v>
      </c>
      <c r="HL803" s="1897">
        <v>0</v>
      </c>
      <c r="HM803" s="1897"/>
      <c r="HN803" s="349"/>
      <c r="HO803" s="1635"/>
      <c r="HR803" s="346">
        <f t="shared" si="1243"/>
        <v>0</v>
      </c>
      <c r="HU803" s="346">
        <f t="shared" si="1244"/>
        <v>0</v>
      </c>
      <c r="HX803" s="346">
        <f t="shared" si="1245"/>
        <v>0</v>
      </c>
      <c r="IA803" s="346">
        <f t="shared" si="1246"/>
        <v>0</v>
      </c>
      <c r="ID803" s="346">
        <f t="shared" si="1247"/>
        <v>0</v>
      </c>
      <c r="IG803" s="346">
        <f t="shared" si="1248"/>
        <v>0</v>
      </c>
      <c r="IJ803" s="346">
        <f t="shared" si="1249"/>
        <v>0</v>
      </c>
      <c r="IK803" s="350"/>
      <c r="IL803" s="350"/>
      <c r="IM803" s="346"/>
      <c r="IN803" s="350">
        <f t="shared" si="1231"/>
        <v>0</v>
      </c>
      <c r="IO803" s="350">
        <f t="shared" si="1232"/>
        <v>0</v>
      </c>
      <c r="IP803" s="346">
        <f t="shared" si="1066"/>
        <v>0</v>
      </c>
      <c r="IQ803" s="350">
        <f t="shared" si="1186"/>
        <v>0</v>
      </c>
      <c r="IR803" s="350">
        <f t="shared" si="1233"/>
        <v>0</v>
      </c>
      <c r="IS803" s="346">
        <f t="shared" si="1234"/>
        <v>0</v>
      </c>
      <c r="IT803" s="350">
        <f t="shared" si="1202"/>
        <v>0</v>
      </c>
      <c r="IU803" s="350">
        <f t="shared" si="1219"/>
        <v>0</v>
      </c>
      <c r="IV803" s="346">
        <f t="shared" si="1235"/>
        <v>0</v>
      </c>
      <c r="IW803" s="350">
        <f t="shared" si="1256"/>
        <v>0</v>
      </c>
      <c r="IX803" s="350">
        <f t="shared" si="1252"/>
        <v>0</v>
      </c>
      <c r="IY803" s="346"/>
      <c r="IZ803" s="350"/>
      <c r="JB803" s="346"/>
      <c r="JC803" s="350"/>
      <c r="JE803" s="346"/>
      <c r="JF803" s="350"/>
      <c r="JH803" s="346"/>
      <c r="JI803" s="350"/>
      <c r="JK803" s="346">
        <f>FISC!AN1119</f>
        <v>0</v>
      </c>
      <c r="JL803" s="350"/>
      <c r="JN803" s="346">
        <f>FISC!AO1119</f>
        <v>0</v>
      </c>
      <c r="KI803" s="349"/>
      <c r="KJ803" s="350"/>
    </row>
    <row r="804" spans="1:302" ht="15.5" hidden="1" outlineLevel="1" thickBot="1">
      <c r="A804" s="302"/>
      <c r="D804" s="1636" t="s">
        <v>587</v>
      </c>
      <c r="E804" s="346"/>
      <c r="F804" s="346"/>
      <c r="G804" s="346"/>
      <c r="H804" s="346"/>
      <c r="I804" s="346"/>
      <c r="J804" s="346"/>
      <c r="K804" s="346"/>
      <c r="L804" s="346"/>
      <c r="M804" s="346"/>
      <c r="N804" s="346"/>
      <c r="O804" s="346"/>
      <c r="P804" s="346"/>
      <c r="Q804" s="346"/>
      <c r="R804" s="346"/>
      <c r="S804" s="346"/>
      <c r="T804" s="346"/>
      <c r="U804" s="346"/>
      <c r="V804" s="346"/>
      <c r="W804" s="346"/>
      <c r="X804" s="346"/>
      <c r="Y804" s="346"/>
      <c r="Z804" s="346"/>
      <c r="AA804" s="346"/>
      <c r="AB804" s="346"/>
      <c r="AC804" s="346"/>
      <c r="AD804" s="346"/>
      <c r="AE804" s="346"/>
      <c r="AF804" s="346"/>
      <c r="AG804" s="346"/>
      <c r="AH804" s="346"/>
      <c r="AI804" s="346"/>
      <c r="AJ804" s="346"/>
      <c r="AK804" s="346"/>
      <c r="AL804" s="346"/>
      <c r="AM804" s="346"/>
      <c r="AN804" s="346"/>
      <c r="AO804" s="346"/>
      <c r="AP804" s="346"/>
      <c r="AQ804" s="346"/>
      <c r="AR804" s="346"/>
      <c r="AS804" s="346"/>
      <c r="AT804" s="346"/>
      <c r="AU804" s="346"/>
      <c r="AV804" s="346"/>
      <c r="AW804" s="346"/>
      <c r="AX804" s="346"/>
      <c r="AY804" s="346"/>
      <c r="AZ804" s="346"/>
      <c r="BA804" s="346"/>
      <c r="BB804" s="346"/>
      <c r="BC804" s="346"/>
      <c r="BD804" s="346"/>
      <c r="BE804" s="346"/>
      <c r="BF804" s="346"/>
      <c r="BG804" s="346"/>
      <c r="BH804" s="346"/>
      <c r="BI804" s="346"/>
      <c r="BJ804" s="346"/>
      <c r="BK804" s="346"/>
      <c r="BL804" s="346"/>
      <c r="BM804" s="346"/>
      <c r="BN804" s="346"/>
      <c r="BO804" s="346"/>
      <c r="BP804" s="346"/>
      <c r="BQ804" s="346"/>
      <c r="BR804" s="346"/>
      <c r="BS804" s="346"/>
      <c r="BT804" s="346"/>
      <c r="BU804" s="346"/>
      <c r="BV804" s="346"/>
      <c r="BW804" s="346"/>
      <c r="BX804" s="346"/>
      <c r="BY804" s="346"/>
      <c r="BZ804" s="346"/>
      <c r="CA804" s="346"/>
      <c r="CB804" s="346"/>
      <c r="CC804" s="346"/>
      <c r="CD804" s="352"/>
      <c r="CE804" s="346">
        <v>0</v>
      </c>
      <c r="CF804" s="346">
        <v>0</v>
      </c>
      <c r="CG804" s="346">
        <v>0</v>
      </c>
      <c r="CH804" s="346">
        <v>0</v>
      </c>
      <c r="CI804" s="346">
        <v>0</v>
      </c>
      <c r="CJ804" s="346">
        <v>0</v>
      </c>
      <c r="CK804" s="346">
        <v>0</v>
      </c>
      <c r="CL804" s="346">
        <v>0</v>
      </c>
      <c r="CM804" s="346">
        <v>0</v>
      </c>
      <c r="CN804" s="346">
        <v>0</v>
      </c>
      <c r="CO804" s="346">
        <v>0</v>
      </c>
      <c r="CP804" s="348">
        <v>0</v>
      </c>
      <c r="CQ804" s="346"/>
      <c r="CR804" s="346"/>
      <c r="CS804" s="346"/>
      <c r="CT804" s="346"/>
      <c r="CU804" s="346"/>
      <c r="CV804" s="346"/>
      <c r="CW804" s="346"/>
      <c r="CX804" s="346"/>
      <c r="CY804" s="346"/>
      <c r="CZ804" s="346"/>
      <c r="DA804" s="346"/>
      <c r="DB804" s="1479"/>
      <c r="DC804" s="346"/>
      <c r="DD804" s="346"/>
      <c r="DE804" s="346"/>
      <c r="DF804" s="346"/>
      <c r="DG804" s="346"/>
      <c r="DH804" s="346"/>
      <c r="DI804" s="346"/>
      <c r="DJ804" s="346"/>
      <c r="DK804" s="346"/>
      <c r="DL804" s="346"/>
      <c r="DM804" s="346"/>
      <c r="DN804" s="348"/>
      <c r="DO804" s="346"/>
      <c r="DP804" s="346"/>
      <c r="DQ804" s="346"/>
      <c r="DR804" s="346"/>
      <c r="DS804" s="346"/>
      <c r="DT804" s="346"/>
      <c r="DU804" s="346"/>
      <c r="DV804" s="346"/>
      <c r="DW804" s="346"/>
      <c r="DX804" s="346"/>
      <c r="DY804" s="346"/>
      <c r="DZ804" s="348"/>
      <c r="EA804" s="346"/>
      <c r="EB804" s="346"/>
      <c r="EC804" s="346"/>
      <c r="ED804" s="346"/>
      <c r="EE804" s="346"/>
      <c r="EF804" s="346"/>
      <c r="EG804" s="346"/>
      <c r="EH804" s="346"/>
      <c r="EI804" s="346"/>
      <c r="EJ804" s="346"/>
      <c r="EK804" s="346"/>
      <c r="EL804" s="348"/>
      <c r="EM804" s="346"/>
      <c r="EN804" s="346"/>
      <c r="EO804" s="346"/>
      <c r="EP804" s="346"/>
      <c r="EQ804" s="346"/>
      <c r="ER804" s="346"/>
      <c r="ES804" s="346"/>
      <c r="ET804" s="346"/>
      <c r="EU804" s="346"/>
      <c r="EV804" s="346"/>
      <c r="EW804" s="346"/>
      <c r="EX804" s="348"/>
      <c r="EY804" s="346"/>
      <c r="EZ804" s="346"/>
      <c r="FA804" s="346"/>
      <c r="FB804" s="346"/>
      <c r="FC804" s="346"/>
      <c r="FD804" s="346"/>
      <c r="FE804" s="346"/>
      <c r="FF804" s="346"/>
      <c r="FG804" s="346"/>
      <c r="FH804" s="346"/>
      <c r="FI804" s="346"/>
      <c r="FJ804" s="346"/>
      <c r="FK804" s="1863">
        <v>67.151987477999995</v>
      </c>
      <c r="FL804" s="1864">
        <v>13.103881592</v>
      </c>
      <c r="FM804" s="1864">
        <v>6.5174172349999999</v>
      </c>
      <c r="FN804" s="1864">
        <v>11.968223596</v>
      </c>
      <c r="FO804" s="1864">
        <v>13.952888432</v>
      </c>
      <c r="FP804" s="1864">
        <v>10.093310023000001</v>
      </c>
      <c r="FQ804" s="1864">
        <v>11.487869787999999</v>
      </c>
      <c r="FR804" s="1864">
        <v>13.362976810999999</v>
      </c>
      <c r="FS804" s="1864">
        <v>8.8185299490000002</v>
      </c>
      <c r="FT804" s="1864">
        <v>8.8314962210000001</v>
      </c>
      <c r="FU804" s="1864">
        <v>11.765230181</v>
      </c>
      <c r="FV804" s="1865">
        <v>2.3514240019999999</v>
      </c>
      <c r="FW804" s="1865">
        <v>17.827072045000001</v>
      </c>
      <c r="FX804" s="1865">
        <v>13.073085171000001</v>
      </c>
      <c r="FY804" s="1865">
        <v>14.052484026</v>
      </c>
      <c r="FZ804" s="1865">
        <v>12.726330408999999</v>
      </c>
      <c r="GA804" s="1865">
        <v>9.3146827220000006</v>
      </c>
      <c r="GB804" s="1865">
        <v>13.880902787</v>
      </c>
      <c r="GC804" s="1865">
        <v>12.434022086000001</v>
      </c>
      <c r="GD804" s="1865">
        <v>12.952230811</v>
      </c>
      <c r="GE804" s="1865">
        <v>7.3144288990000002</v>
      </c>
      <c r="GF804" s="1865">
        <v>9.9375181720000008</v>
      </c>
      <c r="GG804" s="1865">
        <v>10.097894201000001</v>
      </c>
      <c r="GH804" s="1865">
        <v>1.812355809</v>
      </c>
      <c r="GI804" s="1897">
        <v>18.302012847</v>
      </c>
      <c r="GJ804" s="1897">
        <v>12.174315661</v>
      </c>
      <c r="GK804" s="1897">
        <v>22.102087471000001</v>
      </c>
      <c r="GL804" s="1897">
        <v>13.048569157498537</v>
      </c>
      <c r="GM804" s="1897">
        <v>14.077936119471252</v>
      </c>
      <c r="GN804" s="1897">
        <v>17.249432628030206</v>
      </c>
      <c r="GO804" s="1897">
        <v>19.250091051032449</v>
      </c>
      <c r="GP804" s="1897">
        <v>18.964357705891899</v>
      </c>
      <c r="GQ804" s="1897">
        <v>22.613650747059818</v>
      </c>
      <c r="GR804" s="1897">
        <v>47.33145690065696</v>
      </c>
      <c r="GS804" s="1897">
        <v>15.57785070818308</v>
      </c>
      <c r="GT804" s="1897">
        <v>8.6201572759962514E-2</v>
      </c>
      <c r="GU804" s="1897">
        <v>22.297540086999998</v>
      </c>
      <c r="GV804" s="1897">
        <v>35.923672596000003</v>
      </c>
      <c r="GW804" s="1897">
        <v>10.499729719000001</v>
      </c>
      <c r="GX804" s="1897">
        <v>10.484411414</v>
      </c>
      <c r="GY804" s="1897">
        <v>8.2915083240000005</v>
      </c>
      <c r="GZ804" s="1897">
        <v>10.036460014999999</v>
      </c>
      <c r="HA804" s="1897">
        <v>20.23517708</v>
      </c>
      <c r="HB804" s="1897">
        <v>18.173083986999998</v>
      </c>
      <c r="HC804" s="1897">
        <v>16.175031495999999</v>
      </c>
      <c r="HD804" s="1897">
        <v>31.989759982999999</v>
      </c>
      <c r="HE804" s="1897">
        <v>37.287784903000002</v>
      </c>
      <c r="HF804" s="1897">
        <v>7.2076600000000005E-2</v>
      </c>
      <c r="HG804" s="1897">
        <v>19.43528504</v>
      </c>
      <c r="HH804" s="1897">
        <v>26.778121991999988</v>
      </c>
      <c r="HI804" s="1897">
        <v>25.980741839000007</v>
      </c>
      <c r="HJ804" s="1897">
        <v>11.107012274000001</v>
      </c>
      <c r="HK804" s="1897">
        <v>9.2962029469999994</v>
      </c>
      <c r="HL804" s="1897">
        <v>3.3934646630000005</v>
      </c>
      <c r="HM804" s="1897"/>
      <c r="HN804" s="349"/>
      <c r="HO804" s="1636" t="s">
        <v>587</v>
      </c>
      <c r="HP804" s="302">
        <f>HP800-HP801</f>
        <v>31.685302341569397</v>
      </c>
      <c r="HQ804" s="302">
        <f>HQ800-HQ801</f>
        <v>29.377782605368793</v>
      </c>
      <c r="HR804" s="346">
        <f t="shared" si="1243"/>
        <v>61.06308494693819</v>
      </c>
      <c r="HS804" s="302">
        <f>HS800-HS801</f>
        <v>32.309909514495899</v>
      </c>
      <c r="HT804" s="302">
        <f>HT800-HT801</f>
        <v>39.546461596682406</v>
      </c>
      <c r="HU804" s="346">
        <f t="shared" si="1244"/>
        <v>71.856371111178305</v>
      </c>
      <c r="HV804" s="302">
        <f>HV800-HV801</f>
        <v>37.389748839067494</v>
      </c>
      <c r="HW804" s="302">
        <f>HW800-HW801</f>
        <v>40.720679183396811</v>
      </c>
      <c r="HX804" s="346">
        <f t="shared" si="1245"/>
        <v>78.110428022464305</v>
      </c>
      <c r="HY804" s="302">
        <f>HY800-HY801</f>
        <v>40.274440578538503</v>
      </c>
      <c r="HZ804" s="302">
        <f>HZ800-HZ801</f>
        <v>43.068917328760648</v>
      </c>
      <c r="IA804" s="346">
        <f t="shared" si="1246"/>
        <v>83.343357907299151</v>
      </c>
      <c r="IB804" s="302">
        <f>IB800-IB801</f>
        <v>41.183044113634196</v>
      </c>
      <c r="IC804" s="302">
        <f>IC800-IC801</f>
        <v>48.370073373253177</v>
      </c>
      <c r="ID804" s="346">
        <f t="shared" si="1247"/>
        <v>89.553117486887373</v>
      </c>
      <c r="IE804" s="302">
        <f>IE800-IE801</f>
        <v>46.248709989561007</v>
      </c>
      <c r="IF804" s="302">
        <f>IF800-IF801</f>
        <v>54.700490288303996</v>
      </c>
      <c r="IG804" s="346">
        <f t="shared" si="1248"/>
        <v>100.949200277865</v>
      </c>
      <c r="IH804" s="302">
        <f>IH800-IH801</f>
        <v>61.13251341213271</v>
      </c>
      <c r="II804" s="302">
        <f>II800-II801</f>
        <v>45.897173703478813</v>
      </c>
      <c r="IJ804" s="346">
        <f t="shared" si="1249"/>
        <v>107.02968711561152</v>
      </c>
      <c r="IK804" s="350">
        <v>112.787708356</v>
      </c>
      <c r="IL804" s="350">
        <f>SUM(FQ804:FV804)</f>
        <v>56.617526952000006</v>
      </c>
      <c r="IM804" s="346">
        <f t="shared" si="1183"/>
        <v>169.40523530799999</v>
      </c>
      <c r="IN804" s="350">
        <f t="shared" si="1231"/>
        <v>80.874557159999995</v>
      </c>
      <c r="IO804" s="350">
        <f t="shared" si="1232"/>
        <v>54.548449978000001</v>
      </c>
      <c r="IP804" s="346">
        <f t="shared" si="1066"/>
        <v>135.423007138</v>
      </c>
      <c r="IQ804" s="350">
        <f t="shared" si="1186"/>
        <v>96.954353883999985</v>
      </c>
      <c r="IR804" s="350">
        <f t="shared" si="1233"/>
        <v>123.82360868558416</v>
      </c>
      <c r="IS804" s="346">
        <f t="shared" si="1234"/>
        <v>220.77796256958413</v>
      </c>
      <c r="IT804" s="350">
        <f t="shared" si="1202"/>
        <v>97.533322155000022</v>
      </c>
      <c r="IU804" s="350">
        <f t="shared" si="1219"/>
        <v>123.932914049</v>
      </c>
      <c r="IV804" s="346">
        <f t="shared" si="1235"/>
        <v>221.46623620400004</v>
      </c>
      <c r="IW804" s="350">
        <f t="shared" si="1256"/>
        <v>95.990828754999995</v>
      </c>
      <c r="IX804" s="350">
        <f t="shared" si="1252"/>
        <v>123.14974137518681</v>
      </c>
      <c r="IY804" s="346">
        <f>FISC!AJ1120</f>
        <v>219.1405701301868</v>
      </c>
      <c r="IZ804" s="350">
        <f t="shared" si="1241"/>
        <v>131.47684333725687</v>
      </c>
      <c r="JA804" s="302">
        <f>JB804-IZ804</f>
        <v>107.57196273048288</v>
      </c>
      <c r="JB804" s="346">
        <f>FISC!AK1120</f>
        <v>239.04880606773975</v>
      </c>
      <c r="JC804" s="350">
        <f t="shared" si="1220"/>
        <v>156.40586655739918</v>
      </c>
      <c r="JD804" s="302">
        <f t="shared" si="1210"/>
        <v>127.96843627423567</v>
      </c>
      <c r="JE804" s="346">
        <f>FISC!AL1120</f>
        <v>284.37430283163485</v>
      </c>
      <c r="JF804" s="350">
        <f t="shared" ref="JF804:JF805" si="1258">JH804*0.55</f>
        <v>202.35727387174745</v>
      </c>
      <c r="JG804" s="302">
        <f t="shared" ref="JG804:JG805" si="1259">JH804-JF804</f>
        <v>165.56504225870242</v>
      </c>
      <c r="JH804" s="346">
        <f>FISC!AM1120</f>
        <v>367.92231613044987</v>
      </c>
      <c r="JI804" s="350">
        <f t="shared" ref="JI804:JI805" si="1260">JK804*0.55</f>
        <v>228.33710546254227</v>
      </c>
      <c r="JJ804" s="302">
        <f t="shared" ref="JJ804:JJ805" si="1261">JK804-JI804</f>
        <v>186.82126810571637</v>
      </c>
      <c r="JK804" s="346">
        <f>FISC!AN1120</f>
        <v>415.15837356825864</v>
      </c>
      <c r="JL804" s="350">
        <f t="shared" ref="JL804:JL805" si="1262">JN804*0.55</f>
        <v>256.92989445555315</v>
      </c>
      <c r="JM804" s="302">
        <f t="shared" ref="JM804:JM805" si="1263">JN804-JL804</f>
        <v>210.21536819090704</v>
      </c>
      <c r="JN804" s="346">
        <f>FISC!AO1120</f>
        <v>467.1452626464602</v>
      </c>
      <c r="KI804" s="349"/>
      <c r="KJ804" s="350"/>
    </row>
    <row r="805" spans="1:302" hidden="1" outlineLevel="1">
      <c r="A805" s="302"/>
      <c r="D805" s="1635" t="s">
        <v>3191</v>
      </c>
      <c r="E805" s="346"/>
      <c r="F805" s="346"/>
      <c r="G805" s="346"/>
      <c r="H805" s="346"/>
      <c r="I805" s="346"/>
      <c r="J805" s="346"/>
      <c r="K805" s="346"/>
      <c r="L805" s="346"/>
      <c r="M805" s="346"/>
      <c r="N805" s="346"/>
      <c r="O805" s="346"/>
      <c r="P805" s="346"/>
      <c r="Q805" s="346"/>
      <c r="R805" s="346"/>
      <c r="S805" s="346"/>
      <c r="T805" s="346"/>
      <c r="U805" s="346"/>
      <c r="V805" s="346"/>
      <c r="W805" s="346"/>
      <c r="X805" s="346"/>
      <c r="Y805" s="346"/>
      <c r="Z805" s="346"/>
      <c r="AA805" s="346"/>
      <c r="AB805" s="346"/>
      <c r="AC805" s="346"/>
      <c r="AD805" s="346"/>
      <c r="AE805" s="346"/>
      <c r="AF805" s="346"/>
      <c r="AG805" s="346"/>
      <c r="AH805" s="346"/>
      <c r="AI805" s="346"/>
      <c r="AJ805" s="346"/>
      <c r="AK805" s="346"/>
      <c r="AL805" s="346"/>
      <c r="AM805" s="346"/>
      <c r="AN805" s="346"/>
      <c r="AO805" s="346"/>
      <c r="AP805" s="346"/>
      <c r="AQ805" s="346"/>
      <c r="AR805" s="346"/>
      <c r="AS805" s="346"/>
      <c r="AT805" s="346"/>
      <c r="AU805" s="346"/>
      <c r="AV805" s="346"/>
      <c r="AW805" s="346"/>
      <c r="AX805" s="346"/>
      <c r="AY805" s="346"/>
      <c r="AZ805" s="346"/>
      <c r="BA805" s="346"/>
      <c r="BB805" s="346"/>
      <c r="BC805" s="346"/>
      <c r="BD805" s="346"/>
      <c r="BE805" s="346"/>
      <c r="BF805" s="346"/>
      <c r="BG805" s="346"/>
      <c r="BH805" s="346"/>
      <c r="BI805" s="346"/>
      <c r="BJ805" s="346"/>
      <c r="BK805" s="346"/>
      <c r="BL805" s="346"/>
      <c r="BM805" s="346"/>
      <c r="BN805" s="346"/>
      <c r="BO805" s="346"/>
      <c r="BP805" s="346"/>
      <c r="BQ805" s="346"/>
      <c r="BR805" s="346"/>
      <c r="BS805" s="346"/>
      <c r="BT805" s="346"/>
      <c r="BU805" s="346"/>
      <c r="BV805" s="346"/>
      <c r="BW805" s="346"/>
      <c r="BX805" s="346"/>
      <c r="BY805" s="346"/>
      <c r="BZ805" s="346"/>
      <c r="CA805" s="346"/>
      <c r="CB805" s="346"/>
      <c r="CC805" s="346"/>
      <c r="CD805" s="352"/>
      <c r="CE805" s="346"/>
      <c r="CF805" s="346"/>
      <c r="CG805" s="346"/>
      <c r="CH805" s="346"/>
      <c r="CI805" s="346"/>
      <c r="CJ805" s="346"/>
      <c r="CK805" s="346"/>
      <c r="CL805" s="346"/>
      <c r="CM805" s="346"/>
      <c r="CN805" s="346"/>
      <c r="CO805" s="346"/>
      <c r="CP805" s="348"/>
      <c r="CQ805" s="346"/>
      <c r="CR805" s="346"/>
      <c r="CS805" s="346"/>
      <c r="CT805" s="346"/>
      <c r="CU805" s="346"/>
      <c r="CV805" s="346"/>
      <c r="CW805" s="346"/>
      <c r="CX805" s="346"/>
      <c r="CY805" s="346"/>
      <c r="CZ805" s="346"/>
      <c r="DA805" s="346"/>
      <c r="DB805" s="1479"/>
      <c r="DC805" s="346"/>
      <c r="DD805" s="346"/>
      <c r="DE805" s="346"/>
      <c r="DF805" s="346"/>
      <c r="DG805" s="346"/>
      <c r="DH805" s="346"/>
      <c r="DI805" s="346"/>
      <c r="DJ805" s="346"/>
      <c r="DK805" s="346"/>
      <c r="DL805" s="346"/>
      <c r="DM805" s="346"/>
      <c r="DN805" s="348"/>
      <c r="DO805" s="346"/>
      <c r="DP805" s="346"/>
      <c r="DQ805" s="346"/>
      <c r="DR805" s="346"/>
      <c r="DS805" s="346"/>
      <c r="DT805" s="346"/>
      <c r="DU805" s="346"/>
      <c r="DV805" s="346"/>
      <c r="DW805" s="346"/>
      <c r="DX805" s="346"/>
      <c r="DY805" s="346"/>
      <c r="DZ805" s="348"/>
      <c r="EA805" s="346"/>
      <c r="EB805" s="346"/>
      <c r="EC805" s="346"/>
      <c r="ED805" s="346"/>
      <c r="EE805" s="346"/>
      <c r="EF805" s="346"/>
      <c r="EG805" s="346"/>
      <c r="EH805" s="346"/>
      <c r="EI805" s="346"/>
      <c r="EJ805" s="346"/>
      <c r="EK805" s="346"/>
      <c r="EL805" s="348"/>
      <c r="EM805" s="346"/>
      <c r="EN805" s="346"/>
      <c r="EO805" s="346"/>
      <c r="EP805" s="346"/>
      <c r="EQ805" s="346"/>
      <c r="ER805" s="346"/>
      <c r="ES805" s="346"/>
      <c r="ET805" s="346"/>
      <c r="EU805" s="346"/>
      <c r="EV805" s="346"/>
      <c r="EW805" s="346"/>
      <c r="EX805" s="348"/>
      <c r="EY805" s="346"/>
      <c r="EZ805" s="346"/>
      <c r="FA805" s="346"/>
      <c r="FB805" s="346"/>
      <c r="FC805" s="346"/>
      <c r="FD805" s="346"/>
      <c r="FE805" s="346"/>
      <c r="FF805" s="346"/>
      <c r="FG805" s="346"/>
      <c r="FH805" s="346"/>
      <c r="FI805" s="346"/>
      <c r="FJ805" s="348"/>
      <c r="FK805" s="346"/>
      <c r="FL805" s="346"/>
      <c r="FM805" s="346"/>
      <c r="FN805" s="346"/>
      <c r="FO805" s="346"/>
      <c r="FP805" s="346"/>
      <c r="FQ805" s="346"/>
      <c r="FR805" s="346"/>
      <c r="FS805" s="346"/>
      <c r="FT805" s="346"/>
      <c r="FU805" s="346"/>
      <c r="FV805" s="346"/>
      <c r="FW805" s="346"/>
      <c r="FX805" s="346"/>
      <c r="FY805" s="346"/>
      <c r="FZ805" s="346"/>
      <c r="GA805" s="346"/>
      <c r="GB805" s="346"/>
      <c r="GC805" s="346"/>
      <c r="GD805" s="346"/>
      <c r="GE805" s="346"/>
      <c r="GF805" s="346"/>
      <c r="GG805" s="346"/>
      <c r="GH805" s="346"/>
      <c r="GI805" s="1897">
        <v>0</v>
      </c>
      <c r="GJ805" s="1897">
        <v>0</v>
      </c>
      <c r="GK805" s="1897">
        <v>0</v>
      </c>
      <c r="GL805" s="1897">
        <v>0</v>
      </c>
      <c r="GM805" s="1897">
        <v>0</v>
      </c>
      <c r="GN805" s="1897">
        <v>0</v>
      </c>
      <c r="GO805" s="1897">
        <v>0</v>
      </c>
      <c r="GP805" s="1897">
        <v>0</v>
      </c>
      <c r="GQ805" s="1897">
        <v>0</v>
      </c>
      <c r="GR805" s="1897">
        <v>0</v>
      </c>
      <c r="GS805" s="1897">
        <v>0</v>
      </c>
      <c r="GT805" s="1897">
        <v>0</v>
      </c>
      <c r="GU805" s="1897">
        <v>0</v>
      </c>
      <c r="GV805" s="1897">
        <v>0</v>
      </c>
      <c r="GW805" s="1897">
        <v>0</v>
      </c>
      <c r="GX805" s="1897">
        <v>0</v>
      </c>
      <c r="GY805" s="1897">
        <v>0</v>
      </c>
      <c r="GZ805" s="1897">
        <v>0</v>
      </c>
      <c r="HA805" s="1897">
        <v>0</v>
      </c>
      <c r="HB805" s="1897">
        <v>0</v>
      </c>
      <c r="HC805" s="1897">
        <v>0</v>
      </c>
      <c r="HD805" s="1897">
        <v>0</v>
      </c>
      <c r="HE805" s="1897">
        <v>0</v>
      </c>
      <c r="HF805" s="1897">
        <v>0</v>
      </c>
      <c r="HG805" s="1897">
        <v>0</v>
      </c>
      <c r="HH805" s="1897">
        <v>0</v>
      </c>
      <c r="HI805" s="1897">
        <v>0</v>
      </c>
      <c r="HJ805" s="1897">
        <v>0</v>
      </c>
      <c r="HK805" s="1897">
        <v>0</v>
      </c>
      <c r="HL805" s="1897">
        <v>0</v>
      </c>
      <c r="HM805" s="1897"/>
      <c r="HN805" s="349"/>
      <c r="HO805" s="1635" t="s">
        <v>3191</v>
      </c>
      <c r="HP805" s="307"/>
      <c r="HR805" s="346">
        <f t="shared" si="1243"/>
        <v>0</v>
      </c>
      <c r="HU805" s="346">
        <f t="shared" si="1244"/>
        <v>0</v>
      </c>
      <c r="HV805" s="307"/>
      <c r="HX805" s="346">
        <f t="shared" si="1245"/>
        <v>0</v>
      </c>
      <c r="HY805" s="350"/>
      <c r="IA805" s="346">
        <f t="shared" si="1246"/>
        <v>0</v>
      </c>
      <c r="ID805" s="346">
        <f t="shared" si="1247"/>
        <v>0</v>
      </c>
      <c r="IE805" s="350"/>
      <c r="IF805" s="350"/>
      <c r="IG805" s="346">
        <f t="shared" si="1248"/>
        <v>0</v>
      </c>
      <c r="IH805" s="350"/>
      <c r="II805" s="350"/>
      <c r="IJ805" s="346">
        <f t="shared" si="1249"/>
        <v>0</v>
      </c>
      <c r="IK805" s="350">
        <v>0</v>
      </c>
      <c r="IL805" s="350">
        <f>SUM(FQ805:FV805)</f>
        <v>0</v>
      </c>
      <c r="IM805" s="346">
        <f t="shared" si="1183"/>
        <v>0</v>
      </c>
      <c r="IN805" s="350">
        <f t="shared" si="1231"/>
        <v>0</v>
      </c>
      <c r="IO805" s="350">
        <f t="shared" si="1232"/>
        <v>0</v>
      </c>
      <c r="IP805" s="346">
        <f t="shared" si="1066"/>
        <v>0</v>
      </c>
      <c r="IQ805" s="350">
        <f t="shared" si="1186"/>
        <v>0</v>
      </c>
      <c r="IR805" s="350">
        <f t="shared" si="1233"/>
        <v>0</v>
      </c>
      <c r="IS805" s="346">
        <f t="shared" si="1234"/>
        <v>0</v>
      </c>
      <c r="IT805" s="350">
        <f t="shared" si="1202"/>
        <v>0</v>
      </c>
      <c r="IU805" s="350">
        <f t="shared" si="1219"/>
        <v>0</v>
      </c>
      <c r="IV805" s="346">
        <f t="shared" si="1235"/>
        <v>0</v>
      </c>
      <c r="IW805" s="350">
        <f t="shared" si="1256"/>
        <v>0</v>
      </c>
      <c r="IX805" s="350">
        <f t="shared" si="1252"/>
        <v>0</v>
      </c>
      <c r="IY805" s="346">
        <f>FISC!AJ1121</f>
        <v>0</v>
      </c>
      <c r="IZ805" s="350">
        <f t="shared" si="1241"/>
        <v>0</v>
      </c>
      <c r="JA805" s="302">
        <f>JB805-IZ805</f>
        <v>0</v>
      </c>
      <c r="JB805" s="346">
        <f>FISC!AK1121</f>
        <v>0</v>
      </c>
      <c r="JC805" s="350">
        <f t="shared" si="1220"/>
        <v>0</v>
      </c>
      <c r="JD805" s="302">
        <f t="shared" si="1210"/>
        <v>0</v>
      </c>
      <c r="JE805" s="346">
        <f>FISC!AL1121</f>
        <v>0</v>
      </c>
      <c r="JF805" s="350">
        <f t="shared" si="1258"/>
        <v>0</v>
      </c>
      <c r="JG805" s="302">
        <f t="shared" si="1259"/>
        <v>0</v>
      </c>
      <c r="JH805" s="346">
        <f>FISC!AM1121</f>
        <v>0</v>
      </c>
      <c r="JI805" s="350">
        <f t="shared" si="1260"/>
        <v>0</v>
      </c>
      <c r="JJ805" s="302">
        <f t="shared" si="1261"/>
        <v>0</v>
      </c>
      <c r="JK805" s="346">
        <f>FISC!AN1121</f>
        <v>0</v>
      </c>
      <c r="JL805" s="350">
        <f t="shared" si="1262"/>
        <v>0</v>
      </c>
      <c r="JM805" s="302">
        <f t="shared" si="1263"/>
        <v>0</v>
      </c>
      <c r="JN805" s="346">
        <f>FISC!AO1121</f>
        <v>0</v>
      </c>
      <c r="KI805" s="349"/>
      <c r="KJ805" s="350"/>
    </row>
    <row r="806" spans="1:302" hidden="1" outlineLevel="1">
      <c r="A806" s="302"/>
      <c r="D806" s="1635" t="str">
        <f>FISC!D1122</f>
        <v>o/w Social Protection</v>
      </c>
      <c r="E806" s="346"/>
      <c r="F806" s="346"/>
      <c r="G806" s="346"/>
      <c r="H806" s="346"/>
      <c r="I806" s="346"/>
      <c r="J806" s="346"/>
      <c r="K806" s="346"/>
      <c r="L806" s="346"/>
      <c r="M806" s="346"/>
      <c r="N806" s="346"/>
      <c r="O806" s="346"/>
      <c r="P806" s="346"/>
      <c r="Q806" s="346"/>
      <c r="R806" s="346"/>
      <c r="S806" s="346"/>
      <c r="T806" s="346"/>
      <c r="U806" s="346"/>
      <c r="V806" s="346"/>
      <c r="W806" s="346"/>
      <c r="X806" s="346"/>
      <c r="Y806" s="346"/>
      <c r="Z806" s="346"/>
      <c r="AA806" s="346"/>
      <c r="AB806" s="346"/>
      <c r="AC806" s="346"/>
      <c r="AD806" s="346"/>
      <c r="AE806" s="346"/>
      <c r="AF806" s="346"/>
      <c r="AG806" s="346"/>
      <c r="AH806" s="346"/>
      <c r="AI806" s="346"/>
      <c r="AJ806" s="346"/>
      <c r="AK806" s="346"/>
      <c r="AL806" s="346"/>
      <c r="AM806" s="346"/>
      <c r="AN806" s="346"/>
      <c r="AO806" s="346"/>
      <c r="AP806" s="346"/>
      <c r="AQ806" s="346"/>
      <c r="AR806" s="346"/>
      <c r="AS806" s="346"/>
      <c r="AT806" s="346"/>
      <c r="AU806" s="346"/>
      <c r="AV806" s="346"/>
      <c r="AW806" s="346"/>
      <c r="AX806" s="346"/>
      <c r="AY806" s="346"/>
      <c r="AZ806" s="346"/>
      <c r="BA806" s="346"/>
      <c r="BB806" s="346"/>
      <c r="BC806" s="346"/>
      <c r="BD806" s="346"/>
      <c r="BE806" s="346"/>
      <c r="BF806" s="346"/>
      <c r="BG806" s="346"/>
      <c r="BH806" s="346"/>
      <c r="BI806" s="346"/>
      <c r="BJ806" s="346"/>
      <c r="BK806" s="346"/>
      <c r="BL806" s="346"/>
      <c r="BM806" s="346"/>
      <c r="BN806" s="346"/>
      <c r="BO806" s="346"/>
      <c r="BP806" s="346"/>
      <c r="BQ806" s="346"/>
      <c r="BR806" s="346"/>
      <c r="BS806" s="346"/>
      <c r="BT806" s="346"/>
      <c r="BU806" s="346"/>
      <c r="BV806" s="346"/>
      <c r="BW806" s="346"/>
      <c r="BX806" s="346"/>
      <c r="BY806" s="346"/>
      <c r="BZ806" s="346"/>
      <c r="CA806" s="346"/>
      <c r="CB806" s="346"/>
      <c r="CC806" s="346"/>
      <c r="CD806" s="352"/>
      <c r="CE806" s="346"/>
      <c r="CF806" s="346"/>
      <c r="CG806" s="346"/>
      <c r="CH806" s="346"/>
      <c r="CI806" s="346"/>
      <c r="CJ806" s="346"/>
      <c r="CK806" s="346"/>
      <c r="CL806" s="346"/>
      <c r="CM806" s="346"/>
      <c r="CN806" s="346"/>
      <c r="CO806" s="346"/>
      <c r="CP806" s="348"/>
      <c r="CQ806" s="346"/>
      <c r="CR806" s="346"/>
      <c r="CS806" s="346"/>
      <c r="CT806" s="346"/>
      <c r="CU806" s="346"/>
      <c r="CV806" s="346"/>
      <c r="CW806" s="346"/>
      <c r="CX806" s="346"/>
      <c r="CY806" s="346"/>
      <c r="CZ806" s="346"/>
      <c r="DA806" s="346"/>
      <c r="DB806" s="1479"/>
      <c r="DC806" s="346"/>
      <c r="DD806" s="346"/>
      <c r="DE806" s="346"/>
      <c r="DF806" s="346"/>
      <c r="DG806" s="346"/>
      <c r="DH806" s="346"/>
      <c r="DI806" s="346"/>
      <c r="DJ806" s="346"/>
      <c r="DK806" s="346"/>
      <c r="DL806" s="346"/>
      <c r="DM806" s="346"/>
      <c r="DN806" s="348"/>
      <c r="DO806" s="346"/>
      <c r="DP806" s="346"/>
      <c r="DQ806" s="346"/>
      <c r="DR806" s="346"/>
      <c r="DS806" s="346"/>
      <c r="DT806" s="346"/>
      <c r="DU806" s="346"/>
      <c r="DV806" s="346"/>
      <c r="DW806" s="346"/>
      <c r="DX806" s="346"/>
      <c r="DY806" s="346"/>
      <c r="DZ806" s="348"/>
      <c r="EA806" s="346"/>
      <c r="EB806" s="346"/>
      <c r="EC806" s="346"/>
      <c r="ED806" s="346"/>
      <c r="EE806" s="346"/>
      <c r="EF806" s="346"/>
      <c r="EG806" s="346"/>
      <c r="EH806" s="346"/>
      <c r="EI806" s="346"/>
      <c r="EJ806" s="346"/>
      <c r="EK806" s="346"/>
      <c r="EL806" s="348"/>
      <c r="EM806" s="346"/>
      <c r="EN806" s="346"/>
      <c r="EO806" s="346"/>
      <c r="EP806" s="346"/>
      <c r="EQ806" s="346"/>
      <c r="ER806" s="346"/>
      <c r="ES806" s="346"/>
      <c r="ET806" s="346"/>
      <c r="EU806" s="346"/>
      <c r="EV806" s="346"/>
      <c r="EW806" s="346"/>
      <c r="EX806" s="348"/>
      <c r="EY806" s="346"/>
      <c r="EZ806" s="346"/>
      <c r="FA806" s="346"/>
      <c r="FB806" s="346"/>
      <c r="FC806" s="346"/>
      <c r="FD806" s="346"/>
      <c r="FE806" s="346"/>
      <c r="FF806" s="346"/>
      <c r="FG806" s="346"/>
      <c r="FH806" s="346"/>
      <c r="FI806" s="346"/>
      <c r="FJ806" s="348"/>
      <c r="FK806" s="346"/>
      <c r="FL806" s="346"/>
      <c r="FM806" s="346"/>
      <c r="FN806" s="346"/>
      <c r="FO806" s="346"/>
      <c r="FP806" s="346"/>
      <c r="FQ806" s="346"/>
      <c r="FR806" s="346"/>
      <c r="FS806" s="346"/>
      <c r="FT806" s="346"/>
      <c r="FU806" s="346"/>
      <c r="FV806" s="346"/>
      <c r="FW806" s="346"/>
      <c r="FX806" s="346"/>
      <c r="FY806" s="346"/>
      <c r="FZ806" s="346"/>
      <c r="GA806" s="346"/>
      <c r="GB806" s="346"/>
      <c r="GC806" s="346"/>
      <c r="GD806" s="346"/>
      <c r="GE806" s="346"/>
      <c r="GF806" s="346"/>
      <c r="GG806" s="346"/>
      <c r="GH806" s="346"/>
      <c r="GI806" s="1897">
        <v>0</v>
      </c>
      <c r="GJ806" s="1897">
        <v>0</v>
      </c>
      <c r="GK806" s="1897">
        <v>0</v>
      </c>
      <c r="GL806" s="1897">
        <v>0</v>
      </c>
      <c r="GM806" s="1897">
        <v>0</v>
      </c>
      <c r="GN806" s="1897">
        <v>0</v>
      </c>
      <c r="GO806" s="1897">
        <v>0</v>
      </c>
      <c r="GP806" s="1897">
        <v>0</v>
      </c>
      <c r="GQ806" s="1897">
        <v>0</v>
      </c>
      <c r="GR806" s="1897">
        <v>0</v>
      </c>
      <c r="GS806" s="1897">
        <v>0</v>
      </c>
      <c r="GT806" s="1897">
        <v>0</v>
      </c>
      <c r="GU806" s="1897">
        <v>0</v>
      </c>
      <c r="GV806" s="1897">
        <v>0</v>
      </c>
      <c r="GW806" s="1897">
        <v>0</v>
      </c>
      <c r="GX806" s="1897">
        <v>0</v>
      </c>
      <c r="GY806" s="1897">
        <v>0</v>
      </c>
      <c r="GZ806" s="1897">
        <v>0</v>
      </c>
      <c r="HA806" s="1897">
        <v>0</v>
      </c>
      <c r="HB806" s="1897">
        <v>0</v>
      </c>
      <c r="HC806" s="1897">
        <v>0</v>
      </c>
      <c r="HD806" s="1897">
        <v>0</v>
      </c>
      <c r="HE806" s="1897">
        <v>0</v>
      </c>
      <c r="HF806" s="1897">
        <v>0</v>
      </c>
      <c r="HG806" s="1897">
        <v>0</v>
      </c>
      <c r="HH806" s="1897">
        <v>0</v>
      </c>
      <c r="HI806" s="1897">
        <v>0</v>
      </c>
      <c r="HJ806" s="1897">
        <v>0</v>
      </c>
      <c r="HK806" s="1897">
        <v>0</v>
      </c>
      <c r="HL806" s="1897">
        <v>0</v>
      </c>
      <c r="HM806" s="1897"/>
      <c r="HN806" s="349"/>
      <c r="HO806" s="1635"/>
      <c r="HP806" s="307"/>
      <c r="HR806" s="346"/>
      <c r="HU806" s="346"/>
      <c r="HV806" s="307"/>
      <c r="HX806" s="346"/>
      <c r="HY806" s="350"/>
      <c r="IA806" s="346"/>
      <c r="ID806" s="346"/>
      <c r="IE806" s="350"/>
      <c r="IF806" s="350"/>
      <c r="IG806" s="346"/>
      <c r="IH806" s="350"/>
      <c r="II806" s="350"/>
      <c r="IJ806" s="346"/>
      <c r="IK806" s="350"/>
      <c r="IL806" s="350"/>
      <c r="IM806" s="346"/>
      <c r="IN806" s="350">
        <f t="shared" si="1231"/>
        <v>0</v>
      </c>
      <c r="IO806" s="350">
        <f t="shared" si="1232"/>
        <v>0</v>
      </c>
      <c r="IP806" s="346">
        <f t="shared" si="1066"/>
        <v>0</v>
      </c>
      <c r="IQ806" s="350">
        <f t="shared" si="1186"/>
        <v>0</v>
      </c>
      <c r="IR806" s="350">
        <f t="shared" si="1233"/>
        <v>0</v>
      </c>
      <c r="IS806" s="346">
        <f t="shared" ref="IS806:IS813" si="1264">IQ806+IR806</f>
        <v>0</v>
      </c>
      <c r="IT806" s="350">
        <f t="shared" si="1202"/>
        <v>0</v>
      </c>
      <c r="IU806" s="350">
        <f t="shared" si="1219"/>
        <v>0</v>
      </c>
      <c r="IV806" s="346">
        <f t="shared" si="1235"/>
        <v>0</v>
      </c>
      <c r="IW806" s="350">
        <f t="shared" si="1256"/>
        <v>0</v>
      </c>
      <c r="IX806" s="350">
        <f t="shared" si="1252"/>
        <v>0</v>
      </c>
      <c r="IY806" s="346"/>
      <c r="IZ806" s="350"/>
      <c r="JB806" s="346"/>
      <c r="JC806" s="350"/>
      <c r="JE806" s="346"/>
      <c r="JF806" s="350"/>
      <c r="JH806" s="346"/>
      <c r="JI806" s="350"/>
      <c r="JK806" s="346">
        <f>FISC!AN1122</f>
        <v>0</v>
      </c>
      <c r="JL806" s="350"/>
      <c r="JN806" s="346">
        <f>FISC!AO1122</f>
        <v>0</v>
      </c>
      <c r="KI806" s="349"/>
      <c r="KJ806" s="350"/>
    </row>
    <row r="807" spans="1:302" hidden="1" outlineLevel="1">
      <c r="A807" s="302"/>
      <c r="D807" s="1635" t="str">
        <f>FISC!D1123</f>
        <v>o/w Fertilizers</v>
      </c>
      <c r="E807" s="346"/>
      <c r="F807" s="346"/>
      <c r="G807" s="346"/>
      <c r="H807" s="346"/>
      <c r="I807" s="346"/>
      <c r="J807" s="346"/>
      <c r="K807" s="346"/>
      <c r="L807" s="346"/>
      <c r="M807" s="346"/>
      <c r="N807" s="346"/>
      <c r="O807" s="346"/>
      <c r="P807" s="346"/>
      <c r="Q807" s="346"/>
      <c r="R807" s="346"/>
      <c r="S807" s="346"/>
      <c r="T807" s="346"/>
      <c r="U807" s="346"/>
      <c r="V807" s="346"/>
      <c r="W807" s="346"/>
      <c r="X807" s="346"/>
      <c r="Y807" s="346"/>
      <c r="Z807" s="346"/>
      <c r="AA807" s="346"/>
      <c r="AB807" s="346"/>
      <c r="AC807" s="346"/>
      <c r="AD807" s="346"/>
      <c r="AE807" s="346"/>
      <c r="AF807" s="346"/>
      <c r="AG807" s="346"/>
      <c r="AH807" s="346"/>
      <c r="AI807" s="346"/>
      <c r="AJ807" s="346"/>
      <c r="AK807" s="346"/>
      <c r="AL807" s="346"/>
      <c r="AM807" s="346"/>
      <c r="AN807" s="346"/>
      <c r="AO807" s="346"/>
      <c r="AP807" s="346"/>
      <c r="AQ807" s="346"/>
      <c r="AR807" s="346"/>
      <c r="AS807" s="346"/>
      <c r="AT807" s="346"/>
      <c r="AU807" s="346"/>
      <c r="AV807" s="346"/>
      <c r="AW807" s="346"/>
      <c r="AX807" s="346"/>
      <c r="AY807" s="346"/>
      <c r="AZ807" s="346"/>
      <c r="BA807" s="346"/>
      <c r="BB807" s="346"/>
      <c r="BC807" s="346"/>
      <c r="BD807" s="346"/>
      <c r="BE807" s="346"/>
      <c r="BF807" s="346"/>
      <c r="BG807" s="346"/>
      <c r="BH807" s="346"/>
      <c r="BI807" s="346"/>
      <c r="BJ807" s="346"/>
      <c r="BK807" s="346"/>
      <c r="BL807" s="346"/>
      <c r="BM807" s="346"/>
      <c r="BN807" s="346"/>
      <c r="BO807" s="346"/>
      <c r="BP807" s="346"/>
      <c r="BQ807" s="346"/>
      <c r="BR807" s="346"/>
      <c r="BS807" s="346"/>
      <c r="BT807" s="346"/>
      <c r="BU807" s="346"/>
      <c r="BV807" s="346"/>
      <c r="BW807" s="346"/>
      <c r="BX807" s="346"/>
      <c r="BY807" s="346"/>
      <c r="BZ807" s="346"/>
      <c r="CA807" s="346"/>
      <c r="CB807" s="346"/>
      <c r="CC807" s="346"/>
      <c r="CD807" s="352"/>
      <c r="CE807" s="346"/>
      <c r="CF807" s="346"/>
      <c r="CG807" s="346"/>
      <c r="CH807" s="346"/>
      <c r="CI807" s="346"/>
      <c r="CJ807" s="346"/>
      <c r="CK807" s="346"/>
      <c r="CL807" s="346"/>
      <c r="CM807" s="346"/>
      <c r="CN807" s="346"/>
      <c r="CO807" s="346"/>
      <c r="CP807" s="348"/>
      <c r="CQ807" s="346"/>
      <c r="CR807" s="346"/>
      <c r="CS807" s="346"/>
      <c r="CT807" s="346"/>
      <c r="CU807" s="346"/>
      <c r="CV807" s="346"/>
      <c r="CW807" s="346"/>
      <c r="CX807" s="346"/>
      <c r="CY807" s="346"/>
      <c r="CZ807" s="346"/>
      <c r="DA807" s="346"/>
      <c r="DB807" s="1479"/>
      <c r="DC807" s="346"/>
      <c r="DD807" s="346"/>
      <c r="DE807" s="346"/>
      <c r="DF807" s="346"/>
      <c r="DG807" s="346"/>
      <c r="DH807" s="346"/>
      <c r="DI807" s="346"/>
      <c r="DJ807" s="346"/>
      <c r="DK807" s="346"/>
      <c r="DL807" s="346"/>
      <c r="DM807" s="346"/>
      <c r="DN807" s="348"/>
      <c r="DO807" s="346"/>
      <c r="DP807" s="346"/>
      <c r="DQ807" s="346"/>
      <c r="DR807" s="346"/>
      <c r="DS807" s="346"/>
      <c r="DT807" s="346"/>
      <c r="DU807" s="346"/>
      <c r="DV807" s="346"/>
      <c r="DW807" s="346"/>
      <c r="DX807" s="346"/>
      <c r="DY807" s="346"/>
      <c r="DZ807" s="348"/>
      <c r="EA807" s="346"/>
      <c r="EB807" s="346"/>
      <c r="EC807" s="346"/>
      <c r="ED807" s="346"/>
      <c r="EE807" s="346"/>
      <c r="EF807" s="346"/>
      <c r="EG807" s="346"/>
      <c r="EH807" s="346"/>
      <c r="EI807" s="346"/>
      <c r="EJ807" s="346"/>
      <c r="EK807" s="346"/>
      <c r="EL807" s="348"/>
      <c r="EM807" s="346"/>
      <c r="EN807" s="346"/>
      <c r="EO807" s="346"/>
      <c r="EP807" s="346"/>
      <c r="EQ807" s="346"/>
      <c r="ER807" s="346"/>
      <c r="ES807" s="346"/>
      <c r="ET807" s="346"/>
      <c r="EU807" s="346"/>
      <c r="EV807" s="346"/>
      <c r="EW807" s="346"/>
      <c r="EX807" s="348"/>
      <c r="EY807" s="346"/>
      <c r="EZ807" s="346"/>
      <c r="FA807" s="346"/>
      <c r="FB807" s="346"/>
      <c r="FC807" s="346"/>
      <c r="FD807" s="346"/>
      <c r="FE807" s="346"/>
      <c r="FF807" s="346"/>
      <c r="FG807" s="346"/>
      <c r="FH807" s="346"/>
      <c r="FI807" s="346"/>
      <c r="FJ807" s="348"/>
      <c r="FK807" s="346"/>
      <c r="FL807" s="346"/>
      <c r="FM807" s="346"/>
      <c r="FN807" s="346"/>
      <c r="FO807" s="346"/>
      <c r="FP807" s="346"/>
      <c r="FQ807" s="346"/>
      <c r="FR807" s="346"/>
      <c r="FS807" s="346"/>
      <c r="FT807" s="346"/>
      <c r="FU807" s="346"/>
      <c r="FV807" s="346"/>
      <c r="FW807" s="346"/>
      <c r="FX807" s="346"/>
      <c r="FY807" s="346"/>
      <c r="FZ807" s="346"/>
      <c r="GA807" s="346"/>
      <c r="GB807" s="346"/>
      <c r="GC807" s="346"/>
      <c r="GD807" s="346"/>
      <c r="GE807" s="346"/>
      <c r="GF807" s="346"/>
      <c r="GG807" s="346"/>
      <c r="GH807" s="346"/>
      <c r="GI807" s="1897">
        <v>0</v>
      </c>
      <c r="GJ807" s="1897">
        <v>0</v>
      </c>
      <c r="GK807" s="1897">
        <v>0</v>
      </c>
      <c r="GL807" s="1897">
        <v>0</v>
      </c>
      <c r="GM807" s="1897">
        <v>0</v>
      </c>
      <c r="GN807" s="1897">
        <v>0</v>
      </c>
      <c r="GO807" s="1897">
        <v>0</v>
      </c>
      <c r="GP807" s="1897">
        <v>0</v>
      </c>
      <c r="GQ807" s="1897">
        <v>0</v>
      </c>
      <c r="GR807" s="1897">
        <v>0</v>
      </c>
      <c r="GS807" s="1897">
        <v>0</v>
      </c>
      <c r="GT807" s="1897">
        <v>0</v>
      </c>
      <c r="GU807" s="1897">
        <v>0</v>
      </c>
      <c r="GV807" s="1897">
        <v>0</v>
      </c>
      <c r="GW807" s="1897">
        <v>0</v>
      </c>
      <c r="GX807" s="1897">
        <v>0</v>
      </c>
      <c r="GY807" s="1897">
        <v>0</v>
      </c>
      <c r="GZ807" s="1897">
        <v>0</v>
      </c>
      <c r="HA807" s="1897">
        <v>0</v>
      </c>
      <c r="HB807" s="1897">
        <v>0</v>
      </c>
      <c r="HC807" s="1897">
        <v>0</v>
      </c>
      <c r="HD807" s="1897">
        <v>0</v>
      </c>
      <c r="HE807" s="1897">
        <v>0</v>
      </c>
      <c r="HF807" s="1897">
        <v>0</v>
      </c>
      <c r="HG807" s="1897">
        <v>0</v>
      </c>
      <c r="HH807" s="1897">
        <v>0</v>
      </c>
      <c r="HI807" s="1897">
        <v>0</v>
      </c>
      <c r="HJ807" s="1897">
        <v>0</v>
      </c>
      <c r="HK807" s="1897">
        <v>0</v>
      </c>
      <c r="HL807" s="1897">
        <v>0</v>
      </c>
      <c r="HM807" s="1897"/>
      <c r="HN807" s="349"/>
      <c r="HO807" s="1635"/>
      <c r="HP807" s="307"/>
      <c r="HR807" s="346"/>
      <c r="HU807" s="346"/>
      <c r="HV807" s="307"/>
      <c r="HX807" s="346"/>
      <c r="HY807" s="350"/>
      <c r="IA807" s="346"/>
      <c r="ID807" s="346"/>
      <c r="IE807" s="350"/>
      <c r="IF807" s="350"/>
      <c r="IG807" s="346"/>
      <c r="IH807" s="350"/>
      <c r="II807" s="350"/>
      <c r="IJ807" s="346"/>
      <c r="IK807" s="350"/>
      <c r="IL807" s="350"/>
      <c r="IM807" s="346"/>
      <c r="IN807" s="350">
        <f t="shared" si="1231"/>
        <v>0</v>
      </c>
      <c r="IO807" s="350">
        <f t="shared" si="1232"/>
        <v>0</v>
      </c>
      <c r="IP807" s="346">
        <f t="shared" si="1066"/>
        <v>0</v>
      </c>
      <c r="IQ807" s="350">
        <f t="shared" si="1186"/>
        <v>0</v>
      </c>
      <c r="IR807" s="350">
        <f t="shared" si="1233"/>
        <v>0</v>
      </c>
      <c r="IS807" s="346">
        <f t="shared" si="1264"/>
        <v>0</v>
      </c>
      <c r="IT807" s="350">
        <f t="shared" si="1202"/>
        <v>0</v>
      </c>
      <c r="IU807" s="350">
        <f t="shared" si="1219"/>
        <v>0</v>
      </c>
      <c r="IV807" s="346">
        <f t="shared" si="1235"/>
        <v>0</v>
      </c>
      <c r="IW807" s="350">
        <f t="shared" si="1256"/>
        <v>0</v>
      </c>
      <c r="IX807" s="350">
        <f t="shared" si="1252"/>
        <v>0</v>
      </c>
      <c r="IY807" s="346"/>
      <c r="IZ807" s="350"/>
      <c r="JB807" s="346"/>
      <c r="JC807" s="350"/>
      <c r="JE807" s="346"/>
      <c r="JF807" s="350"/>
      <c r="JH807" s="346"/>
      <c r="JI807" s="350"/>
      <c r="JK807" s="346">
        <f>FISC!AN1123</f>
        <v>0</v>
      </c>
      <c r="JL807" s="350"/>
      <c r="JN807" s="346">
        <f>FISC!AO1123</f>
        <v>0</v>
      </c>
      <c r="KI807" s="349"/>
      <c r="KJ807" s="350"/>
    </row>
    <row r="808" spans="1:302" hidden="1" outlineLevel="1">
      <c r="A808" s="302"/>
      <c r="D808" s="1635" t="str">
        <f>FISC!D1124</f>
        <v>Others</v>
      </c>
      <c r="E808" s="346"/>
      <c r="F808" s="346"/>
      <c r="G808" s="346"/>
      <c r="H808" s="346"/>
      <c r="I808" s="346"/>
      <c r="J808" s="346"/>
      <c r="K808" s="346"/>
      <c r="L808" s="346"/>
      <c r="M808" s="346"/>
      <c r="N808" s="346"/>
      <c r="O808" s="346"/>
      <c r="P808" s="346"/>
      <c r="Q808" s="346"/>
      <c r="R808" s="346"/>
      <c r="S808" s="346"/>
      <c r="T808" s="346"/>
      <c r="U808" s="346"/>
      <c r="V808" s="346"/>
      <c r="W808" s="346"/>
      <c r="X808" s="346"/>
      <c r="Y808" s="346"/>
      <c r="Z808" s="346"/>
      <c r="AA808" s="346"/>
      <c r="AB808" s="346"/>
      <c r="AC808" s="346"/>
      <c r="AD808" s="346"/>
      <c r="AE808" s="346"/>
      <c r="AF808" s="346"/>
      <c r="AG808" s="346"/>
      <c r="AH808" s="346"/>
      <c r="AI808" s="346"/>
      <c r="AJ808" s="346"/>
      <c r="AK808" s="346"/>
      <c r="AL808" s="346"/>
      <c r="AM808" s="346"/>
      <c r="AN808" s="346"/>
      <c r="AO808" s="346"/>
      <c r="AP808" s="346"/>
      <c r="AQ808" s="346"/>
      <c r="AR808" s="346"/>
      <c r="AS808" s="346"/>
      <c r="AT808" s="346"/>
      <c r="AU808" s="346"/>
      <c r="AV808" s="346"/>
      <c r="AW808" s="346"/>
      <c r="AX808" s="346"/>
      <c r="AY808" s="346"/>
      <c r="AZ808" s="346"/>
      <c r="BA808" s="346"/>
      <c r="BB808" s="346"/>
      <c r="BC808" s="346"/>
      <c r="BD808" s="346"/>
      <c r="BE808" s="346"/>
      <c r="BF808" s="346"/>
      <c r="BG808" s="346"/>
      <c r="BH808" s="346"/>
      <c r="BI808" s="346"/>
      <c r="BJ808" s="346"/>
      <c r="BK808" s="346"/>
      <c r="BL808" s="346"/>
      <c r="BM808" s="346"/>
      <c r="BN808" s="346"/>
      <c r="BO808" s="346"/>
      <c r="BP808" s="346"/>
      <c r="BQ808" s="346"/>
      <c r="BR808" s="346"/>
      <c r="BS808" s="346"/>
      <c r="BT808" s="346"/>
      <c r="BU808" s="346"/>
      <c r="BV808" s="346"/>
      <c r="BW808" s="346"/>
      <c r="BX808" s="346"/>
      <c r="BY808" s="346"/>
      <c r="BZ808" s="346"/>
      <c r="CA808" s="346"/>
      <c r="CB808" s="346"/>
      <c r="CC808" s="346"/>
      <c r="CD808" s="352"/>
      <c r="CE808" s="346">
        <v>0</v>
      </c>
      <c r="CF808" s="346">
        <v>0</v>
      </c>
      <c r="CG808" s="346">
        <v>0</v>
      </c>
      <c r="CH808" s="346">
        <v>0</v>
      </c>
      <c r="CI808" s="346">
        <v>0</v>
      </c>
      <c r="CJ808" s="346">
        <v>0</v>
      </c>
      <c r="CK808" s="346">
        <v>0</v>
      </c>
      <c r="CL808" s="346">
        <v>0</v>
      </c>
      <c r="CM808" s="346">
        <v>0</v>
      </c>
      <c r="CN808" s="346">
        <v>0</v>
      </c>
      <c r="CO808" s="346">
        <v>0</v>
      </c>
      <c r="CP808" s="348">
        <v>0</v>
      </c>
      <c r="CQ808" s="346"/>
      <c r="CR808" s="346"/>
      <c r="CS808" s="346"/>
      <c r="CT808" s="346"/>
      <c r="CU808" s="346"/>
      <c r="CV808" s="346"/>
      <c r="CW808" s="346"/>
      <c r="CX808" s="346"/>
      <c r="CY808" s="346"/>
      <c r="CZ808" s="346"/>
      <c r="DA808" s="346"/>
      <c r="DB808" s="1479"/>
      <c r="DC808" s="346"/>
      <c r="DD808" s="346"/>
      <c r="DE808" s="346"/>
      <c r="DF808" s="346"/>
      <c r="DG808" s="346"/>
      <c r="DH808" s="346"/>
      <c r="DI808" s="346"/>
      <c r="DJ808" s="346"/>
      <c r="DK808" s="346"/>
      <c r="DL808" s="346"/>
      <c r="DM808" s="346"/>
      <c r="DN808" s="348"/>
      <c r="DO808" s="346"/>
      <c r="DP808" s="346"/>
      <c r="DQ808" s="346"/>
      <c r="DR808" s="346"/>
      <c r="DS808" s="346"/>
      <c r="DT808" s="346"/>
      <c r="DU808" s="346"/>
      <c r="DV808" s="346"/>
      <c r="DW808" s="346"/>
      <c r="DX808" s="346"/>
      <c r="DY808" s="346"/>
      <c r="DZ808" s="348"/>
      <c r="EA808" s="346"/>
      <c r="EB808" s="346"/>
      <c r="EC808" s="346"/>
      <c r="ED808" s="346"/>
      <c r="EE808" s="346"/>
      <c r="EF808" s="346"/>
      <c r="EG808" s="346"/>
      <c r="EH808" s="346"/>
      <c r="EI808" s="346"/>
      <c r="EJ808" s="346"/>
      <c r="EK808" s="346"/>
      <c r="EL808" s="348"/>
      <c r="EM808" s="346"/>
      <c r="EN808" s="346"/>
      <c r="EO808" s="346"/>
      <c r="EP808" s="346"/>
      <c r="EQ808" s="346"/>
      <c r="ER808" s="346"/>
      <c r="ES808" s="346"/>
      <c r="ET808" s="346"/>
      <c r="EU808" s="346"/>
      <c r="EV808" s="346"/>
      <c r="EW808" s="346"/>
      <c r="EX808" s="348"/>
      <c r="EY808" s="346"/>
      <c r="EZ808" s="346"/>
      <c r="FA808" s="346"/>
      <c r="FB808" s="346"/>
      <c r="FC808" s="346"/>
      <c r="FD808" s="346"/>
      <c r="FE808" s="346"/>
      <c r="FF808" s="346"/>
      <c r="FG808" s="346"/>
      <c r="FH808" s="346"/>
      <c r="FI808" s="346"/>
      <c r="FJ808" s="348"/>
      <c r="FK808" s="346"/>
      <c r="FL808" s="346"/>
      <c r="FM808" s="346"/>
      <c r="FN808" s="346"/>
      <c r="FO808" s="346"/>
      <c r="FP808" s="346"/>
      <c r="FQ808" s="346"/>
      <c r="FR808" s="346"/>
      <c r="FS808" s="346"/>
      <c r="FT808" s="346"/>
      <c r="FU808" s="346"/>
      <c r="FV808" s="346"/>
      <c r="FW808" s="346"/>
      <c r="FX808" s="346"/>
      <c r="FY808" s="346"/>
      <c r="FZ808" s="346"/>
      <c r="GA808" s="346"/>
      <c r="GB808" s="346"/>
      <c r="GC808" s="346"/>
      <c r="GD808" s="346"/>
      <c r="GE808" s="346"/>
      <c r="GF808" s="346"/>
      <c r="GG808" s="346"/>
      <c r="GH808" s="346"/>
      <c r="GI808" s="1897">
        <v>0</v>
      </c>
      <c r="GJ808" s="1897">
        <v>0</v>
      </c>
      <c r="GK808" s="1897">
        <v>0</v>
      </c>
      <c r="GL808" s="1897">
        <v>0</v>
      </c>
      <c r="GM808" s="1897">
        <v>0</v>
      </c>
      <c r="GN808" s="1897">
        <v>0</v>
      </c>
      <c r="GO808" s="1897">
        <v>0</v>
      </c>
      <c r="GP808" s="1897">
        <v>0</v>
      </c>
      <c r="GQ808" s="1897">
        <v>0</v>
      </c>
      <c r="GR808" s="1897">
        <v>0</v>
      </c>
      <c r="GS808" s="1897">
        <v>0</v>
      </c>
      <c r="GT808" s="1897">
        <v>0</v>
      </c>
      <c r="GU808" s="1897">
        <v>0</v>
      </c>
      <c r="GV808" s="1897">
        <v>0</v>
      </c>
      <c r="GW808" s="1897">
        <v>0</v>
      </c>
      <c r="GX808" s="1897">
        <v>0</v>
      </c>
      <c r="GY808" s="1897">
        <v>0</v>
      </c>
      <c r="GZ808" s="1897">
        <v>0</v>
      </c>
      <c r="HA808" s="1897">
        <v>0</v>
      </c>
      <c r="HB808" s="1897">
        <v>0</v>
      </c>
      <c r="HC808" s="1897">
        <v>0</v>
      </c>
      <c r="HD808" s="1897">
        <v>0</v>
      </c>
      <c r="HE808" s="1897">
        <v>0</v>
      </c>
      <c r="HF808" s="1897">
        <v>0</v>
      </c>
      <c r="HG808" s="1897">
        <v>0</v>
      </c>
      <c r="HH808" s="1897">
        <v>0</v>
      </c>
      <c r="HI808" s="1897">
        <v>0</v>
      </c>
      <c r="HJ808" s="1897">
        <v>0</v>
      </c>
      <c r="HK808" s="1897">
        <v>0</v>
      </c>
      <c r="HL808" s="1897">
        <v>0</v>
      </c>
      <c r="HM808" s="1897"/>
      <c r="HN808" s="349"/>
      <c r="HO808" s="1638" t="s">
        <v>466</v>
      </c>
      <c r="HP808" s="307"/>
      <c r="HR808" s="346"/>
      <c r="HU808" s="346"/>
      <c r="HV808" s="307"/>
      <c r="HX808" s="346"/>
      <c r="HY808" s="350"/>
      <c r="IA808" s="346"/>
      <c r="ID808" s="346"/>
      <c r="IE808" s="350"/>
      <c r="IF808" s="350"/>
      <c r="IG808" s="346"/>
      <c r="IH808" s="350"/>
      <c r="II808" s="350"/>
      <c r="IJ808" s="346"/>
      <c r="IK808" s="350">
        <f>SUM(FK808:FP808)</f>
        <v>0</v>
      </c>
      <c r="IL808" s="350">
        <f>SUM(FQ808:FV808)</f>
        <v>0</v>
      </c>
      <c r="IM808" s="346">
        <f t="shared" si="1183"/>
        <v>0</v>
      </c>
      <c r="IN808" s="350">
        <f t="shared" si="1231"/>
        <v>0</v>
      </c>
      <c r="IO808" s="350">
        <f t="shared" si="1232"/>
        <v>0</v>
      </c>
      <c r="IP808" s="346">
        <f t="shared" si="1066"/>
        <v>0</v>
      </c>
      <c r="IQ808" s="350">
        <f t="shared" si="1186"/>
        <v>0</v>
      </c>
      <c r="IR808" s="350">
        <f t="shared" si="1233"/>
        <v>0</v>
      </c>
      <c r="IS808" s="346">
        <f t="shared" si="1264"/>
        <v>0</v>
      </c>
      <c r="IT808" s="350">
        <f t="shared" si="1202"/>
        <v>0</v>
      </c>
      <c r="IU808" s="350">
        <f t="shared" si="1219"/>
        <v>0</v>
      </c>
      <c r="IV808" s="346">
        <f t="shared" si="1235"/>
        <v>0</v>
      </c>
      <c r="IW808" s="350">
        <f t="shared" si="1256"/>
        <v>0</v>
      </c>
      <c r="IX808" s="350">
        <f t="shared" si="1252"/>
        <v>0</v>
      </c>
      <c r="IY808" s="346">
        <f>FISC!AJ1124</f>
        <v>0</v>
      </c>
      <c r="IZ808" s="350">
        <f t="shared" si="1241"/>
        <v>0</v>
      </c>
      <c r="JA808" s="302">
        <f>JB808-IZ808</f>
        <v>0</v>
      </c>
      <c r="JB808" s="346">
        <f>FISC!AK1124</f>
        <v>0</v>
      </c>
      <c r="JC808" s="350">
        <f t="shared" si="1220"/>
        <v>0</v>
      </c>
      <c r="JD808" s="302">
        <f t="shared" si="1210"/>
        <v>0</v>
      </c>
      <c r="JE808" s="346">
        <f>FISC!AL1124</f>
        <v>0</v>
      </c>
      <c r="JF808" s="350">
        <f t="shared" ref="JF808:JF813" si="1265">JH808*0.55</f>
        <v>0</v>
      </c>
      <c r="JG808" s="302">
        <f t="shared" ref="JG808:JG813" si="1266">JH808-JF808</f>
        <v>0</v>
      </c>
      <c r="JH808" s="346">
        <f>FISC!MR1124</f>
        <v>0</v>
      </c>
      <c r="JI808" s="350">
        <f t="shared" ref="JI808:JI813" si="1267">JK808*0.55</f>
        <v>0</v>
      </c>
      <c r="JJ808" s="302">
        <f t="shared" ref="JJ808:JJ813" si="1268">JK808-JI808</f>
        <v>0</v>
      </c>
      <c r="JK808" s="346">
        <f>FISC!AN1124</f>
        <v>0</v>
      </c>
      <c r="JL808" s="350">
        <f t="shared" ref="JL808:JL813" si="1269">JN808*0.55</f>
        <v>0</v>
      </c>
      <c r="JM808" s="302">
        <f t="shared" ref="JM808:JM813" si="1270">JN808-JL808</f>
        <v>0</v>
      </c>
      <c r="JN808" s="346">
        <f>FISC!AO1124</f>
        <v>0</v>
      </c>
      <c r="KI808" s="349"/>
      <c r="KJ808" s="350"/>
    </row>
    <row r="809" spans="1:302" hidden="1" outlineLevel="1">
      <c r="A809" s="302"/>
      <c r="D809" s="1924" t="str">
        <f>FISC!D1125</f>
        <v>Flood response (GoR)</v>
      </c>
      <c r="E809" s="346"/>
      <c r="F809" s="346"/>
      <c r="G809" s="346"/>
      <c r="H809" s="346"/>
      <c r="I809" s="346"/>
      <c r="J809" s="346"/>
      <c r="K809" s="346"/>
      <c r="L809" s="346"/>
      <c r="M809" s="346"/>
      <c r="N809" s="346"/>
      <c r="O809" s="346"/>
      <c r="P809" s="346"/>
      <c r="Q809" s="346"/>
      <c r="R809" s="346"/>
      <c r="S809" s="346"/>
      <c r="T809" s="346"/>
      <c r="U809" s="346"/>
      <c r="V809" s="346"/>
      <c r="W809" s="346"/>
      <c r="X809" s="346"/>
      <c r="Y809" s="346"/>
      <c r="Z809" s="346"/>
      <c r="AA809" s="346"/>
      <c r="AB809" s="346"/>
      <c r="AC809" s="346"/>
      <c r="AD809" s="346"/>
      <c r="AE809" s="346"/>
      <c r="AF809" s="346"/>
      <c r="AG809" s="346"/>
      <c r="AH809" s="346"/>
      <c r="AI809" s="346"/>
      <c r="AJ809" s="346"/>
      <c r="AK809" s="346"/>
      <c r="AL809" s="346"/>
      <c r="AM809" s="346"/>
      <c r="AN809" s="346"/>
      <c r="AO809" s="346"/>
      <c r="AP809" s="346"/>
      <c r="AQ809" s="346"/>
      <c r="AR809" s="346"/>
      <c r="AS809" s="346"/>
      <c r="AT809" s="346"/>
      <c r="AU809" s="346"/>
      <c r="AV809" s="346"/>
      <c r="AW809" s="346"/>
      <c r="AX809" s="346"/>
      <c r="AY809" s="346"/>
      <c r="AZ809" s="346"/>
      <c r="BA809" s="346"/>
      <c r="BB809" s="346"/>
      <c r="BC809" s="346"/>
      <c r="BD809" s="346"/>
      <c r="BE809" s="346"/>
      <c r="BF809" s="346"/>
      <c r="BG809" s="346"/>
      <c r="BH809" s="346"/>
      <c r="BI809" s="346"/>
      <c r="BJ809" s="346"/>
      <c r="BK809" s="346"/>
      <c r="BL809" s="346"/>
      <c r="BM809" s="346"/>
      <c r="BN809" s="346"/>
      <c r="BO809" s="346"/>
      <c r="BP809" s="346"/>
      <c r="BQ809" s="346"/>
      <c r="BR809" s="346"/>
      <c r="BS809" s="346"/>
      <c r="BT809" s="346"/>
      <c r="BU809" s="346"/>
      <c r="BV809" s="346"/>
      <c r="BW809" s="346"/>
      <c r="BX809" s="346"/>
      <c r="BY809" s="346"/>
      <c r="BZ809" s="346"/>
      <c r="CA809" s="346"/>
      <c r="CB809" s="346"/>
      <c r="CC809" s="346"/>
      <c r="CD809" s="352"/>
      <c r="CE809" s="346"/>
      <c r="CF809" s="346"/>
      <c r="CG809" s="346"/>
      <c r="CH809" s="346"/>
      <c r="CI809" s="346"/>
      <c r="CJ809" s="346"/>
      <c r="CK809" s="346"/>
      <c r="CL809" s="346"/>
      <c r="CM809" s="346"/>
      <c r="CN809" s="346"/>
      <c r="CO809" s="346"/>
      <c r="CP809" s="348"/>
      <c r="CQ809" s="346"/>
      <c r="CR809" s="346"/>
      <c r="CS809" s="346"/>
      <c r="CT809" s="346"/>
      <c r="CU809" s="346"/>
      <c r="CV809" s="346"/>
      <c r="CW809" s="346"/>
      <c r="CX809" s="346"/>
      <c r="CY809" s="346"/>
      <c r="CZ809" s="346"/>
      <c r="DA809" s="346"/>
      <c r="DB809" s="1479"/>
      <c r="DC809" s="346"/>
      <c r="DD809" s="346"/>
      <c r="DE809" s="346"/>
      <c r="DF809" s="346"/>
      <c r="DG809" s="346"/>
      <c r="DH809" s="346"/>
      <c r="DI809" s="346"/>
      <c r="DJ809" s="346"/>
      <c r="DK809" s="346"/>
      <c r="DL809" s="346"/>
      <c r="DM809" s="346"/>
      <c r="DN809" s="348"/>
      <c r="DO809" s="346"/>
      <c r="DP809" s="346"/>
      <c r="DQ809" s="346"/>
      <c r="DR809" s="346"/>
      <c r="DS809" s="346"/>
      <c r="DT809" s="346"/>
      <c r="DU809" s="346"/>
      <c r="DV809" s="346"/>
      <c r="DW809" s="346"/>
      <c r="DX809" s="346"/>
      <c r="DY809" s="346"/>
      <c r="DZ809" s="348"/>
      <c r="EA809" s="346"/>
      <c r="EB809" s="346"/>
      <c r="EC809" s="346"/>
      <c r="ED809" s="346"/>
      <c r="EE809" s="346"/>
      <c r="EF809" s="346"/>
      <c r="EG809" s="346"/>
      <c r="EH809" s="346"/>
      <c r="EI809" s="346"/>
      <c r="EJ809" s="346"/>
      <c r="EK809" s="346"/>
      <c r="EL809" s="348"/>
      <c r="EM809" s="346"/>
      <c r="EN809" s="346"/>
      <c r="EO809" s="346"/>
      <c r="EP809" s="346"/>
      <c r="EQ809" s="346"/>
      <c r="ER809" s="346"/>
      <c r="ES809" s="346"/>
      <c r="ET809" s="346"/>
      <c r="EU809" s="346"/>
      <c r="EV809" s="346"/>
      <c r="EW809" s="346"/>
      <c r="EX809" s="348"/>
      <c r="EY809" s="346"/>
      <c r="EZ809" s="346"/>
      <c r="FA809" s="346"/>
      <c r="FB809" s="346"/>
      <c r="FC809" s="346"/>
      <c r="FD809" s="346"/>
      <c r="FE809" s="346"/>
      <c r="FF809" s="346"/>
      <c r="FG809" s="346"/>
      <c r="FH809" s="346"/>
      <c r="FI809" s="346"/>
      <c r="FJ809" s="348"/>
      <c r="FK809" s="346"/>
      <c r="FL809" s="346"/>
      <c r="FM809" s="346"/>
      <c r="FN809" s="346"/>
      <c r="FO809" s="346"/>
      <c r="FP809" s="346"/>
      <c r="FQ809" s="346"/>
      <c r="FR809" s="346"/>
      <c r="FS809" s="346"/>
      <c r="FT809" s="346"/>
      <c r="FU809" s="346"/>
      <c r="FV809" s="346"/>
      <c r="FW809" s="346"/>
      <c r="FX809" s="346"/>
      <c r="FY809" s="346"/>
      <c r="FZ809" s="346"/>
      <c r="GA809" s="346"/>
      <c r="GB809" s="346"/>
      <c r="GC809" s="346"/>
      <c r="GD809" s="346"/>
      <c r="GE809" s="346"/>
      <c r="GF809" s="346"/>
      <c r="GG809" s="346"/>
      <c r="GH809" s="346"/>
      <c r="GI809" s="1897"/>
      <c r="GJ809" s="1897"/>
      <c r="GK809" s="1897"/>
      <c r="GL809" s="1897"/>
      <c r="GM809" s="1897"/>
      <c r="GN809" s="1897"/>
      <c r="GO809" s="1897"/>
      <c r="GP809" s="1897"/>
      <c r="GQ809" s="1897"/>
      <c r="GR809" s="1897"/>
      <c r="GS809" s="1897"/>
      <c r="GT809" s="1897"/>
      <c r="GU809" s="1897"/>
      <c r="GV809" s="1897"/>
      <c r="GW809" s="1897"/>
      <c r="GX809" s="1897"/>
      <c r="GY809" s="1897"/>
      <c r="GZ809" s="1897"/>
      <c r="HA809" s="1897"/>
      <c r="HB809" s="1897"/>
      <c r="HC809" s="1897"/>
      <c r="HD809" s="1897"/>
      <c r="HE809" s="1897"/>
      <c r="HF809" s="1897"/>
      <c r="HG809" s="1897"/>
      <c r="HH809" s="1897"/>
      <c r="HI809" s="1897"/>
      <c r="HJ809" s="1897"/>
      <c r="HK809" s="1897"/>
      <c r="HL809" s="1897"/>
      <c r="HM809" s="1897"/>
      <c r="HN809" s="349"/>
      <c r="HO809" s="1638"/>
      <c r="HP809" s="307"/>
      <c r="HR809" s="346"/>
      <c r="HU809" s="346"/>
      <c r="HV809" s="307"/>
      <c r="HX809" s="346"/>
      <c r="HY809" s="350"/>
      <c r="IA809" s="346"/>
      <c r="ID809" s="346"/>
      <c r="IE809" s="350"/>
      <c r="IF809" s="350"/>
      <c r="IG809" s="346"/>
      <c r="IH809" s="350"/>
      <c r="II809" s="350"/>
      <c r="IJ809" s="346"/>
      <c r="IK809" s="350"/>
      <c r="IL809" s="350"/>
      <c r="IM809" s="346"/>
      <c r="IN809" s="350"/>
      <c r="IO809" s="350"/>
      <c r="IP809" s="346"/>
      <c r="IQ809" s="350"/>
      <c r="IR809" s="350"/>
      <c r="IS809" s="346"/>
      <c r="IT809" s="350">
        <v>1.9</v>
      </c>
      <c r="IU809" s="350">
        <f t="shared" si="1219"/>
        <v>0</v>
      </c>
      <c r="IV809" s="346">
        <f t="shared" si="1235"/>
        <v>1.9</v>
      </c>
      <c r="IW809" s="350">
        <f t="shared" si="1256"/>
        <v>0</v>
      </c>
      <c r="IX809" s="350">
        <f t="shared" si="1252"/>
        <v>0</v>
      </c>
      <c r="IY809" s="346">
        <f>FISC!AJ1125</f>
        <v>0</v>
      </c>
      <c r="IZ809" s="350"/>
      <c r="JB809" s="346"/>
      <c r="JC809" s="350"/>
      <c r="JE809" s="346"/>
      <c r="JF809" s="350"/>
      <c r="JH809" s="346"/>
      <c r="JI809" s="350"/>
      <c r="JK809" s="346"/>
      <c r="JL809" s="350"/>
      <c r="JN809" s="346"/>
      <c r="KI809" s="349"/>
      <c r="KJ809" s="350"/>
    </row>
    <row r="810" spans="1:302" hidden="1" outlineLevel="1">
      <c r="A810" s="302"/>
      <c r="D810" s="1924" t="str">
        <f>FISC!D1126</f>
        <v xml:space="preserve">UK Contigent </v>
      </c>
      <c r="E810" s="346"/>
      <c r="F810" s="346"/>
      <c r="G810" s="346"/>
      <c r="H810" s="346"/>
      <c r="I810" s="346"/>
      <c r="J810" s="346"/>
      <c r="K810" s="346"/>
      <c r="L810" s="346"/>
      <c r="M810" s="346"/>
      <c r="N810" s="346"/>
      <c r="O810" s="346"/>
      <c r="P810" s="346"/>
      <c r="Q810" s="346"/>
      <c r="R810" s="346"/>
      <c r="S810" s="346"/>
      <c r="T810" s="346"/>
      <c r="U810" s="346"/>
      <c r="V810" s="346"/>
      <c r="W810" s="346"/>
      <c r="X810" s="346"/>
      <c r="Y810" s="346"/>
      <c r="Z810" s="346"/>
      <c r="AA810" s="346"/>
      <c r="AB810" s="346"/>
      <c r="AC810" s="346"/>
      <c r="AD810" s="346"/>
      <c r="AE810" s="346"/>
      <c r="AF810" s="346"/>
      <c r="AG810" s="346"/>
      <c r="AH810" s="346"/>
      <c r="AI810" s="346"/>
      <c r="AJ810" s="346"/>
      <c r="AK810" s="346"/>
      <c r="AL810" s="346"/>
      <c r="AM810" s="346"/>
      <c r="AN810" s="346"/>
      <c r="AO810" s="346"/>
      <c r="AP810" s="346"/>
      <c r="AQ810" s="346"/>
      <c r="AR810" s="346"/>
      <c r="AS810" s="346"/>
      <c r="AT810" s="346"/>
      <c r="AU810" s="346"/>
      <c r="AV810" s="346"/>
      <c r="AW810" s="346"/>
      <c r="AX810" s="346"/>
      <c r="AY810" s="346"/>
      <c r="AZ810" s="346"/>
      <c r="BA810" s="346"/>
      <c r="BB810" s="346"/>
      <c r="BC810" s="346"/>
      <c r="BD810" s="346"/>
      <c r="BE810" s="346"/>
      <c r="BF810" s="346"/>
      <c r="BG810" s="346"/>
      <c r="BH810" s="346"/>
      <c r="BI810" s="346"/>
      <c r="BJ810" s="346"/>
      <c r="BK810" s="346"/>
      <c r="BL810" s="346"/>
      <c r="BM810" s="346"/>
      <c r="BN810" s="346"/>
      <c r="BO810" s="346"/>
      <c r="BP810" s="346"/>
      <c r="BQ810" s="346"/>
      <c r="BR810" s="346"/>
      <c r="BS810" s="346"/>
      <c r="BT810" s="346"/>
      <c r="BU810" s="346"/>
      <c r="BV810" s="346"/>
      <c r="BW810" s="346"/>
      <c r="BX810" s="346"/>
      <c r="BY810" s="346"/>
      <c r="BZ810" s="346"/>
      <c r="CA810" s="346"/>
      <c r="CB810" s="346"/>
      <c r="CC810" s="346"/>
      <c r="CD810" s="352"/>
      <c r="CE810" s="346"/>
      <c r="CF810" s="346"/>
      <c r="CG810" s="346"/>
      <c r="CH810" s="346"/>
      <c r="CI810" s="346"/>
      <c r="CJ810" s="346"/>
      <c r="CK810" s="346"/>
      <c r="CL810" s="346"/>
      <c r="CM810" s="346"/>
      <c r="CN810" s="346"/>
      <c r="CO810" s="346"/>
      <c r="CP810" s="348"/>
      <c r="CQ810" s="346"/>
      <c r="CR810" s="346"/>
      <c r="CS810" s="346"/>
      <c r="CT810" s="346"/>
      <c r="CU810" s="346"/>
      <c r="CV810" s="346"/>
      <c r="CW810" s="346"/>
      <c r="CX810" s="346"/>
      <c r="CY810" s="346"/>
      <c r="CZ810" s="346"/>
      <c r="DA810" s="346"/>
      <c r="DB810" s="1479"/>
      <c r="DC810" s="346"/>
      <c r="DD810" s="346"/>
      <c r="DE810" s="346"/>
      <c r="DF810" s="346"/>
      <c r="DG810" s="346"/>
      <c r="DH810" s="346"/>
      <c r="DI810" s="346"/>
      <c r="DJ810" s="346"/>
      <c r="DK810" s="346"/>
      <c r="DL810" s="346"/>
      <c r="DM810" s="346"/>
      <c r="DN810" s="348"/>
      <c r="DO810" s="346"/>
      <c r="DP810" s="346"/>
      <c r="DQ810" s="346"/>
      <c r="DR810" s="346"/>
      <c r="DS810" s="346"/>
      <c r="DT810" s="346"/>
      <c r="DU810" s="346"/>
      <c r="DV810" s="346"/>
      <c r="DW810" s="346"/>
      <c r="DX810" s="346"/>
      <c r="DY810" s="346"/>
      <c r="DZ810" s="348"/>
      <c r="EA810" s="346"/>
      <c r="EB810" s="346"/>
      <c r="EC810" s="346"/>
      <c r="ED810" s="346"/>
      <c r="EE810" s="346"/>
      <c r="EF810" s="346"/>
      <c r="EG810" s="346"/>
      <c r="EH810" s="346"/>
      <c r="EI810" s="346"/>
      <c r="EJ810" s="346"/>
      <c r="EK810" s="346"/>
      <c r="EL810" s="348"/>
      <c r="EM810" s="346"/>
      <c r="EN810" s="346"/>
      <c r="EO810" s="346"/>
      <c r="EP810" s="346"/>
      <c r="EQ810" s="346"/>
      <c r="ER810" s="346"/>
      <c r="ES810" s="346"/>
      <c r="ET810" s="346"/>
      <c r="EU810" s="346"/>
      <c r="EV810" s="346"/>
      <c r="EW810" s="346"/>
      <c r="EX810" s="348"/>
      <c r="EY810" s="346"/>
      <c r="EZ810" s="346"/>
      <c r="FA810" s="346"/>
      <c r="FB810" s="346"/>
      <c r="FC810" s="346"/>
      <c r="FD810" s="346"/>
      <c r="FE810" s="346"/>
      <c r="FF810" s="346"/>
      <c r="FG810" s="346"/>
      <c r="FH810" s="346"/>
      <c r="FI810" s="346"/>
      <c r="FJ810" s="348"/>
      <c r="FK810" s="346"/>
      <c r="FL810" s="346"/>
      <c r="FM810" s="346"/>
      <c r="FN810" s="346"/>
      <c r="FO810" s="346"/>
      <c r="FP810" s="346"/>
      <c r="FQ810" s="346"/>
      <c r="FR810" s="346"/>
      <c r="FS810" s="346"/>
      <c r="FT810" s="346"/>
      <c r="FU810" s="346"/>
      <c r="FV810" s="346"/>
      <c r="FW810" s="346"/>
      <c r="FX810" s="346"/>
      <c r="FY810" s="346"/>
      <c r="FZ810" s="346"/>
      <c r="GA810" s="346"/>
      <c r="GB810" s="346"/>
      <c r="GC810" s="346"/>
      <c r="GD810" s="346"/>
      <c r="GE810" s="346"/>
      <c r="GF810" s="346"/>
      <c r="GG810" s="346"/>
      <c r="GH810" s="346"/>
      <c r="GI810" s="1897"/>
      <c r="GJ810" s="1897"/>
      <c r="GK810" s="1897"/>
      <c r="GL810" s="1897"/>
      <c r="GM810" s="1897"/>
      <c r="GN810" s="1897"/>
      <c r="GO810" s="1897"/>
      <c r="GP810" s="1897"/>
      <c r="GQ810" s="1897"/>
      <c r="GR810" s="1897"/>
      <c r="GS810" s="1897"/>
      <c r="GT810" s="1897"/>
      <c r="GU810" s="1897"/>
      <c r="GV810" s="1897"/>
      <c r="GW810" s="1897"/>
      <c r="GX810" s="1897"/>
      <c r="GY810" s="1897"/>
      <c r="GZ810" s="1897"/>
      <c r="HA810" s="1897"/>
      <c r="HB810" s="1897"/>
      <c r="HC810" s="1897"/>
      <c r="HD810" s="1897"/>
      <c r="HE810" s="1897"/>
      <c r="HF810" s="1897"/>
      <c r="HG810" s="1897"/>
      <c r="HH810" s="1897"/>
      <c r="HI810" s="1897"/>
      <c r="HJ810" s="1897"/>
      <c r="HK810" s="1897"/>
      <c r="HL810" s="1897"/>
      <c r="HM810" s="1897"/>
      <c r="HN810" s="349"/>
      <c r="HO810" s="1638"/>
      <c r="HP810" s="307"/>
      <c r="HR810" s="346"/>
      <c r="HU810" s="346"/>
      <c r="HV810" s="307"/>
      <c r="HX810" s="346"/>
      <c r="HY810" s="350"/>
      <c r="IA810" s="346"/>
      <c r="ID810" s="346"/>
      <c r="IE810" s="350"/>
      <c r="IF810" s="350"/>
      <c r="IG810" s="346"/>
      <c r="IH810" s="350"/>
      <c r="II810" s="350"/>
      <c r="IJ810" s="346"/>
      <c r="IK810" s="350"/>
      <c r="IL810" s="350"/>
      <c r="IM810" s="346"/>
      <c r="IN810" s="350"/>
      <c r="IO810" s="350"/>
      <c r="IP810" s="346"/>
      <c r="IQ810" s="350"/>
      <c r="IR810" s="350"/>
      <c r="IS810" s="346"/>
      <c r="IT810" s="350">
        <f t="shared" si="1202"/>
        <v>0</v>
      </c>
      <c r="IU810" s="350">
        <f t="shared" si="1219"/>
        <v>0</v>
      </c>
      <c r="IV810" s="346">
        <f t="shared" si="1235"/>
        <v>0</v>
      </c>
      <c r="IW810" s="350">
        <f t="shared" si="1256"/>
        <v>0</v>
      </c>
      <c r="IX810" s="350">
        <f t="shared" si="1252"/>
        <v>19.239999999999998</v>
      </c>
      <c r="IY810" s="346">
        <f>FISC!AJ1126</f>
        <v>19.239999999999998</v>
      </c>
      <c r="IZ810" s="350"/>
      <c r="JB810" s="346"/>
      <c r="JC810" s="350"/>
      <c r="JE810" s="346"/>
      <c r="JF810" s="350"/>
      <c r="JH810" s="346"/>
      <c r="JI810" s="350"/>
      <c r="JK810" s="346"/>
      <c r="JL810" s="350"/>
      <c r="JN810" s="346"/>
      <c r="KI810" s="349"/>
      <c r="KJ810" s="350"/>
    </row>
    <row r="811" spans="1:302" hidden="1" outlineLevel="1">
      <c r="A811" s="302"/>
      <c r="B811" s="117" t="s">
        <v>361</v>
      </c>
      <c r="D811" s="355" t="s">
        <v>565</v>
      </c>
      <c r="E811" s="346">
        <f>E393</f>
        <v>0</v>
      </c>
      <c r="F811" s="346"/>
      <c r="G811" s="346"/>
      <c r="H811" s="346"/>
      <c r="I811" s="346"/>
      <c r="J811" s="346"/>
      <c r="K811" s="346"/>
      <c r="L811" s="346"/>
      <c r="M811" s="346"/>
      <c r="N811" s="346"/>
      <c r="O811" s="346"/>
      <c r="P811" s="346"/>
      <c r="Q811" s="346"/>
      <c r="R811" s="346"/>
      <c r="S811" s="346"/>
      <c r="T811" s="346"/>
      <c r="U811" s="346"/>
      <c r="V811" s="346"/>
      <c r="W811" s="346"/>
      <c r="X811" s="346"/>
      <c r="Y811" s="346"/>
      <c r="Z811" s="346"/>
      <c r="AA811" s="346"/>
      <c r="AB811" s="346"/>
      <c r="AC811" s="346"/>
      <c r="AD811" s="346"/>
      <c r="AE811" s="346"/>
      <c r="AF811" s="346"/>
      <c r="AG811" s="346"/>
      <c r="AH811" s="346"/>
      <c r="AI811" s="346"/>
      <c r="AJ811" s="346"/>
      <c r="AK811" s="346"/>
      <c r="AL811" s="346"/>
      <c r="AM811" s="346"/>
      <c r="AN811" s="346"/>
      <c r="AO811" s="346"/>
      <c r="AP811" s="346"/>
      <c r="AQ811" s="346"/>
      <c r="AR811" s="346"/>
      <c r="AS811" s="346"/>
      <c r="AT811" s="346"/>
      <c r="AU811" s="346"/>
      <c r="AV811" s="346"/>
      <c r="AW811" s="346"/>
      <c r="AX811" s="346"/>
      <c r="AY811" s="346"/>
      <c r="AZ811" s="346"/>
      <c r="BA811" s="346"/>
      <c r="BB811" s="346"/>
      <c r="BC811" s="346"/>
      <c r="BD811" s="346"/>
      <c r="BE811" s="346"/>
      <c r="BF811" s="346"/>
      <c r="BG811" s="346">
        <v>0.72797558612000002</v>
      </c>
      <c r="BH811" s="346">
        <v>3.9888344401999998</v>
      </c>
      <c r="BI811" s="346">
        <v>1.166327176</v>
      </c>
      <c r="BJ811" s="346">
        <v>4.5365377540000003</v>
      </c>
      <c r="BK811" s="346">
        <v>2.5838418239999998</v>
      </c>
      <c r="BL811" s="346">
        <v>2.7104474930000002</v>
      </c>
      <c r="BM811" s="346">
        <v>3.7477305379999999</v>
      </c>
      <c r="BN811" s="346">
        <v>3.0145003730000002</v>
      </c>
      <c r="BO811" s="346">
        <v>1.9164415459999999</v>
      </c>
      <c r="BP811" s="346">
        <v>4.6199256719499999</v>
      </c>
      <c r="BQ811" s="346">
        <v>1.9218507739999999</v>
      </c>
      <c r="BR811" s="346">
        <v>0.36023317574000002</v>
      </c>
      <c r="BS811" s="346">
        <v>2.9701385550000001</v>
      </c>
      <c r="BT811" s="346">
        <v>3.0417317160000001</v>
      </c>
      <c r="BU811" s="346">
        <v>0.88294982399999999</v>
      </c>
      <c r="BV811" s="346">
        <v>4.5379594660000002</v>
      </c>
      <c r="BW811" s="346">
        <v>2.1944629180000002</v>
      </c>
      <c r="BX811" s="346">
        <v>3.2697257560000001</v>
      </c>
      <c r="BY811" s="346">
        <v>1.815874443</v>
      </c>
      <c r="BZ811" s="346">
        <v>3.0689477100000002</v>
      </c>
      <c r="CA811" s="346">
        <v>2.213082714</v>
      </c>
      <c r="CB811" s="346">
        <v>4.3015471639999996</v>
      </c>
      <c r="CC811" s="346">
        <v>2.2333725969999998</v>
      </c>
      <c r="CD811" s="352">
        <v>0.85199352900000003</v>
      </c>
      <c r="CE811" s="346">
        <f t="shared" ref="CE811:DJ811" si="1271">CE398</f>
        <v>1.694336734</v>
      </c>
      <c r="CF811" s="346">
        <f t="shared" si="1271"/>
        <v>0.34213592300000001</v>
      </c>
      <c r="CG811" s="346">
        <f t="shared" si="1271"/>
        <v>2.0015177820000001</v>
      </c>
      <c r="CH811" s="346">
        <f t="shared" si="1271"/>
        <v>2.643980714</v>
      </c>
      <c r="CI811" s="346">
        <f t="shared" si="1271"/>
        <v>1.9010356150000001</v>
      </c>
      <c r="CJ811" s="346">
        <f t="shared" si="1271"/>
        <v>0.37540928699999998</v>
      </c>
      <c r="CK811" s="346">
        <f t="shared" si="1271"/>
        <v>1.9275458009999999</v>
      </c>
      <c r="CL811" s="346">
        <f t="shared" si="1271"/>
        <v>2.3708177899999998</v>
      </c>
      <c r="CM811" s="346">
        <f t="shared" si="1271"/>
        <v>1.4137448189999999</v>
      </c>
      <c r="CN811" s="346">
        <f t="shared" si="1271"/>
        <v>4.0224860720000004</v>
      </c>
      <c r="CO811" s="346">
        <f t="shared" si="1271"/>
        <v>3.435584135</v>
      </c>
      <c r="CP811" s="348">
        <f t="shared" si="1271"/>
        <v>0.75093030500000002</v>
      </c>
      <c r="CQ811" s="346">
        <f t="shared" si="1271"/>
        <v>2.3906111839999999</v>
      </c>
      <c r="CR811" s="346">
        <f t="shared" si="1271"/>
        <v>1.0183012629999999</v>
      </c>
      <c r="CS811" s="346">
        <f t="shared" si="1271"/>
        <v>0.82287460700000004</v>
      </c>
      <c r="CT811" s="346">
        <f t="shared" si="1271"/>
        <v>1.3026442389999999</v>
      </c>
      <c r="CU811" s="346">
        <f t="shared" si="1271"/>
        <v>0.97001537400000004</v>
      </c>
      <c r="CV811" s="346">
        <f t="shared" si="1271"/>
        <v>1.7521545860000001</v>
      </c>
      <c r="CW811" s="346">
        <f t="shared" si="1271"/>
        <v>1.165955109</v>
      </c>
      <c r="CX811" s="346">
        <f t="shared" si="1271"/>
        <v>0.74236926700000005</v>
      </c>
      <c r="CY811" s="346">
        <f t="shared" si="1271"/>
        <v>4.8269116089999997</v>
      </c>
      <c r="CZ811" s="346">
        <f t="shared" si="1271"/>
        <v>3.0675081569999998</v>
      </c>
      <c r="DA811" s="346">
        <f t="shared" si="1271"/>
        <v>3.6386895080000001</v>
      </c>
      <c r="DB811" s="1479">
        <f t="shared" si="1271"/>
        <v>0.86262805399999998</v>
      </c>
      <c r="DC811" s="346">
        <f t="shared" si="1271"/>
        <v>1.5044696980000001</v>
      </c>
      <c r="DD811" s="346">
        <f t="shared" si="1271"/>
        <v>0.627667647</v>
      </c>
      <c r="DE811" s="346">
        <f t="shared" si="1271"/>
        <v>1.7528183930000001</v>
      </c>
      <c r="DF811" s="346">
        <f t="shared" si="1271"/>
        <v>2.3458812569999998</v>
      </c>
      <c r="DG811" s="346">
        <f t="shared" si="1271"/>
        <v>2.1914482510000002</v>
      </c>
      <c r="DH811" s="346">
        <f t="shared" si="1271"/>
        <v>1.343832125</v>
      </c>
      <c r="DI811" s="346">
        <f t="shared" si="1271"/>
        <v>1.9781937430000001</v>
      </c>
      <c r="DJ811" s="346">
        <f t="shared" si="1271"/>
        <v>2.1640983980000001</v>
      </c>
      <c r="DK811" s="346">
        <f t="shared" ref="DK811:EP811" si="1272">DK398</f>
        <v>3.3052532179999998</v>
      </c>
      <c r="DL811" s="346">
        <f t="shared" si="1272"/>
        <v>4.0667894770000004</v>
      </c>
      <c r="DM811" s="346">
        <f t="shared" si="1272"/>
        <v>2.0382407599999999</v>
      </c>
      <c r="DN811" s="348">
        <f t="shared" si="1272"/>
        <v>1.288448796</v>
      </c>
      <c r="DO811" s="346">
        <f t="shared" si="1272"/>
        <v>0.95087065599999998</v>
      </c>
      <c r="DP811" s="346">
        <f t="shared" si="1272"/>
        <v>1.4591613000000001</v>
      </c>
      <c r="DQ811" s="346">
        <f t="shared" si="1272"/>
        <v>0.74290474699999998</v>
      </c>
      <c r="DR811" s="346">
        <f t="shared" si="1272"/>
        <v>1.5319065089999999</v>
      </c>
      <c r="DS811" s="346">
        <f t="shared" si="1272"/>
        <v>1.4276739469999999</v>
      </c>
      <c r="DT811" s="346">
        <f t="shared" si="1272"/>
        <v>2.712064518</v>
      </c>
      <c r="DU811" s="346">
        <f t="shared" si="1272"/>
        <v>0.98750042400000004</v>
      </c>
      <c r="DV811" s="346">
        <f t="shared" si="1272"/>
        <v>2.4017155840000002</v>
      </c>
      <c r="DW811" s="346">
        <f t="shared" si="1272"/>
        <v>0.82440291700000001</v>
      </c>
      <c r="DX811" s="346">
        <f t="shared" si="1272"/>
        <v>5.6141318489999996</v>
      </c>
      <c r="DY811" s="346">
        <f t="shared" si="1272"/>
        <v>4.3962038139999997</v>
      </c>
      <c r="DZ811" s="348">
        <f t="shared" si="1272"/>
        <v>0.62810827400000002</v>
      </c>
      <c r="EA811" s="346">
        <f t="shared" si="1272"/>
        <v>1.1708866120000001</v>
      </c>
      <c r="EB811" s="346">
        <f t="shared" si="1272"/>
        <v>0.75580043500000005</v>
      </c>
      <c r="EC811" s="346">
        <f t="shared" si="1272"/>
        <v>1.755143793</v>
      </c>
      <c r="ED811" s="346">
        <f t="shared" si="1272"/>
        <v>1.0557142559999999</v>
      </c>
      <c r="EE811" s="346">
        <f t="shared" si="1272"/>
        <v>2.0397238419999999</v>
      </c>
      <c r="EF811" s="346">
        <f t="shared" si="1272"/>
        <v>0.916798157</v>
      </c>
      <c r="EG811" s="346">
        <f t="shared" si="1272"/>
        <v>2.5546144399999999</v>
      </c>
      <c r="EH811" s="346">
        <f t="shared" si="1272"/>
        <v>1.889572751</v>
      </c>
      <c r="EI811" s="346">
        <f t="shared" si="1272"/>
        <v>4.6231627990000002</v>
      </c>
      <c r="EJ811" s="346">
        <f t="shared" si="1272"/>
        <v>4.7630311250000004</v>
      </c>
      <c r="EK811" s="346">
        <f t="shared" si="1272"/>
        <v>2.7607849450000002</v>
      </c>
      <c r="EL811" s="348">
        <f t="shared" si="1272"/>
        <v>0.89356759299999999</v>
      </c>
      <c r="EM811" s="346">
        <f t="shared" si="1272"/>
        <v>1.6142200179999999</v>
      </c>
      <c r="EN811" s="346">
        <f t="shared" si="1272"/>
        <v>0.89031991200000005</v>
      </c>
      <c r="EO811" s="346">
        <f t="shared" si="1272"/>
        <v>2.108782589</v>
      </c>
      <c r="EP811" s="346">
        <f t="shared" si="1272"/>
        <v>0.73936070499999995</v>
      </c>
      <c r="EQ811" s="346">
        <f t="shared" ref="EQ811:FV811" si="1273">EQ398</f>
        <v>1.3657821000000001</v>
      </c>
      <c r="ER811" s="346">
        <f t="shared" si="1273"/>
        <v>3.3043372020000001</v>
      </c>
      <c r="ES811" s="346">
        <f t="shared" si="1273"/>
        <v>5.9037791310000003</v>
      </c>
      <c r="ET811" s="346">
        <f t="shared" si="1273"/>
        <v>1.060348689</v>
      </c>
      <c r="EU811" s="346">
        <f t="shared" si="1273"/>
        <v>2.140259023</v>
      </c>
      <c r="EV811" s="346">
        <f t="shared" si="1273"/>
        <v>3.6435456049999999</v>
      </c>
      <c r="EW811" s="346">
        <f t="shared" si="1273"/>
        <v>2.2992679119999999</v>
      </c>
      <c r="EX811" s="348">
        <f t="shared" si="1273"/>
        <v>0.75024441600000003</v>
      </c>
      <c r="EY811" s="346">
        <f t="shared" si="1273"/>
        <v>3.9453585000000002</v>
      </c>
      <c r="EZ811" s="346">
        <f t="shared" si="1273"/>
        <v>1.031143436</v>
      </c>
      <c r="FA811" s="346">
        <f t="shared" si="1273"/>
        <v>1.4299499920000001</v>
      </c>
      <c r="FB811" s="346">
        <f t="shared" si="1273"/>
        <v>5.3039082369999999</v>
      </c>
      <c r="FC811" s="346">
        <f t="shared" si="1273"/>
        <v>1.616856469</v>
      </c>
      <c r="FD811" s="346">
        <f t="shared" si="1273"/>
        <v>2.4091368800000001</v>
      </c>
      <c r="FE811" s="346">
        <f t="shared" si="1273"/>
        <v>1.6777123009999999</v>
      </c>
      <c r="FF811" s="346">
        <f t="shared" si="1273"/>
        <v>2.5551396369999999</v>
      </c>
      <c r="FG811" s="346">
        <f t="shared" si="1273"/>
        <v>2.2302403979999998</v>
      </c>
      <c r="FH811" s="346">
        <f t="shared" si="1273"/>
        <v>1.916184654</v>
      </c>
      <c r="FI811" s="346">
        <f t="shared" si="1273"/>
        <v>1.855069549</v>
      </c>
      <c r="FJ811" s="348">
        <f t="shared" si="1273"/>
        <v>0.69850705300000004</v>
      </c>
      <c r="FK811" s="346">
        <f t="shared" si="1273"/>
        <v>3.4627875640000001</v>
      </c>
      <c r="FL811" s="346">
        <f t="shared" si="1273"/>
        <v>1.783247966</v>
      </c>
      <c r="FM811" s="346">
        <f t="shared" si="1273"/>
        <v>7.2172518590000001</v>
      </c>
      <c r="FN811" s="346">
        <f t="shared" si="1273"/>
        <v>0</v>
      </c>
      <c r="FO811" s="346">
        <f t="shared" si="1273"/>
        <v>0</v>
      </c>
      <c r="FP811" s="346">
        <f t="shared" si="1273"/>
        <v>0</v>
      </c>
      <c r="FQ811" s="346">
        <f t="shared" si="1273"/>
        <v>4.233397504</v>
      </c>
      <c r="FR811" s="346">
        <f t="shared" si="1273"/>
        <v>3.3493163429999999</v>
      </c>
      <c r="FS811" s="346">
        <f t="shared" si="1273"/>
        <v>6.1376404510000002</v>
      </c>
      <c r="FT811" s="346">
        <f t="shared" si="1273"/>
        <v>5.3130471799999999</v>
      </c>
      <c r="FU811" s="346">
        <f t="shared" si="1273"/>
        <v>9.2502008829999998</v>
      </c>
      <c r="FV811" s="346">
        <f t="shared" si="1273"/>
        <v>0.28717848899999998</v>
      </c>
      <c r="FW811" s="346">
        <v>1.868332189</v>
      </c>
      <c r="FX811" s="346">
        <v>2.2561689999999999</v>
      </c>
      <c r="FY811" s="346">
        <v>13.465075816000001</v>
      </c>
      <c r="FZ811" s="346">
        <v>2.3868783750000002</v>
      </c>
      <c r="GA811" s="346">
        <v>6.4579859539999998</v>
      </c>
      <c r="GB811" s="346">
        <v>1.634244764</v>
      </c>
      <c r="GC811" s="346">
        <v>3.0913987989999998</v>
      </c>
      <c r="GD811" s="346">
        <v>5.1632155390000003</v>
      </c>
      <c r="GE811" s="346">
        <v>6.6170545709999997</v>
      </c>
      <c r="GF811" s="346">
        <v>5.464931773</v>
      </c>
      <c r="GG811" s="346">
        <v>4.6208750360000002</v>
      </c>
      <c r="GH811" s="346">
        <v>3.6398171860000001</v>
      </c>
      <c r="GI811" s="1897">
        <f>GI398</f>
        <v>1.884030804</v>
      </c>
      <c r="GJ811" s="1897">
        <f t="shared" ref="GJ811:GZ811" si="1274">GJ398</f>
        <v>1.591270019</v>
      </c>
      <c r="GK811" s="1897">
        <f t="shared" si="1274"/>
        <v>8.5108410780000003</v>
      </c>
      <c r="GL811" s="1897">
        <f t="shared" si="1274"/>
        <v>1.336745547</v>
      </c>
      <c r="GM811" s="1897">
        <f t="shared" si="1274"/>
        <v>1.139952098</v>
      </c>
      <c r="GN811" s="1897">
        <f t="shared" si="1274"/>
        <v>4.0227978369999997</v>
      </c>
      <c r="GO811" s="1897">
        <f t="shared" si="1274"/>
        <v>12.752151707736497</v>
      </c>
      <c r="GP811" s="1897">
        <f t="shared" si="1274"/>
        <v>1.1273628969109135</v>
      </c>
      <c r="GQ811" s="1897">
        <f t="shared" si="1274"/>
        <v>1.8703137062264028</v>
      </c>
      <c r="GR811" s="1897">
        <f t="shared" si="1274"/>
        <v>6.6646715061964157</v>
      </c>
      <c r="GS811" s="1897">
        <f t="shared" si="1274"/>
        <v>4.9855332177363447</v>
      </c>
      <c r="GT811" s="1897">
        <f t="shared" si="1274"/>
        <v>0.21432958219342954</v>
      </c>
      <c r="GU811" s="1897">
        <f t="shared" si="1274"/>
        <v>2.7584634480000001</v>
      </c>
      <c r="GV811" s="1897">
        <f t="shared" si="1274"/>
        <v>1.152133259</v>
      </c>
      <c r="GW811" s="1897">
        <f t="shared" si="1274"/>
        <v>2.0849256779999998</v>
      </c>
      <c r="GX811" s="1897">
        <f t="shared" si="1274"/>
        <v>5.7714527889999996</v>
      </c>
      <c r="GY811" s="1897">
        <f t="shared" si="1274"/>
        <v>4.8026612540000002</v>
      </c>
      <c r="GZ811" s="1897">
        <f t="shared" si="1274"/>
        <v>8.135307353</v>
      </c>
      <c r="HA811" s="1897">
        <f t="shared" ref="HA811:HL811" si="1275">HA398</f>
        <v>2.6660588619999999</v>
      </c>
      <c r="HB811" s="1897">
        <f t="shared" si="1275"/>
        <v>2.4553271940000001</v>
      </c>
      <c r="HC811" s="1897">
        <f t="shared" si="1275"/>
        <v>4.1038805089999997</v>
      </c>
      <c r="HD811" s="1897">
        <f t="shared" si="1275"/>
        <v>4.0130978170000002</v>
      </c>
      <c r="HE811" s="1897">
        <f t="shared" si="1275"/>
        <v>5.5731137390000001</v>
      </c>
      <c r="HF811" s="1897">
        <f t="shared" si="1275"/>
        <v>5.4151836590000002</v>
      </c>
      <c r="HG811" s="1897">
        <f t="shared" si="1275"/>
        <v>13.034583842</v>
      </c>
      <c r="HH811" s="1897">
        <f t="shared" si="1275"/>
        <v>0.74528712800000307</v>
      </c>
      <c r="HI811" s="1897">
        <f t="shared" si="1275"/>
        <v>2.7222285589999999</v>
      </c>
      <c r="HJ811" s="1897">
        <f t="shared" si="1275"/>
        <v>1.1841009360000001</v>
      </c>
      <c r="HK811" s="1897">
        <f t="shared" si="1275"/>
        <v>1.6721358390000001</v>
      </c>
      <c r="HL811" s="1897">
        <f t="shared" si="1275"/>
        <v>13.050935793999997</v>
      </c>
      <c r="HM811" s="1897"/>
      <c r="HN811" s="349"/>
      <c r="HO811" s="355" t="s">
        <v>565</v>
      </c>
      <c r="HP811" s="307">
        <f>SUM(CE811:CJ811)</f>
        <v>8.9584160549999989</v>
      </c>
      <c r="HQ811" s="302">
        <f>SUM(CK811:CP811)</f>
        <v>13.921108921999998</v>
      </c>
      <c r="HR811" s="346">
        <f>HP811+HQ811</f>
        <v>22.879524976999996</v>
      </c>
      <c r="HS811" s="302">
        <f>SUM(CQ811:CV811)</f>
        <v>8.2566012529999995</v>
      </c>
      <c r="HT811" s="302">
        <f>SUM(CW811:DB811)</f>
        <v>14.304061703999999</v>
      </c>
      <c r="HU811" s="346">
        <f>HS811+HT811</f>
        <v>22.560662956999998</v>
      </c>
      <c r="HV811" s="307">
        <f>SUM(DC811:DH811)</f>
        <v>9.7661173710000018</v>
      </c>
      <c r="HW811" s="302">
        <f>SUM(DI811:DN811)</f>
        <v>14.841024392000001</v>
      </c>
      <c r="HX811" s="346">
        <f>HV811+HW811</f>
        <v>24.607141763000001</v>
      </c>
      <c r="HY811" s="350">
        <f>SUM(DO811:DT811)</f>
        <v>8.8245816769999994</v>
      </c>
      <c r="HZ811" s="302">
        <f>SUM(DU811:DZ811)</f>
        <v>14.852062862</v>
      </c>
      <c r="IA811" s="346">
        <f>HY811+HZ811</f>
        <v>23.676644539000002</v>
      </c>
      <c r="IB811" s="302">
        <f>SUM(EA811:EF811)</f>
        <v>7.6940670949999994</v>
      </c>
      <c r="IC811" s="302">
        <f>SUM(EG811:EL811)</f>
        <v>17.484733653000003</v>
      </c>
      <c r="ID811" s="346">
        <f>IB811+IC811</f>
        <v>25.178800748</v>
      </c>
      <c r="IE811" s="350">
        <f>SUM(EM811:ER811)</f>
        <v>10.022802526</v>
      </c>
      <c r="IF811" s="350">
        <f>SUM(ES811:EX811)</f>
        <v>15.797444775999999</v>
      </c>
      <c r="IG811" s="346">
        <f>IE811+IF811</f>
        <v>25.820247301999999</v>
      </c>
      <c r="IH811" s="350">
        <f>SUM(EY811:FD811)</f>
        <v>15.736353514000001</v>
      </c>
      <c r="II811" s="350">
        <f>SUM(FE811:FJ811)</f>
        <v>10.932853591999999</v>
      </c>
      <c r="IJ811" s="346">
        <f>IH811+II811</f>
        <v>26.669207106000002</v>
      </c>
      <c r="IK811" s="350">
        <f>SUM(FK811:FP811)</f>
        <v>12.463287389000001</v>
      </c>
      <c r="IL811" s="350">
        <f>SUM(FQ811:FV811)</f>
        <v>28.570780849999998</v>
      </c>
      <c r="IM811" s="346">
        <f t="shared" si="1183"/>
        <v>41.034068239</v>
      </c>
      <c r="IN811" s="350">
        <f t="shared" ref="IN811:IN827" si="1276">SUM(FW811:GB811)</f>
        <v>28.068686098000008</v>
      </c>
      <c r="IO811" s="350">
        <f t="shared" ref="IO811:IO827" si="1277">SUM(GC811:GH811)</f>
        <v>28.597292904</v>
      </c>
      <c r="IP811" s="346">
        <f t="shared" si="1066"/>
        <v>56.665979002000007</v>
      </c>
      <c r="IQ811" s="350">
        <f t="shared" ref="IQ811:IQ827" si="1278">SUM(GI811:GN811)</f>
        <v>18.485637383</v>
      </c>
      <c r="IR811" s="350">
        <f>SUM(GO811:GT811)</f>
        <v>27.614362617000005</v>
      </c>
      <c r="IS811" s="346">
        <f t="shared" si="1264"/>
        <v>46.100000000000009</v>
      </c>
      <c r="IT811" s="350">
        <f>SUM(GU811:GZ811)</f>
        <v>24.704943780999997</v>
      </c>
      <c r="IU811" s="350">
        <f t="shared" si="1219"/>
        <v>24.226661780000001</v>
      </c>
      <c r="IV811" s="346">
        <f t="shared" si="1235"/>
        <v>48.931605560999998</v>
      </c>
      <c r="IW811" s="350">
        <f t="shared" si="1256"/>
        <v>32.409272098000002</v>
      </c>
      <c r="IX811" s="350">
        <f t="shared" si="1252"/>
        <v>35.035882994479806</v>
      </c>
      <c r="IY811" s="346">
        <f>FISC!AJ1127</f>
        <v>67.445155092479808</v>
      </c>
      <c r="IZ811" s="350">
        <f>JB811*0.5</f>
        <v>37.459988049435907</v>
      </c>
      <c r="JA811" s="302">
        <f>JB811-IZ811</f>
        <v>37.459988049435907</v>
      </c>
      <c r="JB811" s="346">
        <f>FISC!AK1127</f>
        <v>74.919976098871814</v>
      </c>
      <c r="JC811" s="350">
        <f>JE811*0.5</f>
        <v>38.34371972355688</v>
      </c>
      <c r="JD811" s="302">
        <f t="shared" si="1210"/>
        <v>38.34371972355688</v>
      </c>
      <c r="JE811" s="346">
        <f>FISC!AL1127</f>
        <v>76.687439447113761</v>
      </c>
      <c r="JF811" s="350">
        <f>JH811*0.5</f>
        <v>43.162608054928732</v>
      </c>
      <c r="JG811" s="302">
        <f t="shared" si="1266"/>
        <v>43.162608054928732</v>
      </c>
      <c r="JH811" s="346">
        <f>FISC!AM1127</f>
        <v>86.325216109857465</v>
      </c>
      <c r="JI811" s="350">
        <f>JK811*0.5</f>
        <v>48.500112592469073</v>
      </c>
      <c r="JJ811" s="302">
        <f t="shared" si="1268"/>
        <v>48.500112592469073</v>
      </c>
      <c r="JK811" s="346">
        <f>FISC!AN1127</f>
        <v>97.000225184938145</v>
      </c>
      <c r="JL811" s="350">
        <f t="shared" si="1269"/>
        <v>59.940413955189534</v>
      </c>
      <c r="JM811" s="302">
        <f t="shared" si="1270"/>
        <v>49.042156872427789</v>
      </c>
      <c r="JN811" s="346">
        <f>FISC!AO1127</f>
        <v>108.98257082761732</v>
      </c>
      <c r="KI811" s="349"/>
      <c r="KJ811" s="350"/>
    </row>
    <row r="812" spans="1:302" hidden="1" outlineLevel="1">
      <c r="A812" s="302"/>
      <c r="D812" s="1924" t="str">
        <f>FISC!D1128</f>
        <v>Flood response</v>
      </c>
      <c r="E812" s="346"/>
      <c r="F812" s="346"/>
      <c r="G812" s="346"/>
      <c r="H812" s="346"/>
      <c r="I812" s="346"/>
      <c r="J812" s="346"/>
      <c r="K812" s="346"/>
      <c r="L812" s="346"/>
      <c r="M812" s="346"/>
      <c r="N812" s="346"/>
      <c r="O812" s="346"/>
      <c r="P812" s="346"/>
      <c r="Q812" s="346"/>
      <c r="R812" s="346"/>
      <c r="S812" s="346"/>
      <c r="T812" s="346"/>
      <c r="U812" s="346"/>
      <c r="V812" s="346"/>
      <c r="W812" s="346"/>
      <c r="X812" s="346"/>
      <c r="Y812" s="346"/>
      <c r="Z812" s="346"/>
      <c r="AA812" s="346"/>
      <c r="AB812" s="346"/>
      <c r="AC812" s="346"/>
      <c r="AD812" s="346"/>
      <c r="AE812" s="346"/>
      <c r="AF812" s="346"/>
      <c r="AG812" s="346"/>
      <c r="AH812" s="346"/>
      <c r="AI812" s="346"/>
      <c r="AJ812" s="346"/>
      <c r="AK812" s="346"/>
      <c r="AL812" s="346"/>
      <c r="AM812" s="346"/>
      <c r="AN812" s="346"/>
      <c r="AO812" s="346"/>
      <c r="AP812" s="346"/>
      <c r="AQ812" s="346"/>
      <c r="AR812" s="346"/>
      <c r="AS812" s="346"/>
      <c r="AT812" s="346"/>
      <c r="AU812" s="346"/>
      <c r="AV812" s="346"/>
      <c r="AW812" s="346"/>
      <c r="AX812" s="346"/>
      <c r="AY812" s="346"/>
      <c r="AZ812" s="346"/>
      <c r="BA812" s="346"/>
      <c r="BB812" s="346"/>
      <c r="BC812" s="346"/>
      <c r="BD812" s="346"/>
      <c r="BE812" s="346"/>
      <c r="BF812" s="346"/>
      <c r="BG812" s="346"/>
      <c r="BH812" s="346"/>
      <c r="BI812" s="346"/>
      <c r="BJ812" s="346"/>
      <c r="BK812" s="346"/>
      <c r="BL812" s="346"/>
      <c r="BM812" s="346"/>
      <c r="BN812" s="346"/>
      <c r="BO812" s="346"/>
      <c r="BP812" s="346"/>
      <c r="BQ812" s="346"/>
      <c r="BR812" s="346"/>
      <c r="BS812" s="346"/>
      <c r="BT812" s="346"/>
      <c r="BU812" s="346"/>
      <c r="BV812" s="346"/>
      <c r="BW812" s="346"/>
      <c r="BX812" s="346"/>
      <c r="BY812" s="346"/>
      <c r="BZ812" s="346"/>
      <c r="CA812" s="346"/>
      <c r="CB812" s="346"/>
      <c r="CC812" s="346"/>
      <c r="CD812" s="352"/>
      <c r="CE812" s="346"/>
      <c r="CF812" s="346"/>
      <c r="CG812" s="346"/>
      <c r="CH812" s="346"/>
      <c r="CI812" s="346"/>
      <c r="CJ812" s="346"/>
      <c r="CK812" s="346"/>
      <c r="CL812" s="346"/>
      <c r="CM812" s="346"/>
      <c r="CN812" s="346"/>
      <c r="CO812" s="346"/>
      <c r="CP812" s="348"/>
      <c r="CQ812" s="346"/>
      <c r="CR812" s="346"/>
      <c r="CS812" s="346"/>
      <c r="CT812" s="346"/>
      <c r="CU812" s="346"/>
      <c r="CV812" s="346"/>
      <c r="CW812" s="346"/>
      <c r="CX812" s="346"/>
      <c r="CY812" s="346"/>
      <c r="CZ812" s="346"/>
      <c r="DA812" s="346"/>
      <c r="DB812" s="1479"/>
      <c r="DC812" s="346"/>
      <c r="DD812" s="346"/>
      <c r="DE812" s="346"/>
      <c r="DF812" s="346"/>
      <c r="DG812" s="346"/>
      <c r="DH812" s="346"/>
      <c r="DI812" s="346"/>
      <c r="DJ812" s="346"/>
      <c r="DK812" s="346"/>
      <c r="DL812" s="346"/>
      <c r="DM812" s="346"/>
      <c r="DN812" s="348"/>
      <c r="DO812" s="346"/>
      <c r="DP812" s="346"/>
      <c r="DQ812" s="346"/>
      <c r="DR812" s="346"/>
      <c r="DS812" s="346"/>
      <c r="DT812" s="346"/>
      <c r="DU812" s="346"/>
      <c r="DV812" s="346"/>
      <c r="DW812" s="346"/>
      <c r="DX812" s="346"/>
      <c r="DY812" s="346"/>
      <c r="DZ812" s="348"/>
      <c r="EA812" s="346"/>
      <c r="EB812" s="346"/>
      <c r="EC812" s="346"/>
      <c r="ED812" s="346"/>
      <c r="EE812" s="346"/>
      <c r="EF812" s="346"/>
      <c r="EG812" s="346"/>
      <c r="EH812" s="346"/>
      <c r="EI812" s="346"/>
      <c r="EJ812" s="346"/>
      <c r="EK812" s="346"/>
      <c r="EL812" s="348"/>
      <c r="EM812" s="346"/>
      <c r="EN812" s="346"/>
      <c r="EO812" s="346"/>
      <c r="EP812" s="346"/>
      <c r="EQ812" s="346"/>
      <c r="ER812" s="346"/>
      <c r="ES812" s="346"/>
      <c r="ET812" s="346"/>
      <c r="EU812" s="346"/>
      <c r="EV812" s="346"/>
      <c r="EW812" s="346"/>
      <c r="EX812" s="348"/>
      <c r="EY812" s="346"/>
      <c r="EZ812" s="346"/>
      <c r="FA812" s="346"/>
      <c r="FB812" s="346"/>
      <c r="FC812" s="346"/>
      <c r="FD812" s="346"/>
      <c r="FE812" s="346"/>
      <c r="FF812" s="346"/>
      <c r="FG812" s="346"/>
      <c r="FH812" s="346"/>
      <c r="FI812" s="346"/>
      <c r="FJ812" s="348"/>
      <c r="FK812" s="346"/>
      <c r="FL812" s="346"/>
      <c r="FM812" s="346"/>
      <c r="FN812" s="346"/>
      <c r="FO812" s="346"/>
      <c r="FP812" s="346"/>
      <c r="FQ812" s="346"/>
      <c r="FR812" s="346"/>
      <c r="FS812" s="346"/>
      <c r="FT812" s="346"/>
      <c r="FU812" s="346"/>
      <c r="FV812" s="346"/>
      <c r="FW812" s="346"/>
      <c r="FX812" s="346"/>
      <c r="FY812" s="346"/>
      <c r="FZ812" s="346"/>
      <c r="GA812" s="346"/>
      <c r="GB812" s="346"/>
      <c r="GC812" s="346"/>
      <c r="GD812" s="346"/>
      <c r="GE812" s="346"/>
      <c r="GF812" s="346"/>
      <c r="GG812" s="346"/>
      <c r="GH812" s="346"/>
      <c r="GI812" s="1897"/>
      <c r="GJ812" s="1897"/>
      <c r="GK812" s="1897"/>
      <c r="GL812" s="1897"/>
      <c r="GM812" s="1897"/>
      <c r="GN812" s="1897"/>
      <c r="HN812" s="349"/>
      <c r="HO812" s="1640" t="s">
        <v>3191</v>
      </c>
      <c r="HP812" s="307"/>
      <c r="HR812" s="346"/>
      <c r="HU812" s="346"/>
      <c r="HV812" s="307"/>
      <c r="HX812" s="346"/>
      <c r="HY812" s="350"/>
      <c r="IA812" s="346"/>
      <c r="ID812" s="346"/>
      <c r="IE812" s="350"/>
      <c r="IF812" s="350"/>
      <c r="IG812" s="346"/>
      <c r="IH812" s="350"/>
      <c r="II812" s="350">
        <f>SUM(FE812:FJ812)</f>
        <v>0</v>
      </c>
      <c r="IJ812" s="346"/>
      <c r="IK812" s="350"/>
      <c r="IL812" s="350">
        <f>SUM(FQ812:FV812)</f>
        <v>0</v>
      </c>
      <c r="IM812" s="346">
        <f t="shared" si="1183"/>
        <v>0</v>
      </c>
      <c r="IN812" s="350">
        <f t="shared" si="1276"/>
        <v>0</v>
      </c>
      <c r="IO812" s="350">
        <f t="shared" si="1277"/>
        <v>0</v>
      </c>
      <c r="IP812" s="346">
        <f t="shared" si="1066"/>
        <v>0</v>
      </c>
      <c r="IQ812" s="350">
        <f t="shared" si="1278"/>
        <v>0</v>
      </c>
      <c r="IR812" s="350">
        <f>SUM(GO812:GT812)</f>
        <v>0</v>
      </c>
      <c r="IS812" s="346">
        <f t="shared" si="1264"/>
        <v>0</v>
      </c>
      <c r="IT812" s="350">
        <v>1.2</v>
      </c>
      <c r="IU812" s="350">
        <f t="shared" si="1219"/>
        <v>0</v>
      </c>
      <c r="IV812" s="346">
        <f t="shared" si="1235"/>
        <v>1.2</v>
      </c>
      <c r="IW812" s="350">
        <f t="shared" si="1256"/>
        <v>0</v>
      </c>
      <c r="IX812" s="350">
        <f t="shared" si="1252"/>
        <v>7.3440856232414617</v>
      </c>
      <c r="IY812" s="346">
        <f>FISC!AJ1128</f>
        <v>7.3440856232414617</v>
      </c>
      <c r="IZ812" s="350">
        <f t="shared" si="1241"/>
        <v>0</v>
      </c>
      <c r="JA812" s="302">
        <f>JB812-IZ812</f>
        <v>0</v>
      </c>
      <c r="JB812" s="346">
        <f>FISC!AK1128</f>
        <v>0</v>
      </c>
      <c r="JC812" s="350">
        <f t="shared" si="1220"/>
        <v>0</v>
      </c>
      <c r="JD812" s="302">
        <f t="shared" si="1210"/>
        <v>0</v>
      </c>
      <c r="JE812" s="346">
        <f>FISC!AL1128</f>
        <v>0</v>
      </c>
      <c r="JF812" s="350">
        <f t="shared" si="1265"/>
        <v>0</v>
      </c>
      <c r="JG812" s="302">
        <f t="shared" si="1266"/>
        <v>0</v>
      </c>
      <c r="JH812" s="346">
        <f>FISC!MR1128</f>
        <v>0</v>
      </c>
      <c r="JI812" s="350">
        <f t="shared" si="1267"/>
        <v>0</v>
      </c>
      <c r="JJ812" s="302">
        <f t="shared" si="1268"/>
        <v>0</v>
      </c>
      <c r="JK812" s="346">
        <f>FISC!AN1128</f>
        <v>0</v>
      </c>
      <c r="JL812" s="350">
        <f t="shared" si="1269"/>
        <v>0</v>
      </c>
      <c r="JM812" s="302">
        <f t="shared" si="1270"/>
        <v>0</v>
      </c>
      <c r="JN812" s="346">
        <f>FISC!AO1128</f>
        <v>0</v>
      </c>
      <c r="KI812" s="349"/>
      <c r="KJ812" s="350"/>
    </row>
    <row r="813" spans="1:302" hidden="1" outlineLevel="1">
      <c r="A813" s="302"/>
      <c r="B813" s="117" t="s">
        <v>361</v>
      </c>
      <c r="D813" s="355" t="s">
        <v>566</v>
      </c>
      <c r="E813" s="346">
        <f>E394</f>
        <v>0</v>
      </c>
      <c r="F813" s="346"/>
      <c r="G813" s="346"/>
      <c r="H813" s="346"/>
      <c r="I813" s="346"/>
      <c r="J813" s="346"/>
      <c r="K813" s="346"/>
      <c r="L813" s="346"/>
      <c r="M813" s="346"/>
      <c r="N813" s="346"/>
      <c r="O813" s="346"/>
      <c r="P813" s="346"/>
      <c r="Q813" s="346"/>
      <c r="R813" s="346"/>
      <c r="S813" s="346"/>
      <c r="T813" s="346"/>
      <c r="U813" s="346"/>
      <c r="V813" s="346"/>
      <c r="W813" s="346"/>
      <c r="X813" s="346"/>
      <c r="Y813" s="346"/>
      <c r="Z813" s="346"/>
      <c r="AA813" s="346"/>
      <c r="AB813" s="346"/>
      <c r="AC813" s="346"/>
      <c r="AD813" s="346"/>
      <c r="AE813" s="346"/>
      <c r="AF813" s="346"/>
      <c r="AG813" s="346"/>
      <c r="AH813" s="346"/>
      <c r="AI813" s="346"/>
      <c r="AJ813" s="346"/>
      <c r="AK813" s="346"/>
      <c r="AL813" s="346"/>
      <c r="AM813" s="346"/>
      <c r="AN813" s="346"/>
      <c r="AO813" s="346"/>
      <c r="AP813" s="346"/>
      <c r="AQ813" s="346"/>
      <c r="AR813" s="346"/>
      <c r="AS813" s="346"/>
      <c r="AT813" s="346"/>
      <c r="AU813" s="346"/>
      <c r="AV813" s="346"/>
      <c r="AW813" s="346"/>
      <c r="AX813" s="346"/>
      <c r="AY813" s="346"/>
      <c r="AZ813" s="346"/>
      <c r="BA813" s="346"/>
      <c r="BB813" s="346"/>
      <c r="BC813" s="346"/>
      <c r="BD813" s="346"/>
      <c r="BE813" s="346"/>
      <c r="BF813" s="346"/>
      <c r="BG813" s="346">
        <v>0.81184859872000004</v>
      </c>
      <c r="BH813" s="346">
        <v>2.8676003086799997</v>
      </c>
      <c r="BI813" s="346">
        <v>0.91248093966999999</v>
      </c>
      <c r="BJ813" s="346">
        <v>2.400164277</v>
      </c>
      <c r="BK813" s="346">
        <v>1.188430484</v>
      </c>
      <c r="BL813" s="346">
        <v>0.67420349700000004</v>
      </c>
      <c r="BM813" s="346">
        <v>2.1732266076999998</v>
      </c>
      <c r="BN813" s="346">
        <v>1.29983316577</v>
      </c>
      <c r="BO813" s="346">
        <v>1.43837181542</v>
      </c>
      <c r="BP813" s="346">
        <v>5.7028014735100001</v>
      </c>
      <c r="BQ813" s="346">
        <v>3.2707650922</v>
      </c>
      <c r="BR813" s="346">
        <v>1.12417286513</v>
      </c>
      <c r="BS813" s="346">
        <v>3.0876783936999996</v>
      </c>
      <c r="BT813" s="346">
        <v>1.88009708381</v>
      </c>
      <c r="BU813" s="346">
        <v>1.70990795505</v>
      </c>
      <c r="BV813" s="346">
        <v>2.55588468396</v>
      </c>
      <c r="BW813" s="346">
        <v>2.4350349049000002</v>
      </c>
      <c r="BX813" s="346">
        <v>1.5272170220899999</v>
      </c>
      <c r="BY813" s="346">
        <v>2.9031365064000001</v>
      </c>
      <c r="BZ813" s="346">
        <v>6.4055732796899996</v>
      </c>
      <c r="CA813" s="346">
        <v>1.88694791103</v>
      </c>
      <c r="CB813" s="346">
        <v>3.2695313711700003</v>
      </c>
      <c r="CC813" s="346">
        <v>5.2475765770000002</v>
      </c>
      <c r="CD813" s="352">
        <v>1.71546534868</v>
      </c>
      <c r="CE813" s="346">
        <f t="shared" ref="CE813:DJ813" si="1279">CE399</f>
        <v>2.661823922</v>
      </c>
      <c r="CF813" s="346">
        <f t="shared" si="1279"/>
        <v>2.0003473676199999</v>
      </c>
      <c r="CG813" s="346">
        <f t="shared" si="1279"/>
        <v>2.95325444208</v>
      </c>
      <c r="CH813" s="346">
        <f t="shared" si="1279"/>
        <v>4.1688299510000002</v>
      </c>
      <c r="CI813" s="346">
        <f t="shared" si="1279"/>
        <v>4.3448386289999998</v>
      </c>
      <c r="CJ813" s="346">
        <f t="shared" si="1279"/>
        <v>1.555384519</v>
      </c>
      <c r="CK813" s="346">
        <f t="shared" si="1279"/>
        <v>3.279391951</v>
      </c>
      <c r="CL813" s="346">
        <f t="shared" si="1279"/>
        <v>2.048498017</v>
      </c>
      <c r="CM813" s="346">
        <f t="shared" si="1279"/>
        <v>2.0531390549999999</v>
      </c>
      <c r="CN813" s="346">
        <f t="shared" si="1279"/>
        <v>2.5600917609999998</v>
      </c>
      <c r="CO813" s="346">
        <f t="shared" si="1279"/>
        <v>2.5050129910000001</v>
      </c>
      <c r="CP813" s="348">
        <f t="shared" si="1279"/>
        <v>2.0787431779999999</v>
      </c>
      <c r="CQ813" s="346">
        <f t="shared" si="1279"/>
        <v>4.5379803939999999</v>
      </c>
      <c r="CR813" s="346">
        <f t="shared" si="1279"/>
        <v>4.428929986</v>
      </c>
      <c r="CS813" s="346">
        <f t="shared" si="1279"/>
        <v>5.5263958960000004</v>
      </c>
      <c r="CT813" s="346">
        <f t="shared" si="1279"/>
        <v>5.8987828569999996</v>
      </c>
      <c r="CU813" s="346">
        <f t="shared" si="1279"/>
        <v>4.6212273010000002</v>
      </c>
      <c r="CV813" s="346">
        <f t="shared" si="1279"/>
        <v>16.990603844999999</v>
      </c>
      <c r="CW813" s="346">
        <f t="shared" si="1279"/>
        <v>8.220576909</v>
      </c>
      <c r="CX813" s="346">
        <f t="shared" si="1279"/>
        <v>4.9687692019999998</v>
      </c>
      <c r="CY813" s="346">
        <f t="shared" si="1279"/>
        <v>2.6778959040000001</v>
      </c>
      <c r="CZ813" s="346">
        <f t="shared" si="1279"/>
        <v>2.65309003</v>
      </c>
      <c r="DA813" s="346">
        <f t="shared" si="1279"/>
        <v>4.0383703009999996</v>
      </c>
      <c r="DB813" s="1479">
        <f t="shared" si="1279"/>
        <v>3.114468209</v>
      </c>
      <c r="DC813" s="346">
        <f t="shared" si="1279"/>
        <v>5.6286772689999998</v>
      </c>
      <c r="DD813" s="346">
        <f t="shared" si="1279"/>
        <v>8.389495342</v>
      </c>
      <c r="DE813" s="346">
        <f t="shared" si="1279"/>
        <v>3.4465797889999998</v>
      </c>
      <c r="DF813" s="346">
        <f t="shared" si="1279"/>
        <v>8.3000263489999995</v>
      </c>
      <c r="DG813" s="346">
        <f t="shared" si="1279"/>
        <v>9.4217214790000003</v>
      </c>
      <c r="DH813" s="346">
        <f t="shared" si="1279"/>
        <v>4.5048340509999996</v>
      </c>
      <c r="DI813" s="346">
        <f t="shared" si="1279"/>
        <v>3.9195385169999999</v>
      </c>
      <c r="DJ813" s="346">
        <f t="shared" si="1279"/>
        <v>4.8767588699999997</v>
      </c>
      <c r="DK813" s="346">
        <f t="shared" ref="DK813:EP813" si="1280">DK399</f>
        <v>9.3352091129999994</v>
      </c>
      <c r="DL813" s="346">
        <f t="shared" si="1280"/>
        <v>7.6885206850000003</v>
      </c>
      <c r="DM813" s="346">
        <f t="shared" si="1280"/>
        <v>3.6360190779999999</v>
      </c>
      <c r="DN813" s="348">
        <f t="shared" si="1280"/>
        <v>2.2878697090000002</v>
      </c>
      <c r="DO813" s="346">
        <f t="shared" si="1280"/>
        <v>13.405839724</v>
      </c>
      <c r="DP813" s="346">
        <f t="shared" si="1280"/>
        <v>12.719188240999999</v>
      </c>
      <c r="DQ813" s="346">
        <f t="shared" si="1280"/>
        <v>2.0549422590000002</v>
      </c>
      <c r="DR813" s="346">
        <f t="shared" si="1280"/>
        <v>14.730687865</v>
      </c>
      <c r="DS813" s="346">
        <f t="shared" si="1280"/>
        <v>3.4296990950000001</v>
      </c>
      <c r="DT813" s="346">
        <f t="shared" si="1280"/>
        <v>3.5010635080000001</v>
      </c>
      <c r="DU813" s="346">
        <f t="shared" si="1280"/>
        <v>14.112443001999999</v>
      </c>
      <c r="DV813" s="346">
        <f t="shared" si="1280"/>
        <v>5.2934440839999999</v>
      </c>
      <c r="DW813" s="346">
        <f t="shared" si="1280"/>
        <v>2.4626023269999999</v>
      </c>
      <c r="DX813" s="346">
        <f t="shared" si="1280"/>
        <v>7.7335186260000004</v>
      </c>
      <c r="DY813" s="346">
        <f t="shared" si="1280"/>
        <v>6.979751137</v>
      </c>
      <c r="DZ813" s="348">
        <f t="shared" si="1280"/>
        <v>1.1005026250000001</v>
      </c>
      <c r="EA813" s="346">
        <f t="shared" si="1280"/>
        <v>12.203334205999999</v>
      </c>
      <c r="EB813" s="346">
        <f t="shared" si="1280"/>
        <v>6.9282187720000001</v>
      </c>
      <c r="EC813" s="346">
        <f t="shared" si="1280"/>
        <v>9.0983796859999995</v>
      </c>
      <c r="ED813" s="346">
        <f t="shared" si="1280"/>
        <v>8.6222516529999993</v>
      </c>
      <c r="EE813" s="346">
        <f t="shared" si="1280"/>
        <v>11.120483321</v>
      </c>
      <c r="EF813" s="346">
        <f t="shared" si="1280"/>
        <v>7.3098032310000001</v>
      </c>
      <c r="EG813" s="346">
        <f t="shared" si="1280"/>
        <v>7.8460066079999997</v>
      </c>
      <c r="EH813" s="346">
        <f t="shared" si="1280"/>
        <v>10.285157</v>
      </c>
      <c r="EI813" s="346">
        <f t="shared" si="1280"/>
        <v>14.816423822000001</v>
      </c>
      <c r="EJ813" s="346">
        <f t="shared" si="1280"/>
        <v>7.2441276859999997</v>
      </c>
      <c r="EK813" s="346">
        <f t="shared" si="1280"/>
        <v>7.7642049389999999</v>
      </c>
      <c r="EL813" s="348">
        <f t="shared" si="1280"/>
        <v>4.5570249570000003</v>
      </c>
      <c r="EM813" s="346">
        <f t="shared" si="1280"/>
        <v>7.9029296489999998</v>
      </c>
      <c r="EN813" s="346">
        <f t="shared" si="1280"/>
        <v>10.390572207</v>
      </c>
      <c r="EO813" s="346">
        <f t="shared" si="1280"/>
        <v>7.567573061</v>
      </c>
      <c r="EP813" s="346">
        <f t="shared" si="1280"/>
        <v>14.262422762</v>
      </c>
      <c r="EQ813" s="346">
        <f t="shared" ref="EQ813:FV813" si="1281">EQ399</f>
        <v>25.480099663000001</v>
      </c>
      <c r="ER813" s="346">
        <f t="shared" si="1281"/>
        <v>4.3385306119999996</v>
      </c>
      <c r="ES813" s="346">
        <f t="shared" si="1281"/>
        <v>10.631548466</v>
      </c>
      <c r="ET813" s="346">
        <f t="shared" si="1281"/>
        <v>10.43662114</v>
      </c>
      <c r="EU813" s="346">
        <f t="shared" si="1281"/>
        <v>10.438360343999999</v>
      </c>
      <c r="EV813" s="346">
        <f t="shared" si="1281"/>
        <v>31.703036501</v>
      </c>
      <c r="EW813" s="346">
        <f t="shared" si="1281"/>
        <v>31.283190304000001</v>
      </c>
      <c r="EX813" s="348">
        <f t="shared" si="1281"/>
        <v>6.187643628</v>
      </c>
      <c r="EY813" s="346">
        <f t="shared" si="1281"/>
        <v>19.621337566000001</v>
      </c>
      <c r="EZ813" s="346">
        <f t="shared" si="1281"/>
        <v>19.979445821999999</v>
      </c>
      <c r="FA813" s="346">
        <f t="shared" si="1281"/>
        <v>7.807474676</v>
      </c>
      <c r="FB813" s="346">
        <f t="shared" si="1281"/>
        <v>12.050736946000001</v>
      </c>
      <c r="FC813" s="346">
        <f t="shared" si="1281"/>
        <v>20.365861151000001</v>
      </c>
      <c r="FD813" s="346">
        <f t="shared" si="1281"/>
        <v>9.5259266819999997</v>
      </c>
      <c r="FE813" s="346">
        <f t="shared" si="1281"/>
        <v>4.359865428</v>
      </c>
      <c r="FF813" s="346">
        <f t="shared" si="1281"/>
        <v>16.790410443999999</v>
      </c>
      <c r="FG813" s="346">
        <f t="shared" si="1281"/>
        <v>14.309395854</v>
      </c>
      <c r="FH813" s="346">
        <f t="shared" si="1281"/>
        <v>6.0296474590000004</v>
      </c>
      <c r="FI813" s="346">
        <f t="shared" si="1281"/>
        <v>12.035315104</v>
      </c>
      <c r="FJ813" s="348">
        <f t="shared" si="1281"/>
        <v>1.4745208869999999</v>
      </c>
      <c r="FK813" s="346">
        <f t="shared" si="1281"/>
        <v>12.759667224999999</v>
      </c>
      <c r="FL813" s="346">
        <f t="shared" si="1281"/>
        <v>10.057954682</v>
      </c>
      <c r="FM813" s="346">
        <f t="shared" si="1281"/>
        <v>14.992900581000001</v>
      </c>
      <c r="FN813" s="346">
        <f t="shared" si="1281"/>
        <v>8.449501519</v>
      </c>
      <c r="FO813" s="346">
        <f t="shared" si="1281"/>
        <v>10.322834118999999</v>
      </c>
      <c r="FP813" s="346">
        <f t="shared" si="1281"/>
        <v>9.4276341339999998</v>
      </c>
      <c r="FQ813" s="346">
        <f t="shared" si="1281"/>
        <v>13.833825759</v>
      </c>
      <c r="FR813" s="346">
        <f t="shared" si="1281"/>
        <v>6.652929726</v>
      </c>
      <c r="FS813" s="346">
        <f t="shared" si="1281"/>
        <v>4.2280074870000002</v>
      </c>
      <c r="FT813" s="346">
        <f t="shared" si="1281"/>
        <v>12.878353831</v>
      </c>
      <c r="FU813" s="346">
        <f t="shared" si="1281"/>
        <v>23.858894002</v>
      </c>
      <c r="FV813" s="346">
        <f t="shared" si="1281"/>
        <v>4.7989988329999997</v>
      </c>
      <c r="FW813" s="346">
        <v>9.4270421219999996</v>
      </c>
      <c r="FX813" s="346">
        <v>8.2880457829999994</v>
      </c>
      <c r="FY813" s="346">
        <v>8.142056878</v>
      </c>
      <c r="FZ813" s="346">
        <v>20.268061037999999</v>
      </c>
      <c r="GA813" s="346">
        <v>21.685625209000001</v>
      </c>
      <c r="GB813" s="346">
        <v>6.1310755720000003</v>
      </c>
      <c r="GC813" s="346">
        <v>9.3700082800000004</v>
      </c>
      <c r="GD813" s="346">
        <v>21.115629317</v>
      </c>
      <c r="GE813" s="346">
        <v>13.54216845</v>
      </c>
      <c r="GF813" s="346">
        <v>7.9037664559999996</v>
      </c>
      <c r="GG813" s="346">
        <v>15.140435371000001</v>
      </c>
      <c r="GH813" s="346">
        <v>6.0046342780000002</v>
      </c>
      <c r="GI813" s="1902">
        <f>GI399</f>
        <v>12.235405911319145</v>
      </c>
      <c r="GJ813" s="1902">
        <f t="shared" ref="GJ813:GZ813" si="1282">GJ399</f>
        <v>27.927502357725132</v>
      </c>
      <c r="GK813" s="1902">
        <f t="shared" si="1282"/>
        <v>22.437091730955725</v>
      </c>
      <c r="GL813" s="1902">
        <f t="shared" si="1282"/>
        <v>1</v>
      </c>
      <c r="GM813" s="1902">
        <f t="shared" si="1282"/>
        <v>1</v>
      </c>
      <c r="GN813" s="1902">
        <f t="shared" si="1282"/>
        <v>1.0999999999999943</v>
      </c>
      <c r="GO813" s="1897">
        <f t="shared" si="1282"/>
        <v>16.508220081735399</v>
      </c>
      <c r="GP813" s="1897">
        <f t="shared" si="1282"/>
        <v>7.5477514962105259</v>
      </c>
      <c r="GQ813" s="1897">
        <f t="shared" si="1282"/>
        <v>3.4708608633540838</v>
      </c>
      <c r="GR813" s="1897">
        <f t="shared" si="1282"/>
        <v>20.36146118726305</v>
      </c>
      <c r="GS813" s="1897">
        <f t="shared" si="1282"/>
        <v>8.0757171544465809</v>
      </c>
      <c r="GT813" s="1897">
        <f t="shared" si="1282"/>
        <v>6.0359892169903651</v>
      </c>
      <c r="GU813" s="1897">
        <f t="shared" si="1282"/>
        <v>7.9425931529999998</v>
      </c>
      <c r="GV813" s="1897">
        <f t="shared" si="1282"/>
        <v>17.944234579</v>
      </c>
      <c r="GW813" s="1897">
        <f t="shared" si="1282"/>
        <v>17.283160537000001</v>
      </c>
      <c r="GX813" s="1897">
        <f t="shared" si="1282"/>
        <v>10.735763124</v>
      </c>
      <c r="GY813" s="1897">
        <f t="shared" si="1282"/>
        <v>8.324031519</v>
      </c>
      <c r="GZ813" s="1897">
        <f t="shared" si="1282"/>
        <v>6.673807966</v>
      </c>
      <c r="HA813" s="1897">
        <f t="shared" ref="HA813:HL813" si="1283">HA399</f>
        <v>8.8125038680000003</v>
      </c>
      <c r="HB813" s="1897">
        <f t="shared" si="1283"/>
        <v>9.2244838100000006</v>
      </c>
      <c r="HC813" s="1897">
        <f t="shared" si="1283"/>
        <v>7.1400030350000003</v>
      </c>
      <c r="HD813" s="1897">
        <f t="shared" si="1283"/>
        <v>18.243119096000001</v>
      </c>
      <c r="HE813" s="1897">
        <f t="shared" si="1283"/>
        <v>21.694246570999997</v>
      </c>
      <c r="HF813" s="1897">
        <f t="shared" si="1283"/>
        <v>5.1032864070000006</v>
      </c>
      <c r="HG813" s="1897">
        <f t="shared" si="1283"/>
        <v>14.070388789000001</v>
      </c>
      <c r="HH813" s="1897">
        <f t="shared" si="1283"/>
        <v>8.7907085459999994</v>
      </c>
      <c r="HI813" s="1897">
        <f t="shared" si="1283"/>
        <v>21.161437204999999</v>
      </c>
      <c r="HJ813" s="1897">
        <f t="shared" si="1283"/>
        <v>22.156916267</v>
      </c>
      <c r="HK813" s="1897">
        <f t="shared" si="1283"/>
        <v>4.3281103570000017</v>
      </c>
      <c r="HL813" s="1897">
        <f t="shared" si="1283"/>
        <v>2.2898348520000003</v>
      </c>
      <c r="HM813" s="1897"/>
      <c r="HN813" s="349"/>
      <c r="HO813" s="355" t="s">
        <v>566</v>
      </c>
      <c r="HP813" s="307">
        <f>SUM(CE813:CJ813)</f>
        <v>17.684478830700002</v>
      </c>
      <c r="HQ813" s="302">
        <f>SUM(CK813:CP813)</f>
        <v>14.524876953</v>
      </c>
      <c r="HR813" s="346">
        <f>HP813+HQ813</f>
        <v>32.209355783700005</v>
      </c>
      <c r="HS813" s="302">
        <f>SUM(CQ813:CV813)</f>
        <v>42.003920278999999</v>
      </c>
      <c r="HT813" s="302">
        <f>SUM(CW813:DB813)</f>
        <v>25.673170554999999</v>
      </c>
      <c r="HU813" s="346">
        <f>HS813+HT813</f>
        <v>67.677090833999998</v>
      </c>
      <c r="HV813" s="307">
        <f>SUM(DC813:DH813)</f>
        <v>39.691334279000003</v>
      </c>
      <c r="HW813" s="302">
        <f>SUM(DI813:DN813)</f>
        <v>31.743915972</v>
      </c>
      <c r="HX813" s="346">
        <f>HV813+HW813</f>
        <v>71.435250250999999</v>
      </c>
      <c r="HY813" s="350">
        <f>SUM(DO813:DT813)</f>
        <v>49.841420692</v>
      </c>
      <c r="HZ813" s="302">
        <f>SUM(DU813:DZ813)</f>
        <v>37.682261800999996</v>
      </c>
      <c r="IA813" s="346">
        <f>HY813+HZ813</f>
        <v>87.523682492999995</v>
      </c>
      <c r="IB813" s="302">
        <f>SUM(EA813:EF813)</f>
        <v>55.282470868999994</v>
      </c>
      <c r="IC813" s="302">
        <f>SUM(EG813:EL813)</f>
        <v>52.512945012000003</v>
      </c>
      <c r="ID813" s="346">
        <f>IB813+IC813</f>
        <v>107.795415881</v>
      </c>
      <c r="IE813" s="350">
        <f>SUM(EM813:ER813)</f>
        <v>69.942127954</v>
      </c>
      <c r="IF813" s="350">
        <f>SUM(ES813:EX813)</f>
        <v>100.68040038300001</v>
      </c>
      <c r="IG813" s="346">
        <f>IE813+IF813</f>
        <v>170.62252833700001</v>
      </c>
      <c r="IH813" s="350">
        <f>SUM(EY813:FD813)</f>
        <v>89.350782843000005</v>
      </c>
      <c r="II813" s="350">
        <f>SUM(FE813:FJ813)</f>
        <v>54.999155175999995</v>
      </c>
      <c r="IJ813" s="346">
        <f>IH813+II813</f>
        <v>144.34993801900001</v>
      </c>
      <c r="IK813" s="350">
        <f>SUM(FK813:FP813)</f>
        <v>66.010492260000007</v>
      </c>
      <c r="IL813" s="350">
        <f>SUM(FQ813:FV813)</f>
        <v>66.251009637999999</v>
      </c>
      <c r="IM813" s="346">
        <f t="shared" si="1183"/>
        <v>132.26150189800001</v>
      </c>
      <c r="IN813" s="350">
        <f t="shared" si="1276"/>
        <v>73.941906602000003</v>
      </c>
      <c r="IO813" s="350">
        <f t="shared" si="1277"/>
        <v>73.076642151999991</v>
      </c>
      <c r="IP813" s="346">
        <f t="shared" si="1066"/>
        <v>147.01854875399999</v>
      </c>
      <c r="IQ813" s="350">
        <f t="shared" si="1278"/>
        <v>65.7</v>
      </c>
      <c r="IR813" s="350">
        <f>SUM(GO813:GT813)</f>
        <v>62.000000000000007</v>
      </c>
      <c r="IS813" s="346">
        <f t="shared" si="1264"/>
        <v>127.70000000000002</v>
      </c>
      <c r="IT813" s="350">
        <f>SUM(GU813:GZ813)</f>
        <v>68.903590878000003</v>
      </c>
      <c r="IU813" s="350">
        <f t="shared" si="1219"/>
        <v>70.217642787000003</v>
      </c>
      <c r="IV813" s="346">
        <f t="shared" si="1235"/>
        <v>139.12123366500001</v>
      </c>
      <c r="IW813" s="350">
        <f t="shared" si="1256"/>
        <v>72.797396015999993</v>
      </c>
      <c r="IX813" s="350">
        <f t="shared" si="1252"/>
        <v>71.499719676433074</v>
      </c>
      <c r="IY813" s="346">
        <f>FISC!AJ1129</f>
        <v>144.29711569243307</v>
      </c>
      <c r="IZ813" s="350">
        <f>JB813*0.55</f>
        <v>84.140786667072305</v>
      </c>
      <c r="JA813" s="302">
        <f>JB813-IZ813</f>
        <v>68.842461818513684</v>
      </c>
      <c r="JB813" s="346">
        <f>FISC!AK1129</f>
        <v>152.98324848558599</v>
      </c>
      <c r="JC813" s="350">
        <f t="shared" si="1220"/>
        <v>92.762716737340071</v>
      </c>
      <c r="JD813" s="302">
        <f t="shared" si="1210"/>
        <v>75.896768239641858</v>
      </c>
      <c r="JE813" s="346">
        <f>FISC!AL1129</f>
        <v>168.65948497698193</v>
      </c>
      <c r="JF813" s="350">
        <f t="shared" si="1265"/>
        <v>104.44329340551427</v>
      </c>
      <c r="JG813" s="302">
        <f t="shared" si="1266"/>
        <v>85.453603695420739</v>
      </c>
      <c r="JH813" s="346">
        <f>FISC!AM1129</f>
        <v>189.89689710093501</v>
      </c>
      <c r="JI813" s="350">
        <f t="shared" si="1267"/>
        <v>117.60314837460905</v>
      </c>
      <c r="JJ813" s="302">
        <f t="shared" si="1268"/>
        <v>96.220757761043757</v>
      </c>
      <c r="JK813" s="346">
        <f>FISC!AN1129</f>
        <v>213.82390613565281</v>
      </c>
      <c r="JL813" s="350">
        <f t="shared" si="1269"/>
        <v>132.42114506980977</v>
      </c>
      <c r="JM813" s="302">
        <f t="shared" si="1270"/>
        <v>108.34457323893525</v>
      </c>
      <c r="JN813" s="346">
        <f>FISC!AO1129</f>
        <v>240.76571830874502</v>
      </c>
      <c r="KI813" s="349"/>
      <c r="KJ813" s="350"/>
    </row>
    <row r="814" spans="1:302" hidden="1" outlineLevel="1">
      <c r="A814" s="302"/>
      <c r="B814" s="117" t="s">
        <v>361</v>
      </c>
      <c r="D814" s="354" t="s">
        <v>591</v>
      </c>
      <c r="E814" s="346"/>
      <c r="F814" s="346"/>
      <c r="G814" s="346"/>
      <c r="H814" s="346"/>
      <c r="I814" s="346"/>
      <c r="J814" s="346"/>
      <c r="K814" s="346"/>
      <c r="L814" s="346"/>
      <c r="M814" s="346"/>
      <c r="N814" s="346"/>
      <c r="O814" s="346"/>
      <c r="P814" s="346"/>
      <c r="Q814" s="346"/>
      <c r="R814" s="346"/>
      <c r="S814" s="346"/>
      <c r="T814" s="346"/>
      <c r="U814" s="346"/>
      <c r="V814" s="346"/>
      <c r="W814" s="346"/>
      <c r="X814" s="346"/>
      <c r="Y814" s="346"/>
      <c r="Z814" s="346"/>
      <c r="AA814" s="346"/>
      <c r="AB814" s="346"/>
      <c r="AC814" s="346"/>
      <c r="AD814" s="346"/>
      <c r="AE814" s="346"/>
      <c r="AF814" s="346"/>
      <c r="AG814" s="346"/>
      <c r="AH814" s="346"/>
      <c r="AI814" s="346"/>
      <c r="AJ814" s="346"/>
      <c r="AK814" s="346"/>
      <c r="AL814" s="346"/>
      <c r="AM814" s="346"/>
      <c r="AN814" s="346"/>
      <c r="AO814" s="346"/>
      <c r="AP814" s="346"/>
      <c r="AQ814" s="346"/>
      <c r="AR814" s="346"/>
      <c r="AS814" s="346"/>
      <c r="AT814" s="346"/>
      <c r="AU814" s="346"/>
      <c r="AV814" s="346"/>
      <c r="AW814" s="346"/>
      <c r="AX814" s="346"/>
      <c r="AY814" s="346"/>
      <c r="AZ814" s="346"/>
      <c r="BA814" s="346"/>
      <c r="BB814" s="346"/>
      <c r="BC814" s="346"/>
      <c r="BD814" s="346"/>
      <c r="BE814" s="346"/>
      <c r="BF814" s="346"/>
      <c r="BG814" s="346"/>
      <c r="BH814" s="346"/>
      <c r="BI814" s="346"/>
      <c r="BJ814" s="346"/>
      <c r="BK814" s="346"/>
      <c r="BL814" s="346"/>
      <c r="BM814" s="346"/>
      <c r="BN814" s="346"/>
      <c r="BO814" s="346"/>
      <c r="BP814" s="346"/>
      <c r="BQ814" s="346"/>
      <c r="BR814" s="346"/>
      <c r="BS814" s="346"/>
      <c r="BT814" s="346"/>
      <c r="BU814" s="346"/>
      <c r="BV814" s="346"/>
      <c r="BW814" s="346"/>
      <c r="BX814" s="346"/>
      <c r="BY814" s="346"/>
      <c r="BZ814" s="346"/>
      <c r="CA814" s="346"/>
      <c r="CB814" s="346"/>
      <c r="CC814" s="346"/>
      <c r="CD814" s="352"/>
      <c r="CE814" s="346"/>
      <c r="CF814" s="346"/>
      <c r="CG814" s="346"/>
      <c r="CH814" s="346"/>
      <c r="CI814" s="346"/>
      <c r="CJ814" s="346"/>
      <c r="CK814" s="346"/>
      <c r="CL814" s="346"/>
      <c r="CM814" s="346"/>
      <c r="CN814" s="346"/>
      <c r="CO814" s="346"/>
      <c r="CP814" s="348"/>
      <c r="CQ814" s="346"/>
      <c r="CR814" s="346"/>
      <c r="CS814" s="346"/>
      <c r="CT814" s="346"/>
      <c r="CU814" s="346"/>
      <c r="CV814" s="346"/>
      <c r="CW814" s="346"/>
      <c r="CX814" s="346"/>
      <c r="CY814" s="346"/>
      <c r="CZ814" s="346"/>
      <c r="DA814" s="346"/>
      <c r="DB814" s="1479"/>
      <c r="DC814" s="346"/>
      <c r="DD814" s="346"/>
      <c r="DE814" s="346"/>
      <c r="DF814" s="346"/>
      <c r="DG814" s="346"/>
      <c r="DH814" s="346"/>
      <c r="DI814" s="346"/>
      <c r="DJ814" s="346"/>
      <c r="DK814" s="346"/>
      <c r="DL814" s="346"/>
      <c r="DM814" s="346"/>
      <c r="DN814" s="348"/>
      <c r="DO814" s="346"/>
      <c r="DP814" s="346"/>
      <c r="DQ814" s="346"/>
      <c r="DR814" s="346"/>
      <c r="DS814" s="346"/>
      <c r="DT814" s="346"/>
      <c r="DU814" s="346"/>
      <c r="DV814" s="346"/>
      <c r="DW814" s="346"/>
      <c r="DX814" s="346"/>
      <c r="DY814" s="346"/>
      <c r="DZ814" s="348"/>
      <c r="EA814" s="346"/>
      <c r="EB814" s="346"/>
      <c r="EC814" s="346"/>
      <c r="ED814" s="346"/>
      <c r="EE814" s="346"/>
      <c r="EF814" s="346"/>
      <c r="EG814" s="346"/>
      <c r="EH814" s="346"/>
      <c r="EI814" s="346"/>
      <c r="EJ814" s="346"/>
      <c r="EK814" s="346"/>
      <c r="EL814" s="348"/>
      <c r="EM814" s="346"/>
      <c r="EN814" s="346"/>
      <c r="EO814" s="346"/>
      <c r="EP814" s="346"/>
      <c r="EQ814" s="346"/>
      <c r="ER814" s="346"/>
      <c r="ES814" s="346"/>
      <c r="ET814" s="346"/>
      <c r="EU814" s="346"/>
      <c r="EV814" s="346"/>
      <c r="EW814" s="346"/>
      <c r="EX814" s="348"/>
      <c r="EY814" s="346"/>
      <c r="EZ814" s="346"/>
      <c r="FA814" s="346"/>
      <c r="FB814" s="346"/>
      <c r="FC814" s="346"/>
      <c r="FD814" s="346"/>
      <c r="FE814" s="346"/>
      <c r="FF814" s="346"/>
      <c r="FG814" s="346"/>
      <c r="FH814" s="346"/>
      <c r="FI814" s="346"/>
      <c r="FJ814" s="348"/>
      <c r="FK814" s="346"/>
      <c r="FL814" s="346"/>
      <c r="FM814" s="346"/>
      <c r="FN814" s="346"/>
      <c r="FO814" s="346"/>
      <c r="FP814" s="346"/>
      <c r="FQ814" s="346"/>
      <c r="FR814" s="346"/>
      <c r="FS814" s="346"/>
      <c r="FT814" s="346"/>
      <c r="FU814" s="346"/>
      <c r="FV814" s="346"/>
      <c r="FW814" s="346"/>
      <c r="FX814" s="346"/>
      <c r="FY814" s="346"/>
      <c r="FZ814" s="346"/>
      <c r="GA814" s="346"/>
      <c r="GB814" s="346"/>
      <c r="GC814" s="346"/>
      <c r="GD814" s="346"/>
      <c r="GE814" s="346"/>
      <c r="GF814" s="346"/>
      <c r="GG814" s="346"/>
      <c r="GH814" s="346"/>
      <c r="GI814" s="1897"/>
      <c r="HN814" s="349"/>
      <c r="HO814" s="354" t="s">
        <v>591</v>
      </c>
      <c r="HP814" s="307"/>
      <c r="HR814" s="346"/>
      <c r="HU814" s="346"/>
      <c r="HV814" s="307"/>
      <c r="HX814" s="346"/>
      <c r="HY814" s="350"/>
      <c r="IA814" s="346"/>
      <c r="ID814" s="346"/>
      <c r="IE814" s="350"/>
      <c r="IF814" s="350"/>
      <c r="IG814" s="346"/>
      <c r="IH814" s="350"/>
      <c r="II814" s="350"/>
      <c r="IJ814" s="346"/>
      <c r="IK814" s="350"/>
      <c r="IL814" s="350"/>
      <c r="IM814" s="346"/>
      <c r="IN814" s="350">
        <f t="shared" si="1276"/>
        <v>0</v>
      </c>
      <c r="IO814" s="350">
        <f t="shared" si="1277"/>
        <v>0</v>
      </c>
      <c r="IP814" s="346">
        <f t="shared" si="1066"/>
        <v>0</v>
      </c>
      <c r="IQ814" s="350">
        <f t="shared" si="1278"/>
        <v>0</v>
      </c>
      <c r="IR814" s="350">
        <f t="shared" ref="IR814" si="1284">IS814-IQ814</f>
        <v>0</v>
      </c>
      <c r="IS814" s="346"/>
      <c r="IT814" s="350"/>
      <c r="IU814" s="350"/>
      <c r="IV814" s="346">
        <f t="shared" si="1235"/>
        <v>0</v>
      </c>
      <c r="IW814" s="350">
        <f t="shared" si="1256"/>
        <v>0</v>
      </c>
      <c r="IX814" s="350">
        <f t="shared" si="1252"/>
        <v>0</v>
      </c>
      <c r="IY814" s="346"/>
      <c r="IZ814" s="350"/>
      <c r="JB814" s="346"/>
      <c r="JC814" s="350"/>
      <c r="JE814" s="346">
        <f>FISC!AL1130</f>
        <v>0</v>
      </c>
      <c r="JF814" s="350"/>
      <c r="JH814" s="346">
        <f>FISC!MR1130</f>
        <v>0</v>
      </c>
      <c r="JI814" s="350"/>
      <c r="JK814" s="346">
        <f>FISC!AN1130</f>
        <v>0</v>
      </c>
      <c r="JL814" s="350"/>
      <c r="JN814" s="346">
        <f>FISC!AO1130</f>
        <v>0</v>
      </c>
      <c r="KI814" s="349"/>
      <c r="KJ814" s="350"/>
    </row>
    <row r="815" spans="1:302" hidden="1" outlineLevel="1">
      <c r="A815" s="302"/>
      <c r="B815" s="117" t="s">
        <v>361</v>
      </c>
      <c r="D815" s="353" t="s">
        <v>592</v>
      </c>
      <c r="E815" s="346">
        <f t="shared" ref="E815:AJ815" si="1285">E666-E754</f>
        <v>0</v>
      </c>
      <c r="F815" s="346">
        <f t="shared" si="1285"/>
        <v>0</v>
      </c>
      <c r="G815" s="346">
        <f t="shared" si="1285"/>
        <v>0</v>
      </c>
      <c r="H815" s="346">
        <f t="shared" si="1285"/>
        <v>0</v>
      </c>
      <c r="I815" s="346">
        <f t="shared" si="1285"/>
        <v>0</v>
      </c>
      <c r="J815" s="346">
        <f t="shared" si="1285"/>
        <v>0</v>
      </c>
      <c r="K815" s="346">
        <f t="shared" si="1285"/>
        <v>0</v>
      </c>
      <c r="L815" s="346">
        <f t="shared" si="1285"/>
        <v>0</v>
      </c>
      <c r="M815" s="346">
        <f t="shared" si="1285"/>
        <v>0</v>
      </c>
      <c r="N815" s="346">
        <f t="shared" si="1285"/>
        <v>0</v>
      </c>
      <c r="O815" s="346">
        <f t="shared" si="1285"/>
        <v>0</v>
      </c>
      <c r="P815" s="346">
        <f t="shared" si="1285"/>
        <v>0</v>
      </c>
      <c r="Q815" s="346">
        <f t="shared" si="1285"/>
        <v>0</v>
      </c>
      <c r="R815" s="346">
        <f t="shared" si="1285"/>
        <v>0</v>
      </c>
      <c r="S815" s="346">
        <f t="shared" si="1285"/>
        <v>0</v>
      </c>
      <c r="T815" s="346">
        <f t="shared" si="1285"/>
        <v>0</v>
      </c>
      <c r="U815" s="346">
        <f t="shared" si="1285"/>
        <v>0</v>
      </c>
      <c r="V815" s="346">
        <f t="shared" si="1285"/>
        <v>0</v>
      </c>
      <c r="W815" s="346">
        <f t="shared" si="1285"/>
        <v>0</v>
      </c>
      <c r="X815" s="346">
        <f t="shared" si="1285"/>
        <v>0</v>
      </c>
      <c r="Y815" s="346">
        <f t="shared" si="1285"/>
        <v>0</v>
      </c>
      <c r="Z815" s="346">
        <f t="shared" si="1285"/>
        <v>0</v>
      </c>
      <c r="AA815" s="346">
        <f t="shared" si="1285"/>
        <v>0</v>
      </c>
      <c r="AB815" s="346">
        <f t="shared" si="1285"/>
        <v>0</v>
      </c>
      <c r="AC815" s="346">
        <f t="shared" si="1285"/>
        <v>0</v>
      </c>
      <c r="AD815" s="346">
        <f t="shared" si="1285"/>
        <v>0</v>
      </c>
      <c r="AE815" s="346">
        <f t="shared" si="1285"/>
        <v>0</v>
      </c>
      <c r="AF815" s="346">
        <f t="shared" si="1285"/>
        <v>0</v>
      </c>
      <c r="AG815" s="346">
        <f t="shared" si="1285"/>
        <v>0</v>
      </c>
      <c r="AH815" s="346">
        <f t="shared" si="1285"/>
        <v>0</v>
      </c>
      <c r="AI815" s="346">
        <f t="shared" si="1285"/>
        <v>0</v>
      </c>
      <c r="AJ815" s="346">
        <f t="shared" si="1285"/>
        <v>0</v>
      </c>
      <c r="AK815" s="346">
        <f t="shared" ref="AK815:BP815" si="1286">AK666-AK754</f>
        <v>0</v>
      </c>
      <c r="AL815" s="346">
        <f t="shared" si="1286"/>
        <v>0</v>
      </c>
      <c r="AM815" s="346">
        <f t="shared" si="1286"/>
        <v>0</v>
      </c>
      <c r="AN815" s="346">
        <f t="shared" si="1286"/>
        <v>0</v>
      </c>
      <c r="AO815" s="346">
        <f t="shared" si="1286"/>
        <v>50.342214462293803</v>
      </c>
      <c r="AP815" s="346">
        <f t="shared" si="1286"/>
        <v>27.304769607348977</v>
      </c>
      <c r="AQ815" s="346">
        <f t="shared" si="1286"/>
        <v>52.088454925589502</v>
      </c>
      <c r="AR815" s="346">
        <f t="shared" si="1286"/>
        <v>52.158303622137794</v>
      </c>
      <c r="AS815" s="346">
        <f t="shared" si="1286"/>
        <v>37.016039549645832</v>
      </c>
      <c r="AT815" s="346">
        <f t="shared" si="1286"/>
        <v>145.54274740342879</v>
      </c>
      <c r="AU815" s="346">
        <f t="shared" si="1286"/>
        <v>44.823105260773595</v>
      </c>
      <c r="AV815" s="346">
        <f t="shared" si="1286"/>
        <v>41.210677487137481</v>
      </c>
      <c r="AW815" s="346">
        <f t="shared" si="1286"/>
        <v>99.200947873738329</v>
      </c>
      <c r="AX815" s="346">
        <f t="shared" si="1286"/>
        <v>76.247369485781107</v>
      </c>
      <c r="AY815" s="346">
        <f t="shared" si="1286"/>
        <v>51.779533459869747</v>
      </c>
      <c r="AZ815" s="346">
        <f t="shared" si="1286"/>
        <v>164.17174661412753</v>
      </c>
      <c r="BA815" s="346">
        <f t="shared" si="1286"/>
        <v>47.250302493921275</v>
      </c>
      <c r="BB815" s="346">
        <f t="shared" si="1286"/>
        <v>42.194123704381532</v>
      </c>
      <c r="BC815" s="346">
        <f t="shared" si="1286"/>
        <v>57.501611650348792</v>
      </c>
      <c r="BD815" s="346">
        <f t="shared" si="1286"/>
        <v>125.19516059076922</v>
      </c>
      <c r="BE815" s="346">
        <f t="shared" si="1286"/>
        <v>49.740713777075285</v>
      </c>
      <c r="BF815" s="346">
        <f t="shared" si="1286"/>
        <v>84.363849585870526</v>
      </c>
      <c r="BG815" s="346">
        <f t="shared" si="1286"/>
        <v>37.651865692805707</v>
      </c>
      <c r="BH815" s="346">
        <f t="shared" si="1286"/>
        <v>12.972745364177442</v>
      </c>
      <c r="BI815" s="346">
        <f t="shared" si="1286"/>
        <v>45.459024650403435</v>
      </c>
      <c r="BJ815" s="346">
        <f t="shared" si="1286"/>
        <v>64.238497660145569</v>
      </c>
      <c r="BK815" s="346">
        <f t="shared" si="1286"/>
        <v>6.7960197153470148</v>
      </c>
      <c r="BL815" s="346">
        <f t="shared" si="1286"/>
        <v>112.11381982095435</v>
      </c>
      <c r="BM815" s="346">
        <f t="shared" si="1286"/>
        <v>-20.730612014129491</v>
      </c>
      <c r="BN815" s="346">
        <f t="shared" si="1286"/>
        <v>5.5919341474474038</v>
      </c>
      <c r="BO815" s="346">
        <f t="shared" si="1286"/>
        <v>38.785997773481526</v>
      </c>
      <c r="BP815" s="346">
        <f t="shared" si="1286"/>
        <v>-34.555413219056625</v>
      </c>
      <c r="BQ815" s="346">
        <f t="shared" ref="BQ815:CV815" si="1287">BQ666-BQ754</f>
        <v>-12.078330548425598</v>
      </c>
      <c r="BR815" s="346">
        <f t="shared" si="1287"/>
        <v>122.08977756751783</v>
      </c>
      <c r="BS815" s="346">
        <f t="shared" si="1287"/>
        <v>28.548471374992609</v>
      </c>
      <c r="BT815" s="346">
        <f t="shared" si="1287"/>
        <v>11.691175516446918</v>
      </c>
      <c r="BU815" s="346">
        <f t="shared" si="1287"/>
        <v>41.177768051094112</v>
      </c>
      <c r="BV815" s="346">
        <f t="shared" si="1287"/>
        <v>31.570121965842958</v>
      </c>
      <c r="BW815" s="346">
        <f t="shared" si="1287"/>
        <v>37.771134042156831</v>
      </c>
      <c r="BX815" s="346">
        <f t="shared" si="1287"/>
        <v>64.170013033509747</v>
      </c>
      <c r="BY815" s="346">
        <f t="shared" si="1287"/>
        <v>-9.0911269680772762</v>
      </c>
      <c r="BZ815" s="346">
        <f t="shared" si="1287"/>
        <v>-6.9639915402105501</v>
      </c>
      <c r="CA815" s="346">
        <f t="shared" si="1287"/>
        <v>65.162270257797758</v>
      </c>
      <c r="CB815" s="346">
        <f t="shared" si="1287"/>
        <v>9.3099377125057714</v>
      </c>
      <c r="CC815" s="346">
        <f t="shared" si="1287"/>
        <v>-4.0421302503292935</v>
      </c>
      <c r="CD815" s="352">
        <f t="shared" si="1287"/>
        <v>16.352287125465146</v>
      </c>
      <c r="CE815" s="346">
        <f t="shared" si="1287"/>
        <v>11.226550838196317</v>
      </c>
      <c r="CF815" s="346">
        <f t="shared" si="1287"/>
        <v>19.960781247150081</v>
      </c>
      <c r="CG815" s="346">
        <f t="shared" si="1287"/>
        <v>88.293623581451413</v>
      </c>
      <c r="CH815" s="346">
        <f t="shared" si="1287"/>
        <v>17.660534648424687</v>
      </c>
      <c r="CI815" s="346">
        <f t="shared" si="1287"/>
        <v>36.31099452647647</v>
      </c>
      <c r="CJ815" s="346">
        <f t="shared" si="1287"/>
        <v>90.401306480941287</v>
      </c>
      <c r="CK815" s="346">
        <f t="shared" si="1287"/>
        <v>-10.012889232402159</v>
      </c>
      <c r="CL815" s="346">
        <f t="shared" si="1287"/>
        <v>16.013408092959601</v>
      </c>
      <c r="CM815" s="346">
        <f t="shared" si="1287"/>
        <v>44.150074023205121</v>
      </c>
      <c r="CN815" s="346">
        <f t="shared" si="1287"/>
        <v>5.261383224805769</v>
      </c>
      <c r="CO815" s="346">
        <f t="shared" si="1287"/>
        <v>19.608147498548291</v>
      </c>
      <c r="CP815" s="348">
        <f t="shared" si="1287"/>
        <v>96.85123674827301</v>
      </c>
      <c r="CQ815" s="346">
        <f t="shared" si="1287"/>
        <v>-2.2586144332271942</v>
      </c>
      <c r="CR815" s="346">
        <f t="shared" si="1287"/>
        <v>9.4697950274682086</v>
      </c>
      <c r="CS815" s="346">
        <f t="shared" si="1287"/>
        <v>38.213657824007726</v>
      </c>
      <c r="CT815" s="346">
        <f t="shared" si="1287"/>
        <v>10.482476524746346</v>
      </c>
      <c r="CU815" s="346">
        <f t="shared" si="1287"/>
        <v>22.743065555580202</v>
      </c>
      <c r="CV815" s="346">
        <f t="shared" si="1287"/>
        <v>115.20482370154257</v>
      </c>
      <c r="CW815" s="346">
        <f t="shared" ref="CW815:EB815" si="1288">CW666-CW754</f>
        <v>5.9576430422451523</v>
      </c>
      <c r="CX815" s="346">
        <f t="shared" si="1288"/>
        <v>26.452220863713123</v>
      </c>
      <c r="CY815" s="346">
        <f t="shared" si="1288"/>
        <v>69.860697616976864</v>
      </c>
      <c r="CZ815" s="346">
        <f t="shared" si="1288"/>
        <v>-19.214715032122783</v>
      </c>
      <c r="DA815" s="346">
        <f t="shared" si="1288"/>
        <v>48.747024967170887</v>
      </c>
      <c r="DB815" s="1479">
        <f t="shared" si="1288"/>
        <v>105.84440212610917</v>
      </c>
      <c r="DC815" s="346">
        <f t="shared" si="1288"/>
        <v>-12.986428541790374</v>
      </c>
      <c r="DD815" s="346">
        <f t="shared" si="1288"/>
        <v>7.0968010364378245</v>
      </c>
      <c r="DE815" s="346">
        <f t="shared" si="1288"/>
        <v>62.83344332245106</v>
      </c>
      <c r="DF815" s="346">
        <f t="shared" si="1288"/>
        <v>-37.877233526748924</v>
      </c>
      <c r="DG815" s="346">
        <f t="shared" si="1288"/>
        <v>32.232385309364403</v>
      </c>
      <c r="DH815" s="346">
        <f t="shared" si="1288"/>
        <v>98.478752021755994</v>
      </c>
      <c r="DI815" s="346">
        <f t="shared" si="1288"/>
        <v>-32.909509292516304</v>
      </c>
      <c r="DJ815" s="346">
        <f t="shared" si="1288"/>
        <v>13.939963891306775</v>
      </c>
      <c r="DK815" s="346">
        <f t="shared" si="1288"/>
        <v>77.712685231954339</v>
      </c>
      <c r="DL815" s="346">
        <f t="shared" si="1288"/>
        <v>24.038571513286939</v>
      </c>
      <c r="DM815" s="346">
        <f t="shared" si="1288"/>
        <v>28.732232940405524</v>
      </c>
      <c r="DN815" s="348">
        <f t="shared" si="1288"/>
        <v>133.42889728732064</v>
      </c>
      <c r="DO815" s="346">
        <f t="shared" si="1288"/>
        <v>-37.544874159932633</v>
      </c>
      <c r="DP815" s="346">
        <f t="shared" si="1288"/>
        <v>-7.9270493439080383</v>
      </c>
      <c r="DQ815" s="346">
        <f t="shared" si="1288"/>
        <v>66.925950232232239</v>
      </c>
      <c r="DR815" s="346">
        <f t="shared" si="1288"/>
        <v>-68.736286019283426</v>
      </c>
      <c r="DS815" s="346">
        <f t="shared" si="1288"/>
        <v>9.1131971580939251</v>
      </c>
      <c r="DT815" s="346">
        <f t="shared" si="1288"/>
        <v>97.703021800288795</v>
      </c>
      <c r="DU815" s="346">
        <f t="shared" si="1288"/>
        <v>-13.88169033125692</v>
      </c>
      <c r="DV815" s="346">
        <f t="shared" si="1288"/>
        <v>-4.4679824588486099</v>
      </c>
      <c r="DW815" s="346">
        <f t="shared" si="1288"/>
        <v>107.09859551634307</v>
      </c>
      <c r="DX815" s="346">
        <f t="shared" si="1288"/>
        <v>-51.216284919102463</v>
      </c>
      <c r="DY815" s="346">
        <f t="shared" si="1288"/>
        <v>4.3159398657874988</v>
      </c>
      <c r="DZ815" s="348">
        <f t="shared" si="1288"/>
        <v>190.92195802992831</v>
      </c>
      <c r="EA815" s="346">
        <f t="shared" si="1288"/>
        <v>-26.544204225568109</v>
      </c>
      <c r="EB815" s="346">
        <f t="shared" si="1288"/>
        <v>-19.157830598943164</v>
      </c>
      <c r="EC815" s="346">
        <f t="shared" ref="EC815:FH815" si="1289">EC666-EC754</f>
        <v>16.832822387397158</v>
      </c>
      <c r="ED815" s="346">
        <f t="shared" si="1289"/>
        <v>3.4440761479946786</v>
      </c>
      <c r="EE815" s="346">
        <f t="shared" si="1289"/>
        <v>26.26293363380961</v>
      </c>
      <c r="EF815" s="346">
        <f t="shared" si="1289"/>
        <v>141.36570611433447</v>
      </c>
      <c r="EG815" s="346">
        <f t="shared" si="1289"/>
        <v>1.6138313306920793</v>
      </c>
      <c r="EH815" s="346">
        <f t="shared" si="1289"/>
        <v>13.370520270901466</v>
      </c>
      <c r="EI815" s="346">
        <f t="shared" si="1289"/>
        <v>69.304689018189066</v>
      </c>
      <c r="EJ815" s="346">
        <f t="shared" si="1289"/>
        <v>45.316132540622448</v>
      </c>
      <c r="EK815" s="346">
        <f t="shared" si="1289"/>
        <v>-5.4253947788243266</v>
      </c>
      <c r="EL815" s="348">
        <f t="shared" si="1289"/>
        <v>117.10695490555074</v>
      </c>
      <c r="EM815" s="346">
        <f t="shared" si="1289"/>
        <v>10.369869410354255</v>
      </c>
      <c r="EN815" s="346">
        <f t="shared" si="1289"/>
        <v>51.252060539525019</v>
      </c>
      <c r="EO815" s="346">
        <f t="shared" si="1289"/>
        <v>92.177410487107565</v>
      </c>
      <c r="EP815" s="346">
        <f t="shared" si="1289"/>
        <v>-11.679561661276239</v>
      </c>
      <c r="EQ815" s="346">
        <f t="shared" si="1289"/>
        <v>-28.56469433456121</v>
      </c>
      <c r="ER815" s="346">
        <f t="shared" si="1289"/>
        <v>177.85659275868267</v>
      </c>
      <c r="ES815" s="346">
        <f t="shared" si="1289"/>
        <v>18.072183566611585</v>
      </c>
      <c r="ET815" s="346">
        <f t="shared" si="1289"/>
        <v>35.155458262292996</v>
      </c>
      <c r="EU815" s="346">
        <f t="shared" si="1289"/>
        <v>60.109411120122644</v>
      </c>
      <c r="EV815" s="346">
        <f t="shared" si="1289"/>
        <v>-99.962704997196681</v>
      </c>
      <c r="EW815" s="346">
        <f t="shared" si="1289"/>
        <v>-38.946207214846083</v>
      </c>
      <c r="EX815" s="348">
        <f t="shared" si="1289"/>
        <v>132.32396091031814</v>
      </c>
      <c r="EY815" s="346">
        <f t="shared" si="1289"/>
        <v>11.531639815876531</v>
      </c>
      <c r="EZ815" s="346">
        <f t="shared" si="1289"/>
        <v>4.0938651345833819</v>
      </c>
      <c r="FA815" s="346">
        <f t="shared" si="1289"/>
        <v>72.749586707226484</v>
      </c>
      <c r="FB815" s="346">
        <f t="shared" si="1289"/>
        <v>14.504317450792684</v>
      </c>
      <c r="FC815" s="346">
        <f t="shared" si="1289"/>
        <v>-20.401203805582327</v>
      </c>
      <c r="FD815" s="346">
        <f t="shared" si="1289"/>
        <v>134.79899764577428</v>
      </c>
      <c r="FE815" s="346">
        <f t="shared" si="1289"/>
        <v>20.579735134823835</v>
      </c>
      <c r="FF815" s="346">
        <f t="shared" si="1289"/>
        <v>0.48782273090586159</v>
      </c>
      <c r="FG815" s="346">
        <f t="shared" si="1289"/>
        <v>-9.338271103244125</v>
      </c>
      <c r="FH815" s="346">
        <f t="shared" si="1289"/>
        <v>26.03390740896063</v>
      </c>
      <c r="FI815" s="346">
        <f t="shared" ref="FI815:FV815" si="1290">FI666-FI754</f>
        <v>-96.597009332246387</v>
      </c>
      <c r="FJ815" s="348">
        <f t="shared" si="1290"/>
        <v>133.38672585636206</v>
      </c>
      <c r="FK815" s="346">
        <f t="shared" si="1290"/>
        <v>-93.131365877007653</v>
      </c>
      <c r="FL815" s="346">
        <f t="shared" si="1290"/>
        <v>-18.271631342960319</v>
      </c>
      <c r="FM815" s="346">
        <f t="shared" si="1290"/>
        <v>159.3012727441062</v>
      </c>
      <c r="FN815" s="346">
        <f t="shared" si="1290"/>
        <v>60.045235040553621</v>
      </c>
      <c r="FO815" s="346">
        <f t="shared" si="1290"/>
        <v>-43.371605854552001</v>
      </c>
      <c r="FP815" s="346">
        <f t="shared" si="1290"/>
        <v>121.32178410174845</v>
      </c>
      <c r="FQ815" s="346">
        <f t="shared" si="1290"/>
        <v>34.736620264355395</v>
      </c>
      <c r="FR815" s="346">
        <f t="shared" si="1290"/>
        <v>-3.8924786876739574</v>
      </c>
      <c r="FS815" s="346">
        <f t="shared" si="1290"/>
        <v>105.67091608287279</v>
      </c>
      <c r="FT815" s="346">
        <f t="shared" si="1290"/>
        <v>78.759100283718851</v>
      </c>
      <c r="FU815" s="346">
        <f t="shared" si="1290"/>
        <v>-124.00859336688893</v>
      </c>
      <c r="FV815" s="346">
        <f t="shared" si="1290"/>
        <v>201.67450572051013</v>
      </c>
      <c r="FW815" s="346">
        <v>-7.7577802856145297</v>
      </c>
      <c r="FX815" s="346">
        <v>17.881145306058386</v>
      </c>
      <c r="FY815" s="346">
        <v>-20.813504917829107</v>
      </c>
      <c r="FZ815" s="346">
        <v>30.64203143979131</v>
      </c>
      <c r="GA815" s="346">
        <v>68.883346584564919</v>
      </c>
      <c r="GB815" s="346">
        <v>116.64479865938523</v>
      </c>
      <c r="GC815" s="346">
        <v>15.144317438286748</v>
      </c>
      <c r="GD815" s="346">
        <v>-37.110679213351148</v>
      </c>
      <c r="GE815" s="346">
        <v>174.29080912954831</v>
      </c>
      <c r="GF815" s="346">
        <v>5.6865371737175678</v>
      </c>
      <c r="GG815" s="346">
        <v>104.76155300730449</v>
      </c>
      <c r="GH815" s="346">
        <v>154.96014495995357</v>
      </c>
      <c r="GI815" s="1897">
        <f>GI666-GI754</f>
        <v>-36.244317143483471</v>
      </c>
      <c r="GJ815" s="1897">
        <f t="shared" ref="GJ815:HF815" si="1291">GJ666-GJ754</f>
        <v>-64.332281865883772</v>
      </c>
      <c r="GK815" s="1897">
        <f t="shared" si="1291"/>
        <v>64.315743396283693</v>
      </c>
      <c r="GL815" s="1897">
        <f t="shared" si="1291"/>
        <v>10.452655731688509</v>
      </c>
      <c r="GM815" s="1897">
        <f t="shared" si="1291"/>
        <v>-1.1173421739326557</v>
      </c>
      <c r="GN815" s="1897">
        <f t="shared" si="1291"/>
        <v>195.96335724041455</v>
      </c>
      <c r="GO815" s="1897">
        <f t="shared" si="1291"/>
        <v>29.035478198930832</v>
      </c>
      <c r="GP815" s="1897">
        <f t="shared" si="1291"/>
        <v>-15.031052830839059</v>
      </c>
      <c r="GQ815" s="1897">
        <f t="shared" si="1291"/>
        <v>154.02559419773215</v>
      </c>
      <c r="GR815" s="1897">
        <f t="shared" si="1291"/>
        <v>105.30737492834515</v>
      </c>
      <c r="GS815" s="1897">
        <f t="shared" si="1291"/>
        <v>-146.45153599436051</v>
      </c>
      <c r="GT815" s="1897">
        <f t="shared" si="1291"/>
        <v>246.94887672734112</v>
      </c>
      <c r="GU815" s="1897">
        <f t="shared" si="1291"/>
        <v>45.320778339677133</v>
      </c>
      <c r="GV815" s="1897">
        <f t="shared" si="1291"/>
        <v>-64.252468153693542</v>
      </c>
      <c r="GW815" s="1897">
        <f t="shared" si="1291"/>
        <v>189.31192920653137</v>
      </c>
      <c r="GX815" s="1897">
        <f t="shared" si="1291"/>
        <v>3.8342026218434171</v>
      </c>
      <c r="GY815" s="1897">
        <f t="shared" si="1291"/>
        <v>-31.570297179784177</v>
      </c>
      <c r="GZ815" s="1897">
        <f t="shared" si="1291"/>
        <v>246.83058024757628</v>
      </c>
      <c r="HA815" s="1897">
        <f t="shared" si="1291"/>
        <v>-17.874802007185167</v>
      </c>
      <c r="HB815" s="1897">
        <f t="shared" si="1291"/>
        <v>-104.48662195446414</v>
      </c>
      <c r="HC815" s="1897">
        <f t="shared" si="1291"/>
        <v>186.31408910464862</v>
      </c>
      <c r="HD815" s="1897">
        <f t="shared" si="1291"/>
        <v>61.227510689165001</v>
      </c>
      <c r="HE815" s="1897">
        <f t="shared" si="1291"/>
        <v>-57.274948339862078</v>
      </c>
      <c r="HF815" s="1897">
        <f t="shared" si="1291"/>
        <v>180.80645132360343</v>
      </c>
      <c r="HG815" s="1897">
        <f t="shared" ref="HG815:HL815" si="1292">HG666-HG754</f>
        <v>20.326705220343229</v>
      </c>
      <c r="HH815" s="1897">
        <f t="shared" si="1292"/>
        <v>-77.716183964164685</v>
      </c>
      <c r="HI815" s="1897">
        <f t="shared" si="1292"/>
        <v>220.16890932055986</v>
      </c>
      <c r="HJ815" s="1897">
        <f t="shared" si="1292"/>
        <v>12.884853579390438</v>
      </c>
      <c r="HK815" s="1897">
        <f t="shared" si="1292"/>
        <v>-75.099184233297677</v>
      </c>
      <c r="HL815" s="1897">
        <f t="shared" si="1292"/>
        <v>333.19955957282502</v>
      </c>
      <c r="HM815" s="1897"/>
      <c r="HN815" s="349"/>
      <c r="HO815" s="353" t="s">
        <v>592</v>
      </c>
      <c r="HP815" s="307">
        <f>SUM(CE815:CJ815)</f>
        <v>263.85379132264023</v>
      </c>
      <c r="HQ815" s="302">
        <f>SUM(CK815:CP815)</f>
        <v>171.87136035538964</v>
      </c>
      <c r="HR815" s="346">
        <f>HP815+HQ815</f>
        <v>435.72515167802987</v>
      </c>
      <c r="HS815" s="302">
        <f>SUM(CQ815:CV815)</f>
        <v>193.85520420011784</v>
      </c>
      <c r="HT815" s="302">
        <f>SUM(CW815:DB815)</f>
        <v>237.64727358409243</v>
      </c>
      <c r="HU815" s="346">
        <f>HS815+HT815</f>
        <v>431.50247778421027</v>
      </c>
      <c r="HV815" s="307">
        <f>SUM(DC815:DH815)</f>
        <v>149.77771962147</v>
      </c>
      <c r="HW815" s="302">
        <f>SUM(DI815:DN815)</f>
        <v>244.94284157175792</v>
      </c>
      <c r="HX815" s="346">
        <f>HV815+HW815</f>
        <v>394.72056119322792</v>
      </c>
      <c r="HY815" s="350">
        <f>SUM(DO815:DT815)</f>
        <v>59.533959667490862</v>
      </c>
      <c r="HZ815" s="302">
        <f>SUM(DU815:DZ815)</f>
        <v>232.77053570285088</v>
      </c>
      <c r="IA815" s="346">
        <f>HY815+HZ815</f>
        <v>292.30449537034173</v>
      </c>
      <c r="IB815" s="302">
        <f>SUM(EA815:EF815)</f>
        <v>142.20350345902466</v>
      </c>
      <c r="IC815" s="302">
        <f>SUM(EG815:EL815)</f>
        <v>241.28673328713148</v>
      </c>
      <c r="ID815" s="346">
        <f>IB815+IC815</f>
        <v>383.49023674615614</v>
      </c>
      <c r="IE815" s="350">
        <f>SUM(EM815:ER815)</f>
        <v>291.41167719983207</v>
      </c>
      <c r="IF815" s="350">
        <f>SUM(ES815:EX815)</f>
        <v>106.7521016473026</v>
      </c>
      <c r="IG815" s="346">
        <f>IE815+IF815</f>
        <v>398.16377884713467</v>
      </c>
      <c r="IH815" s="350">
        <f>SUM(EY815:FD815)</f>
        <v>217.27720294867103</v>
      </c>
      <c r="II815" s="350">
        <f>SUM(FE815:FJ815)</f>
        <v>74.552910695561877</v>
      </c>
      <c r="IJ815" s="346">
        <f>IH815+II815</f>
        <v>291.83011364423294</v>
      </c>
      <c r="IK815" s="350">
        <f>SUM(FK815:FP815)</f>
        <v>185.8936888118883</v>
      </c>
      <c r="IL815" s="350">
        <f t="shared" ref="IL815:IL825" si="1293">SUM(FQ815:FV815)</f>
        <v>292.94007029689431</v>
      </c>
      <c r="IM815" s="346">
        <f t="shared" si="1183"/>
        <v>478.8337591087826</v>
      </c>
      <c r="IN815" s="350">
        <f t="shared" si="1276"/>
        <v>205.48003678635621</v>
      </c>
      <c r="IO815" s="350">
        <f t="shared" si="1277"/>
        <v>417.73268249545958</v>
      </c>
      <c r="IP815" s="346">
        <f t="shared" ref="IP815:IP884" si="1294">IN815+IO815</f>
        <v>623.21271928181579</v>
      </c>
      <c r="IQ815" s="350">
        <f t="shared" si="1278"/>
        <v>169.03781518508686</v>
      </c>
      <c r="IR815" s="350">
        <f t="shared" ref="IR815:IR827" si="1295">SUM(GO815:GT815)</f>
        <v>373.83473522714968</v>
      </c>
      <c r="IS815" s="346">
        <f>IQ815+IR815</f>
        <v>542.87255041223648</v>
      </c>
      <c r="IT815" s="350">
        <f>IT666-IT754</f>
        <v>389.47472508215083</v>
      </c>
      <c r="IU815" s="350">
        <f>IU666-IU754</f>
        <v>248.71167881590532</v>
      </c>
      <c r="IV815" s="346">
        <f t="shared" si="1235"/>
        <v>638.18640389805614</v>
      </c>
      <c r="IW815" s="350">
        <f t="shared" si="1256"/>
        <v>433.76465949565619</v>
      </c>
      <c r="IX815" s="350">
        <f t="shared" si="1252"/>
        <v>301.80745167916638</v>
      </c>
      <c r="IY815" s="346">
        <f>FISC!AJ1131</f>
        <v>735.57211117482257</v>
      </c>
      <c r="IZ815" s="350">
        <f>IZ666-IZ754</f>
        <v>60.033894965536092</v>
      </c>
      <c r="JA815" s="302">
        <f>JB815-IZ815</f>
        <v>737.90729320119726</v>
      </c>
      <c r="JB815" s="346">
        <f>FISC!AK1131</f>
        <v>797.94118816673335</v>
      </c>
      <c r="JC815" s="350">
        <f>JC666-JC754</f>
        <v>382.43291030815408</v>
      </c>
      <c r="JD815" s="302">
        <f>JE815-JC815</f>
        <v>962.01747708212179</v>
      </c>
      <c r="JE815" s="346">
        <f>FISC!AL1131</f>
        <v>1344.4503873902759</v>
      </c>
      <c r="JF815" s="350">
        <f>JF666-JF754</f>
        <v>537.17831593518531</v>
      </c>
      <c r="JG815" s="302">
        <f>JH815-JF815</f>
        <v>1064.690941635462</v>
      </c>
      <c r="JH815" s="346">
        <f>FISC!AM1131</f>
        <v>1601.8692575706473</v>
      </c>
      <c r="JI815" s="350">
        <f>JI666-JI754</f>
        <v>681.32976193523291</v>
      </c>
      <c r="JJ815" s="302">
        <f>JK815-JI815</f>
        <v>1224.6723976084818</v>
      </c>
      <c r="JK815" s="346">
        <f>FISC!AN1131</f>
        <v>1906.0021595437147</v>
      </c>
      <c r="JL815" s="350">
        <f>JL666-JL754</f>
        <v>852.3864296108336</v>
      </c>
      <c r="JM815" s="302">
        <f>JN815-JL815</f>
        <v>1238.2419533909829</v>
      </c>
      <c r="JN815" s="346">
        <f>FISC!AO1131</f>
        <v>2090.6283830018165</v>
      </c>
      <c r="KI815" s="349"/>
      <c r="KJ815" s="350"/>
      <c r="KM815" s="302">
        <f>KM666-KM754</f>
        <v>0</v>
      </c>
      <c r="KN815" s="302">
        <f>KN666-KN754</f>
        <v>0</v>
      </c>
      <c r="KO815" s="302">
        <f>KO666-KO754</f>
        <v>0</v>
      </c>
      <c r="KP815" s="302">
        <f>KP666-KP754</f>
        <v>0</v>
      </c>
    </row>
    <row r="816" spans="1:302" hidden="1" outlineLevel="1">
      <c r="A816" s="302"/>
      <c r="B816" s="117" t="s">
        <v>361</v>
      </c>
      <c r="D816" s="353" t="s">
        <v>593</v>
      </c>
      <c r="E816" s="346">
        <f t="shared" ref="E816:AJ816" si="1296">E666-E717-E754</f>
        <v>0</v>
      </c>
      <c r="F816" s="346">
        <f t="shared" si="1296"/>
        <v>0</v>
      </c>
      <c r="G816" s="346">
        <f t="shared" si="1296"/>
        <v>0</v>
      </c>
      <c r="H816" s="346">
        <f t="shared" si="1296"/>
        <v>0</v>
      </c>
      <c r="I816" s="346">
        <f t="shared" si="1296"/>
        <v>0</v>
      </c>
      <c r="J816" s="346">
        <f t="shared" si="1296"/>
        <v>0</v>
      </c>
      <c r="K816" s="346">
        <f t="shared" si="1296"/>
        <v>0</v>
      </c>
      <c r="L816" s="346">
        <f t="shared" si="1296"/>
        <v>0</v>
      </c>
      <c r="M816" s="346">
        <f t="shared" si="1296"/>
        <v>0</v>
      </c>
      <c r="N816" s="346">
        <f t="shared" si="1296"/>
        <v>0</v>
      </c>
      <c r="O816" s="346">
        <f t="shared" si="1296"/>
        <v>0</v>
      </c>
      <c r="P816" s="346">
        <f t="shared" si="1296"/>
        <v>0</v>
      </c>
      <c r="Q816" s="346">
        <f t="shared" si="1296"/>
        <v>0</v>
      </c>
      <c r="R816" s="346">
        <f t="shared" si="1296"/>
        <v>0</v>
      </c>
      <c r="S816" s="346">
        <f t="shared" si="1296"/>
        <v>0</v>
      </c>
      <c r="T816" s="346">
        <f t="shared" si="1296"/>
        <v>0</v>
      </c>
      <c r="U816" s="346">
        <f t="shared" si="1296"/>
        <v>0</v>
      </c>
      <c r="V816" s="346">
        <f t="shared" si="1296"/>
        <v>0</v>
      </c>
      <c r="W816" s="346">
        <f t="shared" si="1296"/>
        <v>0</v>
      </c>
      <c r="X816" s="346">
        <f t="shared" si="1296"/>
        <v>0</v>
      </c>
      <c r="Y816" s="346">
        <f t="shared" si="1296"/>
        <v>0</v>
      </c>
      <c r="Z816" s="346">
        <f t="shared" si="1296"/>
        <v>0</v>
      </c>
      <c r="AA816" s="346">
        <f t="shared" si="1296"/>
        <v>0</v>
      </c>
      <c r="AB816" s="346">
        <f t="shared" si="1296"/>
        <v>0</v>
      </c>
      <c r="AC816" s="346">
        <f t="shared" si="1296"/>
        <v>0</v>
      </c>
      <c r="AD816" s="346">
        <f t="shared" si="1296"/>
        <v>0</v>
      </c>
      <c r="AE816" s="346">
        <f t="shared" si="1296"/>
        <v>0</v>
      </c>
      <c r="AF816" s="346">
        <f t="shared" si="1296"/>
        <v>0</v>
      </c>
      <c r="AG816" s="346">
        <f t="shared" si="1296"/>
        <v>0</v>
      </c>
      <c r="AH816" s="346">
        <f t="shared" si="1296"/>
        <v>0</v>
      </c>
      <c r="AI816" s="346">
        <f t="shared" si="1296"/>
        <v>0</v>
      </c>
      <c r="AJ816" s="346">
        <f t="shared" si="1296"/>
        <v>0</v>
      </c>
      <c r="AK816" s="346">
        <f t="shared" ref="AK816:BP816" si="1297">AK666-AK717-AK754</f>
        <v>0</v>
      </c>
      <c r="AL816" s="346">
        <f t="shared" si="1297"/>
        <v>0</v>
      </c>
      <c r="AM816" s="346">
        <f t="shared" si="1297"/>
        <v>0</v>
      </c>
      <c r="AN816" s="346">
        <f t="shared" si="1297"/>
        <v>0</v>
      </c>
      <c r="AO816" s="346">
        <f t="shared" si="1297"/>
        <v>28.693012875293803</v>
      </c>
      <c r="AP816" s="346">
        <f t="shared" si="1297"/>
        <v>27.304769607348977</v>
      </c>
      <c r="AQ816" s="346">
        <f t="shared" si="1297"/>
        <v>44.067110645589501</v>
      </c>
      <c r="AR816" s="346">
        <f t="shared" si="1297"/>
        <v>39.576460060137798</v>
      </c>
      <c r="AS816" s="346">
        <f t="shared" si="1297"/>
        <v>27.959346852645833</v>
      </c>
      <c r="AT816" s="346">
        <f t="shared" si="1297"/>
        <v>48.277457878428784</v>
      </c>
      <c r="AU816" s="346">
        <f t="shared" si="1297"/>
        <v>30.463161786955489</v>
      </c>
      <c r="AV816" s="346">
        <f t="shared" si="1297"/>
        <v>33.978168062871106</v>
      </c>
      <c r="AW816" s="346">
        <f t="shared" si="1297"/>
        <v>39.684076431078985</v>
      </c>
      <c r="AX816" s="346">
        <f t="shared" si="1297"/>
        <v>42.835952020411291</v>
      </c>
      <c r="AY816" s="346">
        <f t="shared" si="1297"/>
        <v>35.734708171364105</v>
      </c>
      <c r="AZ816" s="346">
        <f t="shared" si="1297"/>
        <v>54.345146744120107</v>
      </c>
      <c r="BA816" s="346">
        <f t="shared" si="1297"/>
        <v>38.4483032298279</v>
      </c>
      <c r="BB816" s="346">
        <f t="shared" si="1297"/>
        <v>31.616837264869396</v>
      </c>
      <c r="BC816" s="346">
        <f t="shared" si="1297"/>
        <v>49.256745370470583</v>
      </c>
      <c r="BD816" s="346">
        <f t="shared" si="1297"/>
        <v>49.84487737278441</v>
      </c>
      <c r="BE816" s="346">
        <f t="shared" si="1297"/>
        <v>40.01270123663727</v>
      </c>
      <c r="BF816" s="346">
        <f t="shared" si="1297"/>
        <v>57.065417011413764</v>
      </c>
      <c r="BG816" s="346">
        <f t="shared" si="1297"/>
        <v>-11.913870979375517</v>
      </c>
      <c r="BH816" s="346">
        <f t="shared" si="1297"/>
        <v>-32.836070557274631</v>
      </c>
      <c r="BI816" s="346">
        <f t="shared" si="1297"/>
        <v>1.4148010329374756</v>
      </c>
      <c r="BJ816" s="346">
        <f t="shared" si="1297"/>
        <v>-22.1459955388124</v>
      </c>
      <c r="BK816" s="346">
        <f t="shared" si="1297"/>
        <v>-11.351931075129762</v>
      </c>
      <c r="BL816" s="346">
        <f t="shared" si="1297"/>
        <v>25.509031633065995</v>
      </c>
      <c r="BM816" s="346">
        <f t="shared" si="1297"/>
        <v>-26.744215678022925</v>
      </c>
      <c r="BN816" s="346">
        <f t="shared" si="1297"/>
        <v>-6.0497139274372671</v>
      </c>
      <c r="BO816" s="346">
        <f t="shared" si="1297"/>
        <v>21.918057641703342</v>
      </c>
      <c r="BP816" s="346">
        <f t="shared" si="1297"/>
        <v>-39.983634329624451</v>
      </c>
      <c r="BQ816" s="346">
        <f t="shared" ref="BQ816:CV816" si="1298">BQ666-BQ717-BQ754</f>
        <v>-16.950531319821295</v>
      </c>
      <c r="BR816" s="346">
        <f t="shared" si="1298"/>
        <v>40.08341116246001</v>
      </c>
      <c r="BS816" s="346">
        <f t="shared" si="1298"/>
        <v>-12.255408713397017</v>
      </c>
      <c r="BT816" s="346">
        <f t="shared" si="1298"/>
        <v>-3.1222339434841899</v>
      </c>
      <c r="BU816" s="346">
        <f t="shared" si="1298"/>
        <v>18.407758789572</v>
      </c>
      <c r="BV816" s="346">
        <f t="shared" si="1298"/>
        <v>-17.040283410087341</v>
      </c>
      <c r="BW816" s="346">
        <f t="shared" si="1298"/>
        <v>-3.7677561356180718</v>
      </c>
      <c r="BX816" s="346">
        <f t="shared" si="1298"/>
        <v>32.093110549651875</v>
      </c>
      <c r="BY816" s="346">
        <f t="shared" si="1298"/>
        <v>-9.091133376518016</v>
      </c>
      <c r="BZ816" s="346">
        <f t="shared" si="1298"/>
        <v>-10.914260582832128</v>
      </c>
      <c r="CA816" s="346">
        <f t="shared" si="1298"/>
        <v>43.23020589170342</v>
      </c>
      <c r="CB816" s="346">
        <f t="shared" si="1298"/>
        <v>-28.742051689443471</v>
      </c>
      <c r="CC816" s="346">
        <f t="shared" si="1298"/>
        <v>-54.400942121980613</v>
      </c>
      <c r="CD816" s="352">
        <f t="shared" si="1298"/>
        <v>-26.831638579120686</v>
      </c>
      <c r="CE816" s="346">
        <f t="shared" si="1298"/>
        <v>-20.067945382510381</v>
      </c>
      <c r="CF816" s="346">
        <f t="shared" si="1298"/>
        <v>-18.88869631887173</v>
      </c>
      <c r="CG816" s="346">
        <f t="shared" si="1298"/>
        <v>12.261921958556918</v>
      </c>
      <c r="CH816" s="346">
        <f t="shared" si="1298"/>
        <v>-30.722277819624907</v>
      </c>
      <c r="CI816" s="346">
        <f t="shared" si="1298"/>
        <v>0.29826174286301921</v>
      </c>
      <c r="CJ816" s="346">
        <f t="shared" si="1298"/>
        <v>27.557297285026337</v>
      </c>
      <c r="CK816" s="346">
        <f t="shared" si="1298"/>
        <v>-32.382217631083464</v>
      </c>
      <c r="CL816" s="346">
        <f t="shared" si="1298"/>
        <v>0.64309422348690504</v>
      </c>
      <c r="CM816" s="346">
        <f t="shared" si="1298"/>
        <v>28.889716291359122</v>
      </c>
      <c r="CN816" s="346">
        <f t="shared" si="1298"/>
        <v>-54.961939398732596</v>
      </c>
      <c r="CO816" s="346">
        <f t="shared" si="1298"/>
        <v>-17.003702104861873</v>
      </c>
      <c r="CP816" s="348">
        <f t="shared" si="1298"/>
        <v>65.784981609802415</v>
      </c>
      <c r="CQ816" s="346">
        <f t="shared" si="1298"/>
        <v>-36.707047735804117</v>
      </c>
      <c r="CR816" s="346">
        <f t="shared" si="1298"/>
        <v>-11.165541964961648</v>
      </c>
      <c r="CS816" s="346">
        <f t="shared" si="1298"/>
        <v>6.1257109237150047</v>
      </c>
      <c r="CT816" s="346">
        <f t="shared" si="1298"/>
        <v>-17.129557879184759</v>
      </c>
      <c r="CU816" s="346">
        <f t="shared" si="1298"/>
        <v>-14.693617621238097</v>
      </c>
      <c r="CV816" s="346">
        <f t="shared" si="1298"/>
        <v>26.505878687120074</v>
      </c>
      <c r="CW816" s="346">
        <f t="shared" ref="CW816:EB816" si="1299">CW666-CW717-CW754</f>
        <v>-13.246522460817289</v>
      </c>
      <c r="CX816" s="346">
        <f t="shared" si="1299"/>
        <v>5.7052730917447647</v>
      </c>
      <c r="CY816" s="346">
        <f t="shared" si="1299"/>
        <v>33.991581910511144</v>
      </c>
      <c r="CZ816" s="346">
        <f t="shared" si="1299"/>
        <v>-45.199777814566488</v>
      </c>
      <c r="DA816" s="346">
        <f t="shared" si="1299"/>
        <v>-3.1779253840338555</v>
      </c>
      <c r="DB816" s="1479">
        <f t="shared" si="1299"/>
        <v>84.566617036425981</v>
      </c>
      <c r="DC816" s="346">
        <f t="shared" si="1299"/>
        <v>-44.93887290087801</v>
      </c>
      <c r="DD816" s="346">
        <f t="shared" si="1299"/>
        <v>-18.080131733064434</v>
      </c>
      <c r="DE816" s="346">
        <f t="shared" si="1299"/>
        <v>25.099969320357758</v>
      </c>
      <c r="DF816" s="346">
        <f t="shared" si="1299"/>
        <v>-48.507797923097186</v>
      </c>
      <c r="DG816" s="346">
        <f t="shared" si="1299"/>
        <v>-10.009980318450857</v>
      </c>
      <c r="DH816" s="346">
        <f t="shared" si="1299"/>
        <v>46.620823869800134</v>
      </c>
      <c r="DI816" s="346">
        <f t="shared" si="1299"/>
        <v>-43.001152597448495</v>
      </c>
      <c r="DJ816" s="346">
        <f t="shared" si="1299"/>
        <v>-0.61271481202173561</v>
      </c>
      <c r="DK816" s="346">
        <f t="shared" si="1299"/>
        <v>62.409402448155618</v>
      </c>
      <c r="DL816" s="346">
        <f t="shared" si="1299"/>
        <v>-41.248484555590181</v>
      </c>
      <c r="DM816" s="346">
        <f t="shared" si="1299"/>
        <v>9.2064298459356166</v>
      </c>
      <c r="DN816" s="348">
        <f t="shared" si="1299"/>
        <v>84.069464755980292</v>
      </c>
      <c r="DO816" s="346">
        <f t="shared" si="1299"/>
        <v>-70.967318386890085</v>
      </c>
      <c r="DP816" s="346">
        <f t="shared" si="1299"/>
        <v>-26.219685095328728</v>
      </c>
      <c r="DQ816" s="346">
        <f t="shared" si="1299"/>
        <v>54.451836608785825</v>
      </c>
      <c r="DR816" s="346">
        <f t="shared" si="1299"/>
        <v>-72.274059419611959</v>
      </c>
      <c r="DS816" s="346">
        <f t="shared" si="1299"/>
        <v>-22.239894496135719</v>
      </c>
      <c r="DT816" s="346">
        <f t="shared" si="1299"/>
        <v>31.567156291198259</v>
      </c>
      <c r="DU816" s="346">
        <f t="shared" si="1299"/>
        <v>-40.794964798562091</v>
      </c>
      <c r="DV816" s="346">
        <f t="shared" si="1299"/>
        <v>-20.224920091923352</v>
      </c>
      <c r="DW816" s="346">
        <f t="shared" si="1299"/>
        <v>86.619305723828489</v>
      </c>
      <c r="DX816" s="346">
        <f t="shared" si="1299"/>
        <v>-69.344953792051911</v>
      </c>
      <c r="DY816" s="346">
        <f t="shared" si="1299"/>
        <v>-7.3356484467910406</v>
      </c>
      <c r="DZ816" s="348">
        <f t="shared" si="1299"/>
        <v>118.88555732730552</v>
      </c>
      <c r="EA816" s="346">
        <f t="shared" si="1299"/>
        <v>-60.91823213125987</v>
      </c>
      <c r="EB816" s="346">
        <f t="shared" si="1299"/>
        <v>-39.092993179340908</v>
      </c>
      <c r="EC816" s="346">
        <f t="shared" ref="EC816:FH816" si="1300">EC666-EC717-EC754</f>
        <v>-8.5098436405133384</v>
      </c>
      <c r="ED816" s="346">
        <f t="shared" si="1300"/>
        <v>-19.902799080071247</v>
      </c>
      <c r="EE816" s="346">
        <f t="shared" si="1300"/>
        <v>-2.0852469789411856</v>
      </c>
      <c r="EF816" s="346">
        <f t="shared" si="1300"/>
        <v>77.93732678683611</v>
      </c>
      <c r="EG816" s="346">
        <f t="shared" si="1300"/>
        <v>-45.610826524083095</v>
      </c>
      <c r="EH816" s="346">
        <f t="shared" si="1300"/>
        <v>-2.7102261735886941</v>
      </c>
      <c r="EI816" s="346">
        <f t="shared" si="1300"/>
        <v>31.992090003560321</v>
      </c>
      <c r="EJ816" s="346">
        <f t="shared" si="1300"/>
        <v>20.827412652071644</v>
      </c>
      <c r="EK816" s="346">
        <f t="shared" si="1300"/>
        <v>-13.56140517619491</v>
      </c>
      <c r="EL816" s="348">
        <f t="shared" si="1300"/>
        <v>86.216303318970773</v>
      </c>
      <c r="EM816" s="346">
        <f t="shared" si="1300"/>
        <v>-13.553185781156969</v>
      </c>
      <c r="EN816" s="346">
        <f t="shared" si="1300"/>
        <v>18.239506423512637</v>
      </c>
      <c r="EO816" s="346">
        <f t="shared" si="1300"/>
        <v>60.017470745407294</v>
      </c>
      <c r="EP816" s="346">
        <f t="shared" si="1300"/>
        <v>-37.393135840025423</v>
      </c>
      <c r="EQ816" s="346">
        <f t="shared" si="1300"/>
        <v>-37.153857236972215</v>
      </c>
      <c r="ER816" s="346">
        <f t="shared" si="1300"/>
        <v>66.702691372781658</v>
      </c>
      <c r="ES816" s="346">
        <f t="shared" si="1300"/>
        <v>-7.732637591135159</v>
      </c>
      <c r="ET816" s="346">
        <f t="shared" si="1300"/>
        <v>-5.1061059641752138</v>
      </c>
      <c r="EU816" s="346">
        <f t="shared" si="1300"/>
        <v>33.692686642751141</v>
      </c>
      <c r="EV816" s="346">
        <f t="shared" si="1300"/>
        <v>-131.86968026074979</v>
      </c>
      <c r="EW816" s="346">
        <f t="shared" si="1300"/>
        <v>-48.219788550762345</v>
      </c>
      <c r="EX816" s="348">
        <f t="shared" si="1300"/>
        <v>105.78975703144326</v>
      </c>
      <c r="EY816" s="346">
        <f t="shared" si="1300"/>
        <v>-20.710194039216873</v>
      </c>
      <c r="EZ816" s="346">
        <f t="shared" si="1300"/>
        <v>-15.026475740030804</v>
      </c>
      <c r="FA816" s="346">
        <f t="shared" si="1300"/>
        <v>30.664819113190248</v>
      </c>
      <c r="FB816" s="346">
        <f t="shared" si="1300"/>
        <v>-2.6366948106705479</v>
      </c>
      <c r="FC816" s="346">
        <f t="shared" si="1300"/>
        <v>-48.992825262677201</v>
      </c>
      <c r="FD816" s="346">
        <f t="shared" si="1300"/>
        <v>53.508803378159513</v>
      </c>
      <c r="FE816" s="346">
        <f t="shared" si="1300"/>
        <v>2.0049574127363883</v>
      </c>
      <c r="FF816" s="346">
        <f t="shared" si="1300"/>
        <v>-40.341801926300903</v>
      </c>
      <c r="FG816" s="346">
        <f t="shared" si="1300"/>
        <v>-32.823671018652192</v>
      </c>
      <c r="FH816" s="346">
        <f t="shared" si="1300"/>
        <v>-17.400525844110291</v>
      </c>
      <c r="FI816" s="346">
        <f t="shared" ref="FI816:FV816" si="1301">FI666-FI717-FI754</f>
        <v>-122.30802999792837</v>
      </c>
      <c r="FJ816" s="348">
        <f t="shared" si="1301"/>
        <v>68.333347735866397</v>
      </c>
      <c r="FK816" s="346">
        <f t="shared" si="1301"/>
        <v>-111.14783482948894</v>
      </c>
      <c r="FL816" s="346">
        <f t="shared" si="1301"/>
        <v>-40.309792192377941</v>
      </c>
      <c r="FM816" s="346">
        <f t="shared" si="1301"/>
        <v>74.186432707263322</v>
      </c>
      <c r="FN816" s="346">
        <f t="shared" si="1301"/>
        <v>4.2494816979894949</v>
      </c>
      <c r="FO816" s="346">
        <f t="shared" si="1301"/>
        <v>-67.968595817484072</v>
      </c>
      <c r="FP816" s="346">
        <f t="shared" si="1301"/>
        <v>68.378500016367241</v>
      </c>
      <c r="FQ816" s="346">
        <f t="shared" si="1301"/>
        <v>8.6392979268086947</v>
      </c>
      <c r="FR816" s="346">
        <f t="shared" si="1301"/>
        <v>-29.989801025220657</v>
      </c>
      <c r="FS816" s="346">
        <f t="shared" si="1301"/>
        <v>3.6957327310874177</v>
      </c>
      <c r="FT816" s="346">
        <f t="shared" si="1301"/>
        <v>38.666845201054997</v>
      </c>
      <c r="FU816" s="346">
        <f t="shared" si="1301"/>
        <v>-150.54937673510233</v>
      </c>
      <c r="FV816" s="346">
        <f t="shared" si="1301"/>
        <v>119.89470162680323</v>
      </c>
      <c r="FW816" s="346">
        <v>-33.294597477812985</v>
      </c>
      <c r="FX816" s="346">
        <v>-50.888003716962857</v>
      </c>
      <c r="FY816" s="346">
        <v>-54.9544817455388</v>
      </c>
      <c r="FZ816" s="346">
        <v>-20.945060685974767</v>
      </c>
      <c r="GA816" s="346">
        <v>14.726836360809642</v>
      </c>
      <c r="GB816" s="346">
        <v>52.122407600459297</v>
      </c>
      <c r="GC816" s="346">
        <v>-36.235621071168794</v>
      </c>
      <c r="GD816" s="346">
        <v>-70.005288866356182</v>
      </c>
      <c r="GE816" s="346">
        <v>46.677619491772077</v>
      </c>
      <c r="GF816" s="346">
        <v>-58.952305130678525</v>
      </c>
      <c r="GG816" s="346">
        <v>-106.63980503029541</v>
      </c>
      <c r="GH816" s="346">
        <v>117.41666012728163</v>
      </c>
      <c r="GI816" s="1897">
        <f>(GI667+GI730)-GI754</f>
        <v>-98.993043580560311</v>
      </c>
      <c r="GJ816" s="1897">
        <f t="shared" ref="GJ816:HF816" si="1302">(GJ667+GJ730)-GJ754</f>
        <v>-98.329271413460731</v>
      </c>
      <c r="GK816" s="1897">
        <f t="shared" si="1302"/>
        <v>33.283099238790811</v>
      </c>
      <c r="GL816" s="1897">
        <f t="shared" si="1302"/>
        <v>-44.522364669977492</v>
      </c>
      <c r="GM816" s="1897">
        <f t="shared" si="1302"/>
        <v>-32.149986331425566</v>
      </c>
      <c r="GN816" s="1897">
        <f t="shared" si="1302"/>
        <v>137.10079714716869</v>
      </c>
      <c r="GO816" s="1897">
        <f t="shared" si="1302"/>
        <v>-7.7880784977431574</v>
      </c>
      <c r="GP816" s="1897">
        <f t="shared" si="1302"/>
        <v>-50.879226130513018</v>
      </c>
      <c r="GQ816" s="1897">
        <f t="shared" si="1302"/>
        <v>118.17742089805816</v>
      </c>
      <c r="GR816" s="1897">
        <f t="shared" si="1302"/>
        <v>-106.47739405219917</v>
      </c>
      <c r="GS816" s="1897">
        <f t="shared" si="1302"/>
        <v>-194.31276592705021</v>
      </c>
      <c r="GT816" s="1897">
        <f t="shared" si="1302"/>
        <v>176.45611797619662</v>
      </c>
      <c r="GU816" s="1897">
        <f t="shared" si="1302"/>
        <v>10.938964795176759</v>
      </c>
      <c r="GV816" s="1897">
        <f t="shared" si="1302"/>
        <v>-74.01641265545868</v>
      </c>
      <c r="GW816" s="1897">
        <f t="shared" si="1302"/>
        <v>61.81551538467221</v>
      </c>
      <c r="GX816" s="1897">
        <f t="shared" si="1302"/>
        <v>-11.064978597229043</v>
      </c>
      <c r="GY816" s="1897">
        <f t="shared" si="1302"/>
        <v>-54.10473918614494</v>
      </c>
      <c r="GZ816" s="1897">
        <f t="shared" si="1302"/>
        <v>121.54010240663087</v>
      </c>
      <c r="HA816" s="1897">
        <f t="shared" si="1302"/>
        <v>-32.286470661967087</v>
      </c>
      <c r="HB816" s="1897">
        <f t="shared" si="1302"/>
        <v>-104.48662195446414</v>
      </c>
      <c r="HC816" s="1897">
        <f t="shared" si="1302"/>
        <v>50.730023305168544</v>
      </c>
      <c r="HD816" s="1897">
        <f t="shared" si="1302"/>
        <v>31.698001970531493</v>
      </c>
      <c r="HE816" s="1897">
        <f t="shared" si="1302"/>
        <v>-148.37565825876607</v>
      </c>
      <c r="HF816" s="1897">
        <f t="shared" si="1302"/>
        <v>28.007267818274102</v>
      </c>
      <c r="HG816" s="1897">
        <f t="shared" ref="HG816:HL816" si="1303">(HG667+HG730)-HG754</f>
        <v>-16.223860208145936</v>
      </c>
      <c r="HH816" s="1897">
        <f t="shared" si="1303"/>
        <v>-77.716183964164685</v>
      </c>
      <c r="HI816" s="1897">
        <f t="shared" si="1303"/>
        <v>98.652759637798567</v>
      </c>
      <c r="HJ816" s="1897">
        <f t="shared" si="1303"/>
        <v>-21.352996542198952</v>
      </c>
      <c r="HK816" s="1897">
        <f t="shared" si="1303"/>
        <v>-82.046159713705748</v>
      </c>
      <c r="HL816" s="1897">
        <f t="shared" si="1303"/>
        <v>169.48143824013084</v>
      </c>
      <c r="HM816" s="1897"/>
      <c r="HN816" s="349"/>
      <c r="HO816" s="353" t="s">
        <v>593</v>
      </c>
      <c r="HP816" s="307">
        <f>SUM(CE816:CJ816)</f>
        <v>-29.561438534560743</v>
      </c>
      <c r="HQ816" s="302">
        <f>SUM(CK816:CP816)</f>
        <v>-9.030067010029498</v>
      </c>
      <c r="HR816" s="346">
        <f>HP816+HQ816</f>
        <v>-38.591505544590241</v>
      </c>
      <c r="HS816" s="302">
        <f>SUM(CQ816:CV816)</f>
        <v>-47.064175590353543</v>
      </c>
      <c r="HT816" s="302">
        <f>SUM(CW816:DB816)</f>
        <v>62.639246379264257</v>
      </c>
      <c r="HU816" s="346">
        <f>HS816+HT816</f>
        <v>15.575070788910715</v>
      </c>
      <c r="HV816" s="307">
        <f>SUM(DC816:DH816)</f>
        <v>-49.815989685332596</v>
      </c>
      <c r="HW816" s="302">
        <f>SUM(DI816:DN816)</f>
        <v>70.822945085011114</v>
      </c>
      <c r="HX816" s="346">
        <f>HV816+HW816</f>
        <v>21.006955399678517</v>
      </c>
      <c r="HY816" s="350">
        <f>SUM(DO816:DT816)</f>
        <v>-105.68196449798241</v>
      </c>
      <c r="HZ816" s="302">
        <f>SUM(DU816:DZ816)</f>
        <v>67.804375921805615</v>
      </c>
      <c r="IA816" s="346">
        <f>HY816+HZ816</f>
        <v>-37.877588576176791</v>
      </c>
      <c r="IB816" s="302">
        <f>SUM(EA816:EF816)</f>
        <v>-52.57178822329044</v>
      </c>
      <c r="IC816" s="302">
        <f>SUM(EG816:EL816)</f>
        <v>77.153348100736039</v>
      </c>
      <c r="ID816" s="346">
        <f>IB816+IC816</f>
        <v>24.581559877445599</v>
      </c>
      <c r="IE816" s="350">
        <f>SUM(EM816:ER816)</f>
        <v>56.859489683546983</v>
      </c>
      <c r="IF816" s="350">
        <f>SUM(ES816:EX816)</f>
        <v>-53.445768692628093</v>
      </c>
      <c r="IG816" s="346">
        <f>IE816+IF816</f>
        <v>3.4137209909188897</v>
      </c>
      <c r="IH816" s="350">
        <f>SUM(EY816:FD816)</f>
        <v>-3.1925673612456649</v>
      </c>
      <c r="II816" s="350">
        <f>SUM(FE816:FJ816)</f>
        <v>-142.53572363838899</v>
      </c>
      <c r="IJ816" s="346">
        <f>IH816+II816</f>
        <v>-145.72829099963465</v>
      </c>
      <c r="IK816" s="350">
        <f>SUM(FK816:FP816)</f>
        <v>-72.611808417730884</v>
      </c>
      <c r="IL816" s="350">
        <f t="shared" si="1293"/>
        <v>-9.6426002745686503</v>
      </c>
      <c r="IM816" s="346">
        <f t="shared" si="1183"/>
        <v>-82.254408692299535</v>
      </c>
      <c r="IN816" s="350">
        <f t="shared" si="1276"/>
        <v>-93.232899665020483</v>
      </c>
      <c r="IO816" s="350">
        <f t="shared" si="1277"/>
        <v>-107.7387404794452</v>
      </c>
      <c r="IP816" s="346">
        <f t="shared" si="1294"/>
        <v>-200.97164014446568</v>
      </c>
      <c r="IQ816" s="350">
        <f t="shared" si="1278"/>
        <v>-103.6107696094646</v>
      </c>
      <c r="IR816" s="350">
        <f t="shared" si="1295"/>
        <v>-64.823925733250775</v>
      </c>
      <c r="IS816" s="346">
        <f t="shared" ref="IS816:IS833" si="1304">IQ816+IR816</f>
        <v>-168.43469534271537</v>
      </c>
      <c r="IT816" s="350">
        <f>IT667-IT754</f>
        <v>-205.70218435950414</v>
      </c>
      <c r="IU816" s="350">
        <f>IU667-IU754</f>
        <v>-373.91824900815618</v>
      </c>
      <c r="IV816" s="346">
        <f t="shared" si="1235"/>
        <v>-579.62043336766033</v>
      </c>
      <c r="IW816" s="350">
        <f t="shared" si="1256"/>
        <v>70.794997449714089</v>
      </c>
      <c r="IX816" s="350">
        <f t="shared" si="1252"/>
        <v>39.008374490995351</v>
      </c>
      <c r="IY816" s="346">
        <f>FISC!AJ1132</f>
        <v>109.80337194070944</v>
      </c>
      <c r="IZ816" s="350">
        <f>IZ667-IZ754</f>
        <v>-498.59874563086396</v>
      </c>
      <c r="JA816" s="302">
        <f>JB816-IZ816</f>
        <v>711.32492544627769</v>
      </c>
      <c r="JB816" s="346">
        <f>FISC!AK1132</f>
        <v>212.72617981541373</v>
      </c>
      <c r="JC816" s="350">
        <f>JC667-JC754</f>
        <v>-235.48178590525231</v>
      </c>
      <c r="JD816" s="302">
        <f>JE816-JC816</f>
        <v>919.86554950411153</v>
      </c>
      <c r="JE816" s="346">
        <f>FISC!AL1132</f>
        <v>684.38376359885922</v>
      </c>
      <c r="JF816" s="350">
        <f>JF667-JF754</f>
        <v>-161.08214837917694</v>
      </c>
      <c r="JG816" s="302">
        <f>JH816-JF816</f>
        <v>1023.1810325743504</v>
      </c>
      <c r="JH816" s="346">
        <f>FISC!AM1132</f>
        <v>862.09888419517347</v>
      </c>
      <c r="JI816" s="350">
        <f>JI667-JI754</f>
        <v>-94.095606771439179</v>
      </c>
      <c r="JJ816" s="302">
        <f>JK816-JI816</f>
        <v>1205.7737152877944</v>
      </c>
      <c r="JK816" s="346">
        <f>FISC!AN1132</f>
        <v>1111.6781085163552</v>
      </c>
      <c r="JL816" s="350">
        <f>JL667-JL754</f>
        <v>0.47812170109727958</v>
      </c>
      <c r="JM816" s="302">
        <f>JN816-JL816</f>
        <v>1225.1840214455915</v>
      </c>
      <c r="JN816" s="346">
        <f>FISC!AO1132</f>
        <v>1225.6621431466888</v>
      </c>
      <c r="KI816" s="349"/>
      <c r="KJ816" s="350"/>
      <c r="KM816" s="302">
        <f>KM666-KM717-KM754</f>
        <v>0</v>
      </c>
      <c r="KN816" s="302">
        <f>KN666-KN717-KN754</f>
        <v>0</v>
      </c>
      <c r="KO816" s="302">
        <f>KO666-KO717-KO754</f>
        <v>0</v>
      </c>
      <c r="KP816" s="302">
        <f>KP666-KP717-KP754</f>
        <v>0</v>
      </c>
    </row>
    <row r="817" spans="1:302" hidden="1" outlineLevel="1">
      <c r="A817" s="302"/>
      <c r="B817" s="117" t="s">
        <v>361</v>
      </c>
      <c r="D817" s="354" t="s">
        <v>3722</v>
      </c>
      <c r="E817" s="346">
        <f t="shared" ref="E817:BP817" si="1305">E818+E822</f>
        <v>0</v>
      </c>
      <c r="F817" s="346">
        <f t="shared" si="1305"/>
        <v>0</v>
      </c>
      <c r="G817" s="346">
        <f t="shared" si="1305"/>
        <v>0</v>
      </c>
      <c r="H817" s="346">
        <f t="shared" si="1305"/>
        <v>0</v>
      </c>
      <c r="I817" s="346">
        <f t="shared" si="1305"/>
        <v>0</v>
      </c>
      <c r="J817" s="346">
        <f t="shared" si="1305"/>
        <v>0</v>
      </c>
      <c r="K817" s="346">
        <f t="shared" si="1305"/>
        <v>0</v>
      </c>
      <c r="L817" s="346">
        <f t="shared" si="1305"/>
        <v>0</v>
      </c>
      <c r="M817" s="346">
        <f t="shared" si="1305"/>
        <v>0</v>
      </c>
      <c r="N817" s="346">
        <f t="shared" si="1305"/>
        <v>0</v>
      </c>
      <c r="O817" s="346">
        <f t="shared" si="1305"/>
        <v>0</v>
      </c>
      <c r="P817" s="346">
        <f t="shared" si="1305"/>
        <v>0</v>
      </c>
      <c r="Q817" s="346">
        <f t="shared" si="1305"/>
        <v>0</v>
      </c>
      <c r="R817" s="346">
        <f t="shared" si="1305"/>
        <v>0</v>
      </c>
      <c r="S817" s="346">
        <f t="shared" si="1305"/>
        <v>0</v>
      </c>
      <c r="T817" s="346">
        <f t="shared" si="1305"/>
        <v>0</v>
      </c>
      <c r="U817" s="346">
        <f t="shared" si="1305"/>
        <v>0</v>
      </c>
      <c r="V817" s="346">
        <f t="shared" si="1305"/>
        <v>0</v>
      </c>
      <c r="W817" s="346">
        <f t="shared" si="1305"/>
        <v>0</v>
      </c>
      <c r="X817" s="346">
        <f t="shared" si="1305"/>
        <v>0</v>
      </c>
      <c r="Y817" s="346">
        <f t="shared" si="1305"/>
        <v>0</v>
      </c>
      <c r="Z817" s="346">
        <f t="shared" si="1305"/>
        <v>0</v>
      </c>
      <c r="AA817" s="346">
        <f t="shared" si="1305"/>
        <v>0</v>
      </c>
      <c r="AB817" s="346">
        <f t="shared" si="1305"/>
        <v>0</v>
      </c>
      <c r="AC817" s="346">
        <f t="shared" si="1305"/>
        <v>0</v>
      </c>
      <c r="AD817" s="346">
        <f t="shared" si="1305"/>
        <v>0</v>
      </c>
      <c r="AE817" s="346">
        <f t="shared" si="1305"/>
        <v>0</v>
      </c>
      <c r="AF817" s="346">
        <f t="shared" si="1305"/>
        <v>0</v>
      </c>
      <c r="AG817" s="346">
        <f t="shared" si="1305"/>
        <v>0</v>
      </c>
      <c r="AH817" s="346">
        <f t="shared" si="1305"/>
        <v>0</v>
      </c>
      <c r="AI817" s="346">
        <f t="shared" si="1305"/>
        <v>0</v>
      </c>
      <c r="AJ817" s="346">
        <f t="shared" si="1305"/>
        <v>0</v>
      </c>
      <c r="AK817" s="346">
        <f t="shared" si="1305"/>
        <v>0</v>
      </c>
      <c r="AL817" s="346">
        <f t="shared" si="1305"/>
        <v>0</v>
      </c>
      <c r="AM817" s="346">
        <f t="shared" si="1305"/>
        <v>0</v>
      </c>
      <c r="AN817" s="346">
        <f t="shared" si="1305"/>
        <v>0</v>
      </c>
      <c r="AO817" s="346">
        <f t="shared" si="1305"/>
        <v>0.94199739660030579</v>
      </c>
      <c r="AP817" s="346">
        <f t="shared" si="1305"/>
        <v>1.6821985179804768</v>
      </c>
      <c r="AQ817" s="346">
        <f t="shared" si="1305"/>
        <v>2.7108413189699068</v>
      </c>
      <c r="AR817" s="346">
        <f t="shared" si="1305"/>
        <v>4.522410138428933</v>
      </c>
      <c r="AS817" s="346">
        <f t="shared" si="1305"/>
        <v>1.7219130250731998</v>
      </c>
      <c r="AT817" s="346">
        <f t="shared" si="1305"/>
        <v>3.0417432979332482</v>
      </c>
      <c r="AU817" s="346">
        <f t="shared" si="1305"/>
        <v>8.8962667584006923</v>
      </c>
      <c r="AV817" s="346">
        <f t="shared" si="1305"/>
        <v>4.1520251670774488</v>
      </c>
      <c r="AW817" s="346">
        <f t="shared" si="1305"/>
        <v>1.8957136163656356</v>
      </c>
      <c r="AX817" s="346">
        <f t="shared" si="1305"/>
        <v>12.136937090588619</v>
      </c>
      <c r="AY817" s="346">
        <f t="shared" si="1305"/>
        <v>12.597302379335828</v>
      </c>
      <c r="AZ817" s="346">
        <f t="shared" si="1305"/>
        <v>88.388915926385266</v>
      </c>
      <c r="BA817" s="346">
        <f t="shared" si="1305"/>
        <v>14.15873020075451</v>
      </c>
      <c r="BB817" s="346">
        <f t="shared" si="1305"/>
        <v>9.0050438669616906</v>
      </c>
      <c r="BC817" s="346">
        <f t="shared" si="1305"/>
        <v>18.544687929647523</v>
      </c>
      <c r="BD817" s="346">
        <f t="shared" si="1305"/>
        <v>10.23558195967026</v>
      </c>
      <c r="BE817" s="346">
        <f t="shared" si="1305"/>
        <v>14.574067021856646</v>
      </c>
      <c r="BF817" s="346">
        <f t="shared" si="1305"/>
        <v>17.671187370678794</v>
      </c>
      <c r="BG817" s="346">
        <f t="shared" si="1305"/>
        <v>17.263720190043145</v>
      </c>
      <c r="BH817" s="346">
        <f t="shared" si="1305"/>
        <v>22.180577427796436</v>
      </c>
      <c r="BI817" s="346">
        <f t="shared" si="1305"/>
        <v>32.366076275329213</v>
      </c>
      <c r="BJ817" s="346">
        <f t="shared" si="1305"/>
        <v>90.678606212030303</v>
      </c>
      <c r="BK817" s="346">
        <f t="shared" si="1305"/>
        <v>36.020950438164917</v>
      </c>
      <c r="BL817" s="346">
        <f t="shared" si="1305"/>
        <v>27.703657479106681</v>
      </c>
      <c r="BM817" s="346">
        <f t="shared" si="1305"/>
        <v>24.228039812827614</v>
      </c>
      <c r="BN817" s="346">
        <f t="shared" si="1305"/>
        <v>24.500794584274139</v>
      </c>
      <c r="BO817" s="346">
        <f t="shared" si="1305"/>
        <v>19.748346084435234</v>
      </c>
      <c r="BP817" s="346">
        <f t="shared" si="1305"/>
        <v>35.257393050187574</v>
      </c>
      <c r="BQ817" s="346">
        <f t="shared" ref="BQ817:EB817" si="1306">BQ818+BQ822</f>
        <v>51.90079274386926</v>
      </c>
      <c r="BR817" s="346">
        <f t="shared" si="1306"/>
        <v>56.934454127533598</v>
      </c>
      <c r="BS817" s="346">
        <f t="shared" si="1306"/>
        <v>22.478994546108147</v>
      </c>
      <c r="BT817" s="346">
        <f t="shared" si="1306"/>
        <v>38.043308875934351</v>
      </c>
      <c r="BU817" s="346">
        <f t="shared" si="1306"/>
        <v>22.705070428034773</v>
      </c>
      <c r="BV817" s="346">
        <f t="shared" si="1306"/>
        <v>48.265851147412931</v>
      </c>
      <c r="BW817" s="346">
        <f t="shared" si="1306"/>
        <v>67.114257715617924</v>
      </c>
      <c r="BX817" s="346">
        <f t="shared" si="1306"/>
        <v>37.499140147260384</v>
      </c>
      <c r="BY817" s="346">
        <f t="shared" si="1306"/>
        <v>21.20192761686074</v>
      </c>
      <c r="BZ817" s="346">
        <f t="shared" si="1306"/>
        <v>26.276865074581579</v>
      </c>
      <c r="CA817" s="346">
        <f t="shared" si="1306"/>
        <v>29.259931858434339</v>
      </c>
      <c r="CB817" s="346">
        <f t="shared" si="1306"/>
        <v>57.64868509383524</v>
      </c>
      <c r="CC817" s="346">
        <f t="shared" si="1306"/>
        <v>70.374742669365276</v>
      </c>
      <c r="CD817" s="352">
        <f t="shared" si="1306"/>
        <v>50.786117520170833</v>
      </c>
      <c r="CE817" s="346">
        <f>CE818+CE822</f>
        <v>37.988402959771697</v>
      </c>
      <c r="CF817" s="346">
        <f t="shared" si="1306"/>
        <v>25.220409839733811</v>
      </c>
      <c r="CG817" s="346">
        <f t="shared" si="1306"/>
        <v>52.684286896294495</v>
      </c>
      <c r="CH817" s="346">
        <f t="shared" si="1306"/>
        <v>70.628913120949605</v>
      </c>
      <c r="CI817" s="346">
        <f t="shared" si="1306"/>
        <v>54.291197960135449</v>
      </c>
      <c r="CJ817" s="346">
        <f t="shared" si="1306"/>
        <v>41.119030590000946</v>
      </c>
      <c r="CK817" s="346">
        <f t="shared" si="1306"/>
        <v>55.460422057968302</v>
      </c>
      <c r="CL817" s="346">
        <f t="shared" si="1306"/>
        <v>35.436422143434697</v>
      </c>
      <c r="CM817" s="346">
        <f t="shared" si="1306"/>
        <v>42.064420844918999</v>
      </c>
      <c r="CN817" s="346">
        <f t="shared" si="1306"/>
        <v>86.950632093925208</v>
      </c>
      <c r="CO817" s="346">
        <f t="shared" si="1306"/>
        <v>75.540018884884176</v>
      </c>
      <c r="CP817" s="348">
        <f t="shared" si="1306"/>
        <v>65.990125718661602</v>
      </c>
      <c r="CQ817" s="346">
        <f t="shared" si="1306"/>
        <v>34.40228101250365</v>
      </c>
      <c r="CR817" s="346">
        <f t="shared" si="1306"/>
        <v>42.883278748654021</v>
      </c>
      <c r="CS817" s="346">
        <f t="shared" si="1306"/>
        <v>49.51160525412989</v>
      </c>
      <c r="CT817" s="346">
        <f t="shared" si="1306"/>
        <v>46.421699296442767</v>
      </c>
      <c r="CU817" s="346">
        <f t="shared" si="1306"/>
        <v>53.739223337663347</v>
      </c>
      <c r="CV817" s="346">
        <f t="shared" si="1306"/>
        <v>51.679716109066604</v>
      </c>
      <c r="CW817" s="346">
        <f t="shared" si="1306"/>
        <v>55.038740427920125</v>
      </c>
      <c r="CX817" s="346">
        <f t="shared" si="1306"/>
        <v>45.841412379944181</v>
      </c>
      <c r="CY817" s="346">
        <f t="shared" si="1306"/>
        <v>57.908603124423678</v>
      </c>
      <c r="CZ817" s="346">
        <f t="shared" si="1306"/>
        <v>64.0564101613286</v>
      </c>
      <c r="DA817" s="346">
        <f t="shared" si="1306"/>
        <v>67.95081361957044</v>
      </c>
      <c r="DB817" s="1479">
        <f t="shared" si="1306"/>
        <v>66.680155561791111</v>
      </c>
      <c r="DC817" s="346">
        <f t="shared" si="1306"/>
        <v>21.57346960858743</v>
      </c>
      <c r="DD817" s="346">
        <f t="shared" si="1306"/>
        <v>39.15421071883226</v>
      </c>
      <c r="DE817" s="346">
        <f t="shared" si="1306"/>
        <v>63.197945614300309</v>
      </c>
      <c r="DF817" s="346">
        <f t="shared" si="1306"/>
        <v>55.439473761223262</v>
      </c>
      <c r="DG817" s="346">
        <f t="shared" si="1306"/>
        <v>30.221960439713769</v>
      </c>
      <c r="DH817" s="346">
        <f t="shared" si="1306"/>
        <v>62.307650503392217</v>
      </c>
      <c r="DI817" s="346">
        <f t="shared" si="1306"/>
        <v>63.041178112724566</v>
      </c>
      <c r="DJ817" s="346">
        <f t="shared" si="1306"/>
        <v>42.419698521250979</v>
      </c>
      <c r="DK817" s="346">
        <f t="shared" si="1306"/>
        <v>51.958763865475454</v>
      </c>
      <c r="DL817" s="346">
        <f t="shared" si="1306"/>
        <v>64.843746364660888</v>
      </c>
      <c r="DM817" s="346">
        <f t="shared" si="1306"/>
        <v>85.380655616553412</v>
      </c>
      <c r="DN817" s="348">
        <f t="shared" si="1306"/>
        <v>37.898425423740704</v>
      </c>
      <c r="DO817" s="346">
        <f t="shared" si="1306"/>
        <v>28.847081130336186</v>
      </c>
      <c r="DP817" s="346">
        <f t="shared" si="1306"/>
        <v>41.982476238827928</v>
      </c>
      <c r="DQ817" s="346">
        <f t="shared" si="1306"/>
        <v>49.595832033068888</v>
      </c>
      <c r="DR817" s="346">
        <f t="shared" si="1306"/>
        <v>34.290945020766912</v>
      </c>
      <c r="DS817" s="346">
        <f t="shared" si="1306"/>
        <v>53.910384987328158</v>
      </c>
      <c r="DT817" s="346">
        <f t="shared" si="1306"/>
        <v>54.464161008450937</v>
      </c>
      <c r="DU817" s="346">
        <f t="shared" si="1306"/>
        <v>62.43160382719384</v>
      </c>
      <c r="DV817" s="346">
        <f t="shared" si="1306"/>
        <v>39.119038036654175</v>
      </c>
      <c r="DW817" s="346">
        <f t="shared" si="1306"/>
        <v>48.255834464735983</v>
      </c>
      <c r="DX817" s="346">
        <f t="shared" si="1306"/>
        <v>61.847538793963608</v>
      </c>
      <c r="DY817" s="346">
        <f t="shared" si="1306"/>
        <v>68.178430905098168</v>
      </c>
      <c r="DZ817" s="348">
        <f t="shared" si="1306"/>
        <v>63.942362148404229</v>
      </c>
      <c r="EA817" s="346">
        <f t="shared" si="1306"/>
        <v>28.786624880514758</v>
      </c>
      <c r="EB817" s="346">
        <f t="shared" si="1306"/>
        <v>55.690945095194735</v>
      </c>
      <c r="EC817" s="346">
        <f t="shared" ref="EC817:FP817" si="1307">EC818+EC822</f>
        <v>51.394767048248497</v>
      </c>
      <c r="ED817" s="346">
        <f t="shared" si="1307"/>
        <v>51.249061761118917</v>
      </c>
      <c r="EE817" s="346">
        <f t="shared" si="1307"/>
        <v>49.109509324996317</v>
      </c>
      <c r="EF817" s="346">
        <f t="shared" si="1307"/>
        <v>48.122426311116762</v>
      </c>
      <c r="EG817" s="346">
        <f t="shared" si="1307"/>
        <v>82.967037175615559</v>
      </c>
      <c r="EH817" s="346">
        <f t="shared" si="1307"/>
        <v>38.229524450007531</v>
      </c>
      <c r="EI817" s="346">
        <f t="shared" si="1307"/>
        <v>66.555127287957902</v>
      </c>
      <c r="EJ817" s="346">
        <f t="shared" si="1307"/>
        <v>45.485128549920972</v>
      </c>
      <c r="EK817" s="346">
        <f t="shared" si="1307"/>
        <v>85.263161202357011</v>
      </c>
      <c r="EL817" s="348">
        <f t="shared" si="1307"/>
        <v>77.915357075111018</v>
      </c>
      <c r="EM817" s="346">
        <f t="shared" si="1307"/>
        <v>51.614901485094855</v>
      </c>
      <c r="EN817" s="346">
        <f t="shared" si="1307"/>
        <v>43.830041447356145</v>
      </c>
      <c r="EO817" s="346">
        <f t="shared" si="1307"/>
        <v>74.469983333214998</v>
      </c>
      <c r="EP817" s="346">
        <f t="shared" si="1307"/>
        <v>66.438695400066649</v>
      </c>
      <c r="EQ817" s="346">
        <f t="shared" si="1307"/>
        <v>48.281106191485001</v>
      </c>
      <c r="ER817" s="346">
        <f t="shared" si="1307"/>
        <v>96.638936359631998</v>
      </c>
      <c r="ES817" s="346">
        <f t="shared" si="1307"/>
        <v>78.338560893719574</v>
      </c>
      <c r="ET817" s="346">
        <f t="shared" si="1307"/>
        <v>76.315914970890162</v>
      </c>
      <c r="EU817" s="346">
        <f t="shared" si="1307"/>
        <v>79.790247340832906</v>
      </c>
      <c r="EV817" s="346">
        <f t="shared" si="1307"/>
        <v>86.772331061566632</v>
      </c>
      <c r="EW817" s="346">
        <f t="shared" si="1307"/>
        <v>107.16435010407727</v>
      </c>
      <c r="EX817" s="348">
        <f t="shared" si="1307"/>
        <v>105.02289732984551</v>
      </c>
      <c r="EY817" s="346">
        <f t="shared" si="1307"/>
        <v>70.748007073833179</v>
      </c>
      <c r="EZ817" s="346">
        <f t="shared" si="1307"/>
        <v>86.413824742311178</v>
      </c>
      <c r="FA817" s="346">
        <f t="shared" si="1307"/>
        <v>90.847694377210502</v>
      </c>
      <c r="FB817" s="346">
        <f t="shared" si="1307"/>
        <v>77.065584289298229</v>
      </c>
      <c r="FC817" s="346">
        <f t="shared" si="1307"/>
        <v>85.662440113470595</v>
      </c>
      <c r="FD817" s="346">
        <f t="shared" si="1307"/>
        <v>97.286303987423508</v>
      </c>
      <c r="FE817" s="346">
        <f t="shared" si="1307"/>
        <v>77.102056569678282</v>
      </c>
      <c r="FF817" s="346">
        <f t="shared" si="1307"/>
        <v>86.003314120086642</v>
      </c>
      <c r="FG817" s="346">
        <f t="shared" si="1307"/>
        <v>75.966626252998893</v>
      </c>
      <c r="FH817" s="346">
        <f t="shared" si="1307"/>
        <v>84.38913137647242</v>
      </c>
      <c r="FI817" s="346">
        <f t="shared" si="1307"/>
        <v>117.2655610008845</v>
      </c>
      <c r="FJ817" s="348">
        <f t="shared" si="1307"/>
        <v>84.347380595698155</v>
      </c>
      <c r="FK817" s="346">
        <f t="shared" si="1307"/>
        <v>171.83657830651731</v>
      </c>
      <c r="FL817" s="346">
        <f t="shared" si="1307"/>
        <v>96.686887676163622</v>
      </c>
      <c r="FM817" s="346">
        <f t="shared" si="1307"/>
        <v>80.8996559596049</v>
      </c>
      <c r="FN817" s="346">
        <f t="shared" si="1307"/>
        <v>75.518510505059197</v>
      </c>
      <c r="FO817" s="346">
        <f t="shared" si="1307"/>
        <v>88.330848225684079</v>
      </c>
      <c r="FP817" s="346">
        <f t="shared" si="1307"/>
        <v>137.94791612681655</v>
      </c>
      <c r="FQ817" s="346">
        <f>FQ818+FQ822</f>
        <v>122.24075020475169</v>
      </c>
      <c r="FR817" s="346">
        <f t="shared" ref="FR817:GB817" si="1308">FR818+FR822</f>
        <v>88.834328388940691</v>
      </c>
      <c r="FS817" s="346">
        <f t="shared" si="1308"/>
        <v>102.06992275938669</v>
      </c>
      <c r="FT817" s="346">
        <f t="shared" si="1308"/>
        <v>98.011199247466422</v>
      </c>
      <c r="FU817" s="346">
        <f t="shared" si="1308"/>
        <v>109.56281016829439</v>
      </c>
      <c r="FV817" s="346">
        <f t="shared" si="1308"/>
        <v>82.916948134623425</v>
      </c>
      <c r="FW817" s="346">
        <f t="shared" si="1308"/>
        <v>78.999984561449466</v>
      </c>
      <c r="FX817" s="346">
        <f t="shared" si="1308"/>
        <v>73.00768048777546</v>
      </c>
      <c r="FY817" s="346">
        <f t="shared" si="1308"/>
        <v>119.97959473966745</v>
      </c>
      <c r="FZ817" s="346">
        <f t="shared" si="1308"/>
        <v>185.40299948756308</v>
      </c>
      <c r="GA817" s="346">
        <f t="shared" si="1308"/>
        <v>110.70866922756308</v>
      </c>
      <c r="GB817" s="346">
        <f t="shared" si="1308"/>
        <v>197.51155053456307</v>
      </c>
      <c r="GC817" s="346">
        <f>GC818+GC822</f>
        <v>142.09590988886288</v>
      </c>
      <c r="GD817" s="346">
        <f t="shared" ref="GD817" si="1309">GD818+GD822</f>
        <v>118.75533595782969</v>
      </c>
      <c r="GE817" s="346">
        <f t="shared" ref="GE817" si="1310">GE818+GE822</f>
        <v>138.33091178973197</v>
      </c>
      <c r="GF817" s="346">
        <f t="shared" ref="GF817" si="1311">GF818+GF822</f>
        <v>130.2277522798789</v>
      </c>
      <c r="GG817" s="346">
        <f t="shared" ref="GG817" si="1312">GG818+GG822</f>
        <v>123.77320511721888</v>
      </c>
      <c r="GH817" s="346">
        <f t="shared" ref="GH817" si="1313">GH818+GH822</f>
        <v>174.38481665122589</v>
      </c>
      <c r="GI817" s="346">
        <f t="shared" ref="GI817" si="1314">GI818+GI822</f>
        <v>83.582895258042612</v>
      </c>
      <c r="GJ817" s="346">
        <f t="shared" ref="GJ817" si="1315">GJ818+GJ822</f>
        <v>142.48012286030985</v>
      </c>
      <c r="GK817" s="346">
        <f t="shared" ref="GK817" si="1316">GK818+GK822</f>
        <v>149.43393363014627</v>
      </c>
      <c r="GL817" s="346">
        <f t="shared" ref="GL817" si="1317">GL818+GL822</f>
        <v>100.74023290516622</v>
      </c>
      <c r="GM817" s="346">
        <f t="shared" ref="GM817" si="1318">GM818+GM822</f>
        <v>88.922556966806226</v>
      </c>
      <c r="GN817" s="346">
        <f t="shared" ref="GN817" si="1319">GN818+GN822</f>
        <v>89.902842577516211</v>
      </c>
      <c r="GO817" s="346">
        <f t="shared" ref="GO817" si="1320">GO818+GO822</f>
        <v>167.2167892952499</v>
      </c>
      <c r="GP817" s="346">
        <f t="shared" ref="GP817" si="1321">GP818+GP822</f>
        <v>92.334129840903273</v>
      </c>
      <c r="GQ817" s="346">
        <f t="shared" ref="GQ817" si="1322">GQ818+GQ822</f>
        <v>148.54108609270853</v>
      </c>
      <c r="GR817" s="346">
        <f t="shared" ref="GR817" si="1323">GR818+GR822</f>
        <v>201.18229071568877</v>
      </c>
      <c r="GS817" s="346">
        <f t="shared" ref="GS817" si="1324">GS818+GS822</f>
        <v>136.9467365285725</v>
      </c>
      <c r="GT817" s="346">
        <f t="shared" ref="GT817:HF817" si="1325">GT818+GT822</f>
        <v>117.14059748664909</v>
      </c>
      <c r="GU817" s="346">
        <f t="shared" si="1325"/>
        <v>58.487081183230998</v>
      </c>
      <c r="GV817" s="346">
        <f t="shared" si="1325"/>
        <v>77.503145945607002</v>
      </c>
      <c r="GW817" s="346">
        <f t="shared" si="1325"/>
        <v>214.83519808860345</v>
      </c>
      <c r="GX817" s="346">
        <f t="shared" si="1325"/>
        <v>75.854274185001998</v>
      </c>
      <c r="GY817" s="346">
        <f t="shared" si="1325"/>
        <v>102.374334849333</v>
      </c>
      <c r="GZ817" s="346">
        <f t="shared" si="1325"/>
        <v>240.47639831050844</v>
      </c>
      <c r="HA817" s="346">
        <f t="shared" si="1325"/>
        <v>136.172658097262</v>
      </c>
      <c r="HB817" s="346">
        <f t="shared" si="1325"/>
        <v>125.74278030955099</v>
      </c>
      <c r="HC817" s="346">
        <f t="shared" si="1325"/>
        <v>270.10262158503235</v>
      </c>
      <c r="HD817" s="346">
        <f t="shared" si="1325"/>
        <v>95.542786209333997</v>
      </c>
      <c r="HE817" s="346">
        <f t="shared" si="1325"/>
        <v>73.819014791266014</v>
      </c>
      <c r="HF817" s="346">
        <f t="shared" si="1325"/>
        <v>284.04770799503132</v>
      </c>
      <c r="HG817" s="346">
        <f t="shared" ref="HG817:HL817" si="1326">HG818+HG822</f>
        <v>89.935774078787006</v>
      </c>
      <c r="HH817" s="346">
        <f t="shared" si="1326"/>
        <v>86.456736833982006</v>
      </c>
      <c r="HI817" s="346">
        <f t="shared" si="1326"/>
        <v>196.02278315809929</v>
      </c>
      <c r="HJ817" s="346">
        <f t="shared" si="1326"/>
        <v>87.43750399618898</v>
      </c>
      <c r="HK817" s="346">
        <f t="shared" si="1326"/>
        <v>99.054596990441993</v>
      </c>
      <c r="HL817" s="346">
        <f t="shared" si="1326"/>
        <v>341.01880430003439</v>
      </c>
      <c r="HM817" s="346"/>
      <c r="HN817" s="349"/>
      <c r="HO817" s="354" t="s">
        <v>3103</v>
      </c>
      <c r="HP817" s="307">
        <f>SUM(CE817:CJ817)</f>
        <v>281.93224136688599</v>
      </c>
      <c r="HQ817" s="302">
        <f>SUM(CK817:CP817)</f>
        <v>361.44204174379297</v>
      </c>
      <c r="HR817" s="346">
        <f>HP817+HQ817</f>
        <v>643.37428311067902</v>
      </c>
      <c r="HS817" s="302">
        <f>SUM(CQ817:CV817)</f>
        <v>278.63780375846028</v>
      </c>
      <c r="HT817" s="302">
        <f>SUM(CW817:DB817)</f>
        <v>357.47613527497811</v>
      </c>
      <c r="HU817" s="346">
        <f>HS817+HT817</f>
        <v>636.11393903343833</v>
      </c>
      <c r="HV817" s="307">
        <f>SUM(DC817:DH817)</f>
        <v>271.89471064604925</v>
      </c>
      <c r="HW817" s="302">
        <f>SUM(DI817:DN817)</f>
        <v>345.54246790440601</v>
      </c>
      <c r="HX817" s="346">
        <f>HV817+HW817</f>
        <v>617.4371785504552</v>
      </c>
      <c r="HY817" s="350">
        <f>SUM(DO817:DT817)</f>
        <v>263.09088041877902</v>
      </c>
      <c r="HZ817" s="302">
        <f>SUM(DU817:DZ817)</f>
        <v>343.77480817605004</v>
      </c>
      <c r="IA817" s="346">
        <f>HY817+HZ817</f>
        <v>606.86568859482907</v>
      </c>
      <c r="IB817" s="302">
        <f>SUM(EA817:EF817)</f>
        <v>284.35333442118997</v>
      </c>
      <c r="IC817" s="302">
        <f>SUM(EG817:EL817)</f>
        <v>396.41533574097002</v>
      </c>
      <c r="ID817" s="346">
        <f>IB817+IC817</f>
        <v>680.76867016215999</v>
      </c>
      <c r="IE817" s="350">
        <f>SUM(EM817:ER817)</f>
        <v>381.27366421684962</v>
      </c>
      <c r="IF817" s="350">
        <f>SUM(ES817:EX817)</f>
        <v>533.40430170093202</v>
      </c>
      <c r="IG817" s="346">
        <f>IE817+IF817</f>
        <v>914.67796591778165</v>
      </c>
      <c r="IH817" s="350">
        <f>SUM(EY817:FD817)</f>
        <v>508.02385458354718</v>
      </c>
      <c r="II817" s="350">
        <f>SUM(FE817:FJ817)</f>
        <v>525.07406991581888</v>
      </c>
      <c r="IJ817" s="346">
        <f>IH817+II817</f>
        <v>1033.0979244993659</v>
      </c>
      <c r="IK817" s="350">
        <f>SUM(FK817:FP817)</f>
        <v>651.22039679984573</v>
      </c>
      <c r="IL817" s="350">
        <f t="shared" si="1293"/>
        <v>603.63595890346335</v>
      </c>
      <c r="IM817" s="346">
        <f t="shared" si="1183"/>
        <v>1254.856355703309</v>
      </c>
      <c r="IN817" s="350">
        <f t="shared" si="1276"/>
        <v>765.61047903858162</v>
      </c>
      <c r="IO817" s="350">
        <f t="shared" si="1277"/>
        <v>827.56793168474837</v>
      </c>
      <c r="IP817" s="346">
        <f t="shared" si="1294"/>
        <v>1593.17841072333</v>
      </c>
      <c r="IQ817" s="350">
        <f t="shared" si="1278"/>
        <v>655.06258419798746</v>
      </c>
      <c r="IR817" s="350">
        <f t="shared" si="1295"/>
        <v>863.36162995977202</v>
      </c>
      <c r="IS817" s="346">
        <f t="shared" si="1304"/>
        <v>1518.4242141577595</v>
      </c>
      <c r="IT817" s="350">
        <f>IT818+IT822</f>
        <v>761.56023217228483</v>
      </c>
      <c r="IU817" s="350">
        <f>IU818+IU822</f>
        <v>993.43129185260364</v>
      </c>
      <c r="IV817" s="346">
        <f t="shared" si="1235"/>
        <v>1754.9915240248883</v>
      </c>
      <c r="IW817" s="350">
        <f t="shared" si="1256"/>
        <v>899.92619935753362</v>
      </c>
      <c r="IX817" s="1744">
        <f t="shared" si="1252"/>
        <v>774.41193841946381</v>
      </c>
      <c r="IY817" s="346">
        <f>FISC!AJ1133</f>
        <v>1674.3381377769974</v>
      </c>
      <c r="IZ817" s="1744">
        <f>IZ818+IZ822</f>
        <v>925.76961552036289</v>
      </c>
      <c r="JA817" s="1745">
        <f>JB817-IZ817</f>
        <v>782.85990205967698</v>
      </c>
      <c r="JB817" s="346">
        <f>FISC!AK1133</f>
        <v>1708.6295175800399</v>
      </c>
      <c r="JC817" s="1744">
        <f>JC818+JC822</f>
        <v>1132.9632744245912</v>
      </c>
      <c r="JD817" s="1745">
        <f>JE817-JC817</f>
        <v>989.09265258195069</v>
      </c>
      <c r="JE817" s="346">
        <f>FISC!AL1133</f>
        <v>2122.0559270065419</v>
      </c>
      <c r="JF817" s="1744">
        <f>JF818+JF822</f>
        <v>1366.3024510012956</v>
      </c>
      <c r="JG817" s="1745">
        <f>JH817-JF817</f>
        <v>1123.669171640704</v>
      </c>
      <c r="JH817" s="346">
        <f>FISC!AM1133</f>
        <v>2489.9716226419996</v>
      </c>
      <c r="JI817" s="1744">
        <f>JI818+JI822</f>
        <v>1516.4684590637853</v>
      </c>
      <c r="JJ817" s="1745">
        <f>JK817-JI817</f>
        <v>1346.0153162767856</v>
      </c>
      <c r="JK817" s="346">
        <f>FISC!AN1133</f>
        <v>2862.4837753405709</v>
      </c>
      <c r="JL817" s="1744">
        <f>JL818+JL822</f>
        <v>1663.9365097226173</v>
      </c>
      <c r="JM817" s="1745">
        <f>JN817-JL817</f>
        <v>1536.7103061538187</v>
      </c>
      <c r="JN817" s="346">
        <f>FISC!AO1133</f>
        <v>3200.646815876436</v>
      </c>
      <c r="KI817" s="349"/>
      <c r="KJ817" s="350"/>
      <c r="KM817" s="302">
        <f>KM818+KM822</f>
        <v>0</v>
      </c>
      <c r="KN817" s="302">
        <f>KN818+KN822</f>
        <v>0</v>
      </c>
      <c r="KO817" s="302">
        <f>KO818+KO822</f>
        <v>0</v>
      </c>
      <c r="KP817" s="302">
        <f>KP818+KP822</f>
        <v>0</v>
      </c>
    </row>
    <row r="818" spans="1:302" s="1582" customFormat="1" hidden="1" outlineLevel="1">
      <c r="B818" s="1583" t="s">
        <v>361</v>
      </c>
      <c r="C818" s="1583"/>
      <c r="D818" s="354" t="s">
        <v>594</v>
      </c>
      <c r="E818" s="1584"/>
      <c r="F818" s="1584"/>
      <c r="G818" s="1584"/>
      <c r="H818" s="1584"/>
      <c r="I818" s="1584"/>
      <c r="J818" s="1584"/>
      <c r="K818" s="1584"/>
      <c r="L818" s="1584"/>
      <c r="M818" s="1584"/>
      <c r="N818" s="1584"/>
      <c r="O818" s="1584"/>
      <c r="P818" s="1584"/>
      <c r="Q818" s="1584"/>
      <c r="R818" s="1584"/>
      <c r="S818" s="1584"/>
      <c r="T818" s="1584"/>
      <c r="U818" s="1584"/>
      <c r="V818" s="1584"/>
      <c r="W818" s="1584"/>
      <c r="X818" s="1584"/>
      <c r="Y818" s="1584"/>
      <c r="Z818" s="1584"/>
      <c r="AA818" s="1584"/>
      <c r="AB818" s="1584"/>
      <c r="AC818" s="1584"/>
      <c r="AD818" s="1584"/>
      <c r="AE818" s="1584"/>
      <c r="AF818" s="1584"/>
      <c r="AG818" s="1584"/>
      <c r="AH818" s="1584"/>
      <c r="AI818" s="1584"/>
      <c r="AJ818" s="1584"/>
      <c r="AK818" s="1584"/>
      <c r="AL818" s="1584"/>
      <c r="AM818" s="1584"/>
      <c r="AN818" s="1584"/>
      <c r="AO818" s="1584">
        <v>0.94199739660030579</v>
      </c>
      <c r="AP818" s="1584">
        <v>1.6821985179804768</v>
      </c>
      <c r="AQ818" s="1584">
        <v>2.7108413189699068</v>
      </c>
      <c r="AR818" s="1584">
        <v>4.522410138428933</v>
      </c>
      <c r="AS818" s="1584">
        <v>1.7219130250731998</v>
      </c>
      <c r="AT818" s="1584">
        <v>3.0417432979332482</v>
      </c>
      <c r="AU818" s="1584">
        <v>8.8962667584006923</v>
      </c>
      <c r="AV818" s="1584">
        <v>4.1520251670774488</v>
      </c>
      <c r="AW818" s="1584">
        <v>1.8957136163656356</v>
      </c>
      <c r="AX818" s="1584">
        <v>12.136937090588619</v>
      </c>
      <c r="AY818" s="1584">
        <v>12.597302379335828</v>
      </c>
      <c r="AZ818" s="1584">
        <v>88.388915926385266</v>
      </c>
      <c r="BA818" s="1584">
        <v>14.15873020075451</v>
      </c>
      <c r="BB818" s="1584">
        <v>9.0050438669616906</v>
      </c>
      <c r="BC818" s="1584">
        <v>18.544687929647523</v>
      </c>
      <c r="BD818" s="1584">
        <v>10.23558195967026</v>
      </c>
      <c r="BE818" s="1584">
        <v>14.574067021856646</v>
      </c>
      <c r="BF818" s="1584">
        <v>17.671187370678794</v>
      </c>
      <c r="BG818" s="1584">
        <v>12.451294508243144</v>
      </c>
      <c r="BH818" s="1584">
        <v>10.575512258726437</v>
      </c>
      <c r="BI818" s="1584">
        <v>17.387422666289211</v>
      </c>
      <c r="BJ818" s="1584">
        <v>63.647873066030307</v>
      </c>
      <c r="BK818" s="1584">
        <v>20.880266670164918</v>
      </c>
      <c r="BL818" s="1584">
        <v>20.26695088010668</v>
      </c>
      <c r="BM818" s="1584">
        <v>5.8544672338276129</v>
      </c>
      <c r="BN818" s="1584">
        <v>13.649621592274141</v>
      </c>
      <c r="BO818" s="1584">
        <v>10.211354677215237</v>
      </c>
      <c r="BP818" s="1584">
        <v>7.9268224163475747</v>
      </c>
      <c r="BQ818" s="1584">
        <v>9.5964837929292592</v>
      </c>
      <c r="BR818" s="1584">
        <v>50.581934584973595</v>
      </c>
      <c r="BS818" s="1584">
        <v>13.252070333108145</v>
      </c>
      <c r="BT818" s="1584">
        <v>22.477493039934352</v>
      </c>
      <c r="BU818" s="1584">
        <v>11.689606913034773</v>
      </c>
      <c r="BV818" s="1584">
        <v>9.5620629325629274</v>
      </c>
      <c r="BW818" s="1584">
        <v>47.003610449617923</v>
      </c>
      <c r="BX818" s="1584">
        <v>33.692962709260385</v>
      </c>
      <c r="BY818" s="1584">
        <v>2.1001001144407416</v>
      </c>
      <c r="BZ818" s="1584">
        <v>8.1529400676215786</v>
      </c>
      <c r="CA818" s="1584">
        <v>14.111623062434338</v>
      </c>
      <c r="CB818" s="1584">
        <v>11.671582692445245</v>
      </c>
      <c r="CC818" s="1584">
        <v>38.615047441195287</v>
      </c>
      <c r="CD818" s="1585">
        <v>28.344641886820838</v>
      </c>
      <c r="CE818" s="1584">
        <f t="shared" ref="CE818:DB818" si="1327">CE935+CE721+CE724</f>
        <v>27.461950273771695</v>
      </c>
      <c r="CF818" s="1584">
        <f t="shared" si="1327"/>
        <v>10.11084003473381</v>
      </c>
      <c r="CG818" s="1584">
        <f t="shared" si="1327"/>
        <v>37.542976234294493</v>
      </c>
      <c r="CH818" s="1584">
        <f t="shared" si="1327"/>
        <v>46.422698332949601</v>
      </c>
      <c r="CI818" s="1584">
        <f t="shared" si="1327"/>
        <v>36.82346118513545</v>
      </c>
      <c r="CJ818" s="1584">
        <f t="shared" si="1327"/>
        <v>30.045149085000947</v>
      </c>
      <c r="CK818" s="1584">
        <f t="shared" si="1327"/>
        <v>33.576041110968305</v>
      </c>
      <c r="CL818" s="1584">
        <f t="shared" si="1327"/>
        <v>17.115234173434697</v>
      </c>
      <c r="CM818" s="1584">
        <f t="shared" si="1327"/>
        <v>18.210226436918994</v>
      </c>
      <c r="CN818" s="1584">
        <f t="shared" si="1327"/>
        <v>58.01807686992521</v>
      </c>
      <c r="CO818" s="1584">
        <f t="shared" si="1327"/>
        <v>24.075295876884173</v>
      </c>
      <c r="CP818" s="1584">
        <f t="shared" si="1327"/>
        <v>30.569105037661593</v>
      </c>
      <c r="CQ818" s="1584">
        <f t="shared" si="1327"/>
        <v>22.634250257573093</v>
      </c>
      <c r="CR818" s="1584">
        <f t="shared" si="1327"/>
        <v>24.52159962765402</v>
      </c>
      <c r="CS818" s="1584">
        <f t="shared" si="1327"/>
        <v>26.668254940129891</v>
      </c>
      <c r="CT818" s="1584">
        <f t="shared" si="1327"/>
        <v>30.063085946442769</v>
      </c>
      <c r="CU818" s="1584">
        <f t="shared" si="1327"/>
        <v>37.895227394663344</v>
      </c>
      <c r="CV818" s="1584">
        <f t="shared" si="1327"/>
        <v>37.215800957066605</v>
      </c>
      <c r="CW818" s="1584">
        <f t="shared" si="1327"/>
        <v>27.254137346920125</v>
      </c>
      <c r="CX818" s="1584">
        <f t="shared" si="1327"/>
        <v>24.408593314944181</v>
      </c>
      <c r="CY818" s="1584">
        <f t="shared" si="1327"/>
        <v>27.545518918423681</v>
      </c>
      <c r="CZ818" s="1584">
        <f t="shared" si="1327"/>
        <v>16.514020665328591</v>
      </c>
      <c r="DA818" s="1584">
        <f t="shared" si="1327"/>
        <v>31.010111373193478</v>
      </c>
      <c r="DB818" s="1584">
        <f t="shared" si="1327"/>
        <v>34.526302365791103</v>
      </c>
      <c r="DC818" s="1584">
        <v>13.874262816587432</v>
      </c>
      <c r="DD818" s="1584">
        <v>22.741142375832265</v>
      </c>
      <c r="DE818" s="1584">
        <v>27.5699602763003</v>
      </c>
      <c r="DF818" s="1584">
        <v>18.868605581223264</v>
      </c>
      <c r="DG818" s="1584">
        <v>13.958714056713765</v>
      </c>
      <c r="DH818" s="1584">
        <v>51.257744914392219</v>
      </c>
      <c r="DI818" s="1584">
        <v>16.342572375724565</v>
      </c>
      <c r="DJ818" s="1584">
        <v>17.049001310250979</v>
      </c>
      <c r="DK818" s="1584">
        <v>28.752959391475457</v>
      </c>
      <c r="DL818" s="1584">
        <v>24.046596579660893</v>
      </c>
      <c r="DM818" s="1584">
        <v>26.160917535553409</v>
      </c>
      <c r="DN818" s="1586">
        <v>11.152133643740704</v>
      </c>
      <c r="DO818" s="1584">
        <v>15.433996662336185</v>
      </c>
      <c r="DP818" s="1584">
        <v>20.562498505827929</v>
      </c>
      <c r="DQ818" s="1584">
        <v>31.781562221068889</v>
      </c>
      <c r="DR818" s="1584">
        <v>9.4610312207669089</v>
      </c>
      <c r="DS818" s="1584">
        <v>26.475880533328159</v>
      </c>
      <c r="DT818" s="1584">
        <v>38.357520431450936</v>
      </c>
      <c r="DU818" s="1584">
        <f t="shared" ref="DU818:EZ818" si="1328">DU721+DU724+DU935</f>
        <v>22.211353562193839</v>
      </c>
      <c r="DV818" s="1584">
        <f t="shared" si="1328"/>
        <v>18.817239761654175</v>
      </c>
      <c r="DW818" s="1584">
        <f t="shared" si="1328"/>
        <v>31.552162197735981</v>
      </c>
      <c r="DX818" s="1584">
        <f t="shared" si="1328"/>
        <v>27.465835039963608</v>
      </c>
      <c r="DY818" s="1584">
        <f t="shared" si="1328"/>
        <v>24.386676235098165</v>
      </c>
      <c r="DZ818" s="1584">
        <f t="shared" si="1328"/>
        <v>40.24342079840423</v>
      </c>
      <c r="EA818" s="1584">
        <f t="shared" si="1328"/>
        <v>21.74761611951476</v>
      </c>
      <c r="EB818" s="1584">
        <f t="shared" si="1328"/>
        <v>25.760209253194738</v>
      </c>
      <c r="EC818" s="1584">
        <f t="shared" si="1328"/>
        <v>23.0598770162485</v>
      </c>
      <c r="ED818" s="1584">
        <f t="shared" si="1328"/>
        <v>23.712366129118919</v>
      </c>
      <c r="EE818" s="1584">
        <f t="shared" si="1328"/>
        <v>26.735410227996319</v>
      </c>
      <c r="EF818" s="1584">
        <f t="shared" si="1328"/>
        <v>31.381530689116762</v>
      </c>
      <c r="EG818" s="1584">
        <f t="shared" si="1328"/>
        <v>27.909894950615559</v>
      </c>
      <c r="EH818" s="1584">
        <f t="shared" si="1328"/>
        <v>16.955218745007535</v>
      </c>
      <c r="EI818" s="1584">
        <f t="shared" si="1328"/>
        <v>40.070005726957909</v>
      </c>
      <c r="EJ818" s="1584">
        <f t="shared" si="1328"/>
        <v>15.661802557920968</v>
      </c>
      <c r="EK818" s="1584">
        <f t="shared" si="1328"/>
        <v>27.208560267357019</v>
      </c>
      <c r="EL818" s="1584">
        <f t="shared" si="1328"/>
        <v>58.857923823111022</v>
      </c>
      <c r="EM818" s="1584">
        <f t="shared" si="1328"/>
        <v>26.154033663094854</v>
      </c>
      <c r="EN818" s="1584">
        <f t="shared" si="1328"/>
        <v>18.445545378356144</v>
      </c>
      <c r="EO818" s="1584">
        <f t="shared" si="1328"/>
        <v>47.015260453214999</v>
      </c>
      <c r="EP818" s="1584">
        <f t="shared" si="1328"/>
        <v>29.197911488066648</v>
      </c>
      <c r="EQ818" s="1584">
        <f t="shared" si="1328"/>
        <v>21.519785242485</v>
      </c>
      <c r="ER818" s="1584">
        <f t="shared" si="1328"/>
        <v>58.928926885631995</v>
      </c>
      <c r="ES818" s="1584">
        <f t="shared" si="1328"/>
        <v>35.348274640719566</v>
      </c>
      <c r="ET818" s="1584">
        <f t="shared" si="1328"/>
        <v>30.552618112890165</v>
      </c>
      <c r="EU818" s="1584">
        <f t="shared" si="1328"/>
        <v>44.041510783832905</v>
      </c>
      <c r="EV818" s="1584">
        <f t="shared" si="1328"/>
        <v>31.903327200566636</v>
      </c>
      <c r="EW818" s="1584">
        <f t="shared" si="1328"/>
        <v>28.888202852077264</v>
      </c>
      <c r="EX818" s="1584">
        <f t="shared" si="1328"/>
        <v>76.008599532845508</v>
      </c>
      <c r="EY818" s="1584">
        <f t="shared" si="1328"/>
        <v>33.280121402833174</v>
      </c>
      <c r="EZ818" s="1584">
        <f t="shared" si="1328"/>
        <v>46.962321956311172</v>
      </c>
      <c r="FA818" s="1584">
        <f t="shared" ref="FA818:GH818" si="1329">FA721+FA724+FA935</f>
        <v>42.414009539210497</v>
      </c>
      <c r="FB818" s="1584">
        <f t="shared" si="1329"/>
        <v>34.784045042298231</v>
      </c>
      <c r="FC818" s="1584">
        <f t="shared" si="1329"/>
        <v>44.060011411470597</v>
      </c>
      <c r="FD818" s="1584">
        <f t="shared" si="1329"/>
        <v>65.340583448423502</v>
      </c>
      <c r="FE818" s="1584">
        <f t="shared" si="1329"/>
        <v>41.617049318678283</v>
      </c>
      <c r="FF818" s="1584">
        <f t="shared" si="1329"/>
        <v>45.92982365208664</v>
      </c>
      <c r="FG818" s="1584">
        <f t="shared" si="1329"/>
        <v>46.527671511998889</v>
      </c>
      <c r="FH818" s="1584">
        <f t="shared" si="1329"/>
        <v>44.396108784472418</v>
      </c>
      <c r="FI818" s="1584">
        <f t="shared" si="1329"/>
        <v>53.012151564884498</v>
      </c>
      <c r="FJ818" s="1584">
        <f t="shared" si="1329"/>
        <v>49.474995745698159</v>
      </c>
      <c r="FK818" s="1584">
        <f t="shared" si="1329"/>
        <v>135.59233209151731</v>
      </c>
      <c r="FL818" s="1584">
        <f t="shared" si="1329"/>
        <v>66.297949603163616</v>
      </c>
      <c r="FM818" s="1584">
        <f t="shared" si="1329"/>
        <v>48.100940610604894</v>
      </c>
      <c r="FN818" s="1584">
        <f t="shared" si="1329"/>
        <v>33.241717161059192</v>
      </c>
      <c r="FO818" s="1584">
        <f t="shared" si="1329"/>
        <v>50.094245062684081</v>
      </c>
      <c r="FP818" s="1584">
        <f t="shared" si="1329"/>
        <v>52.196346233816548</v>
      </c>
      <c r="FQ818" s="1584">
        <f t="shared" si="1329"/>
        <v>42.1215202837517</v>
      </c>
      <c r="FR818" s="1584">
        <f t="shared" si="1329"/>
        <v>39.847795074940699</v>
      </c>
      <c r="FS818" s="1584">
        <f t="shared" si="1329"/>
        <v>63.234253633886681</v>
      </c>
      <c r="FT818" s="1584">
        <f t="shared" si="1329"/>
        <v>50.963642747466423</v>
      </c>
      <c r="FU818" s="1584">
        <f t="shared" si="1329"/>
        <v>35.519792666794402</v>
      </c>
      <c r="FV818" s="1584">
        <f t="shared" si="1329"/>
        <v>68.107825459623427</v>
      </c>
      <c r="FW818" s="1584">
        <f t="shared" si="1329"/>
        <v>57.499992982449463</v>
      </c>
      <c r="FX818" s="1584">
        <f t="shared" si="1329"/>
        <v>46.967371096775459</v>
      </c>
      <c r="FY818" s="1584">
        <f t="shared" si="1329"/>
        <v>59.222417094667456</v>
      </c>
      <c r="FZ818" s="1584">
        <f t="shared" si="1329"/>
        <v>99.548669602563081</v>
      </c>
      <c r="GA818" s="1584">
        <f t="shared" si="1329"/>
        <v>65.538813469563081</v>
      </c>
      <c r="GB818" s="1584">
        <f t="shared" si="1329"/>
        <v>78.728683860563081</v>
      </c>
      <c r="GC818" s="1584">
        <f t="shared" si="1329"/>
        <v>36.247905315862894</v>
      </c>
      <c r="GD818" s="1584">
        <f t="shared" si="1329"/>
        <v>53.680754194829888</v>
      </c>
      <c r="GE818" s="1584">
        <f t="shared" si="1329"/>
        <v>50.823533909731886</v>
      </c>
      <c r="GF818" s="1584">
        <f t="shared" si="1329"/>
        <v>54.358792407878894</v>
      </c>
      <c r="GG818" s="1584">
        <f t="shared" si="1329"/>
        <v>59.080995569218892</v>
      </c>
      <c r="GH818" s="1584">
        <f t="shared" si="1329"/>
        <v>127.01112217822589</v>
      </c>
      <c r="GI818" s="1584">
        <f t="shared" ref="GI818:HF818" si="1330">GI721+GI724+GI935-GI937</f>
        <v>46.023012419852897</v>
      </c>
      <c r="GJ818" s="1584">
        <f t="shared" si="1330"/>
        <v>43.0800780031229</v>
      </c>
      <c r="GK818" s="1584">
        <f t="shared" si="1330"/>
        <v>63.493861325522907</v>
      </c>
      <c r="GL818" s="1584">
        <f t="shared" si="1330"/>
        <v>59.725592532872909</v>
      </c>
      <c r="GM818" s="1584">
        <f t="shared" si="1330"/>
        <v>44.138338000512903</v>
      </c>
      <c r="GN818" s="1584">
        <f t="shared" si="1330"/>
        <v>78.569064449222893</v>
      </c>
      <c r="GO818" s="1584">
        <f t="shared" si="1330"/>
        <v>68.458457315448982</v>
      </c>
      <c r="GP818" s="1584">
        <f t="shared" si="1330"/>
        <v>68.136237739411968</v>
      </c>
      <c r="GQ818" s="1584">
        <f t="shared" si="1330"/>
        <v>103.41804583896895</v>
      </c>
      <c r="GR818" s="1584">
        <f t="shared" si="1330"/>
        <v>53.858104412314965</v>
      </c>
      <c r="GS818" s="1584">
        <f t="shared" si="1330"/>
        <v>59.054166320816975</v>
      </c>
      <c r="GT818" s="1584">
        <f t="shared" si="1330"/>
        <v>83.51569662422699</v>
      </c>
      <c r="GU818" s="1584">
        <f t="shared" si="1330"/>
        <v>21.910529276230999</v>
      </c>
      <c r="GV818" s="1584">
        <f t="shared" si="1330"/>
        <v>42.197749617607002</v>
      </c>
      <c r="GW818" s="1584">
        <f t="shared" si="1330"/>
        <v>167.27146023960344</v>
      </c>
      <c r="GX818" s="1584">
        <f t="shared" si="1330"/>
        <v>27.285226901001998</v>
      </c>
      <c r="GY818" s="1584">
        <f t="shared" si="1330"/>
        <v>66.984583489333005</v>
      </c>
      <c r="GZ818" s="1584">
        <f t="shared" si="1330"/>
        <v>217.69340567850844</v>
      </c>
      <c r="HA818" s="1584">
        <f t="shared" si="1330"/>
        <v>31.435793520262003</v>
      </c>
      <c r="HB818" s="1584">
        <f t="shared" si="1330"/>
        <v>21.236010936550997</v>
      </c>
      <c r="HC818" s="1584">
        <f t="shared" si="1330"/>
        <v>214.23244092003236</v>
      </c>
      <c r="HD818" s="1584">
        <f t="shared" si="1330"/>
        <v>40.509249266334002</v>
      </c>
      <c r="HE818" s="1584">
        <f t="shared" si="1330"/>
        <v>18.274648314265999</v>
      </c>
      <c r="HF818" s="1584">
        <f t="shared" si="1330"/>
        <v>228.72781350703133</v>
      </c>
      <c r="HG818" s="1584">
        <f t="shared" ref="HG818:HL818" si="1331">HG721+HG724+HG935-HG937</f>
        <v>46.240074034787</v>
      </c>
      <c r="HH818" s="1584">
        <f t="shared" si="1331"/>
        <v>18.851928557981999</v>
      </c>
      <c r="HI818" s="1584">
        <f t="shared" si="1331"/>
        <v>154.49812107909929</v>
      </c>
      <c r="HJ818" s="1584">
        <f t="shared" si="1331"/>
        <v>54.545537799188999</v>
      </c>
      <c r="HK818" s="1584">
        <f t="shared" si="1331"/>
        <v>41.309979391441992</v>
      </c>
      <c r="HL818" s="1584">
        <f t="shared" si="1331"/>
        <v>247.50351245103437</v>
      </c>
      <c r="HM818" s="1584"/>
      <c r="HN818" s="1589"/>
      <c r="HO818" s="354" t="s">
        <v>594</v>
      </c>
      <c r="HP818" s="307">
        <f>SUM(CE818:CJ818)</f>
        <v>188.40707514588601</v>
      </c>
      <c r="HQ818" s="302">
        <f>SUM(CK818:CP818)</f>
        <v>181.56397950579299</v>
      </c>
      <c r="HR818" s="346">
        <f>HP818+HQ818</f>
        <v>369.97105465167897</v>
      </c>
      <c r="HS818" s="302">
        <f>SUM(CQ818:CV818)</f>
        <v>178.99821912352974</v>
      </c>
      <c r="HT818" s="302">
        <f>SUM(CW818:DB818)</f>
        <v>161.25868398460116</v>
      </c>
      <c r="HU818" s="346">
        <f>HS818+HT818</f>
        <v>340.25690310813093</v>
      </c>
      <c r="HV818" s="307">
        <f>SUM(DC818:DH818)</f>
        <v>148.27043002104924</v>
      </c>
      <c r="HW818" s="302">
        <f>SUM(DI818:DN818)</f>
        <v>123.50418083640602</v>
      </c>
      <c r="HX818" s="346">
        <f>HV818+HW818</f>
        <v>271.77461085745529</v>
      </c>
      <c r="HY818" s="350">
        <f>SUM(DO818:DT818)</f>
        <v>142.07248957477901</v>
      </c>
      <c r="HZ818" s="302">
        <f>SUM(DU818:DZ818)</f>
        <v>164.67668759505</v>
      </c>
      <c r="IA818" s="346">
        <f>HY818+HZ818</f>
        <v>306.74917716982901</v>
      </c>
      <c r="IB818" s="302">
        <f>SUM(EA818:EF818)</f>
        <v>152.39700943519</v>
      </c>
      <c r="IC818" s="302">
        <f>SUM(EG818:EL818)</f>
        <v>186.66340607097001</v>
      </c>
      <c r="ID818" s="346">
        <f>IB818+IC818</f>
        <v>339.06041550615998</v>
      </c>
      <c r="IE818" s="350">
        <f>SUM(EM818:ER818)</f>
        <v>201.26146311084966</v>
      </c>
      <c r="IF818" s="350">
        <f>SUM(ES818:EX818)</f>
        <v>246.742533122932</v>
      </c>
      <c r="IG818" s="346">
        <f>IE818+IF818</f>
        <v>448.00399623378166</v>
      </c>
      <c r="IH818" s="350">
        <f>SUM(EY818:FD818)</f>
        <v>266.84109280054719</v>
      </c>
      <c r="II818" s="350">
        <f>SUM(FE818:FJ818)</f>
        <v>280.95780057781889</v>
      </c>
      <c r="IJ818" s="346">
        <f>IH818+II818</f>
        <v>547.79889337836607</v>
      </c>
      <c r="IK818" s="350">
        <f>SUM(FK818:FP818)</f>
        <v>385.52353076284561</v>
      </c>
      <c r="IL818" s="350">
        <f t="shared" si="1293"/>
        <v>299.79482986646332</v>
      </c>
      <c r="IM818" s="638">
        <f t="shared" si="1183"/>
        <v>685.31836062930893</v>
      </c>
      <c r="IN818" s="350">
        <f t="shared" si="1276"/>
        <v>407.50594810658163</v>
      </c>
      <c r="IO818" s="350">
        <f t="shared" si="1277"/>
        <v>381.20310357574834</v>
      </c>
      <c r="IP818" s="346">
        <f t="shared" si="1294"/>
        <v>788.70905168233003</v>
      </c>
      <c r="IQ818" s="350">
        <f t="shared" si="1278"/>
        <v>335.02994673110743</v>
      </c>
      <c r="IR818" s="350">
        <f t="shared" si="1295"/>
        <v>436.44070825118888</v>
      </c>
      <c r="IS818" s="346">
        <f t="shared" si="1304"/>
        <v>771.47065498229631</v>
      </c>
      <c r="IT818" s="350">
        <f>IT721+IT724+IT728+IT935-IT881</f>
        <v>535.37275481228482</v>
      </c>
      <c r="IU818" s="350">
        <f>IU721+IU724+IU728+IU935-IU881</f>
        <v>562.41967932960358</v>
      </c>
      <c r="IV818" s="346">
        <f t="shared" si="1235"/>
        <v>1097.7924341418884</v>
      </c>
      <c r="IW818" s="350">
        <f t="shared" si="1256"/>
        <v>562.94915331353366</v>
      </c>
      <c r="IX818" s="350">
        <f t="shared" si="1252"/>
        <v>444.86592773859832</v>
      </c>
      <c r="IY818" s="346">
        <f>FISC!AJ1134</f>
        <v>1007.815081052132</v>
      </c>
      <c r="IZ818" s="350">
        <f>IZ721+IZ724+IZ728+IZ935-IZ881</f>
        <v>522.71618142129239</v>
      </c>
      <c r="JA818" s="302">
        <f>JB818-IZ818</f>
        <v>514.15761266029665</v>
      </c>
      <c r="JB818" s="346">
        <f>FISC!AK1134</f>
        <v>1036.873794081589</v>
      </c>
      <c r="JC818" s="350">
        <f>JC721+JC724+JC728+JC935-JC881</f>
        <v>557.5326734808682</v>
      </c>
      <c r="JD818" s="302">
        <f>JE818-JC818</f>
        <v>605.4722519528018</v>
      </c>
      <c r="JE818" s="346">
        <f>FISC!AL1134</f>
        <v>1163.00492543367</v>
      </c>
      <c r="JF818" s="350">
        <f>JF721+JF724+JF728+JF935-JF881</f>
        <v>628.95027327903131</v>
      </c>
      <c r="JG818" s="302">
        <f>JH818-JF818</f>
        <v>632.10105315919395</v>
      </c>
      <c r="JH818" s="346">
        <f>FISC!AM1134</f>
        <v>1261.0513264382253</v>
      </c>
      <c r="JI818" s="350">
        <f>JI721+JI724+JI728+JI935-JI881</f>
        <v>711.29041226111281</v>
      </c>
      <c r="JJ818" s="302">
        <f>JK818-JI818</f>
        <v>687.23327798369041</v>
      </c>
      <c r="JK818" s="346">
        <f>FISC!AN1134</f>
        <v>1398.5236902448032</v>
      </c>
      <c r="JL818" s="350">
        <f>JL721+JL724+JL728+JL935-JL881</f>
        <v>747.04543928424641</v>
      </c>
      <c r="JM818" s="302">
        <f>JN818-JL818</f>
        <v>786.526703067879</v>
      </c>
      <c r="JN818" s="346">
        <f>FISC!AO1134</f>
        <v>1533.5721423521254</v>
      </c>
      <c r="KI818" s="1589"/>
      <c r="KJ818" s="1590"/>
    </row>
    <row r="819" spans="1:302" s="1582" customFormat="1" hidden="1" outlineLevel="1">
      <c r="B819" s="1583"/>
      <c r="C819" s="1583"/>
      <c r="D819" s="1721" t="s">
        <v>3215</v>
      </c>
      <c r="E819" s="1584"/>
      <c r="F819" s="1584"/>
      <c r="G819" s="1584"/>
      <c r="H819" s="1584"/>
      <c r="I819" s="1584"/>
      <c r="J819" s="1584"/>
      <c r="K819" s="1584"/>
      <c r="L819" s="1584"/>
      <c r="M819" s="1584"/>
      <c r="N819" s="1584"/>
      <c r="O819" s="1584"/>
      <c r="P819" s="1584"/>
      <c r="Q819" s="1584"/>
      <c r="R819" s="1584"/>
      <c r="S819" s="1584"/>
      <c r="T819" s="1584"/>
      <c r="U819" s="1584"/>
      <c r="V819" s="1584"/>
      <c r="W819" s="1584"/>
      <c r="X819" s="1584"/>
      <c r="Y819" s="1584"/>
      <c r="Z819" s="1584"/>
      <c r="AA819" s="1584"/>
      <c r="AB819" s="1584"/>
      <c r="AC819" s="1584"/>
      <c r="AD819" s="1584"/>
      <c r="AE819" s="1584"/>
      <c r="AF819" s="1584"/>
      <c r="AG819" s="1584"/>
      <c r="AH819" s="1584"/>
      <c r="AI819" s="1584"/>
      <c r="AJ819" s="1584"/>
      <c r="AK819" s="1584"/>
      <c r="AL819" s="1584"/>
      <c r="AM819" s="1584"/>
      <c r="AN819" s="1584"/>
      <c r="AO819" s="1584"/>
      <c r="AP819" s="1584"/>
      <c r="AQ819" s="1584"/>
      <c r="AR819" s="1584"/>
      <c r="AS819" s="1584"/>
      <c r="AT819" s="1584"/>
      <c r="AU819" s="1584"/>
      <c r="AV819" s="1584"/>
      <c r="AW819" s="1584"/>
      <c r="AX819" s="1584"/>
      <c r="AY819" s="1584"/>
      <c r="AZ819" s="1584"/>
      <c r="BA819" s="1584"/>
      <c r="BB819" s="1584"/>
      <c r="BC819" s="1584"/>
      <c r="BD819" s="1584"/>
      <c r="BE819" s="1584"/>
      <c r="BF819" s="1584"/>
      <c r="BG819" s="1584"/>
      <c r="BH819" s="1584"/>
      <c r="BI819" s="1584"/>
      <c r="BJ819" s="1584"/>
      <c r="BK819" s="1584"/>
      <c r="BL819" s="1584"/>
      <c r="BM819" s="1584"/>
      <c r="BN819" s="1584"/>
      <c r="BO819" s="1584"/>
      <c r="BP819" s="1584"/>
      <c r="BQ819" s="1584"/>
      <c r="BR819" s="1584"/>
      <c r="BS819" s="1584"/>
      <c r="BT819" s="1584"/>
      <c r="BU819" s="1584"/>
      <c r="BV819" s="1584"/>
      <c r="BW819" s="1584"/>
      <c r="BX819" s="1584"/>
      <c r="BY819" s="1584"/>
      <c r="BZ819" s="1584"/>
      <c r="CA819" s="1584"/>
      <c r="CB819" s="1584"/>
      <c r="CC819" s="1584"/>
      <c r="CD819" s="1585"/>
      <c r="CE819" s="1584"/>
      <c r="CF819" s="1584"/>
      <c r="CG819" s="1584"/>
      <c r="CH819" s="1584"/>
      <c r="CI819" s="1584"/>
      <c r="CJ819" s="1584"/>
      <c r="CK819" s="1584"/>
      <c r="CL819" s="1584"/>
      <c r="CM819" s="1584"/>
      <c r="CN819" s="1584"/>
      <c r="CO819" s="1584"/>
      <c r="CP819" s="1586"/>
      <c r="CQ819" s="1584"/>
      <c r="CR819" s="1584"/>
      <c r="CS819" s="1584"/>
      <c r="CT819" s="1584"/>
      <c r="CU819" s="1584"/>
      <c r="CV819" s="1584"/>
      <c r="CW819" s="1584"/>
      <c r="CX819" s="1584"/>
      <c r="CY819" s="1584"/>
      <c r="CZ819" s="1584"/>
      <c r="DA819" s="1584"/>
      <c r="DB819" s="1587"/>
      <c r="DC819" s="1584"/>
      <c r="DD819" s="1584"/>
      <c r="DE819" s="1584"/>
      <c r="DF819" s="1584"/>
      <c r="DG819" s="1584"/>
      <c r="DH819" s="1584"/>
      <c r="DI819" s="1584"/>
      <c r="DJ819" s="1584"/>
      <c r="DK819" s="1584"/>
      <c r="DL819" s="1584"/>
      <c r="DM819" s="1584"/>
      <c r="DN819" s="1586"/>
      <c r="DO819" s="1584"/>
      <c r="DP819" s="1584"/>
      <c r="DQ819" s="1584"/>
      <c r="DR819" s="1584"/>
      <c r="DS819" s="1584"/>
      <c r="DT819" s="1584"/>
      <c r="DU819" s="1584"/>
      <c r="DV819" s="1584"/>
      <c r="DW819" s="1584"/>
      <c r="DX819" s="1584"/>
      <c r="DY819" s="1584"/>
      <c r="DZ819" s="1586"/>
      <c r="EA819" s="1584"/>
      <c r="EB819" s="1584"/>
      <c r="EC819" s="1584"/>
      <c r="ED819" s="1584"/>
      <c r="EE819" s="1584"/>
      <c r="EF819" s="1584"/>
      <c r="EG819" s="1584"/>
      <c r="EH819" s="1584"/>
      <c r="EI819" s="1584"/>
      <c r="EJ819" s="1584"/>
      <c r="EK819" s="1584"/>
      <c r="EL819" s="1586"/>
      <c r="EM819" s="1584"/>
      <c r="EN819" s="1584"/>
      <c r="EO819" s="1584"/>
      <c r="EP819" s="1584"/>
      <c r="EQ819" s="1584"/>
      <c r="ER819" s="1584"/>
      <c r="ES819" s="1584"/>
      <c r="ET819" s="1584"/>
      <c r="EU819" s="1584"/>
      <c r="EV819" s="1584"/>
      <c r="EW819" s="1584"/>
      <c r="EX819" s="1586"/>
      <c r="EY819" s="1584"/>
      <c r="EZ819" s="1584"/>
      <c r="FA819" s="1584"/>
      <c r="FB819" s="1584"/>
      <c r="FC819" s="1584"/>
      <c r="FD819" s="1584"/>
      <c r="FE819" s="1584"/>
      <c r="FF819" s="1584"/>
      <c r="FG819" s="1584"/>
      <c r="FH819" s="1584"/>
      <c r="FI819" s="1584"/>
      <c r="FJ819" s="1586"/>
      <c r="FK819" s="1584"/>
      <c r="FL819" s="1584"/>
      <c r="FM819" s="1584"/>
      <c r="FN819" s="1584"/>
      <c r="FO819" s="1584"/>
      <c r="FP819" s="1584"/>
      <c r="FQ819" s="1584"/>
      <c r="FR819" s="1584"/>
      <c r="FS819" s="1584"/>
      <c r="FT819" s="1584"/>
      <c r="FU819" s="1584"/>
      <c r="FV819" s="1584"/>
      <c r="FW819" s="1584"/>
      <c r="FX819" s="1584"/>
      <c r="FY819" s="1584"/>
      <c r="FZ819" s="1584"/>
      <c r="GA819" s="1584"/>
      <c r="GB819" s="1584"/>
      <c r="GC819" s="1584"/>
      <c r="GD819" s="1584"/>
      <c r="GE819" s="1584"/>
      <c r="GF819" s="1584"/>
      <c r="GG819" s="1584"/>
      <c r="GH819" s="1584"/>
      <c r="GI819" s="1897"/>
      <c r="GJ819" s="1898"/>
      <c r="GK819" s="1588"/>
      <c r="GL819" s="1588"/>
      <c r="GM819" s="1588"/>
      <c r="GN819" s="1588"/>
      <c r="GO819" s="1588"/>
      <c r="GP819" s="1588"/>
      <c r="GQ819" s="1588"/>
      <c r="GR819" s="1588"/>
      <c r="GS819" s="1588"/>
      <c r="GT819" s="1588"/>
      <c r="GU819" s="1588"/>
      <c r="GV819" s="1588"/>
      <c r="GW819" s="1588"/>
      <c r="GX819" s="1588"/>
      <c r="GY819" s="1588"/>
      <c r="GZ819" s="1588"/>
      <c r="HA819" s="1588"/>
      <c r="HB819" s="1588"/>
      <c r="HC819" s="1588"/>
      <c r="HD819" s="1588"/>
      <c r="HE819" s="1588"/>
      <c r="HF819" s="1588"/>
      <c r="HG819" s="1588"/>
      <c r="HH819" s="1588"/>
      <c r="HI819" s="1588"/>
      <c r="HJ819" s="1588"/>
      <c r="HK819" s="1588"/>
      <c r="HL819" s="1588"/>
      <c r="HM819" s="1588"/>
      <c r="HN819" s="1589"/>
      <c r="HO819" s="1721" t="s">
        <v>3215</v>
      </c>
      <c r="HP819" s="307"/>
      <c r="HQ819" s="302"/>
      <c r="HR819" s="346"/>
      <c r="HS819" s="302"/>
      <c r="HT819" s="302"/>
      <c r="HU819" s="346"/>
      <c r="HV819" s="307"/>
      <c r="HW819" s="302"/>
      <c r="HX819" s="346"/>
      <c r="HY819" s="350"/>
      <c r="HZ819" s="302"/>
      <c r="IA819" s="346"/>
      <c r="IB819" s="302"/>
      <c r="IC819" s="302"/>
      <c r="ID819" s="346"/>
      <c r="IE819" s="350"/>
      <c r="IF819" s="350"/>
      <c r="IG819" s="346"/>
      <c r="IH819" s="350"/>
      <c r="II819" s="350"/>
      <c r="IJ819" s="346"/>
      <c r="IK819" s="350"/>
      <c r="IL819" s="350">
        <f t="shared" si="1293"/>
        <v>0</v>
      </c>
      <c r="IM819" s="346">
        <f t="shared" si="1183"/>
        <v>0</v>
      </c>
      <c r="IN819" s="350">
        <f t="shared" si="1276"/>
        <v>0</v>
      </c>
      <c r="IO819" s="350">
        <f t="shared" si="1277"/>
        <v>0</v>
      </c>
      <c r="IP819" s="346">
        <f t="shared" si="1294"/>
        <v>0</v>
      </c>
      <c r="IQ819" s="350">
        <f t="shared" si="1278"/>
        <v>0</v>
      </c>
      <c r="IR819" s="350">
        <f t="shared" si="1295"/>
        <v>0</v>
      </c>
      <c r="IS819" s="346">
        <f t="shared" si="1304"/>
        <v>0</v>
      </c>
      <c r="IT819" s="350"/>
      <c r="IU819" s="350">
        <f t="shared" ref="IU819:IU832" si="1332">SUM(HA819:HF819)</f>
        <v>0</v>
      </c>
      <c r="IV819" s="346">
        <f t="shared" si="1235"/>
        <v>0</v>
      </c>
      <c r="IW819" s="350">
        <f t="shared" si="1256"/>
        <v>0</v>
      </c>
      <c r="IX819" s="350">
        <f t="shared" si="1252"/>
        <v>0</v>
      </c>
      <c r="IY819" s="346">
        <f>FISC!AJ1135</f>
        <v>0</v>
      </c>
      <c r="IZ819" s="350"/>
      <c r="JA819" s="302"/>
      <c r="JB819" s="346">
        <f>FISC!AK1135</f>
        <v>0</v>
      </c>
      <c r="JC819" s="350"/>
      <c r="JD819" s="302"/>
      <c r="JE819" s="346">
        <f>FISC!AL1135</f>
        <v>0</v>
      </c>
      <c r="JF819" s="350"/>
      <c r="JG819" s="302"/>
      <c r="JH819" s="346">
        <f>FISC!MR1135</f>
        <v>0</v>
      </c>
      <c r="JI819" s="350"/>
      <c r="JJ819" s="302"/>
      <c r="JK819" s="346">
        <f>FISC!AN1135</f>
        <v>0</v>
      </c>
      <c r="JL819" s="350"/>
      <c r="JM819" s="302"/>
      <c r="JN819" s="346">
        <f>FISC!AO1135</f>
        <v>0</v>
      </c>
      <c r="KI819" s="1589"/>
      <c r="KJ819" s="1590"/>
    </row>
    <row r="820" spans="1:302" s="1582" customFormat="1" hidden="1" outlineLevel="1">
      <c r="B820" s="1583"/>
      <c r="C820" s="1583"/>
      <c r="D820" s="1722" t="s">
        <v>3211</v>
      </c>
      <c r="E820" s="1584"/>
      <c r="F820" s="1584"/>
      <c r="G820" s="1584"/>
      <c r="H820" s="1584"/>
      <c r="I820" s="1584"/>
      <c r="J820" s="1584"/>
      <c r="K820" s="1584"/>
      <c r="L820" s="1584"/>
      <c r="M820" s="1584"/>
      <c r="N820" s="1584"/>
      <c r="O820" s="1584"/>
      <c r="P820" s="1584"/>
      <c r="Q820" s="1584"/>
      <c r="R820" s="1584"/>
      <c r="S820" s="1584"/>
      <c r="T820" s="1584"/>
      <c r="U820" s="1584"/>
      <c r="V820" s="1584"/>
      <c r="W820" s="1584"/>
      <c r="X820" s="1584"/>
      <c r="Y820" s="1584"/>
      <c r="Z820" s="1584"/>
      <c r="AA820" s="1584"/>
      <c r="AB820" s="1584"/>
      <c r="AC820" s="1584"/>
      <c r="AD820" s="1584"/>
      <c r="AE820" s="1584"/>
      <c r="AF820" s="1584"/>
      <c r="AG820" s="1584"/>
      <c r="AH820" s="1584"/>
      <c r="AI820" s="1584"/>
      <c r="AJ820" s="1584"/>
      <c r="AK820" s="1584"/>
      <c r="AL820" s="1584"/>
      <c r="AM820" s="1584"/>
      <c r="AN820" s="1584"/>
      <c r="AO820" s="1584"/>
      <c r="AP820" s="1584"/>
      <c r="AQ820" s="1584"/>
      <c r="AR820" s="1584"/>
      <c r="AS820" s="1584"/>
      <c r="AT820" s="1584"/>
      <c r="AU820" s="1584"/>
      <c r="AV820" s="1584"/>
      <c r="AW820" s="1584"/>
      <c r="AX820" s="1584"/>
      <c r="AY820" s="1584"/>
      <c r="AZ820" s="1584"/>
      <c r="BA820" s="1584"/>
      <c r="BB820" s="1584"/>
      <c r="BC820" s="1584"/>
      <c r="BD820" s="1584"/>
      <c r="BE820" s="1584"/>
      <c r="BF820" s="1584"/>
      <c r="BG820" s="1584"/>
      <c r="BH820" s="1584"/>
      <c r="BI820" s="1584"/>
      <c r="BJ820" s="1584"/>
      <c r="BK820" s="1584"/>
      <c r="BL820" s="1584"/>
      <c r="BM820" s="1584"/>
      <c r="BN820" s="1584"/>
      <c r="BO820" s="1584"/>
      <c r="BP820" s="1584"/>
      <c r="BQ820" s="1584"/>
      <c r="BR820" s="1584"/>
      <c r="BS820" s="1584"/>
      <c r="BT820" s="1584"/>
      <c r="BU820" s="1584"/>
      <c r="BV820" s="1584"/>
      <c r="BW820" s="1584"/>
      <c r="BX820" s="1584"/>
      <c r="BY820" s="1584"/>
      <c r="BZ820" s="1584"/>
      <c r="CA820" s="1584"/>
      <c r="CB820" s="1584"/>
      <c r="CC820" s="1584"/>
      <c r="CD820" s="1585"/>
      <c r="CE820" s="1584"/>
      <c r="CF820" s="1584"/>
      <c r="CG820" s="1584"/>
      <c r="CH820" s="1584"/>
      <c r="CI820" s="1584"/>
      <c r="CJ820" s="1584"/>
      <c r="CK820" s="1584"/>
      <c r="CL820" s="1584"/>
      <c r="CM820" s="1584"/>
      <c r="CN820" s="1584"/>
      <c r="CO820" s="1584"/>
      <c r="CP820" s="1586"/>
      <c r="CQ820" s="1584"/>
      <c r="CR820" s="1584"/>
      <c r="CS820" s="1584"/>
      <c r="CT820" s="1584"/>
      <c r="CU820" s="1584"/>
      <c r="CV820" s="1584"/>
      <c r="CW820" s="1584"/>
      <c r="CX820" s="1584"/>
      <c r="CY820" s="1584"/>
      <c r="CZ820" s="1584"/>
      <c r="DA820" s="1584"/>
      <c r="DB820" s="1587"/>
      <c r="DC820" s="1584"/>
      <c r="DD820" s="1584"/>
      <c r="DE820" s="1584"/>
      <c r="DF820" s="1584"/>
      <c r="DG820" s="1584"/>
      <c r="DH820" s="1584"/>
      <c r="DI820" s="1584"/>
      <c r="DJ820" s="1584"/>
      <c r="DK820" s="1584"/>
      <c r="DL820" s="1584"/>
      <c r="DM820" s="1584"/>
      <c r="DN820" s="1586"/>
      <c r="DO820" s="1584"/>
      <c r="DP820" s="1584"/>
      <c r="DQ820" s="1584"/>
      <c r="DR820" s="1584"/>
      <c r="DS820" s="1584"/>
      <c r="DT820" s="1584"/>
      <c r="DU820" s="1584"/>
      <c r="DV820" s="1584"/>
      <c r="DW820" s="1584"/>
      <c r="DX820" s="1584"/>
      <c r="DY820" s="1584"/>
      <c r="DZ820" s="1586"/>
      <c r="EA820" s="1584"/>
      <c r="EB820" s="1584"/>
      <c r="EC820" s="1584"/>
      <c r="ED820" s="1584"/>
      <c r="EE820" s="1584"/>
      <c r="EF820" s="1584"/>
      <c r="EG820" s="1584"/>
      <c r="EH820" s="1584"/>
      <c r="EI820" s="1584"/>
      <c r="EJ820" s="1584"/>
      <c r="EK820" s="1584"/>
      <c r="EL820" s="1586"/>
      <c r="EM820" s="1584"/>
      <c r="EN820" s="1584"/>
      <c r="EO820" s="1584"/>
      <c r="EP820" s="1584"/>
      <c r="EQ820" s="1584"/>
      <c r="ER820" s="1584"/>
      <c r="ES820" s="1584"/>
      <c r="ET820" s="1584"/>
      <c r="EU820" s="1584"/>
      <c r="EV820" s="1584"/>
      <c r="EW820" s="1584"/>
      <c r="EX820" s="1586"/>
      <c r="EY820" s="1584"/>
      <c r="EZ820" s="1584"/>
      <c r="FA820" s="1584"/>
      <c r="FB820" s="1584"/>
      <c r="FC820" s="1584"/>
      <c r="FD820" s="1584"/>
      <c r="FE820" s="1584"/>
      <c r="FF820" s="1584"/>
      <c r="FG820" s="1584"/>
      <c r="FH820" s="1584"/>
      <c r="FI820" s="1584"/>
      <c r="FJ820" s="1586"/>
      <c r="FK820" s="1584"/>
      <c r="FL820" s="1584"/>
      <c r="FM820" s="1584"/>
      <c r="FN820" s="1584"/>
      <c r="FO820" s="1584"/>
      <c r="FP820" s="1584"/>
      <c r="FQ820" s="1584"/>
      <c r="FR820" s="1584"/>
      <c r="FS820" s="1584"/>
      <c r="FT820" s="1584"/>
      <c r="FU820" s="1584"/>
      <c r="FV820" s="1584"/>
      <c r="FW820" s="1584"/>
      <c r="FX820" s="1584"/>
      <c r="FY820" s="1584"/>
      <c r="FZ820" s="1584"/>
      <c r="GA820" s="1584"/>
      <c r="GB820" s="1584"/>
      <c r="GC820" s="1584"/>
      <c r="GD820" s="1584"/>
      <c r="GE820" s="1584"/>
      <c r="GF820" s="1584"/>
      <c r="GG820" s="1584"/>
      <c r="GH820" s="1584"/>
      <c r="GI820" s="1897"/>
      <c r="GJ820" s="1588"/>
      <c r="GK820" s="1588"/>
      <c r="GL820" s="1588"/>
      <c r="GM820" s="1588"/>
      <c r="GN820" s="1588"/>
      <c r="GO820" s="1588"/>
      <c r="GP820" s="1588"/>
      <c r="GQ820" s="1588"/>
      <c r="GR820" s="1588"/>
      <c r="GS820" s="1588"/>
      <c r="GT820" s="1588"/>
      <c r="GU820" s="1588"/>
      <c r="GV820" s="1588"/>
      <c r="GW820" s="1588"/>
      <c r="GX820" s="1588"/>
      <c r="GY820" s="1588"/>
      <c r="GZ820" s="1588"/>
      <c r="HA820" s="1588"/>
      <c r="HB820" s="1588"/>
      <c r="HC820" s="1588"/>
      <c r="HD820" s="1588"/>
      <c r="HE820" s="1588"/>
      <c r="HF820" s="1588"/>
      <c r="HG820" s="1588"/>
      <c r="HH820" s="1588"/>
      <c r="HI820" s="1588"/>
      <c r="HJ820" s="1588"/>
      <c r="HK820" s="1588"/>
      <c r="HL820" s="1588"/>
      <c r="HM820" s="1588"/>
      <c r="HN820" s="1589"/>
      <c r="HO820" s="1722" t="s">
        <v>3211</v>
      </c>
      <c r="HP820" s="307"/>
      <c r="HQ820" s="302"/>
      <c r="HR820" s="346"/>
      <c r="HS820" s="302"/>
      <c r="HT820" s="302"/>
      <c r="HU820" s="346"/>
      <c r="HV820" s="307"/>
      <c r="HW820" s="302"/>
      <c r="HX820" s="346"/>
      <c r="HY820" s="350"/>
      <c r="HZ820" s="302"/>
      <c r="IA820" s="346"/>
      <c r="IB820" s="302"/>
      <c r="IC820" s="302"/>
      <c r="ID820" s="346"/>
      <c r="IE820" s="350"/>
      <c r="IF820" s="350"/>
      <c r="IG820" s="346"/>
      <c r="IH820" s="350"/>
      <c r="II820" s="350"/>
      <c r="IJ820" s="346"/>
      <c r="IK820" s="350"/>
      <c r="IL820" s="350">
        <f t="shared" si="1293"/>
        <v>0</v>
      </c>
      <c r="IM820" s="346">
        <f t="shared" si="1183"/>
        <v>0</v>
      </c>
      <c r="IN820" s="350">
        <f t="shared" si="1276"/>
        <v>0</v>
      </c>
      <c r="IO820" s="350">
        <f t="shared" si="1277"/>
        <v>0</v>
      </c>
      <c r="IP820" s="346">
        <f t="shared" si="1294"/>
        <v>0</v>
      </c>
      <c r="IQ820" s="350">
        <f t="shared" si="1278"/>
        <v>0</v>
      </c>
      <c r="IR820" s="350">
        <f t="shared" si="1295"/>
        <v>0</v>
      </c>
      <c r="IS820" s="346">
        <f t="shared" si="1304"/>
        <v>0</v>
      </c>
      <c r="IT820" s="350"/>
      <c r="IU820" s="350">
        <f t="shared" si="1332"/>
        <v>0</v>
      </c>
      <c r="IV820" s="346">
        <f t="shared" si="1235"/>
        <v>0</v>
      </c>
      <c r="IW820" s="350">
        <f t="shared" si="1256"/>
        <v>0</v>
      </c>
      <c r="IX820" s="350">
        <f t="shared" si="1252"/>
        <v>0</v>
      </c>
      <c r="IY820" s="346">
        <f>FISC!AJ1136</f>
        <v>0</v>
      </c>
      <c r="IZ820" s="350"/>
      <c r="JA820" s="302"/>
      <c r="JB820" s="346">
        <f>FISC!AK1136</f>
        <v>0</v>
      </c>
      <c r="JC820" s="350"/>
      <c r="JD820" s="302"/>
      <c r="JE820" s="346">
        <f>FISC!AL1136</f>
        <v>0</v>
      </c>
      <c r="JF820" s="350"/>
      <c r="JG820" s="302"/>
      <c r="JH820" s="346">
        <f>FISC!MR1136</f>
        <v>0</v>
      </c>
      <c r="JI820" s="350"/>
      <c r="JJ820" s="302"/>
      <c r="JK820" s="346">
        <f>FISC!AN1136</f>
        <v>0</v>
      </c>
      <c r="JL820" s="350"/>
      <c r="JM820" s="302"/>
      <c r="JN820" s="346">
        <f>FISC!AO1136</f>
        <v>0</v>
      </c>
      <c r="KI820" s="1589"/>
      <c r="KJ820" s="1590"/>
    </row>
    <row r="821" spans="1:302" s="1582" customFormat="1" hidden="1" outlineLevel="1">
      <c r="B821" s="1583"/>
      <c r="C821" s="1583"/>
      <c r="D821" s="1924" t="str">
        <f>FISC!D1137</f>
        <v>Flood response</v>
      </c>
      <c r="E821" s="1584"/>
      <c r="F821" s="1584"/>
      <c r="G821" s="1584"/>
      <c r="H821" s="1584"/>
      <c r="I821" s="1584"/>
      <c r="J821" s="1584"/>
      <c r="K821" s="1584"/>
      <c r="L821" s="1584"/>
      <c r="M821" s="1584"/>
      <c r="N821" s="1584"/>
      <c r="O821" s="1584"/>
      <c r="P821" s="1584"/>
      <c r="Q821" s="1584"/>
      <c r="R821" s="1584"/>
      <c r="S821" s="1584"/>
      <c r="T821" s="1584"/>
      <c r="U821" s="1584"/>
      <c r="V821" s="1584"/>
      <c r="W821" s="1584"/>
      <c r="X821" s="1584"/>
      <c r="Y821" s="1584"/>
      <c r="Z821" s="1584"/>
      <c r="AA821" s="1584"/>
      <c r="AB821" s="1584"/>
      <c r="AC821" s="1584"/>
      <c r="AD821" s="1584"/>
      <c r="AE821" s="1584"/>
      <c r="AF821" s="1584"/>
      <c r="AG821" s="1584"/>
      <c r="AH821" s="1584"/>
      <c r="AI821" s="1584"/>
      <c r="AJ821" s="1584"/>
      <c r="AK821" s="1584"/>
      <c r="AL821" s="1584"/>
      <c r="AM821" s="1584"/>
      <c r="AN821" s="1584"/>
      <c r="AO821" s="1584"/>
      <c r="AP821" s="1584"/>
      <c r="AQ821" s="1584"/>
      <c r="AR821" s="1584"/>
      <c r="AS821" s="1584"/>
      <c r="AT821" s="1584"/>
      <c r="AU821" s="1584"/>
      <c r="AV821" s="1584"/>
      <c r="AW821" s="1584"/>
      <c r="AX821" s="1584"/>
      <c r="AY821" s="1584"/>
      <c r="AZ821" s="1584"/>
      <c r="BA821" s="1584"/>
      <c r="BB821" s="1584"/>
      <c r="BC821" s="1584"/>
      <c r="BD821" s="1584"/>
      <c r="BE821" s="1584"/>
      <c r="BF821" s="1584"/>
      <c r="BG821" s="1584"/>
      <c r="BH821" s="1584"/>
      <c r="BI821" s="1584"/>
      <c r="BJ821" s="1584"/>
      <c r="BK821" s="1584"/>
      <c r="BL821" s="1584"/>
      <c r="BM821" s="1584"/>
      <c r="BN821" s="1584"/>
      <c r="BO821" s="1584"/>
      <c r="BP821" s="1584"/>
      <c r="BQ821" s="1584"/>
      <c r="BR821" s="1584"/>
      <c r="BS821" s="1584"/>
      <c r="BT821" s="1584"/>
      <c r="BU821" s="1584"/>
      <c r="BV821" s="1584"/>
      <c r="BW821" s="1584"/>
      <c r="BX821" s="1584"/>
      <c r="BY821" s="1584"/>
      <c r="BZ821" s="1584"/>
      <c r="CA821" s="1584"/>
      <c r="CB821" s="1584"/>
      <c r="CC821" s="1584"/>
      <c r="CD821" s="1585"/>
      <c r="CE821" s="1584"/>
      <c r="CF821" s="1584"/>
      <c r="CG821" s="1584"/>
      <c r="CH821" s="1584"/>
      <c r="CI821" s="1584"/>
      <c r="CJ821" s="1584"/>
      <c r="CK821" s="1584"/>
      <c r="CL821" s="1584"/>
      <c r="CM821" s="1584"/>
      <c r="CN821" s="1584"/>
      <c r="CO821" s="1584"/>
      <c r="CP821" s="1586"/>
      <c r="CQ821" s="1584"/>
      <c r="CR821" s="1584"/>
      <c r="CS821" s="1584"/>
      <c r="CT821" s="1584"/>
      <c r="CU821" s="1584"/>
      <c r="CV821" s="1584"/>
      <c r="CW821" s="1584"/>
      <c r="CX821" s="1584"/>
      <c r="CY821" s="1584"/>
      <c r="CZ821" s="1584"/>
      <c r="DA821" s="1584"/>
      <c r="DB821" s="1587"/>
      <c r="DC821" s="1584"/>
      <c r="DD821" s="1584"/>
      <c r="DE821" s="1584"/>
      <c r="DF821" s="1584"/>
      <c r="DG821" s="1584"/>
      <c r="DH821" s="1584"/>
      <c r="DI821" s="1584"/>
      <c r="DJ821" s="1584"/>
      <c r="DK821" s="1584"/>
      <c r="DL821" s="1584"/>
      <c r="DM821" s="1584"/>
      <c r="DN821" s="1586"/>
      <c r="DO821" s="1584"/>
      <c r="DP821" s="1584"/>
      <c r="DQ821" s="1584"/>
      <c r="DR821" s="1584"/>
      <c r="DS821" s="1584"/>
      <c r="DT821" s="1584"/>
      <c r="DU821" s="1584"/>
      <c r="DV821" s="1584"/>
      <c r="DW821" s="1584"/>
      <c r="DX821" s="1584"/>
      <c r="DY821" s="1584"/>
      <c r="DZ821" s="1586"/>
      <c r="EA821" s="1584"/>
      <c r="EB821" s="1584"/>
      <c r="EC821" s="1584"/>
      <c r="ED821" s="1584"/>
      <c r="EE821" s="1584"/>
      <c r="EF821" s="1584"/>
      <c r="EG821" s="1584"/>
      <c r="EH821" s="1584"/>
      <c r="EI821" s="1584"/>
      <c r="EJ821" s="1584"/>
      <c r="EK821" s="1584"/>
      <c r="EL821" s="1586"/>
      <c r="EM821" s="1584"/>
      <c r="EN821" s="1584"/>
      <c r="EO821" s="1584"/>
      <c r="EP821" s="1584"/>
      <c r="EQ821" s="1584"/>
      <c r="ER821" s="1584"/>
      <c r="ES821" s="1584"/>
      <c r="ET821" s="1584"/>
      <c r="EU821" s="1584"/>
      <c r="EV821" s="1584"/>
      <c r="EW821" s="1584"/>
      <c r="EX821" s="1586"/>
      <c r="EY821" s="1584"/>
      <c r="EZ821" s="1584"/>
      <c r="FA821" s="1584"/>
      <c r="FB821" s="1584"/>
      <c r="FC821" s="1584"/>
      <c r="FD821" s="1584"/>
      <c r="FE821" s="1584"/>
      <c r="FF821" s="1584"/>
      <c r="FG821" s="1584"/>
      <c r="FH821" s="1584"/>
      <c r="FI821" s="1584"/>
      <c r="FJ821" s="1586"/>
      <c r="FK821" s="1584"/>
      <c r="FL821" s="1584"/>
      <c r="FM821" s="1584"/>
      <c r="FN821" s="1584"/>
      <c r="FO821" s="1584"/>
      <c r="FP821" s="1584"/>
      <c r="FQ821" s="1584"/>
      <c r="FR821" s="1584"/>
      <c r="FS821" s="1584"/>
      <c r="FT821" s="1584"/>
      <c r="FU821" s="1584"/>
      <c r="FV821" s="1584"/>
      <c r="FW821" s="1584"/>
      <c r="FX821" s="1584"/>
      <c r="FY821" s="1584"/>
      <c r="FZ821" s="1584"/>
      <c r="GA821" s="1584"/>
      <c r="GB821" s="1584"/>
      <c r="GC821" s="1584"/>
      <c r="GD821" s="1584"/>
      <c r="GE821" s="1584"/>
      <c r="GF821" s="1584"/>
      <c r="GG821" s="1584"/>
      <c r="GH821" s="1584"/>
      <c r="GI821" s="1897"/>
      <c r="GJ821" s="1898"/>
      <c r="GK821" s="1588"/>
      <c r="GL821" s="1588"/>
      <c r="GM821" s="1588"/>
      <c r="GN821" s="1588"/>
      <c r="GO821" s="1588"/>
      <c r="GP821" s="1588"/>
      <c r="GQ821" s="1588"/>
      <c r="GR821" s="1588"/>
      <c r="GS821" s="1588"/>
      <c r="GT821" s="1588"/>
      <c r="GU821" s="1588"/>
      <c r="GV821" s="1588">
        <v>3.3149512113488204</v>
      </c>
      <c r="GW821" s="1588"/>
      <c r="GX821" s="1588"/>
      <c r="GY821" s="1588"/>
      <c r="GZ821" s="1588"/>
      <c r="HA821" s="1588"/>
      <c r="HB821" s="1588"/>
      <c r="HC821" s="1588"/>
      <c r="HD821" s="1588"/>
      <c r="HE821" s="1588"/>
      <c r="HF821" s="1588"/>
      <c r="HG821" s="1588"/>
      <c r="HH821" s="1588"/>
      <c r="HI821" s="1588"/>
      <c r="HJ821" s="1588"/>
      <c r="HK821" s="1588"/>
      <c r="HL821" s="1588"/>
      <c r="HM821" s="1588"/>
      <c r="HN821" s="1589"/>
      <c r="HO821" s="1638" t="s">
        <v>3213</v>
      </c>
      <c r="HP821" s="307"/>
      <c r="HQ821" s="302"/>
      <c r="HR821" s="346"/>
      <c r="HS821" s="302"/>
      <c r="HT821" s="302"/>
      <c r="HU821" s="346"/>
      <c r="HV821" s="307"/>
      <c r="HW821" s="302"/>
      <c r="HX821" s="346"/>
      <c r="HY821" s="350"/>
      <c r="HZ821" s="302"/>
      <c r="IA821" s="346"/>
      <c r="IB821" s="302"/>
      <c r="IC821" s="302"/>
      <c r="ID821" s="346"/>
      <c r="IE821" s="350"/>
      <c r="IF821" s="350"/>
      <c r="IG821" s="346"/>
      <c r="IH821" s="350"/>
      <c r="II821" s="350"/>
      <c r="IJ821" s="346"/>
      <c r="IK821" s="350"/>
      <c r="IL821" s="350">
        <f t="shared" si="1293"/>
        <v>0</v>
      </c>
      <c r="IM821" s="346">
        <f t="shared" si="1183"/>
        <v>0</v>
      </c>
      <c r="IN821" s="350">
        <f t="shared" si="1276"/>
        <v>0</v>
      </c>
      <c r="IO821" s="350">
        <f t="shared" si="1277"/>
        <v>0</v>
      </c>
      <c r="IP821" s="346">
        <f t="shared" si="1294"/>
        <v>0</v>
      </c>
      <c r="IQ821" s="350">
        <f t="shared" si="1278"/>
        <v>0</v>
      </c>
      <c r="IR821" s="350">
        <f t="shared" si="1295"/>
        <v>0</v>
      </c>
      <c r="IS821" s="346">
        <f t="shared" si="1304"/>
        <v>0</v>
      </c>
      <c r="IT821" s="350">
        <f>SUM(GU821:GZ821)</f>
        <v>3.3149512113488204</v>
      </c>
      <c r="IU821" s="350">
        <f t="shared" si="1332"/>
        <v>0</v>
      </c>
      <c r="IV821" s="346">
        <f t="shared" si="1235"/>
        <v>3.3149512113488204</v>
      </c>
      <c r="IW821" s="350">
        <f t="shared" si="1256"/>
        <v>0</v>
      </c>
      <c r="IX821" s="350">
        <f t="shared" si="1252"/>
        <v>80.832258151848023</v>
      </c>
      <c r="IY821" s="346">
        <f>FISC!AJ1137</f>
        <v>80.832258151848023</v>
      </c>
      <c r="IZ821" s="350">
        <v>22.477119311903305</v>
      </c>
      <c r="JA821" s="302">
        <f>JB821-IZ821</f>
        <v>1.6199848480877286</v>
      </c>
      <c r="JB821" s="346">
        <f>FISC!AK1137</f>
        <v>24.097104159991034</v>
      </c>
      <c r="JC821" s="350">
        <v>1.4886279367952771</v>
      </c>
      <c r="JD821" s="302">
        <f>JE821-JC821</f>
        <v>1.7267424383967565</v>
      </c>
      <c r="JE821" s="346">
        <f>FISC!AL1137</f>
        <v>3.2153703751920335</v>
      </c>
      <c r="JF821" s="350"/>
      <c r="JG821" s="302"/>
      <c r="JH821" s="346">
        <f>FISC!MR1137</f>
        <v>0</v>
      </c>
      <c r="JI821" s="350"/>
      <c r="JJ821" s="302"/>
      <c r="JK821" s="346">
        <f>FISC!AN1137</f>
        <v>0</v>
      </c>
      <c r="JL821" s="350"/>
      <c r="JM821" s="302"/>
      <c r="JN821" s="346">
        <f>FISC!AO1137</f>
        <v>0</v>
      </c>
      <c r="KI821" s="1589"/>
      <c r="KJ821" s="1590"/>
    </row>
    <row r="822" spans="1:302" hidden="1" outlineLevel="1">
      <c r="A822" s="302"/>
      <c r="B822" s="117" t="s">
        <v>361</v>
      </c>
      <c r="D822" s="354" t="s">
        <v>595</v>
      </c>
      <c r="E822" s="346">
        <f t="shared" ref="E822:AN822" si="1333">SUM(E829:E832)</f>
        <v>0</v>
      </c>
      <c r="F822" s="346">
        <f t="shared" si="1333"/>
        <v>0</v>
      </c>
      <c r="G822" s="346">
        <f t="shared" si="1333"/>
        <v>0</v>
      </c>
      <c r="H822" s="346">
        <f t="shared" si="1333"/>
        <v>0</v>
      </c>
      <c r="I822" s="346">
        <f t="shared" si="1333"/>
        <v>0</v>
      </c>
      <c r="J822" s="346">
        <f t="shared" si="1333"/>
        <v>0</v>
      </c>
      <c r="K822" s="346">
        <f t="shared" si="1333"/>
        <v>0</v>
      </c>
      <c r="L822" s="346">
        <f t="shared" si="1333"/>
        <v>0</v>
      </c>
      <c r="M822" s="346">
        <f t="shared" si="1333"/>
        <v>0</v>
      </c>
      <c r="N822" s="346">
        <f t="shared" si="1333"/>
        <v>0</v>
      </c>
      <c r="O822" s="346">
        <f t="shared" si="1333"/>
        <v>0</v>
      </c>
      <c r="P822" s="346">
        <f t="shared" si="1333"/>
        <v>0</v>
      </c>
      <c r="Q822" s="346">
        <f t="shared" si="1333"/>
        <v>0</v>
      </c>
      <c r="R822" s="346">
        <f t="shared" si="1333"/>
        <v>0</v>
      </c>
      <c r="S822" s="346">
        <f t="shared" si="1333"/>
        <v>0</v>
      </c>
      <c r="T822" s="346">
        <f t="shared" si="1333"/>
        <v>0</v>
      </c>
      <c r="U822" s="346">
        <f t="shared" si="1333"/>
        <v>0</v>
      </c>
      <c r="V822" s="346">
        <f t="shared" si="1333"/>
        <v>0</v>
      </c>
      <c r="W822" s="346">
        <f t="shared" si="1333"/>
        <v>0</v>
      </c>
      <c r="X822" s="346">
        <f t="shared" si="1333"/>
        <v>0</v>
      </c>
      <c r="Y822" s="346">
        <f t="shared" si="1333"/>
        <v>0</v>
      </c>
      <c r="Z822" s="346">
        <f t="shared" si="1333"/>
        <v>0</v>
      </c>
      <c r="AA822" s="346">
        <f t="shared" si="1333"/>
        <v>0</v>
      </c>
      <c r="AB822" s="346">
        <f t="shared" si="1333"/>
        <v>0</v>
      </c>
      <c r="AC822" s="346">
        <f t="shared" si="1333"/>
        <v>0</v>
      </c>
      <c r="AD822" s="346">
        <f t="shared" si="1333"/>
        <v>0</v>
      </c>
      <c r="AE822" s="346">
        <f t="shared" si="1333"/>
        <v>0</v>
      </c>
      <c r="AF822" s="346">
        <f t="shared" si="1333"/>
        <v>0</v>
      </c>
      <c r="AG822" s="346">
        <f t="shared" si="1333"/>
        <v>0</v>
      </c>
      <c r="AH822" s="346">
        <f t="shared" si="1333"/>
        <v>0</v>
      </c>
      <c r="AI822" s="346">
        <f t="shared" si="1333"/>
        <v>0</v>
      </c>
      <c r="AJ822" s="346">
        <f t="shared" si="1333"/>
        <v>0</v>
      </c>
      <c r="AK822" s="346">
        <f t="shared" si="1333"/>
        <v>0</v>
      </c>
      <c r="AL822" s="346">
        <f t="shared" si="1333"/>
        <v>0</v>
      </c>
      <c r="AM822" s="346">
        <f t="shared" si="1333"/>
        <v>0</v>
      </c>
      <c r="AN822" s="346">
        <f t="shared" si="1333"/>
        <v>0</v>
      </c>
      <c r="AO822" s="346">
        <v>0</v>
      </c>
      <c r="AP822" s="346">
        <v>0</v>
      </c>
      <c r="AQ822" s="346">
        <v>0</v>
      </c>
      <c r="AR822" s="346">
        <v>0</v>
      </c>
      <c r="AS822" s="346">
        <v>0</v>
      </c>
      <c r="AT822" s="346">
        <v>0</v>
      </c>
      <c r="AU822" s="346">
        <v>0</v>
      </c>
      <c r="AV822" s="346">
        <v>0</v>
      </c>
      <c r="AW822" s="346">
        <v>0</v>
      </c>
      <c r="AX822" s="346">
        <v>0</v>
      </c>
      <c r="AY822" s="346">
        <v>0</v>
      </c>
      <c r="AZ822" s="346">
        <v>0</v>
      </c>
      <c r="BA822" s="346">
        <v>0</v>
      </c>
      <c r="BB822" s="346">
        <v>0</v>
      </c>
      <c r="BC822" s="346">
        <v>0</v>
      </c>
      <c r="BD822" s="346">
        <v>0</v>
      </c>
      <c r="BE822" s="346">
        <v>0</v>
      </c>
      <c r="BF822" s="346">
        <v>0</v>
      </c>
      <c r="BG822" s="346">
        <v>4.8124256818000006</v>
      </c>
      <c r="BH822" s="346">
        <v>11.60506516907</v>
      </c>
      <c r="BI822" s="346">
        <v>14.97865360904</v>
      </c>
      <c r="BJ822" s="346">
        <v>27.030733145999999</v>
      </c>
      <c r="BK822" s="346">
        <v>15.140683768000001</v>
      </c>
      <c r="BL822" s="346">
        <v>7.4367065990000008</v>
      </c>
      <c r="BM822" s="346">
        <v>18.373572579000001</v>
      </c>
      <c r="BN822" s="346">
        <v>10.851172992</v>
      </c>
      <c r="BO822" s="346">
        <v>9.5369914072199986</v>
      </c>
      <c r="BP822" s="346">
        <v>27.330570633840001</v>
      </c>
      <c r="BQ822" s="346">
        <v>42.304308950940005</v>
      </c>
      <c r="BR822" s="346">
        <v>6.3525195425600005</v>
      </c>
      <c r="BS822" s="346">
        <v>9.2269242130000002</v>
      </c>
      <c r="BT822" s="346">
        <v>15.565815836000001</v>
      </c>
      <c r="BU822" s="346">
        <v>11.015463515</v>
      </c>
      <c r="BV822" s="346">
        <v>38.70378821485</v>
      </c>
      <c r="BW822" s="346">
        <v>20.110647266000001</v>
      </c>
      <c r="BX822" s="346">
        <v>3.8061774380000002</v>
      </c>
      <c r="BY822" s="346">
        <v>19.101827502419997</v>
      </c>
      <c r="BZ822" s="346">
        <v>18.12392500696</v>
      </c>
      <c r="CA822" s="346">
        <v>15.148308796</v>
      </c>
      <c r="CB822" s="346">
        <v>45.977102401389999</v>
      </c>
      <c r="CC822" s="346">
        <v>31.759695228169996</v>
      </c>
      <c r="CD822" s="352">
        <v>22.441475633349999</v>
      </c>
      <c r="CE822" s="346">
        <f>SUM(CE829:CE832)</f>
        <v>10.526452686000001</v>
      </c>
      <c r="CF822" s="346">
        <f t="shared" ref="CF822:EQ822" si="1334">SUM(CF829:CF832)</f>
        <v>15.109569805</v>
      </c>
      <c r="CG822" s="346">
        <f t="shared" si="1334"/>
        <v>15.141310662</v>
      </c>
      <c r="CH822" s="346">
        <f t="shared" si="1334"/>
        <v>24.206214788</v>
      </c>
      <c r="CI822" s="346">
        <f t="shared" si="1334"/>
        <v>17.467736775000002</v>
      </c>
      <c r="CJ822" s="346">
        <f t="shared" si="1334"/>
        <v>11.073881504999999</v>
      </c>
      <c r="CK822" s="346">
        <f t="shared" si="1334"/>
        <v>21.884380947</v>
      </c>
      <c r="CL822" s="346">
        <f t="shared" si="1334"/>
        <v>18.32118797</v>
      </c>
      <c r="CM822" s="346">
        <f t="shared" si="1334"/>
        <v>23.854194408000001</v>
      </c>
      <c r="CN822" s="346">
        <f t="shared" si="1334"/>
        <v>28.932555223999998</v>
      </c>
      <c r="CO822" s="346">
        <f t="shared" si="1334"/>
        <v>51.464723008</v>
      </c>
      <c r="CP822" s="348">
        <f t="shared" si="1334"/>
        <v>35.421020681000002</v>
      </c>
      <c r="CQ822" s="346">
        <f t="shared" si="1334"/>
        <v>11.76803075493056</v>
      </c>
      <c r="CR822" s="346">
        <f t="shared" si="1334"/>
        <v>18.361679120999998</v>
      </c>
      <c r="CS822" s="346">
        <f t="shared" si="1334"/>
        <v>22.843350313999998</v>
      </c>
      <c r="CT822" s="346">
        <f t="shared" si="1334"/>
        <v>16.358613350000002</v>
      </c>
      <c r="CU822" s="346">
        <f t="shared" si="1334"/>
        <v>15.843995942999999</v>
      </c>
      <c r="CV822" s="346">
        <f t="shared" si="1334"/>
        <v>14.463915152</v>
      </c>
      <c r="CW822" s="346">
        <f t="shared" si="1334"/>
        <v>27.784603081</v>
      </c>
      <c r="CX822" s="346">
        <f t="shared" si="1334"/>
        <v>21.432819065</v>
      </c>
      <c r="CY822" s="346">
        <f t="shared" si="1334"/>
        <v>30.363084206</v>
      </c>
      <c r="CZ822" s="346">
        <f t="shared" si="1334"/>
        <v>47.542389496000006</v>
      </c>
      <c r="DA822" s="346">
        <f t="shared" si="1334"/>
        <v>36.940702246376965</v>
      </c>
      <c r="DB822" s="1479">
        <f t="shared" si="1334"/>
        <v>32.153853196</v>
      </c>
      <c r="DC822" s="346">
        <f t="shared" si="1334"/>
        <v>7.699206792</v>
      </c>
      <c r="DD822" s="346">
        <f t="shared" si="1334"/>
        <v>16.413068342999999</v>
      </c>
      <c r="DE822" s="346">
        <f t="shared" si="1334"/>
        <v>35.627985338000009</v>
      </c>
      <c r="DF822" s="346">
        <f t="shared" si="1334"/>
        <v>36.570868179999998</v>
      </c>
      <c r="DG822" s="346">
        <f t="shared" si="1334"/>
        <v>16.263246383000002</v>
      </c>
      <c r="DH822" s="346">
        <f t="shared" si="1334"/>
        <v>11.049905589</v>
      </c>
      <c r="DI822" s="346">
        <f t="shared" si="1334"/>
        <v>46.698605737000001</v>
      </c>
      <c r="DJ822" s="346">
        <f t="shared" si="1334"/>
        <v>25.370697211</v>
      </c>
      <c r="DK822" s="346">
        <f t="shared" si="1334"/>
        <v>23.205804473999997</v>
      </c>
      <c r="DL822" s="346">
        <f t="shared" si="1334"/>
        <v>40.797149785000002</v>
      </c>
      <c r="DM822" s="346">
        <f t="shared" si="1334"/>
        <v>59.219738081000003</v>
      </c>
      <c r="DN822" s="348">
        <f t="shared" si="1334"/>
        <v>26.74629178</v>
      </c>
      <c r="DO822" s="346">
        <f t="shared" si="1334"/>
        <v>13.413084467999999</v>
      </c>
      <c r="DP822" s="346">
        <f t="shared" si="1334"/>
        <v>21.419977733</v>
      </c>
      <c r="DQ822" s="346">
        <f t="shared" si="1334"/>
        <v>17.814269811999999</v>
      </c>
      <c r="DR822" s="346">
        <f t="shared" si="1334"/>
        <v>24.8299138</v>
      </c>
      <c r="DS822" s="346">
        <f t="shared" si="1334"/>
        <v>27.434504454000002</v>
      </c>
      <c r="DT822" s="346">
        <f t="shared" si="1334"/>
        <v>16.106640577</v>
      </c>
      <c r="DU822" s="346">
        <f t="shared" si="1334"/>
        <v>40.220250265000004</v>
      </c>
      <c r="DV822" s="346">
        <f t="shared" si="1334"/>
        <v>20.301798274999999</v>
      </c>
      <c r="DW822" s="346">
        <f t="shared" si="1334"/>
        <v>16.703672267000002</v>
      </c>
      <c r="DX822" s="346">
        <f t="shared" si="1334"/>
        <v>34.381703754</v>
      </c>
      <c r="DY822" s="346">
        <f t="shared" si="1334"/>
        <v>43.791754669999996</v>
      </c>
      <c r="DZ822" s="348">
        <f t="shared" si="1334"/>
        <v>23.698941349999998</v>
      </c>
      <c r="EA822" s="346">
        <f t="shared" si="1334"/>
        <v>7.0390087609999998</v>
      </c>
      <c r="EB822" s="346">
        <f t="shared" si="1334"/>
        <v>29.930735841999997</v>
      </c>
      <c r="EC822" s="346">
        <f t="shared" si="1334"/>
        <v>28.334890032000001</v>
      </c>
      <c r="ED822" s="346">
        <f t="shared" si="1334"/>
        <v>27.536695631999997</v>
      </c>
      <c r="EE822" s="346">
        <f t="shared" si="1334"/>
        <v>22.374099096999998</v>
      </c>
      <c r="EF822" s="346">
        <f t="shared" si="1334"/>
        <v>16.740895622</v>
      </c>
      <c r="EG822" s="346">
        <f t="shared" si="1334"/>
        <v>55.057142225</v>
      </c>
      <c r="EH822" s="346">
        <f t="shared" si="1334"/>
        <v>21.274305705</v>
      </c>
      <c r="EI822" s="346">
        <f t="shared" si="1334"/>
        <v>26.485121561</v>
      </c>
      <c r="EJ822" s="346">
        <f t="shared" si="1334"/>
        <v>29.823325992000001</v>
      </c>
      <c r="EK822" s="346">
        <f t="shared" si="1334"/>
        <v>58.054600934999996</v>
      </c>
      <c r="EL822" s="348">
        <f t="shared" si="1334"/>
        <v>19.057433251999999</v>
      </c>
      <c r="EM822" s="346">
        <f t="shared" si="1334"/>
        <v>25.460867822000001</v>
      </c>
      <c r="EN822" s="346">
        <f t="shared" si="1334"/>
        <v>25.384496069000001</v>
      </c>
      <c r="EO822" s="346">
        <f t="shared" si="1334"/>
        <v>27.454722879999998</v>
      </c>
      <c r="EP822" s="346">
        <f t="shared" si="1334"/>
        <v>37.240783912000005</v>
      </c>
      <c r="EQ822" s="346">
        <f t="shared" si="1334"/>
        <v>26.761320949000002</v>
      </c>
      <c r="ER822" s="346">
        <f t="shared" ref="ER822:FP822" si="1335">SUM(ER829:ER832)</f>
        <v>37.710009473999996</v>
      </c>
      <c r="ES822" s="346">
        <f t="shared" si="1335"/>
        <v>42.990286253000001</v>
      </c>
      <c r="ET822" s="346">
        <f t="shared" si="1335"/>
        <v>45.763296858000004</v>
      </c>
      <c r="EU822" s="346">
        <f t="shared" si="1335"/>
        <v>35.748736557000001</v>
      </c>
      <c r="EV822" s="346">
        <f t="shared" si="1335"/>
        <v>54.869003861000003</v>
      </c>
      <c r="EW822" s="346">
        <f t="shared" si="1335"/>
        <v>78.276147252000001</v>
      </c>
      <c r="EX822" s="348">
        <f t="shared" si="1335"/>
        <v>29.014297797000001</v>
      </c>
      <c r="EY822" s="346">
        <f t="shared" si="1335"/>
        <v>37.467885670999998</v>
      </c>
      <c r="EZ822" s="346">
        <f t="shared" si="1335"/>
        <v>39.451502786000006</v>
      </c>
      <c r="FA822" s="346">
        <f t="shared" si="1335"/>
        <v>48.433684837999998</v>
      </c>
      <c r="FB822" s="346">
        <f t="shared" si="1335"/>
        <v>42.281539246999998</v>
      </c>
      <c r="FC822" s="346">
        <f t="shared" si="1335"/>
        <v>41.602428701999997</v>
      </c>
      <c r="FD822" s="346">
        <f t="shared" si="1335"/>
        <v>31.945720539</v>
      </c>
      <c r="FE822" s="346">
        <f t="shared" si="1335"/>
        <v>35.485007250999999</v>
      </c>
      <c r="FF822" s="346">
        <f t="shared" si="1335"/>
        <v>40.073490468000003</v>
      </c>
      <c r="FG822" s="346">
        <f t="shared" si="1335"/>
        <v>29.438954741</v>
      </c>
      <c r="FH822" s="346">
        <f t="shared" si="1335"/>
        <v>39.993022592000003</v>
      </c>
      <c r="FI822" s="346">
        <f t="shared" si="1335"/>
        <v>64.253409435999998</v>
      </c>
      <c r="FJ822" s="348">
        <f t="shared" si="1335"/>
        <v>34.872384849999996</v>
      </c>
      <c r="FK822" s="346">
        <f t="shared" si="1335"/>
        <v>36.244246215000004</v>
      </c>
      <c r="FL822" s="346">
        <f t="shared" si="1335"/>
        <v>30.388938072999998</v>
      </c>
      <c r="FM822" s="346">
        <f t="shared" si="1335"/>
        <v>32.798715348999998</v>
      </c>
      <c r="FN822" s="346">
        <f t="shared" si="1335"/>
        <v>42.276793343999998</v>
      </c>
      <c r="FO822" s="346">
        <f t="shared" si="1335"/>
        <v>38.236603162999998</v>
      </c>
      <c r="FP822" s="346">
        <f t="shared" si="1335"/>
        <v>85.751569892999996</v>
      </c>
      <c r="FQ822" s="346">
        <f t="shared" ref="FQ822:FV822" si="1336">SUM(FQ829:FQ832)</f>
        <v>80.119229920999999</v>
      </c>
      <c r="FR822" s="346">
        <f t="shared" si="1336"/>
        <v>48.986533313999999</v>
      </c>
      <c r="FS822" s="346">
        <f t="shared" si="1336"/>
        <v>38.835669125500004</v>
      </c>
      <c r="FT822" s="346">
        <f t="shared" si="1336"/>
        <v>47.047556499999999</v>
      </c>
      <c r="FU822" s="346">
        <f t="shared" si="1336"/>
        <v>74.043017501499989</v>
      </c>
      <c r="FV822" s="346">
        <f t="shared" si="1336"/>
        <v>14.809122674999999</v>
      </c>
      <c r="FW822" s="346">
        <v>21.499991579</v>
      </c>
      <c r="FX822" s="346">
        <v>26.040309391000001</v>
      </c>
      <c r="FY822" s="346">
        <v>60.757177644999999</v>
      </c>
      <c r="FZ822" s="346">
        <v>85.854329884999999</v>
      </c>
      <c r="GA822" s="346">
        <v>45.169855757999997</v>
      </c>
      <c r="GB822" s="346">
        <v>118.78286667399999</v>
      </c>
      <c r="GC822" s="346">
        <v>105.848004573</v>
      </c>
      <c r="GD822" s="346">
        <v>65.074581762999799</v>
      </c>
      <c r="GE822" s="346">
        <v>87.507377880000092</v>
      </c>
      <c r="GF822" s="346">
        <v>75.868959872000005</v>
      </c>
      <c r="GG822" s="346">
        <v>64.692209547999994</v>
      </c>
      <c r="GH822" s="346">
        <v>47.373694473</v>
      </c>
      <c r="GI822" s="1902">
        <f>GI400</f>
        <v>37.559882838189708</v>
      </c>
      <c r="GJ822" s="1902">
        <f t="shared" ref="GJ822:HL822" si="1337">GJ400</f>
        <v>99.400044857186941</v>
      </c>
      <c r="GK822" s="1902">
        <f t="shared" si="1337"/>
        <v>85.940072304623357</v>
      </c>
      <c r="GL822" s="1902">
        <f t="shared" si="1337"/>
        <v>41.014640372293314</v>
      </c>
      <c r="GM822" s="1902">
        <f t="shared" si="1337"/>
        <v>44.784218966293324</v>
      </c>
      <c r="GN822" s="1902">
        <f>GN400</f>
        <v>11.333778128293314</v>
      </c>
      <c r="GO822" s="1897">
        <f>GO400</f>
        <v>98.7583319798009</v>
      </c>
      <c r="GP822" s="1897">
        <f>GP400</f>
        <v>24.197892101491309</v>
      </c>
      <c r="GQ822" s="1897">
        <f t="shared" si="1337"/>
        <v>45.123040253739575</v>
      </c>
      <c r="GR822" s="1897">
        <f t="shared" si="1337"/>
        <v>147.32418630337381</v>
      </c>
      <c r="GS822" s="1897">
        <f t="shared" si="1337"/>
        <v>77.892570207755526</v>
      </c>
      <c r="GT822" s="1897">
        <f t="shared" si="1337"/>
        <v>33.624900862422102</v>
      </c>
      <c r="GU822" s="1897">
        <f t="shared" si="1337"/>
        <v>36.576551907000002</v>
      </c>
      <c r="GV822" s="1897">
        <f t="shared" si="1337"/>
        <v>35.305396328</v>
      </c>
      <c r="GW822" s="1897">
        <f t="shared" si="1337"/>
        <v>47.563737848999999</v>
      </c>
      <c r="GX822" s="1897">
        <f t="shared" si="1337"/>
        <v>48.569047284</v>
      </c>
      <c r="GY822" s="1897">
        <f t="shared" si="1337"/>
        <v>35.389751359999998</v>
      </c>
      <c r="GZ822" s="1897">
        <f t="shared" si="1337"/>
        <v>22.782992631999999</v>
      </c>
      <c r="HA822" s="1897">
        <f t="shared" si="1337"/>
        <v>104.73686457700001</v>
      </c>
      <c r="HB822" s="1897">
        <f t="shared" si="1337"/>
        <v>104.506769373</v>
      </c>
      <c r="HC822" s="1897">
        <f t="shared" si="1337"/>
        <v>55.870180664999999</v>
      </c>
      <c r="HD822" s="1897">
        <f t="shared" si="1337"/>
        <v>55.033536943000001</v>
      </c>
      <c r="HE822" s="1897">
        <f t="shared" si="1337"/>
        <v>55.544366477000011</v>
      </c>
      <c r="HF822" s="1897">
        <f t="shared" si="1337"/>
        <v>55.319894487999989</v>
      </c>
      <c r="HG822" s="1897">
        <f t="shared" si="1337"/>
        <v>43.695700043999999</v>
      </c>
      <c r="HH822" s="1897">
        <f t="shared" si="1337"/>
        <v>67.604808276000014</v>
      </c>
      <c r="HI822" s="1897">
        <f t="shared" si="1337"/>
        <v>41.524662079000002</v>
      </c>
      <c r="HJ822" s="1897">
        <f t="shared" si="1337"/>
        <v>32.891966196999988</v>
      </c>
      <c r="HK822" s="1897">
        <f t="shared" si="1337"/>
        <v>57.744617599000001</v>
      </c>
      <c r="HL822" s="1897">
        <f t="shared" si="1337"/>
        <v>93.515291848999993</v>
      </c>
      <c r="HM822" s="1897"/>
      <c r="HN822" s="349"/>
      <c r="HO822" s="354" t="s">
        <v>595</v>
      </c>
      <c r="HP822" s="307">
        <f>SUM(CE822:CJ822)</f>
        <v>93.525166221000006</v>
      </c>
      <c r="HQ822" s="302">
        <f>SUM(CK822:CP822)</f>
        <v>179.87806223799998</v>
      </c>
      <c r="HR822" s="346">
        <f>HP822+HQ822</f>
        <v>273.40322845899999</v>
      </c>
      <c r="HS822" s="302">
        <f>SUM(CQ822:CV822)</f>
        <v>99.639584634930557</v>
      </c>
      <c r="HT822" s="302">
        <f>SUM(CW822:DB822)</f>
        <v>196.21745129037697</v>
      </c>
      <c r="HU822" s="346">
        <f>HS822+HT822</f>
        <v>295.85703592530751</v>
      </c>
      <c r="HV822" s="307">
        <f>SUM(DC822:DH822)</f>
        <v>123.624280625</v>
      </c>
      <c r="HW822" s="302">
        <f>SUM(DI822:DN822)</f>
        <v>222.03828706800002</v>
      </c>
      <c r="HX822" s="346">
        <f>HV822+HW822</f>
        <v>345.66256769300003</v>
      </c>
      <c r="HY822" s="350">
        <f>SUM(DO822:DT822)</f>
        <v>121.01839084400001</v>
      </c>
      <c r="HZ822" s="302">
        <f>SUM(DU822:DZ822)</f>
        <v>179.09812058099999</v>
      </c>
      <c r="IA822" s="346">
        <f>HY822+HZ822</f>
        <v>300.116511425</v>
      </c>
      <c r="IB822" s="302">
        <f>SUM(EA822:EF822)</f>
        <v>131.956324986</v>
      </c>
      <c r="IC822" s="302">
        <f>SUM(EG822:EL822)</f>
        <v>209.75192967000001</v>
      </c>
      <c r="ID822" s="346">
        <f>IB822+IC822</f>
        <v>341.70825465600001</v>
      </c>
      <c r="IE822" s="350">
        <f>SUM(EM822:ER822)</f>
        <v>180.01220110600002</v>
      </c>
      <c r="IF822" s="350">
        <f>SUM(ES822:EX822)</f>
        <v>286.66176857800002</v>
      </c>
      <c r="IG822" s="346">
        <f>IE822+IF822</f>
        <v>466.67396968400004</v>
      </c>
      <c r="IH822" s="350">
        <f>SUM(EY822:FD822)</f>
        <v>241.18276178300002</v>
      </c>
      <c r="II822" s="350">
        <f>SUM(FE822:FJ822)</f>
        <v>244.11626933800002</v>
      </c>
      <c r="IJ822" s="346">
        <f>IH822+II822</f>
        <v>485.29903112100004</v>
      </c>
      <c r="IK822" s="350">
        <f>SUM(FK822:FP822)</f>
        <v>265.69686603700001</v>
      </c>
      <c r="IL822" s="350">
        <f t="shared" si="1293"/>
        <v>303.84112903700003</v>
      </c>
      <c r="IM822" s="346">
        <f t="shared" si="1183"/>
        <v>569.53799507400004</v>
      </c>
      <c r="IN822" s="350">
        <f t="shared" si="1276"/>
        <v>358.10453093199999</v>
      </c>
      <c r="IO822" s="350">
        <f t="shared" si="1277"/>
        <v>446.36482810899992</v>
      </c>
      <c r="IP822" s="346">
        <f t="shared" si="1294"/>
        <v>804.46935904099996</v>
      </c>
      <c r="IQ822" s="350">
        <f t="shared" si="1278"/>
        <v>320.03263746687998</v>
      </c>
      <c r="IR822" s="350">
        <f t="shared" si="1295"/>
        <v>426.92092170858325</v>
      </c>
      <c r="IS822" s="346">
        <f t="shared" si="1304"/>
        <v>746.95355917546317</v>
      </c>
      <c r="IT822" s="350">
        <f>SUM(GU822:GZ822)</f>
        <v>226.18747736</v>
      </c>
      <c r="IU822" s="350">
        <f t="shared" si="1332"/>
        <v>431.011612523</v>
      </c>
      <c r="IV822" s="346">
        <f t="shared" si="1235"/>
        <v>657.19908988299994</v>
      </c>
      <c r="IW822" s="350">
        <f t="shared" si="1256"/>
        <v>336.97704604399996</v>
      </c>
      <c r="IX822" s="350">
        <f t="shared" si="1252"/>
        <v>329.54601068086549</v>
      </c>
      <c r="IY822" s="346">
        <f>FISC!AJ1138</f>
        <v>666.52305672486546</v>
      </c>
      <c r="IZ822" s="350">
        <f>JB822*0.6</f>
        <v>403.0534340990705</v>
      </c>
      <c r="JA822" s="302">
        <f>JB822-IZ822</f>
        <v>268.70228939938033</v>
      </c>
      <c r="JB822" s="346">
        <f>FISC!AK1138</f>
        <v>671.75572349845083</v>
      </c>
      <c r="JC822" s="350">
        <f>JE822*0.6</f>
        <v>575.43060094372299</v>
      </c>
      <c r="JD822" s="302">
        <f>JE822-JC822</f>
        <v>383.62040062914878</v>
      </c>
      <c r="JE822" s="346">
        <f>FISC!AL1138</f>
        <v>959.05100157287177</v>
      </c>
      <c r="JF822" s="350">
        <f>JH822*0.6</f>
        <v>737.3521777222644</v>
      </c>
      <c r="JG822" s="302">
        <f>JH822-JF822</f>
        <v>491.56811848150971</v>
      </c>
      <c r="JH822" s="346">
        <f>FISC!AM1138</f>
        <v>1228.9202962037741</v>
      </c>
      <c r="JI822" s="350">
        <f>JK822*0.55</f>
        <v>805.17804680267238</v>
      </c>
      <c r="JJ822" s="302">
        <f>JK822-JI822</f>
        <v>658.78203829309552</v>
      </c>
      <c r="JK822" s="346">
        <f>FISC!AN1138</f>
        <v>1463.9600850957679</v>
      </c>
      <c r="JL822" s="350">
        <f>JN822*0.55</f>
        <v>916.89107043837089</v>
      </c>
      <c r="JM822" s="302">
        <f>JN822-JL822</f>
        <v>750.18360308593969</v>
      </c>
      <c r="JN822" s="346">
        <f>FISC!AO1138</f>
        <v>1667.0746735243106</v>
      </c>
      <c r="KI822" s="349"/>
      <c r="KJ822" s="350"/>
      <c r="KM822" s="302">
        <f>SUM(KM829:KM832)</f>
        <v>0</v>
      </c>
      <c r="KN822" s="302">
        <f>SUM(KN829:KN832)</f>
        <v>0</v>
      </c>
      <c r="KO822" s="302">
        <f>SUM(KO829:KO832)</f>
        <v>0</v>
      </c>
      <c r="KP822" s="302">
        <f>SUM(KP829:KP832)</f>
        <v>0</v>
      </c>
    </row>
    <row r="823" spans="1:302" hidden="1" outlineLevel="1">
      <c r="A823" s="302"/>
      <c r="D823" s="1635" t="s">
        <v>3676</v>
      </c>
      <c r="E823" s="346"/>
      <c r="F823" s="346"/>
      <c r="G823" s="346"/>
      <c r="H823" s="346"/>
      <c r="I823" s="346"/>
      <c r="J823" s="346"/>
      <c r="K823" s="346"/>
      <c r="L823" s="346"/>
      <c r="M823" s="346"/>
      <c r="N823" s="346"/>
      <c r="O823" s="346"/>
      <c r="P823" s="346"/>
      <c r="Q823" s="346"/>
      <c r="R823" s="346"/>
      <c r="S823" s="346"/>
      <c r="T823" s="346"/>
      <c r="U823" s="346"/>
      <c r="V823" s="346"/>
      <c r="W823" s="346"/>
      <c r="X823" s="346"/>
      <c r="Y823" s="346"/>
      <c r="Z823" s="346"/>
      <c r="AA823" s="346"/>
      <c r="AB823" s="346"/>
      <c r="AC823" s="346"/>
      <c r="AD823" s="346"/>
      <c r="AE823" s="346"/>
      <c r="AF823" s="346"/>
      <c r="AG823" s="346"/>
      <c r="AH823" s="346"/>
      <c r="AI823" s="346"/>
      <c r="AJ823" s="346"/>
      <c r="AK823" s="346"/>
      <c r="AL823" s="346"/>
      <c r="AM823" s="346"/>
      <c r="AN823" s="346"/>
      <c r="AO823" s="346"/>
      <c r="AP823" s="346"/>
      <c r="AQ823" s="346"/>
      <c r="AR823" s="346"/>
      <c r="AS823" s="346"/>
      <c r="AT823" s="346"/>
      <c r="AU823" s="346"/>
      <c r="AV823" s="346"/>
      <c r="AW823" s="346"/>
      <c r="AX823" s="346"/>
      <c r="AY823" s="346"/>
      <c r="AZ823" s="346"/>
      <c r="BA823" s="346"/>
      <c r="BB823" s="346"/>
      <c r="BC823" s="346"/>
      <c r="BD823" s="346"/>
      <c r="BE823" s="346"/>
      <c r="BF823" s="346"/>
      <c r="BG823" s="346"/>
      <c r="BH823" s="346"/>
      <c r="BI823" s="346"/>
      <c r="BJ823" s="346"/>
      <c r="BK823" s="346"/>
      <c r="BL823" s="346"/>
      <c r="BM823" s="346"/>
      <c r="BN823" s="346"/>
      <c r="BO823" s="346"/>
      <c r="BP823" s="346"/>
      <c r="BQ823" s="346"/>
      <c r="BR823" s="346"/>
      <c r="BS823" s="346"/>
      <c r="BT823" s="346"/>
      <c r="BU823" s="346"/>
      <c r="BV823" s="346"/>
      <c r="BW823" s="346"/>
      <c r="BX823" s="346"/>
      <c r="BY823" s="346"/>
      <c r="BZ823" s="346"/>
      <c r="CA823" s="346"/>
      <c r="CB823" s="346"/>
      <c r="CC823" s="346"/>
      <c r="CD823" s="352"/>
      <c r="CE823" s="346"/>
      <c r="CF823" s="346"/>
      <c r="CG823" s="346"/>
      <c r="CH823" s="346"/>
      <c r="CI823" s="346"/>
      <c r="CJ823" s="346"/>
      <c r="CK823" s="346"/>
      <c r="CL823" s="346"/>
      <c r="CM823" s="346"/>
      <c r="CN823" s="346"/>
      <c r="CO823" s="346"/>
      <c r="CP823" s="348"/>
      <c r="CQ823" s="346"/>
      <c r="CR823" s="346"/>
      <c r="CS823" s="346"/>
      <c r="CT823" s="346"/>
      <c r="CU823" s="346"/>
      <c r="CV823" s="346"/>
      <c r="CW823" s="346"/>
      <c r="CX823" s="346"/>
      <c r="CY823" s="346"/>
      <c r="CZ823" s="346"/>
      <c r="DA823" s="346"/>
      <c r="DB823" s="1479"/>
      <c r="DC823" s="346"/>
      <c r="DD823" s="346"/>
      <c r="DE823" s="346"/>
      <c r="DF823" s="346"/>
      <c r="DG823" s="346"/>
      <c r="DH823" s="346"/>
      <c r="DI823" s="346"/>
      <c r="DJ823" s="346"/>
      <c r="DK823" s="346"/>
      <c r="DL823" s="346"/>
      <c r="DM823" s="346"/>
      <c r="DN823" s="348"/>
      <c r="DO823" s="346"/>
      <c r="DP823" s="346"/>
      <c r="DQ823" s="346"/>
      <c r="DR823" s="346"/>
      <c r="DS823" s="346"/>
      <c r="DT823" s="346"/>
      <c r="DU823" s="346"/>
      <c r="DV823" s="346"/>
      <c r="DW823" s="346"/>
      <c r="DX823" s="346"/>
      <c r="DY823" s="346"/>
      <c r="DZ823" s="348"/>
      <c r="EA823" s="346"/>
      <c r="EB823" s="346"/>
      <c r="EC823" s="346"/>
      <c r="ED823" s="346"/>
      <c r="EE823" s="346"/>
      <c r="EF823" s="346"/>
      <c r="EG823" s="346"/>
      <c r="EH823" s="346"/>
      <c r="EI823" s="346"/>
      <c r="EJ823" s="346"/>
      <c r="EK823" s="346"/>
      <c r="EL823" s="348"/>
      <c r="EM823" s="346"/>
      <c r="EN823" s="346"/>
      <c r="EO823" s="346"/>
      <c r="EP823" s="346"/>
      <c r="EQ823" s="346"/>
      <c r="ER823" s="346"/>
      <c r="ES823" s="346"/>
      <c r="ET823" s="346"/>
      <c r="EU823" s="346"/>
      <c r="EV823" s="346"/>
      <c r="EW823" s="346"/>
      <c r="EX823" s="348"/>
      <c r="EY823" s="346"/>
      <c r="EZ823" s="346"/>
      <c r="FA823" s="346"/>
      <c r="FB823" s="346"/>
      <c r="FC823" s="346"/>
      <c r="FD823" s="346"/>
      <c r="FE823" s="346"/>
      <c r="FF823" s="346"/>
      <c r="FG823" s="346"/>
      <c r="FH823" s="346"/>
      <c r="FI823" s="346"/>
      <c r="FJ823" s="348"/>
      <c r="FK823" s="346"/>
      <c r="FL823" s="346"/>
      <c r="FM823" s="346"/>
      <c r="FN823" s="346"/>
      <c r="FO823" s="346"/>
      <c r="FP823" s="346"/>
      <c r="FQ823" s="346"/>
      <c r="FR823" s="346"/>
      <c r="FS823" s="346"/>
      <c r="FT823" s="346"/>
      <c r="FU823" s="346"/>
      <c r="FV823" s="346"/>
      <c r="FW823" s="346"/>
      <c r="FX823" s="346"/>
      <c r="FY823" s="346"/>
      <c r="FZ823" s="346"/>
      <c r="GA823" s="346"/>
      <c r="GB823" s="346"/>
      <c r="GC823" s="346"/>
      <c r="GD823" s="346"/>
      <c r="GE823" s="346"/>
      <c r="GF823" s="346"/>
      <c r="GG823" s="346"/>
      <c r="GH823" s="346"/>
      <c r="GI823" s="1902"/>
      <c r="GJ823" s="1902"/>
      <c r="GK823" s="1902"/>
      <c r="GL823" s="1902"/>
      <c r="GM823" s="1902"/>
      <c r="GN823" s="1902"/>
      <c r="GO823" s="1897"/>
      <c r="GP823" s="1897"/>
      <c r="GQ823" s="1897"/>
      <c r="GR823" s="1897"/>
      <c r="GS823" s="1897"/>
      <c r="GT823" s="1897"/>
      <c r="GU823" s="1897"/>
      <c r="GV823" s="1897"/>
      <c r="GW823" s="1897"/>
      <c r="GX823" s="1897"/>
      <c r="GY823" s="1897"/>
      <c r="GZ823" s="1897"/>
      <c r="HA823" s="1897"/>
      <c r="HB823" s="1897"/>
      <c r="HC823" s="1897"/>
      <c r="HD823" s="1897"/>
      <c r="HE823" s="1897"/>
      <c r="HF823" s="1897"/>
      <c r="HG823" s="1897"/>
      <c r="HH823" s="1897"/>
      <c r="HI823" s="1897"/>
      <c r="HJ823" s="1897"/>
      <c r="HK823" s="1897"/>
      <c r="HL823" s="1897"/>
      <c r="HM823" s="1897"/>
      <c r="HN823" s="349"/>
      <c r="HO823" s="354"/>
      <c r="HP823" s="307"/>
      <c r="HR823" s="346"/>
      <c r="HU823" s="346"/>
      <c r="HV823" s="307"/>
      <c r="HX823" s="346"/>
      <c r="HY823" s="350"/>
      <c r="IA823" s="346"/>
      <c r="ID823" s="346"/>
      <c r="IE823" s="350"/>
      <c r="IF823" s="350"/>
      <c r="IG823" s="346"/>
      <c r="IH823" s="350"/>
      <c r="II823" s="350"/>
      <c r="IJ823" s="346"/>
      <c r="IK823" s="350"/>
      <c r="IL823" s="350"/>
      <c r="IM823" s="346"/>
      <c r="IN823" s="350"/>
      <c r="IO823" s="350"/>
      <c r="IP823" s="346"/>
      <c r="IQ823" s="350"/>
      <c r="IR823" s="350"/>
      <c r="IS823" s="346"/>
      <c r="IT823" s="350"/>
      <c r="IU823" s="350"/>
      <c r="IV823" s="346"/>
      <c r="IW823" s="350">
        <f t="shared" si="1256"/>
        <v>0</v>
      </c>
      <c r="IX823" s="350">
        <f t="shared" si="1252"/>
        <v>20</v>
      </c>
      <c r="IY823" s="346">
        <f>FISC!AJ1139</f>
        <v>20</v>
      </c>
      <c r="IZ823" s="350"/>
      <c r="JB823" s="346"/>
      <c r="JC823" s="350"/>
      <c r="JE823" s="346"/>
      <c r="JF823" s="350"/>
      <c r="JH823" s="346"/>
      <c r="JI823" s="350"/>
      <c r="JK823" s="346"/>
      <c r="JL823" s="350"/>
      <c r="JN823" s="346"/>
      <c r="KI823" s="349"/>
      <c r="KJ823" s="350"/>
    </row>
    <row r="824" spans="1:302" hidden="1" outlineLevel="1">
      <c r="A824" s="302"/>
      <c r="D824" s="1635" t="s">
        <v>3198</v>
      </c>
      <c r="E824" s="346"/>
      <c r="F824" s="346"/>
      <c r="G824" s="346"/>
      <c r="H824" s="346"/>
      <c r="I824" s="346"/>
      <c r="J824" s="346"/>
      <c r="K824" s="346"/>
      <c r="L824" s="346"/>
      <c r="M824" s="346"/>
      <c r="N824" s="346"/>
      <c r="O824" s="346"/>
      <c r="P824" s="346"/>
      <c r="Q824" s="346"/>
      <c r="R824" s="346"/>
      <c r="S824" s="346"/>
      <c r="T824" s="346"/>
      <c r="U824" s="346"/>
      <c r="V824" s="346"/>
      <c r="W824" s="346"/>
      <c r="X824" s="346"/>
      <c r="Y824" s="346"/>
      <c r="Z824" s="346"/>
      <c r="AA824" s="346"/>
      <c r="AB824" s="346"/>
      <c r="AC824" s="346"/>
      <c r="AD824" s="346"/>
      <c r="AE824" s="346"/>
      <c r="AF824" s="346"/>
      <c r="AG824" s="346"/>
      <c r="AH824" s="346"/>
      <c r="AI824" s="346"/>
      <c r="AJ824" s="346"/>
      <c r="AK824" s="346"/>
      <c r="AL824" s="346"/>
      <c r="AM824" s="346"/>
      <c r="AN824" s="346"/>
      <c r="AO824" s="346"/>
      <c r="AP824" s="346"/>
      <c r="AQ824" s="346"/>
      <c r="AR824" s="346"/>
      <c r="AS824" s="346"/>
      <c r="AT824" s="346"/>
      <c r="AU824" s="346"/>
      <c r="AV824" s="346"/>
      <c r="AW824" s="346"/>
      <c r="AX824" s="346"/>
      <c r="AY824" s="346"/>
      <c r="AZ824" s="346"/>
      <c r="BA824" s="346"/>
      <c r="BB824" s="346"/>
      <c r="BC824" s="346"/>
      <c r="BD824" s="346"/>
      <c r="BE824" s="346"/>
      <c r="BF824" s="346"/>
      <c r="BG824" s="346"/>
      <c r="BH824" s="346"/>
      <c r="BI824" s="346"/>
      <c r="BJ824" s="346"/>
      <c r="BK824" s="346"/>
      <c r="BL824" s="346"/>
      <c r="BM824" s="346"/>
      <c r="BN824" s="346"/>
      <c r="BO824" s="346"/>
      <c r="BP824" s="346"/>
      <c r="BQ824" s="346"/>
      <c r="BR824" s="346"/>
      <c r="BS824" s="346"/>
      <c r="BT824" s="346"/>
      <c r="BU824" s="346"/>
      <c r="BV824" s="346"/>
      <c r="BW824" s="346"/>
      <c r="BX824" s="346"/>
      <c r="BY824" s="346"/>
      <c r="BZ824" s="346"/>
      <c r="CA824" s="346"/>
      <c r="CB824" s="346"/>
      <c r="CC824" s="346"/>
      <c r="CD824" s="352"/>
      <c r="CE824" s="346"/>
      <c r="CF824" s="346"/>
      <c r="CG824" s="346"/>
      <c r="CH824" s="346"/>
      <c r="CI824" s="346"/>
      <c r="CJ824" s="346"/>
      <c r="CK824" s="346"/>
      <c r="CL824" s="346"/>
      <c r="CM824" s="346"/>
      <c r="CN824" s="346"/>
      <c r="CO824" s="346"/>
      <c r="CP824" s="348"/>
      <c r="CQ824" s="346"/>
      <c r="CR824" s="346"/>
      <c r="CS824" s="346"/>
      <c r="CT824" s="346"/>
      <c r="CU824" s="346"/>
      <c r="CV824" s="346"/>
      <c r="CW824" s="346"/>
      <c r="CX824" s="346"/>
      <c r="CY824" s="346"/>
      <c r="CZ824" s="346"/>
      <c r="DA824" s="346"/>
      <c r="DB824" s="1479"/>
      <c r="DC824" s="346"/>
      <c r="DD824" s="346"/>
      <c r="DE824" s="346"/>
      <c r="DF824" s="346"/>
      <c r="DG824" s="346"/>
      <c r="DH824" s="346"/>
      <c r="DI824" s="346"/>
      <c r="DJ824" s="346"/>
      <c r="DK824" s="346"/>
      <c r="DL824" s="346"/>
      <c r="DM824" s="346"/>
      <c r="DN824" s="348"/>
      <c r="DO824" s="346"/>
      <c r="DP824" s="346"/>
      <c r="DQ824" s="346"/>
      <c r="DR824" s="346"/>
      <c r="DS824" s="346"/>
      <c r="DT824" s="346"/>
      <c r="DU824" s="346"/>
      <c r="DV824" s="346"/>
      <c r="DW824" s="346"/>
      <c r="DX824" s="346"/>
      <c r="DY824" s="346"/>
      <c r="DZ824" s="348"/>
      <c r="EA824" s="346"/>
      <c r="EB824" s="346"/>
      <c r="EC824" s="346"/>
      <c r="ED824" s="346"/>
      <c r="EE824" s="346"/>
      <c r="EF824" s="346"/>
      <c r="EG824" s="346"/>
      <c r="EH824" s="346"/>
      <c r="EI824" s="346"/>
      <c r="EJ824" s="346"/>
      <c r="EK824" s="346"/>
      <c r="EL824" s="348"/>
      <c r="EM824" s="346"/>
      <c r="EN824" s="346"/>
      <c r="EO824" s="346"/>
      <c r="EP824" s="346"/>
      <c r="EQ824" s="346"/>
      <c r="ER824" s="346"/>
      <c r="ES824" s="346"/>
      <c r="ET824" s="346"/>
      <c r="EU824" s="346"/>
      <c r="EV824" s="346"/>
      <c r="EW824" s="346"/>
      <c r="EX824" s="348"/>
      <c r="EY824" s="346"/>
      <c r="EZ824" s="346"/>
      <c r="FA824" s="346"/>
      <c r="FB824" s="346"/>
      <c r="FC824" s="346"/>
      <c r="FD824" s="346"/>
      <c r="FE824" s="346"/>
      <c r="FF824" s="346"/>
      <c r="FG824" s="346"/>
      <c r="FH824" s="346"/>
      <c r="FI824" s="346"/>
      <c r="FJ824" s="348"/>
      <c r="FK824" s="346"/>
      <c r="FL824" s="346"/>
      <c r="FM824" s="346"/>
      <c r="FN824" s="346"/>
      <c r="FO824" s="346"/>
      <c r="FP824" s="346"/>
      <c r="FQ824" s="346"/>
      <c r="FR824" s="346"/>
      <c r="FS824" s="346"/>
      <c r="FT824" s="346"/>
      <c r="FU824" s="346"/>
      <c r="FV824" s="346"/>
      <c r="FW824" s="346"/>
      <c r="FX824" s="346"/>
      <c r="FY824" s="346"/>
      <c r="FZ824" s="346"/>
      <c r="GA824" s="346"/>
      <c r="GB824" s="346"/>
      <c r="GC824" s="346"/>
      <c r="GD824" s="346"/>
      <c r="GE824" s="346"/>
      <c r="GF824" s="346"/>
      <c r="GG824" s="346"/>
      <c r="GH824" s="346"/>
      <c r="GI824" s="1897"/>
      <c r="GJ824" s="1897"/>
      <c r="HF824" s="1897"/>
      <c r="HG824" s="1897"/>
      <c r="HH824" s="1897"/>
      <c r="HI824" s="1897"/>
      <c r="HJ824" s="1897"/>
      <c r="HK824" s="1897"/>
      <c r="HL824" s="1897"/>
      <c r="HM824" s="1897"/>
      <c r="HN824" s="349"/>
      <c r="HO824" s="1635" t="s">
        <v>3198</v>
      </c>
      <c r="HP824" s="307"/>
      <c r="HR824" s="346"/>
      <c r="HU824" s="346"/>
      <c r="HV824" s="307"/>
      <c r="HX824" s="346"/>
      <c r="HY824" s="350"/>
      <c r="IA824" s="346"/>
      <c r="ID824" s="346"/>
      <c r="IE824" s="350"/>
      <c r="IF824" s="350"/>
      <c r="IG824" s="346"/>
      <c r="IH824" s="350"/>
      <c r="II824" s="350"/>
      <c r="IJ824" s="346">
        <f>IH824+II824</f>
        <v>0</v>
      </c>
      <c r="IK824" s="350"/>
      <c r="IL824" s="350">
        <f t="shared" si="1293"/>
        <v>0</v>
      </c>
      <c r="IM824" s="346">
        <f t="shared" si="1183"/>
        <v>0</v>
      </c>
      <c r="IN824" s="350">
        <f t="shared" si="1276"/>
        <v>0</v>
      </c>
      <c r="IO824" s="350">
        <f t="shared" si="1277"/>
        <v>0</v>
      </c>
      <c r="IP824" s="346">
        <f t="shared" si="1294"/>
        <v>0</v>
      </c>
      <c r="IQ824" s="350">
        <f t="shared" si="1278"/>
        <v>0</v>
      </c>
      <c r="IR824" s="350">
        <f t="shared" si="1295"/>
        <v>0</v>
      </c>
      <c r="IS824" s="346">
        <f t="shared" si="1304"/>
        <v>0</v>
      </c>
      <c r="IT824" s="350">
        <f>SUM(GU824:GZ824)</f>
        <v>0</v>
      </c>
      <c r="IU824" s="350">
        <f t="shared" si="1332"/>
        <v>0</v>
      </c>
      <c r="IV824" s="346">
        <f t="shared" si="1235"/>
        <v>0</v>
      </c>
      <c r="IW824" s="350">
        <f t="shared" si="1256"/>
        <v>0</v>
      </c>
      <c r="IX824" s="350">
        <f t="shared" si="1252"/>
        <v>0</v>
      </c>
      <c r="IY824" s="346">
        <f>FISC!AJ1140</f>
        <v>0</v>
      </c>
      <c r="IZ824" s="350">
        <f>JB824*0.5</f>
        <v>0</v>
      </c>
      <c r="JB824" s="346">
        <f>FISC!AK1140</f>
        <v>0</v>
      </c>
      <c r="JC824" s="350">
        <f>JE824*0.5</f>
        <v>0</v>
      </c>
      <c r="JE824" s="346">
        <f>FISC!AL1140</f>
        <v>0</v>
      </c>
      <c r="JF824" s="350">
        <f>JH824*0.5</f>
        <v>0</v>
      </c>
      <c r="JH824" s="346">
        <f>FISC!MR1140</f>
        <v>0</v>
      </c>
      <c r="JI824" s="350">
        <f>JK824*0.5</f>
        <v>0</v>
      </c>
      <c r="JK824" s="346">
        <f>FISC!AN1140</f>
        <v>0</v>
      </c>
      <c r="JL824" s="350">
        <f>JN824*0.5</f>
        <v>0</v>
      </c>
      <c r="JN824" s="346">
        <f>FISC!AO1140</f>
        <v>0</v>
      </c>
      <c r="KI824" s="349"/>
      <c r="KJ824" s="350"/>
    </row>
    <row r="825" spans="1:302" hidden="1" outlineLevel="1">
      <c r="A825" s="302"/>
      <c r="D825" s="1635" t="s">
        <v>3253</v>
      </c>
      <c r="E825" s="346"/>
      <c r="F825" s="346"/>
      <c r="G825" s="346"/>
      <c r="H825" s="346"/>
      <c r="I825" s="346"/>
      <c r="J825" s="346"/>
      <c r="K825" s="346"/>
      <c r="L825" s="346"/>
      <c r="M825" s="346"/>
      <c r="N825" s="346"/>
      <c r="O825" s="346"/>
      <c r="P825" s="346"/>
      <c r="Q825" s="346"/>
      <c r="R825" s="346"/>
      <c r="S825" s="346"/>
      <c r="T825" s="346"/>
      <c r="U825" s="346"/>
      <c r="V825" s="346"/>
      <c r="W825" s="346"/>
      <c r="X825" s="346"/>
      <c r="Y825" s="346"/>
      <c r="Z825" s="346"/>
      <c r="AA825" s="346"/>
      <c r="AB825" s="346"/>
      <c r="AC825" s="346"/>
      <c r="AD825" s="346"/>
      <c r="AE825" s="346"/>
      <c r="AF825" s="346"/>
      <c r="AG825" s="346"/>
      <c r="AH825" s="346"/>
      <c r="AI825" s="346"/>
      <c r="AJ825" s="346"/>
      <c r="AK825" s="346"/>
      <c r="AL825" s="346"/>
      <c r="AM825" s="346"/>
      <c r="AN825" s="346"/>
      <c r="AO825" s="346"/>
      <c r="AP825" s="346"/>
      <c r="AQ825" s="346"/>
      <c r="AR825" s="346"/>
      <c r="AS825" s="346"/>
      <c r="AT825" s="346"/>
      <c r="AU825" s="346"/>
      <c r="AV825" s="346"/>
      <c r="AW825" s="346"/>
      <c r="AX825" s="346"/>
      <c r="AY825" s="346"/>
      <c r="AZ825" s="346"/>
      <c r="BA825" s="346"/>
      <c r="BB825" s="346"/>
      <c r="BC825" s="346"/>
      <c r="BD825" s="346"/>
      <c r="BE825" s="346"/>
      <c r="BF825" s="346"/>
      <c r="BG825" s="346"/>
      <c r="BH825" s="346"/>
      <c r="BI825" s="346"/>
      <c r="BJ825" s="346"/>
      <c r="BK825" s="346"/>
      <c r="BL825" s="346"/>
      <c r="BM825" s="346"/>
      <c r="BN825" s="346"/>
      <c r="BO825" s="346"/>
      <c r="BP825" s="346"/>
      <c r="BQ825" s="346"/>
      <c r="BR825" s="346"/>
      <c r="BS825" s="346"/>
      <c r="BT825" s="346"/>
      <c r="BU825" s="346"/>
      <c r="BV825" s="346"/>
      <c r="BW825" s="346"/>
      <c r="BX825" s="346"/>
      <c r="BY825" s="346"/>
      <c r="BZ825" s="346"/>
      <c r="CA825" s="346"/>
      <c r="CB825" s="346"/>
      <c r="CC825" s="346"/>
      <c r="CD825" s="352"/>
      <c r="CE825" s="346"/>
      <c r="CF825" s="346"/>
      <c r="CG825" s="346"/>
      <c r="CH825" s="346"/>
      <c r="CI825" s="346"/>
      <c r="CJ825" s="346"/>
      <c r="CK825" s="346"/>
      <c r="CL825" s="346"/>
      <c r="CM825" s="346"/>
      <c r="CN825" s="346"/>
      <c r="CO825" s="346"/>
      <c r="CP825" s="348"/>
      <c r="CQ825" s="346"/>
      <c r="CR825" s="346"/>
      <c r="CS825" s="346"/>
      <c r="CT825" s="346"/>
      <c r="CU825" s="346"/>
      <c r="CV825" s="346"/>
      <c r="CW825" s="346"/>
      <c r="CX825" s="346"/>
      <c r="CY825" s="346"/>
      <c r="CZ825" s="346"/>
      <c r="DA825" s="346"/>
      <c r="DB825" s="1479"/>
      <c r="DC825" s="346"/>
      <c r="DD825" s="346"/>
      <c r="DE825" s="346"/>
      <c r="DF825" s="346"/>
      <c r="DG825" s="346"/>
      <c r="DH825" s="346"/>
      <c r="DI825" s="346"/>
      <c r="DJ825" s="346"/>
      <c r="DK825" s="346"/>
      <c r="DL825" s="346"/>
      <c r="DM825" s="346"/>
      <c r="DN825" s="348"/>
      <c r="DO825" s="346"/>
      <c r="DP825" s="346"/>
      <c r="DQ825" s="346"/>
      <c r="DR825" s="346"/>
      <c r="DS825" s="346"/>
      <c r="DT825" s="346"/>
      <c r="DU825" s="346"/>
      <c r="DV825" s="346"/>
      <c r="DW825" s="346"/>
      <c r="DX825" s="346"/>
      <c r="DY825" s="346"/>
      <c r="DZ825" s="348"/>
      <c r="EA825" s="346"/>
      <c r="EB825" s="346"/>
      <c r="EC825" s="346"/>
      <c r="ED825" s="346"/>
      <c r="EE825" s="346"/>
      <c r="EF825" s="346"/>
      <c r="EG825" s="346"/>
      <c r="EH825" s="346"/>
      <c r="EI825" s="346"/>
      <c r="EJ825" s="346"/>
      <c r="EK825" s="346"/>
      <c r="EL825" s="348"/>
      <c r="EM825" s="346"/>
      <c r="EN825" s="346"/>
      <c r="EO825" s="346"/>
      <c r="EP825" s="346"/>
      <c r="EQ825" s="346"/>
      <c r="ER825" s="346"/>
      <c r="ES825" s="346"/>
      <c r="ET825" s="346"/>
      <c r="EU825" s="346"/>
      <c r="EV825" s="346"/>
      <c r="EW825" s="346"/>
      <c r="EX825" s="348"/>
      <c r="EY825" s="346"/>
      <c r="EZ825" s="346"/>
      <c r="FA825" s="346"/>
      <c r="FB825" s="346"/>
      <c r="FC825" s="346"/>
      <c r="FD825" s="346"/>
      <c r="FE825" s="346"/>
      <c r="FF825" s="346"/>
      <c r="FG825" s="346"/>
      <c r="FH825" s="346"/>
      <c r="FI825" s="346"/>
      <c r="FJ825" s="348"/>
      <c r="FK825" s="346"/>
      <c r="FL825" s="346"/>
      <c r="FM825" s="346"/>
      <c r="FN825" s="346"/>
      <c r="FO825" s="346"/>
      <c r="FP825" s="346"/>
      <c r="FQ825" s="346"/>
      <c r="FR825" s="346"/>
      <c r="FS825" s="346"/>
      <c r="FT825" s="346"/>
      <c r="FU825" s="346"/>
      <c r="FV825" s="346"/>
      <c r="FW825" s="346"/>
      <c r="FX825" s="346"/>
      <c r="FY825" s="346"/>
      <c r="FZ825" s="346"/>
      <c r="GA825" s="346"/>
      <c r="GB825" s="346"/>
      <c r="GC825" s="346"/>
      <c r="GD825" s="346"/>
      <c r="GE825" s="346"/>
      <c r="GF825" s="346"/>
      <c r="GG825" s="346"/>
      <c r="GH825" s="346"/>
      <c r="GI825" s="1897"/>
      <c r="GJ825" s="1897"/>
      <c r="GZ825" s="1897"/>
      <c r="HN825" s="349"/>
      <c r="HO825" s="1635" t="s">
        <v>3253</v>
      </c>
      <c r="HP825" s="307"/>
      <c r="HR825" s="346"/>
      <c r="HU825" s="346"/>
      <c r="HV825" s="307"/>
      <c r="HX825" s="346"/>
      <c r="HY825" s="350"/>
      <c r="IA825" s="346"/>
      <c r="ID825" s="346"/>
      <c r="IE825" s="350"/>
      <c r="IF825" s="350"/>
      <c r="IG825" s="346"/>
      <c r="IH825" s="350"/>
      <c r="II825" s="350"/>
      <c r="IJ825" s="346">
        <f>IH825+II825</f>
        <v>0</v>
      </c>
      <c r="IK825" s="350"/>
      <c r="IL825" s="350">
        <f t="shared" si="1293"/>
        <v>0</v>
      </c>
      <c r="IM825" s="346">
        <f t="shared" si="1183"/>
        <v>0</v>
      </c>
      <c r="IN825" s="350">
        <f t="shared" si="1276"/>
        <v>0</v>
      </c>
      <c r="IO825" s="350">
        <f t="shared" si="1277"/>
        <v>0</v>
      </c>
      <c r="IP825" s="346">
        <f t="shared" si="1294"/>
        <v>0</v>
      </c>
      <c r="IQ825" s="350">
        <f t="shared" si="1278"/>
        <v>0</v>
      </c>
      <c r="IR825" s="350">
        <f t="shared" si="1295"/>
        <v>0</v>
      </c>
      <c r="IS825" s="346">
        <f t="shared" si="1304"/>
        <v>0</v>
      </c>
      <c r="IT825" s="350">
        <f>SUM(GU825:GZ825)</f>
        <v>0</v>
      </c>
      <c r="IU825" s="350">
        <f t="shared" si="1332"/>
        <v>0</v>
      </c>
      <c r="IV825" s="346">
        <f t="shared" si="1235"/>
        <v>0</v>
      </c>
      <c r="IW825" s="350">
        <f t="shared" si="1256"/>
        <v>0</v>
      </c>
      <c r="IX825" s="350">
        <f t="shared" si="1252"/>
        <v>0</v>
      </c>
      <c r="IY825" s="346">
        <f>FISC!AJ1141</f>
        <v>0</v>
      </c>
      <c r="IZ825" s="350">
        <v>5</v>
      </c>
      <c r="JB825" s="346">
        <f>FISC!AK1141</f>
        <v>0</v>
      </c>
      <c r="JC825" s="350">
        <v>5</v>
      </c>
      <c r="JE825" s="346">
        <f>FISC!AL1141</f>
        <v>0</v>
      </c>
      <c r="JF825" s="350"/>
      <c r="JH825" s="346">
        <f>FISC!MR1141</f>
        <v>0</v>
      </c>
      <c r="JI825" s="350"/>
      <c r="JK825" s="346">
        <f>FISC!AN1141</f>
        <v>0</v>
      </c>
      <c r="JL825" s="350"/>
      <c r="JN825" s="346">
        <f>FISC!AO1141</f>
        <v>0</v>
      </c>
      <c r="KI825" s="349"/>
      <c r="KJ825" s="350"/>
    </row>
    <row r="826" spans="1:302" hidden="1" outlineLevel="1">
      <c r="A826" s="302"/>
      <c r="D826" s="1924" t="str">
        <f>FISC!D1142</f>
        <v>Flood response</v>
      </c>
      <c r="E826" s="346"/>
      <c r="F826" s="346"/>
      <c r="G826" s="346"/>
      <c r="H826" s="346"/>
      <c r="I826" s="346"/>
      <c r="J826" s="346"/>
      <c r="K826" s="346"/>
      <c r="L826" s="346"/>
      <c r="M826" s="346"/>
      <c r="N826" s="346"/>
      <c r="O826" s="346"/>
      <c r="P826" s="346"/>
      <c r="Q826" s="346"/>
      <c r="R826" s="346"/>
      <c r="S826" s="346"/>
      <c r="T826" s="346"/>
      <c r="U826" s="346"/>
      <c r="V826" s="346"/>
      <c r="W826" s="346"/>
      <c r="X826" s="346"/>
      <c r="Y826" s="346"/>
      <c r="Z826" s="346"/>
      <c r="AA826" s="346"/>
      <c r="AB826" s="346"/>
      <c r="AC826" s="346"/>
      <c r="AD826" s="346"/>
      <c r="AE826" s="346"/>
      <c r="AF826" s="346"/>
      <c r="AG826" s="346"/>
      <c r="AH826" s="346"/>
      <c r="AI826" s="346"/>
      <c r="AJ826" s="346"/>
      <c r="AK826" s="346"/>
      <c r="AL826" s="346"/>
      <c r="AM826" s="346"/>
      <c r="AN826" s="346"/>
      <c r="AO826" s="346"/>
      <c r="AP826" s="346"/>
      <c r="AQ826" s="346"/>
      <c r="AR826" s="346"/>
      <c r="AS826" s="346"/>
      <c r="AT826" s="346"/>
      <c r="AU826" s="346"/>
      <c r="AV826" s="346"/>
      <c r="AW826" s="346"/>
      <c r="AX826" s="346"/>
      <c r="AY826" s="346"/>
      <c r="AZ826" s="346"/>
      <c r="BA826" s="346"/>
      <c r="BB826" s="346"/>
      <c r="BC826" s="346"/>
      <c r="BD826" s="346"/>
      <c r="BE826" s="346"/>
      <c r="BF826" s="346"/>
      <c r="BG826" s="346"/>
      <c r="BH826" s="346"/>
      <c r="BI826" s="346"/>
      <c r="BJ826" s="346"/>
      <c r="BK826" s="346"/>
      <c r="BL826" s="346"/>
      <c r="BM826" s="346"/>
      <c r="BN826" s="346"/>
      <c r="BO826" s="346"/>
      <c r="BP826" s="346"/>
      <c r="BQ826" s="346"/>
      <c r="BR826" s="346"/>
      <c r="BS826" s="346"/>
      <c r="BT826" s="346"/>
      <c r="BU826" s="346"/>
      <c r="BV826" s="346"/>
      <c r="BW826" s="346"/>
      <c r="BX826" s="346"/>
      <c r="BY826" s="346"/>
      <c r="BZ826" s="346"/>
      <c r="CA826" s="346"/>
      <c r="CB826" s="346"/>
      <c r="CC826" s="346"/>
      <c r="CD826" s="352"/>
      <c r="CE826" s="346"/>
      <c r="CF826" s="346"/>
      <c r="CG826" s="346"/>
      <c r="CH826" s="346"/>
      <c r="CI826" s="346"/>
      <c r="CJ826" s="346"/>
      <c r="CK826" s="346"/>
      <c r="CL826" s="346"/>
      <c r="CM826" s="346"/>
      <c r="CN826" s="346"/>
      <c r="CO826" s="346"/>
      <c r="CP826" s="348"/>
      <c r="CQ826" s="346"/>
      <c r="CR826" s="346"/>
      <c r="CS826" s="346"/>
      <c r="CT826" s="346"/>
      <c r="CU826" s="346"/>
      <c r="CV826" s="346"/>
      <c r="CW826" s="346"/>
      <c r="CX826" s="346"/>
      <c r="CY826" s="346"/>
      <c r="CZ826" s="346"/>
      <c r="DA826" s="346"/>
      <c r="DB826" s="1479"/>
      <c r="DC826" s="346"/>
      <c r="DD826" s="346"/>
      <c r="DE826" s="346"/>
      <c r="DF826" s="346"/>
      <c r="DG826" s="346"/>
      <c r="DH826" s="346"/>
      <c r="DI826" s="346"/>
      <c r="DJ826" s="346"/>
      <c r="DK826" s="346"/>
      <c r="DL826" s="346"/>
      <c r="DM826" s="346"/>
      <c r="DN826" s="348"/>
      <c r="DO826" s="346"/>
      <c r="DP826" s="346"/>
      <c r="DQ826" s="346"/>
      <c r="DR826" s="346"/>
      <c r="DS826" s="346"/>
      <c r="DT826" s="346"/>
      <c r="DU826" s="346"/>
      <c r="DV826" s="346"/>
      <c r="DW826" s="346"/>
      <c r="DX826" s="346"/>
      <c r="DY826" s="346"/>
      <c r="DZ826" s="348"/>
      <c r="EA826" s="346"/>
      <c r="EB826" s="346"/>
      <c r="EC826" s="346"/>
      <c r="ED826" s="346"/>
      <c r="EE826" s="346"/>
      <c r="EF826" s="346"/>
      <c r="EG826" s="346"/>
      <c r="EH826" s="346"/>
      <c r="EI826" s="346"/>
      <c r="EJ826" s="346"/>
      <c r="EK826" s="346"/>
      <c r="EL826" s="348"/>
      <c r="EM826" s="346"/>
      <c r="EN826" s="346"/>
      <c r="EO826" s="346"/>
      <c r="EP826" s="346"/>
      <c r="EQ826" s="346"/>
      <c r="ER826" s="346"/>
      <c r="ES826" s="346"/>
      <c r="ET826" s="346"/>
      <c r="EU826" s="346"/>
      <c r="EV826" s="346"/>
      <c r="EW826" s="346"/>
      <c r="EX826" s="348"/>
      <c r="EY826" s="346"/>
      <c r="EZ826" s="346"/>
      <c r="FA826" s="346"/>
      <c r="FB826" s="346"/>
      <c r="FC826" s="346"/>
      <c r="FD826" s="346"/>
      <c r="FE826" s="346"/>
      <c r="FF826" s="346"/>
      <c r="FG826" s="346"/>
      <c r="FH826" s="346"/>
      <c r="FI826" s="346"/>
      <c r="FJ826" s="348"/>
      <c r="FK826" s="346"/>
      <c r="FL826" s="346"/>
      <c r="FM826" s="346"/>
      <c r="FN826" s="346"/>
      <c r="FO826" s="346"/>
      <c r="FP826" s="346"/>
      <c r="FQ826" s="346"/>
      <c r="FR826" s="346"/>
      <c r="FS826" s="346"/>
      <c r="FT826" s="346"/>
      <c r="FU826" s="346"/>
      <c r="FV826" s="346"/>
      <c r="FW826" s="346"/>
      <c r="FX826" s="346"/>
      <c r="FY826" s="346"/>
      <c r="FZ826" s="346"/>
      <c r="GA826" s="346"/>
      <c r="GB826" s="346"/>
      <c r="GC826" s="346"/>
      <c r="GD826" s="346"/>
      <c r="GE826" s="346"/>
      <c r="GF826" s="346"/>
      <c r="GG826" s="346"/>
      <c r="GH826" s="346"/>
      <c r="GI826" s="1897"/>
      <c r="GJ826" s="1897"/>
      <c r="GZ826" s="1897"/>
      <c r="HN826" s="349"/>
      <c r="HO826" s="1635" t="s">
        <v>3302</v>
      </c>
      <c r="HP826" s="307"/>
      <c r="HR826" s="346"/>
      <c r="HU826" s="346"/>
      <c r="HV826" s="307"/>
      <c r="HX826" s="346"/>
      <c r="HY826" s="350"/>
      <c r="IA826" s="346"/>
      <c r="ID826" s="346"/>
      <c r="IE826" s="350"/>
      <c r="IF826" s="350"/>
      <c r="IG826" s="346"/>
      <c r="IH826" s="350"/>
      <c r="II826" s="350"/>
      <c r="IJ826" s="346"/>
      <c r="IK826" s="350"/>
      <c r="IL826" s="350"/>
      <c r="IM826" s="346"/>
      <c r="IN826" s="350">
        <f t="shared" si="1276"/>
        <v>0</v>
      </c>
      <c r="IO826" s="350">
        <f t="shared" si="1277"/>
        <v>0</v>
      </c>
      <c r="IP826" s="346">
        <f t="shared" si="1294"/>
        <v>0</v>
      </c>
      <c r="IQ826" s="350">
        <f t="shared" si="1278"/>
        <v>0</v>
      </c>
      <c r="IR826" s="350">
        <f t="shared" si="1295"/>
        <v>0</v>
      </c>
      <c r="IS826" s="346">
        <f t="shared" si="1304"/>
        <v>0</v>
      </c>
      <c r="IT826" s="350">
        <v>13.176769874944549</v>
      </c>
      <c r="IU826" s="350">
        <v>31.787333411437857</v>
      </c>
      <c r="IV826" s="346">
        <f t="shared" si="1235"/>
        <v>44.964103286382404</v>
      </c>
      <c r="IW826" s="350">
        <f t="shared" si="1256"/>
        <v>0</v>
      </c>
      <c r="IX826" s="350">
        <f t="shared" si="1252"/>
        <v>0</v>
      </c>
      <c r="IY826" s="346">
        <f>FISC!AJ1142</f>
        <v>0</v>
      </c>
      <c r="IZ826" s="350"/>
      <c r="JB826" s="346"/>
      <c r="JC826" s="350"/>
      <c r="JE826" s="346">
        <f>FISC!AL1142</f>
        <v>0</v>
      </c>
      <c r="JF826" s="350"/>
      <c r="JH826" s="346">
        <f>FISC!MR1142</f>
        <v>0</v>
      </c>
      <c r="JI826" s="350"/>
      <c r="JK826" s="346">
        <f>FISC!AN1142</f>
        <v>0</v>
      </c>
      <c r="JL826" s="350"/>
      <c r="JN826" s="346">
        <f>FISC!AO1142</f>
        <v>0</v>
      </c>
      <c r="KI826" s="349"/>
      <c r="KJ826" s="350"/>
    </row>
    <row r="827" spans="1:302" hidden="1" outlineLevel="1">
      <c r="A827" s="302"/>
      <c r="D827" s="1924" t="str">
        <f>FISC!D1143</f>
        <v>Flood response (GoR)</v>
      </c>
      <c r="E827" s="346"/>
      <c r="F827" s="346"/>
      <c r="G827" s="346"/>
      <c r="H827" s="346"/>
      <c r="I827" s="346"/>
      <c r="J827" s="346"/>
      <c r="K827" s="346"/>
      <c r="L827" s="346"/>
      <c r="M827" s="346"/>
      <c r="N827" s="346"/>
      <c r="O827" s="346"/>
      <c r="P827" s="346"/>
      <c r="Q827" s="346"/>
      <c r="R827" s="346"/>
      <c r="S827" s="346"/>
      <c r="T827" s="346"/>
      <c r="U827" s="346"/>
      <c r="V827" s="346"/>
      <c r="W827" s="346"/>
      <c r="X827" s="346"/>
      <c r="Y827" s="346"/>
      <c r="Z827" s="346"/>
      <c r="AA827" s="346"/>
      <c r="AB827" s="346"/>
      <c r="AC827" s="346"/>
      <c r="AD827" s="346"/>
      <c r="AE827" s="346"/>
      <c r="AF827" s="346"/>
      <c r="AG827" s="346"/>
      <c r="AH827" s="346"/>
      <c r="AI827" s="346"/>
      <c r="AJ827" s="346"/>
      <c r="AK827" s="346"/>
      <c r="AL827" s="346"/>
      <c r="AM827" s="346"/>
      <c r="AN827" s="346"/>
      <c r="AO827" s="346"/>
      <c r="AP827" s="346"/>
      <c r="AQ827" s="346"/>
      <c r="AR827" s="346"/>
      <c r="AS827" s="346"/>
      <c r="AT827" s="346"/>
      <c r="AU827" s="346"/>
      <c r="AV827" s="346"/>
      <c r="AW827" s="346"/>
      <c r="AX827" s="346"/>
      <c r="AY827" s="346"/>
      <c r="AZ827" s="346"/>
      <c r="BA827" s="346"/>
      <c r="BB827" s="346"/>
      <c r="BC827" s="346"/>
      <c r="BD827" s="346"/>
      <c r="BE827" s="346"/>
      <c r="BF827" s="346"/>
      <c r="BG827" s="346"/>
      <c r="BH827" s="346"/>
      <c r="BI827" s="346"/>
      <c r="BJ827" s="346"/>
      <c r="BK827" s="346"/>
      <c r="BL827" s="346"/>
      <c r="BM827" s="346"/>
      <c r="BN827" s="346"/>
      <c r="BO827" s="346"/>
      <c r="BP827" s="346"/>
      <c r="BQ827" s="346"/>
      <c r="BR827" s="346"/>
      <c r="BS827" s="346"/>
      <c r="BT827" s="346"/>
      <c r="BU827" s="346"/>
      <c r="BV827" s="346"/>
      <c r="BW827" s="346"/>
      <c r="BX827" s="346"/>
      <c r="BY827" s="346"/>
      <c r="BZ827" s="346"/>
      <c r="CA827" s="346"/>
      <c r="CB827" s="346"/>
      <c r="CC827" s="346"/>
      <c r="CD827" s="352"/>
      <c r="CE827" s="346"/>
      <c r="CF827" s="346"/>
      <c r="CG827" s="346"/>
      <c r="CH827" s="346"/>
      <c r="CI827" s="346"/>
      <c r="CJ827" s="346"/>
      <c r="CK827" s="346"/>
      <c r="CL827" s="346"/>
      <c r="CM827" s="346"/>
      <c r="CN827" s="346"/>
      <c r="CO827" s="346"/>
      <c r="CP827" s="348"/>
      <c r="CQ827" s="346"/>
      <c r="CR827" s="346"/>
      <c r="CS827" s="346"/>
      <c r="CT827" s="346"/>
      <c r="CU827" s="346"/>
      <c r="CV827" s="346"/>
      <c r="CW827" s="346"/>
      <c r="CX827" s="346"/>
      <c r="CY827" s="346"/>
      <c r="CZ827" s="346"/>
      <c r="DA827" s="346"/>
      <c r="DB827" s="1479"/>
      <c r="DC827" s="346"/>
      <c r="DD827" s="346"/>
      <c r="DE827" s="346"/>
      <c r="DF827" s="346"/>
      <c r="DG827" s="346"/>
      <c r="DH827" s="346"/>
      <c r="DI827" s="346"/>
      <c r="DJ827" s="346"/>
      <c r="DK827" s="346"/>
      <c r="DL827" s="346"/>
      <c r="DM827" s="346"/>
      <c r="DN827" s="348"/>
      <c r="DO827" s="346"/>
      <c r="DP827" s="346"/>
      <c r="DQ827" s="346"/>
      <c r="DR827" s="346"/>
      <c r="DS827" s="346"/>
      <c r="DT827" s="346"/>
      <c r="DU827" s="346"/>
      <c r="DV827" s="346"/>
      <c r="DW827" s="346"/>
      <c r="DX827" s="346"/>
      <c r="DY827" s="346"/>
      <c r="DZ827" s="348"/>
      <c r="EA827" s="346"/>
      <c r="EB827" s="346"/>
      <c r="EC827" s="346"/>
      <c r="ED827" s="346"/>
      <c r="EE827" s="346"/>
      <c r="EF827" s="346"/>
      <c r="EG827" s="346"/>
      <c r="EH827" s="346"/>
      <c r="EI827" s="346"/>
      <c r="EJ827" s="346"/>
      <c r="EK827" s="346"/>
      <c r="EL827" s="348"/>
      <c r="EM827" s="346"/>
      <c r="EN827" s="346"/>
      <c r="EO827" s="346"/>
      <c r="EP827" s="346"/>
      <c r="EQ827" s="346"/>
      <c r="ER827" s="346"/>
      <c r="ES827" s="346"/>
      <c r="ET827" s="346"/>
      <c r="EU827" s="346"/>
      <c r="EV827" s="346"/>
      <c r="EW827" s="346"/>
      <c r="EX827" s="348"/>
      <c r="EY827" s="346"/>
      <c r="EZ827" s="346"/>
      <c r="FA827" s="346"/>
      <c r="FB827" s="346"/>
      <c r="FC827" s="346"/>
      <c r="FD827" s="346"/>
      <c r="FE827" s="346"/>
      <c r="FF827" s="346"/>
      <c r="FG827" s="346"/>
      <c r="FH827" s="346"/>
      <c r="FI827" s="346"/>
      <c r="FJ827" s="348"/>
      <c r="FK827" s="346"/>
      <c r="FL827" s="346"/>
      <c r="FM827" s="346"/>
      <c r="FN827" s="346"/>
      <c r="FO827" s="346"/>
      <c r="FP827" s="346"/>
      <c r="FQ827" s="346"/>
      <c r="FR827" s="346"/>
      <c r="FS827" s="346"/>
      <c r="FT827" s="346"/>
      <c r="FU827" s="346"/>
      <c r="FV827" s="346"/>
      <c r="FW827" s="346"/>
      <c r="FX827" s="346"/>
      <c r="FY827" s="346"/>
      <c r="FZ827" s="346"/>
      <c r="GA827" s="346"/>
      <c r="GB827" s="346"/>
      <c r="GC827" s="346"/>
      <c r="GD827" s="346"/>
      <c r="GE827" s="346"/>
      <c r="GF827" s="346"/>
      <c r="GG827" s="346"/>
      <c r="GH827" s="346"/>
      <c r="GI827" s="1897"/>
      <c r="HN827" s="349"/>
      <c r="HO827" s="1635"/>
      <c r="HP827" s="307"/>
      <c r="HR827" s="346"/>
      <c r="HU827" s="346"/>
      <c r="HV827" s="307"/>
      <c r="HX827" s="346"/>
      <c r="HY827" s="350"/>
      <c r="IA827" s="346"/>
      <c r="ID827" s="346"/>
      <c r="IE827" s="350"/>
      <c r="IF827" s="350"/>
      <c r="IG827" s="346"/>
      <c r="IH827" s="350"/>
      <c r="II827" s="350"/>
      <c r="IJ827" s="346"/>
      <c r="IK827" s="350"/>
      <c r="IL827" s="350"/>
      <c r="IM827" s="346"/>
      <c r="IN827" s="350">
        <f t="shared" si="1276"/>
        <v>0</v>
      </c>
      <c r="IO827" s="350">
        <f t="shared" si="1277"/>
        <v>0</v>
      </c>
      <c r="IP827" s="346">
        <f t="shared" si="1294"/>
        <v>0</v>
      </c>
      <c r="IQ827" s="350">
        <f t="shared" si="1278"/>
        <v>0</v>
      </c>
      <c r="IR827" s="350">
        <f t="shared" si="1295"/>
        <v>0</v>
      </c>
      <c r="IS827" s="346">
        <f t="shared" si="1304"/>
        <v>0</v>
      </c>
      <c r="IT827" s="350">
        <v>17.140287192999999</v>
      </c>
      <c r="IU827" s="350">
        <f t="shared" si="1332"/>
        <v>0</v>
      </c>
      <c r="IV827" s="346">
        <f t="shared" si="1235"/>
        <v>17.140287192999999</v>
      </c>
      <c r="IW827" s="350">
        <f t="shared" si="1256"/>
        <v>0</v>
      </c>
      <c r="IX827" s="350">
        <f t="shared" si="1252"/>
        <v>0</v>
      </c>
      <c r="IY827" s="346">
        <f>FISC!AJ1143</f>
        <v>0</v>
      </c>
      <c r="IZ827" s="350"/>
      <c r="JB827" s="346"/>
      <c r="JC827" s="350"/>
      <c r="JE827" s="346"/>
      <c r="JF827" s="350"/>
      <c r="JH827" s="346">
        <f>FISC!MR1143</f>
        <v>0</v>
      </c>
      <c r="JI827" s="350"/>
      <c r="JK827" s="346">
        <f>FISC!AN1143</f>
        <v>0</v>
      </c>
      <c r="JL827" s="350"/>
      <c r="JN827" s="346" t="e">
        <f>FISC!#REF!</f>
        <v>#REF!</v>
      </c>
      <c r="KI827" s="349"/>
      <c r="KJ827" s="350"/>
    </row>
    <row r="828" spans="1:302" hidden="1" outlineLevel="1">
      <c r="A828" s="302"/>
      <c r="D828" s="1924" t="str">
        <f>FISC!D1144</f>
        <v xml:space="preserve">UK Contigent </v>
      </c>
      <c r="E828" s="346"/>
      <c r="F828" s="346"/>
      <c r="G828" s="346"/>
      <c r="H828" s="346"/>
      <c r="I828" s="346"/>
      <c r="J828" s="346"/>
      <c r="K828" s="346"/>
      <c r="L828" s="346"/>
      <c r="M828" s="346"/>
      <c r="N828" s="346"/>
      <c r="O828" s="346"/>
      <c r="P828" s="346"/>
      <c r="Q828" s="346"/>
      <c r="R828" s="346"/>
      <c r="S828" s="346"/>
      <c r="T828" s="346"/>
      <c r="U828" s="346"/>
      <c r="V828" s="346"/>
      <c r="W828" s="346"/>
      <c r="X828" s="346"/>
      <c r="Y828" s="346"/>
      <c r="Z828" s="346"/>
      <c r="AA828" s="346"/>
      <c r="AB828" s="346"/>
      <c r="AC828" s="346"/>
      <c r="AD828" s="346"/>
      <c r="AE828" s="346"/>
      <c r="AF828" s="346"/>
      <c r="AG828" s="346"/>
      <c r="AH828" s="346"/>
      <c r="AI828" s="346"/>
      <c r="AJ828" s="346"/>
      <c r="AK828" s="346"/>
      <c r="AL828" s="346"/>
      <c r="AM828" s="346"/>
      <c r="AN828" s="346"/>
      <c r="AO828" s="346"/>
      <c r="AP828" s="346"/>
      <c r="AQ828" s="346"/>
      <c r="AR828" s="346"/>
      <c r="AS828" s="346"/>
      <c r="AT828" s="346"/>
      <c r="AU828" s="346"/>
      <c r="AV828" s="346"/>
      <c r="AW828" s="346"/>
      <c r="AX828" s="346"/>
      <c r="AY828" s="346"/>
      <c r="AZ828" s="346"/>
      <c r="BA828" s="346"/>
      <c r="BB828" s="346"/>
      <c r="BC828" s="346"/>
      <c r="BD828" s="346"/>
      <c r="BE828" s="346"/>
      <c r="BF828" s="346"/>
      <c r="BG828" s="346"/>
      <c r="BH828" s="346"/>
      <c r="BI828" s="346"/>
      <c r="BJ828" s="346"/>
      <c r="BK828" s="346"/>
      <c r="BL828" s="346"/>
      <c r="BM828" s="346"/>
      <c r="BN828" s="346"/>
      <c r="BO828" s="346"/>
      <c r="BP828" s="346"/>
      <c r="BQ828" s="346"/>
      <c r="BR828" s="346"/>
      <c r="BS828" s="346"/>
      <c r="BT828" s="346"/>
      <c r="BU828" s="346"/>
      <c r="BV828" s="346"/>
      <c r="BW828" s="346"/>
      <c r="BX828" s="346"/>
      <c r="BY828" s="346"/>
      <c r="BZ828" s="346"/>
      <c r="CA828" s="346"/>
      <c r="CB828" s="346"/>
      <c r="CC828" s="346"/>
      <c r="CD828" s="352"/>
      <c r="CE828" s="346"/>
      <c r="CF828" s="346"/>
      <c r="CG828" s="346"/>
      <c r="CH828" s="346"/>
      <c r="CI828" s="346"/>
      <c r="CJ828" s="346"/>
      <c r="CK828" s="346"/>
      <c r="CL828" s="346"/>
      <c r="CM828" s="346"/>
      <c r="CN828" s="346"/>
      <c r="CO828" s="346"/>
      <c r="CP828" s="348"/>
      <c r="CQ828" s="346"/>
      <c r="CR828" s="346"/>
      <c r="CS828" s="346"/>
      <c r="CT828" s="346"/>
      <c r="CU828" s="346"/>
      <c r="CV828" s="346"/>
      <c r="CW828" s="346"/>
      <c r="CX828" s="346"/>
      <c r="CY828" s="346"/>
      <c r="CZ828" s="346"/>
      <c r="DA828" s="346"/>
      <c r="DB828" s="1479"/>
      <c r="DC828" s="346"/>
      <c r="DD828" s="346"/>
      <c r="DE828" s="346"/>
      <c r="DF828" s="346"/>
      <c r="DG828" s="346"/>
      <c r="DH828" s="346"/>
      <c r="DI828" s="346"/>
      <c r="DJ828" s="346"/>
      <c r="DK828" s="346"/>
      <c r="DL828" s="346"/>
      <c r="DM828" s="346"/>
      <c r="DN828" s="348"/>
      <c r="DO828" s="346"/>
      <c r="DP828" s="346"/>
      <c r="DQ828" s="346"/>
      <c r="DR828" s="346"/>
      <c r="DS828" s="346"/>
      <c r="DT828" s="346"/>
      <c r="DU828" s="346"/>
      <c r="DV828" s="346"/>
      <c r="DW828" s="346"/>
      <c r="DX828" s="346"/>
      <c r="DY828" s="346"/>
      <c r="DZ828" s="348"/>
      <c r="EA828" s="346"/>
      <c r="EB828" s="346"/>
      <c r="EC828" s="346"/>
      <c r="ED828" s="346"/>
      <c r="EE828" s="346"/>
      <c r="EF828" s="346"/>
      <c r="EG828" s="346"/>
      <c r="EH828" s="346"/>
      <c r="EI828" s="346"/>
      <c r="EJ828" s="346"/>
      <c r="EK828" s="346"/>
      <c r="EL828" s="348"/>
      <c r="EM828" s="346"/>
      <c r="EN828" s="346"/>
      <c r="EO828" s="346"/>
      <c r="EP828" s="346"/>
      <c r="EQ828" s="346"/>
      <c r="ER828" s="346"/>
      <c r="ES828" s="346"/>
      <c r="ET828" s="346"/>
      <c r="EU828" s="346"/>
      <c r="EV828" s="346"/>
      <c r="EW828" s="346"/>
      <c r="EX828" s="348"/>
      <c r="EY828" s="346"/>
      <c r="EZ828" s="346"/>
      <c r="FA828" s="346"/>
      <c r="FB828" s="346"/>
      <c r="FC828" s="346"/>
      <c r="FD828" s="346"/>
      <c r="FE828" s="346"/>
      <c r="FF828" s="346"/>
      <c r="FG828" s="346"/>
      <c r="FH828" s="346"/>
      <c r="FI828" s="346"/>
      <c r="FJ828" s="348"/>
      <c r="FK828" s="346"/>
      <c r="FL828" s="346"/>
      <c r="FM828" s="346"/>
      <c r="FN828" s="346"/>
      <c r="FO828" s="346"/>
      <c r="FP828" s="346"/>
      <c r="FQ828" s="346"/>
      <c r="FR828" s="346"/>
      <c r="FS828" s="346"/>
      <c r="FT828" s="346"/>
      <c r="FU828" s="346"/>
      <c r="FV828" s="346"/>
      <c r="FW828" s="346"/>
      <c r="FX828" s="346"/>
      <c r="FY828" s="346"/>
      <c r="FZ828" s="346"/>
      <c r="GA828" s="346"/>
      <c r="GB828" s="346"/>
      <c r="GC828" s="346"/>
      <c r="GD828" s="346"/>
      <c r="GE828" s="346"/>
      <c r="GF828" s="346"/>
      <c r="GG828" s="346"/>
      <c r="GH828" s="346"/>
      <c r="GI828" s="1897"/>
      <c r="HN828" s="349"/>
      <c r="HO828" s="1635"/>
      <c r="HP828" s="307"/>
      <c r="HR828" s="346"/>
      <c r="HU828" s="346"/>
      <c r="HV828" s="307"/>
      <c r="HX828" s="346"/>
      <c r="HY828" s="350"/>
      <c r="IA828" s="346"/>
      <c r="ID828" s="346"/>
      <c r="IE828" s="350"/>
      <c r="IF828" s="350"/>
      <c r="IG828" s="346"/>
      <c r="IH828" s="350"/>
      <c r="II828" s="350"/>
      <c r="IJ828" s="346"/>
      <c r="IK828" s="350"/>
      <c r="IL828" s="350"/>
      <c r="IM828" s="346"/>
      <c r="IN828" s="350"/>
      <c r="IO828" s="350"/>
      <c r="IP828" s="346"/>
      <c r="IQ828" s="350"/>
      <c r="IR828" s="350"/>
      <c r="IS828" s="346"/>
      <c r="IT828" s="350">
        <v>0</v>
      </c>
      <c r="IU828" s="350">
        <f t="shared" si="1332"/>
        <v>0</v>
      </c>
      <c r="IV828" s="346">
        <f t="shared" si="1235"/>
        <v>0</v>
      </c>
      <c r="IW828" s="350">
        <f t="shared" si="1256"/>
        <v>0</v>
      </c>
      <c r="IX828" s="350">
        <f t="shared" si="1252"/>
        <v>0</v>
      </c>
      <c r="IY828" s="346">
        <f>FISC!AJ1144</f>
        <v>0</v>
      </c>
      <c r="IZ828" s="350"/>
      <c r="JB828" s="346"/>
      <c r="JC828" s="350"/>
      <c r="JE828" s="346"/>
      <c r="JF828" s="350"/>
      <c r="JH828" s="346">
        <f>FISC!MR1144</f>
        <v>0</v>
      </c>
      <c r="JI828" s="350"/>
      <c r="JK828" s="346">
        <f>FISC!AN1144</f>
        <v>0</v>
      </c>
      <c r="JL828" s="350"/>
      <c r="JN828" s="346"/>
      <c r="KI828" s="349"/>
      <c r="KJ828" s="350"/>
    </row>
    <row r="829" spans="1:302" hidden="1" outlineLevel="1">
      <c r="A829" s="302"/>
      <c r="B829" s="117" t="s">
        <v>361</v>
      </c>
      <c r="D829" s="355" t="s">
        <v>568</v>
      </c>
      <c r="E829" s="346">
        <f>E397</f>
        <v>0</v>
      </c>
      <c r="F829" s="346"/>
      <c r="G829" s="346"/>
      <c r="H829" s="346"/>
      <c r="I829" s="346"/>
      <c r="J829" s="346"/>
      <c r="K829" s="346"/>
      <c r="L829" s="346"/>
      <c r="M829" s="346"/>
      <c r="N829" s="346"/>
      <c r="O829" s="346"/>
      <c r="P829" s="346"/>
      <c r="Q829" s="346"/>
      <c r="R829" s="346"/>
      <c r="S829" s="346"/>
      <c r="T829" s="346"/>
      <c r="U829" s="346"/>
      <c r="V829" s="346"/>
      <c r="W829" s="346"/>
      <c r="X829" s="346"/>
      <c r="Y829" s="346"/>
      <c r="Z829" s="346"/>
      <c r="AA829" s="346"/>
      <c r="AB829" s="346"/>
      <c r="AC829" s="346"/>
      <c r="AD829" s="346"/>
      <c r="AE829" s="346"/>
      <c r="AF829" s="346"/>
      <c r="AG829" s="346"/>
      <c r="AH829" s="346"/>
      <c r="AI829" s="346"/>
      <c r="AJ829" s="346"/>
      <c r="AK829" s="346"/>
      <c r="AL829" s="346"/>
      <c r="AM829" s="346"/>
      <c r="AN829" s="346"/>
      <c r="AO829" s="346"/>
      <c r="AP829" s="346"/>
      <c r="AQ829" s="346"/>
      <c r="AR829" s="346"/>
      <c r="AS829" s="346"/>
      <c r="AT829" s="346"/>
      <c r="AU829" s="346"/>
      <c r="AV829" s="346"/>
      <c r="AW829" s="346"/>
      <c r="AX829" s="346"/>
      <c r="AY829" s="346"/>
      <c r="AZ829" s="346"/>
      <c r="BA829" s="346"/>
      <c r="BB829" s="346"/>
      <c r="BC829" s="346"/>
      <c r="BD829" s="346"/>
      <c r="BE829" s="346"/>
      <c r="BF829" s="346"/>
      <c r="BG829" s="346">
        <v>4.8124256818000006</v>
      </c>
      <c r="BH829" s="346">
        <v>11.60506516907</v>
      </c>
      <c r="BI829" s="346">
        <v>14.97865360904</v>
      </c>
      <c r="BJ829" s="346">
        <v>27.030733145999999</v>
      </c>
      <c r="BK829" s="346">
        <v>15.140683768000001</v>
      </c>
      <c r="BL829" s="346">
        <v>7.3592373990000004</v>
      </c>
      <c r="BM829" s="346">
        <v>18.373572579000001</v>
      </c>
      <c r="BN829" s="346">
        <v>10.851172992</v>
      </c>
      <c r="BO829" s="346">
        <v>9.5369914072199986</v>
      </c>
      <c r="BP829" s="346">
        <v>27.330570633840001</v>
      </c>
      <c r="BQ829" s="346">
        <v>42.281347382940005</v>
      </c>
      <c r="BR829" s="346">
        <v>6.3525195425600005</v>
      </c>
      <c r="BS829" s="346">
        <v>9.1269242130000006</v>
      </c>
      <c r="BT829" s="346">
        <v>15.551282902000001</v>
      </c>
      <c r="BU829" s="346">
        <v>10.995463515000001</v>
      </c>
      <c r="BV829" s="346">
        <v>38.103788214849999</v>
      </c>
      <c r="BW829" s="346">
        <v>19.883443779</v>
      </c>
      <c r="BX829" s="346">
        <v>3.8061774380000002</v>
      </c>
      <c r="BY829" s="346">
        <v>18.801827502419997</v>
      </c>
      <c r="BZ829" s="346">
        <v>18.09141030696</v>
      </c>
      <c r="CA829" s="346">
        <v>15.135650383</v>
      </c>
      <c r="CB829" s="346">
        <v>44.757974098390001</v>
      </c>
      <c r="CC829" s="346">
        <v>31.716340132169996</v>
      </c>
      <c r="CD829" s="352">
        <v>22.43490539335</v>
      </c>
      <c r="CE829" s="346">
        <f t="shared" ref="CE829:DJ829" si="1338">CE401</f>
        <v>10.526452686000001</v>
      </c>
      <c r="CF829" s="346">
        <f t="shared" si="1338"/>
        <v>14.788687463</v>
      </c>
      <c r="CG829" s="346">
        <f t="shared" si="1338"/>
        <v>15.141310662</v>
      </c>
      <c r="CH829" s="346">
        <f t="shared" si="1338"/>
        <v>23.906214788</v>
      </c>
      <c r="CI829" s="346">
        <f t="shared" si="1338"/>
        <v>17.150936775000002</v>
      </c>
      <c r="CJ829" s="346">
        <f t="shared" si="1338"/>
        <v>11.073881504999999</v>
      </c>
      <c r="CK829" s="346">
        <f t="shared" si="1338"/>
        <v>21.884380947</v>
      </c>
      <c r="CL829" s="346">
        <f t="shared" si="1338"/>
        <v>18.32118797</v>
      </c>
      <c r="CM829" s="346">
        <f t="shared" si="1338"/>
        <v>23.373190814000001</v>
      </c>
      <c r="CN829" s="346">
        <f t="shared" si="1338"/>
        <v>27.952275332999999</v>
      </c>
      <c r="CO829" s="346">
        <f t="shared" si="1338"/>
        <v>51.030099032000003</v>
      </c>
      <c r="CP829" s="348">
        <f t="shared" si="1338"/>
        <v>34.385280105</v>
      </c>
      <c r="CQ829" s="346">
        <f t="shared" si="1338"/>
        <v>11.71803075493056</v>
      </c>
      <c r="CR829" s="346">
        <f t="shared" si="1338"/>
        <v>14.296176774999999</v>
      </c>
      <c r="CS829" s="346">
        <f t="shared" si="1338"/>
        <v>22.625164313999999</v>
      </c>
      <c r="CT829" s="346">
        <f t="shared" si="1338"/>
        <v>16.358613350000002</v>
      </c>
      <c r="CU829" s="346">
        <f t="shared" si="1338"/>
        <v>15.643995943</v>
      </c>
      <c r="CV829" s="346">
        <f t="shared" si="1338"/>
        <v>14.454799152</v>
      </c>
      <c r="CW829" s="346">
        <f t="shared" si="1338"/>
        <v>27.779478081000001</v>
      </c>
      <c r="CX829" s="346">
        <f t="shared" si="1338"/>
        <v>21.432819065</v>
      </c>
      <c r="CY829" s="346">
        <f t="shared" si="1338"/>
        <v>30.063084205999999</v>
      </c>
      <c r="CZ829" s="346">
        <f t="shared" si="1338"/>
        <v>46.928807496000005</v>
      </c>
      <c r="DA829" s="346">
        <f t="shared" si="1338"/>
        <v>36.640702246376968</v>
      </c>
      <c r="DB829" s="1479">
        <f t="shared" si="1338"/>
        <v>32.153853196</v>
      </c>
      <c r="DC829" s="346">
        <f t="shared" si="1338"/>
        <v>7.699206792</v>
      </c>
      <c r="DD829" s="346">
        <f t="shared" si="1338"/>
        <v>15.615804453999999</v>
      </c>
      <c r="DE829" s="346">
        <f t="shared" si="1338"/>
        <v>34.553283314000005</v>
      </c>
      <c r="DF829" s="346">
        <f t="shared" si="1338"/>
        <v>35.766758748999997</v>
      </c>
      <c r="DG829" s="346">
        <f t="shared" si="1338"/>
        <v>14.505710753000001</v>
      </c>
      <c r="DH829" s="346">
        <f t="shared" si="1338"/>
        <v>9.6282044520000003</v>
      </c>
      <c r="DI829" s="346">
        <f t="shared" si="1338"/>
        <v>45.308410111000001</v>
      </c>
      <c r="DJ829" s="346">
        <f t="shared" si="1338"/>
        <v>24.575965203999999</v>
      </c>
      <c r="DK829" s="346">
        <f t="shared" ref="DK829:EP829" si="1339">DK401</f>
        <v>20.724792952999998</v>
      </c>
      <c r="DL829" s="346">
        <f t="shared" si="1339"/>
        <v>40.700034496000001</v>
      </c>
      <c r="DM829" s="346">
        <f t="shared" si="1339"/>
        <v>57.556615731000001</v>
      </c>
      <c r="DN829" s="348">
        <f t="shared" si="1339"/>
        <v>26.028251037</v>
      </c>
      <c r="DO829" s="346">
        <f t="shared" si="1339"/>
        <v>13.413084467999999</v>
      </c>
      <c r="DP829" s="346">
        <f t="shared" si="1339"/>
        <v>20.513162054999999</v>
      </c>
      <c r="DQ829" s="346">
        <f t="shared" si="1339"/>
        <v>17.430781947</v>
      </c>
      <c r="DR829" s="346">
        <f t="shared" si="1339"/>
        <v>24.498937213000001</v>
      </c>
      <c r="DS829" s="346">
        <f t="shared" si="1339"/>
        <v>26.308812109000002</v>
      </c>
      <c r="DT829" s="346">
        <f t="shared" si="1339"/>
        <v>15.421166871</v>
      </c>
      <c r="DU829" s="346">
        <f t="shared" si="1339"/>
        <v>38.146938749</v>
      </c>
      <c r="DV829" s="346">
        <f t="shared" si="1339"/>
        <v>19.405948199000001</v>
      </c>
      <c r="DW829" s="346">
        <f t="shared" si="1339"/>
        <v>16.027426585000001</v>
      </c>
      <c r="DX829" s="346">
        <f t="shared" si="1339"/>
        <v>34.381703754</v>
      </c>
      <c r="DY829" s="346">
        <f t="shared" si="1339"/>
        <v>43.061038738000001</v>
      </c>
      <c r="DZ829" s="348">
        <f t="shared" si="1339"/>
        <v>23.303213546999999</v>
      </c>
      <c r="EA829" s="346">
        <f t="shared" si="1339"/>
        <v>7.0390087609999998</v>
      </c>
      <c r="EB829" s="346">
        <f t="shared" si="1339"/>
        <v>27.880420234999999</v>
      </c>
      <c r="EC829" s="346">
        <f t="shared" si="1339"/>
        <v>27.983209404</v>
      </c>
      <c r="ED829" s="346">
        <f t="shared" si="1339"/>
        <v>26.463758969999997</v>
      </c>
      <c r="EE829" s="346">
        <f t="shared" si="1339"/>
        <v>22.189802706999998</v>
      </c>
      <c r="EF829" s="346">
        <f t="shared" si="1339"/>
        <v>16.484109042</v>
      </c>
      <c r="EG829" s="346">
        <f t="shared" si="1339"/>
        <v>53.879159250000001</v>
      </c>
      <c r="EH829" s="346">
        <f t="shared" si="1339"/>
        <v>20.661667502</v>
      </c>
      <c r="EI829" s="346">
        <f t="shared" si="1339"/>
        <v>25.803920057999999</v>
      </c>
      <c r="EJ829" s="346">
        <f t="shared" si="1339"/>
        <v>29.208660017</v>
      </c>
      <c r="EK829" s="346">
        <f t="shared" si="1339"/>
        <v>56.536960389999997</v>
      </c>
      <c r="EL829" s="348">
        <f t="shared" si="1339"/>
        <v>18.840317065000001</v>
      </c>
      <c r="EM829" s="346">
        <f t="shared" si="1339"/>
        <v>25.460867822000001</v>
      </c>
      <c r="EN829" s="346">
        <f t="shared" si="1339"/>
        <v>23.237070240000001</v>
      </c>
      <c r="EO829" s="346">
        <f t="shared" si="1339"/>
        <v>26.156810261999997</v>
      </c>
      <c r="EP829" s="346">
        <f t="shared" si="1339"/>
        <v>35.459373626000001</v>
      </c>
      <c r="EQ829" s="346">
        <f t="shared" ref="EQ829:FV829" si="1340">EQ401</f>
        <v>25.850891169000001</v>
      </c>
      <c r="ER829" s="346">
        <f t="shared" si="1340"/>
        <v>37.452469549999996</v>
      </c>
      <c r="ES829" s="346">
        <f t="shared" si="1340"/>
        <v>41.463536611000002</v>
      </c>
      <c r="ET829" s="346">
        <f t="shared" si="1340"/>
        <v>44.353644627000001</v>
      </c>
      <c r="EU829" s="346">
        <f t="shared" si="1340"/>
        <v>34.999554809999999</v>
      </c>
      <c r="EV829" s="346">
        <f t="shared" si="1340"/>
        <v>52.172713250000001</v>
      </c>
      <c r="EW829" s="346">
        <f t="shared" si="1340"/>
        <v>74.941448680999997</v>
      </c>
      <c r="EX829" s="348">
        <f t="shared" si="1340"/>
        <v>28.824252475000002</v>
      </c>
      <c r="EY829" s="346">
        <f t="shared" si="1340"/>
        <v>37.467885670999998</v>
      </c>
      <c r="EZ829" s="346">
        <f t="shared" si="1340"/>
        <v>38.294529799000003</v>
      </c>
      <c r="FA829" s="346">
        <f t="shared" si="1340"/>
        <v>47.459462975999998</v>
      </c>
      <c r="FB829" s="346">
        <f t="shared" si="1340"/>
        <v>38.939648501999997</v>
      </c>
      <c r="FC829" s="346">
        <f t="shared" si="1340"/>
        <v>38.777168355999997</v>
      </c>
      <c r="FD829" s="346">
        <f t="shared" si="1340"/>
        <v>31.242091212999998</v>
      </c>
      <c r="FE829" s="346">
        <f t="shared" si="1340"/>
        <v>34.734893370000002</v>
      </c>
      <c r="FF829" s="346">
        <f t="shared" si="1340"/>
        <v>39.839215345</v>
      </c>
      <c r="FG829" s="346">
        <f t="shared" si="1340"/>
        <v>29.231937251000002</v>
      </c>
      <c r="FH829" s="346">
        <f t="shared" si="1340"/>
        <v>39.648290052</v>
      </c>
      <c r="FI829" s="346">
        <f t="shared" si="1340"/>
        <v>62.089244090000001</v>
      </c>
      <c r="FJ829" s="348">
        <f t="shared" si="1340"/>
        <v>27.429325165000002</v>
      </c>
      <c r="FK829" s="346">
        <f t="shared" si="1340"/>
        <v>34.855069626000002</v>
      </c>
      <c r="FL829" s="346">
        <f t="shared" si="1340"/>
        <v>30.3539335</v>
      </c>
      <c r="FM829" s="346">
        <f t="shared" si="1340"/>
        <v>32.166852878</v>
      </c>
      <c r="FN829" s="346">
        <f t="shared" si="1340"/>
        <v>40.761681717999998</v>
      </c>
      <c r="FO829" s="346">
        <f t="shared" si="1340"/>
        <v>35.703419597</v>
      </c>
      <c r="FP829" s="346">
        <f t="shared" si="1340"/>
        <v>84.823746598</v>
      </c>
      <c r="FQ829" s="346">
        <f t="shared" si="1340"/>
        <v>80.119229920999999</v>
      </c>
      <c r="FR829" s="346">
        <f t="shared" si="1340"/>
        <v>48.986533313999999</v>
      </c>
      <c r="FS829" s="346">
        <f t="shared" si="1340"/>
        <v>35.909699193000002</v>
      </c>
      <c r="FT829" s="346">
        <f t="shared" si="1340"/>
        <v>47.047556499999999</v>
      </c>
      <c r="FU829" s="346">
        <f t="shared" si="1340"/>
        <v>71.117047568999993</v>
      </c>
      <c r="FV829" s="346">
        <f t="shared" si="1340"/>
        <v>14.809122674999999</v>
      </c>
      <c r="FW829" s="346">
        <v>21.499991579</v>
      </c>
      <c r="FX829" s="346">
        <v>26.040309391000001</v>
      </c>
      <c r="FY829" s="346">
        <v>59.389177644999997</v>
      </c>
      <c r="FZ829" s="346">
        <v>85.854329884999999</v>
      </c>
      <c r="GA829" s="346">
        <v>45.169855757999997</v>
      </c>
      <c r="GB829" s="346">
        <v>117.414866674</v>
      </c>
      <c r="GC829" s="346">
        <v>105.848004573</v>
      </c>
      <c r="GD829" s="346">
        <v>63.5182380669998</v>
      </c>
      <c r="GE829" s="346">
        <v>87.507377880000092</v>
      </c>
      <c r="GF829" s="346">
        <v>75.868959872000005</v>
      </c>
      <c r="GG829" s="346">
        <v>64.692209547999994</v>
      </c>
      <c r="GH829" s="346">
        <v>47.373694473</v>
      </c>
      <c r="GI829" s="346">
        <v>37.559882838189708</v>
      </c>
      <c r="GJ829" s="346">
        <v>99.400044857186941</v>
      </c>
      <c r="GK829" s="346">
        <v>85.940072304623357</v>
      </c>
      <c r="GL829" s="346">
        <v>41.014640372293314</v>
      </c>
      <c r="GM829" s="346">
        <v>44.784218966293324</v>
      </c>
      <c r="GN829" s="346">
        <v>11.333778128293314</v>
      </c>
      <c r="GO829" s="346">
        <v>98.7583319798009</v>
      </c>
      <c r="GP829" s="346">
        <v>24.197892101491309</v>
      </c>
      <c r="GQ829" s="346">
        <v>45.123040253739575</v>
      </c>
      <c r="GR829" s="346">
        <v>147.32418630337381</v>
      </c>
      <c r="GS829" s="346">
        <v>77.892570207755526</v>
      </c>
      <c r="GT829" s="346">
        <v>33.624900862422102</v>
      </c>
      <c r="GU829" s="346">
        <f>GU401</f>
        <v>36.576551907000002</v>
      </c>
      <c r="GV829" s="346">
        <f t="shared" ref="GV829:HL829" si="1341">GV401</f>
        <v>35.305396328</v>
      </c>
      <c r="GW829" s="346">
        <f t="shared" si="1341"/>
        <v>47.563737848999999</v>
      </c>
      <c r="GX829" s="346">
        <f t="shared" si="1341"/>
        <v>48.569047284</v>
      </c>
      <c r="GY829" s="346">
        <f t="shared" si="1341"/>
        <v>35.389751359999998</v>
      </c>
      <c r="GZ829" s="346">
        <f t="shared" si="1341"/>
        <v>22.782992631999999</v>
      </c>
      <c r="HA829" s="346">
        <f t="shared" si="1341"/>
        <v>104.73686457700001</v>
      </c>
      <c r="HB829" s="346">
        <f t="shared" si="1341"/>
        <v>104.506769373</v>
      </c>
      <c r="HC829" s="346">
        <f t="shared" si="1341"/>
        <v>55.870180664999999</v>
      </c>
      <c r="HD829" s="346">
        <f t="shared" si="1341"/>
        <v>55.033536943000001</v>
      </c>
      <c r="HE829" s="346">
        <f t="shared" si="1341"/>
        <v>55.544366477000011</v>
      </c>
      <c r="HF829" s="346">
        <f t="shared" si="1341"/>
        <v>55.319894487999989</v>
      </c>
      <c r="HG829" s="346">
        <f t="shared" si="1341"/>
        <v>43.695700043999999</v>
      </c>
      <c r="HH829" s="346">
        <f t="shared" si="1341"/>
        <v>67.604808276000014</v>
      </c>
      <c r="HI829" s="346">
        <f t="shared" si="1341"/>
        <v>41.524662079000002</v>
      </c>
      <c r="HJ829" s="346">
        <f t="shared" si="1341"/>
        <v>32.891966196999988</v>
      </c>
      <c r="HK829" s="346">
        <f t="shared" si="1341"/>
        <v>57.744617599000001</v>
      </c>
      <c r="HL829" s="346">
        <f t="shared" si="1341"/>
        <v>93.515291848999993</v>
      </c>
      <c r="HM829" s="346"/>
      <c r="HN829" s="349"/>
      <c r="HO829" s="355" t="s">
        <v>568</v>
      </c>
      <c r="HP829" s="307">
        <f>SUM(CE829:CJ829)</f>
        <v>92.587483879000004</v>
      </c>
      <c r="HQ829" s="302">
        <f>SUM(CK829:CP829)</f>
        <v>176.94641420100001</v>
      </c>
      <c r="HR829" s="346">
        <f>HP829+HQ829</f>
        <v>269.53389808000003</v>
      </c>
      <c r="HS829" s="302">
        <f>SUM(CQ829:CV829)</f>
        <v>95.096780288930546</v>
      </c>
      <c r="HT829" s="302">
        <f>SUM(CW829:DB829)</f>
        <v>194.99874429037698</v>
      </c>
      <c r="HU829" s="346">
        <f>HS829+HT829</f>
        <v>290.09552457930749</v>
      </c>
      <c r="HV829" s="307">
        <f>SUM(DC829:DH829)</f>
        <v>117.76896851400001</v>
      </c>
      <c r="HW829" s="302">
        <f>SUM(DI829:DN829)</f>
        <v>214.89406953199997</v>
      </c>
      <c r="HX829" s="346">
        <f>HV829+HW829</f>
        <v>332.663038046</v>
      </c>
      <c r="HY829" s="350">
        <f>SUM(DO829:DT829)</f>
        <v>117.58594466299999</v>
      </c>
      <c r="HZ829" s="302">
        <f>SUM(DU829:DZ829)</f>
        <v>174.326269572</v>
      </c>
      <c r="IA829" s="346">
        <f>HY829+HZ829</f>
        <v>291.91221423499996</v>
      </c>
      <c r="IB829" s="302">
        <f>SUM(EA829:EF829)</f>
        <v>128.040309119</v>
      </c>
      <c r="IC829" s="302">
        <f>SUM(EG829:EL829)</f>
        <v>204.93068428199999</v>
      </c>
      <c r="ID829" s="346">
        <f>IB829+IC829</f>
        <v>332.97099340099999</v>
      </c>
      <c r="IE829" s="350">
        <f>SUM(EM829:ER829)</f>
        <v>173.617482669</v>
      </c>
      <c r="IF829" s="350">
        <f>SUM(ES829:EX829)</f>
        <v>276.75515045399999</v>
      </c>
      <c r="IG829" s="346">
        <f>IE829+IF829</f>
        <v>450.37263312300001</v>
      </c>
      <c r="IH829" s="350">
        <f>SUM(EY829:FD829)</f>
        <v>232.18078651700003</v>
      </c>
      <c r="II829" s="350">
        <f>SUM(FE829:FJ829)</f>
        <v>232.97290527299998</v>
      </c>
      <c r="IJ829" s="346">
        <f>IH829+II829</f>
        <v>465.15369179000004</v>
      </c>
      <c r="IK829" s="350">
        <f>SUM(FK829:FP829)</f>
        <v>258.664703917</v>
      </c>
      <c r="IL829" s="350">
        <f>SUM(FQ829:FV829)</f>
        <v>297.98918917200001</v>
      </c>
      <c r="IM829" s="346">
        <f t="shared" si="1183"/>
        <v>556.65389308900001</v>
      </c>
      <c r="IN829" s="350">
        <f t="shared" ref="IN829:IN841" si="1342">SUM(FW829:GB829)</f>
        <v>355.368530932</v>
      </c>
      <c r="IO829" s="350">
        <f t="shared" ref="IO829:IO841" si="1343">SUM(GC829:GH829)</f>
        <v>444.80848441299992</v>
      </c>
      <c r="IP829" s="346">
        <f t="shared" si="1294"/>
        <v>800.17701534499997</v>
      </c>
      <c r="IQ829" s="350">
        <f>SUM(GI829:GN829)</f>
        <v>320.03263746687998</v>
      </c>
      <c r="IR829" s="350">
        <f>SUM(GO829:GT829)</f>
        <v>426.92092170858325</v>
      </c>
      <c r="IS829" s="346">
        <f t="shared" si="1304"/>
        <v>746.95355917546317</v>
      </c>
      <c r="IT829" s="350">
        <f>SUM(GU829:GZ829)</f>
        <v>226.18747736</v>
      </c>
      <c r="IU829" s="350">
        <f t="shared" si="1332"/>
        <v>431.011612523</v>
      </c>
      <c r="IV829" s="346">
        <f t="shared" si="1235"/>
        <v>657.19908988299994</v>
      </c>
      <c r="IW829" s="350">
        <f t="shared" si="1256"/>
        <v>336.97704604399996</v>
      </c>
      <c r="IX829" s="350">
        <f t="shared" si="1252"/>
        <v>303.82288575286555</v>
      </c>
      <c r="IY829" s="346">
        <f>FISC!AJ1145</f>
        <v>640.79993179686551</v>
      </c>
      <c r="IZ829" s="350">
        <f>JB829*0.6</f>
        <v>399.61955914227053</v>
      </c>
      <c r="JA829" s="302">
        <f>JB829-IZ829</f>
        <v>266.41303942818035</v>
      </c>
      <c r="JB829" s="346">
        <f>FISC!AK1145</f>
        <v>666.03259857045089</v>
      </c>
      <c r="JC829" s="350">
        <f>JE829*0.6</f>
        <v>571.99672598692302</v>
      </c>
      <c r="JD829" s="302">
        <f>JE829-JC829</f>
        <v>381.3311506579488</v>
      </c>
      <c r="JE829" s="346">
        <f>FISC!AL1145</f>
        <v>953.32787664487182</v>
      </c>
      <c r="JF829" s="350">
        <f>JH829*0.6</f>
        <v>733.91830276546443</v>
      </c>
      <c r="JG829" s="302">
        <f>JH829-JF829</f>
        <v>489.27886851030962</v>
      </c>
      <c r="JH829" s="346">
        <f>FISC!AM1145</f>
        <v>1223.1971712757741</v>
      </c>
      <c r="JI829" s="350">
        <f>JK829*0.55</f>
        <v>802.03032809227238</v>
      </c>
      <c r="JJ829" s="302">
        <f>JK829-JI829</f>
        <v>656.20663207549546</v>
      </c>
      <c r="JK829" s="346">
        <f>FISC!AN1145</f>
        <v>1458.2369601677678</v>
      </c>
      <c r="JL829" s="350">
        <f>JN829*0.55</f>
        <v>913.74335172797089</v>
      </c>
      <c r="JM829" s="302">
        <f>JN829-JL829</f>
        <v>747.60819686833963</v>
      </c>
      <c r="JN829" s="346">
        <f>FISC!AO1145</f>
        <v>1661.3515485963105</v>
      </c>
      <c r="KI829" s="349"/>
      <c r="KJ829" s="350"/>
    </row>
    <row r="830" spans="1:302" hidden="1" outlineLevel="1">
      <c r="A830" s="302"/>
      <c r="B830" s="117" t="s">
        <v>361</v>
      </c>
      <c r="D830" s="355" t="s">
        <v>569</v>
      </c>
      <c r="E830" s="346">
        <f>E398</f>
        <v>0</v>
      </c>
      <c r="F830" s="346"/>
      <c r="G830" s="346"/>
      <c r="H830" s="346"/>
      <c r="I830" s="346"/>
      <c r="J830" s="346"/>
      <c r="K830" s="346"/>
      <c r="L830" s="346"/>
      <c r="M830" s="346"/>
      <c r="N830" s="346"/>
      <c r="O830" s="346"/>
      <c r="P830" s="346"/>
      <c r="Q830" s="346"/>
      <c r="R830" s="346"/>
      <c r="S830" s="346"/>
      <c r="T830" s="346"/>
      <c r="U830" s="346"/>
      <c r="V830" s="346"/>
      <c r="W830" s="346"/>
      <c r="X830" s="346"/>
      <c r="Y830" s="346"/>
      <c r="Z830" s="346"/>
      <c r="AA830" s="346"/>
      <c r="AB830" s="346"/>
      <c r="AC830" s="346"/>
      <c r="AD830" s="346"/>
      <c r="AE830" s="346"/>
      <c r="AF830" s="346"/>
      <c r="AG830" s="346"/>
      <c r="AH830" s="346"/>
      <c r="AI830" s="346"/>
      <c r="AJ830" s="346"/>
      <c r="AK830" s="346"/>
      <c r="AL830" s="346"/>
      <c r="AM830" s="346"/>
      <c r="AN830" s="346"/>
      <c r="AO830" s="346"/>
      <c r="AP830" s="346"/>
      <c r="AQ830" s="346"/>
      <c r="AR830" s="346"/>
      <c r="AS830" s="346"/>
      <c r="AT830" s="346"/>
      <c r="AU830" s="346"/>
      <c r="AV830" s="346"/>
      <c r="AW830" s="346"/>
      <c r="AX830" s="346"/>
      <c r="AY830" s="346"/>
      <c r="AZ830" s="346"/>
      <c r="BA830" s="346"/>
      <c r="BB830" s="346"/>
      <c r="BC830" s="346"/>
      <c r="BD830" s="346"/>
      <c r="BE830" s="346"/>
      <c r="BF830" s="346"/>
      <c r="BG830" s="346">
        <v>0</v>
      </c>
      <c r="BH830" s="346">
        <v>0</v>
      </c>
      <c r="BI830" s="346">
        <v>0</v>
      </c>
      <c r="BJ830" s="346">
        <v>0</v>
      </c>
      <c r="BK830" s="346">
        <v>0</v>
      </c>
      <c r="BL830" s="346">
        <v>0</v>
      </c>
      <c r="BM830" s="346">
        <v>0</v>
      </c>
      <c r="BN830" s="346">
        <v>0</v>
      </c>
      <c r="BO830" s="346">
        <v>0</v>
      </c>
      <c r="BP830" s="346">
        <v>0</v>
      </c>
      <c r="BQ830" s="346">
        <v>0</v>
      </c>
      <c r="BR830" s="346">
        <v>0</v>
      </c>
      <c r="BS830" s="346">
        <v>0.1</v>
      </c>
      <c r="BT830" s="346">
        <v>8.8199999999999997E-3</v>
      </c>
      <c r="BU830" s="346">
        <v>0</v>
      </c>
      <c r="BV830" s="346">
        <v>0.6</v>
      </c>
      <c r="BW830" s="346">
        <v>0.2</v>
      </c>
      <c r="BX830" s="346">
        <v>0</v>
      </c>
      <c r="BY830" s="346">
        <v>0.3</v>
      </c>
      <c r="BZ830" s="346">
        <v>2.3514699999999999E-2</v>
      </c>
      <c r="CA830" s="346">
        <v>3.6584130000000001E-3</v>
      </c>
      <c r="CB830" s="346">
        <v>1.104487223</v>
      </c>
      <c r="CC830" s="346">
        <v>0</v>
      </c>
      <c r="CD830" s="352">
        <v>0</v>
      </c>
      <c r="CE830" s="346">
        <f t="shared" ref="CE830:DJ830" si="1344">CE402</f>
        <v>0</v>
      </c>
      <c r="CF830" s="346">
        <f t="shared" si="1344"/>
        <v>0.32088234199999999</v>
      </c>
      <c r="CG830" s="346">
        <f t="shared" si="1344"/>
        <v>0</v>
      </c>
      <c r="CH830" s="346">
        <f t="shared" si="1344"/>
        <v>0.3</v>
      </c>
      <c r="CI830" s="346">
        <f t="shared" si="1344"/>
        <v>0.31680000000000003</v>
      </c>
      <c r="CJ830" s="346">
        <f t="shared" si="1344"/>
        <v>0</v>
      </c>
      <c r="CK830" s="346">
        <f t="shared" si="1344"/>
        <v>0</v>
      </c>
      <c r="CL830" s="346">
        <f t="shared" si="1344"/>
        <v>0</v>
      </c>
      <c r="CM830" s="346">
        <f t="shared" si="1344"/>
        <v>0.226708194</v>
      </c>
      <c r="CN830" s="346">
        <f t="shared" si="1344"/>
        <v>0.71366432300000004</v>
      </c>
      <c r="CO830" s="346">
        <f t="shared" si="1344"/>
        <v>0.21346294199999999</v>
      </c>
      <c r="CP830" s="348">
        <f t="shared" si="1344"/>
        <v>0</v>
      </c>
      <c r="CQ830" s="346">
        <f t="shared" si="1344"/>
        <v>0.05</v>
      </c>
      <c r="CR830" s="346">
        <f t="shared" si="1344"/>
        <v>0</v>
      </c>
      <c r="CS830" s="346">
        <f t="shared" si="1344"/>
        <v>0.21818599999999999</v>
      </c>
      <c r="CT830" s="346">
        <f t="shared" si="1344"/>
        <v>0</v>
      </c>
      <c r="CU830" s="346">
        <f t="shared" si="1344"/>
        <v>0.2</v>
      </c>
      <c r="CV830" s="346">
        <f t="shared" si="1344"/>
        <v>9.1160000000000008E-3</v>
      </c>
      <c r="CW830" s="346">
        <f t="shared" si="1344"/>
        <v>5.1250000000000002E-3</v>
      </c>
      <c r="CX830" s="346">
        <f t="shared" si="1344"/>
        <v>0</v>
      </c>
      <c r="CY830" s="346">
        <f t="shared" si="1344"/>
        <v>0.3</v>
      </c>
      <c r="CZ830" s="346">
        <f t="shared" si="1344"/>
        <v>0.61358199999999996</v>
      </c>
      <c r="DA830" s="346">
        <f t="shared" si="1344"/>
        <v>0.3</v>
      </c>
      <c r="DB830" s="1479">
        <f t="shared" si="1344"/>
        <v>0</v>
      </c>
      <c r="DC830" s="346">
        <f t="shared" si="1344"/>
        <v>0</v>
      </c>
      <c r="DD830" s="346">
        <f t="shared" si="1344"/>
        <v>0</v>
      </c>
      <c r="DE830" s="346">
        <f t="shared" si="1344"/>
        <v>0.6</v>
      </c>
      <c r="DF830" s="346">
        <f t="shared" si="1344"/>
        <v>0.3</v>
      </c>
      <c r="DG830" s="346">
        <f t="shared" si="1344"/>
        <v>0</v>
      </c>
      <c r="DH830" s="346">
        <f t="shared" si="1344"/>
        <v>0</v>
      </c>
      <c r="DI830" s="346">
        <f t="shared" si="1344"/>
        <v>0</v>
      </c>
      <c r="DJ830" s="346">
        <f t="shared" si="1344"/>
        <v>0.3</v>
      </c>
      <c r="DK830" s="346">
        <f t="shared" ref="DK830:EP830" si="1345">DK402</f>
        <v>0.3</v>
      </c>
      <c r="DL830" s="346">
        <f t="shared" si="1345"/>
        <v>0</v>
      </c>
      <c r="DM830" s="346">
        <f t="shared" si="1345"/>
        <v>0.74068397699999999</v>
      </c>
      <c r="DN830" s="348">
        <f t="shared" si="1345"/>
        <v>0</v>
      </c>
      <c r="DO830" s="346">
        <f t="shared" si="1345"/>
        <v>0</v>
      </c>
      <c r="DP830" s="346">
        <f t="shared" si="1345"/>
        <v>0</v>
      </c>
      <c r="DQ830" s="346">
        <f t="shared" si="1345"/>
        <v>0</v>
      </c>
      <c r="DR830" s="346">
        <f t="shared" si="1345"/>
        <v>0</v>
      </c>
      <c r="DS830" s="346">
        <f t="shared" si="1345"/>
        <v>0</v>
      </c>
      <c r="DT830" s="346">
        <f t="shared" si="1345"/>
        <v>0</v>
      </c>
      <c r="DU830" s="346">
        <f t="shared" si="1345"/>
        <v>0</v>
      </c>
      <c r="DV830" s="346">
        <f t="shared" si="1345"/>
        <v>0</v>
      </c>
      <c r="DW830" s="346">
        <f t="shared" si="1345"/>
        <v>0</v>
      </c>
      <c r="DX830" s="346">
        <f t="shared" si="1345"/>
        <v>0</v>
      </c>
      <c r="DY830" s="346">
        <f t="shared" si="1345"/>
        <v>0</v>
      </c>
      <c r="DZ830" s="348">
        <f t="shared" si="1345"/>
        <v>0</v>
      </c>
      <c r="EA830" s="346">
        <f t="shared" si="1345"/>
        <v>0</v>
      </c>
      <c r="EB830" s="346">
        <f t="shared" si="1345"/>
        <v>0</v>
      </c>
      <c r="EC830" s="346">
        <f t="shared" si="1345"/>
        <v>0</v>
      </c>
      <c r="ED830" s="346">
        <f t="shared" si="1345"/>
        <v>0</v>
      </c>
      <c r="EE830" s="346">
        <f t="shared" si="1345"/>
        <v>0</v>
      </c>
      <c r="EF830" s="346">
        <f t="shared" si="1345"/>
        <v>0</v>
      </c>
      <c r="EG830" s="346">
        <f t="shared" si="1345"/>
        <v>0</v>
      </c>
      <c r="EH830" s="346">
        <f t="shared" si="1345"/>
        <v>0</v>
      </c>
      <c r="EI830" s="346">
        <f t="shared" si="1345"/>
        <v>0</v>
      </c>
      <c r="EJ830" s="346">
        <f t="shared" si="1345"/>
        <v>0</v>
      </c>
      <c r="EK830" s="346">
        <f t="shared" si="1345"/>
        <v>0</v>
      </c>
      <c r="EL830" s="348">
        <f t="shared" si="1345"/>
        <v>0</v>
      </c>
      <c r="EM830" s="346">
        <f t="shared" si="1345"/>
        <v>0</v>
      </c>
      <c r="EN830" s="346">
        <f t="shared" si="1345"/>
        <v>0</v>
      </c>
      <c r="EO830" s="346">
        <f t="shared" si="1345"/>
        <v>0</v>
      </c>
      <c r="EP830" s="346">
        <f t="shared" si="1345"/>
        <v>0</v>
      </c>
      <c r="EQ830" s="346">
        <f t="shared" ref="EQ830:FV830" si="1346">EQ402</f>
        <v>0</v>
      </c>
      <c r="ER830" s="346">
        <f t="shared" si="1346"/>
        <v>0</v>
      </c>
      <c r="ES830" s="346">
        <f t="shared" si="1346"/>
        <v>0</v>
      </c>
      <c r="ET830" s="346">
        <f t="shared" si="1346"/>
        <v>0</v>
      </c>
      <c r="EU830" s="346">
        <f t="shared" si="1346"/>
        <v>0</v>
      </c>
      <c r="EV830" s="346">
        <f t="shared" si="1346"/>
        <v>0</v>
      </c>
      <c r="EW830" s="346">
        <f t="shared" si="1346"/>
        <v>0</v>
      </c>
      <c r="EX830" s="348">
        <f t="shared" si="1346"/>
        <v>0</v>
      </c>
      <c r="EY830" s="346">
        <f t="shared" si="1346"/>
        <v>0</v>
      </c>
      <c r="EZ830" s="346">
        <f t="shared" si="1346"/>
        <v>0</v>
      </c>
      <c r="FA830" s="346">
        <f t="shared" si="1346"/>
        <v>0</v>
      </c>
      <c r="FB830" s="346">
        <f t="shared" si="1346"/>
        <v>0</v>
      </c>
      <c r="FC830" s="346">
        <f t="shared" si="1346"/>
        <v>0</v>
      </c>
      <c r="FD830" s="346">
        <f t="shared" si="1346"/>
        <v>0</v>
      </c>
      <c r="FE830" s="346">
        <f t="shared" si="1346"/>
        <v>0</v>
      </c>
      <c r="FF830" s="346">
        <f t="shared" si="1346"/>
        <v>0</v>
      </c>
      <c r="FG830" s="346">
        <f t="shared" si="1346"/>
        <v>0</v>
      </c>
      <c r="FH830" s="346">
        <f t="shared" si="1346"/>
        <v>0</v>
      </c>
      <c r="FI830" s="346">
        <f t="shared" si="1346"/>
        <v>0</v>
      </c>
      <c r="FJ830" s="348">
        <f t="shared" si="1346"/>
        <v>6.978548</v>
      </c>
      <c r="FK830" s="346">
        <f t="shared" si="1346"/>
        <v>0</v>
      </c>
      <c r="FL830" s="346">
        <f t="shared" si="1346"/>
        <v>0</v>
      </c>
      <c r="FM830" s="346">
        <f t="shared" si="1346"/>
        <v>0</v>
      </c>
      <c r="FN830" s="346">
        <f t="shared" si="1346"/>
        <v>0</v>
      </c>
      <c r="FO830" s="346">
        <f t="shared" si="1346"/>
        <v>0</v>
      </c>
      <c r="FP830" s="346">
        <f t="shared" si="1346"/>
        <v>0</v>
      </c>
      <c r="FQ830" s="346">
        <f t="shared" si="1346"/>
        <v>0</v>
      </c>
      <c r="FR830" s="346">
        <f t="shared" si="1346"/>
        <v>0</v>
      </c>
      <c r="FS830" s="346">
        <f t="shared" si="1346"/>
        <v>2.9259699325000001</v>
      </c>
      <c r="FT830" s="346">
        <f t="shared" si="1346"/>
        <v>0</v>
      </c>
      <c r="FU830" s="346">
        <f t="shared" si="1346"/>
        <v>2.9259699325000001</v>
      </c>
      <c r="FV830" s="346">
        <f t="shared" si="1346"/>
        <v>0</v>
      </c>
      <c r="FW830" s="346">
        <v>0</v>
      </c>
      <c r="FX830" s="346">
        <v>0</v>
      </c>
      <c r="FY830" s="346">
        <v>1.3680000000000001</v>
      </c>
      <c r="FZ830" s="346">
        <v>0</v>
      </c>
      <c r="GA830" s="346">
        <v>0</v>
      </c>
      <c r="GB830" s="346">
        <v>1.3680000000000001</v>
      </c>
      <c r="GC830" s="346">
        <v>0</v>
      </c>
      <c r="GD830" s="346">
        <v>1.5563436959999994</v>
      </c>
      <c r="GE830" s="346">
        <v>0</v>
      </c>
      <c r="GF830" s="346">
        <v>0</v>
      </c>
      <c r="GG830" s="346">
        <v>0</v>
      </c>
      <c r="GH830" s="346">
        <v>0</v>
      </c>
      <c r="GI830" s="346">
        <v>0</v>
      </c>
      <c r="GJ830" s="346">
        <v>0</v>
      </c>
      <c r="GK830" s="346">
        <v>0</v>
      </c>
      <c r="GL830" s="346">
        <v>0</v>
      </c>
      <c r="GM830" s="346">
        <v>0</v>
      </c>
      <c r="GN830" s="346">
        <v>0</v>
      </c>
      <c r="GO830" s="346">
        <v>0</v>
      </c>
      <c r="GP830" s="346">
        <v>0</v>
      </c>
      <c r="GQ830" s="346">
        <v>0</v>
      </c>
      <c r="GR830" s="346">
        <v>0</v>
      </c>
      <c r="GS830" s="346">
        <v>0</v>
      </c>
      <c r="GT830" s="346">
        <v>0</v>
      </c>
      <c r="GU830" s="346">
        <v>0</v>
      </c>
      <c r="GV830" s="346">
        <v>0</v>
      </c>
      <c r="GW830" s="346">
        <v>0</v>
      </c>
      <c r="GX830" s="346">
        <v>0</v>
      </c>
      <c r="GY830" s="346">
        <v>0</v>
      </c>
      <c r="GZ830" s="346">
        <v>0</v>
      </c>
      <c r="HA830" s="346">
        <v>0</v>
      </c>
      <c r="HB830" s="346">
        <v>0</v>
      </c>
      <c r="HC830" s="346">
        <v>0</v>
      </c>
      <c r="HD830" s="346">
        <v>0</v>
      </c>
      <c r="HE830" s="346">
        <v>0</v>
      </c>
      <c r="HF830" s="346">
        <v>0</v>
      </c>
      <c r="HG830" s="346">
        <v>0</v>
      </c>
      <c r="HH830" s="346">
        <v>0</v>
      </c>
      <c r="HI830" s="346">
        <v>0</v>
      </c>
      <c r="HJ830" s="346">
        <v>0</v>
      </c>
      <c r="HK830" s="346">
        <v>0</v>
      </c>
      <c r="HL830" s="346">
        <v>0</v>
      </c>
      <c r="HM830" s="346"/>
      <c r="HN830" s="349"/>
      <c r="HO830" s="355" t="s">
        <v>569</v>
      </c>
      <c r="HP830" s="307">
        <f>SUM(CE830:CJ830)</f>
        <v>0.937682342</v>
      </c>
      <c r="HQ830" s="302">
        <f>SUM(CK830:CP830)</f>
        <v>1.153835459</v>
      </c>
      <c r="HR830" s="346">
        <f>HP830+HQ830</f>
        <v>2.0915178010000002</v>
      </c>
      <c r="HS830" s="302">
        <f>SUM(CQ830:CV830)</f>
        <v>0.477302</v>
      </c>
      <c r="HT830" s="302">
        <f>SUM(CW830:DB830)</f>
        <v>1.218707</v>
      </c>
      <c r="HU830" s="346">
        <f>HS830+HT830</f>
        <v>1.6960090000000001</v>
      </c>
      <c r="HV830" s="307">
        <f>SUM(DC830:DH830)</f>
        <v>0.89999999999999991</v>
      </c>
      <c r="HW830" s="302">
        <f>SUM(DI830:DN830)</f>
        <v>1.3406839769999999</v>
      </c>
      <c r="HX830" s="346">
        <f>HV830+HW830</f>
        <v>2.2406839769999998</v>
      </c>
      <c r="HY830" s="350">
        <f>SUM(DO830:DT830)</f>
        <v>0</v>
      </c>
      <c r="HZ830" s="302">
        <f>SUM(DU830:DZ830)</f>
        <v>0</v>
      </c>
      <c r="IA830" s="346">
        <f>HY830+HZ830</f>
        <v>0</v>
      </c>
      <c r="IB830" s="302">
        <f>SUM(EA830:EF830)</f>
        <v>0</v>
      </c>
      <c r="IC830" s="302">
        <f>SUM(EG830:EL830)</f>
        <v>0</v>
      </c>
      <c r="ID830" s="346">
        <f>IB830+IC830</f>
        <v>0</v>
      </c>
      <c r="IE830" s="350">
        <f>SUM(EM830:ER830)</f>
        <v>0</v>
      </c>
      <c r="IF830" s="350">
        <f>SUM(ES830:EX830)</f>
        <v>0</v>
      </c>
      <c r="IG830" s="346">
        <f>IE830+IF830</f>
        <v>0</v>
      </c>
      <c r="IH830" s="350">
        <f>SUM(EY830:FD830)</f>
        <v>0</v>
      </c>
      <c r="II830" s="350">
        <f>SUM(FE830:FJ830)</f>
        <v>6.978548</v>
      </c>
      <c r="IJ830" s="346">
        <f>IH830+II830</f>
        <v>6.978548</v>
      </c>
      <c r="IK830" s="350">
        <f>SUM(FK830:FP830)</f>
        <v>0</v>
      </c>
      <c r="IL830" s="350">
        <f>SUM(FQ830:FV830)</f>
        <v>5.8519398650000003</v>
      </c>
      <c r="IM830" s="346">
        <f t="shared" si="1183"/>
        <v>5.8519398650000003</v>
      </c>
      <c r="IN830" s="350">
        <f t="shared" si="1342"/>
        <v>2.7360000000000002</v>
      </c>
      <c r="IO830" s="350">
        <f t="shared" si="1343"/>
        <v>1.5563436959999994</v>
      </c>
      <c r="IP830" s="346">
        <f t="shared" si="1294"/>
        <v>4.2923436959999997</v>
      </c>
      <c r="IQ830" s="350">
        <f>SUM(GI830:GN830)</f>
        <v>0</v>
      </c>
      <c r="IR830" s="350">
        <f>SUM(GO830:GT830)</f>
        <v>0</v>
      </c>
      <c r="IS830" s="346">
        <f t="shared" si="1304"/>
        <v>0</v>
      </c>
      <c r="IT830" s="350">
        <f>SUM(GU830:GZ830)</f>
        <v>0</v>
      </c>
      <c r="IU830" s="350">
        <f t="shared" si="1332"/>
        <v>0</v>
      </c>
      <c r="IV830" s="346">
        <f t="shared" si="1235"/>
        <v>0</v>
      </c>
      <c r="IW830" s="350">
        <f t="shared" si="1256"/>
        <v>0</v>
      </c>
      <c r="IX830" s="350">
        <f t="shared" si="1252"/>
        <v>5.7231249279999998</v>
      </c>
      <c r="IY830" s="346">
        <f>FISC!AJ1146</f>
        <v>5.7231249279999998</v>
      </c>
      <c r="IZ830" s="350">
        <f>JB830*0.5</f>
        <v>2.8615624639999999</v>
      </c>
      <c r="JA830" s="302">
        <f>JB830-IZ830</f>
        <v>2.8615624639999999</v>
      </c>
      <c r="JB830" s="346">
        <f>FISC!AK1146</f>
        <v>5.7231249279999998</v>
      </c>
      <c r="JC830" s="350">
        <f>JE830*0.5</f>
        <v>2.8615624639999999</v>
      </c>
      <c r="JD830" s="302">
        <f>JE830-JC830</f>
        <v>2.8615624639999999</v>
      </c>
      <c r="JE830" s="346">
        <f>FISC!AL1146</f>
        <v>5.7231249279999998</v>
      </c>
      <c r="JF830" s="350">
        <f>JH830*0.5</f>
        <v>2.8615624639999999</v>
      </c>
      <c r="JG830" s="302">
        <f>JH830-JF830</f>
        <v>2.8615624639999999</v>
      </c>
      <c r="JH830" s="346">
        <f>FISC!AM1146</f>
        <v>5.7231249279999998</v>
      </c>
      <c r="JI830" s="350">
        <f>JK830*0.5</f>
        <v>2.8615624639999999</v>
      </c>
      <c r="JJ830" s="302">
        <f>JK830-JI830</f>
        <v>2.8615624639999999</v>
      </c>
      <c r="JK830" s="346">
        <f>FISC!AN1146</f>
        <v>5.7231249279999998</v>
      </c>
      <c r="JL830" s="350">
        <f>JN830*0.5</f>
        <v>2.8615624639999999</v>
      </c>
      <c r="JM830" s="302">
        <f>JN830-JL830</f>
        <v>2.8615624639999999</v>
      </c>
      <c r="JN830" s="346">
        <f>FISC!AO1146</f>
        <v>5.7231249279999998</v>
      </c>
      <c r="KI830" s="349"/>
      <c r="KJ830" s="350"/>
    </row>
    <row r="831" spans="1:302" hidden="1" outlineLevel="1">
      <c r="A831" s="302"/>
      <c r="B831" s="117" t="s">
        <v>361</v>
      </c>
      <c r="D831" s="355" t="s">
        <v>570</v>
      </c>
      <c r="E831" s="346"/>
      <c r="F831" s="346"/>
      <c r="G831" s="346"/>
      <c r="H831" s="346"/>
      <c r="I831" s="346"/>
      <c r="J831" s="346"/>
      <c r="K831" s="346"/>
      <c r="L831" s="346"/>
      <c r="M831" s="346"/>
      <c r="N831" s="346"/>
      <c r="O831" s="346"/>
      <c r="P831" s="346"/>
      <c r="Q831" s="346"/>
      <c r="R831" s="346"/>
      <c r="S831" s="346"/>
      <c r="T831" s="346"/>
      <c r="U831" s="346"/>
      <c r="V831" s="346"/>
      <c r="W831" s="346"/>
      <c r="X831" s="346"/>
      <c r="Y831" s="346"/>
      <c r="Z831" s="346"/>
      <c r="AA831" s="346"/>
      <c r="AB831" s="346"/>
      <c r="AC831" s="346"/>
      <c r="AD831" s="346"/>
      <c r="AE831" s="346"/>
      <c r="AF831" s="346"/>
      <c r="AG831" s="346"/>
      <c r="AH831" s="346"/>
      <c r="AI831" s="346"/>
      <c r="AJ831" s="346"/>
      <c r="AK831" s="346"/>
      <c r="AL831" s="346"/>
      <c r="AM831" s="346"/>
      <c r="AN831" s="346"/>
      <c r="AO831" s="346"/>
      <c r="AP831" s="346"/>
      <c r="AQ831" s="346"/>
      <c r="AR831" s="346"/>
      <c r="AS831" s="346"/>
      <c r="AT831" s="346"/>
      <c r="AU831" s="346"/>
      <c r="AV831" s="346"/>
      <c r="AW831" s="346"/>
      <c r="AX831" s="346"/>
      <c r="AY831" s="346"/>
      <c r="AZ831" s="346"/>
      <c r="BA831" s="346"/>
      <c r="BB831" s="346"/>
      <c r="BC831" s="346"/>
      <c r="BD831" s="346"/>
      <c r="BE831" s="346"/>
      <c r="BF831" s="346"/>
      <c r="BG831" s="346">
        <v>0</v>
      </c>
      <c r="BH831" s="346">
        <v>0</v>
      </c>
      <c r="BI831" s="346">
        <v>0</v>
      </c>
      <c r="BJ831" s="346">
        <v>0</v>
      </c>
      <c r="BK831" s="346">
        <v>0</v>
      </c>
      <c r="BL831" s="346">
        <v>0</v>
      </c>
      <c r="BM831" s="346">
        <v>0</v>
      </c>
      <c r="BN831" s="346">
        <v>0</v>
      </c>
      <c r="BO831" s="346">
        <v>0</v>
      </c>
      <c r="BP831" s="346">
        <v>0</v>
      </c>
      <c r="BQ831" s="346">
        <v>0</v>
      </c>
      <c r="BR831" s="346">
        <v>0</v>
      </c>
      <c r="BS831" s="346">
        <v>0</v>
      </c>
      <c r="BT831" s="346">
        <v>0</v>
      </c>
      <c r="BU831" s="346">
        <v>0</v>
      </c>
      <c r="BV831" s="346">
        <v>0</v>
      </c>
      <c r="BW831" s="346">
        <v>0</v>
      </c>
      <c r="BX831" s="346">
        <v>0</v>
      </c>
      <c r="BY831" s="346">
        <v>0</v>
      </c>
      <c r="BZ831" s="346">
        <v>0</v>
      </c>
      <c r="CA831" s="346">
        <v>0</v>
      </c>
      <c r="CB831" s="346">
        <v>0</v>
      </c>
      <c r="CC831" s="346">
        <v>0</v>
      </c>
      <c r="CD831" s="352">
        <v>0</v>
      </c>
      <c r="CE831" s="346">
        <f t="shared" ref="CE831:DJ831" si="1347">CE403</f>
        <v>0</v>
      </c>
      <c r="CF831" s="346">
        <f t="shared" si="1347"/>
        <v>0</v>
      </c>
      <c r="CG831" s="346">
        <f t="shared" si="1347"/>
        <v>0</v>
      </c>
      <c r="CH831" s="346">
        <f t="shared" si="1347"/>
        <v>0</v>
      </c>
      <c r="CI831" s="346">
        <f t="shared" si="1347"/>
        <v>0</v>
      </c>
      <c r="CJ831" s="346">
        <f t="shared" si="1347"/>
        <v>0</v>
      </c>
      <c r="CK831" s="346">
        <f t="shared" si="1347"/>
        <v>0</v>
      </c>
      <c r="CL831" s="346">
        <f t="shared" si="1347"/>
        <v>0</v>
      </c>
      <c r="CM831" s="346">
        <f t="shared" si="1347"/>
        <v>0</v>
      </c>
      <c r="CN831" s="346">
        <f t="shared" si="1347"/>
        <v>0</v>
      </c>
      <c r="CO831" s="346">
        <f t="shared" si="1347"/>
        <v>0</v>
      </c>
      <c r="CP831" s="348">
        <f t="shared" si="1347"/>
        <v>0</v>
      </c>
      <c r="CQ831" s="346">
        <f t="shared" si="1347"/>
        <v>0</v>
      </c>
      <c r="CR831" s="346">
        <f t="shared" si="1347"/>
        <v>0</v>
      </c>
      <c r="CS831" s="346">
        <f t="shared" si="1347"/>
        <v>0</v>
      </c>
      <c r="CT831" s="346">
        <f t="shared" si="1347"/>
        <v>0</v>
      </c>
      <c r="CU831" s="346">
        <f t="shared" si="1347"/>
        <v>0</v>
      </c>
      <c r="CV831" s="346">
        <f t="shared" si="1347"/>
        <v>0</v>
      </c>
      <c r="CW831" s="346">
        <f t="shared" si="1347"/>
        <v>0</v>
      </c>
      <c r="CX831" s="346">
        <f t="shared" si="1347"/>
        <v>0</v>
      </c>
      <c r="CY831" s="346">
        <f t="shared" si="1347"/>
        <v>0</v>
      </c>
      <c r="CZ831" s="346">
        <f t="shared" si="1347"/>
        <v>0</v>
      </c>
      <c r="DA831" s="346">
        <f t="shared" si="1347"/>
        <v>0</v>
      </c>
      <c r="DB831" s="1479">
        <f t="shared" si="1347"/>
        <v>0</v>
      </c>
      <c r="DC831" s="346">
        <f t="shared" si="1347"/>
        <v>0</v>
      </c>
      <c r="DD831" s="346">
        <f t="shared" si="1347"/>
        <v>0</v>
      </c>
      <c r="DE831" s="346">
        <f t="shared" si="1347"/>
        <v>0</v>
      </c>
      <c r="DF831" s="346">
        <f t="shared" si="1347"/>
        <v>0</v>
      </c>
      <c r="DG831" s="346">
        <f t="shared" si="1347"/>
        <v>0</v>
      </c>
      <c r="DH831" s="346">
        <f t="shared" si="1347"/>
        <v>0</v>
      </c>
      <c r="DI831" s="346">
        <f t="shared" si="1347"/>
        <v>0</v>
      </c>
      <c r="DJ831" s="346">
        <f t="shared" si="1347"/>
        <v>0</v>
      </c>
      <c r="DK831" s="346">
        <f t="shared" ref="DK831:EP831" si="1348">DK403</f>
        <v>0</v>
      </c>
      <c r="DL831" s="346">
        <f t="shared" si="1348"/>
        <v>0</v>
      </c>
      <c r="DM831" s="346">
        <f t="shared" si="1348"/>
        <v>0</v>
      </c>
      <c r="DN831" s="348">
        <f t="shared" si="1348"/>
        <v>0</v>
      </c>
      <c r="DO831" s="346">
        <f t="shared" si="1348"/>
        <v>0</v>
      </c>
      <c r="DP831" s="346">
        <f t="shared" si="1348"/>
        <v>0.90681567799999996</v>
      </c>
      <c r="DQ831" s="346">
        <f t="shared" si="1348"/>
        <v>0.38348786499999998</v>
      </c>
      <c r="DR831" s="346">
        <f t="shared" si="1348"/>
        <v>0.33097658699999999</v>
      </c>
      <c r="DS831" s="346">
        <f t="shared" si="1348"/>
        <v>1.125692345</v>
      </c>
      <c r="DT831" s="346">
        <f t="shared" si="1348"/>
        <v>0.68547370600000002</v>
      </c>
      <c r="DU831" s="346">
        <f t="shared" si="1348"/>
        <v>1.83866822</v>
      </c>
      <c r="DV831" s="346">
        <f t="shared" si="1348"/>
        <v>0.895850076</v>
      </c>
      <c r="DW831" s="346">
        <f t="shared" si="1348"/>
        <v>0.67624568200000001</v>
      </c>
      <c r="DX831" s="346">
        <f t="shared" si="1348"/>
        <v>0</v>
      </c>
      <c r="DY831" s="346">
        <f t="shared" si="1348"/>
        <v>0.69160871599999996</v>
      </c>
      <c r="DZ831" s="348">
        <f t="shared" si="1348"/>
        <v>0.39572780299999999</v>
      </c>
      <c r="EA831" s="346">
        <f t="shared" si="1348"/>
        <v>0</v>
      </c>
      <c r="EB831" s="346">
        <f t="shared" si="1348"/>
        <v>2.0503156069999999</v>
      </c>
      <c r="EC831" s="346">
        <f t="shared" si="1348"/>
        <v>0.351680628</v>
      </c>
      <c r="ED831" s="346">
        <f t="shared" si="1348"/>
        <v>1.0221471120000001</v>
      </c>
      <c r="EE831" s="346">
        <f t="shared" si="1348"/>
        <v>0.18429639</v>
      </c>
      <c r="EF831" s="346">
        <f t="shared" si="1348"/>
        <v>0.25678657999999999</v>
      </c>
      <c r="EG831" s="346">
        <f t="shared" si="1348"/>
        <v>1.1779829749999999</v>
      </c>
      <c r="EH831" s="346">
        <f t="shared" si="1348"/>
        <v>0.61263820300000005</v>
      </c>
      <c r="EI831" s="346">
        <f t="shared" si="1348"/>
        <v>0.68120150300000004</v>
      </c>
      <c r="EJ831" s="346">
        <f t="shared" si="1348"/>
        <v>0.61466597499999998</v>
      </c>
      <c r="EK831" s="346">
        <f t="shared" si="1348"/>
        <v>1.5176405449999999</v>
      </c>
      <c r="EL831" s="348">
        <f t="shared" si="1348"/>
        <v>0.21711618699999999</v>
      </c>
      <c r="EM831" s="346">
        <f t="shared" si="1348"/>
        <v>0</v>
      </c>
      <c r="EN831" s="346">
        <f t="shared" si="1348"/>
        <v>0</v>
      </c>
      <c r="EO831" s="346">
        <f t="shared" si="1348"/>
        <v>0</v>
      </c>
      <c r="EP831" s="346">
        <f t="shared" si="1348"/>
        <v>0</v>
      </c>
      <c r="EQ831" s="346">
        <f t="shared" ref="EQ831:FV831" si="1349">EQ403</f>
        <v>0</v>
      </c>
      <c r="ER831" s="346">
        <f t="shared" si="1349"/>
        <v>0</v>
      </c>
      <c r="ES831" s="346">
        <f t="shared" si="1349"/>
        <v>0</v>
      </c>
      <c r="ET831" s="346">
        <f t="shared" si="1349"/>
        <v>0</v>
      </c>
      <c r="EU831" s="346">
        <f t="shared" si="1349"/>
        <v>0</v>
      </c>
      <c r="EV831" s="346">
        <f t="shared" si="1349"/>
        <v>0</v>
      </c>
      <c r="EW831" s="346">
        <f t="shared" si="1349"/>
        <v>0</v>
      </c>
      <c r="EX831" s="348">
        <f t="shared" si="1349"/>
        <v>0</v>
      </c>
      <c r="EY831" s="346">
        <f t="shared" si="1349"/>
        <v>0</v>
      </c>
      <c r="EZ831" s="346">
        <f t="shared" si="1349"/>
        <v>0</v>
      </c>
      <c r="FA831" s="346">
        <f t="shared" si="1349"/>
        <v>0</v>
      </c>
      <c r="FB831" s="346">
        <f t="shared" si="1349"/>
        <v>0</v>
      </c>
      <c r="FC831" s="346">
        <f t="shared" si="1349"/>
        <v>0</v>
      </c>
      <c r="FD831" s="346">
        <f t="shared" si="1349"/>
        <v>0</v>
      </c>
      <c r="FE831" s="346">
        <f t="shared" si="1349"/>
        <v>0</v>
      </c>
      <c r="FF831" s="346">
        <f t="shared" si="1349"/>
        <v>0</v>
      </c>
      <c r="FG831" s="346">
        <f t="shared" si="1349"/>
        <v>0</v>
      </c>
      <c r="FH831" s="346">
        <f t="shared" si="1349"/>
        <v>0</v>
      </c>
      <c r="FI831" s="346">
        <f t="shared" si="1349"/>
        <v>0</v>
      </c>
      <c r="FJ831" s="348">
        <f t="shared" si="1349"/>
        <v>0</v>
      </c>
      <c r="FK831" s="346">
        <f t="shared" si="1349"/>
        <v>0</v>
      </c>
      <c r="FL831" s="346">
        <f t="shared" si="1349"/>
        <v>0</v>
      </c>
      <c r="FM831" s="346">
        <f t="shared" si="1349"/>
        <v>0</v>
      </c>
      <c r="FN831" s="346">
        <f t="shared" si="1349"/>
        <v>0</v>
      </c>
      <c r="FO831" s="346">
        <f t="shared" si="1349"/>
        <v>0</v>
      </c>
      <c r="FP831" s="346">
        <f t="shared" si="1349"/>
        <v>0</v>
      </c>
      <c r="FQ831" s="346">
        <f t="shared" si="1349"/>
        <v>0</v>
      </c>
      <c r="FR831" s="346">
        <f t="shared" si="1349"/>
        <v>0</v>
      </c>
      <c r="FS831" s="346">
        <f t="shared" si="1349"/>
        <v>0</v>
      </c>
      <c r="FT831" s="346">
        <f t="shared" si="1349"/>
        <v>0</v>
      </c>
      <c r="FU831" s="346">
        <f t="shared" si="1349"/>
        <v>0</v>
      </c>
      <c r="FV831" s="346">
        <f t="shared" si="1349"/>
        <v>0</v>
      </c>
      <c r="FW831" s="346">
        <v>0</v>
      </c>
      <c r="FX831" s="346">
        <v>0</v>
      </c>
      <c r="FY831" s="346">
        <v>0</v>
      </c>
      <c r="FZ831" s="346">
        <v>0</v>
      </c>
      <c r="GA831" s="346">
        <v>0</v>
      </c>
      <c r="GB831" s="346">
        <v>0</v>
      </c>
      <c r="GC831" s="346">
        <v>0</v>
      </c>
      <c r="GD831" s="346">
        <v>0</v>
      </c>
      <c r="GE831" s="346">
        <v>0</v>
      </c>
      <c r="GF831" s="346">
        <v>0</v>
      </c>
      <c r="GG831" s="346">
        <v>0</v>
      </c>
      <c r="GH831" s="346">
        <v>0</v>
      </c>
      <c r="GI831" s="346">
        <v>0</v>
      </c>
      <c r="GJ831" s="346">
        <v>0</v>
      </c>
      <c r="GK831" s="346">
        <v>0</v>
      </c>
      <c r="GL831" s="346">
        <v>0</v>
      </c>
      <c r="GM831" s="346">
        <v>0</v>
      </c>
      <c r="GN831" s="346">
        <v>0</v>
      </c>
      <c r="GO831" s="346">
        <v>0</v>
      </c>
      <c r="GP831" s="346">
        <v>0</v>
      </c>
      <c r="GQ831" s="346">
        <v>0</v>
      </c>
      <c r="GR831" s="346">
        <v>0</v>
      </c>
      <c r="GS831" s="346">
        <v>0</v>
      </c>
      <c r="GT831" s="346">
        <v>0</v>
      </c>
      <c r="GU831" s="346">
        <v>0</v>
      </c>
      <c r="GV831" s="346">
        <v>0</v>
      </c>
      <c r="GW831" s="346">
        <v>0</v>
      </c>
      <c r="GX831" s="346">
        <v>0</v>
      </c>
      <c r="GY831" s="346">
        <v>0</v>
      </c>
      <c r="GZ831" s="346">
        <v>0</v>
      </c>
      <c r="HA831" s="346">
        <v>0</v>
      </c>
      <c r="HB831" s="346">
        <v>0</v>
      </c>
      <c r="HC831" s="346">
        <v>0</v>
      </c>
      <c r="HD831" s="346">
        <v>0</v>
      </c>
      <c r="HE831" s="346">
        <v>0</v>
      </c>
      <c r="HF831" s="346">
        <v>0</v>
      </c>
      <c r="HG831" s="346">
        <v>0</v>
      </c>
      <c r="HH831" s="346">
        <v>0</v>
      </c>
      <c r="HI831" s="346">
        <v>0</v>
      </c>
      <c r="HJ831" s="346">
        <v>0</v>
      </c>
      <c r="HK831" s="346">
        <v>0</v>
      </c>
      <c r="HL831" s="346">
        <v>0</v>
      </c>
      <c r="HM831" s="346"/>
      <c r="HN831" s="349"/>
      <c r="HO831" s="355" t="s">
        <v>570</v>
      </c>
      <c r="HP831" s="307">
        <f>SUM(CE831:CJ831)</f>
        <v>0</v>
      </c>
      <c r="HQ831" s="302">
        <f>SUM(CK831:CP831)</f>
        <v>0</v>
      </c>
      <c r="HR831" s="346">
        <f>HP831+HQ831</f>
        <v>0</v>
      </c>
      <c r="HS831" s="302">
        <f>SUM(CQ831:CV831)</f>
        <v>0</v>
      </c>
      <c r="HT831" s="302">
        <f>SUM(CW831:DB831)</f>
        <v>0</v>
      </c>
      <c r="HU831" s="346">
        <f>HS831+HT831</f>
        <v>0</v>
      </c>
      <c r="HV831" s="307">
        <f>SUM(DC831:DH831)</f>
        <v>0</v>
      </c>
      <c r="HW831" s="302">
        <f>SUM(DI831:DN831)</f>
        <v>0</v>
      </c>
      <c r="HX831" s="346">
        <f>HV831+HW831</f>
        <v>0</v>
      </c>
      <c r="HY831" s="350">
        <f>SUM(DO831:DT831)</f>
        <v>3.4324461809999995</v>
      </c>
      <c r="HZ831" s="302">
        <f>SUM(DU831:DZ831)</f>
        <v>4.4981004970000003</v>
      </c>
      <c r="IA831" s="346">
        <f>HY831+HZ831</f>
        <v>7.9305466779999998</v>
      </c>
      <c r="IB831" s="302">
        <f>SUM(EA831:EF831)</f>
        <v>3.8652263170000003</v>
      </c>
      <c r="IC831" s="302">
        <f>SUM(EG831:EL831)</f>
        <v>4.8212453879999995</v>
      </c>
      <c r="ID831" s="346">
        <f>IB831+IC831</f>
        <v>8.6864717049999989</v>
      </c>
      <c r="IE831" s="350">
        <f>SUM(EM831:ER831)</f>
        <v>0</v>
      </c>
      <c r="IF831" s="350">
        <f>SUM(ES831:EX831)</f>
        <v>0</v>
      </c>
      <c r="IG831" s="346">
        <f>IE831+IF831</f>
        <v>0</v>
      </c>
      <c r="IH831" s="350">
        <f>SUM(EY831:FD831)</f>
        <v>0</v>
      </c>
      <c r="II831" s="350">
        <f>SUM(FE831:FJ831)</f>
        <v>0</v>
      </c>
      <c r="IJ831" s="346">
        <f>IH831+II831</f>
        <v>0</v>
      </c>
      <c r="IK831" s="350">
        <f>SUM(FK831:FP831)</f>
        <v>0</v>
      </c>
      <c r="IL831" s="350">
        <f>SUM(FQ831:FV831)</f>
        <v>0</v>
      </c>
      <c r="IM831" s="346">
        <f>IK831+IL831</f>
        <v>0</v>
      </c>
      <c r="IN831" s="350">
        <f t="shared" si="1342"/>
        <v>0</v>
      </c>
      <c r="IO831" s="350">
        <f t="shared" si="1343"/>
        <v>0</v>
      </c>
      <c r="IP831" s="346">
        <f t="shared" si="1294"/>
        <v>0</v>
      </c>
      <c r="IQ831" s="350">
        <f>SUM(GI831:GN831)</f>
        <v>0</v>
      </c>
      <c r="IR831" s="350">
        <f>SUM(GO831:GT831)</f>
        <v>0</v>
      </c>
      <c r="IS831" s="346">
        <f t="shared" si="1304"/>
        <v>0</v>
      </c>
      <c r="IT831" s="350">
        <f>SUM(GU831:GZ831)</f>
        <v>0</v>
      </c>
      <c r="IU831" s="350">
        <f t="shared" si="1332"/>
        <v>0</v>
      </c>
      <c r="IV831" s="346">
        <f t="shared" si="1235"/>
        <v>0</v>
      </c>
      <c r="IW831" s="350">
        <f t="shared" si="1256"/>
        <v>0</v>
      </c>
      <c r="IX831" s="350">
        <f t="shared" si="1252"/>
        <v>0</v>
      </c>
      <c r="IY831" s="346">
        <f>FISC!AJ1147</f>
        <v>0</v>
      </c>
      <c r="IZ831" s="350">
        <f>JB831*0.5</f>
        <v>0</v>
      </c>
      <c r="JA831" s="302">
        <f>JB831-IZ831</f>
        <v>0</v>
      </c>
      <c r="JB831" s="346">
        <f>FISC!AK1147</f>
        <v>0</v>
      </c>
      <c r="JC831" s="350">
        <f>JE831*0.5</f>
        <v>0</v>
      </c>
      <c r="JD831" s="302">
        <f>JE831-JC831</f>
        <v>0</v>
      </c>
      <c r="JE831" s="346">
        <f>FISC!AL1147</f>
        <v>0</v>
      </c>
      <c r="JF831" s="350">
        <f>JH831*0.5</f>
        <v>0</v>
      </c>
      <c r="JG831" s="302">
        <f>JH831-JF831</f>
        <v>0</v>
      </c>
      <c r="JH831" s="346">
        <f>FISC!AM1147</f>
        <v>0</v>
      </c>
      <c r="JI831" s="350">
        <f>JK831*0.5</f>
        <v>0</v>
      </c>
      <c r="JJ831" s="302">
        <f>JK831-JI831</f>
        <v>0</v>
      </c>
      <c r="JK831" s="346">
        <f>FISC!AN1147</f>
        <v>0</v>
      </c>
      <c r="JL831" s="350">
        <f>JN831*0.5</f>
        <v>0</v>
      </c>
      <c r="JM831" s="302">
        <f>JN831-JL831</f>
        <v>0</v>
      </c>
      <c r="JN831" s="346">
        <f>FISC!AO1147</f>
        <v>0</v>
      </c>
      <c r="KI831" s="349"/>
      <c r="KJ831" s="350"/>
    </row>
    <row r="832" spans="1:302" hidden="1" outlineLevel="1">
      <c r="A832" s="302"/>
      <c r="B832" s="117" t="s">
        <v>361</v>
      </c>
      <c r="D832" s="355" t="s">
        <v>571</v>
      </c>
      <c r="E832" s="346">
        <f>E399</f>
        <v>0</v>
      </c>
      <c r="F832" s="346"/>
      <c r="G832" s="346"/>
      <c r="H832" s="346"/>
      <c r="I832" s="346"/>
      <c r="J832" s="346"/>
      <c r="K832" s="346"/>
      <c r="L832" s="346"/>
      <c r="M832" s="346"/>
      <c r="N832" s="346"/>
      <c r="O832" s="346"/>
      <c r="P832" s="346"/>
      <c r="Q832" s="346"/>
      <c r="R832" s="346"/>
      <c r="S832" s="346"/>
      <c r="T832" s="346"/>
      <c r="U832" s="346"/>
      <c r="V832" s="346"/>
      <c r="W832" s="346"/>
      <c r="X832" s="346"/>
      <c r="Y832" s="346"/>
      <c r="Z832" s="346"/>
      <c r="AA832" s="346"/>
      <c r="AB832" s="346"/>
      <c r="AC832" s="346"/>
      <c r="AD832" s="346"/>
      <c r="AE832" s="346"/>
      <c r="AF832" s="346"/>
      <c r="AG832" s="346"/>
      <c r="AH832" s="346"/>
      <c r="AI832" s="346"/>
      <c r="AJ832" s="346"/>
      <c r="AK832" s="346"/>
      <c r="AL832" s="346"/>
      <c r="AM832" s="346"/>
      <c r="AN832" s="346"/>
      <c r="AO832" s="346"/>
      <c r="AP832" s="346"/>
      <c r="AQ832" s="346"/>
      <c r="AR832" s="346"/>
      <c r="AS832" s="346"/>
      <c r="AT832" s="346"/>
      <c r="AU832" s="346"/>
      <c r="AV832" s="346"/>
      <c r="AW832" s="346"/>
      <c r="AX832" s="346"/>
      <c r="AY832" s="346"/>
      <c r="AZ832" s="346"/>
      <c r="BA832" s="346"/>
      <c r="BB832" s="346"/>
      <c r="BC832" s="346"/>
      <c r="BD832" s="346"/>
      <c r="BE832" s="346"/>
      <c r="BF832" s="346"/>
      <c r="BG832" s="346">
        <v>0</v>
      </c>
      <c r="BH832" s="346">
        <v>0</v>
      </c>
      <c r="BI832" s="346">
        <v>0</v>
      </c>
      <c r="BJ832" s="346">
        <v>0</v>
      </c>
      <c r="BK832" s="346">
        <v>0</v>
      </c>
      <c r="BL832" s="346">
        <v>7.7469200000000002E-2</v>
      </c>
      <c r="BM832" s="346">
        <v>0</v>
      </c>
      <c r="BN832" s="346">
        <v>0</v>
      </c>
      <c r="BO832" s="346">
        <v>0</v>
      </c>
      <c r="BP832" s="346">
        <v>0</v>
      </c>
      <c r="BQ832" s="346">
        <v>2.2961568000000002E-2</v>
      </c>
      <c r="BR832" s="346">
        <v>0</v>
      </c>
      <c r="BS832" s="346">
        <v>0</v>
      </c>
      <c r="BT832" s="346">
        <v>5.7129340000000002E-3</v>
      </c>
      <c r="BU832" s="346">
        <v>0.02</v>
      </c>
      <c r="BV832" s="346">
        <v>0</v>
      </c>
      <c r="BW832" s="346">
        <v>2.7203486999999998E-2</v>
      </c>
      <c r="BX832" s="346">
        <v>0</v>
      </c>
      <c r="BY832" s="346">
        <v>0</v>
      </c>
      <c r="BZ832" s="346">
        <v>8.9999999999999993E-3</v>
      </c>
      <c r="CA832" s="346">
        <v>8.9999999999999993E-3</v>
      </c>
      <c r="CB832" s="346">
        <v>0.11464108000000001</v>
      </c>
      <c r="CC832" s="346">
        <v>4.3355096000000003E-2</v>
      </c>
      <c r="CD832" s="352">
        <v>6.5702399999999998E-3</v>
      </c>
      <c r="CE832" s="346">
        <f t="shared" ref="CE832:DJ832" si="1350">CE404</f>
        <v>0</v>
      </c>
      <c r="CF832" s="346">
        <f t="shared" si="1350"/>
        <v>0</v>
      </c>
      <c r="CG832" s="346">
        <f t="shared" si="1350"/>
        <v>0</v>
      </c>
      <c r="CH832" s="346">
        <f t="shared" si="1350"/>
        <v>0</v>
      </c>
      <c r="CI832" s="346">
        <f t="shared" si="1350"/>
        <v>0</v>
      </c>
      <c r="CJ832" s="346">
        <f t="shared" si="1350"/>
        <v>0</v>
      </c>
      <c r="CK832" s="346">
        <f t="shared" si="1350"/>
        <v>0</v>
      </c>
      <c r="CL832" s="346">
        <f t="shared" si="1350"/>
        <v>0</v>
      </c>
      <c r="CM832" s="346">
        <f t="shared" si="1350"/>
        <v>0.2542954</v>
      </c>
      <c r="CN832" s="346">
        <f t="shared" si="1350"/>
        <v>0.26661556800000002</v>
      </c>
      <c r="CO832" s="346">
        <f t="shared" si="1350"/>
        <v>0.22116103400000001</v>
      </c>
      <c r="CP832" s="348">
        <f t="shared" si="1350"/>
        <v>1.035740576</v>
      </c>
      <c r="CQ832" s="346">
        <f t="shared" si="1350"/>
        <v>0</v>
      </c>
      <c r="CR832" s="346">
        <f t="shared" si="1350"/>
        <v>4.0655023459999997</v>
      </c>
      <c r="CS832" s="346">
        <f t="shared" si="1350"/>
        <v>0</v>
      </c>
      <c r="CT832" s="346">
        <f t="shared" si="1350"/>
        <v>0</v>
      </c>
      <c r="CU832" s="346">
        <f t="shared" si="1350"/>
        <v>0</v>
      </c>
      <c r="CV832" s="346">
        <f t="shared" si="1350"/>
        <v>0</v>
      </c>
      <c r="CW832" s="346">
        <f t="shared" si="1350"/>
        <v>0</v>
      </c>
      <c r="CX832" s="346">
        <f t="shared" si="1350"/>
        <v>0</v>
      </c>
      <c r="CY832" s="346">
        <f t="shared" si="1350"/>
        <v>0</v>
      </c>
      <c r="CZ832" s="346">
        <f t="shared" si="1350"/>
        <v>0</v>
      </c>
      <c r="DA832" s="346">
        <f t="shared" si="1350"/>
        <v>0</v>
      </c>
      <c r="DB832" s="1479">
        <f t="shared" si="1350"/>
        <v>0</v>
      </c>
      <c r="DC832" s="346">
        <f t="shared" si="1350"/>
        <v>0</v>
      </c>
      <c r="DD832" s="346">
        <f t="shared" si="1350"/>
        <v>0.797263889</v>
      </c>
      <c r="DE832" s="346">
        <f t="shared" si="1350"/>
        <v>0.474702024</v>
      </c>
      <c r="DF832" s="346">
        <f t="shared" si="1350"/>
        <v>0.50410943100000005</v>
      </c>
      <c r="DG832" s="346">
        <f t="shared" si="1350"/>
        <v>1.75753563</v>
      </c>
      <c r="DH832" s="346">
        <f t="shared" si="1350"/>
        <v>1.4217011369999999</v>
      </c>
      <c r="DI832" s="346">
        <f t="shared" si="1350"/>
        <v>1.3901956259999999</v>
      </c>
      <c r="DJ832" s="346">
        <f t="shared" si="1350"/>
        <v>0.49473200699999997</v>
      </c>
      <c r="DK832" s="346">
        <f t="shared" ref="DK832:EP832" si="1351">DK404</f>
        <v>2.1810115209999998</v>
      </c>
      <c r="DL832" s="346">
        <f t="shared" si="1351"/>
        <v>9.7115288999999994E-2</v>
      </c>
      <c r="DM832" s="346">
        <f t="shared" si="1351"/>
        <v>0.92243837299999998</v>
      </c>
      <c r="DN832" s="348">
        <f t="shared" si="1351"/>
        <v>0.71804074299999998</v>
      </c>
      <c r="DO832" s="346">
        <f t="shared" si="1351"/>
        <v>0</v>
      </c>
      <c r="DP832" s="346">
        <f t="shared" si="1351"/>
        <v>0</v>
      </c>
      <c r="DQ832" s="346">
        <f t="shared" si="1351"/>
        <v>0</v>
      </c>
      <c r="DR832" s="346">
        <f t="shared" si="1351"/>
        <v>0</v>
      </c>
      <c r="DS832" s="346">
        <f t="shared" si="1351"/>
        <v>0</v>
      </c>
      <c r="DT832" s="346">
        <f t="shared" si="1351"/>
        <v>0</v>
      </c>
      <c r="DU832" s="346">
        <f t="shared" si="1351"/>
        <v>0.234643296</v>
      </c>
      <c r="DV832" s="346">
        <f t="shared" si="1351"/>
        <v>0</v>
      </c>
      <c r="DW832" s="346">
        <f t="shared" si="1351"/>
        <v>0</v>
      </c>
      <c r="DX832" s="346">
        <f t="shared" si="1351"/>
        <v>0</v>
      </c>
      <c r="DY832" s="346">
        <f t="shared" si="1351"/>
        <v>3.9107216E-2</v>
      </c>
      <c r="DZ832" s="348">
        <f t="shared" si="1351"/>
        <v>0</v>
      </c>
      <c r="EA832" s="346">
        <f t="shared" si="1351"/>
        <v>0</v>
      </c>
      <c r="EB832" s="346">
        <f t="shared" si="1351"/>
        <v>0</v>
      </c>
      <c r="EC832" s="346">
        <f t="shared" si="1351"/>
        <v>0</v>
      </c>
      <c r="ED832" s="346">
        <f t="shared" si="1351"/>
        <v>5.0789550000000003E-2</v>
      </c>
      <c r="EE832" s="346">
        <f t="shared" si="1351"/>
        <v>0</v>
      </c>
      <c r="EF832" s="346">
        <f t="shared" si="1351"/>
        <v>0</v>
      </c>
      <c r="EG832" s="346">
        <f t="shared" si="1351"/>
        <v>0</v>
      </c>
      <c r="EH832" s="346">
        <f t="shared" si="1351"/>
        <v>0</v>
      </c>
      <c r="EI832" s="346">
        <f t="shared" si="1351"/>
        <v>0</v>
      </c>
      <c r="EJ832" s="346">
        <f t="shared" si="1351"/>
        <v>0</v>
      </c>
      <c r="EK832" s="346">
        <f t="shared" si="1351"/>
        <v>0</v>
      </c>
      <c r="EL832" s="348">
        <f t="shared" si="1351"/>
        <v>0</v>
      </c>
      <c r="EM832" s="346">
        <f t="shared" si="1351"/>
        <v>0</v>
      </c>
      <c r="EN832" s="346">
        <f t="shared" si="1351"/>
        <v>2.1474258289999999</v>
      </c>
      <c r="EO832" s="346">
        <f t="shared" si="1351"/>
        <v>1.297912618</v>
      </c>
      <c r="EP832" s="346">
        <f t="shared" si="1351"/>
        <v>1.7814102860000001</v>
      </c>
      <c r="EQ832" s="346">
        <f t="shared" ref="EQ832:FV832" si="1352">EQ404</f>
        <v>0.91042977999999997</v>
      </c>
      <c r="ER832" s="346">
        <f t="shared" si="1352"/>
        <v>0.25753992399999998</v>
      </c>
      <c r="ES832" s="346">
        <f t="shared" si="1352"/>
        <v>1.526749642</v>
      </c>
      <c r="ET832" s="346">
        <f t="shared" si="1352"/>
        <v>1.4096522309999999</v>
      </c>
      <c r="EU832" s="346">
        <f t="shared" si="1352"/>
        <v>0.74918174699999995</v>
      </c>
      <c r="EV832" s="346">
        <f t="shared" si="1352"/>
        <v>2.6962906109999998</v>
      </c>
      <c r="EW832" s="346">
        <f t="shared" si="1352"/>
        <v>3.3346985710000001</v>
      </c>
      <c r="EX832" s="348">
        <f t="shared" si="1352"/>
        <v>0.19004532199999999</v>
      </c>
      <c r="EY832" s="346">
        <f t="shared" si="1352"/>
        <v>0</v>
      </c>
      <c r="EZ832" s="346">
        <f t="shared" si="1352"/>
        <v>1.1569729870000001</v>
      </c>
      <c r="FA832" s="346">
        <f t="shared" si="1352"/>
        <v>0.97422186200000005</v>
      </c>
      <c r="FB832" s="346">
        <f t="shared" si="1352"/>
        <v>3.3418907450000002</v>
      </c>
      <c r="FC832" s="346">
        <f t="shared" si="1352"/>
        <v>2.8252603459999999</v>
      </c>
      <c r="FD832" s="346">
        <f t="shared" si="1352"/>
        <v>0.70362932600000005</v>
      </c>
      <c r="FE832" s="346">
        <f t="shared" si="1352"/>
        <v>0.75011388099999998</v>
      </c>
      <c r="FF832" s="346">
        <f t="shared" si="1352"/>
        <v>0.234275123</v>
      </c>
      <c r="FG832" s="346">
        <f t="shared" si="1352"/>
        <v>0.20701749</v>
      </c>
      <c r="FH832" s="346">
        <f t="shared" si="1352"/>
        <v>0.34473253999999998</v>
      </c>
      <c r="FI832" s="346">
        <f t="shared" si="1352"/>
        <v>2.1641653459999999</v>
      </c>
      <c r="FJ832" s="348">
        <f t="shared" si="1352"/>
        <v>0.46451168500000001</v>
      </c>
      <c r="FK832" s="346">
        <f t="shared" si="1352"/>
        <v>1.3891765890000001</v>
      </c>
      <c r="FL832" s="346">
        <f t="shared" si="1352"/>
        <v>3.5004572999999997E-2</v>
      </c>
      <c r="FM832" s="346">
        <f t="shared" si="1352"/>
        <v>0.63186247100000004</v>
      </c>
      <c r="FN832" s="346">
        <f t="shared" si="1352"/>
        <v>1.5151116259999999</v>
      </c>
      <c r="FO832" s="346">
        <f t="shared" si="1352"/>
        <v>2.5331835659999999</v>
      </c>
      <c r="FP832" s="346">
        <f t="shared" si="1352"/>
        <v>0.92782329500000005</v>
      </c>
      <c r="FQ832" s="346">
        <f t="shared" si="1352"/>
        <v>0</v>
      </c>
      <c r="FR832" s="346">
        <f t="shared" si="1352"/>
        <v>0</v>
      </c>
      <c r="FS832" s="346">
        <f t="shared" si="1352"/>
        <v>0</v>
      </c>
      <c r="FT832" s="346">
        <f t="shared" si="1352"/>
        <v>0</v>
      </c>
      <c r="FU832" s="346">
        <f t="shared" si="1352"/>
        <v>0</v>
      </c>
      <c r="FV832" s="346">
        <f t="shared" si="1352"/>
        <v>0</v>
      </c>
      <c r="FW832" s="346">
        <v>0</v>
      </c>
      <c r="FX832" s="346">
        <v>0</v>
      </c>
      <c r="FY832" s="346">
        <v>0</v>
      </c>
      <c r="FZ832" s="346">
        <v>0</v>
      </c>
      <c r="GA832" s="346">
        <v>0</v>
      </c>
      <c r="GB832" s="346">
        <v>0</v>
      </c>
      <c r="GC832" s="346">
        <v>0</v>
      </c>
      <c r="GD832" s="346">
        <v>0</v>
      </c>
      <c r="GE832" s="346">
        <v>0</v>
      </c>
      <c r="GF832" s="346">
        <v>0</v>
      </c>
      <c r="GG832" s="346">
        <v>0</v>
      </c>
      <c r="GH832" s="346">
        <v>0</v>
      </c>
      <c r="GI832" s="346">
        <v>0</v>
      </c>
      <c r="GJ832" s="346">
        <v>0</v>
      </c>
      <c r="GK832" s="346">
        <v>0</v>
      </c>
      <c r="GL832" s="346">
        <v>0</v>
      </c>
      <c r="GM832" s="346">
        <v>0</v>
      </c>
      <c r="GN832" s="346">
        <v>0</v>
      </c>
      <c r="GO832" s="346">
        <v>0</v>
      </c>
      <c r="GP832" s="346">
        <v>0</v>
      </c>
      <c r="GQ832" s="346">
        <v>0</v>
      </c>
      <c r="GR832" s="346">
        <v>0</v>
      </c>
      <c r="GS832" s="346">
        <v>0</v>
      </c>
      <c r="GT832" s="346">
        <v>0</v>
      </c>
      <c r="GU832" s="346">
        <v>0</v>
      </c>
      <c r="GV832" s="346">
        <v>0</v>
      </c>
      <c r="GW832" s="346">
        <v>0</v>
      </c>
      <c r="GX832" s="346">
        <v>0</v>
      </c>
      <c r="GY832" s="346">
        <v>0</v>
      </c>
      <c r="GZ832" s="346">
        <v>0</v>
      </c>
      <c r="HA832" s="346">
        <v>0</v>
      </c>
      <c r="HB832" s="346">
        <v>0</v>
      </c>
      <c r="HC832" s="346">
        <v>0</v>
      </c>
      <c r="HD832" s="346">
        <v>0</v>
      </c>
      <c r="HE832" s="346">
        <v>0</v>
      </c>
      <c r="HF832" s="346">
        <v>0</v>
      </c>
      <c r="HG832" s="346">
        <v>0</v>
      </c>
      <c r="HH832" s="346">
        <v>0</v>
      </c>
      <c r="HI832" s="346">
        <v>0</v>
      </c>
      <c r="HJ832" s="346">
        <v>0</v>
      </c>
      <c r="HK832" s="346">
        <v>0</v>
      </c>
      <c r="HL832" s="346">
        <v>0</v>
      </c>
      <c r="HM832" s="346"/>
      <c r="HN832" s="349"/>
      <c r="HO832" s="355" t="s">
        <v>571</v>
      </c>
      <c r="HP832" s="307">
        <f>SUM(CE832:CJ832)</f>
        <v>0</v>
      </c>
      <c r="HQ832" s="302">
        <f>SUM(CK832:CP832)</f>
        <v>1.777812578</v>
      </c>
      <c r="HR832" s="346">
        <f>HP832+HQ832</f>
        <v>1.777812578</v>
      </c>
      <c r="HS832" s="302">
        <f>SUM(CQ832:CV832)</f>
        <v>4.0655023459999997</v>
      </c>
      <c r="HT832" s="302">
        <f>SUM(CW832:DB832)</f>
        <v>0</v>
      </c>
      <c r="HU832" s="346">
        <f>HS832+HT832</f>
        <v>4.0655023459999997</v>
      </c>
      <c r="HV832" s="307">
        <f>SUM(DC832:DH832)</f>
        <v>4.9553121109999996</v>
      </c>
      <c r="HW832" s="302">
        <f>SUM(DI832:DN832)</f>
        <v>5.8035335589999999</v>
      </c>
      <c r="HX832" s="346">
        <f>HV832+HW832</f>
        <v>10.758845669999999</v>
      </c>
      <c r="HY832" s="350">
        <f>SUM(DO832:DT832)</f>
        <v>0</v>
      </c>
      <c r="HZ832" s="302">
        <f>SUM(DU832:DZ832)</f>
        <v>0.273750512</v>
      </c>
      <c r="IA832" s="346">
        <f>HY832+HZ832</f>
        <v>0.273750512</v>
      </c>
      <c r="IB832" s="302">
        <f>SUM(EA832:EF832)</f>
        <v>5.0789550000000003E-2</v>
      </c>
      <c r="IC832" s="302">
        <f>SUM(EG832:EL832)</f>
        <v>0</v>
      </c>
      <c r="ID832" s="346">
        <f>IB832+IC832</f>
        <v>5.0789550000000003E-2</v>
      </c>
      <c r="IE832" s="350">
        <f>SUM(EM832:ER832)</f>
        <v>6.3947184369999999</v>
      </c>
      <c r="IF832" s="350">
        <f>SUM(ES832:EX832)</f>
        <v>9.9066181239999995</v>
      </c>
      <c r="IG832" s="346">
        <f>IE832+IF832</f>
        <v>16.301336560999999</v>
      </c>
      <c r="IH832" s="350">
        <f>SUM(EY832:FD832)</f>
        <v>9.0019752660000005</v>
      </c>
      <c r="II832" s="350">
        <f>SUM(FE832:FJ832)</f>
        <v>4.1648160650000001</v>
      </c>
      <c r="IJ832" s="346">
        <f>IH832+II832</f>
        <v>13.166791331000001</v>
      </c>
      <c r="IK832" s="350">
        <f>SUM(FK832:FP832)</f>
        <v>7.0321621199999989</v>
      </c>
      <c r="IL832" s="350">
        <f>SUM(FQ832:FV832)</f>
        <v>0</v>
      </c>
      <c r="IM832" s="346">
        <f t="shared" si="1183"/>
        <v>7.0321621199999989</v>
      </c>
      <c r="IN832" s="350">
        <f t="shared" si="1342"/>
        <v>0</v>
      </c>
      <c r="IO832" s="350">
        <f t="shared" si="1343"/>
        <v>0</v>
      </c>
      <c r="IP832" s="346">
        <f t="shared" si="1294"/>
        <v>0</v>
      </c>
      <c r="IQ832" s="350">
        <f>SUM(GI832:GN832)</f>
        <v>0</v>
      </c>
      <c r="IR832" s="350">
        <f>SUM(GO832:GT832)</f>
        <v>0</v>
      </c>
      <c r="IS832" s="346">
        <f t="shared" si="1304"/>
        <v>0</v>
      </c>
      <c r="IT832" s="350">
        <f>SUM(GU832:GZ832)</f>
        <v>0</v>
      </c>
      <c r="IU832" s="350">
        <f t="shared" si="1332"/>
        <v>0</v>
      </c>
      <c r="IV832" s="346">
        <f t="shared" si="1235"/>
        <v>0</v>
      </c>
      <c r="IW832" s="350">
        <f t="shared" si="1256"/>
        <v>0</v>
      </c>
      <c r="IX832" s="350">
        <f t="shared" si="1252"/>
        <v>0</v>
      </c>
      <c r="IY832" s="346">
        <f>FISC!AJ1148</f>
        <v>0</v>
      </c>
      <c r="IZ832" s="350">
        <f>JB832*0.5</f>
        <v>0</v>
      </c>
      <c r="JA832" s="302">
        <f>JB832-IZ832</f>
        <v>0</v>
      </c>
      <c r="JB832" s="346">
        <f>FISC!AK1148</f>
        <v>0</v>
      </c>
      <c r="JC832" s="350">
        <f>JE832*0.5</f>
        <v>0</v>
      </c>
      <c r="JD832" s="302">
        <f>JE832-JC832</f>
        <v>0</v>
      </c>
      <c r="JE832" s="346">
        <f>FISC!AL1148</f>
        <v>0</v>
      </c>
      <c r="JF832" s="350">
        <f>JH832*0.5</f>
        <v>0</v>
      </c>
      <c r="JG832" s="302">
        <f>JH832-JF832</f>
        <v>0</v>
      </c>
      <c r="JH832" s="346">
        <f>FISC!AM1148</f>
        <v>0</v>
      </c>
      <c r="JI832" s="350">
        <f>JK832*0.5</f>
        <v>0</v>
      </c>
      <c r="JJ832" s="302">
        <f>JK832-JI832</f>
        <v>0</v>
      </c>
      <c r="JK832" s="346">
        <f>FISC!AN1148</f>
        <v>0</v>
      </c>
      <c r="JL832" s="350">
        <f>JN832*0.5</f>
        <v>0</v>
      </c>
      <c r="JM832" s="302">
        <f>JN832-JL832</f>
        <v>0</v>
      </c>
      <c r="JN832" s="346">
        <f>FISC!AO1148</f>
        <v>0</v>
      </c>
      <c r="KI832" s="349"/>
      <c r="KJ832" s="350"/>
    </row>
    <row r="833" spans="1:302" hidden="1" outlineLevel="1">
      <c r="A833" s="302"/>
      <c r="B833" s="117" t="s">
        <v>361</v>
      </c>
      <c r="D833" s="354" t="s">
        <v>3099</v>
      </c>
      <c r="E833" s="346"/>
      <c r="F833" s="346"/>
      <c r="G833" s="346"/>
      <c r="H833" s="346"/>
      <c r="I833" s="346"/>
      <c r="J833" s="346"/>
      <c r="K833" s="346"/>
      <c r="L833" s="346"/>
      <c r="M833" s="346"/>
      <c r="N833" s="346"/>
      <c r="O833" s="346"/>
      <c r="P833" s="346"/>
      <c r="Q833" s="346"/>
      <c r="R833" s="346"/>
      <c r="S833" s="346"/>
      <c r="T833" s="346"/>
      <c r="U833" s="346"/>
      <c r="V833" s="346"/>
      <c r="W833" s="346"/>
      <c r="X833" s="346"/>
      <c r="Y833" s="346"/>
      <c r="Z833" s="346"/>
      <c r="AA833" s="346"/>
      <c r="AB833" s="346"/>
      <c r="AC833" s="346"/>
      <c r="AD833" s="346"/>
      <c r="AE833" s="346"/>
      <c r="AF833" s="346"/>
      <c r="AG833" s="346"/>
      <c r="AH833" s="346"/>
      <c r="AI833" s="346"/>
      <c r="AJ833" s="346"/>
      <c r="AK833" s="346"/>
      <c r="AL833" s="346"/>
      <c r="AM833" s="346"/>
      <c r="AN833" s="346"/>
      <c r="AO833" s="346"/>
      <c r="AP833" s="346"/>
      <c r="AQ833" s="346"/>
      <c r="AR833" s="346"/>
      <c r="AS833" s="346"/>
      <c r="AT833" s="346"/>
      <c r="AU833" s="346"/>
      <c r="AV833" s="346"/>
      <c r="AW833" s="346"/>
      <c r="AX833" s="346"/>
      <c r="AY833" s="346"/>
      <c r="AZ833" s="346"/>
      <c r="BA833" s="346"/>
      <c r="BB833" s="346"/>
      <c r="BC833" s="346"/>
      <c r="BD833" s="346"/>
      <c r="BE833" s="346"/>
      <c r="BF833" s="346"/>
      <c r="BG833" s="346"/>
      <c r="BH833" s="346"/>
      <c r="BI833" s="346"/>
      <c r="BJ833" s="346"/>
      <c r="BK833" s="346"/>
      <c r="BL833" s="346"/>
      <c r="BM833" s="346"/>
      <c r="BN833" s="346"/>
      <c r="BO833" s="346"/>
      <c r="BP833" s="346"/>
      <c r="BQ833" s="346"/>
      <c r="BR833" s="346"/>
      <c r="BS833" s="346"/>
      <c r="BT833" s="346"/>
      <c r="BU833" s="346"/>
      <c r="BV833" s="346"/>
      <c r="BW833" s="346"/>
      <c r="BX833" s="346"/>
      <c r="BY833" s="346"/>
      <c r="BZ833" s="346"/>
      <c r="CA833" s="346"/>
      <c r="CB833" s="346"/>
      <c r="CC833" s="346"/>
      <c r="CD833" s="352"/>
      <c r="CE833" s="346"/>
      <c r="CF833" s="346"/>
      <c r="CG833" s="346"/>
      <c r="CH833" s="346"/>
      <c r="CI833" s="346"/>
      <c r="CJ833" s="346"/>
      <c r="CK833" s="346"/>
      <c r="CL833" s="346"/>
      <c r="CM833" s="346"/>
      <c r="CN833" s="346"/>
      <c r="CO833" s="346"/>
      <c r="CP833" s="348"/>
      <c r="CQ833" s="346"/>
      <c r="CR833" s="346"/>
      <c r="CS833" s="346"/>
      <c r="CT833" s="346"/>
      <c r="CU833" s="346"/>
      <c r="CV833" s="346"/>
      <c r="CW833" s="346"/>
      <c r="CX833" s="346"/>
      <c r="CY833" s="346"/>
      <c r="CZ833" s="346"/>
      <c r="DA833" s="346"/>
      <c r="DB833" s="1479"/>
      <c r="DC833" s="346"/>
      <c r="DD833" s="346"/>
      <c r="DE833" s="346"/>
      <c r="DF833" s="346"/>
      <c r="DG833" s="346"/>
      <c r="DH833" s="346"/>
      <c r="DI833" s="346"/>
      <c r="DJ833" s="346"/>
      <c r="DK833" s="346"/>
      <c r="DL833" s="346"/>
      <c r="DM833" s="346"/>
      <c r="DN833" s="348"/>
      <c r="DO833" s="346"/>
      <c r="DP833" s="346"/>
      <c r="DQ833" s="346"/>
      <c r="DR833" s="346"/>
      <c r="DS833" s="346"/>
      <c r="DT833" s="346"/>
      <c r="DU833" s="346"/>
      <c r="DV833" s="346"/>
      <c r="DW833" s="346"/>
      <c r="DX833" s="346"/>
      <c r="DY833" s="346"/>
      <c r="DZ833" s="348"/>
      <c r="EA833" s="346"/>
      <c r="EB833" s="346"/>
      <c r="EC833" s="346"/>
      <c r="ED833" s="346"/>
      <c r="EE833" s="346"/>
      <c r="EF833" s="346"/>
      <c r="EG833" s="346"/>
      <c r="EH833" s="346"/>
      <c r="EI833" s="346"/>
      <c r="EJ833" s="346"/>
      <c r="EK833" s="346"/>
      <c r="EL833" s="348"/>
      <c r="EM833" s="346"/>
      <c r="EN833" s="346"/>
      <c r="EO833" s="346"/>
      <c r="EP833" s="346"/>
      <c r="EQ833" s="346"/>
      <c r="ER833" s="346"/>
      <c r="ES833" s="346"/>
      <c r="ET833" s="346"/>
      <c r="EU833" s="346"/>
      <c r="EV833" s="346"/>
      <c r="EW833" s="346"/>
      <c r="EX833" s="348"/>
      <c r="EY833" s="346"/>
      <c r="EZ833" s="346"/>
      <c r="FA833" s="346"/>
      <c r="FB833" s="346"/>
      <c r="FC833" s="346"/>
      <c r="FD833" s="346"/>
      <c r="FE833" s="346"/>
      <c r="FF833" s="346"/>
      <c r="FG833" s="346"/>
      <c r="FH833" s="346"/>
      <c r="FI833" s="346"/>
      <c r="FJ833" s="348"/>
      <c r="FK833" s="346"/>
      <c r="FL833" s="346"/>
      <c r="FM833" s="346"/>
      <c r="FN833" s="346"/>
      <c r="FO833" s="346"/>
      <c r="FP833" s="346"/>
      <c r="FQ833" s="346"/>
      <c r="FR833" s="346"/>
      <c r="FS833" s="346"/>
      <c r="FT833" s="346"/>
      <c r="FU833" s="346"/>
      <c r="FV833" s="346"/>
      <c r="FW833" s="346"/>
      <c r="FX833" s="346"/>
      <c r="FY833" s="346"/>
      <c r="FZ833" s="346"/>
      <c r="GA833" s="346"/>
      <c r="GB833" s="346"/>
      <c r="GC833" s="346"/>
      <c r="GD833" s="346"/>
      <c r="GE833" s="346"/>
      <c r="GF833" s="346"/>
      <c r="GG833" s="346"/>
      <c r="GH833" s="346"/>
      <c r="GI833" s="1897"/>
      <c r="HN833" s="349"/>
      <c r="HO833" s="354" t="s">
        <v>3104</v>
      </c>
      <c r="HP833" s="307"/>
      <c r="HR833" s="346"/>
      <c r="HU833" s="346"/>
      <c r="HV833" s="307"/>
      <c r="HX833" s="346"/>
      <c r="HY833" s="350"/>
      <c r="IA833" s="346"/>
      <c r="ID833" s="346"/>
      <c r="IE833" s="350"/>
      <c r="IF833" s="350"/>
      <c r="IG833" s="346"/>
      <c r="IH833" s="350"/>
      <c r="II833" s="350"/>
      <c r="IJ833" s="346"/>
      <c r="IK833" s="350"/>
      <c r="IL833" s="350"/>
      <c r="IM833" s="346"/>
      <c r="IN833" s="350">
        <f t="shared" si="1342"/>
        <v>0</v>
      </c>
      <c r="IO833" s="350">
        <f t="shared" si="1343"/>
        <v>0</v>
      </c>
      <c r="IP833" s="346">
        <f t="shared" si="1294"/>
        <v>0</v>
      </c>
      <c r="IQ833" s="350">
        <f>SUM(GI833:GN833)</f>
        <v>0</v>
      </c>
      <c r="IR833" s="350">
        <f>SUM(GO833:GT833)</f>
        <v>0</v>
      </c>
      <c r="IS833" s="346">
        <f t="shared" si="1304"/>
        <v>0</v>
      </c>
      <c r="IT833" s="350"/>
      <c r="IU833" s="350"/>
      <c r="IV833" s="346"/>
      <c r="IW833" s="350">
        <f t="shared" si="1256"/>
        <v>0</v>
      </c>
      <c r="IX833" s="350">
        <f t="shared" si="1252"/>
        <v>0</v>
      </c>
      <c r="IY833" s="346"/>
      <c r="IZ833" s="350"/>
      <c r="JB833" s="346">
        <f>FISC!AK1149</f>
        <v>0</v>
      </c>
      <c r="JC833" s="350"/>
      <c r="JE833" s="346">
        <f>FISC!AL1149</f>
        <v>0</v>
      </c>
      <c r="JF833" s="350"/>
      <c r="JH833" s="346">
        <f>FISC!AM1149</f>
        <v>0</v>
      </c>
      <c r="JI833" s="350"/>
      <c r="JK833" s="346">
        <f>FISC!AN1149</f>
        <v>0</v>
      </c>
      <c r="JL833" s="350"/>
      <c r="JN833" s="346">
        <f>FISC!AO1149</f>
        <v>0</v>
      </c>
      <c r="KI833" s="349"/>
      <c r="KJ833" s="350"/>
    </row>
    <row r="834" spans="1:302" hidden="1" outlineLevel="1">
      <c r="A834" s="302"/>
      <c r="B834" s="117" t="s">
        <v>361</v>
      </c>
      <c r="D834" s="353" t="s">
        <v>592</v>
      </c>
      <c r="E834" s="346">
        <f t="shared" ref="E834:AJ834" si="1353">+E666-E754-E817</f>
        <v>0</v>
      </c>
      <c r="F834" s="346">
        <f t="shared" si="1353"/>
        <v>0</v>
      </c>
      <c r="G834" s="346">
        <f t="shared" si="1353"/>
        <v>0</v>
      </c>
      <c r="H834" s="346">
        <f t="shared" si="1353"/>
        <v>0</v>
      </c>
      <c r="I834" s="346">
        <f t="shared" si="1353"/>
        <v>0</v>
      </c>
      <c r="J834" s="346">
        <f t="shared" si="1353"/>
        <v>0</v>
      </c>
      <c r="K834" s="346">
        <f t="shared" si="1353"/>
        <v>0</v>
      </c>
      <c r="L834" s="346">
        <f t="shared" si="1353"/>
        <v>0</v>
      </c>
      <c r="M834" s="346">
        <f t="shared" si="1353"/>
        <v>0</v>
      </c>
      <c r="N834" s="346">
        <f t="shared" si="1353"/>
        <v>0</v>
      </c>
      <c r="O834" s="346">
        <f t="shared" si="1353"/>
        <v>0</v>
      </c>
      <c r="P834" s="346">
        <f t="shared" si="1353"/>
        <v>0</v>
      </c>
      <c r="Q834" s="346">
        <f t="shared" si="1353"/>
        <v>0</v>
      </c>
      <c r="R834" s="346">
        <f t="shared" si="1353"/>
        <v>0</v>
      </c>
      <c r="S834" s="346">
        <f t="shared" si="1353"/>
        <v>0</v>
      </c>
      <c r="T834" s="346">
        <f t="shared" si="1353"/>
        <v>0</v>
      </c>
      <c r="U834" s="346">
        <f t="shared" si="1353"/>
        <v>0</v>
      </c>
      <c r="V834" s="346">
        <f t="shared" si="1353"/>
        <v>0</v>
      </c>
      <c r="W834" s="346">
        <f t="shared" si="1353"/>
        <v>0</v>
      </c>
      <c r="X834" s="346">
        <f t="shared" si="1353"/>
        <v>0</v>
      </c>
      <c r="Y834" s="346">
        <f t="shared" si="1353"/>
        <v>0</v>
      </c>
      <c r="Z834" s="346">
        <f t="shared" si="1353"/>
        <v>0</v>
      </c>
      <c r="AA834" s="346">
        <f t="shared" si="1353"/>
        <v>0</v>
      </c>
      <c r="AB834" s="346">
        <f t="shared" si="1353"/>
        <v>0</v>
      </c>
      <c r="AC834" s="346">
        <f t="shared" si="1353"/>
        <v>0</v>
      </c>
      <c r="AD834" s="346">
        <f t="shared" si="1353"/>
        <v>0</v>
      </c>
      <c r="AE834" s="346">
        <f t="shared" si="1353"/>
        <v>0</v>
      </c>
      <c r="AF834" s="346">
        <f t="shared" si="1353"/>
        <v>0</v>
      </c>
      <c r="AG834" s="346">
        <f t="shared" si="1353"/>
        <v>0</v>
      </c>
      <c r="AH834" s="346">
        <f t="shared" si="1353"/>
        <v>0</v>
      </c>
      <c r="AI834" s="346">
        <f t="shared" si="1353"/>
        <v>0</v>
      </c>
      <c r="AJ834" s="346">
        <f t="shared" si="1353"/>
        <v>0</v>
      </c>
      <c r="AK834" s="346">
        <f t="shared" ref="AK834:BP834" si="1354">+AK666-AK754-AK817</f>
        <v>0</v>
      </c>
      <c r="AL834" s="346">
        <f t="shared" si="1354"/>
        <v>0</v>
      </c>
      <c r="AM834" s="346">
        <f t="shared" si="1354"/>
        <v>0</v>
      </c>
      <c r="AN834" s="346">
        <f t="shared" si="1354"/>
        <v>0</v>
      </c>
      <c r="AO834" s="346">
        <f t="shared" si="1354"/>
        <v>49.400217065693496</v>
      </c>
      <c r="AP834" s="346">
        <f t="shared" si="1354"/>
        <v>25.622571089368499</v>
      </c>
      <c r="AQ834" s="346">
        <f t="shared" si="1354"/>
        <v>49.377613606619597</v>
      </c>
      <c r="AR834" s="346">
        <f t="shared" si="1354"/>
        <v>47.635893483708863</v>
      </c>
      <c r="AS834" s="346">
        <f t="shared" si="1354"/>
        <v>35.294126524572633</v>
      </c>
      <c r="AT834" s="346">
        <f t="shared" si="1354"/>
        <v>142.50100410549555</v>
      </c>
      <c r="AU834" s="346">
        <f t="shared" si="1354"/>
        <v>35.926838502372902</v>
      </c>
      <c r="AV834" s="346">
        <f t="shared" si="1354"/>
        <v>37.058652320060034</v>
      </c>
      <c r="AW834" s="346">
        <f t="shared" si="1354"/>
        <v>97.305234257372689</v>
      </c>
      <c r="AX834" s="346">
        <f t="shared" si="1354"/>
        <v>64.11043239519249</v>
      </c>
      <c r="AY834" s="346">
        <f t="shared" si="1354"/>
        <v>39.182231080533917</v>
      </c>
      <c r="AZ834" s="346">
        <f t="shared" si="1354"/>
        <v>75.782830687742262</v>
      </c>
      <c r="BA834" s="346">
        <f t="shared" si="1354"/>
        <v>33.091572293166763</v>
      </c>
      <c r="BB834" s="346">
        <f t="shared" si="1354"/>
        <v>33.18907983741984</v>
      </c>
      <c r="BC834" s="346">
        <f t="shared" si="1354"/>
        <v>38.956923720701269</v>
      </c>
      <c r="BD834" s="346">
        <f t="shared" si="1354"/>
        <v>114.95957863109896</v>
      </c>
      <c r="BE834" s="346">
        <f t="shared" si="1354"/>
        <v>35.166646755218636</v>
      </c>
      <c r="BF834" s="346">
        <f t="shared" si="1354"/>
        <v>66.692662215191731</v>
      </c>
      <c r="BG834" s="346">
        <f t="shared" si="1354"/>
        <v>20.388145502762562</v>
      </c>
      <c r="BH834" s="346">
        <f t="shared" si="1354"/>
        <v>-9.2078320636189943</v>
      </c>
      <c r="BI834" s="346">
        <f t="shared" si="1354"/>
        <v>13.092948375074222</v>
      </c>
      <c r="BJ834" s="346">
        <f t="shared" si="1354"/>
        <v>-26.440108551884734</v>
      </c>
      <c r="BK834" s="346">
        <f t="shared" si="1354"/>
        <v>-29.224930722817902</v>
      </c>
      <c r="BL834" s="346">
        <f t="shared" si="1354"/>
        <v>84.410162341847666</v>
      </c>
      <c r="BM834" s="346">
        <f t="shared" si="1354"/>
        <v>-44.958651826957109</v>
      </c>
      <c r="BN834" s="346">
        <f t="shared" si="1354"/>
        <v>-18.908860436826735</v>
      </c>
      <c r="BO834" s="346">
        <f t="shared" si="1354"/>
        <v>19.037651689046292</v>
      </c>
      <c r="BP834" s="346">
        <f t="shared" si="1354"/>
        <v>-69.812806269244192</v>
      </c>
      <c r="BQ834" s="346">
        <f t="shared" ref="BQ834:CD834" si="1355">+BQ666-BQ754-BQ817</f>
        <v>-63.979123292294858</v>
      </c>
      <c r="BR834" s="346">
        <f t="shared" si="1355"/>
        <v>65.15532343998423</v>
      </c>
      <c r="BS834" s="346">
        <f t="shared" si="1355"/>
        <v>6.0694768288844614</v>
      </c>
      <c r="BT834" s="346">
        <f t="shared" si="1355"/>
        <v>-26.352133359487432</v>
      </c>
      <c r="BU834" s="346">
        <f t="shared" si="1355"/>
        <v>18.472697623059339</v>
      </c>
      <c r="BV834" s="346">
        <f t="shared" si="1355"/>
        <v>-16.695729181569973</v>
      </c>
      <c r="BW834" s="346">
        <f t="shared" si="1355"/>
        <v>-29.343123673461093</v>
      </c>
      <c r="BX834" s="346">
        <f t="shared" si="1355"/>
        <v>26.670872886249363</v>
      </c>
      <c r="BY834" s="346">
        <f t="shared" si="1355"/>
        <v>-30.293054584938016</v>
      </c>
      <c r="BZ834" s="346">
        <f t="shared" si="1355"/>
        <v>-33.240856614792129</v>
      </c>
      <c r="CA834" s="346">
        <f t="shared" si="1355"/>
        <v>35.902338399363416</v>
      </c>
      <c r="CB834" s="346">
        <f t="shared" si="1355"/>
        <v>-48.338747381329469</v>
      </c>
      <c r="CC834" s="346">
        <f t="shared" si="1355"/>
        <v>-74.416872919694569</v>
      </c>
      <c r="CD834" s="352">
        <f t="shared" si="1355"/>
        <v>-34.433830394705687</v>
      </c>
      <c r="CE834" s="346">
        <f>CE815-CE817</f>
        <v>-26.76185212157538</v>
      </c>
      <c r="CF834" s="346">
        <f t="shared" ref="CF834:EQ834" si="1356">CF815-CF817</f>
        <v>-5.2596285925837307</v>
      </c>
      <c r="CG834" s="346">
        <f t="shared" si="1356"/>
        <v>35.609336685156919</v>
      </c>
      <c r="CH834" s="346">
        <f t="shared" si="1356"/>
        <v>-52.968378472524918</v>
      </c>
      <c r="CI834" s="346">
        <f t="shared" si="1356"/>
        <v>-17.980203433658978</v>
      </c>
      <c r="CJ834" s="346">
        <f t="shared" si="1356"/>
        <v>49.28227589094034</v>
      </c>
      <c r="CK834" s="346">
        <f t="shared" si="1356"/>
        <v>-65.473311290370461</v>
      </c>
      <c r="CL834" s="346">
        <f t="shared" si="1356"/>
        <v>-19.423014050475096</v>
      </c>
      <c r="CM834" s="346">
        <f t="shared" si="1356"/>
        <v>2.0856531782861225</v>
      </c>
      <c r="CN834" s="346">
        <f t="shared" si="1356"/>
        <v>-81.689248869119439</v>
      </c>
      <c r="CO834" s="346">
        <f t="shared" si="1356"/>
        <v>-55.931871386335885</v>
      </c>
      <c r="CP834" s="348">
        <f t="shared" si="1356"/>
        <v>30.861111029611408</v>
      </c>
      <c r="CQ834" s="346">
        <f t="shared" si="1356"/>
        <v>-36.660895445730844</v>
      </c>
      <c r="CR834" s="346">
        <f t="shared" si="1356"/>
        <v>-33.413483721185813</v>
      </c>
      <c r="CS834" s="346">
        <f t="shared" si="1356"/>
        <v>-11.297947430122164</v>
      </c>
      <c r="CT834" s="346">
        <f t="shared" si="1356"/>
        <v>-35.939222771696421</v>
      </c>
      <c r="CU834" s="346">
        <f t="shared" si="1356"/>
        <v>-30.996157782083145</v>
      </c>
      <c r="CV834" s="346">
        <f t="shared" si="1356"/>
        <v>63.525107592475962</v>
      </c>
      <c r="CW834" s="346">
        <f t="shared" si="1356"/>
        <v>-49.081097385674973</v>
      </c>
      <c r="CX834" s="346">
        <f t="shared" si="1356"/>
        <v>-19.389191516231058</v>
      </c>
      <c r="CY834" s="346">
        <f t="shared" si="1356"/>
        <v>11.952094492553186</v>
      </c>
      <c r="CZ834" s="346">
        <f t="shared" si="1356"/>
        <v>-83.271125193451383</v>
      </c>
      <c r="DA834" s="346">
        <f t="shared" si="1356"/>
        <v>-19.203788652399552</v>
      </c>
      <c r="DB834" s="1479">
        <f t="shared" si="1356"/>
        <v>39.164246564318063</v>
      </c>
      <c r="DC834" s="346">
        <f t="shared" si="1356"/>
        <v>-34.559898150377805</v>
      </c>
      <c r="DD834" s="346">
        <f t="shared" si="1356"/>
        <v>-32.057409682394436</v>
      </c>
      <c r="DE834" s="346">
        <f t="shared" si="1356"/>
        <v>-0.36450229184924865</v>
      </c>
      <c r="DF834" s="346">
        <f t="shared" si="1356"/>
        <v>-93.316707287972179</v>
      </c>
      <c r="DG834" s="346">
        <f t="shared" si="1356"/>
        <v>2.0104248696506346</v>
      </c>
      <c r="DH834" s="346">
        <f t="shared" si="1356"/>
        <v>36.171101518363777</v>
      </c>
      <c r="DI834" s="346">
        <f t="shared" si="1356"/>
        <v>-95.95068740524087</v>
      </c>
      <c r="DJ834" s="346">
        <f t="shared" si="1356"/>
        <v>-28.479734629944204</v>
      </c>
      <c r="DK834" s="346">
        <f t="shared" si="1356"/>
        <v>25.753921366478885</v>
      </c>
      <c r="DL834" s="346">
        <f t="shared" si="1356"/>
        <v>-40.805174851373948</v>
      </c>
      <c r="DM834" s="346">
        <f t="shared" si="1356"/>
        <v>-56.648422676147888</v>
      </c>
      <c r="DN834" s="348">
        <f t="shared" si="1356"/>
        <v>95.530471863579933</v>
      </c>
      <c r="DO834" s="346">
        <f t="shared" si="1356"/>
        <v>-66.391955290268811</v>
      </c>
      <c r="DP834" s="346">
        <f t="shared" si="1356"/>
        <v>-49.909525582735967</v>
      </c>
      <c r="DQ834" s="346">
        <f t="shared" si="1356"/>
        <v>17.330118199163351</v>
      </c>
      <c r="DR834" s="346">
        <f t="shared" si="1356"/>
        <v>-103.02723104005034</v>
      </c>
      <c r="DS834" s="346">
        <f t="shared" si="1356"/>
        <v>-44.797187829234232</v>
      </c>
      <c r="DT834" s="346">
        <f t="shared" si="1356"/>
        <v>43.238860791837858</v>
      </c>
      <c r="DU834" s="346">
        <f t="shared" si="1356"/>
        <v>-76.313294158450759</v>
      </c>
      <c r="DV834" s="346">
        <f t="shared" si="1356"/>
        <v>-43.587020495502784</v>
      </c>
      <c r="DW834" s="346">
        <f t="shared" si="1356"/>
        <v>58.842761051607084</v>
      </c>
      <c r="DX834" s="346">
        <f t="shared" si="1356"/>
        <v>-113.06382371306607</v>
      </c>
      <c r="DY834" s="346">
        <f t="shared" si="1356"/>
        <v>-63.862491039310669</v>
      </c>
      <c r="DZ834" s="348">
        <f t="shared" si="1356"/>
        <v>126.97959588152408</v>
      </c>
      <c r="EA834" s="346">
        <f t="shared" si="1356"/>
        <v>-55.330829106082867</v>
      </c>
      <c r="EB834" s="346">
        <f t="shared" si="1356"/>
        <v>-74.848775694137899</v>
      </c>
      <c r="EC834" s="346">
        <f t="shared" si="1356"/>
        <v>-34.561944660851339</v>
      </c>
      <c r="ED834" s="346">
        <f t="shared" si="1356"/>
        <v>-47.804985613124238</v>
      </c>
      <c r="EE834" s="346">
        <f t="shared" si="1356"/>
        <v>-22.846575691186708</v>
      </c>
      <c r="EF834" s="346">
        <f t="shared" si="1356"/>
        <v>93.243279803217717</v>
      </c>
      <c r="EG834" s="346">
        <f t="shared" si="1356"/>
        <v>-81.35320584492348</v>
      </c>
      <c r="EH834" s="346">
        <f t="shared" si="1356"/>
        <v>-24.859004179106066</v>
      </c>
      <c r="EI834" s="346">
        <f t="shared" si="1356"/>
        <v>2.7495617302311643</v>
      </c>
      <c r="EJ834" s="346">
        <f t="shared" si="1356"/>
        <v>-0.16899600929852454</v>
      </c>
      <c r="EK834" s="346">
        <f t="shared" si="1356"/>
        <v>-90.688555981181338</v>
      </c>
      <c r="EL834" s="348">
        <f t="shared" si="1356"/>
        <v>39.191597830439719</v>
      </c>
      <c r="EM834" s="346">
        <f t="shared" si="1356"/>
        <v>-41.2450320747406</v>
      </c>
      <c r="EN834" s="346">
        <f t="shared" si="1356"/>
        <v>7.422019092168874</v>
      </c>
      <c r="EO834" s="346">
        <f t="shared" si="1356"/>
        <v>17.707427153892567</v>
      </c>
      <c r="EP834" s="346">
        <f t="shared" si="1356"/>
        <v>-78.118257061342888</v>
      </c>
      <c r="EQ834" s="346">
        <f t="shared" si="1356"/>
        <v>-76.845800526046219</v>
      </c>
      <c r="ER834" s="346">
        <f t="shared" ref="ER834:FP834" si="1357">ER815-ER817</f>
        <v>81.217656399050668</v>
      </c>
      <c r="ES834" s="346">
        <f t="shared" si="1357"/>
        <v>-60.266377327107989</v>
      </c>
      <c r="ET834" s="346">
        <f t="shared" si="1357"/>
        <v>-41.160456708597167</v>
      </c>
      <c r="EU834" s="346">
        <f t="shared" si="1357"/>
        <v>-19.680836220710262</v>
      </c>
      <c r="EV834" s="346">
        <f t="shared" si="1357"/>
        <v>-186.73503605876331</v>
      </c>
      <c r="EW834" s="346">
        <f t="shared" si="1357"/>
        <v>-146.11055731892336</v>
      </c>
      <c r="EX834" s="348">
        <f t="shared" si="1357"/>
        <v>27.301063580472629</v>
      </c>
      <c r="EY834" s="346">
        <f t="shared" si="1357"/>
        <v>-59.216367257956648</v>
      </c>
      <c r="EZ834" s="346">
        <f t="shared" si="1357"/>
        <v>-82.319959607727796</v>
      </c>
      <c r="FA834" s="346">
        <f t="shared" si="1357"/>
        <v>-18.098107669984017</v>
      </c>
      <c r="FB834" s="346">
        <f t="shared" si="1357"/>
        <v>-62.561266838505546</v>
      </c>
      <c r="FC834" s="346">
        <f t="shared" si="1357"/>
        <v>-106.06364391905292</v>
      </c>
      <c r="FD834" s="346">
        <f t="shared" si="1357"/>
        <v>37.51269365835077</v>
      </c>
      <c r="FE834" s="346">
        <f t="shared" si="1357"/>
        <v>-56.522321434854447</v>
      </c>
      <c r="FF834" s="346">
        <f t="shared" si="1357"/>
        <v>-85.515491389180781</v>
      </c>
      <c r="FG834" s="346">
        <f t="shared" si="1357"/>
        <v>-85.304897356243018</v>
      </c>
      <c r="FH834" s="346">
        <f t="shared" si="1357"/>
        <v>-58.35522396751179</v>
      </c>
      <c r="FI834" s="346">
        <f t="shared" si="1357"/>
        <v>-213.86257033313089</v>
      </c>
      <c r="FJ834" s="348">
        <f t="shared" si="1357"/>
        <v>49.039345260663907</v>
      </c>
      <c r="FK834" s="346">
        <f t="shared" si="1357"/>
        <v>-264.96794418352499</v>
      </c>
      <c r="FL834" s="346">
        <f t="shared" si="1357"/>
        <v>-114.95851901912394</v>
      </c>
      <c r="FM834" s="346">
        <f t="shared" si="1357"/>
        <v>78.4016167845013</v>
      </c>
      <c r="FN834" s="346">
        <f t="shared" si="1357"/>
        <v>-15.473275464505576</v>
      </c>
      <c r="FO834" s="346">
        <f t="shared" si="1357"/>
        <v>-131.70245408023607</v>
      </c>
      <c r="FP834" s="346">
        <f t="shared" si="1357"/>
        <v>-16.626132025068102</v>
      </c>
      <c r="FQ834" s="346">
        <f t="shared" ref="FQ834:FV834" si="1358">FQ815-FQ817</f>
        <v>-87.504129940396297</v>
      </c>
      <c r="FR834" s="346">
        <f t="shared" si="1358"/>
        <v>-92.726807076614648</v>
      </c>
      <c r="FS834" s="346">
        <f t="shared" si="1358"/>
        <v>3.600993323486108</v>
      </c>
      <c r="FT834" s="346">
        <f t="shared" si="1358"/>
        <v>-19.252098963747571</v>
      </c>
      <c r="FU834" s="346">
        <f t="shared" si="1358"/>
        <v>-233.57140353518332</v>
      </c>
      <c r="FV834" s="346">
        <f t="shared" si="1358"/>
        <v>118.7575575858867</v>
      </c>
      <c r="FW834" s="346">
        <v>-86.757764847063982</v>
      </c>
      <c r="FX834" s="346">
        <v>-55.126535181717074</v>
      </c>
      <c r="FY834" s="346">
        <v>-114.4853690854966</v>
      </c>
      <c r="FZ834" s="346">
        <v>-121.23602056953979</v>
      </c>
      <c r="GA834" s="346">
        <v>-33.249545396800073</v>
      </c>
      <c r="GB834" s="346">
        <v>-47.341804396159858</v>
      </c>
      <c r="GC834" s="346">
        <v>-136.27992244803835</v>
      </c>
      <c r="GD834" s="346">
        <v>-138.87711470864298</v>
      </c>
      <c r="GE834" s="346">
        <v>52.948797802354164</v>
      </c>
      <c r="GF834" s="346">
        <v>-107.55231464362349</v>
      </c>
      <c r="GG834" s="346">
        <v>-2.0227516473765661</v>
      </c>
      <c r="GH834" s="346">
        <v>20.223345017978289</v>
      </c>
      <c r="GI834" s="1897">
        <f>GI815-GI817</f>
        <v>-119.82721240152608</v>
      </c>
      <c r="GJ834" s="1897">
        <f t="shared" ref="GJ834:HF834" si="1359">GJ815-GJ817</f>
        <v>-206.81240472619362</v>
      </c>
      <c r="GK834" s="1897">
        <f t="shared" si="1359"/>
        <v>-85.118190233862578</v>
      </c>
      <c r="GL834" s="1897">
        <f t="shared" si="1359"/>
        <v>-90.287577173477715</v>
      </c>
      <c r="GM834" s="1897">
        <f t="shared" si="1359"/>
        <v>-90.039899140738882</v>
      </c>
      <c r="GN834" s="1897">
        <f t="shared" si="1359"/>
        <v>106.06051466289834</v>
      </c>
      <c r="GO834" s="1897">
        <f t="shared" si="1359"/>
        <v>-138.18131109631906</v>
      </c>
      <c r="GP834" s="1897">
        <f t="shared" si="1359"/>
        <v>-107.36518267174233</v>
      </c>
      <c r="GQ834" s="1897">
        <f t="shared" si="1359"/>
        <v>5.4845081050236217</v>
      </c>
      <c r="GR834" s="1897">
        <f t="shared" si="1359"/>
        <v>-95.87491578734361</v>
      </c>
      <c r="GS834" s="1897">
        <f t="shared" si="1359"/>
        <v>-283.39827252293298</v>
      </c>
      <c r="GT834" s="1897">
        <f t="shared" si="1359"/>
        <v>129.80827924069203</v>
      </c>
      <c r="GU834" s="1897">
        <f t="shared" si="1359"/>
        <v>-13.166302843553865</v>
      </c>
      <c r="GV834" s="1897">
        <f t="shared" si="1359"/>
        <v>-141.75561409930054</v>
      </c>
      <c r="GW834" s="1897">
        <f t="shared" si="1359"/>
        <v>-25.523268882072074</v>
      </c>
      <c r="GX834" s="1897">
        <f t="shared" si="1359"/>
        <v>-72.020071563158581</v>
      </c>
      <c r="GY834" s="1897">
        <f t="shared" si="1359"/>
        <v>-133.94463202911717</v>
      </c>
      <c r="GZ834" s="1897">
        <f t="shared" si="1359"/>
        <v>6.3541819370678354</v>
      </c>
      <c r="HA834" s="1897">
        <f t="shared" si="1359"/>
        <v>-154.04746010444717</v>
      </c>
      <c r="HB834" s="1897">
        <f t="shared" si="1359"/>
        <v>-230.22940226401514</v>
      </c>
      <c r="HC834" s="1897">
        <f t="shared" si="1359"/>
        <v>-83.788532480383736</v>
      </c>
      <c r="HD834" s="1897">
        <f t="shared" si="1359"/>
        <v>-34.315275520168996</v>
      </c>
      <c r="HE834" s="1897">
        <f t="shared" si="1359"/>
        <v>-131.09396313112808</v>
      </c>
      <c r="HF834" s="1897">
        <f t="shared" si="1359"/>
        <v>-103.24125667142789</v>
      </c>
      <c r="HG834" s="1897">
        <f t="shared" ref="HG834:HL834" si="1360">HG815-HG817</f>
        <v>-69.609068858443777</v>
      </c>
      <c r="HH834" s="1897">
        <f t="shared" si="1360"/>
        <v>-164.17292079814669</v>
      </c>
      <c r="HI834" s="1897">
        <f t="shared" si="1360"/>
        <v>24.146126162460575</v>
      </c>
      <c r="HJ834" s="1897">
        <f t="shared" si="1360"/>
        <v>-74.552650416798542</v>
      </c>
      <c r="HK834" s="1897">
        <f t="shared" si="1360"/>
        <v>-174.15378122373966</v>
      </c>
      <c r="HL834" s="1897">
        <f t="shared" si="1360"/>
        <v>-7.8192447272093659</v>
      </c>
      <c r="HM834" s="1897"/>
      <c r="HN834" s="349"/>
      <c r="HO834" s="353" t="s">
        <v>592</v>
      </c>
      <c r="HP834" s="307">
        <f>SUM(CE834:CJ834)</f>
        <v>-18.078450044245741</v>
      </c>
      <c r="HQ834" s="302">
        <f>SUM(CK834:CP834)</f>
        <v>-189.57068138840336</v>
      </c>
      <c r="HR834" s="346">
        <f>HP834+HQ834</f>
        <v>-207.64913143264909</v>
      </c>
      <c r="HS834" s="302">
        <f>SUM(CQ834:CV834)</f>
        <v>-84.782599558342412</v>
      </c>
      <c r="HT834" s="302">
        <f>SUM(CW834:DB834)</f>
        <v>-119.8288616908857</v>
      </c>
      <c r="HU834" s="346">
        <f>HS834+HT834</f>
        <v>-204.61146124922811</v>
      </c>
      <c r="HV834" s="307">
        <f>SUM(DC834:DH834)</f>
        <v>-122.11699102457928</v>
      </c>
      <c r="HW834" s="302">
        <f>SUM(DI834:DN834)</f>
        <v>-100.59962633264807</v>
      </c>
      <c r="HX834" s="346">
        <f>HV834+HW834</f>
        <v>-222.71661735722734</v>
      </c>
      <c r="HY834" s="350">
        <f>SUM(DO834:DT834)</f>
        <v>-203.55692075128815</v>
      </c>
      <c r="HZ834" s="302">
        <f>SUM(DU834:DZ834)</f>
        <v>-111.00427247319912</v>
      </c>
      <c r="IA834" s="346">
        <f>HY834+HZ834</f>
        <v>-314.56119322448728</v>
      </c>
      <c r="IB834" s="302">
        <f>SUM(EA834:EF834)</f>
        <v>-142.14983096216534</v>
      </c>
      <c r="IC834" s="302">
        <f>SUM(EG834:EL834)</f>
        <v>-155.12860245383854</v>
      </c>
      <c r="ID834" s="346">
        <f>IB834+IC834</f>
        <v>-297.27843341600385</v>
      </c>
      <c r="IE834" s="350">
        <f>SUM(EM834:ER834)</f>
        <v>-89.861987017017611</v>
      </c>
      <c r="IF834" s="350">
        <f>SUM(ES834:EX834)</f>
        <v>-426.65220005362949</v>
      </c>
      <c r="IG834" s="346">
        <f>IE834+IF834</f>
        <v>-516.51418707064704</v>
      </c>
      <c r="IH834" s="350">
        <f>SUM(EY834:FD834)</f>
        <v>-290.74665163487617</v>
      </c>
      <c r="II834" s="350">
        <f>SUM(FE834:FJ834)</f>
        <v>-450.521159220257</v>
      </c>
      <c r="IJ834" s="346">
        <f>IH834+II834</f>
        <v>-741.26781085513312</v>
      </c>
      <c r="IK834" s="350">
        <f>SUM(FK834:FP834)</f>
        <v>-465.32670798795738</v>
      </c>
      <c r="IL834" s="350">
        <f>SUM(FQ834:FV834)</f>
        <v>-310.69588860656904</v>
      </c>
      <c r="IM834" s="346">
        <f t="shared" si="1183"/>
        <v>-776.02259659452648</v>
      </c>
      <c r="IN834" s="350">
        <f t="shared" si="1342"/>
        <v>-458.19703947677738</v>
      </c>
      <c r="IO834" s="350">
        <f t="shared" si="1343"/>
        <v>-311.55996062734891</v>
      </c>
      <c r="IP834" s="346">
        <f t="shared" si="1294"/>
        <v>-769.75700010412629</v>
      </c>
      <c r="IQ834" s="350">
        <f>+IQ666-IQ754-IQ817</f>
        <v>-486.02476901290061</v>
      </c>
      <c r="IR834" s="350">
        <f>+IR666-IR754-IR817</f>
        <v>-489.5268947326224</v>
      </c>
      <c r="IS834" s="350">
        <f>+IS666-IS754-IS817</f>
        <v>-975.55166374552277</v>
      </c>
      <c r="IT834" s="350">
        <f>+IT666-IT754-IT817</f>
        <v>-372.085507090134</v>
      </c>
      <c r="IU834" s="350">
        <f>+IU666-IU754-IU817</f>
        <v>-744.71961303669832</v>
      </c>
      <c r="IV834" s="350">
        <f t="shared" si="1235"/>
        <v>-1116.8051201268322</v>
      </c>
      <c r="IW834" s="350">
        <f t="shared" si="1256"/>
        <v>-466.16153986187749</v>
      </c>
      <c r="IX834" s="350">
        <f t="shared" si="1252"/>
        <v>-472.60448674029738</v>
      </c>
      <c r="IY834" s="346">
        <f>FISC!AJ1150</f>
        <v>-938.76602660217486</v>
      </c>
      <c r="IZ834" s="350">
        <f>+IZ666-IZ754-IZ817</f>
        <v>-865.7357205548268</v>
      </c>
      <c r="JA834" s="350">
        <f>+JA666-JA754-JA817</f>
        <v>-44.952608858479721</v>
      </c>
      <c r="JB834" s="346">
        <f>FISC!AK1150</f>
        <v>-910.68832941330652</v>
      </c>
      <c r="JC834" s="350">
        <f>+JC666-JC754-JC817</f>
        <v>-750.53036411643711</v>
      </c>
      <c r="JD834" s="350">
        <f>+JD666-JD754-JD817</f>
        <v>-27.075175499828902</v>
      </c>
      <c r="JE834" s="346">
        <f>FISC!AL1150</f>
        <v>-777.60553961626601</v>
      </c>
      <c r="JF834" s="350">
        <f>+JF666-JF754-JF817</f>
        <v>-829.12413506611028</v>
      </c>
      <c r="JG834" s="350">
        <f>+JG666-JG754-JG817</f>
        <v>-58.97823000524204</v>
      </c>
      <c r="JH834" s="346">
        <f>FISC!AM1150</f>
        <v>-888.10236507135232</v>
      </c>
      <c r="JI834" s="350">
        <f>+JI666-JI754-JI817</f>
        <v>-835.13869712855239</v>
      </c>
      <c r="JJ834" s="350">
        <f>+JJ666-JJ754-JJ817</f>
        <v>-121.34291866830381</v>
      </c>
      <c r="JK834" s="346">
        <f>FISC!AN1150</f>
        <v>-956.4816157968562</v>
      </c>
      <c r="JL834" s="350">
        <f>+JL666-JL754-JL817</f>
        <v>-811.5500801117837</v>
      </c>
      <c r="JM834" s="350">
        <f>+JM666-JM754-JM817</f>
        <v>-298.46835276283628</v>
      </c>
      <c r="JN834" s="346">
        <f>FISC!AO1150</f>
        <v>-1110.0184328746195</v>
      </c>
      <c r="KI834" s="349"/>
      <c r="KJ834" s="350"/>
      <c r="KM834" s="302">
        <f>+KM666-KM754-KM817</f>
        <v>0</v>
      </c>
      <c r="KN834" s="302">
        <f>+KN666-KN754-KN817</f>
        <v>0</v>
      </c>
      <c r="KO834" s="302">
        <f>+KO666-KO754-KO817</f>
        <v>0</v>
      </c>
      <c r="KP834" s="302">
        <f>+KP666-KP754-KP817</f>
        <v>0</v>
      </c>
    </row>
    <row r="835" spans="1:302" hidden="1" outlineLevel="1">
      <c r="A835" s="302"/>
      <c r="B835" s="117" t="s">
        <v>361</v>
      </c>
      <c r="D835" s="353" t="s">
        <v>593</v>
      </c>
      <c r="E835" s="346">
        <f t="shared" ref="E835:AJ835" si="1361">E666-E717-E754-E817</f>
        <v>0</v>
      </c>
      <c r="F835" s="346">
        <f t="shared" si="1361"/>
        <v>0</v>
      </c>
      <c r="G835" s="346">
        <f t="shared" si="1361"/>
        <v>0</v>
      </c>
      <c r="H835" s="346">
        <f t="shared" si="1361"/>
        <v>0</v>
      </c>
      <c r="I835" s="346">
        <f t="shared" si="1361"/>
        <v>0</v>
      </c>
      <c r="J835" s="346">
        <f t="shared" si="1361"/>
        <v>0</v>
      </c>
      <c r="K835" s="346">
        <f t="shared" si="1361"/>
        <v>0</v>
      </c>
      <c r="L835" s="346">
        <f t="shared" si="1361"/>
        <v>0</v>
      </c>
      <c r="M835" s="346">
        <f t="shared" si="1361"/>
        <v>0</v>
      </c>
      <c r="N835" s="346">
        <f t="shared" si="1361"/>
        <v>0</v>
      </c>
      <c r="O835" s="346">
        <f t="shared" si="1361"/>
        <v>0</v>
      </c>
      <c r="P835" s="346">
        <f t="shared" si="1361"/>
        <v>0</v>
      </c>
      <c r="Q835" s="346">
        <f t="shared" si="1361"/>
        <v>0</v>
      </c>
      <c r="R835" s="346">
        <f t="shared" si="1361"/>
        <v>0</v>
      </c>
      <c r="S835" s="346">
        <f t="shared" si="1361"/>
        <v>0</v>
      </c>
      <c r="T835" s="346">
        <f t="shared" si="1361"/>
        <v>0</v>
      </c>
      <c r="U835" s="346">
        <f t="shared" si="1361"/>
        <v>0</v>
      </c>
      <c r="V835" s="346">
        <f t="shared" si="1361"/>
        <v>0</v>
      </c>
      <c r="W835" s="346">
        <f t="shared" si="1361"/>
        <v>0</v>
      </c>
      <c r="X835" s="346">
        <f t="shared" si="1361"/>
        <v>0</v>
      </c>
      <c r="Y835" s="346">
        <f t="shared" si="1361"/>
        <v>0</v>
      </c>
      <c r="Z835" s="346">
        <f t="shared" si="1361"/>
        <v>0</v>
      </c>
      <c r="AA835" s="346">
        <f t="shared" si="1361"/>
        <v>0</v>
      </c>
      <c r="AB835" s="346">
        <f t="shared" si="1361"/>
        <v>0</v>
      </c>
      <c r="AC835" s="346">
        <f t="shared" si="1361"/>
        <v>0</v>
      </c>
      <c r="AD835" s="346">
        <f t="shared" si="1361"/>
        <v>0</v>
      </c>
      <c r="AE835" s="346">
        <f t="shared" si="1361"/>
        <v>0</v>
      </c>
      <c r="AF835" s="346">
        <f t="shared" si="1361"/>
        <v>0</v>
      </c>
      <c r="AG835" s="346">
        <f t="shared" si="1361"/>
        <v>0</v>
      </c>
      <c r="AH835" s="346">
        <f t="shared" si="1361"/>
        <v>0</v>
      </c>
      <c r="AI835" s="346">
        <f t="shared" si="1361"/>
        <v>0</v>
      </c>
      <c r="AJ835" s="346">
        <f t="shared" si="1361"/>
        <v>0</v>
      </c>
      <c r="AK835" s="346">
        <f t="shared" ref="AK835:BP835" si="1362">AK666-AK717-AK754-AK817</f>
        <v>0</v>
      </c>
      <c r="AL835" s="346">
        <f t="shared" si="1362"/>
        <v>0</v>
      </c>
      <c r="AM835" s="346">
        <f t="shared" si="1362"/>
        <v>0</v>
      </c>
      <c r="AN835" s="346">
        <f t="shared" si="1362"/>
        <v>0</v>
      </c>
      <c r="AO835" s="346">
        <f t="shared" si="1362"/>
        <v>27.751015478693496</v>
      </c>
      <c r="AP835" s="346">
        <f t="shared" si="1362"/>
        <v>25.622571089368499</v>
      </c>
      <c r="AQ835" s="346">
        <f t="shared" si="1362"/>
        <v>41.356269326619596</v>
      </c>
      <c r="AR835" s="346">
        <f t="shared" si="1362"/>
        <v>35.054049921708867</v>
      </c>
      <c r="AS835" s="346">
        <f t="shared" si="1362"/>
        <v>26.237433827572634</v>
      </c>
      <c r="AT835" s="346">
        <f t="shared" si="1362"/>
        <v>45.235714580495539</v>
      </c>
      <c r="AU835" s="346">
        <f t="shared" si="1362"/>
        <v>21.566895028554796</v>
      </c>
      <c r="AV835" s="346">
        <f t="shared" si="1362"/>
        <v>29.826142895793659</v>
      </c>
      <c r="AW835" s="346">
        <f t="shared" si="1362"/>
        <v>37.788362814713352</v>
      </c>
      <c r="AX835" s="346">
        <f t="shared" si="1362"/>
        <v>30.699014929822674</v>
      </c>
      <c r="AY835" s="346">
        <f t="shared" si="1362"/>
        <v>23.137405792028275</v>
      </c>
      <c r="AZ835" s="346">
        <f t="shared" si="1362"/>
        <v>-34.043769182265159</v>
      </c>
      <c r="BA835" s="346">
        <f t="shared" si="1362"/>
        <v>24.289573029073388</v>
      </c>
      <c r="BB835" s="346">
        <f t="shared" si="1362"/>
        <v>22.611793397907704</v>
      </c>
      <c r="BC835" s="346">
        <f t="shared" si="1362"/>
        <v>30.71205744082306</v>
      </c>
      <c r="BD835" s="346">
        <f t="shared" si="1362"/>
        <v>39.609295413114154</v>
      </c>
      <c r="BE835" s="346">
        <f t="shared" si="1362"/>
        <v>25.438634214780624</v>
      </c>
      <c r="BF835" s="346">
        <f t="shared" si="1362"/>
        <v>39.39422964073497</v>
      </c>
      <c r="BG835" s="346">
        <f t="shared" si="1362"/>
        <v>-29.177591169418662</v>
      </c>
      <c r="BH835" s="346">
        <f t="shared" si="1362"/>
        <v>-55.016647985071067</v>
      </c>
      <c r="BI835" s="346">
        <f t="shared" si="1362"/>
        <v>-30.951275242391738</v>
      </c>
      <c r="BJ835" s="346">
        <f t="shared" si="1362"/>
        <v>-112.8246017508427</v>
      </c>
      <c r="BK835" s="346">
        <f t="shared" si="1362"/>
        <v>-47.372881513294679</v>
      </c>
      <c r="BL835" s="346">
        <f t="shared" si="1362"/>
        <v>-2.1946258460406867</v>
      </c>
      <c r="BM835" s="346">
        <f t="shared" si="1362"/>
        <v>-50.972255490850543</v>
      </c>
      <c r="BN835" s="346">
        <f t="shared" si="1362"/>
        <v>-30.550508511711406</v>
      </c>
      <c r="BO835" s="346">
        <f t="shared" si="1362"/>
        <v>2.1697115572681085</v>
      </c>
      <c r="BP835" s="346">
        <f t="shared" si="1362"/>
        <v>-75.241027379812024</v>
      </c>
      <c r="BQ835" s="346">
        <f t="shared" ref="BQ835:CD835" si="1363">BQ666-BQ717-BQ754-BQ817</f>
        <v>-68.851324063690555</v>
      </c>
      <c r="BR835" s="346">
        <f t="shared" si="1363"/>
        <v>-16.851042965073589</v>
      </c>
      <c r="BS835" s="346">
        <f t="shared" si="1363"/>
        <v>-34.734403259505164</v>
      </c>
      <c r="BT835" s="346">
        <f t="shared" si="1363"/>
        <v>-41.16554281941854</v>
      </c>
      <c r="BU835" s="346">
        <f t="shared" si="1363"/>
        <v>-4.297311638462773</v>
      </c>
      <c r="BV835" s="346">
        <f t="shared" si="1363"/>
        <v>-65.306134557500272</v>
      </c>
      <c r="BW835" s="346">
        <f t="shared" si="1363"/>
        <v>-70.882013851235996</v>
      </c>
      <c r="BX835" s="346">
        <f t="shared" si="1363"/>
        <v>-5.4060295976085087</v>
      </c>
      <c r="BY835" s="346">
        <f t="shared" si="1363"/>
        <v>-30.293060993378756</v>
      </c>
      <c r="BZ835" s="346">
        <f t="shared" si="1363"/>
        <v>-37.191125657413707</v>
      </c>
      <c r="CA835" s="346">
        <f t="shared" si="1363"/>
        <v>13.970274033269082</v>
      </c>
      <c r="CB835" s="346">
        <f t="shared" si="1363"/>
        <v>-86.390736783278712</v>
      </c>
      <c r="CC835" s="346">
        <f t="shared" si="1363"/>
        <v>-124.7756847913459</v>
      </c>
      <c r="CD835" s="352">
        <f t="shared" si="1363"/>
        <v>-77.617756099291512</v>
      </c>
      <c r="CE835" s="346">
        <f>CE816-CE817</f>
        <v>-58.056348342282078</v>
      </c>
      <c r="CF835" s="346">
        <f t="shared" ref="CF835:EQ835" si="1364">CF816-CF817</f>
        <v>-44.109106158605542</v>
      </c>
      <c r="CG835" s="346">
        <f t="shared" si="1364"/>
        <v>-40.422364937737576</v>
      </c>
      <c r="CH835" s="346">
        <f t="shared" si="1364"/>
        <v>-101.35119094057451</v>
      </c>
      <c r="CI835" s="346">
        <f t="shared" si="1364"/>
        <v>-53.99293621727243</v>
      </c>
      <c r="CJ835" s="346">
        <f t="shared" si="1364"/>
        <v>-13.561733304974609</v>
      </c>
      <c r="CK835" s="346">
        <f t="shared" si="1364"/>
        <v>-87.842639689051765</v>
      </c>
      <c r="CL835" s="346">
        <f t="shared" si="1364"/>
        <v>-34.793327919947792</v>
      </c>
      <c r="CM835" s="346">
        <f t="shared" si="1364"/>
        <v>-13.174704553559877</v>
      </c>
      <c r="CN835" s="346">
        <f t="shared" si="1364"/>
        <v>-141.9125714926578</v>
      </c>
      <c r="CO835" s="346">
        <f t="shared" si="1364"/>
        <v>-92.543720989746049</v>
      </c>
      <c r="CP835" s="348">
        <f t="shared" si="1364"/>
        <v>-0.20514410885918721</v>
      </c>
      <c r="CQ835" s="346">
        <f t="shared" si="1364"/>
        <v>-71.109328748307775</v>
      </c>
      <c r="CR835" s="346">
        <f t="shared" si="1364"/>
        <v>-54.048820713615669</v>
      </c>
      <c r="CS835" s="346">
        <f t="shared" si="1364"/>
        <v>-43.385894330414885</v>
      </c>
      <c r="CT835" s="346">
        <f t="shared" si="1364"/>
        <v>-63.551257175627526</v>
      </c>
      <c r="CU835" s="346">
        <f t="shared" si="1364"/>
        <v>-68.432840958901437</v>
      </c>
      <c r="CV835" s="346">
        <f t="shared" si="1364"/>
        <v>-25.17383742194653</v>
      </c>
      <c r="CW835" s="346">
        <f t="shared" si="1364"/>
        <v>-68.285262888737407</v>
      </c>
      <c r="CX835" s="346">
        <f t="shared" si="1364"/>
        <v>-40.136139288199416</v>
      </c>
      <c r="CY835" s="346">
        <f t="shared" si="1364"/>
        <v>-23.917021213912534</v>
      </c>
      <c r="CZ835" s="346">
        <f t="shared" si="1364"/>
        <v>-109.25618797589509</v>
      </c>
      <c r="DA835" s="346">
        <f t="shared" si="1364"/>
        <v>-71.128739003604295</v>
      </c>
      <c r="DB835" s="1479">
        <f t="shared" si="1364"/>
        <v>17.886461474634871</v>
      </c>
      <c r="DC835" s="346">
        <f t="shared" si="1364"/>
        <v>-66.512342509465441</v>
      </c>
      <c r="DD835" s="346">
        <f t="shared" si="1364"/>
        <v>-57.234342451896694</v>
      </c>
      <c r="DE835" s="346">
        <f t="shared" si="1364"/>
        <v>-38.097976293942551</v>
      </c>
      <c r="DF835" s="346">
        <f t="shared" si="1364"/>
        <v>-103.94727168432044</v>
      </c>
      <c r="DG835" s="346">
        <f t="shared" si="1364"/>
        <v>-40.231940758164626</v>
      </c>
      <c r="DH835" s="346">
        <f t="shared" si="1364"/>
        <v>-15.686826633592084</v>
      </c>
      <c r="DI835" s="346">
        <f t="shared" si="1364"/>
        <v>-106.04233071017306</v>
      </c>
      <c r="DJ835" s="346">
        <f t="shared" si="1364"/>
        <v>-43.032413333272714</v>
      </c>
      <c r="DK835" s="346">
        <f t="shared" si="1364"/>
        <v>10.450638582680163</v>
      </c>
      <c r="DL835" s="346">
        <f t="shared" si="1364"/>
        <v>-106.09223092025107</v>
      </c>
      <c r="DM835" s="346">
        <f t="shared" si="1364"/>
        <v>-76.174225770617795</v>
      </c>
      <c r="DN835" s="348">
        <f t="shared" si="1364"/>
        <v>46.171039332239587</v>
      </c>
      <c r="DO835" s="346">
        <f t="shared" si="1364"/>
        <v>-99.814399517226263</v>
      </c>
      <c r="DP835" s="346">
        <f t="shared" si="1364"/>
        <v>-68.202161334156656</v>
      </c>
      <c r="DQ835" s="346">
        <f t="shared" si="1364"/>
        <v>4.8560045757169377</v>
      </c>
      <c r="DR835" s="346">
        <f t="shared" si="1364"/>
        <v>-106.56500444037887</v>
      </c>
      <c r="DS835" s="346">
        <f t="shared" si="1364"/>
        <v>-76.150279483463876</v>
      </c>
      <c r="DT835" s="346">
        <f t="shared" si="1364"/>
        <v>-22.897004717252678</v>
      </c>
      <c r="DU835" s="346">
        <f t="shared" si="1364"/>
        <v>-103.22656862575593</v>
      </c>
      <c r="DV835" s="346">
        <f t="shared" si="1364"/>
        <v>-59.343958128577526</v>
      </c>
      <c r="DW835" s="346">
        <f t="shared" si="1364"/>
        <v>38.363471259092506</v>
      </c>
      <c r="DX835" s="346">
        <f t="shared" si="1364"/>
        <v>-131.19249258601553</v>
      </c>
      <c r="DY835" s="346">
        <f t="shared" si="1364"/>
        <v>-75.514079351889208</v>
      </c>
      <c r="DZ835" s="348">
        <f t="shared" si="1364"/>
        <v>54.943195178901291</v>
      </c>
      <c r="EA835" s="346">
        <f t="shared" si="1364"/>
        <v>-89.704857011774635</v>
      </c>
      <c r="EB835" s="346">
        <f t="shared" si="1364"/>
        <v>-94.783938274535643</v>
      </c>
      <c r="EC835" s="346">
        <f t="shared" si="1364"/>
        <v>-59.904610688761835</v>
      </c>
      <c r="ED835" s="346">
        <f t="shared" si="1364"/>
        <v>-71.151860841190171</v>
      </c>
      <c r="EE835" s="346">
        <f t="shared" si="1364"/>
        <v>-51.194756303937503</v>
      </c>
      <c r="EF835" s="346">
        <f t="shared" si="1364"/>
        <v>29.814900475719348</v>
      </c>
      <c r="EG835" s="346">
        <f t="shared" si="1364"/>
        <v>-128.57786369969864</v>
      </c>
      <c r="EH835" s="346">
        <f t="shared" si="1364"/>
        <v>-40.939750623596225</v>
      </c>
      <c r="EI835" s="346">
        <f t="shared" si="1364"/>
        <v>-34.563037284397581</v>
      </c>
      <c r="EJ835" s="346">
        <f t="shared" si="1364"/>
        <v>-24.657715897849329</v>
      </c>
      <c r="EK835" s="346">
        <f t="shared" si="1364"/>
        <v>-98.824566378551921</v>
      </c>
      <c r="EL835" s="348">
        <f t="shared" si="1364"/>
        <v>8.3009462438597552</v>
      </c>
      <c r="EM835" s="346">
        <f t="shared" si="1364"/>
        <v>-65.168087266251831</v>
      </c>
      <c r="EN835" s="346">
        <f t="shared" si="1364"/>
        <v>-25.590535023843508</v>
      </c>
      <c r="EO835" s="346">
        <f t="shared" si="1364"/>
        <v>-14.452512587807703</v>
      </c>
      <c r="EP835" s="346">
        <f t="shared" si="1364"/>
        <v>-103.83183124009207</v>
      </c>
      <c r="EQ835" s="346">
        <f t="shared" si="1364"/>
        <v>-85.434963428457223</v>
      </c>
      <c r="ER835" s="346">
        <f t="shared" ref="ER835:FP835" si="1365">ER816-ER817</f>
        <v>-29.93624498685034</v>
      </c>
      <c r="ES835" s="346">
        <f t="shared" si="1365"/>
        <v>-86.071198484854733</v>
      </c>
      <c r="ET835" s="346">
        <f t="shared" si="1365"/>
        <v>-81.422020935065376</v>
      </c>
      <c r="EU835" s="346">
        <f t="shared" si="1365"/>
        <v>-46.097560698081764</v>
      </c>
      <c r="EV835" s="346">
        <f t="shared" si="1365"/>
        <v>-218.64201132231642</v>
      </c>
      <c r="EW835" s="346">
        <f t="shared" si="1365"/>
        <v>-155.3841386548396</v>
      </c>
      <c r="EX835" s="348">
        <f t="shared" si="1365"/>
        <v>0.76685970159775252</v>
      </c>
      <c r="EY835" s="346">
        <f t="shared" si="1365"/>
        <v>-91.458201113050052</v>
      </c>
      <c r="EZ835" s="346">
        <f t="shared" si="1365"/>
        <v>-101.44030048234198</v>
      </c>
      <c r="FA835" s="346">
        <f t="shared" si="1365"/>
        <v>-60.182875264020254</v>
      </c>
      <c r="FB835" s="346">
        <f t="shared" si="1365"/>
        <v>-79.702279099968777</v>
      </c>
      <c r="FC835" s="346">
        <f t="shared" si="1365"/>
        <v>-134.65526537614778</v>
      </c>
      <c r="FD835" s="346">
        <f t="shared" si="1365"/>
        <v>-43.777500609263996</v>
      </c>
      <c r="FE835" s="346">
        <f t="shared" si="1365"/>
        <v>-75.097099156941894</v>
      </c>
      <c r="FF835" s="346">
        <f t="shared" si="1365"/>
        <v>-126.34511604638755</v>
      </c>
      <c r="FG835" s="346">
        <f t="shared" si="1365"/>
        <v>-108.79029727165108</v>
      </c>
      <c r="FH835" s="346">
        <f t="shared" si="1365"/>
        <v>-101.78965722058271</v>
      </c>
      <c r="FI835" s="346">
        <f t="shared" si="1365"/>
        <v>-239.57359099881288</v>
      </c>
      <c r="FJ835" s="348">
        <f t="shared" si="1365"/>
        <v>-16.014032859831758</v>
      </c>
      <c r="FK835" s="346">
        <f t="shared" si="1365"/>
        <v>-282.98441313600625</v>
      </c>
      <c r="FL835" s="346">
        <f t="shared" si="1365"/>
        <v>-136.99667986854155</v>
      </c>
      <c r="FM835" s="346">
        <f t="shared" si="1365"/>
        <v>-6.713223252341578</v>
      </c>
      <c r="FN835" s="346">
        <f t="shared" si="1365"/>
        <v>-71.269028807069702</v>
      </c>
      <c r="FO835" s="346">
        <f t="shared" si="1365"/>
        <v>-156.29944404316814</v>
      </c>
      <c r="FP835" s="346">
        <f t="shared" si="1365"/>
        <v>-69.569416110449311</v>
      </c>
      <c r="FQ835" s="346">
        <f t="shared" ref="FQ835:FV835" si="1366">FQ816-FQ817</f>
        <v>-113.601452277943</v>
      </c>
      <c r="FR835" s="346">
        <f t="shared" si="1366"/>
        <v>-118.82412941416135</v>
      </c>
      <c r="FS835" s="346">
        <f t="shared" si="1366"/>
        <v>-98.374190028299267</v>
      </c>
      <c r="FT835" s="346">
        <f t="shared" si="1366"/>
        <v>-59.344354046411425</v>
      </c>
      <c r="FU835" s="346">
        <f t="shared" si="1366"/>
        <v>-260.11218690339672</v>
      </c>
      <c r="FV835" s="346">
        <f t="shared" si="1366"/>
        <v>36.977753492179801</v>
      </c>
      <c r="FW835" s="346">
        <v>-112.29458203926244</v>
      </c>
      <c r="FX835" s="346">
        <v>-123.89568420473832</v>
      </c>
      <c r="FY835" s="346">
        <v>-148.62634591320631</v>
      </c>
      <c r="FZ835" s="346">
        <v>-172.82311269530587</v>
      </c>
      <c r="GA835" s="346">
        <v>-87.40605562055535</v>
      </c>
      <c r="GB835" s="346">
        <v>-111.86419545508579</v>
      </c>
      <c r="GC835" s="346">
        <v>-187.65986095749389</v>
      </c>
      <c r="GD835" s="346">
        <v>-171.77172436164801</v>
      </c>
      <c r="GE835" s="346">
        <v>-74.664391835422066</v>
      </c>
      <c r="GF835" s="346">
        <v>-172.19115694801957</v>
      </c>
      <c r="GG835" s="346">
        <v>-213.42410968497646</v>
      </c>
      <c r="GH835" s="346">
        <v>-17.320139814693647</v>
      </c>
      <c r="GI835" s="1897">
        <f>GI816-GI817</f>
        <v>-182.57593883860292</v>
      </c>
      <c r="GJ835" s="1897">
        <f t="shared" ref="GJ835:HF835" si="1367">GJ816-GJ817</f>
        <v>-240.80939427377058</v>
      </c>
      <c r="GK835" s="1897">
        <f t="shared" si="1367"/>
        <v>-116.15083439135546</v>
      </c>
      <c r="GL835" s="1897">
        <f t="shared" si="1367"/>
        <v>-145.26259757514373</v>
      </c>
      <c r="GM835" s="1897">
        <f t="shared" si="1367"/>
        <v>-121.07254329823179</v>
      </c>
      <c r="GN835" s="1897">
        <f t="shared" si="1367"/>
        <v>47.197954569652481</v>
      </c>
      <c r="GO835" s="1897">
        <f t="shared" si="1367"/>
        <v>-175.00486779299305</v>
      </c>
      <c r="GP835" s="1897">
        <f t="shared" si="1367"/>
        <v>-143.21335597141629</v>
      </c>
      <c r="GQ835" s="1897">
        <f t="shared" si="1367"/>
        <v>-30.363665194650366</v>
      </c>
      <c r="GR835" s="1897">
        <f t="shared" si="1367"/>
        <v>-307.65968476788794</v>
      </c>
      <c r="GS835" s="1897">
        <f t="shared" si="1367"/>
        <v>-331.25950245562274</v>
      </c>
      <c r="GT835" s="1897">
        <f t="shared" si="1367"/>
        <v>59.315520489547538</v>
      </c>
      <c r="GU835" s="1897">
        <f t="shared" si="1367"/>
        <v>-47.54811638805424</v>
      </c>
      <c r="GV835" s="1897">
        <f t="shared" si="1367"/>
        <v>-151.51955860106568</v>
      </c>
      <c r="GW835" s="1897">
        <f t="shared" si="1367"/>
        <v>-153.01968270393124</v>
      </c>
      <c r="GX835" s="1897">
        <f t="shared" si="1367"/>
        <v>-86.919252782231041</v>
      </c>
      <c r="GY835" s="1897">
        <f t="shared" si="1367"/>
        <v>-156.47907403547794</v>
      </c>
      <c r="GZ835" s="1897">
        <f t="shared" si="1367"/>
        <v>-118.93629590387758</v>
      </c>
      <c r="HA835" s="1897">
        <f t="shared" si="1367"/>
        <v>-168.45912875922909</v>
      </c>
      <c r="HB835" s="1897">
        <f t="shared" si="1367"/>
        <v>-230.22940226401514</v>
      </c>
      <c r="HC835" s="1897">
        <f t="shared" si="1367"/>
        <v>-219.37259827986381</v>
      </c>
      <c r="HD835" s="1897">
        <f t="shared" si="1367"/>
        <v>-63.844784238802504</v>
      </c>
      <c r="HE835" s="1897">
        <f t="shared" si="1367"/>
        <v>-222.19467305003207</v>
      </c>
      <c r="HF835" s="1897">
        <f t="shared" si="1367"/>
        <v>-256.04044017675722</v>
      </c>
      <c r="HG835" s="1897">
        <f t="shared" ref="HG835:HL835" si="1368">HG816-HG817</f>
        <v>-106.15963428693294</v>
      </c>
      <c r="HH835" s="1897">
        <f t="shared" si="1368"/>
        <v>-164.17292079814669</v>
      </c>
      <c r="HI835" s="1897">
        <f t="shared" si="1368"/>
        <v>-97.37002352030072</v>
      </c>
      <c r="HJ835" s="1897">
        <f t="shared" si="1368"/>
        <v>-108.79050053838793</v>
      </c>
      <c r="HK835" s="1897">
        <f t="shared" si="1368"/>
        <v>-181.10075670414773</v>
      </c>
      <c r="HL835" s="1897">
        <f t="shared" si="1368"/>
        <v>-171.53736605990355</v>
      </c>
      <c r="HM835" s="1897"/>
      <c r="HN835" s="349"/>
      <c r="HO835" s="353" t="s">
        <v>593</v>
      </c>
      <c r="HP835" s="307">
        <f>SUM(CE835:CJ835)</f>
        <v>-311.49367990144674</v>
      </c>
      <c r="HQ835" s="302">
        <f>SUM(CK835:CP835)</f>
        <v>-370.47210875382251</v>
      </c>
      <c r="HR835" s="346">
        <f>HP835+HQ835</f>
        <v>-681.96578865526931</v>
      </c>
      <c r="HS835" s="302">
        <f>SUM(CQ835:CV835)</f>
        <v>-325.70197934881384</v>
      </c>
      <c r="HT835" s="302">
        <f>SUM(CW835:DB835)</f>
        <v>-294.83688889571386</v>
      </c>
      <c r="HU835" s="346">
        <f>HS835+HT835</f>
        <v>-620.53886824452775</v>
      </c>
      <c r="HV835" s="307">
        <f>SUM(DC835:DH835)</f>
        <v>-321.71070033138182</v>
      </c>
      <c r="HW835" s="302">
        <f>SUM(DI835:DN835)</f>
        <v>-274.71952281939491</v>
      </c>
      <c r="HX835" s="346">
        <f>HV835+HW835</f>
        <v>-596.43022315077678</v>
      </c>
      <c r="HY835" s="350">
        <f>SUM(DO835:DT835)</f>
        <v>-368.77284491676136</v>
      </c>
      <c r="HZ835" s="302">
        <f>SUM(DU835:DZ835)</f>
        <v>-275.97043225424437</v>
      </c>
      <c r="IA835" s="346">
        <f>HY835+HZ835</f>
        <v>-644.74327717100573</v>
      </c>
      <c r="IB835" s="302">
        <f>SUM(EA835:EF835)</f>
        <v>-336.92512264448038</v>
      </c>
      <c r="IC835" s="302">
        <f>SUM(EG835:EL835)</f>
        <v>-319.26198764023394</v>
      </c>
      <c r="ID835" s="346">
        <f>IB835+IC835</f>
        <v>-656.18711028471432</v>
      </c>
      <c r="IE835" s="350">
        <f>SUM(EM835:ER835)</f>
        <v>-324.41417453330263</v>
      </c>
      <c r="IF835" s="350">
        <f>SUM(ES835:EX835)</f>
        <v>-586.85007039356015</v>
      </c>
      <c r="IG835" s="346">
        <f>IE835+IF835</f>
        <v>-911.26424492686283</v>
      </c>
      <c r="IH835" s="350">
        <f>SUM(EY835:FD835)</f>
        <v>-511.21642194479284</v>
      </c>
      <c r="II835" s="350">
        <f>SUM(FE835:FJ835)</f>
        <v>-667.60979355420784</v>
      </c>
      <c r="IJ835" s="346">
        <f>IH835+II835</f>
        <v>-1178.8262154990007</v>
      </c>
      <c r="IK835" s="350">
        <f>SUM(FK835:FP835)</f>
        <v>-723.83220521757653</v>
      </c>
      <c r="IL835" s="350">
        <f>SUM(FQ835:FV835)</f>
        <v>-613.27855917803197</v>
      </c>
      <c r="IM835" s="346">
        <f t="shared" si="1183"/>
        <v>-1337.1107643956084</v>
      </c>
      <c r="IN835" s="350">
        <f t="shared" si="1342"/>
        <v>-756.90997592815404</v>
      </c>
      <c r="IO835" s="350">
        <f t="shared" si="1343"/>
        <v>-837.03138360225364</v>
      </c>
      <c r="IP835" s="346">
        <f t="shared" si="1294"/>
        <v>-1593.9413595304077</v>
      </c>
      <c r="IQ835" s="350">
        <f>+IQ834-IQ717</f>
        <v>-758.67335380745203</v>
      </c>
      <c r="IR835" s="350">
        <f>+IR834-IR717</f>
        <v>-928.18555569302293</v>
      </c>
      <c r="IS835" s="350">
        <f>+IS834-IS717</f>
        <v>-1686.8589095004747</v>
      </c>
      <c r="IT835" s="350">
        <f>+IT834-IT717</f>
        <v>-706.45178002463729</v>
      </c>
      <c r="IU835" s="350">
        <f>+IU834-IU717</f>
        <v>-1168.1447496338271</v>
      </c>
      <c r="IV835" s="350">
        <f t="shared" si="1235"/>
        <v>-1874.5965296584645</v>
      </c>
      <c r="IW835" s="350">
        <f t="shared" si="1256"/>
        <v>-829.13120190781967</v>
      </c>
      <c r="IX835" s="350">
        <f t="shared" si="1252"/>
        <v>-735.40356392846832</v>
      </c>
      <c r="IY835" s="346">
        <f>FISC!AJ1151</f>
        <v>-1564.534765836288</v>
      </c>
      <c r="IZ835" s="350">
        <f>+IZ834-IZ717</f>
        <v>-1152.1540098779305</v>
      </c>
      <c r="JA835" s="350">
        <f>+JA834-JA717</f>
        <v>-343.74932788669565</v>
      </c>
      <c r="JB835" s="346">
        <f>FISC!AK1151</f>
        <v>-1495.903337764626</v>
      </c>
      <c r="JC835" s="350">
        <f>+JC834-JC717</f>
        <v>-1064.4868241361853</v>
      </c>
      <c r="JD835" s="350">
        <f>+JD834-JD717</f>
        <v>-373.18533927149736</v>
      </c>
      <c r="JE835" s="346">
        <f>FISC!AL1151</f>
        <v>-1437.6721634076825</v>
      </c>
      <c r="JF835" s="350">
        <f>+JF834-JF717</f>
        <v>-1181.0108589913282</v>
      </c>
      <c r="JG835" s="350">
        <f>+JG834-JG717</f>
        <v>-446.86187945549801</v>
      </c>
      <c r="JH835" s="346">
        <f>FISC!AM1151</f>
        <v>-1627.8727384468261</v>
      </c>
      <c r="JI835" s="350">
        <f>+JI834-JI717</f>
        <v>-1225.0560426938487</v>
      </c>
      <c r="JJ835" s="350">
        <f>+JJ834-JJ717</f>
        <v>-525.74962413036712</v>
      </c>
      <c r="JK835" s="346">
        <f>FISC!AN1151</f>
        <v>-1750.8056668242157</v>
      </c>
      <c r="JL835" s="350">
        <f>+JL834-JL717</f>
        <v>-1218.5134870107645</v>
      </c>
      <c r="JM835" s="350">
        <f>+JM834-JM717</f>
        <v>-756.47118571898329</v>
      </c>
      <c r="JN835" s="346">
        <f>FISC!AO1151</f>
        <v>-1974.9846727297472</v>
      </c>
      <c r="KI835" s="349"/>
      <c r="KJ835" s="350"/>
      <c r="KM835" s="302">
        <f>KM666-KM717-KM754-KM817</f>
        <v>0</v>
      </c>
      <c r="KN835" s="302">
        <f>KN666-KN717-KN754-KN817</f>
        <v>0</v>
      </c>
      <c r="KO835" s="302">
        <f>KO666-KO717-KO754-KO817</f>
        <v>0</v>
      </c>
      <c r="KP835" s="302">
        <f>KP666-KP717-KP754-KP817</f>
        <v>0</v>
      </c>
    </row>
    <row r="836" spans="1:302" hidden="1" outlineLevel="1">
      <c r="A836" s="302"/>
      <c r="D836" s="1723" t="s">
        <v>3104</v>
      </c>
      <c r="E836" s="346"/>
      <c r="F836" s="346"/>
      <c r="G836" s="346"/>
      <c r="H836" s="346"/>
      <c r="I836" s="346"/>
      <c r="J836" s="346"/>
      <c r="K836" s="346"/>
      <c r="L836" s="346"/>
      <c r="M836" s="346"/>
      <c r="N836" s="346"/>
      <c r="O836" s="346"/>
      <c r="P836" s="346"/>
      <c r="Q836" s="346"/>
      <c r="R836" s="346"/>
      <c r="S836" s="346"/>
      <c r="T836" s="346"/>
      <c r="U836" s="346"/>
      <c r="V836" s="346"/>
      <c r="W836" s="346"/>
      <c r="X836" s="346"/>
      <c r="Y836" s="346"/>
      <c r="Z836" s="346"/>
      <c r="AA836" s="346"/>
      <c r="AB836" s="346"/>
      <c r="AC836" s="346"/>
      <c r="AD836" s="346"/>
      <c r="AE836" s="346"/>
      <c r="AF836" s="346"/>
      <c r="AG836" s="346"/>
      <c r="AH836" s="346"/>
      <c r="AI836" s="346"/>
      <c r="AJ836" s="346"/>
      <c r="AK836" s="346"/>
      <c r="AL836" s="346"/>
      <c r="AM836" s="346"/>
      <c r="AN836" s="346"/>
      <c r="AO836" s="346"/>
      <c r="AP836" s="346"/>
      <c r="AQ836" s="346"/>
      <c r="AR836" s="346"/>
      <c r="AS836" s="346"/>
      <c r="AT836" s="346"/>
      <c r="AU836" s="346"/>
      <c r="AV836" s="346"/>
      <c r="AW836" s="346"/>
      <c r="AX836" s="346"/>
      <c r="AY836" s="346"/>
      <c r="AZ836" s="346"/>
      <c r="BA836" s="346"/>
      <c r="BB836" s="346"/>
      <c r="BC836" s="346"/>
      <c r="BD836" s="346"/>
      <c r="BE836" s="346"/>
      <c r="BF836" s="346"/>
      <c r="BG836" s="346"/>
      <c r="BH836" s="346"/>
      <c r="BI836" s="346"/>
      <c r="BJ836" s="346"/>
      <c r="BK836" s="346"/>
      <c r="BL836" s="346"/>
      <c r="BM836" s="346"/>
      <c r="BN836" s="346"/>
      <c r="BO836" s="346"/>
      <c r="BP836" s="346"/>
      <c r="BQ836" s="346"/>
      <c r="BR836" s="346"/>
      <c r="BS836" s="346"/>
      <c r="BT836" s="346"/>
      <c r="BU836" s="346"/>
      <c r="BV836" s="346"/>
      <c r="BW836" s="346"/>
      <c r="BX836" s="346"/>
      <c r="BY836" s="346"/>
      <c r="BZ836" s="346"/>
      <c r="CA836" s="346"/>
      <c r="CB836" s="346"/>
      <c r="CC836" s="346"/>
      <c r="CD836" s="352"/>
      <c r="CE836" s="346"/>
      <c r="CF836" s="346"/>
      <c r="CG836" s="346"/>
      <c r="CH836" s="346"/>
      <c r="CI836" s="346"/>
      <c r="CJ836" s="346"/>
      <c r="CK836" s="346"/>
      <c r="CL836" s="346"/>
      <c r="CM836" s="346"/>
      <c r="CN836" s="346"/>
      <c r="CO836" s="346"/>
      <c r="CP836" s="348"/>
      <c r="CQ836" s="346"/>
      <c r="CR836" s="346"/>
      <c r="CS836" s="346"/>
      <c r="CT836" s="346"/>
      <c r="CU836" s="346"/>
      <c r="CV836" s="346"/>
      <c r="CW836" s="346"/>
      <c r="CX836" s="346"/>
      <c r="CY836" s="346"/>
      <c r="CZ836" s="346"/>
      <c r="DA836" s="346"/>
      <c r="DB836" s="1479"/>
      <c r="DC836" s="346"/>
      <c r="DD836" s="346"/>
      <c r="DE836" s="346"/>
      <c r="DF836" s="346"/>
      <c r="DG836" s="346"/>
      <c r="DH836" s="346"/>
      <c r="DI836" s="346"/>
      <c r="DJ836" s="346"/>
      <c r="DK836" s="346"/>
      <c r="DL836" s="346"/>
      <c r="DM836" s="346"/>
      <c r="DN836" s="348"/>
      <c r="DO836" s="346"/>
      <c r="DP836" s="346"/>
      <c r="DQ836" s="346"/>
      <c r="DR836" s="346"/>
      <c r="DS836" s="346"/>
      <c r="DT836" s="346"/>
      <c r="DU836" s="346"/>
      <c r="DV836" s="346"/>
      <c r="DW836" s="346"/>
      <c r="DX836" s="346"/>
      <c r="DY836" s="346"/>
      <c r="DZ836" s="348"/>
      <c r="EA836" s="346"/>
      <c r="EB836" s="346"/>
      <c r="EC836" s="346"/>
      <c r="ED836" s="346"/>
      <c r="EE836" s="346"/>
      <c r="EF836" s="346"/>
      <c r="EG836" s="346"/>
      <c r="EH836" s="346"/>
      <c r="EI836" s="346"/>
      <c r="EJ836" s="346"/>
      <c r="EK836" s="346"/>
      <c r="EL836" s="348"/>
      <c r="EM836" s="346"/>
      <c r="EN836" s="346"/>
      <c r="EO836" s="346"/>
      <c r="EP836" s="346"/>
      <c r="EQ836" s="346"/>
      <c r="ER836" s="346"/>
      <c r="ES836" s="346"/>
      <c r="ET836" s="346"/>
      <c r="EU836" s="346"/>
      <c r="EV836" s="346"/>
      <c r="EW836" s="346"/>
      <c r="EX836" s="348"/>
      <c r="EY836" s="346"/>
      <c r="EZ836" s="346"/>
      <c r="FA836" s="346"/>
      <c r="FB836" s="346"/>
      <c r="FC836" s="346"/>
      <c r="FD836" s="346"/>
      <c r="FE836" s="346"/>
      <c r="FF836" s="346"/>
      <c r="FG836" s="346"/>
      <c r="FH836" s="346"/>
      <c r="FI836" s="346"/>
      <c r="FJ836" s="348"/>
      <c r="FK836" s="346"/>
      <c r="FL836" s="346"/>
      <c r="FM836" s="346"/>
      <c r="FN836" s="346"/>
      <c r="FO836" s="346"/>
      <c r="FP836" s="346"/>
      <c r="FQ836" s="346"/>
      <c r="FR836" s="346"/>
      <c r="FS836" s="346"/>
      <c r="FT836" s="346"/>
      <c r="FU836" s="346"/>
      <c r="FV836" s="346"/>
      <c r="FW836" s="346"/>
      <c r="FX836" s="346"/>
      <c r="FY836" s="346"/>
      <c r="FZ836" s="346"/>
      <c r="GA836" s="346"/>
      <c r="GB836" s="346"/>
      <c r="GC836" s="346"/>
      <c r="GD836" s="346"/>
      <c r="GE836" s="346"/>
      <c r="GF836" s="346"/>
      <c r="GG836" s="346"/>
      <c r="GH836" s="346"/>
      <c r="GI836" s="1897"/>
      <c r="HN836" s="349"/>
      <c r="HO836" s="1723" t="s">
        <v>3104</v>
      </c>
      <c r="HP836" s="307"/>
      <c r="HR836" s="346"/>
      <c r="HU836" s="346"/>
      <c r="HV836" s="307"/>
      <c r="HX836" s="346"/>
      <c r="HY836" s="350"/>
      <c r="IA836" s="346"/>
      <c r="ID836" s="346"/>
      <c r="IE836" s="350"/>
      <c r="IF836" s="350"/>
      <c r="IG836" s="346"/>
      <c r="IH836" s="350"/>
      <c r="II836" s="350"/>
      <c r="IJ836" s="346"/>
      <c r="IK836" s="350"/>
      <c r="IL836" s="350"/>
      <c r="IM836" s="346"/>
      <c r="IN836" s="350">
        <f t="shared" si="1342"/>
        <v>0</v>
      </c>
      <c r="IO836" s="350">
        <f t="shared" si="1343"/>
        <v>0</v>
      </c>
      <c r="IP836" s="346">
        <f t="shared" si="1294"/>
        <v>0</v>
      </c>
      <c r="IQ836" s="350">
        <f t="shared" ref="IQ836:IQ841" si="1369">SUM(GI836:GN836)</f>
        <v>0</v>
      </c>
      <c r="IR836" s="350">
        <f t="shared" ref="IR836" si="1370">IS836-IQ836</f>
        <v>0</v>
      </c>
      <c r="IS836" s="346"/>
      <c r="IT836" s="350"/>
      <c r="IU836" s="350"/>
      <c r="IV836" s="346"/>
      <c r="IW836" s="350">
        <f t="shared" si="1256"/>
        <v>0</v>
      </c>
      <c r="IX836" s="350">
        <f t="shared" si="1252"/>
        <v>0</v>
      </c>
      <c r="IY836" s="346"/>
      <c r="IZ836" s="350"/>
      <c r="JB836" s="346"/>
      <c r="JC836" s="350"/>
      <c r="JE836" s="346">
        <f>FISC!AL1152</f>
        <v>0</v>
      </c>
      <c r="JH836" s="346">
        <f>FISC!AM1152</f>
        <v>0</v>
      </c>
      <c r="JK836" s="346">
        <f>FISC!AN1152</f>
        <v>0</v>
      </c>
      <c r="JN836" s="346">
        <f>FISC!AO1152</f>
        <v>0</v>
      </c>
      <c r="KI836" s="349"/>
      <c r="KJ836" s="350"/>
    </row>
    <row r="837" spans="1:302" hidden="1" outlineLevel="1">
      <c r="A837" s="302"/>
      <c r="D837" s="1724" t="s">
        <v>3225</v>
      </c>
      <c r="E837" s="346"/>
      <c r="F837" s="346"/>
      <c r="G837" s="346"/>
      <c r="H837" s="346"/>
      <c r="I837" s="346"/>
      <c r="J837" s="346"/>
      <c r="K837" s="346"/>
      <c r="L837" s="346"/>
      <c r="M837" s="346"/>
      <c r="N837" s="346"/>
      <c r="O837" s="346"/>
      <c r="P837" s="346"/>
      <c r="Q837" s="346"/>
      <c r="R837" s="346"/>
      <c r="S837" s="346"/>
      <c r="T837" s="346"/>
      <c r="U837" s="346"/>
      <c r="V837" s="346"/>
      <c r="W837" s="346"/>
      <c r="X837" s="346"/>
      <c r="Y837" s="346"/>
      <c r="Z837" s="346"/>
      <c r="AA837" s="346"/>
      <c r="AB837" s="346"/>
      <c r="AC837" s="346"/>
      <c r="AD837" s="346"/>
      <c r="AE837" s="346"/>
      <c r="AF837" s="346"/>
      <c r="AG837" s="346"/>
      <c r="AH837" s="346"/>
      <c r="AI837" s="346"/>
      <c r="AJ837" s="346"/>
      <c r="AK837" s="346"/>
      <c r="AL837" s="346"/>
      <c r="AM837" s="346"/>
      <c r="AN837" s="346"/>
      <c r="AO837" s="346"/>
      <c r="AP837" s="346"/>
      <c r="AQ837" s="346"/>
      <c r="AR837" s="346"/>
      <c r="AS837" s="346"/>
      <c r="AT837" s="346"/>
      <c r="AU837" s="346"/>
      <c r="AV837" s="346"/>
      <c r="AW837" s="346"/>
      <c r="AX837" s="346"/>
      <c r="AY837" s="346"/>
      <c r="AZ837" s="346"/>
      <c r="BA837" s="346"/>
      <c r="BB837" s="346"/>
      <c r="BC837" s="346"/>
      <c r="BD837" s="346"/>
      <c r="BE837" s="346"/>
      <c r="BF837" s="346"/>
      <c r="BG837" s="346"/>
      <c r="BH837" s="346"/>
      <c r="BI837" s="346"/>
      <c r="BJ837" s="346"/>
      <c r="BK837" s="346"/>
      <c r="BL837" s="346"/>
      <c r="BM837" s="346"/>
      <c r="BN837" s="346"/>
      <c r="BO837" s="346"/>
      <c r="BP837" s="346"/>
      <c r="BQ837" s="346"/>
      <c r="BR837" s="346"/>
      <c r="BS837" s="346"/>
      <c r="BT837" s="346"/>
      <c r="BU837" s="346"/>
      <c r="BV837" s="346"/>
      <c r="BW837" s="346"/>
      <c r="BX837" s="346"/>
      <c r="BY837" s="346"/>
      <c r="BZ837" s="346"/>
      <c r="CA837" s="346"/>
      <c r="CB837" s="346"/>
      <c r="CC837" s="346"/>
      <c r="CD837" s="352"/>
      <c r="CE837" s="346"/>
      <c r="CF837" s="346"/>
      <c r="CG837" s="346"/>
      <c r="CH837" s="346"/>
      <c r="CI837" s="346"/>
      <c r="CJ837" s="346"/>
      <c r="CK837" s="346"/>
      <c r="CL837" s="346"/>
      <c r="CM837" s="346"/>
      <c r="CN837" s="346"/>
      <c r="CO837" s="346"/>
      <c r="CP837" s="348"/>
      <c r="CQ837" s="346"/>
      <c r="CR837" s="346"/>
      <c r="CS837" s="346"/>
      <c r="CT837" s="346"/>
      <c r="CU837" s="346"/>
      <c r="CV837" s="346"/>
      <c r="CW837" s="346"/>
      <c r="CX837" s="346"/>
      <c r="CY837" s="346"/>
      <c r="CZ837" s="346"/>
      <c r="DA837" s="346"/>
      <c r="DB837" s="1479"/>
      <c r="DC837" s="346"/>
      <c r="DD837" s="346"/>
      <c r="DE837" s="346"/>
      <c r="DF837" s="346"/>
      <c r="DG837" s="346"/>
      <c r="DH837" s="346"/>
      <c r="DI837" s="346"/>
      <c r="DJ837" s="346"/>
      <c r="DK837" s="346"/>
      <c r="DL837" s="346"/>
      <c r="DM837" s="346"/>
      <c r="DN837" s="348"/>
      <c r="DO837" s="346"/>
      <c r="DP837" s="346"/>
      <c r="DQ837" s="346"/>
      <c r="DR837" s="346"/>
      <c r="DS837" s="346"/>
      <c r="DT837" s="346"/>
      <c r="DU837" s="346"/>
      <c r="DV837" s="346"/>
      <c r="DW837" s="346"/>
      <c r="DX837" s="346"/>
      <c r="DY837" s="346"/>
      <c r="DZ837" s="348"/>
      <c r="EA837" s="346"/>
      <c r="EB837" s="346"/>
      <c r="EC837" s="346"/>
      <c r="ED837" s="346"/>
      <c r="EE837" s="346"/>
      <c r="EF837" s="346"/>
      <c r="EG837" s="346"/>
      <c r="EH837" s="346"/>
      <c r="EI837" s="346"/>
      <c r="EJ837" s="346"/>
      <c r="EK837" s="346"/>
      <c r="EL837" s="348"/>
      <c r="EM837" s="346"/>
      <c r="EN837" s="346"/>
      <c r="EO837" s="346"/>
      <c r="EP837" s="346"/>
      <c r="EQ837" s="346"/>
      <c r="ER837" s="346"/>
      <c r="ES837" s="346"/>
      <c r="ET837" s="346"/>
      <c r="EU837" s="346"/>
      <c r="EV837" s="346"/>
      <c r="EW837" s="346"/>
      <c r="EX837" s="348"/>
      <c r="EY837" s="346"/>
      <c r="EZ837" s="346"/>
      <c r="FA837" s="346"/>
      <c r="FB837" s="346"/>
      <c r="FC837" s="346"/>
      <c r="FD837" s="346"/>
      <c r="FE837" s="346"/>
      <c r="FF837" s="346"/>
      <c r="FG837" s="346"/>
      <c r="FH837" s="346"/>
      <c r="FI837" s="346"/>
      <c r="FJ837" s="348"/>
      <c r="FK837" s="346"/>
      <c r="FL837" s="346"/>
      <c r="FM837" s="346"/>
      <c r="FN837" s="346"/>
      <c r="FO837" s="346"/>
      <c r="FP837" s="346"/>
      <c r="FQ837" s="346"/>
      <c r="FR837" s="346"/>
      <c r="FS837" s="346"/>
      <c r="FT837" s="346"/>
      <c r="FU837" s="346"/>
      <c r="FV837" s="346"/>
      <c r="FW837" s="346"/>
      <c r="FX837" s="346"/>
      <c r="FY837" s="346"/>
      <c r="FZ837" s="346"/>
      <c r="GA837" s="346"/>
      <c r="GB837" s="346"/>
      <c r="GI837" s="1897"/>
      <c r="HN837" s="349"/>
      <c r="HO837" s="1724" t="s">
        <v>3225</v>
      </c>
      <c r="HP837" s="1152">
        <f>HP834-(HP744-HP764-HP782-HP877)</f>
        <v>-18.078450044245741</v>
      </c>
      <c r="HQ837" s="1152">
        <f>HQ834-(HQ744-HQ764-HQ782-HQ877)</f>
        <v>-189.57068138840336</v>
      </c>
      <c r="HR837" s="346"/>
      <c r="HS837" s="1152">
        <f>HS834-(HS744-HS764-HS782-HS877)</f>
        <v>-84.782599558342412</v>
      </c>
      <c r="HT837" s="1152">
        <f>HT834-(HT744-HT764-HT782-HT877)</f>
        <v>-119.8288616908857</v>
      </c>
      <c r="HU837" s="346"/>
      <c r="HV837" s="1152">
        <f>HV834-(HV744-HV764-HV782-HV877)</f>
        <v>-122.11699102457928</v>
      </c>
      <c r="HW837" s="1152">
        <f>HW834-(HW744-HW764-HW782-HW877)</f>
        <v>-100.59962633264807</v>
      </c>
      <c r="HX837" s="346"/>
      <c r="HY837" s="1152">
        <f>HY834-(HY744-HY764-HY782-HY877)</f>
        <v>-203.55692075128815</v>
      </c>
      <c r="HZ837" s="1152">
        <f>HZ834-(HZ744-HZ764-HZ782-HZ877)</f>
        <v>-111.00427247319912</v>
      </c>
      <c r="IA837" s="346"/>
      <c r="IB837" s="1152">
        <f>IB834-(IB744-IB764-IB782-IB877)</f>
        <v>-142.14983096216534</v>
      </c>
      <c r="IC837" s="1152">
        <f>IC834-(IC744-IC764-IC782-IC877)</f>
        <v>-155.12860245383854</v>
      </c>
      <c r="ID837" s="346"/>
      <c r="IE837" s="1152">
        <f>IE834-(IE744-IE764-IE782-IE877)</f>
        <v>-89.861987017017611</v>
      </c>
      <c r="IF837" s="1152">
        <f>IF834-(IF744-IF764-IF782-IF877)</f>
        <v>-426.65220005362949</v>
      </c>
      <c r="IG837" s="346"/>
      <c r="IH837" s="1152">
        <f>IH834-(IH744-IH764-IH782-IH877)</f>
        <v>-281.86492678787619</v>
      </c>
      <c r="II837" s="1152">
        <f>II834-(II744-II764-II782-II877)</f>
        <v>-435.75532013525702</v>
      </c>
      <c r="IJ837" s="346"/>
      <c r="IK837" s="1152">
        <f>IK834-(IK744-IK764-IK782-IK877)</f>
        <v>-487.63368870886472</v>
      </c>
      <c r="IL837" s="1152">
        <f>IL834-(IL744-IL764-IL782-IL877)</f>
        <v>-298.18364173156903</v>
      </c>
      <c r="IM837" s="346">
        <f t="shared" si="1183"/>
        <v>-785.81733044043381</v>
      </c>
      <c r="IN837" s="350">
        <f t="shared" si="1342"/>
        <v>0</v>
      </c>
      <c r="IO837" s="350">
        <f t="shared" si="1343"/>
        <v>0</v>
      </c>
      <c r="IP837" s="346">
        <f t="shared" si="1294"/>
        <v>0</v>
      </c>
      <c r="IQ837" s="350">
        <f t="shared" si="1369"/>
        <v>0</v>
      </c>
      <c r="IR837" s="350">
        <f>SUM(GO837:GT837)</f>
        <v>0</v>
      </c>
      <c r="IS837" s="346">
        <f t="shared" ref="IS837:IS857" si="1371">IQ837+IR837</f>
        <v>0</v>
      </c>
      <c r="IT837" s="350">
        <f>IT834-(IT744-IT764-IT782-IT877)</f>
        <v>-354.35520815813402</v>
      </c>
      <c r="IU837" s="350">
        <f>IU834-(IU744-IU764-IU782-IU877)</f>
        <v>-727.33410803369827</v>
      </c>
      <c r="IV837" s="346">
        <f t="shared" si="1235"/>
        <v>-1081.6893161918324</v>
      </c>
      <c r="IW837" s="350">
        <f>IW834-(IW744-IW764-IW782-IW877)</f>
        <v>-448.86750389387748</v>
      </c>
      <c r="IX837" s="1152">
        <f t="shared" si="1252"/>
        <v>-453.92884552029739</v>
      </c>
      <c r="IY837" s="346">
        <f>FISC!AJ1153</f>
        <v>-902.79634941417487</v>
      </c>
      <c r="IZ837" s="1152">
        <f>IZ834-(IZ744-IZ764-IZ782-IZ877)</f>
        <v>-848.75088196082675</v>
      </c>
      <c r="JA837" s="1152">
        <f>JA834-(JA744-JA764-JA782-JA877)</f>
        <v>-27.967770264479721</v>
      </c>
      <c r="JB837" s="346">
        <f>FISC!AK1153</f>
        <v>-876.71865222530653</v>
      </c>
      <c r="JC837" s="1152">
        <f>JC834-(JC744-JC764-JC782-JC877)</f>
        <v>-733.52634995938035</v>
      </c>
      <c r="JD837" s="1152">
        <f>JD834-(JD744-JD764-JD782-JD877)</f>
        <v>-10.207905458123076</v>
      </c>
      <c r="JE837" s="346">
        <f>FISC!AL1153</f>
        <v>-743.7342554175035</v>
      </c>
      <c r="JF837" s="1152">
        <f>JF834-(JF744-JF764-JF782-JF877)</f>
        <v>-810.36331548524822</v>
      </c>
      <c r="JG837" s="1152">
        <f>JG834-(JG744-JG764-JG782-JG877)</f>
        <v>-40.897533895445832</v>
      </c>
      <c r="JH837" s="346">
        <f>FISC!AM1153</f>
        <v>-851.26084938069403</v>
      </c>
      <c r="JI837" s="1152">
        <f>JI834-(JI744-JI764-JI782-JI877)</f>
        <v>-813.94580351799243</v>
      </c>
      <c r="JJ837" s="1152">
        <f>JJ834-(JJ744-JJ764-JJ782-JJ877)</f>
        <v>-100.17996995311842</v>
      </c>
      <c r="JK837" s="346">
        <f>FISC!AN1153</f>
        <v>-914.12577347111085</v>
      </c>
      <c r="JL837" s="1152">
        <f>JL834-(JL744-JL764-JL782-JL877)</f>
        <v>-787.38776971414859</v>
      </c>
      <c r="JM837" s="1152">
        <f>JM834-(JM744-JM764-JM782-JM877)</f>
        <v>-275.02209043109843</v>
      </c>
      <c r="JN837" s="346">
        <f>FISC!AO1153</f>
        <v>-1062.4098601452465</v>
      </c>
      <c r="KI837" s="349"/>
      <c r="KJ837" s="350"/>
    </row>
    <row r="838" spans="1:302" hidden="1" outlineLevel="1">
      <c r="A838" s="302"/>
      <c r="D838" s="1682" t="s">
        <v>3246</v>
      </c>
      <c r="E838" s="346"/>
      <c r="F838" s="346"/>
      <c r="G838" s="346"/>
      <c r="H838" s="346"/>
      <c r="I838" s="346"/>
      <c r="J838" s="346"/>
      <c r="K838" s="346"/>
      <c r="L838" s="346"/>
      <c r="M838" s="346"/>
      <c r="N838" s="346"/>
      <c r="O838" s="346"/>
      <c r="P838" s="346"/>
      <c r="Q838" s="346"/>
      <c r="R838" s="346"/>
      <c r="S838" s="346"/>
      <c r="T838" s="346"/>
      <c r="U838" s="346"/>
      <c r="V838" s="346"/>
      <c r="W838" s="346"/>
      <c r="X838" s="346"/>
      <c r="Y838" s="346"/>
      <c r="Z838" s="346"/>
      <c r="AA838" s="346"/>
      <c r="AB838" s="346"/>
      <c r="AC838" s="346"/>
      <c r="AD838" s="346"/>
      <c r="AE838" s="346"/>
      <c r="AF838" s="346"/>
      <c r="AG838" s="346"/>
      <c r="AH838" s="346"/>
      <c r="AI838" s="346"/>
      <c r="AJ838" s="346"/>
      <c r="AK838" s="346"/>
      <c r="AL838" s="346"/>
      <c r="AM838" s="346"/>
      <c r="AN838" s="346"/>
      <c r="AO838" s="346"/>
      <c r="AP838" s="346"/>
      <c r="AQ838" s="346"/>
      <c r="AR838" s="346"/>
      <c r="AS838" s="346"/>
      <c r="AT838" s="346"/>
      <c r="AU838" s="346"/>
      <c r="AV838" s="346"/>
      <c r="AW838" s="346"/>
      <c r="AX838" s="346"/>
      <c r="AY838" s="346"/>
      <c r="AZ838" s="346"/>
      <c r="BA838" s="346"/>
      <c r="BB838" s="346"/>
      <c r="BC838" s="346"/>
      <c r="BD838" s="346"/>
      <c r="BE838" s="346"/>
      <c r="BF838" s="346"/>
      <c r="BG838" s="346"/>
      <c r="BH838" s="346"/>
      <c r="BI838" s="346"/>
      <c r="BJ838" s="346"/>
      <c r="BK838" s="346"/>
      <c r="BL838" s="346"/>
      <c r="BM838" s="346"/>
      <c r="BN838" s="346"/>
      <c r="BO838" s="346"/>
      <c r="BP838" s="346"/>
      <c r="BQ838" s="346"/>
      <c r="BR838" s="346"/>
      <c r="BS838" s="346"/>
      <c r="BT838" s="346"/>
      <c r="BU838" s="346"/>
      <c r="BV838" s="346"/>
      <c r="BW838" s="346"/>
      <c r="BX838" s="346"/>
      <c r="BY838" s="346"/>
      <c r="BZ838" s="346"/>
      <c r="CA838" s="346"/>
      <c r="CB838" s="346"/>
      <c r="CC838" s="346"/>
      <c r="CD838" s="352"/>
      <c r="CE838" s="346"/>
      <c r="CF838" s="346"/>
      <c r="CG838" s="346"/>
      <c r="CH838" s="346"/>
      <c r="CI838" s="346"/>
      <c r="CJ838" s="346"/>
      <c r="CK838" s="346"/>
      <c r="CL838" s="346"/>
      <c r="CM838" s="346"/>
      <c r="CN838" s="346"/>
      <c r="CO838" s="346"/>
      <c r="CP838" s="348"/>
      <c r="CQ838" s="346"/>
      <c r="CR838" s="346"/>
      <c r="CS838" s="346"/>
      <c r="CT838" s="346"/>
      <c r="CU838" s="346"/>
      <c r="CV838" s="346"/>
      <c r="CW838" s="346"/>
      <c r="CX838" s="346"/>
      <c r="CY838" s="346"/>
      <c r="CZ838" s="346"/>
      <c r="DA838" s="346"/>
      <c r="DB838" s="1479"/>
      <c r="DC838" s="346"/>
      <c r="DD838" s="346"/>
      <c r="DE838" s="346"/>
      <c r="DF838" s="346"/>
      <c r="DG838" s="346"/>
      <c r="DH838" s="346"/>
      <c r="DI838" s="346"/>
      <c r="DJ838" s="346"/>
      <c r="DK838" s="346"/>
      <c r="DL838" s="346"/>
      <c r="DM838" s="346"/>
      <c r="DN838" s="348"/>
      <c r="DO838" s="346"/>
      <c r="DP838" s="346"/>
      <c r="DQ838" s="346"/>
      <c r="DR838" s="346"/>
      <c r="DS838" s="346"/>
      <c r="DT838" s="346"/>
      <c r="DU838" s="346"/>
      <c r="DV838" s="346"/>
      <c r="DW838" s="346"/>
      <c r="DX838" s="346"/>
      <c r="DY838" s="346"/>
      <c r="DZ838" s="348"/>
      <c r="EA838" s="346"/>
      <c r="EB838" s="346"/>
      <c r="EC838" s="346"/>
      <c r="ED838" s="346"/>
      <c r="EE838" s="346"/>
      <c r="EF838" s="346"/>
      <c r="EG838" s="346"/>
      <c r="EH838" s="346"/>
      <c r="EI838" s="346"/>
      <c r="EJ838" s="346"/>
      <c r="EK838" s="346"/>
      <c r="EL838" s="348"/>
      <c r="EM838" s="346"/>
      <c r="EN838" s="346"/>
      <c r="EO838" s="346"/>
      <c r="EP838" s="346"/>
      <c r="EQ838" s="346"/>
      <c r="ER838" s="346"/>
      <c r="ES838" s="346"/>
      <c r="ET838" s="346"/>
      <c r="EU838" s="346"/>
      <c r="EV838" s="346"/>
      <c r="EW838" s="346"/>
      <c r="EX838" s="348"/>
      <c r="EY838" s="346"/>
      <c r="EZ838" s="346"/>
      <c r="FA838" s="346"/>
      <c r="FB838" s="346"/>
      <c r="FC838" s="346"/>
      <c r="FD838" s="346"/>
      <c r="FE838" s="346"/>
      <c r="FF838" s="346"/>
      <c r="FG838" s="346"/>
      <c r="FH838" s="346"/>
      <c r="FI838" s="346"/>
      <c r="FJ838" s="348"/>
      <c r="FK838" s="346"/>
      <c r="FL838" s="346"/>
      <c r="FM838" s="346"/>
      <c r="FN838" s="346"/>
      <c r="FO838" s="346"/>
      <c r="FP838" s="346"/>
      <c r="FQ838" s="346"/>
      <c r="FR838" s="346"/>
      <c r="FS838" s="346"/>
      <c r="FT838" s="346"/>
      <c r="FU838" s="346"/>
      <c r="FV838" s="346"/>
      <c r="FW838" s="346"/>
      <c r="FX838" s="346"/>
      <c r="FY838" s="346"/>
      <c r="FZ838" s="346"/>
      <c r="GA838" s="346"/>
      <c r="GB838" s="346"/>
      <c r="GI838" s="1897"/>
      <c r="HN838" s="349"/>
      <c r="HO838" s="1682" t="s">
        <v>3246</v>
      </c>
      <c r="HP838" s="1152">
        <f>HP834-(-HP756-HP760-HP793-HP792-HP805-HP812-HP819-HP824)</f>
        <v>-18.078450044245741</v>
      </c>
      <c r="HQ838" s="1152">
        <f>HQ834-(-HQ756-HQ760-HQ793-HQ792-HQ805-HQ812-HQ819-HQ824)</f>
        <v>-189.57068138840336</v>
      </c>
      <c r="HR838" s="346"/>
      <c r="HS838" s="1152">
        <f>HS834-(-HS756-HS760-HS793-HS792-HS805-HS812-HS819-HS824)</f>
        <v>-84.782599558342412</v>
      </c>
      <c r="HT838" s="1152">
        <f>HT834-(-HT756-HT760-HT793-HT792-HT805-HT812-HT819-HT824)</f>
        <v>-119.8288616908857</v>
      </c>
      <c r="HU838" s="346"/>
      <c r="HV838" s="1152">
        <f>HV834-(-HV756-HV760-HV793-HV792-HV805-HV812-HV819-HV824)</f>
        <v>-122.11699102457928</v>
      </c>
      <c r="HW838" s="1152">
        <f>HW834-(-HW756-HW760-HW793-HW792-HW805-HW812-HW819-HW824)</f>
        <v>-100.59962633264807</v>
      </c>
      <c r="HX838" s="346"/>
      <c r="HY838" s="1152">
        <f>HY834-(-HY756-HY760-HY793-HY792-HY805-HY812-HY819-HY824)</f>
        <v>-203.55692075128815</v>
      </c>
      <c r="HZ838" s="1152">
        <f>HZ834-(-HZ756-HZ760-HZ793-HZ792-HZ805-HZ812-HZ819-HZ824)</f>
        <v>-111.00427247319912</v>
      </c>
      <c r="IA838" s="346"/>
      <c r="IB838" s="1152">
        <f>IB834-(-IB756-IB760-IB793-IB792-IB805-IB812-IB819-IB824)</f>
        <v>-142.14983096216534</v>
      </c>
      <c r="IC838" s="1152">
        <f>IC834-(-IC756-IC760-IC793-IC792-IC805-IC812-IC819-IC824)</f>
        <v>-155.12860245383854</v>
      </c>
      <c r="ID838" s="346"/>
      <c r="IE838" s="1152">
        <f>IE834-(-IE756-IE760-IE793-IE792-IE805-IE812-IE819-IE824)</f>
        <v>-89.861987017017611</v>
      </c>
      <c r="IF838" s="1152">
        <f>IF834-(-IF756-IF760-IF793-IF792-IF805-IF812-IF819-IF824)</f>
        <v>-426.65220005362949</v>
      </c>
      <c r="IG838" s="346"/>
      <c r="IH838" s="1152">
        <f>IH834-(-IH756-IH760-IH793-IH792-IH805-IH812-IH819-IH824)</f>
        <v>-290.74665163487617</v>
      </c>
      <c r="II838" s="1152">
        <f>II834-(-II756-II760-II793-II792-II805-II812-II819-II824)</f>
        <v>-450.521159220257</v>
      </c>
      <c r="IJ838" s="346"/>
      <c r="IK838" s="1152">
        <f>IK834-(-IK756-IK760-IK793-IK792-IK805-IK812-IK819-IK824)</f>
        <v>-344.45134621088994</v>
      </c>
      <c r="IL838" s="1152">
        <f>IL834-(-IL756-IL760-IL793-IL792-IL805-IL812-IL819-IL824)</f>
        <v>-310.69588860656904</v>
      </c>
      <c r="IM838" s="346">
        <f t="shared" si="1183"/>
        <v>-655.14723481745898</v>
      </c>
      <c r="IN838" s="350">
        <f t="shared" si="1342"/>
        <v>0</v>
      </c>
      <c r="IO838" s="350">
        <f t="shared" si="1343"/>
        <v>0</v>
      </c>
      <c r="IP838" s="346">
        <f t="shared" si="1294"/>
        <v>0</v>
      </c>
      <c r="IQ838" s="350">
        <f t="shared" si="1369"/>
        <v>0</v>
      </c>
      <c r="IR838" s="350">
        <f>SUM(GO838:GT838)</f>
        <v>0</v>
      </c>
      <c r="IS838" s="346">
        <f t="shared" si="1371"/>
        <v>0</v>
      </c>
      <c r="IT838" s="350">
        <f>IT834-(-IT756-IT760-IT793-IT805-IT812-IT819-IT824)</f>
        <v>-370.88550709013401</v>
      </c>
      <c r="IU838" s="350">
        <f>IU834-(-IU756-IU760-IU793-IU805-IU812-IU819-IU824)</f>
        <v>-744.71961303669832</v>
      </c>
      <c r="IV838" s="346">
        <f t="shared" si="1235"/>
        <v>-1115.6051201268324</v>
      </c>
      <c r="IW838" s="350">
        <f>IW834-(-IW756-IW760-IW793-IW805-IW812-IW819-IW824)</f>
        <v>-466.16153986187749</v>
      </c>
      <c r="IX838" s="1152">
        <f t="shared" si="1252"/>
        <v>-465.26040111705595</v>
      </c>
      <c r="IY838" s="346">
        <f>FISC!AJ1154</f>
        <v>-931.42194097893343</v>
      </c>
      <c r="IZ838" s="1152">
        <f>IZ834-(-IZ756-IZ760-IZ793-IZ805-IZ812-IZ819-IZ824)</f>
        <v>-865.7357205548268</v>
      </c>
      <c r="JA838" s="1152">
        <f>JA834-(-JA756-JA760-JA793-JA805-JA812-JA819-JA824)</f>
        <v>-44.952608858479721</v>
      </c>
      <c r="JB838" s="346">
        <f>FISC!AK1154</f>
        <v>-910.68832941330652</v>
      </c>
      <c r="JC838" s="1152">
        <f>JC834-(-JC756-JC760-JC793-JC805-JC812-JC819-JC824)</f>
        <v>-750.53036411643711</v>
      </c>
      <c r="JD838" s="1152">
        <f>JD834-(-JD756-JD760-JD793-JD805-JD812-JD819-JD824)</f>
        <v>-27.075175499828902</v>
      </c>
      <c r="JE838" s="346">
        <f>FISC!AL1154</f>
        <v>-777.60553961626601</v>
      </c>
      <c r="JF838" s="1152">
        <f>JF834-(-JF756-JF760-JF793-JF805-JF812-JF819-JF824)</f>
        <v>-829.12413506611028</v>
      </c>
      <c r="JG838" s="1152">
        <f>JG834-(-JG756-JG760-JG793-JG805-JG812-JG819-JG824)</f>
        <v>-58.97823000524204</v>
      </c>
      <c r="JH838" s="346">
        <f>FISC!AM1154</f>
        <v>-888.10236507135232</v>
      </c>
      <c r="JI838" s="1152">
        <f>JI834-(-JI756-JI760-JI793-JI805-JI812-JI819-JI824)</f>
        <v>-835.13869712855239</v>
      </c>
      <c r="JJ838" s="1152">
        <f>JJ834-(-JJ756-JJ760-JJ793-JJ805-JJ812-JJ819-JJ824)</f>
        <v>-121.34291866830381</v>
      </c>
      <c r="JK838" s="346">
        <f>FISC!AN1154</f>
        <v>-956.4816157968562</v>
      </c>
      <c r="JL838" s="1152">
        <f>JL834-(-JL756-JL760-JL793-JL805-JL812-JL819-JL824)</f>
        <v>-811.5500801117837</v>
      </c>
      <c r="JM838" s="1152">
        <f>JM834-(-JM756-JM760-JM793-JM805-JM812-JM819-JM824)</f>
        <v>-298.46835276283628</v>
      </c>
      <c r="JN838" s="346">
        <f>FISC!AO1154</f>
        <v>-1110.0184328746195</v>
      </c>
      <c r="KI838" s="349"/>
      <c r="KJ838" s="350"/>
    </row>
    <row r="839" spans="1:302" hidden="1" outlineLevel="1">
      <c r="A839" s="302"/>
      <c r="D839" s="1682" t="s">
        <v>3247</v>
      </c>
      <c r="E839" s="346"/>
      <c r="F839" s="346"/>
      <c r="G839" s="346"/>
      <c r="H839" s="346"/>
      <c r="I839" s="346"/>
      <c r="J839" s="346"/>
      <c r="K839" s="346"/>
      <c r="L839" s="346"/>
      <c r="M839" s="346"/>
      <c r="N839" s="346"/>
      <c r="O839" s="346"/>
      <c r="P839" s="346"/>
      <c r="Q839" s="346"/>
      <c r="R839" s="346"/>
      <c r="S839" s="346"/>
      <c r="T839" s="346"/>
      <c r="U839" s="346"/>
      <c r="V839" s="346"/>
      <c r="W839" s="346"/>
      <c r="X839" s="346"/>
      <c r="Y839" s="346"/>
      <c r="Z839" s="346"/>
      <c r="AA839" s="346"/>
      <c r="AB839" s="346"/>
      <c r="AC839" s="346"/>
      <c r="AD839" s="346"/>
      <c r="AE839" s="346"/>
      <c r="AF839" s="346"/>
      <c r="AG839" s="346"/>
      <c r="AH839" s="346"/>
      <c r="AI839" s="346"/>
      <c r="AJ839" s="346"/>
      <c r="AK839" s="346"/>
      <c r="AL839" s="346"/>
      <c r="AM839" s="346"/>
      <c r="AN839" s="346"/>
      <c r="AO839" s="346"/>
      <c r="AP839" s="346"/>
      <c r="AQ839" s="346"/>
      <c r="AR839" s="346"/>
      <c r="AS839" s="346"/>
      <c r="AT839" s="346"/>
      <c r="AU839" s="346"/>
      <c r="AV839" s="346"/>
      <c r="AW839" s="346"/>
      <c r="AX839" s="346"/>
      <c r="AY839" s="346"/>
      <c r="AZ839" s="346"/>
      <c r="BA839" s="346"/>
      <c r="BB839" s="346"/>
      <c r="BC839" s="346"/>
      <c r="BD839" s="346"/>
      <c r="BE839" s="346"/>
      <c r="BF839" s="346"/>
      <c r="BG839" s="346"/>
      <c r="BH839" s="346"/>
      <c r="BI839" s="346"/>
      <c r="BJ839" s="346"/>
      <c r="BK839" s="346"/>
      <c r="BL839" s="346"/>
      <c r="BM839" s="346"/>
      <c r="BN839" s="346"/>
      <c r="BO839" s="346"/>
      <c r="BP839" s="346"/>
      <c r="BQ839" s="346"/>
      <c r="BR839" s="346"/>
      <c r="BS839" s="346"/>
      <c r="BT839" s="346"/>
      <c r="BU839" s="346"/>
      <c r="BV839" s="346"/>
      <c r="BW839" s="346"/>
      <c r="BX839" s="346"/>
      <c r="BY839" s="346"/>
      <c r="BZ839" s="346"/>
      <c r="CA839" s="346"/>
      <c r="CB839" s="346"/>
      <c r="CC839" s="346"/>
      <c r="CD839" s="352"/>
      <c r="CE839" s="346"/>
      <c r="CF839" s="346"/>
      <c r="CG839" s="346"/>
      <c r="CH839" s="346"/>
      <c r="CI839" s="346"/>
      <c r="CJ839" s="346"/>
      <c r="CK839" s="346"/>
      <c r="CL839" s="346"/>
      <c r="CM839" s="346"/>
      <c r="CN839" s="346"/>
      <c r="CO839" s="346"/>
      <c r="CP839" s="348"/>
      <c r="CQ839" s="346"/>
      <c r="CR839" s="346"/>
      <c r="CS839" s="346"/>
      <c r="CT839" s="346"/>
      <c r="CU839" s="346"/>
      <c r="CV839" s="346"/>
      <c r="CW839" s="346"/>
      <c r="CX839" s="346"/>
      <c r="CY839" s="346"/>
      <c r="CZ839" s="346"/>
      <c r="DA839" s="346"/>
      <c r="DB839" s="1479"/>
      <c r="DC839" s="346"/>
      <c r="DD839" s="346"/>
      <c r="DE839" s="346"/>
      <c r="DF839" s="346"/>
      <c r="DG839" s="346"/>
      <c r="DH839" s="346"/>
      <c r="DI839" s="346"/>
      <c r="DJ839" s="346"/>
      <c r="DK839" s="346"/>
      <c r="DL839" s="346"/>
      <c r="DM839" s="346"/>
      <c r="DN839" s="348"/>
      <c r="DO839" s="346"/>
      <c r="DP839" s="346"/>
      <c r="DQ839" s="346"/>
      <c r="DR839" s="346"/>
      <c r="DS839" s="346"/>
      <c r="DT839" s="346"/>
      <c r="DU839" s="346"/>
      <c r="DV839" s="346"/>
      <c r="DW839" s="346"/>
      <c r="DX839" s="346"/>
      <c r="DY839" s="346"/>
      <c r="DZ839" s="348"/>
      <c r="EA839" s="346"/>
      <c r="EB839" s="346"/>
      <c r="EC839" s="346"/>
      <c r="ED839" s="346"/>
      <c r="EE839" s="346"/>
      <c r="EF839" s="346"/>
      <c r="EG839" s="346"/>
      <c r="EH839" s="346"/>
      <c r="EI839" s="346"/>
      <c r="EJ839" s="346"/>
      <c r="EK839" s="346"/>
      <c r="EL839" s="348"/>
      <c r="EM839" s="346"/>
      <c r="EN839" s="346"/>
      <c r="EO839" s="346"/>
      <c r="EP839" s="346"/>
      <c r="EQ839" s="346"/>
      <c r="ER839" s="346"/>
      <c r="ES839" s="346"/>
      <c r="ET839" s="346"/>
      <c r="EU839" s="346"/>
      <c r="EV839" s="346"/>
      <c r="EW839" s="346"/>
      <c r="EX839" s="348"/>
      <c r="EY839" s="346"/>
      <c r="EZ839" s="346"/>
      <c r="FA839" s="346"/>
      <c r="FB839" s="346"/>
      <c r="FC839" s="346"/>
      <c r="FD839" s="346"/>
      <c r="FE839" s="346"/>
      <c r="FF839" s="346"/>
      <c r="FG839" s="346"/>
      <c r="FH839" s="346"/>
      <c r="FI839" s="346"/>
      <c r="FJ839" s="348"/>
      <c r="FK839" s="346"/>
      <c r="FL839" s="346"/>
      <c r="FM839" s="346"/>
      <c r="FN839" s="346"/>
      <c r="FO839" s="346"/>
      <c r="FP839" s="346"/>
      <c r="FQ839" s="346"/>
      <c r="FR839" s="346"/>
      <c r="FS839" s="346"/>
      <c r="FT839" s="346"/>
      <c r="FU839" s="346"/>
      <c r="FV839" s="346"/>
      <c r="FW839" s="346"/>
      <c r="FX839" s="346"/>
      <c r="FY839" s="346"/>
      <c r="FZ839" s="346"/>
      <c r="GA839" s="346"/>
      <c r="GB839" s="346"/>
      <c r="GI839" s="1897"/>
      <c r="HN839" s="349"/>
      <c r="HO839" s="1682" t="s">
        <v>3247</v>
      </c>
      <c r="HP839" s="1152">
        <f>HP834-(-HP761-HP880-HP793)</f>
        <v>-18.078450044245741</v>
      </c>
      <c r="HQ839" s="1152">
        <f>HQ834-(-HQ761-HQ880-HQ793)</f>
        <v>-189.57068138840336</v>
      </c>
      <c r="HR839" s="346"/>
      <c r="HS839" s="1152">
        <f>HS834-(-HS761-HS880-HS793)</f>
        <v>-84.782599558342412</v>
      </c>
      <c r="HT839" s="1152">
        <f>HT834-(-HT761-HT880-HT793)</f>
        <v>-119.8288616908857</v>
      </c>
      <c r="HU839" s="346"/>
      <c r="HV839" s="1152">
        <f>HV834-(-HV761-HV880-HV793)</f>
        <v>-122.11699102457928</v>
      </c>
      <c r="HW839" s="1152">
        <f>HW834-(-HW761-HW880-HW793)</f>
        <v>-100.59962633264807</v>
      </c>
      <c r="HX839" s="346"/>
      <c r="HY839" s="1152">
        <f>HY834-(-HY761-HY880-HY793)</f>
        <v>-203.55692075128815</v>
      </c>
      <c r="HZ839" s="1152">
        <f>HZ834-(-HZ761-HZ880-HZ793)</f>
        <v>-111.00427247319912</v>
      </c>
      <c r="IA839" s="346"/>
      <c r="IB839" s="1152">
        <f>IB834-(-IB761-IB880-IB793)</f>
        <v>-142.14983096216534</v>
      </c>
      <c r="IC839" s="1152">
        <f>IC834-(-IC761-IC880-IC793)</f>
        <v>-155.12860245383854</v>
      </c>
      <c r="ID839" s="346"/>
      <c r="IE839" s="1152">
        <f>IE834-(-IE761-IE880-IE793)</f>
        <v>-89.861987017017611</v>
      </c>
      <c r="IF839" s="1152">
        <f>IF834-(-IF761-IF880-IF793)</f>
        <v>-426.65220005362949</v>
      </c>
      <c r="IG839" s="346"/>
      <c r="IH839" s="1152">
        <f>IH834-(-IH761-IH880-IH793)</f>
        <v>-290.74665163487617</v>
      </c>
      <c r="II839" s="1152">
        <f>II834-(-II761-II880-II793)</f>
        <v>-450.521159220257</v>
      </c>
      <c r="IJ839" s="346"/>
      <c r="IK839" s="1152">
        <f>IK834-(-IK761-IK880-IK793)</f>
        <v>-453.02670798795737</v>
      </c>
      <c r="IL839" s="1152">
        <f>IL834-(-IL761-IL880-IL793)</f>
        <v>-310.69588860656904</v>
      </c>
      <c r="IM839" s="346">
        <f t="shared" si="1183"/>
        <v>-763.72259659452641</v>
      </c>
      <c r="IN839" s="350">
        <f t="shared" si="1342"/>
        <v>0</v>
      </c>
      <c r="IO839" s="350">
        <f t="shared" si="1343"/>
        <v>0</v>
      </c>
      <c r="IP839" s="346">
        <f t="shared" si="1294"/>
        <v>0</v>
      </c>
      <c r="IQ839" s="350">
        <f t="shared" si="1369"/>
        <v>0</v>
      </c>
      <c r="IR839" s="350">
        <f>SUM(GO839:GT839)</f>
        <v>0</v>
      </c>
      <c r="IS839" s="346">
        <f t="shared" si="1371"/>
        <v>0</v>
      </c>
      <c r="IT839" s="350">
        <f>IT834-(-IT761-IT881-IT793)</f>
        <v>-351.88550709013401</v>
      </c>
      <c r="IU839" s="350">
        <f>IU834-(-IU761-IU881-IU793)</f>
        <v>-718.6196130366983</v>
      </c>
      <c r="IV839" s="346">
        <f t="shared" si="1235"/>
        <v>-1070.5051201268323</v>
      </c>
      <c r="IW839" s="350">
        <f>IW834-(-IW761-IW881-IW793)</f>
        <v>-428.12427759822049</v>
      </c>
      <c r="IX839" s="1152">
        <f t="shared" si="1252"/>
        <v>-466.97548824558271</v>
      </c>
      <c r="IY839" s="346">
        <f>FISC!AJ1155</f>
        <v>-895.0997658438032</v>
      </c>
      <c r="IZ839" s="1152">
        <f>IZ834-(-IZ761-IZ881-IZ793)</f>
        <v>-853.33930017683167</v>
      </c>
      <c r="JA839" s="1152">
        <f>JA834-(-JA761-JA881-JA793)</f>
        <v>-32.556188480484565</v>
      </c>
      <c r="JB839" s="346">
        <f>FISC!AK1155</f>
        <v>-885.89548865731626</v>
      </c>
      <c r="JC839" s="1152">
        <f>JC834-(-JC761-JC881-JC793)</f>
        <v>-750.53036411643711</v>
      </c>
      <c r="JD839" s="1152">
        <f>JD834-(-JD761-JD881-JD793)</f>
        <v>-27.075175499828902</v>
      </c>
      <c r="JE839" s="346">
        <f>FISC!AL1155</f>
        <v>-777.60553961626601</v>
      </c>
      <c r="JF839" s="1152">
        <f>JF834-(-JF761-JF881-JF793)</f>
        <v>-829.12413506611028</v>
      </c>
      <c r="JG839" s="1152">
        <f>JG834-(-JG761-JG881-JG793)</f>
        <v>-58.97823000524204</v>
      </c>
      <c r="JH839" s="346">
        <f>FISC!AM1155</f>
        <v>-888.10236507135232</v>
      </c>
      <c r="JI839" s="1152">
        <f>JI834-(-JI761-JI881-JI793)</f>
        <v>-835.13869712855239</v>
      </c>
      <c r="JJ839" s="1152">
        <f>JJ834-(-JJ761-JJ881-JJ793)</f>
        <v>-121.34291866830381</v>
      </c>
      <c r="JK839" s="346">
        <f>FISC!AN1155</f>
        <v>-956.4816157968562</v>
      </c>
      <c r="JL839" s="1152">
        <f>JL834-(-JL761-JL881-JL793)</f>
        <v>-811.5500801117837</v>
      </c>
      <c r="JM839" s="1152">
        <f>JM834-(-JM761-JM881-JM793)</f>
        <v>-298.46835276283628</v>
      </c>
      <c r="JN839" s="346">
        <f>FISC!AO1155</f>
        <v>-1110.0184328746195</v>
      </c>
      <c r="KI839" s="349"/>
      <c r="KJ839" s="350"/>
    </row>
    <row r="840" spans="1:302" hidden="1" outlineLevel="1">
      <c r="A840" s="302"/>
      <c r="D840" s="1724" t="s">
        <v>3226</v>
      </c>
      <c r="E840" s="346"/>
      <c r="F840" s="346"/>
      <c r="G840" s="346"/>
      <c r="H840" s="346"/>
      <c r="I840" s="346"/>
      <c r="J840" s="346"/>
      <c r="K840" s="346"/>
      <c r="L840" s="346"/>
      <c r="M840" s="346"/>
      <c r="N840" s="346"/>
      <c r="O840" s="346"/>
      <c r="P840" s="346"/>
      <c r="Q840" s="346"/>
      <c r="R840" s="346"/>
      <c r="S840" s="346"/>
      <c r="T840" s="346"/>
      <c r="U840" s="346"/>
      <c r="V840" s="346"/>
      <c r="W840" s="346"/>
      <c r="X840" s="346"/>
      <c r="Y840" s="346"/>
      <c r="Z840" s="346"/>
      <c r="AA840" s="346"/>
      <c r="AB840" s="346"/>
      <c r="AC840" s="346"/>
      <c r="AD840" s="346"/>
      <c r="AE840" s="346"/>
      <c r="AF840" s="346"/>
      <c r="AG840" s="346"/>
      <c r="AH840" s="346"/>
      <c r="AI840" s="346"/>
      <c r="AJ840" s="346"/>
      <c r="AK840" s="346"/>
      <c r="AL840" s="346"/>
      <c r="AM840" s="346"/>
      <c r="AN840" s="346"/>
      <c r="AO840" s="346"/>
      <c r="AP840" s="346"/>
      <c r="AQ840" s="346"/>
      <c r="AR840" s="346"/>
      <c r="AS840" s="346"/>
      <c r="AT840" s="346"/>
      <c r="AU840" s="346"/>
      <c r="AV840" s="346"/>
      <c r="AW840" s="346"/>
      <c r="AX840" s="346"/>
      <c r="AY840" s="346"/>
      <c r="AZ840" s="346"/>
      <c r="BA840" s="346"/>
      <c r="BB840" s="346"/>
      <c r="BC840" s="346"/>
      <c r="BD840" s="346"/>
      <c r="BE840" s="346"/>
      <c r="BF840" s="346"/>
      <c r="BG840" s="346"/>
      <c r="BH840" s="346"/>
      <c r="BI840" s="346"/>
      <c r="BJ840" s="346"/>
      <c r="BK840" s="346"/>
      <c r="BL840" s="346"/>
      <c r="BM840" s="346"/>
      <c r="BN840" s="346"/>
      <c r="BO840" s="346"/>
      <c r="BP840" s="346"/>
      <c r="BQ840" s="346"/>
      <c r="BR840" s="346"/>
      <c r="BS840" s="346"/>
      <c r="BT840" s="346"/>
      <c r="BU840" s="346"/>
      <c r="BV840" s="346"/>
      <c r="BW840" s="346"/>
      <c r="BX840" s="346"/>
      <c r="BY840" s="346"/>
      <c r="BZ840" s="346"/>
      <c r="CA840" s="346"/>
      <c r="CB840" s="346"/>
      <c r="CC840" s="346"/>
      <c r="CD840" s="352"/>
      <c r="CE840" s="346"/>
      <c r="CF840" s="346"/>
      <c r="CG840" s="346"/>
      <c r="CH840" s="346"/>
      <c r="CI840" s="346"/>
      <c r="CJ840" s="346"/>
      <c r="CK840" s="346"/>
      <c r="CL840" s="346"/>
      <c r="CM840" s="346"/>
      <c r="CN840" s="346"/>
      <c r="CO840" s="346"/>
      <c r="CP840" s="348"/>
      <c r="CQ840" s="346"/>
      <c r="CR840" s="346"/>
      <c r="CS840" s="346"/>
      <c r="CT840" s="346"/>
      <c r="CU840" s="346"/>
      <c r="CV840" s="346"/>
      <c r="CW840" s="346"/>
      <c r="CX840" s="346"/>
      <c r="CY840" s="346"/>
      <c r="CZ840" s="346"/>
      <c r="DA840" s="346"/>
      <c r="DB840" s="1479"/>
      <c r="DC840" s="346"/>
      <c r="DD840" s="346"/>
      <c r="DE840" s="346"/>
      <c r="DF840" s="346"/>
      <c r="DG840" s="346"/>
      <c r="DH840" s="346"/>
      <c r="DI840" s="346"/>
      <c r="DJ840" s="346"/>
      <c r="DK840" s="346"/>
      <c r="DL840" s="346"/>
      <c r="DM840" s="346"/>
      <c r="DN840" s="348"/>
      <c r="DO840" s="346"/>
      <c r="DP840" s="346"/>
      <c r="DQ840" s="346"/>
      <c r="DR840" s="346"/>
      <c r="DS840" s="346"/>
      <c r="DT840" s="346"/>
      <c r="DU840" s="346"/>
      <c r="DV840" s="346"/>
      <c r="DW840" s="346"/>
      <c r="DX840" s="346"/>
      <c r="DY840" s="346"/>
      <c r="DZ840" s="348"/>
      <c r="EA840" s="346"/>
      <c r="EB840" s="346"/>
      <c r="EC840" s="346"/>
      <c r="ED840" s="346"/>
      <c r="EE840" s="346"/>
      <c r="EF840" s="346"/>
      <c r="EG840" s="346"/>
      <c r="EH840" s="346"/>
      <c r="EI840" s="346"/>
      <c r="EJ840" s="346"/>
      <c r="EK840" s="346"/>
      <c r="EL840" s="348"/>
      <c r="EM840" s="346"/>
      <c r="EN840" s="346"/>
      <c r="EO840" s="346"/>
      <c r="EP840" s="346"/>
      <c r="EQ840" s="346"/>
      <c r="ER840" s="346"/>
      <c r="ES840" s="346"/>
      <c r="ET840" s="346"/>
      <c r="EU840" s="346"/>
      <c r="EV840" s="346"/>
      <c r="EW840" s="346"/>
      <c r="EX840" s="348"/>
      <c r="EY840" s="346"/>
      <c r="EZ840" s="346"/>
      <c r="FA840" s="346"/>
      <c r="FB840" s="346"/>
      <c r="FC840" s="346"/>
      <c r="FD840" s="346"/>
      <c r="FE840" s="346"/>
      <c r="FF840" s="346"/>
      <c r="FG840" s="346"/>
      <c r="FH840" s="346"/>
      <c r="FI840" s="346"/>
      <c r="FJ840" s="348"/>
      <c r="FK840" s="346"/>
      <c r="FL840" s="346"/>
      <c r="FM840" s="346"/>
      <c r="FN840" s="346"/>
      <c r="FO840" s="346"/>
      <c r="FP840" s="346"/>
      <c r="FQ840" s="346"/>
      <c r="FR840" s="346"/>
      <c r="FS840" s="346"/>
      <c r="FT840" s="346"/>
      <c r="FU840" s="346"/>
      <c r="FV840" s="346"/>
      <c r="FW840" s="346"/>
      <c r="FX840" s="346"/>
      <c r="FY840" s="346"/>
      <c r="FZ840" s="346"/>
      <c r="GA840" s="346"/>
      <c r="GB840" s="346"/>
      <c r="GI840" s="1897"/>
      <c r="HN840" s="349"/>
      <c r="HO840" s="1724" t="s">
        <v>3226</v>
      </c>
      <c r="HP840" s="1152">
        <f>HP834-(-HP744-HP764-HP877-HP879-HP756-HP760-HP793-HP805-HP812-HP819-HP824)</f>
        <v>-18.078450044245741</v>
      </c>
      <c r="HQ840" s="1152">
        <f>HQ834-(-HQ744-HQ764-HQ877-HQ879-HQ756-HQ760-HQ793-HQ805-HQ812-HQ819-HQ824)</f>
        <v>-189.57068138840336</v>
      </c>
      <c r="HR840" s="346"/>
      <c r="HS840" s="1152">
        <f>HS834-(-HS744-HS764-HS877-HS879-HS756-HS760-HS793-HS805-HS812-HS819-HS824)</f>
        <v>-84.782599558342412</v>
      </c>
      <c r="HT840" s="1152">
        <f>HT834-(-HT744-HT764-HT877-HT879-HT756-HT760-HT793-HT805-HT812-HT819-HT824)</f>
        <v>-119.8288616908857</v>
      </c>
      <c r="HU840" s="346"/>
      <c r="HV840" s="1152">
        <f>HV834-(-HV744-HV764-HV877-HV879-HV756-HV760-HV793-HV805-HV812-HV819-HV824)</f>
        <v>-122.11699102457928</v>
      </c>
      <c r="HW840" s="1152">
        <f>HW834-(-HW744-HW764-HW877-HW879-HW756-HW760-HW793-HW805-HW812-HW819-HW824)</f>
        <v>-100.59962633264807</v>
      </c>
      <c r="HX840" s="346"/>
      <c r="HY840" s="1152">
        <f>HY834-(-HY744-HY764-HY877-HY879-HY756-HY760-HY793-HY805-HY812-HY819-HY824)</f>
        <v>-203.55692075128815</v>
      </c>
      <c r="HZ840" s="1152">
        <f>HZ834-(-HZ744-HZ764-HZ877-HZ879-HZ756-HZ760-HZ793-HZ805-HZ812-HZ819-HZ824)</f>
        <v>-111.00427247319912</v>
      </c>
      <c r="IA840" s="346"/>
      <c r="IB840" s="1152">
        <f>IB834-(-IB744-IB764-IB877-IB879-IB756-IB760-IB793-IB805-IB812-IB819-IB824)</f>
        <v>-142.14983096216534</v>
      </c>
      <c r="IC840" s="1152">
        <f>IC834-(-IC744-IC764-IC877-IC879-IC756-IC760-IC793-IC805-IC812-IC819-IC824)</f>
        <v>-155.12860245383854</v>
      </c>
      <c r="ID840" s="346"/>
      <c r="IE840" s="1152">
        <f>IE834-(-IE744-IE764-IE877-IE879-IE756-IE760-IE793-IE805-IE812-IE819-IE824)</f>
        <v>-89.861987017017611</v>
      </c>
      <c r="IF840" s="1152">
        <f>IF834-(-IF744-IF764-IF877-IF879-IF756-IF760-IF793-IF805-IF812-IF819-IF824)</f>
        <v>-426.65220005362949</v>
      </c>
      <c r="IG840" s="346"/>
      <c r="IH840" s="1152">
        <f>IH834-(-IH744-IH764-IH877-IH879-IH756-IH760-IH793-IH805-IH812-IH819-IH824)</f>
        <v>-281.86492678787619</v>
      </c>
      <c r="II840" s="1152">
        <f>II834-(-II744-II764-II877-II879-II756-II760-II793-II805-II812-II819-II824)</f>
        <v>-435.75532013525702</v>
      </c>
      <c r="IJ840" s="346"/>
      <c r="IK840" s="1152">
        <f>IK834-(-IK744-IK764-IK877-IK879-IK756-IK760-IK793-IK805-IK812-IK819-IK824)</f>
        <v>-191.21812992344496</v>
      </c>
      <c r="IL840" s="1152">
        <f>IL834-(-IL744-IL764-IL877-IL879-IL756-IL760-IL793-IL805-IL812-IL819-IL824)</f>
        <v>-298.18364173156903</v>
      </c>
      <c r="IM840" s="346">
        <f t="shared" si="1183"/>
        <v>-489.40177165501399</v>
      </c>
      <c r="IN840" s="350">
        <f t="shared" si="1342"/>
        <v>0</v>
      </c>
      <c r="IO840" s="350">
        <f t="shared" si="1343"/>
        <v>0</v>
      </c>
      <c r="IP840" s="346">
        <f t="shared" si="1294"/>
        <v>0</v>
      </c>
      <c r="IQ840" s="350">
        <f t="shared" si="1369"/>
        <v>0</v>
      </c>
      <c r="IR840" s="350">
        <f>SUM(GO840:GT840)</f>
        <v>0</v>
      </c>
      <c r="IS840" s="346">
        <f t="shared" si="1371"/>
        <v>0</v>
      </c>
      <c r="IT840" s="350">
        <f>IT834-(-IT744-IT764-IT877-IT879-IT756-IT760-IT793-IT805-IT812-IT819-IT824)</f>
        <v>-67.257388244983076</v>
      </c>
      <c r="IU840" s="350">
        <f>IU834-(-IU744-IU764-IU877-IU879-IU756-IU760-IU793-IU805-IU812-IU819-IU824)</f>
        <v>-594.10666642681474</v>
      </c>
      <c r="IV840" s="346">
        <f t="shared" si="1235"/>
        <v>-661.36405467179782</v>
      </c>
      <c r="IW840" s="350">
        <f>IW834-(-IW744-IW764-IW877-IW879-IW756-IW760-IW793-IW805-IW812-IW819-IW824)</f>
        <v>-178.65682532881351</v>
      </c>
      <c r="IX840" s="1152">
        <f t="shared" si="1252"/>
        <v>-296.80320355345054</v>
      </c>
      <c r="IY840" s="346">
        <f>FISC!AJ1156</f>
        <v>-475.46002888226406</v>
      </c>
      <c r="IZ840" s="1152">
        <f>IZ834-(-IZ744-IZ764-IZ877-IZ879-IZ756-IZ760-IZ793-IZ805-IZ812-IZ819-IZ824)</f>
        <v>-651.50188735644781</v>
      </c>
      <c r="JA840" s="1152">
        <f>JA834-(-JA744-JA764-JA877-JA879-JA756-JA760-JA793-JA805-JA812-JA819-JA824)</f>
        <v>169.2812243398993</v>
      </c>
      <c r="JB840" s="346">
        <f>FISC!AK1156</f>
        <v>-482.22066301654849</v>
      </c>
      <c r="JC840" s="1152">
        <f>JC834-(-JC744-JC764-JC877-JC879-JC756-JC760-JC793-JC805-JC812-JC819-JC824)</f>
        <v>-522.41512752990343</v>
      </c>
      <c r="JD840" s="1152">
        <f>JD834-(-JD744-JD764-JD877-JD879-JD756-JD760-JD793-JD805-JD812-JD819-JD824)</f>
        <v>201.04006108670481</v>
      </c>
      <c r="JE840" s="346">
        <f>FISC!AL1156</f>
        <v>-321.37506644319859</v>
      </c>
      <c r="JF840" s="1152">
        <f>JF834-(-JF744-JF764-JF877-JF879-JF756-JF760-JF793-JF805-JF812-JF819-JF824)</f>
        <v>-588.21198558602055</v>
      </c>
      <c r="JG840" s="1152">
        <f>JG834-(-JG744-JG764-JG877-JG879-JG756-JG760-JG793-JG805-JG812-JG819-JG824)</f>
        <v>181.9339194748477</v>
      </c>
      <c r="JH840" s="346">
        <f>FISC!AM1156</f>
        <v>-406.27806611117285</v>
      </c>
      <c r="JI840" s="1152">
        <f>JI834-(-JI744-JI764-JI877-JI879-JI756-JI760-JI793-JI805-JI812-JI819-JI824)</f>
        <v>-582.0404961648685</v>
      </c>
      <c r="JJ840" s="1152">
        <f>JJ834-(-JJ744-JJ764-JJ877-JJ879-JJ756-JJ760-JJ793-JJ805-JJ812-JJ819-JJ824)</f>
        <v>132.95689353458005</v>
      </c>
      <c r="JK840" s="346">
        <f>FISC!AN1156</f>
        <v>-449.08360263028851</v>
      </c>
      <c r="JL840" s="1152">
        <f>JL834-(-JL744-JL764-JL877-JL879-JL756-JL760-JL793-JL805-JL812-JL819-JL824)</f>
        <v>-548.56894536313075</v>
      </c>
      <c r="JM840" s="1152">
        <f>JM834-(-JM744-JM764-JM877-JM879-JM756-JM760-JM793-JM805-JM812-JM819-JM824)</f>
        <v>-34.331558240743334</v>
      </c>
      <c r="JN840" s="346">
        <f>FISC!AO1156</f>
        <v>-582.90050360387363</v>
      </c>
      <c r="KI840" s="349"/>
      <c r="KJ840" s="350"/>
    </row>
    <row r="841" spans="1:302" hidden="1" outlineLevel="1">
      <c r="A841" s="302"/>
      <c r="D841" s="1725" t="s">
        <v>3244</v>
      </c>
      <c r="E841" s="346"/>
      <c r="F841" s="346"/>
      <c r="G841" s="346"/>
      <c r="H841" s="346"/>
      <c r="I841" s="346"/>
      <c r="J841" s="346"/>
      <c r="K841" s="346"/>
      <c r="L841" s="346"/>
      <c r="M841" s="346"/>
      <c r="N841" s="346"/>
      <c r="O841" s="346"/>
      <c r="P841" s="346"/>
      <c r="Q841" s="346"/>
      <c r="R841" s="346"/>
      <c r="S841" s="346"/>
      <c r="T841" s="346"/>
      <c r="U841" s="346"/>
      <c r="V841" s="346"/>
      <c r="W841" s="346"/>
      <c r="X841" s="346"/>
      <c r="Y841" s="346"/>
      <c r="Z841" s="346"/>
      <c r="AA841" s="346"/>
      <c r="AB841" s="346"/>
      <c r="AC841" s="346"/>
      <c r="AD841" s="346"/>
      <c r="AE841" s="346"/>
      <c r="AF841" s="346"/>
      <c r="AG841" s="346"/>
      <c r="AH841" s="346"/>
      <c r="AI841" s="346"/>
      <c r="AJ841" s="346"/>
      <c r="AK841" s="346"/>
      <c r="AL841" s="346"/>
      <c r="AM841" s="346"/>
      <c r="AN841" s="346"/>
      <c r="AO841" s="346"/>
      <c r="AP841" s="346"/>
      <c r="AQ841" s="346"/>
      <c r="AR841" s="346"/>
      <c r="AS841" s="346"/>
      <c r="AT841" s="346"/>
      <c r="AU841" s="346"/>
      <c r="AV841" s="346"/>
      <c r="AW841" s="346"/>
      <c r="AX841" s="346"/>
      <c r="AY841" s="346"/>
      <c r="AZ841" s="346"/>
      <c r="BA841" s="346"/>
      <c r="BB841" s="346"/>
      <c r="BC841" s="346"/>
      <c r="BD841" s="346"/>
      <c r="BE841" s="346"/>
      <c r="BF841" s="346"/>
      <c r="BG841" s="346"/>
      <c r="BH841" s="346"/>
      <c r="BI841" s="346"/>
      <c r="BJ841" s="346"/>
      <c r="BK841" s="346"/>
      <c r="BL841" s="346"/>
      <c r="BM841" s="346"/>
      <c r="BN841" s="346"/>
      <c r="BO841" s="346"/>
      <c r="BP841" s="346"/>
      <c r="BQ841" s="346"/>
      <c r="BR841" s="346"/>
      <c r="BS841" s="346"/>
      <c r="BT841" s="346"/>
      <c r="BU841" s="346"/>
      <c r="BV841" s="346"/>
      <c r="BW841" s="346"/>
      <c r="BX841" s="346"/>
      <c r="BY841" s="346"/>
      <c r="BZ841" s="346"/>
      <c r="CA841" s="346"/>
      <c r="CB841" s="346"/>
      <c r="CC841" s="346"/>
      <c r="CD841" s="352"/>
      <c r="CE841" s="346"/>
      <c r="CF841" s="346"/>
      <c r="CG841" s="346"/>
      <c r="CH841" s="346"/>
      <c r="CI841" s="346"/>
      <c r="CJ841" s="346"/>
      <c r="CK841" s="346"/>
      <c r="CL841" s="346"/>
      <c r="CM841" s="346"/>
      <c r="CN841" s="346"/>
      <c r="CO841" s="346"/>
      <c r="CP841" s="348"/>
      <c r="CQ841" s="346"/>
      <c r="CR841" s="346"/>
      <c r="CS841" s="346"/>
      <c r="CT841" s="346"/>
      <c r="CU841" s="346"/>
      <c r="CV841" s="346"/>
      <c r="CW841" s="346"/>
      <c r="CX841" s="346"/>
      <c r="CY841" s="346"/>
      <c r="CZ841" s="346"/>
      <c r="DA841" s="346"/>
      <c r="DB841" s="1479"/>
      <c r="DC841" s="346"/>
      <c r="DD841" s="346"/>
      <c r="DE841" s="346"/>
      <c r="DF841" s="346"/>
      <c r="DG841" s="346"/>
      <c r="DH841" s="346"/>
      <c r="DI841" s="346"/>
      <c r="DJ841" s="346"/>
      <c r="DK841" s="346"/>
      <c r="DL841" s="346"/>
      <c r="DM841" s="346"/>
      <c r="DN841" s="348"/>
      <c r="DO841" s="346"/>
      <c r="DP841" s="346"/>
      <c r="DQ841" s="346"/>
      <c r="DR841" s="346"/>
      <c r="DS841" s="346"/>
      <c r="DT841" s="346"/>
      <c r="DU841" s="346"/>
      <c r="DV841" s="346"/>
      <c r="DW841" s="346"/>
      <c r="DX841" s="346"/>
      <c r="DY841" s="346"/>
      <c r="DZ841" s="348"/>
      <c r="EA841" s="346"/>
      <c r="EB841" s="346"/>
      <c r="EC841" s="346"/>
      <c r="ED841" s="346"/>
      <c r="EE841" s="346"/>
      <c r="EF841" s="346"/>
      <c r="EG841" s="346"/>
      <c r="EH841" s="346"/>
      <c r="EI841" s="346"/>
      <c r="EJ841" s="346"/>
      <c r="EK841" s="346"/>
      <c r="EL841" s="348"/>
      <c r="EM841" s="346"/>
      <c r="EN841" s="346"/>
      <c r="EO841" s="346"/>
      <c r="EP841" s="346"/>
      <c r="EQ841" s="346"/>
      <c r="ER841" s="346"/>
      <c r="ES841" s="346"/>
      <c r="ET841" s="346"/>
      <c r="EU841" s="346"/>
      <c r="EV841" s="346"/>
      <c r="EW841" s="346"/>
      <c r="EX841" s="348"/>
      <c r="EY841" s="346"/>
      <c r="EZ841" s="346"/>
      <c r="FA841" s="346"/>
      <c r="FB841" s="346"/>
      <c r="FC841" s="346"/>
      <c r="FD841" s="346"/>
      <c r="FE841" s="346"/>
      <c r="FF841" s="346"/>
      <c r="FG841" s="346"/>
      <c r="FH841" s="346"/>
      <c r="FI841" s="346"/>
      <c r="FJ841" s="348"/>
      <c r="FK841" s="346"/>
      <c r="FL841" s="346"/>
      <c r="FM841" s="346"/>
      <c r="FN841" s="346"/>
      <c r="FO841" s="346"/>
      <c r="FP841" s="346"/>
      <c r="FQ841" s="346"/>
      <c r="FR841" s="346"/>
      <c r="FS841" s="346"/>
      <c r="FT841" s="346"/>
      <c r="FU841" s="346"/>
      <c r="FV841" s="346"/>
      <c r="FW841" s="346"/>
      <c r="FX841" s="346"/>
      <c r="FY841" s="346"/>
      <c r="FZ841" s="346"/>
      <c r="GA841" s="346"/>
      <c r="GB841" s="346"/>
      <c r="GI841" s="1897"/>
      <c r="HN841" s="349"/>
      <c r="HO841" s="1725" t="s">
        <v>3244</v>
      </c>
      <c r="HP841" s="1662"/>
      <c r="HQ841" s="1662"/>
      <c r="HR841" s="346"/>
      <c r="HS841" s="1662"/>
      <c r="HT841" s="1662"/>
      <c r="HU841" s="346"/>
      <c r="HV841" s="1662"/>
      <c r="HW841" s="1662"/>
      <c r="HX841" s="346"/>
      <c r="HY841" s="1662"/>
      <c r="HZ841" s="1662"/>
      <c r="IA841" s="346"/>
      <c r="IB841" s="1662"/>
      <c r="IC841" s="1662"/>
      <c r="ID841" s="346"/>
      <c r="IE841" s="1662"/>
      <c r="IF841" s="1662"/>
      <c r="IG841" s="346"/>
      <c r="IH841" s="1662"/>
      <c r="II841" s="1662"/>
      <c r="IJ841" s="346"/>
      <c r="IK841" s="1662"/>
      <c r="IL841" s="1662"/>
      <c r="IM841" s="346"/>
      <c r="IN841" s="350">
        <f t="shared" si="1342"/>
        <v>0</v>
      </c>
      <c r="IO841" s="350">
        <f t="shared" si="1343"/>
        <v>0</v>
      </c>
      <c r="IP841" s="346">
        <f t="shared" si="1294"/>
        <v>0</v>
      </c>
      <c r="IQ841" s="350">
        <f t="shared" si="1369"/>
        <v>0</v>
      </c>
      <c r="IR841" s="350">
        <f>SUM(GO841:GT841)</f>
        <v>0</v>
      </c>
      <c r="IS841" s="346">
        <f t="shared" si="1371"/>
        <v>0</v>
      </c>
      <c r="IT841" s="350"/>
      <c r="IU841" s="350"/>
      <c r="IV841" s="346"/>
      <c r="IW841" s="350">
        <f t="shared" si="1256"/>
        <v>0</v>
      </c>
      <c r="IX841" s="1662">
        <f t="shared" si="1252"/>
        <v>0</v>
      </c>
      <c r="IY841" s="346"/>
      <c r="IZ841" s="1662"/>
      <c r="JA841" s="1662"/>
      <c r="JB841" s="346"/>
      <c r="JC841" s="1662"/>
      <c r="JD841" s="1662"/>
      <c r="JE841" s="346">
        <f>FISC!AL1157</f>
        <v>0</v>
      </c>
      <c r="JF841" s="1662"/>
      <c r="JG841" s="1662"/>
      <c r="JH841" s="346">
        <f>FISC!AM1157</f>
        <v>0</v>
      </c>
      <c r="JI841" s="1662"/>
      <c r="JJ841" s="1662"/>
      <c r="JK841" s="346">
        <f>FISC!AN1157</f>
        <v>0</v>
      </c>
      <c r="JL841" s="1662"/>
      <c r="JM841" s="1662"/>
      <c r="JN841" s="346">
        <f>FISC!AO1157</f>
        <v>0</v>
      </c>
      <c r="KI841" s="349"/>
      <c r="KJ841" s="350"/>
    </row>
    <row r="842" spans="1:302" hidden="1" outlineLevel="1">
      <c r="A842" s="302"/>
      <c r="D842" s="1726" t="s">
        <v>592</v>
      </c>
      <c r="E842" s="346"/>
      <c r="F842" s="346"/>
      <c r="G842" s="346"/>
      <c r="H842" s="346"/>
      <c r="I842" s="346"/>
      <c r="J842" s="346"/>
      <c r="K842" s="346"/>
      <c r="L842" s="346"/>
      <c r="M842" s="346"/>
      <c r="N842" s="346"/>
      <c r="O842" s="346"/>
      <c r="P842" s="346"/>
      <c r="Q842" s="346"/>
      <c r="R842" s="346"/>
      <c r="S842" s="346"/>
      <c r="T842" s="346"/>
      <c r="U842" s="346"/>
      <c r="V842" s="346"/>
      <c r="W842" s="346"/>
      <c r="X842" s="346"/>
      <c r="Y842" s="346"/>
      <c r="Z842" s="346"/>
      <c r="AA842" s="346"/>
      <c r="AB842" s="346"/>
      <c r="AC842" s="346"/>
      <c r="AD842" s="346"/>
      <c r="AE842" s="346"/>
      <c r="AF842" s="346"/>
      <c r="AG842" s="346"/>
      <c r="AH842" s="346"/>
      <c r="AI842" s="346"/>
      <c r="AJ842" s="346"/>
      <c r="AK842" s="346"/>
      <c r="AL842" s="346"/>
      <c r="AM842" s="346"/>
      <c r="AN842" s="346"/>
      <c r="AO842" s="346"/>
      <c r="AP842" s="346"/>
      <c r="AQ842" s="346"/>
      <c r="AR842" s="346"/>
      <c r="AS842" s="346"/>
      <c r="AT842" s="346"/>
      <c r="AU842" s="346"/>
      <c r="AV842" s="346"/>
      <c r="AW842" s="346"/>
      <c r="AX842" s="346"/>
      <c r="AY842" s="346"/>
      <c r="AZ842" s="346"/>
      <c r="BA842" s="346"/>
      <c r="BB842" s="346"/>
      <c r="BC842" s="346"/>
      <c r="BD842" s="346"/>
      <c r="BE842" s="346"/>
      <c r="BF842" s="346"/>
      <c r="BG842" s="346"/>
      <c r="BH842" s="346"/>
      <c r="BI842" s="346"/>
      <c r="BJ842" s="346"/>
      <c r="BK842" s="346"/>
      <c r="BL842" s="346"/>
      <c r="BM842" s="346"/>
      <c r="BN842" s="346"/>
      <c r="BO842" s="346"/>
      <c r="BP842" s="346"/>
      <c r="BQ842" s="346"/>
      <c r="BR842" s="346"/>
      <c r="BS842" s="346"/>
      <c r="BT842" s="346"/>
      <c r="BU842" s="346"/>
      <c r="BV842" s="346"/>
      <c r="BW842" s="346"/>
      <c r="BX842" s="346"/>
      <c r="BY842" s="346"/>
      <c r="BZ842" s="346"/>
      <c r="CA842" s="346"/>
      <c r="CB842" s="346"/>
      <c r="CC842" s="346"/>
      <c r="CD842" s="352"/>
      <c r="CE842" s="346"/>
      <c r="CF842" s="346"/>
      <c r="CG842" s="346"/>
      <c r="CH842" s="346"/>
      <c r="CI842" s="346"/>
      <c r="CJ842" s="346"/>
      <c r="CK842" s="346"/>
      <c r="CL842" s="346"/>
      <c r="CM842" s="346"/>
      <c r="CN842" s="346"/>
      <c r="CO842" s="346"/>
      <c r="CP842" s="348"/>
      <c r="CQ842" s="346"/>
      <c r="CR842" s="346"/>
      <c r="CS842" s="346"/>
      <c r="CT842" s="346"/>
      <c r="CU842" s="346"/>
      <c r="CV842" s="346"/>
      <c r="CW842" s="346"/>
      <c r="CX842" s="346"/>
      <c r="CY842" s="346"/>
      <c r="CZ842" s="346"/>
      <c r="DA842" s="346"/>
      <c r="DB842" s="1479"/>
      <c r="DC842" s="346"/>
      <c r="DD842" s="346"/>
      <c r="DE842" s="346"/>
      <c r="DF842" s="346"/>
      <c r="DG842" s="346"/>
      <c r="DH842" s="346"/>
      <c r="DI842" s="346"/>
      <c r="DJ842" s="346"/>
      <c r="DK842" s="346"/>
      <c r="DL842" s="346"/>
      <c r="DM842" s="346"/>
      <c r="DN842" s="348"/>
      <c r="DO842" s="346"/>
      <c r="DP842" s="346"/>
      <c r="DQ842" s="346"/>
      <c r="DR842" s="346"/>
      <c r="DS842" s="346"/>
      <c r="DT842" s="346"/>
      <c r="DU842" s="346"/>
      <c r="DV842" s="346"/>
      <c r="DW842" s="346"/>
      <c r="DX842" s="346"/>
      <c r="DY842" s="346"/>
      <c r="DZ842" s="348"/>
      <c r="EA842" s="346"/>
      <c r="EB842" s="346"/>
      <c r="EC842" s="346"/>
      <c r="ED842" s="346"/>
      <c r="EE842" s="346"/>
      <c r="EF842" s="346"/>
      <c r="EG842" s="346"/>
      <c r="EH842" s="346"/>
      <c r="EI842" s="346"/>
      <c r="EJ842" s="346"/>
      <c r="EK842" s="346"/>
      <c r="EL842" s="348"/>
      <c r="EM842" s="346"/>
      <c r="EN842" s="346"/>
      <c r="EO842" s="346"/>
      <c r="EP842" s="346"/>
      <c r="EQ842" s="346"/>
      <c r="ER842" s="346"/>
      <c r="ES842" s="346"/>
      <c r="ET842" s="346"/>
      <c r="EU842" s="346"/>
      <c r="EV842" s="346"/>
      <c r="EW842" s="346"/>
      <c r="EX842" s="348"/>
      <c r="EY842" s="346">
        <f t="shared" ref="EY842:FV842" si="1372">EY666-EY754-EY817-EY876-EY883</f>
        <v>-62.179110015956645</v>
      </c>
      <c r="EZ842" s="346">
        <f t="shared" si="1372"/>
        <v>-83.784364283727797</v>
      </c>
      <c r="FA842" s="346">
        <f t="shared" si="1372"/>
        <v>-18.098107669984017</v>
      </c>
      <c r="FB842" s="346">
        <f t="shared" si="1372"/>
        <v>-145.46323957550555</v>
      </c>
      <c r="FC842" s="346">
        <f t="shared" si="1372"/>
        <v>-107.61624859505292</v>
      </c>
      <c r="FD842" s="346">
        <f t="shared" si="1372"/>
        <v>37.51269365835077</v>
      </c>
      <c r="FE842" s="346">
        <f t="shared" si="1372"/>
        <v>-68.388202848854448</v>
      </c>
      <c r="FF842" s="346">
        <f t="shared" si="1372"/>
        <v>-87.32370202918078</v>
      </c>
      <c r="FG842" s="346">
        <f t="shared" si="1372"/>
        <v>-85.35842533724302</v>
      </c>
      <c r="FH842" s="346">
        <f t="shared" si="1372"/>
        <v>-58.35522396751179</v>
      </c>
      <c r="FI842" s="346">
        <f t="shared" si="1372"/>
        <v>-213.86257033313089</v>
      </c>
      <c r="FJ842" s="346">
        <f t="shared" si="1372"/>
        <v>38.001126210663905</v>
      </c>
      <c r="FK842" s="346">
        <f t="shared" si="1372"/>
        <v>-264.96794418352499</v>
      </c>
      <c r="FL842" s="346">
        <f t="shared" si="1372"/>
        <v>-114.95851901912394</v>
      </c>
      <c r="FM842" s="346">
        <f t="shared" si="1372"/>
        <v>30.686122019501298</v>
      </c>
      <c r="FN842" s="346">
        <f t="shared" si="1372"/>
        <v>-19.576608796505575</v>
      </c>
      <c r="FO842" s="346">
        <f t="shared" si="1372"/>
        <v>-132.77079301523608</v>
      </c>
      <c r="FP842" s="346">
        <f t="shared" si="1372"/>
        <v>-23.786158461068101</v>
      </c>
      <c r="FQ842" s="346">
        <f t="shared" si="1372"/>
        <v>-92.784969940396294</v>
      </c>
      <c r="FR842" s="346">
        <f t="shared" si="1372"/>
        <v>-98.426806764614639</v>
      </c>
      <c r="FS842" s="346">
        <f t="shared" si="1372"/>
        <v>9.136671248610817E-2</v>
      </c>
      <c r="FT842" s="346">
        <f t="shared" si="1372"/>
        <v>-22.67047286274757</v>
      </c>
      <c r="FU842" s="346">
        <f t="shared" si="1372"/>
        <v>-238.73610349118331</v>
      </c>
      <c r="FV842" s="346">
        <f t="shared" si="1372"/>
        <v>88.111536268886709</v>
      </c>
      <c r="FW842" s="346">
        <v>-89.085264847063982</v>
      </c>
      <c r="FX842" s="346">
        <v>-55.126535181717074</v>
      </c>
      <c r="FY842" s="346">
        <v>-127.41796374649661</v>
      </c>
      <c r="FZ842" s="346">
        <v>-121.94099556953979</v>
      </c>
      <c r="GA842" s="346">
        <v>-44.983146776800069</v>
      </c>
      <c r="GB842" s="346">
        <v>-60.146519742159853</v>
      </c>
      <c r="GC842" s="346">
        <f t="shared" ref="GC842:HL842" si="1373">GC666-GC754-GC817-GC876-GC883</f>
        <v>-116.88226978757589</v>
      </c>
      <c r="GD842" s="346">
        <f t="shared" si="1373"/>
        <v>-167.27067390318084</v>
      </c>
      <c r="GE842" s="346">
        <f t="shared" si="1373"/>
        <v>28.667332361816335</v>
      </c>
      <c r="GF842" s="346">
        <f t="shared" si="1373"/>
        <v>-142.08434131716132</v>
      </c>
      <c r="GG842" s="346">
        <f t="shared" si="1373"/>
        <v>-33.239154797914395</v>
      </c>
      <c r="GH842" s="346">
        <f t="shared" si="1373"/>
        <v>-84.383967662272326</v>
      </c>
      <c r="GI842" s="346">
        <f>GI666-GI754-GI817-GI876-GI883</f>
        <v>-125.92653406915608</v>
      </c>
      <c r="GJ842" s="346">
        <f t="shared" si="1373"/>
        <v>-207.57620679319362</v>
      </c>
      <c r="GK842" s="346">
        <f t="shared" si="1373"/>
        <v>-157.06245649620257</v>
      </c>
      <c r="GL842" s="346">
        <f t="shared" si="1373"/>
        <v>-90.287577173477715</v>
      </c>
      <c r="GM842" s="346">
        <f t="shared" si="1373"/>
        <v>-90.612024140738882</v>
      </c>
      <c r="GN842" s="346">
        <f t="shared" si="1373"/>
        <v>85.760247553898353</v>
      </c>
      <c r="GO842" s="346">
        <f t="shared" si="1373"/>
        <v>-138.75343609631906</v>
      </c>
      <c r="GP842" s="346">
        <f t="shared" si="1373"/>
        <v>-107.36518267174233</v>
      </c>
      <c r="GQ842" s="346">
        <f t="shared" si="1373"/>
        <v>-14.975718923976379</v>
      </c>
      <c r="GR842" s="346">
        <f t="shared" si="1373"/>
        <v>-96.374915785343617</v>
      </c>
      <c r="GS842" s="346">
        <f t="shared" si="1373"/>
        <v>-283.96324982293299</v>
      </c>
      <c r="GT842" s="346">
        <f t="shared" si="1373"/>
        <v>110.15022404569203</v>
      </c>
      <c r="GU842" s="346">
        <f t="shared" si="1373"/>
        <v>-16.853140113553863</v>
      </c>
      <c r="GV842" s="346">
        <f t="shared" si="1373"/>
        <v>-146.94316148030055</v>
      </c>
      <c r="GW842" s="346">
        <f t="shared" si="1373"/>
        <v>-36.414516725072076</v>
      </c>
      <c r="GX842" s="346">
        <f t="shared" si="1373"/>
        <v>-75.122720127158587</v>
      </c>
      <c r="GY842" s="346">
        <f t="shared" si="1373"/>
        <v>-143.14742069211718</v>
      </c>
      <c r="GZ842" s="346">
        <f t="shared" si="1373"/>
        <v>-18.533882778932167</v>
      </c>
      <c r="HA842" s="346">
        <f t="shared" si="1373"/>
        <v>-158.10489600844716</v>
      </c>
      <c r="HB842" s="346">
        <f t="shared" si="1373"/>
        <v>-243.94085166501515</v>
      </c>
      <c r="HC842" s="346">
        <f t="shared" si="1373"/>
        <v>-104.85984357938374</v>
      </c>
      <c r="HD842" s="346">
        <f t="shared" si="1373"/>
        <v>-35.368026138168993</v>
      </c>
      <c r="HE842" s="346">
        <f t="shared" si="1373"/>
        <v>-132.82153403212808</v>
      </c>
      <c r="HF842" s="346">
        <f t="shared" si="1373"/>
        <v>-116.06744863042789</v>
      </c>
      <c r="HG842" s="346">
        <f t="shared" si="1373"/>
        <v>-126.65684181344378</v>
      </c>
      <c r="HH842" s="346">
        <f t="shared" si="1373"/>
        <v>-167.84648422814669</v>
      </c>
      <c r="HI842" s="346">
        <f t="shared" si="1373"/>
        <v>-23.329189471958422</v>
      </c>
      <c r="HJ842" s="346">
        <f t="shared" si="1373"/>
        <v>-61.141314476036541</v>
      </c>
      <c r="HK842" s="346">
        <f t="shared" si="1373"/>
        <v>-175.99736776073965</v>
      </c>
      <c r="HL842" s="346">
        <f t="shared" si="1373"/>
        <v>-22.596081255209363</v>
      </c>
      <c r="HM842" s="346"/>
      <c r="HN842" s="349"/>
      <c r="HO842" s="1726" t="s">
        <v>592</v>
      </c>
      <c r="HP842" s="573">
        <f>+HP666-HP754-HP817-HP876-HP881</f>
        <v>-3.9664374692457542</v>
      </c>
      <c r="HQ842" s="573">
        <f>+HQ666-HQ754-HQ817-HQ876-HQ881</f>
        <v>-229.70450340340332</v>
      </c>
      <c r="HR842" s="346"/>
      <c r="HS842" s="573">
        <f>+HS666-HS754-HS817-HS876-HS881</f>
        <v>-94.929270119342448</v>
      </c>
      <c r="HT842" s="573">
        <f>+HT666-HT754-HT817-HT876-HT881</f>
        <v>-173.36329371988563</v>
      </c>
      <c r="HU842" s="346"/>
      <c r="HV842" s="573">
        <f>+HV666-HV754-HV817-HV876-HV881</f>
        <v>-141.09740245957931</v>
      </c>
      <c r="HW842" s="573">
        <f>+HW666-HW754-HW817-HW876-HW881</f>
        <v>-131.96793656964815</v>
      </c>
      <c r="HX842" s="346"/>
      <c r="HY842" s="573">
        <f>+HY666-HY754-HY817-HY876-HY881</f>
        <v>-206.12076385028814</v>
      </c>
      <c r="HZ842" s="573">
        <f>+HZ666-HZ754-HZ817-HZ876-HZ881</f>
        <v>-134.87856298419914</v>
      </c>
      <c r="IA842" s="346"/>
      <c r="IB842" s="573">
        <f>+IB666-IB754-IB817-IB876-IB881</f>
        <v>-168.37790806416518</v>
      </c>
      <c r="IC842" s="573">
        <f>+IC666-IC754-IC817-IC876-IC881</f>
        <v>-185.91074607483864</v>
      </c>
      <c r="ID842" s="346"/>
      <c r="IE842" s="573">
        <f>+IE666-IE754-IE817-IE876-IE881</f>
        <v>-106.17722628301766</v>
      </c>
      <c r="IF842" s="573">
        <f>+IF666-IF754-IF817-IF876-IF881</f>
        <v>-440.30571851962924</v>
      </c>
      <c r="IG842" s="346"/>
      <c r="IH842" s="573">
        <f>+IH666-IH754-IH817-IH876-IH881</f>
        <v>-379.62837648187633</v>
      </c>
      <c r="II842" s="573">
        <f>+II666-II754-II817-II876-II881</f>
        <v>-465.28699830525687</v>
      </c>
      <c r="IJ842" s="346"/>
      <c r="IK842" s="573">
        <f>+IK666-IK754-IK817-IK876-IK883</f>
        <v>-525.37390145595725</v>
      </c>
      <c r="IL842" s="573">
        <f t="shared" ref="IL842:IS842" si="1374">+IL666-IL754-IL817-IL876-IL883</f>
        <v>-364.41545007756912</v>
      </c>
      <c r="IM842" s="346">
        <f t="shared" si="1374"/>
        <v>-889.78935153352643</v>
      </c>
      <c r="IN842" s="573">
        <f t="shared" si="1374"/>
        <v>-600.63382863922527</v>
      </c>
      <c r="IO842" s="573">
        <f t="shared" si="1374"/>
        <v>-515.19307510628846</v>
      </c>
      <c r="IP842" s="573">
        <f t="shared" si="1374"/>
        <v>-1115.8269037455138</v>
      </c>
      <c r="IQ842" s="573">
        <f t="shared" si="1374"/>
        <v>-585.70455111887065</v>
      </c>
      <c r="IR842" s="573">
        <f t="shared" si="1374"/>
        <v>-531.28227925462238</v>
      </c>
      <c r="IS842" s="573">
        <f t="shared" si="1374"/>
        <v>-1116.9868303734927</v>
      </c>
      <c r="IT842" s="573">
        <f t="shared" ref="IT842:IU842" si="1375">+IT666-IT754-IT817-IT876-IT883</f>
        <v>-429.04464152713399</v>
      </c>
      <c r="IU842" s="573">
        <f t="shared" si="1375"/>
        <v>-799.16632291869826</v>
      </c>
      <c r="IV842" s="573">
        <f t="shared" si="1235"/>
        <v>-1228.2109644458324</v>
      </c>
      <c r="IW842" s="573">
        <f t="shared" si="1256"/>
        <v>-577.56727900553449</v>
      </c>
      <c r="IX842" s="573">
        <f t="shared" si="1252"/>
        <v>-516.26565705201199</v>
      </c>
      <c r="IY842" s="346">
        <f>FISC!AJ1158</f>
        <v>-1093.8329360575465</v>
      </c>
      <c r="IZ842" s="573">
        <f>+IZ666-IZ754-IZ817-IZ876-IZ883</f>
        <v>-1577.7060777322097</v>
      </c>
      <c r="JA842" s="573">
        <f>+JA666-JA754-JA817-JA876-JA883</f>
        <v>-93.501078377920834</v>
      </c>
      <c r="JB842" s="346">
        <f>FISC!AK1158</f>
        <v>-1671.2071561101307</v>
      </c>
      <c r="JC842" s="573">
        <f>+JC666-JC754-JC817-JC876-JC883</f>
        <v>-1146.7502316888595</v>
      </c>
      <c r="JD842" s="573">
        <f>+JD666-JD754-JD817-JD876-JD883</f>
        <v>-246.26350731502126</v>
      </c>
      <c r="JE842" s="346">
        <f>FISC!AL1158</f>
        <v>-1393.0137390038808</v>
      </c>
      <c r="JF842" s="573">
        <f>+JF666-JF754-JF817-JF876-JF883</f>
        <v>-911.49844320168904</v>
      </c>
      <c r="JG842" s="573">
        <f>+JG666-JG754-JG817-JG876-JG883</f>
        <v>-114.84264176311056</v>
      </c>
      <c r="JH842" s="346">
        <f>FISC!AM1158</f>
        <v>-1026.3410849647996</v>
      </c>
      <c r="JI842" s="573">
        <f>+JI666-JI754-JI817-JI876-JI883</f>
        <v>-867.54895401427245</v>
      </c>
      <c r="JJ842" s="573">
        <f>+JJ666-JJ754-JJ817-JJ876-JJ883</f>
        <v>-181.95891325815887</v>
      </c>
      <c r="JK842" s="346">
        <f>FISC!AN1158</f>
        <v>-1049.5078672724312</v>
      </c>
      <c r="JL842" s="573">
        <f>+JL666-JL754-JL817-JL876-JL883</f>
        <v>-843.40891940838378</v>
      </c>
      <c r="JM842" s="573">
        <f>+JM666-JM754-JM817-JM876-JM883</f>
        <v>-331.48285183287629</v>
      </c>
      <c r="JN842" s="346">
        <f>FISC!AO1158</f>
        <v>-1174.8917712412597</v>
      </c>
      <c r="KI842" s="349"/>
      <c r="KJ842" s="350"/>
    </row>
    <row r="843" spans="1:302" hidden="1" outlineLevel="1">
      <c r="A843" s="302"/>
      <c r="D843" s="1726" t="s">
        <v>593</v>
      </c>
      <c r="E843" s="346"/>
      <c r="F843" s="346"/>
      <c r="G843" s="346"/>
      <c r="H843" s="346"/>
      <c r="I843" s="346"/>
      <c r="J843" s="346"/>
      <c r="K843" s="346"/>
      <c r="L843" s="346"/>
      <c r="M843" s="346"/>
      <c r="N843" s="346"/>
      <c r="O843" s="346"/>
      <c r="P843" s="346"/>
      <c r="Q843" s="346"/>
      <c r="R843" s="346"/>
      <c r="S843" s="346"/>
      <c r="T843" s="346"/>
      <c r="U843" s="346"/>
      <c r="V843" s="346"/>
      <c r="W843" s="346"/>
      <c r="X843" s="346"/>
      <c r="Y843" s="346"/>
      <c r="Z843" s="346"/>
      <c r="AA843" s="346"/>
      <c r="AB843" s="346"/>
      <c r="AC843" s="346"/>
      <c r="AD843" s="346"/>
      <c r="AE843" s="346"/>
      <c r="AF843" s="346"/>
      <c r="AG843" s="346"/>
      <c r="AH843" s="346"/>
      <c r="AI843" s="346"/>
      <c r="AJ843" s="346"/>
      <c r="AK843" s="346"/>
      <c r="AL843" s="346"/>
      <c r="AM843" s="346"/>
      <c r="AN843" s="346"/>
      <c r="AO843" s="346"/>
      <c r="AP843" s="346"/>
      <c r="AQ843" s="346"/>
      <c r="AR843" s="346"/>
      <c r="AS843" s="346"/>
      <c r="AT843" s="346"/>
      <c r="AU843" s="346"/>
      <c r="AV843" s="346"/>
      <c r="AW843" s="346"/>
      <c r="AX843" s="346"/>
      <c r="AY843" s="346"/>
      <c r="AZ843" s="346"/>
      <c r="BA843" s="346"/>
      <c r="BB843" s="346"/>
      <c r="BC843" s="346"/>
      <c r="BD843" s="346"/>
      <c r="BE843" s="346"/>
      <c r="BF843" s="346"/>
      <c r="BG843" s="346"/>
      <c r="BH843" s="346"/>
      <c r="BI843" s="346"/>
      <c r="BJ843" s="346"/>
      <c r="BK843" s="346"/>
      <c r="BL843" s="346"/>
      <c r="BM843" s="346"/>
      <c r="BN843" s="346"/>
      <c r="BO843" s="346"/>
      <c r="BP843" s="346"/>
      <c r="BQ843" s="346"/>
      <c r="BR843" s="346"/>
      <c r="BS843" s="346"/>
      <c r="BT843" s="346"/>
      <c r="BU843" s="346"/>
      <c r="BV843" s="346"/>
      <c r="BW843" s="346"/>
      <c r="BX843" s="346"/>
      <c r="BY843" s="346"/>
      <c r="BZ843" s="346"/>
      <c r="CA843" s="346"/>
      <c r="CB843" s="346"/>
      <c r="CC843" s="346"/>
      <c r="CD843" s="352"/>
      <c r="CE843" s="346"/>
      <c r="CF843" s="346"/>
      <c r="CG843" s="346"/>
      <c r="CH843" s="346"/>
      <c r="CI843" s="346"/>
      <c r="CJ843" s="346"/>
      <c r="CK843" s="346"/>
      <c r="CL843" s="346"/>
      <c r="CM843" s="346"/>
      <c r="CN843" s="346"/>
      <c r="CO843" s="346"/>
      <c r="CP843" s="348"/>
      <c r="CQ843" s="346"/>
      <c r="CR843" s="346"/>
      <c r="CS843" s="346"/>
      <c r="CT843" s="346"/>
      <c r="CU843" s="346"/>
      <c r="CV843" s="346"/>
      <c r="CW843" s="346"/>
      <c r="CX843" s="346"/>
      <c r="CY843" s="346"/>
      <c r="CZ843" s="346"/>
      <c r="DA843" s="346"/>
      <c r="DB843" s="1479"/>
      <c r="DC843" s="346"/>
      <c r="DD843" s="346"/>
      <c r="DE843" s="346"/>
      <c r="DF843" s="346"/>
      <c r="DG843" s="346"/>
      <c r="DH843" s="346"/>
      <c r="DI843" s="346"/>
      <c r="DJ843" s="346"/>
      <c r="DK843" s="346"/>
      <c r="DL843" s="346"/>
      <c r="DM843" s="346"/>
      <c r="DN843" s="348"/>
      <c r="DO843" s="346"/>
      <c r="DP843" s="346"/>
      <c r="DQ843" s="346"/>
      <c r="DR843" s="346"/>
      <c r="DS843" s="346"/>
      <c r="DT843" s="346"/>
      <c r="DU843" s="346"/>
      <c r="DV843" s="346"/>
      <c r="DW843" s="346"/>
      <c r="DX843" s="346"/>
      <c r="DY843" s="346"/>
      <c r="DZ843" s="348"/>
      <c r="EA843" s="346"/>
      <c r="EB843" s="346"/>
      <c r="EC843" s="346"/>
      <c r="ED843" s="346"/>
      <c r="EE843" s="346"/>
      <c r="EF843" s="346"/>
      <c r="EG843" s="346"/>
      <c r="EH843" s="346"/>
      <c r="EI843" s="346"/>
      <c r="EJ843" s="346"/>
      <c r="EK843" s="346"/>
      <c r="EL843" s="348"/>
      <c r="EM843" s="346"/>
      <c r="EN843" s="346"/>
      <c r="EO843" s="346"/>
      <c r="EP843" s="346"/>
      <c r="EQ843" s="346"/>
      <c r="ER843" s="346"/>
      <c r="ES843" s="346"/>
      <c r="ET843" s="346"/>
      <c r="EU843" s="346"/>
      <c r="EV843" s="346"/>
      <c r="EW843" s="346"/>
      <c r="EX843" s="348"/>
      <c r="EY843" s="346"/>
      <c r="EZ843" s="346"/>
      <c r="FA843" s="346"/>
      <c r="FB843" s="346"/>
      <c r="FC843" s="346"/>
      <c r="FD843" s="346"/>
      <c r="FE843" s="346"/>
      <c r="FF843" s="346"/>
      <c r="FG843" s="346"/>
      <c r="FH843" s="346"/>
      <c r="FI843" s="346"/>
      <c r="FJ843" s="348"/>
      <c r="FK843" s="346"/>
      <c r="FL843" s="346"/>
      <c r="FM843" s="346"/>
      <c r="FN843" s="346"/>
      <c r="FO843" s="346"/>
      <c r="FP843" s="346"/>
      <c r="FQ843" s="346"/>
      <c r="FR843" s="346"/>
      <c r="FS843" s="346"/>
      <c r="FT843" s="346"/>
      <c r="FU843" s="346"/>
      <c r="FV843" s="346"/>
      <c r="FW843" s="346"/>
      <c r="FX843" s="346"/>
      <c r="FY843" s="346"/>
      <c r="FZ843" s="346"/>
      <c r="GA843" s="346"/>
      <c r="GB843" s="346"/>
      <c r="GI843" s="1897"/>
      <c r="HN843" s="349"/>
      <c r="HO843" s="1726" t="s">
        <v>593</v>
      </c>
      <c r="HP843" s="573">
        <f>+(HP666-HP717)-HP754-HP817-HP876-HP881</f>
        <v>-297.38166732644675</v>
      </c>
      <c r="HQ843" s="573">
        <f>+(HQ666-HQ717)-HQ754-HQ817-HQ876-HQ881</f>
        <v>-410.60593076882253</v>
      </c>
      <c r="HR843" s="346"/>
      <c r="HS843" s="573">
        <f>+(HS666-HS717)-HS754-HS817-HS876-HS881</f>
        <v>-335.84864990981384</v>
      </c>
      <c r="HT843" s="573">
        <f>+(HT666-HT717)-HT754-HT817-HT876-HT881</f>
        <v>-348.3713209247137</v>
      </c>
      <c r="HU843" s="346"/>
      <c r="HV843" s="573">
        <f>+(HV666-HV717)-HV754-HV817-HV876-HV881</f>
        <v>-340.69111176638188</v>
      </c>
      <c r="HW843" s="573">
        <f>+(HW666-HW717)-HW754-HW817-HW876-HW881</f>
        <v>-306.08783305639497</v>
      </c>
      <c r="HX843" s="346"/>
      <c r="HY843" s="573">
        <f>+(HY666-HY717)-HY754-HY817-HY876-HY881</f>
        <v>-371.33668801576147</v>
      </c>
      <c r="HZ843" s="573">
        <f>+(HZ666-HZ717)-HZ754-HZ817-HZ876-HZ881</f>
        <v>-299.8447227652444</v>
      </c>
      <c r="IA843" s="346"/>
      <c r="IB843" s="573">
        <f>+(IB666-IB717)-IB754-IB817-IB876-IB881</f>
        <v>-363.15319974648031</v>
      </c>
      <c r="IC843" s="573">
        <f>+(IC666-IC717)-IC754-IC817-IC876-IC881</f>
        <v>-350.0441312612341</v>
      </c>
      <c r="ID843" s="346"/>
      <c r="IE843" s="573">
        <f>+(IE666-IE717)-IE754-IE817-IE876-IE881</f>
        <v>-340.72941379930268</v>
      </c>
      <c r="IF843" s="573">
        <f>+(IF666-IF717)-IF754-IF817-IF876-IF881</f>
        <v>-600.50358885955995</v>
      </c>
      <c r="IG843" s="346"/>
      <c r="IH843" s="573">
        <f>+(IH666-IH717)-IH754-IH817-IH876-IH881</f>
        <v>-600.09814679179294</v>
      </c>
      <c r="II843" s="573">
        <f>+(II666-II717)-II754-II817-II876-II881</f>
        <v>-682.37563263920777</v>
      </c>
      <c r="IJ843" s="346"/>
      <c r="IK843" s="573">
        <f>+(IK666-IK717)-IK754-IK817-IK876-IK883</f>
        <v>-783.87939868557646</v>
      </c>
      <c r="IL843" s="573">
        <f t="shared" ref="IL843:IS843" si="1376">+(IL666-IL717)-IL754-IL817-IL876-IL883</f>
        <v>-666.99812064903222</v>
      </c>
      <c r="IM843" s="346">
        <f t="shared" si="1376"/>
        <v>-1450.8775193346087</v>
      </c>
      <c r="IN843" s="573">
        <f t="shared" si="1376"/>
        <v>-899.34676509060193</v>
      </c>
      <c r="IO843" s="573">
        <f t="shared" si="1376"/>
        <v>-1040.6644980811932</v>
      </c>
      <c r="IP843" s="573">
        <f t="shared" si="1376"/>
        <v>-1940.0112631717952</v>
      </c>
      <c r="IQ843" s="573">
        <f t="shared" si="1376"/>
        <v>-858.35313591342208</v>
      </c>
      <c r="IR843" s="573">
        <f t="shared" si="1376"/>
        <v>-969.94094021502303</v>
      </c>
      <c r="IS843" s="573">
        <f t="shared" si="1376"/>
        <v>-1828.2940761284447</v>
      </c>
      <c r="IT843" s="573">
        <f>+(IT666-IT717)-IT754-IT817-IT876-IT883</f>
        <v>-763.41091446163728</v>
      </c>
      <c r="IU843" s="573">
        <f>+(IU666-IU717)-IU754-IU817-IU876-IU883</f>
        <v>-1222.5914595158272</v>
      </c>
      <c r="IV843" s="573">
        <f t="shared" si="1235"/>
        <v>-1986.0023739774645</v>
      </c>
      <c r="IW843" s="573">
        <f>+(IW666-IW717)-IW754-IW817-IW876-IW883</f>
        <v>-940.53694105147645</v>
      </c>
      <c r="IX843" s="573">
        <f t="shared" si="1252"/>
        <v>-779.06473424018316</v>
      </c>
      <c r="IY843" s="346">
        <f>FISC!AJ1159</f>
        <v>-1719.6016752916596</v>
      </c>
      <c r="IZ843" s="573">
        <f>+(IZ666-IZ717)-IZ754-IZ817-IZ876-IZ883</f>
        <v>-1864.1243670553133</v>
      </c>
      <c r="JA843" s="573">
        <f>+(JA666-JA717)-JA754-JA817-JA876-JA883</f>
        <v>-392.29779740613697</v>
      </c>
      <c r="JB843" s="346">
        <f>FISC!AK1159</f>
        <v>-2256.4221644614504</v>
      </c>
      <c r="JC843" s="573">
        <f>+(JC666-JC717)-JC754-JC817-JC876-JC883</f>
        <v>-1460.7066917086077</v>
      </c>
      <c r="JD843" s="573">
        <f>+(JD666-JD717)-JD754-JD817-JD876-JD883</f>
        <v>-592.37367108668968</v>
      </c>
      <c r="JE843" s="346">
        <f>FISC!AL1159</f>
        <v>-2053.0803627952973</v>
      </c>
      <c r="JF843" s="573">
        <f>+(JF666-JF717)-JF754-JF817-JF876-JF883</f>
        <v>-1263.3851671269065</v>
      </c>
      <c r="JG843" s="573">
        <f>+(JG666-JG717)-JG754-JG817-JG876-JG883</f>
        <v>-502.72629121336672</v>
      </c>
      <c r="JH843" s="346">
        <f>FISC!AM1159</f>
        <v>-1766.111458340273</v>
      </c>
      <c r="JI843" s="573">
        <f>+(JI666-JI717)-JI754-JI817-JI876-JI883</f>
        <v>-1257.4662995795686</v>
      </c>
      <c r="JJ843" s="573">
        <f>+(JJ666-JJ717)-JJ754-JJ817-JJ876-JJ883</f>
        <v>-586.36561872022207</v>
      </c>
      <c r="JK843" s="346">
        <f>FISC!AN1159</f>
        <v>-1843.8319182997911</v>
      </c>
      <c r="JL843" s="573">
        <f>+(JL666-JL717)-JL754-JL817-JL876-JL883</f>
        <v>-1250.3723263073643</v>
      </c>
      <c r="JM843" s="573">
        <f>+(JM666-JM717)-JM754-JM817-JM876-JM883</f>
        <v>-789.48568478902325</v>
      </c>
      <c r="JN843" s="346">
        <f>FISC!AO1159</f>
        <v>-2039.8580110963878</v>
      </c>
      <c r="KI843" s="349"/>
      <c r="KJ843" s="350"/>
    </row>
    <row r="844" spans="1:302" hidden="1" outlineLevel="1">
      <c r="A844" s="302"/>
      <c r="D844" s="1697" t="s">
        <v>3476</v>
      </c>
      <c r="E844" s="346"/>
      <c r="F844" s="346"/>
      <c r="G844" s="346"/>
      <c r="H844" s="346"/>
      <c r="I844" s="346"/>
      <c r="J844" s="346"/>
      <c r="K844" s="346"/>
      <c r="L844" s="346"/>
      <c r="M844" s="346"/>
      <c r="N844" s="346"/>
      <c r="O844" s="346"/>
      <c r="P844" s="346"/>
      <c r="Q844" s="346"/>
      <c r="R844" s="346"/>
      <c r="S844" s="346"/>
      <c r="T844" s="346"/>
      <c r="U844" s="346"/>
      <c r="V844" s="346"/>
      <c r="W844" s="346"/>
      <c r="X844" s="346"/>
      <c r="Y844" s="346"/>
      <c r="Z844" s="346"/>
      <c r="AA844" s="346"/>
      <c r="AB844" s="346"/>
      <c r="AC844" s="346"/>
      <c r="AD844" s="346"/>
      <c r="AE844" s="346"/>
      <c r="AF844" s="346"/>
      <c r="AG844" s="346"/>
      <c r="AH844" s="346"/>
      <c r="AI844" s="346"/>
      <c r="AJ844" s="346"/>
      <c r="AK844" s="346"/>
      <c r="AL844" s="346"/>
      <c r="AM844" s="346"/>
      <c r="AN844" s="346"/>
      <c r="AO844" s="346"/>
      <c r="AP844" s="346"/>
      <c r="AQ844" s="346"/>
      <c r="AR844" s="346"/>
      <c r="AS844" s="346"/>
      <c r="AT844" s="346"/>
      <c r="AU844" s="346"/>
      <c r="AV844" s="346"/>
      <c r="AW844" s="346"/>
      <c r="AX844" s="346"/>
      <c r="AY844" s="346"/>
      <c r="AZ844" s="346"/>
      <c r="BA844" s="346"/>
      <c r="BB844" s="346"/>
      <c r="BC844" s="346"/>
      <c r="BD844" s="346"/>
      <c r="BE844" s="346"/>
      <c r="BF844" s="346"/>
      <c r="BG844" s="346"/>
      <c r="BH844" s="346"/>
      <c r="BI844" s="346"/>
      <c r="BJ844" s="346"/>
      <c r="BK844" s="346"/>
      <c r="BL844" s="346"/>
      <c r="BM844" s="346"/>
      <c r="BN844" s="346"/>
      <c r="BO844" s="346"/>
      <c r="BP844" s="346"/>
      <c r="BQ844" s="346"/>
      <c r="BR844" s="346"/>
      <c r="BS844" s="346"/>
      <c r="BT844" s="346"/>
      <c r="BU844" s="346"/>
      <c r="BV844" s="346"/>
      <c r="BW844" s="346"/>
      <c r="BX844" s="346"/>
      <c r="BY844" s="346"/>
      <c r="BZ844" s="346"/>
      <c r="CA844" s="346"/>
      <c r="CB844" s="346"/>
      <c r="CC844" s="346"/>
      <c r="CD844" s="352"/>
      <c r="CE844" s="346"/>
      <c r="CF844" s="346"/>
      <c r="CG844" s="346"/>
      <c r="CH844" s="346"/>
      <c r="CI844" s="346"/>
      <c r="CJ844" s="346"/>
      <c r="CK844" s="346"/>
      <c r="CL844" s="346"/>
      <c r="CM844" s="346"/>
      <c r="CN844" s="346"/>
      <c r="CO844" s="346"/>
      <c r="CP844" s="348"/>
      <c r="CQ844" s="346"/>
      <c r="CR844" s="346"/>
      <c r="CS844" s="346"/>
      <c r="CT844" s="346"/>
      <c r="CU844" s="346"/>
      <c r="CV844" s="346"/>
      <c r="CW844" s="346"/>
      <c r="CX844" s="346"/>
      <c r="CY844" s="346"/>
      <c r="CZ844" s="346"/>
      <c r="DA844" s="346"/>
      <c r="DB844" s="1479"/>
      <c r="DC844" s="346"/>
      <c r="DD844" s="346"/>
      <c r="DE844" s="346"/>
      <c r="DF844" s="346"/>
      <c r="DG844" s="346"/>
      <c r="DH844" s="346"/>
      <c r="DI844" s="346"/>
      <c r="DJ844" s="346"/>
      <c r="DK844" s="346"/>
      <c r="DL844" s="346"/>
      <c r="DM844" s="346"/>
      <c r="DN844" s="348"/>
      <c r="DO844" s="346"/>
      <c r="DP844" s="346"/>
      <c r="DQ844" s="346"/>
      <c r="DR844" s="346"/>
      <c r="DS844" s="346"/>
      <c r="DT844" s="346"/>
      <c r="DU844" s="346"/>
      <c r="DV844" s="346"/>
      <c r="DW844" s="346"/>
      <c r="DX844" s="346"/>
      <c r="DY844" s="346"/>
      <c r="DZ844" s="348"/>
      <c r="EA844" s="346"/>
      <c r="EB844" s="346"/>
      <c r="EC844" s="346"/>
      <c r="ED844" s="346"/>
      <c r="EE844" s="346"/>
      <c r="EF844" s="346"/>
      <c r="EG844" s="346"/>
      <c r="EH844" s="346"/>
      <c r="EI844" s="346"/>
      <c r="EJ844" s="346"/>
      <c r="EK844" s="346"/>
      <c r="EL844" s="348"/>
      <c r="EM844" s="346"/>
      <c r="EN844" s="346"/>
      <c r="EO844" s="346"/>
      <c r="EP844" s="346"/>
      <c r="EQ844" s="346"/>
      <c r="ER844" s="346"/>
      <c r="ES844" s="346"/>
      <c r="ET844" s="346"/>
      <c r="EU844" s="346"/>
      <c r="EV844" s="346"/>
      <c r="EW844" s="346"/>
      <c r="EX844" s="348"/>
      <c r="EY844" s="346"/>
      <c r="EZ844" s="346"/>
      <c r="FA844" s="346"/>
      <c r="FB844" s="346"/>
      <c r="FC844" s="346"/>
      <c r="FD844" s="346"/>
      <c r="FE844" s="346"/>
      <c r="FF844" s="346"/>
      <c r="FG844" s="346"/>
      <c r="FH844" s="346"/>
      <c r="FI844" s="346"/>
      <c r="FJ844" s="348"/>
      <c r="FK844" s="346"/>
      <c r="FL844" s="346"/>
      <c r="FM844" s="346"/>
      <c r="FN844" s="346"/>
      <c r="FO844" s="346"/>
      <c r="FP844" s="346"/>
      <c r="FQ844" s="346"/>
      <c r="FR844" s="346"/>
      <c r="FS844" s="346"/>
      <c r="FT844" s="346"/>
      <c r="FU844" s="346"/>
      <c r="FV844" s="346"/>
      <c r="FW844" s="346"/>
      <c r="FX844" s="346"/>
      <c r="FY844" s="346"/>
      <c r="FZ844" s="346"/>
      <c r="GA844" s="346"/>
      <c r="GB844" s="346"/>
      <c r="GI844" s="1897"/>
      <c r="HN844" s="349"/>
      <c r="HO844" s="1726"/>
      <c r="HP844" s="573"/>
      <c r="HQ844" s="573"/>
      <c r="HR844" s="346"/>
      <c r="HS844" s="573"/>
      <c r="HT844" s="573"/>
      <c r="HU844" s="346"/>
      <c r="HV844" s="573"/>
      <c r="HW844" s="573"/>
      <c r="HX844" s="346"/>
      <c r="HY844" s="573"/>
      <c r="HZ844" s="573"/>
      <c r="IA844" s="346"/>
      <c r="IB844" s="573"/>
      <c r="IC844" s="573"/>
      <c r="ID844" s="346"/>
      <c r="IE844" s="573"/>
      <c r="IF844" s="573"/>
      <c r="IG844" s="346"/>
      <c r="IH844" s="573"/>
      <c r="II844" s="573"/>
      <c r="IJ844" s="346"/>
      <c r="IK844" s="573"/>
      <c r="IL844" s="573"/>
      <c r="IM844" s="346"/>
      <c r="IN844" s="573"/>
      <c r="IO844" s="573"/>
      <c r="IP844" s="573"/>
      <c r="IQ844" s="573"/>
      <c r="IR844" s="573"/>
      <c r="IS844" s="573"/>
      <c r="IT844" s="573">
        <f t="shared" ref="IT844:IW844" si="1377">IT842+IT777+IT794+IT812+IT821+IT826</f>
        <v>-411.35292044084059</v>
      </c>
      <c r="IU844" s="573">
        <f t="shared" si="1377"/>
        <v>-767.37898950726037</v>
      </c>
      <c r="IV844" s="573">
        <f t="shared" si="1235"/>
        <v>-1178.731909948101</v>
      </c>
      <c r="IW844" s="573">
        <f t="shared" si="1377"/>
        <v>-577.56727900553449</v>
      </c>
      <c r="IX844" s="573">
        <f t="shared" si="1252"/>
        <v>-423.787321291279</v>
      </c>
      <c r="IY844" s="346">
        <f>FISC!AJ1160</f>
        <v>-1001.3546002968135</v>
      </c>
      <c r="IZ844" s="573">
        <f>IZ842+IZ777+IZ794+IZ812+IZ821+IZ826</f>
        <v>-1555.2289584203063</v>
      </c>
      <c r="JA844" s="573">
        <f t="shared" ref="JA844" si="1378">JA842+JA777+JA794+JA812+JA821+JA826</f>
        <v>-91.881093529833109</v>
      </c>
      <c r="JB844" s="346">
        <f>FISC!AK1160</f>
        <v>-1647.1100519501397</v>
      </c>
      <c r="JC844" s="573">
        <f t="shared" ref="JC844:JD844" si="1379">JC842+JC777+JC794+JC812+JC821+JC826</f>
        <v>-1145.2616037520643</v>
      </c>
      <c r="JD844" s="573">
        <f t="shared" si="1379"/>
        <v>-244.53676487662449</v>
      </c>
      <c r="JE844" s="346">
        <f>FISC!AL1160</f>
        <v>-1389.7983686286889</v>
      </c>
      <c r="JF844" s="573">
        <f t="shared" ref="JF844:JG844" si="1380">JF842+JF777+JF794+JF812+JF821+JF826</f>
        <v>-911.49844320168904</v>
      </c>
      <c r="JG844" s="573">
        <f t="shared" si="1380"/>
        <v>-114.84264176311056</v>
      </c>
      <c r="JH844" s="346">
        <f>FISC!AM1160</f>
        <v>-1022.9128063433674</v>
      </c>
      <c r="JI844" s="573">
        <f t="shared" ref="JI844:JJ844" si="1381">JI842+JI777+JI794+JI812+JI821+JI826</f>
        <v>-867.54895401427245</v>
      </c>
      <c r="JJ844" s="573">
        <f t="shared" si="1381"/>
        <v>-181.95891325815887</v>
      </c>
      <c r="JK844" s="346">
        <f>FISC!AN1160</f>
        <v>-1049.5078672724312</v>
      </c>
      <c r="JL844" s="573">
        <f t="shared" ref="JL844:JM844" si="1382">JL842+JL777+JL794+JL812+JL821+JL826</f>
        <v>-843.40891940838378</v>
      </c>
      <c r="JM844" s="573">
        <f t="shared" si="1382"/>
        <v>-331.48285183287629</v>
      </c>
      <c r="JN844" s="346">
        <f>FISC!AO1160</f>
        <v>-1174.8917712412597</v>
      </c>
      <c r="KI844" s="349"/>
      <c r="KJ844" s="350"/>
    </row>
    <row r="845" spans="1:302" hidden="1" outlineLevel="1">
      <c r="A845" s="302"/>
      <c r="D845" s="1697" t="s">
        <v>3477</v>
      </c>
      <c r="E845" s="346"/>
      <c r="F845" s="346"/>
      <c r="G845" s="346"/>
      <c r="H845" s="346"/>
      <c r="I845" s="346"/>
      <c r="J845" s="346"/>
      <c r="K845" s="346"/>
      <c r="L845" s="346"/>
      <c r="M845" s="346"/>
      <c r="N845" s="346"/>
      <c r="O845" s="346"/>
      <c r="P845" s="346"/>
      <c r="Q845" s="346"/>
      <c r="R845" s="346"/>
      <c r="S845" s="346"/>
      <c r="T845" s="346"/>
      <c r="U845" s="346"/>
      <c r="V845" s="346"/>
      <c r="W845" s="346"/>
      <c r="X845" s="346"/>
      <c r="Y845" s="346"/>
      <c r="Z845" s="346"/>
      <c r="AA845" s="346"/>
      <c r="AB845" s="346"/>
      <c r="AC845" s="346"/>
      <c r="AD845" s="346"/>
      <c r="AE845" s="346"/>
      <c r="AF845" s="346"/>
      <c r="AG845" s="346"/>
      <c r="AH845" s="346"/>
      <c r="AI845" s="346"/>
      <c r="AJ845" s="346"/>
      <c r="AK845" s="346"/>
      <c r="AL845" s="346"/>
      <c r="AM845" s="346"/>
      <c r="AN845" s="346"/>
      <c r="AO845" s="346"/>
      <c r="AP845" s="346"/>
      <c r="AQ845" s="346"/>
      <c r="AR845" s="346"/>
      <c r="AS845" s="346"/>
      <c r="AT845" s="346"/>
      <c r="AU845" s="346"/>
      <c r="AV845" s="346"/>
      <c r="AW845" s="346"/>
      <c r="AX845" s="346"/>
      <c r="AY845" s="346"/>
      <c r="AZ845" s="346"/>
      <c r="BA845" s="346"/>
      <c r="BB845" s="346"/>
      <c r="BC845" s="346"/>
      <c r="BD845" s="346"/>
      <c r="BE845" s="346"/>
      <c r="BF845" s="346"/>
      <c r="BG845" s="346"/>
      <c r="BH845" s="346"/>
      <c r="BI845" s="346"/>
      <c r="BJ845" s="346"/>
      <c r="BK845" s="346"/>
      <c r="BL845" s="346"/>
      <c r="BM845" s="346"/>
      <c r="BN845" s="346"/>
      <c r="BO845" s="346"/>
      <c r="BP845" s="346"/>
      <c r="BQ845" s="346"/>
      <c r="BR845" s="346"/>
      <c r="BS845" s="346"/>
      <c r="BT845" s="346"/>
      <c r="BU845" s="346"/>
      <c r="BV845" s="346"/>
      <c r="BW845" s="346"/>
      <c r="BX845" s="346"/>
      <c r="BY845" s="346"/>
      <c r="BZ845" s="346"/>
      <c r="CA845" s="346"/>
      <c r="CB845" s="346"/>
      <c r="CC845" s="346"/>
      <c r="CD845" s="352"/>
      <c r="CE845" s="346"/>
      <c r="CF845" s="346"/>
      <c r="CG845" s="346"/>
      <c r="CH845" s="346"/>
      <c r="CI845" s="346"/>
      <c r="CJ845" s="346"/>
      <c r="CK845" s="346"/>
      <c r="CL845" s="346"/>
      <c r="CM845" s="346"/>
      <c r="CN845" s="346"/>
      <c r="CO845" s="346"/>
      <c r="CP845" s="348"/>
      <c r="CQ845" s="346"/>
      <c r="CR845" s="346"/>
      <c r="CS845" s="346"/>
      <c r="CT845" s="346"/>
      <c r="CU845" s="346"/>
      <c r="CV845" s="346"/>
      <c r="CW845" s="346"/>
      <c r="CX845" s="346"/>
      <c r="CY845" s="346"/>
      <c r="CZ845" s="346"/>
      <c r="DA845" s="346"/>
      <c r="DB845" s="1479"/>
      <c r="DC845" s="346"/>
      <c r="DD845" s="346"/>
      <c r="DE845" s="346"/>
      <c r="DF845" s="346"/>
      <c r="DG845" s="346"/>
      <c r="DH845" s="346"/>
      <c r="DI845" s="346"/>
      <c r="DJ845" s="346"/>
      <c r="DK845" s="346"/>
      <c r="DL845" s="346"/>
      <c r="DM845" s="346"/>
      <c r="DN845" s="348"/>
      <c r="DO845" s="346"/>
      <c r="DP845" s="346"/>
      <c r="DQ845" s="346"/>
      <c r="DR845" s="346"/>
      <c r="DS845" s="346"/>
      <c r="DT845" s="346"/>
      <c r="DU845" s="346"/>
      <c r="DV845" s="346"/>
      <c r="DW845" s="346"/>
      <c r="DX845" s="346"/>
      <c r="DY845" s="346"/>
      <c r="DZ845" s="348"/>
      <c r="EA845" s="346"/>
      <c r="EB845" s="346"/>
      <c r="EC845" s="346"/>
      <c r="ED845" s="346"/>
      <c r="EE845" s="346"/>
      <c r="EF845" s="346"/>
      <c r="EG845" s="346"/>
      <c r="EH845" s="346"/>
      <c r="EI845" s="346"/>
      <c r="EJ845" s="346"/>
      <c r="EK845" s="346"/>
      <c r="EL845" s="348"/>
      <c r="EM845" s="346"/>
      <c r="EN845" s="346"/>
      <c r="EO845" s="346"/>
      <c r="EP845" s="346"/>
      <c r="EQ845" s="346"/>
      <c r="ER845" s="346"/>
      <c r="ES845" s="346"/>
      <c r="ET845" s="346"/>
      <c r="EU845" s="346"/>
      <c r="EV845" s="346"/>
      <c r="EW845" s="346"/>
      <c r="EX845" s="348"/>
      <c r="EY845" s="346"/>
      <c r="EZ845" s="346"/>
      <c r="FA845" s="346"/>
      <c r="FB845" s="346"/>
      <c r="FC845" s="346"/>
      <c r="FD845" s="346"/>
      <c r="FE845" s="346"/>
      <c r="FF845" s="346"/>
      <c r="FG845" s="346"/>
      <c r="FH845" s="346"/>
      <c r="FI845" s="346"/>
      <c r="FJ845" s="348"/>
      <c r="FK845" s="346"/>
      <c r="FL845" s="346"/>
      <c r="FM845" s="346"/>
      <c r="FN845" s="346"/>
      <c r="FO845" s="346"/>
      <c r="FP845" s="346"/>
      <c r="FQ845" s="346"/>
      <c r="FR845" s="346"/>
      <c r="FS845" s="346"/>
      <c r="FT845" s="346"/>
      <c r="FU845" s="346"/>
      <c r="FV845" s="346"/>
      <c r="FW845" s="346"/>
      <c r="FX845" s="346"/>
      <c r="FY845" s="346"/>
      <c r="FZ845" s="346"/>
      <c r="GA845" s="346"/>
      <c r="GB845" s="346"/>
      <c r="GI845" s="1897"/>
      <c r="HN845" s="349"/>
      <c r="HO845" s="1726"/>
      <c r="HP845" s="573"/>
      <c r="HQ845" s="573"/>
      <c r="HR845" s="346"/>
      <c r="HS845" s="573"/>
      <c r="HT845" s="573"/>
      <c r="HU845" s="346"/>
      <c r="HV845" s="573"/>
      <c r="HW845" s="573"/>
      <c r="HX845" s="346"/>
      <c r="HY845" s="573"/>
      <c r="HZ845" s="573"/>
      <c r="IA845" s="346"/>
      <c r="IB845" s="573"/>
      <c r="IC845" s="573"/>
      <c r="ID845" s="346"/>
      <c r="IE845" s="573"/>
      <c r="IF845" s="573"/>
      <c r="IG845" s="346"/>
      <c r="IH845" s="573"/>
      <c r="II845" s="573"/>
      <c r="IJ845" s="346"/>
      <c r="IK845" s="573"/>
      <c r="IL845" s="573"/>
      <c r="IM845" s="346"/>
      <c r="IN845" s="573"/>
      <c r="IO845" s="573"/>
      <c r="IP845" s="573"/>
      <c r="IQ845" s="573"/>
      <c r="IR845" s="573"/>
      <c r="IS845" s="573"/>
      <c r="IT845" s="573">
        <f t="shared" ref="IT845:IW845" si="1383">IT842-IT729</f>
        <v>-429.04464152713399</v>
      </c>
      <c r="IU845" s="573">
        <f t="shared" si="1383"/>
        <v>-799.16632291869826</v>
      </c>
      <c r="IV845" s="573">
        <f t="shared" si="1235"/>
        <v>-1228.2109644458324</v>
      </c>
      <c r="IW845" s="573">
        <f t="shared" si="1383"/>
        <v>-577.56727900553449</v>
      </c>
      <c r="IX845" s="573">
        <f t="shared" si="1252"/>
        <v>-516.26565705201199</v>
      </c>
      <c r="IY845" s="346">
        <f>FISC!AJ1161</f>
        <v>-1093.8329360575465</v>
      </c>
      <c r="IZ845" s="573">
        <f t="shared" ref="IZ845:JA845" si="1384">IZ842-IZ729</f>
        <v>-1577.7060777322097</v>
      </c>
      <c r="JA845" s="573">
        <f t="shared" si="1384"/>
        <v>-93.501078377920834</v>
      </c>
      <c r="JB845" s="346">
        <f>FISC!AK1161</f>
        <v>-1671.2071561101307</v>
      </c>
      <c r="JC845" s="573">
        <f t="shared" ref="JC845:JD845" si="1385">JC842-JC729</f>
        <v>-1178.9039354407798</v>
      </c>
      <c r="JD845" s="573">
        <f t="shared" si="1385"/>
        <v>-278.4172110669416</v>
      </c>
      <c r="JE845" s="346">
        <f>FISC!AL1161</f>
        <v>-1457.3211465077216</v>
      </c>
      <c r="JF845" s="573">
        <f t="shared" ref="JF845:JG845" si="1386">JF842-JF729</f>
        <v>-962.92262252317209</v>
      </c>
      <c r="JG845" s="573">
        <f t="shared" si="1386"/>
        <v>-166.2668210845936</v>
      </c>
      <c r="JH845" s="346">
        <f>FISC!AM1161</f>
        <v>-1129.1894436077657</v>
      </c>
      <c r="JI845" s="573">
        <f t="shared" ref="JI845:JJ845" si="1387">JI842-JI729</f>
        <v>-939.99575349810743</v>
      </c>
      <c r="JJ845" s="573">
        <f t="shared" si="1387"/>
        <v>-236.29401287103514</v>
      </c>
      <c r="JK845" s="346">
        <f>FISC!AN1161</f>
        <v>-1176.2897663691424</v>
      </c>
      <c r="JL845" s="573">
        <f t="shared" ref="JL845:JM845" si="1388">JL842-JL729</f>
        <v>-919.02288393751883</v>
      </c>
      <c r="JM845" s="573">
        <f t="shared" si="1388"/>
        <v>-426.00030749429516</v>
      </c>
      <c r="JN845" s="346">
        <f>FISC!AO1161</f>
        <v>-1345.0231914318138</v>
      </c>
      <c r="KI845" s="349"/>
      <c r="KJ845" s="350"/>
    </row>
    <row r="846" spans="1:302" hidden="1" outlineLevel="1">
      <c r="A846" s="302"/>
      <c r="D846" s="1811" t="s">
        <v>3244</v>
      </c>
      <c r="E846" s="346"/>
      <c r="F846" s="346"/>
      <c r="G846" s="346"/>
      <c r="H846" s="346"/>
      <c r="I846" s="346"/>
      <c r="J846" s="346"/>
      <c r="K846" s="346"/>
      <c r="L846" s="346"/>
      <c r="M846" s="346"/>
      <c r="N846" s="346"/>
      <c r="O846" s="346"/>
      <c r="P846" s="346"/>
      <c r="Q846" s="346"/>
      <c r="R846" s="346"/>
      <c r="S846" s="346"/>
      <c r="T846" s="346"/>
      <c r="U846" s="346"/>
      <c r="V846" s="346"/>
      <c r="W846" s="346"/>
      <c r="X846" s="346"/>
      <c r="Y846" s="346"/>
      <c r="Z846" s="346"/>
      <c r="AA846" s="346"/>
      <c r="AB846" s="346"/>
      <c r="AC846" s="346"/>
      <c r="AD846" s="346"/>
      <c r="AE846" s="346"/>
      <c r="AF846" s="346"/>
      <c r="AG846" s="346"/>
      <c r="AH846" s="346"/>
      <c r="AI846" s="346"/>
      <c r="AJ846" s="346"/>
      <c r="AK846" s="346"/>
      <c r="AL846" s="346"/>
      <c r="AM846" s="346"/>
      <c r="AN846" s="346"/>
      <c r="AO846" s="346"/>
      <c r="AP846" s="346"/>
      <c r="AQ846" s="346"/>
      <c r="AR846" s="346"/>
      <c r="AS846" s="346"/>
      <c r="AT846" s="346"/>
      <c r="AU846" s="346"/>
      <c r="AV846" s="346"/>
      <c r="AW846" s="346"/>
      <c r="AX846" s="346"/>
      <c r="AY846" s="346"/>
      <c r="AZ846" s="346"/>
      <c r="BA846" s="346"/>
      <c r="BB846" s="346"/>
      <c r="BC846" s="346"/>
      <c r="BD846" s="346"/>
      <c r="BE846" s="346"/>
      <c r="BF846" s="346"/>
      <c r="BG846" s="346"/>
      <c r="BH846" s="346"/>
      <c r="BI846" s="346"/>
      <c r="BJ846" s="346"/>
      <c r="BK846" s="346"/>
      <c r="BL846" s="346"/>
      <c r="BM846" s="346"/>
      <c r="BN846" s="346"/>
      <c r="BO846" s="346"/>
      <c r="BP846" s="346"/>
      <c r="BQ846" s="346"/>
      <c r="BR846" s="346"/>
      <c r="BS846" s="346"/>
      <c r="BT846" s="346"/>
      <c r="BU846" s="346"/>
      <c r="BV846" s="346"/>
      <c r="BW846" s="346"/>
      <c r="BX846" s="346"/>
      <c r="BY846" s="346"/>
      <c r="BZ846" s="346"/>
      <c r="CA846" s="346"/>
      <c r="CB846" s="346"/>
      <c r="CC846" s="346"/>
      <c r="CD846" s="352"/>
      <c r="CE846" s="346"/>
      <c r="CF846" s="346"/>
      <c r="CG846" s="346"/>
      <c r="CH846" s="346"/>
      <c r="CI846" s="346"/>
      <c r="CJ846" s="346"/>
      <c r="CK846" s="346"/>
      <c r="CL846" s="346"/>
      <c r="CM846" s="346"/>
      <c r="CN846" s="346"/>
      <c r="CO846" s="346"/>
      <c r="CP846" s="348"/>
      <c r="CQ846" s="346"/>
      <c r="CR846" s="346"/>
      <c r="CS846" s="346"/>
      <c r="CT846" s="346"/>
      <c r="CU846" s="346"/>
      <c r="CV846" s="346"/>
      <c r="CW846" s="346"/>
      <c r="CX846" s="346"/>
      <c r="CY846" s="346"/>
      <c r="CZ846" s="346"/>
      <c r="DA846" s="346"/>
      <c r="DB846" s="1479"/>
      <c r="DC846" s="346"/>
      <c r="DD846" s="346"/>
      <c r="DE846" s="346"/>
      <c r="DF846" s="346"/>
      <c r="DG846" s="346"/>
      <c r="DH846" s="346"/>
      <c r="DI846" s="346"/>
      <c r="DJ846" s="346"/>
      <c r="DK846" s="346"/>
      <c r="DL846" s="346"/>
      <c r="DM846" s="346"/>
      <c r="DN846" s="348"/>
      <c r="DO846" s="346"/>
      <c r="DP846" s="346"/>
      <c r="DQ846" s="346"/>
      <c r="DR846" s="346"/>
      <c r="DS846" s="346"/>
      <c r="DT846" s="346"/>
      <c r="DU846" s="346"/>
      <c r="DV846" s="346"/>
      <c r="DW846" s="346"/>
      <c r="DX846" s="346"/>
      <c r="DY846" s="346"/>
      <c r="DZ846" s="348"/>
      <c r="EA846" s="346"/>
      <c r="EB846" s="346"/>
      <c r="EC846" s="346"/>
      <c r="ED846" s="346"/>
      <c r="EE846" s="346"/>
      <c r="EF846" s="346"/>
      <c r="EG846" s="346"/>
      <c r="EH846" s="346"/>
      <c r="EI846" s="346"/>
      <c r="EJ846" s="346"/>
      <c r="EK846" s="346"/>
      <c r="EL846" s="348"/>
      <c r="EM846" s="346"/>
      <c r="EN846" s="346"/>
      <c r="EO846" s="346"/>
      <c r="EP846" s="346"/>
      <c r="EQ846" s="346"/>
      <c r="ER846" s="346"/>
      <c r="ES846" s="346"/>
      <c r="ET846" s="346"/>
      <c r="EU846" s="346"/>
      <c r="EV846" s="346"/>
      <c r="EW846" s="346"/>
      <c r="EX846" s="348"/>
      <c r="EY846" s="346"/>
      <c r="EZ846" s="346"/>
      <c r="FA846" s="346"/>
      <c r="FB846" s="346"/>
      <c r="FC846" s="346"/>
      <c r="FD846" s="346"/>
      <c r="FE846" s="346"/>
      <c r="FF846" s="346"/>
      <c r="FG846" s="346"/>
      <c r="FH846" s="346"/>
      <c r="FI846" s="346"/>
      <c r="FJ846" s="348"/>
      <c r="FK846" s="346"/>
      <c r="FL846" s="346"/>
      <c r="FM846" s="346"/>
      <c r="FN846" s="346"/>
      <c r="FO846" s="346"/>
      <c r="FP846" s="346"/>
      <c r="FQ846" s="346"/>
      <c r="FR846" s="346"/>
      <c r="FS846" s="346"/>
      <c r="FT846" s="346"/>
      <c r="FU846" s="346"/>
      <c r="FV846" s="346"/>
      <c r="FW846" s="346"/>
      <c r="FX846" s="346"/>
      <c r="FY846" s="346"/>
      <c r="FZ846" s="346"/>
      <c r="GA846" s="346"/>
      <c r="GB846" s="346"/>
      <c r="GI846" s="1897"/>
      <c r="HN846" s="349"/>
      <c r="HO846" s="1811" t="s">
        <v>3244</v>
      </c>
      <c r="HP846" s="573"/>
      <c r="HQ846" s="573"/>
      <c r="HR846" s="346"/>
      <c r="HS846" s="573"/>
      <c r="HT846" s="573"/>
      <c r="HU846" s="346"/>
      <c r="HV846" s="573"/>
      <c r="HW846" s="573"/>
      <c r="HX846" s="346"/>
      <c r="HY846" s="573"/>
      <c r="HZ846" s="573"/>
      <c r="IA846" s="346"/>
      <c r="IB846" s="573"/>
      <c r="IC846" s="573"/>
      <c r="ID846" s="346"/>
      <c r="IE846" s="573"/>
      <c r="IF846" s="573"/>
      <c r="IG846" s="346"/>
      <c r="IH846" s="573"/>
      <c r="II846" s="573"/>
      <c r="IJ846" s="346"/>
      <c r="IK846" s="573"/>
      <c r="IL846" s="573"/>
      <c r="IM846" s="346"/>
      <c r="IN846" s="350">
        <f t="shared" ref="IN846:IN877" si="1389">SUM(FW846:GB846)</f>
        <v>0</v>
      </c>
      <c r="IO846" s="350">
        <f t="shared" ref="IO846:IO877" si="1390">SUM(GC846:GH846)</f>
        <v>0</v>
      </c>
      <c r="IP846" s="346">
        <f t="shared" si="1294"/>
        <v>0</v>
      </c>
      <c r="IQ846" s="350">
        <f t="shared" ref="IQ846:IQ877" si="1391">SUM(GI846:GN846)</f>
        <v>0</v>
      </c>
      <c r="IR846" s="350">
        <f t="shared" ref="IR846:IR877" si="1392">SUM(GO846:GT846)</f>
        <v>0</v>
      </c>
      <c r="IS846" s="346">
        <f t="shared" si="1371"/>
        <v>0</v>
      </c>
      <c r="IT846" s="350"/>
      <c r="IU846" s="350"/>
      <c r="IV846" s="346"/>
      <c r="IW846" s="350">
        <f t="shared" si="1256"/>
        <v>0</v>
      </c>
      <c r="IX846" s="573">
        <f t="shared" si="1252"/>
        <v>0</v>
      </c>
      <c r="IY846" s="346"/>
      <c r="IZ846" s="573"/>
      <c r="JA846" s="573"/>
      <c r="JB846" s="346"/>
      <c r="JC846" s="573"/>
      <c r="JD846" s="573"/>
      <c r="JE846" s="346">
        <f>FISC!AL1162</f>
        <v>0</v>
      </c>
      <c r="JF846" s="573"/>
      <c r="JG846" s="573"/>
      <c r="JH846" s="346">
        <f>FISC!AM1160</f>
        <v>-1022.9128063433674</v>
      </c>
      <c r="JI846" s="573"/>
      <c r="JJ846" s="573"/>
      <c r="JK846" s="346">
        <f>FISC!AN1162</f>
        <v>0</v>
      </c>
      <c r="JL846" s="573"/>
      <c r="JM846" s="573"/>
      <c r="JN846" s="346">
        <f>FISC!AO1162</f>
        <v>0</v>
      </c>
      <c r="KI846" s="349"/>
      <c r="KJ846" s="350"/>
    </row>
    <row r="847" spans="1:302" hidden="1" outlineLevel="1">
      <c r="A847" s="302"/>
      <c r="D847" s="1813" t="s">
        <v>3337</v>
      </c>
      <c r="E847" s="346"/>
      <c r="F847" s="346"/>
      <c r="G847" s="346"/>
      <c r="H847" s="346"/>
      <c r="I847" s="346"/>
      <c r="J847" s="346"/>
      <c r="K847" s="346"/>
      <c r="L847" s="346"/>
      <c r="M847" s="346"/>
      <c r="N847" s="346"/>
      <c r="O847" s="346"/>
      <c r="P847" s="346"/>
      <c r="Q847" s="346"/>
      <c r="R847" s="346"/>
      <c r="S847" s="346"/>
      <c r="T847" s="346"/>
      <c r="U847" s="346"/>
      <c r="V847" s="346"/>
      <c r="W847" s="346"/>
      <c r="X847" s="346"/>
      <c r="Y847" s="346"/>
      <c r="Z847" s="346"/>
      <c r="AA847" s="346"/>
      <c r="AB847" s="346"/>
      <c r="AC847" s="346"/>
      <c r="AD847" s="346"/>
      <c r="AE847" s="346"/>
      <c r="AF847" s="346"/>
      <c r="AG847" s="346"/>
      <c r="AH847" s="346"/>
      <c r="AI847" s="346"/>
      <c r="AJ847" s="346"/>
      <c r="AK847" s="346"/>
      <c r="AL847" s="346"/>
      <c r="AM847" s="346"/>
      <c r="AN847" s="346"/>
      <c r="AO847" s="346"/>
      <c r="AP847" s="346"/>
      <c r="AQ847" s="346"/>
      <c r="AR847" s="346"/>
      <c r="AS847" s="346"/>
      <c r="AT847" s="346"/>
      <c r="AU847" s="346"/>
      <c r="AV847" s="346"/>
      <c r="AW847" s="346"/>
      <c r="AX847" s="346"/>
      <c r="AY847" s="346"/>
      <c r="AZ847" s="346"/>
      <c r="BA847" s="346"/>
      <c r="BB847" s="346"/>
      <c r="BC847" s="346"/>
      <c r="BD847" s="346"/>
      <c r="BE847" s="346"/>
      <c r="BF847" s="346"/>
      <c r="BG847" s="346"/>
      <c r="BH847" s="346"/>
      <c r="BI847" s="346"/>
      <c r="BJ847" s="346"/>
      <c r="BK847" s="346"/>
      <c r="BL847" s="346"/>
      <c r="BM847" s="346"/>
      <c r="BN847" s="346"/>
      <c r="BO847" s="346"/>
      <c r="BP847" s="346"/>
      <c r="BQ847" s="346"/>
      <c r="BR847" s="346"/>
      <c r="BS847" s="346"/>
      <c r="BT847" s="346"/>
      <c r="BU847" s="346"/>
      <c r="BV847" s="346"/>
      <c r="BW847" s="346"/>
      <c r="BX847" s="346"/>
      <c r="BY847" s="346"/>
      <c r="BZ847" s="346"/>
      <c r="CA847" s="346"/>
      <c r="CB847" s="346"/>
      <c r="CC847" s="346"/>
      <c r="CD847" s="352"/>
      <c r="CE847" s="346"/>
      <c r="CF847" s="346"/>
      <c r="CG847" s="346"/>
      <c r="CH847" s="346"/>
      <c r="CI847" s="346"/>
      <c r="CJ847" s="346"/>
      <c r="CK847" s="346"/>
      <c r="CL847" s="346"/>
      <c r="CM847" s="346"/>
      <c r="CN847" s="346"/>
      <c r="CO847" s="346"/>
      <c r="CP847" s="348"/>
      <c r="CQ847" s="346"/>
      <c r="CR847" s="346"/>
      <c r="CS847" s="346"/>
      <c r="CT847" s="346"/>
      <c r="CU847" s="346"/>
      <c r="CV847" s="346"/>
      <c r="CW847" s="346"/>
      <c r="CX847" s="346"/>
      <c r="CY847" s="346"/>
      <c r="CZ847" s="346"/>
      <c r="DA847" s="346"/>
      <c r="DB847" s="1479"/>
      <c r="DC847" s="346"/>
      <c r="DD847" s="346"/>
      <c r="DE847" s="346"/>
      <c r="DF847" s="346"/>
      <c r="DG847" s="346"/>
      <c r="DH847" s="346"/>
      <c r="DI847" s="346"/>
      <c r="DJ847" s="346"/>
      <c r="DK847" s="346"/>
      <c r="DL847" s="346"/>
      <c r="DM847" s="346"/>
      <c r="DN847" s="348"/>
      <c r="DO847" s="346"/>
      <c r="DP847" s="346"/>
      <c r="DQ847" s="346"/>
      <c r="DR847" s="346"/>
      <c r="DS847" s="346"/>
      <c r="DT847" s="346"/>
      <c r="DU847" s="346"/>
      <c r="DV847" s="346"/>
      <c r="DW847" s="346"/>
      <c r="DX847" s="346"/>
      <c r="DY847" s="346"/>
      <c r="DZ847" s="348"/>
      <c r="EA847" s="346"/>
      <c r="EB847" s="346"/>
      <c r="EC847" s="346"/>
      <c r="ED847" s="346"/>
      <c r="EE847" s="346"/>
      <c r="EF847" s="346"/>
      <c r="EG847" s="346"/>
      <c r="EH847" s="346"/>
      <c r="EI847" s="346"/>
      <c r="EJ847" s="346"/>
      <c r="EK847" s="346"/>
      <c r="EL847" s="348"/>
      <c r="EM847" s="346"/>
      <c r="EN847" s="346"/>
      <c r="EO847" s="346"/>
      <c r="EP847" s="346"/>
      <c r="EQ847" s="346"/>
      <c r="ER847" s="346"/>
      <c r="ES847" s="346"/>
      <c r="ET847" s="346"/>
      <c r="EU847" s="346"/>
      <c r="EV847" s="346"/>
      <c r="EW847" s="346"/>
      <c r="EX847" s="348"/>
      <c r="EY847" s="346"/>
      <c r="EZ847" s="346"/>
      <c r="FA847" s="346"/>
      <c r="FB847" s="346"/>
      <c r="FC847" s="346"/>
      <c r="FD847" s="346"/>
      <c r="FE847" s="346"/>
      <c r="FF847" s="346"/>
      <c r="FG847" s="346"/>
      <c r="FH847" s="346"/>
      <c r="FI847" s="346"/>
      <c r="FJ847" s="348"/>
      <c r="FK847" s="346"/>
      <c r="FL847" s="346"/>
      <c r="FM847" s="346"/>
      <c r="FN847" s="346"/>
      <c r="FO847" s="346"/>
      <c r="FP847" s="346"/>
      <c r="FQ847" s="346"/>
      <c r="FR847" s="346"/>
      <c r="FS847" s="346"/>
      <c r="FT847" s="346"/>
      <c r="FU847" s="346"/>
      <c r="FV847" s="346"/>
      <c r="FW847" s="346"/>
      <c r="FX847" s="346"/>
      <c r="FY847" s="346"/>
      <c r="FZ847" s="346"/>
      <c r="GA847" s="346"/>
      <c r="GB847" s="346"/>
      <c r="GI847" s="1897"/>
      <c r="HN847" s="349"/>
      <c r="HO847" s="1813" t="s">
        <v>3337</v>
      </c>
      <c r="HP847" s="573"/>
      <c r="HQ847" s="573"/>
      <c r="HR847" s="346"/>
      <c r="HS847" s="573"/>
      <c r="HT847" s="573"/>
      <c r="HU847" s="346"/>
      <c r="HV847" s="573"/>
      <c r="HW847" s="573"/>
      <c r="HX847" s="346"/>
      <c r="HY847" s="573"/>
      <c r="HZ847" s="573"/>
      <c r="IA847" s="346"/>
      <c r="IB847" s="573"/>
      <c r="IC847" s="573"/>
      <c r="ID847" s="346"/>
      <c r="IE847" s="573"/>
      <c r="IF847" s="573"/>
      <c r="IG847" s="346"/>
      <c r="IH847" s="573"/>
      <c r="II847" s="573"/>
      <c r="IJ847" s="346"/>
      <c r="IK847" s="573"/>
      <c r="IL847" s="573"/>
      <c r="IM847" s="346"/>
      <c r="IN847" s="350">
        <f t="shared" si="1389"/>
        <v>0</v>
      </c>
      <c r="IO847" s="350">
        <f t="shared" si="1390"/>
        <v>0</v>
      </c>
      <c r="IP847" s="346">
        <f t="shared" si="1294"/>
        <v>0</v>
      </c>
      <c r="IQ847" s="350">
        <f t="shared" si="1391"/>
        <v>0</v>
      </c>
      <c r="IR847" s="350">
        <f t="shared" si="1392"/>
        <v>0</v>
      </c>
      <c r="IS847" s="346">
        <f t="shared" si="1371"/>
        <v>0</v>
      </c>
      <c r="IT847" s="350"/>
      <c r="IU847" s="350"/>
      <c r="IV847" s="346"/>
      <c r="IW847" s="350">
        <f t="shared" si="1256"/>
        <v>0</v>
      </c>
      <c r="IX847" s="573">
        <f t="shared" si="1252"/>
        <v>0</v>
      </c>
      <c r="IY847" s="346"/>
      <c r="IZ847" s="573"/>
      <c r="JA847" s="573"/>
      <c r="JB847" s="346"/>
      <c r="JC847" s="573"/>
      <c r="JD847" s="573"/>
      <c r="JE847" s="346">
        <f>FISC!AL1163</f>
        <v>-697.44495745589279</v>
      </c>
      <c r="JF847" s="573"/>
      <c r="JG847" s="573"/>
      <c r="JH847" s="346">
        <f>FISC!AM1161</f>
        <v>-1129.1894436077657</v>
      </c>
      <c r="JI847" s="573"/>
      <c r="JJ847" s="573"/>
      <c r="JK847" s="346">
        <f>FISC!AN1163</f>
        <v>-229.80110031646677</v>
      </c>
      <c r="JL847" s="573"/>
      <c r="JM847" s="573"/>
      <c r="JN847" s="346">
        <f>FISC!AO1163</f>
        <v>-31.481330564847894</v>
      </c>
      <c r="KI847" s="349"/>
      <c r="KJ847" s="350"/>
    </row>
    <row r="848" spans="1:302" hidden="1" outlineLevel="1">
      <c r="A848" s="302"/>
      <c r="D848" s="1727" t="s">
        <v>3243</v>
      </c>
      <c r="E848" s="346"/>
      <c r="F848" s="346"/>
      <c r="G848" s="346"/>
      <c r="H848" s="346"/>
      <c r="I848" s="346"/>
      <c r="J848" s="346"/>
      <c r="K848" s="346"/>
      <c r="L848" s="346"/>
      <c r="M848" s="346"/>
      <c r="N848" s="346"/>
      <c r="O848" s="346"/>
      <c r="P848" s="346"/>
      <c r="Q848" s="346"/>
      <c r="R848" s="346"/>
      <c r="S848" s="346"/>
      <c r="T848" s="346"/>
      <c r="U848" s="346"/>
      <c r="V848" s="346"/>
      <c r="W848" s="346"/>
      <c r="X848" s="346"/>
      <c r="Y848" s="346"/>
      <c r="Z848" s="346"/>
      <c r="AA848" s="346"/>
      <c r="AB848" s="346"/>
      <c r="AC848" s="346"/>
      <c r="AD848" s="346"/>
      <c r="AE848" s="346"/>
      <c r="AF848" s="346"/>
      <c r="AG848" s="346"/>
      <c r="AH848" s="346"/>
      <c r="AI848" s="346"/>
      <c r="AJ848" s="346"/>
      <c r="AK848" s="346"/>
      <c r="AL848" s="346"/>
      <c r="AM848" s="346"/>
      <c r="AN848" s="346"/>
      <c r="AO848" s="346"/>
      <c r="AP848" s="346"/>
      <c r="AQ848" s="346"/>
      <c r="AR848" s="346"/>
      <c r="AS848" s="346"/>
      <c r="AT848" s="346"/>
      <c r="AU848" s="346"/>
      <c r="AV848" s="346"/>
      <c r="AW848" s="346"/>
      <c r="AX848" s="346"/>
      <c r="AY848" s="346"/>
      <c r="AZ848" s="346"/>
      <c r="BA848" s="346"/>
      <c r="BB848" s="346"/>
      <c r="BC848" s="346"/>
      <c r="BD848" s="346"/>
      <c r="BE848" s="346"/>
      <c r="BF848" s="346"/>
      <c r="BG848" s="346"/>
      <c r="BH848" s="346"/>
      <c r="BI848" s="346"/>
      <c r="BJ848" s="346"/>
      <c r="BK848" s="346"/>
      <c r="BL848" s="346"/>
      <c r="BM848" s="346"/>
      <c r="BN848" s="346"/>
      <c r="BO848" s="346"/>
      <c r="BP848" s="346"/>
      <c r="BQ848" s="346"/>
      <c r="BR848" s="346"/>
      <c r="BS848" s="346"/>
      <c r="BT848" s="346"/>
      <c r="BU848" s="346"/>
      <c r="BV848" s="346"/>
      <c r="BW848" s="346"/>
      <c r="BX848" s="346"/>
      <c r="BY848" s="346"/>
      <c r="BZ848" s="346"/>
      <c r="CA848" s="346"/>
      <c r="CB848" s="346"/>
      <c r="CC848" s="346"/>
      <c r="CD848" s="352"/>
      <c r="CE848" s="346"/>
      <c r="CF848" s="346"/>
      <c r="CG848" s="346"/>
      <c r="CH848" s="346"/>
      <c r="CI848" s="346"/>
      <c r="CJ848" s="346"/>
      <c r="CK848" s="346"/>
      <c r="CL848" s="346"/>
      <c r="CM848" s="346"/>
      <c r="CN848" s="346"/>
      <c r="CO848" s="346"/>
      <c r="CP848" s="348"/>
      <c r="CQ848" s="346"/>
      <c r="CR848" s="346"/>
      <c r="CS848" s="346"/>
      <c r="CT848" s="346"/>
      <c r="CU848" s="346"/>
      <c r="CV848" s="346"/>
      <c r="CW848" s="346"/>
      <c r="CX848" s="346"/>
      <c r="CY848" s="346"/>
      <c r="CZ848" s="346"/>
      <c r="DA848" s="346"/>
      <c r="DB848" s="1479"/>
      <c r="DC848" s="346"/>
      <c r="DD848" s="346"/>
      <c r="DE848" s="346"/>
      <c r="DF848" s="346"/>
      <c r="DG848" s="346"/>
      <c r="DH848" s="346"/>
      <c r="DI848" s="346"/>
      <c r="DJ848" s="346"/>
      <c r="DK848" s="346"/>
      <c r="DL848" s="346"/>
      <c r="DM848" s="346"/>
      <c r="DN848" s="348"/>
      <c r="DO848" s="346"/>
      <c r="DP848" s="346"/>
      <c r="DQ848" s="346"/>
      <c r="DR848" s="346"/>
      <c r="DS848" s="346"/>
      <c r="DT848" s="346"/>
      <c r="DU848" s="346"/>
      <c r="DV848" s="346"/>
      <c r="DW848" s="346"/>
      <c r="DX848" s="346"/>
      <c r="DY848" s="346"/>
      <c r="DZ848" s="348"/>
      <c r="EA848" s="346"/>
      <c r="EB848" s="346"/>
      <c r="EC848" s="346"/>
      <c r="ED848" s="346"/>
      <c r="EE848" s="346"/>
      <c r="EF848" s="346"/>
      <c r="EG848" s="346"/>
      <c r="EH848" s="346"/>
      <c r="EI848" s="346"/>
      <c r="EJ848" s="346"/>
      <c r="EK848" s="346"/>
      <c r="EL848" s="348"/>
      <c r="EM848" s="346"/>
      <c r="EN848" s="346"/>
      <c r="EO848" s="346"/>
      <c r="EP848" s="346"/>
      <c r="EQ848" s="346"/>
      <c r="ER848" s="346"/>
      <c r="ES848" s="346"/>
      <c r="ET848" s="346"/>
      <c r="EU848" s="346"/>
      <c r="EV848" s="346"/>
      <c r="EW848" s="346"/>
      <c r="EX848" s="348"/>
      <c r="EY848" s="346"/>
      <c r="EZ848" s="346"/>
      <c r="FA848" s="346"/>
      <c r="FB848" s="346"/>
      <c r="FC848" s="346"/>
      <c r="FD848" s="346"/>
      <c r="FE848" s="346"/>
      <c r="FF848" s="346"/>
      <c r="FG848" s="346"/>
      <c r="FH848" s="346"/>
      <c r="FI848" s="346"/>
      <c r="FJ848" s="348"/>
      <c r="FK848" s="346"/>
      <c r="FL848" s="346"/>
      <c r="FM848" s="346"/>
      <c r="FN848" s="346"/>
      <c r="FO848" s="346"/>
      <c r="FP848" s="346"/>
      <c r="FQ848" s="346"/>
      <c r="FR848" s="346"/>
      <c r="FS848" s="346"/>
      <c r="FT848" s="346"/>
      <c r="FU848" s="346"/>
      <c r="FV848" s="346"/>
      <c r="FW848" s="346"/>
      <c r="FX848" s="346"/>
      <c r="FY848" s="346"/>
      <c r="FZ848" s="346"/>
      <c r="GA848" s="346"/>
      <c r="GB848" s="346"/>
      <c r="GI848" s="1897"/>
      <c r="HN848" s="349"/>
      <c r="HO848" s="1727" t="s">
        <v>3243</v>
      </c>
      <c r="HP848" s="1691"/>
      <c r="HQ848" s="1691"/>
      <c r="HR848" s="346"/>
      <c r="HS848" s="1691"/>
      <c r="HT848" s="1691"/>
      <c r="HU848" s="346"/>
      <c r="HV848" s="1691"/>
      <c r="HW848" s="1691"/>
      <c r="HX848" s="346"/>
      <c r="HY848" s="1691"/>
      <c r="HZ848" s="1691"/>
      <c r="IA848" s="346"/>
      <c r="IB848" s="1691"/>
      <c r="IC848" s="1691"/>
      <c r="ID848" s="346"/>
      <c r="IE848" s="1691"/>
      <c r="IF848" s="1691"/>
      <c r="IG848" s="346"/>
      <c r="IH848" s="1691"/>
      <c r="II848" s="1691"/>
      <c r="IJ848" s="346"/>
      <c r="IK848" s="1691"/>
      <c r="IL848" s="1691"/>
      <c r="IM848" s="346"/>
      <c r="IN848" s="350">
        <f t="shared" si="1389"/>
        <v>0</v>
      </c>
      <c r="IO848" s="350">
        <f t="shared" si="1390"/>
        <v>0</v>
      </c>
      <c r="IP848" s="346">
        <f t="shared" si="1294"/>
        <v>0</v>
      </c>
      <c r="IQ848" s="350">
        <f t="shared" si="1391"/>
        <v>0</v>
      </c>
      <c r="IR848" s="350">
        <f t="shared" si="1392"/>
        <v>0</v>
      </c>
      <c r="IS848" s="346">
        <f t="shared" si="1371"/>
        <v>0</v>
      </c>
      <c r="IT848" s="350"/>
      <c r="IU848" s="350"/>
      <c r="IV848" s="346"/>
      <c r="IW848" s="350">
        <f t="shared" si="1256"/>
        <v>0</v>
      </c>
      <c r="IX848" s="1691">
        <f t="shared" si="1252"/>
        <v>0</v>
      </c>
      <c r="IY848" s="346"/>
      <c r="IZ848" s="1691"/>
      <c r="JA848" s="1691"/>
      <c r="JB848" s="346"/>
      <c r="JC848" s="1691"/>
      <c r="JD848" s="1691"/>
      <c r="JE848" s="346">
        <f>FISC!AL1165</f>
        <v>0</v>
      </c>
      <c r="JF848" s="1691"/>
      <c r="JG848" s="1691"/>
      <c r="JH848" s="346">
        <f>FISC!AM1162</f>
        <v>0</v>
      </c>
      <c r="JI848" s="1691"/>
      <c r="JJ848" s="1691"/>
      <c r="JK848" s="346">
        <f>FISC!AN1165</f>
        <v>0</v>
      </c>
      <c r="JL848" s="1691"/>
      <c r="JM848" s="1691"/>
      <c r="JN848" s="346">
        <f>FISC!AO1165</f>
        <v>0</v>
      </c>
      <c r="KI848" s="349"/>
      <c r="KJ848" s="350"/>
    </row>
    <row r="849" spans="1:302" hidden="1" outlineLevel="1">
      <c r="A849" s="302"/>
      <c r="D849" s="1728" t="s">
        <v>3225</v>
      </c>
      <c r="E849" s="346"/>
      <c r="F849" s="346"/>
      <c r="G849" s="346"/>
      <c r="H849" s="346"/>
      <c r="I849" s="346"/>
      <c r="J849" s="346"/>
      <c r="K849" s="346"/>
      <c r="L849" s="346"/>
      <c r="M849" s="346"/>
      <c r="N849" s="346"/>
      <c r="O849" s="346"/>
      <c r="P849" s="346"/>
      <c r="Q849" s="346"/>
      <c r="R849" s="346"/>
      <c r="S849" s="346"/>
      <c r="T849" s="346"/>
      <c r="U849" s="346"/>
      <c r="V849" s="346"/>
      <c r="W849" s="346"/>
      <c r="X849" s="346"/>
      <c r="Y849" s="346"/>
      <c r="Z849" s="346"/>
      <c r="AA849" s="346"/>
      <c r="AB849" s="346"/>
      <c r="AC849" s="346"/>
      <c r="AD849" s="346"/>
      <c r="AE849" s="346"/>
      <c r="AF849" s="346"/>
      <c r="AG849" s="346"/>
      <c r="AH849" s="346"/>
      <c r="AI849" s="346"/>
      <c r="AJ849" s="346"/>
      <c r="AK849" s="346"/>
      <c r="AL849" s="346"/>
      <c r="AM849" s="346"/>
      <c r="AN849" s="346"/>
      <c r="AO849" s="346"/>
      <c r="AP849" s="346"/>
      <c r="AQ849" s="346"/>
      <c r="AR849" s="346"/>
      <c r="AS849" s="346"/>
      <c r="AT849" s="346"/>
      <c r="AU849" s="346"/>
      <c r="AV849" s="346"/>
      <c r="AW849" s="346"/>
      <c r="AX849" s="346"/>
      <c r="AY849" s="346"/>
      <c r="AZ849" s="346"/>
      <c r="BA849" s="346"/>
      <c r="BB849" s="346"/>
      <c r="BC849" s="346"/>
      <c r="BD849" s="346"/>
      <c r="BE849" s="346"/>
      <c r="BF849" s="346"/>
      <c r="BG849" s="346"/>
      <c r="BH849" s="346"/>
      <c r="BI849" s="346"/>
      <c r="BJ849" s="346"/>
      <c r="BK849" s="346"/>
      <c r="BL849" s="346"/>
      <c r="BM849" s="346"/>
      <c r="BN849" s="346"/>
      <c r="BO849" s="346"/>
      <c r="BP849" s="346"/>
      <c r="BQ849" s="346"/>
      <c r="BR849" s="346"/>
      <c r="BS849" s="346"/>
      <c r="BT849" s="346"/>
      <c r="BU849" s="346"/>
      <c r="BV849" s="346"/>
      <c r="BW849" s="346"/>
      <c r="BX849" s="346"/>
      <c r="BY849" s="346"/>
      <c r="BZ849" s="346"/>
      <c r="CA849" s="346"/>
      <c r="CB849" s="346"/>
      <c r="CC849" s="346"/>
      <c r="CD849" s="352"/>
      <c r="CE849" s="346"/>
      <c r="CF849" s="346"/>
      <c r="CG849" s="346"/>
      <c r="CH849" s="346"/>
      <c r="CI849" s="346"/>
      <c r="CJ849" s="346"/>
      <c r="CK849" s="346"/>
      <c r="CL849" s="346"/>
      <c r="CM849" s="346"/>
      <c r="CN849" s="346"/>
      <c r="CO849" s="346"/>
      <c r="CP849" s="348"/>
      <c r="CQ849" s="346"/>
      <c r="CR849" s="346"/>
      <c r="CS849" s="346"/>
      <c r="CT849" s="346"/>
      <c r="CU849" s="346"/>
      <c r="CV849" s="346"/>
      <c r="CW849" s="346"/>
      <c r="CX849" s="346"/>
      <c r="CY849" s="346"/>
      <c r="CZ849" s="346"/>
      <c r="DA849" s="346"/>
      <c r="DB849" s="1479"/>
      <c r="DC849" s="346"/>
      <c r="DD849" s="346"/>
      <c r="DE849" s="346"/>
      <c r="DF849" s="346"/>
      <c r="DG849" s="346"/>
      <c r="DH849" s="346"/>
      <c r="DI849" s="346"/>
      <c r="DJ849" s="346"/>
      <c r="DK849" s="346"/>
      <c r="DL849" s="346"/>
      <c r="DM849" s="346"/>
      <c r="DN849" s="348"/>
      <c r="DO849" s="346"/>
      <c r="DP849" s="346"/>
      <c r="DQ849" s="346"/>
      <c r="DR849" s="346"/>
      <c r="DS849" s="346"/>
      <c r="DT849" s="346"/>
      <c r="DU849" s="346"/>
      <c r="DV849" s="346"/>
      <c r="DW849" s="346"/>
      <c r="DX849" s="346"/>
      <c r="DY849" s="346"/>
      <c r="DZ849" s="348"/>
      <c r="EA849" s="346"/>
      <c r="EB849" s="346"/>
      <c r="EC849" s="346"/>
      <c r="ED849" s="346"/>
      <c r="EE849" s="346"/>
      <c r="EF849" s="346"/>
      <c r="EG849" s="346"/>
      <c r="EH849" s="346"/>
      <c r="EI849" s="346"/>
      <c r="EJ849" s="346"/>
      <c r="EK849" s="346"/>
      <c r="EL849" s="348"/>
      <c r="EM849" s="346"/>
      <c r="EN849" s="346"/>
      <c r="EO849" s="346"/>
      <c r="EP849" s="346"/>
      <c r="EQ849" s="346"/>
      <c r="ER849" s="346"/>
      <c r="ES849" s="346"/>
      <c r="ET849" s="346"/>
      <c r="EU849" s="346"/>
      <c r="EV849" s="346"/>
      <c r="EW849" s="346"/>
      <c r="EX849" s="348"/>
      <c r="EY849" s="346"/>
      <c r="EZ849" s="346"/>
      <c r="FA849" s="346"/>
      <c r="FB849" s="346"/>
      <c r="FC849" s="346"/>
      <c r="FD849" s="346"/>
      <c r="FE849" s="346"/>
      <c r="FF849" s="346"/>
      <c r="FG849" s="346"/>
      <c r="FH849" s="346"/>
      <c r="FI849" s="346"/>
      <c r="FJ849" s="348"/>
      <c r="FK849" s="346"/>
      <c r="FL849" s="346"/>
      <c r="FM849" s="346"/>
      <c r="FN849" s="346"/>
      <c r="FO849" s="346"/>
      <c r="FP849" s="346"/>
      <c r="FQ849" s="346"/>
      <c r="FR849" s="346"/>
      <c r="FS849" s="346"/>
      <c r="FT849" s="346"/>
      <c r="FU849" s="346"/>
      <c r="FV849" s="346"/>
      <c r="FW849" s="346"/>
      <c r="FX849" s="346"/>
      <c r="FY849" s="346"/>
      <c r="FZ849" s="346"/>
      <c r="GA849" s="346"/>
      <c r="GB849" s="346"/>
      <c r="GI849" s="1897"/>
      <c r="HN849" s="349"/>
      <c r="HO849" s="1728" t="s">
        <v>3225</v>
      </c>
      <c r="HP849" s="1661">
        <f>HP842-HP744-(-HP764-HP877-HP879)</f>
        <v>-3.9664374692457542</v>
      </c>
      <c r="HQ849" s="1661">
        <f>HQ842-HQ744-(-HQ764-HQ877-HQ879)</f>
        <v>-229.70450340340332</v>
      </c>
      <c r="HR849" s="346"/>
      <c r="HS849" s="1661">
        <f>HS842-HS744-(-HS764-HS877-HS879)</f>
        <v>-94.929270119342448</v>
      </c>
      <c r="HT849" s="1661">
        <f>HT842-HT744-(-HT764-HT877-HT879)</f>
        <v>-173.36329371988563</v>
      </c>
      <c r="HU849" s="346"/>
      <c r="HV849" s="1661">
        <f>HV842-HV744-(-HV764-HV877-HV879)</f>
        <v>-141.09740245957931</v>
      </c>
      <c r="HW849" s="1661">
        <f>HW842-HW744-(-HW764-HW877-HW879)</f>
        <v>-131.96793656964815</v>
      </c>
      <c r="HX849" s="346"/>
      <c r="HY849" s="1661">
        <f>HY842-HY744-(-HY764-HY877-HY879)</f>
        <v>-206.12076385028814</v>
      </c>
      <c r="HZ849" s="1661">
        <f>HZ842-HZ744-(-HZ764-HZ877-HZ879)</f>
        <v>-134.87856298419914</v>
      </c>
      <c r="IA849" s="346"/>
      <c r="IB849" s="1661">
        <f>IB842-IB744-(-IB764-IB877-IB879)</f>
        <v>-168.37790806416518</v>
      </c>
      <c r="IC849" s="1661">
        <f>IC842-IC744-(-IC764-IC877-IC879)</f>
        <v>-185.91074607483864</v>
      </c>
      <c r="ID849" s="346"/>
      <c r="IE849" s="1661">
        <f>IE842-IE744-(-IE764-IE877-IE879)</f>
        <v>-106.17722628301766</v>
      </c>
      <c r="IF849" s="1661">
        <f>IF842-IF744-(-IF764-IF877-IF879)</f>
        <v>-440.30571851962924</v>
      </c>
      <c r="IG849" s="346"/>
      <c r="IH849" s="1661">
        <f>IH842-IH744-(-IH764-IH877-IH879)</f>
        <v>-370.74665163487634</v>
      </c>
      <c r="II849" s="1661">
        <f>II842-II744-(-II764-II877-II879)</f>
        <v>-450.52115922025689</v>
      </c>
      <c r="IJ849" s="346"/>
      <c r="IK849" s="1661">
        <f>IK842-IK744-(-IK764-IK877-IK879)</f>
        <v>-549.92459630540225</v>
      </c>
      <c r="IL849" s="1661">
        <f>IL842-IL744-(-IL764-IL877-IL879)</f>
        <v>-351.9032032025691</v>
      </c>
      <c r="IM849" s="346">
        <f t="shared" si="1183"/>
        <v>-901.82779950797135</v>
      </c>
      <c r="IN849" s="350">
        <f t="shared" si="1389"/>
        <v>0</v>
      </c>
      <c r="IO849" s="350">
        <f t="shared" si="1390"/>
        <v>0</v>
      </c>
      <c r="IP849" s="346">
        <f t="shared" si="1294"/>
        <v>0</v>
      </c>
      <c r="IQ849" s="350">
        <f t="shared" si="1391"/>
        <v>0</v>
      </c>
      <c r="IR849" s="350">
        <f t="shared" si="1392"/>
        <v>0</v>
      </c>
      <c r="IS849" s="346">
        <f t="shared" si="1371"/>
        <v>0</v>
      </c>
      <c r="IT849" s="350">
        <f>IT842-IT744-(-IT764-IT877-IT879)</f>
        <v>-411.31434259513395</v>
      </c>
      <c r="IU849" s="350">
        <f>IU842-IU744-(-IU764-IU877-IU879)</f>
        <v>-781.78081791569821</v>
      </c>
      <c r="IV849" s="346">
        <f t="shared" si="1235"/>
        <v>-1193.0951605108321</v>
      </c>
      <c r="IW849" s="350">
        <f>IW842-IW744-(-IW764-IW877-IW879)</f>
        <v>-560.27324303753448</v>
      </c>
      <c r="IX849" s="1661">
        <f t="shared" si="1252"/>
        <v>-533.55969302001199</v>
      </c>
      <c r="IY849" s="346">
        <f>FISC!AJ1166</f>
        <v>-1093.8329360575465</v>
      </c>
      <c r="IZ849" s="1661">
        <f>IZ842-IZ744-(-IZ764-IZ877-IZ879)</f>
        <v>-1560.7212391382095</v>
      </c>
      <c r="JA849" s="1661">
        <f>JA842-JA744-(-JA764-JA877-JA879)</f>
        <v>-76.516239783920824</v>
      </c>
      <c r="JB849" s="346">
        <f>FISC!AK1166</f>
        <v>-1569.3385793062287</v>
      </c>
      <c r="JC849" s="1661">
        <f>JC842-JC744-(-JC764-JC877-JC879)</f>
        <v>-1130.4983101662328</v>
      </c>
      <c r="JD849" s="1661">
        <f>JD842-JD744-(-JD764-JD877-JD879)</f>
        <v>-230.01158579239444</v>
      </c>
      <c r="JE849" s="346">
        <f>FISC!AL1166</f>
        <v>-1317.5033163335659</v>
      </c>
      <c r="JF849" s="1661">
        <f>JF842-JF744-(-JF764-JF877-JF879)</f>
        <v>-896.47830271168914</v>
      </c>
      <c r="JG849" s="1661">
        <f>JG842-JG744-(-JG764-JG877-JG879)</f>
        <v>-99.822501273110561</v>
      </c>
      <c r="JH849" s="346">
        <f>FISC!AM1163</f>
        <v>-254.57906014250943</v>
      </c>
      <c r="JI849" s="1661">
        <f>JI842-JI744-(-JI764-JI877-JI879)</f>
        <v>-853.12961914387245</v>
      </c>
      <c r="JJ849" s="1661">
        <f>JJ842-JJ744-(-JJ764-JJ877-JJ879)</f>
        <v>-166.33796714855887</v>
      </c>
      <c r="JK849" s="346">
        <f>FISC!AN1166</f>
        <v>-918.06795418724209</v>
      </c>
      <c r="JL849" s="1661">
        <f>JL842-JL744-(-JL764-JL877-JL879)</f>
        <v>-829.54100212710387</v>
      </c>
      <c r="JM849" s="1661">
        <f>JM842-JM744-(-JM764-JM877-JM879)</f>
        <v>-316.45927477815633</v>
      </c>
      <c r="JN849" s="346">
        <f>FISC!AO1166</f>
        <v>-987.9397285561663</v>
      </c>
      <c r="KI849" s="349"/>
      <c r="KJ849" s="350"/>
    </row>
    <row r="850" spans="1:302" hidden="1" outlineLevel="1">
      <c r="A850" s="302"/>
      <c r="D850" s="1686" t="s">
        <v>3246</v>
      </c>
      <c r="E850" s="346"/>
      <c r="F850" s="346"/>
      <c r="G850" s="346"/>
      <c r="H850" s="346"/>
      <c r="I850" s="346"/>
      <c r="J850" s="346"/>
      <c r="K850" s="346"/>
      <c r="L850" s="346"/>
      <c r="M850" s="346"/>
      <c r="N850" s="346"/>
      <c r="O850" s="346"/>
      <c r="P850" s="346"/>
      <c r="Q850" s="346"/>
      <c r="R850" s="346"/>
      <c r="S850" s="346"/>
      <c r="T850" s="346"/>
      <c r="U850" s="346"/>
      <c r="V850" s="346"/>
      <c r="W850" s="346"/>
      <c r="X850" s="346"/>
      <c r="Y850" s="346"/>
      <c r="Z850" s="346"/>
      <c r="AA850" s="346"/>
      <c r="AB850" s="346"/>
      <c r="AC850" s="346"/>
      <c r="AD850" s="346"/>
      <c r="AE850" s="346"/>
      <c r="AF850" s="346"/>
      <c r="AG850" s="346"/>
      <c r="AH850" s="346"/>
      <c r="AI850" s="346"/>
      <c r="AJ850" s="346"/>
      <c r="AK850" s="346"/>
      <c r="AL850" s="346"/>
      <c r="AM850" s="346"/>
      <c r="AN850" s="346"/>
      <c r="AO850" s="346"/>
      <c r="AP850" s="346"/>
      <c r="AQ850" s="346"/>
      <c r="AR850" s="346"/>
      <c r="AS850" s="346"/>
      <c r="AT850" s="346"/>
      <c r="AU850" s="346"/>
      <c r="AV850" s="346"/>
      <c r="AW850" s="346"/>
      <c r="AX850" s="346"/>
      <c r="AY850" s="346"/>
      <c r="AZ850" s="346"/>
      <c r="BA850" s="346"/>
      <c r="BB850" s="346"/>
      <c r="BC850" s="346"/>
      <c r="BD850" s="346"/>
      <c r="BE850" s="346"/>
      <c r="BF850" s="346"/>
      <c r="BG850" s="346"/>
      <c r="BH850" s="346"/>
      <c r="BI850" s="346"/>
      <c r="BJ850" s="346"/>
      <c r="BK850" s="346"/>
      <c r="BL850" s="346"/>
      <c r="BM850" s="346"/>
      <c r="BN850" s="346"/>
      <c r="BO850" s="346"/>
      <c r="BP850" s="346"/>
      <c r="BQ850" s="346"/>
      <c r="BR850" s="346"/>
      <c r="BS850" s="346"/>
      <c r="BT850" s="346"/>
      <c r="BU850" s="346"/>
      <c r="BV850" s="346"/>
      <c r="BW850" s="346"/>
      <c r="BX850" s="346"/>
      <c r="BY850" s="346"/>
      <c r="BZ850" s="346"/>
      <c r="CA850" s="346"/>
      <c r="CB850" s="346"/>
      <c r="CC850" s="346"/>
      <c r="CD850" s="352"/>
      <c r="CE850" s="346"/>
      <c r="CF850" s="346"/>
      <c r="CG850" s="346"/>
      <c r="CH850" s="346"/>
      <c r="CI850" s="346"/>
      <c r="CJ850" s="346"/>
      <c r="CK850" s="346"/>
      <c r="CL850" s="346"/>
      <c r="CM850" s="346"/>
      <c r="CN850" s="346"/>
      <c r="CO850" s="346"/>
      <c r="CP850" s="348"/>
      <c r="CQ850" s="346"/>
      <c r="CR850" s="346"/>
      <c r="CS850" s="346"/>
      <c r="CT850" s="346"/>
      <c r="CU850" s="346"/>
      <c r="CV850" s="346"/>
      <c r="CW850" s="346"/>
      <c r="CX850" s="346"/>
      <c r="CY850" s="346"/>
      <c r="CZ850" s="346"/>
      <c r="DA850" s="346"/>
      <c r="DB850" s="1479"/>
      <c r="DC850" s="346"/>
      <c r="DD850" s="346"/>
      <c r="DE850" s="346"/>
      <c r="DF850" s="346"/>
      <c r="DG850" s="346"/>
      <c r="DH850" s="346"/>
      <c r="DI850" s="346"/>
      <c r="DJ850" s="346"/>
      <c r="DK850" s="346"/>
      <c r="DL850" s="346"/>
      <c r="DM850" s="346"/>
      <c r="DN850" s="348"/>
      <c r="DO850" s="346"/>
      <c r="DP850" s="346"/>
      <c r="DQ850" s="346"/>
      <c r="DR850" s="346"/>
      <c r="DS850" s="346"/>
      <c r="DT850" s="346"/>
      <c r="DU850" s="346"/>
      <c r="DV850" s="346"/>
      <c r="DW850" s="346"/>
      <c r="DX850" s="346"/>
      <c r="DY850" s="346"/>
      <c r="DZ850" s="348"/>
      <c r="EA850" s="346"/>
      <c r="EB850" s="346"/>
      <c r="EC850" s="346"/>
      <c r="ED850" s="346"/>
      <c r="EE850" s="346"/>
      <c r="EF850" s="346"/>
      <c r="EG850" s="346"/>
      <c r="EH850" s="346"/>
      <c r="EI850" s="346"/>
      <c r="EJ850" s="346"/>
      <c r="EK850" s="346"/>
      <c r="EL850" s="348"/>
      <c r="EM850" s="346"/>
      <c r="EN850" s="346"/>
      <c r="EO850" s="346"/>
      <c r="EP850" s="346"/>
      <c r="EQ850" s="346"/>
      <c r="ER850" s="346"/>
      <c r="ES850" s="346"/>
      <c r="ET850" s="346"/>
      <c r="EU850" s="346"/>
      <c r="EV850" s="346"/>
      <c r="EW850" s="346"/>
      <c r="EX850" s="348"/>
      <c r="EY850" s="346"/>
      <c r="EZ850" s="346"/>
      <c r="FA850" s="346"/>
      <c r="FB850" s="346"/>
      <c r="FC850" s="346"/>
      <c r="FD850" s="346"/>
      <c r="FE850" s="346"/>
      <c r="FF850" s="346"/>
      <c r="FG850" s="346"/>
      <c r="FH850" s="346"/>
      <c r="FI850" s="346"/>
      <c r="FJ850" s="348"/>
      <c r="FK850" s="346"/>
      <c r="FL850" s="346"/>
      <c r="FM850" s="346"/>
      <c r="FN850" s="346"/>
      <c r="FO850" s="346"/>
      <c r="FP850" s="346"/>
      <c r="FQ850" s="346"/>
      <c r="FR850" s="346"/>
      <c r="FS850" s="346"/>
      <c r="FT850" s="346"/>
      <c r="FU850" s="346"/>
      <c r="FV850" s="346"/>
      <c r="FW850" s="346"/>
      <c r="FX850" s="346"/>
      <c r="FY850" s="346"/>
      <c r="FZ850" s="346"/>
      <c r="GA850" s="346"/>
      <c r="GB850" s="346"/>
      <c r="GI850" s="1897"/>
      <c r="HN850" s="349"/>
      <c r="HO850" s="1686" t="s">
        <v>3246</v>
      </c>
      <c r="HP850" s="1661">
        <f>HP842-(-HP756-HP760-HP793-HP805-HP812-HP819-HP824)</f>
        <v>-3.9664374692457542</v>
      </c>
      <c r="HQ850" s="1661">
        <f>HQ842-(-HQ756-HQ760-HQ793-HQ805-HQ812-HQ819-HQ824)</f>
        <v>-229.70450340340332</v>
      </c>
      <c r="HR850" s="346"/>
      <c r="HS850" s="1661">
        <f>HS842-(-HS756-HS760-HS793-HS805-HS812-HS819-HS824)</f>
        <v>-94.929270119342448</v>
      </c>
      <c r="HT850" s="1661">
        <f>HT842-(-HT756-HT760-HT793-HT805-HT812-HT819-HT824)</f>
        <v>-173.36329371988563</v>
      </c>
      <c r="HU850" s="346"/>
      <c r="HV850" s="1661">
        <f>HV842-(-HV756-HV760-HV793-HV805-HV812-HV819-HV824)</f>
        <v>-141.09740245957931</v>
      </c>
      <c r="HW850" s="1661">
        <f>HW842-(-HW756-HW760-HW793-HW805-HW812-HW819-HW824)</f>
        <v>-131.96793656964815</v>
      </c>
      <c r="HX850" s="346"/>
      <c r="HY850" s="1661">
        <f>HY842-(-HY756-HY760-HY793-HY805-HY812-HY819-HY824)</f>
        <v>-206.12076385028814</v>
      </c>
      <c r="HZ850" s="1661">
        <f>HZ842-(-HZ756-HZ760-HZ793-HZ805-HZ812-HZ819-HZ824)</f>
        <v>-134.87856298419914</v>
      </c>
      <c r="IA850" s="346"/>
      <c r="IB850" s="1661">
        <f>IB842-(-IB756-IB760-IB793-IB805-IB812-IB819-IB824)</f>
        <v>-168.37790806416518</v>
      </c>
      <c r="IC850" s="1661">
        <f>IC842-(-IC756-IC760-IC793-IC805-IC812-IC819-IC824)</f>
        <v>-185.91074607483864</v>
      </c>
      <c r="ID850" s="346"/>
      <c r="IE850" s="1661">
        <f>IE842-(-IE756-IE760-IE793-IE805-IE812-IE819-IE824)</f>
        <v>-106.17722628301766</v>
      </c>
      <c r="IF850" s="1661">
        <f>IF842-(-IF756-IF760-IF793-IF805-IF812-IF819-IF824)</f>
        <v>-440.30571851962924</v>
      </c>
      <c r="IG850" s="346"/>
      <c r="IH850" s="1661">
        <f>IH842-(-IH756-IH760-IH793-IH805-IH812-IH819-IH824)</f>
        <v>-379.62837648187633</v>
      </c>
      <c r="II850" s="1661">
        <f>II842-(-II756-II760-II793-II805-II812-II819-II824)</f>
        <v>-465.28699830525687</v>
      </c>
      <c r="IJ850" s="346"/>
      <c r="IK850" s="1661">
        <f>IK842-(-IK756-IK760-IK793-IK805-IK812-IK819-IK824)</f>
        <v>-471.15441830088986</v>
      </c>
      <c r="IL850" s="1661">
        <f>IL842-(-IL756-IL760-IL793-IL805-IL812-IL819-IL824)</f>
        <v>-364.41545007756912</v>
      </c>
      <c r="IM850" s="346">
        <f t="shared" si="1183"/>
        <v>-835.56986837845898</v>
      </c>
      <c r="IN850" s="350">
        <f t="shared" si="1389"/>
        <v>0</v>
      </c>
      <c r="IO850" s="350">
        <f t="shared" si="1390"/>
        <v>0</v>
      </c>
      <c r="IP850" s="346">
        <f t="shared" si="1294"/>
        <v>0</v>
      </c>
      <c r="IQ850" s="350">
        <f t="shared" si="1391"/>
        <v>0</v>
      </c>
      <c r="IR850" s="350">
        <f t="shared" si="1392"/>
        <v>0</v>
      </c>
      <c r="IS850" s="346">
        <f t="shared" si="1371"/>
        <v>0</v>
      </c>
      <c r="IT850" s="350">
        <f>IT842-(-IT756-IT760-IT793-IT805-IT812-IT819-IT824)</f>
        <v>-427.844641527134</v>
      </c>
      <c r="IU850" s="350">
        <f>IU842-(-IU756-IU760-IU793-IU805-IU812-IU819-IU824)</f>
        <v>-799.16632291869826</v>
      </c>
      <c r="IV850" s="346">
        <f t="shared" si="1235"/>
        <v>-1227.0109644458323</v>
      </c>
      <c r="IW850" s="350">
        <f>IW842-(-IW756-IW760-IW793-IW805-IW812-IW819-IW824)</f>
        <v>-577.56727900553449</v>
      </c>
      <c r="IX850" s="1661">
        <f t="shared" si="1252"/>
        <v>-480.28381302201194</v>
      </c>
      <c r="IY850" s="346">
        <f>FISC!AJ1167</f>
        <v>-1057.8510920275464</v>
      </c>
      <c r="IZ850" s="1661">
        <f>IZ842-(-IZ756-IZ760-IZ793-IZ805-IZ812-IZ819-IZ824)</f>
        <v>-1577.7060777322097</v>
      </c>
      <c r="JA850" s="1661">
        <f>JA842-(-JA756-JA760-JA793-JA805-JA812-JA819-JA824)</f>
        <v>-93.501078377920834</v>
      </c>
      <c r="JB850" s="346">
        <f>FISC!AK1167</f>
        <v>-971.80342442154893</v>
      </c>
      <c r="JC850" s="1661">
        <f>JC842-(-JC756-JC760-JC793-JC805-JC812-JC819-JC824)</f>
        <v>-1146.7502316888595</v>
      </c>
      <c r="JD850" s="1661">
        <f>JD842-(-JD756-JD760-JD793-JD805-JD812-JD819-JD824)</f>
        <v>-246.26350731502126</v>
      </c>
      <c r="JE850" s="346">
        <f>FISC!AL1167</f>
        <v>-810.10938266151982</v>
      </c>
      <c r="JF850" s="1661">
        <f>JF842-(-JF756-JF760-JF793-JF805-JF812-JF819-JF824)</f>
        <v>-911.49844320168904</v>
      </c>
      <c r="JG850" s="1661">
        <f>JG842-(-JG756-JG760-JG793-JG805-JG812-JG819-JG824)</f>
        <v>-114.84264176311056</v>
      </c>
      <c r="JH850" s="346">
        <f>FISC!AM1165</f>
        <v>0</v>
      </c>
      <c r="JI850" s="1661">
        <f>JI842-(-JI756-JI760-JI793-JI805-JI812-JI819-JI824)</f>
        <v>-867.54895401427245</v>
      </c>
      <c r="JJ850" s="1661">
        <f>JJ842-(-JJ756-JJ760-JJ793-JJ805-JJ812-JJ819-JJ824)</f>
        <v>-181.95891325815887</v>
      </c>
      <c r="JK850" s="346">
        <f>FISC!AN1167</f>
        <v>-986.52189677685612</v>
      </c>
      <c r="JL850" s="1661">
        <f>JL842-(-JL756-JL760-JL793-JL805-JL812-JL819-JL824)</f>
        <v>-843.40891940838378</v>
      </c>
      <c r="JM850" s="1661">
        <f>JM842-(-JM756-JM760-JM793-JM805-JM812-JM819-JM824)</f>
        <v>-331.48285183287629</v>
      </c>
      <c r="JN850" s="346">
        <f>FISC!AO1167</f>
        <v>-1138.9099272106196</v>
      </c>
      <c r="KI850" s="349"/>
      <c r="KJ850" s="350"/>
    </row>
    <row r="851" spans="1:302" hidden="1" outlineLevel="1">
      <c r="A851" s="302"/>
      <c r="D851" s="1686" t="s">
        <v>3247</v>
      </c>
      <c r="E851" s="346"/>
      <c r="F851" s="346"/>
      <c r="G851" s="346"/>
      <c r="H851" s="346"/>
      <c r="I851" s="346"/>
      <c r="J851" s="346"/>
      <c r="K851" s="346"/>
      <c r="L851" s="346"/>
      <c r="M851" s="346"/>
      <c r="N851" s="346"/>
      <c r="O851" s="346"/>
      <c r="P851" s="346"/>
      <c r="Q851" s="346"/>
      <c r="R851" s="346"/>
      <c r="S851" s="346"/>
      <c r="T851" s="346"/>
      <c r="U851" s="346"/>
      <c r="V851" s="346"/>
      <c r="W851" s="346"/>
      <c r="X851" s="346"/>
      <c r="Y851" s="346"/>
      <c r="Z851" s="346"/>
      <c r="AA851" s="346"/>
      <c r="AB851" s="346"/>
      <c r="AC851" s="346"/>
      <c r="AD851" s="346"/>
      <c r="AE851" s="346"/>
      <c r="AF851" s="346"/>
      <c r="AG851" s="346"/>
      <c r="AH851" s="346"/>
      <c r="AI851" s="346"/>
      <c r="AJ851" s="346"/>
      <c r="AK851" s="346"/>
      <c r="AL851" s="346"/>
      <c r="AM851" s="346"/>
      <c r="AN851" s="346"/>
      <c r="AO851" s="346"/>
      <c r="AP851" s="346"/>
      <c r="AQ851" s="346"/>
      <c r="AR851" s="346"/>
      <c r="AS851" s="346"/>
      <c r="AT851" s="346"/>
      <c r="AU851" s="346"/>
      <c r="AV851" s="346"/>
      <c r="AW851" s="346"/>
      <c r="AX851" s="346"/>
      <c r="AY851" s="346"/>
      <c r="AZ851" s="346"/>
      <c r="BA851" s="346"/>
      <c r="BB851" s="346"/>
      <c r="BC851" s="346"/>
      <c r="BD851" s="346"/>
      <c r="BE851" s="346"/>
      <c r="BF851" s="346"/>
      <c r="BG851" s="346"/>
      <c r="BH851" s="346"/>
      <c r="BI851" s="346"/>
      <c r="BJ851" s="346"/>
      <c r="BK851" s="346"/>
      <c r="BL851" s="346"/>
      <c r="BM851" s="346"/>
      <c r="BN851" s="346"/>
      <c r="BO851" s="346"/>
      <c r="BP851" s="346"/>
      <c r="BQ851" s="346"/>
      <c r="BR851" s="346"/>
      <c r="BS851" s="346"/>
      <c r="BT851" s="346"/>
      <c r="BU851" s="346"/>
      <c r="BV851" s="346"/>
      <c r="BW851" s="346"/>
      <c r="BX851" s="346"/>
      <c r="BY851" s="346"/>
      <c r="BZ851" s="346"/>
      <c r="CA851" s="346"/>
      <c r="CB851" s="346"/>
      <c r="CC851" s="346"/>
      <c r="CD851" s="352"/>
      <c r="CE851" s="346"/>
      <c r="CF851" s="346"/>
      <c r="CG851" s="346"/>
      <c r="CH851" s="346"/>
      <c r="CI851" s="346"/>
      <c r="CJ851" s="346"/>
      <c r="CK851" s="346"/>
      <c r="CL851" s="346"/>
      <c r="CM851" s="346"/>
      <c r="CN851" s="346"/>
      <c r="CO851" s="346"/>
      <c r="CP851" s="348"/>
      <c r="CQ851" s="346"/>
      <c r="CR851" s="346"/>
      <c r="CS851" s="346"/>
      <c r="CT851" s="346"/>
      <c r="CU851" s="346"/>
      <c r="CV851" s="346"/>
      <c r="CW851" s="346"/>
      <c r="CX851" s="346"/>
      <c r="CY851" s="346"/>
      <c r="CZ851" s="346"/>
      <c r="DA851" s="346"/>
      <c r="DB851" s="1479"/>
      <c r="DC851" s="346"/>
      <c r="DD851" s="346"/>
      <c r="DE851" s="346"/>
      <c r="DF851" s="346"/>
      <c r="DG851" s="346"/>
      <c r="DH851" s="346"/>
      <c r="DI851" s="346"/>
      <c r="DJ851" s="346"/>
      <c r="DK851" s="346"/>
      <c r="DL851" s="346"/>
      <c r="DM851" s="346"/>
      <c r="DN851" s="348"/>
      <c r="DO851" s="346"/>
      <c r="DP851" s="346"/>
      <c r="DQ851" s="346"/>
      <c r="DR851" s="346"/>
      <c r="DS851" s="346"/>
      <c r="DT851" s="346"/>
      <c r="DU851" s="346"/>
      <c r="DV851" s="346"/>
      <c r="DW851" s="346"/>
      <c r="DX851" s="346"/>
      <c r="DY851" s="346"/>
      <c r="DZ851" s="348"/>
      <c r="EA851" s="346"/>
      <c r="EB851" s="346"/>
      <c r="EC851" s="346"/>
      <c r="ED851" s="346"/>
      <c r="EE851" s="346"/>
      <c r="EF851" s="346"/>
      <c r="EG851" s="346"/>
      <c r="EH851" s="346"/>
      <c r="EI851" s="346"/>
      <c r="EJ851" s="346"/>
      <c r="EK851" s="346"/>
      <c r="EL851" s="348"/>
      <c r="EM851" s="346"/>
      <c r="EN851" s="346"/>
      <c r="EO851" s="346"/>
      <c r="EP851" s="346"/>
      <c r="EQ851" s="346"/>
      <c r="ER851" s="346"/>
      <c r="ES851" s="346"/>
      <c r="ET851" s="346"/>
      <c r="EU851" s="346"/>
      <c r="EV851" s="346"/>
      <c r="EW851" s="346"/>
      <c r="EX851" s="348"/>
      <c r="EY851" s="346"/>
      <c r="EZ851" s="346"/>
      <c r="FA851" s="346"/>
      <c r="FB851" s="346"/>
      <c r="FC851" s="346"/>
      <c r="FD851" s="346"/>
      <c r="FE851" s="346"/>
      <c r="FF851" s="346"/>
      <c r="FG851" s="346"/>
      <c r="FH851" s="346"/>
      <c r="FI851" s="346"/>
      <c r="FJ851" s="348"/>
      <c r="FK851" s="346"/>
      <c r="FL851" s="346"/>
      <c r="FM851" s="346"/>
      <c r="FN851" s="346"/>
      <c r="FO851" s="346"/>
      <c r="FP851" s="346"/>
      <c r="FQ851" s="346"/>
      <c r="FR851" s="346"/>
      <c r="FS851" s="346"/>
      <c r="FT851" s="346"/>
      <c r="FU851" s="346"/>
      <c r="FV851" s="346"/>
      <c r="FW851" s="346"/>
      <c r="FX851" s="346"/>
      <c r="FY851" s="346"/>
      <c r="FZ851" s="346"/>
      <c r="GA851" s="346"/>
      <c r="GB851" s="346"/>
      <c r="GI851" s="1897"/>
      <c r="HN851" s="349"/>
      <c r="HO851" s="1686" t="s">
        <v>3247</v>
      </c>
      <c r="HP851" s="1661">
        <f>HP842-(-HP761-HP880)</f>
        <v>-3.9664374692457542</v>
      </c>
      <c r="HQ851" s="1661">
        <f>HQ842-(-HQ761-HQ880)</f>
        <v>-229.70450340340332</v>
      </c>
      <c r="HR851" s="346"/>
      <c r="HS851" s="1661">
        <f>HS842-(-HS761-HS880)</f>
        <v>-94.929270119342448</v>
      </c>
      <c r="HT851" s="1661">
        <f>HT842-(-HT761-HT880)</f>
        <v>-173.36329371988563</v>
      </c>
      <c r="HU851" s="346"/>
      <c r="HV851" s="1661">
        <f>HV842-(-HV761-HV880)</f>
        <v>-141.09740245957931</v>
      </c>
      <c r="HW851" s="1661">
        <f>HW842-(-HW761-HW880)</f>
        <v>-131.96793656964815</v>
      </c>
      <c r="HX851" s="346"/>
      <c r="HY851" s="1661">
        <f>HY842-(-HY761-HY880)</f>
        <v>-206.12076385028814</v>
      </c>
      <c r="HZ851" s="1661">
        <f>HZ842-(-HZ761-HZ880)</f>
        <v>-134.87856298419914</v>
      </c>
      <c r="IA851" s="346"/>
      <c r="IB851" s="1661">
        <f>IB842-(-IB761-IB880)</f>
        <v>-168.37790806416518</v>
      </c>
      <c r="IC851" s="1661">
        <f>IC842-(-IC761-IC880)</f>
        <v>-185.91074607483864</v>
      </c>
      <c r="ID851" s="346"/>
      <c r="IE851" s="1661">
        <f>IE842-(-IE761-IE880)</f>
        <v>-106.17722628301766</v>
      </c>
      <c r="IF851" s="1661">
        <f>IF842-(-IF761-IF880)</f>
        <v>-440.30571851962924</v>
      </c>
      <c r="IG851" s="346"/>
      <c r="IH851" s="1661">
        <f>IH842-(-IH761-IH880)</f>
        <v>-379.62837648187633</v>
      </c>
      <c r="II851" s="1661">
        <f>II842-(-II761-II880)</f>
        <v>-465.28699830525687</v>
      </c>
      <c r="IJ851" s="346"/>
      <c r="IK851" s="1661">
        <f>IK842-(-IK761-IK880)</f>
        <v>-525.37390145595725</v>
      </c>
      <c r="IL851" s="1661">
        <f>IL842-(-IL761-IL880)</f>
        <v>-364.41545007756912</v>
      </c>
      <c r="IM851" s="346">
        <f t="shared" si="1183"/>
        <v>-889.78935153352631</v>
      </c>
      <c r="IN851" s="350">
        <f t="shared" si="1389"/>
        <v>0</v>
      </c>
      <c r="IO851" s="350">
        <f t="shared" si="1390"/>
        <v>0</v>
      </c>
      <c r="IP851" s="346">
        <f t="shared" si="1294"/>
        <v>0</v>
      </c>
      <c r="IQ851" s="350">
        <f t="shared" si="1391"/>
        <v>0</v>
      </c>
      <c r="IR851" s="350">
        <f t="shared" si="1392"/>
        <v>0</v>
      </c>
      <c r="IS851" s="346">
        <f t="shared" si="1371"/>
        <v>0</v>
      </c>
      <c r="IT851" s="350">
        <f>IT842-(-IT761-IT881)</f>
        <v>-408.844641527134</v>
      </c>
      <c r="IU851" s="350">
        <f>IU842-(-IU761-IU881)</f>
        <v>-773.06632291869823</v>
      </c>
      <c r="IV851" s="346">
        <f t="shared" si="1235"/>
        <v>-1181.9109644458322</v>
      </c>
      <c r="IW851" s="350">
        <f>IW842-(-IW761-IW881)</f>
        <v>-539.53001674187749</v>
      </c>
      <c r="IX851" s="1661">
        <f t="shared" si="1252"/>
        <v>-474.65481452729728</v>
      </c>
      <c r="IY851" s="346">
        <f>FISC!AJ1168</f>
        <v>-1014.1848312691748</v>
      </c>
      <c r="IZ851" s="1661">
        <f>IZ842-(-IZ761-IZ881)</f>
        <v>-1565.3096573542146</v>
      </c>
      <c r="JA851" s="1661">
        <f>JA842-(-JA761-JA881)</f>
        <v>-81.104657999925678</v>
      </c>
      <c r="JB851" s="346">
        <f>FISC!AK1168</f>
        <v>-845.14200686165668</v>
      </c>
      <c r="JC851" s="1661">
        <f>JC842-(-JC761-JC881)</f>
        <v>-1146.7502316888595</v>
      </c>
      <c r="JD851" s="1661">
        <f>JD842-(-JD761-JD881)</f>
        <v>-246.26350731502126</v>
      </c>
      <c r="JE851" s="346">
        <f>FISC!AL1168</f>
        <v>-734.59895999120488</v>
      </c>
      <c r="JF851" s="1661">
        <f>JF842-(-JF761-JF881)</f>
        <v>-911.49844320168904</v>
      </c>
      <c r="JG851" s="1661">
        <f>JG842-(-JG761-JG881)</f>
        <v>-114.84264176311056</v>
      </c>
      <c r="JH851" s="346">
        <f>FISC!AM1166</f>
        <v>-933.91372836967264</v>
      </c>
      <c r="JI851" s="1661">
        <f>JI842-(-JI761-JI881)</f>
        <v>-867.54895401427245</v>
      </c>
      <c r="JJ851" s="1661">
        <f>JJ842-(-JJ761-JJ881)</f>
        <v>-181.95891325815887</v>
      </c>
      <c r="JK851" s="346">
        <f>FISC!AN1168</f>
        <v>-855.08198369166701</v>
      </c>
      <c r="JL851" s="1661">
        <f>JL842-(-JL761-JL881)</f>
        <v>-843.40891940838378</v>
      </c>
      <c r="JM851" s="1661">
        <f>JM842-(-JM761-JM881)</f>
        <v>-331.48285183287629</v>
      </c>
      <c r="JN851" s="346">
        <f>FISC!AO1168</f>
        <v>-951.95788452552631</v>
      </c>
      <c r="KI851" s="349"/>
      <c r="KJ851" s="350"/>
    </row>
    <row r="852" spans="1:302" ht="15.5" hidden="1" outlineLevel="1" thickBot="1">
      <c r="A852" s="302"/>
      <c r="D852" s="1729" t="s">
        <v>3226</v>
      </c>
      <c r="E852" s="346"/>
      <c r="F852" s="346"/>
      <c r="G852" s="346"/>
      <c r="H852" s="346"/>
      <c r="I852" s="346"/>
      <c r="J852" s="346"/>
      <c r="K852" s="346"/>
      <c r="L852" s="346"/>
      <c r="M852" s="346"/>
      <c r="N852" s="346"/>
      <c r="O852" s="346"/>
      <c r="P852" s="346"/>
      <c r="Q852" s="346"/>
      <c r="R852" s="346"/>
      <c r="S852" s="346"/>
      <c r="T852" s="346"/>
      <c r="U852" s="346"/>
      <c r="V852" s="346"/>
      <c r="W852" s="346"/>
      <c r="X852" s="346"/>
      <c r="Y852" s="346"/>
      <c r="Z852" s="346"/>
      <c r="AA852" s="346"/>
      <c r="AB852" s="346"/>
      <c r="AC852" s="346"/>
      <c r="AD852" s="346"/>
      <c r="AE852" s="346"/>
      <c r="AF852" s="346"/>
      <c r="AG852" s="346"/>
      <c r="AH852" s="346"/>
      <c r="AI852" s="346"/>
      <c r="AJ852" s="346"/>
      <c r="AK852" s="346"/>
      <c r="AL852" s="346"/>
      <c r="AM852" s="346"/>
      <c r="AN852" s="346"/>
      <c r="AO852" s="346"/>
      <c r="AP852" s="346"/>
      <c r="AQ852" s="346"/>
      <c r="AR852" s="346"/>
      <c r="AS852" s="346"/>
      <c r="AT852" s="346"/>
      <c r="AU852" s="346"/>
      <c r="AV852" s="346"/>
      <c r="AW852" s="346"/>
      <c r="AX852" s="346"/>
      <c r="AY852" s="346"/>
      <c r="AZ852" s="346"/>
      <c r="BA852" s="346"/>
      <c r="BB852" s="346"/>
      <c r="BC852" s="346"/>
      <c r="BD852" s="346"/>
      <c r="BE852" s="346"/>
      <c r="BF852" s="346"/>
      <c r="BG852" s="346"/>
      <c r="BH852" s="346"/>
      <c r="BI852" s="346"/>
      <c r="BJ852" s="346"/>
      <c r="BK852" s="346"/>
      <c r="BL852" s="346"/>
      <c r="BM852" s="346"/>
      <c r="BN852" s="346"/>
      <c r="BO852" s="346"/>
      <c r="BP852" s="346"/>
      <c r="BQ852" s="346"/>
      <c r="BR852" s="346"/>
      <c r="BS852" s="346"/>
      <c r="BT852" s="346"/>
      <c r="BU852" s="346"/>
      <c r="BV852" s="346"/>
      <c r="BW852" s="346"/>
      <c r="BX852" s="346"/>
      <c r="BY852" s="346"/>
      <c r="BZ852" s="346"/>
      <c r="CA852" s="346"/>
      <c r="CB852" s="346"/>
      <c r="CC852" s="346"/>
      <c r="CD852" s="352"/>
      <c r="CE852" s="346"/>
      <c r="CF852" s="346"/>
      <c r="CG852" s="346"/>
      <c r="CH852" s="346"/>
      <c r="CI852" s="346"/>
      <c r="CJ852" s="346"/>
      <c r="CK852" s="346"/>
      <c r="CL852" s="346"/>
      <c r="CM852" s="346"/>
      <c r="CN852" s="346"/>
      <c r="CO852" s="346"/>
      <c r="CP852" s="348"/>
      <c r="CQ852" s="346"/>
      <c r="CR852" s="346"/>
      <c r="CS852" s="346"/>
      <c r="CT852" s="346"/>
      <c r="CU852" s="346"/>
      <c r="CV852" s="346"/>
      <c r="CW852" s="346"/>
      <c r="CX852" s="346"/>
      <c r="CY852" s="346"/>
      <c r="CZ852" s="346"/>
      <c r="DA852" s="346"/>
      <c r="DB852" s="1479"/>
      <c r="DC852" s="346"/>
      <c r="DD852" s="346"/>
      <c r="DE852" s="346"/>
      <c r="DF852" s="346"/>
      <c r="DG852" s="346"/>
      <c r="DH852" s="346"/>
      <c r="DI852" s="346"/>
      <c r="DJ852" s="346"/>
      <c r="DK852" s="346"/>
      <c r="DL852" s="346"/>
      <c r="DM852" s="346"/>
      <c r="DN852" s="348"/>
      <c r="DO852" s="346"/>
      <c r="DP852" s="346"/>
      <c r="DQ852" s="346"/>
      <c r="DR852" s="346"/>
      <c r="DS852" s="346"/>
      <c r="DT852" s="346"/>
      <c r="DU852" s="346"/>
      <c r="DV852" s="346"/>
      <c r="DW852" s="346"/>
      <c r="DX852" s="346"/>
      <c r="DY852" s="346"/>
      <c r="DZ852" s="348"/>
      <c r="EA852" s="346"/>
      <c r="EB852" s="346"/>
      <c r="EC852" s="346"/>
      <c r="ED852" s="346"/>
      <c r="EE852" s="346"/>
      <c r="EF852" s="346"/>
      <c r="EG852" s="346"/>
      <c r="EH852" s="346"/>
      <c r="EI852" s="346"/>
      <c r="EJ852" s="346"/>
      <c r="EK852" s="346"/>
      <c r="EL852" s="348"/>
      <c r="EM852" s="346"/>
      <c r="EN852" s="346"/>
      <c r="EO852" s="346"/>
      <c r="EP852" s="346"/>
      <c r="EQ852" s="346"/>
      <c r="ER852" s="346"/>
      <c r="ES852" s="346"/>
      <c r="ET852" s="346"/>
      <c r="EU852" s="346"/>
      <c r="EV852" s="346"/>
      <c r="EW852" s="346"/>
      <c r="EX852" s="348"/>
      <c r="EY852" s="346"/>
      <c r="EZ852" s="346"/>
      <c r="FA852" s="346"/>
      <c r="FB852" s="346"/>
      <c r="FC852" s="346"/>
      <c r="FD852" s="346"/>
      <c r="FE852" s="346"/>
      <c r="FF852" s="346"/>
      <c r="FG852" s="346"/>
      <c r="FH852" s="346"/>
      <c r="FI852" s="346"/>
      <c r="FJ852" s="348"/>
      <c r="FK852" s="346"/>
      <c r="FL852" s="346"/>
      <c r="FM852" s="346"/>
      <c r="FN852" s="346"/>
      <c r="FO852" s="346"/>
      <c r="FP852" s="346"/>
      <c r="FQ852" s="346"/>
      <c r="FR852" s="346"/>
      <c r="FS852" s="346"/>
      <c r="FT852" s="346"/>
      <c r="FU852" s="346"/>
      <c r="FV852" s="346"/>
      <c r="FW852" s="346"/>
      <c r="FX852" s="346"/>
      <c r="FY852" s="346"/>
      <c r="FZ852" s="346"/>
      <c r="GA852" s="346"/>
      <c r="GB852" s="346"/>
      <c r="GI852" s="1897"/>
      <c r="HN852" s="349"/>
      <c r="HO852" s="1729" t="s">
        <v>3226</v>
      </c>
      <c r="HP852" s="1694">
        <f>HP842-HP744-(-HP764-HP877-HP879-HP756-HP760-HP793-HP805-HP812-HP819-HP824)</f>
        <v>-3.9664374692457542</v>
      </c>
      <c r="HQ852" s="1694">
        <f>HQ842-HQ744-(-HQ764-HQ877-HQ879-HQ756-HQ760-HQ793-HQ805-HQ812-HQ819-HQ824)</f>
        <v>-229.70450340340332</v>
      </c>
      <c r="HR852" s="346"/>
      <c r="HS852" s="1694">
        <f>HS842-HS744-(-HS764-HS877-HS879-HS756-HS760-HS793-HS805-HS812-HS819-HS824)</f>
        <v>-94.929270119342448</v>
      </c>
      <c r="HT852" s="1694">
        <f>HT842-HT744-(-HT764-HT877-HT879-HT756-HT760-HT793-HT805-HT812-HT819-HT824)</f>
        <v>-173.36329371988563</v>
      </c>
      <c r="HU852" s="346"/>
      <c r="HV852" s="1694">
        <f>HV842-HV744-(-HV764-HV877-HV879-HV756-HV760-HV793-HV805-HV812-HV819-HV824)</f>
        <v>-141.09740245957931</v>
      </c>
      <c r="HW852" s="1694">
        <f>HW842-HW744-(-HW764-HW877-HW879-HW756-HW760-HW793-HW805-HW812-HW819-HW824)</f>
        <v>-131.96793656964815</v>
      </c>
      <c r="HX852" s="346"/>
      <c r="HY852" s="1694">
        <f>HY842-HY744-(-HY764-HY877-HY879-HY756-HY760-HY793-HY805-HY812-HY819-HY824)</f>
        <v>-206.12076385028814</v>
      </c>
      <c r="HZ852" s="1694">
        <f>HZ842-HZ744-(-HZ764-HZ877-HZ879-HZ756-HZ760-HZ793-HZ805-HZ812-HZ819-HZ824)</f>
        <v>-134.87856298419914</v>
      </c>
      <c r="IA852" s="346"/>
      <c r="IB852" s="1694">
        <f>IB842-IB744-(-IB764-IB877-IB879-IB756-IB760-IB793-IB805-IB812-IB819-IB824)</f>
        <v>-168.37790806416518</v>
      </c>
      <c r="IC852" s="1694">
        <f>IC842-IC744-(-IC764-IC877-IC879-IC756-IC760-IC793-IC805-IC812-IC819-IC824)</f>
        <v>-185.91074607483864</v>
      </c>
      <c r="ID852" s="346"/>
      <c r="IE852" s="1694">
        <f>IE842-IE744-(-IE764-IE877-IE879-IE756-IE760-IE793-IE805-IE812-IE819-IE824)</f>
        <v>-106.17722628301766</v>
      </c>
      <c r="IF852" s="1694">
        <f>IF842-IF744-(-IF764-IF877-IF879-IF756-IF760-IF793-IF805-IF812-IF819-IF824)</f>
        <v>-440.30571851962924</v>
      </c>
      <c r="IG852" s="346"/>
      <c r="IH852" s="1694">
        <f>IH842-IH744-(-IH764-IH877-IH879-IH756-IH760-IH793-IH805-IH812-IH819-IH824)</f>
        <v>-370.74665163487634</v>
      </c>
      <c r="II852" s="1694">
        <f>II842-II744-(-II764-II877-II879-II756-II760-II793-II805-II812-II819-II824)</f>
        <v>-450.52115922025689</v>
      </c>
      <c r="IJ852" s="346"/>
      <c r="IK852" s="1694">
        <f>IK842-IK744-(-IK764-IK877-IK879-IK756-IK760-IK793-IK805-IK812-IK819-IK824)</f>
        <v>-495.7051131503348</v>
      </c>
      <c r="IL852" s="1694">
        <f>IL842-IL744-(-IL764-IL877-IL879-IL756-IL760-IL793-IL805-IL812-IL819-IL824)</f>
        <v>-351.9032032025691</v>
      </c>
      <c r="IM852" s="346">
        <f t="shared" si="1183"/>
        <v>-847.6083163529039</v>
      </c>
      <c r="IN852" s="350">
        <f t="shared" si="1389"/>
        <v>0</v>
      </c>
      <c r="IO852" s="350">
        <f t="shared" si="1390"/>
        <v>0</v>
      </c>
      <c r="IP852" s="346">
        <f t="shared" si="1294"/>
        <v>0</v>
      </c>
      <c r="IQ852" s="350">
        <f t="shared" si="1391"/>
        <v>0</v>
      </c>
      <c r="IR852" s="350">
        <f t="shared" si="1392"/>
        <v>0</v>
      </c>
      <c r="IS852" s="346">
        <f t="shared" si="1371"/>
        <v>0</v>
      </c>
      <c r="IT852" s="350">
        <f>IT842-IT744-(-IT764-IT877-IT879-IT756-IT760-IT793-IT805-IT812-IT819-IT824)</f>
        <v>-410.11434259513396</v>
      </c>
      <c r="IU852" s="350">
        <f>IU842-IU744-(-IU764-IU877-IU879-IU756-IU760-IU793-IU805-IU812-IU819-IU824)</f>
        <v>-781.78081791569821</v>
      </c>
      <c r="IV852" s="346">
        <f t="shared" si="1235"/>
        <v>-1191.8951605108323</v>
      </c>
      <c r="IW852" s="350">
        <f>IW842-IW744-(-IW764-IW877-IW879-IW756-IW760-IW793-IW805-IW812-IW819-IW824)</f>
        <v>-560.27324303753448</v>
      </c>
      <c r="IX852" s="1694">
        <f t="shared" si="1252"/>
        <v>472.32624242513998</v>
      </c>
      <c r="IY852" s="346">
        <f>FISC!AJ1169</f>
        <v>-87.947000612394504</v>
      </c>
      <c r="IZ852" s="1694">
        <f>IZ842-IZ744-(-IZ764-IZ877-IZ879-IZ756-IZ760-IZ793-IZ805-IZ812-IZ819-IZ824)</f>
        <v>-1560.7212391382095</v>
      </c>
      <c r="JA852" s="1694">
        <f>JA842-JA744-(-JA764-JA877-JA879-JA756-JA760-JA793-JA805-JA812-JA819-JA824)</f>
        <v>-76.516239783920824</v>
      </c>
      <c r="JB852" s="346">
        <f>FISC!AK1169</f>
        <v>-463.01717218708245</v>
      </c>
      <c r="JC852" s="1694">
        <f>JC842-JC744-(-JC764-JC877-JC879-JC756-JC760-JC793-JC805-JC812-JC819-JC824)</f>
        <v>-1130.4983101662328</v>
      </c>
      <c r="JD852" s="1694">
        <f>JD842-JD744-(-JD764-JD877-JD879-JD756-JD760-JD793-JD805-JD812-JD819-JD824)</f>
        <v>-230.01158579239444</v>
      </c>
      <c r="JE852" s="346">
        <f>FISC!AL1169</f>
        <v>-1.8761759079047806</v>
      </c>
      <c r="JF852" s="1694">
        <f>JF842-JF744-(-JF764-JF877-JF879-JF756-JF760-JF793-JF805-JF812-JF819-JF824)</f>
        <v>-896.47830271168914</v>
      </c>
      <c r="JG852" s="1694">
        <f>JG842-JG744-(-JG764-JG877-JG879-JG756-JG760-JG793-JG805-JG812-JG819-JG824)</f>
        <v>-99.822501273110561</v>
      </c>
      <c r="JH852" s="346">
        <f>FISC!AM1167</f>
        <v>-918.14264605135236</v>
      </c>
      <c r="JI852" s="1694">
        <f>JI842-JI744-(-JI764-JI877-JI879-JI756-JI760-JI793-JI805-JI812-JI819-JI824)</f>
        <v>-853.12961914387245</v>
      </c>
      <c r="JJ852" s="1694">
        <f>JJ842-JJ744-(-JJ764-JJ877-JJ879-JJ756-JJ760-JJ793-JJ805-JJ812-JJ819-JJ824)</f>
        <v>-166.33796714855887</v>
      </c>
      <c r="JK852" s="346">
        <f>FISC!AN1169</f>
        <v>589.90566663949767</v>
      </c>
      <c r="JL852" s="1694">
        <f>JL842-JL744-(-JL764-JL877-JL879-JL756-JL760-JL793-JL805-JL812-JL819-JL824)</f>
        <v>-829.54100212710387</v>
      </c>
      <c r="JM852" s="1694">
        <f>JM842-JM744-(-JM764-JM877-JM879-JM756-JM760-JM793-JM805-JM812-JM819-JM824)</f>
        <v>-316.45927477815633</v>
      </c>
      <c r="JN852" s="346">
        <f>FISC!AO1169</f>
        <v>1111.9291101115639</v>
      </c>
      <c r="KI852" s="349"/>
      <c r="KJ852" s="350"/>
    </row>
    <row r="853" spans="1:302" ht="15.5" hidden="1" outlineLevel="1" thickBot="1">
      <c r="A853" s="302"/>
      <c r="D853" s="1738" t="s">
        <v>3254</v>
      </c>
      <c r="E853" s="346"/>
      <c r="F853" s="346"/>
      <c r="G853" s="346"/>
      <c r="H853" s="346"/>
      <c r="I853" s="346"/>
      <c r="J853" s="346"/>
      <c r="K853" s="346"/>
      <c r="L853" s="346"/>
      <c r="M853" s="346"/>
      <c r="N853" s="346"/>
      <c r="O853" s="346"/>
      <c r="P853" s="346"/>
      <c r="Q853" s="346"/>
      <c r="R853" s="346"/>
      <c r="S853" s="346"/>
      <c r="T853" s="346"/>
      <c r="U853" s="346"/>
      <c r="V853" s="346"/>
      <c r="W853" s="346"/>
      <c r="X853" s="346"/>
      <c r="Y853" s="346"/>
      <c r="Z853" s="346"/>
      <c r="AA853" s="346"/>
      <c r="AB853" s="346"/>
      <c r="AC853" s="346"/>
      <c r="AD853" s="346"/>
      <c r="AE853" s="346"/>
      <c r="AF853" s="346"/>
      <c r="AG853" s="346"/>
      <c r="AH853" s="346"/>
      <c r="AI853" s="346"/>
      <c r="AJ853" s="346"/>
      <c r="AK853" s="346"/>
      <c r="AL853" s="346"/>
      <c r="AM853" s="346"/>
      <c r="AN853" s="346"/>
      <c r="AO853" s="346"/>
      <c r="AP853" s="346"/>
      <c r="AQ853" s="346"/>
      <c r="AR853" s="346"/>
      <c r="AS853" s="346"/>
      <c r="AT853" s="346"/>
      <c r="AU853" s="346"/>
      <c r="AV853" s="346"/>
      <c r="AW853" s="346"/>
      <c r="AX853" s="346"/>
      <c r="AY853" s="346"/>
      <c r="AZ853" s="346"/>
      <c r="BA853" s="346"/>
      <c r="BB853" s="346"/>
      <c r="BC853" s="346"/>
      <c r="BD853" s="346"/>
      <c r="BE853" s="346"/>
      <c r="BF853" s="346"/>
      <c r="BG853" s="346"/>
      <c r="BH853" s="346"/>
      <c r="BI853" s="346"/>
      <c r="BJ853" s="346"/>
      <c r="BK853" s="346"/>
      <c r="BL853" s="346"/>
      <c r="BM853" s="346"/>
      <c r="BN853" s="346"/>
      <c r="BO853" s="346"/>
      <c r="BP853" s="346"/>
      <c r="BQ853" s="346"/>
      <c r="BR853" s="346"/>
      <c r="BS853" s="346"/>
      <c r="BT853" s="346"/>
      <c r="BU853" s="346"/>
      <c r="BV853" s="346"/>
      <c r="BW853" s="346"/>
      <c r="BX853" s="346"/>
      <c r="BY853" s="346"/>
      <c r="BZ853" s="346"/>
      <c r="CA853" s="346"/>
      <c r="CB853" s="346"/>
      <c r="CC853" s="346"/>
      <c r="CD853" s="352"/>
      <c r="CE853" s="346"/>
      <c r="CF853" s="346"/>
      <c r="CG853" s="346"/>
      <c r="CH853" s="346"/>
      <c r="CI853" s="346"/>
      <c r="CJ853" s="346"/>
      <c r="CK853" s="346"/>
      <c r="CL853" s="346"/>
      <c r="CM853" s="346"/>
      <c r="CN853" s="346"/>
      <c r="CO853" s="346"/>
      <c r="CP853" s="348"/>
      <c r="CQ853" s="346"/>
      <c r="CR853" s="346"/>
      <c r="CS853" s="346"/>
      <c r="CT853" s="346"/>
      <c r="CU853" s="346"/>
      <c r="CV853" s="346"/>
      <c r="CW853" s="346"/>
      <c r="CX853" s="346"/>
      <c r="CY853" s="346"/>
      <c r="CZ853" s="346"/>
      <c r="DA853" s="346"/>
      <c r="DB853" s="1479"/>
      <c r="DC853" s="346"/>
      <c r="DD853" s="346"/>
      <c r="DE853" s="346"/>
      <c r="DF853" s="346"/>
      <c r="DG853" s="346"/>
      <c r="DH853" s="346"/>
      <c r="DI853" s="346"/>
      <c r="DJ853" s="346"/>
      <c r="DK853" s="346"/>
      <c r="DL853" s="346"/>
      <c r="DM853" s="346"/>
      <c r="DN853" s="348"/>
      <c r="DO853" s="346"/>
      <c r="DP853" s="346"/>
      <c r="DQ853" s="346"/>
      <c r="DR853" s="346"/>
      <c r="DS853" s="346"/>
      <c r="DT853" s="346"/>
      <c r="DU853" s="346"/>
      <c r="DV853" s="346"/>
      <c r="DW853" s="346"/>
      <c r="DX853" s="346"/>
      <c r="DY853" s="346"/>
      <c r="DZ853" s="348"/>
      <c r="EA853" s="346"/>
      <c r="EB853" s="346"/>
      <c r="EC853" s="346"/>
      <c r="ED853" s="346"/>
      <c r="EE853" s="346"/>
      <c r="EF853" s="346"/>
      <c r="EG853" s="346"/>
      <c r="EH853" s="346"/>
      <c r="EI853" s="346"/>
      <c r="EJ853" s="346"/>
      <c r="EK853" s="346"/>
      <c r="EL853" s="348"/>
      <c r="EM853" s="346"/>
      <c r="EN853" s="346"/>
      <c r="EO853" s="346"/>
      <c r="EP853" s="346"/>
      <c r="EQ853" s="346"/>
      <c r="ER853" s="346"/>
      <c r="ES853" s="346"/>
      <c r="ET853" s="346"/>
      <c r="EU853" s="346"/>
      <c r="EV853" s="346"/>
      <c r="EW853" s="346"/>
      <c r="EX853" s="348"/>
      <c r="EY853" s="346"/>
      <c r="EZ853" s="346"/>
      <c r="FA853" s="346"/>
      <c r="FB853" s="346"/>
      <c r="FC853" s="346"/>
      <c r="FD853" s="346"/>
      <c r="FE853" s="346"/>
      <c r="FF853" s="346"/>
      <c r="FG853" s="346"/>
      <c r="FH853" s="346"/>
      <c r="FI853" s="346"/>
      <c r="FJ853" s="348"/>
      <c r="FK853" s="346"/>
      <c r="FL853" s="346"/>
      <c r="FM853" s="346"/>
      <c r="FN853" s="346"/>
      <c r="FO853" s="346"/>
      <c r="FP853" s="346"/>
      <c r="FQ853" s="346"/>
      <c r="FR853" s="346"/>
      <c r="FS853" s="346"/>
      <c r="FT853" s="346"/>
      <c r="FU853" s="346"/>
      <c r="FV853" s="346"/>
      <c r="FW853" s="346"/>
      <c r="FX853" s="346"/>
      <c r="FY853" s="346"/>
      <c r="FZ853" s="346"/>
      <c r="GA853" s="346"/>
      <c r="GB853" s="346"/>
      <c r="GI853" s="1897"/>
      <c r="HN853" s="349"/>
      <c r="HO853" s="1738" t="s">
        <v>3254</v>
      </c>
      <c r="HP853" s="307"/>
      <c r="HR853" s="346"/>
      <c r="HU853" s="346"/>
      <c r="HV853" s="307"/>
      <c r="HX853" s="346"/>
      <c r="HY853" s="350"/>
      <c r="IA853" s="346"/>
      <c r="IB853" s="302">
        <f>+IB666-IB754-IB817-IB876-IB881</f>
        <v>-168.37790806416518</v>
      </c>
      <c r="IC853" s="302">
        <f>+IC666-IC754-IC817-IC876-IC881</f>
        <v>-185.91074607483864</v>
      </c>
      <c r="ID853" s="346"/>
      <c r="IE853" s="302">
        <f>+IE666-IE754-IE817-IE876-IE881</f>
        <v>-106.17722628301766</v>
      </c>
      <c r="IF853" s="302">
        <f>+IF666-IF754-IF817-IF876-IF881</f>
        <v>-440.30571851962924</v>
      </c>
      <c r="IG853" s="346"/>
      <c r="IH853" s="1740">
        <f>IH842-(-IH791-IH825-IH886)</f>
        <v>-379.62837648187633</v>
      </c>
      <c r="II853" s="1740">
        <f>II842-(-II791-II825-II886)</f>
        <v>-465.28699830525687</v>
      </c>
      <c r="IJ853" s="346"/>
      <c r="IK853" s="1740">
        <f>IK842-(-IK791-IK825-IK886)</f>
        <v>-525.37390145595725</v>
      </c>
      <c r="IL853" s="1740">
        <f>IL842-(-IL791-IL825-IL886)</f>
        <v>-364.41545007756912</v>
      </c>
      <c r="IM853" s="346">
        <f t="shared" si="1183"/>
        <v>-889.78935153352631</v>
      </c>
      <c r="IN853" s="350">
        <f t="shared" si="1389"/>
        <v>0</v>
      </c>
      <c r="IO853" s="350">
        <f t="shared" si="1390"/>
        <v>0</v>
      </c>
      <c r="IP853" s="346">
        <f t="shared" si="1294"/>
        <v>0</v>
      </c>
      <c r="IQ853" s="350">
        <f t="shared" si="1391"/>
        <v>0</v>
      </c>
      <c r="IR853" s="350">
        <f t="shared" si="1392"/>
        <v>0</v>
      </c>
      <c r="IS853" s="346">
        <f t="shared" si="1371"/>
        <v>0</v>
      </c>
      <c r="IT853" s="350">
        <f>IT842-(-IT791-IT825-IT886)</f>
        <v>-427.60583946013401</v>
      </c>
      <c r="IU853" s="350">
        <f>IU842-(-IU791-IU825-IU886)</f>
        <v>-798.76632291869828</v>
      </c>
      <c r="IV853" s="346">
        <f t="shared" si="1235"/>
        <v>-1226.3721623788324</v>
      </c>
      <c r="IW853" s="350">
        <f>IW842-(-IW791-IW825-IW886)</f>
        <v>-568.83625300553445</v>
      </c>
      <c r="IX853" s="1740">
        <f t="shared" si="1252"/>
        <v>-524.99668305201203</v>
      </c>
      <c r="IY853" s="346">
        <f>FISC!AJ1170</f>
        <v>-1093.8329360575465</v>
      </c>
      <c r="IZ853" s="1740">
        <f>IZ842-(-IZ791-IZ825-IZ886)</f>
        <v>-1450.8800845874598</v>
      </c>
      <c r="JA853" s="1740">
        <f>JA842-(-JA791-JA825-JA886)</f>
        <v>-93.501078377920834</v>
      </c>
      <c r="JB853" s="346">
        <f>FISC!AK1170</f>
        <v>-1549.3811629653808</v>
      </c>
      <c r="JC853" s="1740">
        <f>JC842-(-JC791-JC825-JC886)</f>
        <v>-1141.7502316888595</v>
      </c>
      <c r="JD853" s="1740">
        <f>JD842-(-JD791-JD825-JD886)</f>
        <v>-246.26350731502126</v>
      </c>
      <c r="JE853" s="346">
        <f>FISC!AL1170</f>
        <v>-1393.0137390038808</v>
      </c>
      <c r="JF853" s="1740">
        <f>JF842-(-JF791-JF825-JF886)</f>
        <v>-911.49844320168904</v>
      </c>
      <c r="JG853" s="1740">
        <f>JG842-(-JG791-JG825-JG886)</f>
        <v>-114.84264176311056</v>
      </c>
      <c r="JH853" s="346">
        <f>FISC!AM1168</f>
        <v>-825.71528945622538</v>
      </c>
      <c r="JI853" s="1740">
        <f>JI842-(-JI791-JI825-JI886)</f>
        <v>-867.54895401427245</v>
      </c>
      <c r="JJ853" s="1740">
        <f>JJ842-(-JJ791-JJ825-JJ886)</f>
        <v>-181.95891325815887</v>
      </c>
      <c r="JK853" s="346">
        <f>FISC!AN1170</f>
        <v>-1049.5078672724312</v>
      </c>
      <c r="JL853" s="1740">
        <f>JL842-(-JL791-JL825-JL886)</f>
        <v>-843.40891940838378</v>
      </c>
      <c r="JM853" s="1740">
        <f>JM842-(-JM791-JM825-JM886)</f>
        <v>-331.48285183287629</v>
      </c>
      <c r="JN853" s="346">
        <f>FISC!AO1170</f>
        <v>-1174.8917712412597</v>
      </c>
      <c r="KI853" s="349"/>
      <c r="KJ853" s="350"/>
    </row>
    <row r="854" spans="1:302" hidden="1" outlineLevel="1">
      <c r="A854" s="302"/>
      <c r="D854" s="1730"/>
      <c r="E854" s="346"/>
      <c r="F854" s="346"/>
      <c r="G854" s="346"/>
      <c r="H854" s="346"/>
      <c r="I854" s="346"/>
      <c r="J854" s="346"/>
      <c r="K854" s="346"/>
      <c r="L854" s="346"/>
      <c r="M854" s="346"/>
      <c r="N854" s="346"/>
      <c r="O854" s="346"/>
      <c r="P854" s="346"/>
      <c r="Q854" s="346"/>
      <c r="R854" s="346"/>
      <c r="S854" s="346"/>
      <c r="T854" s="346"/>
      <c r="U854" s="346"/>
      <c r="V854" s="346"/>
      <c r="W854" s="346"/>
      <c r="X854" s="346"/>
      <c r="Y854" s="346"/>
      <c r="Z854" s="346"/>
      <c r="AA854" s="346"/>
      <c r="AB854" s="346"/>
      <c r="AC854" s="346"/>
      <c r="AD854" s="346"/>
      <c r="AE854" s="346"/>
      <c r="AF854" s="346"/>
      <c r="AG854" s="346"/>
      <c r="AH854" s="346"/>
      <c r="AI854" s="346"/>
      <c r="AJ854" s="346"/>
      <c r="AK854" s="346"/>
      <c r="AL854" s="346"/>
      <c r="AM854" s="346"/>
      <c r="AN854" s="346"/>
      <c r="AO854" s="346"/>
      <c r="AP854" s="346"/>
      <c r="AQ854" s="346"/>
      <c r="AR854" s="346"/>
      <c r="AS854" s="346"/>
      <c r="AT854" s="346"/>
      <c r="AU854" s="346"/>
      <c r="AV854" s="346"/>
      <c r="AW854" s="346"/>
      <c r="AX854" s="346"/>
      <c r="AY854" s="346"/>
      <c r="AZ854" s="346"/>
      <c r="BA854" s="346"/>
      <c r="BB854" s="346"/>
      <c r="BC854" s="346"/>
      <c r="BD854" s="346"/>
      <c r="BE854" s="346"/>
      <c r="BF854" s="346"/>
      <c r="BG854" s="346"/>
      <c r="BH854" s="346"/>
      <c r="BI854" s="346"/>
      <c r="BJ854" s="346"/>
      <c r="BK854" s="346"/>
      <c r="BL854" s="346"/>
      <c r="BM854" s="346"/>
      <c r="BN854" s="346"/>
      <c r="BO854" s="346"/>
      <c r="BP854" s="346"/>
      <c r="BQ854" s="346"/>
      <c r="BR854" s="346"/>
      <c r="BS854" s="346"/>
      <c r="BT854" s="346"/>
      <c r="BU854" s="346"/>
      <c r="BV854" s="346"/>
      <c r="BW854" s="346"/>
      <c r="BX854" s="346"/>
      <c r="BY854" s="346"/>
      <c r="BZ854" s="346"/>
      <c r="CA854" s="346"/>
      <c r="CB854" s="346"/>
      <c r="CC854" s="346"/>
      <c r="CD854" s="352"/>
      <c r="CE854" s="346"/>
      <c r="CF854" s="346"/>
      <c r="CG854" s="346"/>
      <c r="CH854" s="346"/>
      <c r="CI854" s="346"/>
      <c r="CJ854" s="346"/>
      <c r="CK854" s="346"/>
      <c r="CL854" s="346"/>
      <c r="CM854" s="346"/>
      <c r="CN854" s="346"/>
      <c r="CO854" s="346"/>
      <c r="CP854" s="348"/>
      <c r="CQ854" s="346"/>
      <c r="CR854" s="346"/>
      <c r="CS854" s="346"/>
      <c r="CT854" s="346"/>
      <c r="CU854" s="346"/>
      <c r="CV854" s="346"/>
      <c r="CW854" s="346"/>
      <c r="CX854" s="346"/>
      <c r="CY854" s="346"/>
      <c r="CZ854" s="346"/>
      <c r="DA854" s="346"/>
      <c r="DB854" s="1479"/>
      <c r="DC854" s="346"/>
      <c r="DD854" s="346"/>
      <c r="DE854" s="346"/>
      <c r="DF854" s="346"/>
      <c r="DG854" s="346"/>
      <c r="DH854" s="346"/>
      <c r="DI854" s="346"/>
      <c r="DJ854" s="346"/>
      <c r="DK854" s="346"/>
      <c r="DL854" s="346"/>
      <c r="DM854" s="346"/>
      <c r="DN854" s="348"/>
      <c r="DO854" s="346"/>
      <c r="DP854" s="346"/>
      <c r="DQ854" s="346"/>
      <c r="DR854" s="346"/>
      <c r="DS854" s="346"/>
      <c r="DT854" s="346"/>
      <c r="DU854" s="346"/>
      <c r="DV854" s="346"/>
      <c r="DW854" s="346"/>
      <c r="DX854" s="346"/>
      <c r="DY854" s="346"/>
      <c r="DZ854" s="348"/>
      <c r="EA854" s="346"/>
      <c r="EB854" s="346"/>
      <c r="EC854" s="346"/>
      <c r="ED854" s="346"/>
      <c r="EE854" s="346"/>
      <c r="EF854" s="346"/>
      <c r="EG854" s="346"/>
      <c r="EH854" s="346"/>
      <c r="EI854" s="346"/>
      <c r="EJ854" s="346"/>
      <c r="EK854" s="346"/>
      <c r="EL854" s="348"/>
      <c r="EM854" s="346"/>
      <c r="EN854" s="346"/>
      <c r="EO854" s="346"/>
      <c r="EP854" s="346"/>
      <c r="EQ854" s="346"/>
      <c r="ER854" s="346"/>
      <c r="ES854" s="346"/>
      <c r="ET854" s="346"/>
      <c r="EU854" s="346"/>
      <c r="EV854" s="346"/>
      <c r="EW854" s="346"/>
      <c r="EX854" s="348"/>
      <c r="EY854" s="346"/>
      <c r="EZ854" s="346"/>
      <c r="FA854" s="346"/>
      <c r="FB854" s="346"/>
      <c r="FC854" s="346"/>
      <c r="FD854" s="346"/>
      <c r="FE854" s="346"/>
      <c r="FF854" s="346"/>
      <c r="FG854" s="346"/>
      <c r="FH854" s="346"/>
      <c r="FI854" s="346"/>
      <c r="FJ854" s="348"/>
      <c r="FK854" s="346"/>
      <c r="FL854" s="346"/>
      <c r="FM854" s="346"/>
      <c r="FN854" s="346"/>
      <c r="FO854" s="346"/>
      <c r="FP854" s="346"/>
      <c r="FQ854" s="346"/>
      <c r="FR854" s="346"/>
      <c r="FS854" s="346"/>
      <c r="FT854" s="346"/>
      <c r="FU854" s="346"/>
      <c r="FV854" s="346"/>
      <c r="FW854" s="346"/>
      <c r="FX854" s="346"/>
      <c r="FY854" s="346"/>
      <c r="FZ854" s="346"/>
      <c r="GA854" s="346"/>
      <c r="GB854" s="346"/>
      <c r="GI854" s="1897"/>
      <c r="HN854" s="349"/>
      <c r="HO854" s="1730"/>
      <c r="HP854" s="307"/>
      <c r="HR854" s="346"/>
      <c r="HU854" s="346"/>
      <c r="HV854" s="307"/>
      <c r="HX854" s="346"/>
      <c r="HY854" s="350"/>
      <c r="IA854" s="346"/>
      <c r="ID854" s="346"/>
      <c r="IE854" s="350"/>
      <c r="IF854" s="350"/>
      <c r="IG854" s="346"/>
      <c r="IH854" s="350"/>
      <c r="II854" s="350"/>
      <c r="IJ854" s="346"/>
      <c r="IK854" s="350"/>
      <c r="IL854" s="350"/>
      <c r="IM854" s="346"/>
      <c r="IN854" s="350">
        <f t="shared" si="1389"/>
        <v>0</v>
      </c>
      <c r="IO854" s="350">
        <f t="shared" si="1390"/>
        <v>0</v>
      </c>
      <c r="IP854" s="346">
        <f t="shared" si="1294"/>
        <v>0</v>
      </c>
      <c r="IQ854" s="350">
        <f t="shared" si="1391"/>
        <v>0</v>
      </c>
      <c r="IR854" s="350">
        <f t="shared" si="1392"/>
        <v>0</v>
      </c>
      <c r="IS854" s="346">
        <f t="shared" si="1371"/>
        <v>0</v>
      </c>
      <c r="IT854" s="350"/>
      <c r="IU854" s="350"/>
      <c r="IV854" s="346"/>
      <c r="IW854" s="350">
        <f t="shared" si="1256"/>
        <v>0</v>
      </c>
      <c r="IX854" s="350">
        <f t="shared" si="1252"/>
        <v>0</v>
      </c>
      <c r="IY854" s="346"/>
      <c r="IZ854" s="350"/>
      <c r="JB854" s="346"/>
      <c r="JC854" s="350"/>
      <c r="JE854" s="346">
        <f>FISC!AL1171</f>
        <v>0</v>
      </c>
      <c r="JH854" s="346">
        <f>FISC!AM1169</f>
        <v>517.18296467978075</v>
      </c>
      <c r="JK854" s="346">
        <f>FISC!AP1169</f>
        <v>-1254.2293838667438</v>
      </c>
      <c r="JN854" s="346">
        <f>FISC!AO1171</f>
        <v>0</v>
      </c>
      <c r="KI854" s="349"/>
      <c r="KJ854" s="350"/>
    </row>
    <row r="855" spans="1:302" hidden="1" outlineLevel="1">
      <c r="A855" s="302"/>
      <c r="B855" s="117" t="s">
        <v>361</v>
      </c>
      <c r="D855" s="359" t="s">
        <v>101</v>
      </c>
      <c r="E855" s="346"/>
      <c r="F855" s="346"/>
      <c r="G855" s="346"/>
      <c r="H855" s="346"/>
      <c r="I855" s="346"/>
      <c r="J855" s="346"/>
      <c r="K855" s="346"/>
      <c r="L855" s="346"/>
      <c r="M855" s="346"/>
      <c r="N855" s="346"/>
      <c r="O855" s="346"/>
      <c r="P855" s="346"/>
      <c r="Q855" s="346"/>
      <c r="R855" s="346"/>
      <c r="S855" s="346"/>
      <c r="T855" s="346"/>
      <c r="U855" s="346"/>
      <c r="V855" s="346"/>
      <c r="W855" s="346"/>
      <c r="X855" s="346"/>
      <c r="Y855" s="346"/>
      <c r="Z855" s="346"/>
      <c r="AA855" s="346"/>
      <c r="AB855" s="346"/>
      <c r="AC855" s="346"/>
      <c r="AD855" s="346"/>
      <c r="AE855" s="346"/>
      <c r="AF855" s="346"/>
      <c r="AG855" s="346"/>
      <c r="AH855" s="346"/>
      <c r="AI855" s="346"/>
      <c r="AJ855" s="346"/>
      <c r="AK855" s="346"/>
      <c r="AL855" s="346"/>
      <c r="AM855" s="346"/>
      <c r="AN855" s="346"/>
      <c r="AO855" s="346"/>
      <c r="AP855" s="346"/>
      <c r="AQ855" s="346"/>
      <c r="AR855" s="346"/>
      <c r="AS855" s="346"/>
      <c r="AT855" s="346"/>
      <c r="AU855" s="346"/>
      <c r="AV855" s="346"/>
      <c r="AW855" s="346"/>
      <c r="AX855" s="346"/>
      <c r="AY855" s="346"/>
      <c r="AZ855" s="346"/>
      <c r="BA855" s="346"/>
      <c r="BB855" s="346"/>
      <c r="BC855" s="346"/>
      <c r="BD855" s="346"/>
      <c r="BE855" s="346"/>
      <c r="BF855" s="346"/>
      <c r="BG855" s="346"/>
      <c r="BH855" s="346"/>
      <c r="BI855" s="346"/>
      <c r="BJ855" s="346"/>
      <c r="BK855" s="346"/>
      <c r="BL855" s="346"/>
      <c r="BM855" s="346"/>
      <c r="BN855" s="346"/>
      <c r="BO855" s="346"/>
      <c r="BP855" s="346"/>
      <c r="BQ855" s="346"/>
      <c r="BR855" s="346"/>
      <c r="BS855" s="346"/>
      <c r="BT855" s="346"/>
      <c r="BU855" s="346"/>
      <c r="BV855" s="346"/>
      <c r="BW855" s="346"/>
      <c r="BX855" s="346"/>
      <c r="BY855" s="346"/>
      <c r="BZ855" s="346"/>
      <c r="CA855" s="346"/>
      <c r="CB855" s="346"/>
      <c r="CC855" s="346"/>
      <c r="CD855" s="352"/>
      <c r="CE855" s="346"/>
      <c r="CF855" s="346"/>
      <c r="CG855" s="346"/>
      <c r="CH855" s="346"/>
      <c r="CI855" s="346"/>
      <c r="CJ855" s="346"/>
      <c r="CK855" s="346"/>
      <c r="CL855" s="346"/>
      <c r="CM855" s="346"/>
      <c r="CN855" s="346"/>
      <c r="CO855" s="346"/>
      <c r="CP855" s="348"/>
      <c r="CQ855" s="346"/>
      <c r="CR855" s="346"/>
      <c r="CS855" s="346"/>
      <c r="CT855" s="346"/>
      <c r="CU855" s="346"/>
      <c r="CV855" s="346"/>
      <c r="CW855" s="346"/>
      <c r="CX855" s="346"/>
      <c r="CY855" s="346"/>
      <c r="CZ855" s="346"/>
      <c r="DA855" s="346"/>
      <c r="DB855" s="1479"/>
      <c r="DC855" s="346"/>
      <c r="DD855" s="346"/>
      <c r="DE855" s="346"/>
      <c r="DF855" s="346"/>
      <c r="DG855" s="346"/>
      <c r="DH855" s="346"/>
      <c r="DI855" s="346"/>
      <c r="DJ855" s="346"/>
      <c r="DK855" s="346"/>
      <c r="DL855" s="346"/>
      <c r="DM855" s="346"/>
      <c r="DN855" s="348"/>
      <c r="DO855" s="346"/>
      <c r="DP855" s="346"/>
      <c r="DQ855" s="346"/>
      <c r="DR855" s="346"/>
      <c r="DS855" s="346"/>
      <c r="DT855" s="346"/>
      <c r="DU855" s="346"/>
      <c r="DV855" s="346"/>
      <c r="DW855" s="346"/>
      <c r="DX855" s="346"/>
      <c r="DY855" s="346"/>
      <c r="DZ855" s="348"/>
      <c r="EA855" s="346"/>
      <c r="EB855" s="346"/>
      <c r="EC855" s="346"/>
      <c r="ED855" s="346"/>
      <c r="EE855" s="346"/>
      <c r="EF855" s="346"/>
      <c r="EG855" s="346"/>
      <c r="EH855" s="346"/>
      <c r="EI855" s="346"/>
      <c r="EJ855" s="346"/>
      <c r="EK855" s="346"/>
      <c r="EL855" s="348"/>
      <c r="EM855" s="346"/>
      <c r="EN855" s="346"/>
      <c r="EO855" s="346"/>
      <c r="EP855" s="346"/>
      <c r="EQ855" s="346"/>
      <c r="ER855" s="346"/>
      <c r="ES855" s="346"/>
      <c r="ET855" s="346"/>
      <c r="EU855" s="346"/>
      <c r="EV855" s="346"/>
      <c r="EW855" s="346"/>
      <c r="EX855" s="348"/>
      <c r="EY855" s="346"/>
      <c r="EZ855" s="346"/>
      <c r="FA855" s="346"/>
      <c r="FB855" s="346"/>
      <c r="FC855" s="346"/>
      <c r="FD855" s="346"/>
      <c r="FE855" s="346"/>
      <c r="FF855" s="346"/>
      <c r="FG855" s="346"/>
      <c r="FH855" s="346"/>
      <c r="FI855" s="346"/>
      <c r="FJ855" s="348"/>
      <c r="FK855" s="346"/>
      <c r="FL855" s="346"/>
      <c r="FM855" s="346"/>
      <c r="FN855" s="346"/>
      <c r="FO855" s="346"/>
      <c r="FP855" s="346"/>
      <c r="FQ855" s="346"/>
      <c r="FR855" s="346"/>
      <c r="FS855" s="346"/>
      <c r="FT855" s="346"/>
      <c r="FU855" s="346"/>
      <c r="FV855" s="346"/>
      <c r="FW855" s="346"/>
      <c r="FX855" s="346"/>
      <c r="FY855" s="346"/>
      <c r="FZ855" s="346"/>
      <c r="GA855" s="346"/>
      <c r="GB855" s="346"/>
      <c r="GI855" s="1897"/>
      <c r="HN855" s="349"/>
      <c r="HO855" s="359" t="s">
        <v>101</v>
      </c>
      <c r="HP855" s="307"/>
      <c r="HR855" s="346"/>
      <c r="HU855" s="346"/>
      <c r="HV855" s="307"/>
      <c r="HX855" s="346"/>
      <c r="HY855" s="350"/>
      <c r="IA855" s="346"/>
      <c r="ID855" s="346"/>
      <c r="IE855" s="350"/>
      <c r="IF855" s="350"/>
      <c r="IG855" s="346"/>
      <c r="IH855" s="350"/>
      <c r="II855" s="350"/>
      <c r="IJ855" s="346"/>
      <c r="IK855" s="350"/>
      <c r="IL855" s="350"/>
      <c r="IM855" s="346"/>
      <c r="IN855" s="350">
        <f t="shared" si="1389"/>
        <v>0</v>
      </c>
      <c r="IO855" s="350">
        <f t="shared" si="1390"/>
        <v>0</v>
      </c>
      <c r="IP855" s="346">
        <f t="shared" si="1294"/>
        <v>0</v>
      </c>
      <c r="IQ855" s="350">
        <f t="shared" si="1391"/>
        <v>0</v>
      </c>
      <c r="IR855" s="350">
        <f t="shared" si="1392"/>
        <v>0</v>
      </c>
      <c r="IS855" s="346">
        <f t="shared" si="1371"/>
        <v>0</v>
      </c>
      <c r="IT855" s="350"/>
      <c r="IU855" s="350"/>
      <c r="IV855" s="346"/>
      <c r="IW855" s="350">
        <f t="shared" si="1256"/>
        <v>0</v>
      </c>
      <c r="IX855" s="350">
        <f t="shared" si="1252"/>
        <v>0</v>
      </c>
      <c r="IY855" s="346"/>
      <c r="IZ855" s="350"/>
      <c r="JB855" s="346"/>
      <c r="JC855" s="350"/>
      <c r="JE855" s="346">
        <f>FISC!AL1172</f>
        <v>0</v>
      </c>
      <c r="JH855" s="346">
        <f>FISC!AM1170</f>
        <v>-1026.3410849647996</v>
      </c>
      <c r="JK855" s="346">
        <f>FISC!AP1170</f>
        <v>-1254.2293838667438</v>
      </c>
      <c r="JN855" s="346">
        <f>FISC!AO1172</f>
        <v>0</v>
      </c>
      <c r="KI855" s="349"/>
      <c r="KJ855" s="350"/>
    </row>
    <row r="856" spans="1:302" hidden="1" outlineLevel="1">
      <c r="A856" s="302"/>
      <c r="B856" s="117" t="s">
        <v>361</v>
      </c>
      <c r="D856" s="354" t="s">
        <v>596</v>
      </c>
      <c r="E856" s="346">
        <f t="shared" ref="E856:AJ856" si="1393">E857+E890</f>
        <v>0</v>
      </c>
      <c r="F856" s="346">
        <f t="shared" si="1393"/>
        <v>0</v>
      </c>
      <c r="G856" s="346">
        <f t="shared" si="1393"/>
        <v>0</v>
      </c>
      <c r="H856" s="346">
        <f t="shared" si="1393"/>
        <v>0</v>
      </c>
      <c r="I856" s="346">
        <f t="shared" si="1393"/>
        <v>0</v>
      </c>
      <c r="J856" s="346">
        <f t="shared" si="1393"/>
        <v>0</v>
      </c>
      <c r="K856" s="346">
        <f t="shared" si="1393"/>
        <v>0</v>
      </c>
      <c r="L856" s="346">
        <f t="shared" si="1393"/>
        <v>0</v>
      </c>
      <c r="M856" s="346">
        <f t="shared" si="1393"/>
        <v>0</v>
      </c>
      <c r="N856" s="346">
        <f t="shared" si="1393"/>
        <v>0</v>
      </c>
      <c r="O856" s="346">
        <f t="shared" si="1393"/>
        <v>0</v>
      </c>
      <c r="P856" s="346">
        <f t="shared" si="1393"/>
        <v>0</v>
      </c>
      <c r="Q856" s="346">
        <f t="shared" si="1393"/>
        <v>0</v>
      </c>
      <c r="R856" s="346">
        <f t="shared" si="1393"/>
        <v>0</v>
      </c>
      <c r="S856" s="346">
        <f t="shared" si="1393"/>
        <v>0</v>
      </c>
      <c r="T856" s="346">
        <f t="shared" si="1393"/>
        <v>0</v>
      </c>
      <c r="U856" s="346">
        <f t="shared" si="1393"/>
        <v>0</v>
      </c>
      <c r="V856" s="346">
        <f t="shared" si="1393"/>
        <v>0</v>
      </c>
      <c r="W856" s="346">
        <f t="shared" si="1393"/>
        <v>0</v>
      </c>
      <c r="X856" s="346">
        <f t="shared" si="1393"/>
        <v>0</v>
      </c>
      <c r="Y856" s="346">
        <f t="shared" si="1393"/>
        <v>0</v>
      </c>
      <c r="Z856" s="346">
        <f t="shared" si="1393"/>
        <v>0</v>
      </c>
      <c r="AA856" s="346">
        <f t="shared" si="1393"/>
        <v>0</v>
      </c>
      <c r="AB856" s="346">
        <f t="shared" si="1393"/>
        <v>0</v>
      </c>
      <c r="AC856" s="346">
        <f t="shared" si="1393"/>
        <v>0</v>
      </c>
      <c r="AD856" s="346">
        <f t="shared" si="1393"/>
        <v>0</v>
      </c>
      <c r="AE856" s="346">
        <f t="shared" si="1393"/>
        <v>0</v>
      </c>
      <c r="AF856" s="346">
        <f t="shared" si="1393"/>
        <v>0</v>
      </c>
      <c r="AG856" s="346">
        <f t="shared" si="1393"/>
        <v>0</v>
      </c>
      <c r="AH856" s="346">
        <f t="shared" si="1393"/>
        <v>0</v>
      </c>
      <c r="AI856" s="346">
        <f t="shared" si="1393"/>
        <v>0</v>
      </c>
      <c r="AJ856" s="346">
        <f t="shared" si="1393"/>
        <v>0</v>
      </c>
      <c r="AK856" s="346">
        <f t="shared" ref="AK856:BP856" si="1394">AK857+AK890</f>
        <v>0</v>
      </c>
      <c r="AL856" s="346">
        <f t="shared" si="1394"/>
        <v>0</v>
      </c>
      <c r="AM856" s="346">
        <f t="shared" si="1394"/>
        <v>0</v>
      </c>
      <c r="AN856" s="346">
        <f t="shared" si="1394"/>
        <v>0</v>
      </c>
      <c r="AO856" s="346">
        <f t="shared" si="1394"/>
        <v>0</v>
      </c>
      <c r="AP856" s="346">
        <f t="shared" si="1394"/>
        <v>0</v>
      </c>
      <c r="AQ856" s="346">
        <f t="shared" si="1394"/>
        <v>0</v>
      </c>
      <c r="AR856" s="346">
        <f t="shared" si="1394"/>
        <v>0</v>
      </c>
      <c r="AS856" s="346">
        <f t="shared" si="1394"/>
        <v>0</v>
      </c>
      <c r="AT856" s="346">
        <f t="shared" si="1394"/>
        <v>0</v>
      </c>
      <c r="AU856" s="346">
        <f t="shared" si="1394"/>
        <v>0</v>
      </c>
      <c r="AV856" s="346">
        <f t="shared" si="1394"/>
        <v>0</v>
      </c>
      <c r="AW856" s="346">
        <f t="shared" si="1394"/>
        <v>0</v>
      </c>
      <c r="AX856" s="346">
        <f t="shared" si="1394"/>
        <v>0</v>
      </c>
      <c r="AY856" s="346">
        <f t="shared" si="1394"/>
        <v>0</v>
      </c>
      <c r="AZ856" s="346">
        <f t="shared" si="1394"/>
        <v>0</v>
      </c>
      <c r="BA856" s="346">
        <f t="shared" si="1394"/>
        <v>0</v>
      </c>
      <c r="BB856" s="346">
        <f t="shared" si="1394"/>
        <v>0</v>
      </c>
      <c r="BC856" s="346">
        <f t="shared" si="1394"/>
        <v>0</v>
      </c>
      <c r="BD856" s="346">
        <f t="shared" si="1394"/>
        <v>0</v>
      </c>
      <c r="BE856" s="346">
        <f t="shared" si="1394"/>
        <v>0</v>
      </c>
      <c r="BF856" s="346">
        <f t="shared" si="1394"/>
        <v>0</v>
      </c>
      <c r="BG856" s="346">
        <f t="shared" si="1394"/>
        <v>0</v>
      </c>
      <c r="BH856" s="346">
        <f t="shared" si="1394"/>
        <v>0</v>
      </c>
      <c r="BI856" s="346">
        <f t="shared" si="1394"/>
        <v>0</v>
      </c>
      <c r="BJ856" s="346">
        <f t="shared" si="1394"/>
        <v>0</v>
      </c>
      <c r="BK856" s="346">
        <f t="shared" si="1394"/>
        <v>0</v>
      </c>
      <c r="BL856" s="346">
        <f t="shared" si="1394"/>
        <v>0</v>
      </c>
      <c r="BM856" s="346">
        <f t="shared" si="1394"/>
        <v>0</v>
      </c>
      <c r="BN856" s="346">
        <f t="shared" si="1394"/>
        <v>0</v>
      </c>
      <c r="BO856" s="346">
        <f t="shared" si="1394"/>
        <v>0</v>
      </c>
      <c r="BP856" s="346">
        <f t="shared" si="1394"/>
        <v>0</v>
      </c>
      <c r="BQ856" s="346">
        <f t="shared" ref="BQ856:CV856" si="1395">BQ857+BQ890</f>
        <v>0</v>
      </c>
      <c r="BR856" s="346">
        <f t="shared" si="1395"/>
        <v>0</v>
      </c>
      <c r="BS856" s="346">
        <f t="shared" si="1395"/>
        <v>0</v>
      </c>
      <c r="BT856" s="346">
        <f t="shared" si="1395"/>
        <v>0</v>
      </c>
      <c r="BU856" s="346">
        <f t="shared" si="1395"/>
        <v>0</v>
      </c>
      <c r="BV856" s="346">
        <f t="shared" si="1395"/>
        <v>0</v>
      </c>
      <c r="BW856" s="346">
        <f t="shared" si="1395"/>
        <v>0</v>
      </c>
      <c r="BX856" s="346">
        <f t="shared" si="1395"/>
        <v>0</v>
      </c>
      <c r="BY856" s="346">
        <f t="shared" si="1395"/>
        <v>0</v>
      </c>
      <c r="BZ856" s="346">
        <f t="shared" si="1395"/>
        <v>0</v>
      </c>
      <c r="CA856" s="346">
        <f t="shared" si="1395"/>
        <v>0</v>
      </c>
      <c r="CB856" s="346">
        <f t="shared" si="1395"/>
        <v>0</v>
      </c>
      <c r="CC856" s="346">
        <f t="shared" si="1395"/>
        <v>0</v>
      </c>
      <c r="CD856" s="352">
        <f t="shared" si="1395"/>
        <v>0</v>
      </c>
      <c r="CE856" s="346">
        <f t="shared" si="1395"/>
        <v>6.9172833290000426</v>
      </c>
      <c r="CF856" s="346">
        <f t="shared" si="1395"/>
        <v>0.83358785699993732</v>
      </c>
      <c r="CG856" s="346">
        <f t="shared" si="1395"/>
        <v>18.765479859000035</v>
      </c>
      <c r="CH856" s="346">
        <f t="shared" si="1395"/>
        <v>15.635324646000015</v>
      </c>
      <c r="CI856" s="346">
        <f t="shared" si="1395"/>
        <v>-8.3810874069999954</v>
      </c>
      <c r="CJ856" s="346">
        <f t="shared" si="1395"/>
        <v>18.858713064999961</v>
      </c>
      <c r="CK856" s="346">
        <f t="shared" si="1395"/>
        <v>-27.16729655594267</v>
      </c>
      <c r="CL856" s="346">
        <f t="shared" si="1395"/>
        <v>-28.512868685252101</v>
      </c>
      <c r="CM856" s="346">
        <f t="shared" si="1395"/>
        <v>-3.943191748377993</v>
      </c>
      <c r="CN856" s="346">
        <f t="shared" si="1395"/>
        <v>-15.598618122839355</v>
      </c>
      <c r="CO856" s="346">
        <f t="shared" si="1395"/>
        <v>8.2661012485531078</v>
      </c>
      <c r="CP856" s="348">
        <f t="shared" si="1395"/>
        <v>-50.985312666269827</v>
      </c>
      <c r="CQ856" s="346">
        <f t="shared" si="1395"/>
        <v>-36.71231483296112</v>
      </c>
      <c r="CR856" s="346">
        <f t="shared" si="1395"/>
        <v>6.0564876716809755</v>
      </c>
      <c r="CS856" s="346">
        <f t="shared" si="1395"/>
        <v>0.24889954428293093</v>
      </c>
      <c r="CT856" s="346">
        <f t="shared" si="1395"/>
        <v>-3.236720825950091</v>
      </c>
      <c r="CU856" s="346">
        <f t="shared" si="1395"/>
        <v>0.65324416649547723</v>
      </c>
      <c r="CV856" s="346">
        <f t="shared" si="1395"/>
        <v>86.75130560186048</v>
      </c>
      <c r="CW856" s="346">
        <f t="shared" ref="CW856:EB856" si="1396">CW857+CW890</f>
        <v>-9.2731324024067145</v>
      </c>
      <c r="CX856" s="346">
        <f t="shared" si="1396"/>
        <v>39.321639286877286</v>
      </c>
      <c r="CY856" s="346">
        <f t="shared" si="1396"/>
        <v>-15.458830137553322</v>
      </c>
      <c r="CZ856" s="346">
        <f t="shared" si="1396"/>
        <v>-20.78863218766784</v>
      </c>
      <c r="DA856" s="346">
        <f t="shared" si="1396"/>
        <v>-7.7543217702998817</v>
      </c>
      <c r="DB856" s="1479">
        <f t="shared" si="1396"/>
        <v>-21.513148332484011</v>
      </c>
      <c r="DC856" s="346">
        <f t="shared" si="1396"/>
        <v>15.883404467701894</v>
      </c>
      <c r="DD856" s="346">
        <f t="shared" si="1396"/>
        <v>26.277996405852996</v>
      </c>
      <c r="DE856" s="346">
        <f t="shared" si="1396"/>
        <v>38.546195793687737</v>
      </c>
      <c r="DF856" s="346">
        <f t="shared" si="1396"/>
        <v>-44.805756938958524</v>
      </c>
      <c r="DG856" s="346">
        <f t="shared" si="1396"/>
        <v>14.454375347402552</v>
      </c>
      <c r="DH856" s="346">
        <f t="shared" si="1396"/>
        <v>71.148963665332133</v>
      </c>
      <c r="DI856" s="346">
        <f t="shared" si="1396"/>
        <v>-32.020802547511629</v>
      </c>
      <c r="DJ856" s="346">
        <f t="shared" si="1396"/>
        <v>22.292049056584904</v>
      </c>
      <c r="DK856" s="346">
        <f t="shared" si="1396"/>
        <v>13.33445852484299</v>
      </c>
      <c r="DL856" s="346">
        <f t="shared" si="1396"/>
        <v>2.9614427844896496</v>
      </c>
      <c r="DM856" s="346">
        <f t="shared" si="1396"/>
        <v>-5.1853966666743077</v>
      </c>
      <c r="DN856" s="348">
        <f t="shared" si="1396"/>
        <v>-43.533358384783384</v>
      </c>
      <c r="DO856" s="346">
        <f t="shared" si="1396"/>
        <v>24.120642784941868</v>
      </c>
      <c r="DP856" s="346">
        <f t="shared" si="1396"/>
        <v>18.127784417416297</v>
      </c>
      <c r="DQ856" s="346">
        <f t="shared" si="1396"/>
        <v>17.170359247220375</v>
      </c>
      <c r="DR856" s="346">
        <f t="shared" si="1396"/>
        <v>-6.1952806868556278</v>
      </c>
      <c r="DS856" s="346">
        <f t="shared" si="1396"/>
        <v>3.4810884754780602</v>
      </c>
      <c r="DT856" s="346">
        <f t="shared" si="1396"/>
        <v>24.266188011040384</v>
      </c>
      <c r="DU856" s="346">
        <f t="shared" si="1396"/>
        <v>17.014690429328425</v>
      </c>
      <c r="DV856" s="346">
        <f t="shared" si="1396"/>
        <v>-47.983298171799049</v>
      </c>
      <c r="DW856" s="346">
        <f t="shared" si="1396"/>
        <v>36.43424047194793</v>
      </c>
      <c r="DX856" s="346">
        <f t="shared" si="1396"/>
        <v>-14.356243141589854</v>
      </c>
      <c r="DY856" s="346">
        <f t="shared" si="1396"/>
        <v>-33.710608219726048</v>
      </c>
      <c r="DZ856" s="348">
        <f t="shared" si="1396"/>
        <v>-7.8664596308689347</v>
      </c>
      <c r="EA856" s="346">
        <f t="shared" si="1396"/>
        <v>0.21931586527290392</v>
      </c>
      <c r="EB856" s="346">
        <f t="shared" si="1396"/>
        <v>16.572225853972824</v>
      </c>
      <c r="EC856" s="346">
        <f t="shared" ref="EC856:FH856" si="1397">EC857+EC890</f>
        <v>37.522925416834028</v>
      </c>
      <c r="ED856" s="346">
        <f t="shared" si="1397"/>
        <v>-4.2118037828783432</v>
      </c>
      <c r="EE856" s="346">
        <f t="shared" si="1397"/>
        <v>10.936461576093924</v>
      </c>
      <c r="EF856" s="346">
        <f t="shared" si="1397"/>
        <v>90.875028285416988</v>
      </c>
      <c r="EG856" s="346">
        <f t="shared" si="1397"/>
        <v>5.1779432167129436E-3</v>
      </c>
      <c r="EH856" s="346">
        <f t="shared" si="1397"/>
        <v>-15.302797650300407</v>
      </c>
      <c r="EI856" s="346">
        <f t="shared" si="1397"/>
        <v>8.548882778903014</v>
      </c>
      <c r="EJ856" s="346">
        <f t="shared" si="1397"/>
        <v>-11.145874326467542</v>
      </c>
      <c r="EK856" s="346">
        <f t="shared" si="1397"/>
        <v>-14.991042163788611</v>
      </c>
      <c r="EL856" s="348">
        <f t="shared" si="1397"/>
        <v>-4.2065886464884841</v>
      </c>
      <c r="EM856" s="346">
        <f t="shared" si="1397"/>
        <v>15.393488729066524</v>
      </c>
      <c r="EN856" s="346">
        <f t="shared" si="1397"/>
        <v>39.014138975798588</v>
      </c>
      <c r="EO856" s="346">
        <f t="shared" si="1397"/>
        <v>7.9711922221392904</v>
      </c>
      <c r="EP856" s="346">
        <f t="shared" si="1397"/>
        <v>-35.810316748697858</v>
      </c>
      <c r="EQ856" s="346">
        <f t="shared" si="1397"/>
        <v>-6.1247204068983763</v>
      </c>
      <c r="ER856" s="346">
        <f t="shared" si="1397"/>
        <v>137.00153291911872</v>
      </c>
      <c r="ES856" s="346">
        <f t="shared" si="1397"/>
        <v>-35.46871774235305</v>
      </c>
      <c r="ET856" s="346">
        <f t="shared" si="1397"/>
        <v>-20.123140095056328</v>
      </c>
      <c r="EU856" s="346">
        <f t="shared" si="1397"/>
        <v>-24.407681035509874</v>
      </c>
      <c r="EV856" s="346">
        <f t="shared" si="1397"/>
        <v>-12.07224302795575</v>
      </c>
      <c r="EW856" s="346">
        <f t="shared" si="1397"/>
        <v>-24.908431685148855</v>
      </c>
      <c r="EX856" s="348">
        <f t="shared" si="1397"/>
        <v>28.139495067358503</v>
      </c>
      <c r="EY856" s="346">
        <f t="shared" si="1397"/>
        <v>-5.8679094918460821</v>
      </c>
      <c r="EZ856" s="346">
        <f t="shared" si="1397"/>
        <v>20.596399391363931</v>
      </c>
      <c r="FA856" s="346">
        <f t="shared" si="1397"/>
        <v>22.794672488586684</v>
      </c>
      <c r="FB856" s="346">
        <f t="shared" si="1397"/>
        <v>107.34179312054232</v>
      </c>
      <c r="FC856" s="346">
        <f t="shared" si="1397"/>
        <v>-12.715611256085468</v>
      </c>
      <c r="FD856" s="346">
        <f t="shared" si="1397"/>
        <v>129.67879185472628</v>
      </c>
      <c r="FE856" s="346">
        <f t="shared" si="1397"/>
        <v>25.999761652806228</v>
      </c>
      <c r="FF856" s="346">
        <f t="shared" si="1397"/>
        <v>-44.018381109308137</v>
      </c>
      <c r="FG856" s="346">
        <f t="shared" si="1397"/>
        <v>6.0005842048067262</v>
      </c>
      <c r="FH856" s="346">
        <f t="shared" si="1397"/>
        <v>83.770729693757005</v>
      </c>
      <c r="FI856" s="346">
        <f t="shared" ref="FI856:FV856" si="1398">FI857+FI890</f>
        <v>-68.82196742500139</v>
      </c>
      <c r="FJ856" s="348">
        <f t="shared" si="1398"/>
        <v>156.43115877985326</v>
      </c>
      <c r="FK856" s="346">
        <f t="shared" si="1398"/>
        <v>119.22756809261762</v>
      </c>
      <c r="FL856" s="346">
        <f t="shared" si="1398"/>
        <v>5.9306405438161391</v>
      </c>
      <c r="FM856" s="346">
        <f t="shared" si="1398"/>
        <v>146.41001174165183</v>
      </c>
      <c r="FN856" s="346">
        <f t="shared" si="1398"/>
        <v>-4.954500731051132</v>
      </c>
      <c r="FO856" s="346">
        <f t="shared" si="1398"/>
        <v>-74.953970690193884</v>
      </c>
      <c r="FP856" s="346">
        <f t="shared" si="1398"/>
        <v>153.40550690645074</v>
      </c>
      <c r="FQ856" s="346">
        <f t="shared" si="1398"/>
        <v>-30.843539113094504</v>
      </c>
      <c r="FR856" s="346">
        <f t="shared" si="1398"/>
        <v>-85.072845498500726</v>
      </c>
      <c r="FS856" s="346">
        <f t="shared" si="1398"/>
        <v>40.718999412644692</v>
      </c>
      <c r="FT856" s="346">
        <f t="shared" si="1398"/>
        <v>39.224747785548615</v>
      </c>
      <c r="FU856" s="346">
        <f t="shared" si="1398"/>
        <v>-92.130388752293868</v>
      </c>
      <c r="FV856" s="346">
        <f t="shared" si="1398"/>
        <v>-60.031453756203597</v>
      </c>
      <c r="FW856" s="346">
        <v>80.849744616155718</v>
      </c>
      <c r="FX856" s="346">
        <v>150.77380136965814</v>
      </c>
      <c r="FY856" s="346">
        <v>-96.515595033519446</v>
      </c>
      <c r="FZ856" s="346">
        <v>-16.423616436418332</v>
      </c>
      <c r="GA856" s="346">
        <v>16.012185380023897</v>
      </c>
      <c r="GB856" s="346">
        <v>47.878443772225324</v>
      </c>
      <c r="GC856" s="346">
        <v>-107.48696695392698</v>
      </c>
      <c r="GD856" s="346">
        <v>-23.883908553679504</v>
      </c>
      <c r="GE856" s="346">
        <v>197.23083970071414</v>
      </c>
      <c r="GF856" s="346">
        <v>194.22094606485484</v>
      </c>
      <c r="GG856" s="346">
        <v>78.22748777429949</v>
      </c>
      <c r="GH856" s="346">
        <v>-1.3949119907684526</v>
      </c>
      <c r="GI856" s="1897">
        <f t="shared" ref="GI856:HL856" si="1399">GI857+GI890</f>
        <v>24.983264202359386</v>
      </c>
      <c r="GJ856" s="1897">
        <f t="shared" si="1399"/>
        <v>-150.03712934709645</v>
      </c>
      <c r="GK856" s="1897">
        <f t="shared" si="1399"/>
        <v>39.300457227806788</v>
      </c>
      <c r="GL856" s="1897">
        <f t="shared" si="1399"/>
        <v>-29.711152254646777</v>
      </c>
      <c r="GM856" s="1897">
        <f t="shared" si="1399"/>
        <v>-17.735487423972842</v>
      </c>
      <c r="GN856" s="1897">
        <f t="shared" si="1399"/>
        <v>95.966550113808069</v>
      </c>
      <c r="GO856" s="1897">
        <f t="shared" si="1399"/>
        <v>-142.87445492192867</v>
      </c>
      <c r="GP856" s="1897">
        <f t="shared" si="1399"/>
        <v>-63.499206614089871</v>
      </c>
      <c r="GQ856" s="1897">
        <f t="shared" si="1399"/>
        <v>228.25965383776924</v>
      </c>
      <c r="GR856" s="1897">
        <f t="shared" si="1399"/>
        <v>59.025641727363904</v>
      </c>
      <c r="GS856" s="1897">
        <f t="shared" si="1399"/>
        <v>-19.203985122261894</v>
      </c>
      <c r="GT856" s="1897">
        <f t="shared" si="1399"/>
        <v>-28.997288913487953</v>
      </c>
      <c r="GU856" s="1897">
        <f t="shared" si="1399"/>
        <v>-67.01259392007303</v>
      </c>
      <c r="GV856" s="1897">
        <f t="shared" si="1399"/>
        <v>-95.406090996379987</v>
      </c>
      <c r="GW856" s="1897">
        <f t="shared" si="1399"/>
        <v>16.211442570801324</v>
      </c>
      <c r="GX856" s="1897">
        <f t="shared" si="1399"/>
        <v>-67.63125658332909</v>
      </c>
      <c r="GY856" s="1897">
        <f t="shared" si="1399"/>
        <v>55.192074290810204</v>
      </c>
      <c r="GZ856" s="1897">
        <f t="shared" si="1399"/>
        <v>350.84273818722255</v>
      </c>
      <c r="HA856" s="1897">
        <f t="shared" si="1399"/>
        <v>-255.72101954931082</v>
      </c>
      <c r="HB856" s="1897">
        <f t="shared" si="1399"/>
        <v>-76.686853085702054</v>
      </c>
      <c r="HC856" s="1897">
        <f t="shared" si="1399"/>
        <v>128.1554002277355</v>
      </c>
      <c r="HD856" s="1897">
        <f t="shared" si="1399"/>
        <v>23.847538535201576</v>
      </c>
      <c r="HE856" s="1897">
        <f t="shared" si="1399"/>
        <v>-84.697794839452655</v>
      </c>
      <c r="HF856" s="1897">
        <f t="shared" si="1399"/>
        <v>154.22371260927028</v>
      </c>
      <c r="HG856" s="1897">
        <f t="shared" si="1399"/>
        <v>-42.969030582519309</v>
      </c>
      <c r="HH856" s="1897">
        <f t="shared" si="1399"/>
        <v>-30.332205950491868</v>
      </c>
      <c r="HI856" s="1897">
        <f t="shared" si="1399"/>
        <v>86.41033659818325</v>
      </c>
      <c r="HJ856" s="1897">
        <f t="shared" si="1399"/>
        <v>-73.545898911655058</v>
      </c>
      <c r="HK856" s="1897">
        <f t="shared" si="1399"/>
        <v>50.19914658792451</v>
      </c>
      <c r="HL856" s="1897">
        <f t="shared" si="1399"/>
        <v>794.57484428810847</v>
      </c>
      <c r="HM856" s="1897"/>
      <c r="HN856" s="349"/>
      <c r="HO856" s="354" t="s">
        <v>596</v>
      </c>
      <c r="HP856" s="307">
        <f>SUM(CE856:CJ856)</f>
        <v>52.629301348999995</v>
      </c>
      <c r="HQ856" s="302">
        <f>SUM(CK856:CP856)</f>
        <v>-117.94118653012882</v>
      </c>
      <c r="HR856" s="346">
        <f>HP856+HQ856</f>
        <v>-65.311885181128815</v>
      </c>
      <c r="HS856" s="302">
        <f>SUM(CQ856:CV856)</f>
        <v>53.760901325408653</v>
      </c>
      <c r="HT856" s="302">
        <f>SUM(CW856:DB856)</f>
        <v>-35.466425543534484</v>
      </c>
      <c r="HU856" s="346">
        <f>HS856+HT856</f>
        <v>18.294475781874169</v>
      </c>
      <c r="HV856" s="307">
        <f>SUM(DC856:DH856)</f>
        <v>121.5051787410188</v>
      </c>
      <c r="HW856" s="302">
        <f>SUM(DI856:DN856)</f>
        <v>-42.151607233051777</v>
      </c>
      <c r="HX856" s="346">
        <f>HV856+HW856</f>
        <v>79.353571507967018</v>
      </c>
      <c r="HY856" s="350">
        <f>SUM(DO856:DT856)</f>
        <v>80.970782249241353</v>
      </c>
      <c r="HZ856" s="302">
        <f>SUM(DU856:DZ856)</f>
        <v>-50.467678262707523</v>
      </c>
      <c r="IA856" s="346">
        <f>HY856+HZ856</f>
        <v>30.50310398653383</v>
      </c>
      <c r="IB856" s="302">
        <f>SUM(EA856:EF856)</f>
        <v>151.91415321471231</v>
      </c>
      <c r="IC856" s="302">
        <f>SUM(EG856:EL856)</f>
        <v>-37.092242064925316</v>
      </c>
      <c r="ID856" s="346">
        <f>IB856+IC856</f>
        <v>114.821911149787</v>
      </c>
      <c r="IE856" s="350">
        <f>SUM(EM856:ER856)</f>
        <v>157.44531569052688</v>
      </c>
      <c r="IF856" s="350">
        <f>SUM(ES856:EX856)</f>
        <v>-88.840718518665369</v>
      </c>
      <c r="IG856" s="346">
        <f>IE856+IF856</f>
        <v>68.604597171861514</v>
      </c>
      <c r="IH856" s="1624">
        <f>+IH857+IH883</f>
        <v>261.82813610728766</v>
      </c>
      <c r="II856" s="350">
        <f>SUM(FE856:FJ856)</f>
        <v>159.3618857969137</v>
      </c>
      <c r="IJ856" s="346">
        <f>IH856+II856</f>
        <v>421.19002190420133</v>
      </c>
      <c r="IK856" s="350">
        <f>SUM(FK856:FP856)</f>
        <v>345.06525586329127</v>
      </c>
      <c r="IL856" s="350">
        <f>SUM(FQ856:FV856)</f>
        <v>-188.13447992189938</v>
      </c>
      <c r="IM856" s="346">
        <f t="shared" si="1183"/>
        <v>156.93077594139189</v>
      </c>
      <c r="IN856" s="350">
        <f t="shared" si="1389"/>
        <v>182.57496366812529</v>
      </c>
      <c r="IO856" s="350">
        <f t="shared" si="1390"/>
        <v>336.91348604149357</v>
      </c>
      <c r="IP856" s="346">
        <f t="shared" si="1294"/>
        <v>519.48844970961886</v>
      </c>
      <c r="IQ856" s="350">
        <f t="shared" si="1391"/>
        <v>-37.233497481741836</v>
      </c>
      <c r="IR856" s="350">
        <f t="shared" si="1392"/>
        <v>32.710359993364747</v>
      </c>
      <c r="IS856" s="346">
        <f t="shared" si="1371"/>
        <v>-4.5231374883770883</v>
      </c>
      <c r="IT856" s="350">
        <f>+IT857+IT890</f>
        <v>192.19631354905201</v>
      </c>
      <c r="IU856" s="350">
        <f>+IU857+IU890</f>
        <v>-110.87901610225816</v>
      </c>
      <c r="IV856" s="346">
        <f>IT856+IU856</f>
        <v>81.317297446793845</v>
      </c>
      <c r="IW856" s="350">
        <f t="shared" si="1256"/>
        <v>784.33719202955001</v>
      </c>
      <c r="IX856" s="1624">
        <f t="shared" si="1252"/>
        <v>-459.57265888052137</v>
      </c>
      <c r="IY856" s="346">
        <f>FISC!AJ1173</f>
        <v>324.76453314902864</v>
      </c>
      <c r="IZ856" s="1624">
        <f>+IZ857+IZ890</f>
        <v>767.08999833483085</v>
      </c>
      <c r="JA856" s="1624">
        <f>+JA857+JA890</f>
        <v>103.66811067688907</v>
      </c>
      <c r="JB856" s="346">
        <f>FISC!AK1173</f>
        <v>870.75810901171985</v>
      </c>
      <c r="JC856" s="1624">
        <f>+JC857+JC890</f>
        <v>458.16596087480383</v>
      </c>
      <c r="JD856" s="1624">
        <f>+JD857+JD890</f>
        <v>281.13442511757393</v>
      </c>
      <c r="JE856" s="346">
        <f>FISC!AL1173</f>
        <v>739.30038599237776</v>
      </c>
      <c r="JF856" s="1624">
        <f>+JF857+JF890</f>
        <v>152.08171193232795</v>
      </c>
      <c r="JG856" s="1624">
        <f>+JG857+JG890</f>
        <v>125.57181555461774</v>
      </c>
      <c r="JH856" s="346">
        <f>FISC!AM1173</f>
        <v>277.65352748694568</v>
      </c>
      <c r="JI856" s="1624">
        <f>+JI857+JI890</f>
        <v>80.910369478189068</v>
      </c>
      <c r="JJ856" s="1624">
        <f>+JJ857+JJ890</f>
        <v>109.11610718232414</v>
      </c>
      <c r="JK856" s="346">
        <f>FISC!AN1173</f>
        <v>190.0264766605132</v>
      </c>
      <c r="JL856" s="1624">
        <f>+JL857+JL890</f>
        <v>86.350124710408664</v>
      </c>
      <c r="JM856" s="1624">
        <f>+JM857+JM890</f>
        <v>87.505784483848657</v>
      </c>
      <c r="JN856" s="346">
        <f>FISC!AO1173</f>
        <v>173.85590919425732</v>
      </c>
      <c r="KI856" s="349"/>
      <c r="KJ856" s="350"/>
      <c r="KM856" s="302">
        <f>KM857+KM890</f>
        <v>0</v>
      </c>
      <c r="KN856" s="302">
        <f>KN857+KN890</f>
        <v>0</v>
      </c>
      <c r="KO856" s="302">
        <f>KO857+KO890</f>
        <v>0</v>
      </c>
      <c r="KP856" s="302">
        <f>KP857+KP890</f>
        <v>0</v>
      </c>
    </row>
    <row r="857" spans="1:302" hidden="1" outlineLevel="1">
      <c r="A857" s="302"/>
      <c r="B857" s="117" t="s">
        <v>361</v>
      </c>
      <c r="D857" s="356" t="s">
        <v>597</v>
      </c>
      <c r="E857" s="346">
        <f t="shared" ref="E857:AJ857" si="1400">E859+E875+E876</f>
        <v>0</v>
      </c>
      <c r="F857" s="346">
        <f t="shared" si="1400"/>
        <v>0</v>
      </c>
      <c r="G857" s="346">
        <f t="shared" si="1400"/>
        <v>0</v>
      </c>
      <c r="H857" s="346">
        <f t="shared" si="1400"/>
        <v>0</v>
      </c>
      <c r="I857" s="346">
        <f t="shared" si="1400"/>
        <v>0</v>
      </c>
      <c r="J857" s="346">
        <f t="shared" si="1400"/>
        <v>0</v>
      </c>
      <c r="K857" s="346">
        <f t="shared" si="1400"/>
        <v>0</v>
      </c>
      <c r="L857" s="346">
        <f t="shared" si="1400"/>
        <v>0</v>
      </c>
      <c r="M857" s="346">
        <f t="shared" si="1400"/>
        <v>0</v>
      </c>
      <c r="N857" s="346">
        <f t="shared" si="1400"/>
        <v>0</v>
      </c>
      <c r="O857" s="346">
        <f t="shared" si="1400"/>
        <v>0</v>
      </c>
      <c r="P857" s="346">
        <f t="shared" si="1400"/>
        <v>0</v>
      </c>
      <c r="Q857" s="346">
        <f t="shared" si="1400"/>
        <v>0</v>
      </c>
      <c r="R857" s="346">
        <f t="shared" si="1400"/>
        <v>0</v>
      </c>
      <c r="S857" s="346">
        <f t="shared" si="1400"/>
        <v>0</v>
      </c>
      <c r="T857" s="346">
        <f t="shared" si="1400"/>
        <v>0</v>
      </c>
      <c r="U857" s="346">
        <f t="shared" si="1400"/>
        <v>0</v>
      </c>
      <c r="V857" s="346">
        <f t="shared" si="1400"/>
        <v>0</v>
      </c>
      <c r="W857" s="346">
        <f t="shared" si="1400"/>
        <v>0</v>
      </c>
      <c r="X857" s="346">
        <f t="shared" si="1400"/>
        <v>0</v>
      </c>
      <c r="Y857" s="346">
        <f t="shared" si="1400"/>
        <v>0</v>
      </c>
      <c r="Z857" s="346">
        <f t="shared" si="1400"/>
        <v>0</v>
      </c>
      <c r="AA857" s="346">
        <f t="shared" si="1400"/>
        <v>0</v>
      </c>
      <c r="AB857" s="346">
        <f t="shared" si="1400"/>
        <v>0</v>
      </c>
      <c r="AC857" s="346">
        <f t="shared" si="1400"/>
        <v>0</v>
      </c>
      <c r="AD857" s="346">
        <f t="shared" si="1400"/>
        <v>0</v>
      </c>
      <c r="AE857" s="346">
        <f t="shared" si="1400"/>
        <v>0</v>
      </c>
      <c r="AF857" s="346">
        <f t="shared" si="1400"/>
        <v>0</v>
      </c>
      <c r="AG857" s="346">
        <f t="shared" si="1400"/>
        <v>0</v>
      </c>
      <c r="AH857" s="346">
        <f t="shared" si="1400"/>
        <v>0</v>
      </c>
      <c r="AI857" s="346">
        <f t="shared" si="1400"/>
        <v>0</v>
      </c>
      <c r="AJ857" s="346">
        <f t="shared" si="1400"/>
        <v>0</v>
      </c>
      <c r="AK857" s="346">
        <f t="shared" ref="AK857:BP857" si="1401">AK859+AK875+AK876</f>
        <v>0</v>
      </c>
      <c r="AL857" s="346">
        <f t="shared" si="1401"/>
        <v>0</v>
      </c>
      <c r="AM857" s="346">
        <f t="shared" si="1401"/>
        <v>0</v>
      </c>
      <c r="AN857" s="346">
        <f t="shared" si="1401"/>
        <v>0</v>
      </c>
      <c r="AO857" s="346">
        <f t="shared" si="1401"/>
        <v>0</v>
      </c>
      <c r="AP857" s="346">
        <f t="shared" si="1401"/>
        <v>0</v>
      </c>
      <c r="AQ857" s="346">
        <f t="shared" si="1401"/>
        <v>0</v>
      </c>
      <c r="AR857" s="346">
        <f t="shared" si="1401"/>
        <v>0</v>
      </c>
      <c r="AS857" s="346">
        <f t="shared" si="1401"/>
        <v>0</v>
      </c>
      <c r="AT857" s="346">
        <f t="shared" si="1401"/>
        <v>0</v>
      </c>
      <c r="AU857" s="346">
        <f t="shared" si="1401"/>
        <v>0</v>
      </c>
      <c r="AV857" s="346">
        <f t="shared" si="1401"/>
        <v>0</v>
      </c>
      <c r="AW857" s="346">
        <f t="shared" si="1401"/>
        <v>0</v>
      </c>
      <c r="AX857" s="346">
        <f t="shared" si="1401"/>
        <v>0</v>
      </c>
      <c r="AY857" s="346">
        <f t="shared" si="1401"/>
        <v>0</v>
      </c>
      <c r="AZ857" s="346">
        <f t="shared" si="1401"/>
        <v>0</v>
      </c>
      <c r="BA857" s="346">
        <f t="shared" si="1401"/>
        <v>0</v>
      </c>
      <c r="BB857" s="346">
        <f t="shared" si="1401"/>
        <v>0</v>
      </c>
      <c r="BC857" s="346">
        <f t="shared" si="1401"/>
        <v>0</v>
      </c>
      <c r="BD857" s="346">
        <f t="shared" si="1401"/>
        <v>0</v>
      </c>
      <c r="BE857" s="346">
        <f t="shared" si="1401"/>
        <v>0</v>
      </c>
      <c r="BF857" s="346">
        <f t="shared" si="1401"/>
        <v>0</v>
      </c>
      <c r="BG857" s="346">
        <f t="shared" si="1401"/>
        <v>0</v>
      </c>
      <c r="BH857" s="346">
        <f t="shared" si="1401"/>
        <v>0</v>
      </c>
      <c r="BI857" s="346">
        <f t="shared" si="1401"/>
        <v>0</v>
      </c>
      <c r="BJ857" s="346">
        <f t="shared" si="1401"/>
        <v>0</v>
      </c>
      <c r="BK857" s="346">
        <f t="shared" si="1401"/>
        <v>0</v>
      </c>
      <c r="BL857" s="346">
        <f t="shared" si="1401"/>
        <v>0</v>
      </c>
      <c r="BM857" s="346">
        <f t="shared" si="1401"/>
        <v>0</v>
      </c>
      <c r="BN857" s="346">
        <f t="shared" si="1401"/>
        <v>0</v>
      </c>
      <c r="BO857" s="346">
        <f t="shared" si="1401"/>
        <v>0</v>
      </c>
      <c r="BP857" s="346">
        <f t="shared" si="1401"/>
        <v>0</v>
      </c>
      <c r="BQ857" s="346">
        <f t="shared" ref="BQ857:CV857" si="1402">BQ859+BQ875+BQ876</f>
        <v>0</v>
      </c>
      <c r="BR857" s="346">
        <f t="shared" si="1402"/>
        <v>0</v>
      </c>
      <c r="BS857" s="346">
        <f t="shared" si="1402"/>
        <v>0</v>
      </c>
      <c r="BT857" s="346">
        <f t="shared" si="1402"/>
        <v>0</v>
      </c>
      <c r="BU857" s="346">
        <f t="shared" si="1402"/>
        <v>0</v>
      </c>
      <c r="BV857" s="346">
        <f t="shared" si="1402"/>
        <v>0</v>
      </c>
      <c r="BW857" s="346">
        <f t="shared" si="1402"/>
        <v>0</v>
      </c>
      <c r="BX857" s="346">
        <f t="shared" si="1402"/>
        <v>0</v>
      </c>
      <c r="BY857" s="346">
        <f t="shared" si="1402"/>
        <v>0</v>
      </c>
      <c r="BZ857" s="346">
        <f t="shared" si="1402"/>
        <v>0</v>
      </c>
      <c r="CA857" s="346">
        <f t="shared" si="1402"/>
        <v>0</v>
      </c>
      <c r="CB857" s="346">
        <f t="shared" si="1402"/>
        <v>0</v>
      </c>
      <c r="CC857" s="346">
        <f t="shared" si="1402"/>
        <v>0</v>
      </c>
      <c r="CD857" s="352">
        <f t="shared" si="1402"/>
        <v>0</v>
      </c>
      <c r="CE857" s="346">
        <f t="shared" si="1402"/>
        <v>6.9172833290000426</v>
      </c>
      <c r="CF857" s="346">
        <f t="shared" si="1402"/>
        <v>0.83358785699993732</v>
      </c>
      <c r="CG857" s="346">
        <f t="shared" si="1402"/>
        <v>18.765479859000035</v>
      </c>
      <c r="CH857" s="346">
        <f t="shared" si="1402"/>
        <v>15.635324646000015</v>
      </c>
      <c r="CI857" s="346">
        <f t="shared" si="1402"/>
        <v>-8.3810874069999954</v>
      </c>
      <c r="CJ857" s="346">
        <f t="shared" si="1402"/>
        <v>18.858713064999961</v>
      </c>
      <c r="CK857" s="346">
        <f t="shared" si="1402"/>
        <v>-27.16729655594267</v>
      </c>
      <c r="CL857" s="346">
        <f t="shared" si="1402"/>
        <v>-28.512868685252101</v>
      </c>
      <c r="CM857" s="346">
        <f t="shared" si="1402"/>
        <v>-3.943191748377993</v>
      </c>
      <c r="CN857" s="346">
        <f t="shared" si="1402"/>
        <v>-15.598618122839355</v>
      </c>
      <c r="CO857" s="346">
        <f t="shared" si="1402"/>
        <v>8.2661012485531078</v>
      </c>
      <c r="CP857" s="348">
        <f t="shared" si="1402"/>
        <v>-50.985312666269827</v>
      </c>
      <c r="CQ857" s="346">
        <f t="shared" si="1402"/>
        <v>-36.71231483296112</v>
      </c>
      <c r="CR857" s="346">
        <f t="shared" si="1402"/>
        <v>6.0564876716809755</v>
      </c>
      <c r="CS857" s="346">
        <f t="shared" si="1402"/>
        <v>0.24889954428293093</v>
      </c>
      <c r="CT857" s="346">
        <f t="shared" si="1402"/>
        <v>-3.236720825950091</v>
      </c>
      <c r="CU857" s="346">
        <f t="shared" si="1402"/>
        <v>0.65324416649547723</v>
      </c>
      <c r="CV857" s="346">
        <f t="shared" si="1402"/>
        <v>86.75130560186048</v>
      </c>
      <c r="CW857" s="346">
        <f t="shared" ref="CW857:DW857" si="1403">CW859+CW875+CW876</f>
        <v>-9.2731324024067145</v>
      </c>
      <c r="CX857" s="346">
        <f t="shared" si="1403"/>
        <v>39.321639286877286</v>
      </c>
      <c r="CY857" s="346">
        <f t="shared" si="1403"/>
        <v>-15.458830137553322</v>
      </c>
      <c r="CZ857" s="346">
        <f t="shared" si="1403"/>
        <v>-20.78863218766784</v>
      </c>
      <c r="DA857" s="346">
        <f t="shared" si="1403"/>
        <v>-7.7543217702998817</v>
      </c>
      <c r="DB857" s="1479">
        <f t="shared" si="1403"/>
        <v>-21.513148332484011</v>
      </c>
      <c r="DC857" s="346">
        <f t="shared" si="1403"/>
        <v>15.883404467701894</v>
      </c>
      <c r="DD857" s="346">
        <f t="shared" si="1403"/>
        <v>26.277996405852996</v>
      </c>
      <c r="DE857" s="346">
        <f t="shared" si="1403"/>
        <v>38.546195793687737</v>
      </c>
      <c r="DF857" s="346">
        <f t="shared" si="1403"/>
        <v>-44.805756938958524</v>
      </c>
      <c r="DG857" s="346">
        <f t="shared" si="1403"/>
        <v>14.454375347402552</v>
      </c>
      <c r="DH857" s="346">
        <f t="shared" si="1403"/>
        <v>71.148963665332133</v>
      </c>
      <c r="DI857" s="346">
        <f t="shared" si="1403"/>
        <v>-32.020802547511629</v>
      </c>
      <c r="DJ857" s="346">
        <f t="shared" si="1403"/>
        <v>22.292049056584904</v>
      </c>
      <c r="DK857" s="346">
        <f t="shared" si="1403"/>
        <v>13.33445852484299</v>
      </c>
      <c r="DL857" s="346">
        <f t="shared" si="1403"/>
        <v>2.9614427844896496</v>
      </c>
      <c r="DM857" s="346">
        <f t="shared" si="1403"/>
        <v>-5.1853966666743077</v>
      </c>
      <c r="DN857" s="348">
        <f t="shared" si="1403"/>
        <v>-43.533358384783384</v>
      </c>
      <c r="DO857" s="346">
        <f t="shared" si="1403"/>
        <v>24.120642784941868</v>
      </c>
      <c r="DP857" s="346">
        <f t="shared" si="1403"/>
        <v>18.127784417416297</v>
      </c>
      <c r="DQ857" s="346">
        <f t="shared" si="1403"/>
        <v>17.170359247220375</v>
      </c>
      <c r="DR857" s="346">
        <f t="shared" si="1403"/>
        <v>-6.1952806868556278</v>
      </c>
      <c r="DS857" s="346">
        <f t="shared" si="1403"/>
        <v>3.4810884754780602</v>
      </c>
      <c r="DT857" s="346">
        <f t="shared" si="1403"/>
        <v>24.266188011040384</v>
      </c>
      <c r="DU857" s="346">
        <f t="shared" si="1403"/>
        <v>17.014690429328425</v>
      </c>
      <c r="DV857" s="346">
        <f t="shared" si="1403"/>
        <v>-47.983298171799049</v>
      </c>
      <c r="DW857" s="346">
        <f t="shared" si="1403"/>
        <v>36.43424047194793</v>
      </c>
      <c r="DX857" s="346">
        <f>DX859+DX875+DX876+DX883</f>
        <v>-14.356243141589854</v>
      </c>
      <c r="DY857" s="346">
        <f>DY859+DY875+DY876</f>
        <v>-33.710608219726048</v>
      </c>
      <c r="DZ857" s="348">
        <f>DZ859+DZ875+DZ876</f>
        <v>-7.8664596308689347</v>
      </c>
      <c r="EA857" s="346">
        <f t="shared" ref="EA857:EK857" si="1404">EA859+EA875+EA876+EA883</f>
        <v>0.21931586527290392</v>
      </c>
      <c r="EB857" s="346">
        <f t="shared" si="1404"/>
        <v>16.572225853972824</v>
      </c>
      <c r="EC857" s="346">
        <f t="shared" si="1404"/>
        <v>37.522925416834028</v>
      </c>
      <c r="ED857" s="346">
        <f t="shared" si="1404"/>
        <v>-4.2118037828783432</v>
      </c>
      <c r="EE857" s="346">
        <f t="shared" si="1404"/>
        <v>10.936461576093924</v>
      </c>
      <c r="EF857" s="346">
        <f t="shared" si="1404"/>
        <v>90.875028285416988</v>
      </c>
      <c r="EG857" s="346">
        <f t="shared" si="1404"/>
        <v>5.1779432167129436E-3</v>
      </c>
      <c r="EH857" s="346">
        <f t="shared" si="1404"/>
        <v>-15.302797650300407</v>
      </c>
      <c r="EI857" s="346">
        <f t="shared" si="1404"/>
        <v>8.548882778903014</v>
      </c>
      <c r="EJ857" s="346">
        <f t="shared" si="1404"/>
        <v>-11.145874326467542</v>
      </c>
      <c r="EK857" s="346">
        <f t="shared" si="1404"/>
        <v>-14.991042163788611</v>
      </c>
      <c r="EL857" s="348">
        <f t="shared" ref="EL857:FI857" si="1405">EL859+EL875+EL876</f>
        <v>-4.2065886464884841</v>
      </c>
      <c r="EM857" s="346">
        <f t="shared" si="1405"/>
        <v>15.393488729066524</v>
      </c>
      <c r="EN857" s="346">
        <f t="shared" si="1405"/>
        <v>39.014138975798588</v>
      </c>
      <c r="EO857" s="346">
        <f t="shared" si="1405"/>
        <v>7.9711922221392904</v>
      </c>
      <c r="EP857" s="346">
        <f t="shared" si="1405"/>
        <v>-35.810316748697858</v>
      </c>
      <c r="EQ857" s="346">
        <f t="shared" si="1405"/>
        <v>-6.1247204068983763</v>
      </c>
      <c r="ER857" s="346">
        <f t="shared" si="1405"/>
        <v>137.00153291911872</v>
      </c>
      <c r="ES857" s="346">
        <f t="shared" si="1405"/>
        <v>-35.46871774235305</v>
      </c>
      <c r="ET857" s="346">
        <f t="shared" si="1405"/>
        <v>-20.123140095056328</v>
      </c>
      <c r="EU857" s="346">
        <f t="shared" si="1405"/>
        <v>-24.407681035509874</v>
      </c>
      <c r="EV857" s="346">
        <f t="shared" si="1405"/>
        <v>-12.07224302795575</v>
      </c>
      <c r="EW857" s="346">
        <f t="shared" si="1405"/>
        <v>-24.908431685148855</v>
      </c>
      <c r="EX857" s="348">
        <f t="shared" si="1405"/>
        <v>28.139495067358503</v>
      </c>
      <c r="EY857" s="346">
        <f t="shared" si="1405"/>
        <v>-5.8679094918460821</v>
      </c>
      <c r="EZ857" s="346">
        <f t="shared" si="1405"/>
        <v>20.596399391363931</v>
      </c>
      <c r="FA857" s="346">
        <f t="shared" si="1405"/>
        <v>22.794672488586684</v>
      </c>
      <c r="FB857" s="346">
        <f t="shared" si="1405"/>
        <v>107.34179312054232</v>
      </c>
      <c r="FC857" s="346">
        <f t="shared" si="1405"/>
        <v>-12.715611256085468</v>
      </c>
      <c r="FD857" s="346">
        <f t="shared" si="1405"/>
        <v>129.67879185472628</v>
      </c>
      <c r="FE857" s="346">
        <f t="shared" si="1405"/>
        <v>25.999761652806228</v>
      </c>
      <c r="FF857" s="346">
        <f t="shared" si="1405"/>
        <v>-44.018381109308137</v>
      </c>
      <c r="FG857" s="346">
        <f t="shared" si="1405"/>
        <v>6.0005842048067262</v>
      </c>
      <c r="FH857" s="346">
        <f t="shared" si="1405"/>
        <v>83.770729693757005</v>
      </c>
      <c r="FI857" s="346">
        <f t="shared" si="1405"/>
        <v>-68.82196742500139</v>
      </c>
      <c r="FJ857" s="348">
        <f t="shared" ref="FJ857:FP857" si="1406">FJ859+FJ875+FJ876+FJ883</f>
        <v>156.43115877985326</v>
      </c>
      <c r="FK857" s="346">
        <f t="shared" si="1406"/>
        <v>119.22756809261762</v>
      </c>
      <c r="FL857" s="346">
        <f t="shared" si="1406"/>
        <v>5.9306405438161391</v>
      </c>
      <c r="FM857" s="346">
        <f t="shared" si="1406"/>
        <v>146.41001174165183</v>
      </c>
      <c r="FN857" s="346">
        <f t="shared" si="1406"/>
        <v>-4.954500731051132</v>
      </c>
      <c r="FO857" s="346">
        <f t="shared" si="1406"/>
        <v>-74.953970690193884</v>
      </c>
      <c r="FP857" s="346">
        <f t="shared" si="1406"/>
        <v>153.40550690645074</v>
      </c>
      <c r="FQ857" s="346">
        <f t="shared" ref="FQ857:FV857" si="1407">FQ859+FQ875+FQ876+FQ883</f>
        <v>-30.843539113094504</v>
      </c>
      <c r="FR857" s="346">
        <f t="shared" si="1407"/>
        <v>-85.072845498500726</v>
      </c>
      <c r="FS857" s="346">
        <f t="shared" si="1407"/>
        <v>40.718999412644692</v>
      </c>
      <c r="FT857" s="346">
        <f t="shared" si="1407"/>
        <v>39.224747785548615</v>
      </c>
      <c r="FU857" s="346">
        <f t="shared" si="1407"/>
        <v>-92.130388752293868</v>
      </c>
      <c r="FV857" s="346">
        <f t="shared" si="1407"/>
        <v>-60.031453756203597</v>
      </c>
      <c r="FW857" s="346">
        <v>80.849744616155718</v>
      </c>
      <c r="FX857" s="346">
        <v>150.77380136965814</v>
      </c>
      <c r="FY857" s="346">
        <v>-96.515595033519446</v>
      </c>
      <c r="FZ857" s="346">
        <v>-16.423616436418332</v>
      </c>
      <c r="GA857" s="346">
        <v>16.012185380023897</v>
      </c>
      <c r="GB857" s="346">
        <v>47.878443772225324</v>
      </c>
      <c r="GC857" s="346">
        <v>-107.48696695392698</v>
      </c>
      <c r="GD857" s="346">
        <v>-23.883908553679504</v>
      </c>
      <c r="GE857" s="346">
        <v>197.23083970071414</v>
      </c>
      <c r="GF857" s="346">
        <v>40.372582589854844</v>
      </c>
      <c r="GG857" s="346">
        <v>78.22748777429949</v>
      </c>
      <c r="GH857" s="346">
        <v>-1.3949119907684526</v>
      </c>
      <c r="GI857" s="1897">
        <f t="shared" ref="GI857:HL857" si="1408">GI859+GI876+GI883+GI887+GI888+GI889</f>
        <v>24.983264202359386</v>
      </c>
      <c r="GJ857" s="1897">
        <f t="shared" si="1408"/>
        <v>-150.03712934709645</v>
      </c>
      <c r="GK857" s="1897">
        <f t="shared" si="1408"/>
        <v>39.300457227806788</v>
      </c>
      <c r="GL857" s="1897">
        <f t="shared" si="1408"/>
        <v>-29.711152254646777</v>
      </c>
      <c r="GM857" s="1897">
        <f t="shared" si="1408"/>
        <v>-17.735487423972842</v>
      </c>
      <c r="GN857" s="1897">
        <f t="shared" si="1408"/>
        <v>95.966550113808069</v>
      </c>
      <c r="GO857" s="1897">
        <f t="shared" si="1408"/>
        <v>-142.87445492192867</v>
      </c>
      <c r="GP857" s="1897">
        <f t="shared" si="1408"/>
        <v>-63.499206614089871</v>
      </c>
      <c r="GQ857" s="1897">
        <f t="shared" si="1408"/>
        <v>228.25965383776924</v>
      </c>
      <c r="GR857" s="1897">
        <f t="shared" si="1408"/>
        <v>127.13996650138391</v>
      </c>
      <c r="GS857" s="1897">
        <f t="shared" si="1408"/>
        <v>-19.203985122261894</v>
      </c>
      <c r="GT857" s="1897">
        <f t="shared" si="1408"/>
        <v>-28.997288913487953</v>
      </c>
      <c r="GU857" s="1897">
        <f t="shared" si="1408"/>
        <v>-67.01259392007303</v>
      </c>
      <c r="GV857" s="1897">
        <f t="shared" si="1408"/>
        <v>-95.406090996379987</v>
      </c>
      <c r="GW857" s="1897">
        <f t="shared" si="1408"/>
        <v>16.211442570801324</v>
      </c>
      <c r="GX857" s="1897">
        <f t="shared" si="1408"/>
        <v>-67.63125658332909</v>
      </c>
      <c r="GY857" s="1897">
        <f t="shared" si="1408"/>
        <v>55.192074290810204</v>
      </c>
      <c r="GZ857" s="1897">
        <f t="shared" si="1408"/>
        <v>350.84273818722255</v>
      </c>
      <c r="HA857" s="1897">
        <f t="shared" si="1408"/>
        <v>-255.72101954931082</v>
      </c>
      <c r="HB857" s="1897">
        <f t="shared" si="1408"/>
        <v>-76.686853085702054</v>
      </c>
      <c r="HC857" s="1897">
        <f t="shared" si="1408"/>
        <v>128.1554002277355</v>
      </c>
      <c r="HD857" s="1897">
        <f t="shared" si="1408"/>
        <v>23.847538535201576</v>
      </c>
      <c r="HE857" s="1897">
        <f t="shared" si="1408"/>
        <v>-84.697794839452655</v>
      </c>
      <c r="HF857" s="1897">
        <f t="shared" si="1408"/>
        <v>154.22371260927028</v>
      </c>
      <c r="HG857" s="1897">
        <f t="shared" si="1408"/>
        <v>-42.969030582519309</v>
      </c>
      <c r="HH857" s="1897">
        <f t="shared" si="1408"/>
        <v>-30.332205950491868</v>
      </c>
      <c r="HI857" s="1897">
        <f t="shared" si="1408"/>
        <v>86.41033659818325</v>
      </c>
      <c r="HJ857" s="1897">
        <f t="shared" si="1408"/>
        <v>-73.545898911655058</v>
      </c>
      <c r="HK857" s="1897">
        <f t="shared" si="1408"/>
        <v>50.19914658792451</v>
      </c>
      <c r="HL857" s="1897">
        <f t="shared" si="1408"/>
        <v>794.57484428810847</v>
      </c>
      <c r="HM857" s="1897"/>
      <c r="HN857" s="349"/>
      <c r="HO857" s="356" t="s">
        <v>597</v>
      </c>
      <c r="HP857" s="307">
        <f>SUM(CE857:CJ857)</f>
        <v>52.629301348999995</v>
      </c>
      <c r="HQ857" s="302">
        <f>SUM(CK857:CP857)</f>
        <v>-117.94118653012882</v>
      </c>
      <c r="HR857" s="346">
        <f>HP857+HQ857</f>
        <v>-65.311885181128815</v>
      </c>
      <c r="HS857" s="302">
        <f>SUM(CQ857:CV857)</f>
        <v>53.760901325408653</v>
      </c>
      <c r="HT857" s="302">
        <f>SUM(CW857:DB857)</f>
        <v>-35.466425543534484</v>
      </c>
      <c r="HU857" s="346">
        <f>HS857+HT857</f>
        <v>18.294475781874169</v>
      </c>
      <c r="HV857" s="307">
        <f>SUM(DC857:DH857)</f>
        <v>121.5051787410188</v>
      </c>
      <c r="HW857" s="302">
        <f>SUM(DI857:DN857)</f>
        <v>-42.151607233051777</v>
      </c>
      <c r="HX857" s="346">
        <f>HV857+HW857</f>
        <v>79.353571507967018</v>
      </c>
      <c r="HY857" s="350">
        <f>SUM(DO857:DT857)</f>
        <v>80.970782249241353</v>
      </c>
      <c r="HZ857" s="302">
        <f>SUM(DU857:DZ857)</f>
        <v>-50.467678262707523</v>
      </c>
      <c r="IA857" s="346">
        <f>HY857+HZ857</f>
        <v>30.50310398653383</v>
      </c>
      <c r="IB857" s="302">
        <f>SUM(EA857:EF857)</f>
        <v>151.91415321471231</v>
      </c>
      <c r="IC857" s="302">
        <f>SUM(EG857:EL857)</f>
        <v>-37.092242064925316</v>
      </c>
      <c r="ID857" s="346">
        <f>IB857+IC857</f>
        <v>114.821911149787</v>
      </c>
      <c r="IE857" s="350">
        <f>SUM(EM857:ER857)</f>
        <v>157.44531569052688</v>
      </c>
      <c r="IF857" s="350">
        <f>SUM(ES857:EX857)</f>
        <v>-88.840718518665369</v>
      </c>
      <c r="IG857" s="346">
        <f>IE857+IF857</f>
        <v>68.604597171861514</v>
      </c>
      <c r="IH857" s="1624">
        <f>+IH859+IH875+IH876</f>
        <v>261.82813610728766</v>
      </c>
      <c r="II857" s="350">
        <f>SUM(FE857:FJ857)</f>
        <v>159.3618857969137</v>
      </c>
      <c r="IJ857" s="346">
        <f>IH857+II857</f>
        <v>421.19002190420133</v>
      </c>
      <c r="IK857" s="350">
        <f>SUM(FK857:FP857)</f>
        <v>345.06525586329127</v>
      </c>
      <c r="IL857" s="350">
        <f>SUM(FQ857:FV857)</f>
        <v>-188.13447992189938</v>
      </c>
      <c r="IM857" s="346">
        <f t="shared" si="1183"/>
        <v>156.93077594139189</v>
      </c>
      <c r="IN857" s="350">
        <f t="shared" si="1389"/>
        <v>182.57496366812529</v>
      </c>
      <c r="IO857" s="350">
        <f t="shared" si="1390"/>
        <v>183.06512256649353</v>
      </c>
      <c r="IP857" s="346">
        <f t="shared" si="1294"/>
        <v>365.64008623461882</v>
      </c>
      <c r="IQ857" s="350">
        <f t="shared" si="1391"/>
        <v>-37.233497481741836</v>
      </c>
      <c r="IR857" s="350">
        <f t="shared" si="1392"/>
        <v>100.82468476738475</v>
      </c>
      <c r="IS857" s="346">
        <f t="shared" si="1371"/>
        <v>63.591187285642917</v>
      </c>
      <c r="IT857" s="350">
        <f>+IT859+IT875+IT876+IT883+IT887+IT888+IT889</f>
        <v>192.19631354905201</v>
      </c>
      <c r="IU857" s="350">
        <f>+IU859+IU875+IU876+IU883+IU887+IU888+IU889</f>
        <v>-110.87901610225816</v>
      </c>
      <c r="IV857" s="346">
        <f t="shared" ref="IV857:IV922" si="1409">IT857+IU857</f>
        <v>81.317297446793845</v>
      </c>
      <c r="IW857" s="350">
        <f t="shared" si="1256"/>
        <v>784.33719202955001</v>
      </c>
      <c r="IX857" s="1624">
        <f t="shared" si="1252"/>
        <v>-459.57265888052137</v>
      </c>
      <c r="IY857" s="346">
        <f>FISC!AJ1174</f>
        <v>324.76453314902864</v>
      </c>
      <c r="IZ857" s="1624">
        <f>+IZ859+IZ875+IZ876+IZ883+IZ887+IZ888+IZ889</f>
        <v>767.08999833483085</v>
      </c>
      <c r="JA857" s="1624">
        <f>+JA859+JA875+JA876+JA883+JA887+JA888+JA889</f>
        <v>103.66811067688907</v>
      </c>
      <c r="JB857" s="346">
        <f>FISC!AK1174</f>
        <v>870.75810901171985</v>
      </c>
      <c r="JC857" s="1624">
        <f>+JC859+JC875+JC876+JC883+JC887+JC888+JC889</f>
        <v>458.16596087480383</v>
      </c>
      <c r="JD857" s="1624">
        <f>+JD859+JD875+JD876+JD883+JD887+JD888+JD889</f>
        <v>281.13442511757393</v>
      </c>
      <c r="JE857" s="346">
        <f>FISC!AL1174</f>
        <v>739.30038599237776</v>
      </c>
      <c r="JF857" s="1624">
        <f>+JF859+JF875+JF876+JF883+JF887+JF888+JF889</f>
        <v>152.08171193232795</v>
      </c>
      <c r="JG857" s="1624">
        <f>+JG859+JG875+JG876+JG883+JG887+JG888+JG889</f>
        <v>125.57181555461774</v>
      </c>
      <c r="JH857" s="346">
        <f>FISC!AM1174</f>
        <v>277.65352748694568</v>
      </c>
      <c r="JI857" s="1624">
        <f>+JI859+JI875+JI876+JI883+JI887+JI888+JI889</f>
        <v>80.910369478189068</v>
      </c>
      <c r="JJ857" s="1624">
        <f>+JJ859+JJ875+JJ876+JJ883+JJ887+JJ888+JJ889</f>
        <v>109.11610718232414</v>
      </c>
      <c r="JK857" s="346">
        <f>FISC!AN1174</f>
        <v>190.0264766605132</v>
      </c>
      <c r="JL857" s="1624">
        <f>+JL859+JL875+JL876+JL883+JL887+JL888+JL889</f>
        <v>86.350124710408664</v>
      </c>
      <c r="JM857" s="1624">
        <f>+JM859+JM875+JM876+JM883+JM887+JM888+JM889</f>
        <v>87.505784483848657</v>
      </c>
      <c r="JN857" s="346">
        <f>FISC!AO1174</f>
        <v>173.85590919425732</v>
      </c>
      <c r="KI857" s="349"/>
      <c r="KJ857" s="350"/>
      <c r="KM857" s="302">
        <f>KM859+KM875+KM876</f>
        <v>0</v>
      </c>
      <c r="KN857" s="302">
        <f>KN859+KN875+KN876</f>
        <v>0</v>
      </c>
      <c r="KO857" s="302">
        <f>KO859+KO875+KO876</f>
        <v>0</v>
      </c>
      <c r="KP857" s="302">
        <f>KP859+KP875+KP876</f>
        <v>0</v>
      </c>
    </row>
    <row r="858" spans="1:302" hidden="1" outlineLevel="1">
      <c r="A858" s="302"/>
      <c r="D858" s="1807" t="s">
        <v>3290</v>
      </c>
      <c r="E858" s="346"/>
      <c r="F858" s="346"/>
      <c r="G858" s="346"/>
      <c r="H858" s="346"/>
      <c r="I858" s="346"/>
      <c r="J858" s="346"/>
      <c r="K858" s="346"/>
      <c r="L858" s="346"/>
      <c r="M858" s="346"/>
      <c r="N858" s="346"/>
      <c r="O858" s="346"/>
      <c r="P858" s="346"/>
      <c r="Q858" s="346"/>
      <c r="R858" s="346"/>
      <c r="S858" s="346"/>
      <c r="T858" s="346"/>
      <c r="U858" s="346"/>
      <c r="V858" s="346"/>
      <c r="W858" s="346"/>
      <c r="X858" s="346"/>
      <c r="Y858" s="346"/>
      <c r="Z858" s="346"/>
      <c r="AA858" s="346"/>
      <c r="AB858" s="346"/>
      <c r="AC858" s="346"/>
      <c r="AD858" s="346"/>
      <c r="AE858" s="346"/>
      <c r="AF858" s="346"/>
      <c r="AG858" s="346"/>
      <c r="AH858" s="346"/>
      <c r="AI858" s="346"/>
      <c r="AJ858" s="346"/>
      <c r="AK858" s="346"/>
      <c r="AL858" s="346"/>
      <c r="AM858" s="346"/>
      <c r="AN858" s="346"/>
      <c r="AO858" s="346"/>
      <c r="AP858" s="346"/>
      <c r="AQ858" s="346"/>
      <c r="AR858" s="346"/>
      <c r="AS858" s="346"/>
      <c r="AT858" s="346"/>
      <c r="AU858" s="346"/>
      <c r="AV858" s="346"/>
      <c r="AW858" s="346"/>
      <c r="AX858" s="346"/>
      <c r="AY858" s="346"/>
      <c r="AZ858" s="346"/>
      <c r="BA858" s="346"/>
      <c r="BB858" s="346"/>
      <c r="BC858" s="346"/>
      <c r="BD858" s="346"/>
      <c r="BE858" s="346"/>
      <c r="BF858" s="346"/>
      <c r="BG858" s="346"/>
      <c r="BH858" s="346"/>
      <c r="BI858" s="346"/>
      <c r="BJ858" s="346"/>
      <c r="BK858" s="346"/>
      <c r="BL858" s="346"/>
      <c r="BM858" s="346"/>
      <c r="BN858" s="346"/>
      <c r="BO858" s="346"/>
      <c r="BP858" s="346"/>
      <c r="BQ858" s="346"/>
      <c r="BR858" s="346"/>
      <c r="BS858" s="346"/>
      <c r="BT858" s="346"/>
      <c r="BU858" s="346"/>
      <c r="BV858" s="346"/>
      <c r="BW858" s="346"/>
      <c r="BX858" s="346"/>
      <c r="BY858" s="346"/>
      <c r="BZ858" s="346"/>
      <c r="CA858" s="346"/>
      <c r="CB858" s="346"/>
      <c r="CC858" s="346"/>
      <c r="CD858" s="352"/>
      <c r="CE858" s="346"/>
      <c r="CF858" s="346"/>
      <c r="CG858" s="346"/>
      <c r="CH858" s="346"/>
      <c r="CI858" s="346"/>
      <c r="CJ858" s="346"/>
      <c r="CK858" s="346"/>
      <c r="CL858" s="346"/>
      <c r="CM858" s="346"/>
      <c r="CN858" s="346"/>
      <c r="CO858" s="346"/>
      <c r="CP858" s="348"/>
      <c r="CQ858" s="346"/>
      <c r="CR858" s="346"/>
      <c r="CS858" s="346"/>
      <c r="CT858" s="346"/>
      <c r="CU858" s="346"/>
      <c r="CV858" s="346"/>
      <c r="CW858" s="346"/>
      <c r="CX858" s="346"/>
      <c r="CY858" s="346"/>
      <c r="CZ858" s="346"/>
      <c r="DA858" s="346"/>
      <c r="DB858" s="1479"/>
      <c r="DC858" s="346"/>
      <c r="DD858" s="346"/>
      <c r="DE858" s="346"/>
      <c r="DF858" s="346"/>
      <c r="DG858" s="346"/>
      <c r="DH858" s="346"/>
      <c r="DI858" s="346"/>
      <c r="DJ858" s="346"/>
      <c r="DK858" s="346"/>
      <c r="DL858" s="346"/>
      <c r="DM858" s="346"/>
      <c r="DN858" s="348"/>
      <c r="DO858" s="346"/>
      <c r="DP858" s="346"/>
      <c r="DQ858" s="346"/>
      <c r="DR858" s="346"/>
      <c r="DS858" s="346"/>
      <c r="DT858" s="346"/>
      <c r="DU858" s="346"/>
      <c r="DV858" s="346"/>
      <c r="DW858" s="346"/>
      <c r="DX858" s="346"/>
      <c r="DY858" s="346"/>
      <c r="DZ858" s="348"/>
      <c r="EA858" s="346"/>
      <c r="EB858" s="346"/>
      <c r="EC858" s="346"/>
      <c r="ED858" s="346"/>
      <c r="EE858" s="346"/>
      <c r="EF858" s="346"/>
      <c r="EG858" s="346"/>
      <c r="EH858" s="346"/>
      <c r="EI858" s="346"/>
      <c r="EJ858" s="346"/>
      <c r="EK858" s="346"/>
      <c r="EL858" s="348"/>
      <c r="EM858" s="346"/>
      <c r="EN858" s="346"/>
      <c r="EO858" s="346"/>
      <c r="EP858" s="346"/>
      <c r="EQ858" s="346"/>
      <c r="ER858" s="346"/>
      <c r="ES858" s="346"/>
      <c r="ET858" s="346"/>
      <c r="EU858" s="346"/>
      <c r="EV858" s="346"/>
      <c r="EW858" s="346"/>
      <c r="EX858" s="348"/>
      <c r="EY858" s="346"/>
      <c r="EZ858" s="346"/>
      <c r="FA858" s="346"/>
      <c r="FB858" s="346"/>
      <c r="FC858" s="346"/>
      <c r="FD858" s="346"/>
      <c r="FE858" s="346"/>
      <c r="FF858" s="346"/>
      <c r="FG858" s="346"/>
      <c r="FH858" s="346"/>
      <c r="FI858" s="346"/>
      <c r="FJ858" s="348"/>
      <c r="FK858" s="346"/>
      <c r="FL858" s="346"/>
      <c r="FM858" s="346"/>
      <c r="FN858" s="346"/>
      <c r="FO858" s="346"/>
      <c r="FP858" s="346"/>
      <c r="FQ858" s="346"/>
      <c r="FR858" s="346"/>
      <c r="FS858" s="346"/>
      <c r="FT858" s="346"/>
      <c r="FU858" s="346"/>
      <c r="FV858" s="346"/>
      <c r="FW858" s="346"/>
      <c r="FX858" s="346"/>
      <c r="FY858" s="346"/>
      <c r="FZ858" s="346"/>
      <c r="GA858" s="346"/>
      <c r="GB858" s="346"/>
      <c r="GC858" s="346"/>
      <c r="GD858" s="346"/>
      <c r="GE858" s="346"/>
      <c r="GF858" s="346"/>
      <c r="GG858" s="346"/>
      <c r="GH858" s="346"/>
      <c r="GI858" s="1897"/>
      <c r="HN858" s="349"/>
      <c r="HO858" s="1807" t="s">
        <v>3290</v>
      </c>
      <c r="HP858" s="307"/>
      <c r="HR858" s="346"/>
      <c r="HU858" s="346"/>
      <c r="HV858" s="307"/>
      <c r="HX858" s="346"/>
      <c r="HY858" s="350"/>
      <c r="IA858" s="346"/>
      <c r="ID858" s="346"/>
      <c r="IE858" s="350"/>
      <c r="IF858" s="350"/>
      <c r="IG858" s="346"/>
      <c r="IH858" s="1624"/>
      <c r="II858" s="350"/>
      <c r="IJ858" s="346"/>
      <c r="IK858" s="350"/>
      <c r="IL858" s="350"/>
      <c r="IM858" s="346"/>
      <c r="IN858" s="350">
        <f t="shared" si="1389"/>
        <v>0</v>
      </c>
      <c r="IO858" s="350">
        <f t="shared" si="1390"/>
        <v>0</v>
      </c>
      <c r="IP858" s="346">
        <f t="shared" si="1294"/>
        <v>0</v>
      </c>
      <c r="IQ858" s="350">
        <f t="shared" si="1391"/>
        <v>0</v>
      </c>
      <c r="IR858" s="350">
        <f t="shared" si="1392"/>
        <v>0</v>
      </c>
      <c r="IS858" s="346">
        <f t="shared" ref="IS858:IS925" si="1410">IQ858+IR858</f>
        <v>0</v>
      </c>
      <c r="IT858" s="350"/>
      <c r="IU858" s="350"/>
      <c r="IV858" s="346">
        <f t="shared" si="1409"/>
        <v>0</v>
      </c>
      <c r="IW858" s="350">
        <f t="shared" si="1256"/>
        <v>0</v>
      </c>
      <c r="IX858" s="350">
        <f t="shared" si="1252"/>
        <v>0</v>
      </c>
      <c r="IY858" s="346"/>
      <c r="IZ858" s="1624"/>
      <c r="JB858" s="346"/>
      <c r="JC858" s="1624"/>
      <c r="JE858" s="346">
        <f>FISC!AL1175</f>
        <v>0</v>
      </c>
      <c r="JH858" s="346">
        <f>FISC!AM1175</f>
        <v>0</v>
      </c>
      <c r="JK858" s="346">
        <f>FISC!AN1175</f>
        <v>0</v>
      </c>
      <c r="JN858" s="346">
        <f>FISC!AO1175</f>
        <v>0</v>
      </c>
      <c r="KI858" s="349"/>
      <c r="KJ858" s="350"/>
    </row>
    <row r="859" spans="1:302" hidden="1" outlineLevel="1">
      <c r="A859" s="302"/>
      <c r="B859" s="117" t="s">
        <v>361</v>
      </c>
      <c r="D859" s="358" t="s">
        <v>598</v>
      </c>
      <c r="E859" s="346"/>
      <c r="F859" s="346"/>
      <c r="G859" s="346"/>
      <c r="H859" s="346"/>
      <c r="I859" s="346"/>
      <c r="J859" s="346"/>
      <c r="K859" s="346"/>
      <c r="L859" s="346"/>
      <c r="M859" s="346"/>
      <c r="N859" s="346"/>
      <c r="O859" s="346"/>
      <c r="P859" s="346"/>
      <c r="Q859" s="346"/>
      <c r="R859" s="346"/>
      <c r="S859" s="346"/>
      <c r="T859" s="346"/>
      <c r="U859" s="346"/>
      <c r="V859" s="346"/>
      <c r="W859" s="346"/>
      <c r="X859" s="346"/>
      <c r="Y859" s="346"/>
      <c r="Z859" s="346"/>
      <c r="AA859" s="346"/>
      <c r="AB859" s="346"/>
      <c r="AC859" s="346"/>
      <c r="AD859" s="346"/>
      <c r="AE859" s="346"/>
      <c r="AF859" s="346"/>
      <c r="AG859" s="346"/>
      <c r="AH859" s="346"/>
      <c r="AI859" s="346"/>
      <c r="AJ859" s="346"/>
      <c r="AK859" s="346"/>
      <c r="AL859" s="346"/>
      <c r="AM859" s="346"/>
      <c r="AN859" s="346"/>
      <c r="AO859" s="346"/>
      <c r="AP859" s="346"/>
      <c r="AQ859" s="346"/>
      <c r="AR859" s="346"/>
      <c r="AS859" s="346"/>
      <c r="AT859" s="346"/>
      <c r="AU859" s="346"/>
      <c r="AV859" s="346"/>
      <c r="AW859" s="346"/>
      <c r="AX859" s="346"/>
      <c r="AY859" s="346"/>
      <c r="AZ859" s="346"/>
      <c r="BA859" s="346"/>
      <c r="BB859" s="346"/>
      <c r="BC859" s="346"/>
      <c r="BD859" s="346"/>
      <c r="BE859" s="346"/>
      <c r="BF859" s="346"/>
      <c r="BG859" s="346"/>
      <c r="BH859" s="346"/>
      <c r="BI859" s="346"/>
      <c r="BJ859" s="346"/>
      <c r="BK859" s="346"/>
      <c r="BL859" s="346"/>
      <c r="BM859" s="346"/>
      <c r="BN859" s="346"/>
      <c r="BO859" s="346"/>
      <c r="BP859" s="346"/>
      <c r="BQ859" s="346"/>
      <c r="BR859" s="346"/>
      <c r="BS859" s="346"/>
      <c r="BT859" s="346"/>
      <c r="BU859" s="346"/>
      <c r="BV859" s="346"/>
      <c r="BW859" s="346"/>
      <c r="BX859" s="346"/>
      <c r="BY859" s="346"/>
      <c r="BZ859" s="346"/>
      <c r="CA859" s="346"/>
      <c r="CB859" s="346"/>
      <c r="CC859" s="346"/>
      <c r="CD859" s="352"/>
      <c r="CE859" s="346">
        <v>39.417283329000043</v>
      </c>
      <c r="CF859" s="346">
        <v>-13.349798152000062</v>
      </c>
      <c r="CG859" s="346">
        <v>17.450474893000035</v>
      </c>
      <c r="CH859" s="346">
        <v>15.635324646000015</v>
      </c>
      <c r="CI859" s="346">
        <v>-8.3810874069999954</v>
      </c>
      <c r="CJ859" s="346">
        <v>15.969116614999962</v>
      </c>
      <c r="CK859" s="346">
        <v>-34.105394845942669</v>
      </c>
      <c r="CL859" s="346">
        <v>-28.512868685252101</v>
      </c>
      <c r="CM859" s="346">
        <v>-17.814439748377993</v>
      </c>
      <c r="CN859" s="346">
        <v>-16.598618122839355</v>
      </c>
      <c r="CO859" s="346">
        <v>3.916429723553108</v>
      </c>
      <c r="CP859" s="348">
        <v>-64.960116866269829</v>
      </c>
      <c r="CQ859" s="346">
        <v>-38.757003883961119</v>
      </c>
      <c r="CR859" s="346">
        <v>4.8799924786809754</v>
      </c>
      <c r="CS859" s="346">
        <v>-2.2803506627170691</v>
      </c>
      <c r="CT859" s="346">
        <v>-5.7392211599500911</v>
      </c>
      <c r="CU859" s="346">
        <v>0.20448658649547724</v>
      </c>
      <c r="CV859" s="346">
        <v>85.306327405860486</v>
      </c>
      <c r="CW859" s="346">
        <v>-11.574370754406715</v>
      </c>
      <c r="CX859" s="346">
        <v>23.948720246877286</v>
      </c>
      <c r="CY859" s="346">
        <v>-21.102997979553322</v>
      </c>
      <c r="CZ859" s="346">
        <v>-23.468815292667841</v>
      </c>
      <c r="DA859" s="346">
        <v>-9.5994544602998815</v>
      </c>
      <c r="DB859" s="1479">
        <v>-47.203939332484012</v>
      </c>
      <c r="DC859" s="346">
        <v>13.883404467701894</v>
      </c>
      <c r="DD859" s="346">
        <v>16.230402572852995</v>
      </c>
      <c r="DE859" s="346">
        <v>32.222686150687736</v>
      </c>
      <c r="DF859" s="346">
        <v>-45.04244355395852</v>
      </c>
      <c r="DG859" s="346">
        <v>14.081754003402551</v>
      </c>
      <c r="DH859" s="346">
        <v>71.148963665332133</v>
      </c>
      <c r="DI859" s="346">
        <v>-49.873446018511629</v>
      </c>
      <c r="DJ859" s="346">
        <v>14.721533815584905</v>
      </c>
      <c r="DK859" s="346">
        <v>13.123280620842991</v>
      </c>
      <c r="DL859" s="346">
        <v>2.5715812404896496</v>
      </c>
      <c r="DM859" s="346">
        <v>-5.1853966666743077</v>
      </c>
      <c r="DN859" s="348">
        <v>-48.877470461783382</v>
      </c>
      <c r="DO859" s="346">
        <v>23.32507187494187</v>
      </c>
      <c r="DP859" s="346">
        <v>17.821145403416295</v>
      </c>
      <c r="DQ859" s="346">
        <v>17.170359247220375</v>
      </c>
      <c r="DR859" s="346">
        <v>-7.6569138618556281</v>
      </c>
      <c r="DS859" s="346">
        <v>3.4810884754780602</v>
      </c>
      <c r="DT859" s="346">
        <v>24.266188011040384</v>
      </c>
      <c r="DU859" s="346">
        <v>15.434015957328427</v>
      </c>
      <c r="DV859" s="346">
        <v>-47.983298171799049</v>
      </c>
      <c r="DW859" s="346">
        <v>36.43424047194793</v>
      </c>
      <c r="DX859" s="346">
        <v>-10.806608389589854</v>
      </c>
      <c r="DY859" s="346">
        <v>-40.494506703726046</v>
      </c>
      <c r="DZ859" s="348">
        <v>-18.146766977868936</v>
      </c>
      <c r="EA859" s="346">
        <v>0.21931586527290392</v>
      </c>
      <c r="EB859" s="346">
        <v>8.4156124019728225</v>
      </c>
      <c r="EC859" s="346">
        <v>30.268897354834024</v>
      </c>
      <c r="ED859" s="346">
        <v>-5.8118037828783429</v>
      </c>
      <c r="EE859" s="346">
        <v>7.5471806860939239</v>
      </c>
      <c r="EF859" s="346">
        <v>75.42151574341699</v>
      </c>
      <c r="EG859" s="346">
        <v>-3.7884801197832871</v>
      </c>
      <c r="EH859" s="346">
        <v>-16.948930207300407</v>
      </c>
      <c r="EI859" s="346">
        <v>1.5915377659030128</v>
      </c>
      <c r="EJ859" s="346">
        <v>-22.722798350467542</v>
      </c>
      <c r="EK859" s="346">
        <v>-21.799126127788611</v>
      </c>
      <c r="EL859" s="348">
        <v>-4.2065886464884841</v>
      </c>
      <c r="EM859" s="346">
        <v>12.918488729066524</v>
      </c>
      <c r="EN859" s="346">
        <v>35.212684927798591</v>
      </c>
      <c r="EO859" s="346">
        <v>1.9089272241392905</v>
      </c>
      <c r="EP859" s="346">
        <v>-35.810316748697858</v>
      </c>
      <c r="EQ859" s="346">
        <v>-6.1247204068983763</v>
      </c>
      <c r="ER859" s="346">
        <v>133.02501269911872</v>
      </c>
      <c r="ES859" s="346">
        <v>-38.354691705353048</v>
      </c>
      <c r="ET859" s="346">
        <v>-20.123140095056328</v>
      </c>
      <c r="EU859" s="346">
        <v>-28.347085710509873</v>
      </c>
      <c r="EV859" s="346">
        <v>-14.960978180955749</v>
      </c>
      <c r="EW859" s="346">
        <v>-24.908431685148855</v>
      </c>
      <c r="EX859" s="348">
        <v>24.200090392358504</v>
      </c>
      <c r="EY859" s="346">
        <v>-8.8306522498460822</v>
      </c>
      <c r="EZ859" s="346">
        <v>19.13199471536393</v>
      </c>
      <c r="FA859" s="346">
        <v>22.794672488586684</v>
      </c>
      <c r="FB859" s="346">
        <v>24.439820383542326</v>
      </c>
      <c r="FC859" s="346">
        <v>-14.268215932085468</v>
      </c>
      <c r="FD859" s="346">
        <v>129.67879185472628</v>
      </c>
      <c r="FE859" s="346">
        <v>14.133880238806228</v>
      </c>
      <c r="FF859" s="346">
        <v>-45.826591749308136</v>
      </c>
      <c r="FG859" s="346">
        <v>5.9470562238067259</v>
      </c>
      <c r="FH859" s="346">
        <v>83.770729693757005</v>
      </c>
      <c r="FI859" s="346">
        <v>-68.82196742500139</v>
      </c>
      <c r="FJ859" s="348">
        <v>145.39293972985325</v>
      </c>
      <c r="FK859" s="346">
        <v>119.22756809261762</v>
      </c>
      <c r="FL859" s="346">
        <v>5.9306405438161391</v>
      </c>
      <c r="FM859" s="346">
        <v>98.694516976651812</v>
      </c>
      <c r="FN859" s="346">
        <v>-9.057834063051132</v>
      </c>
      <c r="FO859" s="346">
        <v>-76.022309625193884</v>
      </c>
      <c r="FP859" s="346">
        <v>146.24548047045073</v>
      </c>
      <c r="FQ859" s="346">
        <v>-36.124379113094506</v>
      </c>
      <c r="FR859" s="346">
        <v>-90.772845186500717</v>
      </c>
      <c r="FS859" s="346">
        <v>37.20937280164469</v>
      </c>
      <c r="FT859" s="346">
        <v>35.806373886548613</v>
      </c>
      <c r="FU859" s="346">
        <v>-97.295088708293861</v>
      </c>
      <c r="FV859" s="346">
        <v>-90.677475073203595</v>
      </c>
      <c r="FW859" s="346">
        <v>78.522244616155717</v>
      </c>
      <c r="FX859" s="346">
        <v>150.77380136965814</v>
      </c>
      <c r="FY859" s="346">
        <v>-109.44818969451944</v>
      </c>
      <c r="FZ859" s="346">
        <v>-17.128591436418333</v>
      </c>
      <c r="GA859" s="346">
        <v>4.2785840000238977</v>
      </c>
      <c r="GB859" s="346">
        <v>35.07372842622533</v>
      </c>
      <c r="GC859" s="346">
        <v>-108.48696695392698</v>
      </c>
      <c r="GD859" s="346">
        <v>-35.288567285679505</v>
      </c>
      <c r="GE859" s="346">
        <v>189.93827472271414</v>
      </c>
      <c r="GF859" s="346">
        <v>22.829456378854843</v>
      </c>
      <c r="GG859" s="346">
        <v>63.999985086299489</v>
      </c>
      <c r="GH859" s="346">
        <v>-66.354207961768452</v>
      </c>
      <c r="GI859" s="1897">
        <v>18.883942534729385</v>
      </c>
      <c r="GJ859" s="1897">
        <v>-150.80093141409645</v>
      </c>
      <c r="GK859" s="1897">
        <v>-32.643809034533206</v>
      </c>
      <c r="GL859" s="1897">
        <v>-29.711152254646777</v>
      </c>
      <c r="GM859" s="1897">
        <v>-18.307612423972841</v>
      </c>
      <c r="GN859" s="1897">
        <v>75.666283004808065</v>
      </c>
      <c r="GO859" s="1897">
        <v>-143.44657992192867</v>
      </c>
      <c r="GP859" s="1897">
        <v>-63.499206614089871</v>
      </c>
      <c r="GQ859" s="1897">
        <v>207.79942680876923</v>
      </c>
      <c r="GR859" s="1897">
        <v>126.6399665033839</v>
      </c>
      <c r="GS859" s="1897">
        <v>-19.768962422261893</v>
      </c>
      <c r="GT859" s="1897">
        <v>-48.655344108487952</v>
      </c>
      <c r="GU859" s="1897">
        <v>-70.699431190073028</v>
      </c>
      <c r="GV859" s="1897">
        <v>-100.59363837737999</v>
      </c>
      <c r="GW859" s="1897">
        <v>5.3201947278013222</v>
      </c>
      <c r="GX859" s="1897">
        <v>-70.733905147329097</v>
      </c>
      <c r="GY859" s="1897">
        <v>45.989285627810204</v>
      </c>
      <c r="GZ859" s="1897">
        <v>325.95467347122258</v>
      </c>
      <c r="HA859" s="1897">
        <v>-259.77845545331081</v>
      </c>
      <c r="HB859" s="1897">
        <v>-90.39830248670205</v>
      </c>
      <c r="HC859" s="1897">
        <v>107.08408912873551</v>
      </c>
      <c r="HD859" s="1897">
        <v>22.794787917201575</v>
      </c>
      <c r="HE859" s="1897">
        <v>-86.425365740452662</v>
      </c>
      <c r="HF859" s="1897">
        <v>141.39752065027028</v>
      </c>
      <c r="HG859" s="1897">
        <v>-100.01680353751931</v>
      </c>
      <c r="HH859" s="1897">
        <v>-34.00576938049187</v>
      </c>
      <c r="HI859" s="1897">
        <v>38.935020963764259</v>
      </c>
      <c r="HJ859" s="1897">
        <v>-60.134562970893057</v>
      </c>
      <c r="HK859" s="1897">
        <v>48.35556005092451</v>
      </c>
      <c r="HL859" s="1897">
        <v>779.79800776010848</v>
      </c>
      <c r="HM859" s="1897"/>
      <c r="HN859" s="349"/>
      <c r="HO859" s="358" t="s">
        <v>598</v>
      </c>
      <c r="HP859" s="307">
        <f>SUM(CE859:CJ859)</f>
        <v>66.741313923999996</v>
      </c>
      <c r="HQ859" s="302">
        <f>SUM(CK859:CP859)</f>
        <v>-158.07500854512884</v>
      </c>
      <c r="HR859" s="346">
        <f>HP859+HQ859</f>
        <v>-91.333694621128842</v>
      </c>
      <c r="HS859" s="302">
        <f>SUM(CQ859:CV859)</f>
        <v>43.61423076440866</v>
      </c>
      <c r="HT859" s="302">
        <f>SUM(CW859:DB859)</f>
        <v>-89.000857572534485</v>
      </c>
      <c r="HU859" s="346">
        <f>HS859+HT859</f>
        <v>-45.386626808125826</v>
      </c>
      <c r="HV859" s="307">
        <f>SUM(DC859:DH859)</f>
        <v>102.52476730601879</v>
      </c>
      <c r="HW859" s="302">
        <f>SUM(DI859:DN859)</f>
        <v>-73.51991747005178</v>
      </c>
      <c r="HX859" s="346">
        <f>HV859+HW859</f>
        <v>29.004849835967008</v>
      </c>
      <c r="HY859" s="350">
        <f>SUM(DO859:DT859)</f>
        <v>78.406939150241357</v>
      </c>
      <c r="HZ859" s="302">
        <f>SUM(DU859:DZ859)</f>
        <v>-65.562923813707528</v>
      </c>
      <c r="IA859" s="346">
        <f>HY859+HZ859</f>
        <v>12.844015336533829</v>
      </c>
      <c r="IB859" s="302">
        <f>SUM(EA859:EF859)</f>
        <v>116.06071826871232</v>
      </c>
      <c r="IC859" s="302">
        <f>SUM(EG859:EL859)</f>
        <v>-67.874385685925319</v>
      </c>
      <c r="ID859" s="346">
        <f>IB859+IC859</f>
        <v>48.186332582787003</v>
      </c>
      <c r="IE859" s="350">
        <f>SUM(EM859:ER859)</f>
        <v>141.13007642452689</v>
      </c>
      <c r="IF859" s="350">
        <f>SUM(ES859:EX859)</f>
        <v>-102.49423698466535</v>
      </c>
      <c r="IG859" s="346">
        <f>IE859+IF859</f>
        <v>38.635839439861542</v>
      </c>
      <c r="IH859" s="350">
        <f>SUM(EY859:FD859)</f>
        <v>172.94641126028768</v>
      </c>
      <c r="II859" s="350">
        <f>SUM(FE859:FJ859)</f>
        <v>134.59604671191369</v>
      </c>
      <c r="IJ859" s="346">
        <f>IH859+II859</f>
        <v>307.54245797220136</v>
      </c>
      <c r="IK859" s="350">
        <f>SUM(FK859:FP859)</f>
        <v>285.01806239529128</v>
      </c>
      <c r="IL859" s="350">
        <f t="shared" ref="IL859:IL890" si="1411">SUM(FQ859:FV859)</f>
        <v>-241.85404139289938</v>
      </c>
      <c r="IM859" s="346">
        <f t="shared" si="1183"/>
        <v>43.164021002391905</v>
      </c>
      <c r="IN859" s="350">
        <f t="shared" si="1389"/>
        <v>142.07157728112531</v>
      </c>
      <c r="IO859" s="350">
        <f t="shared" si="1390"/>
        <v>66.637973986493535</v>
      </c>
      <c r="IP859" s="346">
        <f t="shared" si="1294"/>
        <v>208.70955126761885</v>
      </c>
      <c r="IQ859" s="350">
        <f t="shared" si="1391"/>
        <v>-136.91327958771183</v>
      </c>
      <c r="IR859" s="350">
        <f t="shared" si="1392"/>
        <v>59.069300245384738</v>
      </c>
      <c r="IS859" s="346">
        <f t="shared" si="1410"/>
        <v>-77.843979342327088</v>
      </c>
      <c r="IT859" s="350">
        <f t="shared" ref="IT859:IT889" si="1412">SUM(GU859:GZ859)</f>
        <v>135.23717911205199</v>
      </c>
      <c r="IU859" s="350">
        <f t="shared" ref="IU859:IU890" si="1413">SUM(HA859:HF859)</f>
        <v>-165.32572598425816</v>
      </c>
      <c r="IV859" s="346">
        <f t="shared" si="1409"/>
        <v>-30.088546872206166</v>
      </c>
      <c r="IW859" s="350">
        <f t="shared" si="1256"/>
        <v>672.93145288589301</v>
      </c>
      <c r="IX859" s="350">
        <f t="shared" si="1252"/>
        <v>-503.23382919223604</v>
      </c>
      <c r="IY859" s="346">
        <f>FISC!AJ1176</f>
        <v>169.69762369365699</v>
      </c>
      <c r="IZ859" s="350">
        <f>JB859/2</f>
        <v>55.119641157447958</v>
      </c>
      <c r="JA859" s="350">
        <f>JB859/2</f>
        <v>55.119641157447958</v>
      </c>
      <c r="JB859" s="346">
        <f>FISC!AK1176</f>
        <v>110.23928231489592</v>
      </c>
      <c r="JC859" s="350">
        <f>JE859/2</f>
        <v>61.946093302381556</v>
      </c>
      <c r="JD859" s="350">
        <f>JE859/2</f>
        <v>61.946093302381556</v>
      </c>
      <c r="JE859" s="346">
        <f>FISC!AL1176</f>
        <v>123.89218660476311</v>
      </c>
      <c r="JF859" s="350">
        <f>JH859/2</f>
        <v>69.707403796749219</v>
      </c>
      <c r="JG859" s="350">
        <f>JH859/2</f>
        <v>69.707403796749219</v>
      </c>
      <c r="JH859" s="346">
        <f>FISC!AM1176</f>
        <v>139.41480759349844</v>
      </c>
      <c r="JI859" s="350">
        <f>JK859/2</f>
        <v>48.500112592469073</v>
      </c>
      <c r="JJ859" s="350">
        <f>JK859/2</f>
        <v>48.500112592469073</v>
      </c>
      <c r="JK859" s="346">
        <f>FISC!AN1176</f>
        <v>97.000225184938145</v>
      </c>
      <c r="JL859" s="350">
        <f>JN859/2</f>
        <v>54.491285413808662</v>
      </c>
      <c r="JM859" s="350">
        <f>JN859/2</f>
        <v>54.491285413808662</v>
      </c>
      <c r="JN859" s="346">
        <f>FISC!AO1176</f>
        <v>108.98257082761732</v>
      </c>
      <c r="KI859" s="349"/>
      <c r="KJ859" s="350"/>
    </row>
    <row r="860" spans="1:302" hidden="1" outlineLevel="1">
      <c r="A860" s="302"/>
      <c r="D860" s="1731" t="s">
        <v>3232</v>
      </c>
      <c r="E860" s="346"/>
      <c r="F860" s="346"/>
      <c r="G860" s="346"/>
      <c r="H860" s="346"/>
      <c r="I860" s="346"/>
      <c r="J860" s="346"/>
      <c r="K860" s="346"/>
      <c r="L860" s="346"/>
      <c r="M860" s="346"/>
      <c r="N860" s="346"/>
      <c r="O860" s="346"/>
      <c r="P860" s="346"/>
      <c r="Q860" s="346"/>
      <c r="R860" s="346"/>
      <c r="S860" s="346"/>
      <c r="T860" s="346"/>
      <c r="U860" s="346"/>
      <c r="V860" s="346"/>
      <c r="W860" s="346"/>
      <c r="X860" s="346"/>
      <c r="Y860" s="346"/>
      <c r="Z860" s="346"/>
      <c r="AA860" s="346"/>
      <c r="AB860" s="346"/>
      <c r="AC860" s="346"/>
      <c r="AD860" s="346"/>
      <c r="AE860" s="346"/>
      <c r="AF860" s="346"/>
      <c r="AG860" s="346"/>
      <c r="AH860" s="346"/>
      <c r="AI860" s="346"/>
      <c r="AJ860" s="346"/>
      <c r="AK860" s="346"/>
      <c r="AL860" s="346"/>
      <c r="AM860" s="346"/>
      <c r="AN860" s="346"/>
      <c r="AO860" s="346"/>
      <c r="AP860" s="346"/>
      <c r="AQ860" s="346"/>
      <c r="AR860" s="346"/>
      <c r="AS860" s="346"/>
      <c r="AT860" s="346"/>
      <c r="AU860" s="346"/>
      <c r="AV860" s="346"/>
      <c r="AW860" s="346"/>
      <c r="AX860" s="346"/>
      <c r="AY860" s="346"/>
      <c r="AZ860" s="346"/>
      <c r="BA860" s="346"/>
      <c r="BB860" s="346"/>
      <c r="BC860" s="346"/>
      <c r="BD860" s="346"/>
      <c r="BE860" s="346"/>
      <c r="BF860" s="346"/>
      <c r="BG860" s="346"/>
      <c r="BH860" s="346"/>
      <c r="BI860" s="346"/>
      <c r="BJ860" s="346"/>
      <c r="BK860" s="346"/>
      <c r="BL860" s="346"/>
      <c r="BM860" s="346"/>
      <c r="BN860" s="346"/>
      <c r="BO860" s="346"/>
      <c r="BP860" s="346"/>
      <c r="BQ860" s="346"/>
      <c r="BR860" s="346"/>
      <c r="BS860" s="346"/>
      <c r="BT860" s="346"/>
      <c r="BU860" s="346"/>
      <c r="BV860" s="346"/>
      <c r="BW860" s="346"/>
      <c r="BX860" s="346"/>
      <c r="BY860" s="346"/>
      <c r="BZ860" s="346"/>
      <c r="CA860" s="346"/>
      <c r="CB860" s="346"/>
      <c r="CC860" s="346"/>
      <c r="CD860" s="352"/>
      <c r="CE860" s="346"/>
      <c r="CF860" s="346"/>
      <c r="CG860" s="346"/>
      <c r="CH860" s="346"/>
      <c r="CI860" s="346"/>
      <c r="CJ860" s="346"/>
      <c r="CK860" s="346"/>
      <c r="CL860" s="346"/>
      <c r="CM860" s="346"/>
      <c r="CN860" s="346"/>
      <c r="CO860" s="346"/>
      <c r="CP860" s="348"/>
      <c r="CQ860" s="346"/>
      <c r="CR860" s="346"/>
      <c r="CS860" s="346"/>
      <c r="CT860" s="346"/>
      <c r="CU860" s="346"/>
      <c r="CV860" s="346"/>
      <c r="CW860" s="346"/>
      <c r="CX860" s="346"/>
      <c r="CY860" s="346"/>
      <c r="CZ860" s="346"/>
      <c r="DA860" s="346"/>
      <c r="DB860" s="1479"/>
      <c r="DC860" s="346"/>
      <c r="DD860" s="346"/>
      <c r="DE860" s="346"/>
      <c r="DF860" s="346"/>
      <c r="DG860" s="346"/>
      <c r="DH860" s="346"/>
      <c r="DI860" s="346"/>
      <c r="DJ860" s="346"/>
      <c r="DK860" s="346"/>
      <c r="DL860" s="346"/>
      <c r="DM860" s="346"/>
      <c r="DN860" s="348"/>
      <c r="DO860" s="346"/>
      <c r="DP860" s="346"/>
      <c r="DQ860" s="346"/>
      <c r="DR860" s="346"/>
      <c r="DS860" s="346"/>
      <c r="DT860" s="346"/>
      <c r="DU860" s="346"/>
      <c r="DV860" s="346"/>
      <c r="DW860" s="346"/>
      <c r="DX860" s="346"/>
      <c r="DY860" s="346"/>
      <c r="DZ860" s="348"/>
      <c r="EA860" s="346"/>
      <c r="EB860" s="346"/>
      <c r="EC860" s="346"/>
      <c r="ED860" s="346"/>
      <c r="EE860" s="346"/>
      <c r="EF860" s="346"/>
      <c r="EG860" s="346"/>
      <c r="EH860" s="346"/>
      <c r="EI860" s="346"/>
      <c r="EJ860" s="346"/>
      <c r="EK860" s="346"/>
      <c r="EL860" s="348"/>
      <c r="EM860" s="346"/>
      <c r="EN860" s="346"/>
      <c r="EO860" s="346"/>
      <c r="EP860" s="346"/>
      <c r="EQ860" s="346"/>
      <c r="ER860" s="346"/>
      <c r="ES860" s="346"/>
      <c r="ET860" s="346"/>
      <c r="EU860" s="346"/>
      <c r="EV860" s="346"/>
      <c r="EW860" s="346"/>
      <c r="EX860" s="348"/>
      <c r="EY860" s="346"/>
      <c r="EZ860" s="346"/>
      <c r="FA860" s="346"/>
      <c r="FB860" s="346"/>
      <c r="FC860" s="346"/>
      <c r="FD860" s="346"/>
      <c r="FE860" s="346"/>
      <c r="FF860" s="346"/>
      <c r="FG860" s="346"/>
      <c r="FH860" s="346"/>
      <c r="FI860" s="346"/>
      <c r="FJ860" s="348"/>
      <c r="FK860" s="346"/>
      <c r="FL860" s="346"/>
      <c r="FM860" s="346"/>
      <c r="FN860" s="346"/>
      <c r="FO860" s="346"/>
      <c r="FP860" s="346"/>
      <c r="FQ860" s="346"/>
      <c r="FR860" s="346"/>
      <c r="FS860" s="346"/>
      <c r="FT860" s="346"/>
      <c r="FU860" s="346"/>
      <c r="FV860" s="346"/>
      <c r="FW860" s="346"/>
      <c r="FX860" s="346"/>
      <c r="FY860" s="346"/>
      <c r="FZ860" s="346"/>
      <c r="GA860" s="346"/>
      <c r="GB860" s="346"/>
      <c r="GC860" s="346"/>
      <c r="GD860" s="346"/>
      <c r="GE860" s="346"/>
      <c r="GF860" s="346"/>
      <c r="GG860" s="346"/>
      <c r="GH860" s="346"/>
      <c r="GI860" s="1897"/>
      <c r="HN860" s="349"/>
      <c r="HO860" s="1731" t="s">
        <v>3232</v>
      </c>
      <c r="HP860" s="307"/>
      <c r="HR860" s="346"/>
      <c r="HU860" s="346"/>
      <c r="HV860" s="307"/>
      <c r="HX860" s="346"/>
      <c r="HY860" s="350"/>
      <c r="IA860" s="346"/>
      <c r="ID860" s="346"/>
      <c r="IE860" s="350"/>
      <c r="IF860" s="350"/>
      <c r="IG860" s="346"/>
      <c r="IH860" s="350"/>
      <c r="II860" s="350"/>
      <c r="IJ860" s="346"/>
      <c r="IK860" s="350">
        <v>0</v>
      </c>
      <c r="IL860" s="350">
        <f t="shared" si="1411"/>
        <v>0</v>
      </c>
      <c r="IM860" s="346">
        <f t="shared" si="1183"/>
        <v>0</v>
      </c>
      <c r="IN860" s="350">
        <f t="shared" si="1389"/>
        <v>0</v>
      </c>
      <c r="IO860" s="350">
        <f t="shared" si="1390"/>
        <v>0</v>
      </c>
      <c r="IP860" s="346">
        <f t="shared" si="1294"/>
        <v>0</v>
      </c>
      <c r="IQ860" s="350">
        <f t="shared" si="1391"/>
        <v>0</v>
      </c>
      <c r="IR860" s="350">
        <f t="shared" si="1392"/>
        <v>0</v>
      </c>
      <c r="IS860" s="346">
        <f t="shared" si="1410"/>
        <v>0</v>
      </c>
      <c r="IT860" s="350">
        <f t="shared" si="1412"/>
        <v>0</v>
      </c>
      <c r="IU860" s="350">
        <f t="shared" si="1413"/>
        <v>0</v>
      </c>
      <c r="IV860" s="346">
        <f t="shared" si="1409"/>
        <v>0</v>
      </c>
      <c r="IW860" s="350">
        <f t="shared" si="1256"/>
        <v>0</v>
      </c>
      <c r="IX860" s="350">
        <f t="shared" si="1252"/>
        <v>0</v>
      </c>
      <c r="IY860" s="346">
        <f>FISC!AJ1177</f>
        <v>0</v>
      </c>
      <c r="IZ860" s="350">
        <f>JB860/2</f>
        <v>0</v>
      </c>
      <c r="JA860" s="350">
        <f>JB860-IZ860</f>
        <v>0</v>
      </c>
      <c r="JB860" s="346">
        <f>FISC!AK1177</f>
        <v>0</v>
      </c>
      <c r="JC860" s="350">
        <f>JE860/2</f>
        <v>0</v>
      </c>
      <c r="JD860" s="350">
        <f>JE860-JC860</f>
        <v>0</v>
      </c>
      <c r="JE860" s="346">
        <f>FISC!AL1177</f>
        <v>0</v>
      </c>
      <c r="JH860" s="346">
        <f>FISC!AM1177</f>
        <v>0</v>
      </c>
      <c r="JK860" s="346">
        <f>FISC!AN1177</f>
        <v>0</v>
      </c>
      <c r="JN860" s="346">
        <f>FISC!AO1177</f>
        <v>0</v>
      </c>
      <c r="KI860" s="349"/>
      <c r="KJ860" s="350"/>
    </row>
    <row r="861" spans="1:302" hidden="1" outlineLevel="1">
      <c r="A861" s="302"/>
      <c r="B861" s="117" t="s">
        <v>361</v>
      </c>
      <c r="D861" s="358" t="s">
        <v>3184</v>
      </c>
      <c r="E861" s="346"/>
      <c r="F861" s="346"/>
      <c r="G861" s="346"/>
      <c r="H861" s="346"/>
      <c r="I861" s="346"/>
      <c r="J861" s="346"/>
      <c r="K861" s="346"/>
      <c r="L861" s="346"/>
      <c r="M861" s="346"/>
      <c r="N861" s="346"/>
      <c r="O861" s="346"/>
      <c r="P861" s="346"/>
      <c r="Q861" s="346"/>
      <c r="R861" s="346"/>
      <c r="S861" s="346"/>
      <c r="T861" s="346"/>
      <c r="U861" s="346"/>
      <c r="V861" s="346"/>
      <c r="W861" s="346"/>
      <c r="X861" s="346"/>
      <c r="Y861" s="346"/>
      <c r="Z861" s="346"/>
      <c r="AA861" s="346"/>
      <c r="AB861" s="346"/>
      <c r="AC861" s="346"/>
      <c r="AD861" s="346"/>
      <c r="AE861" s="346"/>
      <c r="AF861" s="346"/>
      <c r="AG861" s="346"/>
      <c r="AH861" s="346"/>
      <c r="AI861" s="346"/>
      <c r="AJ861" s="346"/>
      <c r="AK861" s="346"/>
      <c r="AL861" s="346"/>
      <c r="AM861" s="346"/>
      <c r="AN861" s="346"/>
      <c r="AO861" s="346"/>
      <c r="AP861" s="346"/>
      <c r="AQ861" s="346"/>
      <c r="AR861" s="346"/>
      <c r="AS861" s="346"/>
      <c r="AT861" s="346"/>
      <c r="AU861" s="346"/>
      <c r="AV861" s="346"/>
      <c r="AW861" s="346"/>
      <c r="AX861" s="346"/>
      <c r="AY861" s="346"/>
      <c r="AZ861" s="346"/>
      <c r="BA861" s="346"/>
      <c r="BB861" s="346"/>
      <c r="BC861" s="346"/>
      <c r="BD861" s="346"/>
      <c r="BE861" s="346"/>
      <c r="BF861" s="346"/>
      <c r="BG861" s="346"/>
      <c r="BH861" s="346"/>
      <c r="BI861" s="346"/>
      <c r="BJ861" s="346"/>
      <c r="BK861" s="346"/>
      <c r="BL861" s="346"/>
      <c r="BM861" s="346"/>
      <c r="BN861" s="346"/>
      <c r="BO861" s="346"/>
      <c r="BP861" s="346"/>
      <c r="BQ861" s="346"/>
      <c r="BR861" s="346"/>
      <c r="BS861" s="346"/>
      <c r="BT861" s="346"/>
      <c r="BU861" s="346"/>
      <c r="BV861" s="346"/>
      <c r="BW861" s="346"/>
      <c r="BX861" s="346"/>
      <c r="BY861" s="346"/>
      <c r="BZ861" s="346"/>
      <c r="CA861" s="346"/>
      <c r="CB861" s="346"/>
      <c r="CC861" s="346"/>
      <c r="CD861" s="352"/>
      <c r="CE861" s="346">
        <v>0</v>
      </c>
      <c r="CF861" s="346">
        <v>0</v>
      </c>
      <c r="CG861" s="346">
        <v>0</v>
      </c>
      <c r="CH861" s="346">
        <v>0</v>
      </c>
      <c r="CI861" s="346">
        <v>0</v>
      </c>
      <c r="CJ861" s="346">
        <v>0</v>
      </c>
      <c r="CK861" s="346">
        <v>0</v>
      </c>
      <c r="CL861" s="346">
        <v>0</v>
      </c>
      <c r="CM861" s="346">
        <v>0</v>
      </c>
      <c r="CN861" s="346">
        <v>0</v>
      </c>
      <c r="CO861" s="346">
        <v>0</v>
      </c>
      <c r="CP861" s="348">
        <v>0</v>
      </c>
      <c r="CQ861" s="346">
        <v>0</v>
      </c>
      <c r="CR861" s="346">
        <v>0</v>
      </c>
      <c r="CS861" s="346">
        <v>0</v>
      </c>
      <c r="CT861" s="346">
        <v>0</v>
      </c>
      <c r="CU861" s="346">
        <v>0</v>
      </c>
      <c r="CV861" s="346">
        <v>0</v>
      </c>
      <c r="CW861" s="346">
        <v>0</v>
      </c>
      <c r="CX861" s="346">
        <v>0</v>
      </c>
      <c r="CY861" s="346">
        <v>0</v>
      </c>
      <c r="CZ861" s="346">
        <v>0</v>
      </c>
      <c r="DA861" s="346">
        <v>0</v>
      </c>
      <c r="DB861" s="1479">
        <v>0</v>
      </c>
      <c r="DC861" s="346">
        <v>0</v>
      </c>
      <c r="DD861" s="346">
        <v>0</v>
      </c>
      <c r="DE861" s="346">
        <v>0</v>
      </c>
      <c r="DF861" s="346">
        <v>0</v>
      </c>
      <c r="DG861" s="346">
        <v>0</v>
      </c>
      <c r="DH861" s="346">
        <v>0</v>
      </c>
      <c r="DI861" s="346">
        <v>0</v>
      </c>
      <c r="DJ861" s="346">
        <v>0</v>
      </c>
      <c r="DK861" s="346">
        <v>0</v>
      </c>
      <c r="DL861" s="346">
        <v>0</v>
      </c>
      <c r="DM861" s="346">
        <v>0</v>
      </c>
      <c r="DN861" s="348">
        <v>0</v>
      </c>
      <c r="DO861" s="346">
        <v>0</v>
      </c>
      <c r="DP861" s="346">
        <v>0</v>
      </c>
      <c r="DQ861" s="346">
        <v>0</v>
      </c>
      <c r="DR861" s="346">
        <v>0</v>
      </c>
      <c r="DS861" s="346">
        <v>0</v>
      </c>
      <c r="DT861" s="346">
        <v>0</v>
      </c>
      <c r="DU861" s="346">
        <v>0</v>
      </c>
      <c r="DV861" s="346">
        <v>0</v>
      </c>
      <c r="DW861" s="346">
        <v>0</v>
      </c>
      <c r="DX861" s="346">
        <v>0</v>
      </c>
      <c r="DY861" s="346">
        <v>0</v>
      </c>
      <c r="DZ861" s="348">
        <v>0</v>
      </c>
      <c r="EA861" s="346">
        <v>0</v>
      </c>
      <c r="EB861" s="346">
        <v>0</v>
      </c>
      <c r="EC861" s="346">
        <v>0</v>
      </c>
      <c r="ED861" s="346">
        <v>0</v>
      </c>
      <c r="EE861" s="346">
        <v>0</v>
      </c>
      <c r="EF861" s="346">
        <v>0</v>
      </c>
      <c r="EG861" s="346">
        <v>0</v>
      </c>
      <c r="EH861" s="346">
        <v>0</v>
      </c>
      <c r="EI861" s="346">
        <v>0</v>
      </c>
      <c r="EJ861" s="346">
        <v>0</v>
      </c>
      <c r="EK861" s="346">
        <v>0</v>
      </c>
      <c r="EL861" s="348">
        <v>0</v>
      </c>
      <c r="EM861" s="346">
        <v>0</v>
      </c>
      <c r="EN861" s="346">
        <v>0</v>
      </c>
      <c r="EO861" s="346">
        <v>0</v>
      </c>
      <c r="EP861" s="346">
        <v>0</v>
      </c>
      <c r="EQ861" s="346">
        <v>0</v>
      </c>
      <c r="ER861" s="346">
        <v>0</v>
      </c>
      <c r="ES861" s="346">
        <v>0</v>
      </c>
      <c r="ET861" s="346">
        <v>0</v>
      </c>
      <c r="EU861" s="346">
        <v>0</v>
      </c>
      <c r="EV861" s="346">
        <v>0</v>
      </c>
      <c r="EW861" s="346">
        <v>0</v>
      </c>
      <c r="EX861" s="348">
        <v>0</v>
      </c>
      <c r="EY861" s="346">
        <v>0</v>
      </c>
      <c r="EZ861" s="346">
        <v>0</v>
      </c>
      <c r="FA861" s="346">
        <v>0</v>
      </c>
      <c r="FB861" s="346">
        <v>0</v>
      </c>
      <c r="FC861" s="346">
        <v>0</v>
      </c>
      <c r="FD861" s="346">
        <v>0</v>
      </c>
      <c r="FE861" s="346">
        <v>0</v>
      </c>
      <c r="FF861" s="346">
        <v>0</v>
      </c>
      <c r="FG861" s="346">
        <v>0</v>
      </c>
      <c r="FH861" s="346">
        <v>0</v>
      </c>
      <c r="FI861" s="346">
        <v>0</v>
      </c>
      <c r="FJ861" s="348">
        <v>0</v>
      </c>
      <c r="FK861" s="346">
        <v>0</v>
      </c>
      <c r="FL861" s="346">
        <v>0</v>
      </c>
      <c r="FM861" s="346">
        <v>0</v>
      </c>
      <c r="FN861" s="346">
        <v>0</v>
      </c>
      <c r="FO861" s="346">
        <v>0</v>
      </c>
      <c r="FP861" s="346">
        <v>0</v>
      </c>
      <c r="FQ861" s="346">
        <v>0</v>
      </c>
      <c r="FR861" s="346">
        <v>0</v>
      </c>
      <c r="FS861" s="346">
        <v>0</v>
      </c>
      <c r="FT861" s="346">
        <v>0</v>
      </c>
      <c r="FU861" s="346">
        <v>0</v>
      </c>
      <c r="FV861" s="346">
        <v>0</v>
      </c>
      <c r="FW861" s="346">
        <v>0</v>
      </c>
      <c r="FX861" s="346">
        <v>0</v>
      </c>
      <c r="FY861" s="346">
        <v>0</v>
      </c>
      <c r="FZ861" s="346">
        <v>0</v>
      </c>
      <c r="GA861" s="346">
        <v>0</v>
      </c>
      <c r="GB861" s="346">
        <v>0</v>
      </c>
      <c r="GC861" s="346">
        <v>0</v>
      </c>
      <c r="GD861" s="346">
        <v>0</v>
      </c>
      <c r="GE861" s="346">
        <v>0</v>
      </c>
      <c r="GF861" s="346">
        <v>0</v>
      </c>
      <c r="GG861" s="346">
        <v>0</v>
      </c>
      <c r="GH861" s="346">
        <v>0</v>
      </c>
      <c r="GI861" s="1903">
        <f>GI862</f>
        <v>1.879521035</v>
      </c>
      <c r="GJ861" s="1903">
        <f t="shared" ref="GJ861:HL861" si="1414">GJ862</f>
        <v>2.1783190979999998</v>
      </c>
      <c r="GK861" s="1903">
        <f t="shared" si="1414"/>
        <v>2.1223117720000002</v>
      </c>
      <c r="GL861" s="1903">
        <f t="shared" si="1414"/>
        <v>1.8411083859999999</v>
      </c>
      <c r="GM861" s="1903">
        <f t="shared" si="1414"/>
        <v>2.0267621070000001</v>
      </c>
      <c r="GN861" s="1903">
        <f t="shared" si="1414"/>
        <v>2.1458013060000001</v>
      </c>
      <c r="GO861" s="1903">
        <f>GO862</f>
        <v>2.0240819110000001</v>
      </c>
      <c r="GP861" s="1903">
        <f t="shared" si="1414"/>
        <v>1.9149301700000001</v>
      </c>
      <c r="GQ861" s="1903">
        <f t="shared" si="1414"/>
        <v>2.1255325799999998</v>
      </c>
      <c r="GR861" s="1903">
        <f t="shared" si="1414"/>
        <v>1.6310646289999999</v>
      </c>
      <c r="GS861" s="1903">
        <f t="shared" si="1414"/>
        <v>2.2950203239999998</v>
      </c>
      <c r="GT861" s="1903">
        <f t="shared" si="1414"/>
        <v>2.2538759659999998</v>
      </c>
      <c r="GU861" s="1903">
        <f t="shared" si="1414"/>
        <v>2.12214714</v>
      </c>
      <c r="GV861" s="1903">
        <f t="shared" si="1414"/>
        <v>2.1670857479999999</v>
      </c>
      <c r="GW861" s="1903">
        <f t="shared" si="1414"/>
        <v>2.1718456270000002</v>
      </c>
      <c r="GX861" s="1903">
        <f t="shared" si="1414"/>
        <v>2.220623019</v>
      </c>
      <c r="GY861" s="1903">
        <f t="shared" si="1414"/>
        <v>2.204828091</v>
      </c>
      <c r="GZ861" s="1903">
        <f t="shared" si="1414"/>
        <v>2.442708648</v>
      </c>
      <c r="HA861" s="1903">
        <f t="shared" si="1414"/>
        <v>2.610357413</v>
      </c>
      <c r="HB861" s="1903">
        <f t="shared" si="1414"/>
        <v>2.18930932</v>
      </c>
      <c r="HC861" s="1903">
        <f t="shared" si="1414"/>
        <v>2.5189404280000001</v>
      </c>
      <c r="HD861" s="1903">
        <f t="shared" si="1414"/>
        <v>2.7636696440000001</v>
      </c>
      <c r="HE861" s="1903">
        <f t="shared" si="1414"/>
        <v>2.744250488</v>
      </c>
      <c r="HF861" s="1903">
        <f t="shared" si="1414"/>
        <v>3.0336654850000002</v>
      </c>
      <c r="HG861" s="1903">
        <f t="shared" si="1414"/>
        <v>2.7809004339999999</v>
      </c>
      <c r="HH861" s="1903">
        <f t="shared" si="1414"/>
        <v>2.9228121969999998</v>
      </c>
      <c r="HI861" s="1903">
        <f t="shared" si="1414"/>
        <v>2.6849386069999999</v>
      </c>
      <c r="HJ861" s="1903">
        <f t="shared" si="1414"/>
        <v>2.7153306050000001</v>
      </c>
      <c r="HK861" s="1903">
        <f t="shared" si="1414"/>
        <v>2.5944976670000002</v>
      </c>
      <c r="HL861" s="1903">
        <f t="shared" si="1414"/>
        <v>2.8544775250000001</v>
      </c>
      <c r="HM861" s="1903"/>
      <c r="HN861" s="349"/>
      <c r="HO861" s="358" t="s">
        <v>3184</v>
      </c>
      <c r="HP861" s="307">
        <f>SUM(CE861:CJ861)</f>
        <v>0</v>
      </c>
      <c r="HQ861" s="302">
        <f>SUM(CK861:CP861)</f>
        <v>0</v>
      </c>
      <c r="HR861" s="346">
        <f>HP861+HQ861</f>
        <v>0</v>
      </c>
      <c r="HS861" s="302">
        <f>SUM(CQ861:CV861)</f>
        <v>0</v>
      </c>
      <c r="HT861" s="302">
        <f>SUM(CW861:DB861)</f>
        <v>0</v>
      </c>
      <c r="HU861" s="346">
        <f>HS861+HT861</f>
        <v>0</v>
      </c>
      <c r="HV861" s="307">
        <f>SUM(DC861:DH861)</f>
        <v>0</v>
      </c>
      <c r="HW861" s="302">
        <f>SUM(DI861:DN861)</f>
        <v>0</v>
      </c>
      <c r="HX861" s="346">
        <f>HV861+HW861</f>
        <v>0</v>
      </c>
      <c r="HY861" s="350">
        <f>SUM(DO861:DT861)</f>
        <v>0</v>
      </c>
      <c r="HZ861" s="302">
        <f>SUM(DU861:DZ861)</f>
        <v>0</v>
      </c>
      <c r="IA861" s="346">
        <f>HY861+HZ861</f>
        <v>0</v>
      </c>
      <c r="IB861" s="302">
        <f>SUM(EA861:EF861)</f>
        <v>0</v>
      </c>
      <c r="IC861" s="302">
        <f>SUM(EG861:EL861)</f>
        <v>0</v>
      </c>
      <c r="ID861" s="346">
        <f>IB861+IC861</f>
        <v>0</v>
      </c>
      <c r="IE861" s="350">
        <f>SUM(EM861:ER861)</f>
        <v>0</v>
      </c>
      <c r="IF861" s="350">
        <f>SUM(ES861:EX861)</f>
        <v>0</v>
      </c>
      <c r="IG861" s="346">
        <f>IE861+IF861</f>
        <v>0</v>
      </c>
      <c r="IH861" s="350">
        <f>SUM(EY861:FD861)</f>
        <v>0</v>
      </c>
      <c r="II861" s="350">
        <f>SUM(FE861:FJ861)</f>
        <v>0</v>
      </c>
      <c r="IJ861" s="346">
        <f>IH861+II861</f>
        <v>0</v>
      </c>
      <c r="IK861" s="350">
        <f>SUM(FK861:FP861)*0+IK862+IK863</f>
        <v>7.2977012000000006</v>
      </c>
      <c r="IL861" s="350">
        <f t="shared" si="1411"/>
        <v>0</v>
      </c>
      <c r="IM861" s="346">
        <f t="shared" si="1183"/>
        <v>7.2977012000000006</v>
      </c>
      <c r="IN861" s="350">
        <f t="shared" si="1389"/>
        <v>0</v>
      </c>
      <c r="IO861" s="350">
        <f t="shared" si="1390"/>
        <v>0</v>
      </c>
      <c r="IP861" s="346">
        <f t="shared" si="1294"/>
        <v>0</v>
      </c>
      <c r="IQ861" s="350">
        <f t="shared" si="1391"/>
        <v>12.193823704</v>
      </c>
      <c r="IR861" s="350">
        <f t="shared" si="1392"/>
        <v>12.244505579999998</v>
      </c>
      <c r="IS861" s="346">
        <f t="shared" si="1410"/>
        <v>24.438329283999998</v>
      </c>
      <c r="IT861" s="350">
        <f t="shared" si="1412"/>
        <v>13.329238273</v>
      </c>
      <c r="IU861" s="350">
        <f t="shared" si="1413"/>
        <v>15.860192778000002</v>
      </c>
      <c r="IV861" s="346">
        <f t="shared" si="1409"/>
        <v>29.189431051</v>
      </c>
      <c r="IW861" s="350">
        <f t="shared" si="1256"/>
        <v>16.552957034999999</v>
      </c>
      <c r="IX861" s="350">
        <f t="shared" si="1252"/>
        <v>12.854101760600003</v>
      </c>
      <c r="IY861" s="346">
        <f>FISC!AJ1178</f>
        <v>29.407058795600001</v>
      </c>
      <c r="IZ861" s="350">
        <f t="shared" ref="IZ861:IZ875" si="1415">JB861/2</f>
        <v>16.089180782418648</v>
      </c>
      <c r="JA861" s="350">
        <f t="shared" ref="JA861:JA873" si="1416">JB861-IZ861</f>
        <v>16.089180782418648</v>
      </c>
      <c r="JB861" s="346">
        <f>FISC!AK1178</f>
        <v>32.178361564837296</v>
      </c>
      <c r="JC861" s="350">
        <f t="shared" ref="JC861:JC875" si="1417">JE861/2</f>
        <v>19.815813661301803</v>
      </c>
      <c r="JD861" s="350">
        <f t="shared" ref="JD861:JD873" si="1418">JE861-JC861</f>
        <v>19.815813661301803</v>
      </c>
      <c r="JE861" s="346">
        <f>FISC!AL1178</f>
        <v>39.631627322603606</v>
      </c>
      <c r="JF861" s="350">
        <f t="shared" ref="JF861:JF875" si="1419">JH861/2</f>
        <v>23.565627370532606</v>
      </c>
      <c r="JG861" s="350">
        <f t="shared" ref="JG861:JG873" si="1420">JH861-JF861</f>
        <v>23.565627370532606</v>
      </c>
      <c r="JH861" s="346">
        <f>FISC!AM1178</f>
        <v>47.131254741065213</v>
      </c>
      <c r="JI861" s="350">
        <f t="shared" ref="JI861:JI875" si="1421">JK861/2</f>
        <v>22.440720515917207</v>
      </c>
      <c r="JJ861" s="350">
        <f t="shared" ref="JJ861:JJ873" si="1422">JK861-JI861</f>
        <v>22.440720515917207</v>
      </c>
      <c r="JK861" s="346">
        <f>FISC!AN1178</f>
        <v>44.881441031834413</v>
      </c>
      <c r="JL861" s="350">
        <f t="shared" ref="JL861:JL875" si="1423">JN861/2</f>
        <v>23.753173943224908</v>
      </c>
      <c r="JM861" s="350">
        <f t="shared" ref="JM861:JM873" si="1424">JN861-JL861</f>
        <v>23.753173943224908</v>
      </c>
      <c r="JN861" s="346">
        <f>FISC!AO1178</f>
        <v>47.506347886449817</v>
      </c>
      <c r="KI861" s="349"/>
      <c r="KJ861" s="350"/>
    </row>
    <row r="862" spans="1:302" hidden="1" outlineLevel="1">
      <c r="A862" s="302"/>
      <c r="D862" s="1722" t="s">
        <v>3219</v>
      </c>
      <c r="E862" s="346"/>
      <c r="F862" s="346"/>
      <c r="G862" s="346"/>
      <c r="H862" s="346"/>
      <c r="I862" s="346"/>
      <c r="J862" s="346"/>
      <c r="K862" s="346"/>
      <c r="L862" s="346"/>
      <c r="M862" s="346"/>
      <c r="N862" s="346"/>
      <c r="O862" s="346"/>
      <c r="P862" s="346"/>
      <c r="Q862" s="346"/>
      <c r="R862" s="346"/>
      <c r="S862" s="346"/>
      <c r="T862" s="346"/>
      <c r="U862" s="346"/>
      <c r="V862" s="346"/>
      <c r="W862" s="346"/>
      <c r="X862" s="346"/>
      <c r="Y862" s="346"/>
      <c r="Z862" s="346"/>
      <c r="AA862" s="346"/>
      <c r="AB862" s="346"/>
      <c r="AC862" s="346"/>
      <c r="AD862" s="346"/>
      <c r="AE862" s="346"/>
      <c r="AF862" s="346"/>
      <c r="AG862" s="346"/>
      <c r="AH862" s="346"/>
      <c r="AI862" s="346"/>
      <c r="AJ862" s="346"/>
      <c r="AK862" s="346"/>
      <c r="AL862" s="346"/>
      <c r="AM862" s="346"/>
      <c r="AN862" s="346"/>
      <c r="AO862" s="346"/>
      <c r="AP862" s="346"/>
      <c r="AQ862" s="346"/>
      <c r="AR862" s="346"/>
      <c r="AS862" s="346"/>
      <c r="AT862" s="346"/>
      <c r="AU862" s="346"/>
      <c r="AV862" s="346"/>
      <c r="AW862" s="346"/>
      <c r="AX862" s="346"/>
      <c r="AY862" s="346"/>
      <c r="AZ862" s="346"/>
      <c r="BA862" s="346"/>
      <c r="BB862" s="346"/>
      <c r="BC862" s="346"/>
      <c r="BD862" s="346"/>
      <c r="BE862" s="346"/>
      <c r="BF862" s="346"/>
      <c r="BG862" s="346"/>
      <c r="BH862" s="346"/>
      <c r="BI862" s="346"/>
      <c r="BJ862" s="346"/>
      <c r="BK862" s="346"/>
      <c r="BL862" s="346"/>
      <c r="BM862" s="346"/>
      <c r="BN862" s="346"/>
      <c r="BO862" s="346"/>
      <c r="BP862" s="346"/>
      <c r="BQ862" s="346"/>
      <c r="BR862" s="346"/>
      <c r="BS862" s="346"/>
      <c r="BT862" s="346"/>
      <c r="BU862" s="346"/>
      <c r="BV862" s="346"/>
      <c r="BW862" s="346"/>
      <c r="BX862" s="346"/>
      <c r="BY862" s="346"/>
      <c r="BZ862" s="346"/>
      <c r="CA862" s="346"/>
      <c r="CB862" s="346"/>
      <c r="CC862" s="346"/>
      <c r="CD862" s="352"/>
      <c r="CE862" s="346"/>
      <c r="CF862" s="346"/>
      <c r="CG862" s="346"/>
      <c r="CH862" s="346"/>
      <c r="CI862" s="346"/>
      <c r="CJ862" s="346"/>
      <c r="CK862" s="346"/>
      <c r="CL862" s="346"/>
      <c r="CM862" s="346"/>
      <c r="CN862" s="346"/>
      <c r="CO862" s="346"/>
      <c r="CP862" s="348"/>
      <c r="CQ862" s="346"/>
      <c r="CR862" s="346"/>
      <c r="CS862" s="346"/>
      <c r="CT862" s="346"/>
      <c r="CU862" s="346"/>
      <c r="CV862" s="346"/>
      <c r="CW862" s="346"/>
      <c r="CX862" s="346"/>
      <c r="CY862" s="346"/>
      <c r="CZ862" s="346"/>
      <c r="DA862" s="346"/>
      <c r="DB862" s="1479"/>
      <c r="DC862" s="346"/>
      <c r="DD862" s="346"/>
      <c r="DE862" s="346"/>
      <c r="DF862" s="346"/>
      <c r="DG862" s="346"/>
      <c r="DH862" s="346"/>
      <c r="DI862" s="346"/>
      <c r="DJ862" s="346"/>
      <c r="DK862" s="346"/>
      <c r="DL862" s="346"/>
      <c r="DM862" s="346"/>
      <c r="DN862" s="348"/>
      <c r="DO862" s="346"/>
      <c r="DP862" s="346"/>
      <c r="DQ862" s="346"/>
      <c r="DR862" s="346"/>
      <c r="DS862" s="346"/>
      <c r="DT862" s="346"/>
      <c r="DU862" s="346"/>
      <c r="DV862" s="346"/>
      <c r="DW862" s="346"/>
      <c r="DX862" s="346"/>
      <c r="DY862" s="346"/>
      <c r="DZ862" s="348"/>
      <c r="EA862" s="346"/>
      <c r="EB862" s="346"/>
      <c r="EC862" s="346"/>
      <c r="ED862" s="346"/>
      <c r="EE862" s="346"/>
      <c r="EF862" s="346"/>
      <c r="EG862" s="346"/>
      <c r="EH862" s="346"/>
      <c r="EI862" s="346"/>
      <c r="EJ862" s="346"/>
      <c r="EK862" s="346"/>
      <c r="EL862" s="348"/>
      <c r="EM862" s="346"/>
      <c r="EN862" s="346"/>
      <c r="EO862" s="346"/>
      <c r="EP862" s="346"/>
      <c r="EQ862" s="346"/>
      <c r="ER862" s="346"/>
      <c r="ES862" s="346"/>
      <c r="ET862" s="346"/>
      <c r="EU862" s="346"/>
      <c r="EV862" s="346"/>
      <c r="EW862" s="346"/>
      <c r="EX862" s="348"/>
      <c r="EY862" s="346"/>
      <c r="EZ862" s="346"/>
      <c r="FA862" s="346"/>
      <c r="FB862" s="346"/>
      <c r="FC862" s="346"/>
      <c r="FD862" s="346"/>
      <c r="FE862" s="346"/>
      <c r="FF862" s="346"/>
      <c r="FG862" s="346"/>
      <c r="FH862" s="346"/>
      <c r="FI862" s="346"/>
      <c r="FJ862" s="348"/>
      <c r="FK862" s="346"/>
      <c r="FL862" s="346"/>
      <c r="FM862" s="346"/>
      <c r="FN862" s="346"/>
      <c r="FO862" s="346"/>
      <c r="FP862" s="346"/>
      <c r="FQ862" s="346"/>
      <c r="FR862" s="346"/>
      <c r="FS862" s="346"/>
      <c r="FT862" s="346"/>
      <c r="FU862" s="346"/>
      <c r="FV862" s="346"/>
      <c r="FW862" s="346"/>
      <c r="FX862" s="346"/>
      <c r="FY862" s="346"/>
      <c r="FZ862" s="346"/>
      <c r="GA862" s="346"/>
      <c r="GB862" s="346"/>
      <c r="GC862" s="346"/>
      <c r="GD862" s="346"/>
      <c r="GE862" s="346"/>
      <c r="GF862" s="346"/>
      <c r="GG862" s="346"/>
      <c r="GH862" s="346"/>
      <c r="GI862" s="1897">
        <v>1.879521035</v>
      </c>
      <c r="GJ862" s="1897">
        <v>2.1783190979999998</v>
      </c>
      <c r="GK862" s="1897">
        <v>2.1223117720000002</v>
      </c>
      <c r="GL862" s="1897">
        <v>1.8411083859999999</v>
      </c>
      <c r="GM862" s="1897">
        <v>2.0267621070000001</v>
      </c>
      <c r="GN862" s="1897">
        <v>2.1458013060000001</v>
      </c>
      <c r="GO862" s="1897">
        <v>2.0240819110000001</v>
      </c>
      <c r="GP862" s="1897">
        <v>1.9149301700000001</v>
      </c>
      <c r="GQ862" s="1897">
        <v>2.1255325799999998</v>
      </c>
      <c r="GR862" s="1897">
        <v>1.6310646289999999</v>
      </c>
      <c r="GS862" s="1897">
        <v>2.2950203239999998</v>
      </c>
      <c r="GT862" s="1897">
        <v>2.2538759659999998</v>
      </c>
      <c r="GU862" s="1897">
        <v>2.12214714</v>
      </c>
      <c r="GV862" s="1897">
        <v>2.1670857479999999</v>
      </c>
      <c r="GW862" s="1897">
        <v>2.1718456270000002</v>
      </c>
      <c r="GX862" s="1897">
        <v>2.220623019</v>
      </c>
      <c r="GY862" s="1897">
        <v>2.204828091</v>
      </c>
      <c r="GZ862" s="1897">
        <v>2.442708648</v>
      </c>
      <c r="HA862" s="1897">
        <v>2.610357413</v>
      </c>
      <c r="HB862" s="1897">
        <v>2.18930932</v>
      </c>
      <c r="HC862" s="1897">
        <v>2.5189404280000001</v>
      </c>
      <c r="HD862" s="1897">
        <v>2.7636696440000001</v>
      </c>
      <c r="HE862" s="1897">
        <v>2.744250488</v>
      </c>
      <c r="HF862" s="1897">
        <v>3.0336654850000002</v>
      </c>
      <c r="HG862" s="1897">
        <v>2.7809004339999999</v>
      </c>
      <c r="HH862" s="1897">
        <v>2.9228121969999998</v>
      </c>
      <c r="HI862" s="1897">
        <v>2.6849386069999999</v>
      </c>
      <c r="HJ862" s="1897">
        <v>2.7153306050000001</v>
      </c>
      <c r="HK862" s="1897">
        <v>2.5944976670000002</v>
      </c>
      <c r="HL862" s="1897">
        <v>2.8544775250000001</v>
      </c>
      <c r="HM862" s="1897"/>
      <c r="HN862" s="349"/>
      <c r="HO862" s="1722" t="s">
        <v>3219</v>
      </c>
      <c r="HP862" s="307"/>
      <c r="HR862" s="346"/>
      <c r="HU862" s="346"/>
      <c r="HV862" s="307"/>
      <c r="HX862" s="346"/>
      <c r="HY862" s="350"/>
      <c r="IA862" s="346"/>
      <c r="ID862" s="346"/>
      <c r="IE862" s="350"/>
      <c r="IF862" s="350"/>
      <c r="IG862" s="346"/>
      <c r="IH862" s="350"/>
      <c r="II862" s="350"/>
      <c r="IJ862" s="346"/>
      <c r="IK862" s="350">
        <v>7.2977012000000006</v>
      </c>
      <c r="IL862" s="350">
        <f t="shared" si="1411"/>
        <v>0</v>
      </c>
      <c r="IM862" s="346">
        <f t="shared" si="1183"/>
        <v>7.2977012000000006</v>
      </c>
      <c r="IN862" s="350">
        <f t="shared" si="1389"/>
        <v>0</v>
      </c>
      <c r="IO862" s="350">
        <f t="shared" si="1390"/>
        <v>0</v>
      </c>
      <c r="IP862" s="346">
        <f t="shared" si="1294"/>
        <v>0</v>
      </c>
      <c r="IQ862" s="350">
        <f t="shared" si="1391"/>
        <v>12.193823704</v>
      </c>
      <c r="IR862" s="350">
        <f t="shared" si="1392"/>
        <v>12.244505579999998</v>
      </c>
      <c r="IS862" s="346">
        <f t="shared" si="1410"/>
        <v>24.438329283999998</v>
      </c>
      <c r="IT862" s="350">
        <f t="shared" si="1412"/>
        <v>13.329238273</v>
      </c>
      <c r="IU862" s="350">
        <f t="shared" si="1413"/>
        <v>15.860192778000002</v>
      </c>
      <c r="IV862" s="346">
        <f t="shared" si="1409"/>
        <v>29.189431051</v>
      </c>
      <c r="IW862" s="350">
        <f t="shared" si="1256"/>
        <v>16.552957034999999</v>
      </c>
      <c r="IX862" s="350">
        <f t="shared" si="1252"/>
        <v>12.854101760600003</v>
      </c>
      <c r="IY862" s="346">
        <f>FISC!AJ1179</f>
        <v>29.407058795600001</v>
      </c>
      <c r="IZ862" s="350">
        <f t="shared" si="1415"/>
        <v>16.089180782418648</v>
      </c>
      <c r="JA862" s="350">
        <f t="shared" si="1416"/>
        <v>16.089180782418648</v>
      </c>
      <c r="JB862" s="346">
        <f>FISC!AK1179</f>
        <v>32.178361564837296</v>
      </c>
      <c r="JC862" s="350">
        <f t="shared" si="1417"/>
        <v>19.315813661301803</v>
      </c>
      <c r="JD862" s="350">
        <f t="shared" si="1418"/>
        <v>19.315813661301803</v>
      </c>
      <c r="JE862" s="346">
        <f>FISC!AL1179</f>
        <v>38.631627322603606</v>
      </c>
      <c r="JF862" s="350">
        <f t="shared" si="1419"/>
        <v>22.565627370532606</v>
      </c>
      <c r="JG862" s="350">
        <f t="shared" si="1420"/>
        <v>22.565627370532606</v>
      </c>
      <c r="JH862" s="346">
        <f>FISC!AM1179</f>
        <v>45.131254741065213</v>
      </c>
      <c r="JI862" s="350">
        <f t="shared" si="1421"/>
        <v>20.940720515917207</v>
      </c>
      <c r="JJ862" s="350">
        <f t="shared" si="1422"/>
        <v>20.940720515917207</v>
      </c>
      <c r="JK862" s="346">
        <f>FISC!AN1179</f>
        <v>41.881441031834413</v>
      </c>
      <c r="JL862" s="350">
        <f t="shared" si="1423"/>
        <v>21.753173943224908</v>
      </c>
      <c r="JM862" s="350">
        <f t="shared" si="1424"/>
        <v>21.753173943224908</v>
      </c>
      <c r="JN862" s="346">
        <f>FISC!AO1179</f>
        <v>43.506347886449817</v>
      </c>
      <c r="KI862" s="349"/>
      <c r="KJ862" s="350"/>
    </row>
    <row r="863" spans="1:302" hidden="1" outlineLevel="1">
      <c r="A863" s="302"/>
      <c r="D863" s="1722" t="s">
        <v>3220</v>
      </c>
      <c r="E863" s="346"/>
      <c r="F863" s="346"/>
      <c r="G863" s="346"/>
      <c r="H863" s="346"/>
      <c r="I863" s="346"/>
      <c r="J863" s="346"/>
      <c r="K863" s="346"/>
      <c r="L863" s="346"/>
      <c r="M863" s="346"/>
      <c r="N863" s="346"/>
      <c r="O863" s="346"/>
      <c r="P863" s="346"/>
      <c r="Q863" s="346"/>
      <c r="R863" s="346"/>
      <c r="S863" s="346"/>
      <c r="T863" s="346"/>
      <c r="U863" s="346"/>
      <c r="V863" s="346"/>
      <c r="W863" s="346"/>
      <c r="X863" s="346"/>
      <c r="Y863" s="346"/>
      <c r="Z863" s="346"/>
      <c r="AA863" s="346"/>
      <c r="AB863" s="346"/>
      <c r="AC863" s="346"/>
      <c r="AD863" s="346"/>
      <c r="AE863" s="346"/>
      <c r="AF863" s="346"/>
      <c r="AG863" s="346"/>
      <c r="AH863" s="346"/>
      <c r="AI863" s="346"/>
      <c r="AJ863" s="346"/>
      <c r="AK863" s="346"/>
      <c r="AL863" s="346"/>
      <c r="AM863" s="346"/>
      <c r="AN863" s="346"/>
      <c r="AO863" s="346"/>
      <c r="AP863" s="346"/>
      <c r="AQ863" s="346"/>
      <c r="AR863" s="346"/>
      <c r="AS863" s="346"/>
      <c r="AT863" s="346"/>
      <c r="AU863" s="346"/>
      <c r="AV863" s="346"/>
      <c r="AW863" s="346"/>
      <c r="AX863" s="346"/>
      <c r="AY863" s="346"/>
      <c r="AZ863" s="346"/>
      <c r="BA863" s="346"/>
      <c r="BB863" s="346"/>
      <c r="BC863" s="346"/>
      <c r="BD863" s="346"/>
      <c r="BE863" s="346"/>
      <c r="BF863" s="346"/>
      <c r="BG863" s="346"/>
      <c r="BH863" s="346"/>
      <c r="BI863" s="346"/>
      <c r="BJ863" s="346"/>
      <c r="BK863" s="346"/>
      <c r="BL863" s="346"/>
      <c r="BM863" s="346"/>
      <c r="BN863" s="346"/>
      <c r="BO863" s="346"/>
      <c r="BP863" s="346"/>
      <c r="BQ863" s="346"/>
      <c r="BR863" s="346"/>
      <c r="BS863" s="346"/>
      <c r="BT863" s="346"/>
      <c r="BU863" s="346"/>
      <c r="BV863" s="346"/>
      <c r="BW863" s="346"/>
      <c r="BX863" s="346"/>
      <c r="BY863" s="346"/>
      <c r="BZ863" s="346"/>
      <c r="CA863" s="346"/>
      <c r="CB863" s="346"/>
      <c r="CC863" s="346"/>
      <c r="CD863" s="352"/>
      <c r="CE863" s="346"/>
      <c r="CF863" s="346"/>
      <c r="CG863" s="346"/>
      <c r="CH863" s="346"/>
      <c r="CI863" s="346"/>
      <c r="CJ863" s="346"/>
      <c r="CK863" s="346"/>
      <c r="CL863" s="346"/>
      <c r="CM863" s="346"/>
      <c r="CN863" s="346"/>
      <c r="CO863" s="346"/>
      <c r="CP863" s="348"/>
      <c r="CQ863" s="346"/>
      <c r="CR863" s="346"/>
      <c r="CS863" s="346"/>
      <c r="CT863" s="346"/>
      <c r="CU863" s="346"/>
      <c r="CV863" s="346"/>
      <c r="CW863" s="346"/>
      <c r="CX863" s="346"/>
      <c r="CY863" s="346"/>
      <c r="CZ863" s="346"/>
      <c r="DA863" s="346"/>
      <c r="DB863" s="1479"/>
      <c r="DC863" s="346"/>
      <c r="DD863" s="346"/>
      <c r="DE863" s="346"/>
      <c r="DF863" s="346"/>
      <c r="DG863" s="346"/>
      <c r="DH863" s="346"/>
      <c r="DI863" s="346"/>
      <c r="DJ863" s="346"/>
      <c r="DK863" s="346"/>
      <c r="DL863" s="346"/>
      <c r="DM863" s="346"/>
      <c r="DN863" s="348"/>
      <c r="DO863" s="346"/>
      <c r="DP863" s="346"/>
      <c r="DQ863" s="346"/>
      <c r="DR863" s="346"/>
      <c r="DS863" s="346"/>
      <c r="DT863" s="346"/>
      <c r="DU863" s="346"/>
      <c r="DV863" s="346"/>
      <c r="DW863" s="346"/>
      <c r="DX863" s="346"/>
      <c r="DY863" s="346"/>
      <c r="DZ863" s="348"/>
      <c r="EA863" s="346"/>
      <c r="EB863" s="346"/>
      <c r="EC863" s="346"/>
      <c r="ED863" s="346"/>
      <c r="EE863" s="346"/>
      <c r="EF863" s="346"/>
      <c r="EG863" s="346"/>
      <c r="EH863" s="346"/>
      <c r="EI863" s="346"/>
      <c r="EJ863" s="346"/>
      <c r="EK863" s="346"/>
      <c r="EL863" s="348"/>
      <c r="EM863" s="346"/>
      <c r="EN863" s="346"/>
      <c r="EO863" s="346"/>
      <c r="EP863" s="346"/>
      <c r="EQ863" s="346"/>
      <c r="ER863" s="346"/>
      <c r="ES863" s="346"/>
      <c r="ET863" s="346"/>
      <c r="EU863" s="346"/>
      <c r="EV863" s="346"/>
      <c r="EW863" s="346"/>
      <c r="EX863" s="348"/>
      <c r="EY863" s="346"/>
      <c r="EZ863" s="346"/>
      <c r="FA863" s="346"/>
      <c r="FB863" s="346"/>
      <c r="FC863" s="346"/>
      <c r="FD863" s="346"/>
      <c r="FE863" s="346"/>
      <c r="FF863" s="346"/>
      <c r="FG863" s="346"/>
      <c r="FH863" s="346"/>
      <c r="FI863" s="346"/>
      <c r="FJ863" s="348"/>
      <c r="FK863" s="346"/>
      <c r="FL863" s="346"/>
      <c r="FM863" s="346"/>
      <c r="FN863" s="346"/>
      <c r="FO863" s="346"/>
      <c r="FP863" s="346"/>
      <c r="FQ863" s="346"/>
      <c r="FR863" s="346"/>
      <c r="FS863" s="346"/>
      <c r="FT863" s="346"/>
      <c r="FU863" s="346"/>
      <c r="FV863" s="346"/>
      <c r="FW863" s="346"/>
      <c r="FX863" s="346"/>
      <c r="FY863" s="346"/>
      <c r="FZ863" s="346"/>
      <c r="GA863" s="346"/>
      <c r="GB863" s="346"/>
      <c r="GC863" s="346"/>
      <c r="GD863" s="346"/>
      <c r="GE863" s="346"/>
      <c r="GF863" s="346"/>
      <c r="GG863" s="346"/>
      <c r="GH863" s="346"/>
      <c r="GI863" s="1897"/>
      <c r="HN863" s="349"/>
      <c r="HO863" s="1722" t="s">
        <v>3220</v>
      </c>
      <c r="HP863" s="307"/>
      <c r="HR863" s="346"/>
      <c r="HU863" s="346"/>
      <c r="HV863" s="307"/>
      <c r="HX863" s="346"/>
      <c r="HY863" s="350"/>
      <c r="IA863" s="346"/>
      <c r="ID863" s="346"/>
      <c r="IE863" s="350"/>
      <c r="IF863" s="350"/>
      <c r="IG863" s="346"/>
      <c r="IH863" s="350"/>
      <c r="II863" s="350"/>
      <c r="IJ863" s="346"/>
      <c r="IK863" s="350">
        <v>0</v>
      </c>
      <c r="IL863" s="350">
        <f t="shared" si="1411"/>
        <v>0</v>
      </c>
      <c r="IM863" s="346">
        <f t="shared" ref="IM863:IM870" si="1425">IK863+IL863</f>
        <v>0</v>
      </c>
      <c r="IN863" s="350">
        <f t="shared" si="1389"/>
        <v>0</v>
      </c>
      <c r="IO863" s="350">
        <f t="shared" si="1390"/>
        <v>0</v>
      </c>
      <c r="IP863" s="346">
        <f t="shared" si="1294"/>
        <v>0</v>
      </c>
      <c r="IQ863" s="350">
        <f t="shared" si="1391"/>
        <v>0</v>
      </c>
      <c r="IR863" s="350">
        <f t="shared" si="1392"/>
        <v>0</v>
      </c>
      <c r="IS863" s="346">
        <f t="shared" si="1410"/>
        <v>0</v>
      </c>
      <c r="IT863" s="350">
        <f t="shared" si="1412"/>
        <v>0</v>
      </c>
      <c r="IU863" s="350">
        <f t="shared" si="1413"/>
        <v>0</v>
      </c>
      <c r="IV863" s="346">
        <f t="shared" si="1409"/>
        <v>0</v>
      </c>
      <c r="IW863" s="350">
        <f t="shared" si="1256"/>
        <v>0</v>
      </c>
      <c r="IX863" s="350">
        <f t="shared" ref="IX863:IX926" si="1426">IY863-IW863</f>
        <v>0</v>
      </c>
      <c r="IY863" s="346">
        <f>FISC!AJ1180</f>
        <v>0</v>
      </c>
      <c r="IZ863" s="350">
        <f t="shared" si="1415"/>
        <v>0</v>
      </c>
      <c r="JA863" s="350">
        <f t="shared" si="1416"/>
        <v>0</v>
      </c>
      <c r="JB863" s="346">
        <f>FISC!AK1180</f>
        <v>0</v>
      </c>
      <c r="JC863" s="350">
        <f t="shared" si="1417"/>
        <v>0.5</v>
      </c>
      <c r="JD863" s="350">
        <f t="shared" si="1418"/>
        <v>0.5</v>
      </c>
      <c r="JE863" s="346">
        <f>FISC!AL1180</f>
        <v>1</v>
      </c>
      <c r="JF863" s="350">
        <f t="shared" si="1419"/>
        <v>1</v>
      </c>
      <c r="JG863" s="350">
        <f t="shared" si="1420"/>
        <v>1</v>
      </c>
      <c r="JH863" s="346">
        <f>FISC!AM1180</f>
        <v>2</v>
      </c>
      <c r="JI863" s="350">
        <f t="shared" si="1421"/>
        <v>1.5</v>
      </c>
      <c r="JJ863" s="350">
        <f t="shared" si="1422"/>
        <v>1.5</v>
      </c>
      <c r="JK863" s="346">
        <f>FISC!AN1180</f>
        <v>3</v>
      </c>
      <c r="JL863" s="350">
        <f t="shared" si="1423"/>
        <v>2</v>
      </c>
      <c r="JM863" s="350">
        <f t="shared" si="1424"/>
        <v>2</v>
      </c>
      <c r="JN863" s="346">
        <f>FISC!AO1180</f>
        <v>4</v>
      </c>
      <c r="KI863" s="349"/>
      <c r="KJ863" s="350"/>
    </row>
    <row r="864" spans="1:302" hidden="1" outlineLevel="1">
      <c r="A864" s="302"/>
      <c r="B864" s="117" t="s">
        <v>361</v>
      </c>
      <c r="D864" s="358" t="s">
        <v>3185</v>
      </c>
      <c r="E864" s="346"/>
      <c r="F864" s="346"/>
      <c r="G864" s="346"/>
      <c r="H864" s="346"/>
      <c r="I864" s="346"/>
      <c r="J864" s="346"/>
      <c r="K864" s="346"/>
      <c r="L864" s="346"/>
      <c r="M864" s="346"/>
      <c r="N864" s="346"/>
      <c r="O864" s="346"/>
      <c r="P864" s="346"/>
      <c r="Q864" s="346"/>
      <c r="R864" s="346"/>
      <c r="S864" s="346"/>
      <c r="T864" s="346"/>
      <c r="U864" s="346"/>
      <c r="V864" s="346"/>
      <c r="W864" s="346"/>
      <c r="X864" s="346"/>
      <c r="Y864" s="346"/>
      <c r="Z864" s="346"/>
      <c r="AA864" s="346"/>
      <c r="AB864" s="346"/>
      <c r="AC864" s="346"/>
      <c r="AD864" s="346"/>
      <c r="AE864" s="346"/>
      <c r="AF864" s="346"/>
      <c r="AG864" s="346"/>
      <c r="AH864" s="346"/>
      <c r="AI864" s="346"/>
      <c r="AJ864" s="346"/>
      <c r="AK864" s="346"/>
      <c r="AL864" s="346"/>
      <c r="AM864" s="346"/>
      <c r="AN864" s="346"/>
      <c r="AO864" s="346"/>
      <c r="AP864" s="346"/>
      <c r="AQ864" s="346"/>
      <c r="AR864" s="346"/>
      <c r="AS864" s="346"/>
      <c r="AT864" s="346"/>
      <c r="AU864" s="346"/>
      <c r="AV864" s="346"/>
      <c r="AW864" s="346"/>
      <c r="AX864" s="346"/>
      <c r="AY864" s="346"/>
      <c r="AZ864" s="346"/>
      <c r="BA864" s="346"/>
      <c r="BB864" s="346"/>
      <c r="BC864" s="346"/>
      <c r="BD864" s="346"/>
      <c r="BE864" s="346"/>
      <c r="BF864" s="346"/>
      <c r="BG864" s="346"/>
      <c r="BH864" s="346"/>
      <c r="BI864" s="346"/>
      <c r="BJ864" s="346"/>
      <c r="BK864" s="346"/>
      <c r="BL864" s="346"/>
      <c r="BM864" s="346"/>
      <c r="BN864" s="346"/>
      <c r="BO864" s="346"/>
      <c r="BP864" s="346"/>
      <c r="BQ864" s="346"/>
      <c r="BR864" s="346"/>
      <c r="BS864" s="346"/>
      <c r="BT864" s="346"/>
      <c r="BU864" s="346"/>
      <c r="BV864" s="346"/>
      <c r="BW864" s="346"/>
      <c r="BX864" s="346"/>
      <c r="BY864" s="346"/>
      <c r="BZ864" s="346"/>
      <c r="CA864" s="346"/>
      <c r="CB864" s="346"/>
      <c r="CC864" s="346"/>
      <c r="CD864" s="352"/>
      <c r="CE864" s="346">
        <v>0</v>
      </c>
      <c r="CF864" s="346">
        <v>0</v>
      </c>
      <c r="CG864" s="346">
        <v>0</v>
      </c>
      <c r="CH864" s="346">
        <v>0</v>
      </c>
      <c r="CI864" s="346">
        <v>0</v>
      </c>
      <c r="CJ864" s="346">
        <v>0</v>
      </c>
      <c r="CK864" s="346">
        <v>0</v>
      </c>
      <c r="CL864" s="346">
        <v>0</v>
      </c>
      <c r="CM864" s="346">
        <v>0</v>
      </c>
      <c r="CN864" s="346">
        <v>0</v>
      </c>
      <c r="CO864" s="346">
        <v>0</v>
      </c>
      <c r="CP864" s="348">
        <v>0</v>
      </c>
      <c r="CQ864" s="346">
        <v>0</v>
      </c>
      <c r="CR864" s="346">
        <v>0</v>
      </c>
      <c r="CS864" s="346">
        <v>0</v>
      </c>
      <c r="CT864" s="346">
        <v>0</v>
      </c>
      <c r="CU864" s="346">
        <v>0</v>
      </c>
      <c r="CV864" s="346">
        <v>0</v>
      </c>
      <c r="CW864" s="346">
        <v>0</v>
      </c>
      <c r="CX864" s="346">
        <v>0</v>
      </c>
      <c r="CY864" s="346">
        <v>0</v>
      </c>
      <c r="CZ864" s="346">
        <v>0</v>
      </c>
      <c r="DA864" s="346">
        <v>0</v>
      </c>
      <c r="DB864" s="1479">
        <v>0</v>
      </c>
      <c r="DC864" s="346">
        <v>0</v>
      </c>
      <c r="DD864" s="346">
        <v>0</v>
      </c>
      <c r="DE864" s="346">
        <v>0</v>
      </c>
      <c r="DF864" s="346">
        <v>0</v>
      </c>
      <c r="DG864" s="346">
        <v>0</v>
      </c>
      <c r="DH864" s="346">
        <v>0</v>
      </c>
      <c r="DI864" s="346">
        <v>0</v>
      </c>
      <c r="DJ864" s="346">
        <v>0</v>
      </c>
      <c r="DK864" s="346">
        <v>0</v>
      </c>
      <c r="DL864" s="346">
        <v>0</v>
      </c>
      <c r="DM864" s="346">
        <v>0</v>
      </c>
      <c r="DN864" s="348">
        <v>0</v>
      </c>
      <c r="DO864" s="346">
        <v>0</v>
      </c>
      <c r="DP864" s="346">
        <v>0</v>
      </c>
      <c r="DQ864" s="346">
        <v>0</v>
      </c>
      <c r="DR864" s="346">
        <v>0</v>
      </c>
      <c r="DS864" s="346">
        <v>0</v>
      </c>
      <c r="DT864" s="346">
        <v>0</v>
      </c>
      <c r="DU864" s="346">
        <v>0</v>
      </c>
      <c r="DV864" s="346">
        <v>0</v>
      </c>
      <c r="DW864" s="346">
        <v>0</v>
      </c>
      <c r="DX864" s="346">
        <v>0</v>
      </c>
      <c r="DY864" s="346">
        <v>0</v>
      </c>
      <c r="DZ864" s="348">
        <v>0</v>
      </c>
      <c r="EA864" s="346">
        <v>0</v>
      </c>
      <c r="EB864" s="346">
        <v>0</v>
      </c>
      <c r="EC864" s="346">
        <v>0</v>
      </c>
      <c r="ED864" s="346">
        <v>0</v>
      </c>
      <c r="EE864" s="346">
        <v>0</v>
      </c>
      <c r="EF864" s="346">
        <v>0</v>
      </c>
      <c r="EG864" s="346">
        <v>0</v>
      </c>
      <c r="EH864" s="346">
        <v>0</v>
      </c>
      <c r="EI864" s="346">
        <v>0</v>
      </c>
      <c r="EJ864" s="346">
        <v>0</v>
      </c>
      <c r="EK864" s="346">
        <v>0</v>
      </c>
      <c r="EL864" s="348">
        <v>0</v>
      </c>
      <c r="EM864" s="346">
        <v>0</v>
      </c>
      <c r="EN864" s="346">
        <v>0</v>
      </c>
      <c r="EO864" s="346">
        <v>0</v>
      </c>
      <c r="EP864" s="346">
        <v>0</v>
      </c>
      <c r="EQ864" s="346">
        <v>0</v>
      </c>
      <c r="ER864" s="346">
        <v>0</v>
      </c>
      <c r="ES864" s="346">
        <v>0</v>
      </c>
      <c r="ET864" s="346">
        <v>0</v>
      </c>
      <c r="EU864" s="346">
        <v>0</v>
      </c>
      <c r="EV864" s="346">
        <v>0</v>
      </c>
      <c r="EW864" s="346">
        <v>0</v>
      </c>
      <c r="EX864" s="348">
        <v>0</v>
      </c>
      <c r="EY864" s="346">
        <v>0</v>
      </c>
      <c r="EZ864" s="346">
        <v>0</v>
      </c>
      <c r="FA864" s="346">
        <v>0</v>
      </c>
      <c r="FB864" s="346">
        <v>0</v>
      </c>
      <c r="FC864" s="346">
        <v>0</v>
      </c>
      <c r="FD864" s="346">
        <v>0</v>
      </c>
      <c r="FE864" s="346">
        <v>0</v>
      </c>
      <c r="FF864" s="346">
        <v>0</v>
      </c>
      <c r="FG864" s="346">
        <v>0</v>
      </c>
      <c r="FH864" s="346">
        <v>0</v>
      </c>
      <c r="FI864" s="346">
        <v>0</v>
      </c>
      <c r="FJ864" s="348">
        <v>0</v>
      </c>
      <c r="FK864" s="346">
        <v>0</v>
      </c>
      <c r="FL864" s="346">
        <v>0</v>
      </c>
      <c r="FM864" s="346">
        <v>0</v>
      </c>
      <c r="FN864" s="346">
        <v>0</v>
      </c>
      <c r="FO864" s="346">
        <v>0</v>
      </c>
      <c r="FP864" s="346">
        <v>0</v>
      </c>
      <c r="FQ864" s="346">
        <v>0</v>
      </c>
      <c r="FR864" s="346">
        <v>0</v>
      </c>
      <c r="FS864" s="346">
        <v>0</v>
      </c>
      <c r="FT864" s="346">
        <v>0</v>
      </c>
      <c r="FU864" s="346">
        <v>0</v>
      </c>
      <c r="FV864" s="346">
        <v>0</v>
      </c>
      <c r="FW864" s="346">
        <v>0</v>
      </c>
      <c r="FX864" s="346">
        <v>0</v>
      </c>
      <c r="FY864" s="346">
        <v>0</v>
      </c>
      <c r="FZ864" s="346">
        <v>0</v>
      </c>
      <c r="GA864" s="346">
        <v>0</v>
      </c>
      <c r="GB864" s="346">
        <v>0</v>
      </c>
      <c r="GC864" s="346">
        <v>0</v>
      </c>
      <c r="GD864" s="346">
        <v>0</v>
      </c>
      <c r="GE864" s="346">
        <v>0</v>
      </c>
      <c r="GF864" s="346">
        <v>0</v>
      </c>
      <c r="GG864" s="346">
        <v>0</v>
      </c>
      <c r="GH864" s="346">
        <v>0</v>
      </c>
      <c r="GI864" s="1903">
        <f>GI865</f>
        <v>1.21073736</v>
      </c>
      <c r="GJ864" s="1903">
        <f t="shared" ref="GJ864:HL864" si="1427">GJ865</f>
        <v>1.3205667619999999</v>
      </c>
      <c r="GK864" s="1903">
        <f t="shared" si="1427"/>
        <v>1.411681636</v>
      </c>
      <c r="GL864" s="1903">
        <f t="shared" si="1427"/>
        <v>1.1410272400000001</v>
      </c>
      <c r="GM864" s="1903">
        <f t="shared" si="1427"/>
        <v>1.155290588</v>
      </c>
      <c r="GN864" s="1903">
        <f t="shared" si="1427"/>
        <v>1.29052203</v>
      </c>
      <c r="GO864" s="1903">
        <f t="shared" si="1427"/>
        <v>1.2083091020000001</v>
      </c>
      <c r="GP864" s="1903">
        <f t="shared" si="1427"/>
        <v>1.15882376</v>
      </c>
      <c r="GQ864" s="1903">
        <f t="shared" si="1427"/>
        <v>1.417136704</v>
      </c>
      <c r="GR864" s="1903">
        <f t="shared" si="1427"/>
        <v>1.130445774</v>
      </c>
      <c r="GS864" s="1903">
        <f t="shared" si="1427"/>
        <v>1.3095804870000001</v>
      </c>
      <c r="GT864" s="1903">
        <f t="shared" si="1427"/>
        <v>1.3766600499999999</v>
      </c>
      <c r="GU864" s="1903">
        <f t="shared" si="1427"/>
        <v>1.2532150660000001</v>
      </c>
      <c r="GV864" s="1903">
        <f t="shared" si="1427"/>
        <v>1.4214319870000001</v>
      </c>
      <c r="GW864" s="1903">
        <f t="shared" si="1427"/>
        <v>1.2920655080000001</v>
      </c>
      <c r="GX864" s="1903">
        <f t="shared" si="1427"/>
        <v>1.343284208</v>
      </c>
      <c r="GY864" s="1903">
        <f t="shared" si="1427"/>
        <v>1.313763872</v>
      </c>
      <c r="GZ864" s="1903">
        <f t="shared" si="1427"/>
        <v>1.25963402</v>
      </c>
      <c r="HA864" s="1903">
        <f t="shared" si="1427"/>
        <v>1.304045565</v>
      </c>
      <c r="HB864" s="1903">
        <f t="shared" si="1427"/>
        <v>1.211248026</v>
      </c>
      <c r="HC864" s="1903">
        <f t="shared" si="1427"/>
        <v>1.3897288139999999</v>
      </c>
      <c r="HD864" s="1903">
        <f t="shared" si="1427"/>
        <v>1.226373521</v>
      </c>
      <c r="HE864" s="1903">
        <f t="shared" si="1427"/>
        <v>1.3664009580000001</v>
      </c>
      <c r="HF864" s="1903">
        <f t="shared" si="1427"/>
        <v>1.3763920160000001</v>
      </c>
      <c r="HG864" s="1903">
        <f t="shared" si="1427"/>
        <v>1.4508406220000001</v>
      </c>
      <c r="HH864" s="1903">
        <f t="shared" si="1427"/>
        <v>1.5411530920000001</v>
      </c>
      <c r="HI864" s="1903">
        <f t="shared" si="1427"/>
        <v>1.4252575679999999</v>
      </c>
      <c r="HJ864" s="1903">
        <f t="shared" si="1427"/>
        <v>1.4603782380000001</v>
      </c>
      <c r="HK864" s="1903">
        <f t="shared" si="1427"/>
        <v>1.3586528920000001</v>
      </c>
      <c r="HL864" s="1903">
        <f t="shared" si="1427"/>
        <v>1.5133927810000001</v>
      </c>
      <c r="HM864" s="1903"/>
      <c r="HN864" s="349"/>
      <c r="HO864" s="358" t="s">
        <v>3185</v>
      </c>
      <c r="HP864" s="307">
        <f>SUM(CE864:CJ864)</f>
        <v>0</v>
      </c>
      <c r="HQ864" s="302">
        <f>SUM(CK864:CP864)</f>
        <v>0</v>
      </c>
      <c r="HR864" s="346">
        <f>HP864+HQ864</f>
        <v>0</v>
      </c>
      <c r="HS864" s="302">
        <f>SUM(CQ864:CV864)</f>
        <v>0</v>
      </c>
      <c r="HT864" s="302">
        <f>SUM(CW864:DB864)</f>
        <v>0</v>
      </c>
      <c r="HU864" s="346">
        <f>HS864+HT864</f>
        <v>0</v>
      </c>
      <c r="HV864" s="307">
        <f>SUM(DC864:DH864)</f>
        <v>0</v>
      </c>
      <c r="HW864" s="302">
        <f>SUM(DI864:DN864)</f>
        <v>0</v>
      </c>
      <c r="HX864" s="346">
        <f>HV864+HW864</f>
        <v>0</v>
      </c>
      <c r="HY864" s="350">
        <f>SUM(DO864:DT864)</f>
        <v>0</v>
      </c>
      <c r="HZ864" s="302">
        <f>SUM(DU864:DZ864)</f>
        <v>0</v>
      </c>
      <c r="IA864" s="346">
        <f>HY864+HZ864</f>
        <v>0</v>
      </c>
      <c r="IB864" s="302">
        <f>SUM(EA864:EF864)</f>
        <v>0</v>
      </c>
      <c r="IC864" s="302">
        <f>SUM(EG864:EL864)</f>
        <v>0</v>
      </c>
      <c r="ID864" s="346">
        <f>IB864+IC864</f>
        <v>0</v>
      </c>
      <c r="IE864" s="350">
        <f>SUM(EM864:ER864)</f>
        <v>0</v>
      </c>
      <c r="IF864" s="350">
        <f>SUM(ES864:EX864)</f>
        <v>0</v>
      </c>
      <c r="IG864" s="346">
        <f>IE864+IF864</f>
        <v>0</v>
      </c>
      <c r="IH864" s="350">
        <f>SUM(EY864:FD864)</f>
        <v>0</v>
      </c>
      <c r="II864" s="350">
        <f>SUM(FE864:FJ864)</f>
        <v>0</v>
      </c>
      <c r="IJ864" s="346">
        <f>IH864+II864</f>
        <v>0</v>
      </c>
      <c r="IK864" s="350">
        <f>SUM(FK864:FP864)*0+SUM(IK865:IK869)</f>
        <v>6.0835916900000004</v>
      </c>
      <c r="IL864" s="350">
        <f t="shared" si="1411"/>
        <v>0</v>
      </c>
      <c r="IM864" s="346">
        <f t="shared" si="1425"/>
        <v>6.0835916900000004</v>
      </c>
      <c r="IN864" s="350">
        <f t="shared" si="1389"/>
        <v>0</v>
      </c>
      <c r="IO864" s="350">
        <f t="shared" si="1390"/>
        <v>0</v>
      </c>
      <c r="IP864" s="346">
        <f t="shared" si="1294"/>
        <v>0</v>
      </c>
      <c r="IQ864" s="350">
        <f t="shared" si="1391"/>
        <v>7.5298256160000001</v>
      </c>
      <c r="IR864" s="350">
        <f t="shared" si="1392"/>
        <v>7.6009558769999996</v>
      </c>
      <c r="IS864" s="346">
        <f t="shared" si="1410"/>
        <v>15.130781493000001</v>
      </c>
      <c r="IT864" s="350">
        <f t="shared" si="1412"/>
        <v>7.8833946610000005</v>
      </c>
      <c r="IU864" s="350">
        <f t="shared" si="1413"/>
        <v>7.8741889</v>
      </c>
      <c r="IV864" s="346">
        <f t="shared" si="1409"/>
        <v>15.757583561000001</v>
      </c>
      <c r="IW864" s="350">
        <f t="shared" ref="IW864:IW927" si="1428">SUM(HG864:HL864)</f>
        <v>8.7496751930000016</v>
      </c>
      <c r="IX864" s="350">
        <f t="shared" si="1426"/>
        <v>9.0473076170556759</v>
      </c>
      <c r="IY864" s="346">
        <f>FISC!AJ1181</f>
        <v>17.796982810055678</v>
      </c>
      <c r="IZ864" s="350">
        <f t="shared" si="1415"/>
        <v>10.165121898108037</v>
      </c>
      <c r="JA864" s="350">
        <f t="shared" si="1416"/>
        <v>10.165121898108037</v>
      </c>
      <c r="JB864" s="346">
        <f>FISC!AK1181</f>
        <v>20.330243796216074</v>
      </c>
      <c r="JC864" s="350">
        <f t="shared" si="1417"/>
        <v>10.755126443174657</v>
      </c>
      <c r="JD864" s="350">
        <f t="shared" si="1418"/>
        <v>10.755126443174657</v>
      </c>
      <c r="JE864" s="346">
        <f>FISC!AL1181</f>
        <v>21.510252886349313</v>
      </c>
      <c r="JF864" s="350">
        <f t="shared" si="1419"/>
        <v>12.830599509073622</v>
      </c>
      <c r="JG864" s="350">
        <f t="shared" si="1420"/>
        <v>12.830599509073622</v>
      </c>
      <c r="JH864" s="346">
        <f>FISC!AM1181</f>
        <v>25.661199018147244</v>
      </c>
      <c r="JI864" s="350">
        <f t="shared" si="1421"/>
        <v>14.357708108913897</v>
      </c>
      <c r="JJ864" s="350">
        <f t="shared" si="1422"/>
        <v>14.357708108913897</v>
      </c>
      <c r="JK864" s="346">
        <f>FISC!AN1181</f>
        <v>28.715416217827794</v>
      </c>
      <c r="JL864" s="350">
        <f t="shared" si="1423"/>
        <v>13.594153808993759</v>
      </c>
      <c r="JM864" s="350">
        <f t="shared" si="1424"/>
        <v>13.594153808993759</v>
      </c>
      <c r="JN864" s="346">
        <f>FISC!AO1181</f>
        <v>27.188307617987519</v>
      </c>
      <c r="KI864" s="349"/>
      <c r="KJ864" s="350"/>
    </row>
    <row r="865" spans="1:296" hidden="1" outlineLevel="1">
      <c r="A865" s="302"/>
      <c r="D865" s="1722" t="s">
        <v>1206</v>
      </c>
      <c r="E865" s="346"/>
      <c r="F865" s="346"/>
      <c r="G865" s="346"/>
      <c r="H865" s="346"/>
      <c r="I865" s="346"/>
      <c r="J865" s="346"/>
      <c r="K865" s="346"/>
      <c r="L865" s="346"/>
      <c r="M865" s="346"/>
      <c r="N865" s="346"/>
      <c r="O865" s="346"/>
      <c r="P865" s="346"/>
      <c r="Q865" s="346"/>
      <c r="R865" s="346"/>
      <c r="S865" s="346"/>
      <c r="T865" s="346"/>
      <c r="U865" s="346"/>
      <c r="V865" s="346"/>
      <c r="W865" s="346"/>
      <c r="X865" s="346"/>
      <c r="Y865" s="346"/>
      <c r="Z865" s="346"/>
      <c r="AA865" s="346"/>
      <c r="AB865" s="346"/>
      <c r="AC865" s="346"/>
      <c r="AD865" s="346"/>
      <c r="AE865" s="346"/>
      <c r="AF865" s="346"/>
      <c r="AG865" s="346"/>
      <c r="AH865" s="346"/>
      <c r="AI865" s="346"/>
      <c r="AJ865" s="346"/>
      <c r="AK865" s="346"/>
      <c r="AL865" s="346"/>
      <c r="AM865" s="346"/>
      <c r="AN865" s="346"/>
      <c r="AO865" s="346"/>
      <c r="AP865" s="346"/>
      <c r="AQ865" s="346"/>
      <c r="AR865" s="346"/>
      <c r="AS865" s="346"/>
      <c r="AT865" s="346"/>
      <c r="AU865" s="346"/>
      <c r="AV865" s="346"/>
      <c r="AW865" s="346"/>
      <c r="AX865" s="346"/>
      <c r="AY865" s="346"/>
      <c r="AZ865" s="346"/>
      <c r="BA865" s="346"/>
      <c r="BB865" s="346"/>
      <c r="BC865" s="346"/>
      <c r="BD865" s="346"/>
      <c r="BE865" s="346"/>
      <c r="BF865" s="346"/>
      <c r="BG865" s="346"/>
      <c r="BH865" s="346"/>
      <c r="BI865" s="346"/>
      <c r="BJ865" s="346"/>
      <c r="BK865" s="346"/>
      <c r="BL865" s="346"/>
      <c r="BM865" s="346"/>
      <c r="BN865" s="346"/>
      <c r="BO865" s="346"/>
      <c r="BP865" s="346"/>
      <c r="BQ865" s="346"/>
      <c r="BR865" s="346"/>
      <c r="BS865" s="346"/>
      <c r="BT865" s="346"/>
      <c r="BU865" s="346"/>
      <c r="BV865" s="346"/>
      <c r="BW865" s="346"/>
      <c r="BX865" s="346"/>
      <c r="BY865" s="346"/>
      <c r="BZ865" s="346"/>
      <c r="CA865" s="346"/>
      <c r="CB865" s="346"/>
      <c r="CC865" s="346"/>
      <c r="CD865" s="352"/>
      <c r="CE865" s="346"/>
      <c r="CF865" s="346"/>
      <c r="CG865" s="346"/>
      <c r="CH865" s="346"/>
      <c r="CI865" s="346"/>
      <c r="CJ865" s="346"/>
      <c r="CK865" s="346"/>
      <c r="CL865" s="346"/>
      <c r="CM865" s="346"/>
      <c r="CN865" s="346"/>
      <c r="CO865" s="346"/>
      <c r="CP865" s="348"/>
      <c r="CQ865" s="346"/>
      <c r="CR865" s="346"/>
      <c r="CS865" s="346"/>
      <c r="CT865" s="346"/>
      <c r="CU865" s="346"/>
      <c r="CV865" s="346"/>
      <c r="CW865" s="346"/>
      <c r="CX865" s="346"/>
      <c r="CY865" s="346"/>
      <c r="CZ865" s="346"/>
      <c r="DA865" s="346"/>
      <c r="DB865" s="1479"/>
      <c r="DC865" s="346"/>
      <c r="DD865" s="346"/>
      <c r="DE865" s="346"/>
      <c r="DF865" s="346"/>
      <c r="DG865" s="346"/>
      <c r="DH865" s="346"/>
      <c r="DI865" s="346"/>
      <c r="DJ865" s="346"/>
      <c r="DK865" s="346"/>
      <c r="DL865" s="346"/>
      <c r="DM865" s="346"/>
      <c r="DN865" s="348"/>
      <c r="DO865" s="346"/>
      <c r="DP865" s="346"/>
      <c r="DQ865" s="346"/>
      <c r="DR865" s="346"/>
      <c r="DS865" s="346"/>
      <c r="DT865" s="346"/>
      <c r="DU865" s="346"/>
      <c r="DV865" s="346"/>
      <c r="DW865" s="346"/>
      <c r="DX865" s="346"/>
      <c r="DY865" s="346"/>
      <c r="DZ865" s="348"/>
      <c r="EA865" s="346"/>
      <c r="EB865" s="346"/>
      <c r="EC865" s="346"/>
      <c r="ED865" s="346"/>
      <c r="EE865" s="346"/>
      <c r="EF865" s="346"/>
      <c r="EG865" s="346"/>
      <c r="EH865" s="346"/>
      <c r="EI865" s="346"/>
      <c r="EJ865" s="346"/>
      <c r="EK865" s="346"/>
      <c r="EL865" s="348"/>
      <c r="EM865" s="346"/>
      <c r="EN865" s="346"/>
      <c r="EO865" s="346"/>
      <c r="EP865" s="346"/>
      <c r="EQ865" s="346"/>
      <c r="ER865" s="346"/>
      <c r="ES865" s="346"/>
      <c r="ET865" s="346"/>
      <c r="EU865" s="346"/>
      <c r="EV865" s="346"/>
      <c r="EW865" s="346"/>
      <c r="EX865" s="348"/>
      <c r="EY865" s="346"/>
      <c r="EZ865" s="346"/>
      <c r="FA865" s="346"/>
      <c r="FB865" s="346"/>
      <c r="FC865" s="346"/>
      <c r="FD865" s="346"/>
      <c r="FE865" s="346"/>
      <c r="FF865" s="346"/>
      <c r="FG865" s="346"/>
      <c r="FH865" s="346"/>
      <c r="FI865" s="346"/>
      <c r="FJ865" s="348"/>
      <c r="FK865" s="346"/>
      <c r="FL865" s="346"/>
      <c r="FM865" s="346"/>
      <c r="FN865" s="346"/>
      <c r="FO865" s="346"/>
      <c r="FP865" s="346"/>
      <c r="FQ865" s="346"/>
      <c r="FR865" s="346"/>
      <c r="FS865" s="346"/>
      <c r="FT865" s="346"/>
      <c r="FU865" s="346"/>
      <c r="FV865" s="346"/>
      <c r="FW865" s="346"/>
      <c r="FX865" s="346"/>
      <c r="FY865" s="346"/>
      <c r="FZ865" s="346"/>
      <c r="GA865" s="346"/>
      <c r="GB865" s="346"/>
      <c r="GC865" s="346"/>
      <c r="GD865" s="346"/>
      <c r="GE865" s="346"/>
      <c r="GF865" s="346"/>
      <c r="GG865" s="346"/>
      <c r="GH865" s="346"/>
      <c r="GI865" s="1897">
        <v>1.21073736</v>
      </c>
      <c r="GJ865" s="1897">
        <v>1.3205667619999999</v>
      </c>
      <c r="GK865" s="1897">
        <v>1.411681636</v>
      </c>
      <c r="GL865" s="1897">
        <v>1.1410272400000001</v>
      </c>
      <c r="GM865" s="1897">
        <v>1.155290588</v>
      </c>
      <c r="GN865" s="1897">
        <v>1.29052203</v>
      </c>
      <c r="GO865" s="1897">
        <v>1.2083091020000001</v>
      </c>
      <c r="GP865" s="1897">
        <v>1.15882376</v>
      </c>
      <c r="GQ865" s="1897">
        <v>1.417136704</v>
      </c>
      <c r="GR865" s="1897">
        <v>1.130445774</v>
      </c>
      <c r="GS865" s="1897">
        <v>1.3095804870000001</v>
      </c>
      <c r="GT865" s="1897">
        <v>1.3766600499999999</v>
      </c>
      <c r="GU865" s="1897">
        <v>1.2532150660000001</v>
      </c>
      <c r="GV865" s="1897">
        <v>1.4214319870000001</v>
      </c>
      <c r="GW865" s="1897">
        <v>1.2920655080000001</v>
      </c>
      <c r="GX865" s="1897">
        <v>1.343284208</v>
      </c>
      <c r="GY865" s="1897">
        <v>1.313763872</v>
      </c>
      <c r="GZ865" s="1897">
        <v>1.25963402</v>
      </c>
      <c r="HA865" s="1897">
        <v>1.304045565</v>
      </c>
      <c r="HB865" s="1897">
        <v>1.211248026</v>
      </c>
      <c r="HC865" s="1897">
        <v>1.3897288139999999</v>
      </c>
      <c r="HD865" s="1897">
        <v>1.226373521</v>
      </c>
      <c r="HE865" s="1897">
        <v>1.3664009580000001</v>
      </c>
      <c r="HF865" s="1897">
        <v>1.3763920160000001</v>
      </c>
      <c r="HG865" s="1897">
        <v>1.4508406220000001</v>
      </c>
      <c r="HH865" s="1897">
        <v>1.5411530920000001</v>
      </c>
      <c r="HI865" s="1897">
        <v>1.4252575679999999</v>
      </c>
      <c r="HJ865" s="1897">
        <v>1.4603782380000001</v>
      </c>
      <c r="HK865" s="1897">
        <v>1.3586528920000001</v>
      </c>
      <c r="HL865" s="1897">
        <v>1.5133927810000001</v>
      </c>
      <c r="HM865" s="1897"/>
      <c r="HN865" s="349"/>
      <c r="HO865" s="1722" t="s">
        <v>1206</v>
      </c>
      <c r="HP865" s="307"/>
      <c r="HR865" s="346"/>
      <c r="HU865" s="346"/>
      <c r="HV865" s="307"/>
      <c r="HX865" s="346"/>
      <c r="HY865" s="350"/>
      <c r="IA865" s="346"/>
      <c r="ID865" s="346"/>
      <c r="IE865" s="350"/>
      <c r="IF865" s="350"/>
      <c r="IG865" s="346"/>
      <c r="IH865" s="350"/>
      <c r="II865" s="350"/>
      <c r="IJ865" s="346"/>
      <c r="IK865" s="350">
        <v>6.0835916900000004</v>
      </c>
      <c r="IL865" s="350">
        <f t="shared" si="1411"/>
        <v>0</v>
      </c>
      <c r="IM865" s="346">
        <f t="shared" si="1425"/>
        <v>6.0835916900000004</v>
      </c>
      <c r="IN865" s="350">
        <f t="shared" si="1389"/>
        <v>0</v>
      </c>
      <c r="IO865" s="350">
        <f t="shared" si="1390"/>
        <v>0</v>
      </c>
      <c r="IP865" s="346">
        <f t="shared" si="1294"/>
        <v>0</v>
      </c>
      <c r="IQ865" s="350">
        <f t="shared" si="1391"/>
        <v>7.5298256160000001</v>
      </c>
      <c r="IR865" s="350">
        <f t="shared" si="1392"/>
        <v>7.6009558769999996</v>
      </c>
      <c r="IS865" s="346">
        <f t="shared" si="1410"/>
        <v>15.130781493000001</v>
      </c>
      <c r="IT865" s="350">
        <f t="shared" si="1412"/>
        <v>7.8833946610000005</v>
      </c>
      <c r="IU865" s="350">
        <f t="shared" si="1413"/>
        <v>7.8741889</v>
      </c>
      <c r="IV865" s="346">
        <f t="shared" si="1409"/>
        <v>15.757583561000001</v>
      </c>
      <c r="IW865" s="350">
        <f t="shared" si="1428"/>
        <v>8.7496751930000016</v>
      </c>
      <c r="IX865" s="350">
        <f t="shared" si="1426"/>
        <v>9.0473076170556759</v>
      </c>
      <c r="IY865" s="346">
        <f>FISC!AJ1182</f>
        <v>17.796982810055678</v>
      </c>
      <c r="IZ865" s="350">
        <f t="shared" si="1415"/>
        <v>10.165121898108037</v>
      </c>
      <c r="JA865" s="350">
        <f t="shared" si="1416"/>
        <v>10.165121898108037</v>
      </c>
      <c r="JB865" s="346">
        <f>FISC!AK1182</f>
        <v>20.330243796216074</v>
      </c>
      <c r="JC865" s="350">
        <f t="shared" si="1417"/>
        <v>10.755126443174657</v>
      </c>
      <c r="JD865" s="350">
        <f t="shared" si="1418"/>
        <v>10.755126443174657</v>
      </c>
      <c r="JE865" s="346">
        <f>FISC!AL1182</f>
        <v>21.510252886349313</v>
      </c>
      <c r="JF865" s="350">
        <f t="shared" si="1419"/>
        <v>12.830599509073622</v>
      </c>
      <c r="JG865" s="350">
        <f t="shared" si="1420"/>
        <v>12.830599509073622</v>
      </c>
      <c r="JH865" s="346">
        <f>FISC!AM1182</f>
        <v>25.661199018147244</v>
      </c>
      <c r="JI865" s="350">
        <f t="shared" si="1421"/>
        <v>14.357708108913897</v>
      </c>
      <c r="JJ865" s="350">
        <f t="shared" si="1422"/>
        <v>14.357708108913897</v>
      </c>
      <c r="JK865" s="346">
        <f>FISC!AN1182</f>
        <v>28.715416217827794</v>
      </c>
      <c r="JL865" s="350">
        <f t="shared" si="1423"/>
        <v>13.594153808993759</v>
      </c>
      <c r="JM865" s="350">
        <f t="shared" si="1424"/>
        <v>13.594153808993759</v>
      </c>
      <c r="JN865" s="346">
        <f>FISC!AO1182</f>
        <v>27.188307617987519</v>
      </c>
      <c r="KI865" s="349"/>
      <c r="KJ865" s="350"/>
    </row>
    <row r="866" spans="1:296" hidden="1" outlineLevel="1">
      <c r="A866" s="302"/>
      <c r="D866" s="1722" t="s">
        <v>1244</v>
      </c>
      <c r="E866" s="346"/>
      <c r="F866" s="346"/>
      <c r="G866" s="346"/>
      <c r="H866" s="346"/>
      <c r="I866" s="346"/>
      <c r="J866" s="346"/>
      <c r="K866" s="346"/>
      <c r="L866" s="346"/>
      <c r="M866" s="346"/>
      <c r="N866" s="346"/>
      <c r="O866" s="346"/>
      <c r="P866" s="346"/>
      <c r="Q866" s="346"/>
      <c r="R866" s="346"/>
      <c r="S866" s="346"/>
      <c r="T866" s="346"/>
      <c r="U866" s="346"/>
      <c r="V866" s="346"/>
      <c r="W866" s="346"/>
      <c r="X866" s="346"/>
      <c r="Y866" s="346"/>
      <c r="Z866" s="346"/>
      <c r="AA866" s="346"/>
      <c r="AB866" s="346"/>
      <c r="AC866" s="346"/>
      <c r="AD866" s="346"/>
      <c r="AE866" s="346"/>
      <c r="AF866" s="346"/>
      <c r="AG866" s="346"/>
      <c r="AH866" s="346"/>
      <c r="AI866" s="346"/>
      <c r="AJ866" s="346"/>
      <c r="AK866" s="346"/>
      <c r="AL866" s="346"/>
      <c r="AM866" s="346"/>
      <c r="AN866" s="346"/>
      <c r="AO866" s="346"/>
      <c r="AP866" s="346"/>
      <c r="AQ866" s="346"/>
      <c r="AR866" s="346"/>
      <c r="AS866" s="346"/>
      <c r="AT866" s="346"/>
      <c r="AU866" s="346"/>
      <c r="AV866" s="346"/>
      <c r="AW866" s="346"/>
      <c r="AX866" s="346"/>
      <c r="AY866" s="346"/>
      <c r="AZ866" s="346"/>
      <c r="BA866" s="346"/>
      <c r="BB866" s="346"/>
      <c r="BC866" s="346"/>
      <c r="BD866" s="346"/>
      <c r="BE866" s="346"/>
      <c r="BF866" s="346"/>
      <c r="BG866" s="346"/>
      <c r="BH866" s="346"/>
      <c r="BI866" s="346"/>
      <c r="BJ866" s="346"/>
      <c r="BK866" s="346"/>
      <c r="BL866" s="346"/>
      <c r="BM866" s="346"/>
      <c r="BN866" s="346"/>
      <c r="BO866" s="346"/>
      <c r="BP866" s="346"/>
      <c r="BQ866" s="346"/>
      <c r="BR866" s="346"/>
      <c r="BS866" s="346"/>
      <c r="BT866" s="346"/>
      <c r="BU866" s="346"/>
      <c r="BV866" s="346"/>
      <c r="BW866" s="346"/>
      <c r="BX866" s="346"/>
      <c r="BY866" s="346"/>
      <c r="BZ866" s="346"/>
      <c r="CA866" s="346"/>
      <c r="CB866" s="346"/>
      <c r="CC866" s="346"/>
      <c r="CD866" s="352"/>
      <c r="CE866" s="346"/>
      <c r="CF866" s="346"/>
      <c r="CG866" s="346"/>
      <c r="CH866" s="346"/>
      <c r="CI866" s="346"/>
      <c r="CJ866" s="346"/>
      <c r="CK866" s="346"/>
      <c r="CL866" s="346"/>
      <c r="CM866" s="346"/>
      <c r="CN866" s="346"/>
      <c r="CO866" s="346"/>
      <c r="CP866" s="348"/>
      <c r="CQ866" s="346"/>
      <c r="CR866" s="346"/>
      <c r="CS866" s="346"/>
      <c r="CT866" s="346"/>
      <c r="CU866" s="346"/>
      <c r="CV866" s="346"/>
      <c r="CW866" s="346"/>
      <c r="CX866" s="346"/>
      <c r="CY866" s="346"/>
      <c r="CZ866" s="346"/>
      <c r="DA866" s="346"/>
      <c r="DB866" s="1479"/>
      <c r="DC866" s="346"/>
      <c r="DD866" s="346"/>
      <c r="DE866" s="346"/>
      <c r="DF866" s="346"/>
      <c r="DG866" s="346"/>
      <c r="DH866" s="346"/>
      <c r="DI866" s="346"/>
      <c r="DJ866" s="346"/>
      <c r="DK866" s="346"/>
      <c r="DL866" s="346"/>
      <c r="DM866" s="346"/>
      <c r="DN866" s="348"/>
      <c r="DO866" s="346"/>
      <c r="DP866" s="346"/>
      <c r="DQ866" s="346"/>
      <c r="DR866" s="346"/>
      <c r="DS866" s="346"/>
      <c r="DT866" s="346"/>
      <c r="DU866" s="346"/>
      <c r="DV866" s="346"/>
      <c r="DW866" s="346"/>
      <c r="DX866" s="346"/>
      <c r="DY866" s="346"/>
      <c r="DZ866" s="348"/>
      <c r="EA866" s="346"/>
      <c r="EB866" s="346"/>
      <c r="EC866" s="346"/>
      <c r="ED866" s="346"/>
      <c r="EE866" s="346"/>
      <c r="EF866" s="346"/>
      <c r="EG866" s="346"/>
      <c r="EH866" s="346"/>
      <c r="EI866" s="346"/>
      <c r="EJ866" s="346"/>
      <c r="EK866" s="346"/>
      <c r="EL866" s="348"/>
      <c r="EM866" s="346"/>
      <c r="EN866" s="346"/>
      <c r="EO866" s="346"/>
      <c r="EP866" s="346"/>
      <c r="EQ866" s="346"/>
      <c r="ER866" s="346"/>
      <c r="ES866" s="346"/>
      <c r="ET866" s="346"/>
      <c r="EU866" s="346"/>
      <c r="EV866" s="346"/>
      <c r="EW866" s="346"/>
      <c r="EX866" s="348"/>
      <c r="EY866" s="346"/>
      <c r="EZ866" s="346"/>
      <c r="FA866" s="346"/>
      <c r="FB866" s="346"/>
      <c r="FC866" s="346"/>
      <c r="FD866" s="346"/>
      <c r="FE866" s="346"/>
      <c r="FF866" s="346"/>
      <c r="FG866" s="346"/>
      <c r="FH866" s="346"/>
      <c r="FI866" s="346"/>
      <c r="FJ866" s="348"/>
      <c r="FK866" s="346"/>
      <c r="FL866" s="346"/>
      <c r="FM866" s="346"/>
      <c r="FN866" s="346"/>
      <c r="FO866" s="346"/>
      <c r="FP866" s="346"/>
      <c r="FQ866" s="346"/>
      <c r="FR866" s="346"/>
      <c r="FS866" s="346"/>
      <c r="FT866" s="346"/>
      <c r="FU866" s="346"/>
      <c r="FV866" s="346"/>
      <c r="FW866" s="346"/>
      <c r="FX866" s="346"/>
      <c r="FY866" s="346"/>
      <c r="FZ866" s="346"/>
      <c r="GA866" s="346"/>
      <c r="GB866" s="346"/>
      <c r="GC866" s="346"/>
      <c r="GD866" s="346"/>
      <c r="GE866" s="346"/>
      <c r="GF866" s="346"/>
      <c r="GG866" s="346"/>
      <c r="GH866" s="346"/>
      <c r="GI866" s="1897"/>
      <c r="HN866" s="349"/>
      <c r="HO866" s="1722" t="s">
        <v>1244</v>
      </c>
      <c r="HP866" s="307"/>
      <c r="HR866" s="346"/>
      <c r="HU866" s="346"/>
      <c r="HV866" s="307"/>
      <c r="HX866" s="346"/>
      <c r="HY866" s="350"/>
      <c r="IA866" s="346"/>
      <c r="ID866" s="346"/>
      <c r="IE866" s="350"/>
      <c r="IF866" s="350"/>
      <c r="IG866" s="346"/>
      <c r="IH866" s="350"/>
      <c r="II866" s="350"/>
      <c r="IJ866" s="346"/>
      <c r="IK866" s="350">
        <v>0</v>
      </c>
      <c r="IL866" s="350">
        <f t="shared" si="1411"/>
        <v>0</v>
      </c>
      <c r="IM866" s="346">
        <f t="shared" si="1425"/>
        <v>0</v>
      </c>
      <c r="IN866" s="350">
        <f t="shared" si="1389"/>
        <v>0</v>
      </c>
      <c r="IO866" s="350">
        <f t="shared" si="1390"/>
        <v>0</v>
      </c>
      <c r="IP866" s="346">
        <f t="shared" si="1294"/>
        <v>0</v>
      </c>
      <c r="IQ866" s="350">
        <f t="shared" si="1391"/>
        <v>0</v>
      </c>
      <c r="IR866" s="350">
        <f t="shared" si="1392"/>
        <v>0</v>
      </c>
      <c r="IS866" s="346">
        <f t="shared" si="1410"/>
        <v>0</v>
      </c>
      <c r="IT866" s="350">
        <f t="shared" si="1412"/>
        <v>0</v>
      </c>
      <c r="IU866" s="350">
        <f t="shared" si="1413"/>
        <v>0</v>
      </c>
      <c r="IV866" s="346">
        <f t="shared" si="1409"/>
        <v>0</v>
      </c>
      <c r="IW866" s="350">
        <f t="shared" si="1428"/>
        <v>0</v>
      </c>
      <c r="IX866" s="350">
        <f t="shared" si="1426"/>
        <v>0</v>
      </c>
      <c r="IY866" s="346">
        <f>FISC!AJ1183</f>
        <v>0</v>
      </c>
      <c r="IZ866" s="350">
        <f t="shared" si="1415"/>
        <v>0</v>
      </c>
      <c r="JA866" s="350">
        <f t="shared" si="1416"/>
        <v>0</v>
      </c>
      <c r="JB866" s="346">
        <f>FISC!AK1183</f>
        <v>0</v>
      </c>
      <c r="JC866" s="350">
        <f t="shared" si="1417"/>
        <v>0</v>
      </c>
      <c r="JD866" s="350">
        <f t="shared" si="1418"/>
        <v>0</v>
      </c>
      <c r="JE866" s="346">
        <f>FISC!AL1183</f>
        <v>0</v>
      </c>
      <c r="JF866" s="350">
        <f t="shared" si="1419"/>
        <v>0</v>
      </c>
      <c r="JG866" s="350">
        <f t="shared" si="1420"/>
        <v>0</v>
      </c>
      <c r="JH866" s="346">
        <f>FISC!AM1183</f>
        <v>0</v>
      </c>
      <c r="JI866" s="350">
        <f t="shared" si="1421"/>
        <v>0</v>
      </c>
      <c r="JJ866" s="350">
        <f t="shared" si="1422"/>
        <v>0</v>
      </c>
      <c r="JK866" s="346">
        <f>FISC!AN1183</f>
        <v>0</v>
      </c>
      <c r="JL866" s="350">
        <f t="shared" si="1423"/>
        <v>0</v>
      </c>
      <c r="JM866" s="350">
        <f t="shared" si="1424"/>
        <v>0</v>
      </c>
      <c r="JN866" s="346">
        <f>FISC!AO1183</f>
        <v>0</v>
      </c>
      <c r="KI866" s="349"/>
      <c r="KJ866" s="350"/>
    </row>
    <row r="867" spans="1:296" hidden="1" outlineLevel="1">
      <c r="A867" s="302"/>
      <c r="D867" s="1722" t="s">
        <v>3216</v>
      </c>
      <c r="E867" s="346"/>
      <c r="F867" s="346"/>
      <c r="G867" s="346"/>
      <c r="H867" s="346"/>
      <c r="I867" s="346"/>
      <c r="J867" s="346"/>
      <c r="K867" s="346"/>
      <c r="L867" s="346"/>
      <c r="M867" s="346"/>
      <c r="N867" s="346"/>
      <c r="O867" s="346"/>
      <c r="P867" s="346"/>
      <c r="Q867" s="346"/>
      <c r="R867" s="346"/>
      <c r="S867" s="346"/>
      <c r="T867" s="346"/>
      <c r="U867" s="346"/>
      <c r="V867" s="346"/>
      <c r="W867" s="346"/>
      <c r="X867" s="346"/>
      <c r="Y867" s="346"/>
      <c r="Z867" s="346"/>
      <c r="AA867" s="346"/>
      <c r="AB867" s="346"/>
      <c r="AC867" s="346"/>
      <c r="AD867" s="346"/>
      <c r="AE867" s="346"/>
      <c r="AF867" s="346"/>
      <c r="AG867" s="346"/>
      <c r="AH867" s="346"/>
      <c r="AI867" s="346"/>
      <c r="AJ867" s="346"/>
      <c r="AK867" s="346"/>
      <c r="AL867" s="346"/>
      <c r="AM867" s="346"/>
      <c r="AN867" s="346"/>
      <c r="AO867" s="346"/>
      <c r="AP867" s="346"/>
      <c r="AQ867" s="346"/>
      <c r="AR867" s="346"/>
      <c r="AS867" s="346"/>
      <c r="AT867" s="346"/>
      <c r="AU867" s="346"/>
      <c r="AV867" s="346"/>
      <c r="AW867" s="346"/>
      <c r="AX867" s="346"/>
      <c r="AY867" s="346"/>
      <c r="AZ867" s="346"/>
      <c r="BA867" s="346"/>
      <c r="BB867" s="346"/>
      <c r="BC867" s="346"/>
      <c r="BD867" s="346"/>
      <c r="BE867" s="346"/>
      <c r="BF867" s="346"/>
      <c r="BG867" s="346"/>
      <c r="BH867" s="346"/>
      <c r="BI867" s="346"/>
      <c r="BJ867" s="346"/>
      <c r="BK867" s="346"/>
      <c r="BL867" s="346"/>
      <c r="BM867" s="346"/>
      <c r="BN867" s="346"/>
      <c r="BO867" s="346"/>
      <c r="BP867" s="346"/>
      <c r="BQ867" s="346"/>
      <c r="BR867" s="346"/>
      <c r="BS867" s="346"/>
      <c r="BT867" s="346"/>
      <c r="BU867" s="346"/>
      <c r="BV867" s="346"/>
      <c r="BW867" s="346"/>
      <c r="BX867" s="346"/>
      <c r="BY867" s="346"/>
      <c r="BZ867" s="346"/>
      <c r="CA867" s="346"/>
      <c r="CB867" s="346"/>
      <c r="CC867" s="346"/>
      <c r="CD867" s="352"/>
      <c r="CE867" s="346"/>
      <c r="CF867" s="346"/>
      <c r="CG867" s="346"/>
      <c r="CH867" s="346"/>
      <c r="CI867" s="346"/>
      <c r="CJ867" s="346"/>
      <c r="CK867" s="346"/>
      <c r="CL867" s="346"/>
      <c r="CM867" s="346"/>
      <c r="CN867" s="346"/>
      <c r="CO867" s="346"/>
      <c r="CP867" s="348"/>
      <c r="CQ867" s="346"/>
      <c r="CR867" s="346"/>
      <c r="CS867" s="346"/>
      <c r="CT867" s="346"/>
      <c r="CU867" s="346"/>
      <c r="CV867" s="346"/>
      <c r="CW867" s="346"/>
      <c r="CX867" s="346"/>
      <c r="CY867" s="346"/>
      <c r="CZ867" s="346"/>
      <c r="DA867" s="346"/>
      <c r="DB867" s="1479"/>
      <c r="DC867" s="346"/>
      <c r="DD867" s="346"/>
      <c r="DE867" s="346"/>
      <c r="DF867" s="346"/>
      <c r="DG867" s="346"/>
      <c r="DH867" s="346"/>
      <c r="DI867" s="346"/>
      <c r="DJ867" s="346"/>
      <c r="DK867" s="346"/>
      <c r="DL867" s="346"/>
      <c r="DM867" s="346"/>
      <c r="DN867" s="348"/>
      <c r="DO867" s="346"/>
      <c r="DP867" s="346"/>
      <c r="DQ867" s="346"/>
      <c r="DR867" s="346"/>
      <c r="DS867" s="346"/>
      <c r="DT867" s="346"/>
      <c r="DU867" s="346"/>
      <c r="DV867" s="346"/>
      <c r="DW867" s="346"/>
      <c r="DX867" s="346"/>
      <c r="DY867" s="346"/>
      <c r="DZ867" s="348"/>
      <c r="EA867" s="346"/>
      <c r="EB867" s="346"/>
      <c r="EC867" s="346"/>
      <c r="ED867" s="346"/>
      <c r="EE867" s="346"/>
      <c r="EF867" s="346"/>
      <c r="EG867" s="346"/>
      <c r="EH867" s="346"/>
      <c r="EI867" s="346"/>
      <c r="EJ867" s="346"/>
      <c r="EK867" s="346"/>
      <c r="EL867" s="348"/>
      <c r="EM867" s="346"/>
      <c r="EN867" s="346"/>
      <c r="EO867" s="346"/>
      <c r="EP867" s="346"/>
      <c r="EQ867" s="346"/>
      <c r="ER867" s="346"/>
      <c r="ES867" s="346"/>
      <c r="ET867" s="346"/>
      <c r="EU867" s="346"/>
      <c r="EV867" s="346"/>
      <c r="EW867" s="346"/>
      <c r="EX867" s="348"/>
      <c r="EY867" s="346"/>
      <c r="EZ867" s="346"/>
      <c r="FA867" s="346"/>
      <c r="FB867" s="346"/>
      <c r="FC867" s="346"/>
      <c r="FD867" s="346"/>
      <c r="FE867" s="346"/>
      <c r="FF867" s="346"/>
      <c r="FG867" s="346"/>
      <c r="FH867" s="346"/>
      <c r="FI867" s="346"/>
      <c r="FJ867" s="348"/>
      <c r="FK867" s="346"/>
      <c r="FL867" s="346"/>
      <c r="FM867" s="346"/>
      <c r="FN867" s="346"/>
      <c r="FO867" s="346"/>
      <c r="FP867" s="346"/>
      <c r="FQ867" s="346"/>
      <c r="FR867" s="346"/>
      <c r="FS867" s="346"/>
      <c r="FT867" s="346"/>
      <c r="FU867" s="346"/>
      <c r="FV867" s="346"/>
      <c r="FW867" s="346"/>
      <c r="FX867" s="346"/>
      <c r="FY867" s="346"/>
      <c r="FZ867" s="346"/>
      <c r="GA867" s="346"/>
      <c r="GB867" s="346"/>
      <c r="GC867" s="346"/>
      <c r="GD867" s="346"/>
      <c r="GE867" s="346"/>
      <c r="GF867" s="346"/>
      <c r="GG867" s="346"/>
      <c r="GH867" s="346"/>
      <c r="GI867" s="1897"/>
      <c r="HN867" s="349"/>
      <c r="HO867" s="1722" t="s">
        <v>3216</v>
      </c>
      <c r="HP867" s="307"/>
      <c r="HR867" s="346"/>
      <c r="HU867" s="346"/>
      <c r="HV867" s="307"/>
      <c r="HX867" s="346"/>
      <c r="HY867" s="350"/>
      <c r="IA867" s="346"/>
      <c r="ID867" s="346"/>
      <c r="IE867" s="350"/>
      <c r="IF867" s="350"/>
      <c r="IG867" s="346"/>
      <c r="IH867" s="350"/>
      <c r="II867" s="350"/>
      <c r="IJ867" s="346"/>
      <c r="IK867" s="350">
        <v>0</v>
      </c>
      <c r="IL867" s="350">
        <f t="shared" si="1411"/>
        <v>0</v>
      </c>
      <c r="IM867" s="346">
        <f t="shared" si="1425"/>
        <v>0</v>
      </c>
      <c r="IN867" s="350">
        <f t="shared" si="1389"/>
        <v>0</v>
      </c>
      <c r="IO867" s="350">
        <f t="shared" si="1390"/>
        <v>0</v>
      </c>
      <c r="IP867" s="346">
        <f t="shared" si="1294"/>
        <v>0</v>
      </c>
      <c r="IQ867" s="350">
        <f t="shared" si="1391"/>
        <v>0</v>
      </c>
      <c r="IR867" s="350">
        <f t="shared" si="1392"/>
        <v>0</v>
      </c>
      <c r="IS867" s="346">
        <f t="shared" si="1410"/>
        <v>0</v>
      </c>
      <c r="IT867" s="350">
        <f t="shared" si="1412"/>
        <v>0</v>
      </c>
      <c r="IU867" s="350">
        <f t="shared" si="1413"/>
        <v>0</v>
      </c>
      <c r="IV867" s="346">
        <f t="shared" si="1409"/>
        <v>0</v>
      </c>
      <c r="IW867" s="350">
        <f t="shared" si="1428"/>
        <v>0</v>
      </c>
      <c r="IX867" s="350">
        <f t="shared" si="1426"/>
        <v>0</v>
      </c>
      <c r="IY867" s="346">
        <f>FISC!AJ1184</f>
        <v>0</v>
      </c>
      <c r="IZ867" s="350">
        <f t="shared" si="1415"/>
        <v>0</v>
      </c>
      <c r="JA867" s="350">
        <f t="shared" si="1416"/>
        <v>0</v>
      </c>
      <c r="JB867" s="346">
        <f>FISC!AK1184</f>
        <v>0</v>
      </c>
      <c r="JC867" s="350">
        <f t="shared" si="1417"/>
        <v>0</v>
      </c>
      <c r="JD867" s="350">
        <f t="shared" si="1418"/>
        <v>0</v>
      </c>
      <c r="JE867" s="346">
        <f>FISC!AL1184</f>
        <v>0</v>
      </c>
      <c r="JF867" s="350">
        <f t="shared" si="1419"/>
        <v>0</v>
      </c>
      <c r="JG867" s="350">
        <f t="shared" si="1420"/>
        <v>0</v>
      </c>
      <c r="JH867" s="346">
        <f>FISC!AM1184</f>
        <v>0</v>
      </c>
      <c r="JI867" s="350">
        <f t="shared" si="1421"/>
        <v>0</v>
      </c>
      <c r="JJ867" s="350">
        <f t="shared" si="1422"/>
        <v>0</v>
      </c>
      <c r="JK867" s="346">
        <f>FISC!AN1184</f>
        <v>0</v>
      </c>
      <c r="JL867" s="350">
        <f t="shared" si="1423"/>
        <v>0</v>
      </c>
      <c r="JM867" s="350">
        <f t="shared" si="1424"/>
        <v>0</v>
      </c>
      <c r="JN867" s="346">
        <f>FISC!AO1184</f>
        <v>0</v>
      </c>
      <c r="KI867" s="349"/>
      <c r="KJ867" s="350"/>
    </row>
    <row r="868" spans="1:296" hidden="1" outlineLevel="1">
      <c r="A868" s="302"/>
      <c r="D868" s="1722" t="s">
        <v>3217</v>
      </c>
      <c r="E868" s="346"/>
      <c r="F868" s="346"/>
      <c r="G868" s="346"/>
      <c r="H868" s="346"/>
      <c r="I868" s="346"/>
      <c r="J868" s="346"/>
      <c r="K868" s="346"/>
      <c r="L868" s="346"/>
      <c r="M868" s="346"/>
      <c r="N868" s="346"/>
      <c r="O868" s="346"/>
      <c r="P868" s="346"/>
      <c r="Q868" s="346"/>
      <c r="R868" s="346"/>
      <c r="S868" s="346"/>
      <c r="T868" s="346"/>
      <c r="U868" s="346"/>
      <c r="V868" s="346"/>
      <c r="W868" s="346"/>
      <c r="X868" s="346"/>
      <c r="Y868" s="346"/>
      <c r="Z868" s="346"/>
      <c r="AA868" s="346"/>
      <c r="AB868" s="346"/>
      <c r="AC868" s="346"/>
      <c r="AD868" s="346"/>
      <c r="AE868" s="346"/>
      <c r="AF868" s="346"/>
      <c r="AG868" s="346"/>
      <c r="AH868" s="346"/>
      <c r="AI868" s="346"/>
      <c r="AJ868" s="346"/>
      <c r="AK868" s="346"/>
      <c r="AL868" s="346"/>
      <c r="AM868" s="346"/>
      <c r="AN868" s="346"/>
      <c r="AO868" s="346"/>
      <c r="AP868" s="346"/>
      <c r="AQ868" s="346"/>
      <c r="AR868" s="346"/>
      <c r="AS868" s="346"/>
      <c r="AT868" s="346"/>
      <c r="AU868" s="346"/>
      <c r="AV868" s="346"/>
      <c r="AW868" s="346"/>
      <c r="AX868" s="346"/>
      <c r="AY868" s="346"/>
      <c r="AZ868" s="346"/>
      <c r="BA868" s="346"/>
      <c r="BB868" s="346"/>
      <c r="BC868" s="346"/>
      <c r="BD868" s="346"/>
      <c r="BE868" s="346"/>
      <c r="BF868" s="346"/>
      <c r="BG868" s="346"/>
      <c r="BH868" s="346"/>
      <c r="BI868" s="346"/>
      <c r="BJ868" s="346"/>
      <c r="BK868" s="346"/>
      <c r="BL868" s="346"/>
      <c r="BM868" s="346"/>
      <c r="BN868" s="346"/>
      <c r="BO868" s="346"/>
      <c r="BP868" s="346"/>
      <c r="BQ868" s="346"/>
      <c r="BR868" s="346"/>
      <c r="BS868" s="346"/>
      <c r="BT868" s="346"/>
      <c r="BU868" s="346"/>
      <c r="BV868" s="346"/>
      <c r="BW868" s="346"/>
      <c r="BX868" s="346"/>
      <c r="BY868" s="346"/>
      <c r="BZ868" s="346"/>
      <c r="CA868" s="346"/>
      <c r="CB868" s="346"/>
      <c r="CC868" s="346"/>
      <c r="CD868" s="352"/>
      <c r="CE868" s="346"/>
      <c r="CF868" s="346"/>
      <c r="CG868" s="346"/>
      <c r="CH868" s="346"/>
      <c r="CI868" s="346"/>
      <c r="CJ868" s="346"/>
      <c r="CK868" s="346"/>
      <c r="CL868" s="346"/>
      <c r="CM868" s="346"/>
      <c r="CN868" s="346"/>
      <c r="CO868" s="346"/>
      <c r="CP868" s="348"/>
      <c r="CQ868" s="346"/>
      <c r="CR868" s="346"/>
      <c r="CS868" s="346"/>
      <c r="CT868" s="346"/>
      <c r="CU868" s="346"/>
      <c r="CV868" s="346"/>
      <c r="CW868" s="346"/>
      <c r="CX868" s="346"/>
      <c r="CY868" s="346"/>
      <c r="CZ868" s="346"/>
      <c r="DA868" s="346"/>
      <c r="DB868" s="1479"/>
      <c r="DC868" s="346"/>
      <c r="DD868" s="346"/>
      <c r="DE868" s="346"/>
      <c r="DF868" s="346"/>
      <c r="DG868" s="346"/>
      <c r="DH868" s="346"/>
      <c r="DI868" s="346"/>
      <c r="DJ868" s="346"/>
      <c r="DK868" s="346"/>
      <c r="DL868" s="346"/>
      <c r="DM868" s="346"/>
      <c r="DN868" s="348"/>
      <c r="DO868" s="346"/>
      <c r="DP868" s="346"/>
      <c r="DQ868" s="346"/>
      <c r="DR868" s="346"/>
      <c r="DS868" s="346"/>
      <c r="DT868" s="346"/>
      <c r="DU868" s="346"/>
      <c r="DV868" s="346"/>
      <c r="DW868" s="346"/>
      <c r="DX868" s="346"/>
      <c r="DY868" s="346"/>
      <c r="DZ868" s="348"/>
      <c r="EA868" s="346"/>
      <c r="EB868" s="346"/>
      <c r="EC868" s="346"/>
      <c r="ED868" s="346"/>
      <c r="EE868" s="346"/>
      <c r="EF868" s="346"/>
      <c r="EG868" s="346"/>
      <c r="EH868" s="346"/>
      <c r="EI868" s="346"/>
      <c r="EJ868" s="346"/>
      <c r="EK868" s="346"/>
      <c r="EL868" s="348"/>
      <c r="EM868" s="346"/>
      <c r="EN868" s="346"/>
      <c r="EO868" s="346"/>
      <c r="EP868" s="346"/>
      <c r="EQ868" s="346"/>
      <c r="ER868" s="346"/>
      <c r="ES868" s="346"/>
      <c r="ET868" s="346"/>
      <c r="EU868" s="346"/>
      <c r="EV868" s="346"/>
      <c r="EW868" s="346"/>
      <c r="EX868" s="348"/>
      <c r="EY868" s="346"/>
      <c r="EZ868" s="346"/>
      <c r="FA868" s="346"/>
      <c r="FB868" s="346"/>
      <c r="FC868" s="346"/>
      <c r="FD868" s="346"/>
      <c r="FE868" s="346"/>
      <c r="FF868" s="346"/>
      <c r="FG868" s="346"/>
      <c r="FH868" s="346"/>
      <c r="FI868" s="346"/>
      <c r="FJ868" s="348"/>
      <c r="FK868" s="346"/>
      <c r="FL868" s="346"/>
      <c r="FM868" s="346"/>
      <c r="FN868" s="346"/>
      <c r="FO868" s="346"/>
      <c r="FP868" s="346"/>
      <c r="FQ868" s="346"/>
      <c r="FR868" s="346"/>
      <c r="FS868" s="346"/>
      <c r="FT868" s="346"/>
      <c r="FU868" s="346"/>
      <c r="FV868" s="346"/>
      <c r="FW868" s="346"/>
      <c r="FX868" s="346"/>
      <c r="FY868" s="346"/>
      <c r="FZ868" s="346"/>
      <c r="GA868" s="346"/>
      <c r="GB868" s="346"/>
      <c r="GC868" s="346"/>
      <c r="GD868" s="346"/>
      <c r="GE868" s="346"/>
      <c r="GF868" s="346"/>
      <c r="GG868" s="346"/>
      <c r="GH868" s="346"/>
      <c r="GI868" s="1897"/>
      <c r="HN868" s="349"/>
      <c r="HO868" s="1722" t="s">
        <v>3217</v>
      </c>
      <c r="HP868" s="307"/>
      <c r="HR868" s="346"/>
      <c r="HU868" s="346"/>
      <c r="HV868" s="307"/>
      <c r="HX868" s="346"/>
      <c r="HY868" s="350"/>
      <c r="IA868" s="346"/>
      <c r="ID868" s="346"/>
      <c r="IE868" s="350"/>
      <c r="IF868" s="350"/>
      <c r="IG868" s="346"/>
      <c r="IH868" s="350"/>
      <c r="II868" s="350"/>
      <c r="IJ868" s="346"/>
      <c r="IK868" s="350">
        <v>0</v>
      </c>
      <c r="IL868" s="350">
        <f t="shared" si="1411"/>
        <v>0</v>
      </c>
      <c r="IM868" s="346">
        <f t="shared" si="1425"/>
        <v>0</v>
      </c>
      <c r="IN868" s="350">
        <f t="shared" si="1389"/>
        <v>0</v>
      </c>
      <c r="IO868" s="350">
        <f t="shared" si="1390"/>
        <v>0</v>
      </c>
      <c r="IP868" s="346">
        <f t="shared" si="1294"/>
        <v>0</v>
      </c>
      <c r="IQ868" s="350">
        <f t="shared" si="1391"/>
        <v>0</v>
      </c>
      <c r="IR868" s="350">
        <f t="shared" si="1392"/>
        <v>0</v>
      </c>
      <c r="IS868" s="346">
        <f t="shared" si="1410"/>
        <v>0</v>
      </c>
      <c r="IT868" s="350">
        <f t="shared" si="1412"/>
        <v>0</v>
      </c>
      <c r="IU868" s="350">
        <f t="shared" si="1413"/>
        <v>0</v>
      </c>
      <c r="IV868" s="346">
        <f t="shared" si="1409"/>
        <v>0</v>
      </c>
      <c r="IW868" s="350">
        <f t="shared" si="1428"/>
        <v>0</v>
      </c>
      <c r="IX868" s="350">
        <f t="shared" si="1426"/>
        <v>0</v>
      </c>
      <c r="IY868" s="346">
        <f>FISC!AJ1185</f>
        <v>0</v>
      </c>
      <c r="IZ868" s="350">
        <f t="shared" si="1415"/>
        <v>0</v>
      </c>
      <c r="JA868" s="350">
        <f t="shared" si="1416"/>
        <v>0</v>
      </c>
      <c r="JB868" s="346">
        <f>FISC!AK1185</f>
        <v>0</v>
      </c>
      <c r="JC868" s="350">
        <f t="shared" si="1417"/>
        <v>0</v>
      </c>
      <c r="JD868" s="350">
        <f t="shared" si="1418"/>
        <v>0</v>
      </c>
      <c r="JE868" s="346">
        <f>FISC!AL1185</f>
        <v>0</v>
      </c>
      <c r="JF868" s="350">
        <f t="shared" si="1419"/>
        <v>0</v>
      </c>
      <c r="JG868" s="350">
        <f t="shared" si="1420"/>
        <v>0</v>
      </c>
      <c r="JH868" s="346">
        <f>FISC!AM1185</f>
        <v>0</v>
      </c>
      <c r="JI868" s="350">
        <f t="shared" si="1421"/>
        <v>0</v>
      </c>
      <c r="JJ868" s="350">
        <f t="shared" si="1422"/>
        <v>0</v>
      </c>
      <c r="JK868" s="346">
        <f>FISC!AN1185</f>
        <v>0</v>
      </c>
      <c r="JL868" s="350">
        <f t="shared" si="1423"/>
        <v>0</v>
      </c>
      <c r="JM868" s="350">
        <f t="shared" si="1424"/>
        <v>0</v>
      </c>
      <c r="JN868" s="346">
        <f>FISC!AO1185</f>
        <v>0</v>
      </c>
      <c r="KI868" s="349"/>
      <c r="KJ868" s="350"/>
    </row>
    <row r="869" spans="1:296" hidden="1" outlineLevel="1">
      <c r="A869" s="302"/>
      <c r="D869" s="1722" t="s">
        <v>3218</v>
      </c>
      <c r="E869" s="346"/>
      <c r="F869" s="346"/>
      <c r="G869" s="346"/>
      <c r="H869" s="346"/>
      <c r="I869" s="346"/>
      <c r="J869" s="346"/>
      <c r="K869" s="346"/>
      <c r="L869" s="346"/>
      <c r="M869" s="346"/>
      <c r="N869" s="346"/>
      <c r="O869" s="346"/>
      <c r="P869" s="346"/>
      <c r="Q869" s="346"/>
      <c r="R869" s="346"/>
      <c r="S869" s="346"/>
      <c r="T869" s="346"/>
      <c r="U869" s="346"/>
      <c r="V869" s="346"/>
      <c r="W869" s="346"/>
      <c r="X869" s="346"/>
      <c r="Y869" s="346"/>
      <c r="Z869" s="346"/>
      <c r="AA869" s="346"/>
      <c r="AB869" s="346"/>
      <c r="AC869" s="346"/>
      <c r="AD869" s="346"/>
      <c r="AE869" s="346"/>
      <c r="AF869" s="346"/>
      <c r="AG869" s="346"/>
      <c r="AH869" s="346"/>
      <c r="AI869" s="346"/>
      <c r="AJ869" s="346"/>
      <c r="AK869" s="346"/>
      <c r="AL869" s="346"/>
      <c r="AM869" s="346"/>
      <c r="AN869" s="346"/>
      <c r="AO869" s="346"/>
      <c r="AP869" s="346"/>
      <c r="AQ869" s="346"/>
      <c r="AR869" s="346"/>
      <c r="AS869" s="346"/>
      <c r="AT869" s="346"/>
      <c r="AU869" s="346"/>
      <c r="AV869" s="346"/>
      <c r="AW869" s="346"/>
      <c r="AX869" s="346"/>
      <c r="AY869" s="346"/>
      <c r="AZ869" s="346"/>
      <c r="BA869" s="346"/>
      <c r="BB869" s="346"/>
      <c r="BC869" s="346"/>
      <c r="BD869" s="346"/>
      <c r="BE869" s="346"/>
      <c r="BF869" s="346"/>
      <c r="BG869" s="346"/>
      <c r="BH869" s="346"/>
      <c r="BI869" s="346"/>
      <c r="BJ869" s="346"/>
      <c r="BK869" s="346"/>
      <c r="BL869" s="346"/>
      <c r="BM869" s="346"/>
      <c r="BN869" s="346"/>
      <c r="BO869" s="346"/>
      <c r="BP869" s="346"/>
      <c r="BQ869" s="346"/>
      <c r="BR869" s="346"/>
      <c r="BS869" s="346"/>
      <c r="BT869" s="346"/>
      <c r="BU869" s="346"/>
      <c r="BV869" s="346"/>
      <c r="BW869" s="346"/>
      <c r="BX869" s="346"/>
      <c r="BY869" s="346"/>
      <c r="BZ869" s="346"/>
      <c r="CA869" s="346"/>
      <c r="CB869" s="346"/>
      <c r="CC869" s="346"/>
      <c r="CD869" s="352"/>
      <c r="CE869" s="346"/>
      <c r="CF869" s="346"/>
      <c r="CG869" s="346"/>
      <c r="CH869" s="346"/>
      <c r="CI869" s="346"/>
      <c r="CJ869" s="346"/>
      <c r="CK869" s="346"/>
      <c r="CL869" s="346"/>
      <c r="CM869" s="346"/>
      <c r="CN869" s="346"/>
      <c r="CO869" s="346"/>
      <c r="CP869" s="348"/>
      <c r="CQ869" s="346"/>
      <c r="CR869" s="346"/>
      <c r="CS869" s="346"/>
      <c r="CT869" s="346"/>
      <c r="CU869" s="346"/>
      <c r="CV869" s="346"/>
      <c r="CW869" s="346"/>
      <c r="CX869" s="346"/>
      <c r="CY869" s="346"/>
      <c r="CZ869" s="346"/>
      <c r="DA869" s="346"/>
      <c r="DB869" s="1479"/>
      <c r="DC869" s="346"/>
      <c r="DD869" s="346"/>
      <c r="DE869" s="346"/>
      <c r="DF869" s="346"/>
      <c r="DG869" s="346"/>
      <c r="DH869" s="346"/>
      <c r="DI869" s="346"/>
      <c r="DJ869" s="346"/>
      <c r="DK869" s="346"/>
      <c r="DL869" s="346"/>
      <c r="DM869" s="346"/>
      <c r="DN869" s="348"/>
      <c r="DO869" s="346"/>
      <c r="DP869" s="346"/>
      <c r="DQ869" s="346"/>
      <c r="DR869" s="346"/>
      <c r="DS869" s="346"/>
      <c r="DT869" s="346"/>
      <c r="DU869" s="346"/>
      <c r="DV869" s="346"/>
      <c r="DW869" s="346"/>
      <c r="DX869" s="346"/>
      <c r="DY869" s="346"/>
      <c r="DZ869" s="348"/>
      <c r="EA869" s="346"/>
      <c r="EB869" s="346"/>
      <c r="EC869" s="346"/>
      <c r="ED869" s="346"/>
      <c r="EE869" s="346"/>
      <c r="EF869" s="346"/>
      <c r="EG869" s="346"/>
      <c r="EH869" s="346"/>
      <c r="EI869" s="346"/>
      <c r="EJ869" s="346"/>
      <c r="EK869" s="346"/>
      <c r="EL869" s="348"/>
      <c r="EM869" s="346"/>
      <c r="EN869" s="346"/>
      <c r="EO869" s="346"/>
      <c r="EP869" s="346"/>
      <c r="EQ869" s="346"/>
      <c r="ER869" s="346"/>
      <c r="ES869" s="346"/>
      <c r="ET869" s="346"/>
      <c r="EU869" s="346"/>
      <c r="EV869" s="346"/>
      <c r="EW869" s="346"/>
      <c r="EX869" s="348"/>
      <c r="EY869" s="346"/>
      <c r="EZ869" s="346"/>
      <c r="FA869" s="346"/>
      <c r="FB869" s="346"/>
      <c r="FC869" s="346"/>
      <c r="FD869" s="346"/>
      <c r="FE869" s="346"/>
      <c r="FF869" s="346"/>
      <c r="FG869" s="346"/>
      <c r="FH869" s="346"/>
      <c r="FI869" s="346"/>
      <c r="FJ869" s="348"/>
      <c r="FK869" s="346"/>
      <c r="FL869" s="346"/>
      <c r="FM869" s="346"/>
      <c r="FN869" s="346"/>
      <c r="FO869" s="346"/>
      <c r="FP869" s="346"/>
      <c r="FQ869" s="346"/>
      <c r="FR869" s="346"/>
      <c r="FS869" s="346"/>
      <c r="FT869" s="346"/>
      <c r="FU869" s="346"/>
      <c r="FV869" s="346"/>
      <c r="FW869" s="346"/>
      <c r="FX869" s="346"/>
      <c r="FY869" s="346"/>
      <c r="FZ869" s="346"/>
      <c r="GA869" s="346"/>
      <c r="GB869" s="346"/>
      <c r="GC869" s="346"/>
      <c r="GD869" s="346"/>
      <c r="GE869" s="346"/>
      <c r="GF869" s="346"/>
      <c r="GG869" s="346"/>
      <c r="GH869" s="346"/>
      <c r="GI869" s="1897"/>
      <c r="HN869" s="349"/>
      <c r="HO869" s="1722" t="s">
        <v>3218</v>
      </c>
      <c r="HP869" s="307"/>
      <c r="HR869" s="346"/>
      <c r="HU869" s="346"/>
      <c r="HV869" s="307"/>
      <c r="HX869" s="346"/>
      <c r="HY869" s="350"/>
      <c r="IA869" s="346"/>
      <c r="ID869" s="346"/>
      <c r="IE869" s="350"/>
      <c r="IF869" s="350"/>
      <c r="IG869" s="346"/>
      <c r="IH869" s="350"/>
      <c r="II869" s="350"/>
      <c r="IJ869" s="346"/>
      <c r="IK869" s="350">
        <v>0</v>
      </c>
      <c r="IL869" s="350">
        <f t="shared" si="1411"/>
        <v>0</v>
      </c>
      <c r="IM869" s="346">
        <f t="shared" si="1425"/>
        <v>0</v>
      </c>
      <c r="IN869" s="350">
        <f t="shared" si="1389"/>
        <v>0</v>
      </c>
      <c r="IO869" s="350">
        <f t="shared" si="1390"/>
        <v>0</v>
      </c>
      <c r="IP869" s="346">
        <f t="shared" si="1294"/>
        <v>0</v>
      </c>
      <c r="IQ869" s="350">
        <f t="shared" si="1391"/>
        <v>0</v>
      </c>
      <c r="IR869" s="350">
        <f t="shared" si="1392"/>
        <v>0</v>
      </c>
      <c r="IS869" s="346">
        <f t="shared" si="1410"/>
        <v>0</v>
      </c>
      <c r="IT869" s="350">
        <f t="shared" si="1412"/>
        <v>0</v>
      </c>
      <c r="IU869" s="350">
        <f t="shared" si="1413"/>
        <v>0</v>
      </c>
      <c r="IV869" s="346">
        <f t="shared" si="1409"/>
        <v>0</v>
      </c>
      <c r="IW869" s="350">
        <f t="shared" si="1428"/>
        <v>0</v>
      </c>
      <c r="IX869" s="350">
        <f t="shared" si="1426"/>
        <v>0</v>
      </c>
      <c r="IY869" s="346">
        <f>FISC!AJ1186</f>
        <v>0</v>
      </c>
      <c r="IZ869" s="350">
        <f t="shared" si="1415"/>
        <v>0</v>
      </c>
      <c r="JA869" s="350">
        <f t="shared" si="1416"/>
        <v>0</v>
      </c>
      <c r="JB869" s="346">
        <f>FISC!AK1186</f>
        <v>0</v>
      </c>
      <c r="JC869" s="350">
        <f t="shared" si="1417"/>
        <v>0</v>
      </c>
      <c r="JD869" s="350">
        <f t="shared" si="1418"/>
        <v>0</v>
      </c>
      <c r="JE869" s="346">
        <f>FISC!AL1186</f>
        <v>0</v>
      </c>
      <c r="JF869" s="350">
        <f t="shared" si="1419"/>
        <v>0</v>
      </c>
      <c r="JG869" s="350">
        <f t="shared" si="1420"/>
        <v>0</v>
      </c>
      <c r="JH869" s="346">
        <f>FISC!AM1186</f>
        <v>0</v>
      </c>
      <c r="JI869" s="350">
        <f t="shared" si="1421"/>
        <v>0</v>
      </c>
      <c r="JJ869" s="350">
        <f t="shared" si="1422"/>
        <v>0</v>
      </c>
      <c r="JK869" s="346">
        <f>FISC!AN1186</f>
        <v>0</v>
      </c>
      <c r="JL869" s="350">
        <f t="shared" si="1423"/>
        <v>0</v>
      </c>
      <c r="JM869" s="350">
        <f t="shared" si="1424"/>
        <v>0</v>
      </c>
      <c r="JN869" s="346">
        <f>FISC!AO1186</f>
        <v>0</v>
      </c>
      <c r="KI869" s="349"/>
      <c r="KJ869" s="350"/>
    </row>
    <row r="870" spans="1:296" hidden="1" outlineLevel="1">
      <c r="A870" s="302"/>
      <c r="D870" s="358" t="s">
        <v>3186</v>
      </c>
      <c r="E870" s="346"/>
      <c r="F870" s="346"/>
      <c r="G870" s="346"/>
      <c r="H870" s="346"/>
      <c r="I870" s="346"/>
      <c r="J870" s="346"/>
      <c r="K870" s="346"/>
      <c r="L870" s="346"/>
      <c r="M870" s="346"/>
      <c r="N870" s="346"/>
      <c r="O870" s="346"/>
      <c r="P870" s="346"/>
      <c r="Q870" s="346"/>
      <c r="R870" s="346"/>
      <c r="S870" s="346"/>
      <c r="T870" s="346"/>
      <c r="U870" s="346"/>
      <c r="V870" s="346"/>
      <c r="W870" s="346"/>
      <c r="X870" s="346"/>
      <c r="Y870" s="346"/>
      <c r="Z870" s="346"/>
      <c r="AA870" s="346"/>
      <c r="AB870" s="346"/>
      <c r="AC870" s="346"/>
      <c r="AD870" s="346"/>
      <c r="AE870" s="346"/>
      <c r="AF870" s="346"/>
      <c r="AG870" s="346"/>
      <c r="AH870" s="346"/>
      <c r="AI870" s="346"/>
      <c r="AJ870" s="346"/>
      <c r="AK870" s="346"/>
      <c r="AL870" s="346"/>
      <c r="AM870" s="346"/>
      <c r="AN870" s="346"/>
      <c r="AO870" s="346"/>
      <c r="AP870" s="346"/>
      <c r="AQ870" s="346"/>
      <c r="AR870" s="346"/>
      <c r="AS870" s="346"/>
      <c r="AT870" s="346"/>
      <c r="AU870" s="346"/>
      <c r="AV870" s="346"/>
      <c r="AW870" s="346"/>
      <c r="AX870" s="346"/>
      <c r="AY870" s="346"/>
      <c r="AZ870" s="346"/>
      <c r="BA870" s="346"/>
      <c r="BB870" s="346"/>
      <c r="BC870" s="346"/>
      <c r="BD870" s="346"/>
      <c r="BE870" s="346"/>
      <c r="BF870" s="346"/>
      <c r="BG870" s="346"/>
      <c r="BH870" s="346"/>
      <c r="BI870" s="346"/>
      <c r="BJ870" s="346"/>
      <c r="BK870" s="346"/>
      <c r="BL870" s="346"/>
      <c r="BM870" s="346"/>
      <c r="BN870" s="346"/>
      <c r="BO870" s="346"/>
      <c r="BP870" s="346"/>
      <c r="BQ870" s="346"/>
      <c r="BR870" s="346"/>
      <c r="BS870" s="346"/>
      <c r="BT870" s="346"/>
      <c r="BU870" s="346"/>
      <c r="BV870" s="346"/>
      <c r="BW870" s="346"/>
      <c r="BX870" s="346"/>
      <c r="BY870" s="346"/>
      <c r="BZ870" s="346"/>
      <c r="CA870" s="346"/>
      <c r="CB870" s="346"/>
      <c r="CC870" s="346"/>
      <c r="CD870" s="352"/>
      <c r="CE870" s="346">
        <v>0</v>
      </c>
      <c r="CF870" s="346">
        <v>0</v>
      </c>
      <c r="CG870" s="346">
        <v>0</v>
      </c>
      <c r="CH870" s="346">
        <v>0</v>
      </c>
      <c r="CI870" s="346">
        <v>0</v>
      </c>
      <c r="CJ870" s="346">
        <v>0</v>
      </c>
      <c r="CK870" s="346">
        <v>0</v>
      </c>
      <c r="CL870" s="346">
        <v>0</v>
      </c>
      <c r="CM870" s="346">
        <v>0</v>
      </c>
      <c r="CN870" s="346">
        <v>0</v>
      </c>
      <c r="CO870" s="346">
        <v>0</v>
      </c>
      <c r="CP870" s="348">
        <v>0</v>
      </c>
      <c r="CQ870" s="346"/>
      <c r="CR870" s="346"/>
      <c r="CS870" s="346"/>
      <c r="CT870" s="346"/>
      <c r="CU870" s="346"/>
      <c r="CV870" s="346"/>
      <c r="CW870" s="346"/>
      <c r="CX870" s="346"/>
      <c r="CY870" s="346"/>
      <c r="CZ870" s="346"/>
      <c r="DA870" s="346"/>
      <c r="DB870" s="1479"/>
      <c r="DC870" s="346"/>
      <c r="DD870" s="346"/>
      <c r="DE870" s="346"/>
      <c r="DF870" s="346"/>
      <c r="DG870" s="346"/>
      <c r="DH870" s="346"/>
      <c r="DI870" s="346"/>
      <c r="DJ870" s="346"/>
      <c r="DK870" s="346"/>
      <c r="DL870" s="346"/>
      <c r="DM870" s="346"/>
      <c r="DN870" s="348"/>
      <c r="DO870" s="346"/>
      <c r="DP870" s="346"/>
      <c r="DQ870" s="346"/>
      <c r="DR870" s="346"/>
      <c r="DS870" s="346"/>
      <c r="DT870" s="346"/>
      <c r="DU870" s="346"/>
      <c r="DV870" s="346"/>
      <c r="DW870" s="346"/>
      <c r="DX870" s="346"/>
      <c r="DY870" s="346"/>
      <c r="DZ870" s="348"/>
      <c r="EA870" s="346"/>
      <c r="EB870" s="346"/>
      <c r="EC870" s="346"/>
      <c r="ED870" s="346"/>
      <c r="EE870" s="346"/>
      <c r="EF870" s="346"/>
      <c r="EG870" s="346"/>
      <c r="EH870" s="346"/>
      <c r="EI870" s="346"/>
      <c r="EJ870" s="346"/>
      <c r="EK870" s="346"/>
      <c r="EL870" s="348"/>
      <c r="EM870" s="346"/>
      <c r="EN870" s="346"/>
      <c r="EO870" s="346"/>
      <c r="EP870" s="346"/>
      <c r="EQ870" s="346"/>
      <c r="ER870" s="346"/>
      <c r="ES870" s="346"/>
      <c r="ET870" s="346"/>
      <c r="EU870" s="346"/>
      <c r="EV870" s="346"/>
      <c r="EW870" s="346"/>
      <c r="EX870" s="348"/>
      <c r="EY870" s="346"/>
      <c r="EZ870" s="346"/>
      <c r="FA870" s="346"/>
      <c r="FB870" s="346"/>
      <c r="FC870" s="346"/>
      <c r="FD870" s="346"/>
      <c r="FE870" s="346"/>
      <c r="FF870" s="346"/>
      <c r="FG870" s="346"/>
      <c r="FH870" s="346"/>
      <c r="FI870" s="346"/>
      <c r="FJ870" s="348"/>
      <c r="FK870" s="346">
        <v>0</v>
      </c>
      <c r="FL870" s="346">
        <v>0</v>
      </c>
      <c r="FM870" s="346">
        <v>0</v>
      </c>
      <c r="FN870" s="346">
        <v>0</v>
      </c>
      <c r="FO870" s="346">
        <v>0</v>
      </c>
      <c r="FP870" s="346">
        <v>0</v>
      </c>
      <c r="FQ870" s="346">
        <v>0</v>
      </c>
      <c r="FR870" s="346">
        <v>0</v>
      </c>
      <c r="FS870" s="346">
        <v>0</v>
      </c>
      <c r="FT870" s="346">
        <v>0</v>
      </c>
      <c r="FU870" s="346">
        <v>0</v>
      </c>
      <c r="FV870" s="346">
        <v>0</v>
      </c>
      <c r="FW870" s="346">
        <v>0</v>
      </c>
      <c r="FX870" s="346">
        <v>0</v>
      </c>
      <c r="FY870" s="346">
        <v>0</v>
      </c>
      <c r="FZ870" s="346">
        <v>0</v>
      </c>
      <c r="GA870" s="346">
        <v>0</v>
      </c>
      <c r="GB870" s="346">
        <v>0</v>
      </c>
      <c r="GC870" s="346">
        <v>0</v>
      </c>
      <c r="GD870" s="346">
        <v>0</v>
      </c>
      <c r="GE870" s="346">
        <v>0</v>
      </c>
      <c r="GF870" s="346">
        <v>0</v>
      </c>
      <c r="GG870" s="346">
        <v>0</v>
      </c>
      <c r="GH870" s="346">
        <v>0</v>
      </c>
      <c r="GI870" s="1903">
        <f>GI871</f>
        <v>0.239341902</v>
      </c>
      <c r="GJ870" s="1903">
        <f t="shared" ref="GJ870:HL870" si="1429">GJ871</f>
        <v>0.28002997600000001</v>
      </c>
      <c r="GK870" s="1903">
        <f t="shared" si="1429"/>
        <v>0.271350231</v>
      </c>
      <c r="GL870" s="1903">
        <f t="shared" si="1429"/>
        <v>0.236687542</v>
      </c>
      <c r="GM870" s="1903">
        <f t="shared" si="1429"/>
        <v>0.25746289900000002</v>
      </c>
      <c r="GN870" s="1903">
        <f t="shared" si="1429"/>
        <v>0.27490142899999997</v>
      </c>
      <c r="GO870" s="1903">
        <f t="shared" si="1429"/>
        <v>0.25368069700000001</v>
      </c>
      <c r="GP870" s="1903">
        <f t="shared" si="1429"/>
        <v>0.23767899100000001</v>
      </c>
      <c r="GQ870" s="1903">
        <f t="shared" si="1429"/>
        <v>0.26934907299999999</v>
      </c>
      <c r="GR870" s="1903">
        <f t="shared" si="1429"/>
        <v>0.181288001</v>
      </c>
      <c r="GS870" s="1903">
        <f t="shared" si="1429"/>
        <v>0.292236985</v>
      </c>
      <c r="GT870" s="1903">
        <f t="shared" si="1429"/>
        <v>0.284246844</v>
      </c>
      <c r="GU870" s="1903">
        <f t="shared" si="1429"/>
        <v>0.26954578499999998</v>
      </c>
      <c r="GV870" s="1903">
        <f t="shared" si="1429"/>
        <v>0.27515811400000001</v>
      </c>
      <c r="GW870" s="1903">
        <f t="shared" si="1429"/>
        <v>0.273028508</v>
      </c>
      <c r="GX870" s="1903">
        <f t="shared" si="1429"/>
        <v>0.281283269</v>
      </c>
      <c r="GY870" s="1903">
        <f t="shared" si="1429"/>
        <v>0.28033565500000002</v>
      </c>
      <c r="GZ870" s="1903">
        <f t="shared" si="1429"/>
        <v>0.313937097</v>
      </c>
      <c r="HA870" s="1903">
        <f t="shared" si="1429"/>
        <v>0.32739517299999998</v>
      </c>
      <c r="HB870" s="1903">
        <f t="shared" si="1429"/>
        <v>0.273230957</v>
      </c>
      <c r="HC870" s="1903">
        <f t="shared" si="1429"/>
        <v>0.31121012799999997</v>
      </c>
      <c r="HD870" s="1903">
        <f t="shared" si="1429"/>
        <v>0.34604845400000001</v>
      </c>
      <c r="HE870" s="1903">
        <f t="shared" si="1429"/>
        <v>0.34641095999999999</v>
      </c>
      <c r="HF870" s="1903">
        <f t="shared" si="1429"/>
        <v>0.39034159400000001</v>
      </c>
      <c r="HG870" s="1903">
        <f t="shared" si="1429"/>
        <v>0.35167994200000002</v>
      </c>
      <c r="HH870" s="1903">
        <f t="shared" si="1429"/>
        <v>0.37136045600000001</v>
      </c>
      <c r="HI870" s="1903">
        <f t="shared" si="1429"/>
        <v>0.34176325600000002</v>
      </c>
      <c r="HJ870" s="1903">
        <f t="shared" si="1429"/>
        <v>0.33996253399999998</v>
      </c>
      <c r="HK870" s="1903">
        <f t="shared" si="1429"/>
        <v>0.32839048399999998</v>
      </c>
      <c r="HL870" s="1903">
        <f t="shared" si="1429"/>
        <v>0.35310061599999998</v>
      </c>
      <c r="HM870" s="1903"/>
      <c r="HN870" s="349"/>
      <c r="HO870" s="358" t="s">
        <v>3186</v>
      </c>
      <c r="HP870" s="307"/>
      <c r="HR870" s="346"/>
      <c r="HU870" s="346"/>
      <c r="HV870" s="307"/>
      <c r="HX870" s="346"/>
      <c r="HY870" s="350"/>
      <c r="IA870" s="346"/>
      <c r="ID870" s="346"/>
      <c r="IE870" s="350"/>
      <c r="IF870" s="350"/>
      <c r="IG870" s="346"/>
      <c r="IH870" s="350"/>
      <c r="II870" s="350"/>
      <c r="IJ870" s="346"/>
      <c r="IK870" s="350">
        <f>SUM(FK870:FP870)</f>
        <v>0</v>
      </c>
      <c r="IL870" s="350">
        <f t="shared" si="1411"/>
        <v>0</v>
      </c>
      <c r="IM870" s="346">
        <f t="shared" si="1425"/>
        <v>0</v>
      </c>
      <c r="IN870" s="350">
        <f t="shared" si="1389"/>
        <v>0</v>
      </c>
      <c r="IO870" s="350">
        <f t="shared" si="1390"/>
        <v>0</v>
      </c>
      <c r="IP870" s="346">
        <f t="shared" si="1294"/>
        <v>0</v>
      </c>
      <c r="IQ870" s="350">
        <f t="shared" si="1391"/>
        <v>1.5597739790000003</v>
      </c>
      <c r="IR870" s="350">
        <f t="shared" si="1392"/>
        <v>1.5184805909999999</v>
      </c>
      <c r="IS870" s="346">
        <f t="shared" si="1410"/>
        <v>3.0782545700000004</v>
      </c>
      <c r="IT870" s="350">
        <f t="shared" si="1412"/>
        <v>1.693288428</v>
      </c>
      <c r="IU870" s="350">
        <f t="shared" si="1413"/>
        <v>1.9946372659999998</v>
      </c>
      <c r="IV870" s="346">
        <f t="shared" si="1409"/>
        <v>3.6879256939999996</v>
      </c>
      <c r="IW870" s="350">
        <f t="shared" si="1428"/>
        <v>2.0862572880000001</v>
      </c>
      <c r="IX870" s="350">
        <f t="shared" si="1426"/>
        <v>1.6924443517007712</v>
      </c>
      <c r="IY870" s="346">
        <f>FISC!AJ1187</f>
        <v>3.7787016397007713</v>
      </c>
      <c r="IZ870" s="350">
        <f t="shared" si="1415"/>
        <v>2.0101466785744413</v>
      </c>
      <c r="JA870" s="350">
        <f t="shared" si="1416"/>
        <v>2.0101466785744413</v>
      </c>
      <c r="JB870" s="346">
        <f>FISC!AK1187</f>
        <v>4.0202933571488826</v>
      </c>
      <c r="JC870" s="350">
        <f t="shared" si="1417"/>
        <v>2.4247574369945419</v>
      </c>
      <c r="JD870" s="350">
        <f t="shared" si="1418"/>
        <v>2.4247574369945419</v>
      </c>
      <c r="JE870" s="346">
        <f>FISC!AL1187</f>
        <v>4.8495148739890839</v>
      </c>
      <c r="JF870" s="350">
        <f t="shared" si="1419"/>
        <v>2.8423468490179529</v>
      </c>
      <c r="JG870" s="350">
        <f t="shared" si="1420"/>
        <v>2.8423468490179529</v>
      </c>
      <c r="JH870" s="346">
        <f>FISC!AM1187</f>
        <v>5.6846936980359057</v>
      </c>
      <c r="JI870" s="350">
        <f t="shared" si="1421"/>
        <v>3.05</v>
      </c>
      <c r="JJ870" s="350">
        <f t="shared" si="1422"/>
        <v>3.05</v>
      </c>
      <c r="JK870" s="346">
        <f>FISC!AN1187</f>
        <v>6.1</v>
      </c>
      <c r="JL870" s="350">
        <f t="shared" si="1423"/>
        <v>3.05</v>
      </c>
      <c r="JM870" s="350">
        <f t="shared" si="1424"/>
        <v>3.05</v>
      </c>
      <c r="JN870" s="346">
        <f>FISC!AO1187</f>
        <v>6.1</v>
      </c>
      <c r="KI870" s="349"/>
      <c r="KJ870" s="350"/>
    </row>
    <row r="871" spans="1:296" hidden="1" outlineLevel="1">
      <c r="A871" s="302"/>
      <c r="D871" s="1722" t="s">
        <v>3221</v>
      </c>
      <c r="E871" s="346"/>
      <c r="F871" s="346"/>
      <c r="G871" s="346"/>
      <c r="H871" s="346"/>
      <c r="I871" s="346"/>
      <c r="J871" s="346"/>
      <c r="K871" s="346"/>
      <c r="L871" s="346"/>
      <c r="M871" s="346"/>
      <c r="N871" s="346"/>
      <c r="O871" s="346"/>
      <c r="P871" s="346"/>
      <c r="Q871" s="346"/>
      <c r="R871" s="346"/>
      <c r="S871" s="346"/>
      <c r="T871" s="346"/>
      <c r="U871" s="346"/>
      <c r="V871" s="346"/>
      <c r="W871" s="346"/>
      <c r="X871" s="346"/>
      <c r="Y871" s="346"/>
      <c r="Z871" s="346"/>
      <c r="AA871" s="346"/>
      <c r="AB871" s="346"/>
      <c r="AC871" s="346"/>
      <c r="AD871" s="346"/>
      <c r="AE871" s="346"/>
      <c r="AF871" s="346"/>
      <c r="AG871" s="346"/>
      <c r="AH871" s="346"/>
      <c r="AI871" s="346"/>
      <c r="AJ871" s="346"/>
      <c r="AK871" s="346"/>
      <c r="AL871" s="346"/>
      <c r="AM871" s="346"/>
      <c r="AN871" s="346"/>
      <c r="AO871" s="346"/>
      <c r="AP871" s="346"/>
      <c r="AQ871" s="346"/>
      <c r="AR871" s="346"/>
      <c r="AS871" s="346"/>
      <c r="AT871" s="346"/>
      <c r="AU871" s="346"/>
      <c r="AV871" s="346"/>
      <c r="AW871" s="346"/>
      <c r="AX871" s="346"/>
      <c r="AY871" s="346"/>
      <c r="AZ871" s="346"/>
      <c r="BA871" s="346"/>
      <c r="BB871" s="346"/>
      <c r="BC871" s="346"/>
      <c r="BD871" s="346"/>
      <c r="BE871" s="346"/>
      <c r="BF871" s="346"/>
      <c r="BG871" s="346"/>
      <c r="BH871" s="346"/>
      <c r="BI871" s="346"/>
      <c r="BJ871" s="346"/>
      <c r="BK871" s="346"/>
      <c r="BL871" s="346"/>
      <c r="BM871" s="346"/>
      <c r="BN871" s="346"/>
      <c r="BO871" s="346"/>
      <c r="BP871" s="346"/>
      <c r="BQ871" s="346"/>
      <c r="BR871" s="346"/>
      <c r="BS871" s="346"/>
      <c r="BT871" s="346"/>
      <c r="BU871" s="346"/>
      <c r="BV871" s="346"/>
      <c r="BW871" s="346"/>
      <c r="BX871" s="346"/>
      <c r="BY871" s="346"/>
      <c r="BZ871" s="346"/>
      <c r="CA871" s="346"/>
      <c r="CB871" s="346"/>
      <c r="CC871" s="346"/>
      <c r="CD871" s="352"/>
      <c r="CE871" s="346"/>
      <c r="CF871" s="346"/>
      <c r="CG871" s="346"/>
      <c r="CH871" s="346"/>
      <c r="CI871" s="346"/>
      <c r="CJ871" s="346"/>
      <c r="CK871" s="346"/>
      <c r="CL871" s="346"/>
      <c r="CM871" s="346"/>
      <c r="CN871" s="346"/>
      <c r="CO871" s="346"/>
      <c r="CP871" s="348"/>
      <c r="CQ871" s="346"/>
      <c r="CR871" s="346"/>
      <c r="CS871" s="346"/>
      <c r="CT871" s="346"/>
      <c r="CU871" s="346"/>
      <c r="CV871" s="346"/>
      <c r="CW871" s="346"/>
      <c r="CX871" s="346"/>
      <c r="CY871" s="346"/>
      <c r="CZ871" s="346"/>
      <c r="DA871" s="346"/>
      <c r="DB871" s="1479"/>
      <c r="DC871" s="346"/>
      <c r="DD871" s="346"/>
      <c r="DE871" s="346"/>
      <c r="DF871" s="346"/>
      <c r="DG871" s="346"/>
      <c r="DH871" s="346"/>
      <c r="DI871" s="346"/>
      <c r="DJ871" s="346"/>
      <c r="DK871" s="346"/>
      <c r="DL871" s="346"/>
      <c r="DM871" s="346"/>
      <c r="DN871" s="348"/>
      <c r="DO871" s="346"/>
      <c r="DP871" s="346"/>
      <c r="DQ871" s="346"/>
      <c r="DR871" s="346"/>
      <c r="DS871" s="346"/>
      <c r="DT871" s="346"/>
      <c r="DU871" s="346"/>
      <c r="DV871" s="346"/>
      <c r="DW871" s="346"/>
      <c r="DX871" s="346"/>
      <c r="DY871" s="346"/>
      <c r="DZ871" s="348"/>
      <c r="EA871" s="346"/>
      <c r="EB871" s="346"/>
      <c r="EC871" s="346"/>
      <c r="ED871" s="346"/>
      <c r="EE871" s="346"/>
      <c r="EF871" s="346"/>
      <c r="EG871" s="346"/>
      <c r="EH871" s="346"/>
      <c r="EI871" s="346"/>
      <c r="EJ871" s="346"/>
      <c r="EK871" s="346"/>
      <c r="EL871" s="348"/>
      <c r="EM871" s="346"/>
      <c r="EN871" s="346"/>
      <c r="EO871" s="346"/>
      <c r="EP871" s="346"/>
      <c r="EQ871" s="346"/>
      <c r="ER871" s="346"/>
      <c r="ES871" s="346"/>
      <c r="ET871" s="346"/>
      <c r="EU871" s="346"/>
      <c r="EV871" s="346"/>
      <c r="EW871" s="346"/>
      <c r="EX871" s="348"/>
      <c r="EY871" s="346"/>
      <c r="EZ871" s="346"/>
      <c r="FA871" s="346"/>
      <c r="FB871" s="346"/>
      <c r="FC871" s="346"/>
      <c r="FD871" s="346"/>
      <c r="FE871" s="346"/>
      <c r="FF871" s="346"/>
      <c r="FG871" s="346"/>
      <c r="FH871" s="346"/>
      <c r="FI871" s="346"/>
      <c r="FJ871" s="348"/>
      <c r="FK871" s="346"/>
      <c r="FL871" s="346"/>
      <c r="FM871" s="346"/>
      <c r="FN871" s="346"/>
      <c r="FO871" s="346"/>
      <c r="FP871" s="346"/>
      <c r="FQ871" s="346"/>
      <c r="FR871" s="346"/>
      <c r="FS871" s="346"/>
      <c r="FT871" s="346"/>
      <c r="FU871" s="346"/>
      <c r="FV871" s="346"/>
      <c r="FW871" s="346"/>
      <c r="FX871" s="346"/>
      <c r="FY871" s="346"/>
      <c r="FZ871" s="346"/>
      <c r="GA871" s="346"/>
      <c r="GB871" s="346"/>
      <c r="GC871" s="346"/>
      <c r="GD871" s="346"/>
      <c r="GE871" s="346"/>
      <c r="GF871" s="346"/>
      <c r="GG871" s="346"/>
      <c r="GH871" s="346"/>
      <c r="GI871" s="1897">
        <v>0.239341902</v>
      </c>
      <c r="GJ871" s="1897">
        <v>0.28002997600000001</v>
      </c>
      <c r="GK871" s="1897">
        <v>0.271350231</v>
      </c>
      <c r="GL871" s="1897">
        <v>0.236687542</v>
      </c>
      <c r="GM871" s="1897">
        <v>0.25746289900000002</v>
      </c>
      <c r="GN871" s="1897">
        <v>0.27490142899999997</v>
      </c>
      <c r="GO871" s="1897">
        <v>0.25368069700000001</v>
      </c>
      <c r="GP871" s="1897">
        <v>0.23767899100000001</v>
      </c>
      <c r="GQ871" s="1897">
        <v>0.26934907299999999</v>
      </c>
      <c r="GR871" s="1897">
        <v>0.181288001</v>
      </c>
      <c r="GS871" s="1897">
        <v>0.292236985</v>
      </c>
      <c r="GT871" s="1897">
        <v>0.284246844</v>
      </c>
      <c r="GU871" s="1897">
        <v>0.26954578499999998</v>
      </c>
      <c r="GV871" s="1897">
        <v>0.27515811400000001</v>
      </c>
      <c r="GW871" s="1897">
        <v>0.273028508</v>
      </c>
      <c r="GX871" s="1897">
        <v>0.281283269</v>
      </c>
      <c r="GY871" s="1897">
        <v>0.28033565500000002</v>
      </c>
      <c r="GZ871" s="1897">
        <v>0.313937097</v>
      </c>
      <c r="HA871" s="1897">
        <v>0.32739517299999998</v>
      </c>
      <c r="HB871" s="1897">
        <v>0.273230957</v>
      </c>
      <c r="HC871" s="1897">
        <v>0.31121012799999997</v>
      </c>
      <c r="HD871" s="1897">
        <v>0.34604845400000001</v>
      </c>
      <c r="HE871" s="1897">
        <v>0.34641095999999999</v>
      </c>
      <c r="HF871" s="1897">
        <v>0.39034159400000001</v>
      </c>
      <c r="HG871" s="1897">
        <v>0.35167994200000002</v>
      </c>
      <c r="HH871" s="1897">
        <v>0.37136045600000001</v>
      </c>
      <c r="HI871" s="1897">
        <v>0.34176325600000002</v>
      </c>
      <c r="HJ871" s="1897">
        <v>0.33996253399999998</v>
      </c>
      <c r="HK871" s="1897">
        <v>0.32839048399999998</v>
      </c>
      <c r="HL871" s="1897">
        <v>0.35310061599999998</v>
      </c>
      <c r="HM871" s="1897"/>
      <c r="HN871" s="349"/>
      <c r="HO871" s="1722" t="s">
        <v>3221</v>
      </c>
      <c r="HP871" s="307"/>
      <c r="HR871" s="346"/>
      <c r="HU871" s="346"/>
      <c r="HV871" s="307"/>
      <c r="HX871" s="346"/>
      <c r="HY871" s="350"/>
      <c r="IA871" s="346"/>
      <c r="ID871" s="346"/>
      <c r="IE871" s="350"/>
      <c r="IF871" s="350"/>
      <c r="IG871" s="346"/>
      <c r="IH871" s="350"/>
      <c r="II871" s="350"/>
      <c r="IJ871" s="346"/>
      <c r="IK871" s="350">
        <v>0</v>
      </c>
      <c r="IL871" s="350">
        <f t="shared" si="1411"/>
        <v>0</v>
      </c>
      <c r="IM871" s="346">
        <f>IK871+IL871</f>
        <v>0</v>
      </c>
      <c r="IN871" s="350">
        <f t="shared" si="1389"/>
        <v>0</v>
      </c>
      <c r="IO871" s="350">
        <f t="shared" si="1390"/>
        <v>0</v>
      </c>
      <c r="IP871" s="346">
        <f t="shared" si="1294"/>
        <v>0</v>
      </c>
      <c r="IQ871" s="350">
        <f t="shared" si="1391"/>
        <v>1.5597739790000003</v>
      </c>
      <c r="IR871" s="350">
        <f t="shared" si="1392"/>
        <v>1.5184805909999999</v>
      </c>
      <c r="IS871" s="346">
        <f t="shared" si="1410"/>
        <v>3.0782545700000004</v>
      </c>
      <c r="IT871" s="350">
        <f t="shared" si="1412"/>
        <v>1.693288428</v>
      </c>
      <c r="IU871" s="350">
        <f t="shared" si="1413"/>
        <v>1.9946372659999998</v>
      </c>
      <c r="IV871" s="346">
        <f t="shared" si="1409"/>
        <v>3.6879256939999996</v>
      </c>
      <c r="IW871" s="350">
        <f t="shared" si="1428"/>
        <v>2.0862572880000001</v>
      </c>
      <c r="IX871" s="350">
        <f t="shared" si="1426"/>
        <v>1.6924443517007712</v>
      </c>
      <c r="IY871" s="346">
        <f>FISC!AJ1188</f>
        <v>3.7787016397007713</v>
      </c>
      <c r="IZ871" s="350">
        <f t="shared" si="1415"/>
        <v>2.0101466785744413</v>
      </c>
      <c r="JA871" s="350">
        <f t="shared" si="1416"/>
        <v>2.0101466785744413</v>
      </c>
      <c r="JB871" s="346">
        <f>FISC!AK1188</f>
        <v>4.0202933571488826</v>
      </c>
      <c r="JC871" s="350">
        <f t="shared" si="1417"/>
        <v>2.4247574369945419</v>
      </c>
      <c r="JD871" s="350">
        <f t="shared" si="1418"/>
        <v>2.4247574369945419</v>
      </c>
      <c r="JE871" s="346">
        <f>FISC!AL1188</f>
        <v>4.8495148739890839</v>
      </c>
      <c r="JF871" s="350">
        <f t="shared" si="1419"/>
        <v>2.8423468490179529</v>
      </c>
      <c r="JG871" s="350">
        <f t="shared" si="1420"/>
        <v>2.8423468490179529</v>
      </c>
      <c r="JH871" s="346">
        <f>FISC!AM1188</f>
        <v>5.6846936980359057</v>
      </c>
      <c r="JI871" s="350">
        <f t="shared" si="1421"/>
        <v>3.05</v>
      </c>
      <c r="JJ871" s="350">
        <f t="shared" si="1422"/>
        <v>3.05</v>
      </c>
      <c r="JK871" s="346">
        <f>FISC!AN1188</f>
        <v>6.1</v>
      </c>
      <c r="JL871" s="350">
        <f t="shared" si="1423"/>
        <v>3.05</v>
      </c>
      <c r="JM871" s="350">
        <f t="shared" si="1424"/>
        <v>3.05</v>
      </c>
      <c r="JN871" s="346">
        <f>FISC!AO1188</f>
        <v>6.1</v>
      </c>
      <c r="KI871" s="349"/>
      <c r="KJ871" s="350"/>
    </row>
    <row r="872" spans="1:296" hidden="1" outlineLevel="1">
      <c r="A872" s="302"/>
      <c r="D872" s="1722" t="s">
        <v>3222</v>
      </c>
      <c r="E872" s="346"/>
      <c r="F872" s="346"/>
      <c r="G872" s="346"/>
      <c r="H872" s="346"/>
      <c r="I872" s="346"/>
      <c r="J872" s="346"/>
      <c r="K872" s="346"/>
      <c r="L872" s="346"/>
      <c r="M872" s="346"/>
      <c r="N872" s="346"/>
      <c r="O872" s="346"/>
      <c r="P872" s="346"/>
      <c r="Q872" s="346"/>
      <c r="R872" s="346"/>
      <c r="S872" s="346"/>
      <c r="T872" s="346"/>
      <c r="U872" s="346"/>
      <c r="V872" s="346"/>
      <c r="W872" s="346"/>
      <c r="X872" s="346"/>
      <c r="Y872" s="346"/>
      <c r="Z872" s="346"/>
      <c r="AA872" s="346"/>
      <c r="AB872" s="346"/>
      <c r="AC872" s="346"/>
      <c r="AD872" s="346"/>
      <c r="AE872" s="346"/>
      <c r="AF872" s="346"/>
      <c r="AG872" s="346"/>
      <c r="AH872" s="346"/>
      <c r="AI872" s="346"/>
      <c r="AJ872" s="346"/>
      <c r="AK872" s="346"/>
      <c r="AL872" s="346"/>
      <c r="AM872" s="346"/>
      <c r="AN872" s="346"/>
      <c r="AO872" s="346"/>
      <c r="AP872" s="346"/>
      <c r="AQ872" s="346"/>
      <c r="AR872" s="346"/>
      <c r="AS872" s="346"/>
      <c r="AT872" s="346"/>
      <c r="AU872" s="346"/>
      <c r="AV872" s="346"/>
      <c r="AW872" s="346"/>
      <c r="AX872" s="346"/>
      <c r="AY872" s="346"/>
      <c r="AZ872" s="346"/>
      <c r="BA872" s="346"/>
      <c r="BB872" s="346"/>
      <c r="BC872" s="346"/>
      <c r="BD872" s="346"/>
      <c r="BE872" s="346"/>
      <c r="BF872" s="346"/>
      <c r="BG872" s="346"/>
      <c r="BH872" s="346"/>
      <c r="BI872" s="346"/>
      <c r="BJ872" s="346"/>
      <c r="BK872" s="346"/>
      <c r="BL872" s="346"/>
      <c r="BM872" s="346"/>
      <c r="BN872" s="346"/>
      <c r="BO872" s="346"/>
      <c r="BP872" s="346"/>
      <c r="BQ872" s="346"/>
      <c r="BR872" s="346"/>
      <c r="BS872" s="346"/>
      <c r="BT872" s="346"/>
      <c r="BU872" s="346"/>
      <c r="BV872" s="346"/>
      <c r="BW872" s="346"/>
      <c r="BX872" s="346"/>
      <c r="BY872" s="346"/>
      <c r="BZ872" s="346"/>
      <c r="CA872" s="346"/>
      <c r="CB872" s="346"/>
      <c r="CC872" s="346"/>
      <c r="CD872" s="352"/>
      <c r="CE872" s="346"/>
      <c r="CF872" s="346"/>
      <c r="CG872" s="346"/>
      <c r="CH872" s="346"/>
      <c r="CI872" s="346"/>
      <c r="CJ872" s="346"/>
      <c r="CK872" s="346"/>
      <c r="CL872" s="346"/>
      <c r="CM872" s="346"/>
      <c r="CN872" s="346"/>
      <c r="CO872" s="346"/>
      <c r="CP872" s="348"/>
      <c r="CQ872" s="346"/>
      <c r="CR872" s="346"/>
      <c r="CS872" s="346"/>
      <c r="CT872" s="346"/>
      <c r="CU872" s="346"/>
      <c r="CV872" s="346"/>
      <c r="CW872" s="346"/>
      <c r="CX872" s="346"/>
      <c r="CY872" s="346"/>
      <c r="CZ872" s="346"/>
      <c r="DA872" s="346"/>
      <c r="DB872" s="1479"/>
      <c r="DC872" s="346"/>
      <c r="DD872" s="346"/>
      <c r="DE872" s="346"/>
      <c r="DF872" s="346"/>
      <c r="DG872" s="346"/>
      <c r="DH872" s="346"/>
      <c r="DI872" s="346"/>
      <c r="DJ872" s="346"/>
      <c r="DK872" s="346"/>
      <c r="DL872" s="346"/>
      <c r="DM872" s="346"/>
      <c r="DN872" s="348"/>
      <c r="DO872" s="346"/>
      <c r="DP872" s="346"/>
      <c r="DQ872" s="346"/>
      <c r="DR872" s="346"/>
      <c r="DS872" s="346"/>
      <c r="DT872" s="346"/>
      <c r="DU872" s="346"/>
      <c r="DV872" s="346"/>
      <c r="DW872" s="346"/>
      <c r="DX872" s="346"/>
      <c r="DY872" s="346"/>
      <c r="DZ872" s="348"/>
      <c r="EA872" s="346"/>
      <c r="EB872" s="346"/>
      <c r="EC872" s="346"/>
      <c r="ED872" s="346"/>
      <c r="EE872" s="346"/>
      <c r="EF872" s="346"/>
      <c r="EG872" s="346"/>
      <c r="EH872" s="346"/>
      <c r="EI872" s="346"/>
      <c r="EJ872" s="346"/>
      <c r="EK872" s="346"/>
      <c r="EL872" s="348"/>
      <c r="EM872" s="346"/>
      <c r="EN872" s="346"/>
      <c r="EO872" s="346"/>
      <c r="EP872" s="346"/>
      <c r="EQ872" s="346"/>
      <c r="ER872" s="346"/>
      <c r="ES872" s="346"/>
      <c r="ET872" s="346"/>
      <c r="EU872" s="346"/>
      <c r="EV872" s="346"/>
      <c r="EW872" s="346"/>
      <c r="EX872" s="348"/>
      <c r="EY872" s="346"/>
      <c r="EZ872" s="346"/>
      <c r="FA872" s="346"/>
      <c r="FB872" s="346"/>
      <c r="FC872" s="346"/>
      <c r="FD872" s="346"/>
      <c r="FE872" s="346"/>
      <c r="FF872" s="346"/>
      <c r="FG872" s="346"/>
      <c r="FH872" s="346"/>
      <c r="FI872" s="346"/>
      <c r="FJ872" s="348"/>
      <c r="FK872" s="346"/>
      <c r="FL872" s="346"/>
      <c r="FM872" s="346"/>
      <c r="FN872" s="346"/>
      <c r="FO872" s="346"/>
      <c r="FP872" s="346"/>
      <c r="FQ872" s="346"/>
      <c r="FR872" s="346"/>
      <c r="FS872" s="346"/>
      <c r="FT872" s="346"/>
      <c r="FU872" s="346"/>
      <c r="FV872" s="346"/>
      <c r="FW872" s="346"/>
      <c r="FX872" s="346"/>
      <c r="FY872" s="346"/>
      <c r="FZ872" s="346"/>
      <c r="GA872" s="346"/>
      <c r="GB872" s="346"/>
      <c r="GC872" s="346"/>
      <c r="GD872" s="346"/>
      <c r="GE872" s="346"/>
      <c r="GF872" s="346"/>
      <c r="GG872" s="346"/>
      <c r="GH872" s="346"/>
      <c r="GI872" s="1897"/>
      <c r="HN872" s="349"/>
      <c r="HO872" s="1722" t="s">
        <v>3222</v>
      </c>
      <c r="HP872" s="307"/>
      <c r="HR872" s="346"/>
      <c r="HU872" s="346"/>
      <c r="HV872" s="307"/>
      <c r="HX872" s="346"/>
      <c r="HY872" s="350"/>
      <c r="IA872" s="346"/>
      <c r="ID872" s="346"/>
      <c r="IE872" s="350"/>
      <c r="IF872" s="350"/>
      <c r="IG872" s="346"/>
      <c r="IH872" s="350"/>
      <c r="II872" s="350"/>
      <c r="IJ872" s="346"/>
      <c r="IK872" s="350">
        <v>0</v>
      </c>
      <c r="IL872" s="350">
        <f t="shared" si="1411"/>
        <v>0</v>
      </c>
      <c r="IM872" s="346">
        <f t="shared" ref="IM872:IM941" si="1430">IK872+IL872</f>
        <v>0</v>
      </c>
      <c r="IN872" s="350">
        <f t="shared" si="1389"/>
        <v>0</v>
      </c>
      <c r="IO872" s="350">
        <f t="shared" si="1390"/>
        <v>0</v>
      </c>
      <c r="IP872" s="346">
        <f t="shared" si="1294"/>
        <v>0</v>
      </c>
      <c r="IQ872" s="350">
        <f t="shared" si="1391"/>
        <v>0</v>
      </c>
      <c r="IR872" s="350">
        <f t="shared" si="1392"/>
        <v>0</v>
      </c>
      <c r="IS872" s="346">
        <f t="shared" si="1410"/>
        <v>0</v>
      </c>
      <c r="IT872" s="350">
        <f t="shared" si="1412"/>
        <v>0</v>
      </c>
      <c r="IU872" s="350">
        <f t="shared" si="1413"/>
        <v>0</v>
      </c>
      <c r="IV872" s="346">
        <f t="shared" si="1409"/>
        <v>0</v>
      </c>
      <c r="IW872" s="350">
        <f t="shared" si="1428"/>
        <v>0</v>
      </c>
      <c r="IX872" s="350">
        <f t="shared" si="1426"/>
        <v>0</v>
      </c>
      <c r="IY872" s="346">
        <f>FISC!AJ1189</f>
        <v>0</v>
      </c>
      <c r="IZ872" s="350">
        <f t="shared" si="1415"/>
        <v>0</v>
      </c>
      <c r="JA872" s="350">
        <f t="shared" si="1416"/>
        <v>0</v>
      </c>
      <c r="JB872" s="346">
        <f>FISC!AK1189</f>
        <v>0</v>
      </c>
      <c r="JC872" s="350">
        <f t="shared" si="1417"/>
        <v>0</v>
      </c>
      <c r="JD872" s="350">
        <f t="shared" si="1418"/>
        <v>0</v>
      </c>
      <c r="JE872" s="346">
        <f>FISC!AL1189</f>
        <v>0</v>
      </c>
      <c r="JF872" s="350">
        <f t="shared" si="1419"/>
        <v>0</v>
      </c>
      <c r="JG872" s="350">
        <f t="shared" si="1420"/>
        <v>0</v>
      </c>
      <c r="JH872" s="346">
        <f>FISC!AM1189</f>
        <v>0</v>
      </c>
      <c r="JI872" s="350">
        <f t="shared" si="1421"/>
        <v>0</v>
      </c>
      <c r="JJ872" s="350">
        <f t="shared" si="1422"/>
        <v>0</v>
      </c>
      <c r="JK872" s="346">
        <f>FISC!AN1189</f>
        <v>0</v>
      </c>
      <c r="JL872" s="350">
        <f t="shared" si="1423"/>
        <v>0</v>
      </c>
      <c r="JM872" s="350">
        <f t="shared" si="1424"/>
        <v>0</v>
      </c>
      <c r="JN872" s="346">
        <f>FISC!AO1189</f>
        <v>0</v>
      </c>
      <c r="KI872" s="349"/>
      <c r="KJ872" s="350"/>
    </row>
    <row r="873" spans="1:296" hidden="1" outlineLevel="1">
      <c r="A873" s="302"/>
      <c r="D873" s="1717" t="s">
        <v>3233</v>
      </c>
      <c r="E873" s="346"/>
      <c r="F873" s="346"/>
      <c r="G873" s="346"/>
      <c r="H873" s="346"/>
      <c r="I873" s="346"/>
      <c r="J873" s="346"/>
      <c r="K873" s="346"/>
      <c r="L873" s="346"/>
      <c r="M873" s="346"/>
      <c r="N873" s="346"/>
      <c r="O873" s="346"/>
      <c r="P873" s="346"/>
      <c r="Q873" s="346"/>
      <c r="R873" s="346"/>
      <c r="S873" s="346"/>
      <c r="T873" s="346"/>
      <c r="U873" s="346"/>
      <c r="V873" s="346"/>
      <c r="W873" s="346"/>
      <c r="X873" s="346"/>
      <c r="Y873" s="346"/>
      <c r="Z873" s="346"/>
      <c r="AA873" s="346"/>
      <c r="AB873" s="346"/>
      <c r="AC873" s="346"/>
      <c r="AD873" s="346"/>
      <c r="AE873" s="346"/>
      <c r="AF873" s="346"/>
      <c r="AG873" s="346"/>
      <c r="AH873" s="346"/>
      <c r="AI873" s="346"/>
      <c r="AJ873" s="346"/>
      <c r="AK873" s="346"/>
      <c r="AL873" s="346"/>
      <c r="AM873" s="346"/>
      <c r="AN873" s="346"/>
      <c r="AO873" s="346"/>
      <c r="AP873" s="346"/>
      <c r="AQ873" s="346"/>
      <c r="AR873" s="346"/>
      <c r="AS873" s="346"/>
      <c r="AT873" s="346"/>
      <c r="AU873" s="346"/>
      <c r="AV873" s="346"/>
      <c r="AW873" s="346"/>
      <c r="AX873" s="346"/>
      <c r="AY873" s="346"/>
      <c r="AZ873" s="346"/>
      <c r="BA873" s="346"/>
      <c r="BB873" s="346"/>
      <c r="BC873" s="346"/>
      <c r="BD873" s="346"/>
      <c r="BE873" s="346"/>
      <c r="BF873" s="346"/>
      <c r="BG873" s="346"/>
      <c r="BH873" s="346"/>
      <c r="BI873" s="346"/>
      <c r="BJ873" s="346"/>
      <c r="BK873" s="346"/>
      <c r="BL873" s="346"/>
      <c r="BM873" s="346"/>
      <c r="BN873" s="346"/>
      <c r="BO873" s="346"/>
      <c r="BP873" s="346"/>
      <c r="BQ873" s="346"/>
      <c r="BR873" s="346"/>
      <c r="BS873" s="346"/>
      <c r="BT873" s="346"/>
      <c r="BU873" s="346"/>
      <c r="BV873" s="346"/>
      <c r="BW873" s="346"/>
      <c r="BX873" s="346"/>
      <c r="BY873" s="346"/>
      <c r="BZ873" s="346"/>
      <c r="CA873" s="346"/>
      <c r="CB873" s="346"/>
      <c r="CC873" s="346"/>
      <c r="CD873" s="352"/>
      <c r="CE873" s="346"/>
      <c r="CF873" s="346"/>
      <c r="CG873" s="346"/>
      <c r="CH873" s="346"/>
      <c r="CI873" s="346"/>
      <c r="CJ873" s="346"/>
      <c r="CK873" s="346"/>
      <c r="CL873" s="346"/>
      <c r="CM873" s="346"/>
      <c r="CN873" s="346"/>
      <c r="CO873" s="346"/>
      <c r="CP873" s="348"/>
      <c r="CQ873" s="346"/>
      <c r="CR873" s="346"/>
      <c r="CS873" s="346"/>
      <c r="CT873" s="346"/>
      <c r="CU873" s="346"/>
      <c r="CV873" s="346"/>
      <c r="CW873" s="346"/>
      <c r="CX873" s="346"/>
      <c r="CY873" s="346"/>
      <c r="CZ873" s="346"/>
      <c r="DA873" s="346"/>
      <c r="DB873" s="1479"/>
      <c r="DC873" s="346"/>
      <c r="DD873" s="346"/>
      <c r="DE873" s="346"/>
      <c r="DF873" s="346"/>
      <c r="DG873" s="346"/>
      <c r="DH873" s="346"/>
      <c r="DI873" s="346"/>
      <c r="DJ873" s="346"/>
      <c r="DK873" s="346"/>
      <c r="DL873" s="346"/>
      <c r="DM873" s="346"/>
      <c r="DN873" s="348"/>
      <c r="DO873" s="346"/>
      <c r="DP873" s="346"/>
      <c r="DQ873" s="346"/>
      <c r="DR873" s="346"/>
      <c r="DS873" s="346"/>
      <c r="DT873" s="346"/>
      <c r="DU873" s="346"/>
      <c r="DV873" s="346"/>
      <c r="DW873" s="346"/>
      <c r="DX873" s="346"/>
      <c r="DY873" s="346"/>
      <c r="DZ873" s="348"/>
      <c r="EA873" s="346"/>
      <c r="EB873" s="346"/>
      <c r="EC873" s="346"/>
      <c r="ED873" s="346"/>
      <c r="EE873" s="346"/>
      <c r="EF873" s="346"/>
      <c r="EG873" s="346"/>
      <c r="EH873" s="346"/>
      <c r="EI873" s="346"/>
      <c r="EJ873" s="346"/>
      <c r="EK873" s="346"/>
      <c r="EL873" s="348"/>
      <c r="EM873" s="346"/>
      <c r="EN873" s="346"/>
      <c r="EO873" s="346"/>
      <c r="EP873" s="346"/>
      <c r="EQ873" s="346"/>
      <c r="ER873" s="346"/>
      <c r="ES873" s="346"/>
      <c r="ET873" s="346"/>
      <c r="EU873" s="346"/>
      <c r="EV873" s="346"/>
      <c r="EW873" s="346"/>
      <c r="EX873" s="348"/>
      <c r="EY873" s="346"/>
      <c r="EZ873" s="346"/>
      <c r="FA873" s="346"/>
      <c r="FB873" s="346"/>
      <c r="FC873" s="346"/>
      <c r="FD873" s="346"/>
      <c r="FE873" s="346"/>
      <c r="FF873" s="346"/>
      <c r="FG873" s="346"/>
      <c r="FH873" s="346"/>
      <c r="FI873" s="346"/>
      <c r="FJ873" s="348"/>
      <c r="FK873" s="346"/>
      <c r="FL873" s="346"/>
      <c r="FM873" s="346"/>
      <c r="FN873" s="346"/>
      <c r="FO873" s="346"/>
      <c r="FP873" s="346"/>
      <c r="FQ873" s="346"/>
      <c r="FR873" s="346"/>
      <c r="FS873" s="346"/>
      <c r="FT873" s="346"/>
      <c r="FU873" s="346"/>
      <c r="FV873" s="346"/>
      <c r="FW873" s="346"/>
      <c r="FX873" s="346"/>
      <c r="FY873" s="346"/>
      <c r="FZ873" s="346"/>
      <c r="GA873" s="346"/>
      <c r="GB873" s="346"/>
      <c r="GC873" s="346"/>
      <c r="GD873" s="346"/>
      <c r="GE873" s="346"/>
      <c r="GF873" s="346"/>
      <c r="GG873" s="346"/>
      <c r="GH873" s="346"/>
      <c r="GI873" s="1897"/>
      <c r="HN873" s="349"/>
      <c r="HO873" s="1717" t="s">
        <v>3233</v>
      </c>
      <c r="HP873" s="307"/>
      <c r="HR873" s="346"/>
      <c r="HU873" s="346"/>
      <c r="HV873" s="307"/>
      <c r="HX873" s="346"/>
      <c r="HY873" s="350"/>
      <c r="IA873" s="346"/>
      <c r="ID873" s="346"/>
      <c r="IE873" s="350"/>
      <c r="IF873" s="350"/>
      <c r="IG873" s="346"/>
      <c r="IH873" s="350"/>
      <c r="II873" s="350"/>
      <c r="IJ873" s="346"/>
      <c r="IK873" s="350">
        <v>0</v>
      </c>
      <c r="IL873" s="350">
        <f t="shared" si="1411"/>
        <v>0</v>
      </c>
      <c r="IM873" s="346">
        <f t="shared" si="1430"/>
        <v>0</v>
      </c>
      <c r="IN873" s="350">
        <f t="shared" si="1389"/>
        <v>0</v>
      </c>
      <c r="IO873" s="350">
        <f t="shared" si="1390"/>
        <v>0</v>
      </c>
      <c r="IP873" s="346">
        <f t="shared" si="1294"/>
        <v>0</v>
      </c>
      <c r="IQ873" s="350">
        <f t="shared" si="1391"/>
        <v>0</v>
      </c>
      <c r="IR873" s="350">
        <f t="shared" si="1392"/>
        <v>0</v>
      </c>
      <c r="IS873" s="346">
        <f t="shared" si="1410"/>
        <v>0</v>
      </c>
      <c r="IT873" s="350">
        <f t="shared" si="1412"/>
        <v>0</v>
      </c>
      <c r="IU873" s="350">
        <f t="shared" si="1413"/>
        <v>0</v>
      </c>
      <c r="IV873" s="346">
        <f t="shared" si="1409"/>
        <v>0</v>
      </c>
      <c r="IW873" s="350">
        <f t="shared" si="1428"/>
        <v>0</v>
      </c>
      <c r="IX873" s="350">
        <f t="shared" si="1426"/>
        <v>0</v>
      </c>
      <c r="IY873" s="346">
        <f>FISC!AJ1190</f>
        <v>0</v>
      </c>
      <c r="IZ873" s="350">
        <f t="shared" si="1415"/>
        <v>0</v>
      </c>
      <c r="JA873" s="350">
        <f t="shared" si="1416"/>
        <v>0</v>
      </c>
      <c r="JB873" s="346">
        <f>FISC!AK1190</f>
        <v>0</v>
      </c>
      <c r="JC873" s="350">
        <f t="shared" si="1417"/>
        <v>0</v>
      </c>
      <c r="JD873" s="350">
        <f t="shared" si="1418"/>
        <v>0</v>
      </c>
      <c r="JE873" s="346">
        <f>FISC!AL1190</f>
        <v>0</v>
      </c>
      <c r="JF873" s="350">
        <f t="shared" si="1419"/>
        <v>0</v>
      </c>
      <c r="JG873" s="350">
        <f t="shared" si="1420"/>
        <v>0</v>
      </c>
      <c r="JH873" s="346">
        <f>FISC!AM1190</f>
        <v>0</v>
      </c>
      <c r="JI873" s="350">
        <f t="shared" si="1421"/>
        <v>0</v>
      </c>
      <c r="JJ873" s="350">
        <f t="shared" si="1422"/>
        <v>0</v>
      </c>
      <c r="JK873" s="346">
        <f>FISC!AN1190</f>
        <v>0</v>
      </c>
      <c r="JL873" s="350">
        <f t="shared" si="1423"/>
        <v>0</v>
      </c>
      <c r="JM873" s="350">
        <f t="shared" si="1424"/>
        <v>0</v>
      </c>
      <c r="JN873" s="346">
        <f>FISC!AO1190</f>
        <v>0</v>
      </c>
      <c r="KI873" s="349"/>
      <c r="KJ873" s="350"/>
    </row>
    <row r="874" spans="1:296" hidden="1" outlineLevel="1">
      <c r="A874" s="302"/>
      <c r="B874" s="117" t="s">
        <v>361</v>
      </c>
      <c r="D874" s="358" t="s">
        <v>599</v>
      </c>
      <c r="E874" s="346"/>
      <c r="F874" s="346"/>
      <c r="G874" s="346"/>
      <c r="H874" s="346"/>
      <c r="I874" s="346"/>
      <c r="J874" s="346"/>
      <c r="K874" s="346"/>
      <c r="L874" s="346"/>
      <c r="M874" s="346"/>
      <c r="N874" s="346"/>
      <c r="O874" s="346"/>
      <c r="P874" s="346"/>
      <c r="Q874" s="346"/>
      <c r="R874" s="346"/>
      <c r="S874" s="346"/>
      <c r="T874" s="346"/>
      <c r="U874" s="346"/>
      <c r="V874" s="346"/>
      <c r="W874" s="346"/>
      <c r="X874" s="346"/>
      <c r="Y874" s="346"/>
      <c r="Z874" s="346"/>
      <c r="AA874" s="346"/>
      <c r="AB874" s="346"/>
      <c r="AC874" s="346"/>
      <c r="AD874" s="346"/>
      <c r="AE874" s="346"/>
      <c r="AF874" s="346"/>
      <c r="AG874" s="346"/>
      <c r="AH874" s="346"/>
      <c r="AI874" s="346"/>
      <c r="AJ874" s="346"/>
      <c r="AK874" s="346"/>
      <c r="AL874" s="346"/>
      <c r="AM874" s="346"/>
      <c r="AN874" s="346"/>
      <c r="AO874" s="346"/>
      <c r="AP874" s="346"/>
      <c r="AQ874" s="346"/>
      <c r="AR874" s="346"/>
      <c r="AS874" s="346"/>
      <c r="AT874" s="346"/>
      <c r="AU874" s="346"/>
      <c r="AV874" s="346"/>
      <c r="AW874" s="346"/>
      <c r="AX874" s="346"/>
      <c r="AY874" s="346"/>
      <c r="AZ874" s="346"/>
      <c r="BA874" s="346"/>
      <c r="BB874" s="346"/>
      <c r="BC874" s="346"/>
      <c r="BD874" s="346"/>
      <c r="BE874" s="346"/>
      <c r="BF874" s="346"/>
      <c r="BG874" s="346"/>
      <c r="BH874" s="346"/>
      <c r="BI874" s="346"/>
      <c r="BJ874" s="346"/>
      <c r="BK874" s="346"/>
      <c r="BL874" s="346"/>
      <c r="BM874" s="346"/>
      <c r="BN874" s="346"/>
      <c r="BO874" s="346"/>
      <c r="BP874" s="346"/>
      <c r="BQ874" s="346"/>
      <c r="BR874" s="346"/>
      <c r="BS874" s="346"/>
      <c r="BT874" s="346"/>
      <c r="BU874" s="346"/>
      <c r="BV874" s="346"/>
      <c r="BW874" s="346"/>
      <c r="BX874" s="346"/>
      <c r="BY874" s="346"/>
      <c r="BZ874" s="346"/>
      <c r="CA874" s="346"/>
      <c r="CB874" s="346"/>
      <c r="CC874" s="346"/>
      <c r="CD874" s="352"/>
      <c r="CE874" s="346">
        <v>0</v>
      </c>
      <c r="CF874" s="346">
        <v>0</v>
      </c>
      <c r="CG874" s="346">
        <v>0</v>
      </c>
      <c r="CH874" s="346">
        <v>0</v>
      </c>
      <c r="CI874" s="346">
        <v>0</v>
      </c>
      <c r="CJ874" s="346">
        <v>0</v>
      </c>
      <c r="CK874" s="346">
        <v>0</v>
      </c>
      <c r="CL874" s="346">
        <v>0</v>
      </c>
      <c r="CM874" s="346">
        <v>0</v>
      </c>
      <c r="CN874" s="346">
        <v>0</v>
      </c>
      <c r="CO874" s="346">
        <v>0</v>
      </c>
      <c r="CP874" s="348">
        <v>0</v>
      </c>
      <c r="CQ874" s="346">
        <v>0</v>
      </c>
      <c r="CR874" s="346">
        <v>0</v>
      </c>
      <c r="CS874" s="346">
        <v>0</v>
      </c>
      <c r="CT874" s="346">
        <v>0</v>
      </c>
      <c r="CU874" s="346">
        <v>0</v>
      </c>
      <c r="CV874" s="346">
        <v>0</v>
      </c>
      <c r="CW874" s="346">
        <v>0</v>
      </c>
      <c r="CX874" s="346">
        <v>0</v>
      </c>
      <c r="CY874" s="346">
        <v>0</v>
      </c>
      <c r="CZ874" s="346">
        <v>0</v>
      </c>
      <c r="DA874" s="346">
        <v>0</v>
      </c>
      <c r="DB874" s="1479">
        <v>0</v>
      </c>
      <c r="DC874" s="346">
        <v>0</v>
      </c>
      <c r="DD874" s="346">
        <v>0</v>
      </c>
      <c r="DE874" s="346">
        <v>0</v>
      </c>
      <c r="DF874" s="346">
        <v>0</v>
      </c>
      <c r="DG874" s="346">
        <v>0</v>
      </c>
      <c r="DH874" s="346">
        <v>0</v>
      </c>
      <c r="DI874" s="346">
        <v>0</v>
      </c>
      <c r="DJ874" s="346">
        <v>0</v>
      </c>
      <c r="DK874" s="346">
        <v>0</v>
      </c>
      <c r="DL874" s="346">
        <v>0</v>
      </c>
      <c r="DM874" s="346">
        <v>0</v>
      </c>
      <c r="DN874" s="348">
        <v>0</v>
      </c>
      <c r="DO874" s="346">
        <v>0</v>
      </c>
      <c r="DP874" s="346">
        <v>0</v>
      </c>
      <c r="DQ874" s="346">
        <v>0</v>
      </c>
      <c r="DR874" s="346">
        <v>0</v>
      </c>
      <c r="DS874" s="346">
        <v>0</v>
      </c>
      <c r="DT874" s="346">
        <v>0</v>
      </c>
      <c r="DU874" s="346">
        <v>0</v>
      </c>
      <c r="DV874" s="346">
        <v>0</v>
      </c>
      <c r="DW874" s="346">
        <v>0</v>
      </c>
      <c r="DX874" s="346">
        <v>0</v>
      </c>
      <c r="DY874" s="346">
        <v>0</v>
      </c>
      <c r="DZ874" s="348">
        <v>0</v>
      </c>
      <c r="EA874" s="346">
        <v>0</v>
      </c>
      <c r="EB874" s="346">
        <v>0</v>
      </c>
      <c r="EC874" s="346">
        <v>0</v>
      </c>
      <c r="ED874" s="346">
        <v>0</v>
      </c>
      <c r="EE874" s="346">
        <v>0</v>
      </c>
      <c r="EF874" s="346">
        <v>0</v>
      </c>
      <c r="EG874" s="346">
        <v>0</v>
      </c>
      <c r="EH874" s="346">
        <v>0</v>
      </c>
      <c r="EI874" s="346">
        <v>0</v>
      </c>
      <c r="EJ874" s="346">
        <v>0</v>
      </c>
      <c r="EK874" s="346">
        <v>0</v>
      </c>
      <c r="EL874" s="348">
        <v>0</v>
      </c>
      <c r="EM874" s="346">
        <v>0</v>
      </c>
      <c r="EN874" s="346">
        <v>0</v>
      </c>
      <c r="EO874" s="346">
        <v>0</v>
      </c>
      <c r="EP874" s="346">
        <v>0</v>
      </c>
      <c r="EQ874" s="346">
        <v>0</v>
      </c>
      <c r="ER874" s="346">
        <v>0</v>
      </c>
      <c r="ES874" s="346">
        <v>0</v>
      </c>
      <c r="ET874" s="346">
        <v>0</v>
      </c>
      <c r="EU874" s="346">
        <v>0</v>
      </c>
      <c r="EV874" s="346">
        <v>0</v>
      </c>
      <c r="EW874" s="346">
        <v>0</v>
      </c>
      <c r="EX874" s="348">
        <v>0</v>
      </c>
      <c r="EY874" s="346">
        <v>0</v>
      </c>
      <c r="EZ874" s="346">
        <v>0</v>
      </c>
      <c r="FA874" s="346">
        <v>0</v>
      </c>
      <c r="FB874" s="346">
        <v>0</v>
      </c>
      <c r="FC874" s="346">
        <v>0</v>
      </c>
      <c r="FD874" s="346">
        <v>0</v>
      </c>
      <c r="FE874" s="346">
        <v>0</v>
      </c>
      <c r="FF874" s="346">
        <v>0</v>
      </c>
      <c r="FG874" s="346">
        <v>0</v>
      </c>
      <c r="FH874" s="346">
        <v>0</v>
      </c>
      <c r="FI874" s="346">
        <v>0</v>
      </c>
      <c r="FJ874" s="348">
        <v>0</v>
      </c>
      <c r="FK874" s="346">
        <v>0</v>
      </c>
      <c r="FL874" s="346">
        <v>0</v>
      </c>
      <c r="FM874" s="346">
        <v>0</v>
      </c>
      <c r="FN874" s="346">
        <v>0</v>
      </c>
      <c r="FO874" s="346">
        <v>0</v>
      </c>
      <c r="FP874" s="346">
        <v>0</v>
      </c>
      <c r="FQ874" s="346">
        <v>0</v>
      </c>
      <c r="FR874" s="346">
        <v>0</v>
      </c>
      <c r="FS874" s="346">
        <v>0</v>
      </c>
      <c r="FT874" s="346">
        <v>0</v>
      </c>
      <c r="FU874" s="346">
        <v>0</v>
      </c>
      <c r="FV874" s="346">
        <v>0</v>
      </c>
      <c r="FW874" s="346">
        <v>0</v>
      </c>
      <c r="FX874" s="346">
        <v>0</v>
      </c>
      <c r="FY874" s="346">
        <v>0</v>
      </c>
      <c r="FZ874" s="346">
        <v>0</v>
      </c>
      <c r="GA874" s="346">
        <v>0</v>
      </c>
      <c r="GB874" s="346">
        <v>0</v>
      </c>
      <c r="GC874" s="346">
        <v>0</v>
      </c>
      <c r="GD874" s="346">
        <v>0</v>
      </c>
      <c r="GE874" s="346">
        <v>0</v>
      </c>
      <c r="GF874" s="346">
        <v>0</v>
      </c>
      <c r="GG874" s="346">
        <v>0</v>
      </c>
      <c r="GH874" s="346">
        <v>0</v>
      </c>
      <c r="GI874" s="1897"/>
      <c r="HN874" s="349"/>
      <c r="HO874" s="358" t="s">
        <v>599</v>
      </c>
      <c r="HP874" s="307">
        <f>SUM(CE874:CJ874)</f>
        <v>0</v>
      </c>
      <c r="HQ874" s="302">
        <f>SUM(CK874:CP874)</f>
        <v>0</v>
      </c>
      <c r="HR874" s="346">
        <f>HP874+HQ874</f>
        <v>0</v>
      </c>
      <c r="HS874" s="302">
        <f>SUM(CQ874:CV874)</f>
        <v>0</v>
      </c>
      <c r="HT874" s="302">
        <f>SUM(CW874:DB874)</f>
        <v>0</v>
      </c>
      <c r="HU874" s="346">
        <f>HS874+HT874</f>
        <v>0</v>
      </c>
      <c r="HV874" s="307">
        <f>SUM(DC874:DH874)</f>
        <v>0</v>
      </c>
      <c r="HW874" s="302">
        <f>SUM(DI874:DN874)</f>
        <v>0</v>
      </c>
      <c r="HX874" s="346">
        <f>HV874+HW874</f>
        <v>0</v>
      </c>
      <c r="HY874" s="350">
        <f>SUM(DO874:DT874)</f>
        <v>0</v>
      </c>
      <c r="HZ874" s="302">
        <f>SUM(DU874:DZ874)</f>
        <v>0</v>
      </c>
      <c r="IA874" s="346">
        <f>HY874+HZ874</f>
        <v>0</v>
      </c>
      <c r="IB874" s="302">
        <f>SUM(EA874:EF874)</f>
        <v>0</v>
      </c>
      <c r="IC874" s="302">
        <f>SUM(EG874:EL874)</f>
        <v>0</v>
      </c>
      <c r="ID874" s="346">
        <f>IB874+IC874</f>
        <v>0</v>
      </c>
      <c r="IE874" s="350">
        <f>SUM(EM874:ER874)</f>
        <v>0</v>
      </c>
      <c r="IF874" s="350">
        <f>SUM(ES874:EX874)</f>
        <v>0</v>
      </c>
      <c r="IG874" s="346">
        <f>IE874+IF874</f>
        <v>0</v>
      </c>
      <c r="IH874" s="350">
        <f>SUM(EY874:FD874)</f>
        <v>0</v>
      </c>
      <c r="II874" s="350">
        <f>SUM(FE874:FJ874)</f>
        <v>0</v>
      </c>
      <c r="IJ874" s="346">
        <f>IH874+II874</f>
        <v>0</v>
      </c>
      <c r="IK874" s="350">
        <f>SUM(FK874:FP874)</f>
        <v>0</v>
      </c>
      <c r="IL874" s="350">
        <f t="shared" si="1411"/>
        <v>0</v>
      </c>
      <c r="IM874" s="346">
        <f t="shared" si="1430"/>
        <v>0</v>
      </c>
      <c r="IN874" s="350">
        <f t="shared" si="1389"/>
        <v>0</v>
      </c>
      <c r="IO874" s="350">
        <f t="shared" si="1390"/>
        <v>0</v>
      </c>
      <c r="IP874" s="346">
        <f t="shared" si="1294"/>
        <v>0</v>
      </c>
      <c r="IQ874" s="350">
        <f t="shared" si="1391"/>
        <v>0</v>
      </c>
      <c r="IR874" s="350">
        <f t="shared" si="1392"/>
        <v>0</v>
      </c>
      <c r="IS874" s="346">
        <f t="shared" si="1410"/>
        <v>0</v>
      </c>
      <c r="IT874" s="350">
        <f t="shared" si="1412"/>
        <v>0</v>
      </c>
      <c r="IU874" s="350">
        <f t="shared" si="1413"/>
        <v>0</v>
      </c>
      <c r="IV874" s="346">
        <f t="shared" si="1409"/>
        <v>0</v>
      </c>
      <c r="IW874" s="350">
        <f t="shared" si="1428"/>
        <v>0</v>
      </c>
      <c r="IX874" s="350">
        <f t="shared" si="1426"/>
        <v>0</v>
      </c>
      <c r="IY874" s="346">
        <f>FISC!AJ1191</f>
        <v>0</v>
      </c>
      <c r="IZ874" s="350">
        <f t="shared" si="1415"/>
        <v>0</v>
      </c>
      <c r="JA874" s="350">
        <v>0</v>
      </c>
      <c r="JB874" s="346">
        <f>FISC!AK1191</f>
        <v>0</v>
      </c>
      <c r="JC874" s="350">
        <f t="shared" si="1417"/>
        <v>0</v>
      </c>
      <c r="JD874" s="350">
        <v>0</v>
      </c>
      <c r="JE874" s="346">
        <f>FISC!AL1191</f>
        <v>0</v>
      </c>
      <c r="JF874" s="350">
        <f t="shared" si="1419"/>
        <v>0</v>
      </c>
      <c r="JG874" s="350">
        <v>0</v>
      </c>
      <c r="JH874" s="346">
        <f>FISC!AM1191</f>
        <v>0</v>
      </c>
      <c r="JI874" s="350">
        <f t="shared" si="1421"/>
        <v>0</v>
      </c>
      <c r="JJ874" s="350">
        <v>0</v>
      </c>
      <c r="JK874" s="346">
        <f>FISC!AN1191</f>
        <v>0</v>
      </c>
      <c r="JL874" s="350">
        <f t="shared" si="1423"/>
        <v>0</v>
      </c>
      <c r="JM874" s="350">
        <v>0</v>
      </c>
      <c r="JN874" s="346">
        <f>FISC!AO1191</f>
        <v>0</v>
      </c>
      <c r="KI874" s="349"/>
      <c r="KJ874" s="350"/>
    </row>
    <row r="875" spans="1:296" hidden="1" outlineLevel="1">
      <c r="A875" s="302"/>
      <c r="B875" s="117" t="s">
        <v>361</v>
      </c>
      <c r="D875" s="357" t="s">
        <v>600</v>
      </c>
      <c r="E875" s="346"/>
      <c r="F875" s="346"/>
      <c r="G875" s="346"/>
      <c r="H875" s="346"/>
      <c r="I875" s="346"/>
      <c r="J875" s="346"/>
      <c r="K875" s="346"/>
      <c r="L875" s="346"/>
      <c r="M875" s="346"/>
      <c r="N875" s="346"/>
      <c r="O875" s="346"/>
      <c r="P875" s="346"/>
      <c r="Q875" s="346"/>
      <c r="R875" s="346"/>
      <c r="S875" s="346"/>
      <c r="T875" s="346"/>
      <c r="U875" s="346"/>
      <c r="V875" s="346"/>
      <c r="W875" s="346"/>
      <c r="X875" s="346"/>
      <c r="Y875" s="346"/>
      <c r="Z875" s="346"/>
      <c r="AA875" s="346"/>
      <c r="AB875" s="346"/>
      <c r="AC875" s="346"/>
      <c r="AD875" s="346"/>
      <c r="AE875" s="346"/>
      <c r="AF875" s="346"/>
      <c r="AG875" s="346"/>
      <c r="AH875" s="346"/>
      <c r="AI875" s="346"/>
      <c r="AJ875" s="346"/>
      <c r="AK875" s="346"/>
      <c r="AL875" s="346"/>
      <c r="AM875" s="346"/>
      <c r="AN875" s="346"/>
      <c r="AO875" s="346"/>
      <c r="AP875" s="346"/>
      <c r="AQ875" s="346"/>
      <c r="AR875" s="346"/>
      <c r="AS875" s="346"/>
      <c r="AT875" s="346"/>
      <c r="AU875" s="346"/>
      <c r="AV875" s="346"/>
      <c r="AW875" s="346"/>
      <c r="AX875" s="346"/>
      <c r="AY875" s="346"/>
      <c r="AZ875" s="346"/>
      <c r="BA875" s="346"/>
      <c r="BB875" s="346"/>
      <c r="BC875" s="346"/>
      <c r="BD875" s="346"/>
      <c r="BE875" s="346"/>
      <c r="BF875" s="346"/>
      <c r="BG875" s="346"/>
      <c r="BH875" s="346"/>
      <c r="BI875" s="346"/>
      <c r="BJ875" s="346"/>
      <c r="BK875" s="346"/>
      <c r="BL875" s="346"/>
      <c r="BM875" s="346"/>
      <c r="BN875" s="346"/>
      <c r="BO875" s="346"/>
      <c r="BP875" s="346"/>
      <c r="BQ875" s="346"/>
      <c r="BR875" s="346"/>
      <c r="BS875" s="346"/>
      <c r="BT875" s="346"/>
      <c r="BU875" s="346"/>
      <c r="BV875" s="346"/>
      <c r="BW875" s="346"/>
      <c r="BX875" s="346"/>
      <c r="BY875" s="346"/>
      <c r="BZ875" s="346"/>
      <c r="CA875" s="346"/>
      <c r="CB875" s="346"/>
      <c r="CC875" s="346"/>
      <c r="CD875" s="352"/>
      <c r="CE875" s="346">
        <v>0</v>
      </c>
      <c r="CF875" s="346">
        <v>0</v>
      </c>
      <c r="CG875" s="346">
        <v>0</v>
      </c>
      <c r="CH875" s="346">
        <v>0</v>
      </c>
      <c r="CI875" s="346">
        <v>0</v>
      </c>
      <c r="CJ875" s="346">
        <v>0</v>
      </c>
      <c r="CK875" s="346">
        <v>0</v>
      </c>
      <c r="CL875" s="346">
        <v>0</v>
      </c>
      <c r="CM875" s="346">
        <v>0</v>
      </c>
      <c r="CN875" s="346">
        <v>0</v>
      </c>
      <c r="CO875" s="346">
        <v>0</v>
      </c>
      <c r="CP875" s="348">
        <v>0</v>
      </c>
      <c r="CQ875" s="346">
        <v>0</v>
      </c>
      <c r="CR875" s="346">
        <v>0</v>
      </c>
      <c r="CS875" s="346">
        <v>0</v>
      </c>
      <c r="CT875" s="346">
        <v>0</v>
      </c>
      <c r="CU875" s="346">
        <v>0</v>
      </c>
      <c r="CV875" s="346">
        <v>0</v>
      </c>
      <c r="CW875" s="346">
        <v>0</v>
      </c>
      <c r="CX875" s="346">
        <v>0</v>
      </c>
      <c r="CY875" s="346">
        <v>0</v>
      </c>
      <c r="CZ875" s="346">
        <v>0</v>
      </c>
      <c r="DA875" s="346">
        <v>0</v>
      </c>
      <c r="DB875" s="1479">
        <v>0</v>
      </c>
      <c r="DC875" s="346">
        <v>0</v>
      </c>
      <c r="DD875" s="346">
        <v>0</v>
      </c>
      <c r="DE875" s="346">
        <v>0</v>
      </c>
      <c r="DF875" s="346">
        <v>0</v>
      </c>
      <c r="DG875" s="346">
        <v>0</v>
      </c>
      <c r="DH875" s="346">
        <v>0</v>
      </c>
      <c r="DI875" s="346">
        <v>0</v>
      </c>
      <c r="DJ875" s="346">
        <v>0</v>
      </c>
      <c r="DK875" s="346">
        <v>0</v>
      </c>
      <c r="DL875" s="346">
        <v>0</v>
      </c>
      <c r="DM875" s="346">
        <v>0</v>
      </c>
      <c r="DN875" s="348">
        <v>0</v>
      </c>
      <c r="DO875" s="346">
        <v>0</v>
      </c>
      <c r="DP875" s="346">
        <v>0</v>
      </c>
      <c r="DQ875" s="346">
        <v>0</v>
      </c>
      <c r="DR875" s="346">
        <v>0</v>
      </c>
      <c r="DS875" s="346">
        <v>0</v>
      </c>
      <c r="DT875" s="346">
        <v>0</v>
      </c>
      <c r="DU875" s="346">
        <v>0</v>
      </c>
      <c r="DV875" s="346">
        <v>0</v>
      </c>
      <c r="DW875" s="346">
        <v>0</v>
      </c>
      <c r="DX875" s="346">
        <v>0</v>
      </c>
      <c r="DY875" s="346">
        <v>0</v>
      </c>
      <c r="DZ875" s="348">
        <v>0</v>
      </c>
      <c r="EA875" s="346">
        <v>0</v>
      </c>
      <c r="EB875" s="346">
        <v>0</v>
      </c>
      <c r="EC875" s="346">
        <v>0</v>
      </c>
      <c r="ED875" s="346">
        <v>0</v>
      </c>
      <c r="EE875" s="346">
        <v>0</v>
      </c>
      <c r="EF875" s="346">
        <v>0</v>
      </c>
      <c r="EG875" s="346">
        <v>0</v>
      </c>
      <c r="EH875" s="346">
        <v>0</v>
      </c>
      <c r="EI875" s="346">
        <v>0</v>
      </c>
      <c r="EJ875" s="346">
        <v>0</v>
      </c>
      <c r="EK875" s="346">
        <v>0</v>
      </c>
      <c r="EL875" s="348">
        <v>0</v>
      </c>
      <c r="EM875" s="346">
        <v>0</v>
      </c>
      <c r="EN875" s="346">
        <v>0</v>
      </c>
      <c r="EO875" s="346">
        <v>0</v>
      </c>
      <c r="EP875" s="346">
        <v>0</v>
      </c>
      <c r="EQ875" s="346">
        <v>0</v>
      </c>
      <c r="ER875" s="346">
        <v>0</v>
      </c>
      <c r="ES875" s="346">
        <v>0</v>
      </c>
      <c r="ET875" s="346">
        <v>0</v>
      </c>
      <c r="EU875" s="346">
        <v>0</v>
      </c>
      <c r="EV875" s="346">
        <v>0</v>
      </c>
      <c r="EW875" s="346">
        <v>0</v>
      </c>
      <c r="EX875" s="348">
        <v>0</v>
      </c>
      <c r="EY875" s="346">
        <v>0</v>
      </c>
      <c r="EZ875" s="346">
        <v>0</v>
      </c>
      <c r="FA875" s="346">
        <v>0</v>
      </c>
      <c r="FB875" s="346">
        <v>0</v>
      </c>
      <c r="FC875" s="346">
        <v>0</v>
      </c>
      <c r="FD875" s="346">
        <v>0</v>
      </c>
      <c r="FE875" s="346">
        <v>0</v>
      </c>
      <c r="FF875" s="346">
        <v>0</v>
      </c>
      <c r="FG875" s="346">
        <v>0</v>
      </c>
      <c r="FH875" s="346">
        <v>0</v>
      </c>
      <c r="FI875" s="346">
        <v>0</v>
      </c>
      <c r="FJ875" s="348">
        <v>0</v>
      </c>
      <c r="FK875" s="346">
        <v>0</v>
      </c>
      <c r="FL875" s="346">
        <v>0</v>
      </c>
      <c r="FM875" s="346">
        <v>0</v>
      </c>
      <c r="FN875" s="346">
        <v>0</v>
      </c>
      <c r="FO875" s="346">
        <v>0</v>
      </c>
      <c r="FP875" s="346">
        <v>0</v>
      </c>
      <c r="FQ875" s="346">
        <v>0</v>
      </c>
      <c r="FR875" s="346">
        <v>0</v>
      </c>
      <c r="FS875" s="346">
        <v>0</v>
      </c>
      <c r="FT875" s="346">
        <v>0</v>
      </c>
      <c r="FU875" s="346">
        <v>0</v>
      </c>
      <c r="FV875" s="346">
        <v>0</v>
      </c>
      <c r="FW875" s="346">
        <v>0</v>
      </c>
      <c r="FX875" s="346">
        <v>0</v>
      </c>
      <c r="FY875" s="346">
        <v>0</v>
      </c>
      <c r="FZ875" s="346">
        <v>0</v>
      </c>
      <c r="GA875" s="346">
        <v>0</v>
      </c>
      <c r="GB875" s="346">
        <v>0</v>
      </c>
      <c r="GC875" s="346">
        <v>0</v>
      </c>
      <c r="GD875" s="346">
        <v>0</v>
      </c>
      <c r="GE875" s="346">
        <v>0</v>
      </c>
      <c r="GF875" s="346">
        <v>0</v>
      </c>
      <c r="GG875" s="346">
        <v>0</v>
      </c>
      <c r="GH875" s="346">
        <v>0</v>
      </c>
      <c r="GI875" s="1897"/>
      <c r="HN875" s="349"/>
      <c r="HO875" s="357" t="s">
        <v>600</v>
      </c>
      <c r="HP875" s="307">
        <f>SUM(CE875:CJ875)</f>
        <v>0</v>
      </c>
      <c r="HQ875" s="302">
        <f>SUM(CK875:CP875)</f>
        <v>0</v>
      </c>
      <c r="HR875" s="346">
        <f>HP875+HQ875</f>
        <v>0</v>
      </c>
      <c r="HS875" s="302">
        <f>SUM(CQ875:CV875)</f>
        <v>0</v>
      </c>
      <c r="HT875" s="302">
        <f>SUM(CW875:DB875)</f>
        <v>0</v>
      </c>
      <c r="HU875" s="346">
        <f>HS875+HT875</f>
        <v>0</v>
      </c>
      <c r="HV875" s="307">
        <f>SUM(DC875:DH875)</f>
        <v>0</v>
      </c>
      <c r="HW875" s="302">
        <f>SUM(DI875:DN875)</f>
        <v>0</v>
      </c>
      <c r="HX875" s="346">
        <f>HV875+HW875</f>
        <v>0</v>
      </c>
      <c r="HY875" s="350">
        <f>SUM(DO875:DT875)</f>
        <v>0</v>
      </c>
      <c r="HZ875" s="302">
        <f>SUM(DU875:DZ875)</f>
        <v>0</v>
      </c>
      <c r="IA875" s="346">
        <f>HY875+HZ875</f>
        <v>0</v>
      </c>
      <c r="IB875" s="302">
        <f>SUM(EA875:EF875)</f>
        <v>0</v>
      </c>
      <c r="IC875" s="302">
        <f>SUM(EG875:EL875)</f>
        <v>0</v>
      </c>
      <c r="ID875" s="346">
        <f>IB875+IC875</f>
        <v>0</v>
      </c>
      <c r="IE875" s="350">
        <f>SUM(EM875:ER875)</f>
        <v>0</v>
      </c>
      <c r="IF875" s="350">
        <f>SUM(ES875:EX875)</f>
        <v>0</v>
      </c>
      <c r="IG875" s="346">
        <f>IE875+IF875</f>
        <v>0</v>
      </c>
      <c r="IH875" s="350">
        <f>SUM(EY875:FD875)</f>
        <v>0</v>
      </c>
      <c r="II875" s="350">
        <f>SUM(FE875:FJ875)</f>
        <v>0</v>
      </c>
      <c r="IJ875" s="346">
        <f>IH875+II875</f>
        <v>0</v>
      </c>
      <c r="IK875" s="350">
        <f>SUM(FK875:FP875)</f>
        <v>0</v>
      </c>
      <c r="IL875" s="350">
        <f t="shared" si="1411"/>
        <v>0</v>
      </c>
      <c r="IM875" s="346">
        <f t="shared" si="1430"/>
        <v>0</v>
      </c>
      <c r="IN875" s="350">
        <f t="shared" si="1389"/>
        <v>0</v>
      </c>
      <c r="IO875" s="350">
        <f t="shared" si="1390"/>
        <v>0</v>
      </c>
      <c r="IP875" s="346">
        <f t="shared" si="1294"/>
        <v>0</v>
      </c>
      <c r="IQ875" s="350">
        <f t="shared" si="1391"/>
        <v>0</v>
      </c>
      <c r="IR875" s="350">
        <f t="shared" si="1392"/>
        <v>0</v>
      </c>
      <c r="IS875" s="346">
        <f t="shared" si="1410"/>
        <v>0</v>
      </c>
      <c r="IT875" s="350">
        <f t="shared" si="1412"/>
        <v>0</v>
      </c>
      <c r="IU875" s="350">
        <f t="shared" si="1413"/>
        <v>0</v>
      </c>
      <c r="IV875" s="346">
        <f t="shared" si="1409"/>
        <v>0</v>
      </c>
      <c r="IW875" s="350">
        <f t="shared" si="1428"/>
        <v>0</v>
      </c>
      <c r="IX875" s="350">
        <f t="shared" si="1426"/>
        <v>0</v>
      </c>
      <c r="IY875" s="346">
        <f>FISC!AJ1192</f>
        <v>0</v>
      </c>
      <c r="IZ875" s="350">
        <f t="shared" si="1415"/>
        <v>0</v>
      </c>
      <c r="JA875" s="350">
        <v>0</v>
      </c>
      <c r="JB875" s="346">
        <f>FISC!AK1192</f>
        <v>0</v>
      </c>
      <c r="JC875" s="350">
        <f t="shared" si="1417"/>
        <v>0</v>
      </c>
      <c r="JD875" s="350">
        <v>0</v>
      </c>
      <c r="JE875" s="346">
        <f>FISC!AL1192</f>
        <v>0</v>
      </c>
      <c r="JF875" s="350">
        <f t="shared" si="1419"/>
        <v>0</v>
      </c>
      <c r="JG875" s="350">
        <v>0</v>
      </c>
      <c r="JH875" s="346">
        <f>FISC!AM1192</f>
        <v>0</v>
      </c>
      <c r="JI875" s="350">
        <f t="shared" si="1421"/>
        <v>0</v>
      </c>
      <c r="JJ875" s="350">
        <v>0</v>
      </c>
      <c r="JK875" s="346">
        <f>FISC!AN1192</f>
        <v>0</v>
      </c>
      <c r="JL875" s="350">
        <f t="shared" si="1423"/>
        <v>0</v>
      </c>
      <c r="JM875" s="350">
        <v>0</v>
      </c>
      <c r="JN875" s="346">
        <f>FISC!AO1192</f>
        <v>0</v>
      </c>
      <c r="KI875" s="349"/>
      <c r="KJ875" s="350"/>
    </row>
    <row r="876" spans="1:296" hidden="1" outlineLevel="1">
      <c r="A876" s="302"/>
      <c r="B876" s="117" t="s">
        <v>361</v>
      </c>
      <c r="D876" s="357" t="s">
        <v>601</v>
      </c>
      <c r="E876" s="346"/>
      <c r="F876" s="346"/>
      <c r="G876" s="346"/>
      <c r="H876" s="346"/>
      <c r="I876" s="346"/>
      <c r="J876" s="346"/>
      <c r="K876" s="346"/>
      <c r="L876" s="346"/>
      <c r="M876" s="346"/>
      <c r="N876" s="346"/>
      <c r="O876" s="346"/>
      <c r="P876" s="346"/>
      <c r="Q876" s="346"/>
      <c r="R876" s="346"/>
      <c r="S876" s="346"/>
      <c r="T876" s="346"/>
      <c r="U876" s="346"/>
      <c r="V876" s="346"/>
      <c r="W876" s="346"/>
      <c r="X876" s="346"/>
      <c r="Y876" s="346"/>
      <c r="Z876" s="346"/>
      <c r="AA876" s="346"/>
      <c r="AB876" s="346"/>
      <c r="AC876" s="346"/>
      <c r="AD876" s="346"/>
      <c r="AE876" s="346"/>
      <c r="AF876" s="346"/>
      <c r="AG876" s="346"/>
      <c r="AH876" s="346"/>
      <c r="AI876" s="346"/>
      <c r="AJ876" s="346"/>
      <c r="AK876" s="346"/>
      <c r="AL876" s="346"/>
      <c r="AM876" s="346"/>
      <c r="AN876" s="346"/>
      <c r="AO876" s="346"/>
      <c r="AP876" s="346"/>
      <c r="AQ876" s="346"/>
      <c r="AR876" s="346"/>
      <c r="AS876" s="346"/>
      <c r="AT876" s="346"/>
      <c r="AU876" s="346"/>
      <c r="AV876" s="346"/>
      <c r="AW876" s="346"/>
      <c r="AX876" s="346"/>
      <c r="AY876" s="346"/>
      <c r="AZ876" s="346"/>
      <c r="BA876" s="346"/>
      <c r="BB876" s="346"/>
      <c r="BC876" s="346"/>
      <c r="BD876" s="346"/>
      <c r="BE876" s="346"/>
      <c r="BF876" s="346"/>
      <c r="BG876" s="346"/>
      <c r="BH876" s="346"/>
      <c r="BI876" s="346"/>
      <c r="BJ876" s="346"/>
      <c r="BK876" s="346"/>
      <c r="BL876" s="346"/>
      <c r="BM876" s="346"/>
      <c r="BN876" s="346"/>
      <c r="BO876" s="346"/>
      <c r="BP876" s="346"/>
      <c r="BQ876" s="346"/>
      <c r="BR876" s="346"/>
      <c r="BS876" s="346"/>
      <c r="BT876" s="346"/>
      <c r="BU876" s="346"/>
      <c r="BV876" s="346"/>
      <c r="BW876" s="346"/>
      <c r="BX876" s="346"/>
      <c r="BY876" s="346"/>
      <c r="BZ876" s="346"/>
      <c r="CA876" s="346"/>
      <c r="CB876" s="346"/>
      <c r="CC876" s="346"/>
      <c r="CD876" s="352"/>
      <c r="CE876" s="346">
        <v>-32.5</v>
      </c>
      <c r="CF876" s="346">
        <v>14.183386008999999</v>
      </c>
      <c r="CG876" s="346">
        <v>1.3150049660000001</v>
      </c>
      <c r="CH876" s="346">
        <v>0</v>
      </c>
      <c r="CI876" s="346">
        <v>0</v>
      </c>
      <c r="CJ876" s="346">
        <v>2.88959645</v>
      </c>
      <c r="CK876" s="346">
        <v>6.9380982900000001</v>
      </c>
      <c r="CL876" s="346">
        <v>0</v>
      </c>
      <c r="CM876" s="346">
        <v>13.871248</v>
      </c>
      <c r="CN876" s="346">
        <v>1</v>
      </c>
      <c r="CO876" s="346">
        <v>4.3496715249999998</v>
      </c>
      <c r="CP876" s="348">
        <v>13.974804199999999</v>
      </c>
      <c r="CQ876" s="346">
        <f t="shared" ref="CQ876:DB876" si="1431">CQ453</f>
        <v>2.0446890510000002</v>
      </c>
      <c r="CR876" s="346">
        <f t="shared" si="1431"/>
        <v>1.1764951930000001</v>
      </c>
      <c r="CS876" s="346">
        <f t="shared" si="1431"/>
        <v>2.529250207</v>
      </c>
      <c r="CT876" s="346">
        <f t="shared" si="1431"/>
        <v>2.502500334</v>
      </c>
      <c r="CU876" s="346">
        <f t="shared" si="1431"/>
        <v>0.44875757999999999</v>
      </c>
      <c r="CV876" s="346">
        <f t="shared" si="1431"/>
        <v>1.4449781960000001</v>
      </c>
      <c r="CW876" s="346">
        <f t="shared" si="1431"/>
        <v>2.3012383519999999</v>
      </c>
      <c r="CX876" s="346">
        <f t="shared" si="1431"/>
        <v>15.372919039999999</v>
      </c>
      <c r="CY876" s="346">
        <f t="shared" si="1431"/>
        <v>5.6441678419999999</v>
      </c>
      <c r="CZ876" s="346">
        <f t="shared" si="1431"/>
        <v>2.6801831049999998</v>
      </c>
      <c r="DA876" s="346">
        <f t="shared" si="1431"/>
        <v>1.84513269</v>
      </c>
      <c r="DB876" s="1479">
        <f t="shared" si="1431"/>
        <v>25.690791000000001</v>
      </c>
      <c r="DC876" s="346">
        <v>2</v>
      </c>
      <c r="DD876" s="346">
        <v>10.047593833000001</v>
      </c>
      <c r="DE876" s="346">
        <v>6.3235096430000004</v>
      </c>
      <c r="DF876" s="346">
        <v>0.23668661499999999</v>
      </c>
      <c r="DG876" s="346">
        <v>0.37262134400000002</v>
      </c>
      <c r="DH876" s="346">
        <v>0</v>
      </c>
      <c r="DI876" s="346">
        <v>17.852643471</v>
      </c>
      <c r="DJ876" s="346">
        <v>7.5705152409999998</v>
      </c>
      <c r="DK876" s="346">
        <v>0.211177904</v>
      </c>
      <c r="DL876" s="346">
        <v>0.389861544</v>
      </c>
      <c r="DM876" s="346">
        <v>0</v>
      </c>
      <c r="DN876" s="348">
        <v>5.3441120770000001</v>
      </c>
      <c r="DO876" s="346">
        <v>0.79557091000000002</v>
      </c>
      <c r="DP876" s="346">
        <v>0.30663901399999999</v>
      </c>
      <c r="DQ876" s="346">
        <v>0</v>
      </c>
      <c r="DR876" s="346">
        <v>1.461633175</v>
      </c>
      <c r="DS876" s="346">
        <v>0</v>
      </c>
      <c r="DT876" s="346">
        <v>0</v>
      </c>
      <c r="DU876" s="346">
        <v>1.5806744720000001</v>
      </c>
      <c r="DV876" s="346">
        <v>0</v>
      </c>
      <c r="DW876" s="346">
        <v>0</v>
      </c>
      <c r="DX876" s="346">
        <v>5.229410208</v>
      </c>
      <c r="DY876" s="346">
        <v>6.7838984839999998</v>
      </c>
      <c r="DZ876" s="348">
        <v>10.280307347000001</v>
      </c>
      <c r="EA876" s="346">
        <v>0</v>
      </c>
      <c r="EB876" s="346">
        <v>8.1566134520000002</v>
      </c>
      <c r="EC876" s="346">
        <v>7.2540280619999997</v>
      </c>
      <c r="ED876" s="346">
        <v>1.6</v>
      </c>
      <c r="EE876" s="346">
        <v>3.3892808900000002</v>
      </c>
      <c r="EF876" s="346">
        <v>5.8281546979999996</v>
      </c>
      <c r="EG876" s="346">
        <v>3.7936580630000001</v>
      </c>
      <c r="EH876" s="346">
        <v>1.6461325570000001</v>
      </c>
      <c r="EI876" s="346">
        <v>6.9573450130000003</v>
      </c>
      <c r="EJ876" s="346">
        <v>11.576924024</v>
      </c>
      <c r="EK876" s="346">
        <v>6.8080839639999997</v>
      </c>
      <c r="EL876" s="348">
        <v>0</v>
      </c>
      <c r="EM876" s="346">
        <v>2.4750000000000001</v>
      </c>
      <c r="EN876" s="346">
        <v>3.8014540480000001</v>
      </c>
      <c r="EO876" s="346">
        <v>6.0622649979999998</v>
      </c>
      <c r="EP876" s="346">
        <v>0</v>
      </c>
      <c r="EQ876" s="346">
        <v>0</v>
      </c>
      <c r="ER876" s="346">
        <v>3.9765202199999998</v>
      </c>
      <c r="ES876" s="346">
        <v>2.8859739630000001</v>
      </c>
      <c r="ET876" s="346">
        <v>0</v>
      </c>
      <c r="EU876" s="346">
        <v>3.939404675</v>
      </c>
      <c r="EV876" s="346">
        <v>2.8887351529999998</v>
      </c>
      <c r="EW876" s="346">
        <v>0</v>
      </c>
      <c r="EX876" s="348">
        <v>3.939404675</v>
      </c>
      <c r="EY876" s="346">
        <v>2.9627427580000001</v>
      </c>
      <c r="EZ876" s="346">
        <v>1.464404676</v>
      </c>
      <c r="FA876" s="346">
        <v>0</v>
      </c>
      <c r="FB876" s="346">
        <v>82.901972736999994</v>
      </c>
      <c r="FC876" s="346">
        <v>1.5526046760000001</v>
      </c>
      <c r="FD876" s="346">
        <v>0</v>
      </c>
      <c r="FE876" s="346">
        <v>11.865881414</v>
      </c>
      <c r="FF876" s="346">
        <v>1.80821064</v>
      </c>
      <c r="FG876" s="346">
        <v>5.3527981000000002E-2</v>
      </c>
      <c r="FH876" s="346">
        <v>0</v>
      </c>
      <c r="FI876" s="346">
        <v>0</v>
      </c>
      <c r="FJ876" s="348">
        <v>1.0382190499999999</v>
      </c>
      <c r="FK876" s="346">
        <v>0</v>
      </c>
      <c r="FL876" s="346">
        <v>0</v>
      </c>
      <c r="FM876" s="346">
        <v>47.715494765000003</v>
      </c>
      <c r="FN876" s="346">
        <v>0</v>
      </c>
      <c r="FO876" s="346">
        <v>1.0683389350000001</v>
      </c>
      <c r="FP876" s="346">
        <v>7.1600264359999999</v>
      </c>
      <c r="FQ876" s="346">
        <v>5.2808400000000004</v>
      </c>
      <c r="FR876" s="346">
        <v>3.6483330199999999</v>
      </c>
      <c r="FS876" s="346">
        <v>3.5096266109999998</v>
      </c>
      <c r="FT876" s="346">
        <v>3.4183738990000001</v>
      </c>
      <c r="FU876" s="346">
        <v>5.1646999559999998</v>
      </c>
      <c r="FV876" s="346">
        <v>30.646021316999999</v>
      </c>
      <c r="FW876" s="346">
        <v>0</v>
      </c>
      <c r="FX876" s="346">
        <v>0</v>
      </c>
      <c r="FY876" s="346">
        <v>6.5765835209999999</v>
      </c>
      <c r="FZ876" s="346">
        <v>0.70497500000000002</v>
      </c>
      <c r="GA876" s="346">
        <v>0</v>
      </c>
      <c r="GB876" s="346">
        <v>7.3348738139999998</v>
      </c>
      <c r="GC876" s="346">
        <v>1</v>
      </c>
      <c r="GD876" s="346">
        <v>3.6364257270000002</v>
      </c>
      <c r="GE876" s="346">
        <v>1.5363514569999999</v>
      </c>
      <c r="GF876" s="346">
        <v>17.543126211000001</v>
      </c>
      <c r="GG876" s="346">
        <v>8.5065721930000002</v>
      </c>
      <c r="GH876" s="346">
        <v>47.64361169</v>
      </c>
      <c r="GI876" s="1897">
        <f>GI877+GI881</f>
        <v>6.0993216676299999</v>
      </c>
      <c r="GJ876" s="1897">
        <f t="shared" ref="GJ876:GT876" si="1432">GJ877+GJ881</f>
        <v>0</v>
      </c>
      <c r="GK876" s="1897">
        <f t="shared" si="1432"/>
        <v>59.345309497339997</v>
      </c>
      <c r="GL876" s="1897">
        <f t="shared" si="1432"/>
        <v>0</v>
      </c>
      <c r="GM876" s="1897">
        <f t="shared" si="1432"/>
        <v>0</v>
      </c>
      <c r="GN876" s="1897">
        <f t="shared" si="1432"/>
        <v>8.8817867980000003</v>
      </c>
      <c r="GO876" s="1897">
        <f>GO877+GO881</f>
        <v>0</v>
      </c>
      <c r="GP876" s="1897">
        <f t="shared" si="1432"/>
        <v>0</v>
      </c>
      <c r="GQ876" s="1897">
        <f t="shared" si="1432"/>
        <v>8.8794150500000004</v>
      </c>
      <c r="GR876" s="1897">
        <f t="shared" si="1432"/>
        <v>0</v>
      </c>
      <c r="GS876" s="1897">
        <f t="shared" si="1432"/>
        <v>0</v>
      </c>
      <c r="GT876" s="1897">
        <f t="shared" si="1432"/>
        <v>8.8770027139999996</v>
      </c>
      <c r="GU876" s="1897">
        <v>3.6868372699999998</v>
      </c>
      <c r="GV876" s="1897">
        <v>1.6867821860000001</v>
      </c>
      <c r="GW876" s="1897">
        <v>3.4566794760000001</v>
      </c>
      <c r="GX876" s="1897">
        <v>3.1026485639999999</v>
      </c>
      <c r="GY876" s="1897">
        <v>8.5277886630000008</v>
      </c>
      <c r="GZ876" s="1897">
        <v>18.235560100000001</v>
      </c>
      <c r="HA876" s="1897">
        <v>4.0574359040000001</v>
      </c>
      <c r="HB876" s="1897">
        <v>13.711449400999999</v>
      </c>
      <c r="HC876" s="1897">
        <v>14.916460077</v>
      </c>
      <c r="HD876" s="1897">
        <v>1.0527506180000001</v>
      </c>
      <c r="HE876" s="1897">
        <v>1.290070901</v>
      </c>
      <c r="HF876" s="1897">
        <v>9.1668689589999985</v>
      </c>
      <c r="HG876" s="1897">
        <v>56.267772954999998</v>
      </c>
      <c r="HH876" s="1897">
        <v>1</v>
      </c>
      <c r="HI876" s="1897">
        <v>40.276613467418997</v>
      </c>
      <c r="HJ876" s="1897">
        <v>-15.457020599762</v>
      </c>
      <c r="HK876" s="1897">
        <v>0.41358653699999998</v>
      </c>
      <c r="HL876" s="1897">
        <v>8.5680475269999992</v>
      </c>
      <c r="HM876" s="1897"/>
      <c r="HN876" s="349"/>
      <c r="HO876" s="357" t="s">
        <v>601</v>
      </c>
      <c r="HP876" s="307">
        <f>SUM(CE876:CJ876)</f>
        <v>-14.112012575000001</v>
      </c>
      <c r="HQ876" s="302">
        <f>SUM(CK876:CP876)</f>
        <v>40.133822015</v>
      </c>
      <c r="HR876" s="346">
        <f>HP876+HQ876</f>
        <v>26.021809439999998</v>
      </c>
      <c r="HS876" s="302">
        <f>SUM(CQ876:CV876)</f>
        <v>10.146670561000001</v>
      </c>
      <c r="HT876" s="302">
        <f>SUM(CW876:DB876)</f>
        <v>53.534432029000001</v>
      </c>
      <c r="HU876" s="346">
        <f>HS876+HT876</f>
        <v>63.681102590000002</v>
      </c>
      <c r="HV876" s="307">
        <f>SUM(DC876:DH876)</f>
        <v>18.980411435000001</v>
      </c>
      <c r="HW876" s="302">
        <f>SUM(DI876:DN876)</f>
        <v>31.368310236999996</v>
      </c>
      <c r="HX876" s="346">
        <f>HV876+HW876</f>
        <v>50.348721671999996</v>
      </c>
      <c r="HY876" s="350">
        <f>SUM(DO876:DT876)</f>
        <v>2.5638430990000001</v>
      </c>
      <c r="HZ876" s="302">
        <f>SUM(DU876:DZ876)</f>
        <v>23.874290511000002</v>
      </c>
      <c r="IA876" s="346">
        <f>HY876+HZ876</f>
        <v>26.438133610000001</v>
      </c>
      <c r="IB876" s="302">
        <f>SUM(EA876:EF876)</f>
        <v>26.228077102</v>
      </c>
      <c r="IC876" s="302">
        <f>SUM(EG876:EL876)</f>
        <v>30.782143621000003</v>
      </c>
      <c r="ID876" s="346">
        <f>IB876+IC876</f>
        <v>57.010220723000003</v>
      </c>
      <c r="IE876" s="350">
        <f>SUM(EM876:ER876)</f>
        <v>16.315239265999999</v>
      </c>
      <c r="IF876" s="350">
        <f>SUM(ES876:EX876)</f>
        <v>13.653518466</v>
      </c>
      <c r="IG876" s="346">
        <f>IE876+IF876</f>
        <v>29.968757732</v>
      </c>
      <c r="IH876" s="350">
        <f>SUM(EY876:FD876)</f>
        <v>88.881724847000001</v>
      </c>
      <c r="II876" s="350">
        <f>SUM(FE876:FJ876)</f>
        <v>14.765839085000001</v>
      </c>
      <c r="IJ876" s="346">
        <f>IH876+II876</f>
        <v>103.647563932</v>
      </c>
      <c r="IK876" s="350">
        <f>SUM(FK876:FP876)</f>
        <v>55.943860136000005</v>
      </c>
      <c r="IL876" s="350">
        <f t="shared" si="1411"/>
        <v>51.667894802999996</v>
      </c>
      <c r="IM876" s="346">
        <f t="shared" si="1430"/>
        <v>107.61175493900001</v>
      </c>
      <c r="IN876" s="350">
        <f t="shared" si="1389"/>
        <v>14.616432334999999</v>
      </c>
      <c r="IO876" s="350">
        <f t="shared" si="1390"/>
        <v>79.866087278000009</v>
      </c>
      <c r="IP876" s="346">
        <f t="shared" si="1294"/>
        <v>94.482519613000008</v>
      </c>
      <c r="IQ876" s="350">
        <f t="shared" si="1391"/>
        <v>74.326417962969998</v>
      </c>
      <c r="IR876" s="350">
        <f t="shared" si="1392"/>
        <v>17.756417763999998</v>
      </c>
      <c r="IS876" s="346">
        <f t="shared" si="1410"/>
        <v>92.082835726969989</v>
      </c>
      <c r="IT876" s="350">
        <f t="shared" si="1412"/>
        <v>38.696296259</v>
      </c>
      <c r="IU876" s="350">
        <f t="shared" si="1413"/>
        <v>44.19503585999999</v>
      </c>
      <c r="IV876" s="346">
        <f t="shared" si="1409"/>
        <v>82.891332118999998</v>
      </c>
      <c r="IW876" s="350">
        <f t="shared" si="1428"/>
        <v>91.068999886656997</v>
      </c>
      <c r="IX876" s="1627">
        <f t="shared" si="1426"/>
        <v>24.016065538714628</v>
      </c>
      <c r="IY876" s="346">
        <f>FISC!AJ1193</f>
        <v>115.08506542537162</v>
      </c>
      <c r="IZ876" s="1627">
        <f>IZ877+IZ880+IZ881+IZ878+IZ879+IZ882</f>
        <v>29.381258971995152</v>
      </c>
      <c r="JA876" s="1627">
        <f>JA877+JA880+JA881+JA878+JA879+JA882</f>
        <v>29.381258971995152</v>
      </c>
      <c r="JB876" s="346">
        <f>FISC!AK1193</f>
        <v>58.762517943990304</v>
      </c>
      <c r="JC876" s="1627">
        <f>JC877+JC880+JC881</f>
        <v>16.251921522626819</v>
      </c>
      <c r="JD876" s="1627">
        <f>JD877+JD880+JD881</f>
        <v>16.251921522626819</v>
      </c>
      <c r="JE876" s="346">
        <f>FISC!AL1193</f>
        <v>32.503843045253639</v>
      </c>
      <c r="JF876" s="1627">
        <f>JF877+JF880+JF881</f>
        <v>15.020140489999999</v>
      </c>
      <c r="JG876" s="1627">
        <f>JG877+JG880+JG881</f>
        <v>15.020140489999999</v>
      </c>
      <c r="JH876" s="346">
        <f>FISC!AM1193</f>
        <v>30.040280979999999</v>
      </c>
      <c r="JI876" s="1627">
        <f>JI877+JI880+JI881</f>
        <v>14.419334870399998</v>
      </c>
      <c r="JJ876" s="1627">
        <f>JJ877+JJ880+JJ881</f>
        <v>15.6209461096</v>
      </c>
      <c r="JK876" s="346">
        <f>FISC!AN1193</f>
        <v>30.040280979999999</v>
      </c>
      <c r="JL876" s="1627">
        <f>JL877+JL880+JL881</f>
        <v>13.86791728128</v>
      </c>
      <c r="JM876" s="1627">
        <f>JM877+JM880+JM881</f>
        <v>15.02357705472</v>
      </c>
      <c r="JN876" s="346">
        <f>FISC!AO1193</f>
        <v>28.891494336000001</v>
      </c>
      <c r="KI876" s="349"/>
      <c r="KJ876" s="350"/>
    </row>
    <row r="877" spans="1:296" hidden="1" outlineLevel="1">
      <c r="A877" s="302"/>
      <c r="B877" s="117" t="s">
        <v>361</v>
      </c>
      <c r="D877" s="358" t="s">
        <v>3139</v>
      </c>
      <c r="E877" s="346"/>
      <c r="F877" s="346"/>
      <c r="G877" s="346"/>
      <c r="H877" s="346"/>
      <c r="I877" s="346"/>
      <c r="J877" s="346"/>
      <c r="K877" s="346"/>
      <c r="L877" s="346"/>
      <c r="M877" s="346"/>
      <c r="N877" s="346"/>
      <c r="O877" s="346"/>
      <c r="P877" s="346"/>
      <c r="Q877" s="346"/>
      <c r="R877" s="346"/>
      <c r="S877" s="346"/>
      <c r="T877" s="346"/>
      <c r="U877" s="346"/>
      <c r="V877" s="346"/>
      <c r="W877" s="346"/>
      <c r="X877" s="346"/>
      <c r="Y877" s="346"/>
      <c r="Z877" s="346"/>
      <c r="AA877" s="346"/>
      <c r="AB877" s="346"/>
      <c r="AC877" s="346"/>
      <c r="AD877" s="346"/>
      <c r="AE877" s="346"/>
      <c r="AF877" s="346"/>
      <c r="AG877" s="346"/>
      <c r="AH877" s="346"/>
      <c r="AI877" s="346"/>
      <c r="AJ877" s="346"/>
      <c r="AK877" s="346"/>
      <c r="AL877" s="346"/>
      <c r="AM877" s="346"/>
      <c r="AN877" s="346"/>
      <c r="AO877" s="346"/>
      <c r="AP877" s="346"/>
      <c r="AQ877" s="346"/>
      <c r="AR877" s="346"/>
      <c r="AS877" s="346"/>
      <c r="AT877" s="346"/>
      <c r="AU877" s="346"/>
      <c r="AV877" s="346"/>
      <c r="AW877" s="346"/>
      <c r="AX877" s="346"/>
      <c r="AY877" s="346"/>
      <c r="AZ877" s="346"/>
      <c r="BA877" s="346"/>
      <c r="BB877" s="346"/>
      <c r="BC877" s="346"/>
      <c r="BD877" s="346"/>
      <c r="BE877" s="346"/>
      <c r="BF877" s="346"/>
      <c r="BG877" s="346"/>
      <c r="BH877" s="346"/>
      <c r="BI877" s="346"/>
      <c r="BJ877" s="346"/>
      <c r="BK877" s="346"/>
      <c r="BL877" s="346"/>
      <c r="BM877" s="346"/>
      <c r="BN877" s="346"/>
      <c r="BO877" s="346"/>
      <c r="BP877" s="346"/>
      <c r="BQ877" s="346"/>
      <c r="BR877" s="346"/>
      <c r="BS877" s="346"/>
      <c r="BT877" s="346"/>
      <c r="BU877" s="346"/>
      <c r="BV877" s="346"/>
      <c r="BW877" s="346"/>
      <c r="BX877" s="346"/>
      <c r="BY877" s="346"/>
      <c r="BZ877" s="346"/>
      <c r="CA877" s="346"/>
      <c r="CB877" s="346"/>
      <c r="CC877" s="346"/>
      <c r="CD877" s="352"/>
      <c r="CE877" s="346">
        <v>0</v>
      </c>
      <c r="CF877" s="346">
        <v>0</v>
      </c>
      <c r="CG877" s="346">
        <v>0</v>
      </c>
      <c r="CH877" s="346">
        <v>0</v>
      </c>
      <c r="CI877" s="346">
        <v>0</v>
      </c>
      <c r="CJ877" s="346">
        <v>0</v>
      </c>
      <c r="CK877" s="346">
        <v>0</v>
      </c>
      <c r="CL877" s="346">
        <v>0</v>
      </c>
      <c r="CM877" s="346">
        <v>0</v>
      </c>
      <c r="CN877" s="346">
        <v>0</v>
      </c>
      <c r="CO877" s="346">
        <v>0</v>
      </c>
      <c r="CP877" s="348">
        <v>0</v>
      </c>
      <c r="CQ877" s="346"/>
      <c r="CR877" s="346"/>
      <c r="CS877" s="346"/>
      <c r="CT877" s="346"/>
      <c r="CU877" s="346"/>
      <c r="CV877" s="346"/>
      <c r="CW877" s="346"/>
      <c r="CX877" s="346"/>
      <c r="CY877" s="346"/>
      <c r="CZ877" s="346"/>
      <c r="DA877" s="346"/>
      <c r="DB877" s="1479"/>
      <c r="DC877" s="346"/>
      <c r="DD877" s="346"/>
      <c r="DE877" s="346"/>
      <c r="DF877" s="346"/>
      <c r="DG877" s="346"/>
      <c r="DH877" s="346"/>
      <c r="DI877" s="346"/>
      <c r="DJ877" s="346"/>
      <c r="DK877" s="346"/>
      <c r="DL877" s="346"/>
      <c r="DM877" s="346"/>
      <c r="DN877" s="348"/>
      <c r="DO877" s="346"/>
      <c r="DP877" s="346"/>
      <c r="DQ877" s="346"/>
      <c r="DR877" s="346"/>
      <c r="DS877" s="346"/>
      <c r="DT877" s="346"/>
      <c r="DU877" s="346"/>
      <c r="DV877" s="346"/>
      <c r="DW877" s="346"/>
      <c r="DX877" s="346"/>
      <c r="DY877" s="346"/>
      <c r="DZ877" s="348"/>
      <c r="EA877" s="346"/>
      <c r="EB877" s="346"/>
      <c r="EC877" s="346"/>
      <c r="ED877" s="346"/>
      <c r="EE877" s="346"/>
      <c r="EF877" s="346"/>
      <c r="EG877" s="346"/>
      <c r="EH877" s="346"/>
      <c r="EI877" s="346"/>
      <c r="EJ877" s="346"/>
      <c r="EK877" s="346"/>
      <c r="EL877" s="348"/>
      <c r="EM877" s="346"/>
      <c r="EN877" s="346"/>
      <c r="EO877" s="346"/>
      <c r="EP877" s="346"/>
      <c r="EQ877" s="346"/>
      <c r="ER877" s="346"/>
      <c r="ES877" s="346"/>
      <c r="ET877" s="346"/>
      <c r="EU877" s="346"/>
      <c r="EV877" s="346"/>
      <c r="EW877" s="346"/>
      <c r="EX877" s="348"/>
      <c r="EY877" s="346">
        <v>2.9627427580000001</v>
      </c>
      <c r="EZ877" s="346">
        <v>1.464404676</v>
      </c>
      <c r="FA877" s="346">
        <v>0</v>
      </c>
      <c r="FB877" s="346">
        <v>2.9019727369999999</v>
      </c>
      <c r="FC877" s="346">
        <v>1.5526046760000001</v>
      </c>
      <c r="FD877" s="346">
        <v>0</v>
      </c>
      <c r="FE877" s="346">
        <v>11.865881414</v>
      </c>
      <c r="FF877" s="346">
        <v>1.80821064</v>
      </c>
      <c r="FG877" s="346">
        <v>5.3527981000000002E-2</v>
      </c>
      <c r="FH877" s="346">
        <v>0</v>
      </c>
      <c r="FI877" s="346">
        <v>0</v>
      </c>
      <c r="FJ877" s="348">
        <v>1.0382190499999999</v>
      </c>
      <c r="FK877" s="346">
        <v>3.1917141450000002</v>
      </c>
      <c r="FL877" s="346">
        <v>0</v>
      </c>
      <c r="FM877" s="346">
        <v>1.0683389350000001</v>
      </c>
      <c r="FN877" s="346">
        <v>1.8640157180000001</v>
      </c>
      <c r="FO877" s="346">
        <v>0</v>
      </c>
      <c r="FP877" s="346">
        <v>0</v>
      </c>
      <c r="FQ877" s="346">
        <v>0.28083999999999998</v>
      </c>
      <c r="FR877" s="346">
        <v>3.6483330199999999</v>
      </c>
      <c r="FS877" s="346">
        <v>0</v>
      </c>
      <c r="FT877" s="346">
        <v>3.4183738990000001</v>
      </c>
      <c r="FU877" s="346">
        <v>5.1646999559999998</v>
      </c>
      <c r="FV877" s="346">
        <v>0</v>
      </c>
      <c r="FW877" s="346">
        <v>0</v>
      </c>
      <c r="FX877" s="346">
        <v>0</v>
      </c>
      <c r="FY877" s="346">
        <v>6.5765835209999999</v>
      </c>
      <c r="FZ877" s="346">
        <v>0.70497500000000002</v>
      </c>
      <c r="GA877" s="346">
        <v>0</v>
      </c>
      <c r="GB877" s="346">
        <v>7.3348738139999998</v>
      </c>
      <c r="GC877" s="346">
        <v>1</v>
      </c>
      <c r="GD877" s="346">
        <v>3.6364257270000002</v>
      </c>
      <c r="GE877" s="346">
        <v>0.41061130699999998</v>
      </c>
      <c r="GF877" s="346">
        <v>1.7091764869999999</v>
      </c>
      <c r="GG877" s="346">
        <v>8.5065721930000002</v>
      </c>
      <c r="GH877" s="346">
        <v>1.5</v>
      </c>
      <c r="GI877" s="1897">
        <v>0</v>
      </c>
      <c r="GJ877" s="1897">
        <v>0</v>
      </c>
      <c r="GK877" s="1897">
        <v>9.158647491</v>
      </c>
      <c r="GL877" s="1897">
        <v>0</v>
      </c>
      <c r="GM877" s="1897">
        <v>0</v>
      </c>
      <c r="GN877" s="1897">
        <v>8.8817867980000003</v>
      </c>
      <c r="GO877" s="1897">
        <v>0</v>
      </c>
      <c r="GP877" s="1897">
        <v>0</v>
      </c>
      <c r="GQ877" s="1897">
        <v>8.8794150500000004</v>
      </c>
      <c r="GR877" s="1897">
        <v>0</v>
      </c>
      <c r="GS877" s="1897">
        <v>0</v>
      </c>
      <c r="GT877" s="1897">
        <v>8.8770027139999996</v>
      </c>
      <c r="GU877" s="1897">
        <v>3.6868372699999998</v>
      </c>
      <c r="GV877" s="1897">
        <v>1.6867821860000001</v>
      </c>
      <c r="GW877" s="1897">
        <v>3.4566794760000001</v>
      </c>
      <c r="GX877" s="1897"/>
      <c r="GY877" s="1897"/>
      <c r="GZ877" s="1897">
        <v>8.9</v>
      </c>
      <c r="HA877" s="1897"/>
      <c r="HB877" s="1897"/>
      <c r="HC877" s="1897">
        <v>8.6530146479999992</v>
      </c>
      <c r="HD877" s="1897"/>
      <c r="HE877" s="1897"/>
      <c r="HF877" s="1897">
        <v>8.7324903549999995</v>
      </c>
      <c r="HG877" s="1897"/>
      <c r="HH877" s="1897"/>
      <c r="HI877" s="1897">
        <v>8.6470179839999997</v>
      </c>
      <c r="HJ877" s="1897"/>
      <c r="HK877" s="1897"/>
      <c r="HL877" s="1897">
        <v>8.6470179839999997</v>
      </c>
      <c r="HM877" s="1897"/>
      <c r="HN877" s="349"/>
      <c r="HO877" s="358" t="s">
        <v>3139</v>
      </c>
      <c r="HP877" s="307">
        <f>SUM(CE877:CJ877)</f>
        <v>0</v>
      </c>
      <c r="HQ877" s="302">
        <f>SUM(CK877:CP877)</f>
        <v>0</v>
      </c>
      <c r="HR877" s="346">
        <f>HP877+HQ877</f>
        <v>0</v>
      </c>
      <c r="HS877" s="302">
        <f>SUM(CQ877:CV877)</f>
        <v>0</v>
      </c>
      <c r="HT877" s="302">
        <f>SUM(CW877:DB877)</f>
        <v>0</v>
      </c>
      <c r="HU877" s="346">
        <f>HS877+HT877</f>
        <v>0</v>
      </c>
      <c r="HV877" s="307">
        <f>SUM(DC877:DH877)</f>
        <v>0</v>
      </c>
      <c r="HW877" s="302">
        <f>SUM(DI877:DN877)</f>
        <v>0</v>
      </c>
      <c r="HX877" s="346">
        <f>HV877+HW877</f>
        <v>0</v>
      </c>
      <c r="HY877" s="350">
        <f>SUM(DO877:DT877)</f>
        <v>0</v>
      </c>
      <c r="HZ877" s="302">
        <f>SUM(DU877:DZ877)</f>
        <v>0</v>
      </c>
      <c r="IA877" s="346">
        <f>HY877+HZ877</f>
        <v>0</v>
      </c>
      <c r="IB877" s="302">
        <f>SUM(EA877:EF877)</f>
        <v>0</v>
      </c>
      <c r="IC877" s="302">
        <f>SUM(EG877:EL877)</f>
        <v>0</v>
      </c>
      <c r="ID877" s="346">
        <f>IB877+IC877</f>
        <v>0</v>
      </c>
      <c r="IE877" s="350">
        <f>SUM(EM877:ER877)</f>
        <v>0</v>
      </c>
      <c r="IF877" s="350">
        <f>SUM(ES877:EX877)</f>
        <v>0</v>
      </c>
      <c r="IG877" s="346">
        <f>IE877+IF877</f>
        <v>0</v>
      </c>
      <c r="IH877" s="350">
        <f>SUM(EY877:FD877)</f>
        <v>8.8817248469999992</v>
      </c>
      <c r="II877" s="350">
        <f>SUM(FE877:FJ877)</f>
        <v>14.765839085000001</v>
      </c>
      <c r="IJ877" s="346">
        <f>IH877+II877</f>
        <v>23.647563932000001</v>
      </c>
      <c r="IK877" s="350">
        <f>SUM(FK877:FP877)</f>
        <v>6.1240687980000006</v>
      </c>
      <c r="IL877" s="350">
        <f t="shared" si="1411"/>
        <v>12.512246874999999</v>
      </c>
      <c r="IM877" s="346">
        <f t="shared" si="1430"/>
        <v>18.636315672999999</v>
      </c>
      <c r="IN877" s="350">
        <f t="shared" si="1389"/>
        <v>14.616432334999999</v>
      </c>
      <c r="IO877" s="350">
        <f t="shared" si="1390"/>
        <v>16.762785714</v>
      </c>
      <c r="IP877" s="346">
        <f t="shared" si="1294"/>
        <v>31.379218048999999</v>
      </c>
      <c r="IQ877" s="350">
        <f t="shared" si="1391"/>
        <v>18.040434289</v>
      </c>
      <c r="IR877" s="350">
        <f t="shared" si="1392"/>
        <v>17.756417763999998</v>
      </c>
      <c r="IS877" s="346">
        <f t="shared" si="1410"/>
        <v>35.796852052999995</v>
      </c>
      <c r="IT877" s="350">
        <f t="shared" si="1412"/>
        <v>17.730298932</v>
      </c>
      <c r="IU877" s="350">
        <f t="shared" si="1413"/>
        <v>17.385505002999999</v>
      </c>
      <c r="IV877" s="346">
        <f t="shared" si="1409"/>
        <v>35.115803935000002</v>
      </c>
      <c r="IW877" s="350">
        <f t="shared" si="1428"/>
        <v>17.294035967999999</v>
      </c>
      <c r="IX877" s="350">
        <f t="shared" si="1426"/>
        <v>18.675641219999999</v>
      </c>
      <c r="IY877" s="346">
        <f>FISC!AJ1194</f>
        <v>35.969677187999999</v>
      </c>
      <c r="IZ877" s="350">
        <f>JB877*0.5</f>
        <v>16.984838593999999</v>
      </c>
      <c r="JA877" s="302">
        <f t="shared" ref="JA877:JA889" si="1433">JB877-IZ877</f>
        <v>16.984838593999999</v>
      </c>
      <c r="JB877" s="346">
        <f>FISC!AK1194</f>
        <v>33.969677187999999</v>
      </c>
      <c r="JC877" s="350">
        <f>JE877*0.5</f>
        <v>16.251921522626819</v>
      </c>
      <c r="JD877" s="302">
        <f t="shared" ref="JD877:JD889" si="1434">JE877-JC877</f>
        <v>16.251921522626819</v>
      </c>
      <c r="JE877" s="346">
        <f>FISC!AL1194</f>
        <v>32.503843045253639</v>
      </c>
      <c r="JF877" s="350">
        <f>JH877*0.5</f>
        <v>15.020140489999999</v>
      </c>
      <c r="JG877" s="302">
        <f t="shared" ref="JG877:JG889" si="1435">JH877-JF877</f>
        <v>15.020140489999999</v>
      </c>
      <c r="JH877" s="346">
        <f>FISC!AM1194</f>
        <v>30.040280979999999</v>
      </c>
      <c r="JI877" s="350">
        <f>JK877*0.48</f>
        <v>14.419334870399998</v>
      </c>
      <c r="JJ877" s="302">
        <f t="shared" ref="JJ877:JJ889" si="1436">JK877-JI877</f>
        <v>15.6209461096</v>
      </c>
      <c r="JK877" s="346">
        <f>FISC!AN1194</f>
        <v>30.040280979999999</v>
      </c>
      <c r="JL877" s="350">
        <f>JN877*0.48</f>
        <v>13.86791728128</v>
      </c>
      <c r="JM877" s="302">
        <f t="shared" ref="JM877:JM889" si="1437">JN877-JL877</f>
        <v>15.02357705472</v>
      </c>
      <c r="JN877" s="346">
        <f>FISC!AO1194</f>
        <v>28.891494336000001</v>
      </c>
      <c r="KI877" s="349"/>
      <c r="KJ877" s="350"/>
    </row>
    <row r="878" spans="1:296" hidden="1" outlineLevel="1">
      <c r="A878" s="302"/>
      <c r="D878" s="1635" t="s">
        <v>3677</v>
      </c>
      <c r="E878" s="346"/>
      <c r="F878" s="346"/>
      <c r="G878" s="346"/>
      <c r="H878" s="346"/>
      <c r="I878" s="346"/>
      <c r="J878" s="346"/>
      <c r="K878" s="346"/>
      <c r="L878" s="346"/>
      <c r="M878" s="346"/>
      <c r="N878" s="346"/>
      <c r="O878" s="346"/>
      <c r="P878" s="346"/>
      <c r="Q878" s="346"/>
      <c r="R878" s="346"/>
      <c r="S878" s="346"/>
      <c r="T878" s="346"/>
      <c r="U878" s="346"/>
      <c r="V878" s="346"/>
      <c r="W878" s="346"/>
      <c r="X878" s="346"/>
      <c r="Y878" s="346"/>
      <c r="Z878" s="346"/>
      <c r="AA878" s="346"/>
      <c r="AB878" s="346"/>
      <c r="AC878" s="346"/>
      <c r="AD878" s="346"/>
      <c r="AE878" s="346"/>
      <c r="AF878" s="346"/>
      <c r="AG878" s="346"/>
      <c r="AH878" s="346"/>
      <c r="AI878" s="346"/>
      <c r="AJ878" s="346"/>
      <c r="AK878" s="346"/>
      <c r="AL878" s="346"/>
      <c r="AM878" s="346"/>
      <c r="AN878" s="346"/>
      <c r="AO878" s="346"/>
      <c r="AP878" s="346"/>
      <c r="AQ878" s="346"/>
      <c r="AR878" s="346"/>
      <c r="AS878" s="346"/>
      <c r="AT878" s="346"/>
      <c r="AU878" s="346"/>
      <c r="AV878" s="346"/>
      <c r="AW878" s="346"/>
      <c r="AX878" s="346"/>
      <c r="AY878" s="346"/>
      <c r="AZ878" s="346"/>
      <c r="BA878" s="346"/>
      <c r="BB878" s="346"/>
      <c r="BC878" s="346"/>
      <c r="BD878" s="346"/>
      <c r="BE878" s="346"/>
      <c r="BF878" s="346"/>
      <c r="BG878" s="346"/>
      <c r="BH878" s="346"/>
      <c r="BI878" s="346"/>
      <c r="BJ878" s="346"/>
      <c r="BK878" s="346"/>
      <c r="BL878" s="346"/>
      <c r="BM878" s="346"/>
      <c r="BN878" s="346"/>
      <c r="BO878" s="346"/>
      <c r="BP878" s="346"/>
      <c r="BQ878" s="346"/>
      <c r="BR878" s="346"/>
      <c r="BS878" s="346"/>
      <c r="BT878" s="346"/>
      <c r="BU878" s="346"/>
      <c r="BV878" s="346"/>
      <c r="BW878" s="346"/>
      <c r="BX878" s="346"/>
      <c r="BY878" s="346"/>
      <c r="BZ878" s="346"/>
      <c r="CA878" s="346"/>
      <c r="CB878" s="346"/>
      <c r="CC878" s="346"/>
      <c r="CD878" s="352"/>
      <c r="CE878" s="346"/>
      <c r="CF878" s="346"/>
      <c r="CG878" s="346"/>
      <c r="CH878" s="346"/>
      <c r="CI878" s="346"/>
      <c r="CJ878" s="346"/>
      <c r="CK878" s="346"/>
      <c r="CL878" s="346"/>
      <c r="CM878" s="346"/>
      <c r="CN878" s="346"/>
      <c r="CO878" s="346"/>
      <c r="CP878" s="348"/>
      <c r="CQ878" s="346"/>
      <c r="CR878" s="346"/>
      <c r="CS878" s="346"/>
      <c r="CT878" s="346"/>
      <c r="CU878" s="346"/>
      <c r="CV878" s="346"/>
      <c r="CW878" s="346"/>
      <c r="CX878" s="346"/>
      <c r="CY878" s="346"/>
      <c r="CZ878" s="346"/>
      <c r="DA878" s="346"/>
      <c r="DB878" s="1479"/>
      <c r="DC878" s="346"/>
      <c r="DD878" s="346"/>
      <c r="DE878" s="346"/>
      <c r="DF878" s="346"/>
      <c r="DG878" s="346"/>
      <c r="DH878" s="346"/>
      <c r="DI878" s="346"/>
      <c r="DJ878" s="346"/>
      <c r="DK878" s="346"/>
      <c r="DL878" s="346"/>
      <c r="DM878" s="346"/>
      <c r="DN878" s="348"/>
      <c r="DO878" s="346"/>
      <c r="DP878" s="346"/>
      <c r="DQ878" s="346"/>
      <c r="DR878" s="346"/>
      <c r="DS878" s="346"/>
      <c r="DT878" s="346"/>
      <c r="DU878" s="346"/>
      <c r="DV878" s="346"/>
      <c r="DW878" s="346"/>
      <c r="DX878" s="346"/>
      <c r="DY878" s="346"/>
      <c r="DZ878" s="348"/>
      <c r="EA878" s="346"/>
      <c r="EB878" s="346"/>
      <c r="EC878" s="346"/>
      <c r="ED878" s="346"/>
      <c r="EE878" s="346"/>
      <c r="EF878" s="346"/>
      <c r="EG878" s="346"/>
      <c r="EH878" s="346"/>
      <c r="EI878" s="346"/>
      <c r="EJ878" s="346"/>
      <c r="EK878" s="346"/>
      <c r="EL878" s="348"/>
      <c r="EM878" s="346"/>
      <c r="EN878" s="346"/>
      <c r="EO878" s="346"/>
      <c r="EP878" s="346"/>
      <c r="EQ878" s="346"/>
      <c r="ER878" s="346"/>
      <c r="ES878" s="346"/>
      <c r="ET878" s="346"/>
      <c r="EU878" s="346"/>
      <c r="EV878" s="346"/>
      <c r="EW878" s="346"/>
      <c r="EX878" s="348"/>
      <c r="EY878" s="346"/>
      <c r="EZ878" s="346"/>
      <c r="FA878" s="346"/>
      <c r="FB878" s="346"/>
      <c r="FC878" s="346"/>
      <c r="FD878" s="346"/>
      <c r="FE878" s="346"/>
      <c r="FF878" s="346"/>
      <c r="FG878" s="346"/>
      <c r="FH878" s="346"/>
      <c r="FI878" s="346"/>
      <c r="FJ878" s="348"/>
      <c r="FK878" s="346"/>
      <c r="FL878" s="346"/>
      <c r="FM878" s="346"/>
      <c r="FN878" s="346"/>
      <c r="FO878" s="346"/>
      <c r="FP878" s="346"/>
      <c r="FQ878" s="346"/>
      <c r="FR878" s="346"/>
      <c r="FS878" s="346"/>
      <c r="FT878" s="346"/>
      <c r="FU878" s="346"/>
      <c r="FV878" s="346"/>
      <c r="FW878" s="346"/>
      <c r="FX878" s="346"/>
      <c r="FY878" s="346"/>
      <c r="FZ878" s="346"/>
      <c r="GA878" s="346"/>
      <c r="GB878" s="346"/>
      <c r="GC878" s="346"/>
      <c r="GD878" s="346"/>
      <c r="GE878" s="346"/>
      <c r="GF878" s="346"/>
      <c r="GG878" s="346"/>
      <c r="GH878" s="346"/>
      <c r="GI878" s="1897"/>
      <c r="GJ878" s="1897"/>
      <c r="GK878" s="1897"/>
      <c r="GL878" s="1897"/>
      <c r="GM878" s="1897"/>
      <c r="GN878" s="1897"/>
      <c r="GO878" s="1897"/>
      <c r="GP878" s="1897"/>
      <c r="GQ878" s="1897"/>
      <c r="GR878" s="1897"/>
      <c r="GS878" s="1897"/>
      <c r="GT878" s="1897"/>
      <c r="GU878" s="1897"/>
      <c r="GV878" s="1897"/>
      <c r="GW878" s="1897"/>
      <c r="GX878" s="1897"/>
      <c r="GY878" s="1897"/>
      <c r="GZ878" s="1897"/>
      <c r="HA878" s="1897"/>
      <c r="HB878" s="1897"/>
      <c r="HC878" s="1897"/>
      <c r="HD878" s="1897"/>
      <c r="HE878" s="1897"/>
      <c r="HF878" s="1897"/>
      <c r="HG878" s="1897">
        <v>55.139928963999999</v>
      </c>
      <c r="HH878" s="1897">
        <v>0</v>
      </c>
      <c r="HI878" s="1897">
        <v>0</v>
      </c>
      <c r="HJ878" s="1897">
        <v>0</v>
      </c>
      <c r="HK878" s="1897">
        <v>0</v>
      </c>
      <c r="HL878" s="1897">
        <v>0</v>
      </c>
      <c r="HM878" s="1897"/>
      <c r="HN878" s="349"/>
      <c r="HO878" s="358"/>
      <c r="HP878" s="307"/>
      <c r="HR878" s="346"/>
      <c r="HU878" s="346"/>
      <c r="HV878" s="307"/>
      <c r="HX878" s="346"/>
      <c r="HY878" s="350"/>
      <c r="IA878" s="346"/>
      <c r="ID878" s="346"/>
      <c r="IE878" s="350"/>
      <c r="IF878" s="350"/>
      <c r="IG878" s="346"/>
      <c r="IH878" s="350"/>
      <c r="II878" s="350"/>
      <c r="IJ878" s="346"/>
      <c r="IK878" s="350"/>
      <c r="IL878" s="350"/>
      <c r="IM878" s="346"/>
      <c r="IN878" s="350"/>
      <c r="IO878" s="350"/>
      <c r="IP878" s="346"/>
      <c r="IQ878" s="350"/>
      <c r="IR878" s="350"/>
      <c r="IS878" s="346"/>
      <c r="IT878" s="350"/>
      <c r="IU878" s="350"/>
      <c r="IV878" s="346"/>
      <c r="IW878" s="350">
        <f t="shared" si="1428"/>
        <v>55.139928963999999</v>
      </c>
      <c r="IX878" s="350">
        <f t="shared" si="1426"/>
        <v>0</v>
      </c>
      <c r="IY878" s="346">
        <f>FISC!AJ1195</f>
        <v>55.139928963999999</v>
      </c>
      <c r="IZ878" s="350"/>
      <c r="JB878" s="346"/>
      <c r="JC878" s="350"/>
      <c r="JE878" s="346"/>
      <c r="JF878" s="350"/>
      <c r="JH878" s="346"/>
      <c r="JI878" s="350"/>
      <c r="JK878" s="346"/>
      <c r="JL878" s="350"/>
      <c r="JN878" s="346"/>
      <c r="KI878" s="349"/>
      <c r="KJ878" s="350"/>
    </row>
    <row r="879" spans="1:296" hidden="1" outlineLevel="1">
      <c r="A879" s="302"/>
      <c r="D879" s="1635" t="s">
        <v>3224</v>
      </c>
      <c r="E879" s="346"/>
      <c r="F879" s="346"/>
      <c r="G879" s="346"/>
      <c r="H879" s="346"/>
      <c r="I879" s="346"/>
      <c r="J879" s="346"/>
      <c r="K879" s="346"/>
      <c r="L879" s="346"/>
      <c r="M879" s="346"/>
      <c r="N879" s="346"/>
      <c r="O879" s="346"/>
      <c r="P879" s="346"/>
      <c r="Q879" s="346"/>
      <c r="R879" s="346"/>
      <c r="S879" s="346"/>
      <c r="T879" s="346"/>
      <c r="U879" s="346"/>
      <c r="V879" s="346"/>
      <c r="W879" s="346"/>
      <c r="X879" s="346"/>
      <c r="Y879" s="346"/>
      <c r="Z879" s="346"/>
      <c r="AA879" s="346"/>
      <c r="AB879" s="346"/>
      <c r="AC879" s="346"/>
      <c r="AD879" s="346"/>
      <c r="AE879" s="346"/>
      <c r="AF879" s="346"/>
      <c r="AG879" s="346"/>
      <c r="AH879" s="346"/>
      <c r="AI879" s="346"/>
      <c r="AJ879" s="346"/>
      <c r="AK879" s="346"/>
      <c r="AL879" s="346"/>
      <c r="AM879" s="346"/>
      <c r="AN879" s="346"/>
      <c r="AO879" s="346"/>
      <c r="AP879" s="346"/>
      <c r="AQ879" s="346"/>
      <c r="AR879" s="346"/>
      <c r="AS879" s="346"/>
      <c r="AT879" s="346"/>
      <c r="AU879" s="346"/>
      <c r="AV879" s="346"/>
      <c r="AW879" s="346"/>
      <c r="AX879" s="346"/>
      <c r="AY879" s="346"/>
      <c r="AZ879" s="346"/>
      <c r="BA879" s="346"/>
      <c r="BB879" s="346"/>
      <c r="BC879" s="346"/>
      <c r="BD879" s="346"/>
      <c r="BE879" s="346"/>
      <c r="BF879" s="346"/>
      <c r="BG879" s="346"/>
      <c r="BH879" s="346"/>
      <c r="BI879" s="346"/>
      <c r="BJ879" s="346"/>
      <c r="BK879" s="346"/>
      <c r="BL879" s="346"/>
      <c r="BM879" s="346"/>
      <c r="BN879" s="346"/>
      <c r="BO879" s="346"/>
      <c r="BP879" s="346"/>
      <c r="BQ879" s="346"/>
      <c r="BR879" s="346"/>
      <c r="BS879" s="346"/>
      <c r="BT879" s="346"/>
      <c r="BU879" s="346"/>
      <c r="BV879" s="346"/>
      <c r="BW879" s="346"/>
      <c r="BX879" s="346"/>
      <c r="BY879" s="346"/>
      <c r="BZ879" s="346"/>
      <c r="CA879" s="346"/>
      <c r="CB879" s="346"/>
      <c r="CC879" s="346"/>
      <c r="CD879" s="352"/>
      <c r="CE879" s="346"/>
      <c r="CF879" s="346"/>
      <c r="CG879" s="346"/>
      <c r="CH879" s="346"/>
      <c r="CI879" s="346"/>
      <c r="CJ879" s="346"/>
      <c r="CK879" s="346"/>
      <c r="CL879" s="346"/>
      <c r="CM879" s="346"/>
      <c r="CN879" s="346"/>
      <c r="CO879" s="346"/>
      <c r="CP879" s="348"/>
      <c r="CQ879" s="346"/>
      <c r="CR879" s="346"/>
      <c r="CS879" s="346"/>
      <c r="CT879" s="346"/>
      <c r="CU879" s="346"/>
      <c r="CV879" s="346"/>
      <c r="CW879" s="346"/>
      <c r="CX879" s="346"/>
      <c r="CY879" s="346"/>
      <c r="CZ879" s="346"/>
      <c r="DA879" s="346"/>
      <c r="DB879" s="1479"/>
      <c r="DC879" s="346"/>
      <c r="DD879" s="346"/>
      <c r="DE879" s="346"/>
      <c r="DF879" s="346"/>
      <c r="DG879" s="346"/>
      <c r="DH879" s="346"/>
      <c r="DI879" s="346"/>
      <c r="DJ879" s="346"/>
      <c r="DK879" s="346"/>
      <c r="DL879" s="346"/>
      <c r="DM879" s="346"/>
      <c r="DN879" s="348"/>
      <c r="DO879" s="346"/>
      <c r="DP879" s="346"/>
      <c r="DQ879" s="346"/>
      <c r="DR879" s="346"/>
      <c r="DS879" s="346"/>
      <c r="DT879" s="346"/>
      <c r="DU879" s="346"/>
      <c r="DV879" s="346"/>
      <c r="DW879" s="346"/>
      <c r="DX879" s="346"/>
      <c r="DY879" s="346"/>
      <c r="DZ879" s="348"/>
      <c r="EA879" s="346"/>
      <c r="EB879" s="346"/>
      <c r="EC879" s="346"/>
      <c r="ED879" s="346"/>
      <c r="EE879" s="346"/>
      <c r="EF879" s="346"/>
      <c r="EG879" s="346"/>
      <c r="EH879" s="346"/>
      <c r="EI879" s="346"/>
      <c r="EJ879" s="346"/>
      <c r="EK879" s="346"/>
      <c r="EL879" s="348"/>
      <c r="EM879" s="346"/>
      <c r="EN879" s="346"/>
      <c r="EO879" s="346"/>
      <c r="EP879" s="346"/>
      <c r="EQ879" s="346"/>
      <c r="ER879" s="346"/>
      <c r="ES879" s="346"/>
      <c r="ET879" s="346"/>
      <c r="EU879" s="346"/>
      <c r="EV879" s="346"/>
      <c r="EW879" s="346"/>
      <c r="EX879" s="348"/>
      <c r="EY879" s="346"/>
      <c r="EZ879" s="346"/>
      <c r="FA879" s="346"/>
      <c r="FB879" s="346"/>
      <c r="FC879" s="346"/>
      <c r="FD879" s="346"/>
      <c r="FE879" s="346"/>
      <c r="FF879" s="346"/>
      <c r="FG879" s="346"/>
      <c r="FH879" s="346"/>
      <c r="FI879" s="346"/>
      <c r="FJ879" s="348"/>
      <c r="FK879" s="346"/>
      <c r="FL879" s="346"/>
      <c r="FM879" s="346"/>
      <c r="FN879" s="346"/>
      <c r="FO879" s="346"/>
      <c r="FP879" s="346"/>
      <c r="FQ879" s="346">
        <v>0</v>
      </c>
      <c r="FR879" s="346">
        <v>0</v>
      </c>
      <c r="FS879" s="346">
        <v>0</v>
      </c>
      <c r="FT879" s="346">
        <v>0</v>
      </c>
      <c r="FU879" s="346">
        <v>0</v>
      </c>
      <c r="FV879" s="346">
        <v>0</v>
      </c>
      <c r="FW879" s="346">
        <v>0</v>
      </c>
      <c r="FX879" s="346">
        <v>0</v>
      </c>
      <c r="FY879" s="346">
        <v>0</v>
      </c>
      <c r="FZ879" s="346">
        <v>0</v>
      </c>
      <c r="GA879" s="346">
        <v>0</v>
      </c>
      <c r="GB879" s="346">
        <v>0</v>
      </c>
      <c r="GC879" s="346">
        <v>0</v>
      </c>
      <c r="GD879" s="346">
        <v>0</v>
      </c>
      <c r="GE879" s="346">
        <v>0</v>
      </c>
      <c r="GF879" s="346">
        <v>0</v>
      </c>
      <c r="GG879" s="346">
        <v>0</v>
      </c>
      <c r="GH879" s="346">
        <v>0</v>
      </c>
      <c r="GI879" s="1897"/>
      <c r="GJ879" s="1897"/>
      <c r="GK879" s="1897"/>
      <c r="GL879" s="1897"/>
      <c r="GM879" s="1897"/>
      <c r="GN879" s="1897"/>
      <c r="GO879" s="1897"/>
      <c r="GP879" s="1897"/>
      <c r="GQ879" s="1897"/>
      <c r="GR879" s="1897"/>
      <c r="GS879" s="1897"/>
      <c r="GT879" s="1897"/>
      <c r="GU879" s="1897"/>
      <c r="GV879" s="1897"/>
      <c r="GW879" s="1897"/>
      <c r="GX879" s="1897"/>
      <c r="GY879" s="1897"/>
      <c r="GZ879" s="1897"/>
      <c r="HA879" s="1897"/>
      <c r="HB879" s="1897"/>
      <c r="HC879" s="1897"/>
      <c r="HD879" s="1897"/>
      <c r="HE879" s="1897"/>
      <c r="HF879" s="1897"/>
      <c r="HG879" s="1897"/>
      <c r="HH879" s="1897"/>
      <c r="HI879" s="1897"/>
      <c r="HJ879" s="1897"/>
      <c r="HK879" s="1897"/>
      <c r="HL879" s="1897"/>
      <c r="HM879" s="1897"/>
      <c r="HN879" s="349"/>
      <c r="HO879" s="1635" t="s">
        <v>3224</v>
      </c>
      <c r="HP879" s="307"/>
      <c r="HR879" s="346"/>
      <c r="HU879" s="346"/>
      <c r="HV879" s="307"/>
      <c r="HX879" s="346"/>
      <c r="HY879" s="350"/>
      <c r="IA879" s="346"/>
      <c r="ID879" s="346"/>
      <c r="IE879" s="350"/>
      <c r="IF879" s="350"/>
      <c r="IG879" s="346"/>
      <c r="IH879" s="350"/>
      <c r="II879" s="350"/>
      <c r="IJ879" s="346"/>
      <c r="IK879" s="350"/>
      <c r="IL879" s="350">
        <f t="shared" si="1411"/>
        <v>0</v>
      </c>
      <c r="IM879" s="346">
        <f t="shared" si="1430"/>
        <v>0</v>
      </c>
      <c r="IN879" s="350">
        <f t="shared" ref="IN879:IN911" si="1438">SUM(FW879:GB879)</f>
        <v>0</v>
      </c>
      <c r="IO879" s="350">
        <f t="shared" ref="IO879:IO911" si="1439">SUM(GC879:GH879)</f>
        <v>0</v>
      </c>
      <c r="IP879" s="346">
        <f t="shared" si="1294"/>
        <v>0</v>
      </c>
      <c r="IQ879" s="350">
        <f t="shared" ref="IQ879:IQ911" si="1440">SUM(GI879:GN879)</f>
        <v>0</v>
      </c>
      <c r="IR879" s="350">
        <f t="shared" ref="IR879:IR911" si="1441">SUM(GO879:GT879)</f>
        <v>0</v>
      </c>
      <c r="IS879" s="346">
        <f t="shared" si="1410"/>
        <v>0</v>
      </c>
      <c r="IT879" s="350">
        <f t="shared" si="1412"/>
        <v>0</v>
      </c>
      <c r="IU879" s="350">
        <f t="shared" si="1413"/>
        <v>0</v>
      </c>
      <c r="IV879" s="346">
        <f t="shared" si="1409"/>
        <v>0</v>
      </c>
      <c r="IW879" s="350">
        <f t="shared" si="1428"/>
        <v>0</v>
      </c>
      <c r="IX879" s="350">
        <f t="shared" si="1426"/>
        <v>0</v>
      </c>
      <c r="IY879" s="346">
        <f>FISC!AJ1198</f>
        <v>0</v>
      </c>
      <c r="IZ879" s="350">
        <f>JB879*0.48</f>
        <v>0</v>
      </c>
      <c r="JA879" s="302">
        <f t="shared" si="1433"/>
        <v>0</v>
      </c>
      <c r="JB879" s="346">
        <f>FISC!AK1198</f>
        <v>0</v>
      </c>
      <c r="JC879" s="350">
        <f>JE879*0.48</f>
        <v>0</v>
      </c>
      <c r="JD879" s="302">
        <f t="shared" si="1434"/>
        <v>0</v>
      </c>
      <c r="JE879" s="346">
        <f>FISC!AL1198</f>
        <v>0</v>
      </c>
      <c r="JF879" s="350">
        <f>JH879*0.48</f>
        <v>0</v>
      </c>
      <c r="JG879" s="302">
        <f t="shared" si="1435"/>
        <v>0</v>
      </c>
      <c r="JH879" s="346">
        <f>FISC!AM1198</f>
        <v>0</v>
      </c>
      <c r="JI879" s="350">
        <f>JK879*0.48</f>
        <v>0</v>
      </c>
      <c r="JJ879" s="302">
        <f t="shared" si="1436"/>
        <v>0</v>
      </c>
      <c r="JK879" s="346">
        <f>FISC!AN1198</f>
        <v>0</v>
      </c>
      <c r="JL879" s="350">
        <f>JN879*0.48</f>
        <v>0</v>
      </c>
      <c r="JM879" s="302">
        <f t="shared" si="1437"/>
        <v>0</v>
      </c>
      <c r="JN879" s="346">
        <f>FISC!AO1198</f>
        <v>0</v>
      </c>
      <c r="KI879" s="349"/>
      <c r="KJ879" s="350"/>
    </row>
    <row r="880" spans="1:296" hidden="1" outlineLevel="1">
      <c r="A880" s="302"/>
      <c r="D880" s="1637" t="s">
        <v>3138</v>
      </c>
      <c r="E880" s="346"/>
      <c r="F880" s="346"/>
      <c r="G880" s="346"/>
      <c r="H880" s="346"/>
      <c r="I880" s="346"/>
      <c r="J880" s="346"/>
      <c r="K880" s="346"/>
      <c r="L880" s="346"/>
      <c r="M880" s="346"/>
      <c r="N880" s="346"/>
      <c r="O880" s="346"/>
      <c r="P880" s="346"/>
      <c r="Q880" s="346"/>
      <c r="R880" s="346"/>
      <c r="S880" s="346"/>
      <c r="T880" s="346"/>
      <c r="U880" s="346"/>
      <c r="V880" s="346"/>
      <c r="W880" s="346"/>
      <c r="X880" s="346"/>
      <c r="Y880" s="346"/>
      <c r="Z880" s="346"/>
      <c r="AA880" s="346"/>
      <c r="AB880" s="346"/>
      <c r="AC880" s="346"/>
      <c r="AD880" s="346"/>
      <c r="AE880" s="346"/>
      <c r="AF880" s="346"/>
      <c r="AG880" s="346"/>
      <c r="AH880" s="346"/>
      <c r="AI880" s="346"/>
      <c r="AJ880" s="346"/>
      <c r="AK880" s="346"/>
      <c r="AL880" s="346"/>
      <c r="AM880" s="346"/>
      <c r="AN880" s="346"/>
      <c r="AO880" s="346"/>
      <c r="AP880" s="346"/>
      <c r="AQ880" s="346"/>
      <c r="AR880" s="346"/>
      <c r="AS880" s="346"/>
      <c r="AT880" s="346"/>
      <c r="AU880" s="346"/>
      <c r="AV880" s="346"/>
      <c r="AW880" s="346"/>
      <c r="AX880" s="346"/>
      <c r="AY880" s="346"/>
      <c r="AZ880" s="346"/>
      <c r="BA880" s="346"/>
      <c r="BB880" s="346"/>
      <c r="BC880" s="346"/>
      <c r="BD880" s="346"/>
      <c r="BE880" s="346"/>
      <c r="BF880" s="346"/>
      <c r="BG880" s="346"/>
      <c r="BH880" s="346"/>
      <c r="BI880" s="346"/>
      <c r="BJ880" s="346"/>
      <c r="BK880" s="346"/>
      <c r="BL880" s="346"/>
      <c r="BM880" s="346"/>
      <c r="BN880" s="346"/>
      <c r="BO880" s="346"/>
      <c r="BP880" s="346"/>
      <c r="BQ880" s="346"/>
      <c r="BR880" s="346"/>
      <c r="BS880" s="346"/>
      <c r="BT880" s="346"/>
      <c r="BU880" s="346"/>
      <c r="BV880" s="346"/>
      <c r="BW880" s="346"/>
      <c r="BX880" s="346"/>
      <c r="BY880" s="346"/>
      <c r="BZ880" s="346"/>
      <c r="CA880" s="346"/>
      <c r="CB880" s="346"/>
      <c r="CC880" s="346"/>
      <c r="CD880" s="352"/>
      <c r="CE880" s="346"/>
      <c r="CF880" s="346"/>
      <c r="CG880" s="346"/>
      <c r="CH880" s="346"/>
      <c r="CI880" s="346"/>
      <c r="CJ880" s="346"/>
      <c r="CK880" s="346"/>
      <c r="CL880" s="346"/>
      <c r="CM880" s="346"/>
      <c r="CN880" s="346"/>
      <c r="CO880" s="346"/>
      <c r="CP880" s="348"/>
      <c r="CQ880" s="346"/>
      <c r="CR880" s="346"/>
      <c r="CS880" s="346"/>
      <c r="CT880" s="346"/>
      <c r="CU880" s="346"/>
      <c r="CV880" s="346"/>
      <c r="CW880" s="346"/>
      <c r="CX880" s="346"/>
      <c r="CY880" s="346"/>
      <c r="CZ880" s="346"/>
      <c r="DA880" s="346"/>
      <c r="DB880" s="1479"/>
      <c r="DC880" s="346"/>
      <c r="DD880" s="346"/>
      <c r="DE880" s="346"/>
      <c r="DF880" s="346"/>
      <c r="DG880" s="346"/>
      <c r="DH880" s="346"/>
      <c r="DI880" s="346"/>
      <c r="DJ880" s="346"/>
      <c r="DK880" s="346"/>
      <c r="DL880" s="346"/>
      <c r="DM880" s="346"/>
      <c r="DN880" s="348"/>
      <c r="DO880" s="346"/>
      <c r="DP880" s="346"/>
      <c r="DQ880" s="346"/>
      <c r="DR880" s="346"/>
      <c r="DS880" s="346"/>
      <c r="DT880" s="346"/>
      <c r="DU880" s="346"/>
      <c r="DV880" s="346"/>
      <c r="DW880" s="346"/>
      <c r="DX880" s="346"/>
      <c r="DY880" s="346"/>
      <c r="DZ880" s="348"/>
      <c r="EA880" s="346"/>
      <c r="EB880" s="346"/>
      <c r="EC880" s="346"/>
      <c r="ED880" s="346"/>
      <c r="EE880" s="346"/>
      <c r="EF880" s="346"/>
      <c r="EG880" s="346"/>
      <c r="EH880" s="346"/>
      <c r="EI880" s="346"/>
      <c r="EJ880" s="346"/>
      <c r="EK880" s="346"/>
      <c r="EL880" s="348"/>
      <c r="EM880" s="346"/>
      <c r="EN880" s="346"/>
      <c r="EO880" s="346"/>
      <c r="EP880" s="346"/>
      <c r="EQ880" s="346"/>
      <c r="ER880" s="346"/>
      <c r="ES880" s="346"/>
      <c r="ET880" s="346"/>
      <c r="EU880" s="346"/>
      <c r="EV880" s="346"/>
      <c r="EW880" s="346"/>
      <c r="EX880" s="348"/>
      <c r="EY880" s="346"/>
      <c r="EZ880" s="346"/>
      <c r="FA880" s="346"/>
      <c r="FB880" s="346"/>
      <c r="FC880" s="346"/>
      <c r="FD880" s="346"/>
      <c r="FE880" s="346"/>
      <c r="FF880" s="346"/>
      <c r="FG880" s="346"/>
      <c r="FH880" s="346"/>
      <c r="FI880" s="346"/>
      <c r="FJ880" s="348"/>
      <c r="FK880" s="346"/>
      <c r="FL880" s="346"/>
      <c r="FM880" s="346"/>
      <c r="FN880" s="346"/>
      <c r="FO880" s="346"/>
      <c r="FP880" s="346"/>
      <c r="FQ880" s="346">
        <v>0</v>
      </c>
      <c r="FR880" s="346">
        <v>0</v>
      </c>
      <c r="FS880" s="346">
        <v>0</v>
      </c>
      <c r="FT880" s="346">
        <v>0</v>
      </c>
      <c r="FU880" s="346">
        <v>0</v>
      </c>
      <c r="FV880" s="346">
        <v>0</v>
      </c>
      <c r="FW880" s="346">
        <v>0</v>
      </c>
      <c r="FX880" s="346">
        <v>0</v>
      </c>
      <c r="FY880" s="346">
        <v>0</v>
      </c>
      <c r="FZ880" s="346">
        <v>0</v>
      </c>
      <c r="GA880" s="346">
        <v>0</v>
      </c>
      <c r="GB880" s="346">
        <v>0</v>
      </c>
      <c r="GC880" s="346">
        <v>0</v>
      </c>
      <c r="GD880" s="346">
        <v>0</v>
      </c>
      <c r="GE880" s="346">
        <v>0</v>
      </c>
      <c r="GF880" s="346">
        <v>0</v>
      </c>
      <c r="GG880" s="346">
        <v>0</v>
      </c>
      <c r="GH880" s="346">
        <v>0</v>
      </c>
      <c r="GI880" s="1897"/>
      <c r="GJ880" s="1897"/>
      <c r="GK880" s="1897"/>
      <c r="GL880" s="1897"/>
      <c r="GM880" s="1897"/>
      <c r="GN880" s="1897"/>
      <c r="GO880" s="1897"/>
      <c r="GP880" s="1897"/>
      <c r="GQ880" s="1897"/>
      <c r="GR880" s="1897"/>
      <c r="GS880" s="1897"/>
      <c r="GT880" s="1897"/>
      <c r="GU880" s="1897"/>
      <c r="GV880" s="1897"/>
      <c r="GW880" s="1897"/>
      <c r="GX880" s="1897"/>
      <c r="GY880" s="1897"/>
      <c r="GZ880" s="1897"/>
      <c r="HA880" s="1897"/>
      <c r="HB880" s="1897"/>
      <c r="HC880" s="1897"/>
      <c r="HD880" s="1897"/>
      <c r="HE880" s="1897"/>
      <c r="HF880" s="1897"/>
      <c r="HG880" s="1897"/>
      <c r="HH880" s="1897"/>
      <c r="HI880" s="1897"/>
      <c r="HJ880" s="1897"/>
      <c r="HK880" s="1897"/>
      <c r="HL880" s="1897"/>
      <c r="HM880" s="1897"/>
      <c r="HN880" s="349"/>
      <c r="HO880" s="1637" t="s">
        <v>3138</v>
      </c>
      <c r="HP880" s="307"/>
      <c r="HR880" s="346"/>
      <c r="HU880" s="346"/>
      <c r="HV880" s="307"/>
      <c r="HX880" s="346"/>
      <c r="HY880" s="350"/>
      <c r="IA880" s="346"/>
      <c r="ID880" s="346"/>
      <c r="IE880" s="350"/>
      <c r="IF880" s="350"/>
      <c r="IG880" s="346"/>
      <c r="IH880" s="350"/>
      <c r="II880" s="350"/>
      <c r="IJ880" s="346"/>
      <c r="IK880" s="350"/>
      <c r="IL880" s="350">
        <f t="shared" si="1411"/>
        <v>0</v>
      </c>
      <c r="IM880" s="346">
        <f t="shared" si="1430"/>
        <v>0</v>
      </c>
      <c r="IN880" s="350">
        <f t="shared" si="1438"/>
        <v>0</v>
      </c>
      <c r="IO880" s="350">
        <f t="shared" si="1439"/>
        <v>0</v>
      </c>
      <c r="IP880" s="346">
        <f t="shared" si="1294"/>
        <v>0</v>
      </c>
      <c r="IQ880" s="350">
        <f t="shared" si="1440"/>
        <v>0</v>
      </c>
      <c r="IR880" s="350">
        <f t="shared" si="1441"/>
        <v>0</v>
      </c>
      <c r="IS880" s="346">
        <f t="shared" si="1410"/>
        <v>0</v>
      </c>
      <c r="IT880" s="350">
        <f t="shared" si="1412"/>
        <v>0</v>
      </c>
      <c r="IU880" s="350">
        <f t="shared" si="1413"/>
        <v>0</v>
      </c>
      <c r="IV880" s="346">
        <f t="shared" si="1409"/>
        <v>0</v>
      </c>
      <c r="IW880" s="350">
        <f t="shared" si="1428"/>
        <v>0</v>
      </c>
      <c r="IX880" s="350">
        <f t="shared" si="1426"/>
        <v>0</v>
      </c>
      <c r="IY880" s="346">
        <f>FISC!AJ1199</f>
        <v>0</v>
      </c>
      <c r="IZ880" s="350">
        <f>JB880*0.48</f>
        <v>0</v>
      </c>
      <c r="JA880" s="302">
        <f t="shared" si="1433"/>
        <v>0</v>
      </c>
      <c r="JB880" s="346">
        <f>FISC!AK1199</f>
        <v>0</v>
      </c>
      <c r="JC880" s="350">
        <f>JE880*0.48</f>
        <v>0</v>
      </c>
      <c r="JD880" s="302">
        <f t="shared" si="1434"/>
        <v>0</v>
      </c>
      <c r="JE880" s="346">
        <f>FISC!AL1199</f>
        <v>0</v>
      </c>
      <c r="JF880" s="350">
        <f>JH880*0.48</f>
        <v>0</v>
      </c>
      <c r="JG880" s="302">
        <f t="shared" si="1435"/>
        <v>0</v>
      </c>
      <c r="JH880" s="346">
        <f>FISC!AM1199</f>
        <v>0</v>
      </c>
      <c r="JI880" s="350">
        <f>JK880*0.48</f>
        <v>0</v>
      </c>
      <c r="JJ880" s="302">
        <f t="shared" si="1436"/>
        <v>0</v>
      </c>
      <c r="JK880" s="346">
        <f>FISC!AN1199</f>
        <v>0</v>
      </c>
      <c r="JL880" s="350">
        <f>JN880*0.48</f>
        <v>0</v>
      </c>
      <c r="JM880" s="302">
        <f t="shared" si="1437"/>
        <v>0</v>
      </c>
      <c r="JN880" s="346">
        <f>FISC!AO1199</f>
        <v>0</v>
      </c>
      <c r="KI880" s="349"/>
      <c r="KJ880" s="350"/>
    </row>
    <row r="881" spans="1:302" hidden="1" outlineLevel="1">
      <c r="A881" s="302"/>
      <c r="B881" s="117" t="s">
        <v>361</v>
      </c>
      <c r="D881" s="1637" t="s">
        <v>3137</v>
      </c>
      <c r="E881" s="346"/>
      <c r="F881" s="346"/>
      <c r="G881" s="346"/>
      <c r="H881" s="346"/>
      <c r="I881" s="346"/>
      <c r="J881" s="346"/>
      <c r="K881" s="346"/>
      <c r="L881" s="346"/>
      <c r="M881" s="346"/>
      <c r="N881" s="346"/>
      <c r="O881" s="346"/>
      <c r="P881" s="346"/>
      <c r="Q881" s="346"/>
      <c r="R881" s="346"/>
      <c r="S881" s="346"/>
      <c r="T881" s="346"/>
      <c r="U881" s="346"/>
      <c r="V881" s="346"/>
      <c r="W881" s="346"/>
      <c r="X881" s="346"/>
      <c r="Y881" s="346"/>
      <c r="Z881" s="346"/>
      <c r="AA881" s="346"/>
      <c r="AB881" s="346"/>
      <c r="AC881" s="346"/>
      <c r="AD881" s="346"/>
      <c r="AE881" s="346"/>
      <c r="AF881" s="346"/>
      <c r="AG881" s="346"/>
      <c r="AH881" s="346"/>
      <c r="AI881" s="346"/>
      <c r="AJ881" s="346"/>
      <c r="AK881" s="346"/>
      <c r="AL881" s="346"/>
      <c r="AM881" s="346"/>
      <c r="AN881" s="346"/>
      <c r="AO881" s="346"/>
      <c r="AP881" s="346"/>
      <c r="AQ881" s="346"/>
      <c r="AR881" s="346"/>
      <c r="AS881" s="346"/>
      <c r="AT881" s="346"/>
      <c r="AU881" s="346"/>
      <c r="AV881" s="346"/>
      <c r="AW881" s="346"/>
      <c r="AX881" s="346"/>
      <c r="AY881" s="346"/>
      <c r="AZ881" s="346"/>
      <c r="BA881" s="346"/>
      <c r="BB881" s="346"/>
      <c r="BC881" s="346"/>
      <c r="BD881" s="346"/>
      <c r="BE881" s="346"/>
      <c r="BF881" s="346"/>
      <c r="BG881" s="346"/>
      <c r="BH881" s="346"/>
      <c r="BI881" s="346"/>
      <c r="BJ881" s="346"/>
      <c r="BK881" s="346"/>
      <c r="BL881" s="346"/>
      <c r="BM881" s="346"/>
      <c r="BN881" s="346"/>
      <c r="BO881" s="346"/>
      <c r="BP881" s="346"/>
      <c r="BQ881" s="346"/>
      <c r="BR881" s="346"/>
      <c r="BS881" s="346"/>
      <c r="BT881" s="346"/>
      <c r="BU881" s="346"/>
      <c r="BV881" s="346"/>
      <c r="BW881" s="346"/>
      <c r="BX881" s="346"/>
      <c r="BY881" s="346"/>
      <c r="BZ881" s="346"/>
      <c r="CA881" s="346"/>
      <c r="CB881" s="346"/>
      <c r="CC881" s="346"/>
      <c r="CD881" s="352"/>
      <c r="CE881" s="346">
        <v>0</v>
      </c>
      <c r="CF881" s="346">
        <v>0</v>
      </c>
      <c r="CG881" s="346">
        <v>0</v>
      </c>
      <c r="CH881" s="346">
        <v>0</v>
      </c>
      <c r="CI881" s="346">
        <v>0</v>
      </c>
      <c r="CJ881" s="346">
        <v>0</v>
      </c>
      <c r="CK881" s="346">
        <v>0</v>
      </c>
      <c r="CL881" s="346">
        <v>0</v>
      </c>
      <c r="CM881" s="346">
        <v>0</v>
      </c>
      <c r="CN881" s="346">
        <v>0</v>
      </c>
      <c r="CO881" s="346">
        <v>0</v>
      </c>
      <c r="CP881" s="348">
        <v>0</v>
      </c>
      <c r="CQ881" s="346"/>
      <c r="CR881" s="346"/>
      <c r="CS881" s="346"/>
      <c r="CT881" s="346"/>
      <c r="CU881" s="346"/>
      <c r="CV881" s="346"/>
      <c r="CW881" s="346"/>
      <c r="CX881" s="346"/>
      <c r="CY881" s="346"/>
      <c r="CZ881" s="346"/>
      <c r="DA881" s="346"/>
      <c r="DB881" s="1479"/>
      <c r="DC881" s="346"/>
      <c r="DD881" s="346"/>
      <c r="DE881" s="346"/>
      <c r="DF881" s="346"/>
      <c r="DG881" s="346"/>
      <c r="DH881" s="346"/>
      <c r="DI881" s="346"/>
      <c r="DJ881" s="346"/>
      <c r="DK881" s="346"/>
      <c r="DL881" s="346"/>
      <c r="DM881" s="346"/>
      <c r="DN881" s="348"/>
      <c r="DO881" s="346"/>
      <c r="DP881" s="346"/>
      <c r="DQ881" s="346"/>
      <c r="DR881" s="346"/>
      <c r="DS881" s="346"/>
      <c r="DT881" s="346"/>
      <c r="DU881" s="346"/>
      <c r="DV881" s="346"/>
      <c r="DW881" s="346"/>
      <c r="DX881" s="346"/>
      <c r="DY881" s="346"/>
      <c r="DZ881" s="348"/>
      <c r="EA881" s="346"/>
      <c r="EB881" s="346"/>
      <c r="EC881" s="346"/>
      <c r="ED881" s="346"/>
      <c r="EE881" s="346"/>
      <c r="EF881" s="346"/>
      <c r="EG881" s="346"/>
      <c r="EH881" s="346"/>
      <c r="EI881" s="346"/>
      <c r="EJ881" s="346"/>
      <c r="EK881" s="346"/>
      <c r="EL881" s="348"/>
      <c r="EM881" s="346"/>
      <c r="EN881" s="346"/>
      <c r="EO881" s="346"/>
      <c r="EP881" s="346"/>
      <c r="EQ881" s="346"/>
      <c r="ER881" s="346"/>
      <c r="ES881" s="346"/>
      <c r="ET881" s="346"/>
      <c r="EU881" s="346"/>
      <c r="EV881" s="346"/>
      <c r="EW881" s="346"/>
      <c r="EX881" s="348"/>
      <c r="EY881" s="346">
        <v>0</v>
      </c>
      <c r="EZ881" s="346">
        <v>0</v>
      </c>
      <c r="FA881" s="346">
        <v>0</v>
      </c>
      <c r="FB881" s="346">
        <v>0</v>
      </c>
      <c r="FC881" s="346">
        <v>0</v>
      </c>
      <c r="FD881" s="346">
        <v>0</v>
      </c>
      <c r="FE881" s="346">
        <v>0</v>
      </c>
      <c r="FF881" s="346">
        <v>0</v>
      </c>
      <c r="FG881" s="346">
        <v>0</v>
      </c>
      <c r="FH881" s="346">
        <v>0</v>
      </c>
      <c r="FI881" s="346">
        <v>0</v>
      </c>
      <c r="FJ881" s="348">
        <v>0</v>
      </c>
      <c r="FK881" s="346">
        <v>0</v>
      </c>
      <c r="FL881" s="346">
        <v>0</v>
      </c>
      <c r="FM881" s="346">
        <v>44.523780619999997</v>
      </c>
      <c r="FN881" s="346">
        <v>0</v>
      </c>
      <c r="FO881" s="346">
        <v>0</v>
      </c>
      <c r="FP881" s="346">
        <v>5.2960107179999998</v>
      </c>
      <c r="FQ881" s="346">
        <v>5</v>
      </c>
      <c r="FR881" s="346">
        <v>0</v>
      </c>
      <c r="FS881" s="346">
        <v>3.5096266109999998</v>
      </c>
      <c r="FT881" s="346">
        <v>0</v>
      </c>
      <c r="FU881" s="346">
        <v>0</v>
      </c>
      <c r="FV881" s="346">
        <v>30.646021316999999</v>
      </c>
      <c r="FW881" s="346">
        <v>0</v>
      </c>
      <c r="FX881" s="346">
        <v>0</v>
      </c>
      <c r="FY881" s="346">
        <v>0</v>
      </c>
      <c r="FZ881" s="346">
        <v>0</v>
      </c>
      <c r="GA881" s="346">
        <v>0</v>
      </c>
      <c r="GB881" s="346">
        <v>0</v>
      </c>
      <c r="GC881" s="346">
        <v>0</v>
      </c>
      <c r="GD881" s="346">
        <v>0</v>
      </c>
      <c r="GE881" s="346">
        <v>1.1257401499999999</v>
      </c>
      <c r="GF881" s="346">
        <v>15.833949724</v>
      </c>
      <c r="GG881" s="346">
        <v>0</v>
      </c>
      <c r="GH881" s="346">
        <v>46.14361169</v>
      </c>
      <c r="GI881" s="1897">
        <v>6.0993216676299999</v>
      </c>
      <c r="GJ881" s="1897">
        <v>0</v>
      </c>
      <c r="GK881" s="1897">
        <v>50.186662006339994</v>
      </c>
      <c r="GL881" s="1897">
        <v>0</v>
      </c>
      <c r="GM881" s="1897">
        <v>0</v>
      </c>
      <c r="GN881" s="1897">
        <v>0</v>
      </c>
      <c r="GO881" s="1897">
        <v>0</v>
      </c>
      <c r="GP881" s="1897">
        <v>0</v>
      </c>
      <c r="GQ881" s="1897">
        <v>0</v>
      </c>
      <c r="GR881" s="1897">
        <v>0</v>
      </c>
      <c r="GS881" s="1897">
        <v>0</v>
      </c>
      <c r="GT881" s="1897">
        <v>0</v>
      </c>
      <c r="GU881" s="1897">
        <v>0</v>
      </c>
      <c r="GV881" s="1897">
        <v>0</v>
      </c>
      <c r="GW881" s="1897">
        <v>0</v>
      </c>
      <c r="GX881" s="1897">
        <v>3.1</v>
      </c>
      <c r="GY881" s="1897">
        <v>8.5</v>
      </c>
      <c r="GZ881" s="1897">
        <v>8.6</v>
      </c>
      <c r="HA881" s="1897">
        <v>4</v>
      </c>
      <c r="HB881" s="1897">
        <v>13.7</v>
      </c>
      <c r="HC881" s="1897">
        <v>6</v>
      </c>
      <c r="HD881" s="1897">
        <v>1</v>
      </c>
      <c r="HE881" s="1897">
        <v>1</v>
      </c>
      <c r="HF881" s="1897">
        <v>0.4</v>
      </c>
      <c r="HG881" s="1897">
        <v>0</v>
      </c>
      <c r="HH881" s="1897">
        <v>0</v>
      </c>
      <c r="HI881" s="1897">
        <v>33.791349979418996</v>
      </c>
      <c r="HJ881" s="1897">
        <v>4.2459122842379999</v>
      </c>
      <c r="HK881" s="1897">
        <v>0</v>
      </c>
      <c r="HL881" s="1897">
        <v>0</v>
      </c>
      <c r="HM881" s="1897"/>
      <c r="HN881" s="349"/>
      <c r="HO881" s="1637" t="s">
        <v>3137</v>
      </c>
      <c r="HP881" s="307">
        <f>SUM(CE881:CJ881)</f>
        <v>0</v>
      </c>
      <c r="HQ881" s="302">
        <f>SUM(CK881:CP881)</f>
        <v>0</v>
      </c>
      <c r="HR881" s="346">
        <f>HP881+HQ881</f>
        <v>0</v>
      </c>
      <c r="HS881" s="302">
        <f>SUM(CQ881:CV881)</f>
        <v>0</v>
      </c>
      <c r="HT881" s="302">
        <f>SUM(CW881:DB881)</f>
        <v>0</v>
      </c>
      <c r="HU881" s="346">
        <f>HS881+HT881</f>
        <v>0</v>
      </c>
      <c r="HV881" s="307">
        <f>SUM(DC881:DH881)</f>
        <v>0</v>
      </c>
      <c r="HW881" s="302">
        <f>SUM(DI881:DN881)</f>
        <v>0</v>
      </c>
      <c r="HX881" s="346">
        <f>HV881+HW881</f>
        <v>0</v>
      </c>
      <c r="HY881" s="350">
        <f>SUM(DO881:DT881)</f>
        <v>0</v>
      </c>
      <c r="HZ881" s="302">
        <f>SUM(DU881:DZ881)</f>
        <v>0</v>
      </c>
      <c r="IA881" s="346">
        <f>HY881+HZ881</f>
        <v>0</v>
      </c>
      <c r="IB881" s="302">
        <f>SUM(EA881:EF881)</f>
        <v>0</v>
      </c>
      <c r="IC881" s="302">
        <f>SUM(EG881:EL881)</f>
        <v>0</v>
      </c>
      <c r="ID881" s="346">
        <f>IB881+IC881</f>
        <v>0</v>
      </c>
      <c r="IE881" s="350">
        <f>SUM(EM881:ER881)</f>
        <v>0</v>
      </c>
      <c r="IF881" s="350">
        <f>SUM(ES881:EX881)</f>
        <v>0</v>
      </c>
      <c r="IG881" s="346">
        <f>IE881+IF881</f>
        <v>0</v>
      </c>
      <c r="IH881" s="350">
        <f>SUM(EY881:FD881)</f>
        <v>0</v>
      </c>
      <c r="II881" s="350">
        <f>SUM(FE881:FJ881)</f>
        <v>0</v>
      </c>
      <c r="IJ881" s="346">
        <f>IH881+II881</f>
        <v>0</v>
      </c>
      <c r="IK881" s="350">
        <f>SUM(FK881:FP881)</f>
        <v>49.819791337999995</v>
      </c>
      <c r="IL881" s="350">
        <f t="shared" si="1411"/>
        <v>39.155647928</v>
      </c>
      <c r="IM881" s="346">
        <f t="shared" si="1430"/>
        <v>88.975439265999995</v>
      </c>
      <c r="IN881" s="350">
        <f t="shared" si="1438"/>
        <v>0</v>
      </c>
      <c r="IO881" s="350">
        <f t="shared" si="1439"/>
        <v>63.103301563999999</v>
      </c>
      <c r="IP881" s="346">
        <f t="shared" si="1294"/>
        <v>63.103301563999999</v>
      </c>
      <c r="IQ881" s="350">
        <f t="shared" si="1440"/>
        <v>56.285983673969994</v>
      </c>
      <c r="IR881" s="350">
        <f t="shared" si="1441"/>
        <v>0</v>
      </c>
      <c r="IS881" s="346">
        <f t="shared" si="1410"/>
        <v>56.285983673969994</v>
      </c>
      <c r="IT881" s="350">
        <f t="shared" si="1412"/>
        <v>20.2</v>
      </c>
      <c r="IU881" s="350">
        <f t="shared" si="1413"/>
        <v>26.099999999999998</v>
      </c>
      <c r="IV881" s="346">
        <f t="shared" si="1409"/>
        <v>46.3</v>
      </c>
      <c r="IW881" s="350">
        <f t="shared" si="1428"/>
        <v>38.037262263656999</v>
      </c>
      <c r="IX881" s="350">
        <f t="shared" si="1426"/>
        <v>5.6289984947146294</v>
      </c>
      <c r="IY881" s="346">
        <f>FISC!AJ1200</f>
        <v>43.666260758371628</v>
      </c>
      <c r="IZ881" s="350">
        <f>IZ937</f>
        <v>12.396420377995154</v>
      </c>
      <c r="JA881" s="302">
        <f t="shared" si="1433"/>
        <v>12.396420377995154</v>
      </c>
      <c r="JB881" s="346">
        <f>FISC!AK1200</f>
        <v>24.792840755990309</v>
      </c>
      <c r="JC881" s="350">
        <f>JE881*0.48</f>
        <v>0</v>
      </c>
      <c r="JD881" s="302">
        <f t="shared" si="1434"/>
        <v>0</v>
      </c>
      <c r="JE881" s="346">
        <f>FISC!AL1200</f>
        <v>0</v>
      </c>
      <c r="JF881" s="350">
        <f>JH881*0.48</f>
        <v>0</v>
      </c>
      <c r="JG881" s="302">
        <f t="shared" si="1435"/>
        <v>0</v>
      </c>
      <c r="JH881" s="346">
        <f>FISC!AM1200</f>
        <v>0</v>
      </c>
      <c r="JI881" s="350">
        <f>JK881*0.48</f>
        <v>0</v>
      </c>
      <c r="JJ881" s="302">
        <f t="shared" si="1436"/>
        <v>0</v>
      </c>
      <c r="JK881" s="346">
        <f>FISC!AN1200</f>
        <v>0</v>
      </c>
      <c r="JL881" s="350">
        <f>JN881*0.48</f>
        <v>0</v>
      </c>
      <c r="JM881" s="302">
        <f t="shared" si="1437"/>
        <v>0</v>
      </c>
      <c r="JN881" s="346">
        <f>FISC!AO1200</f>
        <v>0</v>
      </c>
      <c r="KI881" s="349"/>
      <c r="KJ881" s="350"/>
    </row>
    <row r="882" spans="1:302" hidden="1" outlineLevel="1">
      <c r="A882" s="302"/>
      <c r="D882" s="1637" t="s">
        <v>3678</v>
      </c>
      <c r="E882" s="346"/>
      <c r="F882" s="346"/>
      <c r="G882" s="346"/>
      <c r="H882" s="346"/>
      <c r="I882" s="346"/>
      <c r="J882" s="346"/>
      <c r="K882" s="346"/>
      <c r="L882" s="346"/>
      <c r="M882" s="346"/>
      <c r="N882" s="346"/>
      <c r="O882" s="346"/>
      <c r="P882" s="346"/>
      <c r="Q882" s="346"/>
      <c r="R882" s="346"/>
      <c r="S882" s="346"/>
      <c r="T882" s="346"/>
      <c r="U882" s="346"/>
      <c r="V882" s="346"/>
      <c r="W882" s="346"/>
      <c r="X882" s="346"/>
      <c r="Y882" s="346"/>
      <c r="Z882" s="346"/>
      <c r="AA882" s="346"/>
      <c r="AB882" s="346"/>
      <c r="AC882" s="346"/>
      <c r="AD882" s="346"/>
      <c r="AE882" s="346"/>
      <c r="AF882" s="346"/>
      <c r="AG882" s="346"/>
      <c r="AH882" s="346"/>
      <c r="AI882" s="346"/>
      <c r="AJ882" s="346"/>
      <c r="AK882" s="346"/>
      <c r="AL882" s="346"/>
      <c r="AM882" s="346"/>
      <c r="AN882" s="346"/>
      <c r="AO882" s="346"/>
      <c r="AP882" s="346"/>
      <c r="AQ882" s="346"/>
      <c r="AR882" s="346"/>
      <c r="AS882" s="346"/>
      <c r="AT882" s="346"/>
      <c r="AU882" s="346"/>
      <c r="AV882" s="346"/>
      <c r="AW882" s="346"/>
      <c r="AX882" s="346"/>
      <c r="AY882" s="346"/>
      <c r="AZ882" s="346"/>
      <c r="BA882" s="346"/>
      <c r="BB882" s="346"/>
      <c r="BC882" s="346"/>
      <c r="BD882" s="346"/>
      <c r="BE882" s="346"/>
      <c r="BF882" s="346"/>
      <c r="BG882" s="346"/>
      <c r="BH882" s="346"/>
      <c r="BI882" s="346"/>
      <c r="BJ882" s="346"/>
      <c r="BK882" s="346"/>
      <c r="BL882" s="346"/>
      <c r="BM882" s="346"/>
      <c r="BN882" s="346"/>
      <c r="BO882" s="346"/>
      <c r="BP882" s="346"/>
      <c r="BQ882" s="346"/>
      <c r="BR882" s="346"/>
      <c r="BS882" s="346"/>
      <c r="BT882" s="346"/>
      <c r="BU882" s="346"/>
      <c r="BV882" s="346"/>
      <c r="BW882" s="346"/>
      <c r="BX882" s="346"/>
      <c r="BY882" s="346"/>
      <c r="BZ882" s="346"/>
      <c r="CA882" s="346"/>
      <c r="CB882" s="346"/>
      <c r="CC882" s="346"/>
      <c r="CD882" s="352"/>
      <c r="CE882" s="346"/>
      <c r="CF882" s="346"/>
      <c r="CG882" s="346"/>
      <c r="CH882" s="346"/>
      <c r="CI882" s="346"/>
      <c r="CJ882" s="346"/>
      <c r="CK882" s="346"/>
      <c r="CL882" s="346"/>
      <c r="CM882" s="346"/>
      <c r="CN882" s="346"/>
      <c r="CO882" s="346"/>
      <c r="CP882" s="348"/>
      <c r="CQ882" s="346"/>
      <c r="CR882" s="346"/>
      <c r="CS882" s="346"/>
      <c r="CT882" s="346"/>
      <c r="CU882" s="346"/>
      <c r="CV882" s="346"/>
      <c r="CW882" s="346"/>
      <c r="CX882" s="346"/>
      <c r="CY882" s="346"/>
      <c r="CZ882" s="346"/>
      <c r="DA882" s="346"/>
      <c r="DB882" s="1479"/>
      <c r="DC882" s="346"/>
      <c r="DD882" s="346"/>
      <c r="DE882" s="346"/>
      <c r="DF882" s="346"/>
      <c r="DG882" s="346"/>
      <c r="DH882" s="346"/>
      <c r="DI882" s="346"/>
      <c r="DJ882" s="346"/>
      <c r="DK882" s="346"/>
      <c r="DL882" s="346"/>
      <c r="DM882" s="346"/>
      <c r="DN882" s="348"/>
      <c r="DO882" s="346"/>
      <c r="DP882" s="346"/>
      <c r="DQ882" s="346"/>
      <c r="DR882" s="346"/>
      <c r="DS882" s="346"/>
      <c r="DT882" s="346"/>
      <c r="DU882" s="346"/>
      <c r="DV882" s="346"/>
      <c r="DW882" s="346"/>
      <c r="DX882" s="346"/>
      <c r="DY882" s="346"/>
      <c r="DZ882" s="348"/>
      <c r="EA882" s="346"/>
      <c r="EB882" s="346"/>
      <c r="EC882" s="346"/>
      <c r="ED882" s="346"/>
      <c r="EE882" s="346"/>
      <c r="EF882" s="346"/>
      <c r="EG882" s="346"/>
      <c r="EH882" s="346"/>
      <c r="EI882" s="346"/>
      <c r="EJ882" s="346"/>
      <c r="EK882" s="346"/>
      <c r="EL882" s="348"/>
      <c r="EM882" s="346"/>
      <c r="EN882" s="346"/>
      <c r="EO882" s="346"/>
      <c r="EP882" s="346"/>
      <c r="EQ882" s="346"/>
      <c r="ER882" s="346"/>
      <c r="ES882" s="346"/>
      <c r="ET882" s="346"/>
      <c r="EU882" s="346"/>
      <c r="EV882" s="346"/>
      <c r="EW882" s="346"/>
      <c r="EX882" s="348"/>
      <c r="EY882" s="346"/>
      <c r="EZ882" s="346"/>
      <c r="FA882" s="346"/>
      <c r="FB882" s="346"/>
      <c r="FC882" s="346"/>
      <c r="FD882" s="346"/>
      <c r="FE882" s="346"/>
      <c r="FF882" s="346"/>
      <c r="FG882" s="346"/>
      <c r="FH882" s="346"/>
      <c r="FI882" s="346"/>
      <c r="FJ882" s="348"/>
      <c r="FK882" s="346"/>
      <c r="FL882" s="346"/>
      <c r="FM882" s="346"/>
      <c r="FN882" s="346"/>
      <c r="FO882" s="346"/>
      <c r="FP882" s="346"/>
      <c r="FQ882" s="346"/>
      <c r="FR882" s="346"/>
      <c r="FS882" s="346"/>
      <c r="FT882" s="346"/>
      <c r="FU882" s="346"/>
      <c r="FV882" s="346"/>
      <c r="FW882" s="346"/>
      <c r="FX882" s="346"/>
      <c r="FY882" s="346"/>
      <c r="FZ882" s="346"/>
      <c r="GA882" s="346"/>
      <c r="GB882" s="346"/>
      <c r="GC882" s="346"/>
      <c r="GD882" s="346"/>
      <c r="GE882" s="346"/>
      <c r="GF882" s="346"/>
      <c r="GG882" s="346"/>
      <c r="GH882" s="346"/>
      <c r="GI882" s="1897"/>
      <c r="GJ882" s="1897"/>
      <c r="GK882" s="1897"/>
      <c r="GL882" s="1897"/>
      <c r="GM882" s="1897"/>
      <c r="GN882" s="1897"/>
      <c r="GO882" s="1897"/>
      <c r="GP882" s="1897"/>
      <c r="GQ882" s="1897"/>
      <c r="GR882" s="1897"/>
      <c r="GS882" s="1897"/>
      <c r="GT882" s="1897"/>
      <c r="GU882" s="1897"/>
      <c r="GV882" s="1897"/>
      <c r="GW882" s="1897"/>
      <c r="GX882" s="1897"/>
      <c r="GY882" s="1897"/>
      <c r="GZ882" s="1897"/>
      <c r="HA882" s="1897"/>
      <c r="HB882" s="1897"/>
      <c r="HC882" s="1897"/>
      <c r="HD882" s="1897"/>
      <c r="HE882" s="1897"/>
      <c r="HF882" s="1897"/>
      <c r="HG882" s="1897">
        <v>0</v>
      </c>
      <c r="HH882" s="1897">
        <v>0</v>
      </c>
      <c r="HI882" s="1897">
        <v>0</v>
      </c>
      <c r="HJ882" s="1897">
        <v>-19.7</v>
      </c>
      <c r="HK882" s="1897">
        <v>0</v>
      </c>
      <c r="HL882" s="1897">
        <v>0</v>
      </c>
      <c r="HM882" s="1897"/>
      <c r="HN882" s="349"/>
      <c r="HO882" s="1637"/>
      <c r="HP882" s="307"/>
      <c r="HR882" s="346"/>
      <c r="HU882" s="346"/>
      <c r="HV882" s="307"/>
      <c r="HX882" s="346"/>
      <c r="HY882" s="350"/>
      <c r="IA882" s="346"/>
      <c r="ID882" s="346"/>
      <c r="IE882" s="350"/>
      <c r="IF882" s="350"/>
      <c r="IG882" s="346"/>
      <c r="IH882" s="350"/>
      <c r="II882" s="350"/>
      <c r="IJ882" s="346"/>
      <c r="IK882" s="350"/>
      <c r="IL882" s="350"/>
      <c r="IM882" s="346"/>
      <c r="IN882" s="350"/>
      <c r="IO882" s="350"/>
      <c r="IP882" s="346"/>
      <c r="IQ882" s="350"/>
      <c r="IR882" s="350"/>
      <c r="IS882" s="346"/>
      <c r="IT882" s="350"/>
      <c r="IU882" s="350"/>
      <c r="IV882" s="346"/>
      <c r="IW882" s="350">
        <f t="shared" si="1428"/>
        <v>-19.7</v>
      </c>
      <c r="IX882" s="350">
        <f t="shared" si="1426"/>
        <v>9.1985149999977978E-3</v>
      </c>
      <c r="IY882" s="346">
        <f>FISC!AJ1201</f>
        <v>-19.690801485000001</v>
      </c>
      <c r="IZ882" s="350"/>
      <c r="JB882" s="346"/>
      <c r="JC882" s="350"/>
      <c r="JE882" s="346"/>
      <c r="JF882" s="350"/>
      <c r="JH882" s="346"/>
      <c r="JI882" s="350"/>
      <c r="JK882" s="346"/>
      <c r="JL882" s="350"/>
      <c r="JN882" s="346"/>
      <c r="KI882" s="349"/>
      <c r="KJ882" s="350"/>
    </row>
    <row r="883" spans="1:302" hidden="1" outlineLevel="1">
      <c r="A883" s="302"/>
      <c r="D883" s="1640" t="s">
        <v>3133</v>
      </c>
      <c r="E883" s="346"/>
      <c r="F883" s="346"/>
      <c r="G883" s="346"/>
      <c r="H883" s="346"/>
      <c r="I883" s="346"/>
      <c r="J883" s="346"/>
      <c r="K883" s="346"/>
      <c r="L883" s="346"/>
      <c r="M883" s="346"/>
      <c r="N883" s="346"/>
      <c r="O883" s="346"/>
      <c r="P883" s="346"/>
      <c r="Q883" s="346"/>
      <c r="R883" s="346"/>
      <c r="S883" s="346"/>
      <c r="T883" s="346"/>
      <c r="U883" s="346"/>
      <c r="V883" s="346"/>
      <c r="W883" s="346"/>
      <c r="X883" s="346"/>
      <c r="Y883" s="346"/>
      <c r="Z883" s="346"/>
      <c r="AA883" s="346"/>
      <c r="AB883" s="346"/>
      <c r="AC883" s="346"/>
      <c r="AD883" s="346"/>
      <c r="AE883" s="346"/>
      <c r="AF883" s="346"/>
      <c r="AG883" s="346"/>
      <c r="AH883" s="346"/>
      <c r="AI883" s="346"/>
      <c r="AJ883" s="346"/>
      <c r="AK883" s="346"/>
      <c r="AL883" s="346"/>
      <c r="AM883" s="346"/>
      <c r="AN883" s="346"/>
      <c r="AO883" s="346"/>
      <c r="AP883" s="346"/>
      <c r="AQ883" s="346"/>
      <c r="AR883" s="346"/>
      <c r="AS883" s="346"/>
      <c r="AT883" s="346"/>
      <c r="AU883" s="346"/>
      <c r="AV883" s="346"/>
      <c r="AW883" s="346"/>
      <c r="AX883" s="346"/>
      <c r="AY883" s="346"/>
      <c r="AZ883" s="346"/>
      <c r="BA883" s="346"/>
      <c r="BB883" s="346"/>
      <c r="BC883" s="346"/>
      <c r="BD883" s="346"/>
      <c r="BE883" s="346"/>
      <c r="BF883" s="346"/>
      <c r="BG883" s="346"/>
      <c r="BH883" s="346"/>
      <c r="BI883" s="346"/>
      <c r="BJ883" s="346"/>
      <c r="BK883" s="346"/>
      <c r="BL883" s="346"/>
      <c r="BM883" s="346"/>
      <c r="BN883" s="346"/>
      <c r="BO883" s="346"/>
      <c r="BP883" s="346"/>
      <c r="BQ883" s="346"/>
      <c r="BR883" s="346"/>
      <c r="BS883" s="346"/>
      <c r="BT883" s="346"/>
      <c r="BU883" s="346"/>
      <c r="BV883" s="346"/>
      <c r="BW883" s="346"/>
      <c r="BX883" s="346"/>
      <c r="BY883" s="346"/>
      <c r="BZ883" s="346"/>
      <c r="CA883" s="346"/>
      <c r="CB883" s="346"/>
      <c r="CC883" s="346"/>
      <c r="CD883" s="352"/>
      <c r="CE883" s="346">
        <v>0</v>
      </c>
      <c r="CF883" s="346">
        <v>0</v>
      </c>
      <c r="CG883" s="346">
        <v>0</v>
      </c>
      <c r="CH883" s="346">
        <v>0</v>
      </c>
      <c r="CI883" s="346">
        <v>0</v>
      </c>
      <c r="CJ883" s="346">
        <v>0</v>
      </c>
      <c r="CK883" s="346">
        <v>0</v>
      </c>
      <c r="CL883" s="346">
        <v>0</v>
      </c>
      <c r="CM883" s="346">
        <v>0</v>
      </c>
      <c r="CN883" s="346">
        <v>0</v>
      </c>
      <c r="CO883" s="346">
        <v>0</v>
      </c>
      <c r="CP883" s="348">
        <v>0</v>
      </c>
      <c r="CQ883" s="346"/>
      <c r="CR883" s="346"/>
      <c r="CS883" s="346"/>
      <c r="CT883" s="346"/>
      <c r="CU883" s="346"/>
      <c r="CV883" s="346"/>
      <c r="CW883" s="346"/>
      <c r="CX883" s="346"/>
      <c r="CY883" s="346"/>
      <c r="CZ883" s="346"/>
      <c r="DA883" s="346"/>
      <c r="DB883" s="1479"/>
      <c r="DC883" s="346"/>
      <c r="DD883" s="346"/>
      <c r="DE883" s="346"/>
      <c r="DF883" s="346"/>
      <c r="DG883" s="346"/>
      <c r="DH883" s="346"/>
      <c r="DI883" s="346"/>
      <c r="DJ883" s="346"/>
      <c r="DK883" s="346"/>
      <c r="DL883" s="346"/>
      <c r="DM883" s="346"/>
      <c r="DN883" s="348"/>
      <c r="DO883" s="346"/>
      <c r="DP883" s="346"/>
      <c r="DQ883" s="346"/>
      <c r="DR883" s="346"/>
      <c r="DS883" s="346"/>
      <c r="DT883" s="346"/>
      <c r="DU883" s="346"/>
      <c r="DV883" s="346"/>
      <c r="DW883" s="346"/>
      <c r="DX883" s="346">
        <v>-8.7790449600000002</v>
      </c>
      <c r="DY883" s="346">
        <v>0</v>
      </c>
      <c r="DZ883" s="348">
        <v>0</v>
      </c>
      <c r="EA883" s="346">
        <v>0</v>
      </c>
      <c r="EB883" s="346">
        <v>0</v>
      </c>
      <c r="EC883" s="346">
        <v>0</v>
      </c>
      <c r="ED883" s="346">
        <v>0</v>
      </c>
      <c r="EE883" s="346">
        <v>0</v>
      </c>
      <c r="EF883" s="346">
        <v>9.6253578439999998</v>
      </c>
      <c r="EG883" s="346">
        <v>0</v>
      </c>
      <c r="EH883" s="346">
        <v>0</v>
      </c>
      <c r="EI883" s="346">
        <v>0</v>
      </c>
      <c r="EJ883" s="346">
        <v>0</v>
      </c>
      <c r="EK883" s="346">
        <v>0</v>
      </c>
      <c r="EL883" s="348">
        <v>0</v>
      </c>
      <c r="EM883" s="346">
        <v>0</v>
      </c>
      <c r="EN883" s="346">
        <v>0</v>
      </c>
      <c r="EO883" s="346">
        <v>0</v>
      </c>
      <c r="EP883" s="346">
        <v>0</v>
      </c>
      <c r="EQ883" s="346">
        <v>0</v>
      </c>
      <c r="ER883" s="346">
        <v>0</v>
      </c>
      <c r="ES883" s="346">
        <v>0</v>
      </c>
      <c r="ET883" s="346">
        <v>0</v>
      </c>
      <c r="EU883" s="346">
        <v>0</v>
      </c>
      <c r="EV883" s="346">
        <v>0</v>
      </c>
      <c r="EW883" s="346">
        <v>0</v>
      </c>
      <c r="EX883" s="348">
        <v>0</v>
      </c>
      <c r="EY883" s="346">
        <v>0</v>
      </c>
      <c r="EZ883" s="346">
        <v>0</v>
      </c>
      <c r="FA883" s="346">
        <v>0</v>
      </c>
      <c r="FB883" s="346">
        <v>0</v>
      </c>
      <c r="FC883" s="346">
        <v>0</v>
      </c>
      <c r="FD883" s="346"/>
      <c r="FE883" s="346"/>
      <c r="FF883" s="346"/>
      <c r="FG883" s="346"/>
      <c r="FH883" s="346"/>
      <c r="FI883" s="346"/>
      <c r="FJ883" s="348">
        <v>10</v>
      </c>
      <c r="FK883" s="346">
        <v>0</v>
      </c>
      <c r="FL883" s="346">
        <v>0</v>
      </c>
      <c r="FM883" s="346">
        <v>0</v>
      </c>
      <c r="FN883" s="346">
        <v>4.1033333320000001</v>
      </c>
      <c r="FO883" s="346">
        <v>0</v>
      </c>
      <c r="FP883" s="346">
        <v>0</v>
      </c>
      <c r="FQ883" s="346">
        <v>0</v>
      </c>
      <c r="FR883" s="346">
        <v>2.0516666680000002</v>
      </c>
      <c r="FS883" s="346">
        <v>0</v>
      </c>
      <c r="FT883" s="346">
        <v>0</v>
      </c>
      <c r="FU883" s="346">
        <v>0</v>
      </c>
      <c r="FV883" s="346">
        <v>0</v>
      </c>
      <c r="FW883" s="346">
        <v>2.3275000000000001</v>
      </c>
      <c r="FX883" s="346">
        <v>0</v>
      </c>
      <c r="FY883" s="346">
        <v>6.3560111399999997</v>
      </c>
      <c r="FZ883" s="346">
        <v>0</v>
      </c>
      <c r="GA883" s="346">
        <v>11.73360138</v>
      </c>
      <c r="GB883" s="346">
        <v>5.4698415320000002</v>
      </c>
      <c r="GC883" s="346">
        <v>0</v>
      </c>
      <c r="GD883" s="346">
        <v>7.7682330050000008</v>
      </c>
      <c r="GE883" s="346">
        <v>5.7562135210000003</v>
      </c>
      <c r="GF883" s="346">
        <v>0</v>
      </c>
      <c r="GG883" s="346">
        <v>5.7209304950000002</v>
      </c>
      <c r="GH883" s="346">
        <v>17.315684280999999</v>
      </c>
      <c r="GI883" s="1897">
        <f>GI884+GI885+GI886</f>
        <v>0</v>
      </c>
      <c r="GJ883" s="1897">
        <f t="shared" ref="GJ883:GN883" si="1442">GJ884+GJ885+GJ886</f>
        <v>0.76380206699999997</v>
      </c>
      <c r="GK883" s="1897">
        <f t="shared" si="1442"/>
        <v>12.598956765000001</v>
      </c>
      <c r="GL883" s="1897">
        <f t="shared" si="1442"/>
        <v>0</v>
      </c>
      <c r="GM883" s="1897">
        <f t="shared" si="1442"/>
        <v>0.57212499999999999</v>
      </c>
      <c r="GN883" s="1897">
        <f t="shared" si="1442"/>
        <v>11.418480311</v>
      </c>
      <c r="GO883" s="1897">
        <v>0.57212499999999999</v>
      </c>
      <c r="GP883" s="1897">
        <v>0</v>
      </c>
      <c r="GQ883" s="1897">
        <v>11.580811979</v>
      </c>
      <c r="GR883" s="1897">
        <v>0.499999998</v>
      </c>
      <c r="GS883" s="1897">
        <v>0.56497730000000002</v>
      </c>
      <c r="GT883" s="1897">
        <v>10.781052481</v>
      </c>
      <c r="GU883" s="1897">
        <v>0</v>
      </c>
      <c r="GV883" s="1897">
        <v>3.5007651950000001</v>
      </c>
      <c r="GW883" s="1897">
        <v>7.4345683670000007</v>
      </c>
      <c r="GX883" s="1897">
        <v>0</v>
      </c>
      <c r="GY883" s="1897">
        <v>0.67500000000000004</v>
      </c>
      <c r="GZ883" s="1897">
        <v>6.6525046159999999</v>
      </c>
      <c r="HA883" s="1897">
        <v>0</v>
      </c>
      <c r="HB883" s="1897">
        <v>0</v>
      </c>
      <c r="HC883" s="1897">
        <v>6.1548510219999999</v>
      </c>
      <c r="HD883" s="1897">
        <v>0</v>
      </c>
      <c r="HE883" s="1897">
        <v>0.4375</v>
      </c>
      <c r="HF883" s="1897">
        <v>3.6593230000000001</v>
      </c>
      <c r="HG883" s="1897">
        <v>0.78</v>
      </c>
      <c r="HH883" s="1897">
        <v>2.6735634300000002</v>
      </c>
      <c r="HI883" s="1897">
        <v>7.1987021669999995</v>
      </c>
      <c r="HJ883" s="1897">
        <v>2.045684659</v>
      </c>
      <c r="HK883" s="1897">
        <v>1.43</v>
      </c>
      <c r="HL883" s="1897">
        <v>6.2087890010000004</v>
      </c>
      <c r="HM883" s="1897"/>
      <c r="HN883" s="349"/>
      <c r="HO883" s="1640" t="s">
        <v>3133</v>
      </c>
      <c r="HP883" s="307"/>
      <c r="HR883" s="346"/>
      <c r="HU883" s="346"/>
      <c r="HV883" s="307"/>
      <c r="HX883" s="346"/>
      <c r="HY883" s="350"/>
      <c r="IA883" s="346"/>
      <c r="ID883" s="346"/>
      <c r="IE883" s="350"/>
      <c r="IF883" s="350"/>
      <c r="IG883" s="346"/>
      <c r="IH883" s="350"/>
      <c r="II883" s="350"/>
      <c r="IJ883" s="346"/>
      <c r="IK883" s="350">
        <f>SUM(FK883:FP883)</f>
        <v>4.1033333320000001</v>
      </c>
      <c r="IL883" s="350">
        <f t="shared" si="1411"/>
        <v>2.0516666680000002</v>
      </c>
      <c r="IM883" s="346">
        <f t="shared" si="1430"/>
        <v>6.1550000000000002</v>
      </c>
      <c r="IN883" s="350">
        <f t="shared" si="1438"/>
        <v>25.886954052</v>
      </c>
      <c r="IO883" s="350">
        <f t="shared" si="1439"/>
        <v>36.561061301999999</v>
      </c>
      <c r="IP883" s="346">
        <f t="shared" si="1294"/>
        <v>62.448015353999999</v>
      </c>
      <c r="IQ883" s="350">
        <f t="shared" si="1440"/>
        <v>25.353364143</v>
      </c>
      <c r="IR883" s="350">
        <f t="shared" si="1441"/>
        <v>23.998966758000002</v>
      </c>
      <c r="IS883" s="346">
        <f t="shared" si="1410"/>
        <v>49.352330901000002</v>
      </c>
      <c r="IT883" s="350">
        <f t="shared" si="1412"/>
        <v>18.262838178000003</v>
      </c>
      <c r="IU883" s="350">
        <f t="shared" si="1413"/>
        <v>10.251674022</v>
      </c>
      <c r="IV883" s="346">
        <f t="shared" si="1409"/>
        <v>28.514512200000002</v>
      </c>
      <c r="IW883" s="350">
        <f>SUM(HG883:HL883)</f>
        <v>20.336739256999998</v>
      </c>
      <c r="IX883" s="350">
        <f t="shared" si="1426"/>
        <v>19.645104773</v>
      </c>
      <c r="IY883" s="346">
        <f>FISC!AJ1202</f>
        <v>39.981844029999998</v>
      </c>
      <c r="IZ883" s="350">
        <f>IZ884+IZ885+IZ886</f>
        <v>682.5890982053877</v>
      </c>
      <c r="JA883" s="302">
        <f t="shared" si="1433"/>
        <v>19.167210547445961</v>
      </c>
      <c r="JB883" s="346">
        <f>FISC!AK1202</f>
        <v>701.75630875283366</v>
      </c>
      <c r="JC883" s="350">
        <f>JC884+JC885+JC886</f>
        <v>379.96794604979544</v>
      </c>
      <c r="JD883" s="302">
        <f t="shared" si="1434"/>
        <v>202.93641029256554</v>
      </c>
      <c r="JE883" s="346">
        <f>FISC!AL1202</f>
        <v>582.90435634236098</v>
      </c>
      <c r="JF883" s="350">
        <f>JF884+JF885+JF886</f>
        <v>67.354167645578713</v>
      </c>
      <c r="JG883" s="302">
        <f t="shared" si="1435"/>
        <v>40.844271267868521</v>
      </c>
      <c r="JH883" s="346">
        <f>FISC!AM1202</f>
        <v>108.19843891344723</v>
      </c>
      <c r="JI883" s="350">
        <f>JI884+JI885+JI886</f>
        <v>17.990922015319999</v>
      </c>
      <c r="JJ883" s="302">
        <f t="shared" si="1436"/>
        <v>44.995048480255065</v>
      </c>
      <c r="JK883" s="346">
        <f>FISC!AN1202</f>
        <v>62.985970495575067</v>
      </c>
      <c r="JL883" s="350">
        <f>JL884+JL885+JL886</f>
        <v>17.990922015319999</v>
      </c>
      <c r="JM883" s="302">
        <f t="shared" si="1437"/>
        <v>17.990922015319999</v>
      </c>
      <c r="JN883" s="346">
        <f>FISC!AO1202</f>
        <v>35.981844030639998</v>
      </c>
      <c r="KI883" s="349"/>
      <c r="KJ883" s="350"/>
    </row>
    <row r="884" spans="1:302" hidden="1" outlineLevel="1">
      <c r="A884" s="302"/>
      <c r="D884" s="1640" t="s">
        <v>3209</v>
      </c>
      <c r="E884" s="346"/>
      <c r="F884" s="346"/>
      <c r="G884" s="346"/>
      <c r="H884" s="346"/>
      <c r="I884" s="346"/>
      <c r="J884" s="346"/>
      <c r="K884" s="346"/>
      <c r="L884" s="346"/>
      <c r="M884" s="346"/>
      <c r="N884" s="346"/>
      <c r="O884" s="346"/>
      <c r="P884" s="346"/>
      <c r="Q884" s="346"/>
      <c r="R884" s="346"/>
      <c r="S884" s="346"/>
      <c r="T884" s="346"/>
      <c r="U884" s="346"/>
      <c r="V884" s="346"/>
      <c r="W884" s="346"/>
      <c r="X884" s="346"/>
      <c r="Y884" s="346"/>
      <c r="Z884" s="346"/>
      <c r="AA884" s="346"/>
      <c r="AB884" s="346"/>
      <c r="AC884" s="346"/>
      <c r="AD884" s="346"/>
      <c r="AE884" s="346"/>
      <c r="AF884" s="346"/>
      <c r="AG884" s="346"/>
      <c r="AH884" s="346"/>
      <c r="AI884" s="346"/>
      <c r="AJ884" s="346"/>
      <c r="AK884" s="346"/>
      <c r="AL884" s="346"/>
      <c r="AM884" s="346"/>
      <c r="AN884" s="346"/>
      <c r="AO884" s="346"/>
      <c r="AP884" s="346"/>
      <c r="AQ884" s="346"/>
      <c r="AR884" s="346"/>
      <c r="AS884" s="346"/>
      <c r="AT884" s="346"/>
      <c r="AU884" s="346"/>
      <c r="AV884" s="346"/>
      <c r="AW884" s="346"/>
      <c r="AX884" s="346"/>
      <c r="AY884" s="346"/>
      <c r="AZ884" s="346"/>
      <c r="BA884" s="346"/>
      <c r="BB884" s="346"/>
      <c r="BC884" s="346"/>
      <c r="BD884" s="346"/>
      <c r="BE884" s="346"/>
      <c r="BF884" s="346"/>
      <c r="BG884" s="346"/>
      <c r="BH884" s="346"/>
      <c r="BI884" s="346"/>
      <c r="BJ884" s="346"/>
      <c r="BK884" s="346"/>
      <c r="BL884" s="346"/>
      <c r="BM884" s="346"/>
      <c r="BN884" s="346"/>
      <c r="BO884" s="346"/>
      <c r="BP884" s="346"/>
      <c r="BQ884" s="346"/>
      <c r="BR884" s="346"/>
      <c r="BS884" s="346"/>
      <c r="BT884" s="346"/>
      <c r="BU884" s="346"/>
      <c r="BV884" s="346"/>
      <c r="BW884" s="346"/>
      <c r="BX884" s="346"/>
      <c r="BY884" s="346"/>
      <c r="BZ884" s="346"/>
      <c r="CA884" s="346"/>
      <c r="CB884" s="346"/>
      <c r="CC884" s="346"/>
      <c r="CD884" s="352"/>
      <c r="CE884" s="346"/>
      <c r="CF884" s="346"/>
      <c r="CG884" s="346"/>
      <c r="CH884" s="346"/>
      <c r="CI884" s="346"/>
      <c r="CJ884" s="346"/>
      <c r="CK884" s="346"/>
      <c r="CL884" s="346"/>
      <c r="CM884" s="346"/>
      <c r="CN884" s="346"/>
      <c r="CO884" s="346"/>
      <c r="CP884" s="348"/>
      <c r="CQ884" s="346"/>
      <c r="CR884" s="346"/>
      <c r="CS884" s="346"/>
      <c r="CT884" s="346"/>
      <c r="CU884" s="346"/>
      <c r="CV884" s="346"/>
      <c r="CW884" s="346"/>
      <c r="CX884" s="346"/>
      <c r="CY884" s="346"/>
      <c r="CZ884" s="346"/>
      <c r="DA884" s="346"/>
      <c r="DB884" s="1479"/>
      <c r="DC884" s="346"/>
      <c r="DD884" s="346"/>
      <c r="DE884" s="346"/>
      <c r="DF884" s="346"/>
      <c r="DG884" s="346"/>
      <c r="DH884" s="346"/>
      <c r="DI884" s="346"/>
      <c r="DJ884" s="346"/>
      <c r="DK884" s="346"/>
      <c r="DL884" s="346"/>
      <c r="DM884" s="346"/>
      <c r="DN884" s="348"/>
      <c r="DO884" s="346"/>
      <c r="DP884" s="346"/>
      <c r="DQ884" s="346"/>
      <c r="DR884" s="346"/>
      <c r="DS884" s="346"/>
      <c r="DT884" s="346"/>
      <c r="DU884" s="346"/>
      <c r="DV884" s="346"/>
      <c r="DW884" s="346"/>
      <c r="DX884" s="346"/>
      <c r="DY884" s="346"/>
      <c r="DZ884" s="348"/>
      <c r="EA884" s="346"/>
      <c r="EB884" s="346"/>
      <c r="EC884" s="346"/>
      <c r="ED884" s="346"/>
      <c r="EE884" s="346"/>
      <c r="EF884" s="346"/>
      <c r="EG884" s="346"/>
      <c r="EH884" s="346"/>
      <c r="EI884" s="346"/>
      <c r="EJ884" s="346"/>
      <c r="EK884" s="346"/>
      <c r="EL884" s="348"/>
      <c r="EM884" s="346"/>
      <c r="EN884" s="346"/>
      <c r="EO884" s="346"/>
      <c r="EP884" s="346"/>
      <c r="EQ884" s="346"/>
      <c r="ER884" s="346"/>
      <c r="ES884" s="346"/>
      <c r="ET884" s="346"/>
      <c r="EU884" s="346"/>
      <c r="EV884" s="346"/>
      <c r="EW884" s="346"/>
      <c r="EX884" s="348"/>
      <c r="EY884" s="346"/>
      <c r="EZ884" s="346"/>
      <c r="FA884" s="346"/>
      <c r="FB884" s="346"/>
      <c r="FC884" s="346"/>
      <c r="FD884" s="346"/>
      <c r="FE884" s="346"/>
      <c r="FF884" s="346"/>
      <c r="FG884" s="346"/>
      <c r="FH884" s="346"/>
      <c r="FI884" s="346"/>
      <c r="FJ884" s="348"/>
      <c r="FK884" s="346"/>
      <c r="FL884" s="346"/>
      <c r="FM884" s="346"/>
      <c r="FN884" s="346"/>
      <c r="FO884" s="346"/>
      <c r="FP884" s="346"/>
      <c r="FQ884" s="346">
        <v>0</v>
      </c>
      <c r="FR884" s="346">
        <v>2.0516666680000002</v>
      </c>
      <c r="FS884" s="346">
        <v>0</v>
      </c>
      <c r="FT884" s="346">
        <v>0</v>
      </c>
      <c r="FU884" s="346">
        <v>0</v>
      </c>
      <c r="FV884" s="346">
        <v>0</v>
      </c>
      <c r="FW884" s="346">
        <v>2.3275000000000001</v>
      </c>
      <c r="FX884" s="346">
        <v>0</v>
      </c>
      <c r="FY884" s="346">
        <v>0</v>
      </c>
      <c r="FZ884" s="346">
        <v>0</v>
      </c>
      <c r="GA884" s="346">
        <v>0</v>
      </c>
      <c r="GB884" s="346">
        <v>0</v>
      </c>
      <c r="GC884" s="346">
        <v>0</v>
      </c>
      <c r="GD884" s="346">
        <v>2.3275000000000001</v>
      </c>
      <c r="GE884" s="346">
        <v>0</v>
      </c>
      <c r="GF884" s="346">
        <v>0</v>
      </c>
      <c r="GG884" s="346">
        <v>0</v>
      </c>
      <c r="GH884" s="346">
        <v>0</v>
      </c>
      <c r="GI884" s="1897">
        <v>0</v>
      </c>
      <c r="GJ884" s="1897">
        <v>0</v>
      </c>
      <c r="GK884" s="1897">
        <v>1.163417817</v>
      </c>
      <c r="GL884" s="1897">
        <v>0</v>
      </c>
      <c r="GM884" s="1897">
        <v>0</v>
      </c>
      <c r="GN884" s="1897">
        <v>1.163417817</v>
      </c>
      <c r="GO884" s="1897">
        <v>0</v>
      </c>
      <c r="GP884" s="1897">
        <v>0</v>
      </c>
      <c r="GQ884" s="1897">
        <v>1.163417817</v>
      </c>
      <c r="GR884" s="1897">
        <v>0</v>
      </c>
      <c r="GS884" s="1897">
        <v>0</v>
      </c>
      <c r="GT884" s="1897">
        <v>1.1634178180000001</v>
      </c>
      <c r="GU884" s="1897">
        <v>0</v>
      </c>
      <c r="GV884" s="1897">
        <v>3.5007651950000001</v>
      </c>
      <c r="GW884" s="1897">
        <v>0.875</v>
      </c>
      <c r="GX884" s="1897">
        <v>0</v>
      </c>
      <c r="GY884" s="1897">
        <v>0</v>
      </c>
      <c r="GZ884" s="1897">
        <v>0.875</v>
      </c>
      <c r="HA884" s="1897">
        <v>0</v>
      </c>
      <c r="HB884" s="1897">
        <v>0</v>
      </c>
      <c r="HC884" s="1897">
        <v>0.4375</v>
      </c>
      <c r="HD884" s="1897">
        <v>0</v>
      </c>
      <c r="HE884" s="1897">
        <v>0.4375</v>
      </c>
      <c r="HF884" s="1897">
        <v>0.875</v>
      </c>
      <c r="HG884" s="1897">
        <v>0</v>
      </c>
      <c r="HH884" s="1897">
        <v>0</v>
      </c>
      <c r="HI884" s="1897">
        <v>1.1801596280000002</v>
      </c>
      <c r="HJ884" s="1897">
        <v>0</v>
      </c>
      <c r="HK884" s="1897">
        <v>0</v>
      </c>
      <c r="HL884" s="1897">
        <v>1.4754610079999999</v>
      </c>
      <c r="HM884" s="1897"/>
      <c r="HN884" s="349"/>
      <c r="HO884" s="1640" t="s">
        <v>3209</v>
      </c>
      <c r="HP884" s="307"/>
      <c r="HR884" s="346"/>
      <c r="HU884" s="346"/>
      <c r="HV884" s="307"/>
      <c r="HX884" s="346"/>
      <c r="HY884" s="350"/>
      <c r="IA884" s="346"/>
      <c r="ID884" s="346"/>
      <c r="IE884" s="350"/>
      <c r="IF884" s="350"/>
      <c r="IG884" s="346"/>
      <c r="IH884" s="350"/>
      <c r="II884" s="350"/>
      <c r="IJ884" s="346"/>
      <c r="IK884" s="1774">
        <v>3.5872104402249998</v>
      </c>
      <c r="IL884" s="350">
        <f t="shared" si="1411"/>
        <v>2.0516666680000002</v>
      </c>
      <c r="IM884" s="346">
        <f t="shared" si="1430"/>
        <v>5.6388771082249995</v>
      </c>
      <c r="IN884" s="350">
        <f t="shared" si="1438"/>
        <v>2.3275000000000001</v>
      </c>
      <c r="IO884" s="350">
        <f t="shared" si="1439"/>
        <v>2.3275000000000001</v>
      </c>
      <c r="IP884" s="346">
        <f t="shared" si="1294"/>
        <v>4.6550000000000002</v>
      </c>
      <c r="IQ884" s="350">
        <f t="shared" si="1440"/>
        <v>2.326835634</v>
      </c>
      <c r="IR884" s="350">
        <f t="shared" si="1441"/>
        <v>2.3268356350000001</v>
      </c>
      <c r="IS884" s="346">
        <f t="shared" si="1410"/>
        <v>4.6536712690000002</v>
      </c>
      <c r="IT884" s="350">
        <f t="shared" si="1412"/>
        <v>5.2507651949999996</v>
      </c>
      <c r="IU884" s="350">
        <f t="shared" si="1413"/>
        <v>1.75</v>
      </c>
      <c r="IV884" s="346">
        <f t="shared" si="1409"/>
        <v>7.0007651949999996</v>
      </c>
      <c r="IW884" s="350">
        <f t="shared" si="1428"/>
        <v>2.6556206360000001</v>
      </c>
      <c r="IX884" s="350">
        <f t="shared" si="1426"/>
        <v>1.3443793639999999</v>
      </c>
      <c r="IY884" s="346">
        <f>FISC!AJ1203</f>
        <v>4</v>
      </c>
      <c r="IZ884" s="350">
        <f>JB884/2</f>
        <v>1.1762885321259451</v>
      </c>
      <c r="JA884" s="350">
        <f t="shared" si="1433"/>
        <v>1.1762885321259451</v>
      </c>
      <c r="JB884" s="346">
        <f>FISC!AK1203</f>
        <v>2.3525770642518902</v>
      </c>
      <c r="JC884" s="350">
        <f>JE884/2</f>
        <v>0</v>
      </c>
      <c r="JD884" s="350">
        <f t="shared" si="1434"/>
        <v>0</v>
      </c>
      <c r="JE884" s="346">
        <f>FISC!AL1203</f>
        <v>0</v>
      </c>
      <c r="JF884" s="350">
        <f>JH884/2</f>
        <v>0</v>
      </c>
      <c r="JG884" s="350">
        <f t="shared" si="1435"/>
        <v>0</v>
      </c>
      <c r="JH884" s="346">
        <f>FISC!AM1203</f>
        <v>0</v>
      </c>
      <c r="JI884" s="350">
        <f>JK884/2</f>
        <v>0</v>
      </c>
      <c r="JJ884" s="350">
        <f t="shared" si="1436"/>
        <v>0</v>
      </c>
      <c r="JK884" s="346">
        <f>FISC!AN1203</f>
        <v>0</v>
      </c>
      <c r="JL884" s="350">
        <f>JN884/2</f>
        <v>0</v>
      </c>
      <c r="JM884" s="350">
        <f t="shared" si="1437"/>
        <v>0</v>
      </c>
      <c r="JN884" s="346">
        <f>FISC!AO1203</f>
        <v>0</v>
      </c>
      <c r="KI884" s="349"/>
      <c r="KJ884" s="350"/>
    </row>
    <row r="885" spans="1:302" hidden="1" outlineLevel="1">
      <c r="A885" s="302"/>
      <c r="D885" s="1732" t="s">
        <v>3208</v>
      </c>
      <c r="E885" s="346"/>
      <c r="F885" s="346"/>
      <c r="G885" s="346"/>
      <c r="H885" s="346"/>
      <c r="I885" s="346"/>
      <c r="J885" s="346"/>
      <c r="K885" s="346"/>
      <c r="L885" s="346"/>
      <c r="M885" s="346"/>
      <c r="N885" s="346"/>
      <c r="O885" s="346"/>
      <c r="P885" s="346"/>
      <c r="Q885" s="346"/>
      <c r="R885" s="346"/>
      <c r="S885" s="346"/>
      <c r="T885" s="346"/>
      <c r="U885" s="346"/>
      <c r="V885" s="346"/>
      <c r="W885" s="346"/>
      <c r="X885" s="346"/>
      <c r="Y885" s="346"/>
      <c r="Z885" s="346"/>
      <c r="AA885" s="346"/>
      <c r="AB885" s="346"/>
      <c r="AC885" s="346"/>
      <c r="AD885" s="346"/>
      <c r="AE885" s="346"/>
      <c r="AF885" s="346"/>
      <c r="AG885" s="346"/>
      <c r="AH885" s="346"/>
      <c r="AI885" s="346"/>
      <c r="AJ885" s="346"/>
      <c r="AK885" s="346"/>
      <c r="AL885" s="346"/>
      <c r="AM885" s="346"/>
      <c r="AN885" s="346"/>
      <c r="AO885" s="346"/>
      <c r="AP885" s="346"/>
      <c r="AQ885" s="346"/>
      <c r="AR885" s="346"/>
      <c r="AS885" s="346"/>
      <c r="AT885" s="346"/>
      <c r="AU885" s="346"/>
      <c r="AV885" s="346"/>
      <c r="AW885" s="346"/>
      <c r="AX885" s="346"/>
      <c r="AY885" s="346"/>
      <c r="AZ885" s="346"/>
      <c r="BA885" s="346"/>
      <c r="BB885" s="346"/>
      <c r="BC885" s="346"/>
      <c r="BD885" s="346"/>
      <c r="BE885" s="346"/>
      <c r="BF885" s="346"/>
      <c r="BG885" s="346"/>
      <c r="BH885" s="346"/>
      <c r="BI885" s="346"/>
      <c r="BJ885" s="346"/>
      <c r="BK885" s="346"/>
      <c r="BL885" s="346"/>
      <c r="BM885" s="346"/>
      <c r="BN885" s="346"/>
      <c r="BO885" s="346"/>
      <c r="BP885" s="346"/>
      <c r="BQ885" s="346"/>
      <c r="BR885" s="346"/>
      <c r="BS885" s="346"/>
      <c r="BT885" s="346"/>
      <c r="BU885" s="346"/>
      <c r="BV885" s="346"/>
      <c r="BW885" s="346"/>
      <c r="BX885" s="346"/>
      <c r="BY885" s="346"/>
      <c r="BZ885" s="346"/>
      <c r="CA885" s="346"/>
      <c r="CB885" s="346"/>
      <c r="CC885" s="346"/>
      <c r="CD885" s="352"/>
      <c r="CE885" s="346"/>
      <c r="CF885" s="346"/>
      <c r="CG885" s="346"/>
      <c r="CH885" s="346"/>
      <c r="CI885" s="346"/>
      <c r="CJ885" s="346"/>
      <c r="CK885" s="346"/>
      <c r="CL885" s="346"/>
      <c r="CM885" s="346"/>
      <c r="CN885" s="346"/>
      <c r="CO885" s="346"/>
      <c r="CP885" s="348"/>
      <c r="CQ885" s="346"/>
      <c r="CR885" s="346"/>
      <c r="CS885" s="346"/>
      <c r="CT885" s="346"/>
      <c r="CU885" s="346"/>
      <c r="CV885" s="346"/>
      <c r="CW885" s="346"/>
      <c r="CX885" s="346"/>
      <c r="CY885" s="346"/>
      <c r="CZ885" s="346"/>
      <c r="DA885" s="346"/>
      <c r="DB885" s="1479"/>
      <c r="DC885" s="346"/>
      <c r="DD885" s="346"/>
      <c r="DE885" s="346"/>
      <c r="DF885" s="346"/>
      <c r="DG885" s="346"/>
      <c r="DH885" s="346"/>
      <c r="DI885" s="346"/>
      <c r="DJ885" s="346"/>
      <c r="DK885" s="346"/>
      <c r="DL885" s="346"/>
      <c r="DM885" s="346"/>
      <c r="DN885" s="348"/>
      <c r="DO885" s="346"/>
      <c r="DP885" s="346"/>
      <c r="DQ885" s="346"/>
      <c r="DR885" s="346"/>
      <c r="DS885" s="346"/>
      <c r="DT885" s="346"/>
      <c r="DU885" s="346"/>
      <c r="DV885" s="346"/>
      <c r="DW885" s="346"/>
      <c r="DX885" s="346"/>
      <c r="DY885" s="346"/>
      <c r="DZ885" s="348"/>
      <c r="EA885" s="346"/>
      <c r="EB885" s="346"/>
      <c r="EC885" s="346"/>
      <c r="ED885" s="346"/>
      <c r="EE885" s="346"/>
      <c r="EF885" s="346"/>
      <c r="EG885" s="346"/>
      <c r="EH885" s="346"/>
      <c r="EI885" s="346"/>
      <c r="EJ885" s="346"/>
      <c r="EK885" s="346"/>
      <c r="EL885" s="348"/>
      <c r="EM885" s="346"/>
      <c r="EN885" s="346"/>
      <c r="EO885" s="346"/>
      <c r="EP885" s="346"/>
      <c r="EQ885" s="346"/>
      <c r="ER885" s="346"/>
      <c r="ES885" s="346"/>
      <c r="ET885" s="346"/>
      <c r="EU885" s="346"/>
      <c r="EV885" s="346"/>
      <c r="EW885" s="346"/>
      <c r="EX885" s="348"/>
      <c r="EY885" s="346"/>
      <c r="EZ885" s="346"/>
      <c r="FA885" s="346"/>
      <c r="FB885" s="346"/>
      <c r="FC885" s="346"/>
      <c r="FD885" s="346"/>
      <c r="FE885" s="346"/>
      <c r="FF885" s="346"/>
      <c r="FG885" s="346"/>
      <c r="FH885" s="346"/>
      <c r="FI885" s="346"/>
      <c r="FJ885" s="348"/>
      <c r="FK885" s="346"/>
      <c r="FL885" s="346"/>
      <c r="FM885" s="346"/>
      <c r="FN885" s="346"/>
      <c r="FO885" s="346"/>
      <c r="FP885" s="346"/>
      <c r="FQ885" s="346">
        <v>0</v>
      </c>
      <c r="FR885" s="346">
        <v>0</v>
      </c>
      <c r="FS885" s="346">
        <v>0</v>
      </c>
      <c r="FT885" s="346">
        <v>0</v>
      </c>
      <c r="FU885" s="346">
        <v>0</v>
      </c>
      <c r="FV885" s="346">
        <v>0</v>
      </c>
      <c r="FW885" s="346">
        <v>0</v>
      </c>
      <c r="FX885" s="346">
        <v>0</v>
      </c>
      <c r="FY885" s="346">
        <v>6.3560111399999997</v>
      </c>
      <c r="FZ885" s="346">
        <v>0</v>
      </c>
      <c r="GA885" s="346">
        <v>0</v>
      </c>
      <c r="GB885" s="346">
        <v>5.4698415320000002</v>
      </c>
      <c r="GC885" s="346">
        <v>0</v>
      </c>
      <c r="GD885" s="346">
        <v>5.4407330050000002</v>
      </c>
      <c r="GE885" s="346">
        <v>0</v>
      </c>
      <c r="GF885" s="346">
        <v>0</v>
      </c>
      <c r="GG885" s="346">
        <v>5.7209304950000002</v>
      </c>
      <c r="GH885" s="346">
        <v>0</v>
      </c>
      <c r="GI885" s="1897">
        <v>0</v>
      </c>
      <c r="GJ885" s="1897">
        <v>0</v>
      </c>
      <c r="GK885" s="1897">
        <v>5.8165702210000001</v>
      </c>
      <c r="GL885" s="1897">
        <v>0</v>
      </c>
      <c r="GM885" s="1897">
        <v>0</v>
      </c>
      <c r="GN885" s="1897">
        <v>5.788575464</v>
      </c>
      <c r="GO885" s="1897">
        <v>0</v>
      </c>
      <c r="GP885" s="1897">
        <v>0</v>
      </c>
      <c r="GQ885" s="1897">
        <v>5.671366506</v>
      </c>
      <c r="GR885" s="1897">
        <v>0</v>
      </c>
      <c r="GS885" s="1897">
        <v>0</v>
      </c>
      <c r="GT885" s="1897">
        <v>5.7551368180000004</v>
      </c>
      <c r="GU885" s="1897">
        <v>0</v>
      </c>
      <c r="GV885" s="1897">
        <v>0</v>
      </c>
      <c r="GW885" s="1897">
        <v>5.7957663000000004</v>
      </c>
      <c r="GX885" s="1897">
        <v>0</v>
      </c>
      <c r="GY885" s="1897">
        <v>0</v>
      </c>
      <c r="GZ885" s="1897">
        <v>5.7775046159999999</v>
      </c>
      <c r="HA885" s="1897">
        <v>0</v>
      </c>
      <c r="HB885" s="1897">
        <v>0</v>
      </c>
      <c r="HC885" s="1897">
        <v>5.7173510219999999</v>
      </c>
      <c r="HD885" s="1897">
        <v>0</v>
      </c>
      <c r="HE885" s="1897">
        <v>0</v>
      </c>
      <c r="HF885" s="1897">
        <v>2.3843230000000002</v>
      </c>
      <c r="HG885" s="1897">
        <v>0</v>
      </c>
      <c r="HH885" s="1897">
        <v>0</v>
      </c>
      <c r="HI885" s="1897">
        <v>3.9191401799999999</v>
      </c>
      <c r="HJ885" s="1897">
        <v>0.57212499999999999</v>
      </c>
      <c r="HK885" s="1897">
        <v>0</v>
      </c>
      <c r="HL885" s="1897">
        <v>4.4588274410000004</v>
      </c>
      <c r="HM885" s="1897"/>
      <c r="HN885" s="349"/>
      <c r="HO885" s="1732" t="s">
        <v>3208</v>
      </c>
      <c r="HP885" s="307"/>
      <c r="HR885" s="346"/>
      <c r="HU885" s="346"/>
      <c r="HV885" s="307"/>
      <c r="HX885" s="346"/>
      <c r="HY885" s="350"/>
      <c r="IA885" s="346"/>
      <c r="ID885" s="346"/>
      <c r="IE885" s="350"/>
      <c r="IF885" s="350"/>
      <c r="IG885" s="346"/>
      <c r="IH885" s="350"/>
      <c r="II885" s="350"/>
      <c r="IJ885" s="346"/>
      <c r="IK885" s="1774">
        <v>0</v>
      </c>
      <c r="IL885" s="350">
        <f t="shared" si="1411"/>
        <v>0</v>
      </c>
      <c r="IM885" s="346">
        <f t="shared" si="1430"/>
        <v>0</v>
      </c>
      <c r="IN885" s="350">
        <f t="shared" si="1438"/>
        <v>11.825852672</v>
      </c>
      <c r="IO885" s="350">
        <f t="shared" si="1439"/>
        <v>11.1616635</v>
      </c>
      <c r="IP885" s="346">
        <f t="shared" ref="IP885:IP938" si="1443">IN885+IO885</f>
        <v>22.987516171999999</v>
      </c>
      <c r="IQ885" s="350">
        <f t="shared" si="1440"/>
        <v>11.605145685</v>
      </c>
      <c r="IR885" s="350">
        <f t="shared" si="1441"/>
        <v>11.426503324</v>
      </c>
      <c r="IS885" s="346">
        <f t="shared" si="1410"/>
        <v>23.031649008999999</v>
      </c>
      <c r="IT885" s="350">
        <f t="shared" si="1412"/>
        <v>11.573270916</v>
      </c>
      <c r="IU885" s="350">
        <f t="shared" si="1413"/>
        <v>8.101674022000001</v>
      </c>
      <c r="IV885" s="346">
        <f t="shared" si="1409"/>
        <v>19.674944938000003</v>
      </c>
      <c r="IW885" s="350">
        <f t="shared" si="1428"/>
        <v>8.9500926209999996</v>
      </c>
      <c r="IX885" s="350">
        <f t="shared" si="1426"/>
        <v>27.031751408999998</v>
      </c>
      <c r="IY885" s="346">
        <f>FISC!AJ1204</f>
        <v>35.981844029999998</v>
      </c>
      <c r="IZ885" s="350">
        <f>(FISC!AJ75*FISC!AK253/1000)+FISC!AK1205/2</f>
        <v>681.41280967326179</v>
      </c>
      <c r="JA885" s="350">
        <f t="shared" si="1433"/>
        <v>17.990922015319939</v>
      </c>
      <c r="JB885" s="346">
        <f>FISC!AK1204</f>
        <v>699.40373168858173</v>
      </c>
      <c r="JC885" s="350">
        <f>(FISC!AK75*FISC!AL253/1000)+FISC!AL1205/2</f>
        <v>379.96794604979544</v>
      </c>
      <c r="JD885" s="350">
        <f>JE885-JC885</f>
        <v>202.93641029256554</v>
      </c>
      <c r="JE885" s="346">
        <f>FISC!AL1204</f>
        <v>582.90435634236098</v>
      </c>
      <c r="JF885" s="350">
        <f>(FISC!AL75*FISC!AM253/1000)+FISC!AM1205/2</f>
        <v>67.354167645578713</v>
      </c>
      <c r="JG885" s="350">
        <f t="shared" si="1435"/>
        <v>40.844271267868521</v>
      </c>
      <c r="JH885" s="346">
        <f>FISC!AM1204</f>
        <v>108.19843891344723</v>
      </c>
      <c r="JI885" s="350">
        <f>(FISC!AM75*FISC!AN253/1000)+FISC!AN1205/2</f>
        <v>17.990922015319999</v>
      </c>
      <c r="JJ885" s="350">
        <f t="shared" si="1436"/>
        <v>44.995048480255065</v>
      </c>
      <c r="JK885" s="346">
        <f>FISC!AN1204</f>
        <v>62.985970495575067</v>
      </c>
      <c r="JL885" s="350">
        <f>(FISC!AN75*FISC!AO253/1000)+JN885/2</f>
        <v>17.990922015319999</v>
      </c>
      <c r="JM885" s="350">
        <f t="shared" si="1437"/>
        <v>17.990922015319999</v>
      </c>
      <c r="JN885" s="346">
        <f>FISC!AO1204</f>
        <v>35.981844030639998</v>
      </c>
      <c r="KI885" s="349"/>
      <c r="KJ885" s="350"/>
    </row>
    <row r="886" spans="1:302" hidden="1" outlineLevel="1">
      <c r="A886" s="302"/>
      <c r="D886" s="1732" t="s">
        <v>3240</v>
      </c>
      <c r="E886" s="346"/>
      <c r="F886" s="346"/>
      <c r="G886" s="346"/>
      <c r="H886" s="346"/>
      <c r="I886" s="346"/>
      <c r="J886" s="346"/>
      <c r="K886" s="346"/>
      <c r="L886" s="346"/>
      <c r="M886" s="346"/>
      <c r="N886" s="346"/>
      <c r="O886" s="346"/>
      <c r="P886" s="346"/>
      <c r="Q886" s="346"/>
      <c r="R886" s="346"/>
      <c r="S886" s="346"/>
      <c r="T886" s="346"/>
      <c r="U886" s="346"/>
      <c r="V886" s="346"/>
      <c r="W886" s="346"/>
      <c r="X886" s="346"/>
      <c r="Y886" s="346"/>
      <c r="Z886" s="346"/>
      <c r="AA886" s="346"/>
      <c r="AB886" s="346"/>
      <c r="AC886" s="346"/>
      <c r="AD886" s="346"/>
      <c r="AE886" s="346"/>
      <c r="AF886" s="346"/>
      <c r="AG886" s="346"/>
      <c r="AH886" s="346"/>
      <c r="AI886" s="346"/>
      <c r="AJ886" s="346"/>
      <c r="AK886" s="346"/>
      <c r="AL886" s="346"/>
      <c r="AM886" s="346"/>
      <c r="AN886" s="346"/>
      <c r="AO886" s="346"/>
      <c r="AP886" s="346"/>
      <c r="AQ886" s="346"/>
      <c r="AR886" s="346"/>
      <c r="AS886" s="346"/>
      <c r="AT886" s="346"/>
      <c r="AU886" s="346"/>
      <c r="AV886" s="346"/>
      <c r="AW886" s="346"/>
      <c r="AX886" s="346"/>
      <c r="AY886" s="346"/>
      <c r="AZ886" s="346"/>
      <c r="BA886" s="346"/>
      <c r="BB886" s="346"/>
      <c r="BC886" s="346"/>
      <c r="BD886" s="346"/>
      <c r="BE886" s="346"/>
      <c r="BF886" s="346"/>
      <c r="BG886" s="346"/>
      <c r="BH886" s="346"/>
      <c r="BI886" s="346"/>
      <c r="BJ886" s="346"/>
      <c r="BK886" s="346"/>
      <c r="BL886" s="346"/>
      <c r="BM886" s="346"/>
      <c r="BN886" s="346"/>
      <c r="BO886" s="346"/>
      <c r="BP886" s="346"/>
      <c r="BQ886" s="346"/>
      <c r="BR886" s="346"/>
      <c r="BS886" s="346"/>
      <c r="BT886" s="346"/>
      <c r="BU886" s="346"/>
      <c r="BV886" s="346"/>
      <c r="BW886" s="346"/>
      <c r="BX886" s="346"/>
      <c r="BY886" s="346"/>
      <c r="BZ886" s="346"/>
      <c r="CA886" s="346"/>
      <c r="CB886" s="346"/>
      <c r="CC886" s="346"/>
      <c r="CD886" s="352"/>
      <c r="CE886" s="346"/>
      <c r="CF886" s="346"/>
      <c r="CG886" s="346"/>
      <c r="CH886" s="346"/>
      <c r="CI886" s="346"/>
      <c r="CJ886" s="346"/>
      <c r="CK886" s="346"/>
      <c r="CL886" s="346"/>
      <c r="CM886" s="346"/>
      <c r="CN886" s="346"/>
      <c r="CO886" s="346"/>
      <c r="CP886" s="348"/>
      <c r="CQ886" s="346"/>
      <c r="CR886" s="346"/>
      <c r="CS886" s="346"/>
      <c r="CT886" s="346"/>
      <c r="CU886" s="346"/>
      <c r="CV886" s="346"/>
      <c r="CW886" s="346"/>
      <c r="CX886" s="346"/>
      <c r="CY886" s="346"/>
      <c r="CZ886" s="346"/>
      <c r="DA886" s="346"/>
      <c r="DB886" s="1479"/>
      <c r="DC886" s="346"/>
      <c r="DD886" s="346"/>
      <c r="DE886" s="346"/>
      <c r="DF886" s="346"/>
      <c r="DG886" s="346"/>
      <c r="DH886" s="346"/>
      <c r="DI886" s="346"/>
      <c r="DJ886" s="346"/>
      <c r="DK886" s="346"/>
      <c r="DL886" s="346"/>
      <c r="DM886" s="346"/>
      <c r="DN886" s="348"/>
      <c r="DO886" s="346"/>
      <c r="DP886" s="346"/>
      <c r="DQ886" s="346"/>
      <c r="DR886" s="346"/>
      <c r="DS886" s="346"/>
      <c r="DT886" s="346"/>
      <c r="DU886" s="346"/>
      <c r="DV886" s="346"/>
      <c r="DW886" s="346"/>
      <c r="DX886" s="346"/>
      <c r="DY886" s="346"/>
      <c r="DZ886" s="348"/>
      <c r="EA886" s="346"/>
      <c r="EB886" s="346"/>
      <c r="EC886" s="346"/>
      <c r="ED886" s="346"/>
      <c r="EE886" s="346"/>
      <c r="EF886" s="346"/>
      <c r="EG886" s="346"/>
      <c r="EH886" s="346"/>
      <c r="EI886" s="346"/>
      <c r="EJ886" s="346"/>
      <c r="EK886" s="346"/>
      <c r="EL886" s="348"/>
      <c r="EM886" s="346"/>
      <c r="EN886" s="346"/>
      <c r="EO886" s="346"/>
      <c r="EP886" s="346"/>
      <c r="EQ886" s="346"/>
      <c r="ER886" s="346"/>
      <c r="ES886" s="346"/>
      <c r="ET886" s="346"/>
      <c r="EU886" s="346"/>
      <c r="EV886" s="346"/>
      <c r="EW886" s="346"/>
      <c r="EX886" s="348"/>
      <c r="EY886" s="346"/>
      <c r="EZ886" s="346"/>
      <c r="FA886" s="346"/>
      <c r="FB886" s="346"/>
      <c r="FC886" s="346"/>
      <c r="FD886" s="346"/>
      <c r="FE886" s="346"/>
      <c r="FF886" s="346"/>
      <c r="FG886" s="346"/>
      <c r="FH886" s="346"/>
      <c r="FI886" s="346"/>
      <c r="FJ886" s="348"/>
      <c r="FK886" s="346"/>
      <c r="FL886" s="346"/>
      <c r="FM886" s="346"/>
      <c r="FN886" s="346"/>
      <c r="FO886" s="346"/>
      <c r="FP886" s="346"/>
      <c r="FQ886" s="346">
        <v>0</v>
      </c>
      <c r="FR886" s="346">
        <v>0</v>
      </c>
      <c r="FS886" s="346">
        <v>0</v>
      </c>
      <c r="FT886" s="346">
        <v>0</v>
      </c>
      <c r="FU886" s="346">
        <v>0</v>
      </c>
      <c r="FV886" s="346">
        <v>0</v>
      </c>
      <c r="FW886" s="346">
        <v>0</v>
      </c>
      <c r="FX886" s="346">
        <v>0</v>
      </c>
      <c r="FY886" s="346">
        <v>10.73360138</v>
      </c>
      <c r="FZ886" s="346">
        <v>0</v>
      </c>
      <c r="GA886" s="346">
        <v>0</v>
      </c>
      <c r="GB886" s="346">
        <v>1</v>
      </c>
      <c r="GC886" s="346">
        <v>0</v>
      </c>
      <c r="GD886" s="346">
        <v>0</v>
      </c>
      <c r="GE886" s="346">
        <v>5.7562135210000003</v>
      </c>
      <c r="GF886" s="346">
        <v>0</v>
      </c>
      <c r="GG886" s="346">
        <v>0</v>
      </c>
      <c r="GH886" s="346">
        <v>17.315684280999999</v>
      </c>
      <c r="GI886" s="1897">
        <v>0</v>
      </c>
      <c r="GJ886" s="1897">
        <v>0.76380206699999997</v>
      </c>
      <c r="GK886" s="1897">
        <v>5.6189687270000004</v>
      </c>
      <c r="GL886" s="1897">
        <v>0</v>
      </c>
      <c r="GM886" s="1897">
        <v>0.57212499999999999</v>
      </c>
      <c r="GN886" s="1897">
        <v>4.4664870299999997</v>
      </c>
      <c r="GO886" s="1897">
        <v>0.57212499999999999</v>
      </c>
      <c r="GP886" s="1897">
        <v>0</v>
      </c>
      <c r="GQ886" s="1897">
        <v>4.7460276559999999</v>
      </c>
      <c r="GR886" s="1897">
        <v>0.499999998</v>
      </c>
      <c r="GS886" s="1897">
        <v>0.56497730000000002</v>
      </c>
      <c r="GT886" s="1897">
        <v>3.862497845</v>
      </c>
      <c r="GU886" s="1897">
        <v>0</v>
      </c>
      <c r="GV886" s="1897">
        <v>0</v>
      </c>
      <c r="GW886" s="1897">
        <v>0.76380206699999997</v>
      </c>
      <c r="GX886" s="1897">
        <v>0</v>
      </c>
      <c r="GY886" s="1897">
        <v>0.67500000000000004</v>
      </c>
      <c r="GZ886" s="1897">
        <v>0</v>
      </c>
      <c r="HA886" s="1897">
        <v>0</v>
      </c>
      <c r="HB886" s="1897">
        <v>0</v>
      </c>
      <c r="HC886" s="1897">
        <v>0</v>
      </c>
      <c r="HD886" s="1897">
        <v>0</v>
      </c>
      <c r="HE886" s="1897">
        <v>0</v>
      </c>
      <c r="HF886" s="1897">
        <v>0.4</v>
      </c>
      <c r="HG886" s="1897">
        <v>0.78</v>
      </c>
      <c r="HH886" s="1897">
        <v>2.6735634300000002</v>
      </c>
      <c r="HI886" s="1897">
        <v>2.0994023589999999</v>
      </c>
      <c r="HJ886" s="1897">
        <v>1.473559659</v>
      </c>
      <c r="HK886" s="1897">
        <v>1.43</v>
      </c>
      <c r="HL886" s="1897">
        <v>0.27450055200000012</v>
      </c>
      <c r="HM886" s="1897"/>
      <c r="HN886" s="349"/>
      <c r="HO886" s="1732" t="s">
        <v>3240</v>
      </c>
      <c r="HP886" s="307"/>
      <c r="HR886" s="346"/>
      <c r="HU886" s="346"/>
      <c r="HV886" s="307"/>
      <c r="HX886" s="346"/>
      <c r="HY886" s="350"/>
      <c r="IA886" s="346"/>
      <c r="ID886" s="346"/>
      <c r="IE886" s="350"/>
      <c r="IF886" s="350"/>
      <c r="IG886" s="346"/>
      <c r="IH886" s="350"/>
      <c r="II886" s="350"/>
      <c r="IJ886" s="346"/>
      <c r="IK886" s="1774">
        <v>0</v>
      </c>
      <c r="IL886" s="350">
        <f t="shared" si="1411"/>
        <v>0</v>
      </c>
      <c r="IM886" s="346">
        <f t="shared" si="1430"/>
        <v>0</v>
      </c>
      <c r="IN886" s="350">
        <f t="shared" si="1438"/>
        <v>11.73360138</v>
      </c>
      <c r="IO886" s="350">
        <f t="shared" si="1439"/>
        <v>23.071897801999999</v>
      </c>
      <c r="IP886" s="346">
        <f t="shared" si="1443"/>
        <v>34.805499181999998</v>
      </c>
      <c r="IQ886" s="350">
        <f t="shared" si="1440"/>
        <v>11.421382824</v>
      </c>
      <c r="IR886" s="350">
        <f t="shared" si="1441"/>
        <v>10.245627798999999</v>
      </c>
      <c r="IS886" s="346">
        <f t="shared" si="1410"/>
        <v>21.667010622999999</v>
      </c>
      <c r="IT886" s="350">
        <f t="shared" si="1412"/>
        <v>1.4388020670000001</v>
      </c>
      <c r="IU886" s="350">
        <f t="shared" si="1413"/>
        <v>0.4</v>
      </c>
      <c r="IV886" s="346">
        <f t="shared" si="1409"/>
        <v>1.838802067</v>
      </c>
      <c r="IW886" s="350">
        <f t="shared" si="1428"/>
        <v>8.731026</v>
      </c>
      <c r="IX886" s="350">
        <f t="shared" si="1426"/>
        <v>-8.731026</v>
      </c>
      <c r="IY886" s="346">
        <f>FISC!AJ1207</f>
        <v>0</v>
      </c>
      <c r="IZ886" s="350">
        <f>JB886/2</f>
        <v>0</v>
      </c>
      <c r="JA886" s="350">
        <f t="shared" si="1433"/>
        <v>0</v>
      </c>
      <c r="JB886" s="346">
        <f>FISC!AK1207</f>
        <v>0</v>
      </c>
      <c r="JC886" s="350">
        <f>JE886/2</f>
        <v>0</v>
      </c>
      <c r="JD886" s="350">
        <f t="shared" si="1434"/>
        <v>0</v>
      </c>
      <c r="JE886" s="346">
        <f>FISC!AL1207</f>
        <v>0</v>
      </c>
      <c r="JF886" s="350">
        <f>JH886/2</f>
        <v>0</v>
      </c>
      <c r="JG886" s="350">
        <f t="shared" si="1435"/>
        <v>0</v>
      </c>
      <c r="JH886" s="346">
        <f>FISC!AM1207</f>
        <v>0</v>
      </c>
      <c r="JI886" s="350">
        <f>JK886/2</f>
        <v>0</v>
      </c>
      <c r="JJ886" s="350">
        <f t="shared" si="1436"/>
        <v>0</v>
      </c>
      <c r="JK886" s="346">
        <f>FISC!AN1207</f>
        <v>0</v>
      </c>
      <c r="JL886" s="350">
        <f>JN886/2</f>
        <v>0</v>
      </c>
      <c r="JM886" s="350">
        <f t="shared" si="1437"/>
        <v>0</v>
      </c>
      <c r="JN886" s="346">
        <f>FISC!AO1207</f>
        <v>0</v>
      </c>
      <c r="KI886" s="349"/>
      <c r="KJ886" s="350"/>
    </row>
    <row r="887" spans="1:302" hidden="1" outlineLevel="1">
      <c r="A887" s="302"/>
      <c r="D887" s="1640" t="s">
        <v>3134</v>
      </c>
      <c r="E887" s="346"/>
      <c r="F887" s="346"/>
      <c r="G887" s="346"/>
      <c r="H887" s="346"/>
      <c r="I887" s="346"/>
      <c r="J887" s="346"/>
      <c r="K887" s="346"/>
      <c r="L887" s="346"/>
      <c r="M887" s="346"/>
      <c r="N887" s="346"/>
      <c r="O887" s="346"/>
      <c r="P887" s="346"/>
      <c r="Q887" s="346"/>
      <c r="R887" s="346"/>
      <c r="S887" s="346"/>
      <c r="T887" s="346"/>
      <c r="U887" s="346"/>
      <c r="V887" s="346"/>
      <c r="W887" s="346"/>
      <c r="X887" s="346"/>
      <c r="Y887" s="346"/>
      <c r="Z887" s="346"/>
      <c r="AA887" s="346"/>
      <c r="AB887" s="346"/>
      <c r="AC887" s="346"/>
      <c r="AD887" s="346"/>
      <c r="AE887" s="346"/>
      <c r="AF887" s="346"/>
      <c r="AG887" s="346"/>
      <c r="AH887" s="346"/>
      <c r="AI887" s="346"/>
      <c r="AJ887" s="346"/>
      <c r="AK887" s="346"/>
      <c r="AL887" s="346"/>
      <c r="AM887" s="346"/>
      <c r="AN887" s="346"/>
      <c r="AO887" s="346"/>
      <c r="AP887" s="346"/>
      <c r="AQ887" s="346"/>
      <c r="AR887" s="346"/>
      <c r="AS887" s="346"/>
      <c r="AT887" s="346"/>
      <c r="AU887" s="346"/>
      <c r="AV887" s="346"/>
      <c r="AW887" s="346"/>
      <c r="AX887" s="346"/>
      <c r="AY887" s="346"/>
      <c r="AZ887" s="346"/>
      <c r="BA887" s="346"/>
      <c r="BB887" s="346"/>
      <c r="BC887" s="346"/>
      <c r="BD887" s="346"/>
      <c r="BE887" s="346"/>
      <c r="BF887" s="346"/>
      <c r="BG887" s="346"/>
      <c r="BH887" s="346"/>
      <c r="BI887" s="346"/>
      <c r="BJ887" s="346"/>
      <c r="BK887" s="346"/>
      <c r="BL887" s="346"/>
      <c r="BM887" s="346"/>
      <c r="BN887" s="346"/>
      <c r="BO887" s="346"/>
      <c r="BP887" s="346"/>
      <c r="BQ887" s="346"/>
      <c r="BR887" s="346"/>
      <c r="BS887" s="346"/>
      <c r="BT887" s="346"/>
      <c r="BU887" s="346"/>
      <c r="BV887" s="346"/>
      <c r="BW887" s="346"/>
      <c r="BX887" s="346"/>
      <c r="BY887" s="346"/>
      <c r="BZ887" s="346"/>
      <c r="CA887" s="346"/>
      <c r="CB887" s="346"/>
      <c r="CC887" s="346"/>
      <c r="CD887" s="352"/>
      <c r="CE887" s="346">
        <v>0</v>
      </c>
      <c r="CF887" s="346">
        <v>0</v>
      </c>
      <c r="CG887" s="346">
        <v>0</v>
      </c>
      <c r="CH887" s="346">
        <v>0</v>
      </c>
      <c r="CI887" s="346">
        <v>0</v>
      </c>
      <c r="CJ887" s="346">
        <v>0</v>
      </c>
      <c r="CK887" s="346">
        <v>0</v>
      </c>
      <c r="CL887" s="346">
        <v>0</v>
      </c>
      <c r="CM887" s="346">
        <v>0</v>
      </c>
      <c r="CN887" s="346">
        <v>0</v>
      </c>
      <c r="CO887" s="346">
        <v>0</v>
      </c>
      <c r="CP887" s="348">
        <v>0</v>
      </c>
      <c r="CQ887" s="346"/>
      <c r="CR887" s="346"/>
      <c r="CS887" s="346"/>
      <c r="CT887" s="346"/>
      <c r="CU887" s="346"/>
      <c r="CV887" s="346"/>
      <c r="CW887" s="346"/>
      <c r="CX887" s="346"/>
      <c r="CY887" s="346"/>
      <c r="CZ887" s="346"/>
      <c r="DA887" s="346"/>
      <c r="DB887" s="1479"/>
      <c r="DC887" s="346"/>
      <c r="DD887" s="346"/>
      <c r="DE887" s="346"/>
      <c r="DF887" s="346"/>
      <c r="DG887" s="346"/>
      <c r="DH887" s="346"/>
      <c r="DI887" s="346"/>
      <c r="DJ887" s="346"/>
      <c r="DK887" s="346"/>
      <c r="DL887" s="346"/>
      <c r="DM887" s="346"/>
      <c r="DN887" s="348"/>
      <c r="DO887" s="346"/>
      <c r="DP887" s="346"/>
      <c r="DQ887" s="346"/>
      <c r="DR887" s="346"/>
      <c r="DS887" s="346"/>
      <c r="DT887" s="346"/>
      <c r="DU887" s="346"/>
      <c r="DV887" s="346"/>
      <c r="DW887" s="346"/>
      <c r="DX887" s="346">
        <v>0</v>
      </c>
      <c r="DY887" s="346">
        <v>0</v>
      </c>
      <c r="DZ887" s="348">
        <v>0</v>
      </c>
      <c r="EA887" s="346">
        <v>0</v>
      </c>
      <c r="EB887" s="346">
        <v>0</v>
      </c>
      <c r="EC887" s="346">
        <v>0</v>
      </c>
      <c r="ED887" s="346">
        <v>0</v>
      </c>
      <c r="EE887" s="346">
        <v>0</v>
      </c>
      <c r="EF887" s="346">
        <v>0</v>
      </c>
      <c r="EG887" s="346">
        <v>0</v>
      </c>
      <c r="EH887" s="346">
        <v>0</v>
      </c>
      <c r="EI887" s="346">
        <v>0</v>
      </c>
      <c r="EJ887" s="346">
        <v>0</v>
      </c>
      <c r="EK887" s="346">
        <v>0</v>
      </c>
      <c r="EL887" s="348">
        <v>0</v>
      </c>
      <c r="EM887" s="346">
        <v>0</v>
      </c>
      <c r="EN887" s="346">
        <v>0</v>
      </c>
      <c r="EO887" s="346">
        <v>0</v>
      </c>
      <c r="EP887" s="346">
        <v>0</v>
      </c>
      <c r="EQ887" s="346">
        <v>0</v>
      </c>
      <c r="ER887" s="346">
        <v>0</v>
      </c>
      <c r="ES887" s="346">
        <v>0</v>
      </c>
      <c r="ET887" s="346">
        <v>0</v>
      </c>
      <c r="EU887" s="346">
        <v>0</v>
      </c>
      <c r="EV887" s="346">
        <v>0</v>
      </c>
      <c r="EW887" s="346">
        <v>0</v>
      </c>
      <c r="EX887" s="348">
        <v>0</v>
      </c>
      <c r="EY887" s="346">
        <v>0</v>
      </c>
      <c r="EZ887" s="346">
        <v>0</v>
      </c>
      <c r="FA887" s="346">
        <v>0</v>
      </c>
      <c r="FB887" s="346">
        <v>0</v>
      </c>
      <c r="FC887" s="346">
        <v>0</v>
      </c>
      <c r="FD887" s="346"/>
      <c r="FE887" s="346"/>
      <c r="FF887" s="346"/>
      <c r="FG887" s="346"/>
      <c r="FH887" s="346"/>
      <c r="FI887" s="346"/>
      <c r="FJ887" s="348"/>
      <c r="FK887" s="346">
        <v>0</v>
      </c>
      <c r="FL887" s="346">
        <v>0</v>
      </c>
      <c r="FM887" s="346">
        <v>0</v>
      </c>
      <c r="FN887" s="346">
        <v>0</v>
      </c>
      <c r="FO887" s="346">
        <v>0</v>
      </c>
      <c r="FP887" s="346">
        <v>0</v>
      </c>
      <c r="FQ887" s="346">
        <v>0</v>
      </c>
      <c r="FR887" s="346">
        <v>0</v>
      </c>
      <c r="FS887" s="346">
        <v>0</v>
      </c>
      <c r="FT887" s="346">
        <v>0</v>
      </c>
      <c r="FU887" s="346">
        <v>0</v>
      </c>
      <c r="FV887" s="346">
        <v>0</v>
      </c>
      <c r="FW887" s="346">
        <v>0</v>
      </c>
      <c r="FX887" s="346">
        <v>0</v>
      </c>
      <c r="FY887" s="346">
        <v>0</v>
      </c>
      <c r="FZ887" s="346">
        <v>0</v>
      </c>
      <c r="GA887" s="346">
        <v>0</v>
      </c>
      <c r="GB887" s="346">
        <v>0</v>
      </c>
      <c r="GC887" s="346">
        <v>0</v>
      </c>
      <c r="GD887" s="346">
        <v>0</v>
      </c>
      <c r="GE887" s="346">
        <v>0</v>
      </c>
      <c r="GF887" s="346">
        <v>0</v>
      </c>
      <c r="GG887" s="346">
        <v>0</v>
      </c>
      <c r="GH887" s="346">
        <v>0</v>
      </c>
      <c r="GI887" s="1897"/>
      <c r="GJ887" s="1897"/>
      <c r="HN887" s="349"/>
      <c r="HO887" s="1640" t="s">
        <v>3134</v>
      </c>
      <c r="HP887" s="307"/>
      <c r="HR887" s="346"/>
      <c r="HU887" s="346"/>
      <c r="HV887" s="307"/>
      <c r="HX887" s="346"/>
      <c r="HY887" s="350"/>
      <c r="IA887" s="346"/>
      <c r="ID887" s="346"/>
      <c r="IE887" s="350"/>
      <c r="IF887" s="350"/>
      <c r="IG887" s="346"/>
      <c r="IH887" s="350"/>
      <c r="II887" s="350"/>
      <c r="IJ887" s="346"/>
      <c r="IK887" s="350">
        <f>SUM(FK887:FP887)</f>
        <v>0</v>
      </c>
      <c r="IL887" s="350">
        <f t="shared" si="1411"/>
        <v>0</v>
      </c>
      <c r="IM887" s="346">
        <f t="shared" si="1430"/>
        <v>0</v>
      </c>
      <c r="IN887" s="350">
        <f t="shared" si="1438"/>
        <v>0</v>
      </c>
      <c r="IO887" s="350">
        <f t="shared" si="1439"/>
        <v>0</v>
      </c>
      <c r="IP887" s="346">
        <f t="shared" si="1443"/>
        <v>0</v>
      </c>
      <c r="IQ887" s="350">
        <f t="shared" si="1440"/>
        <v>0</v>
      </c>
      <c r="IR887" s="350">
        <f t="shared" si="1441"/>
        <v>0</v>
      </c>
      <c r="IS887" s="346">
        <f t="shared" si="1410"/>
        <v>0</v>
      </c>
      <c r="IT887" s="350">
        <f t="shared" si="1412"/>
        <v>0</v>
      </c>
      <c r="IU887" s="350">
        <f t="shared" si="1413"/>
        <v>0</v>
      </c>
      <c r="IV887" s="346">
        <f t="shared" si="1409"/>
        <v>0</v>
      </c>
      <c r="IW887" s="350">
        <f t="shared" si="1428"/>
        <v>0</v>
      </c>
      <c r="IX887" s="350">
        <f t="shared" si="1426"/>
        <v>0</v>
      </c>
      <c r="IY887" s="346">
        <f>FISC!AJ1208</f>
        <v>0</v>
      </c>
      <c r="IZ887" s="350">
        <f t="shared" ref="IZ887:IZ889" si="1444">JB887*0.48</f>
        <v>0</v>
      </c>
      <c r="JA887" s="302">
        <f t="shared" si="1433"/>
        <v>0</v>
      </c>
      <c r="JB887" s="346">
        <f>FISC!AK1208</f>
        <v>0</v>
      </c>
      <c r="JC887" s="350">
        <f>JE887*0.48</f>
        <v>0</v>
      </c>
      <c r="JD887" s="302">
        <f t="shared" si="1434"/>
        <v>0</v>
      </c>
      <c r="JE887" s="346">
        <f>FISC!AL1208</f>
        <v>0</v>
      </c>
      <c r="JF887" s="350">
        <f>JH887*0.48</f>
        <v>0</v>
      </c>
      <c r="JG887" s="302">
        <f t="shared" si="1435"/>
        <v>0</v>
      </c>
      <c r="JH887" s="346">
        <f>FISC!AM1208</f>
        <v>0</v>
      </c>
      <c r="JI887" s="350">
        <f>JK887*0.48</f>
        <v>0</v>
      </c>
      <c r="JJ887" s="302">
        <f t="shared" si="1436"/>
        <v>0</v>
      </c>
      <c r="JK887" s="346">
        <f>FISC!AN1208</f>
        <v>0</v>
      </c>
      <c r="JL887" s="350">
        <f>JN887*0.48</f>
        <v>0</v>
      </c>
      <c r="JM887" s="302">
        <f t="shared" si="1437"/>
        <v>0</v>
      </c>
      <c r="JN887" s="346">
        <f>FISC!AO1208</f>
        <v>0</v>
      </c>
      <c r="KI887" s="349"/>
      <c r="KJ887" s="350"/>
    </row>
    <row r="888" spans="1:302" hidden="1" outlineLevel="1">
      <c r="A888" s="302"/>
      <c r="D888" s="1640" t="s">
        <v>3135</v>
      </c>
      <c r="E888" s="346"/>
      <c r="F888" s="346"/>
      <c r="G888" s="346"/>
      <c r="H888" s="346"/>
      <c r="I888" s="346"/>
      <c r="J888" s="346"/>
      <c r="K888" s="346"/>
      <c r="L888" s="346"/>
      <c r="M888" s="346"/>
      <c r="N888" s="346"/>
      <c r="O888" s="346"/>
      <c r="P888" s="346"/>
      <c r="Q888" s="346"/>
      <c r="R888" s="346"/>
      <c r="S888" s="346"/>
      <c r="T888" s="346"/>
      <c r="U888" s="346"/>
      <c r="V888" s="346"/>
      <c r="W888" s="346"/>
      <c r="X888" s="346"/>
      <c r="Y888" s="346"/>
      <c r="Z888" s="346"/>
      <c r="AA888" s="346"/>
      <c r="AB888" s="346"/>
      <c r="AC888" s="346"/>
      <c r="AD888" s="346"/>
      <c r="AE888" s="346"/>
      <c r="AF888" s="346"/>
      <c r="AG888" s="346"/>
      <c r="AH888" s="346"/>
      <c r="AI888" s="346"/>
      <c r="AJ888" s="346"/>
      <c r="AK888" s="346"/>
      <c r="AL888" s="346"/>
      <c r="AM888" s="346"/>
      <c r="AN888" s="346"/>
      <c r="AO888" s="346"/>
      <c r="AP888" s="346"/>
      <c r="AQ888" s="346"/>
      <c r="AR888" s="346"/>
      <c r="AS888" s="346"/>
      <c r="AT888" s="346"/>
      <c r="AU888" s="346"/>
      <c r="AV888" s="346"/>
      <c r="AW888" s="346"/>
      <c r="AX888" s="346"/>
      <c r="AY888" s="346"/>
      <c r="AZ888" s="346"/>
      <c r="BA888" s="346"/>
      <c r="BB888" s="346"/>
      <c r="BC888" s="346"/>
      <c r="BD888" s="346"/>
      <c r="BE888" s="346"/>
      <c r="BF888" s="346"/>
      <c r="BG888" s="346"/>
      <c r="BH888" s="346"/>
      <c r="BI888" s="346"/>
      <c r="BJ888" s="346"/>
      <c r="BK888" s="346"/>
      <c r="BL888" s="346"/>
      <c r="BM888" s="346"/>
      <c r="BN888" s="346"/>
      <c r="BO888" s="346"/>
      <c r="BP888" s="346"/>
      <c r="BQ888" s="346"/>
      <c r="BR888" s="346"/>
      <c r="BS888" s="346"/>
      <c r="BT888" s="346"/>
      <c r="BU888" s="346"/>
      <c r="BV888" s="346"/>
      <c r="BW888" s="346"/>
      <c r="BX888" s="346"/>
      <c r="BY888" s="346"/>
      <c r="BZ888" s="346"/>
      <c r="CA888" s="346"/>
      <c r="CB888" s="346"/>
      <c r="CC888" s="346"/>
      <c r="CD888" s="352"/>
      <c r="CE888" s="346">
        <v>0</v>
      </c>
      <c r="CF888" s="346">
        <v>0</v>
      </c>
      <c r="CG888" s="346">
        <v>0</v>
      </c>
      <c r="CH888" s="346">
        <v>0</v>
      </c>
      <c r="CI888" s="346">
        <v>0</v>
      </c>
      <c r="CJ888" s="346">
        <v>0</v>
      </c>
      <c r="CK888" s="346">
        <v>0</v>
      </c>
      <c r="CL888" s="346">
        <v>0</v>
      </c>
      <c r="CM888" s="346">
        <v>0</v>
      </c>
      <c r="CN888" s="346">
        <v>0</v>
      </c>
      <c r="CO888" s="346">
        <v>0</v>
      </c>
      <c r="CP888" s="348">
        <v>0</v>
      </c>
      <c r="CQ888" s="346"/>
      <c r="CR888" s="346"/>
      <c r="CS888" s="346"/>
      <c r="CT888" s="346"/>
      <c r="CU888" s="346"/>
      <c r="CV888" s="346"/>
      <c r="CW888" s="346"/>
      <c r="CX888" s="346"/>
      <c r="CY888" s="346"/>
      <c r="CZ888" s="346"/>
      <c r="DA888" s="346"/>
      <c r="DB888" s="1479"/>
      <c r="DC888" s="346"/>
      <c r="DD888" s="346"/>
      <c r="DE888" s="346"/>
      <c r="DF888" s="346"/>
      <c r="DG888" s="346"/>
      <c r="DH888" s="346"/>
      <c r="DI888" s="346"/>
      <c r="DJ888" s="346"/>
      <c r="DK888" s="346"/>
      <c r="DL888" s="346"/>
      <c r="DM888" s="346"/>
      <c r="DN888" s="348"/>
      <c r="DO888" s="346"/>
      <c r="DP888" s="346"/>
      <c r="DQ888" s="346"/>
      <c r="DR888" s="346"/>
      <c r="DS888" s="346"/>
      <c r="DT888" s="346"/>
      <c r="DU888" s="346"/>
      <c r="DV888" s="346"/>
      <c r="DW888" s="346"/>
      <c r="DX888" s="346">
        <v>0</v>
      </c>
      <c r="DY888" s="346">
        <v>0</v>
      </c>
      <c r="DZ888" s="348">
        <v>0</v>
      </c>
      <c r="EA888" s="346">
        <v>0</v>
      </c>
      <c r="EB888" s="346">
        <v>0</v>
      </c>
      <c r="EC888" s="346">
        <v>0</v>
      </c>
      <c r="ED888" s="346">
        <v>0</v>
      </c>
      <c r="EE888" s="346">
        <v>0</v>
      </c>
      <c r="EF888" s="346">
        <v>0</v>
      </c>
      <c r="EG888" s="346">
        <v>0</v>
      </c>
      <c r="EH888" s="346">
        <v>0</v>
      </c>
      <c r="EI888" s="346">
        <v>0</v>
      </c>
      <c r="EJ888" s="346">
        <v>0</v>
      </c>
      <c r="EK888" s="346">
        <v>0</v>
      </c>
      <c r="EL888" s="348">
        <v>0</v>
      </c>
      <c r="EM888" s="346">
        <v>0</v>
      </c>
      <c r="EN888" s="346">
        <v>0</v>
      </c>
      <c r="EO888" s="346">
        <v>0</v>
      </c>
      <c r="EP888" s="346">
        <v>0</v>
      </c>
      <c r="EQ888" s="346">
        <v>0</v>
      </c>
      <c r="ER888" s="346">
        <v>0</v>
      </c>
      <c r="ES888" s="346">
        <v>0</v>
      </c>
      <c r="ET888" s="346">
        <v>0</v>
      </c>
      <c r="EU888" s="346">
        <v>0</v>
      </c>
      <c r="EV888" s="346">
        <v>0</v>
      </c>
      <c r="EW888" s="346">
        <v>0</v>
      </c>
      <c r="EX888" s="348">
        <v>0</v>
      </c>
      <c r="EY888" s="346">
        <v>0</v>
      </c>
      <c r="EZ888" s="346">
        <v>0</v>
      </c>
      <c r="FA888" s="346">
        <v>0</v>
      </c>
      <c r="FB888" s="346">
        <v>0</v>
      </c>
      <c r="FC888" s="346">
        <v>0</v>
      </c>
      <c r="FD888" s="346"/>
      <c r="FE888" s="346"/>
      <c r="FF888" s="346"/>
      <c r="FG888" s="346"/>
      <c r="FH888" s="346"/>
      <c r="FI888" s="346"/>
      <c r="FJ888" s="348"/>
      <c r="FK888" s="346">
        <v>0</v>
      </c>
      <c r="FL888" s="346">
        <v>0</v>
      </c>
      <c r="FM888" s="346">
        <v>0</v>
      </c>
      <c r="FN888" s="346">
        <v>0</v>
      </c>
      <c r="FO888" s="346">
        <v>0</v>
      </c>
      <c r="FP888" s="346">
        <v>0</v>
      </c>
      <c r="FQ888" s="346">
        <v>0</v>
      </c>
      <c r="FR888" s="346">
        <v>0</v>
      </c>
      <c r="FS888" s="346">
        <v>0</v>
      </c>
      <c r="FT888" s="346">
        <v>0</v>
      </c>
      <c r="FU888" s="346">
        <v>0</v>
      </c>
      <c r="FV888" s="346">
        <v>0</v>
      </c>
      <c r="FW888" s="346">
        <v>0</v>
      </c>
      <c r="FX888" s="346">
        <v>0</v>
      </c>
      <c r="FY888" s="346">
        <v>0</v>
      </c>
      <c r="FZ888" s="346">
        <v>0</v>
      </c>
      <c r="GA888" s="346">
        <v>0</v>
      </c>
      <c r="GB888" s="346">
        <v>0</v>
      </c>
      <c r="GC888" s="346">
        <v>0</v>
      </c>
      <c r="GD888" s="346">
        <v>0</v>
      </c>
      <c r="GE888" s="346">
        <v>0</v>
      </c>
      <c r="GF888" s="346">
        <v>0</v>
      </c>
      <c r="GG888" s="346">
        <v>0</v>
      </c>
      <c r="GH888" s="346">
        <v>0</v>
      </c>
      <c r="GI888" s="1897"/>
      <c r="HN888" s="349"/>
      <c r="HO888" s="1640" t="s">
        <v>3135</v>
      </c>
      <c r="HP888" s="307"/>
      <c r="HR888" s="346"/>
      <c r="HU888" s="346"/>
      <c r="HV888" s="307"/>
      <c r="HX888" s="346"/>
      <c r="HY888" s="350"/>
      <c r="IA888" s="346"/>
      <c r="ID888" s="346"/>
      <c r="IE888" s="350"/>
      <c r="IF888" s="350"/>
      <c r="IG888" s="346"/>
      <c r="IH888" s="350"/>
      <c r="II888" s="350"/>
      <c r="IJ888" s="346"/>
      <c r="IK888" s="350">
        <f>SUM(FK888:FP888)</f>
        <v>0</v>
      </c>
      <c r="IL888" s="350">
        <f t="shared" si="1411"/>
        <v>0</v>
      </c>
      <c r="IM888" s="346">
        <f t="shared" si="1430"/>
        <v>0</v>
      </c>
      <c r="IN888" s="350">
        <f t="shared" si="1438"/>
        <v>0</v>
      </c>
      <c r="IO888" s="350">
        <f t="shared" si="1439"/>
        <v>0</v>
      </c>
      <c r="IP888" s="346">
        <f t="shared" si="1443"/>
        <v>0</v>
      </c>
      <c r="IQ888" s="350">
        <f t="shared" si="1440"/>
        <v>0</v>
      </c>
      <c r="IR888" s="350">
        <f t="shared" si="1441"/>
        <v>0</v>
      </c>
      <c r="IS888" s="346">
        <f t="shared" si="1410"/>
        <v>0</v>
      </c>
      <c r="IT888" s="350">
        <f t="shared" si="1412"/>
        <v>0</v>
      </c>
      <c r="IU888" s="350">
        <f t="shared" si="1413"/>
        <v>0</v>
      </c>
      <c r="IV888" s="346">
        <f t="shared" si="1409"/>
        <v>0</v>
      </c>
      <c r="IW888" s="350">
        <f t="shared" si="1428"/>
        <v>0</v>
      </c>
      <c r="IX888" s="350">
        <f t="shared" si="1426"/>
        <v>0</v>
      </c>
      <c r="IY888" s="346">
        <f>FISC!AJ1209</f>
        <v>0</v>
      </c>
      <c r="IZ888" s="350">
        <f t="shared" si="1444"/>
        <v>0</v>
      </c>
      <c r="JA888" s="302">
        <f t="shared" si="1433"/>
        <v>0</v>
      </c>
      <c r="JB888" s="346">
        <f>FISC!AK1209</f>
        <v>0</v>
      </c>
      <c r="JC888" s="350">
        <f>JE888*0.48</f>
        <v>0</v>
      </c>
      <c r="JD888" s="302">
        <f t="shared" si="1434"/>
        <v>0</v>
      </c>
      <c r="JE888" s="346">
        <f>FISC!AL1209</f>
        <v>0</v>
      </c>
      <c r="JF888" s="350">
        <f>JH888*0.48</f>
        <v>0</v>
      </c>
      <c r="JG888" s="302">
        <f t="shared" si="1435"/>
        <v>0</v>
      </c>
      <c r="JH888" s="346">
        <f>FISC!AM1209</f>
        <v>0</v>
      </c>
      <c r="JI888" s="350">
        <f>JK888*0.48</f>
        <v>0</v>
      </c>
      <c r="JJ888" s="302">
        <f t="shared" si="1436"/>
        <v>0</v>
      </c>
      <c r="JK888" s="346">
        <f>FISC!AN1209</f>
        <v>0</v>
      </c>
      <c r="JL888" s="350">
        <f>JN888*0.48</f>
        <v>0</v>
      </c>
      <c r="JM888" s="302">
        <f t="shared" si="1437"/>
        <v>0</v>
      </c>
      <c r="JN888" s="346">
        <f>FISC!AO1209</f>
        <v>0</v>
      </c>
      <c r="KI888" s="349"/>
      <c r="KJ888" s="350"/>
    </row>
    <row r="889" spans="1:302" hidden="1" outlineLevel="1">
      <c r="A889" s="302"/>
      <c r="D889" s="1640" t="s">
        <v>3136</v>
      </c>
      <c r="E889" s="346"/>
      <c r="F889" s="346"/>
      <c r="G889" s="346"/>
      <c r="H889" s="346"/>
      <c r="I889" s="346"/>
      <c r="J889" s="346"/>
      <c r="K889" s="346"/>
      <c r="L889" s="346"/>
      <c r="M889" s="346"/>
      <c r="N889" s="346"/>
      <c r="O889" s="346"/>
      <c r="P889" s="346"/>
      <c r="Q889" s="346"/>
      <c r="R889" s="346"/>
      <c r="S889" s="346"/>
      <c r="T889" s="346"/>
      <c r="U889" s="346"/>
      <c r="V889" s="346"/>
      <c r="W889" s="346"/>
      <c r="X889" s="346"/>
      <c r="Y889" s="346"/>
      <c r="Z889" s="346"/>
      <c r="AA889" s="346"/>
      <c r="AB889" s="346"/>
      <c r="AC889" s="346"/>
      <c r="AD889" s="346"/>
      <c r="AE889" s="346"/>
      <c r="AF889" s="346"/>
      <c r="AG889" s="346"/>
      <c r="AH889" s="346"/>
      <c r="AI889" s="346"/>
      <c r="AJ889" s="346"/>
      <c r="AK889" s="346"/>
      <c r="AL889" s="346"/>
      <c r="AM889" s="346"/>
      <c r="AN889" s="346"/>
      <c r="AO889" s="346"/>
      <c r="AP889" s="346"/>
      <c r="AQ889" s="346"/>
      <c r="AR889" s="346"/>
      <c r="AS889" s="346"/>
      <c r="AT889" s="346"/>
      <c r="AU889" s="346"/>
      <c r="AV889" s="346"/>
      <c r="AW889" s="346"/>
      <c r="AX889" s="346"/>
      <c r="AY889" s="346"/>
      <c r="AZ889" s="346"/>
      <c r="BA889" s="346"/>
      <c r="BB889" s="346"/>
      <c r="BC889" s="346"/>
      <c r="BD889" s="346"/>
      <c r="BE889" s="346"/>
      <c r="BF889" s="346"/>
      <c r="BG889" s="346"/>
      <c r="BH889" s="346"/>
      <c r="BI889" s="346"/>
      <c r="BJ889" s="346"/>
      <c r="BK889" s="346"/>
      <c r="BL889" s="346"/>
      <c r="BM889" s="346"/>
      <c r="BN889" s="346"/>
      <c r="BO889" s="346"/>
      <c r="BP889" s="346"/>
      <c r="BQ889" s="346"/>
      <c r="BR889" s="346"/>
      <c r="BS889" s="346"/>
      <c r="BT889" s="346"/>
      <c r="BU889" s="346"/>
      <c r="BV889" s="346"/>
      <c r="BW889" s="346"/>
      <c r="BX889" s="346"/>
      <c r="BY889" s="346"/>
      <c r="BZ889" s="346"/>
      <c r="CA889" s="346"/>
      <c r="CB889" s="346"/>
      <c r="CC889" s="346"/>
      <c r="CD889" s="352"/>
      <c r="CE889" s="346">
        <v>0</v>
      </c>
      <c r="CF889" s="346">
        <v>0</v>
      </c>
      <c r="CG889" s="346">
        <v>0</v>
      </c>
      <c r="CH889" s="346">
        <v>0</v>
      </c>
      <c r="CI889" s="346">
        <v>0</v>
      </c>
      <c r="CJ889" s="346">
        <v>0</v>
      </c>
      <c r="CK889" s="346">
        <v>0</v>
      </c>
      <c r="CL889" s="346">
        <v>0</v>
      </c>
      <c r="CM889" s="346">
        <v>0</v>
      </c>
      <c r="CN889" s="346">
        <v>0</v>
      </c>
      <c r="CO889" s="346">
        <v>0</v>
      </c>
      <c r="CP889" s="348">
        <v>0</v>
      </c>
      <c r="CQ889" s="346"/>
      <c r="CR889" s="346"/>
      <c r="CS889" s="346"/>
      <c r="CT889" s="346"/>
      <c r="CU889" s="346"/>
      <c r="CV889" s="346"/>
      <c r="CW889" s="346"/>
      <c r="CX889" s="346"/>
      <c r="CY889" s="346"/>
      <c r="CZ889" s="346"/>
      <c r="DA889" s="346"/>
      <c r="DB889" s="1479"/>
      <c r="DC889" s="346"/>
      <c r="DD889" s="346"/>
      <c r="DE889" s="346"/>
      <c r="DF889" s="346"/>
      <c r="DG889" s="346"/>
      <c r="DH889" s="346"/>
      <c r="DI889" s="346"/>
      <c r="DJ889" s="346"/>
      <c r="DK889" s="346"/>
      <c r="DL889" s="346"/>
      <c r="DM889" s="346"/>
      <c r="DN889" s="348"/>
      <c r="DO889" s="346"/>
      <c r="DP889" s="346"/>
      <c r="DQ889" s="346"/>
      <c r="DR889" s="346"/>
      <c r="DS889" s="346"/>
      <c r="DT889" s="346"/>
      <c r="DU889" s="346"/>
      <c r="DV889" s="346"/>
      <c r="DW889" s="346"/>
      <c r="DX889" s="346">
        <v>0</v>
      </c>
      <c r="DY889" s="346">
        <v>0</v>
      </c>
      <c r="DZ889" s="348">
        <v>0</v>
      </c>
      <c r="EA889" s="346">
        <v>0</v>
      </c>
      <c r="EB889" s="346">
        <v>0</v>
      </c>
      <c r="EC889" s="346">
        <v>0</v>
      </c>
      <c r="ED889" s="346">
        <v>0</v>
      </c>
      <c r="EE889" s="346">
        <v>0</v>
      </c>
      <c r="EF889" s="346">
        <v>0</v>
      </c>
      <c r="EG889" s="346">
        <v>0</v>
      </c>
      <c r="EH889" s="346">
        <v>0</v>
      </c>
      <c r="EI889" s="346">
        <v>0</v>
      </c>
      <c r="EJ889" s="346">
        <v>0</v>
      </c>
      <c r="EK889" s="346">
        <v>0</v>
      </c>
      <c r="EL889" s="348">
        <v>0</v>
      </c>
      <c r="EM889" s="346">
        <v>0</v>
      </c>
      <c r="EN889" s="346">
        <v>0</v>
      </c>
      <c r="EO889" s="346">
        <v>0</v>
      </c>
      <c r="EP889" s="346">
        <v>0</v>
      </c>
      <c r="EQ889" s="346">
        <v>0</v>
      </c>
      <c r="ER889" s="346">
        <v>0</v>
      </c>
      <c r="ES889" s="346">
        <v>0</v>
      </c>
      <c r="ET889" s="346">
        <v>0</v>
      </c>
      <c r="EU889" s="346">
        <v>0</v>
      </c>
      <c r="EV889" s="346">
        <v>0</v>
      </c>
      <c r="EW889" s="346">
        <v>0</v>
      </c>
      <c r="EX889" s="348">
        <v>0</v>
      </c>
      <c r="EY889" s="346">
        <v>0</v>
      </c>
      <c r="EZ889" s="346">
        <v>0</v>
      </c>
      <c r="FA889" s="346">
        <v>0</v>
      </c>
      <c r="FB889" s="346">
        <v>0</v>
      </c>
      <c r="FC889" s="346">
        <v>0</v>
      </c>
      <c r="FD889" s="346"/>
      <c r="FE889" s="346"/>
      <c r="FF889" s="346"/>
      <c r="FG889" s="346"/>
      <c r="FH889" s="346"/>
      <c r="FI889" s="346"/>
      <c r="FJ889" s="348"/>
      <c r="FK889" s="346">
        <v>0</v>
      </c>
      <c r="FL889" s="346">
        <v>0</v>
      </c>
      <c r="FM889" s="346">
        <v>0</v>
      </c>
      <c r="FN889" s="346">
        <v>0</v>
      </c>
      <c r="FO889" s="346">
        <v>0</v>
      </c>
      <c r="FP889" s="346">
        <v>0</v>
      </c>
      <c r="FQ889" s="346">
        <v>0</v>
      </c>
      <c r="FR889" s="346">
        <v>0</v>
      </c>
      <c r="FS889" s="346">
        <v>0</v>
      </c>
      <c r="FT889" s="346">
        <v>0</v>
      </c>
      <c r="FU889" s="346">
        <v>0</v>
      </c>
      <c r="FV889" s="346">
        <v>0</v>
      </c>
      <c r="FW889" s="346">
        <v>0</v>
      </c>
      <c r="FX889" s="346">
        <v>0</v>
      </c>
      <c r="FY889" s="346">
        <v>0</v>
      </c>
      <c r="FZ889" s="346">
        <v>0</v>
      </c>
      <c r="GA889" s="346">
        <v>0</v>
      </c>
      <c r="GB889" s="346">
        <v>0</v>
      </c>
      <c r="GC889" s="346">
        <v>0</v>
      </c>
      <c r="GD889" s="346">
        <v>0</v>
      </c>
      <c r="GE889" s="346">
        <v>0</v>
      </c>
      <c r="GF889" s="346">
        <v>0</v>
      </c>
      <c r="GG889" s="346">
        <v>0</v>
      </c>
      <c r="GH889" s="346">
        <v>0</v>
      </c>
      <c r="GI889" s="1897"/>
      <c r="HN889" s="349"/>
      <c r="HO889" s="1640" t="s">
        <v>3136</v>
      </c>
      <c r="HP889" s="307"/>
      <c r="HR889" s="346"/>
      <c r="HU889" s="346"/>
      <c r="HV889" s="307"/>
      <c r="HX889" s="346"/>
      <c r="HY889" s="350"/>
      <c r="IA889" s="346"/>
      <c r="ID889" s="346"/>
      <c r="IE889" s="350"/>
      <c r="IF889" s="350"/>
      <c r="IG889" s="346"/>
      <c r="IH889" s="350"/>
      <c r="II889" s="350"/>
      <c r="IJ889" s="346"/>
      <c r="IK889" s="350">
        <f>SUM(FK889:FP889)</f>
        <v>0</v>
      </c>
      <c r="IL889" s="350">
        <f t="shared" si="1411"/>
        <v>0</v>
      </c>
      <c r="IM889" s="346">
        <f t="shared" si="1430"/>
        <v>0</v>
      </c>
      <c r="IN889" s="350">
        <f t="shared" si="1438"/>
        <v>0</v>
      </c>
      <c r="IO889" s="350">
        <f t="shared" si="1439"/>
        <v>0</v>
      </c>
      <c r="IP889" s="346">
        <f t="shared" si="1443"/>
        <v>0</v>
      </c>
      <c r="IQ889" s="350">
        <f t="shared" si="1440"/>
        <v>0</v>
      </c>
      <c r="IR889" s="350">
        <f t="shared" si="1441"/>
        <v>0</v>
      </c>
      <c r="IS889" s="346">
        <f t="shared" si="1410"/>
        <v>0</v>
      </c>
      <c r="IT889" s="350">
        <f t="shared" si="1412"/>
        <v>0</v>
      </c>
      <c r="IU889" s="350">
        <f t="shared" si="1413"/>
        <v>0</v>
      </c>
      <c r="IV889" s="346">
        <f t="shared" si="1409"/>
        <v>0</v>
      </c>
      <c r="IW889" s="350">
        <f t="shared" si="1428"/>
        <v>0</v>
      </c>
      <c r="IX889" s="350">
        <f t="shared" si="1426"/>
        <v>0</v>
      </c>
      <c r="IY889" s="346">
        <f>FISC!AJ1210</f>
        <v>0</v>
      </c>
      <c r="IZ889" s="350">
        <f t="shared" si="1444"/>
        <v>0</v>
      </c>
      <c r="JA889" s="302">
        <f t="shared" si="1433"/>
        <v>0</v>
      </c>
      <c r="JB889" s="346">
        <f>FISC!AK1210</f>
        <v>0</v>
      </c>
      <c r="JC889" s="350">
        <f>JE889*0.48</f>
        <v>0</v>
      </c>
      <c r="JD889" s="302">
        <f t="shared" si="1434"/>
        <v>0</v>
      </c>
      <c r="JE889" s="346">
        <f>FISC!AL1210</f>
        <v>0</v>
      </c>
      <c r="JF889" s="350">
        <f>JH889*0.48</f>
        <v>0</v>
      </c>
      <c r="JG889" s="302">
        <f t="shared" si="1435"/>
        <v>0</v>
      </c>
      <c r="JH889" s="346">
        <f>FISC!AM1210</f>
        <v>0</v>
      </c>
      <c r="JI889" s="350">
        <f>JK889*0.48</f>
        <v>0</v>
      </c>
      <c r="JJ889" s="302">
        <f t="shared" si="1436"/>
        <v>0</v>
      </c>
      <c r="JK889" s="346">
        <f>FISC!AN1210</f>
        <v>0</v>
      </c>
      <c r="JL889" s="350">
        <f>JN889*0.48</f>
        <v>0</v>
      </c>
      <c r="JM889" s="302">
        <f t="shared" si="1437"/>
        <v>0</v>
      </c>
      <c r="JN889" s="346">
        <f>FISC!AO1210</f>
        <v>0</v>
      </c>
      <c r="KI889" s="349"/>
      <c r="KJ889" s="350"/>
    </row>
    <row r="890" spans="1:302" hidden="1" outlineLevel="1">
      <c r="A890" s="302"/>
      <c r="B890" s="117" t="s">
        <v>361</v>
      </c>
      <c r="D890" s="356" t="s">
        <v>602</v>
      </c>
      <c r="E890" s="346"/>
      <c r="F890" s="346"/>
      <c r="G890" s="346"/>
      <c r="H890" s="346"/>
      <c r="I890" s="346"/>
      <c r="J890" s="346"/>
      <c r="K890" s="346"/>
      <c r="L890" s="346"/>
      <c r="M890" s="346"/>
      <c r="N890" s="346"/>
      <c r="O890" s="346"/>
      <c r="P890" s="346"/>
      <c r="Q890" s="346"/>
      <c r="R890" s="346"/>
      <c r="S890" s="346"/>
      <c r="T890" s="346"/>
      <c r="U890" s="346"/>
      <c r="V890" s="346"/>
      <c r="W890" s="346"/>
      <c r="X890" s="346"/>
      <c r="Y890" s="346"/>
      <c r="Z890" s="346"/>
      <c r="AA890" s="346"/>
      <c r="AB890" s="346"/>
      <c r="AC890" s="346"/>
      <c r="AD890" s="346"/>
      <c r="AE890" s="346"/>
      <c r="AF890" s="346"/>
      <c r="AG890" s="346"/>
      <c r="AH890" s="346"/>
      <c r="AI890" s="346"/>
      <c r="AJ890" s="346"/>
      <c r="AK890" s="346"/>
      <c r="AL890" s="346"/>
      <c r="AM890" s="346"/>
      <c r="AN890" s="346"/>
      <c r="AO890" s="346"/>
      <c r="AP890" s="346"/>
      <c r="AQ890" s="346"/>
      <c r="AR890" s="346"/>
      <c r="AS890" s="346"/>
      <c r="AT890" s="346"/>
      <c r="AU890" s="346"/>
      <c r="AV890" s="346"/>
      <c r="AW890" s="346"/>
      <c r="AX890" s="346"/>
      <c r="AY890" s="346"/>
      <c r="AZ890" s="346"/>
      <c r="BA890" s="346"/>
      <c r="BB890" s="346"/>
      <c r="BC890" s="346"/>
      <c r="BD890" s="346"/>
      <c r="BE890" s="346"/>
      <c r="BF890" s="346"/>
      <c r="BG890" s="346"/>
      <c r="BH890" s="346"/>
      <c r="BI890" s="346"/>
      <c r="BJ890" s="346"/>
      <c r="BK890" s="346"/>
      <c r="BL890" s="346"/>
      <c r="BM890" s="346"/>
      <c r="BN890" s="346"/>
      <c r="BO890" s="346"/>
      <c r="BP890" s="346"/>
      <c r="BQ890" s="346"/>
      <c r="BR890" s="346"/>
      <c r="BS890" s="346"/>
      <c r="BT890" s="346"/>
      <c r="BU890" s="346"/>
      <c r="BV890" s="346"/>
      <c r="BW890" s="346"/>
      <c r="BX890" s="346"/>
      <c r="BY890" s="346"/>
      <c r="BZ890" s="346"/>
      <c r="CA890" s="346"/>
      <c r="CB890" s="346"/>
      <c r="CC890" s="346"/>
      <c r="CD890" s="352"/>
      <c r="CE890" s="346">
        <v>0</v>
      </c>
      <c r="CF890" s="346">
        <v>0</v>
      </c>
      <c r="CG890" s="346">
        <v>0</v>
      </c>
      <c r="CH890" s="346">
        <v>0</v>
      </c>
      <c r="CI890" s="346">
        <v>0</v>
      </c>
      <c r="CJ890" s="346">
        <v>0</v>
      </c>
      <c r="CK890" s="346">
        <v>0</v>
      </c>
      <c r="CL890" s="346">
        <v>0</v>
      </c>
      <c r="CM890" s="346">
        <v>0</v>
      </c>
      <c r="CN890" s="346">
        <v>0</v>
      </c>
      <c r="CO890" s="346">
        <v>0</v>
      </c>
      <c r="CP890" s="348">
        <v>0</v>
      </c>
      <c r="CQ890" s="346">
        <v>0</v>
      </c>
      <c r="CR890" s="346">
        <v>0</v>
      </c>
      <c r="CS890" s="346">
        <v>0</v>
      </c>
      <c r="CT890" s="346">
        <v>0</v>
      </c>
      <c r="CU890" s="346">
        <v>0</v>
      </c>
      <c r="CV890" s="346">
        <v>0</v>
      </c>
      <c r="CW890" s="346">
        <v>0</v>
      </c>
      <c r="CX890" s="346">
        <v>0</v>
      </c>
      <c r="CY890" s="346">
        <v>0</v>
      </c>
      <c r="CZ890" s="346">
        <v>0</v>
      </c>
      <c r="DA890" s="346">
        <v>0</v>
      </c>
      <c r="DB890" s="1479">
        <v>0</v>
      </c>
      <c r="DC890" s="346">
        <v>0</v>
      </c>
      <c r="DD890" s="346">
        <v>0</v>
      </c>
      <c r="DE890" s="346">
        <v>0</v>
      </c>
      <c r="DF890" s="346">
        <v>0</v>
      </c>
      <c r="DG890" s="346">
        <v>0</v>
      </c>
      <c r="DH890" s="346">
        <v>0</v>
      </c>
      <c r="DI890" s="346">
        <v>0</v>
      </c>
      <c r="DJ890" s="346">
        <v>0</v>
      </c>
      <c r="DK890" s="346">
        <v>0</v>
      </c>
      <c r="DL890" s="346">
        <v>0</v>
      </c>
      <c r="DM890" s="346">
        <v>0</v>
      </c>
      <c r="DN890" s="348">
        <v>0</v>
      </c>
      <c r="DO890" s="346">
        <v>0</v>
      </c>
      <c r="DP890" s="346">
        <v>0</v>
      </c>
      <c r="DQ890" s="346">
        <v>0</v>
      </c>
      <c r="DR890" s="346">
        <v>0</v>
      </c>
      <c r="DS890" s="346">
        <v>0</v>
      </c>
      <c r="DT890" s="346">
        <v>0</v>
      </c>
      <c r="DU890" s="346">
        <v>0</v>
      </c>
      <c r="DV890" s="346">
        <v>0</v>
      </c>
      <c r="DW890" s="346">
        <v>0</v>
      </c>
      <c r="DX890" s="346">
        <v>0</v>
      </c>
      <c r="DY890" s="346">
        <v>0</v>
      </c>
      <c r="DZ890" s="348">
        <v>0</v>
      </c>
      <c r="EA890" s="346">
        <v>0</v>
      </c>
      <c r="EB890" s="346">
        <v>0</v>
      </c>
      <c r="EC890" s="346">
        <v>0</v>
      </c>
      <c r="ED890" s="346">
        <v>0</v>
      </c>
      <c r="EE890" s="346">
        <v>0</v>
      </c>
      <c r="EF890" s="346">
        <v>0</v>
      </c>
      <c r="EG890" s="346">
        <v>0</v>
      </c>
      <c r="EH890" s="346">
        <v>0</v>
      </c>
      <c r="EI890" s="346">
        <v>0</v>
      </c>
      <c r="EJ890" s="346">
        <v>0</v>
      </c>
      <c r="EK890" s="346">
        <v>0</v>
      </c>
      <c r="EL890" s="348">
        <v>0</v>
      </c>
      <c r="EM890" s="346">
        <v>0</v>
      </c>
      <c r="EN890" s="346">
        <v>0</v>
      </c>
      <c r="EO890" s="346">
        <v>0</v>
      </c>
      <c r="EP890" s="346">
        <v>0</v>
      </c>
      <c r="EQ890" s="346">
        <v>0</v>
      </c>
      <c r="ER890" s="346">
        <v>0</v>
      </c>
      <c r="ES890" s="346">
        <v>0</v>
      </c>
      <c r="ET890" s="346">
        <v>0</v>
      </c>
      <c r="EU890" s="346">
        <v>0</v>
      </c>
      <c r="EV890" s="346">
        <v>0</v>
      </c>
      <c r="EW890" s="346">
        <v>0</v>
      </c>
      <c r="EX890" s="348">
        <v>0</v>
      </c>
      <c r="EY890" s="346">
        <v>0</v>
      </c>
      <c r="EZ890" s="346">
        <v>0</v>
      </c>
      <c r="FA890" s="346">
        <v>0</v>
      </c>
      <c r="FB890" s="346">
        <v>0</v>
      </c>
      <c r="FC890" s="346">
        <v>0</v>
      </c>
      <c r="FD890" s="346">
        <v>0</v>
      </c>
      <c r="FE890" s="346">
        <v>0</v>
      </c>
      <c r="FF890" s="346">
        <v>0</v>
      </c>
      <c r="FG890" s="346">
        <v>0</v>
      </c>
      <c r="FH890" s="346">
        <v>0</v>
      </c>
      <c r="FI890" s="346">
        <v>0</v>
      </c>
      <c r="FJ890" s="348">
        <v>0</v>
      </c>
      <c r="FK890" s="346">
        <v>0</v>
      </c>
      <c r="FL890" s="346">
        <v>0</v>
      </c>
      <c r="FM890" s="346">
        <v>0</v>
      </c>
      <c r="FN890" s="346">
        <v>0</v>
      </c>
      <c r="FO890" s="346">
        <v>0</v>
      </c>
      <c r="FP890" s="346">
        <v>0</v>
      </c>
      <c r="FQ890" s="346">
        <v>0</v>
      </c>
      <c r="FR890" s="346">
        <v>0</v>
      </c>
      <c r="FS890" s="346">
        <v>0</v>
      </c>
      <c r="FT890" s="346">
        <v>0</v>
      </c>
      <c r="FU890" s="346">
        <v>0</v>
      </c>
      <c r="FV890" s="346">
        <v>0</v>
      </c>
      <c r="FW890" s="346">
        <v>0</v>
      </c>
      <c r="FX890" s="346">
        <v>0</v>
      </c>
      <c r="FY890" s="346">
        <v>0</v>
      </c>
      <c r="FZ890" s="346">
        <v>0</v>
      </c>
      <c r="GA890" s="346">
        <v>0</v>
      </c>
      <c r="GB890" s="346">
        <v>0</v>
      </c>
      <c r="GC890" s="346">
        <v>0</v>
      </c>
      <c r="GD890" s="346">
        <v>0</v>
      </c>
      <c r="GE890" s="346">
        <v>0</v>
      </c>
      <c r="GF890" s="346">
        <v>153.84836347500001</v>
      </c>
      <c r="GG890" s="346">
        <v>0</v>
      </c>
      <c r="GH890" s="346">
        <v>0</v>
      </c>
      <c r="GI890" s="1897">
        <f t="shared" ref="GI890:HL890" si="1445">GI891</f>
        <v>0</v>
      </c>
      <c r="GJ890" s="1897">
        <f t="shared" si="1445"/>
        <v>0</v>
      </c>
      <c r="GK890" s="1897">
        <f t="shared" si="1445"/>
        <v>0</v>
      </c>
      <c r="GL890" s="1897">
        <f t="shared" si="1445"/>
        <v>0</v>
      </c>
      <c r="GM890" s="1897">
        <f t="shared" si="1445"/>
        <v>0</v>
      </c>
      <c r="GN890" s="1897">
        <f t="shared" si="1445"/>
        <v>0</v>
      </c>
      <c r="GO890" s="1897">
        <f t="shared" si="1445"/>
        <v>0</v>
      </c>
      <c r="GP890" s="1897">
        <f t="shared" si="1445"/>
        <v>0</v>
      </c>
      <c r="GQ890" s="1897">
        <f t="shared" si="1445"/>
        <v>0</v>
      </c>
      <c r="GR890" s="1897">
        <f>GR891</f>
        <v>-68.114324774020005</v>
      </c>
      <c r="GS890" s="1897">
        <f t="shared" si="1445"/>
        <v>0</v>
      </c>
      <c r="GT890" s="1897">
        <f t="shared" si="1445"/>
        <v>0</v>
      </c>
      <c r="GU890" s="1897">
        <f t="shared" si="1445"/>
        <v>0</v>
      </c>
      <c r="GV890" s="1897">
        <f t="shared" si="1445"/>
        <v>0</v>
      </c>
      <c r="GW890" s="1897">
        <f t="shared" si="1445"/>
        <v>0</v>
      </c>
      <c r="GX890" s="1897">
        <f t="shared" si="1445"/>
        <v>0</v>
      </c>
      <c r="GY890" s="1897">
        <f t="shared" si="1445"/>
        <v>0</v>
      </c>
      <c r="GZ890" s="1897">
        <f t="shared" si="1445"/>
        <v>0</v>
      </c>
      <c r="HA890" s="1897">
        <f t="shared" si="1445"/>
        <v>0</v>
      </c>
      <c r="HB890" s="1897">
        <f t="shared" si="1445"/>
        <v>0</v>
      </c>
      <c r="HC890" s="1897">
        <f t="shared" si="1445"/>
        <v>0</v>
      </c>
      <c r="HD890" s="1897">
        <f t="shared" si="1445"/>
        <v>0</v>
      </c>
      <c r="HE890" s="1897">
        <f t="shared" si="1445"/>
        <v>0</v>
      </c>
      <c r="HF890" s="1897">
        <f t="shared" si="1445"/>
        <v>0</v>
      </c>
      <c r="HG890" s="1897">
        <f t="shared" si="1445"/>
        <v>0</v>
      </c>
      <c r="HH890" s="1897">
        <f t="shared" si="1445"/>
        <v>0</v>
      </c>
      <c r="HI890" s="1897">
        <f t="shared" si="1445"/>
        <v>0</v>
      </c>
      <c r="HJ890" s="1897">
        <f t="shared" si="1445"/>
        <v>0</v>
      </c>
      <c r="HK890" s="1897">
        <f t="shared" si="1445"/>
        <v>0</v>
      </c>
      <c r="HL890" s="1897">
        <f t="shared" si="1445"/>
        <v>0</v>
      </c>
      <c r="HM890" s="1897"/>
      <c r="HN890" s="349"/>
      <c r="HO890" s="356" t="s">
        <v>602</v>
      </c>
      <c r="HP890" s="307">
        <f>SUM(CE890:CJ890)</f>
        <v>0</v>
      </c>
      <c r="HQ890" s="302">
        <f>SUM(CK890:CP890)</f>
        <v>0</v>
      </c>
      <c r="HR890" s="346">
        <f>HP890+HQ890</f>
        <v>0</v>
      </c>
      <c r="HS890" s="302">
        <f>SUM(CQ890:CV890)</f>
        <v>0</v>
      </c>
      <c r="HT890" s="302">
        <f>SUM(CW890:DB890)</f>
        <v>0</v>
      </c>
      <c r="HU890" s="346">
        <f>HS890+HT890</f>
        <v>0</v>
      </c>
      <c r="HV890" s="307">
        <f>SUM(DC890:DH890)</f>
        <v>0</v>
      </c>
      <c r="HW890" s="302">
        <f>SUM(DI890:DN890)</f>
        <v>0</v>
      </c>
      <c r="HX890" s="346">
        <f>HV890+HW890</f>
        <v>0</v>
      </c>
      <c r="HY890" s="350">
        <f>SUM(DO890:DT890)</f>
        <v>0</v>
      </c>
      <c r="HZ890" s="302">
        <f>SUM(DU890:DZ890)</f>
        <v>0</v>
      </c>
      <c r="IA890" s="346">
        <f>HY890+HZ890</f>
        <v>0</v>
      </c>
      <c r="IB890" s="302">
        <f>SUM(EA890:EF890)</f>
        <v>0</v>
      </c>
      <c r="IC890" s="302">
        <f>SUM(EG890:EL890)</f>
        <v>0</v>
      </c>
      <c r="ID890" s="346">
        <f>IB890+IC890</f>
        <v>0</v>
      </c>
      <c r="IE890" s="350">
        <f>SUM(EM890:ER890)</f>
        <v>0</v>
      </c>
      <c r="IF890" s="350">
        <f>SUM(ES890:EX890)</f>
        <v>0</v>
      </c>
      <c r="IG890" s="346">
        <f>IE890+IF890</f>
        <v>0</v>
      </c>
      <c r="IH890" s="350">
        <f>SUM(EY890:FD890)</f>
        <v>0</v>
      </c>
      <c r="II890" s="350">
        <f>SUM(FE890:FJ890)</f>
        <v>0</v>
      </c>
      <c r="IJ890" s="346">
        <f>IH890+II890</f>
        <v>0</v>
      </c>
      <c r="IK890" s="350">
        <f>SUM(FK890:FP890)</f>
        <v>0</v>
      </c>
      <c r="IL890" s="350">
        <f t="shared" si="1411"/>
        <v>0</v>
      </c>
      <c r="IM890" s="346">
        <f t="shared" si="1430"/>
        <v>0</v>
      </c>
      <c r="IN890" s="350">
        <f t="shared" si="1438"/>
        <v>0</v>
      </c>
      <c r="IO890" s="350">
        <f t="shared" si="1439"/>
        <v>153.84836347500001</v>
      </c>
      <c r="IP890" s="346">
        <f t="shared" si="1443"/>
        <v>153.84836347500001</v>
      </c>
      <c r="IQ890" s="350">
        <f t="shared" si="1440"/>
        <v>0</v>
      </c>
      <c r="IR890" s="350">
        <f t="shared" si="1441"/>
        <v>-68.114324774020005</v>
      </c>
      <c r="IS890" s="346">
        <f t="shared" si="1410"/>
        <v>-68.114324774020005</v>
      </c>
      <c r="IT890" s="350">
        <v>0</v>
      </c>
      <c r="IU890" s="350">
        <f t="shared" si="1413"/>
        <v>0</v>
      </c>
      <c r="IV890" s="346">
        <f t="shared" si="1409"/>
        <v>0</v>
      </c>
      <c r="IW890" s="350">
        <f t="shared" si="1428"/>
        <v>0</v>
      </c>
      <c r="IX890" s="1624">
        <f t="shared" si="1426"/>
        <v>0</v>
      </c>
      <c r="IY890" s="346">
        <f>FISC!AJ1211</f>
        <v>0</v>
      </c>
      <c r="IZ890" s="1624">
        <v>0</v>
      </c>
      <c r="JA890" s="1624">
        <v>0</v>
      </c>
      <c r="JB890" s="346">
        <f>FISC!AK1211</f>
        <v>0</v>
      </c>
      <c r="JC890" s="1624">
        <v>0</v>
      </c>
      <c r="JD890" s="1624">
        <v>0</v>
      </c>
      <c r="JE890" s="346">
        <f>FISC!AL1211</f>
        <v>0</v>
      </c>
      <c r="JF890" s="1624">
        <v>0</v>
      </c>
      <c r="JG890" s="1624">
        <v>0</v>
      </c>
      <c r="JH890" s="346">
        <f>FISC!AM1211</f>
        <v>0</v>
      </c>
      <c r="JI890" s="1624">
        <v>0</v>
      </c>
      <c r="JJ890" s="1624">
        <v>0</v>
      </c>
      <c r="JK890" s="346">
        <f>FISC!AN1211</f>
        <v>0</v>
      </c>
      <c r="JL890" s="1624">
        <v>0</v>
      </c>
      <c r="JM890" s="1624">
        <v>0</v>
      </c>
      <c r="JN890" s="346">
        <f>FISC!AO1211</f>
        <v>0</v>
      </c>
      <c r="KI890" s="349"/>
      <c r="KJ890" s="350"/>
    </row>
    <row r="891" spans="1:302" hidden="1" outlineLevel="1">
      <c r="A891" s="302"/>
      <c r="D891" s="1807" t="s">
        <v>3290</v>
      </c>
      <c r="E891" s="346"/>
      <c r="F891" s="346"/>
      <c r="G891" s="346"/>
      <c r="H891" s="346"/>
      <c r="I891" s="346"/>
      <c r="J891" s="346"/>
      <c r="K891" s="346"/>
      <c r="L891" s="346"/>
      <c r="M891" s="346"/>
      <c r="N891" s="346"/>
      <c r="O891" s="346"/>
      <c r="P891" s="346"/>
      <c r="Q891" s="346"/>
      <c r="R891" s="346"/>
      <c r="S891" s="346"/>
      <c r="T891" s="346"/>
      <c r="U891" s="346"/>
      <c r="V891" s="346"/>
      <c r="W891" s="346"/>
      <c r="X891" s="346"/>
      <c r="Y891" s="346"/>
      <c r="Z891" s="346"/>
      <c r="AA891" s="346"/>
      <c r="AB891" s="346"/>
      <c r="AC891" s="346"/>
      <c r="AD891" s="346"/>
      <c r="AE891" s="346"/>
      <c r="AF891" s="346"/>
      <c r="AG891" s="346"/>
      <c r="AH891" s="346"/>
      <c r="AI891" s="346"/>
      <c r="AJ891" s="346"/>
      <c r="AK891" s="346"/>
      <c r="AL891" s="346"/>
      <c r="AM891" s="346"/>
      <c r="AN891" s="346"/>
      <c r="AO891" s="346"/>
      <c r="AP891" s="346"/>
      <c r="AQ891" s="346"/>
      <c r="AR891" s="346"/>
      <c r="AS891" s="346"/>
      <c r="AT891" s="346"/>
      <c r="AU891" s="346"/>
      <c r="AV891" s="346"/>
      <c r="AW891" s="346"/>
      <c r="AX891" s="346"/>
      <c r="AY891" s="346"/>
      <c r="AZ891" s="346"/>
      <c r="BA891" s="346"/>
      <c r="BB891" s="346"/>
      <c r="BC891" s="346"/>
      <c r="BD891" s="346"/>
      <c r="BE891" s="346"/>
      <c r="BF891" s="346"/>
      <c r="BG891" s="346"/>
      <c r="BH891" s="346"/>
      <c r="BI891" s="346"/>
      <c r="BJ891" s="346"/>
      <c r="BK891" s="346"/>
      <c r="BL891" s="346"/>
      <c r="BM891" s="346"/>
      <c r="BN891" s="346"/>
      <c r="BO891" s="346"/>
      <c r="BP891" s="346"/>
      <c r="BQ891" s="346"/>
      <c r="BR891" s="346"/>
      <c r="BS891" s="346"/>
      <c r="BT891" s="346"/>
      <c r="BU891" s="346"/>
      <c r="BV891" s="346"/>
      <c r="BW891" s="346"/>
      <c r="BX891" s="346"/>
      <c r="BY891" s="346"/>
      <c r="BZ891" s="346"/>
      <c r="CA891" s="346"/>
      <c r="CB891" s="346"/>
      <c r="CC891" s="346"/>
      <c r="CD891" s="352"/>
      <c r="CE891" s="346"/>
      <c r="CF891" s="346"/>
      <c r="CG891" s="346"/>
      <c r="CH891" s="346"/>
      <c r="CI891" s="346"/>
      <c r="CJ891" s="346"/>
      <c r="CK891" s="346"/>
      <c r="CL891" s="346"/>
      <c r="CM891" s="346"/>
      <c r="CN891" s="346"/>
      <c r="CO891" s="346"/>
      <c r="CP891" s="348"/>
      <c r="CQ891" s="346"/>
      <c r="CR891" s="346"/>
      <c r="CS891" s="346"/>
      <c r="CT891" s="346"/>
      <c r="CU891" s="346"/>
      <c r="CV891" s="346"/>
      <c r="CW891" s="346"/>
      <c r="CX891" s="346"/>
      <c r="CY891" s="346"/>
      <c r="CZ891" s="346"/>
      <c r="DA891" s="346"/>
      <c r="DB891" s="1479"/>
      <c r="DC891" s="346"/>
      <c r="DD891" s="346"/>
      <c r="DE891" s="346"/>
      <c r="DF891" s="346"/>
      <c r="DG891" s="346"/>
      <c r="DH891" s="346"/>
      <c r="DI891" s="346"/>
      <c r="DJ891" s="346"/>
      <c r="DK891" s="346"/>
      <c r="DL891" s="346"/>
      <c r="DM891" s="346"/>
      <c r="DN891" s="348"/>
      <c r="DO891" s="346"/>
      <c r="DP891" s="346"/>
      <c r="DQ891" s="346"/>
      <c r="DR891" s="346"/>
      <c r="DS891" s="346"/>
      <c r="DT891" s="346"/>
      <c r="DU891" s="346"/>
      <c r="DV891" s="346"/>
      <c r="DW891" s="346"/>
      <c r="DX891" s="346"/>
      <c r="DY891" s="346"/>
      <c r="DZ891" s="348"/>
      <c r="EA891" s="346"/>
      <c r="EB891" s="346"/>
      <c r="EC891" s="346"/>
      <c r="ED891" s="346"/>
      <c r="EE891" s="346"/>
      <c r="EF891" s="346"/>
      <c r="EG891" s="346"/>
      <c r="EH891" s="346"/>
      <c r="EI891" s="346"/>
      <c r="EJ891" s="346"/>
      <c r="EK891" s="346"/>
      <c r="EL891" s="348"/>
      <c r="EM891" s="346"/>
      <c r="EN891" s="346"/>
      <c r="EO891" s="346"/>
      <c r="EP891" s="346"/>
      <c r="EQ891" s="346"/>
      <c r="ER891" s="346"/>
      <c r="ES891" s="346"/>
      <c r="ET891" s="346"/>
      <c r="EU891" s="346"/>
      <c r="EV891" s="346"/>
      <c r="EW891" s="346"/>
      <c r="EX891" s="348"/>
      <c r="EY891" s="346"/>
      <c r="EZ891" s="346"/>
      <c r="FA891" s="346"/>
      <c r="FB891" s="346"/>
      <c r="FC891" s="346"/>
      <c r="FD891" s="346"/>
      <c r="FE891" s="346"/>
      <c r="FF891" s="346"/>
      <c r="FG891" s="346"/>
      <c r="FH891" s="346"/>
      <c r="FI891" s="346"/>
      <c r="FJ891" s="348"/>
      <c r="FK891" s="346"/>
      <c r="FL891" s="346"/>
      <c r="FM891" s="346"/>
      <c r="FN891" s="346"/>
      <c r="FO891" s="346"/>
      <c r="FP891" s="346"/>
      <c r="FQ891" s="346"/>
      <c r="FR891" s="346"/>
      <c r="FS891" s="346"/>
      <c r="FT891" s="346"/>
      <c r="FU891" s="346"/>
      <c r="FV891" s="346"/>
      <c r="FW891" s="346"/>
      <c r="FX891" s="346"/>
      <c r="FY891" s="346"/>
      <c r="FZ891" s="346"/>
      <c r="GA891" s="346"/>
      <c r="GB891" s="346"/>
      <c r="GC891" s="346"/>
      <c r="GD891" s="346"/>
      <c r="GE891" s="346"/>
      <c r="GF891" s="346"/>
      <c r="GG891" s="346"/>
      <c r="GH891" s="346"/>
      <c r="GI891" s="1897">
        <v>0</v>
      </c>
      <c r="GJ891" s="1897">
        <v>0</v>
      </c>
      <c r="GK891" s="1897">
        <v>0</v>
      </c>
      <c r="GL891" s="1897">
        <v>0</v>
      </c>
      <c r="GM891" s="1897">
        <v>0</v>
      </c>
      <c r="GN891" s="1897">
        <v>0</v>
      </c>
      <c r="GO891" s="1897">
        <v>0</v>
      </c>
      <c r="GP891" s="1897">
        <v>0</v>
      </c>
      <c r="GQ891" s="1897">
        <v>0</v>
      </c>
      <c r="GR891" s="1897">
        <f>-GR927</f>
        <v>-68.114324774020005</v>
      </c>
      <c r="GS891" s="1897">
        <v>0</v>
      </c>
      <c r="GT891" s="378">
        <v>0</v>
      </c>
      <c r="GU891" s="378">
        <v>0</v>
      </c>
      <c r="GV891" s="378">
        <v>0</v>
      </c>
      <c r="GW891" s="378">
        <v>0</v>
      </c>
      <c r="GX891" s="378">
        <v>0</v>
      </c>
      <c r="GY891" s="378">
        <v>0</v>
      </c>
      <c r="GZ891" s="378">
        <v>0</v>
      </c>
      <c r="HA891" s="378">
        <v>0</v>
      </c>
      <c r="HB891" s="378">
        <v>0</v>
      </c>
      <c r="HC891" s="378">
        <v>0</v>
      </c>
      <c r="HD891" s="378">
        <v>0</v>
      </c>
      <c r="HE891" s="378">
        <v>0</v>
      </c>
      <c r="HF891" s="378">
        <v>0</v>
      </c>
      <c r="HG891" s="378">
        <v>0</v>
      </c>
      <c r="HH891" s="378">
        <v>0</v>
      </c>
      <c r="HI891" s="378">
        <v>0</v>
      </c>
      <c r="HJ891" s="378">
        <v>0</v>
      </c>
      <c r="HK891" s="378">
        <v>0</v>
      </c>
      <c r="HL891" s="378">
        <v>0</v>
      </c>
      <c r="HN891" s="349"/>
      <c r="HO891" s="356"/>
      <c r="HP891" s="307"/>
      <c r="HR891" s="346"/>
      <c r="HU891" s="346"/>
      <c r="HV891" s="307"/>
      <c r="HX891" s="346"/>
      <c r="HY891" s="350"/>
      <c r="IA891" s="346"/>
      <c r="ID891" s="346"/>
      <c r="IE891" s="350"/>
      <c r="IF891" s="350"/>
      <c r="IG891" s="346"/>
      <c r="IH891" s="350"/>
      <c r="II891" s="350"/>
      <c r="IJ891" s="346"/>
      <c r="IK891" s="350"/>
      <c r="IL891" s="350"/>
      <c r="IM891" s="346"/>
      <c r="IN891" s="350">
        <f t="shared" si="1438"/>
        <v>0</v>
      </c>
      <c r="IO891" s="350">
        <f t="shared" si="1439"/>
        <v>0</v>
      </c>
      <c r="IP891" s="346">
        <f t="shared" si="1443"/>
        <v>0</v>
      </c>
      <c r="IQ891" s="350">
        <f t="shared" si="1440"/>
        <v>0</v>
      </c>
      <c r="IR891" s="350">
        <f t="shared" si="1441"/>
        <v>-68.114324774020005</v>
      </c>
      <c r="IS891" s="346">
        <f t="shared" si="1410"/>
        <v>-68.114324774020005</v>
      </c>
      <c r="IT891" s="350"/>
      <c r="IU891" s="350">
        <f>SUM(HA891:HF891)</f>
        <v>0</v>
      </c>
      <c r="IV891" s="346">
        <f t="shared" si="1409"/>
        <v>0</v>
      </c>
      <c r="IW891" s="350">
        <f t="shared" si="1428"/>
        <v>0</v>
      </c>
      <c r="IX891" s="1624">
        <f t="shared" si="1426"/>
        <v>0</v>
      </c>
      <c r="IY891" s="346"/>
      <c r="IZ891" s="1624"/>
      <c r="JA891" s="1624"/>
      <c r="JB891" s="346"/>
      <c r="JC891" s="1624"/>
      <c r="JD891" s="1624"/>
      <c r="JE891" s="346">
        <f>FISC!AL1212</f>
        <v>0</v>
      </c>
      <c r="JF891" s="1624"/>
      <c r="JG891" s="1624"/>
      <c r="JH891" s="346">
        <f>FISC!AM1212</f>
        <v>0</v>
      </c>
      <c r="JI891" s="1624"/>
      <c r="JJ891" s="1624"/>
      <c r="JK891" s="346">
        <f>FISC!AN1212</f>
        <v>0</v>
      </c>
      <c r="JL891" s="1624"/>
      <c r="JM891" s="1624"/>
      <c r="JN891" s="346">
        <f>FISC!AO1212</f>
        <v>0</v>
      </c>
      <c r="KI891" s="349"/>
      <c r="KJ891" s="350"/>
    </row>
    <row r="892" spans="1:302" hidden="1" outlineLevel="1">
      <c r="A892" s="302"/>
      <c r="B892" s="117" t="s">
        <v>361</v>
      </c>
      <c r="D892" s="354" t="s">
        <v>603</v>
      </c>
      <c r="E892" s="346">
        <f t="shared" ref="E892:AK892" si="1446">E893+E920</f>
        <v>0</v>
      </c>
      <c r="F892" s="346">
        <f t="shared" si="1446"/>
        <v>0</v>
      </c>
      <c r="G892" s="346">
        <f t="shared" si="1446"/>
        <v>0</v>
      </c>
      <c r="H892" s="346">
        <f t="shared" si="1446"/>
        <v>0</v>
      </c>
      <c r="I892" s="346">
        <f t="shared" si="1446"/>
        <v>0</v>
      </c>
      <c r="J892" s="346">
        <f t="shared" si="1446"/>
        <v>0</v>
      </c>
      <c r="K892" s="346">
        <f t="shared" si="1446"/>
        <v>0</v>
      </c>
      <c r="L892" s="346">
        <f t="shared" si="1446"/>
        <v>0</v>
      </c>
      <c r="M892" s="346">
        <f t="shared" si="1446"/>
        <v>0</v>
      </c>
      <c r="N892" s="346">
        <f t="shared" si="1446"/>
        <v>0</v>
      </c>
      <c r="O892" s="346">
        <f t="shared" si="1446"/>
        <v>0</v>
      </c>
      <c r="P892" s="346">
        <f t="shared" si="1446"/>
        <v>0</v>
      </c>
      <c r="Q892" s="346">
        <f t="shared" si="1446"/>
        <v>0</v>
      </c>
      <c r="R892" s="346">
        <f t="shared" si="1446"/>
        <v>0</v>
      </c>
      <c r="S892" s="346">
        <f t="shared" si="1446"/>
        <v>0</v>
      </c>
      <c r="T892" s="346">
        <f t="shared" si="1446"/>
        <v>0</v>
      </c>
      <c r="U892" s="346">
        <f t="shared" si="1446"/>
        <v>0</v>
      </c>
      <c r="V892" s="346">
        <f t="shared" si="1446"/>
        <v>0</v>
      </c>
      <c r="W892" s="346">
        <f t="shared" si="1446"/>
        <v>0</v>
      </c>
      <c r="X892" s="346">
        <f t="shared" si="1446"/>
        <v>0</v>
      </c>
      <c r="Y892" s="346">
        <f t="shared" si="1446"/>
        <v>0</v>
      </c>
      <c r="Z892" s="346">
        <f t="shared" si="1446"/>
        <v>0</v>
      </c>
      <c r="AA892" s="346">
        <f t="shared" si="1446"/>
        <v>0</v>
      </c>
      <c r="AB892" s="346">
        <f t="shared" si="1446"/>
        <v>0</v>
      </c>
      <c r="AC892" s="346">
        <f t="shared" si="1446"/>
        <v>0</v>
      </c>
      <c r="AD892" s="346">
        <f t="shared" si="1446"/>
        <v>0</v>
      </c>
      <c r="AE892" s="346">
        <f t="shared" si="1446"/>
        <v>0</v>
      </c>
      <c r="AF892" s="346">
        <f t="shared" si="1446"/>
        <v>0</v>
      </c>
      <c r="AG892" s="346">
        <f t="shared" si="1446"/>
        <v>0</v>
      </c>
      <c r="AH892" s="346">
        <f t="shared" si="1446"/>
        <v>0</v>
      </c>
      <c r="AI892" s="346">
        <f t="shared" si="1446"/>
        <v>0</v>
      </c>
      <c r="AJ892" s="346">
        <f t="shared" si="1446"/>
        <v>0</v>
      </c>
      <c r="AK892" s="346">
        <f t="shared" si="1446"/>
        <v>0</v>
      </c>
      <c r="AL892" s="346" t="s">
        <v>805</v>
      </c>
      <c r="AM892" s="346">
        <f t="shared" ref="AM892:BR892" si="1447">AM893+AM920</f>
        <v>0</v>
      </c>
      <c r="AN892" s="346">
        <f t="shared" si="1447"/>
        <v>0</v>
      </c>
      <c r="AO892" s="346">
        <f t="shared" si="1447"/>
        <v>0</v>
      </c>
      <c r="AP892" s="346">
        <f t="shared" si="1447"/>
        <v>0</v>
      </c>
      <c r="AQ892" s="346">
        <f t="shared" si="1447"/>
        <v>0</v>
      </c>
      <c r="AR892" s="346">
        <f t="shared" si="1447"/>
        <v>0</v>
      </c>
      <c r="AS892" s="346">
        <f t="shared" si="1447"/>
        <v>0</v>
      </c>
      <c r="AT892" s="346">
        <f t="shared" si="1447"/>
        <v>0</v>
      </c>
      <c r="AU892" s="346">
        <f t="shared" si="1447"/>
        <v>0</v>
      </c>
      <c r="AV892" s="346">
        <f t="shared" si="1447"/>
        <v>0</v>
      </c>
      <c r="AW892" s="346">
        <f t="shared" si="1447"/>
        <v>0</v>
      </c>
      <c r="AX892" s="346">
        <f t="shared" si="1447"/>
        <v>0</v>
      </c>
      <c r="AY892" s="346">
        <f t="shared" si="1447"/>
        <v>0</v>
      </c>
      <c r="AZ892" s="346">
        <f t="shared" si="1447"/>
        <v>0</v>
      </c>
      <c r="BA892" s="346">
        <f t="shared" si="1447"/>
        <v>0</v>
      </c>
      <c r="BB892" s="346">
        <f t="shared" si="1447"/>
        <v>0</v>
      </c>
      <c r="BC892" s="346">
        <f t="shared" si="1447"/>
        <v>0</v>
      </c>
      <c r="BD892" s="346">
        <f t="shared" si="1447"/>
        <v>0</v>
      </c>
      <c r="BE892" s="346">
        <f t="shared" si="1447"/>
        <v>0</v>
      </c>
      <c r="BF892" s="346">
        <f t="shared" si="1447"/>
        <v>0</v>
      </c>
      <c r="BG892" s="346">
        <f t="shared" si="1447"/>
        <v>0</v>
      </c>
      <c r="BH892" s="346">
        <f t="shared" si="1447"/>
        <v>0</v>
      </c>
      <c r="BI892" s="346">
        <f t="shared" si="1447"/>
        <v>0</v>
      </c>
      <c r="BJ892" s="346">
        <f t="shared" si="1447"/>
        <v>0</v>
      </c>
      <c r="BK892" s="346">
        <f t="shared" si="1447"/>
        <v>0</v>
      </c>
      <c r="BL892" s="346">
        <f t="shared" si="1447"/>
        <v>0</v>
      </c>
      <c r="BM892" s="346">
        <f t="shared" si="1447"/>
        <v>0</v>
      </c>
      <c r="BN892" s="346">
        <f t="shared" si="1447"/>
        <v>0</v>
      </c>
      <c r="BO892" s="346">
        <f t="shared" si="1447"/>
        <v>0</v>
      </c>
      <c r="BP892" s="346">
        <f t="shared" si="1447"/>
        <v>0</v>
      </c>
      <c r="BQ892" s="346">
        <f t="shared" si="1447"/>
        <v>0</v>
      </c>
      <c r="BR892" s="346">
        <f t="shared" si="1447"/>
        <v>0</v>
      </c>
      <c r="BS892" s="346">
        <f t="shared" ref="BS892:CX892" si="1448">BS893+BS920</f>
        <v>0</v>
      </c>
      <c r="BT892" s="346">
        <f t="shared" si="1448"/>
        <v>0</v>
      </c>
      <c r="BU892" s="346">
        <f t="shared" si="1448"/>
        <v>0</v>
      </c>
      <c r="BV892" s="346">
        <f t="shared" si="1448"/>
        <v>0</v>
      </c>
      <c r="BW892" s="346">
        <f t="shared" si="1448"/>
        <v>0</v>
      </c>
      <c r="BX892" s="346">
        <f t="shared" si="1448"/>
        <v>0</v>
      </c>
      <c r="BY892" s="346">
        <f t="shared" si="1448"/>
        <v>0</v>
      </c>
      <c r="BZ892" s="346">
        <f t="shared" si="1448"/>
        <v>0</v>
      </c>
      <c r="CA892" s="346">
        <f t="shared" si="1448"/>
        <v>0</v>
      </c>
      <c r="CB892" s="346">
        <f t="shared" si="1448"/>
        <v>0</v>
      </c>
      <c r="CC892" s="346">
        <f t="shared" si="1448"/>
        <v>0</v>
      </c>
      <c r="CD892" s="352">
        <f t="shared" si="1448"/>
        <v>0</v>
      </c>
      <c r="CE892" s="346">
        <f t="shared" si="1448"/>
        <v>34.103751978889996</v>
      </c>
      <c r="CF892" s="346">
        <f t="shared" si="1448"/>
        <v>-4.3701596728948982</v>
      </c>
      <c r="CG892" s="346">
        <f t="shared" si="1448"/>
        <v>14.490385606584244</v>
      </c>
      <c r="CH892" s="346">
        <f t="shared" si="1448"/>
        <v>24.101949228732032</v>
      </c>
      <c r="CI892" s="346">
        <f t="shared" si="1448"/>
        <v>4.8666904338658554</v>
      </c>
      <c r="CJ892" s="346">
        <f t="shared" si="1448"/>
        <v>-35.949684892479723</v>
      </c>
      <c r="CK892" s="346">
        <f t="shared" si="1448"/>
        <v>45.537509746088695</v>
      </c>
      <c r="CL892" s="346">
        <f t="shared" si="1448"/>
        <v>9.1364415919191622</v>
      </c>
      <c r="CM892" s="346">
        <f t="shared" si="1448"/>
        <v>-2.0750334709891241</v>
      </c>
      <c r="CN892" s="346">
        <f t="shared" si="1448"/>
        <v>26.454445592113782</v>
      </c>
      <c r="CO892" s="346">
        <f t="shared" si="1448"/>
        <v>75.138003526653051</v>
      </c>
      <c r="CP892" s="348">
        <f t="shared" si="1448"/>
        <v>-61.621601549825932</v>
      </c>
      <c r="CQ892" s="346">
        <f t="shared" si="1448"/>
        <v>16.934996040376724</v>
      </c>
      <c r="CR892" s="346">
        <f t="shared" si="1448"/>
        <v>33.982254861906007</v>
      </c>
      <c r="CS892" s="346">
        <f t="shared" si="1448"/>
        <v>15.168543510669569</v>
      </c>
      <c r="CT892" s="346">
        <f t="shared" si="1448"/>
        <v>38.84792323146057</v>
      </c>
      <c r="CU892" s="346">
        <f t="shared" si="1448"/>
        <v>16.575555648495261</v>
      </c>
      <c r="CV892" s="346">
        <f t="shared" si="1448"/>
        <v>49.335538480133465</v>
      </c>
      <c r="CW892" s="346">
        <f t="shared" si="1448"/>
        <v>15.914124403208575</v>
      </c>
      <c r="CX892" s="346">
        <f t="shared" si="1448"/>
        <v>34.245728906493071</v>
      </c>
      <c r="CY892" s="346">
        <f t="shared" ref="CY892:ED892" si="1449">CY893+CY920</f>
        <v>-7.9265189419644795</v>
      </c>
      <c r="CZ892" s="346">
        <f t="shared" si="1449"/>
        <v>61.445411045948624</v>
      </c>
      <c r="DA892" s="346">
        <f t="shared" si="1449"/>
        <v>58.642283989785348</v>
      </c>
      <c r="DB892" s="1479">
        <f t="shared" si="1449"/>
        <v>-52.706826344141298</v>
      </c>
      <c r="DC892" s="346">
        <f t="shared" si="1449"/>
        <v>41.192277089001109</v>
      </c>
      <c r="DD892" s="346">
        <f t="shared" si="1449"/>
        <v>14.780197209644435</v>
      </c>
      <c r="DE892" s="346">
        <f t="shared" si="1449"/>
        <v>53.478583270825894</v>
      </c>
      <c r="DF892" s="346">
        <f t="shared" si="1449"/>
        <v>41.239771737729242</v>
      </c>
      <c r="DG892" s="346">
        <f t="shared" si="1449"/>
        <v>9.1475604358185016</v>
      </c>
      <c r="DH892" s="346">
        <f t="shared" si="1449"/>
        <v>60.176420301537433</v>
      </c>
      <c r="DI892" s="346">
        <f t="shared" si="1449"/>
        <v>36.722126290948985</v>
      </c>
      <c r="DJ892" s="346">
        <f t="shared" si="1449"/>
        <v>31.496710307958718</v>
      </c>
      <c r="DK892" s="346">
        <f t="shared" si="1449"/>
        <v>37.865241974314145</v>
      </c>
      <c r="DL892" s="346">
        <f t="shared" si="1449"/>
        <v>-11.89997137852373</v>
      </c>
      <c r="DM892" s="346">
        <f t="shared" si="1449"/>
        <v>61.689458128759398</v>
      </c>
      <c r="DN892" s="348">
        <f t="shared" si="1449"/>
        <v>-56.64619658132473</v>
      </c>
      <c r="DO892" s="346">
        <f t="shared" si="1449"/>
        <v>11.186062182919162</v>
      </c>
      <c r="DP892" s="346">
        <f t="shared" si="1449"/>
        <v>70.864449492012213</v>
      </c>
      <c r="DQ892" s="346">
        <f t="shared" si="1449"/>
        <v>24.21060372043647</v>
      </c>
      <c r="DR892" s="346">
        <f t="shared" si="1449"/>
        <v>70.622034715118076</v>
      </c>
      <c r="DS892" s="346">
        <f t="shared" si="1449"/>
        <v>32.178582584032128</v>
      </c>
      <c r="DT892" s="346">
        <f t="shared" si="1449"/>
        <v>23.875939390791459</v>
      </c>
      <c r="DU892" s="346">
        <f t="shared" si="1449"/>
        <v>50.011829034546295</v>
      </c>
      <c r="DV892" s="346">
        <f t="shared" si="1449"/>
        <v>-0.54345707746229444</v>
      </c>
      <c r="DW892" s="346">
        <f t="shared" si="1449"/>
        <v>-1.1852207203239686</v>
      </c>
      <c r="DX892" s="346">
        <f t="shared" si="1449"/>
        <v>76.337304917965213</v>
      </c>
      <c r="DY892" s="346">
        <f t="shared" si="1449"/>
        <v>69.064156189306061</v>
      </c>
      <c r="DZ892" s="348">
        <f t="shared" si="1449"/>
        <v>-64.331800955969527</v>
      </c>
      <c r="EA892" s="346">
        <f t="shared" si="1449"/>
        <v>70.456011425807461</v>
      </c>
      <c r="EB892" s="346">
        <f t="shared" si="1449"/>
        <v>59.088075755302896</v>
      </c>
      <c r="EC892" s="346">
        <f t="shared" si="1449"/>
        <v>49.853341688662525</v>
      </c>
      <c r="ED892" s="346">
        <f t="shared" si="1449"/>
        <v>26.966958964856182</v>
      </c>
      <c r="EE892" s="346">
        <f t="shared" ref="EE892:FJ892" si="1450">EE893+EE920</f>
        <v>140.39644100711362</v>
      </c>
      <c r="EF892" s="346">
        <f t="shared" si="1450"/>
        <v>-63.355729292680948</v>
      </c>
      <c r="EG892" s="346">
        <f t="shared" si="1450"/>
        <v>40.939862115873339</v>
      </c>
      <c r="EH892" s="346">
        <f t="shared" si="1450"/>
        <v>1.8356171261168992</v>
      </c>
      <c r="EI892" s="346">
        <f t="shared" si="1450"/>
        <v>30.546434760231801</v>
      </c>
      <c r="EJ892" s="346">
        <f t="shared" si="1450"/>
        <v>23.670361248324099</v>
      </c>
      <c r="EK892" s="346">
        <f t="shared" si="1450"/>
        <v>113.07304808355462</v>
      </c>
      <c r="EL892" s="348">
        <f t="shared" si="1450"/>
        <v>-45.175053460513922</v>
      </c>
      <c r="EM892" s="346">
        <f t="shared" si="1450"/>
        <v>61.720814974477165</v>
      </c>
      <c r="EN892" s="346">
        <f t="shared" si="1450"/>
        <v>54.593757407764237</v>
      </c>
      <c r="EO892" s="346">
        <f t="shared" si="1450"/>
        <v>11.281725291166037</v>
      </c>
      <c r="EP892" s="346">
        <f t="shared" si="1450"/>
        <v>48.833296537657823</v>
      </c>
      <c r="EQ892" s="346">
        <f t="shared" si="1450"/>
        <v>61.408771942117866</v>
      </c>
      <c r="ER892" s="346">
        <f t="shared" si="1450"/>
        <v>35.852359842208017</v>
      </c>
      <c r="ES892" s="346">
        <f t="shared" si="1450"/>
        <v>3.3300935262533926</v>
      </c>
      <c r="ET892" s="346">
        <f t="shared" si="1450"/>
        <v>26.039169528038485</v>
      </c>
      <c r="EU892" s="346">
        <f t="shared" si="1450"/>
        <v>36.366576262926174</v>
      </c>
      <c r="EV892" s="346">
        <f t="shared" si="1450"/>
        <v>194.69246042972006</v>
      </c>
      <c r="EW892" s="346">
        <f t="shared" si="1450"/>
        <v>84.095637754151028</v>
      </c>
      <c r="EX892" s="348">
        <f t="shared" si="1450"/>
        <v>-61.961748140226035</v>
      </c>
      <c r="EY892" s="346">
        <f t="shared" si="1450"/>
        <v>27.516350839928734</v>
      </c>
      <c r="EZ892" s="346">
        <f t="shared" si="1450"/>
        <v>60.071343762704274</v>
      </c>
      <c r="FA892" s="346">
        <f t="shared" si="1450"/>
        <v>80.959750160640269</v>
      </c>
      <c r="FB892" s="346">
        <f t="shared" si="1450"/>
        <v>154.79132916041971</v>
      </c>
      <c r="FC892" s="346">
        <f t="shared" si="1450"/>
        <v>106.13331155283268</v>
      </c>
      <c r="FD892" s="346">
        <f t="shared" si="1450"/>
        <v>106.15415721997124</v>
      </c>
      <c r="FE892" s="346">
        <f t="shared" si="1450"/>
        <v>81.236622079908159</v>
      </c>
      <c r="FF892" s="346">
        <f t="shared" si="1450"/>
        <v>38.502700305016397</v>
      </c>
      <c r="FG892" s="346">
        <f t="shared" si="1450"/>
        <v>65.70443077627057</v>
      </c>
      <c r="FH892" s="346">
        <f t="shared" si="1450"/>
        <v>133.88720392724824</v>
      </c>
      <c r="FI892" s="346">
        <f t="shared" si="1450"/>
        <v>113.4760928221684</v>
      </c>
      <c r="FJ892" s="348">
        <f t="shared" si="1450"/>
        <v>191.55778302299052</v>
      </c>
      <c r="FK892" s="346">
        <f t="shared" ref="FK892:FP892" si="1451">FK893+FK920</f>
        <v>272.29667624293302</v>
      </c>
      <c r="FL892" s="346">
        <f t="shared" si="1451"/>
        <v>85.757028899936358</v>
      </c>
      <c r="FM892" s="346">
        <f t="shared" si="1451"/>
        <v>79.705131816396801</v>
      </c>
      <c r="FN892" s="346">
        <f t="shared" si="1451"/>
        <v>44.085675965280153</v>
      </c>
      <c r="FO892" s="346">
        <f t="shared" si="1451"/>
        <v>62.000428352211486</v>
      </c>
      <c r="FP892" s="346">
        <f t="shared" si="1451"/>
        <v>220.30429730195885</v>
      </c>
      <c r="FQ892" s="346">
        <f t="shared" ref="FQ892:FV892" si="1452">FQ893+FQ920</f>
        <v>64.671681971204961</v>
      </c>
      <c r="FR892" s="346">
        <f t="shared" si="1452"/>
        <v>45.142167082393954</v>
      </c>
      <c r="FS892" s="346">
        <f t="shared" si="1452"/>
        <v>28.746229178840011</v>
      </c>
      <c r="FT892" s="346">
        <f t="shared" si="1452"/>
        <v>-2.9779947346402125</v>
      </c>
      <c r="FU892" s="346">
        <f t="shared" si="1452"/>
        <v>111.78413198000437</v>
      </c>
      <c r="FV892" s="346">
        <f t="shared" si="1452"/>
        <v>-100.7771087220332</v>
      </c>
      <c r="FW892" s="346">
        <v>34.068269033979405</v>
      </c>
      <c r="FX892" s="346">
        <v>179.3542219223047</v>
      </c>
      <c r="FY892" s="346">
        <v>94.358514982011172</v>
      </c>
      <c r="FZ892" s="346">
        <v>161.23962602570217</v>
      </c>
      <c r="GA892" s="346">
        <v>108.39809335973445</v>
      </c>
      <c r="GB892" s="346">
        <v>319.09213118077048</v>
      </c>
      <c r="GC892" s="346">
        <v>45.817001772149879</v>
      </c>
      <c r="GD892" s="346">
        <v>87.24447782106057</v>
      </c>
      <c r="GE892" s="346">
        <v>23.572605436580972</v>
      </c>
      <c r="GF892" s="346">
        <v>65.775641993713919</v>
      </c>
      <c r="GG892" s="346">
        <v>54.55927970491156</v>
      </c>
      <c r="GH892" s="346">
        <v>78.759328071046838</v>
      </c>
      <c r="GI892" s="1897">
        <f>GI893+GI920</f>
        <v>47.008083506541134</v>
      </c>
      <c r="GJ892" s="1897">
        <f t="shared" ref="GJ892:HL892" si="1453">GJ893+GJ920</f>
        <v>36.138981167916185</v>
      </c>
      <c r="GK892" s="1897">
        <f t="shared" si="1453"/>
        <v>193.59395773739587</v>
      </c>
      <c r="GL892" s="1897">
        <f t="shared" si="1453"/>
        <v>66.886968542128642</v>
      </c>
      <c r="GM892" s="1897">
        <f t="shared" si="1453"/>
        <v>63.611965927783153</v>
      </c>
      <c r="GN892" s="1897">
        <f t="shared" si="1453"/>
        <v>86.861553257376698</v>
      </c>
      <c r="GO892" s="1897">
        <f t="shared" si="1453"/>
        <v>-111.49669017090041</v>
      </c>
      <c r="GP892" s="1897">
        <f t="shared" si="1453"/>
        <v>25.240708425351404</v>
      </c>
      <c r="GQ892" s="1897">
        <f t="shared" si="1453"/>
        <v>341.99286998928409</v>
      </c>
      <c r="GR892" s="1897">
        <f t="shared" si="1453"/>
        <v>-34.686605848372899</v>
      </c>
      <c r="GS892" s="1897">
        <f t="shared" si="1453"/>
        <v>44.694975890420153</v>
      </c>
      <c r="GT892" s="1897">
        <f t="shared" si="1453"/>
        <v>190.98914344565048</v>
      </c>
      <c r="GU892" s="1897">
        <f t="shared" si="1453"/>
        <v>50.473816249851808</v>
      </c>
      <c r="GV892" s="1897">
        <f t="shared" si="1453"/>
        <v>52.546104788598484</v>
      </c>
      <c r="GW892" s="1897">
        <f t="shared" si="1453"/>
        <v>47.136292952079401</v>
      </c>
      <c r="GX892" s="1897">
        <f t="shared" si="1453"/>
        <v>44.596431173943365</v>
      </c>
      <c r="GY892" s="1897">
        <f t="shared" si="1453"/>
        <v>91.291133336506078</v>
      </c>
      <c r="GZ892" s="1897">
        <f t="shared" si="1453"/>
        <v>369.47353128275324</v>
      </c>
      <c r="HA892" s="1897">
        <f t="shared" si="1453"/>
        <v>26.654892673905728</v>
      </c>
      <c r="HB892" s="1897">
        <f t="shared" si="1453"/>
        <v>47.081668501515011</v>
      </c>
      <c r="HC892" s="1897">
        <f t="shared" si="1453"/>
        <v>127.34464212421902</v>
      </c>
      <c r="HD892" s="1897">
        <f t="shared" si="1453"/>
        <v>101.2419703689493</v>
      </c>
      <c r="HE892" s="1897">
        <f t="shared" si="1453"/>
        <v>-7.9973915655709504</v>
      </c>
      <c r="HF892" s="1897">
        <f t="shared" si="1453"/>
        <v>331.68515146219693</v>
      </c>
      <c r="HG892" s="1897">
        <f t="shared" si="1453"/>
        <v>49.60363062140037</v>
      </c>
      <c r="HH892" s="1897">
        <f t="shared" si="1453"/>
        <v>116.87229020791941</v>
      </c>
      <c r="HI892" s="1897">
        <f t="shared" si="1453"/>
        <v>96.178226887519145</v>
      </c>
      <c r="HJ892" s="1897">
        <f t="shared" si="1453"/>
        <v>69.003524999922305</v>
      </c>
      <c r="HK892" s="1897">
        <f t="shared" si="1453"/>
        <v>92.540460153539442</v>
      </c>
      <c r="HL892" s="1897">
        <f t="shared" si="1453"/>
        <v>856.85169577552097</v>
      </c>
      <c r="HM892" s="1897"/>
      <c r="HN892" s="349"/>
      <c r="HO892" s="354" t="s">
        <v>603</v>
      </c>
      <c r="HP892" s="307">
        <f>SUM(CE892:CJ892)</f>
        <v>37.242932682697514</v>
      </c>
      <c r="HQ892" s="302">
        <f>SUM(CK892:CP892)</f>
        <v>92.569765435959653</v>
      </c>
      <c r="HR892" s="346">
        <f>HP892+HQ892</f>
        <v>129.81269811865718</v>
      </c>
      <c r="HS892" s="302">
        <f>SUM(CQ892:CV892)</f>
        <v>170.84481177304158</v>
      </c>
      <c r="HT892" s="302">
        <f>SUM(CW892:DB892)</f>
        <v>109.61420305932984</v>
      </c>
      <c r="HU892" s="346">
        <f>HS892+HT892</f>
        <v>280.45901483237139</v>
      </c>
      <c r="HV892" s="307">
        <f>SUM(DC892:DH892)</f>
        <v>220.01481004455658</v>
      </c>
      <c r="HW892" s="302">
        <f>SUM(DI892:DN892)</f>
        <v>99.227368742132782</v>
      </c>
      <c r="HX892" s="346">
        <f>HV892+HW892</f>
        <v>319.24217878668935</v>
      </c>
      <c r="HY892" s="350">
        <f>SUM(DO892:DT892)</f>
        <v>232.93767208530954</v>
      </c>
      <c r="HZ892" s="302">
        <f>SUM(DU892:DZ892)</f>
        <v>129.35281138806178</v>
      </c>
      <c r="IA892" s="346">
        <f>HY892+HZ892</f>
        <v>362.2904834733713</v>
      </c>
      <c r="IB892" s="302">
        <f>SUM(EA892:EF892)</f>
        <v>283.40509954906167</v>
      </c>
      <c r="IC892" s="302">
        <f>SUM(EG892:EL892)</f>
        <v>164.89026987358682</v>
      </c>
      <c r="ID892" s="346">
        <f>IB892+IC892</f>
        <v>448.29536942264849</v>
      </c>
      <c r="IE892" s="350">
        <f>SUM(EM892:ER892)</f>
        <v>273.69072599539118</v>
      </c>
      <c r="IF892" s="350">
        <f>SUM(ES892:EX892)</f>
        <v>282.56218936086316</v>
      </c>
      <c r="IG892" s="346">
        <f>IE892+IF892</f>
        <v>556.25291535625433</v>
      </c>
      <c r="IH892" s="350">
        <f>SUM(EY892:FD892)</f>
        <v>535.62624269649689</v>
      </c>
      <c r="II892" s="350">
        <f>SUM(FE892:FJ892)</f>
        <v>624.36483293360232</v>
      </c>
      <c r="IJ892" s="346">
        <f>IH892+II892</f>
        <v>1159.9910756300992</v>
      </c>
      <c r="IK892" s="350">
        <f>SUM(FK892:FP892)</f>
        <v>764.14923857871668</v>
      </c>
      <c r="IL892" s="350">
        <f>SUM(FQ892:FV892)</f>
        <v>146.58910675576985</v>
      </c>
      <c r="IM892" s="346">
        <f t="shared" si="1430"/>
        <v>910.73834533448655</v>
      </c>
      <c r="IN892" s="350">
        <f t="shared" si="1438"/>
        <v>896.51085650450239</v>
      </c>
      <c r="IO892" s="350">
        <f t="shared" si="1439"/>
        <v>355.72833479946371</v>
      </c>
      <c r="IP892" s="346">
        <f t="shared" si="1443"/>
        <v>1252.239191303966</v>
      </c>
      <c r="IQ892" s="350">
        <f t="shared" si="1440"/>
        <v>494.10151013914162</v>
      </c>
      <c r="IR892" s="350">
        <f t="shared" si="1441"/>
        <v>456.73440173143285</v>
      </c>
      <c r="IS892" s="346">
        <f t="shared" si="1410"/>
        <v>950.83591187057448</v>
      </c>
      <c r="IT892" s="350">
        <f>IT893+IT920</f>
        <v>655.51730978373246</v>
      </c>
      <c r="IU892" s="350">
        <f>IU893+IU920</f>
        <v>626.01093356521505</v>
      </c>
      <c r="IV892" s="346">
        <f t="shared" si="1409"/>
        <v>1281.5282433489474</v>
      </c>
      <c r="IW892" s="350">
        <f t="shared" si="1428"/>
        <v>1281.0498286458217</v>
      </c>
      <c r="IX892" s="1624">
        <f t="shared" si="1426"/>
        <v>-17.519268894618108</v>
      </c>
      <c r="IY892" s="346">
        <f>FISC!AJ1213</f>
        <v>1263.5305597512036</v>
      </c>
      <c r="IZ892" s="1624">
        <f>-IZ834+IZ856</f>
        <v>1632.8257188896578</v>
      </c>
      <c r="JA892" s="1624">
        <f>-JA834+JA856</f>
        <v>148.62071953536878</v>
      </c>
      <c r="JB892" s="346">
        <f>FISC!AK1213</f>
        <v>1781.4464384250264</v>
      </c>
      <c r="JC892" s="1624">
        <f>-JC834+JC856</f>
        <v>1208.696324991241</v>
      </c>
      <c r="JD892" s="1624">
        <f>-JD834+JD856</f>
        <v>308.20960061740283</v>
      </c>
      <c r="JE892" s="346">
        <f>FISC!AL1213</f>
        <v>1516.9059256086439</v>
      </c>
      <c r="JF892" s="1624">
        <f>-JF834+JF856</f>
        <v>981.20584699843823</v>
      </c>
      <c r="JG892" s="1624">
        <f>-JG834+JG856</f>
        <v>184.55004555985977</v>
      </c>
      <c r="JH892" s="346">
        <f>FISC!AM1213</f>
        <v>1165.755892558298</v>
      </c>
      <c r="JI892" s="1624">
        <f>-JI834+JI856</f>
        <v>916.04906660674146</v>
      </c>
      <c r="JJ892" s="1624">
        <f>-JJ834+JJ856</f>
        <v>230.45902585062794</v>
      </c>
      <c r="JK892" s="346">
        <f>FISC!AN1213</f>
        <v>1146.5080924573695</v>
      </c>
      <c r="JL892" s="1624">
        <f>-JL834+JL856</f>
        <v>897.90020482219234</v>
      </c>
      <c r="JM892" s="1624">
        <f>-JM834+JM856</f>
        <v>385.9741372466849</v>
      </c>
      <c r="JN892" s="346">
        <f>FISC!AO1213</f>
        <v>1283.8743420688768</v>
      </c>
      <c r="KI892" s="349"/>
      <c r="KJ892" s="350"/>
      <c r="KM892" s="302">
        <f>KM893+KM920</f>
        <v>0</v>
      </c>
      <c r="KN892" s="302">
        <f>KN893+KN920</f>
        <v>0</v>
      </c>
      <c r="KO892" s="302">
        <f>KO893+KO920</f>
        <v>0</v>
      </c>
      <c r="KP892" s="302">
        <f>KP893+KP920</f>
        <v>0</v>
      </c>
    </row>
    <row r="893" spans="1:302" hidden="1" outlineLevel="1">
      <c r="A893" s="302"/>
      <c r="B893" s="117" t="s">
        <v>361</v>
      </c>
      <c r="D893" s="356" t="s">
        <v>597</v>
      </c>
      <c r="E893" s="346">
        <f t="shared" ref="E893:AJ893" si="1454">E895+E898+E909+E919</f>
        <v>0</v>
      </c>
      <c r="F893" s="346">
        <f t="shared" si="1454"/>
        <v>0</v>
      </c>
      <c r="G893" s="346">
        <f t="shared" si="1454"/>
        <v>0</v>
      </c>
      <c r="H893" s="346">
        <f t="shared" si="1454"/>
        <v>0</v>
      </c>
      <c r="I893" s="346">
        <f t="shared" si="1454"/>
        <v>0</v>
      </c>
      <c r="J893" s="346">
        <f t="shared" si="1454"/>
        <v>0</v>
      </c>
      <c r="K893" s="346">
        <f t="shared" si="1454"/>
        <v>0</v>
      </c>
      <c r="L893" s="346">
        <f t="shared" si="1454"/>
        <v>0</v>
      </c>
      <c r="M893" s="346">
        <f t="shared" si="1454"/>
        <v>0</v>
      </c>
      <c r="N893" s="346">
        <f t="shared" si="1454"/>
        <v>0</v>
      </c>
      <c r="O893" s="346">
        <f t="shared" si="1454"/>
        <v>0</v>
      </c>
      <c r="P893" s="346">
        <f t="shared" si="1454"/>
        <v>0</v>
      </c>
      <c r="Q893" s="346">
        <f t="shared" si="1454"/>
        <v>0</v>
      </c>
      <c r="R893" s="346">
        <f t="shared" si="1454"/>
        <v>0</v>
      </c>
      <c r="S893" s="346">
        <f t="shared" si="1454"/>
        <v>0</v>
      </c>
      <c r="T893" s="346">
        <f t="shared" si="1454"/>
        <v>0</v>
      </c>
      <c r="U893" s="346">
        <f t="shared" si="1454"/>
        <v>0</v>
      </c>
      <c r="V893" s="346">
        <f t="shared" si="1454"/>
        <v>0</v>
      </c>
      <c r="W893" s="346">
        <f t="shared" si="1454"/>
        <v>0</v>
      </c>
      <c r="X893" s="346">
        <f t="shared" si="1454"/>
        <v>0</v>
      </c>
      <c r="Y893" s="346">
        <f t="shared" si="1454"/>
        <v>0</v>
      </c>
      <c r="Z893" s="346">
        <f t="shared" si="1454"/>
        <v>0</v>
      </c>
      <c r="AA893" s="346">
        <f t="shared" si="1454"/>
        <v>0</v>
      </c>
      <c r="AB893" s="346">
        <f t="shared" si="1454"/>
        <v>0</v>
      </c>
      <c r="AC893" s="346">
        <f t="shared" si="1454"/>
        <v>0</v>
      </c>
      <c r="AD893" s="346">
        <f t="shared" si="1454"/>
        <v>0</v>
      </c>
      <c r="AE893" s="346">
        <f t="shared" si="1454"/>
        <v>0</v>
      </c>
      <c r="AF893" s="346">
        <f t="shared" si="1454"/>
        <v>0</v>
      </c>
      <c r="AG893" s="346">
        <f t="shared" si="1454"/>
        <v>0</v>
      </c>
      <c r="AH893" s="346">
        <f t="shared" si="1454"/>
        <v>0</v>
      </c>
      <c r="AI893" s="346">
        <f t="shared" si="1454"/>
        <v>0</v>
      </c>
      <c r="AJ893" s="346">
        <f t="shared" si="1454"/>
        <v>0</v>
      </c>
      <c r="AK893" s="346">
        <f t="shared" ref="AK893:BP893" si="1455">AK895+AK898+AK909+AK919</f>
        <v>0</v>
      </c>
      <c r="AL893" s="346">
        <f t="shared" si="1455"/>
        <v>0</v>
      </c>
      <c r="AM893" s="346">
        <f t="shared" si="1455"/>
        <v>0</v>
      </c>
      <c r="AN893" s="346">
        <f t="shared" si="1455"/>
        <v>0</v>
      </c>
      <c r="AO893" s="346">
        <f t="shared" si="1455"/>
        <v>0</v>
      </c>
      <c r="AP893" s="346">
        <f t="shared" si="1455"/>
        <v>0</v>
      </c>
      <c r="AQ893" s="346">
        <f t="shared" si="1455"/>
        <v>0</v>
      </c>
      <c r="AR893" s="346">
        <f t="shared" si="1455"/>
        <v>0</v>
      </c>
      <c r="AS893" s="346">
        <f t="shared" si="1455"/>
        <v>0</v>
      </c>
      <c r="AT893" s="346">
        <f t="shared" si="1455"/>
        <v>0</v>
      </c>
      <c r="AU893" s="346">
        <f t="shared" si="1455"/>
        <v>0</v>
      </c>
      <c r="AV893" s="346">
        <f t="shared" si="1455"/>
        <v>0</v>
      </c>
      <c r="AW893" s="346">
        <f t="shared" si="1455"/>
        <v>0</v>
      </c>
      <c r="AX893" s="346">
        <f t="shared" si="1455"/>
        <v>0</v>
      </c>
      <c r="AY893" s="346">
        <f t="shared" si="1455"/>
        <v>0</v>
      </c>
      <c r="AZ893" s="346">
        <f t="shared" si="1455"/>
        <v>0</v>
      </c>
      <c r="BA893" s="346">
        <f t="shared" si="1455"/>
        <v>0</v>
      </c>
      <c r="BB893" s="346">
        <f t="shared" si="1455"/>
        <v>0</v>
      </c>
      <c r="BC893" s="346">
        <f t="shared" si="1455"/>
        <v>0</v>
      </c>
      <c r="BD893" s="346">
        <f t="shared" si="1455"/>
        <v>0</v>
      </c>
      <c r="BE893" s="346">
        <f t="shared" si="1455"/>
        <v>0</v>
      </c>
      <c r="BF893" s="346">
        <f t="shared" si="1455"/>
        <v>0</v>
      </c>
      <c r="BG893" s="346">
        <f t="shared" si="1455"/>
        <v>0</v>
      </c>
      <c r="BH893" s="346">
        <f t="shared" si="1455"/>
        <v>0</v>
      </c>
      <c r="BI893" s="346">
        <f t="shared" si="1455"/>
        <v>0</v>
      </c>
      <c r="BJ893" s="346">
        <f t="shared" si="1455"/>
        <v>0</v>
      </c>
      <c r="BK893" s="346">
        <f t="shared" si="1455"/>
        <v>0</v>
      </c>
      <c r="BL893" s="346">
        <f t="shared" si="1455"/>
        <v>0</v>
      </c>
      <c r="BM893" s="346">
        <f t="shared" si="1455"/>
        <v>0</v>
      </c>
      <c r="BN893" s="346">
        <f t="shared" si="1455"/>
        <v>0</v>
      </c>
      <c r="BO893" s="346">
        <f t="shared" si="1455"/>
        <v>0</v>
      </c>
      <c r="BP893" s="346">
        <f t="shared" si="1455"/>
        <v>0</v>
      </c>
      <c r="BQ893" s="346">
        <f t="shared" ref="BQ893:CV893" si="1456">BQ895+BQ898+BQ909+BQ919</f>
        <v>0</v>
      </c>
      <c r="BR893" s="346">
        <f t="shared" si="1456"/>
        <v>0</v>
      </c>
      <c r="BS893" s="346">
        <f t="shared" si="1456"/>
        <v>0</v>
      </c>
      <c r="BT893" s="346">
        <f t="shared" si="1456"/>
        <v>0</v>
      </c>
      <c r="BU893" s="346">
        <f t="shared" si="1456"/>
        <v>0</v>
      </c>
      <c r="BV893" s="346">
        <f t="shared" si="1456"/>
        <v>0</v>
      </c>
      <c r="BW893" s="346">
        <f t="shared" si="1456"/>
        <v>0</v>
      </c>
      <c r="BX893" s="346">
        <f t="shared" si="1456"/>
        <v>0</v>
      </c>
      <c r="BY893" s="346">
        <f t="shared" si="1456"/>
        <v>0</v>
      </c>
      <c r="BZ893" s="346">
        <f t="shared" si="1456"/>
        <v>0</v>
      </c>
      <c r="CA893" s="346">
        <f t="shared" si="1456"/>
        <v>0</v>
      </c>
      <c r="CB893" s="346">
        <f t="shared" si="1456"/>
        <v>0</v>
      </c>
      <c r="CC893" s="346">
        <f t="shared" si="1456"/>
        <v>0</v>
      </c>
      <c r="CD893" s="352">
        <f t="shared" si="1456"/>
        <v>0</v>
      </c>
      <c r="CE893" s="346">
        <f t="shared" si="1456"/>
        <v>28.038884640999981</v>
      </c>
      <c r="CF893" s="346">
        <f t="shared" si="1456"/>
        <v>-8.1644795279999887</v>
      </c>
      <c r="CG893" s="346">
        <f t="shared" si="1456"/>
        <v>11.07604008700001</v>
      </c>
      <c r="CH893" s="346">
        <f t="shared" si="1456"/>
        <v>19.295499916000018</v>
      </c>
      <c r="CI893" s="346">
        <f t="shared" si="1456"/>
        <v>1.9333040049999823</v>
      </c>
      <c r="CJ893" s="346">
        <f t="shared" si="1456"/>
        <v>-42.016117240000042</v>
      </c>
      <c r="CK893" s="346">
        <f t="shared" si="1456"/>
        <v>34.987766365359711</v>
      </c>
      <c r="CL893" s="346">
        <f t="shared" si="1456"/>
        <v>7.5270274272589974</v>
      </c>
      <c r="CM893" s="346">
        <f t="shared" si="1456"/>
        <v>-4.0838809607345805</v>
      </c>
      <c r="CN893" s="346">
        <f t="shared" si="1456"/>
        <v>25.18260403608971</v>
      </c>
      <c r="CO893" s="346">
        <f t="shared" si="1456"/>
        <v>37.032649776026204</v>
      </c>
      <c r="CP893" s="348">
        <f t="shared" si="1456"/>
        <v>-86.153515779081246</v>
      </c>
      <c r="CQ893" s="346">
        <f t="shared" si="1456"/>
        <v>11.992976739534837</v>
      </c>
      <c r="CR893" s="346">
        <f t="shared" si="1456"/>
        <v>30.15136091674934</v>
      </c>
      <c r="CS893" s="346">
        <f t="shared" si="1456"/>
        <v>3.1656762680855084</v>
      </c>
      <c r="CT893" s="346">
        <f t="shared" si="1456"/>
        <v>33.658589305300481</v>
      </c>
      <c r="CU893" s="346">
        <f t="shared" si="1456"/>
        <v>6.1096968111579226</v>
      </c>
      <c r="CV893" s="346">
        <f t="shared" si="1456"/>
        <v>-17.685539985750676</v>
      </c>
      <c r="CW893" s="346">
        <f t="shared" ref="CW893:EB893" si="1457">CW895+CW898+CW909+CW919</f>
        <v>8.0378884380826499</v>
      </c>
      <c r="CX893" s="346">
        <f t="shared" si="1457"/>
        <v>30.697138003218029</v>
      </c>
      <c r="CY893" s="346">
        <f t="shared" si="1457"/>
        <v>-16.582285944247218</v>
      </c>
      <c r="CZ893" s="346">
        <f t="shared" si="1457"/>
        <v>13.232324986498604</v>
      </c>
      <c r="DA893" s="346">
        <f t="shared" si="1457"/>
        <v>53.746502489444033</v>
      </c>
      <c r="DB893" s="1479">
        <f t="shared" si="1457"/>
        <v>-64.251892001934266</v>
      </c>
      <c r="DC893" s="346">
        <f t="shared" si="1457"/>
        <v>41.519739782999977</v>
      </c>
      <c r="DD893" s="346">
        <f t="shared" si="1457"/>
        <v>11.249668732000004</v>
      </c>
      <c r="DE893" s="346">
        <f t="shared" si="1457"/>
        <v>-1.9254449259999777</v>
      </c>
      <c r="DF893" s="346">
        <f t="shared" si="1457"/>
        <v>27.401834188999988</v>
      </c>
      <c r="DG893" s="346">
        <f t="shared" si="1457"/>
        <v>5.0958376069999893</v>
      </c>
      <c r="DH893" s="346">
        <f t="shared" si="1457"/>
        <v>-29.841724190999987</v>
      </c>
      <c r="DI893" s="346">
        <f t="shared" si="1457"/>
        <v>30.846356862000011</v>
      </c>
      <c r="DJ893" s="346">
        <f t="shared" si="1457"/>
        <v>10.024365934999985</v>
      </c>
      <c r="DK893" s="346">
        <f t="shared" si="1457"/>
        <v>26.437295029999994</v>
      </c>
      <c r="DL893" s="346">
        <f t="shared" si="1457"/>
        <v>-22.394422949999999</v>
      </c>
      <c r="DM893" s="346">
        <f t="shared" si="1457"/>
        <v>56.757906068000004</v>
      </c>
      <c r="DN893" s="348">
        <f t="shared" si="1457"/>
        <v>-60.337361012000002</v>
      </c>
      <c r="DO893" s="346">
        <f t="shared" si="1457"/>
        <v>8.7031645269964599</v>
      </c>
      <c r="DP893" s="346">
        <f t="shared" si="1457"/>
        <v>62.616519898000007</v>
      </c>
      <c r="DQ893" s="346">
        <f t="shared" si="1457"/>
        <v>-10.592296672999989</v>
      </c>
      <c r="DR893" s="346">
        <f t="shared" si="1457"/>
        <v>2.3871431940000054</v>
      </c>
      <c r="DS893" s="346">
        <f t="shared" si="1457"/>
        <v>22.441761348999979</v>
      </c>
      <c r="DT893" s="346">
        <f t="shared" si="1457"/>
        <v>-69.430817590999993</v>
      </c>
      <c r="DU893" s="346">
        <f t="shared" si="1457"/>
        <v>39.488747646003546</v>
      </c>
      <c r="DV893" s="346">
        <f t="shared" si="1457"/>
        <v>-3.5187946419999889</v>
      </c>
      <c r="DW893" s="346">
        <f t="shared" si="1457"/>
        <v>-17.47074480900001</v>
      </c>
      <c r="DX893" s="346">
        <f t="shared" si="1457"/>
        <v>56.407051640000006</v>
      </c>
      <c r="DY893" s="346">
        <f t="shared" si="1457"/>
        <v>32.484485099000011</v>
      </c>
      <c r="DZ893" s="348">
        <f t="shared" si="1457"/>
        <v>-84.214670556000002</v>
      </c>
      <c r="EA893" s="346">
        <f t="shared" si="1457"/>
        <v>62.032836149418991</v>
      </c>
      <c r="EB893" s="346">
        <f t="shared" si="1457"/>
        <v>27.404475149000003</v>
      </c>
      <c r="EC893" s="346">
        <f t="shared" ref="EC893:FH893" si="1458">EC895+EC898+EC909+EC919</f>
        <v>25.194526919003167</v>
      </c>
      <c r="ED893" s="346">
        <f t="shared" si="1458"/>
        <v>8.2831225220000402</v>
      </c>
      <c r="EE893" s="346">
        <f t="shared" si="1458"/>
        <v>29.430356048000032</v>
      </c>
      <c r="EF893" s="346">
        <f t="shared" si="1458"/>
        <v>-77.869789291000032</v>
      </c>
      <c r="EG893" s="346">
        <f t="shared" si="1458"/>
        <v>-14.483484360000194</v>
      </c>
      <c r="EH893" s="346">
        <f t="shared" si="1458"/>
        <v>-2.0603527559999453</v>
      </c>
      <c r="EI893" s="346">
        <f t="shared" si="1458"/>
        <v>15.966370475999989</v>
      </c>
      <c r="EJ893" s="346">
        <f t="shared" si="1458"/>
        <v>14.816504093000027</v>
      </c>
      <c r="EK893" s="346">
        <f t="shared" si="1458"/>
        <v>74.683573704999972</v>
      </c>
      <c r="EL893" s="348">
        <f t="shared" si="1458"/>
        <v>-71.131900108999972</v>
      </c>
      <c r="EM893" s="346">
        <f t="shared" si="1458"/>
        <v>52.59020585661068</v>
      </c>
      <c r="EN893" s="346">
        <f t="shared" si="1458"/>
        <v>52.958335955827494</v>
      </c>
      <c r="EO893" s="346">
        <f t="shared" si="1458"/>
        <v>0.29455539703401884</v>
      </c>
      <c r="EP893" s="346">
        <f t="shared" si="1458"/>
        <v>44.271199766139759</v>
      </c>
      <c r="EQ893" s="346">
        <f t="shared" si="1458"/>
        <v>48.232240130666895</v>
      </c>
      <c r="ER893" s="346">
        <f t="shared" si="1458"/>
        <v>-183.42444285786468</v>
      </c>
      <c r="ES893" s="346">
        <f t="shared" si="1458"/>
        <v>-19.049656460004748</v>
      </c>
      <c r="ET893" s="346">
        <f t="shared" si="1458"/>
        <v>10.879885786645026</v>
      </c>
      <c r="EU893" s="346">
        <f t="shared" si="1458"/>
        <v>24.972277946898849</v>
      </c>
      <c r="EV893" s="346">
        <f t="shared" si="1458"/>
        <v>176.24239976555975</v>
      </c>
      <c r="EW893" s="346">
        <f t="shared" si="1458"/>
        <v>67.955899553498682</v>
      </c>
      <c r="EX893" s="348">
        <f t="shared" si="1458"/>
        <v>-167.98195212850095</v>
      </c>
      <c r="EY893" s="346">
        <f t="shared" si="1458"/>
        <v>8.8060266991667326</v>
      </c>
      <c r="EZ893" s="346">
        <f t="shared" si="1458"/>
        <v>33.713068134166669</v>
      </c>
      <c r="FA893" s="346">
        <f t="shared" si="1458"/>
        <v>55.297794945166679</v>
      </c>
      <c r="FB893" s="346">
        <f t="shared" si="1458"/>
        <v>-25.549531193833424</v>
      </c>
      <c r="FC893" s="346">
        <f t="shared" si="1458"/>
        <v>70.672763521166786</v>
      </c>
      <c r="FD893" s="346">
        <f t="shared" si="1458"/>
        <v>-40.165605226833272</v>
      </c>
      <c r="FE893" s="346">
        <f t="shared" si="1458"/>
        <v>21.010600483000054</v>
      </c>
      <c r="FF893" s="346">
        <f t="shared" si="1458"/>
        <v>11.861338452999956</v>
      </c>
      <c r="FG893" s="346">
        <f t="shared" si="1458"/>
        <v>53.998815137999934</v>
      </c>
      <c r="FH893" s="346">
        <f t="shared" si="1458"/>
        <v>9.7694358920000859</v>
      </c>
      <c r="FI893" s="346">
        <f t="shared" ref="FI893:FP893" si="1459">FI895+FI898+FI909+FI919</f>
        <v>80.540081259999965</v>
      </c>
      <c r="FJ893" s="348">
        <f t="shared" si="1459"/>
        <v>-73.983404052999902</v>
      </c>
      <c r="FK893" s="346">
        <f t="shared" si="1459"/>
        <v>106.92951367999991</v>
      </c>
      <c r="FL893" s="346">
        <f t="shared" si="1459"/>
        <v>43.080289407000016</v>
      </c>
      <c r="FM893" s="346">
        <f t="shared" si="1459"/>
        <v>32.33142749500005</v>
      </c>
      <c r="FN893" s="346">
        <f t="shared" si="1459"/>
        <v>14.280033375999963</v>
      </c>
      <c r="FO893" s="346">
        <f t="shared" si="1459"/>
        <v>37.867330151000004</v>
      </c>
      <c r="FP893" s="346">
        <f t="shared" si="1459"/>
        <v>78.268904388999985</v>
      </c>
      <c r="FQ893" s="346">
        <f t="shared" ref="FQ893:FV893" si="1460">FQ895+FQ898+FQ909+FQ919</f>
        <v>56.513310707999956</v>
      </c>
      <c r="FR893" s="346">
        <f t="shared" si="1460"/>
        <v>14.445478063999953</v>
      </c>
      <c r="FS893" s="346">
        <f t="shared" si="1460"/>
        <v>-67.302425472499962</v>
      </c>
      <c r="FT893" s="346">
        <f t="shared" si="1460"/>
        <v>-27.207053727999934</v>
      </c>
      <c r="FU893" s="346">
        <f t="shared" si="1460"/>
        <v>104.2357967584999</v>
      </c>
      <c r="FV893" s="346">
        <f t="shared" si="1460"/>
        <v>-139.97669962299994</v>
      </c>
      <c r="FW893" s="346">
        <v>6.4440742439999426</v>
      </c>
      <c r="FX893" s="346">
        <v>-110.25656577199993</v>
      </c>
      <c r="FY893" s="346">
        <v>76.946068955000015</v>
      </c>
      <c r="FZ893" s="346">
        <v>73.548558105000026</v>
      </c>
      <c r="GA893" s="346">
        <v>34.178356372999986</v>
      </c>
      <c r="GB893" s="346">
        <v>60.037688816000028</v>
      </c>
      <c r="GC893" s="346">
        <v>42.528415184999993</v>
      </c>
      <c r="GD893" s="346">
        <v>73.302084485999927</v>
      </c>
      <c r="GE893" s="346">
        <v>-59.085697237999895</v>
      </c>
      <c r="GF893" s="346">
        <v>26.187483576333296</v>
      </c>
      <c r="GG893" s="346">
        <v>10.009192227333415</v>
      </c>
      <c r="GH893" s="346">
        <v>-13.2532113430942</v>
      </c>
      <c r="GI893" s="1897">
        <f>GI895+GI898+GI909+GI916+GI917+GI918+GI919</f>
        <v>29.002000000000066</v>
      </c>
      <c r="GJ893" s="1897">
        <f t="shared" ref="GJ893:HL893" si="1461">GJ895+GJ898+GJ909+GJ916+GJ917+GJ918+GJ919</f>
        <v>31.330000000000013</v>
      </c>
      <c r="GK893" s="1897">
        <f>GK895+GK898+GK909+GK916+GK917+GK918+GK919</f>
        <v>123.02474948299998</v>
      </c>
      <c r="GL893" s="1897">
        <f t="shared" si="1461"/>
        <v>39.326319999999946</v>
      </c>
      <c r="GM893" s="1897">
        <f t="shared" si="1461"/>
        <v>54.208000000000055</v>
      </c>
      <c r="GN893" s="1897">
        <f t="shared" si="1461"/>
        <v>42.623964668999889</v>
      </c>
      <c r="GO893" s="1897">
        <f t="shared" si="1461"/>
        <v>-138.78486187299995</v>
      </c>
      <c r="GP893" s="1897">
        <f t="shared" si="1461"/>
        <v>2.2559000000000111</v>
      </c>
      <c r="GQ893" s="1897">
        <f t="shared" si="1461"/>
        <v>-108.24252152400005</v>
      </c>
      <c r="GR893" s="1897">
        <f t="shared" si="1461"/>
        <v>23.052400000000105</v>
      </c>
      <c r="GS893" s="1897">
        <f t="shared" si="1461"/>
        <v>24.405439345000051</v>
      </c>
      <c r="GT893" s="1897">
        <f t="shared" si="1461"/>
        <v>20.125898810000002</v>
      </c>
      <c r="GU893" s="1897">
        <f t="shared" si="1461"/>
        <v>25.572198571232732</v>
      </c>
      <c r="GV893" s="1897">
        <f t="shared" si="1461"/>
        <v>23.149120000000089</v>
      </c>
      <c r="GW893" s="1897">
        <f t="shared" si="1461"/>
        <v>12.857640094999926</v>
      </c>
      <c r="GX893" s="1897">
        <f t="shared" si="1461"/>
        <v>10.027135000000044</v>
      </c>
      <c r="GY893" s="1897">
        <f t="shared" si="1461"/>
        <v>29.996341205999968</v>
      </c>
      <c r="GZ893" s="1897">
        <f t="shared" si="1461"/>
        <v>-19.64346499799996</v>
      </c>
      <c r="HA893" s="1897">
        <f t="shared" si="1461"/>
        <v>3.0677000000000305</v>
      </c>
      <c r="HB893" s="1897">
        <f t="shared" si="1461"/>
        <v>41.255300000000005</v>
      </c>
      <c r="HC893" s="1897">
        <f t="shared" si="1461"/>
        <v>56.250939816999974</v>
      </c>
      <c r="HD893" s="1897">
        <f t="shared" si="1461"/>
        <v>10.04849999999999</v>
      </c>
      <c r="HE893" s="1897">
        <f t="shared" si="1461"/>
        <v>-140.09259999999998</v>
      </c>
      <c r="HF893" s="1897">
        <f t="shared" si="1461"/>
        <v>-78.174719727681492</v>
      </c>
      <c r="HG893" s="1897">
        <f t="shared" si="1461"/>
        <v>10.083333736999972</v>
      </c>
      <c r="HH893" s="1897">
        <f t="shared" si="1461"/>
        <v>115.96549999999989</v>
      </c>
      <c r="HI893" s="1897">
        <f t="shared" si="1461"/>
        <v>60.069636948999985</v>
      </c>
      <c r="HJ893" s="1897">
        <f t="shared" si="1461"/>
        <v>17.461999999999989</v>
      </c>
      <c r="HK893" s="1897">
        <f t="shared" si="1461"/>
        <v>12.471000000000018</v>
      </c>
      <c r="HL893" s="1897">
        <f t="shared" si="1461"/>
        <v>33.407385604000019</v>
      </c>
      <c r="HM893" s="1897"/>
      <c r="HN893" s="349"/>
      <c r="HO893" s="356" t="s">
        <v>597</v>
      </c>
      <c r="HP893" s="307">
        <f>SUM(CE893:CJ893)</f>
        <v>10.163131880999963</v>
      </c>
      <c r="HQ893" s="302">
        <f>SUM(CK893:CP893)</f>
        <v>14.492650864918801</v>
      </c>
      <c r="HR893" s="346">
        <f>HP893+HQ893</f>
        <v>24.655782745918764</v>
      </c>
      <c r="HS893" s="302">
        <f>SUM(CQ893:CV893)</f>
        <v>67.392760055077403</v>
      </c>
      <c r="HT893" s="302">
        <f>SUM(CW893:DB893)</f>
        <v>24.879675971061829</v>
      </c>
      <c r="HU893" s="346">
        <f>HS893+HT893</f>
        <v>92.272436026139232</v>
      </c>
      <c r="HV893" s="307">
        <f>SUM(DC893:DH893)</f>
        <v>53.499911194000006</v>
      </c>
      <c r="HW893" s="302">
        <f>SUM(DI893:DN893)</f>
        <v>41.334139932999989</v>
      </c>
      <c r="HX893" s="346">
        <f>HV893+HW893</f>
        <v>94.834051126999995</v>
      </c>
      <c r="HY893" s="350">
        <f>SUM(DO893:DT893)</f>
        <v>16.12547470399646</v>
      </c>
      <c r="HZ893" s="302">
        <f>SUM(DU893:DZ893)</f>
        <v>23.176074378003563</v>
      </c>
      <c r="IA893" s="346">
        <f>HY893+HZ893</f>
        <v>39.301549082000022</v>
      </c>
      <c r="IB893" s="302">
        <f>SUM(EA893:EF893)</f>
        <v>74.475527496422202</v>
      </c>
      <c r="IC893" s="302">
        <f>SUM(EG893:EL893)</f>
        <v>17.790711048999881</v>
      </c>
      <c r="ID893" s="346">
        <f>IB893+IC893</f>
        <v>92.266238545422084</v>
      </c>
      <c r="IE893" s="350">
        <f>SUM(EM893:ER893)</f>
        <v>14.922094248414169</v>
      </c>
      <c r="IF893" s="350">
        <f>SUM(ES893:EX893)</f>
        <v>93.018854464096592</v>
      </c>
      <c r="IG893" s="346">
        <f>IE893+IF893</f>
        <v>107.94094871251076</v>
      </c>
      <c r="IH893" s="350">
        <f>SUM(EY893:FD893)</f>
        <v>102.77451687900017</v>
      </c>
      <c r="II893" s="350">
        <f>SUM(FE893:FJ893)</f>
        <v>103.1968671730001</v>
      </c>
      <c r="IJ893" s="346">
        <f>IH893+II893</f>
        <v>205.97138405200027</v>
      </c>
      <c r="IK893" s="350">
        <f>SUM(FK893:FP893)</f>
        <v>312.7574984979999</v>
      </c>
      <c r="IL893" s="350">
        <f>SUM(FQ893:FV893)</f>
        <v>-59.291593293000034</v>
      </c>
      <c r="IM893" s="346">
        <f t="shared" si="1430"/>
        <v>253.46590520499987</v>
      </c>
      <c r="IN893" s="350">
        <f t="shared" si="1438"/>
        <v>140.89818072100007</v>
      </c>
      <c r="IO893" s="350">
        <f t="shared" si="1439"/>
        <v>79.688266893572546</v>
      </c>
      <c r="IP893" s="346">
        <f t="shared" si="1443"/>
        <v>220.58644761457262</v>
      </c>
      <c r="IQ893" s="350">
        <f t="shared" si="1440"/>
        <v>319.51503415199988</v>
      </c>
      <c r="IR893" s="350">
        <f t="shared" si="1441"/>
        <v>-177.18774524199986</v>
      </c>
      <c r="IS893" s="346">
        <f t="shared" si="1410"/>
        <v>142.32728891000002</v>
      </c>
      <c r="IT893" s="350">
        <f>IT898+IT909+IT916+IT917+IT918+IT919</f>
        <v>81.958969874232793</v>
      </c>
      <c r="IU893" s="350">
        <f>IU898+IU909+IU916+IU917+IU918+IU919</f>
        <v>-107.64487991068145</v>
      </c>
      <c r="IV893" s="346">
        <f t="shared" si="1409"/>
        <v>-25.685910036448661</v>
      </c>
      <c r="IW893" s="350">
        <f t="shared" si="1428"/>
        <v>249.45885628999986</v>
      </c>
      <c r="IX893" s="1629">
        <f t="shared" si="1426"/>
        <v>-270.55180000355153</v>
      </c>
      <c r="IY893" s="346">
        <f>FISC!AJ1214</f>
        <v>-21.092943713551676</v>
      </c>
      <c r="IZ893" s="1629">
        <f>IZ892-IZ920</f>
        <v>189.38002069126992</v>
      </c>
      <c r="JA893" s="1629">
        <f>JA892-JA920</f>
        <v>-219.72099467202389</v>
      </c>
      <c r="JB893" s="346">
        <f>FISC!AK1214</f>
        <v>-30.340973980754143</v>
      </c>
      <c r="JC893" s="1629">
        <f>JC892-JC920</f>
        <v>59.389836158466778</v>
      </c>
      <c r="JD893" s="1629">
        <f>JD892-JD920</f>
        <v>-175.14970342222597</v>
      </c>
      <c r="JE893" s="346">
        <f>FISC!AL1214</f>
        <v>-115.75986726375913</v>
      </c>
      <c r="JF893" s="1629">
        <f>JF892-JF920</f>
        <v>202.1773989299528</v>
      </c>
      <c r="JG893" s="1629">
        <f>JG892-JG920</f>
        <v>-16.458495639690796</v>
      </c>
      <c r="JH893" s="346">
        <f>FISC!AM1214</f>
        <v>185.71890329026223</v>
      </c>
      <c r="JI893" s="1629">
        <f>JI892-JI920</f>
        <v>262.35592353322522</v>
      </c>
      <c r="JJ893" s="1629">
        <f>JJ892-JJ920</f>
        <v>112.45905381266601</v>
      </c>
      <c r="JK893" s="346">
        <f>FISC!AN1214</f>
        <v>374.81497734589118</v>
      </c>
      <c r="JL893" s="1629">
        <f>JL892-JL920</f>
        <v>622.95133363793491</v>
      </c>
      <c r="JM893" s="1629">
        <f>JM892-JM920</f>
        <v>328.4291810313797</v>
      </c>
      <c r="JN893" s="346">
        <f>FISC!AO1214</f>
        <v>951.38051466931415</v>
      </c>
      <c r="KI893" s="349"/>
      <c r="KJ893" s="350"/>
      <c r="KM893" s="302">
        <f>KM895+KM898+KM909+KM919</f>
        <v>0</v>
      </c>
      <c r="KN893" s="302">
        <f>KN895+KN898+KN909+KN919</f>
        <v>0</v>
      </c>
      <c r="KO893" s="302">
        <f>KO895+KO898+KO909+KO919</f>
        <v>0</v>
      </c>
      <c r="KP893" s="302">
        <f>KP895+KP898+KP909+KP919</f>
        <v>0</v>
      </c>
    </row>
    <row r="894" spans="1:302" hidden="1" outlineLevel="1">
      <c r="A894" s="302"/>
      <c r="D894" s="1807" t="s">
        <v>3290</v>
      </c>
      <c r="E894" s="346"/>
      <c r="F894" s="346"/>
      <c r="G894" s="346"/>
      <c r="H894" s="346"/>
      <c r="I894" s="346"/>
      <c r="J894" s="346"/>
      <c r="K894" s="346"/>
      <c r="L894" s="346"/>
      <c r="M894" s="346"/>
      <c r="N894" s="346"/>
      <c r="O894" s="346"/>
      <c r="P894" s="346"/>
      <c r="Q894" s="346"/>
      <c r="R894" s="346"/>
      <c r="S894" s="346"/>
      <c r="T894" s="346"/>
      <c r="U894" s="346"/>
      <c r="V894" s="346"/>
      <c r="W894" s="346"/>
      <c r="X894" s="346"/>
      <c r="Y894" s="346"/>
      <c r="Z894" s="346"/>
      <c r="AA894" s="346"/>
      <c r="AB894" s="346"/>
      <c r="AC894" s="346"/>
      <c r="AD894" s="346"/>
      <c r="AE894" s="346"/>
      <c r="AF894" s="346"/>
      <c r="AG894" s="346"/>
      <c r="AH894" s="346"/>
      <c r="AI894" s="346"/>
      <c r="AJ894" s="346"/>
      <c r="AK894" s="346"/>
      <c r="AL894" s="346"/>
      <c r="AM894" s="346"/>
      <c r="AN894" s="346"/>
      <c r="AO894" s="346"/>
      <c r="AP894" s="346"/>
      <c r="AQ894" s="346"/>
      <c r="AR894" s="346"/>
      <c r="AS894" s="346"/>
      <c r="AT894" s="346"/>
      <c r="AU894" s="346"/>
      <c r="AV894" s="346"/>
      <c r="AW894" s="346"/>
      <c r="AX894" s="346"/>
      <c r="AY894" s="346"/>
      <c r="AZ894" s="346"/>
      <c r="BA894" s="346"/>
      <c r="BB894" s="346"/>
      <c r="BC894" s="346"/>
      <c r="BD894" s="346"/>
      <c r="BE894" s="346"/>
      <c r="BF894" s="346"/>
      <c r="BG894" s="346"/>
      <c r="BH894" s="346"/>
      <c r="BI894" s="346"/>
      <c r="BJ894" s="346"/>
      <c r="BK894" s="346"/>
      <c r="BL894" s="346"/>
      <c r="BM894" s="346"/>
      <c r="BN894" s="346"/>
      <c r="BO894" s="346"/>
      <c r="BP894" s="346"/>
      <c r="BQ894" s="346"/>
      <c r="BR894" s="346"/>
      <c r="BS894" s="346"/>
      <c r="BT894" s="346"/>
      <c r="BU894" s="346"/>
      <c r="BV894" s="346"/>
      <c r="BW894" s="346"/>
      <c r="BX894" s="346"/>
      <c r="BY894" s="346"/>
      <c r="BZ894" s="346"/>
      <c r="CA894" s="346"/>
      <c r="CB894" s="346"/>
      <c r="CC894" s="346"/>
      <c r="CD894" s="352"/>
      <c r="CE894" s="346"/>
      <c r="CF894" s="346"/>
      <c r="CG894" s="346"/>
      <c r="CH894" s="346"/>
      <c r="CI894" s="346"/>
      <c r="CJ894" s="346"/>
      <c r="CK894" s="346"/>
      <c r="CL894" s="346"/>
      <c r="CM894" s="346"/>
      <c r="CN894" s="346"/>
      <c r="CO894" s="346"/>
      <c r="CP894" s="348"/>
      <c r="CQ894" s="346"/>
      <c r="CR894" s="346"/>
      <c r="CS894" s="346"/>
      <c r="CT894" s="346"/>
      <c r="CU894" s="346"/>
      <c r="CV894" s="346"/>
      <c r="CW894" s="346"/>
      <c r="CX894" s="346"/>
      <c r="CY894" s="346"/>
      <c r="CZ894" s="346"/>
      <c r="DA894" s="346"/>
      <c r="DB894" s="1479"/>
      <c r="DC894" s="346"/>
      <c r="DD894" s="346"/>
      <c r="DE894" s="346"/>
      <c r="DF894" s="346"/>
      <c r="DG894" s="346"/>
      <c r="DH894" s="346"/>
      <c r="DI894" s="346"/>
      <c r="DJ894" s="346"/>
      <c r="DK894" s="346"/>
      <c r="DL894" s="346"/>
      <c r="DM894" s="346"/>
      <c r="DN894" s="348"/>
      <c r="DO894" s="346"/>
      <c r="DP894" s="346"/>
      <c r="DQ894" s="346"/>
      <c r="DR894" s="346"/>
      <c r="DS894" s="346"/>
      <c r="DT894" s="346"/>
      <c r="DU894" s="346"/>
      <c r="DV894" s="346"/>
      <c r="DW894" s="346"/>
      <c r="DX894" s="346"/>
      <c r="DY894" s="346"/>
      <c r="DZ894" s="348"/>
      <c r="EA894" s="346"/>
      <c r="EB894" s="346"/>
      <c r="EC894" s="346"/>
      <c r="ED894" s="346"/>
      <c r="EE894" s="346"/>
      <c r="EF894" s="346"/>
      <c r="EG894" s="346"/>
      <c r="EH894" s="346"/>
      <c r="EI894" s="346"/>
      <c r="EJ894" s="346"/>
      <c r="EK894" s="346"/>
      <c r="EL894" s="348"/>
      <c r="EM894" s="346"/>
      <c r="EN894" s="346"/>
      <c r="EO894" s="346"/>
      <c r="EP894" s="346"/>
      <c r="EQ894" s="346"/>
      <c r="ER894" s="346"/>
      <c r="ES894" s="346"/>
      <c r="ET894" s="346"/>
      <c r="EU894" s="346"/>
      <c r="EV894" s="346"/>
      <c r="EW894" s="346"/>
      <c r="EX894" s="348"/>
      <c r="EY894" s="346"/>
      <c r="EZ894" s="346"/>
      <c r="FA894" s="346"/>
      <c r="FB894" s="346"/>
      <c r="FC894" s="346"/>
      <c r="FD894" s="346"/>
      <c r="FE894" s="346"/>
      <c r="FF894" s="346"/>
      <c r="FG894" s="346"/>
      <c r="FH894" s="346"/>
      <c r="FI894" s="346"/>
      <c r="FJ894" s="348"/>
      <c r="FK894" s="346"/>
      <c r="FL894" s="346"/>
      <c r="FM894" s="346"/>
      <c r="FN894" s="346"/>
      <c r="FO894" s="346"/>
      <c r="FP894" s="346"/>
      <c r="FQ894" s="346"/>
      <c r="FR894" s="346"/>
      <c r="FS894" s="346"/>
      <c r="FT894" s="346"/>
      <c r="FU894" s="346"/>
      <c r="FV894" s="346"/>
      <c r="FW894" s="346"/>
      <c r="FX894" s="346"/>
      <c r="FY894" s="346"/>
      <c r="FZ894" s="346"/>
      <c r="GA894" s="346"/>
      <c r="GB894" s="346"/>
      <c r="GC894" s="346"/>
      <c r="GD894" s="346"/>
      <c r="GE894" s="346"/>
      <c r="GF894" s="346"/>
      <c r="GG894" s="346"/>
      <c r="GH894" s="346"/>
      <c r="GI894" s="1897"/>
      <c r="HN894" s="349"/>
      <c r="HO894" s="1807" t="s">
        <v>3290</v>
      </c>
      <c r="HP894" s="307"/>
      <c r="HR894" s="346"/>
      <c r="HU894" s="346"/>
      <c r="HV894" s="307"/>
      <c r="HX894" s="346"/>
      <c r="HY894" s="350"/>
      <c r="IA894" s="346"/>
      <c r="ID894" s="346"/>
      <c r="IE894" s="350"/>
      <c r="IF894" s="350"/>
      <c r="IG894" s="346"/>
      <c r="IH894" s="350"/>
      <c r="II894" s="350"/>
      <c r="IJ894" s="346"/>
      <c r="IK894" s="350"/>
      <c r="IL894" s="350"/>
      <c r="IM894" s="346"/>
      <c r="IN894" s="350">
        <f t="shared" si="1438"/>
        <v>0</v>
      </c>
      <c r="IO894" s="350">
        <f t="shared" si="1439"/>
        <v>0</v>
      </c>
      <c r="IP894" s="346">
        <f t="shared" si="1443"/>
        <v>0</v>
      </c>
      <c r="IQ894" s="350">
        <f t="shared" si="1440"/>
        <v>0</v>
      </c>
      <c r="IR894" s="350">
        <f t="shared" si="1441"/>
        <v>0</v>
      </c>
      <c r="IS894" s="346">
        <f t="shared" si="1410"/>
        <v>0</v>
      </c>
      <c r="IT894" s="350">
        <f>SUM(GU894:GZ894)</f>
        <v>0</v>
      </c>
      <c r="IU894" s="350">
        <f t="shared" ref="IU894:IU897" si="1462">SUM(HA894:HF894)</f>
        <v>0</v>
      </c>
      <c r="IV894" s="346">
        <f t="shared" si="1409"/>
        <v>0</v>
      </c>
      <c r="IW894" s="350">
        <f t="shared" si="1428"/>
        <v>0</v>
      </c>
      <c r="IX894" s="302">
        <f t="shared" si="1426"/>
        <v>0</v>
      </c>
      <c r="IY894" s="346"/>
      <c r="IZ894" s="1629"/>
      <c r="JB894" s="346"/>
      <c r="JC894" s="1629"/>
      <c r="JE894" s="346">
        <f>FISC!AL1215</f>
        <v>0</v>
      </c>
      <c r="JH894" s="346">
        <f>FISC!AM1215</f>
        <v>0</v>
      </c>
      <c r="JK894" s="346">
        <f>FISC!AN1215</f>
        <v>0</v>
      </c>
      <c r="JN894" s="346">
        <f>FISC!AO1215</f>
        <v>0</v>
      </c>
      <c r="KI894" s="349"/>
      <c r="KJ894" s="350"/>
    </row>
    <row r="895" spans="1:302" hidden="1" outlineLevel="1">
      <c r="A895" s="302"/>
      <c r="B895" s="117" t="s">
        <v>361</v>
      </c>
      <c r="D895" s="357" t="s">
        <v>598</v>
      </c>
      <c r="E895" s="346"/>
      <c r="F895" s="346"/>
      <c r="G895" s="346"/>
      <c r="H895" s="346"/>
      <c r="I895" s="346"/>
      <c r="J895" s="346"/>
      <c r="K895" s="346"/>
      <c r="L895" s="346"/>
      <c r="M895" s="346"/>
      <c r="N895" s="346"/>
      <c r="O895" s="346"/>
      <c r="P895" s="346"/>
      <c r="Q895" s="346"/>
      <c r="R895" s="346"/>
      <c r="S895" s="346"/>
      <c r="T895" s="346"/>
      <c r="U895" s="346"/>
      <c r="V895" s="346"/>
      <c r="W895" s="346"/>
      <c r="X895" s="346"/>
      <c r="Y895" s="346"/>
      <c r="Z895" s="346"/>
      <c r="AA895" s="346"/>
      <c r="AB895" s="346"/>
      <c r="AC895" s="346"/>
      <c r="AD895" s="346"/>
      <c r="AE895" s="346"/>
      <c r="AF895" s="346"/>
      <c r="AG895" s="346"/>
      <c r="AH895" s="346"/>
      <c r="AI895" s="346"/>
      <c r="AJ895" s="346"/>
      <c r="AK895" s="346"/>
      <c r="AL895" s="346"/>
      <c r="AM895" s="346"/>
      <c r="AN895" s="346"/>
      <c r="AO895" s="346"/>
      <c r="AP895" s="346"/>
      <c r="AQ895" s="346"/>
      <c r="AR895" s="346"/>
      <c r="AS895" s="346"/>
      <c r="AT895" s="346"/>
      <c r="AU895" s="346"/>
      <c r="AV895" s="346"/>
      <c r="AW895" s="346"/>
      <c r="AX895" s="346"/>
      <c r="AY895" s="346"/>
      <c r="AZ895" s="346"/>
      <c r="BA895" s="346"/>
      <c r="BB895" s="346"/>
      <c r="BC895" s="346"/>
      <c r="BD895" s="346"/>
      <c r="BE895" s="346"/>
      <c r="BF895" s="346"/>
      <c r="BG895" s="346"/>
      <c r="BH895" s="346"/>
      <c r="BI895" s="346"/>
      <c r="BJ895" s="346"/>
      <c r="BK895" s="346"/>
      <c r="BL895" s="346"/>
      <c r="BM895" s="346"/>
      <c r="BN895" s="346"/>
      <c r="BO895" s="346"/>
      <c r="BP895" s="346"/>
      <c r="BQ895" s="346"/>
      <c r="BR895" s="346"/>
      <c r="BS895" s="346"/>
      <c r="BT895" s="346"/>
      <c r="BU895" s="346"/>
      <c r="BV895" s="346"/>
      <c r="BW895" s="346"/>
      <c r="BX895" s="346"/>
      <c r="BY895" s="346"/>
      <c r="BZ895" s="346"/>
      <c r="CA895" s="346"/>
      <c r="CB895" s="346"/>
      <c r="CC895" s="346"/>
      <c r="CD895" s="352"/>
      <c r="CE895" s="346">
        <v>0</v>
      </c>
      <c r="CF895" s="346">
        <v>0</v>
      </c>
      <c r="CG895" s="346">
        <v>0</v>
      </c>
      <c r="CH895" s="346">
        <v>0</v>
      </c>
      <c r="CI895" s="346">
        <v>0</v>
      </c>
      <c r="CJ895" s="346">
        <v>0</v>
      </c>
      <c r="CK895" s="346">
        <v>0</v>
      </c>
      <c r="CL895" s="346">
        <v>0</v>
      </c>
      <c r="CM895" s="346">
        <v>0</v>
      </c>
      <c r="CN895" s="346">
        <v>0</v>
      </c>
      <c r="CO895" s="346">
        <v>0</v>
      </c>
      <c r="CP895" s="348">
        <v>0</v>
      </c>
      <c r="CQ895" s="346"/>
      <c r="CR895" s="346"/>
      <c r="CS895" s="346"/>
      <c r="CT895" s="346"/>
      <c r="CU895" s="346"/>
      <c r="CV895" s="346"/>
      <c r="CW895" s="346"/>
      <c r="CX895" s="346"/>
      <c r="CY895" s="346"/>
      <c r="CZ895" s="346"/>
      <c r="DA895" s="346"/>
      <c r="DB895" s="1479"/>
      <c r="DC895" s="346"/>
      <c r="DD895" s="346"/>
      <c r="DE895" s="346"/>
      <c r="DF895" s="346"/>
      <c r="DG895" s="346"/>
      <c r="DH895" s="346"/>
      <c r="DI895" s="346"/>
      <c r="DJ895" s="346"/>
      <c r="DK895" s="346"/>
      <c r="DL895" s="346"/>
      <c r="DM895" s="346"/>
      <c r="DN895" s="348"/>
      <c r="DO895" s="346"/>
      <c r="DP895" s="346"/>
      <c r="DQ895" s="346"/>
      <c r="DR895" s="346"/>
      <c r="DS895" s="346"/>
      <c r="DT895" s="346"/>
      <c r="DU895" s="346"/>
      <c r="DV895" s="346"/>
      <c r="DW895" s="346"/>
      <c r="DX895" s="346"/>
      <c r="DY895" s="346"/>
      <c r="DZ895" s="348"/>
      <c r="EA895" s="346"/>
      <c r="EB895" s="346"/>
      <c r="EC895" s="346"/>
      <c r="ED895" s="346"/>
      <c r="EE895" s="346"/>
      <c r="EF895" s="346"/>
      <c r="EG895" s="346"/>
      <c r="EH895" s="346"/>
      <c r="EI895" s="346"/>
      <c r="EJ895" s="346"/>
      <c r="EK895" s="346"/>
      <c r="EL895" s="348"/>
      <c r="EM895" s="346"/>
      <c r="EN895" s="346"/>
      <c r="EO895" s="346"/>
      <c r="EP895" s="346"/>
      <c r="EQ895" s="346"/>
      <c r="ER895" s="346"/>
      <c r="ES895" s="346"/>
      <c r="ET895" s="346"/>
      <c r="EU895" s="346"/>
      <c r="EV895" s="346"/>
      <c r="EW895" s="346"/>
      <c r="EX895" s="348"/>
      <c r="EY895" s="346"/>
      <c r="EZ895" s="346"/>
      <c r="FA895" s="346"/>
      <c r="FB895" s="346"/>
      <c r="FC895" s="346"/>
      <c r="FD895" s="346"/>
      <c r="FE895" s="346"/>
      <c r="FF895" s="346"/>
      <c r="FG895" s="346"/>
      <c r="FH895" s="346"/>
      <c r="FI895" s="346"/>
      <c r="FJ895" s="348"/>
      <c r="FK895" s="346">
        <v>0</v>
      </c>
      <c r="FL895" s="346">
        <v>0</v>
      </c>
      <c r="FM895" s="346">
        <v>0</v>
      </c>
      <c r="FN895" s="346">
        <v>0</v>
      </c>
      <c r="FO895" s="346">
        <v>0</v>
      </c>
      <c r="FP895" s="346">
        <v>0</v>
      </c>
      <c r="FQ895" s="346">
        <v>0</v>
      </c>
      <c r="FR895" s="346">
        <v>0</v>
      </c>
      <c r="FS895" s="346">
        <v>0</v>
      </c>
      <c r="FT895" s="346">
        <v>0</v>
      </c>
      <c r="FU895" s="346">
        <v>0</v>
      </c>
      <c r="FV895" s="346">
        <v>0</v>
      </c>
      <c r="FW895" s="346">
        <v>0</v>
      </c>
      <c r="FX895" s="346">
        <v>0</v>
      </c>
      <c r="FY895" s="346">
        <v>0</v>
      </c>
      <c r="FZ895" s="346">
        <v>0</v>
      </c>
      <c r="GA895" s="346">
        <v>0</v>
      </c>
      <c r="GB895" s="346">
        <v>0</v>
      </c>
      <c r="GC895" s="346">
        <v>0</v>
      </c>
      <c r="GD895" s="346">
        <v>0</v>
      </c>
      <c r="GE895" s="346">
        <v>0</v>
      </c>
      <c r="GF895" s="346">
        <v>0</v>
      </c>
      <c r="GG895" s="346">
        <v>0</v>
      </c>
      <c r="GH895" s="346">
        <v>0</v>
      </c>
      <c r="GI895" s="1897"/>
      <c r="GS895" s="1897"/>
      <c r="HN895" s="349"/>
      <c r="HO895" s="357" t="s">
        <v>598</v>
      </c>
      <c r="HP895" s="307">
        <f>SUM(CE895:CJ895)</f>
        <v>0</v>
      </c>
      <c r="HQ895" s="302">
        <f>SUM(CK895:CP895)</f>
        <v>0</v>
      </c>
      <c r="HR895" s="346">
        <f>HP895+HQ895</f>
        <v>0</v>
      </c>
      <c r="HS895" s="302">
        <f>SUM(CQ895:CV895)</f>
        <v>0</v>
      </c>
      <c r="HT895" s="302">
        <f>SUM(CW895:DB895)</f>
        <v>0</v>
      </c>
      <c r="HU895" s="346">
        <f>HS895+HT895</f>
        <v>0</v>
      </c>
      <c r="HV895" s="307">
        <f>SUM(DC895:DH895)</f>
        <v>0</v>
      </c>
      <c r="HW895" s="302">
        <f>SUM(DI895:DN895)</f>
        <v>0</v>
      </c>
      <c r="HX895" s="346">
        <f>HV895+HW895</f>
        <v>0</v>
      </c>
      <c r="HY895" s="350">
        <f>SUM(DO895:DT895)</f>
        <v>0</v>
      </c>
      <c r="HZ895" s="302">
        <f>SUM(DU895:DZ895)</f>
        <v>0</v>
      </c>
      <c r="IA895" s="346">
        <f>HY895+HZ895</f>
        <v>0</v>
      </c>
      <c r="IB895" s="302">
        <f>SUM(EA895:EF895)</f>
        <v>0</v>
      </c>
      <c r="IC895" s="302">
        <f>SUM(EG895:EL895)</f>
        <v>0</v>
      </c>
      <c r="ID895" s="346">
        <f>IB895+IC895</f>
        <v>0</v>
      </c>
      <c r="IE895" s="350">
        <f>SUM(EM895:ER895)</f>
        <v>0</v>
      </c>
      <c r="IF895" s="350">
        <f>SUM(ES895:EX895)</f>
        <v>0</v>
      </c>
      <c r="IG895" s="346">
        <f>IE895+IF895</f>
        <v>0</v>
      </c>
      <c r="IH895" s="350">
        <f>SUM(EY895:FD895)</f>
        <v>0</v>
      </c>
      <c r="II895" s="350">
        <f>SUM(FE895:FJ895)</f>
        <v>0</v>
      </c>
      <c r="IJ895" s="346">
        <f t="shared" ref="IJ895:IJ909" si="1463">IH895+II895</f>
        <v>0</v>
      </c>
      <c r="IK895" s="350">
        <f t="shared" ref="IK895:IK900" si="1464">SUM(FK895:FP895)</f>
        <v>0</v>
      </c>
      <c r="IL895" s="350">
        <f t="shared" ref="IL895:IL901" si="1465">SUM(FQ895:FV895)</f>
        <v>0</v>
      </c>
      <c r="IM895" s="346">
        <f t="shared" si="1430"/>
        <v>0</v>
      </c>
      <c r="IN895" s="350">
        <f t="shared" si="1438"/>
        <v>0</v>
      </c>
      <c r="IO895" s="350">
        <f t="shared" si="1439"/>
        <v>0</v>
      </c>
      <c r="IP895" s="346">
        <f t="shared" si="1443"/>
        <v>0</v>
      </c>
      <c r="IQ895" s="350">
        <f t="shared" si="1440"/>
        <v>0</v>
      </c>
      <c r="IR895" s="350">
        <f t="shared" si="1441"/>
        <v>0</v>
      </c>
      <c r="IS895" s="346">
        <f t="shared" si="1410"/>
        <v>0</v>
      </c>
      <c r="IT895" s="350">
        <f>SUM(GU895:GZ895)</f>
        <v>0</v>
      </c>
      <c r="IU895" s="350">
        <f t="shared" si="1462"/>
        <v>0</v>
      </c>
      <c r="IV895" s="346">
        <f t="shared" si="1409"/>
        <v>0</v>
      </c>
      <c r="IW895" s="350">
        <f t="shared" si="1428"/>
        <v>0</v>
      </c>
      <c r="IX895" s="350">
        <f t="shared" si="1426"/>
        <v>0</v>
      </c>
      <c r="IY895" s="346">
        <f>FISC!AJ1216</f>
        <v>0</v>
      </c>
      <c r="IZ895" s="350">
        <f>IZ896+IZ897</f>
        <v>0</v>
      </c>
      <c r="JA895" s="350">
        <f>JB895-IZ895</f>
        <v>0</v>
      </c>
      <c r="JB895" s="346">
        <f>FISC!AK1216</f>
        <v>0</v>
      </c>
      <c r="JC895" s="350">
        <f>JC896+JC897</f>
        <v>0</v>
      </c>
      <c r="JD895" s="350">
        <f>JE895-JC895</f>
        <v>0</v>
      </c>
      <c r="JE895" s="346">
        <f>FISC!AL1216</f>
        <v>0</v>
      </c>
      <c r="JF895" s="350">
        <f>JF896+JF897</f>
        <v>0</v>
      </c>
      <c r="JG895" s="350">
        <f>JH895-JF895</f>
        <v>0</v>
      </c>
      <c r="JH895" s="346">
        <f>FISC!AM1216</f>
        <v>0</v>
      </c>
      <c r="JI895" s="350">
        <f>JI896+JI897</f>
        <v>0</v>
      </c>
      <c r="JJ895" s="350">
        <f>JK895-JI895</f>
        <v>0</v>
      </c>
      <c r="JK895" s="346">
        <f>FISC!AN1216</f>
        <v>0</v>
      </c>
      <c r="JL895" s="350">
        <f>JL896+JL897</f>
        <v>0</v>
      </c>
      <c r="JM895" s="350">
        <f>JN895-JL895</f>
        <v>0</v>
      </c>
      <c r="JN895" s="346">
        <f>FISC!AO1216</f>
        <v>0</v>
      </c>
      <c r="KI895" s="349"/>
      <c r="KJ895" s="350"/>
    </row>
    <row r="896" spans="1:302" hidden="1" outlineLevel="1">
      <c r="A896" s="302"/>
      <c r="D896" s="1731" t="s">
        <v>3232</v>
      </c>
      <c r="E896" s="346"/>
      <c r="F896" s="346"/>
      <c r="G896" s="346"/>
      <c r="H896" s="346"/>
      <c r="I896" s="346"/>
      <c r="J896" s="346"/>
      <c r="K896" s="346"/>
      <c r="L896" s="346"/>
      <c r="M896" s="346"/>
      <c r="N896" s="346"/>
      <c r="O896" s="346"/>
      <c r="P896" s="346"/>
      <c r="Q896" s="346"/>
      <c r="R896" s="346"/>
      <c r="S896" s="346"/>
      <c r="T896" s="346"/>
      <c r="U896" s="346"/>
      <c r="V896" s="346"/>
      <c r="W896" s="346"/>
      <c r="X896" s="346"/>
      <c r="Y896" s="346"/>
      <c r="Z896" s="346"/>
      <c r="AA896" s="346"/>
      <c r="AB896" s="346"/>
      <c r="AC896" s="346"/>
      <c r="AD896" s="346"/>
      <c r="AE896" s="346"/>
      <c r="AF896" s="346"/>
      <c r="AG896" s="346"/>
      <c r="AH896" s="346"/>
      <c r="AI896" s="346"/>
      <c r="AJ896" s="346"/>
      <c r="AK896" s="346"/>
      <c r="AL896" s="346"/>
      <c r="AM896" s="346"/>
      <c r="AN896" s="346"/>
      <c r="AO896" s="346"/>
      <c r="AP896" s="346"/>
      <c r="AQ896" s="346"/>
      <c r="AR896" s="346"/>
      <c r="AS896" s="346"/>
      <c r="AT896" s="346"/>
      <c r="AU896" s="346"/>
      <c r="AV896" s="346"/>
      <c r="AW896" s="346"/>
      <c r="AX896" s="346"/>
      <c r="AY896" s="346"/>
      <c r="AZ896" s="346"/>
      <c r="BA896" s="346"/>
      <c r="BB896" s="346"/>
      <c r="BC896" s="346"/>
      <c r="BD896" s="346"/>
      <c r="BE896" s="346"/>
      <c r="BF896" s="346"/>
      <c r="BG896" s="346"/>
      <c r="BH896" s="346"/>
      <c r="BI896" s="346"/>
      <c r="BJ896" s="346"/>
      <c r="BK896" s="346"/>
      <c r="BL896" s="346"/>
      <c r="BM896" s="346"/>
      <c r="BN896" s="346"/>
      <c r="BO896" s="346"/>
      <c r="BP896" s="346"/>
      <c r="BQ896" s="346"/>
      <c r="BR896" s="346"/>
      <c r="BS896" s="346"/>
      <c r="BT896" s="346"/>
      <c r="BU896" s="346"/>
      <c r="BV896" s="346"/>
      <c r="BW896" s="346"/>
      <c r="BX896" s="346"/>
      <c r="BY896" s="346"/>
      <c r="BZ896" s="346"/>
      <c r="CA896" s="346"/>
      <c r="CB896" s="346"/>
      <c r="CC896" s="346"/>
      <c r="CD896" s="352"/>
      <c r="CE896" s="346"/>
      <c r="CF896" s="346"/>
      <c r="CG896" s="346"/>
      <c r="CH896" s="346"/>
      <c r="CI896" s="346"/>
      <c r="CJ896" s="346"/>
      <c r="CK896" s="346"/>
      <c r="CL896" s="346"/>
      <c r="CM896" s="346"/>
      <c r="CN896" s="346"/>
      <c r="CO896" s="346"/>
      <c r="CP896" s="348"/>
      <c r="CQ896" s="346"/>
      <c r="CR896" s="346"/>
      <c r="CS896" s="346"/>
      <c r="CT896" s="346"/>
      <c r="CU896" s="346"/>
      <c r="CV896" s="346"/>
      <c r="CW896" s="346"/>
      <c r="CX896" s="346"/>
      <c r="CY896" s="346"/>
      <c r="CZ896" s="346"/>
      <c r="DA896" s="346"/>
      <c r="DB896" s="1479"/>
      <c r="DC896" s="346"/>
      <c r="DD896" s="346"/>
      <c r="DE896" s="346"/>
      <c r="DF896" s="346"/>
      <c r="DG896" s="346"/>
      <c r="DH896" s="346"/>
      <c r="DI896" s="346"/>
      <c r="DJ896" s="346"/>
      <c r="DK896" s="346"/>
      <c r="DL896" s="346"/>
      <c r="DM896" s="346"/>
      <c r="DN896" s="348"/>
      <c r="DO896" s="346"/>
      <c r="DP896" s="346"/>
      <c r="DQ896" s="346"/>
      <c r="DR896" s="346"/>
      <c r="DS896" s="346"/>
      <c r="DT896" s="346"/>
      <c r="DU896" s="346"/>
      <c r="DV896" s="346"/>
      <c r="DW896" s="346"/>
      <c r="DX896" s="346"/>
      <c r="DY896" s="346"/>
      <c r="DZ896" s="348"/>
      <c r="EA896" s="346"/>
      <c r="EB896" s="346"/>
      <c r="EC896" s="346"/>
      <c r="ED896" s="346"/>
      <c r="EE896" s="346"/>
      <c r="EF896" s="346"/>
      <c r="EG896" s="346"/>
      <c r="EH896" s="346"/>
      <c r="EI896" s="346"/>
      <c r="EJ896" s="346"/>
      <c r="EK896" s="346"/>
      <c r="EL896" s="348"/>
      <c r="EM896" s="346"/>
      <c r="EN896" s="346"/>
      <c r="EO896" s="346"/>
      <c r="EP896" s="346"/>
      <c r="EQ896" s="346"/>
      <c r="ER896" s="346"/>
      <c r="ES896" s="346"/>
      <c r="ET896" s="346"/>
      <c r="EU896" s="346"/>
      <c r="EV896" s="346"/>
      <c r="EW896" s="346"/>
      <c r="EX896" s="348"/>
      <c r="EY896" s="346"/>
      <c r="EZ896" s="346"/>
      <c r="FA896" s="346"/>
      <c r="FB896" s="346"/>
      <c r="FC896" s="346"/>
      <c r="FD896" s="346"/>
      <c r="FE896" s="346"/>
      <c r="FF896" s="346"/>
      <c r="FG896" s="346"/>
      <c r="FH896" s="346"/>
      <c r="FI896" s="346"/>
      <c r="FJ896" s="348"/>
      <c r="FK896" s="346"/>
      <c r="FL896" s="346"/>
      <c r="FM896" s="346"/>
      <c r="FN896" s="346"/>
      <c r="FO896" s="346"/>
      <c r="FP896" s="346"/>
      <c r="FQ896" s="346"/>
      <c r="FR896" s="346"/>
      <c r="FS896" s="346"/>
      <c r="FT896" s="346"/>
      <c r="FU896" s="346"/>
      <c r="FV896" s="346"/>
      <c r="FW896" s="346"/>
      <c r="FX896" s="346"/>
      <c r="FY896" s="346"/>
      <c r="FZ896" s="346"/>
      <c r="GA896" s="346"/>
      <c r="GB896" s="346"/>
      <c r="GC896" s="346"/>
      <c r="GD896" s="346"/>
      <c r="GE896" s="346"/>
      <c r="GF896" s="346"/>
      <c r="GG896" s="346"/>
      <c r="GH896" s="346"/>
      <c r="GI896" s="1897"/>
      <c r="HN896" s="349"/>
      <c r="HO896" s="1731" t="s">
        <v>3232</v>
      </c>
      <c r="HP896" s="307"/>
      <c r="HR896" s="346"/>
      <c r="HU896" s="346"/>
      <c r="HV896" s="307"/>
      <c r="HX896" s="346"/>
      <c r="HY896" s="350"/>
      <c r="IA896" s="346"/>
      <c r="ID896" s="346"/>
      <c r="IE896" s="350"/>
      <c r="IF896" s="350"/>
      <c r="IG896" s="346"/>
      <c r="IH896" s="350"/>
      <c r="II896" s="350"/>
      <c r="IJ896" s="346">
        <f t="shared" si="1463"/>
        <v>0</v>
      </c>
      <c r="IK896" s="350">
        <f t="shared" si="1464"/>
        <v>0</v>
      </c>
      <c r="IL896" s="350">
        <f t="shared" si="1465"/>
        <v>0</v>
      </c>
      <c r="IM896" s="346">
        <f t="shared" si="1430"/>
        <v>0</v>
      </c>
      <c r="IN896" s="350">
        <f t="shared" si="1438"/>
        <v>0</v>
      </c>
      <c r="IO896" s="350">
        <f t="shared" si="1439"/>
        <v>0</v>
      </c>
      <c r="IP896" s="346">
        <f t="shared" si="1443"/>
        <v>0</v>
      </c>
      <c r="IQ896" s="350">
        <f t="shared" si="1440"/>
        <v>0</v>
      </c>
      <c r="IR896" s="350">
        <f t="shared" si="1441"/>
        <v>0</v>
      </c>
      <c r="IS896" s="346">
        <f t="shared" si="1410"/>
        <v>0</v>
      </c>
      <c r="IT896" s="350">
        <f>SUM(GU896:GZ896)</f>
        <v>0</v>
      </c>
      <c r="IU896" s="350">
        <f t="shared" si="1462"/>
        <v>0</v>
      </c>
      <c r="IV896" s="346">
        <f t="shared" si="1409"/>
        <v>0</v>
      </c>
      <c r="IW896" s="350">
        <f t="shared" si="1428"/>
        <v>0</v>
      </c>
      <c r="IX896" s="302">
        <f t="shared" si="1426"/>
        <v>0</v>
      </c>
      <c r="IY896" s="346">
        <f>FISC!AJ1217</f>
        <v>0</v>
      </c>
      <c r="IZ896" s="350">
        <f>JB896/2</f>
        <v>0</v>
      </c>
      <c r="JA896" s="302">
        <f t="shared" ref="JA896:JA918" si="1466">JB896-IZ896</f>
        <v>0</v>
      </c>
      <c r="JB896" s="346">
        <f>FISC!AK1217</f>
        <v>0</v>
      </c>
      <c r="JC896" s="350">
        <f>JE896/2</f>
        <v>0</v>
      </c>
      <c r="JD896" s="302">
        <f>JE896-JC896</f>
        <v>0</v>
      </c>
      <c r="JE896" s="346">
        <f>FISC!AL1217</f>
        <v>0</v>
      </c>
      <c r="JF896" s="350">
        <f>JH896/2</f>
        <v>0</v>
      </c>
      <c r="JG896" s="302">
        <f>JH896-JF896</f>
        <v>0</v>
      </c>
      <c r="JH896" s="346">
        <f>FISC!AM1217</f>
        <v>0</v>
      </c>
      <c r="JI896" s="350">
        <f>JK896/2</f>
        <v>0</v>
      </c>
      <c r="JJ896" s="302">
        <f>JK896-JI896</f>
        <v>0</v>
      </c>
      <c r="JK896" s="346">
        <f>FISC!AN1217</f>
        <v>0</v>
      </c>
      <c r="JL896" s="350">
        <f>JN896/2</f>
        <v>0</v>
      </c>
      <c r="JM896" s="302">
        <f>JN896-JL896</f>
        <v>0</v>
      </c>
      <c r="JN896" s="346">
        <f>FISC!AO1217</f>
        <v>0</v>
      </c>
      <c r="KI896" s="349"/>
      <c r="KJ896" s="350"/>
    </row>
    <row r="897" spans="1:302" hidden="1" outlineLevel="1">
      <c r="A897" s="302"/>
      <c r="D897" s="1731" t="s">
        <v>3233</v>
      </c>
      <c r="E897" s="346"/>
      <c r="F897" s="346"/>
      <c r="G897" s="346"/>
      <c r="H897" s="346"/>
      <c r="I897" s="346"/>
      <c r="J897" s="346"/>
      <c r="K897" s="346"/>
      <c r="L897" s="346"/>
      <c r="M897" s="346"/>
      <c r="N897" s="346"/>
      <c r="O897" s="346"/>
      <c r="P897" s="346"/>
      <c r="Q897" s="346"/>
      <c r="R897" s="346"/>
      <c r="S897" s="346"/>
      <c r="T897" s="346"/>
      <c r="U897" s="346"/>
      <c r="V897" s="346"/>
      <c r="W897" s="346"/>
      <c r="X897" s="346"/>
      <c r="Y897" s="346"/>
      <c r="Z897" s="346"/>
      <c r="AA897" s="346"/>
      <c r="AB897" s="346"/>
      <c r="AC897" s="346"/>
      <c r="AD897" s="346"/>
      <c r="AE897" s="346"/>
      <c r="AF897" s="346"/>
      <c r="AG897" s="346"/>
      <c r="AH897" s="346"/>
      <c r="AI897" s="346"/>
      <c r="AJ897" s="346"/>
      <c r="AK897" s="346"/>
      <c r="AL897" s="346"/>
      <c r="AM897" s="346"/>
      <c r="AN897" s="346"/>
      <c r="AO897" s="346"/>
      <c r="AP897" s="346"/>
      <c r="AQ897" s="346"/>
      <c r="AR897" s="346"/>
      <c r="AS897" s="346"/>
      <c r="AT897" s="346"/>
      <c r="AU897" s="346"/>
      <c r="AV897" s="346"/>
      <c r="AW897" s="346"/>
      <c r="AX897" s="346"/>
      <c r="AY897" s="346"/>
      <c r="AZ897" s="346"/>
      <c r="BA897" s="346"/>
      <c r="BB897" s="346"/>
      <c r="BC897" s="346"/>
      <c r="BD897" s="346"/>
      <c r="BE897" s="346"/>
      <c r="BF897" s="346"/>
      <c r="BG897" s="346"/>
      <c r="BH897" s="346"/>
      <c r="BI897" s="346"/>
      <c r="BJ897" s="346"/>
      <c r="BK897" s="346"/>
      <c r="BL897" s="346"/>
      <c r="BM897" s="346"/>
      <c r="BN897" s="346"/>
      <c r="BO897" s="346"/>
      <c r="BP897" s="346"/>
      <c r="BQ897" s="346"/>
      <c r="BR897" s="346"/>
      <c r="BS897" s="346"/>
      <c r="BT897" s="346"/>
      <c r="BU897" s="346"/>
      <c r="BV897" s="346"/>
      <c r="BW897" s="346"/>
      <c r="BX897" s="346"/>
      <c r="BY897" s="346"/>
      <c r="BZ897" s="346"/>
      <c r="CA897" s="346"/>
      <c r="CB897" s="346"/>
      <c r="CC897" s="346"/>
      <c r="CD897" s="352"/>
      <c r="CE897" s="346"/>
      <c r="CF897" s="346"/>
      <c r="CG897" s="346"/>
      <c r="CH897" s="346"/>
      <c r="CI897" s="346"/>
      <c r="CJ897" s="346"/>
      <c r="CK897" s="346"/>
      <c r="CL897" s="346"/>
      <c r="CM897" s="346"/>
      <c r="CN897" s="346"/>
      <c r="CO897" s="346"/>
      <c r="CP897" s="348"/>
      <c r="CQ897" s="346"/>
      <c r="CR897" s="346"/>
      <c r="CS897" s="346"/>
      <c r="CT897" s="346"/>
      <c r="CU897" s="346"/>
      <c r="CV897" s="346"/>
      <c r="CW897" s="346"/>
      <c r="CX897" s="346"/>
      <c r="CY897" s="346"/>
      <c r="CZ897" s="346"/>
      <c r="DA897" s="346"/>
      <c r="DB897" s="1479"/>
      <c r="DC897" s="346"/>
      <c r="DD897" s="346"/>
      <c r="DE897" s="346"/>
      <c r="DF897" s="346"/>
      <c r="DG897" s="346"/>
      <c r="DH897" s="346"/>
      <c r="DI897" s="346"/>
      <c r="DJ897" s="346"/>
      <c r="DK897" s="346"/>
      <c r="DL897" s="346"/>
      <c r="DM897" s="346"/>
      <c r="DN897" s="348"/>
      <c r="DO897" s="346"/>
      <c r="DP897" s="346"/>
      <c r="DQ897" s="346"/>
      <c r="DR897" s="346"/>
      <c r="DS897" s="346"/>
      <c r="DT897" s="346"/>
      <c r="DU897" s="346"/>
      <c r="DV897" s="346"/>
      <c r="DW897" s="346"/>
      <c r="DX897" s="346"/>
      <c r="DY897" s="346"/>
      <c r="DZ897" s="348"/>
      <c r="EA897" s="346"/>
      <c r="EB897" s="346"/>
      <c r="EC897" s="346"/>
      <c r="ED897" s="346"/>
      <c r="EE897" s="346"/>
      <c r="EF897" s="346"/>
      <c r="EG897" s="346"/>
      <c r="EH897" s="346"/>
      <c r="EI897" s="346"/>
      <c r="EJ897" s="346"/>
      <c r="EK897" s="346"/>
      <c r="EL897" s="348"/>
      <c r="EM897" s="346"/>
      <c r="EN897" s="346"/>
      <c r="EO897" s="346"/>
      <c r="EP897" s="346"/>
      <c r="EQ897" s="346"/>
      <c r="ER897" s="346"/>
      <c r="ES897" s="346"/>
      <c r="ET897" s="346"/>
      <c r="EU897" s="346"/>
      <c r="EV897" s="346"/>
      <c r="EW897" s="346"/>
      <c r="EX897" s="348"/>
      <c r="EY897" s="346"/>
      <c r="EZ897" s="346"/>
      <c r="FA897" s="346"/>
      <c r="FB897" s="346"/>
      <c r="FC897" s="346"/>
      <c r="FD897" s="346"/>
      <c r="FE897" s="346"/>
      <c r="FF897" s="346"/>
      <c r="FG897" s="346"/>
      <c r="FH897" s="346"/>
      <c r="FI897" s="346"/>
      <c r="FJ897" s="348"/>
      <c r="FK897" s="346"/>
      <c r="FL897" s="346"/>
      <c r="FM897" s="346"/>
      <c r="FN897" s="346"/>
      <c r="FO897" s="346"/>
      <c r="FP897" s="346"/>
      <c r="FQ897" s="346"/>
      <c r="FR897" s="346"/>
      <c r="FS897" s="346"/>
      <c r="FT897" s="346"/>
      <c r="FU897" s="346"/>
      <c r="FV897" s="346"/>
      <c r="FW897" s="346"/>
      <c r="FX897" s="346"/>
      <c r="FY897" s="346"/>
      <c r="FZ897" s="346"/>
      <c r="GA897" s="346"/>
      <c r="GB897" s="346"/>
      <c r="GC897" s="346"/>
      <c r="GD897" s="346"/>
      <c r="GE897" s="346"/>
      <c r="GF897" s="346"/>
      <c r="GG897" s="346"/>
      <c r="GH897" s="346"/>
      <c r="GI897" s="1897"/>
      <c r="HN897" s="349"/>
      <c r="HO897" s="1731" t="s">
        <v>3233</v>
      </c>
      <c r="HP897" s="307"/>
      <c r="HR897" s="346"/>
      <c r="HU897" s="346"/>
      <c r="HV897" s="307"/>
      <c r="HX897" s="346"/>
      <c r="HY897" s="350"/>
      <c r="IA897" s="346"/>
      <c r="ID897" s="346"/>
      <c r="IE897" s="350"/>
      <c r="IF897" s="350"/>
      <c r="IG897" s="346"/>
      <c r="IH897" s="350"/>
      <c r="II897" s="350"/>
      <c r="IJ897" s="346">
        <f t="shared" si="1463"/>
        <v>0</v>
      </c>
      <c r="IK897" s="350">
        <f t="shared" si="1464"/>
        <v>0</v>
      </c>
      <c r="IL897" s="350">
        <f t="shared" si="1465"/>
        <v>0</v>
      </c>
      <c r="IM897" s="346">
        <f t="shared" si="1430"/>
        <v>0</v>
      </c>
      <c r="IN897" s="350">
        <f t="shared" si="1438"/>
        <v>0</v>
      </c>
      <c r="IO897" s="350">
        <f t="shared" si="1439"/>
        <v>0</v>
      </c>
      <c r="IP897" s="346">
        <f t="shared" si="1443"/>
        <v>0</v>
      </c>
      <c r="IQ897" s="350">
        <f t="shared" si="1440"/>
        <v>0</v>
      </c>
      <c r="IR897" s="350">
        <f t="shared" si="1441"/>
        <v>0</v>
      </c>
      <c r="IS897" s="346">
        <f t="shared" si="1410"/>
        <v>0</v>
      </c>
      <c r="IT897" s="350">
        <f>SUM(GU897:GZ897)</f>
        <v>0</v>
      </c>
      <c r="IU897" s="350">
        <f t="shared" si="1462"/>
        <v>0</v>
      </c>
      <c r="IV897" s="346">
        <f t="shared" si="1409"/>
        <v>0</v>
      </c>
      <c r="IW897" s="350">
        <f t="shared" si="1428"/>
        <v>0</v>
      </c>
      <c r="IX897" s="302">
        <f t="shared" si="1426"/>
        <v>0</v>
      </c>
      <c r="IY897" s="346">
        <f>FISC!AJ1218</f>
        <v>0</v>
      </c>
      <c r="IZ897" s="350">
        <f>JB897/2</f>
        <v>0</v>
      </c>
      <c r="JA897" s="302">
        <f t="shared" si="1466"/>
        <v>0</v>
      </c>
      <c r="JB897" s="346">
        <f>FISC!AK1218</f>
        <v>0</v>
      </c>
      <c r="JC897" s="350">
        <f>JE897/2</f>
        <v>0</v>
      </c>
      <c r="JD897" s="302">
        <f>JE897-JC897</f>
        <v>0</v>
      </c>
      <c r="JE897" s="346">
        <f>FISC!AL1218</f>
        <v>0</v>
      </c>
      <c r="JF897" s="350">
        <f>JH897/2</f>
        <v>0</v>
      </c>
      <c r="JG897" s="302">
        <f>JH897-JF897</f>
        <v>0</v>
      </c>
      <c r="JH897" s="346">
        <f>FISC!AM1218</f>
        <v>0</v>
      </c>
      <c r="JI897" s="350">
        <f>JK897/2</f>
        <v>0</v>
      </c>
      <c r="JJ897" s="302">
        <f>JK897-JI897</f>
        <v>0</v>
      </c>
      <c r="JK897" s="346">
        <f>FISC!AN1218</f>
        <v>0</v>
      </c>
      <c r="JL897" s="350">
        <f>JN897/2</f>
        <v>0</v>
      </c>
      <c r="JM897" s="302">
        <f>JN897-JL897</f>
        <v>0</v>
      </c>
      <c r="JN897" s="346">
        <f>FISC!AO1218</f>
        <v>0</v>
      </c>
      <c r="KI897" s="349"/>
      <c r="KJ897" s="350"/>
    </row>
    <row r="898" spans="1:302" hidden="1" outlineLevel="1">
      <c r="A898" s="302"/>
      <c r="B898" s="117" t="s">
        <v>361</v>
      </c>
      <c r="D898" s="1680" t="s">
        <v>3234</v>
      </c>
      <c r="E898" s="346">
        <f t="shared" ref="E898:BP898" si="1467">+E899+E906</f>
        <v>0</v>
      </c>
      <c r="F898" s="346">
        <f t="shared" si="1467"/>
        <v>0</v>
      </c>
      <c r="G898" s="346">
        <f t="shared" si="1467"/>
        <v>0</v>
      </c>
      <c r="H898" s="346">
        <f t="shared" si="1467"/>
        <v>0</v>
      </c>
      <c r="I898" s="346">
        <f t="shared" si="1467"/>
        <v>0</v>
      </c>
      <c r="J898" s="346">
        <f t="shared" si="1467"/>
        <v>0</v>
      </c>
      <c r="K898" s="346">
        <f t="shared" si="1467"/>
        <v>0</v>
      </c>
      <c r="L898" s="346">
        <f t="shared" si="1467"/>
        <v>0</v>
      </c>
      <c r="M898" s="346">
        <f t="shared" si="1467"/>
        <v>0</v>
      </c>
      <c r="N898" s="346">
        <f t="shared" si="1467"/>
        <v>0</v>
      </c>
      <c r="O898" s="346">
        <f t="shared" si="1467"/>
        <v>0</v>
      </c>
      <c r="P898" s="346">
        <f t="shared" si="1467"/>
        <v>0</v>
      </c>
      <c r="Q898" s="346">
        <f t="shared" si="1467"/>
        <v>0</v>
      </c>
      <c r="R898" s="346">
        <f t="shared" si="1467"/>
        <v>0</v>
      </c>
      <c r="S898" s="346">
        <f t="shared" si="1467"/>
        <v>0</v>
      </c>
      <c r="T898" s="346">
        <f t="shared" si="1467"/>
        <v>0</v>
      </c>
      <c r="U898" s="346">
        <f t="shared" si="1467"/>
        <v>0</v>
      </c>
      <c r="V898" s="346">
        <f t="shared" si="1467"/>
        <v>0</v>
      </c>
      <c r="W898" s="346">
        <f t="shared" si="1467"/>
        <v>0</v>
      </c>
      <c r="X898" s="346">
        <f t="shared" si="1467"/>
        <v>0</v>
      </c>
      <c r="Y898" s="346">
        <f t="shared" si="1467"/>
        <v>0</v>
      </c>
      <c r="Z898" s="346">
        <f t="shared" si="1467"/>
        <v>0</v>
      </c>
      <c r="AA898" s="346">
        <f t="shared" si="1467"/>
        <v>0</v>
      </c>
      <c r="AB898" s="346">
        <f t="shared" si="1467"/>
        <v>0</v>
      </c>
      <c r="AC898" s="346">
        <f t="shared" si="1467"/>
        <v>0</v>
      </c>
      <c r="AD898" s="346">
        <f t="shared" si="1467"/>
        <v>0</v>
      </c>
      <c r="AE898" s="346">
        <f t="shared" si="1467"/>
        <v>0</v>
      </c>
      <c r="AF898" s="346">
        <f t="shared" si="1467"/>
        <v>0</v>
      </c>
      <c r="AG898" s="346">
        <f t="shared" si="1467"/>
        <v>0</v>
      </c>
      <c r="AH898" s="346">
        <f t="shared" si="1467"/>
        <v>0</v>
      </c>
      <c r="AI898" s="346">
        <f t="shared" si="1467"/>
        <v>0</v>
      </c>
      <c r="AJ898" s="346">
        <f t="shared" si="1467"/>
        <v>0</v>
      </c>
      <c r="AK898" s="346">
        <f t="shared" si="1467"/>
        <v>0</v>
      </c>
      <c r="AL898" s="346">
        <f t="shared" si="1467"/>
        <v>0</v>
      </c>
      <c r="AM898" s="346">
        <f t="shared" si="1467"/>
        <v>0</v>
      </c>
      <c r="AN898" s="346">
        <f t="shared" si="1467"/>
        <v>0</v>
      </c>
      <c r="AO898" s="346">
        <f t="shared" si="1467"/>
        <v>0</v>
      </c>
      <c r="AP898" s="346">
        <f t="shared" si="1467"/>
        <v>0</v>
      </c>
      <c r="AQ898" s="346">
        <f t="shared" si="1467"/>
        <v>0</v>
      </c>
      <c r="AR898" s="346">
        <f t="shared" si="1467"/>
        <v>0</v>
      </c>
      <c r="AS898" s="346">
        <f t="shared" si="1467"/>
        <v>0</v>
      </c>
      <c r="AT898" s="346">
        <f t="shared" si="1467"/>
        <v>0</v>
      </c>
      <c r="AU898" s="346">
        <f t="shared" si="1467"/>
        <v>0</v>
      </c>
      <c r="AV898" s="346">
        <f t="shared" si="1467"/>
        <v>0</v>
      </c>
      <c r="AW898" s="346">
        <f t="shared" si="1467"/>
        <v>0</v>
      </c>
      <c r="AX898" s="346">
        <f t="shared" si="1467"/>
        <v>0</v>
      </c>
      <c r="AY898" s="346">
        <f t="shared" si="1467"/>
        <v>0</v>
      </c>
      <c r="AZ898" s="346">
        <f t="shared" si="1467"/>
        <v>0</v>
      </c>
      <c r="BA898" s="346">
        <f t="shared" si="1467"/>
        <v>0</v>
      </c>
      <c r="BB898" s="346">
        <f t="shared" si="1467"/>
        <v>0</v>
      </c>
      <c r="BC898" s="346">
        <f t="shared" si="1467"/>
        <v>0</v>
      </c>
      <c r="BD898" s="346">
        <f t="shared" si="1467"/>
        <v>0</v>
      </c>
      <c r="BE898" s="346">
        <f t="shared" si="1467"/>
        <v>0</v>
      </c>
      <c r="BF898" s="346">
        <f t="shared" si="1467"/>
        <v>0</v>
      </c>
      <c r="BG898" s="346">
        <f t="shared" si="1467"/>
        <v>0</v>
      </c>
      <c r="BH898" s="346">
        <f t="shared" si="1467"/>
        <v>0</v>
      </c>
      <c r="BI898" s="346">
        <f t="shared" si="1467"/>
        <v>0</v>
      </c>
      <c r="BJ898" s="346">
        <f t="shared" si="1467"/>
        <v>0</v>
      </c>
      <c r="BK898" s="346">
        <f t="shared" si="1467"/>
        <v>0</v>
      </c>
      <c r="BL898" s="346">
        <f t="shared" si="1467"/>
        <v>0</v>
      </c>
      <c r="BM898" s="346">
        <f t="shared" si="1467"/>
        <v>0</v>
      </c>
      <c r="BN898" s="346">
        <f t="shared" si="1467"/>
        <v>0</v>
      </c>
      <c r="BO898" s="346">
        <f t="shared" si="1467"/>
        <v>0</v>
      </c>
      <c r="BP898" s="346">
        <f t="shared" si="1467"/>
        <v>0</v>
      </c>
      <c r="BQ898" s="346">
        <f t="shared" ref="BQ898:EB898" si="1468">+BQ899+BQ906</f>
        <v>0</v>
      </c>
      <c r="BR898" s="346">
        <f t="shared" si="1468"/>
        <v>0</v>
      </c>
      <c r="BS898" s="346">
        <f t="shared" si="1468"/>
        <v>0</v>
      </c>
      <c r="BT898" s="346">
        <f t="shared" si="1468"/>
        <v>0</v>
      </c>
      <c r="BU898" s="346">
        <f t="shared" si="1468"/>
        <v>0</v>
      </c>
      <c r="BV898" s="346">
        <f t="shared" si="1468"/>
        <v>0</v>
      </c>
      <c r="BW898" s="346">
        <f t="shared" si="1468"/>
        <v>0</v>
      </c>
      <c r="BX898" s="346">
        <f t="shared" si="1468"/>
        <v>0</v>
      </c>
      <c r="BY898" s="346">
        <f t="shared" si="1468"/>
        <v>0</v>
      </c>
      <c r="BZ898" s="346">
        <f t="shared" si="1468"/>
        <v>0</v>
      </c>
      <c r="CA898" s="346">
        <f t="shared" si="1468"/>
        <v>0</v>
      </c>
      <c r="CB898" s="346">
        <f t="shared" si="1468"/>
        <v>0</v>
      </c>
      <c r="CC898" s="346">
        <f t="shared" si="1468"/>
        <v>0</v>
      </c>
      <c r="CD898" s="352">
        <f t="shared" si="1468"/>
        <v>0</v>
      </c>
      <c r="CE898" s="346">
        <f t="shared" si="1468"/>
        <v>-2.6325000000000216</v>
      </c>
      <c r="CF898" s="346">
        <f t="shared" si="1468"/>
        <v>2.8988999999999976</v>
      </c>
      <c r="CG898" s="346">
        <f t="shared" si="1468"/>
        <v>-0.19500000000001094</v>
      </c>
      <c r="CH898" s="346">
        <f t="shared" si="1468"/>
        <v>-0.20599999999999241</v>
      </c>
      <c r="CI898" s="346">
        <f t="shared" si="1468"/>
        <v>10.509999999999998</v>
      </c>
      <c r="CJ898" s="346">
        <f t="shared" si="1468"/>
        <v>3.5527136788005009E-15</v>
      </c>
      <c r="CK898" s="346">
        <f t="shared" si="1468"/>
        <v>1.5987211554602254E-14</v>
      </c>
      <c r="CL898" s="346">
        <f t="shared" si="1468"/>
        <v>9.9999999999999645</v>
      </c>
      <c r="CM898" s="346">
        <f t="shared" si="1468"/>
        <v>-4.9999999999974065E-2</v>
      </c>
      <c r="CN898" s="346">
        <f t="shared" si="1468"/>
        <v>0</v>
      </c>
      <c r="CO898" s="346">
        <f t="shared" si="1468"/>
        <v>15.060999999999984</v>
      </c>
      <c r="CP898" s="348">
        <f t="shared" si="1468"/>
        <v>-1.9999999999994245E-2</v>
      </c>
      <c r="CQ898" s="346">
        <f t="shared" si="1468"/>
        <v>-1.0499999999995069E-2</v>
      </c>
      <c r="CR898" s="346">
        <f t="shared" si="1468"/>
        <v>16.981000000000009</v>
      </c>
      <c r="CS898" s="346">
        <f t="shared" si="1468"/>
        <v>5.0209999999999795</v>
      </c>
      <c r="CT898" s="346">
        <f t="shared" si="1468"/>
        <v>0.23600000000001842</v>
      </c>
      <c r="CU898" s="346">
        <f t="shared" si="1468"/>
        <v>15.19199999999999</v>
      </c>
      <c r="CV898" s="346">
        <f t="shared" si="1468"/>
        <v>6.9000000000141171E-3</v>
      </c>
      <c r="CW898" s="346">
        <f t="shared" si="1468"/>
        <v>1.3499999999995183E-2</v>
      </c>
      <c r="CX898" s="346">
        <f t="shared" si="1468"/>
        <v>15.015100000000004</v>
      </c>
      <c r="CY898" s="346">
        <f t="shared" si="1468"/>
        <v>4.99999999999865E-2</v>
      </c>
      <c r="CZ898" s="346">
        <f t="shared" si="1468"/>
        <v>4</v>
      </c>
      <c r="DA898" s="346">
        <f t="shared" si="1468"/>
        <v>38.750000000000014</v>
      </c>
      <c r="DB898" s="1479">
        <f t="shared" si="1468"/>
        <v>15.749999999999998</v>
      </c>
      <c r="DC898" s="346">
        <f>+DC899+DC906</f>
        <v>4.8999999999999728</v>
      </c>
      <c r="DD898" s="346">
        <f>+DD899+DD906</f>
        <v>15.000000000000004</v>
      </c>
      <c r="DE898" s="346">
        <f t="shared" si="1468"/>
        <v>-10.248999999999977</v>
      </c>
      <c r="DF898" s="346">
        <f t="shared" si="1468"/>
        <v>6.9019999999999886</v>
      </c>
      <c r="DG898" s="346">
        <f t="shared" si="1468"/>
        <v>14.833999999999989</v>
      </c>
      <c r="DH898" s="346">
        <f t="shared" si="1468"/>
        <v>5.1542000000000154</v>
      </c>
      <c r="DI898" s="346">
        <f t="shared" si="1468"/>
        <v>2.56050000000001</v>
      </c>
      <c r="DJ898" s="346">
        <f t="shared" si="1468"/>
        <v>15.507699999999986</v>
      </c>
      <c r="DK898" s="346">
        <f t="shared" si="1468"/>
        <v>11.498999999999995</v>
      </c>
      <c r="DL898" s="346">
        <f t="shared" si="1468"/>
        <v>-18.600000000000001</v>
      </c>
      <c r="DM898" s="346">
        <f t="shared" si="1468"/>
        <v>23.760300000000001</v>
      </c>
      <c r="DN898" s="348">
        <f t="shared" si="1468"/>
        <v>20.399999999999988</v>
      </c>
      <c r="DO898" s="346">
        <f t="shared" si="1468"/>
        <v>0.15870875099646042</v>
      </c>
      <c r="DP898" s="346">
        <f t="shared" si="1468"/>
        <v>12.118000000000009</v>
      </c>
      <c r="DQ898" s="346">
        <f t="shared" si="1468"/>
        <v>-11.939299999999989</v>
      </c>
      <c r="DR898" s="346">
        <f t="shared" si="1468"/>
        <v>-1.567699999999995</v>
      </c>
      <c r="DS898" s="346">
        <f t="shared" si="1468"/>
        <v>12.76163361499998</v>
      </c>
      <c r="DT898" s="346">
        <f t="shared" si="1468"/>
        <v>2.1839000000000155</v>
      </c>
      <c r="DU898" s="346">
        <f t="shared" si="1468"/>
        <v>-3.7942365996457283E-2</v>
      </c>
      <c r="DV898" s="346">
        <f t="shared" si="1468"/>
        <v>5.4068000000000112</v>
      </c>
      <c r="DW898" s="346">
        <f t="shared" si="1468"/>
        <v>11.982199999999992</v>
      </c>
      <c r="DX898" s="346">
        <f t="shared" si="1468"/>
        <v>4.7700000000006071E-2</v>
      </c>
      <c r="DY898" s="346">
        <f t="shared" si="1468"/>
        <v>14.966000000000008</v>
      </c>
      <c r="DZ898" s="348">
        <f t="shared" si="1468"/>
        <v>9.9899999999999949</v>
      </c>
      <c r="EA898" s="346">
        <f t="shared" si="1468"/>
        <v>15.940498444418992</v>
      </c>
      <c r="EB898" s="346">
        <f t="shared" si="1468"/>
        <v>10.002300000000005</v>
      </c>
      <c r="EC898" s="346">
        <f t="shared" ref="EC898:FP898" si="1469">+EC899+EC906</f>
        <v>8.6124576340031638</v>
      </c>
      <c r="ED898" s="346">
        <f t="shared" si="1469"/>
        <v>10.197800000000043</v>
      </c>
      <c r="EE898" s="346">
        <f t="shared" si="1469"/>
        <v>21.738154612000031</v>
      </c>
      <c r="EF898" s="346">
        <f t="shared" si="1469"/>
        <v>9.989999999996968E-2</v>
      </c>
      <c r="EG898" s="346">
        <f t="shared" si="1469"/>
        <v>-19.449154612000193</v>
      </c>
      <c r="EH898" s="346">
        <f t="shared" si="1469"/>
        <v>4.0000000000546265E-3</v>
      </c>
      <c r="EI898" s="346">
        <f t="shared" si="1469"/>
        <v>7.0299999999988927E-2</v>
      </c>
      <c r="EJ898" s="346">
        <f t="shared" si="1469"/>
        <v>-2.6999999999972601E-2</v>
      </c>
      <c r="EK898" s="346">
        <f t="shared" si="1469"/>
        <v>28.294499999999971</v>
      </c>
      <c r="EL898" s="348">
        <f t="shared" si="1469"/>
        <v>11.034500000000023</v>
      </c>
      <c r="EM898" s="346">
        <f t="shared" si="1469"/>
        <v>-1.6100000000022874E-2</v>
      </c>
      <c r="EN898" s="346">
        <f t="shared" si="1469"/>
        <v>14.989299999999965</v>
      </c>
      <c r="EO898" s="346">
        <f t="shared" si="1469"/>
        <v>14.999999999999993</v>
      </c>
      <c r="EP898" s="346">
        <f t="shared" si="1469"/>
        <v>2.0199999999988449E-2</v>
      </c>
      <c r="EQ898" s="346">
        <f t="shared" si="1469"/>
        <v>10.125800000000041</v>
      </c>
      <c r="ER898" s="346">
        <f t="shared" si="1469"/>
        <v>10.038300000000007</v>
      </c>
      <c r="ES898" s="346">
        <f t="shared" si="1469"/>
        <v>-3.5495000000000232</v>
      </c>
      <c r="ET898" s="346">
        <f t="shared" si="1469"/>
        <v>33.565699999999978</v>
      </c>
      <c r="EU898" s="346">
        <f t="shared" si="1469"/>
        <v>13.031400000000019</v>
      </c>
      <c r="EV898" s="346">
        <f t="shared" si="1469"/>
        <v>25.000000000000014</v>
      </c>
      <c r="EW898" s="346">
        <f t="shared" si="1469"/>
        <v>17.010999999999967</v>
      </c>
      <c r="EX898" s="348">
        <f t="shared" si="1469"/>
        <v>70.278500000000022</v>
      </c>
      <c r="EY898" s="346">
        <f t="shared" si="1469"/>
        <v>-17.826099999999968</v>
      </c>
      <c r="EZ898" s="346">
        <f t="shared" si="1469"/>
        <v>4.4133999999999673</v>
      </c>
      <c r="FA898" s="346">
        <f t="shared" si="1469"/>
        <v>14.994099999999975</v>
      </c>
      <c r="FB898" s="346">
        <f t="shared" si="1469"/>
        <v>14.979899999999972</v>
      </c>
      <c r="FC898" s="346">
        <f t="shared" si="1469"/>
        <v>15.016799999999989</v>
      </c>
      <c r="FD898" s="346">
        <f t="shared" si="1469"/>
        <v>14.964500000000029</v>
      </c>
      <c r="FE898" s="346">
        <f t="shared" si="1469"/>
        <v>59.932000000000052</v>
      </c>
      <c r="FF898" s="346">
        <f t="shared" si="1469"/>
        <v>17.991199999999957</v>
      </c>
      <c r="FG898" s="346">
        <f t="shared" si="1469"/>
        <v>66.017699999999934</v>
      </c>
      <c r="FH898" s="346">
        <f t="shared" si="1469"/>
        <v>19.580900000000085</v>
      </c>
      <c r="FI898" s="346">
        <f t="shared" si="1469"/>
        <v>21.291199999999968</v>
      </c>
      <c r="FJ898" s="348">
        <f t="shared" si="1469"/>
        <v>40.032600000000095</v>
      </c>
      <c r="FK898" s="346">
        <f t="shared" si="1469"/>
        <v>20.49729999999991</v>
      </c>
      <c r="FL898" s="346">
        <f t="shared" si="1469"/>
        <v>29.501000000000019</v>
      </c>
      <c r="FM898" s="346">
        <f t="shared" si="1469"/>
        <v>29.982600000000048</v>
      </c>
      <c r="FN898" s="346">
        <f t="shared" si="1469"/>
        <v>24.983499999999964</v>
      </c>
      <c r="FO898" s="346">
        <f t="shared" si="1469"/>
        <v>25.015900000000002</v>
      </c>
      <c r="FP898" s="346">
        <f t="shared" si="1469"/>
        <v>24.995599999999982</v>
      </c>
      <c r="FQ898" s="346">
        <f t="shared" ref="FQ898:FV898" si="1470">+FQ899+FQ906</f>
        <v>25.038499999999956</v>
      </c>
      <c r="FR898" s="346">
        <f t="shared" si="1470"/>
        <v>19.984319999999954</v>
      </c>
      <c r="FS898" s="346">
        <f t="shared" si="1470"/>
        <v>13.502100000000041</v>
      </c>
      <c r="FT898" s="346">
        <f t="shared" si="1470"/>
        <v>-8.6474999999999369</v>
      </c>
      <c r="FU898" s="346">
        <f t="shared" si="1470"/>
        <v>8.2812049999999005</v>
      </c>
      <c r="FV898" s="346">
        <f t="shared" si="1470"/>
        <v>64.128105000000048</v>
      </c>
      <c r="FW898" s="346">
        <v>10.445289999999943</v>
      </c>
      <c r="FX898" s="346">
        <v>-39.422234999999944</v>
      </c>
      <c r="FY898" s="346">
        <v>29.313000000000017</v>
      </c>
      <c r="FZ898" s="346">
        <v>20.331900000000033</v>
      </c>
      <c r="GA898" s="346">
        <v>29.990999999999985</v>
      </c>
      <c r="GB898" s="346">
        <v>26.19310000000003</v>
      </c>
      <c r="GC898" s="346">
        <v>24.509199999999993</v>
      </c>
      <c r="GD898" s="346">
        <v>45.506999999999934</v>
      </c>
      <c r="GE898" s="346">
        <v>6.0012000000000683</v>
      </c>
      <c r="GF898" s="346">
        <v>8.9274149999999679</v>
      </c>
      <c r="GG898" s="346">
        <v>31.000000000000071</v>
      </c>
      <c r="GH898" s="346">
        <v>31.007999999999939</v>
      </c>
      <c r="GI898" s="1897">
        <f>GI899+GI906</f>
        <v>29.002000000000066</v>
      </c>
      <c r="GJ898" s="1897">
        <f t="shared" ref="GJ898:HL898" si="1471">GJ899+GJ906</f>
        <v>41.330000000000013</v>
      </c>
      <c r="GK898" s="1897">
        <f t="shared" si="1471"/>
        <v>30.909999999999972</v>
      </c>
      <c r="GL898" s="1897">
        <f t="shared" si="1471"/>
        <v>39.326319999999946</v>
      </c>
      <c r="GM898" s="1897">
        <f t="shared" si="1471"/>
        <v>84.208000000000055</v>
      </c>
      <c r="GN898" s="1897">
        <f t="shared" si="1471"/>
        <v>21.219999999999885</v>
      </c>
      <c r="GO898" s="1897">
        <f t="shared" si="1471"/>
        <v>-24.734699999999961</v>
      </c>
      <c r="GP898" s="1897">
        <f t="shared" si="1471"/>
        <v>17.255900000000011</v>
      </c>
      <c r="GQ898" s="1897">
        <f t="shared" si="1471"/>
        <v>-20.057800000000057</v>
      </c>
      <c r="GR898" s="1897">
        <f t="shared" si="1471"/>
        <v>23.052400000000105</v>
      </c>
      <c r="GS898" s="1897">
        <f t="shared" si="1471"/>
        <v>33.604700000000051</v>
      </c>
      <c r="GT898" s="1897">
        <f t="shared" si="1471"/>
        <v>19.512500000000003</v>
      </c>
      <c r="GU898" s="1897">
        <f t="shared" si="1471"/>
        <v>85.435479999999927</v>
      </c>
      <c r="GV898" s="1897">
        <f t="shared" si="1471"/>
        <v>23.149120000000089</v>
      </c>
      <c r="GW898" s="1897">
        <f t="shared" si="1471"/>
        <v>13.849964999999926</v>
      </c>
      <c r="GX898" s="1897">
        <f t="shared" si="1471"/>
        <v>10.027135000000044</v>
      </c>
      <c r="GY898" s="1897">
        <f t="shared" si="1471"/>
        <v>39.986999999999966</v>
      </c>
      <c r="GZ898" s="1897">
        <f t="shared" si="1471"/>
        <v>22.96140000000004</v>
      </c>
      <c r="HA898" s="1897">
        <f t="shared" si="1471"/>
        <v>3.0677000000000305</v>
      </c>
      <c r="HB898" s="1897">
        <f t="shared" si="1471"/>
        <v>41.255300000000005</v>
      </c>
      <c r="HC898" s="1897">
        <f t="shared" si="1471"/>
        <v>11.012499999999974</v>
      </c>
      <c r="HD898" s="1897">
        <f t="shared" si="1471"/>
        <v>10.04849999999999</v>
      </c>
      <c r="HE898" s="1897">
        <f t="shared" si="1471"/>
        <v>-75.092599999999976</v>
      </c>
      <c r="HF898" s="1897">
        <f t="shared" si="1471"/>
        <v>-31.213999999999984</v>
      </c>
      <c r="HG898" s="1897">
        <f t="shared" si="1471"/>
        <v>17.571499999999972</v>
      </c>
      <c r="HH898" s="1897">
        <f t="shared" si="1471"/>
        <v>115.96549999999989</v>
      </c>
      <c r="HI898" s="1897">
        <f t="shared" si="1471"/>
        <v>76.532999999999987</v>
      </c>
      <c r="HJ898" s="1897">
        <f t="shared" si="1471"/>
        <v>17.461999999999989</v>
      </c>
      <c r="HK898" s="1897">
        <f t="shared" si="1471"/>
        <v>67.471000000000018</v>
      </c>
      <c r="HL898" s="1897">
        <f t="shared" si="1471"/>
        <v>56.16370000000002</v>
      </c>
      <c r="HM898" s="1897"/>
      <c r="HN898" s="349"/>
      <c r="HO898" s="1680" t="s">
        <v>3234</v>
      </c>
      <c r="HP898" s="307">
        <f>SUM(CE898:CJ898)</f>
        <v>10.375399999999974</v>
      </c>
      <c r="HQ898" s="302">
        <f>SUM(CK898:CP898)</f>
        <v>24.990999999999993</v>
      </c>
      <c r="HR898" s="346">
        <f>HP898+HQ898</f>
        <v>35.36639999999997</v>
      </c>
      <c r="HS898" s="302">
        <f>SUM(CQ898:CV898)</f>
        <v>37.426400000000015</v>
      </c>
      <c r="HT898" s="302">
        <f>SUM(CW898:DB898)</f>
        <v>73.578599999999994</v>
      </c>
      <c r="HU898" s="346">
        <f>HS898+HT898</f>
        <v>111.00500000000001</v>
      </c>
      <c r="HV898" s="307">
        <f>SUM(DC898:DH898)</f>
        <v>36.541199999999996</v>
      </c>
      <c r="HW898" s="302">
        <f>SUM(DI898:DN898)</f>
        <v>55.127499999999984</v>
      </c>
      <c r="HX898" s="346">
        <f>HV898+HW898</f>
        <v>91.668699999999973</v>
      </c>
      <c r="HY898" s="350">
        <f>SUM(DO898:DT898)</f>
        <v>13.715242365996481</v>
      </c>
      <c r="HZ898" s="302">
        <f>SUM(DU898:DZ898)</f>
        <v>42.354757634003555</v>
      </c>
      <c r="IA898" s="346">
        <f>HY898+HZ898</f>
        <v>56.070000000000036</v>
      </c>
      <c r="IB898" s="302">
        <f>SUM(EA898:EF898)</f>
        <v>66.591110690422198</v>
      </c>
      <c r="IC898" s="302">
        <f>SUM(EG898:EL898)</f>
        <v>19.927145387999872</v>
      </c>
      <c r="ID898" s="346">
        <f>IB898+IC898</f>
        <v>86.51825607842207</v>
      </c>
      <c r="IE898" s="350">
        <f>SUM(EM898:ER898)</f>
        <v>50.15749999999997</v>
      </c>
      <c r="IF898" s="350">
        <f>SUM(ES898:EX898)</f>
        <v>155.33709999999996</v>
      </c>
      <c r="IG898" s="346">
        <f>IE898+IF898</f>
        <v>205.49459999999993</v>
      </c>
      <c r="IH898" s="350">
        <f>SUM(EY898:FD898)</f>
        <v>46.542599999999965</v>
      </c>
      <c r="II898" s="350">
        <f>SUM(FE898:FJ898)</f>
        <v>224.8456000000001</v>
      </c>
      <c r="IJ898" s="346">
        <f t="shared" si="1463"/>
        <v>271.3882000000001</v>
      </c>
      <c r="IK898" s="350">
        <f t="shared" si="1464"/>
        <v>154.97589999999991</v>
      </c>
      <c r="IL898" s="350">
        <f t="shared" si="1465"/>
        <v>122.28672999999996</v>
      </c>
      <c r="IM898" s="346">
        <f t="shared" si="1430"/>
        <v>277.26262999999989</v>
      </c>
      <c r="IN898" s="350">
        <f t="shared" si="1438"/>
        <v>76.852055000000064</v>
      </c>
      <c r="IO898" s="350">
        <f t="shared" si="1439"/>
        <v>146.95281499999999</v>
      </c>
      <c r="IP898" s="346">
        <f t="shared" si="1443"/>
        <v>223.80487000000005</v>
      </c>
      <c r="IQ898" s="350">
        <f t="shared" si="1440"/>
        <v>245.99631999999994</v>
      </c>
      <c r="IR898" s="350">
        <f t="shared" si="1441"/>
        <v>48.633000000000152</v>
      </c>
      <c r="IS898" s="346">
        <f t="shared" si="1410"/>
        <v>294.62932000000012</v>
      </c>
      <c r="IT898" s="350">
        <f>IT899+IT906</f>
        <v>195.4101</v>
      </c>
      <c r="IU898" s="350">
        <f>IU899+IU906</f>
        <v>-40.92259999999996</v>
      </c>
      <c r="IV898" s="346">
        <f t="shared" si="1409"/>
        <v>154.48750000000004</v>
      </c>
      <c r="IW898" s="350">
        <f t="shared" si="1428"/>
        <v>351.16669999999988</v>
      </c>
      <c r="IX898" s="1627">
        <f t="shared" si="1426"/>
        <v>-195.94495791319156</v>
      </c>
      <c r="IY898" s="346">
        <f>FISC!AJ1219</f>
        <v>155.22174208680832</v>
      </c>
      <c r="IZ898" s="1627">
        <f>IZ899+IZ906</f>
        <v>270.70131777994993</v>
      </c>
      <c r="JA898" s="1627">
        <f>JA899+JA906</f>
        <v>-134.11607758334392</v>
      </c>
      <c r="JB898" s="346">
        <f>FISC!AK1219</f>
        <v>136.58524019660587</v>
      </c>
      <c r="JC898" s="1627">
        <f>JC899+JC906</f>
        <v>144.26843583514676</v>
      </c>
      <c r="JD898" s="1627">
        <f>JD899+JD906</f>
        <v>-131.08233706654596</v>
      </c>
      <c r="JE898" s="346">
        <f>FISC!AL1219</f>
        <v>13.186098768600871</v>
      </c>
      <c r="JF898" s="1627">
        <f>JF899+JF906</f>
        <v>279.85297691663277</v>
      </c>
      <c r="JG898" s="1627">
        <f>JG899+JG906</f>
        <v>29.603890759989191</v>
      </c>
      <c r="JH898" s="346">
        <f>FISC!AM1219</f>
        <v>309.45686767662221</v>
      </c>
      <c r="JI898" s="1627">
        <f>JI899+JI906</f>
        <v>315.23766625090525</v>
      </c>
      <c r="JJ898" s="1627">
        <f>JJ899+JJ906</f>
        <v>115.45894838834602</v>
      </c>
      <c r="JK898" s="346">
        <f>FISC!AN1219</f>
        <v>430.69661463925115</v>
      </c>
      <c r="JL898" s="1627">
        <f>JL899+JL906</f>
        <v>709.03720311561494</v>
      </c>
      <c r="JM898" s="1627">
        <f>JM899+JM906</f>
        <v>351.67428618305968</v>
      </c>
      <c r="JN898" s="346">
        <f>FISC!AO1219</f>
        <v>1060.7114892986742</v>
      </c>
      <c r="KI898" s="349"/>
      <c r="KJ898" s="350"/>
      <c r="KM898" s="302">
        <f>+KM899+KM906</f>
        <v>0</v>
      </c>
      <c r="KN898" s="302">
        <f>+KN899+KN906</f>
        <v>0</v>
      </c>
      <c r="KO898" s="302">
        <f>+KO899+KO906</f>
        <v>0</v>
      </c>
      <c r="KP898" s="302">
        <f>+KP899+KP906</f>
        <v>0</v>
      </c>
    </row>
    <row r="899" spans="1:302" hidden="1" outlineLevel="1">
      <c r="A899" s="302"/>
      <c r="B899" s="117" t="s">
        <v>361</v>
      </c>
      <c r="D899" s="358" t="s">
        <v>604</v>
      </c>
      <c r="E899" s="346"/>
      <c r="F899" s="346"/>
      <c r="G899" s="346"/>
      <c r="H899" s="346"/>
      <c r="I899" s="346"/>
      <c r="J899" s="346"/>
      <c r="K899" s="346"/>
      <c r="L899" s="346"/>
      <c r="M899" s="346"/>
      <c r="N899" s="346"/>
      <c r="O899" s="346"/>
      <c r="P899" s="346"/>
      <c r="Q899" s="346"/>
      <c r="R899" s="346"/>
      <c r="S899" s="346"/>
      <c r="T899" s="346"/>
      <c r="U899" s="346"/>
      <c r="V899" s="346"/>
      <c r="W899" s="346"/>
      <c r="X899" s="346"/>
      <c r="Y899" s="346"/>
      <c r="Z899" s="346"/>
      <c r="AA899" s="346"/>
      <c r="AB899" s="346"/>
      <c r="AC899" s="346"/>
      <c r="AD899" s="346"/>
      <c r="AE899" s="346"/>
      <c r="AF899" s="346"/>
      <c r="AG899" s="346"/>
      <c r="AH899" s="346"/>
      <c r="AI899" s="346"/>
      <c r="AJ899" s="346"/>
      <c r="AK899" s="346"/>
      <c r="AL899" s="346"/>
      <c r="AM899" s="346"/>
      <c r="AN899" s="346"/>
      <c r="AO899" s="346"/>
      <c r="AP899" s="346"/>
      <c r="AQ899" s="346"/>
      <c r="AR899" s="346"/>
      <c r="AS899" s="346"/>
      <c r="AT899" s="346"/>
      <c r="AU899" s="346"/>
      <c r="AV899" s="346"/>
      <c r="AW899" s="346"/>
      <c r="AX899" s="346"/>
      <c r="AY899" s="346"/>
      <c r="AZ899" s="346"/>
      <c r="BA899" s="346"/>
      <c r="BB899" s="346"/>
      <c r="BC899" s="346"/>
      <c r="BD899" s="346"/>
      <c r="BE899" s="346"/>
      <c r="BF899" s="346"/>
      <c r="BG899" s="346"/>
      <c r="BH899" s="346"/>
      <c r="BI899" s="346"/>
      <c r="BJ899" s="346"/>
      <c r="BK899" s="346"/>
      <c r="BL899" s="346"/>
      <c r="BM899" s="346"/>
      <c r="BN899" s="346"/>
      <c r="BO899" s="346"/>
      <c r="BP899" s="346"/>
      <c r="BQ899" s="346"/>
      <c r="BR899" s="346"/>
      <c r="BS899" s="346"/>
      <c r="BT899" s="346"/>
      <c r="BU899" s="346"/>
      <c r="BV899" s="346"/>
      <c r="BW899" s="346"/>
      <c r="BX899" s="346"/>
      <c r="BY899" s="346"/>
      <c r="BZ899" s="346"/>
      <c r="CA899" s="346"/>
      <c r="CB899" s="346"/>
      <c r="CC899" s="346"/>
      <c r="CD899" s="352">
        <f>SUM(CD900:CD903)</f>
        <v>0</v>
      </c>
      <c r="CE899" s="346">
        <f t="shared" ref="CE899:DB899" si="1472">SUM(CE900:CE903)</f>
        <v>4.9950000000000045</v>
      </c>
      <c r="CF899" s="346">
        <f t="shared" si="1472"/>
        <v>14.0749</v>
      </c>
      <c r="CG899" s="346">
        <f t="shared" si="1472"/>
        <v>-6.366800000000012</v>
      </c>
      <c r="CH899" s="346">
        <f t="shared" si="1472"/>
        <v>11.996800000000007</v>
      </c>
      <c r="CI899" s="346">
        <f t="shared" si="1472"/>
        <v>14.2453</v>
      </c>
      <c r="CJ899" s="346">
        <f t="shared" si="1472"/>
        <v>3.6593000000000018</v>
      </c>
      <c r="CK899" s="346">
        <f t="shared" si="1472"/>
        <v>-1.0833999999999833</v>
      </c>
      <c r="CL899" s="346">
        <f t="shared" si="1472"/>
        <v>3.4935999999999634</v>
      </c>
      <c r="CM899" s="346">
        <f t="shared" si="1472"/>
        <v>3.5136000000000251</v>
      </c>
      <c r="CN899" s="346">
        <f t="shared" si="1472"/>
        <v>0</v>
      </c>
      <c r="CO899" s="346">
        <f t="shared" si="1472"/>
        <v>-0.1734000000000151</v>
      </c>
      <c r="CP899" s="348">
        <f t="shared" si="1472"/>
        <v>-1.3345999999999947</v>
      </c>
      <c r="CQ899" s="346">
        <f t="shared" si="1472"/>
        <v>-0.68989999999999441</v>
      </c>
      <c r="CR899" s="346">
        <f t="shared" si="1472"/>
        <v>8.7515000000000072</v>
      </c>
      <c r="CS899" s="346">
        <f t="shared" si="1472"/>
        <v>6.2998999999999796</v>
      </c>
      <c r="CT899" s="346">
        <f t="shared" si="1472"/>
        <v>-4.0430999999999813</v>
      </c>
      <c r="CU899" s="346">
        <f t="shared" si="1472"/>
        <v>8.1078999999999866</v>
      </c>
      <c r="CV899" s="346">
        <f t="shared" si="1472"/>
        <v>0.97300000000001319</v>
      </c>
      <c r="CW899" s="346">
        <f t="shared" si="1472"/>
        <v>1.9724999999999966</v>
      </c>
      <c r="CX899" s="346">
        <f t="shared" si="1472"/>
        <v>7.3089000000000048</v>
      </c>
      <c r="CY899" s="346">
        <f t="shared" si="1472"/>
        <v>2.6999999999986812E-2</v>
      </c>
      <c r="CZ899" s="346">
        <f t="shared" si="1472"/>
        <v>4</v>
      </c>
      <c r="DA899" s="346">
        <f t="shared" si="1472"/>
        <v>30.937600000000018</v>
      </c>
      <c r="DB899" s="1479">
        <f t="shared" si="1472"/>
        <v>16.451999999999998</v>
      </c>
      <c r="DC899" s="346">
        <v>8.4154999999999731</v>
      </c>
      <c r="DD899" s="346">
        <v>9.5971000000000046</v>
      </c>
      <c r="DE899" s="346">
        <v>-9.4684999999999775</v>
      </c>
      <c r="DF899" s="346">
        <v>7.0509999999999877</v>
      </c>
      <c r="DG899" s="346">
        <v>3.4836999999999847</v>
      </c>
      <c r="DH899" s="346">
        <v>0.65970000000001505</v>
      </c>
      <c r="DI899" s="346">
        <v>-3.6674999999999898</v>
      </c>
      <c r="DJ899" s="346">
        <v>6.7764000000000024</v>
      </c>
      <c r="DK899" s="346">
        <v>11.218999999999994</v>
      </c>
      <c r="DL899" s="346">
        <v>-30.878500000000003</v>
      </c>
      <c r="DM899" s="346">
        <v>15.697000000000003</v>
      </c>
      <c r="DN899" s="348">
        <v>13.526999999999987</v>
      </c>
      <c r="DO899" s="346">
        <f t="shared" ref="DO899:FP899" si="1473">SUM(DO900:DO903)</f>
        <v>-3.5030015555814487</v>
      </c>
      <c r="DP899" s="346">
        <f t="shared" si="1473"/>
        <v>-9.7527000000000044</v>
      </c>
      <c r="DQ899" s="346">
        <f t="shared" si="1473"/>
        <v>-18.623299999999986</v>
      </c>
      <c r="DR899" s="346">
        <f t="shared" si="1473"/>
        <v>-9.5093999999999994</v>
      </c>
      <c r="DS899" s="346">
        <f t="shared" si="1473"/>
        <v>3.4126999999999867</v>
      </c>
      <c r="DT899" s="346">
        <f t="shared" si="1473"/>
        <v>7.1467000000000098</v>
      </c>
      <c r="DU899" s="346">
        <f t="shared" si="1473"/>
        <v>-7.5421984444185526</v>
      </c>
      <c r="DV899" s="346">
        <f t="shared" si="1473"/>
        <v>-1.1103999999999914</v>
      </c>
      <c r="DW899" s="346">
        <f t="shared" si="1473"/>
        <v>15.191499999999991</v>
      </c>
      <c r="DX899" s="346">
        <f t="shared" si="1473"/>
        <v>-2.0269999999999868</v>
      </c>
      <c r="DY899" s="346">
        <f t="shared" si="1473"/>
        <v>8.0301000000000045</v>
      </c>
      <c r="DZ899" s="348">
        <f t="shared" si="1473"/>
        <v>15.620499999999993</v>
      </c>
      <c r="EA899" s="346">
        <f t="shared" si="1473"/>
        <v>28.768298444419003</v>
      </c>
      <c r="EB899" s="346">
        <f t="shared" si="1473"/>
        <v>8.3701000000000008</v>
      </c>
      <c r="EC899" s="346">
        <f t="shared" si="1473"/>
        <v>13.280301555580991</v>
      </c>
      <c r="ED899" s="346">
        <f t="shared" si="1473"/>
        <v>13.703500000000048</v>
      </c>
      <c r="EE899" s="346">
        <f t="shared" si="1473"/>
        <v>18.861754612000013</v>
      </c>
      <c r="EF899" s="346">
        <f t="shared" si="1473"/>
        <v>-3.7397000000000276</v>
      </c>
      <c r="EG899" s="346">
        <f t="shared" si="1473"/>
        <v>-30.484454612000064</v>
      </c>
      <c r="EH899" s="346">
        <f t="shared" si="1473"/>
        <v>13.461300000000037</v>
      </c>
      <c r="EI899" s="346">
        <f t="shared" si="1473"/>
        <v>-0.4591000000000065</v>
      </c>
      <c r="EJ899" s="346">
        <f t="shared" si="1473"/>
        <v>-21.645199999999988</v>
      </c>
      <c r="EK899" s="346">
        <f t="shared" si="1473"/>
        <v>28.643399999999986</v>
      </c>
      <c r="EL899" s="348">
        <f t="shared" si="1473"/>
        <v>-5.4942999999999813</v>
      </c>
      <c r="EM899" s="346">
        <f t="shared" si="1473"/>
        <v>-1.6954000000000065</v>
      </c>
      <c r="EN899" s="346">
        <f t="shared" si="1473"/>
        <v>15.317299999999975</v>
      </c>
      <c r="EO899" s="346">
        <f t="shared" si="1473"/>
        <v>2.0551000000000386</v>
      </c>
      <c r="EP899" s="346">
        <f t="shared" si="1473"/>
        <v>-17.357000000000028</v>
      </c>
      <c r="EQ899" s="346">
        <f t="shared" si="1473"/>
        <v>-1.8499999999999943</v>
      </c>
      <c r="ER899" s="346">
        <f t="shared" si="1473"/>
        <v>-9.997099999999989</v>
      </c>
      <c r="ES899" s="346">
        <f t="shared" si="1473"/>
        <v>0.1051999999999822</v>
      </c>
      <c r="ET899" s="346">
        <f t="shared" si="1473"/>
        <v>13.878899999999987</v>
      </c>
      <c r="EU899" s="346">
        <f t="shared" si="1473"/>
        <v>14.73690000000002</v>
      </c>
      <c r="EV899" s="346">
        <f t="shared" si="1473"/>
        <v>28.300700000000006</v>
      </c>
      <c r="EW899" s="346">
        <f t="shared" si="1473"/>
        <v>4.2403999999999513</v>
      </c>
      <c r="EX899" s="348">
        <f t="shared" si="1473"/>
        <v>42.34210000000003</v>
      </c>
      <c r="EY899" s="346">
        <f t="shared" si="1473"/>
        <v>-31.70529999999998</v>
      </c>
      <c r="EZ899" s="346">
        <f t="shared" si="1473"/>
        <v>10.027799999999985</v>
      </c>
      <c r="FA899" s="346">
        <f t="shared" si="1473"/>
        <v>5.0846999999999838</v>
      </c>
      <c r="FB899" s="346">
        <f t="shared" si="1473"/>
        <v>14.287399999999991</v>
      </c>
      <c r="FC899" s="346">
        <f t="shared" si="1473"/>
        <v>24.723800000000011</v>
      </c>
      <c r="FD899" s="346">
        <f t="shared" si="1473"/>
        <v>18.897100000000023</v>
      </c>
      <c r="FE899" s="346">
        <f t="shared" si="1473"/>
        <v>20.771800000000042</v>
      </c>
      <c r="FF899" s="346">
        <f t="shared" si="1473"/>
        <v>21.090499999999963</v>
      </c>
      <c r="FG899" s="346">
        <f t="shared" si="1473"/>
        <v>47.543199999999899</v>
      </c>
      <c r="FH899" s="346">
        <f t="shared" si="1473"/>
        <v>10.992900000000105</v>
      </c>
      <c r="FI899" s="346">
        <f t="shared" si="1473"/>
        <v>18.881899999999973</v>
      </c>
      <c r="FJ899" s="348">
        <f t="shared" si="1473"/>
        <v>20.681700000000063</v>
      </c>
      <c r="FK899" s="346">
        <f t="shared" si="1473"/>
        <v>-2.3120000000000687</v>
      </c>
      <c r="FL899" s="346">
        <f t="shared" si="1473"/>
        <v>15.045200000000023</v>
      </c>
      <c r="FM899" s="346">
        <f t="shared" si="1473"/>
        <v>4.1857000000000539</v>
      </c>
      <c r="FN899" s="346">
        <f t="shared" si="1473"/>
        <v>6.1647999999999854</v>
      </c>
      <c r="FO899" s="346">
        <f t="shared" si="1473"/>
        <v>10.26400000000001</v>
      </c>
      <c r="FP899" s="346">
        <f t="shared" si="1473"/>
        <v>24.048999999999978</v>
      </c>
      <c r="FQ899" s="346">
        <f t="shared" ref="FQ899:FV899" si="1474">SUM(FQ900:FQ903)</f>
        <v>12.373999999999967</v>
      </c>
      <c r="FR899" s="346">
        <f t="shared" si="1474"/>
        <v>6.1676199999999994</v>
      </c>
      <c r="FS899" s="346">
        <f t="shared" si="1474"/>
        <v>-6.1843999999999824</v>
      </c>
      <c r="FT899" s="346">
        <f t="shared" si="1474"/>
        <v>-12.320499999999925</v>
      </c>
      <c r="FU899" s="346">
        <f t="shared" si="1474"/>
        <v>-4.6036000000000854</v>
      </c>
      <c r="FV899" s="346">
        <f t="shared" si="1474"/>
        <v>70.157900000000041</v>
      </c>
      <c r="FW899" s="346">
        <v>-11.615500000000054</v>
      </c>
      <c r="FX899" s="346">
        <v>-25.963734999999929</v>
      </c>
      <c r="FY899" s="346">
        <v>19.295200000000023</v>
      </c>
      <c r="FZ899" s="346">
        <v>7.2210000000000036</v>
      </c>
      <c r="GA899" s="346">
        <v>45.064599999999984</v>
      </c>
      <c r="GB899" s="346">
        <v>10.862400000000036</v>
      </c>
      <c r="GC899" s="346">
        <v>20.000000000000057</v>
      </c>
      <c r="GD899" s="346">
        <v>39.999999999999943</v>
      </c>
      <c r="GE899" s="346">
        <v>20.000000000000057</v>
      </c>
      <c r="GF899" s="346">
        <v>21.535914999999989</v>
      </c>
      <c r="GG899" s="346">
        <v>25.000000000000057</v>
      </c>
      <c r="GH899" s="346">
        <v>24.997999999999934</v>
      </c>
      <c r="GI899" s="1897">
        <f>GI900+GI903</f>
        <v>23.090000000000032</v>
      </c>
      <c r="GJ899" s="1897">
        <f t="shared" ref="GJ899:HL899" si="1475">GJ900+GJ903</f>
        <v>23.75</v>
      </c>
      <c r="GK899" s="1897">
        <f t="shared" si="1475"/>
        <v>29.879999999999995</v>
      </c>
      <c r="GL899" s="1897">
        <f t="shared" si="1475"/>
        <v>15.194584999999961</v>
      </c>
      <c r="GM899" s="1897">
        <f t="shared" si="1475"/>
        <v>29.244700000000023</v>
      </c>
      <c r="GN899" s="1897">
        <f t="shared" si="1475"/>
        <v>-42.5</v>
      </c>
      <c r="GO899" s="1897">
        <f t="shared" si="1475"/>
        <v>-10.245800000000031</v>
      </c>
      <c r="GP899" s="1897">
        <f t="shared" si="1475"/>
        <v>-9.3762999999999579</v>
      </c>
      <c r="GQ899" s="1897">
        <f t="shared" si="1475"/>
        <v>-19.933499999999981</v>
      </c>
      <c r="GR899" s="1897">
        <f t="shared" si="1475"/>
        <v>-1.6260000000000332</v>
      </c>
      <c r="GS899" s="1897">
        <f t="shared" si="1475"/>
        <v>16</v>
      </c>
      <c r="GT899" s="1897">
        <f t="shared" si="1475"/>
        <v>-11.274999999999977</v>
      </c>
      <c r="GU899" s="1897">
        <f t="shared" si="1475"/>
        <v>73.191914999999995</v>
      </c>
      <c r="GV899" s="1897">
        <f t="shared" si="1475"/>
        <v>-0.62531500000000051</v>
      </c>
      <c r="GW899" s="1897">
        <f t="shared" si="1475"/>
        <v>10.388999999999953</v>
      </c>
      <c r="GX899" s="1897">
        <f t="shared" si="1475"/>
        <v>-12.464799999999968</v>
      </c>
      <c r="GY899" s="1897">
        <f t="shared" si="1475"/>
        <v>6.3748000000000502</v>
      </c>
      <c r="GZ899" s="1897">
        <f t="shared" si="1475"/>
        <v>9.5664999999999623</v>
      </c>
      <c r="HA899" s="1897">
        <f t="shared" si="1475"/>
        <v>-23.575499999999977</v>
      </c>
      <c r="HB899" s="1897">
        <f t="shared" si="1475"/>
        <v>4.4875000000000114</v>
      </c>
      <c r="HC899" s="1897">
        <f t="shared" si="1475"/>
        <v>13.731999999999971</v>
      </c>
      <c r="HD899" s="1897">
        <f t="shared" si="1475"/>
        <v>1.8602999999999952</v>
      </c>
      <c r="HE899" s="1897">
        <f t="shared" si="1475"/>
        <v>-16.097899999999981</v>
      </c>
      <c r="HF899" s="1897">
        <f t="shared" si="1475"/>
        <v>-31.100999999999999</v>
      </c>
      <c r="HG899" s="1897">
        <f t="shared" si="1475"/>
        <v>16.737099999999998</v>
      </c>
      <c r="HH899" s="1897">
        <f t="shared" si="1475"/>
        <v>101.17749999999995</v>
      </c>
      <c r="HI899" s="1897">
        <f t="shared" si="1475"/>
        <v>53.319699999999955</v>
      </c>
      <c r="HJ899" s="1897">
        <f t="shared" si="1475"/>
        <v>-9.51400000000001</v>
      </c>
      <c r="HK899" s="1897">
        <f t="shared" si="1475"/>
        <v>78.516100000000108</v>
      </c>
      <c r="HL899" s="1897">
        <f t="shared" si="1475"/>
        <v>-0.19780000000002929</v>
      </c>
      <c r="HM899" s="1897"/>
      <c r="HN899" s="349"/>
      <c r="HO899" s="358" t="s">
        <v>604</v>
      </c>
      <c r="HP899" s="307">
        <f>SUM(CE899:CJ899)</f>
        <v>42.604500000000002</v>
      </c>
      <c r="HQ899" s="302">
        <f>SUM(CK899:CP899)</f>
        <v>4.4157999999999955</v>
      </c>
      <c r="HR899" s="346">
        <f>HP899+HQ899</f>
        <v>47.020299999999999</v>
      </c>
      <c r="HS899" s="302">
        <f>SUM(CQ899:CV899)</f>
        <v>19.399300000000011</v>
      </c>
      <c r="HT899" s="302">
        <f>SUM(CW899:DB899)</f>
        <v>60.698000000000008</v>
      </c>
      <c r="HU899" s="346">
        <f>HS899+HT899</f>
        <v>80.097300000000018</v>
      </c>
      <c r="HV899" s="307">
        <f>SUM(DC899:DH899)</f>
        <v>19.738499999999988</v>
      </c>
      <c r="HW899" s="302">
        <f>SUM(DI899:DN899)</f>
        <v>12.673399999999994</v>
      </c>
      <c r="HX899" s="346">
        <f>HV899+HW899</f>
        <v>32.411899999999982</v>
      </c>
      <c r="HY899" s="350">
        <f>SUM(DO899:DT899)</f>
        <v>-30.829001555581442</v>
      </c>
      <c r="HZ899" s="302">
        <f>SUM(DU899:DZ899)</f>
        <v>28.162501555581457</v>
      </c>
      <c r="IA899" s="346">
        <f>HY899+HZ899</f>
        <v>-2.666499999999985</v>
      </c>
      <c r="IB899" s="302">
        <f>SUM(EA899:EF899)</f>
        <v>79.244254612000034</v>
      </c>
      <c r="IC899" s="302">
        <f>SUM(EG899:EL899)</f>
        <v>-15.978354612000018</v>
      </c>
      <c r="ID899" s="346">
        <f>IB899+IC899</f>
        <v>63.265900000000016</v>
      </c>
      <c r="IE899" s="350">
        <f>SUM(EM899:ER899)</f>
        <v>-13.527100000000004</v>
      </c>
      <c r="IF899" s="350">
        <f>SUM(ES899:EX899)</f>
        <v>103.60419999999998</v>
      </c>
      <c r="IG899" s="346">
        <f>IE899+IF899</f>
        <v>90.077099999999973</v>
      </c>
      <c r="IH899" s="350">
        <f>SUM(EY899:FD899)</f>
        <v>41.315500000000014</v>
      </c>
      <c r="II899" s="350">
        <f>SUM(FE899:FJ899)</f>
        <v>139.96200000000005</v>
      </c>
      <c r="IJ899" s="346">
        <f t="shared" si="1463"/>
        <v>181.27750000000006</v>
      </c>
      <c r="IK899" s="350">
        <f t="shared" si="1464"/>
        <v>57.396699999999981</v>
      </c>
      <c r="IL899" s="350">
        <f t="shared" si="1465"/>
        <v>65.591020000000015</v>
      </c>
      <c r="IM899" s="346">
        <f t="shared" si="1430"/>
        <v>122.98772</v>
      </c>
      <c r="IN899" s="350">
        <f t="shared" si="1438"/>
        <v>44.863965000000064</v>
      </c>
      <c r="IO899" s="350">
        <f t="shared" si="1439"/>
        <v>151.53391500000004</v>
      </c>
      <c r="IP899" s="346">
        <f t="shared" si="1443"/>
        <v>196.3978800000001</v>
      </c>
      <c r="IQ899" s="350">
        <f t="shared" si="1440"/>
        <v>78.659285000000011</v>
      </c>
      <c r="IR899" s="350">
        <f t="shared" si="1441"/>
        <v>-36.45659999999998</v>
      </c>
      <c r="IS899" s="346">
        <f t="shared" si="1410"/>
        <v>42.202685000000031</v>
      </c>
      <c r="IT899" s="350">
        <f>IT900+IT903</f>
        <v>86.432099999999991</v>
      </c>
      <c r="IU899" s="350">
        <f>IU900+IU903</f>
        <v>-50.69459999999998</v>
      </c>
      <c r="IV899" s="346">
        <f t="shared" si="1409"/>
        <v>35.737500000000011</v>
      </c>
      <c r="IW899" s="350">
        <f t="shared" si="1428"/>
        <v>240.03859999999997</v>
      </c>
      <c r="IX899" s="350">
        <f t="shared" si="1426"/>
        <v>-251.13154371355165</v>
      </c>
      <c r="IY899" s="346">
        <f>FISC!AJ1220</f>
        <v>-11.092943713551676</v>
      </c>
      <c r="IZ899" s="350">
        <f>IZ900+IZ903</f>
        <v>197.2382106912699</v>
      </c>
      <c r="JA899" s="350">
        <f>JA900+JA903</f>
        <v>-207.57918467202393</v>
      </c>
      <c r="JB899" s="346">
        <f>FISC!AK1220</f>
        <v>-10.340973980754157</v>
      </c>
      <c r="JC899" s="350">
        <f>JC900+JC903</f>
        <v>89.795452818966766</v>
      </c>
      <c r="JD899" s="350">
        <f>JD900+JD903</f>
        <v>-185.55532008272596</v>
      </c>
      <c r="JE899" s="346">
        <f>FISC!AL1220</f>
        <v>-95.759867263759133</v>
      </c>
      <c r="JF899" s="350">
        <f>JF900+JF903</f>
        <v>187.48399472345281</v>
      </c>
      <c r="JG899" s="350">
        <f>JG900+JG903</f>
        <v>-62.765091433190797</v>
      </c>
      <c r="JH899" s="346">
        <f>FISC!AM1220</f>
        <v>124.71890329026223</v>
      </c>
      <c r="JI899" s="350">
        <f>JI900+JI903</f>
        <v>256.29684760422526</v>
      </c>
      <c r="JJ899" s="350">
        <f>JJ900+JJ903</f>
        <v>56.518129741666016</v>
      </c>
      <c r="JK899" s="346">
        <f>FISC!AN1220</f>
        <v>312.81497734589118</v>
      </c>
      <c r="JL899" s="350">
        <f>JL900+JL903</f>
        <v>622.87171580093491</v>
      </c>
      <c r="JM899" s="350">
        <f>JM900+JM903</f>
        <v>265.5087988683797</v>
      </c>
      <c r="JN899" s="346">
        <f>FISC!AO1220</f>
        <v>888.38051466931415</v>
      </c>
      <c r="KI899" s="349"/>
      <c r="KJ899" s="350"/>
      <c r="KM899" s="302">
        <f>SUM(KM900:KM903)</f>
        <v>0</v>
      </c>
      <c r="KN899" s="302">
        <f>SUM(KN900:KN903)</f>
        <v>0</v>
      </c>
      <c r="KO899" s="302">
        <f>SUM(KO900:KO903)</f>
        <v>0</v>
      </c>
      <c r="KP899" s="302">
        <f>SUM(KP900:KP903)</f>
        <v>0</v>
      </c>
    </row>
    <row r="900" spans="1:302" hidden="1" outlineLevel="1">
      <c r="A900" s="302"/>
      <c r="B900" s="117" t="s">
        <v>361</v>
      </c>
      <c r="D900" s="360" t="s">
        <v>605</v>
      </c>
      <c r="E900" s="346"/>
      <c r="F900" s="346"/>
      <c r="G900" s="346"/>
      <c r="H900" s="346"/>
      <c r="I900" s="346"/>
      <c r="J900" s="346"/>
      <c r="K900" s="346"/>
      <c r="L900" s="346"/>
      <c r="M900" s="346"/>
      <c r="N900" s="346"/>
      <c r="O900" s="346"/>
      <c r="P900" s="346"/>
      <c r="Q900" s="346"/>
      <c r="R900" s="346"/>
      <c r="S900" s="346"/>
      <c r="T900" s="346"/>
      <c r="U900" s="346"/>
      <c r="V900" s="346"/>
      <c r="W900" s="346"/>
      <c r="X900" s="346"/>
      <c r="Y900" s="346"/>
      <c r="Z900" s="346"/>
      <c r="AA900" s="346"/>
      <c r="AB900" s="346"/>
      <c r="AC900" s="346"/>
      <c r="AD900" s="346"/>
      <c r="AE900" s="346"/>
      <c r="AF900" s="346"/>
      <c r="AG900" s="346"/>
      <c r="AH900" s="346"/>
      <c r="AI900" s="346"/>
      <c r="AJ900" s="346"/>
      <c r="AK900" s="346"/>
      <c r="AL900" s="346"/>
      <c r="AM900" s="346"/>
      <c r="AN900" s="346"/>
      <c r="AO900" s="346"/>
      <c r="AP900" s="346"/>
      <c r="AQ900" s="346"/>
      <c r="AR900" s="346"/>
      <c r="AS900" s="346"/>
      <c r="AT900" s="346"/>
      <c r="AU900" s="346"/>
      <c r="AV900" s="346"/>
      <c r="AW900" s="346"/>
      <c r="AX900" s="346"/>
      <c r="AY900" s="346"/>
      <c r="AZ900" s="346"/>
      <c r="BA900" s="346"/>
      <c r="BB900" s="346"/>
      <c r="BC900" s="346"/>
      <c r="BD900" s="346"/>
      <c r="BE900" s="346"/>
      <c r="BF900" s="346"/>
      <c r="BG900" s="346"/>
      <c r="BH900" s="346"/>
      <c r="BI900" s="346"/>
      <c r="BJ900" s="346"/>
      <c r="BK900" s="346"/>
      <c r="BL900" s="346"/>
      <c r="BM900" s="346"/>
      <c r="BN900" s="346"/>
      <c r="BO900" s="346"/>
      <c r="BP900" s="346"/>
      <c r="BQ900" s="346"/>
      <c r="BR900" s="346"/>
      <c r="BS900" s="346"/>
      <c r="BT900" s="346"/>
      <c r="BU900" s="346"/>
      <c r="BV900" s="346"/>
      <c r="BW900" s="346"/>
      <c r="BX900" s="346"/>
      <c r="BY900" s="346"/>
      <c r="BZ900" s="346"/>
      <c r="CA900" s="346"/>
      <c r="CB900" s="346"/>
      <c r="CC900" s="346"/>
      <c r="CD900" s="352"/>
      <c r="CE900" s="346">
        <v>4.9950000000000045</v>
      </c>
      <c r="CF900" s="346">
        <v>14.0749</v>
      </c>
      <c r="CG900" s="346">
        <v>-6.366800000000012</v>
      </c>
      <c r="CH900" s="346">
        <v>11.996800000000007</v>
      </c>
      <c r="CI900" s="346">
        <v>14.2453</v>
      </c>
      <c r="CJ900" s="346">
        <v>3.6593000000000018</v>
      </c>
      <c r="CK900" s="346">
        <v>-1.0833999999999833</v>
      </c>
      <c r="CL900" s="346">
        <v>-0.61240000000003647</v>
      </c>
      <c r="CM900" s="346">
        <v>3.5136000000000251</v>
      </c>
      <c r="CN900" s="346">
        <v>0</v>
      </c>
      <c r="CO900" s="346">
        <v>-0.1734000000000151</v>
      </c>
      <c r="CP900" s="348">
        <v>-1.3345999999999947</v>
      </c>
      <c r="CQ900" s="346">
        <v>-0.68989999999999441</v>
      </c>
      <c r="CR900" s="346">
        <v>2.822100000000006</v>
      </c>
      <c r="CS900" s="346">
        <v>6.2998999999999796</v>
      </c>
      <c r="CT900" s="346">
        <v>-4.0430999999999813</v>
      </c>
      <c r="CU900" s="346">
        <v>0.76499999999998636</v>
      </c>
      <c r="CV900" s="346">
        <v>0.97300000000001319</v>
      </c>
      <c r="CW900" s="346">
        <v>1.9724999999999966</v>
      </c>
      <c r="CX900" s="346">
        <v>9.6100000000006958E-2</v>
      </c>
      <c r="CY900" s="346">
        <v>2.6999999999986812E-2</v>
      </c>
      <c r="CZ900" s="346">
        <v>4</v>
      </c>
      <c r="DA900" s="346">
        <v>28.845500000000015</v>
      </c>
      <c r="DB900" s="1479">
        <v>16.451999999999998</v>
      </c>
      <c r="DC900" s="346">
        <v>8.4154999999999802</v>
      </c>
      <c r="DD900" s="346">
        <v>2.046999999999997</v>
      </c>
      <c r="DE900" s="346">
        <v>-9.4684999999999775</v>
      </c>
      <c r="DF900" s="346">
        <v>7.0509999999999877</v>
      </c>
      <c r="DG900" s="346">
        <v>-1.5577000000000112</v>
      </c>
      <c r="DH900" s="346">
        <v>0.65970000000001505</v>
      </c>
      <c r="DI900" s="346">
        <v>-3.6674999999999898</v>
      </c>
      <c r="DJ900" s="346">
        <v>0.99420000000000641</v>
      </c>
      <c r="DK900" s="346">
        <v>11.218999999999994</v>
      </c>
      <c r="DL900" s="346">
        <v>-30.878500000000003</v>
      </c>
      <c r="DM900" s="346">
        <v>12.197000000000003</v>
      </c>
      <c r="DN900" s="348">
        <v>13.526999999999987</v>
      </c>
      <c r="DO900" s="346">
        <v>-3.5030015555814487</v>
      </c>
      <c r="DP900" s="346">
        <v>-13.466800000000006</v>
      </c>
      <c r="DQ900" s="346">
        <v>-16.700199999999995</v>
      </c>
      <c r="DR900" s="346">
        <v>-9.5093999999999994</v>
      </c>
      <c r="DS900" s="346">
        <v>-0.22730000000001382</v>
      </c>
      <c r="DT900" s="346">
        <v>7.1467000000000098</v>
      </c>
      <c r="DU900" s="346">
        <v>-7.5421984444185455</v>
      </c>
      <c r="DV900" s="346">
        <v>1.9017000000000053</v>
      </c>
      <c r="DW900" s="346">
        <v>15.191499999999991</v>
      </c>
      <c r="DX900" s="346">
        <v>-2.0269999999999868</v>
      </c>
      <c r="DY900" s="346">
        <v>7.0301000000000045</v>
      </c>
      <c r="DZ900" s="348">
        <v>15.620499999999993</v>
      </c>
      <c r="EA900" s="346">
        <v>28.708298444419</v>
      </c>
      <c r="EB900" s="346">
        <v>4.0728000000000009</v>
      </c>
      <c r="EC900" s="346">
        <v>13.280301555580991</v>
      </c>
      <c r="ED900" s="346">
        <v>13.703500000000048</v>
      </c>
      <c r="EE900" s="346">
        <v>16.311754612000016</v>
      </c>
      <c r="EF900" s="346">
        <v>-3.7397000000000276</v>
      </c>
      <c r="EG900" s="346">
        <v>-30.484454612000064</v>
      </c>
      <c r="EH900" s="346">
        <v>5.3641000000000361</v>
      </c>
      <c r="EI900" s="346">
        <v>-0.4591000000000065</v>
      </c>
      <c r="EJ900" s="346">
        <v>-21.645199999999988</v>
      </c>
      <c r="EK900" s="346">
        <v>26.103199999999987</v>
      </c>
      <c r="EL900" s="348">
        <v>-9.6057999999999879</v>
      </c>
      <c r="EM900" s="346">
        <v>-1.6954000000000065</v>
      </c>
      <c r="EN900" s="346">
        <v>11.626199999999983</v>
      </c>
      <c r="EO900" s="346">
        <v>-2.6246999999999616</v>
      </c>
      <c r="EP900" s="346">
        <v>-17.357000000000028</v>
      </c>
      <c r="EQ900" s="346">
        <v>2.6414000000000044</v>
      </c>
      <c r="ER900" s="346">
        <v>-9.997099999999989</v>
      </c>
      <c r="ES900" s="346">
        <v>-5.7658000000000129</v>
      </c>
      <c r="ET900" s="346">
        <v>8.8652999999999906</v>
      </c>
      <c r="EU900" s="346">
        <v>11.73690000000002</v>
      </c>
      <c r="EV900" s="346">
        <v>28.300700000000006</v>
      </c>
      <c r="EW900" s="346">
        <v>-2.9525000000000432</v>
      </c>
      <c r="EX900" s="348">
        <v>24.642100000000028</v>
      </c>
      <c r="EY900" s="346">
        <v>-36.897699999999986</v>
      </c>
      <c r="EZ900" s="346">
        <v>10.371399999999994</v>
      </c>
      <c r="FA900" s="346">
        <v>3.1501999999999839</v>
      </c>
      <c r="FB900" s="346">
        <v>9.8188999999999851</v>
      </c>
      <c r="FC900" s="346">
        <v>20.366100000000017</v>
      </c>
      <c r="FD900" s="346">
        <v>14.897100000000023</v>
      </c>
      <c r="FE900" s="346">
        <v>14.866200000000049</v>
      </c>
      <c r="FF900" s="346">
        <v>11.141699999999958</v>
      </c>
      <c r="FG900" s="346">
        <v>13.843199999999911</v>
      </c>
      <c r="FH900" s="346">
        <v>1.5052000000001158</v>
      </c>
      <c r="FI900" s="346">
        <v>10.058299999999974</v>
      </c>
      <c r="FJ900" s="348">
        <v>10.839900000000057</v>
      </c>
      <c r="FK900" s="346">
        <v>-9.8566000000000713</v>
      </c>
      <c r="FL900" s="346">
        <v>-3.6807000000000016</v>
      </c>
      <c r="FM900" s="346">
        <v>-6.6099999999948977E-2</v>
      </c>
      <c r="FN900" s="346">
        <v>4.7999999999888132E-3</v>
      </c>
      <c r="FO900" s="346">
        <v>0.87220000000002074</v>
      </c>
      <c r="FP900" s="346">
        <v>10.106799999999964</v>
      </c>
      <c r="FQ900" s="346">
        <v>0.65099999999995362</v>
      </c>
      <c r="FR900" s="346">
        <v>-2.3725000000000023</v>
      </c>
      <c r="FS900" s="346">
        <v>-14.466799999999978</v>
      </c>
      <c r="FT900" s="346">
        <v>-21.272699999999929</v>
      </c>
      <c r="FU900" s="346">
        <v>-12.448000000000093</v>
      </c>
      <c r="FV900" s="346">
        <v>54.059000000000026</v>
      </c>
      <c r="FW900" s="346">
        <v>-19.359000000000037</v>
      </c>
      <c r="FX900" s="346">
        <v>-34.765999999999963</v>
      </c>
      <c r="FY900" s="346">
        <v>15.284400000000005</v>
      </c>
      <c r="FZ900" s="346">
        <v>1.2635000000000218</v>
      </c>
      <c r="GA900" s="346">
        <v>13.572200000000009</v>
      </c>
      <c r="GB900" s="346">
        <v>1.5477000000000203</v>
      </c>
      <c r="GC900" s="346">
        <v>8.967200000000048</v>
      </c>
      <c r="GD900" s="346">
        <v>15.726199999999949</v>
      </c>
      <c r="GE900" s="346">
        <v>13.689200000000028</v>
      </c>
      <c r="GF900" s="346">
        <v>48.11080000000004</v>
      </c>
      <c r="GG900" s="346">
        <v>14.930000000000064</v>
      </c>
      <c r="GH900" s="346">
        <v>19.347999999999956</v>
      </c>
      <c r="GI900" s="1897">
        <f>GI902</f>
        <v>12.620000000000005</v>
      </c>
      <c r="GJ900" s="1897">
        <f t="shared" ref="GJ900:HL900" si="1476">GJ902</f>
        <v>17.860000000000014</v>
      </c>
      <c r="GK900" s="1897">
        <f t="shared" si="1476"/>
        <v>17.029999999999973</v>
      </c>
      <c r="GL900" s="1897">
        <f t="shared" si="1476"/>
        <v>8.8899999999999864</v>
      </c>
      <c r="GM900" s="1897">
        <f t="shared" si="1476"/>
        <v>22.090000000000032</v>
      </c>
      <c r="GN900" s="1897">
        <f t="shared" si="1476"/>
        <v>-42.5</v>
      </c>
      <c r="GO900" s="1897">
        <f>GO902</f>
        <v>-12.340200000000038</v>
      </c>
      <c r="GP900" s="1897">
        <f t="shared" si="1476"/>
        <v>-20.376299999999958</v>
      </c>
      <c r="GQ900" s="1897">
        <f t="shared" si="1476"/>
        <v>-14.233499999999992</v>
      </c>
      <c r="GR900" s="1897">
        <f t="shared" si="1476"/>
        <v>-1.6260000000000332</v>
      </c>
      <c r="GS900" s="1897">
        <f t="shared" si="1476"/>
        <v>11.300000000000011</v>
      </c>
      <c r="GT900" s="1897">
        <f t="shared" si="1476"/>
        <v>-17.274999999999977</v>
      </c>
      <c r="GU900" s="1897">
        <f t="shared" si="1476"/>
        <v>69.192000000000007</v>
      </c>
      <c r="GV900" s="1897">
        <f t="shared" si="1476"/>
        <v>-3.632000000000005</v>
      </c>
      <c r="GW900" s="1897">
        <f t="shared" si="1476"/>
        <v>9.8889999999999532</v>
      </c>
      <c r="GX900" s="1897">
        <f t="shared" si="1476"/>
        <v>-16.060299999999984</v>
      </c>
      <c r="GY900" s="1897">
        <f t="shared" si="1476"/>
        <v>-17.15749999999997</v>
      </c>
      <c r="GZ900" s="1897">
        <f t="shared" si="1476"/>
        <v>9.5664999999999623</v>
      </c>
      <c r="HA900" s="1897">
        <f t="shared" si="1476"/>
        <v>-24.575499999999977</v>
      </c>
      <c r="HB900" s="1897">
        <f t="shared" si="1476"/>
        <v>2.4875000000000114</v>
      </c>
      <c r="HC900" s="1897">
        <f t="shared" si="1476"/>
        <v>9.65949999999998</v>
      </c>
      <c r="HD900" s="1897">
        <f t="shared" si="1476"/>
        <v>-1.146000000000015</v>
      </c>
      <c r="HE900" s="1897">
        <f t="shared" si="1476"/>
        <v>-2.8297999999999774</v>
      </c>
      <c r="HF900" s="1897">
        <f t="shared" si="1476"/>
        <v>-34.384999999999991</v>
      </c>
      <c r="HG900" s="1897">
        <f t="shared" si="1476"/>
        <v>14.500299999999982</v>
      </c>
      <c r="HH900" s="1897">
        <f t="shared" si="1476"/>
        <v>84.18950000000001</v>
      </c>
      <c r="HI900" s="1897">
        <f t="shared" si="1476"/>
        <v>51.461799999999982</v>
      </c>
      <c r="HJ900" s="1897">
        <f t="shared" si="1476"/>
        <v>-9.51400000000001</v>
      </c>
      <c r="HK900" s="1897">
        <f t="shared" si="1476"/>
        <v>68.011000000000024</v>
      </c>
      <c r="HL900" s="1897">
        <f t="shared" si="1476"/>
        <v>-1.1209999999999809</v>
      </c>
      <c r="HM900" s="1897"/>
      <c r="HN900" s="349"/>
      <c r="HO900" s="360" t="s">
        <v>605</v>
      </c>
      <c r="HP900" s="307">
        <f>SUM(CE900:CJ900)</f>
        <v>42.604500000000002</v>
      </c>
      <c r="HQ900" s="302">
        <f>SUM(CK900:CP900)</f>
        <v>0.30979999999999563</v>
      </c>
      <c r="HR900" s="346">
        <f>HP900+HQ900</f>
        <v>42.914299999999997</v>
      </c>
      <c r="HS900" s="302">
        <f>SUM(CQ900:CV900)</f>
        <v>6.1270000000000095</v>
      </c>
      <c r="HT900" s="302">
        <f>SUM(CW900:DB900)</f>
        <v>51.393100000000004</v>
      </c>
      <c r="HU900" s="346">
        <f>HS900+HT900</f>
        <v>57.520100000000014</v>
      </c>
      <c r="HV900" s="307">
        <f>SUM(DC900:DH900)</f>
        <v>7.1469999999999914</v>
      </c>
      <c r="HW900" s="302">
        <f>SUM(DI900:DN900)</f>
        <v>3.3911999999999978</v>
      </c>
      <c r="HX900" s="346">
        <f>HV900+HW900</f>
        <v>10.538199999999989</v>
      </c>
      <c r="HY900" s="350">
        <f>SUM(DO900:DT900)</f>
        <v>-36.260001555581454</v>
      </c>
      <c r="HZ900" s="302">
        <f>SUM(DU900:DZ900)</f>
        <v>30.174601555581461</v>
      </c>
      <c r="IA900" s="346">
        <f>HY900+HZ900</f>
        <v>-6.0853999999999928</v>
      </c>
      <c r="IB900" s="302">
        <f>SUM(EA900:EF900)</f>
        <v>72.336954612000028</v>
      </c>
      <c r="IC900" s="302">
        <f>SUM(EG900:EL900)</f>
        <v>-30.727254612000024</v>
      </c>
      <c r="ID900" s="346">
        <f>IB900+IC900</f>
        <v>41.609700000000004</v>
      </c>
      <c r="IE900" s="350">
        <f>SUM(EM900:ER900)</f>
        <v>-17.406599999999997</v>
      </c>
      <c r="IF900" s="350">
        <f>SUM(ES900:EX900)</f>
        <v>64.826699999999988</v>
      </c>
      <c r="IG900" s="346">
        <f>IE900+IF900</f>
        <v>47.420099999999991</v>
      </c>
      <c r="IH900" s="350">
        <f>SUM(EY900:FD900)</f>
        <v>21.706000000000017</v>
      </c>
      <c r="II900" s="350">
        <f>SUM(FE900:FJ900)</f>
        <v>62.254500000000064</v>
      </c>
      <c r="IJ900" s="346">
        <f t="shared" si="1463"/>
        <v>83.960500000000081</v>
      </c>
      <c r="IK900" s="350">
        <f t="shared" si="1464"/>
        <v>-2.6196000000000481</v>
      </c>
      <c r="IL900" s="350">
        <f t="shared" si="1465"/>
        <v>4.1499999999999773</v>
      </c>
      <c r="IM900" s="346">
        <f t="shared" si="1430"/>
        <v>1.5303999999999292</v>
      </c>
      <c r="IN900" s="350">
        <f t="shared" si="1438"/>
        <v>-22.457199999999943</v>
      </c>
      <c r="IO900" s="350">
        <f t="shared" si="1439"/>
        <v>120.77140000000009</v>
      </c>
      <c r="IP900" s="346">
        <f t="shared" si="1443"/>
        <v>98.314200000000142</v>
      </c>
      <c r="IQ900" s="350">
        <f t="shared" si="1440"/>
        <v>35.990000000000009</v>
      </c>
      <c r="IR900" s="350">
        <f t="shared" si="1441"/>
        <v>-54.550999999999988</v>
      </c>
      <c r="IS900" s="346">
        <f t="shared" si="1410"/>
        <v>-18.560999999999979</v>
      </c>
      <c r="IT900" s="350">
        <f>IT901+IT902</f>
        <v>51.797699999999963</v>
      </c>
      <c r="IU900" s="350">
        <f>IU901+IU902</f>
        <v>-50.789299999999969</v>
      </c>
      <c r="IV900" s="346">
        <f t="shared" si="1409"/>
        <v>1.0083999999999946</v>
      </c>
      <c r="IW900" s="350">
        <f t="shared" si="1428"/>
        <v>207.52760000000001</v>
      </c>
      <c r="IX900" s="350">
        <f t="shared" si="1426"/>
        <v>-216.18009609657031</v>
      </c>
      <c r="IY900" s="346">
        <f>FISC!AJ1221</f>
        <v>-8.6524960965703084</v>
      </c>
      <c r="IZ900" s="350">
        <f>IZ901+IZ902</f>
        <v>198.37571782915285</v>
      </c>
      <c r="JA900" s="350">
        <f>JA901+JA902</f>
        <v>-206.44167753414098</v>
      </c>
      <c r="JB900" s="346">
        <f>FISC!AK1221</f>
        <v>-8.0659597049882432</v>
      </c>
      <c r="JC900" s="350">
        <f>JC901+JC902</f>
        <v>100.32903821798027</v>
      </c>
      <c r="JD900" s="350">
        <f>JD901+JD902</f>
        <v>-175.02173468371245</v>
      </c>
      <c r="JE900" s="346">
        <f>FISC!AL1221</f>
        <v>-74.692696465732126</v>
      </c>
      <c r="JF900" s="350">
        <f>JF901+JF902</f>
        <v>173.76491536152398</v>
      </c>
      <c r="JG900" s="350">
        <f>JG901+JG902</f>
        <v>-76.484170795119638</v>
      </c>
      <c r="JH900" s="346">
        <f>FISC!AM1221</f>
        <v>97.28074456640455</v>
      </c>
      <c r="JI900" s="350">
        <f>JI901+JI902</f>
        <v>221.88720009617722</v>
      </c>
      <c r="JJ900" s="350">
        <f>JJ901+JJ902</f>
        <v>22.108482233617991</v>
      </c>
      <c r="JK900" s="346">
        <f>FISC!AN1221</f>
        <v>243.99568232979513</v>
      </c>
      <c r="JL900" s="350">
        <f>JL901+JL902</f>
        <v>525.14985918731043</v>
      </c>
      <c r="JM900" s="350">
        <f>JM901+JM902</f>
        <v>167.78694225475516</v>
      </c>
      <c r="JN900" s="346">
        <f>FISC!AO1221</f>
        <v>692.93680144206508</v>
      </c>
      <c r="KI900" s="349"/>
      <c r="KJ900" s="350"/>
    </row>
    <row r="901" spans="1:302" hidden="1" outlineLevel="1">
      <c r="A901" s="302"/>
      <c r="D901" s="1689" t="s">
        <v>3232</v>
      </c>
      <c r="E901" s="346"/>
      <c r="F901" s="346"/>
      <c r="G901" s="346"/>
      <c r="H901" s="346"/>
      <c r="I901" s="346"/>
      <c r="J901" s="346"/>
      <c r="K901" s="346"/>
      <c r="L901" s="346"/>
      <c r="M901" s="346"/>
      <c r="N901" s="346"/>
      <c r="O901" s="346"/>
      <c r="P901" s="346"/>
      <c r="Q901" s="346"/>
      <c r="R901" s="346"/>
      <c r="S901" s="346"/>
      <c r="T901" s="346"/>
      <c r="U901" s="346"/>
      <c r="V901" s="346"/>
      <c r="W901" s="346"/>
      <c r="X901" s="346"/>
      <c r="Y901" s="346"/>
      <c r="Z901" s="346"/>
      <c r="AA901" s="346"/>
      <c r="AB901" s="346"/>
      <c r="AC901" s="346"/>
      <c r="AD901" s="346"/>
      <c r="AE901" s="346"/>
      <c r="AF901" s="346"/>
      <c r="AG901" s="346"/>
      <c r="AH901" s="346"/>
      <c r="AI901" s="346"/>
      <c r="AJ901" s="346"/>
      <c r="AK901" s="346"/>
      <c r="AL901" s="346"/>
      <c r="AM901" s="346"/>
      <c r="AN901" s="346"/>
      <c r="AO901" s="346"/>
      <c r="AP901" s="346"/>
      <c r="AQ901" s="346"/>
      <c r="AR901" s="346"/>
      <c r="AS901" s="346"/>
      <c r="AT901" s="346"/>
      <c r="AU901" s="346"/>
      <c r="AV901" s="346"/>
      <c r="AW901" s="346"/>
      <c r="AX901" s="346"/>
      <c r="AY901" s="346"/>
      <c r="AZ901" s="346"/>
      <c r="BA901" s="346"/>
      <c r="BB901" s="346"/>
      <c r="BC901" s="346"/>
      <c r="BD901" s="346"/>
      <c r="BE901" s="346"/>
      <c r="BF901" s="346"/>
      <c r="BG901" s="346"/>
      <c r="BH901" s="346"/>
      <c r="BI901" s="346"/>
      <c r="BJ901" s="346"/>
      <c r="BK901" s="346"/>
      <c r="BL901" s="346"/>
      <c r="BM901" s="346"/>
      <c r="BN901" s="346"/>
      <c r="BO901" s="346"/>
      <c r="BP901" s="346"/>
      <c r="BQ901" s="346"/>
      <c r="BR901" s="346"/>
      <c r="BS901" s="346"/>
      <c r="BT901" s="346"/>
      <c r="BU901" s="346"/>
      <c r="BV901" s="346"/>
      <c r="BW901" s="346"/>
      <c r="BX901" s="346"/>
      <c r="BY901" s="346"/>
      <c r="BZ901" s="346"/>
      <c r="CA901" s="346"/>
      <c r="CB901" s="346"/>
      <c r="CC901" s="346"/>
      <c r="CD901" s="352"/>
      <c r="CE901" s="346"/>
      <c r="CF901" s="346"/>
      <c r="CG901" s="346"/>
      <c r="CH901" s="346"/>
      <c r="CI901" s="346"/>
      <c r="CJ901" s="346"/>
      <c r="CK901" s="346"/>
      <c r="CL901" s="346"/>
      <c r="CM901" s="346"/>
      <c r="CN901" s="346"/>
      <c r="CO901" s="346"/>
      <c r="CP901" s="348"/>
      <c r="CQ901" s="346"/>
      <c r="CR901" s="346"/>
      <c r="CS901" s="346"/>
      <c r="CT901" s="346"/>
      <c r="CU901" s="346"/>
      <c r="CV901" s="346"/>
      <c r="CW901" s="346"/>
      <c r="CX901" s="346"/>
      <c r="CY901" s="346"/>
      <c r="CZ901" s="346"/>
      <c r="DA901" s="346"/>
      <c r="DB901" s="1479"/>
      <c r="DC901" s="346"/>
      <c r="DD901" s="346"/>
      <c r="DE901" s="346"/>
      <c r="DF901" s="346"/>
      <c r="DG901" s="346"/>
      <c r="DH901" s="346"/>
      <c r="DI901" s="346"/>
      <c r="DJ901" s="346"/>
      <c r="DK901" s="346"/>
      <c r="DL901" s="346"/>
      <c r="DM901" s="346"/>
      <c r="DN901" s="348"/>
      <c r="DO901" s="346"/>
      <c r="DP901" s="346"/>
      <c r="DQ901" s="346"/>
      <c r="DR901" s="346"/>
      <c r="DS901" s="346"/>
      <c r="DT901" s="346"/>
      <c r="DU901" s="346"/>
      <c r="DV901" s="346"/>
      <c r="DW901" s="346"/>
      <c r="DX901" s="346"/>
      <c r="DY901" s="346"/>
      <c r="DZ901" s="348"/>
      <c r="EA901" s="346"/>
      <c r="EB901" s="346"/>
      <c r="EC901" s="346"/>
      <c r="ED901" s="346"/>
      <c r="EE901" s="346"/>
      <c r="EF901" s="346"/>
      <c r="EG901" s="346"/>
      <c r="EH901" s="346"/>
      <c r="EI901" s="346"/>
      <c r="EJ901" s="346"/>
      <c r="EK901" s="346"/>
      <c r="EL901" s="348"/>
      <c r="EM901" s="346"/>
      <c r="EN901" s="346"/>
      <c r="EO901" s="346"/>
      <c r="EP901" s="346"/>
      <c r="EQ901" s="346"/>
      <c r="ER901" s="346"/>
      <c r="ES901" s="346"/>
      <c r="ET901" s="346"/>
      <c r="EU901" s="346"/>
      <c r="EV901" s="346"/>
      <c r="EW901" s="346"/>
      <c r="EX901" s="348"/>
      <c r="EY901" s="346"/>
      <c r="EZ901" s="346"/>
      <c r="FA901" s="346"/>
      <c r="FB901" s="346"/>
      <c r="FC901" s="346"/>
      <c r="FD901" s="346"/>
      <c r="FE901" s="346"/>
      <c r="FF901" s="346"/>
      <c r="FG901" s="346"/>
      <c r="FH901" s="346"/>
      <c r="FI901" s="346"/>
      <c r="FJ901" s="348"/>
      <c r="FK901" s="346"/>
      <c r="FL901" s="346"/>
      <c r="FM901" s="346"/>
      <c r="FN901" s="346"/>
      <c r="FO901" s="346"/>
      <c r="FP901" s="346"/>
      <c r="FQ901" s="346"/>
      <c r="FR901" s="346"/>
      <c r="FS901" s="346"/>
      <c r="FT901" s="346"/>
      <c r="FU901" s="346"/>
      <c r="FV901" s="346"/>
      <c r="FW901" s="346">
        <v>0</v>
      </c>
      <c r="FX901" s="346">
        <v>0</v>
      </c>
      <c r="FY901" s="346">
        <v>0</v>
      </c>
      <c r="FZ901" s="346">
        <v>0</v>
      </c>
      <c r="GA901" s="346">
        <v>0</v>
      </c>
      <c r="GB901" s="346">
        <v>0</v>
      </c>
      <c r="GC901" s="346">
        <v>0</v>
      </c>
      <c r="GD901" s="346">
        <v>0</v>
      </c>
      <c r="GE901" s="346">
        <v>0</v>
      </c>
      <c r="GF901" s="346">
        <v>0</v>
      </c>
      <c r="GG901" s="346">
        <v>0</v>
      </c>
      <c r="GH901" s="346">
        <v>0</v>
      </c>
      <c r="GI901" s="1897"/>
      <c r="HN901" s="349"/>
      <c r="HO901" s="1689" t="s">
        <v>3232</v>
      </c>
      <c r="HP901" s="307"/>
      <c r="HR901" s="346"/>
      <c r="HU901" s="346"/>
      <c r="HV901" s="307"/>
      <c r="HX901" s="346"/>
      <c r="HY901" s="350"/>
      <c r="IA901" s="346"/>
      <c r="ID901" s="346"/>
      <c r="IE901" s="350"/>
      <c r="IF901" s="350"/>
      <c r="IG901" s="346"/>
      <c r="IH901" s="350"/>
      <c r="II901" s="350"/>
      <c r="IJ901" s="346">
        <f t="shared" si="1463"/>
        <v>0</v>
      </c>
      <c r="IK901" s="350"/>
      <c r="IL901" s="350">
        <f t="shared" si="1465"/>
        <v>0</v>
      </c>
      <c r="IM901" s="346">
        <f t="shared" si="1430"/>
        <v>0</v>
      </c>
      <c r="IN901" s="350">
        <f t="shared" si="1438"/>
        <v>0</v>
      </c>
      <c r="IO901" s="350">
        <f t="shared" si="1439"/>
        <v>0</v>
      </c>
      <c r="IP901" s="346">
        <f t="shared" si="1443"/>
        <v>0</v>
      </c>
      <c r="IQ901" s="350">
        <f t="shared" si="1440"/>
        <v>0</v>
      </c>
      <c r="IR901" s="350">
        <f t="shared" si="1441"/>
        <v>0</v>
      </c>
      <c r="IS901" s="346">
        <f t="shared" si="1410"/>
        <v>0</v>
      </c>
      <c r="IT901" s="350">
        <v>0</v>
      </c>
      <c r="IU901" s="350">
        <v>0</v>
      </c>
      <c r="IV901" s="346">
        <f t="shared" si="1409"/>
        <v>0</v>
      </c>
      <c r="IW901" s="350">
        <f t="shared" si="1428"/>
        <v>0</v>
      </c>
      <c r="IX901" s="350">
        <f t="shared" si="1426"/>
        <v>0</v>
      </c>
      <c r="IY901" s="346">
        <f>FISC!AJ1222</f>
        <v>0</v>
      </c>
      <c r="IZ901" s="350">
        <f>JB901/2</f>
        <v>0</v>
      </c>
      <c r="JA901" s="350">
        <f>JB901/2</f>
        <v>0</v>
      </c>
      <c r="JB901" s="346">
        <f>FISC!AK1222</f>
        <v>0</v>
      </c>
      <c r="JC901" s="350">
        <f>JE901/2</f>
        <v>0</v>
      </c>
      <c r="JD901" s="350">
        <f>JE901/2</f>
        <v>0</v>
      </c>
      <c r="JE901" s="346">
        <f>FISC!AL1222</f>
        <v>0</v>
      </c>
      <c r="JF901" s="350">
        <f>JH901/2</f>
        <v>0</v>
      </c>
      <c r="JG901" s="350">
        <f>JH901/2</f>
        <v>0</v>
      </c>
      <c r="JH901" s="346">
        <f>FISC!AM1222</f>
        <v>0</v>
      </c>
      <c r="JI901" s="350">
        <f>JK901/2</f>
        <v>0</v>
      </c>
      <c r="JJ901" s="350">
        <f>JK901/2</f>
        <v>0</v>
      </c>
      <c r="JK901" s="346">
        <f>FISC!AN1222</f>
        <v>0</v>
      </c>
      <c r="JL901" s="350">
        <f>JN901/2</f>
        <v>0</v>
      </c>
      <c r="JM901" s="350">
        <f>JN901/2</f>
        <v>0</v>
      </c>
      <c r="JN901" s="346">
        <f>FISC!AO1222</f>
        <v>0</v>
      </c>
      <c r="KI901" s="349"/>
      <c r="KJ901" s="350"/>
    </row>
    <row r="902" spans="1:302" hidden="1" outlineLevel="1">
      <c r="A902" s="302"/>
      <c r="D902" s="1689" t="s">
        <v>3233</v>
      </c>
      <c r="E902" s="346"/>
      <c r="F902" s="346"/>
      <c r="G902" s="346"/>
      <c r="H902" s="346"/>
      <c r="I902" s="346"/>
      <c r="J902" s="346"/>
      <c r="K902" s="346"/>
      <c r="L902" s="346"/>
      <c r="M902" s="346"/>
      <c r="N902" s="346"/>
      <c r="O902" s="346"/>
      <c r="P902" s="346"/>
      <c r="Q902" s="346"/>
      <c r="R902" s="346"/>
      <c r="S902" s="346"/>
      <c r="T902" s="346"/>
      <c r="U902" s="346"/>
      <c r="V902" s="346"/>
      <c r="W902" s="346"/>
      <c r="X902" s="346"/>
      <c r="Y902" s="346"/>
      <c r="Z902" s="346"/>
      <c r="AA902" s="346"/>
      <c r="AB902" s="346"/>
      <c r="AC902" s="346"/>
      <c r="AD902" s="346"/>
      <c r="AE902" s="346"/>
      <c r="AF902" s="346"/>
      <c r="AG902" s="346"/>
      <c r="AH902" s="346"/>
      <c r="AI902" s="346"/>
      <c r="AJ902" s="346"/>
      <c r="AK902" s="346"/>
      <c r="AL902" s="346"/>
      <c r="AM902" s="346"/>
      <c r="AN902" s="346"/>
      <c r="AO902" s="346"/>
      <c r="AP902" s="346"/>
      <c r="AQ902" s="346"/>
      <c r="AR902" s="346"/>
      <c r="AS902" s="346"/>
      <c r="AT902" s="346"/>
      <c r="AU902" s="346"/>
      <c r="AV902" s="346"/>
      <c r="AW902" s="346"/>
      <c r="AX902" s="346"/>
      <c r="AY902" s="346"/>
      <c r="AZ902" s="346"/>
      <c r="BA902" s="346"/>
      <c r="BB902" s="346"/>
      <c r="BC902" s="346"/>
      <c r="BD902" s="346"/>
      <c r="BE902" s="346"/>
      <c r="BF902" s="346"/>
      <c r="BG902" s="346"/>
      <c r="BH902" s="346"/>
      <c r="BI902" s="346"/>
      <c r="BJ902" s="346"/>
      <c r="BK902" s="346"/>
      <c r="BL902" s="346"/>
      <c r="BM902" s="346"/>
      <c r="BN902" s="346"/>
      <c r="BO902" s="346"/>
      <c r="BP902" s="346"/>
      <c r="BQ902" s="346"/>
      <c r="BR902" s="346"/>
      <c r="BS902" s="346"/>
      <c r="BT902" s="346"/>
      <c r="BU902" s="346"/>
      <c r="BV902" s="346"/>
      <c r="BW902" s="346"/>
      <c r="BX902" s="346"/>
      <c r="BY902" s="346"/>
      <c r="BZ902" s="346"/>
      <c r="CA902" s="346"/>
      <c r="CB902" s="346"/>
      <c r="CC902" s="346"/>
      <c r="CD902" s="352"/>
      <c r="CE902" s="346"/>
      <c r="CF902" s="346"/>
      <c r="CG902" s="346"/>
      <c r="CH902" s="346"/>
      <c r="CI902" s="346"/>
      <c r="CJ902" s="346"/>
      <c r="CK902" s="346"/>
      <c r="CL902" s="346"/>
      <c r="CM902" s="346"/>
      <c r="CN902" s="346"/>
      <c r="CO902" s="346"/>
      <c r="CP902" s="348"/>
      <c r="CQ902" s="346"/>
      <c r="CR902" s="346"/>
      <c r="CS902" s="346"/>
      <c r="CT902" s="346"/>
      <c r="CU902" s="346"/>
      <c r="CV902" s="346"/>
      <c r="CW902" s="346"/>
      <c r="CX902" s="346"/>
      <c r="CY902" s="346"/>
      <c r="CZ902" s="346"/>
      <c r="DA902" s="346"/>
      <c r="DB902" s="1479"/>
      <c r="DC902" s="346"/>
      <c r="DD902" s="346"/>
      <c r="DE902" s="346"/>
      <c r="DF902" s="346"/>
      <c r="DG902" s="346"/>
      <c r="DH902" s="346"/>
      <c r="DI902" s="346"/>
      <c r="DJ902" s="346"/>
      <c r="DK902" s="346"/>
      <c r="DL902" s="346"/>
      <c r="DM902" s="346"/>
      <c r="DN902" s="348"/>
      <c r="DO902" s="346"/>
      <c r="DP902" s="346"/>
      <c r="DQ902" s="346"/>
      <c r="DR902" s="346"/>
      <c r="DS902" s="346"/>
      <c r="DT902" s="346"/>
      <c r="DU902" s="346"/>
      <c r="DV902" s="346"/>
      <c r="DW902" s="346"/>
      <c r="DX902" s="346"/>
      <c r="DY902" s="346"/>
      <c r="DZ902" s="348"/>
      <c r="EA902" s="346"/>
      <c r="EB902" s="346"/>
      <c r="EC902" s="346"/>
      <c r="ED902" s="346"/>
      <c r="EE902" s="346"/>
      <c r="EF902" s="346"/>
      <c r="EG902" s="346"/>
      <c r="EH902" s="346"/>
      <c r="EI902" s="346"/>
      <c r="EJ902" s="346"/>
      <c r="EK902" s="346"/>
      <c r="EL902" s="348"/>
      <c r="EM902" s="346"/>
      <c r="EN902" s="346"/>
      <c r="EO902" s="346"/>
      <c r="EP902" s="346"/>
      <c r="EQ902" s="346"/>
      <c r="ER902" s="346"/>
      <c r="ES902" s="346"/>
      <c r="ET902" s="346"/>
      <c r="EU902" s="346"/>
      <c r="EV902" s="346"/>
      <c r="EW902" s="346"/>
      <c r="EX902" s="348"/>
      <c r="EY902" s="346"/>
      <c r="EZ902" s="346"/>
      <c r="FA902" s="346"/>
      <c r="FB902" s="346"/>
      <c r="FC902" s="346"/>
      <c r="FD902" s="346"/>
      <c r="FE902" s="346"/>
      <c r="FF902" s="346"/>
      <c r="FG902" s="346"/>
      <c r="FH902" s="346"/>
      <c r="FI902" s="346"/>
      <c r="FJ902" s="348"/>
      <c r="FK902" s="346"/>
      <c r="FL902" s="346"/>
      <c r="FM902" s="346"/>
      <c r="FN902" s="346"/>
      <c r="FO902" s="346"/>
      <c r="FP902" s="346"/>
      <c r="FQ902" s="346"/>
      <c r="FR902" s="346"/>
      <c r="FS902" s="346"/>
      <c r="FT902" s="346"/>
      <c r="FU902" s="346"/>
      <c r="FV902" s="346"/>
      <c r="FW902" s="346">
        <v>-19.359000000000037</v>
      </c>
      <c r="FX902" s="346">
        <v>-34.765999999999963</v>
      </c>
      <c r="FY902" s="346">
        <v>15.284400000000005</v>
      </c>
      <c r="FZ902" s="346">
        <v>1.2635000000000218</v>
      </c>
      <c r="GA902" s="346">
        <v>13.572200000000009</v>
      </c>
      <c r="GB902" s="346">
        <v>1.5477000000000203</v>
      </c>
      <c r="GC902" s="346">
        <v>8.967200000000048</v>
      </c>
      <c r="GD902" s="346">
        <v>15.726199999999949</v>
      </c>
      <c r="GE902" s="346">
        <v>13.689200000000028</v>
      </c>
      <c r="GF902" s="346">
        <v>48.11080000000004</v>
      </c>
      <c r="GG902" s="346">
        <v>14.930000000000064</v>
      </c>
      <c r="GH902" s="346">
        <v>19.347999999999956</v>
      </c>
      <c r="GI902" s="1897">
        <v>12.620000000000005</v>
      </c>
      <c r="GJ902" s="1897">
        <v>17.860000000000014</v>
      </c>
      <c r="GK902" s="1897">
        <v>17.029999999999973</v>
      </c>
      <c r="GL902" s="1897">
        <v>8.8899999999999864</v>
      </c>
      <c r="GM902" s="1897">
        <v>22.090000000000032</v>
      </c>
      <c r="GN902" s="1897">
        <v>-42.5</v>
      </c>
      <c r="GO902" s="1897">
        <v>-12.340200000000038</v>
      </c>
      <c r="GP902" s="1897">
        <v>-20.376299999999958</v>
      </c>
      <c r="GQ902" s="1897">
        <v>-14.233499999999992</v>
      </c>
      <c r="GR902" s="1897">
        <v>-1.6260000000000332</v>
      </c>
      <c r="GS902" s="1897">
        <v>11.300000000000011</v>
      </c>
      <c r="GT902" s="1897">
        <v>-17.274999999999977</v>
      </c>
      <c r="GU902" s="1897">
        <v>69.192000000000007</v>
      </c>
      <c r="GV902" s="1897">
        <v>-3.632000000000005</v>
      </c>
      <c r="GW902" s="1897">
        <v>9.8889999999999532</v>
      </c>
      <c r="GX902" s="1897">
        <v>-16.060299999999984</v>
      </c>
      <c r="GY902" s="1897">
        <v>-17.15749999999997</v>
      </c>
      <c r="GZ902" s="1897">
        <v>9.5664999999999623</v>
      </c>
      <c r="HA902" s="1897">
        <v>-24.575499999999977</v>
      </c>
      <c r="HB902" s="1897">
        <v>2.4875000000000114</v>
      </c>
      <c r="HC902" s="1897">
        <v>9.65949999999998</v>
      </c>
      <c r="HD902" s="1897">
        <v>-1.146000000000015</v>
      </c>
      <c r="HE902" s="1897">
        <v>-2.8297999999999774</v>
      </c>
      <c r="HF902" s="1897">
        <v>-34.384999999999991</v>
      </c>
      <c r="HG902" s="1897">
        <v>14.500299999999982</v>
      </c>
      <c r="HH902" s="1897">
        <v>84.18950000000001</v>
      </c>
      <c r="HI902" s="1897">
        <v>51.461799999999982</v>
      </c>
      <c r="HJ902" s="1897">
        <v>-9.51400000000001</v>
      </c>
      <c r="HK902" s="1897">
        <v>68.011000000000024</v>
      </c>
      <c r="HL902" s="1897">
        <v>-1.1209999999999809</v>
      </c>
      <c r="HM902" s="1897"/>
      <c r="HN902" s="349"/>
      <c r="HO902" s="1689" t="s">
        <v>3233</v>
      </c>
      <c r="HP902" s="307"/>
      <c r="HR902" s="346"/>
      <c r="HU902" s="346"/>
      <c r="HV902" s="307"/>
      <c r="HX902" s="346"/>
      <c r="HY902" s="350"/>
      <c r="IA902" s="346"/>
      <c r="ID902" s="346"/>
      <c r="IE902" s="350"/>
      <c r="IF902" s="350"/>
      <c r="IG902" s="346"/>
      <c r="IH902" s="350"/>
      <c r="II902" s="350"/>
      <c r="IJ902" s="346">
        <f t="shared" si="1463"/>
        <v>0</v>
      </c>
      <c r="IK902" s="1837">
        <f>IK893-IK903-IK906-IK909-IK919</f>
        <v>57.396699999999953</v>
      </c>
      <c r="IL902" s="350">
        <f>IL900</f>
        <v>4.1499999999999773</v>
      </c>
      <c r="IM902" s="346">
        <f t="shared" si="1430"/>
        <v>61.54669999999993</v>
      </c>
      <c r="IN902" s="350">
        <f t="shared" si="1438"/>
        <v>-22.457199999999943</v>
      </c>
      <c r="IO902" s="350">
        <f t="shared" si="1439"/>
        <v>120.77140000000009</v>
      </c>
      <c r="IP902" s="346">
        <f t="shared" si="1443"/>
        <v>98.314200000000142</v>
      </c>
      <c r="IQ902" s="350">
        <f t="shared" si="1440"/>
        <v>35.990000000000009</v>
      </c>
      <c r="IR902" s="350">
        <f t="shared" si="1441"/>
        <v>-54.550999999999988</v>
      </c>
      <c r="IS902" s="346">
        <f t="shared" si="1410"/>
        <v>-18.560999999999979</v>
      </c>
      <c r="IT902" s="350">
        <f>SUM(GU902:GZ902)</f>
        <v>51.797699999999963</v>
      </c>
      <c r="IU902" s="350">
        <f t="shared" ref="IU902" si="1477">SUM(HA902:HF902)</f>
        <v>-50.789299999999969</v>
      </c>
      <c r="IV902" s="346">
        <f t="shared" si="1409"/>
        <v>1.0083999999999946</v>
      </c>
      <c r="IW902" s="350">
        <f t="shared" si="1428"/>
        <v>207.52760000000001</v>
      </c>
      <c r="IX902" s="1837">
        <f t="shared" si="1426"/>
        <v>-216.18009609657031</v>
      </c>
      <c r="IY902" s="1837">
        <f>FISC!AJ1223</f>
        <v>-8.6524960965703084</v>
      </c>
      <c r="IZ902" s="1837">
        <f>IZ893-IZ903-IZ906-IZ909-IZ919</f>
        <v>198.37571782915285</v>
      </c>
      <c r="JA902" s="1837">
        <f>JA893-JA903-JA906-JA909-JA919</f>
        <v>-206.44167753414098</v>
      </c>
      <c r="JB902" s="1837">
        <f>FISC!AK1223</f>
        <v>-8.0659597049882432</v>
      </c>
      <c r="JC902" s="1837">
        <f>JC893-JC903-JC906-JC909-JC919</f>
        <v>100.32903821798027</v>
      </c>
      <c r="JD902" s="1837">
        <f>JD893-JD903-JD906-JD909-JD919</f>
        <v>-175.02173468371245</v>
      </c>
      <c r="JE902" s="1837">
        <f>FISC!AL1223</f>
        <v>-74.692696465732126</v>
      </c>
      <c r="JF902" s="1837">
        <f>JF893-JF903-JF906-JF909-JF919</f>
        <v>173.76491536152398</v>
      </c>
      <c r="JG902" s="1837">
        <f>JG893-JG903-JG906-JG909-JG919</f>
        <v>-76.484170795119638</v>
      </c>
      <c r="JH902" s="346">
        <f>FISC!AM1223</f>
        <v>97.28074456640455</v>
      </c>
      <c r="JI902" s="1837">
        <f>JI893-JI903-JI906-JI909-JI919</f>
        <v>221.88720009617722</v>
      </c>
      <c r="JJ902" s="1837">
        <f>JJ893-JJ903-JJ906-JJ909-JJ919</f>
        <v>22.108482233617991</v>
      </c>
      <c r="JK902" s="346">
        <f>FISC!AN1223</f>
        <v>243.99568232979513</v>
      </c>
      <c r="JL902" s="1837">
        <f>JL893-JL903-JL906-JL909-JL919</f>
        <v>525.14985918731043</v>
      </c>
      <c r="JM902" s="1837">
        <f>JM893-JM903-JM906-JM909-JM919</f>
        <v>167.78694225475516</v>
      </c>
      <c r="JN902" s="346">
        <f>FISC!AO1223</f>
        <v>692.93680144206508</v>
      </c>
      <c r="KI902" s="349"/>
      <c r="KJ902" s="350"/>
    </row>
    <row r="903" spans="1:302" hidden="1" outlineLevel="1">
      <c r="A903" s="302"/>
      <c r="B903" s="117" t="s">
        <v>361</v>
      </c>
      <c r="D903" s="360" t="s">
        <v>606</v>
      </c>
      <c r="E903" s="346"/>
      <c r="F903" s="346"/>
      <c r="G903" s="346"/>
      <c r="H903" s="346"/>
      <c r="I903" s="346"/>
      <c r="J903" s="346"/>
      <c r="K903" s="346"/>
      <c r="L903" s="346"/>
      <c r="M903" s="346"/>
      <c r="N903" s="346"/>
      <c r="O903" s="346"/>
      <c r="P903" s="346"/>
      <c r="Q903" s="346"/>
      <c r="R903" s="346"/>
      <c r="S903" s="346"/>
      <c r="T903" s="346"/>
      <c r="U903" s="346"/>
      <c r="V903" s="346"/>
      <c r="W903" s="346"/>
      <c r="X903" s="346"/>
      <c r="Y903" s="346"/>
      <c r="Z903" s="346"/>
      <c r="AA903" s="346"/>
      <c r="AB903" s="346"/>
      <c r="AC903" s="346"/>
      <c r="AD903" s="346"/>
      <c r="AE903" s="346"/>
      <c r="AF903" s="346"/>
      <c r="AG903" s="346"/>
      <c r="AH903" s="346"/>
      <c r="AI903" s="346"/>
      <c r="AJ903" s="346"/>
      <c r="AK903" s="346"/>
      <c r="AL903" s="346"/>
      <c r="AM903" s="346"/>
      <c r="AN903" s="346"/>
      <c r="AO903" s="346"/>
      <c r="AP903" s="346"/>
      <c r="AQ903" s="346"/>
      <c r="AR903" s="346"/>
      <c r="AS903" s="346"/>
      <c r="AT903" s="346"/>
      <c r="AU903" s="346"/>
      <c r="AV903" s="346"/>
      <c r="AW903" s="346"/>
      <c r="AX903" s="346"/>
      <c r="AY903" s="346"/>
      <c r="AZ903" s="346"/>
      <c r="BA903" s="346"/>
      <c r="BB903" s="346"/>
      <c r="BC903" s="346"/>
      <c r="BD903" s="346"/>
      <c r="BE903" s="346"/>
      <c r="BF903" s="346"/>
      <c r="BG903" s="346"/>
      <c r="BH903" s="346"/>
      <c r="BI903" s="346"/>
      <c r="BJ903" s="346"/>
      <c r="BK903" s="346"/>
      <c r="BL903" s="346"/>
      <c r="BM903" s="346"/>
      <c r="BN903" s="346"/>
      <c r="BO903" s="346"/>
      <c r="BP903" s="346"/>
      <c r="BQ903" s="346"/>
      <c r="BR903" s="346"/>
      <c r="BS903" s="346"/>
      <c r="BT903" s="346"/>
      <c r="BU903" s="346"/>
      <c r="BV903" s="346"/>
      <c r="BW903" s="346"/>
      <c r="BX903" s="346"/>
      <c r="BY903" s="346"/>
      <c r="BZ903" s="346"/>
      <c r="CA903" s="346"/>
      <c r="CB903" s="346"/>
      <c r="CC903" s="346"/>
      <c r="CD903" s="352"/>
      <c r="CE903" s="346">
        <v>0</v>
      </c>
      <c r="CF903" s="346">
        <v>0</v>
      </c>
      <c r="CG903" s="346">
        <v>0</v>
      </c>
      <c r="CH903" s="346">
        <v>0</v>
      </c>
      <c r="CI903" s="346">
        <v>0</v>
      </c>
      <c r="CJ903" s="346">
        <v>0</v>
      </c>
      <c r="CK903" s="346">
        <v>0</v>
      </c>
      <c r="CL903" s="346">
        <v>4.1059999999999999</v>
      </c>
      <c r="CM903" s="346">
        <v>0</v>
      </c>
      <c r="CN903" s="346">
        <v>0</v>
      </c>
      <c r="CO903" s="346">
        <v>0</v>
      </c>
      <c r="CP903" s="348">
        <v>0</v>
      </c>
      <c r="CQ903" s="346">
        <v>0</v>
      </c>
      <c r="CR903" s="346">
        <v>5.9294000000000011</v>
      </c>
      <c r="CS903" s="346">
        <v>0</v>
      </c>
      <c r="CT903" s="346">
        <v>0</v>
      </c>
      <c r="CU903" s="346">
        <v>7.3429000000000002</v>
      </c>
      <c r="CV903" s="346">
        <v>0</v>
      </c>
      <c r="CW903" s="346">
        <v>0</v>
      </c>
      <c r="CX903" s="346">
        <v>7.2127999999999979</v>
      </c>
      <c r="CY903" s="346">
        <v>0</v>
      </c>
      <c r="CZ903" s="346">
        <v>0</v>
      </c>
      <c r="DA903" s="346">
        <v>2.0921000000000021</v>
      </c>
      <c r="DB903" s="1479">
        <v>0</v>
      </c>
      <c r="DC903" s="346">
        <v>0</v>
      </c>
      <c r="DD903" s="346">
        <v>5.9294000000000011</v>
      </c>
      <c r="DE903" s="346">
        <v>0</v>
      </c>
      <c r="DF903" s="346">
        <v>0</v>
      </c>
      <c r="DG903" s="346">
        <v>5.0413999999999959</v>
      </c>
      <c r="DH903" s="346">
        <v>0</v>
      </c>
      <c r="DI903" s="346">
        <v>0</v>
      </c>
      <c r="DJ903" s="346">
        <v>5.7821999999999996</v>
      </c>
      <c r="DK903" s="346">
        <v>0</v>
      </c>
      <c r="DL903" s="346">
        <v>0</v>
      </c>
      <c r="DM903" s="346">
        <v>3.4999999999999978</v>
      </c>
      <c r="DN903" s="348">
        <v>0</v>
      </c>
      <c r="DO903" s="346">
        <v>0</v>
      </c>
      <c r="DP903" s="346">
        <v>3.714100000000002</v>
      </c>
      <c r="DQ903" s="346">
        <v>-1.9230999999999909</v>
      </c>
      <c r="DR903" s="346">
        <v>0</v>
      </c>
      <c r="DS903" s="346">
        <v>3.6400000000000006</v>
      </c>
      <c r="DT903" s="346">
        <v>0</v>
      </c>
      <c r="DU903" s="346">
        <v>-7.1054273576010019E-15</v>
      </c>
      <c r="DV903" s="346">
        <v>-3.0120999999999967</v>
      </c>
      <c r="DW903" s="346">
        <v>0</v>
      </c>
      <c r="DX903" s="346">
        <v>0</v>
      </c>
      <c r="DY903" s="346">
        <v>1</v>
      </c>
      <c r="DZ903" s="348">
        <v>0</v>
      </c>
      <c r="EA903" s="346">
        <v>6.0000000000002274E-2</v>
      </c>
      <c r="EB903" s="346">
        <v>4.2972999999999999</v>
      </c>
      <c r="EC903" s="346">
        <v>0</v>
      </c>
      <c r="ED903" s="346">
        <v>0</v>
      </c>
      <c r="EE903" s="346">
        <v>2.5499999999999972</v>
      </c>
      <c r="EF903" s="346">
        <v>0</v>
      </c>
      <c r="EG903" s="346">
        <v>0</v>
      </c>
      <c r="EH903" s="346">
        <v>8.0972000000000008</v>
      </c>
      <c r="EI903" s="346">
        <v>0</v>
      </c>
      <c r="EJ903" s="346">
        <v>0</v>
      </c>
      <c r="EK903" s="346">
        <v>2.5401999999999987</v>
      </c>
      <c r="EL903" s="348">
        <v>4.1115000000000066</v>
      </c>
      <c r="EM903" s="346">
        <v>0</v>
      </c>
      <c r="EN903" s="346">
        <v>3.6910999999999916</v>
      </c>
      <c r="EO903" s="346">
        <v>4.6798000000000002</v>
      </c>
      <c r="EP903" s="346">
        <v>0</v>
      </c>
      <c r="EQ903" s="346">
        <v>-4.4913999999999987</v>
      </c>
      <c r="ER903" s="346">
        <v>0</v>
      </c>
      <c r="ES903" s="346">
        <v>5.8709999999999951</v>
      </c>
      <c r="ET903" s="346">
        <v>5.0135999999999967</v>
      </c>
      <c r="EU903" s="346">
        <v>3</v>
      </c>
      <c r="EV903" s="346">
        <v>0</v>
      </c>
      <c r="EW903" s="346">
        <v>7.1928999999999945</v>
      </c>
      <c r="EX903" s="348">
        <v>17.700000000000003</v>
      </c>
      <c r="EY903" s="346">
        <v>5.1924000000000063</v>
      </c>
      <c r="EZ903" s="346">
        <v>-0.34360000000000923</v>
      </c>
      <c r="FA903" s="346">
        <v>1.9344999999999999</v>
      </c>
      <c r="FB903" s="346">
        <v>4.4685000000000059</v>
      </c>
      <c r="FC903" s="346">
        <v>4.3576999999999941</v>
      </c>
      <c r="FD903" s="346">
        <v>4</v>
      </c>
      <c r="FE903" s="346">
        <v>5.9055999999999926</v>
      </c>
      <c r="FF903" s="346">
        <v>9.9488000000000056</v>
      </c>
      <c r="FG903" s="346">
        <v>33.699999999999989</v>
      </c>
      <c r="FH903" s="346">
        <v>9.4876999999999896</v>
      </c>
      <c r="FI903" s="346">
        <v>8.823599999999999</v>
      </c>
      <c r="FJ903" s="348">
        <v>9.8418000000000063</v>
      </c>
      <c r="FK903" s="346">
        <v>7.5446000000000026</v>
      </c>
      <c r="FL903" s="346">
        <v>18.725900000000024</v>
      </c>
      <c r="FM903" s="346">
        <v>4.2518000000000029</v>
      </c>
      <c r="FN903" s="346">
        <v>6.1599999999999966</v>
      </c>
      <c r="FO903" s="346">
        <v>9.3917999999999893</v>
      </c>
      <c r="FP903" s="346">
        <v>13.942200000000014</v>
      </c>
      <c r="FQ903" s="346">
        <v>11.723000000000013</v>
      </c>
      <c r="FR903" s="346">
        <v>8.5401200000000017</v>
      </c>
      <c r="FS903" s="346">
        <v>8.2823999999999955</v>
      </c>
      <c r="FT903" s="346">
        <v>8.9522000000000048</v>
      </c>
      <c r="FU903" s="346">
        <v>7.8444000000000074</v>
      </c>
      <c r="FV903" s="346">
        <v>16.098900000000015</v>
      </c>
      <c r="FW903" s="346">
        <v>7.7434999999999832</v>
      </c>
      <c r="FX903" s="346">
        <v>8.802265000000034</v>
      </c>
      <c r="FY903" s="346">
        <v>4.0108000000000175</v>
      </c>
      <c r="FZ903" s="346">
        <v>5.9574999999999818</v>
      </c>
      <c r="GA903" s="346">
        <v>31.492399999999975</v>
      </c>
      <c r="GB903" s="346">
        <v>9.3147000000000162</v>
      </c>
      <c r="GC903" s="346">
        <v>11.032800000000009</v>
      </c>
      <c r="GD903" s="346">
        <v>24.273799999999994</v>
      </c>
      <c r="GE903" s="346">
        <v>6.3108000000000288</v>
      </c>
      <c r="GF903" s="346">
        <v>-26.574885000000052</v>
      </c>
      <c r="GG903" s="346">
        <v>10.069999999999993</v>
      </c>
      <c r="GH903" s="346">
        <v>5.6499999999999773</v>
      </c>
      <c r="GI903" s="1897">
        <f>GI905</f>
        <v>10.470000000000027</v>
      </c>
      <c r="GJ903" s="1897">
        <f t="shared" ref="GJ903:HL903" si="1478">GJ905</f>
        <v>5.8899999999999864</v>
      </c>
      <c r="GK903" s="1897">
        <f t="shared" si="1478"/>
        <v>12.850000000000023</v>
      </c>
      <c r="GL903" s="1897">
        <f t="shared" si="1478"/>
        <v>6.3045849999999746</v>
      </c>
      <c r="GM903" s="1897">
        <f t="shared" si="1478"/>
        <v>7.1546999999999912</v>
      </c>
      <c r="GN903" s="1897">
        <f t="shared" si="1478"/>
        <v>0</v>
      </c>
      <c r="GO903" s="1897">
        <f t="shared" si="1478"/>
        <v>2.0944000000000074</v>
      </c>
      <c r="GP903" s="1897">
        <f t="shared" si="1478"/>
        <v>11</v>
      </c>
      <c r="GQ903" s="1897">
        <f t="shared" si="1478"/>
        <v>-5.6999999999999886</v>
      </c>
      <c r="GR903" s="1897">
        <f t="shared" si="1478"/>
        <v>0</v>
      </c>
      <c r="GS903" s="1897">
        <f t="shared" si="1478"/>
        <v>4.6999999999999886</v>
      </c>
      <c r="GT903" s="1897">
        <f t="shared" si="1478"/>
        <v>6</v>
      </c>
      <c r="GU903" s="1897">
        <f t="shared" si="1478"/>
        <v>3.9999149999999872</v>
      </c>
      <c r="GV903" s="1897">
        <f t="shared" si="1478"/>
        <v>3.0066850000000045</v>
      </c>
      <c r="GW903" s="1897">
        <f t="shared" si="1478"/>
        <v>0.5</v>
      </c>
      <c r="GX903" s="1897">
        <f t="shared" si="1478"/>
        <v>3.5955000000000155</v>
      </c>
      <c r="GY903" s="1897">
        <f t="shared" si="1478"/>
        <v>23.532300000000021</v>
      </c>
      <c r="GZ903" s="1897">
        <f t="shared" si="1478"/>
        <v>0</v>
      </c>
      <c r="HA903" s="1897">
        <f t="shared" si="1478"/>
        <v>1</v>
      </c>
      <c r="HB903" s="1897">
        <f t="shared" si="1478"/>
        <v>2</v>
      </c>
      <c r="HC903" s="1897">
        <f t="shared" si="1478"/>
        <v>4.0724999999999909</v>
      </c>
      <c r="HD903" s="1897">
        <f t="shared" si="1478"/>
        <v>3.0063000000000102</v>
      </c>
      <c r="HE903" s="1897">
        <f t="shared" si="1478"/>
        <v>-13.268100000000004</v>
      </c>
      <c r="HF903" s="1897">
        <f t="shared" si="1478"/>
        <v>3.2839999999999918</v>
      </c>
      <c r="HG903" s="1897">
        <f t="shared" si="1478"/>
        <v>2.2368000000000166</v>
      </c>
      <c r="HH903" s="1897">
        <f t="shared" si="1478"/>
        <v>16.987999999999943</v>
      </c>
      <c r="HI903" s="1897">
        <f t="shared" si="1478"/>
        <v>1.8578999999999724</v>
      </c>
      <c r="HJ903" s="1897">
        <f t="shared" si="1478"/>
        <v>0</v>
      </c>
      <c r="HK903" s="1897">
        <f t="shared" si="1478"/>
        <v>10.505100000000084</v>
      </c>
      <c r="HL903" s="1897">
        <f t="shared" si="1478"/>
        <v>0.92319999999995161</v>
      </c>
      <c r="HM903" s="1897"/>
      <c r="HN903" s="349"/>
      <c r="HO903" s="360" t="s">
        <v>606</v>
      </c>
      <c r="HP903" s="307">
        <f>SUM(CE903:CJ903)</f>
        <v>0</v>
      </c>
      <c r="HQ903" s="302">
        <f>SUM(CK903:CP903)</f>
        <v>4.1059999999999999</v>
      </c>
      <c r="HR903" s="346">
        <f>HP903+HQ903</f>
        <v>4.1059999999999999</v>
      </c>
      <c r="HS903" s="302">
        <f>SUM(CQ903:CV903)</f>
        <v>13.272300000000001</v>
      </c>
      <c r="HT903" s="302">
        <f>SUM(CW903:DB903)</f>
        <v>9.3048999999999999</v>
      </c>
      <c r="HU903" s="346">
        <f>HS903+HT903</f>
        <v>22.577200000000001</v>
      </c>
      <c r="HV903" s="307">
        <f>SUM(DC903:DH903)</f>
        <v>10.970799999999997</v>
      </c>
      <c r="HW903" s="302">
        <f>SUM(DI903:DN903)</f>
        <v>9.2821999999999978</v>
      </c>
      <c r="HX903" s="346">
        <f>HV903+HW903</f>
        <v>20.252999999999993</v>
      </c>
      <c r="HY903" s="350">
        <f>SUM(DO903:DT903)</f>
        <v>5.4310000000000116</v>
      </c>
      <c r="HZ903" s="302">
        <f>SUM(DU903:DZ903)</f>
        <v>-2.0121000000000038</v>
      </c>
      <c r="IA903" s="346">
        <f>HY903+HZ903</f>
        <v>3.4189000000000078</v>
      </c>
      <c r="IB903" s="302">
        <f>SUM(EA903:EF903)</f>
        <v>6.9072999999999993</v>
      </c>
      <c r="IC903" s="302">
        <f>SUM(EG903:EL903)</f>
        <v>14.748900000000006</v>
      </c>
      <c r="ID903" s="346">
        <f>IB903+IC903</f>
        <v>21.656200000000005</v>
      </c>
      <c r="IE903" s="350">
        <f>SUM(EM903:ER903)</f>
        <v>3.8794999999999931</v>
      </c>
      <c r="IF903" s="350">
        <f>SUM(ES903:EX903)</f>
        <v>38.777499999999989</v>
      </c>
      <c r="IG903" s="346">
        <f>IE903+IF903</f>
        <v>42.656999999999982</v>
      </c>
      <c r="IH903" s="350">
        <f>SUM(EY903:FD903)</f>
        <v>19.609499999999997</v>
      </c>
      <c r="II903" s="350">
        <f>SUM(FE903:FJ903)</f>
        <v>77.707499999999982</v>
      </c>
      <c r="IJ903" s="346">
        <f t="shared" si="1463"/>
        <v>97.316999999999979</v>
      </c>
      <c r="IK903" s="350">
        <v>0</v>
      </c>
      <c r="IL903" s="350">
        <f>SUM(FQ903:FV903)</f>
        <v>61.441020000000037</v>
      </c>
      <c r="IM903" s="346">
        <f>IK903+IL903</f>
        <v>61.441020000000037</v>
      </c>
      <c r="IN903" s="350">
        <f t="shared" si="1438"/>
        <v>67.321165000000008</v>
      </c>
      <c r="IO903" s="350">
        <f t="shared" si="1439"/>
        <v>30.762514999999951</v>
      </c>
      <c r="IP903" s="346">
        <f t="shared" si="1443"/>
        <v>98.083679999999958</v>
      </c>
      <c r="IQ903" s="350">
        <f t="shared" si="1440"/>
        <v>42.669285000000002</v>
      </c>
      <c r="IR903" s="350">
        <f t="shared" si="1441"/>
        <v>18.094400000000007</v>
      </c>
      <c r="IS903" s="346">
        <f t="shared" si="1410"/>
        <v>60.763685000000009</v>
      </c>
      <c r="IT903" s="350">
        <f>IT904+IT905</f>
        <v>34.634400000000028</v>
      </c>
      <c r="IU903" s="350">
        <f>IU904+IU905</f>
        <v>9.4699999999988904E-2</v>
      </c>
      <c r="IV903" s="346">
        <f t="shared" si="1409"/>
        <v>34.729100000000017</v>
      </c>
      <c r="IW903" s="350">
        <f t="shared" si="1428"/>
        <v>32.510999999999967</v>
      </c>
      <c r="IX903" s="350">
        <f t="shared" si="1426"/>
        <v>-34.951447616981334</v>
      </c>
      <c r="IY903" s="346">
        <f>FISC!AJ1224</f>
        <v>-2.440447616981368</v>
      </c>
      <c r="IZ903" s="350">
        <f>IZ904+IZ905</f>
        <v>-1.1375071378829569</v>
      </c>
      <c r="JA903" s="350">
        <f>JA904+JA905</f>
        <v>-1.1375071378829569</v>
      </c>
      <c r="JB903" s="346">
        <f>FISC!AK1224</f>
        <v>-2.2750142757659138</v>
      </c>
      <c r="JC903" s="350">
        <f>JC904+JC905</f>
        <v>-10.533585399013504</v>
      </c>
      <c r="JD903" s="350">
        <f>JD904+JD905</f>
        <v>-10.533585399013504</v>
      </c>
      <c r="JE903" s="346">
        <f>FISC!AL1224</f>
        <v>-21.067170798027007</v>
      </c>
      <c r="JF903" s="350">
        <f>JF904+JF905</f>
        <v>13.719079361928841</v>
      </c>
      <c r="JG903" s="350">
        <f>JG904+JG905</f>
        <v>13.719079361928841</v>
      </c>
      <c r="JH903" s="346">
        <f>FISC!AM1224</f>
        <v>27.438158723857683</v>
      </c>
      <c r="JI903" s="350">
        <f>JI904+JI905</f>
        <v>34.409647508048025</v>
      </c>
      <c r="JJ903" s="350">
        <f>JJ904+JJ905</f>
        <v>34.409647508048025</v>
      </c>
      <c r="JK903" s="346">
        <f>FISC!AN1224</f>
        <v>68.819295016096049</v>
      </c>
      <c r="JL903" s="350">
        <f>JL904+JL905</f>
        <v>97.721856613624539</v>
      </c>
      <c r="JM903" s="350">
        <f>JM904+JM905</f>
        <v>97.721856613624539</v>
      </c>
      <c r="JN903" s="346">
        <f>FISC!AO1224</f>
        <v>195.44371322724908</v>
      </c>
      <c r="KI903" s="349"/>
      <c r="KJ903" s="350"/>
    </row>
    <row r="904" spans="1:302" hidden="1" outlineLevel="1">
      <c r="A904" s="302"/>
      <c r="D904" s="1689" t="s">
        <v>3232</v>
      </c>
      <c r="E904" s="346"/>
      <c r="F904" s="346"/>
      <c r="G904" s="346"/>
      <c r="H904" s="346"/>
      <c r="I904" s="346"/>
      <c r="J904" s="346"/>
      <c r="K904" s="346"/>
      <c r="L904" s="346"/>
      <c r="M904" s="346"/>
      <c r="N904" s="346"/>
      <c r="O904" s="346"/>
      <c r="P904" s="346"/>
      <c r="Q904" s="346"/>
      <c r="R904" s="346"/>
      <c r="S904" s="346"/>
      <c r="T904" s="346"/>
      <c r="U904" s="346"/>
      <c r="V904" s="346"/>
      <c r="W904" s="346"/>
      <c r="X904" s="346"/>
      <c r="Y904" s="346"/>
      <c r="Z904" s="346"/>
      <c r="AA904" s="346"/>
      <c r="AB904" s="346"/>
      <c r="AC904" s="346"/>
      <c r="AD904" s="346"/>
      <c r="AE904" s="346"/>
      <c r="AF904" s="346"/>
      <c r="AG904" s="346"/>
      <c r="AH904" s="346"/>
      <c r="AI904" s="346"/>
      <c r="AJ904" s="346"/>
      <c r="AK904" s="346"/>
      <c r="AL904" s="346"/>
      <c r="AM904" s="346"/>
      <c r="AN904" s="346"/>
      <c r="AO904" s="346"/>
      <c r="AP904" s="346"/>
      <c r="AQ904" s="346"/>
      <c r="AR904" s="346"/>
      <c r="AS904" s="346"/>
      <c r="AT904" s="346"/>
      <c r="AU904" s="346"/>
      <c r="AV904" s="346"/>
      <c r="AW904" s="346"/>
      <c r="AX904" s="346"/>
      <c r="AY904" s="346"/>
      <c r="AZ904" s="346"/>
      <c r="BA904" s="346"/>
      <c r="BB904" s="346"/>
      <c r="BC904" s="346"/>
      <c r="BD904" s="346"/>
      <c r="BE904" s="346"/>
      <c r="BF904" s="346"/>
      <c r="BG904" s="346"/>
      <c r="BH904" s="346"/>
      <c r="BI904" s="346"/>
      <c r="BJ904" s="346"/>
      <c r="BK904" s="346"/>
      <c r="BL904" s="346"/>
      <c r="BM904" s="346"/>
      <c r="BN904" s="346"/>
      <c r="BO904" s="346"/>
      <c r="BP904" s="346"/>
      <c r="BQ904" s="346"/>
      <c r="BR904" s="346"/>
      <c r="BS904" s="346"/>
      <c r="BT904" s="346"/>
      <c r="BU904" s="346"/>
      <c r="BV904" s="346"/>
      <c r="BW904" s="346"/>
      <c r="BX904" s="346"/>
      <c r="BY904" s="346"/>
      <c r="BZ904" s="346"/>
      <c r="CA904" s="346"/>
      <c r="CB904" s="346"/>
      <c r="CC904" s="346"/>
      <c r="CD904" s="352"/>
      <c r="CE904" s="346"/>
      <c r="CF904" s="346"/>
      <c r="CG904" s="346"/>
      <c r="CH904" s="346"/>
      <c r="CI904" s="346"/>
      <c r="CJ904" s="346"/>
      <c r="CK904" s="346"/>
      <c r="CL904" s="346"/>
      <c r="CM904" s="346"/>
      <c r="CN904" s="346"/>
      <c r="CO904" s="346"/>
      <c r="CP904" s="348"/>
      <c r="CQ904" s="346"/>
      <c r="CR904" s="346"/>
      <c r="CS904" s="346"/>
      <c r="CT904" s="346"/>
      <c r="CU904" s="346"/>
      <c r="CV904" s="346"/>
      <c r="CW904" s="346"/>
      <c r="CX904" s="346"/>
      <c r="CY904" s="346"/>
      <c r="CZ904" s="346"/>
      <c r="DA904" s="346"/>
      <c r="DB904" s="1479"/>
      <c r="DC904" s="346"/>
      <c r="DD904" s="346"/>
      <c r="DE904" s="346"/>
      <c r="DF904" s="346"/>
      <c r="DG904" s="346"/>
      <c r="DH904" s="346"/>
      <c r="DI904" s="346"/>
      <c r="DJ904" s="346"/>
      <c r="DK904" s="346"/>
      <c r="DL904" s="346"/>
      <c r="DM904" s="346"/>
      <c r="DN904" s="348"/>
      <c r="DO904" s="346"/>
      <c r="DP904" s="346"/>
      <c r="DQ904" s="346"/>
      <c r="DR904" s="346"/>
      <c r="DS904" s="346"/>
      <c r="DT904" s="346"/>
      <c r="DU904" s="346"/>
      <c r="DV904" s="346"/>
      <c r="DW904" s="346"/>
      <c r="DX904" s="346"/>
      <c r="DY904" s="346"/>
      <c r="DZ904" s="348"/>
      <c r="EA904" s="346"/>
      <c r="EB904" s="346"/>
      <c r="EC904" s="346"/>
      <c r="ED904" s="346"/>
      <c r="EE904" s="346"/>
      <c r="EF904" s="346"/>
      <c r="EG904" s="346"/>
      <c r="EH904" s="346"/>
      <c r="EI904" s="346"/>
      <c r="EJ904" s="346"/>
      <c r="EK904" s="346"/>
      <c r="EL904" s="348"/>
      <c r="EM904" s="346"/>
      <c r="EN904" s="346"/>
      <c r="EO904" s="346"/>
      <c r="EP904" s="346"/>
      <c r="EQ904" s="346"/>
      <c r="ER904" s="346"/>
      <c r="ES904" s="346"/>
      <c r="ET904" s="346"/>
      <c r="EU904" s="346"/>
      <c r="EV904" s="346"/>
      <c r="EW904" s="346"/>
      <c r="EX904" s="348"/>
      <c r="EY904" s="346"/>
      <c r="EZ904" s="346"/>
      <c r="FA904" s="346"/>
      <c r="FB904" s="346"/>
      <c r="FC904" s="346"/>
      <c r="FD904" s="346"/>
      <c r="FE904" s="346"/>
      <c r="FF904" s="346"/>
      <c r="FG904" s="346"/>
      <c r="FH904" s="346"/>
      <c r="FI904" s="346"/>
      <c r="FJ904" s="348"/>
      <c r="FK904" s="346"/>
      <c r="FL904" s="346"/>
      <c r="FM904" s="346"/>
      <c r="FN904" s="346"/>
      <c r="FO904" s="346"/>
      <c r="FP904" s="346"/>
      <c r="FQ904" s="346"/>
      <c r="FR904" s="346"/>
      <c r="FS904" s="346"/>
      <c r="FT904" s="346"/>
      <c r="FU904" s="346"/>
      <c r="FV904" s="346"/>
      <c r="FW904" s="346">
        <v>0</v>
      </c>
      <c r="FX904" s="346">
        <v>0</v>
      </c>
      <c r="FY904" s="346">
        <v>0</v>
      </c>
      <c r="FZ904" s="346">
        <v>0</v>
      </c>
      <c r="GA904" s="346">
        <v>0</v>
      </c>
      <c r="GB904" s="346">
        <v>0</v>
      </c>
      <c r="GC904" s="346">
        <v>0</v>
      </c>
      <c r="GD904" s="346">
        <v>0</v>
      </c>
      <c r="GE904" s="346">
        <v>0</v>
      </c>
      <c r="GF904" s="346">
        <v>0</v>
      </c>
      <c r="GG904" s="346">
        <v>0</v>
      </c>
      <c r="GH904" s="346">
        <v>0</v>
      </c>
      <c r="GI904" s="1897"/>
      <c r="GJ904" s="1897"/>
      <c r="GK904" s="1897"/>
      <c r="GL904" s="1897"/>
      <c r="GM904" s="1897"/>
      <c r="GN904" s="1897"/>
      <c r="HN904" s="349"/>
      <c r="HO904" s="1689" t="s">
        <v>3232</v>
      </c>
      <c r="HP904" s="307"/>
      <c r="HR904" s="346"/>
      <c r="HU904" s="346"/>
      <c r="HV904" s="307"/>
      <c r="HX904" s="346"/>
      <c r="HY904" s="350"/>
      <c r="IA904" s="346"/>
      <c r="ID904" s="346"/>
      <c r="IE904" s="350"/>
      <c r="IF904" s="350"/>
      <c r="IG904" s="346"/>
      <c r="IH904" s="350"/>
      <c r="II904" s="350"/>
      <c r="IJ904" s="346">
        <f t="shared" si="1463"/>
        <v>0</v>
      </c>
      <c r="IK904" s="350"/>
      <c r="IL904" s="350">
        <f>SUM(FQ904:FV904)</f>
        <v>0</v>
      </c>
      <c r="IM904" s="346">
        <f t="shared" si="1430"/>
        <v>0</v>
      </c>
      <c r="IN904" s="350">
        <f t="shared" si="1438"/>
        <v>0</v>
      </c>
      <c r="IO904" s="350">
        <f t="shared" si="1439"/>
        <v>0</v>
      </c>
      <c r="IP904" s="346">
        <f t="shared" si="1443"/>
        <v>0</v>
      </c>
      <c r="IQ904" s="350">
        <f t="shared" si="1440"/>
        <v>0</v>
      </c>
      <c r="IR904" s="350">
        <f t="shared" si="1441"/>
        <v>0</v>
      </c>
      <c r="IS904" s="346">
        <f t="shared" si="1410"/>
        <v>0</v>
      </c>
      <c r="IT904" s="350">
        <v>0</v>
      </c>
      <c r="IU904" s="350">
        <v>0</v>
      </c>
      <c r="IV904" s="346">
        <f t="shared" si="1409"/>
        <v>0</v>
      </c>
      <c r="IW904" s="350">
        <f t="shared" si="1428"/>
        <v>0</v>
      </c>
      <c r="IX904" s="350">
        <f t="shared" si="1426"/>
        <v>0</v>
      </c>
      <c r="IY904" s="346">
        <f>FISC!AJ1225</f>
        <v>0</v>
      </c>
      <c r="IZ904" s="350">
        <f>JB904/2</f>
        <v>0</v>
      </c>
      <c r="JA904" s="350">
        <f>JB904/2</f>
        <v>0</v>
      </c>
      <c r="JB904" s="346">
        <f>FISC!AK1225</f>
        <v>0</v>
      </c>
      <c r="JC904" s="350">
        <f>JE904/2</f>
        <v>0</v>
      </c>
      <c r="JD904" s="350">
        <f>JE904/2</f>
        <v>0</v>
      </c>
      <c r="JE904" s="346">
        <f>FISC!AL1225</f>
        <v>0</v>
      </c>
      <c r="JF904" s="350">
        <f>JH904/2</f>
        <v>0</v>
      </c>
      <c r="JG904" s="350">
        <f>JH904/2</f>
        <v>0</v>
      </c>
      <c r="JH904" s="346">
        <f>FISC!AM1225</f>
        <v>0</v>
      </c>
      <c r="JI904" s="350">
        <f>JK904/2</f>
        <v>0</v>
      </c>
      <c r="JJ904" s="350">
        <f>JK904/2</f>
        <v>0</v>
      </c>
      <c r="JK904" s="346">
        <f>FISC!AN1225</f>
        <v>0</v>
      </c>
      <c r="JL904" s="350">
        <f>JN904/2</f>
        <v>0</v>
      </c>
      <c r="JM904" s="350">
        <f>JN904/2</f>
        <v>0</v>
      </c>
      <c r="JN904" s="346">
        <f>FISC!AO1225</f>
        <v>0</v>
      </c>
      <c r="KI904" s="349"/>
      <c r="KJ904" s="350"/>
    </row>
    <row r="905" spans="1:302" hidden="1" outlineLevel="1">
      <c r="A905" s="302"/>
      <c r="D905" s="1689" t="s">
        <v>3233</v>
      </c>
      <c r="E905" s="346"/>
      <c r="F905" s="346"/>
      <c r="G905" s="346"/>
      <c r="H905" s="346"/>
      <c r="I905" s="346"/>
      <c r="J905" s="346"/>
      <c r="K905" s="346"/>
      <c r="L905" s="346"/>
      <c r="M905" s="346"/>
      <c r="N905" s="346"/>
      <c r="O905" s="346"/>
      <c r="P905" s="346"/>
      <c r="Q905" s="346"/>
      <c r="R905" s="346"/>
      <c r="S905" s="346"/>
      <c r="T905" s="346"/>
      <c r="U905" s="346"/>
      <c r="V905" s="346"/>
      <c r="W905" s="346"/>
      <c r="X905" s="346"/>
      <c r="Y905" s="346"/>
      <c r="Z905" s="346"/>
      <c r="AA905" s="346"/>
      <c r="AB905" s="346"/>
      <c r="AC905" s="346"/>
      <c r="AD905" s="346"/>
      <c r="AE905" s="346"/>
      <c r="AF905" s="346"/>
      <c r="AG905" s="346"/>
      <c r="AH905" s="346"/>
      <c r="AI905" s="346"/>
      <c r="AJ905" s="346"/>
      <c r="AK905" s="346"/>
      <c r="AL905" s="346"/>
      <c r="AM905" s="346"/>
      <c r="AN905" s="346"/>
      <c r="AO905" s="346"/>
      <c r="AP905" s="346"/>
      <c r="AQ905" s="346"/>
      <c r="AR905" s="346"/>
      <c r="AS905" s="346"/>
      <c r="AT905" s="346"/>
      <c r="AU905" s="346"/>
      <c r="AV905" s="346"/>
      <c r="AW905" s="346"/>
      <c r="AX905" s="346"/>
      <c r="AY905" s="346"/>
      <c r="AZ905" s="346"/>
      <c r="BA905" s="346"/>
      <c r="BB905" s="346"/>
      <c r="BC905" s="346"/>
      <c r="BD905" s="346"/>
      <c r="BE905" s="346"/>
      <c r="BF905" s="346"/>
      <c r="BG905" s="346"/>
      <c r="BH905" s="346"/>
      <c r="BI905" s="346"/>
      <c r="BJ905" s="346"/>
      <c r="BK905" s="346"/>
      <c r="BL905" s="346"/>
      <c r="BM905" s="346"/>
      <c r="BN905" s="346"/>
      <c r="BO905" s="346"/>
      <c r="BP905" s="346"/>
      <c r="BQ905" s="346"/>
      <c r="BR905" s="346"/>
      <c r="BS905" s="346"/>
      <c r="BT905" s="346"/>
      <c r="BU905" s="346"/>
      <c r="BV905" s="346"/>
      <c r="BW905" s="346"/>
      <c r="BX905" s="346"/>
      <c r="BY905" s="346"/>
      <c r="BZ905" s="346"/>
      <c r="CA905" s="346"/>
      <c r="CB905" s="346"/>
      <c r="CC905" s="346"/>
      <c r="CD905" s="352"/>
      <c r="CE905" s="346"/>
      <c r="CF905" s="346"/>
      <c r="CG905" s="346"/>
      <c r="CH905" s="346"/>
      <c r="CI905" s="346"/>
      <c r="CJ905" s="346"/>
      <c r="CK905" s="346"/>
      <c r="CL905" s="346"/>
      <c r="CM905" s="346"/>
      <c r="CN905" s="346"/>
      <c r="CO905" s="346"/>
      <c r="CP905" s="348"/>
      <c r="CQ905" s="346"/>
      <c r="CR905" s="346"/>
      <c r="CS905" s="346"/>
      <c r="CT905" s="346"/>
      <c r="CU905" s="346"/>
      <c r="CV905" s="346"/>
      <c r="CW905" s="346"/>
      <c r="CX905" s="346"/>
      <c r="CY905" s="346"/>
      <c r="CZ905" s="346"/>
      <c r="DA905" s="346"/>
      <c r="DB905" s="1479"/>
      <c r="DC905" s="346"/>
      <c r="DD905" s="346"/>
      <c r="DE905" s="346"/>
      <c r="DF905" s="346"/>
      <c r="DG905" s="346"/>
      <c r="DH905" s="346"/>
      <c r="DI905" s="346"/>
      <c r="DJ905" s="346"/>
      <c r="DK905" s="346"/>
      <c r="DL905" s="346"/>
      <c r="DM905" s="346"/>
      <c r="DN905" s="348"/>
      <c r="DO905" s="346"/>
      <c r="DP905" s="346"/>
      <c r="DQ905" s="346"/>
      <c r="DR905" s="346"/>
      <c r="DS905" s="346"/>
      <c r="DT905" s="346"/>
      <c r="DU905" s="346"/>
      <c r="DV905" s="346"/>
      <c r="DW905" s="346"/>
      <c r="DX905" s="346"/>
      <c r="DY905" s="346"/>
      <c r="DZ905" s="348"/>
      <c r="EA905" s="346"/>
      <c r="EB905" s="346"/>
      <c r="EC905" s="346"/>
      <c r="ED905" s="346"/>
      <c r="EE905" s="346"/>
      <c r="EF905" s="346"/>
      <c r="EG905" s="346"/>
      <c r="EH905" s="346"/>
      <c r="EI905" s="346"/>
      <c r="EJ905" s="346"/>
      <c r="EK905" s="346"/>
      <c r="EL905" s="348"/>
      <c r="EM905" s="346"/>
      <c r="EN905" s="346"/>
      <c r="EO905" s="346"/>
      <c r="EP905" s="346"/>
      <c r="EQ905" s="346"/>
      <c r="ER905" s="346"/>
      <c r="ES905" s="346"/>
      <c r="ET905" s="346"/>
      <c r="EU905" s="346"/>
      <c r="EV905" s="346"/>
      <c r="EW905" s="346"/>
      <c r="EX905" s="348"/>
      <c r="EY905" s="346"/>
      <c r="EZ905" s="346"/>
      <c r="FA905" s="346"/>
      <c r="FB905" s="346"/>
      <c r="FC905" s="346"/>
      <c r="FD905" s="346"/>
      <c r="FE905" s="346"/>
      <c r="FF905" s="346"/>
      <c r="FG905" s="346"/>
      <c r="FH905" s="346"/>
      <c r="FI905" s="346"/>
      <c r="FJ905" s="348"/>
      <c r="FK905" s="346"/>
      <c r="FL905" s="346"/>
      <c r="FM905" s="346"/>
      <c r="FN905" s="346"/>
      <c r="FO905" s="346"/>
      <c r="FP905" s="346"/>
      <c r="FQ905" s="346"/>
      <c r="FR905" s="346"/>
      <c r="FS905" s="346"/>
      <c r="FT905" s="346"/>
      <c r="FU905" s="346"/>
      <c r="FV905" s="346"/>
      <c r="FW905" s="346">
        <v>7.7434999999999832</v>
      </c>
      <c r="FX905" s="346">
        <v>8.802265000000034</v>
      </c>
      <c r="FY905" s="346">
        <v>4.0108000000000175</v>
      </c>
      <c r="FZ905" s="346">
        <v>5.9574999999999818</v>
      </c>
      <c r="GA905" s="346">
        <v>31.492399999999975</v>
      </c>
      <c r="GB905" s="346">
        <v>9.3147000000000162</v>
      </c>
      <c r="GC905" s="346">
        <v>11.032800000000009</v>
      </c>
      <c r="GD905" s="346">
        <v>24.273799999999994</v>
      </c>
      <c r="GE905" s="346">
        <v>6.3108000000000288</v>
      </c>
      <c r="GF905" s="346">
        <v>-26.574885000000052</v>
      </c>
      <c r="GG905" s="346">
        <v>10.069999999999993</v>
      </c>
      <c r="GH905" s="346">
        <v>5.6499999999999773</v>
      </c>
      <c r="GI905" s="1897">
        <v>10.470000000000027</v>
      </c>
      <c r="GJ905" s="1897">
        <v>5.8899999999999864</v>
      </c>
      <c r="GK905" s="1897">
        <v>12.850000000000023</v>
      </c>
      <c r="GL905" s="1897">
        <v>6.3045849999999746</v>
      </c>
      <c r="GM905" s="1897">
        <v>7.1546999999999912</v>
      </c>
      <c r="GN905" s="1897">
        <v>0</v>
      </c>
      <c r="GO905" s="1897">
        <v>2.0944000000000074</v>
      </c>
      <c r="GP905" s="378">
        <v>11</v>
      </c>
      <c r="GQ905" s="378">
        <v>-5.6999999999999886</v>
      </c>
      <c r="GR905" s="378">
        <v>0</v>
      </c>
      <c r="GS905" s="378">
        <v>4.6999999999999886</v>
      </c>
      <c r="GT905" s="378">
        <v>6</v>
      </c>
      <c r="GU905" s="1901">
        <v>3.9999149999999872</v>
      </c>
      <c r="GV905" s="1901">
        <v>3.0066850000000045</v>
      </c>
      <c r="GW905" s="1901">
        <v>0.5</v>
      </c>
      <c r="GX905" s="1901">
        <v>3.5955000000000155</v>
      </c>
      <c r="GY905" s="1901">
        <v>23.532300000000021</v>
      </c>
      <c r="GZ905" s="1901">
        <v>0</v>
      </c>
      <c r="HA905" s="1901">
        <v>1</v>
      </c>
      <c r="HB905" s="1901">
        <v>2</v>
      </c>
      <c r="HC905" s="1901">
        <v>4.0724999999999909</v>
      </c>
      <c r="HD905" s="1901">
        <v>3.0063000000000102</v>
      </c>
      <c r="HE905" s="1901">
        <v>-13.268100000000004</v>
      </c>
      <c r="HF905" s="1901">
        <v>3.2839999999999918</v>
      </c>
      <c r="HG905" s="1901">
        <v>2.2368000000000166</v>
      </c>
      <c r="HH905" s="1901">
        <v>16.987999999999943</v>
      </c>
      <c r="HI905" s="1901">
        <v>1.8578999999999724</v>
      </c>
      <c r="HJ905" s="1901">
        <v>0</v>
      </c>
      <c r="HK905" s="1901">
        <v>10.505100000000084</v>
      </c>
      <c r="HL905" s="1901">
        <v>0.92319999999995161</v>
      </c>
      <c r="HM905" s="1901"/>
      <c r="HN905" s="349"/>
      <c r="HO905" s="1689" t="s">
        <v>3233</v>
      </c>
      <c r="HP905" s="307"/>
      <c r="HR905" s="346"/>
      <c r="HU905" s="346"/>
      <c r="HV905" s="307"/>
      <c r="HX905" s="346"/>
      <c r="HY905" s="350"/>
      <c r="IA905" s="346"/>
      <c r="ID905" s="346"/>
      <c r="IE905" s="350"/>
      <c r="IF905" s="350"/>
      <c r="IG905" s="346"/>
      <c r="IH905" s="350"/>
      <c r="II905" s="350"/>
      <c r="IJ905" s="346">
        <f t="shared" si="1463"/>
        <v>0</v>
      </c>
      <c r="IK905" s="350"/>
      <c r="IL905" s="350">
        <f>IL903</f>
        <v>61.441020000000037</v>
      </c>
      <c r="IM905" s="346">
        <f t="shared" si="1430"/>
        <v>61.441020000000037</v>
      </c>
      <c r="IN905" s="350">
        <f t="shared" si="1438"/>
        <v>67.321165000000008</v>
      </c>
      <c r="IO905" s="350">
        <f t="shared" si="1439"/>
        <v>30.762514999999951</v>
      </c>
      <c r="IP905" s="346">
        <f t="shared" si="1443"/>
        <v>98.083679999999958</v>
      </c>
      <c r="IQ905" s="350">
        <f t="shared" si="1440"/>
        <v>42.669285000000002</v>
      </c>
      <c r="IR905" s="350">
        <f t="shared" si="1441"/>
        <v>18.094400000000007</v>
      </c>
      <c r="IS905" s="346">
        <f t="shared" si="1410"/>
        <v>60.763685000000009</v>
      </c>
      <c r="IT905" s="350">
        <f>SUM(GU905:GZ905)</f>
        <v>34.634400000000028</v>
      </c>
      <c r="IU905" s="350">
        <f t="shared" ref="IU905:IU908" si="1479">SUM(HA905:HF905)</f>
        <v>9.4699999999988904E-2</v>
      </c>
      <c r="IV905" s="346">
        <f t="shared" si="1409"/>
        <v>34.729100000000017</v>
      </c>
      <c r="IW905" s="350">
        <f t="shared" si="1428"/>
        <v>32.510999999999967</v>
      </c>
      <c r="IX905" s="350">
        <f t="shared" si="1426"/>
        <v>-34.951447616981334</v>
      </c>
      <c r="IY905" s="346">
        <f>FISC!AJ1226</f>
        <v>-2.440447616981368</v>
      </c>
      <c r="IZ905" s="350">
        <f>JB905/2</f>
        <v>-1.1375071378829569</v>
      </c>
      <c r="JA905" s="350">
        <f>JB905/2</f>
        <v>-1.1375071378829569</v>
      </c>
      <c r="JB905" s="346">
        <f>FISC!AK1226</f>
        <v>-2.2750142757659138</v>
      </c>
      <c r="JC905" s="350">
        <f>JE905/2</f>
        <v>-10.533585399013504</v>
      </c>
      <c r="JD905" s="350">
        <f>JE905/2</f>
        <v>-10.533585399013504</v>
      </c>
      <c r="JE905" s="346">
        <f>FISC!AL1226</f>
        <v>-21.067170798027007</v>
      </c>
      <c r="JF905" s="350">
        <f>JH905/2</f>
        <v>13.719079361928841</v>
      </c>
      <c r="JG905" s="350">
        <f>JH905/2</f>
        <v>13.719079361928841</v>
      </c>
      <c r="JH905" s="346">
        <f>FISC!AM1226</f>
        <v>27.438158723857683</v>
      </c>
      <c r="JI905" s="350">
        <f>JK905/2</f>
        <v>34.409647508048025</v>
      </c>
      <c r="JJ905" s="350">
        <f>JK905/2</f>
        <v>34.409647508048025</v>
      </c>
      <c r="JK905" s="346">
        <f>FISC!AN1226</f>
        <v>68.819295016096049</v>
      </c>
      <c r="JL905" s="350">
        <f>JN905/2</f>
        <v>97.721856613624539</v>
      </c>
      <c r="JM905" s="350">
        <f>JN905/2</f>
        <v>97.721856613624539</v>
      </c>
      <c r="JN905" s="346">
        <f>FISC!AO1226</f>
        <v>195.44371322724908</v>
      </c>
      <c r="KI905" s="349"/>
      <c r="KJ905" s="350"/>
    </row>
    <row r="906" spans="1:302" hidden="1" outlineLevel="1">
      <c r="A906" s="302"/>
      <c r="B906" s="117" t="s">
        <v>361</v>
      </c>
      <c r="D906" s="358" t="s">
        <v>607</v>
      </c>
      <c r="E906" s="346"/>
      <c r="F906" s="346"/>
      <c r="G906" s="346"/>
      <c r="H906" s="346"/>
      <c r="I906" s="346"/>
      <c r="J906" s="346"/>
      <c r="K906" s="346"/>
      <c r="L906" s="346"/>
      <c r="M906" s="346"/>
      <c r="N906" s="346"/>
      <c r="O906" s="346"/>
      <c r="P906" s="346"/>
      <c r="Q906" s="346"/>
      <c r="R906" s="346"/>
      <c r="S906" s="346"/>
      <c r="T906" s="346"/>
      <c r="U906" s="346"/>
      <c r="V906" s="346"/>
      <c r="W906" s="346"/>
      <c r="X906" s="346"/>
      <c r="Y906" s="346"/>
      <c r="Z906" s="346"/>
      <c r="AA906" s="346"/>
      <c r="AB906" s="346"/>
      <c r="AC906" s="346"/>
      <c r="AD906" s="346"/>
      <c r="AE906" s="346"/>
      <c r="AF906" s="346"/>
      <c r="AG906" s="346"/>
      <c r="AH906" s="346"/>
      <c r="AI906" s="346"/>
      <c r="AJ906" s="346"/>
      <c r="AK906" s="346"/>
      <c r="AL906" s="346"/>
      <c r="AM906" s="346"/>
      <c r="AN906" s="346"/>
      <c r="AO906" s="346"/>
      <c r="AP906" s="346"/>
      <c r="AQ906" s="346"/>
      <c r="AR906" s="346"/>
      <c r="AS906" s="346"/>
      <c r="AT906" s="346"/>
      <c r="AU906" s="346"/>
      <c r="AV906" s="346"/>
      <c r="AW906" s="346"/>
      <c r="AX906" s="346"/>
      <c r="AY906" s="346"/>
      <c r="AZ906" s="346"/>
      <c r="BA906" s="346"/>
      <c r="BB906" s="346"/>
      <c r="BC906" s="346"/>
      <c r="BD906" s="346"/>
      <c r="BE906" s="346"/>
      <c r="BF906" s="346"/>
      <c r="BG906" s="346"/>
      <c r="BH906" s="346"/>
      <c r="BI906" s="346"/>
      <c r="BJ906" s="346"/>
      <c r="BK906" s="346"/>
      <c r="BL906" s="346"/>
      <c r="BM906" s="346"/>
      <c r="BN906" s="346"/>
      <c r="BO906" s="346"/>
      <c r="BP906" s="346"/>
      <c r="BQ906" s="346"/>
      <c r="BR906" s="346"/>
      <c r="BS906" s="346"/>
      <c r="BT906" s="346"/>
      <c r="BU906" s="346"/>
      <c r="BV906" s="346"/>
      <c r="BW906" s="346"/>
      <c r="BX906" s="346"/>
      <c r="BY906" s="346"/>
      <c r="BZ906" s="346"/>
      <c r="CA906" s="346"/>
      <c r="CB906" s="346"/>
      <c r="CC906" s="346"/>
      <c r="CD906" s="352">
        <f>SUM(CD907:CD908)</f>
        <v>0</v>
      </c>
      <c r="CE906" s="346">
        <f t="shared" ref="CE906:EP906" si="1480">SUM(CE907:CE908)</f>
        <v>-7.6275000000000261</v>
      </c>
      <c r="CF906" s="346">
        <f t="shared" si="1480"/>
        <v>-11.176000000000002</v>
      </c>
      <c r="CG906" s="346">
        <f t="shared" si="1480"/>
        <v>6.1718000000000011</v>
      </c>
      <c r="CH906" s="346">
        <f t="shared" si="1480"/>
        <v>-12.2028</v>
      </c>
      <c r="CI906" s="346">
        <f t="shared" si="1480"/>
        <v>-3.7353000000000023</v>
      </c>
      <c r="CJ906" s="346">
        <f t="shared" si="1480"/>
        <v>-3.6592999999999982</v>
      </c>
      <c r="CK906" s="346">
        <f t="shared" si="1480"/>
        <v>1.0833999999999993</v>
      </c>
      <c r="CL906" s="346">
        <f t="shared" si="1480"/>
        <v>6.5064000000000011</v>
      </c>
      <c r="CM906" s="346">
        <f t="shared" si="1480"/>
        <v>-3.5635999999999992</v>
      </c>
      <c r="CN906" s="346">
        <f t="shared" si="1480"/>
        <v>0</v>
      </c>
      <c r="CO906" s="346">
        <f t="shared" si="1480"/>
        <v>15.234399999999999</v>
      </c>
      <c r="CP906" s="348">
        <f t="shared" si="1480"/>
        <v>1.3146000000000004</v>
      </c>
      <c r="CQ906" s="346">
        <f t="shared" si="1480"/>
        <v>0.67939999999999934</v>
      </c>
      <c r="CR906" s="346">
        <f t="shared" si="1480"/>
        <v>8.2294999999999998</v>
      </c>
      <c r="CS906" s="346">
        <f t="shared" si="1480"/>
        <v>-1.2789000000000001</v>
      </c>
      <c r="CT906" s="346">
        <f t="shared" si="1480"/>
        <v>4.2790999999999997</v>
      </c>
      <c r="CU906" s="346">
        <f t="shared" si="1480"/>
        <v>7.084100000000003</v>
      </c>
      <c r="CV906" s="346">
        <f t="shared" si="1480"/>
        <v>-0.96609999999999907</v>
      </c>
      <c r="CW906" s="346">
        <f t="shared" si="1480"/>
        <v>-1.9590000000000014</v>
      </c>
      <c r="CX906" s="346">
        <f t="shared" si="1480"/>
        <v>7.7061999999999991</v>
      </c>
      <c r="CY906" s="346">
        <f t="shared" si="1480"/>
        <v>2.2999999999999687E-2</v>
      </c>
      <c r="CZ906" s="346">
        <f t="shared" si="1480"/>
        <v>0</v>
      </c>
      <c r="DA906" s="346">
        <f t="shared" si="1480"/>
        <v>7.8123999999999985</v>
      </c>
      <c r="DB906" s="1479">
        <f t="shared" si="1480"/>
        <v>-0.70199999999999996</v>
      </c>
      <c r="DC906" s="346">
        <f t="shared" si="1480"/>
        <v>-3.5155000000000003</v>
      </c>
      <c r="DD906" s="346">
        <f t="shared" si="1480"/>
        <v>5.4028999999999998</v>
      </c>
      <c r="DE906" s="346">
        <f t="shared" si="1480"/>
        <v>-0.78050000000000042</v>
      </c>
      <c r="DF906" s="346">
        <f t="shared" si="1480"/>
        <v>-0.14899999999999958</v>
      </c>
      <c r="DG906" s="346">
        <f t="shared" si="1480"/>
        <v>11.350300000000004</v>
      </c>
      <c r="DH906" s="346">
        <f t="shared" si="1480"/>
        <v>4.4945000000000004</v>
      </c>
      <c r="DI906" s="346">
        <f t="shared" si="1480"/>
        <v>6.2279999999999998</v>
      </c>
      <c r="DJ906" s="346">
        <f t="shared" si="1480"/>
        <v>8.7312999999999832</v>
      </c>
      <c r="DK906" s="346">
        <f t="shared" si="1480"/>
        <v>0.28000000000000114</v>
      </c>
      <c r="DL906" s="346">
        <f t="shared" si="1480"/>
        <v>12.278500000000001</v>
      </c>
      <c r="DM906" s="346">
        <f t="shared" si="1480"/>
        <v>8.0632999999999981</v>
      </c>
      <c r="DN906" s="348">
        <f t="shared" si="1480"/>
        <v>6.8730000000000011</v>
      </c>
      <c r="DO906" s="346">
        <f t="shared" si="1480"/>
        <v>3.6617103065779091</v>
      </c>
      <c r="DP906" s="346">
        <f t="shared" si="1480"/>
        <v>21.870700000000014</v>
      </c>
      <c r="DQ906" s="346">
        <f t="shared" si="1480"/>
        <v>6.6839999999999975</v>
      </c>
      <c r="DR906" s="346">
        <f t="shared" si="1480"/>
        <v>7.9417000000000044</v>
      </c>
      <c r="DS906" s="346">
        <f t="shared" si="1480"/>
        <v>9.3489336149999929</v>
      </c>
      <c r="DT906" s="346">
        <f t="shared" si="1480"/>
        <v>-4.9627999999999943</v>
      </c>
      <c r="DU906" s="346">
        <f t="shared" si="1480"/>
        <v>7.5042560784220953</v>
      </c>
      <c r="DV906" s="346">
        <f t="shared" si="1480"/>
        <v>6.5172000000000025</v>
      </c>
      <c r="DW906" s="346">
        <f t="shared" si="1480"/>
        <v>-3.2092999999999989</v>
      </c>
      <c r="DX906" s="346">
        <f t="shared" si="1480"/>
        <v>2.0746999999999929</v>
      </c>
      <c r="DY906" s="346">
        <f t="shared" si="1480"/>
        <v>6.9359000000000037</v>
      </c>
      <c r="DZ906" s="348">
        <f t="shared" si="1480"/>
        <v>-5.6304999999999978</v>
      </c>
      <c r="EA906" s="346">
        <f t="shared" si="1480"/>
        <v>-12.827800000000011</v>
      </c>
      <c r="EB906" s="346">
        <f t="shared" si="1480"/>
        <v>1.6322000000000045</v>
      </c>
      <c r="EC906" s="346">
        <f t="shared" si="1480"/>
        <v>-4.6678439215778269</v>
      </c>
      <c r="ED906" s="346">
        <f t="shared" si="1480"/>
        <v>-3.5057000000000045</v>
      </c>
      <c r="EE906" s="346">
        <f t="shared" si="1480"/>
        <v>2.8764000000000181</v>
      </c>
      <c r="EF906" s="346">
        <f t="shared" si="1480"/>
        <v>3.8395999999999972</v>
      </c>
      <c r="EG906" s="346">
        <f t="shared" si="1480"/>
        <v>11.035299999999873</v>
      </c>
      <c r="EH906" s="346">
        <f t="shared" si="1480"/>
        <v>-13.457299999999982</v>
      </c>
      <c r="EI906" s="346">
        <f t="shared" si="1480"/>
        <v>0.52939999999999543</v>
      </c>
      <c r="EJ906" s="346">
        <f t="shared" si="1480"/>
        <v>21.618200000000016</v>
      </c>
      <c r="EK906" s="346">
        <f t="shared" si="1480"/>
        <v>-0.34890000000001464</v>
      </c>
      <c r="EL906" s="348">
        <f t="shared" si="1480"/>
        <v>16.528800000000004</v>
      </c>
      <c r="EM906" s="346">
        <f t="shared" si="1480"/>
        <v>1.6792999999999836</v>
      </c>
      <c r="EN906" s="346">
        <f t="shared" si="1480"/>
        <v>-0.32800000000001006</v>
      </c>
      <c r="EO906" s="346">
        <f t="shared" si="1480"/>
        <v>12.944899999999954</v>
      </c>
      <c r="EP906" s="346">
        <f t="shared" si="1480"/>
        <v>17.377200000000016</v>
      </c>
      <c r="EQ906" s="346">
        <f t="shared" ref="EQ906:FV906" si="1481">SUM(EQ907:EQ908)</f>
        <v>11.975800000000035</v>
      </c>
      <c r="ER906" s="346">
        <f t="shared" si="1481"/>
        <v>20.035399999999996</v>
      </c>
      <c r="ES906" s="346">
        <f t="shared" si="1481"/>
        <v>-3.6547000000000054</v>
      </c>
      <c r="ET906" s="346">
        <f t="shared" si="1481"/>
        <v>19.686799999999991</v>
      </c>
      <c r="EU906" s="346">
        <f t="shared" si="1481"/>
        <v>-1.7055000000000007</v>
      </c>
      <c r="EV906" s="346">
        <f t="shared" si="1481"/>
        <v>-3.300699999999992</v>
      </c>
      <c r="EW906" s="346">
        <f t="shared" si="1481"/>
        <v>12.770600000000016</v>
      </c>
      <c r="EX906" s="348">
        <f t="shared" si="1481"/>
        <v>27.936399999999992</v>
      </c>
      <c r="EY906" s="346">
        <f t="shared" si="1481"/>
        <v>13.879200000000012</v>
      </c>
      <c r="EZ906" s="346">
        <f t="shared" si="1481"/>
        <v>-5.6144000000000176</v>
      </c>
      <c r="FA906" s="346">
        <f t="shared" si="1481"/>
        <v>9.9093999999999909</v>
      </c>
      <c r="FB906" s="346">
        <f t="shared" si="1481"/>
        <v>0.69249999999998124</v>
      </c>
      <c r="FC906" s="346">
        <f t="shared" si="1481"/>
        <v>-9.7070000000000221</v>
      </c>
      <c r="FD906" s="346">
        <f t="shared" si="1481"/>
        <v>-3.9325999999999937</v>
      </c>
      <c r="FE906" s="346">
        <f t="shared" si="1481"/>
        <v>39.16020000000001</v>
      </c>
      <c r="FF906" s="346">
        <f t="shared" si="1481"/>
        <v>-3.0993000000000066</v>
      </c>
      <c r="FG906" s="346">
        <f t="shared" si="1481"/>
        <v>18.474500000000035</v>
      </c>
      <c r="FH906" s="346">
        <f t="shared" si="1481"/>
        <v>8.5879999999999797</v>
      </c>
      <c r="FI906" s="346">
        <f t="shared" si="1481"/>
        <v>2.4092999999999947</v>
      </c>
      <c r="FJ906" s="348">
        <f t="shared" si="1481"/>
        <v>19.350900000000031</v>
      </c>
      <c r="FK906" s="346">
        <f t="shared" si="1481"/>
        <v>22.809299999999979</v>
      </c>
      <c r="FL906" s="346">
        <f t="shared" si="1481"/>
        <v>14.455799999999996</v>
      </c>
      <c r="FM906" s="346">
        <f t="shared" si="1481"/>
        <v>25.796899999999994</v>
      </c>
      <c r="FN906" s="346">
        <f t="shared" si="1481"/>
        <v>18.818699999999978</v>
      </c>
      <c r="FO906" s="346">
        <f>SUM(FO907:FO908)</f>
        <v>14.751899999999992</v>
      </c>
      <c r="FP906" s="346">
        <f t="shared" si="1481"/>
        <v>0.94660000000000366</v>
      </c>
      <c r="FQ906" s="346">
        <f t="shared" si="1481"/>
        <v>12.66449999999999</v>
      </c>
      <c r="FR906" s="346">
        <f t="shared" si="1481"/>
        <v>13.816699999999955</v>
      </c>
      <c r="FS906" s="346">
        <f t="shared" si="1481"/>
        <v>19.686500000000024</v>
      </c>
      <c r="FT906" s="346">
        <f t="shared" si="1481"/>
        <v>3.6729999999999876</v>
      </c>
      <c r="FU906" s="346">
        <f t="shared" si="1481"/>
        <v>12.884804999999986</v>
      </c>
      <c r="FV906" s="346">
        <f t="shared" si="1481"/>
        <v>-6.0297949999999929</v>
      </c>
      <c r="FW906" s="346">
        <v>22.060789999999997</v>
      </c>
      <c r="FX906" s="346">
        <v>-13.458500000000015</v>
      </c>
      <c r="FY906" s="346">
        <v>10.017799999999994</v>
      </c>
      <c r="FZ906" s="346">
        <v>13.110900000000029</v>
      </c>
      <c r="GA906" s="346">
        <v>-15.073599999999999</v>
      </c>
      <c r="GB906" s="346">
        <v>15.330699999999993</v>
      </c>
      <c r="GC906" s="346">
        <v>4.5091999999999359</v>
      </c>
      <c r="GD906" s="346">
        <v>5.5069999999999908</v>
      </c>
      <c r="GE906" s="346">
        <v>-13.998799999999989</v>
      </c>
      <c r="GF906" s="346">
        <v>-12.608500000000021</v>
      </c>
      <c r="GG906" s="346">
        <v>6.0000000000000142</v>
      </c>
      <c r="GH906" s="346">
        <v>6.0100000000000051</v>
      </c>
      <c r="GI906" s="1897">
        <f>GI907+GI908</f>
        <v>5.9120000000000363</v>
      </c>
      <c r="GJ906" s="1897">
        <f t="shared" ref="GJ906:HL906" si="1482">GJ907+GJ908</f>
        <v>17.580000000000013</v>
      </c>
      <c r="GK906" s="1897">
        <f t="shared" si="1482"/>
        <v>1.0299999999999763</v>
      </c>
      <c r="GL906" s="1897">
        <f t="shared" si="1482"/>
        <v>24.131734999999985</v>
      </c>
      <c r="GM906" s="1897">
        <f t="shared" si="1482"/>
        <v>54.963300000000032</v>
      </c>
      <c r="GN906" s="1897">
        <f t="shared" si="1482"/>
        <v>63.719999999999885</v>
      </c>
      <c r="GO906" s="1897">
        <f t="shared" si="1482"/>
        <v>-14.48889999999993</v>
      </c>
      <c r="GP906" s="1897">
        <f t="shared" si="1482"/>
        <v>26.632199999999969</v>
      </c>
      <c r="GQ906" s="1897">
        <f t="shared" si="1482"/>
        <v>-0.12430000000007624</v>
      </c>
      <c r="GR906" s="1897">
        <f t="shared" si="1482"/>
        <v>24.678400000000138</v>
      </c>
      <c r="GS906" s="1897">
        <f t="shared" si="1482"/>
        <v>17.604700000000051</v>
      </c>
      <c r="GT906" s="1897">
        <f t="shared" si="1482"/>
        <v>30.78749999999998</v>
      </c>
      <c r="GU906" s="1897">
        <f t="shared" si="1482"/>
        <v>12.243564999999926</v>
      </c>
      <c r="GV906" s="1897">
        <f t="shared" si="1482"/>
        <v>23.774435000000089</v>
      </c>
      <c r="GW906" s="1897">
        <f t="shared" si="1482"/>
        <v>3.4609649999999732</v>
      </c>
      <c r="GX906" s="1897">
        <f t="shared" si="1482"/>
        <v>22.491935000000012</v>
      </c>
      <c r="GY906" s="1897">
        <f t="shared" si="1482"/>
        <v>33.612199999999916</v>
      </c>
      <c r="GZ906" s="1897">
        <f t="shared" si="1482"/>
        <v>13.394900000000078</v>
      </c>
      <c r="HA906" s="1897">
        <f t="shared" si="1482"/>
        <v>26.643200000000007</v>
      </c>
      <c r="HB906" s="1897">
        <f t="shared" si="1482"/>
        <v>36.767799999999994</v>
      </c>
      <c r="HC906" s="1897">
        <f t="shared" si="1482"/>
        <v>-2.7194999999999965</v>
      </c>
      <c r="HD906" s="1897">
        <f t="shared" si="1482"/>
        <v>8.1881999999999948</v>
      </c>
      <c r="HE906" s="1897">
        <f t="shared" si="1482"/>
        <v>-58.994699999999995</v>
      </c>
      <c r="HF906" s="1897">
        <f t="shared" si="1482"/>
        <v>-0.11299999999998533</v>
      </c>
      <c r="HG906" s="1897">
        <f t="shared" si="1482"/>
        <v>0.83439999999997383</v>
      </c>
      <c r="HH906" s="1897">
        <f t="shared" si="1482"/>
        <v>14.78799999999994</v>
      </c>
      <c r="HI906" s="1897">
        <f t="shared" si="1482"/>
        <v>23.213300000000032</v>
      </c>
      <c r="HJ906" s="1897">
        <f t="shared" si="1482"/>
        <v>26.975999999999999</v>
      </c>
      <c r="HK906" s="1897">
        <f t="shared" si="1482"/>
        <v>-11.04510000000009</v>
      </c>
      <c r="HL906" s="1897">
        <f t="shared" si="1482"/>
        <v>56.361500000000049</v>
      </c>
      <c r="HM906" s="1897"/>
      <c r="HN906" s="349"/>
      <c r="HO906" s="358" t="s">
        <v>607</v>
      </c>
      <c r="HP906" s="307">
        <f>SUM(CE906:CJ906)</f>
        <v>-32.229100000000031</v>
      </c>
      <c r="HQ906" s="302">
        <f>SUM(CK906:CP906)</f>
        <v>20.575200000000002</v>
      </c>
      <c r="HR906" s="346">
        <f>HP906+HQ906</f>
        <v>-11.653900000000029</v>
      </c>
      <c r="HS906" s="302">
        <f>SUM(CQ906:CV906)</f>
        <v>18.027100000000004</v>
      </c>
      <c r="HT906" s="302">
        <f>SUM(CW906:DB906)</f>
        <v>12.880599999999996</v>
      </c>
      <c r="HU906" s="346">
        <f>HS906+HT906</f>
        <v>30.907699999999998</v>
      </c>
      <c r="HV906" s="307">
        <f>SUM(DC906:DH906)</f>
        <v>16.802700000000002</v>
      </c>
      <c r="HW906" s="302">
        <f>SUM(DI906:DN906)</f>
        <v>42.454099999999983</v>
      </c>
      <c r="HX906" s="346">
        <f>HV906+HW906</f>
        <v>59.256799999999984</v>
      </c>
      <c r="HY906" s="350">
        <f>SUM(DO906:DT906)</f>
        <v>44.544243921577923</v>
      </c>
      <c r="HZ906" s="302">
        <f>SUM(DU906:DZ906)</f>
        <v>14.192256078422098</v>
      </c>
      <c r="IA906" s="346">
        <f>HY906+HZ906</f>
        <v>58.736500000000021</v>
      </c>
      <c r="IB906" s="302">
        <f>SUM(EA906:EF906)</f>
        <v>-12.653143921577822</v>
      </c>
      <c r="IC906" s="302">
        <f>SUM(EG906:EL906)</f>
        <v>35.90549999999989</v>
      </c>
      <c r="ID906" s="346">
        <f>IB906+IC906</f>
        <v>23.252356078422068</v>
      </c>
      <c r="IE906" s="350">
        <f>SUM(EM906:ER906)</f>
        <v>63.684599999999975</v>
      </c>
      <c r="IF906" s="350">
        <f>SUM(ES906:EX906)</f>
        <v>51.732900000000001</v>
      </c>
      <c r="IG906" s="346">
        <f>IE906+IF906</f>
        <v>115.41749999999998</v>
      </c>
      <c r="IH906" s="350">
        <f>SUM(EY906:FD906)</f>
        <v>5.2270999999999503</v>
      </c>
      <c r="II906" s="350">
        <f>SUM(FE906:FJ906)</f>
        <v>84.88360000000003</v>
      </c>
      <c r="IJ906" s="346">
        <f t="shared" si="1463"/>
        <v>90.11069999999998</v>
      </c>
      <c r="IK906" s="350">
        <f t="shared" ref="IK906:IK920" si="1483">SUM(FK906:FP906)</f>
        <v>97.579199999999943</v>
      </c>
      <c r="IL906" s="350">
        <f t="shared" ref="IL906:IL919" si="1484">SUM(FQ906:FV906)</f>
        <v>56.695709999999949</v>
      </c>
      <c r="IM906" s="346">
        <f t="shared" si="1430"/>
        <v>154.27490999999989</v>
      </c>
      <c r="IN906" s="350">
        <f t="shared" si="1438"/>
        <v>31.98809</v>
      </c>
      <c r="IO906" s="350">
        <f t="shared" si="1439"/>
        <v>-4.5811000000000632</v>
      </c>
      <c r="IP906" s="346">
        <f t="shared" si="1443"/>
        <v>27.406989999999936</v>
      </c>
      <c r="IQ906" s="350">
        <f t="shared" si="1440"/>
        <v>167.33703499999993</v>
      </c>
      <c r="IR906" s="350">
        <f t="shared" si="1441"/>
        <v>85.089600000000132</v>
      </c>
      <c r="IS906" s="346">
        <f t="shared" si="1410"/>
        <v>252.42663500000006</v>
      </c>
      <c r="IT906" s="350">
        <f>(IT907+IT908)</f>
        <v>108.97799999999999</v>
      </c>
      <c r="IU906" s="350">
        <f>(IU907+IU908)</f>
        <v>9.7720000000000198</v>
      </c>
      <c r="IV906" s="346">
        <f t="shared" si="1409"/>
        <v>118.75000000000001</v>
      </c>
      <c r="IW906" s="350">
        <f t="shared" si="1428"/>
        <v>111.1280999999999</v>
      </c>
      <c r="IX906" s="302">
        <f t="shared" si="1426"/>
        <v>55.186585800360092</v>
      </c>
      <c r="IY906" s="346">
        <f>FISC!AJ1227</f>
        <v>166.31468580036</v>
      </c>
      <c r="IZ906" s="1627">
        <f>(IZ907+IZ908)</f>
        <v>73.463107088680005</v>
      </c>
      <c r="JA906" s="302">
        <f t="shared" si="1466"/>
        <v>73.463107088680005</v>
      </c>
      <c r="JB906" s="346">
        <f>FISC!AK1227</f>
        <v>146.92621417736001</v>
      </c>
      <c r="JC906" s="1627">
        <f>(JC907+JC908)</f>
        <v>54.472983016180002</v>
      </c>
      <c r="JD906" s="302">
        <f>JE906-JC906</f>
        <v>54.472983016180002</v>
      </c>
      <c r="JE906" s="346">
        <f>FISC!AL1227</f>
        <v>108.94596603236</v>
      </c>
      <c r="JF906" s="1627">
        <f>(JF907+JF908)</f>
        <v>92.368982193179988</v>
      </c>
      <c r="JG906" s="302">
        <f>JH906-JF906</f>
        <v>92.368982193179988</v>
      </c>
      <c r="JH906" s="346">
        <f>FISC!AM1227</f>
        <v>184.73796438635998</v>
      </c>
      <c r="JI906" s="1627">
        <f>(JI907+JI908)</f>
        <v>58.94081864668</v>
      </c>
      <c r="JJ906" s="302">
        <f>JK906-JI906</f>
        <v>58.94081864668</v>
      </c>
      <c r="JK906" s="346">
        <f>FISC!AN1227</f>
        <v>117.88163729336</v>
      </c>
      <c r="JL906" s="1627">
        <f>(JL907+JL908)</f>
        <v>86.165487314679993</v>
      </c>
      <c r="JM906" s="302">
        <f>JN906-JL906</f>
        <v>86.165487314679993</v>
      </c>
      <c r="JN906" s="346">
        <f>FISC!AO1227</f>
        <v>172.33097462935999</v>
      </c>
      <c r="KI906" s="349"/>
      <c r="KJ906" s="350"/>
      <c r="KM906" s="302">
        <f>SUM(KM907:KM908)</f>
        <v>0</v>
      </c>
      <c r="KN906" s="302">
        <f>SUM(KN907:KN908)</f>
        <v>0</v>
      </c>
      <c r="KO906" s="302">
        <f>SUM(KO907:KO908)</f>
        <v>0</v>
      </c>
      <c r="KP906" s="302">
        <f>SUM(KP907:KP908)</f>
        <v>0</v>
      </c>
    </row>
    <row r="907" spans="1:302" hidden="1" outlineLevel="1">
      <c r="A907" s="302"/>
      <c r="B907" s="117" t="s">
        <v>361</v>
      </c>
      <c r="D907" s="360" t="s">
        <v>605</v>
      </c>
      <c r="E907" s="346"/>
      <c r="F907" s="346"/>
      <c r="G907" s="346"/>
      <c r="H907" s="346"/>
      <c r="I907" s="346"/>
      <c r="J907" s="346"/>
      <c r="K907" s="346"/>
      <c r="L907" s="346"/>
      <c r="M907" s="346"/>
      <c r="N907" s="346"/>
      <c r="O907" s="346"/>
      <c r="P907" s="346"/>
      <c r="Q907" s="346"/>
      <c r="R907" s="346"/>
      <c r="S907" s="346"/>
      <c r="T907" s="346"/>
      <c r="U907" s="346"/>
      <c r="V907" s="346"/>
      <c r="W907" s="346"/>
      <c r="X907" s="346"/>
      <c r="Y907" s="346"/>
      <c r="Z907" s="346"/>
      <c r="AA907" s="346"/>
      <c r="AB907" s="346"/>
      <c r="AC907" s="346"/>
      <c r="AD907" s="346"/>
      <c r="AE907" s="346"/>
      <c r="AF907" s="346"/>
      <c r="AG907" s="346"/>
      <c r="AH907" s="346"/>
      <c r="AI907" s="346"/>
      <c r="AJ907" s="346"/>
      <c r="AK907" s="346"/>
      <c r="AL907" s="346"/>
      <c r="AM907" s="346"/>
      <c r="AN907" s="346"/>
      <c r="AO907" s="346"/>
      <c r="AP907" s="346"/>
      <c r="AQ907" s="346"/>
      <c r="AR907" s="346"/>
      <c r="AS907" s="346"/>
      <c r="AT907" s="346"/>
      <c r="AU907" s="346"/>
      <c r="AV907" s="346"/>
      <c r="AW907" s="346"/>
      <c r="AX907" s="346"/>
      <c r="AY907" s="346"/>
      <c r="AZ907" s="346"/>
      <c r="BA907" s="346"/>
      <c r="BB907" s="346"/>
      <c r="BC907" s="346"/>
      <c r="BD907" s="346"/>
      <c r="BE907" s="346"/>
      <c r="BF907" s="346"/>
      <c r="BG907" s="346"/>
      <c r="BH907" s="346"/>
      <c r="BI907" s="346"/>
      <c r="BJ907" s="346"/>
      <c r="BK907" s="346"/>
      <c r="BL907" s="346"/>
      <c r="BM907" s="346"/>
      <c r="BN907" s="346"/>
      <c r="BO907" s="346"/>
      <c r="BP907" s="346"/>
      <c r="BQ907" s="346"/>
      <c r="BR907" s="346"/>
      <c r="BS907" s="346"/>
      <c r="BT907" s="346"/>
      <c r="BU907" s="346"/>
      <c r="BV907" s="346"/>
      <c r="BW907" s="346"/>
      <c r="BX907" s="346"/>
      <c r="BY907" s="346"/>
      <c r="BZ907" s="346"/>
      <c r="CA907" s="346"/>
      <c r="CB907" s="346"/>
      <c r="CC907" s="346"/>
      <c r="CD907" s="352"/>
      <c r="CE907" s="346">
        <v>-7.6275000000000261</v>
      </c>
      <c r="CF907" s="346">
        <v>-11.176000000000002</v>
      </c>
      <c r="CG907" s="346">
        <v>6.1718000000000011</v>
      </c>
      <c r="CH907" s="346">
        <v>-12.2028</v>
      </c>
      <c r="CI907" s="346">
        <v>-3.7353000000000023</v>
      </c>
      <c r="CJ907" s="346">
        <v>-3.6592999999999982</v>
      </c>
      <c r="CK907" s="346">
        <v>1.0833999999999993</v>
      </c>
      <c r="CL907" s="346">
        <v>0.61240000000000094</v>
      </c>
      <c r="CM907" s="346">
        <v>-3.5635999999999992</v>
      </c>
      <c r="CN907" s="346">
        <v>0</v>
      </c>
      <c r="CO907" s="346">
        <v>0.23439999999999905</v>
      </c>
      <c r="CP907" s="348">
        <v>1.3146000000000004</v>
      </c>
      <c r="CQ907" s="346">
        <v>0.67939999999999934</v>
      </c>
      <c r="CR907" s="346">
        <v>-0.84109999999999907</v>
      </c>
      <c r="CS907" s="346">
        <v>-1.2789000000000001</v>
      </c>
      <c r="CT907" s="346">
        <v>4.2790999999999997</v>
      </c>
      <c r="CU907" s="346">
        <v>-0.5730000000000004</v>
      </c>
      <c r="CV907" s="346">
        <v>-0.96609999999999907</v>
      </c>
      <c r="CW907" s="346">
        <v>-1.9590000000000014</v>
      </c>
      <c r="CX907" s="346">
        <v>-8.0999999999999517E-2</v>
      </c>
      <c r="CY907" s="346">
        <v>2.2999999999999687E-2</v>
      </c>
      <c r="CZ907" s="346">
        <v>0</v>
      </c>
      <c r="DA907" s="346">
        <v>-9.5499999999999474E-2</v>
      </c>
      <c r="DB907" s="1479">
        <v>-0.70199999999999996</v>
      </c>
      <c r="DC907" s="346">
        <v>-3.5155000000000003</v>
      </c>
      <c r="DD907" s="346">
        <v>-2.0469999999999997</v>
      </c>
      <c r="DE907" s="346">
        <v>-0.78050000000000042</v>
      </c>
      <c r="DF907" s="346">
        <v>-0.14899999999999958</v>
      </c>
      <c r="DG907" s="346">
        <v>4.8916999999999993</v>
      </c>
      <c r="DH907" s="346">
        <v>4.4945000000000004</v>
      </c>
      <c r="DI907" s="346">
        <v>6.2279999999999998</v>
      </c>
      <c r="DJ907" s="346">
        <v>-0.48649999999999949</v>
      </c>
      <c r="DK907" s="346">
        <v>0.28000000000000114</v>
      </c>
      <c r="DL907" s="346">
        <v>12.278500000000001</v>
      </c>
      <c r="DM907" s="346">
        <v>1.5632999999999981</v>
      </c>
      <c r="DN907" s="348">
        <v>6.8730000000000011</v>
      </c>
      <c r="DO907" s="346">
        <v>3.6617103065779091</v>
      </c>
      <c r="DP907" s="346">
        <v>10.584800000000001</v>
      </c>
      <c r="DQ907" s="346">
        <v>7.2609000000000066</v>
      </c>
      <c r="DR907" s="346">
        <v>7.9417000000000044</v>
      </c>
      <c r="DS907" s="346">
        <v>-2.0110663850000066</v>
      </c>
      <c r="DT907" s="346">
        <v>-4.9627999999999943</v>
      </c>
      <c r="DU907" s="346">
        <v>7.5042560784220811</v>
      </c>
      <c r="DV907" s="346">
        <v>6.0050999999999988</v>
      </c>
      <c r="DW907" s="346">
        <v>-3.2092999999999989</v>
      </c>
      <c r="DX907" s="346">
        <v>2.0746999999999929</v>
      </c>
      <c r="DY907" s="346">
        <v>-2.0640999999999963</v>
      </c>
      <c r="DZ907" s="348">
        <v>-5.6304999999999978</v>
      </c>
      <c r="EA907" s="346">
        <v>-12.827799999999996</v>
      </c>
      <c r="EB907" s="346">
        <v>-4.0705000000000027</v>
      </c>
      <c r="EC907" s="346">
        <v>-4.6078439215778246</v>
      </c>
      <c r="ED907" s="346">
        <v>-3.5057000000000045</v>
      </c>
      <c r="EE907" s="346">
        <v>-4.573599999999999</v>
      </c>
      <c r="EF907" s="346">
        <v>3.8395999999999972</v>
      </c>
      <c r="EG907" s="346">
        <v>11.035299999999902</v>
      </c>
      <c r="EH907" s="346">
        <v>-5.3600999999999956</v>
      </c>
      <c r="EI907" s="346">
        <v>0.52939999999999543</v>
      </c>
      <c r="EJ907" s="346">
        <v>21.618200000000016</v>
      </c>
      <c r="EK907" s="346">
        <v>-7.808700000000016</v>
      </c>
      <c r="EL907" s="348">
        <v>10.640300000000011</v>
      </c>
      <c r="EM907" s="346">
        <v>1.6792999999999836</v>
      </c>
      <c r="EN907" s="346">
        <v>-11.636900000000004</v>
      </c>
      <c r="EO907" s="346">
        <v>2.6246999999999829</v>
      </c>
      <c r="EP907" s="346">
        <v>17.377200000000016</v>
      </c>
      <c r="EQ907" s="346">
        <v>7.4844000000000079</v>
      </c>
      <c r="ER907" s="346">
        <v>20.035399999999996</v>
      </c>
      <c r="ES907" s="346">
        <v>-7.7836999999999961</v>
      </c>
      <c r="ET907" s="346">
        <v>9.7003999999999877</v>
      </c>
      <c r="EU907" s="346">
        <v>-8.7055000000000007</v>
      </c>
      <c r="EV907" s="346">
        <v>-3.300699999999992</v>
      </c>
      <c r="EW907" s="346">
        <v>14.963499999999996</v>
      </c>
      <c r="EX907" s="348">
        <v>11.352699999999999</v>
      </c>
      <c r="EY907" s="346">
        <v>-0.92839999999999634</v>
      </c>
      <c r="EZ907" s="346">
        <v>-5.9579999999999984</v>
      </c>
      <c r="FA907" s="346">
        <v>-3.156099999999995</v>
      </c>
      <c r="FB907" s="346">
        <v>-9.8390000000000128</v>
      </c>
      <c r="FC907" s="346">
        <v>-20.349299999999999</v>
      </c>
      <c r="FD907" s="346">
        <v>-14.932599999999994</v>
      </c>
      <c r="FE907" s="346">
        <v>-14.934199999999997</v>
      </c>
      <c r="FF907" s="346">
        <v>-8.150500000000001</v>
      </c>
      <c r="FG907" s="346">
        <v>2.1437999999999988</v>
      </c>
      <c r="FH907" s="346">
        <v>3.0756999999999977</v>
      </c>
      <c r="FI907" s="346">
        <v>-3.7671000000000063</v>
      </c>
      <c r="FJ907" s="348">
        <v>9.1927000000000092</v>
      </c>
      <c r="FK907" s="346">
        <v>15.353899999999982</v>
      </c>
      <c r="FL907" s="346">
        <v>13.181700000000021</v>
      </c>
      <c r="FM907" s="346">
        <v>10.048699999999997</v>
      </c>
      <c r="FN907" s="346">
        <v>4.9787000000000035</v>
      </c>
      <c r="FO907" s="346">
        <v>4.1436999999999813</v>
      </c>
      <c r="FP907" s="346">
        <v>-5.1111999999999824</v>
      </c>
      <c r="FQ907" s="346">
        <v>4.3875000000000028</v>
      </c>
      <c r="FR907" s="346">
        <v>2.3568999999999818</v>
      </c>
      <c r="FS907" s="346">
        <v>7.9689000000000192</v>
      </c>
      <c r="FT907" s="346">
        <v>-7.3748000000000076</v>
      </c>
      <c r="FU907" s="346">
        <v>0.72920499999999322</v>
      </c>
      <c r="FV907" s="346">
        <v>-14.930894999999978</v>
      </c>
      <c r="FW907" s="346">
        <v>9.8042899999999804</v>
      </c>
      <c r="FX907" s="346">
        <v>-14.656000000000006</v>
      </c>
      <c r="FY907" s="346">
        <v>-10.971399999999988</v>
      </c>
      <c r="FZ907" s="346">
        <v>-0.93159999999998888</v>
      </c>
      <c r="GA907" s="346">
        <v>-13.581200000000024</v>
      </c>
      <c r="GB907" s="346">
        <v>-0.3545999999999907</v>
      </c>
      <c r="GC907" s="346">
        <v>0.60159999999999059</v>
      </c>
      <c r="GD907" s="346">
        <v>-0.47269999999998902</v>
      </c>
      <c r="GE907" s="346">
        <v>5.9840999999999838</v>
      </c>
      <c r="GF907" s="346">
        <v>0.38570000000001414</v>
      </c>
      <c r="GG907" s="346">
        <v>7.000000000000739E-2</v>
      </c>
      <c r="GH907" s="346">
        <v>-5.2999999999999972</v>
      </c>
      <c r="GI907" s="1897">
        <v>-8.6200000000000045</v>
      </c>
      <c r="GJ907" s="1897">
        <v>-16.53</v>
      </c>
      <c r="GK907" s="1897">
        <v>-16.12</v>
      </c>
      <c r="GL907" s="1897">
        <v>-4.57</v>
      </c>
      <c r="GM907" s="1897">
        <v>11.91</v>
      </c>
      <c r="GN907" s="1897">
        <v>33.72</v>
      </c>
      <c r="GO907" s="1897">
        <v>-0.95780000000000598</v>
      </c>
      <c r="GP907" s="1897">
        <v>11.547800000000009</v>
      </c>
      <c r="GQ907" s="1897">
        <v>-1.4620000000000033</v>
      </c>
      <c r="GR907" s="1897">
        <v>-0.69650000000000034</v>
      </c>
      <c r="GS907" s="1897">
        <v>-5.347999999999999</v>
      </c>
      <c r="GT907" s="1897">
        <v>5.9395999999999987</v>
      </c>
      <c r="GU907" s="1897">
        <v>-14.348099999999995</v>
      </c>
      <c r="GV907" s="1897">
        <v>6.7809999999999988</v>
      </c>
      <c r="GW907" s="1897">
        <v>-6.0390000000000015</v>
      </c>
      <c r="GX907" s="1897">
        <v>16.087400000000002</v>
      </c>
      <c r="GY907" s="1897">
        <v>17.144499999999994</v>
      </c>
      <c r="GZ907" s="1897">
        <v>-9.5404999999999944</v>
      </c>
      <c r="HA907" s="1897">
        <v>17.643200000000007</v>
      </c>
      <c r="HB907" s="1897">
        <v>28.767799999999994</v>
      </c>
      <c r="HC907" s="1897">
        <v>-8.6470000000000056</v>
      </c>
      <c r="HD907" s="1897">
        <v>1.194500000000005</v>
      </c>
      <c r="HE907" s="1897">
        <v>-17.262799999999999</v>
      </c>
      <c r="HF907" s="1897">
        <v>-6.8289999999999935</v>
      </c>
      <c r="HG907" s="1897">
        <v>-16.92880000000001</v>
      </c>
      <c r="HH907" s="1897">
        <v>-8.2240000000000038</v>
      </c>
      <c r="HI907" s="1897">
        <v>5.0712000000000046</v>
      </c>
      <c r="HJ907" s="1897">
        <v>6.9759999999999991</v>
      </c>
      <c r="HK907" s="1897">
        <v>-0.54000000000000625</v>
      </c>
      <c r="HL907" s="1897">
        <v>-2.7152999999999992</v>
      </c>
      <c r="HM907" s="1897"/>
      <c r="HN907" s="349"/>
      <c r="HO907" s="360" t="s">
        <v>605</v>
      </c>
      <c r="HP907" s="307">
        <f>SUM(CE907:CJ907)</f>
        <v>-32.229100000000031</v>
      </c>
      <c r="HQ907" s="302">
        <f>SUM(CK907:CP907)</f>
        <v>-0.31879999999999953</v>
      </c>
      <c r="HR907" s="346">
        <f>HP907+HQ907</f>
        <v>-32.547900000000027</v>
      </c>
      <c r="HS907" s="302">
        <f>SUM(CQ907:CV907)</f>
        <v>1.2994000000000003</v>
      </c>
      <c r="HT907" s="302">
        <f>SUM(CW907:DB907)</f>
        <v>-2.8145000000000007</v>
      </c>
      <c r="HU907" s="346">
        <f>HS907+HT907</f>
        <v>-1.5151000000000003</v>
      </c>
      <c r="HV907" s="307">
        <f>SUM(DC907:DH907)</f>
        <v>2.8942000000000005</v>
      </c>
      <c r="HW907" s="302">
        <f>SUM(DI907:DN907)</f>
        <v>26.736300000000004</v>
      </c>
      <c r="HX907" s="346">
        <f>HV907+HW907</f>
        <v>29.630500000000005</v>
      </c>
      <c r="HY907" s="350">
        <f>SUM(DO907:DT907)</f>
        <v>22.475243921577921</v>
      </c>
      <c r="HZ907" s="302">
        <f>SUM(DU907:DZ907)</f>
        <v>4.6801560784220797</v>
      </c>
      <c r="IA907" s="346">
        <f>HY907+HZ907</f>
        <v>27.1554</v>
      </c>
      <c r="IB907" s="302">
        <f>SUM(EA907:EF907)</f>
        <v>-25.74584392157783</v>
      </c>
      <c r="IC907" s="302">
        <f>SUM(EG907:EL907)</f>
        <v>30.65439999999991</v>
      </c>
      <c r="ID907" s="346">
        <f>IB907+IC907</f>
        <v>4.9085560784220803</v>
      </c>
      <c r="IE907" s="350">
        <f>SUM(EM907:ER907)</f>
        <v>37.564099999999982</v>
      </c>
      <c r="IF907" s="350">
        <f>SUM(ES907:EX907)</f>
        <v>16.226699999999994</v>
      </c>
      <c r="IG907" s="346">
        <f>IE907+IF907</f>
        <v>53.790799999999976</v>
      </c>
      <c r="IH907" s="350">
        <f>SUM(EY907:FD907)</f>
        <v>-55.163399999999996</v>
      </c>
      <c r="II907" s="350">
        <f>SUM(FE907:FJ907)</f>
        <v>-12.439599999999999</v>
      </c>
      <c r="IJ907" s="346">
        <f t="shared" si="1463"/>
        <v>-67.602999999999994</v>
      </c>
      <c r="IK907" s="350">
        <f t="shared" si="1483"/>
        <v>42.595500000000001</v>
      </c>
      <c r="IL907" s="350">
        <f t="shared" si="1484"/>
        <v>-6.8631899999999888</v>
      </c>
      <c r="IM907" s="346">
        <f t="shared" si="1430"/>
        <v>35.732310000000012</v>
      </c>
      <c r="IN907" s="350">
        <f t="shared" si="1438"/>
        <v>-30.690510000000017</v>
      </c>
      <c r="IO907" s="350">
        <f t="shared" si="1439"/>
        <v>1.2687000000000097</v>
      </c>
      <c r="IP907" s="346">
        <f t="shared" si="1443"/>
        <v>-29.421810000000008</v>
      </c>
      <c r="IQ907" s="350">
        <f t="shared" si="1440"/>
        <v>-0.21000000000000796</v>
      </c>
      <c r="IR907" s="350">
        <f t="shared" si="1441"/>
        <v>9.0230999999999995</v>
      </c>
      <c r="IS907" s="346">
        <f t="shared" si="1410"/>
        <v>8.8130999999999915</v>
      </c>
      <c r="IT907" s="350">
        <f>SUM(GU907:GZ907)</f>
        <v>10.085300000000004</v>
      </c>
      <c r="IU907" s="350">
        <f t="shared" si="1479"/>
        <v>14.866700000000009</v>
      </c>
      <c r="IV907" s="346">
        <f t="shared" si="1409"/>
        <v>24.952000000000012</v>
      </c>
      <c r="IW907" s="350">
        <f t="shared" si="1428"/>
        <v>-16.360900000000015</v>
      </c>
      <c r="IX907" s="302">
        <f t="shared" si="1426"/>
        <v>112.67558580036001</v>
      </c>
      <c r="IY907" s="346">
        <f>FISC!AJ1228</f>
        <v>96.314685800359996</v>
      </c>
      <c r="IZ907" s="350">
        <f>JB907/2</f>
        <v>63.463107088679998</v>
      </c>
      <c r="JA907" s="302">
        <f t="shared" si="1466"/>
        <v>63.463107088679998</v>
      </c>
      <c r="JB907" s="346">
        <f>FISC!AK1228</f>
        <v>126.92621417736</v>
      </c>
      <c r="JC907" s="350">
        <f>JE907/2</f>
        <v>44.472983016180002</v>
      </c>
      <c r="JD907" s="302">
        <f>JE907-JC907</f>
        <v>44.472983016180002</v>
      </c>
      <c r="JE907" s="346">
        <f>FISC!AL1228</f>
        <v>88.945966032360005</v>
      </c>
      <c r="JF907" s="350">
        <f>JH907/2</f>
        <v>81.868982193179988</v>
      </c>
      <c r="JG907" s="302">
        <f>JH907-JF907</f>
        <v>81.868982193179988</v>
      </c>
      <c r="JH907" s="346">
        <f>FISC!AM1228</f>
        <v>163.73796438635998</v>
      </c>
      <c r="JI907" s="350">
        <f>JK907/2</f>
        <v>47.94081864668</v>
      </c>
      <c r="JJ907" s="302">
        <f>JK907-JI907</f>
        <v>47.94081864668</v>
      </c>
      <c r="JK907" s="346">
        <f>FISC!AN1228</f>
        <v>95.881637293360001</v>
      </c>
      <c r="JL907" s="350">
        <f>JN907/2</f>
        <v>74.665487314679993</v>
      </c>
      <c r="JM907" s="302">
        <f>JN907-JL907</f>
        <v>74.665487314679993</v>
      </c>
      <c r="JN907" s="346">
        <f>FISC!AO1228</f>
        <v>149.33097462935999</v>
      </c>
      <c r="KI907" s="349"/>
      <c r="KJ907" s="350"/>
    </row>
    <row r="908" spans="1:302" hidden="1" outlineLevel="1">
      <c r="A908" s="302"/>
      <c r="B908" s="117" t="s">
        <v>361</v>
      </c>
      <c r="D908" s="360" t="s">
        <v>606</v>
      </c>
      <c r="E908" s="346"/>
      <c r="F908" s="346"/>
      <c r="G908" s="346"/>
      <c r="H908" s="346"/>
      <c r="I908" s="346"/>
      <c r="J908" s="346"/>
      <c r="K908" s="346"/>
      <c r="L908" s="346"/>
      <c r="M908" s="346"/>
      <c r="N908" s="346"/>
      <c r="O908" s="346"/>
      <c r="P908" s="346"/>
      <c r="Q908" s="346"/>
      <c r="R908" s="346"/>
      <c r="S908" s="346"/>
      <c r="T908" s="346"/>
      <c r="U908" s="346"/>
      <c r="V908" s="346"/>
      <c r="W908" s="346"/>
      <c r="X908" s="346"/>
      <c r="Y908" s="346"/>
      <c r="Z908" s="346"/>
      <c r="AA908" s="346"/>
      <c r="AB908" s="346"/>
      <c r="AC908" s="346"/>
      <c r="AD908" s="346"/>
      <c r="AE908" s="346"/>
      <c r="AF908" s="346"/>
      <c r="AG908" s="346"/>
      <c r="AH908" s="346"/>
      <c r="AI908" s="346"/>
      <c r="AJ908" s="346"/>
      <c r="AK908" s="346"/>
      <c r="AL908" s="346"/>
      <c r="AM908" s="346"/>
      <c r="AN908" s="346"/>
      <c r="AO908" s="346"/>
      <c r="AP908" s="346"/>
      <c r="AQ908" s="346"/>
      <c r="AR908" s="346"/>
      <c r="AS908" s="346"/>
      <c r="AT908" s="346"/>
      <c r="AU908" s="346"/>
      <c r="AV908" s="346"/>
      <c r="AW908" s="346"/>
      <c r="AX908" s="346"/>
      <c r="AY908" s="346"/>
      <c r="AZ908" s="346"/>
      <c r="BA908" s="346"/>
      <c r="BB908" s="346"/>
      <c r="BC908" s="346"/>
      <c r="BD908" s="346"/>
      <c r="BE908" s="346"/>
      <c r="BF908" s="346"/>
      <c r="BG908" s="346"/>
      <c r="BH908" s="346"/>
      <c r="BI908" s="346"/>
      <c r="BJ908" s="346"/>
      <c r="BK908" s="346"/>
      <c r="BL908" s="346"/>
      <c r="BM908" s="346"/>
      <c r="BN908" s="346"/>
      <c r="BO908" s="346"/>
      <c r="BP908" s="346"/>
      <c r="BQ908" s="346"/>
      <c r="BR908" s="346"/>
      <c r="BS908" s="346"/>
      <c r="BT908" s="346"/>
      <c r="BU908" s="346"/>
      <c r="BV908" s="346"/>
      <c r="BW908" s="346"/>
      <c r="BX908" s="346"/>
      <c r="BY908" s="346"/>
      <c r="BZ908" s="346"/>
      <c r="CA908" s="346"/>
      <c r="CB908" s="346"/>
      <c r="CC908" s="346"/>
      <c r="CD908" s="352"/>
      <c r="CE908" s="346">
        <v>0</v>
      </c>
      <c r="CF908" s="346">
        <v>0</v>
      </c>
      <c r="CG908" s="346">
        <v>0</v>
      </c>
      <c r="CH908" s="346">
        <v>0</v>
      </c>
      <c r="CI908" s="346">
        <v>0</v>
      </c>
      <c r="CJ908" s="346">
        <v>0</v>
      </c>
      <c r="CK908" s="346">
        <v>0</v>
      </c>
      <c r="CL908" s="346">
        <v>5.8940000000000001</v>
      </c>
      <c r="CM908" s="346">
        <v>0</v>
      </c>
      <c r="CN908" s="346">
        <v>0</v>
      </c>
      <c r="CO908" s="346">
        <v>15</v>
      </c>
      <c r="CP908" s="348">
        <v>0</v>
      </c>
      <c r="CQ908" s="346">
        <v>0</v>
      </c>
      <c r="CR908" s="346">
        <v>9.0705999999999989</v>
      </c>
      <c r="CS908" s="346">
        <v>0</v>
      </c>
      <c r="CT908" s="346">
        <v>0</v>
      </c>
      <c r="CU908" s="346">
        <v>7.6571000000000033</v>
      </c>
      <c r="CV908" s="346">
        <v>0</v>
      </c>
      <c r="CW908" s="346">
        <v>0</v>
      </c>
      <c r="CX908" s="346">
        <v>7.7871999999999986</v>
      </c>
      <c r="CY908" s="346">
        <v>0</v>
      </c>
      <c r="CZ908" s="346">
        <v>0</v>
      </c>
      <c r="DA908" s="346">
        <v>7.9078999999999979</v>
      </c>
      <c r="DB908" s="1479">
        <v>0</v>
      </c>
      <c r="DC908" s="346">
        <v>0</v>
      </c>
      <c r="DD908" s="346">
        <v>7.4498999999999995</v>
      </c>
      <c r="DE908" s="346">
        <v>0</v>
      </c>
      <c r="DF908" s="346">
        <v>0</v>
      </c>
      <c r="DG908" s="346">
        <v>6.4586000000000041</v>
      </c>
      <c r="DH908" s="346">
        <v>0</v>
      </c>
      <c r="DI908" s="346">
        <v>0</v>
      </c>
      <c r="DJ908" s="346">
        <v>9.2177999999999827</v>
      </c>
      <c r="DK908" s="346">
        <v>0</v>
      </c>
      <c r="DL908" s="346">
        <v>0</v>
      </c>
      <c r="DM908" s="346">
        <v>6.5</v>
      </c>
      <c r="DN908" s="348">
        <v>0</v>
      </c>
      <c r="DO908" s="346">
        <v>0</v>
      </c>
      <c r="DP908" s="346">
        <v>11.285900000000012</v>
      </c>
      <c r="DQ908" s="346">
        <v>-0.57690000000000907</v>
      </c>
      <c r="DR908" s="346">
        <v>0</v>
      </c>
      <c r="DS908" s="346">
        <v>11.36</v>
      </c>
      <c r="DT908" s="346">
        <v>0</v>
      </c>
      <c r="DU908" s="346">
        <v>1.4210854715202004E-14</v>
      </c>
      <c r="DV908" s="346">
        <v>0.51210000000000377</v>
      </c>
      <c r="DW908" s="346">
        <v>0</v>
      </c>
      <c r="DX908" s="346">
        <v>0</v>
      </c>
      <c r="DY908" s="346">
        <v>9</v>
      </c>
      <c r="DZ908" s="348">
        <v>0</v>
      </c>
      <c r="EA908" s="346">
        <v>-1.4210854715202004E-14</v>
      </c>
      <c r="EB908" s="346">
        <v>5.7027000000000072</v>
      </c>
      <c r="EC908" s="346">
        <v>-6.0000000000002274E-2</v>
      </c>
      <c r="ED908" s="346">
        <v>0</v>
      </c>
      <c r="EE908" s="346">
        <v>7.4500000000000171</v>
      </c>
      <c r="EF908" s="346">
        <v>0</v>
      </c>
      <c r="EG908" s="346">
        <v>-2.8421709430404007E-14</v>
      </c>
      <c r="EH908" s="346">
        <v>-8.0971999999999866</v>
      </c>
      <c r="EI908" s="346">
        <v>0</v>
      </c>
      <c r="EJ908" s="346">
        <v>0</v>
      </c>
      <c r="EK908" s="346">
        <v>7.4598000000000013</v>
      </c>
      <c r="EL908" s="348">
        <v>5.8884999999999934</v>
      </c>
      <c r="EM908" s="346">
        <v>0</v>
      </c>
      <c r="EN908" s="346">
        <v>11.308899999999994</v>
      </c>
      <c r="EO908" s="346">
        <v>10.320199999999971</v>
      </c>
      <c r="EP908" s="346">
        <v>0</v>
      </c>
      <c r="EQ908" s="346">
        <v>4.4914000000000271</v>
      </c>
      <c r="ER908" s="346">
        <v>0</v>
      </c>
      <c r="ES908" s="346">
        <v>4.1289999999999907</v>
      </c>
      <c r="ET908" s="346">
        <v>9.9864000000000033</v>
      </c>
      <c r="EU908" s="346">
        <v>7</v>
      </c>
      <c r="EV908" s="346">
        <v>0</v>
      </c>
      <c r="EW908" s="346">
        <v>-2.1928999999999803</v>
      </c>
      <c r="EX908" s="348">
        <v>16.583699999999993</v>
      </c>
      <c r="EY908" s="346">
        <v>14.807600000000008</v>
      </c>
      <c r="EZ908" s="346">
        <v>0.34359999999998081</v>
      </c>
      <c r="FA908" s="346">
        <v>13.065499999999986</v>
      </c>
      <c r="FB908" s="346">
        <v>10.531499999999994</v>
      </c>
      <c r="FC908" s="346">
        <v>10.642299999999977</v>
      </c>
      <c r="FD908" s="346">
        <v>11</v>
      </c>
      <c r="FE908" s="346">
        <v>54.094400000000007</v>
      </c>
      <c r="FF908" s="346">
        <v>5.0511999999999944</v>
      </c>
      <c r="FG908" s="346">
        <v>16.330700000000036</v>
      </c>
      <c r="FH908" s="346">
        <v>5.512299999999982</v>
      </c>
      <c r="FI908" s="346">
        <v>6.176400000000001</v>
      </c>
      <c r="FJ908" s="348">
        <v>10.158200000000022</v>
      </c>
      <c r="FK908" s="346">
        <v>7.4553999999999974</v>
      </c>
      <c r="FL908" s="346">
        <v>1.2740999999999758</v>
      </c>
      <c r="FM908" s="346">
        <v>15.748199999999997</v>
      </c>
      <c r="FN908" s="346">
        <v>13.839999999999975</v>
      </c>
      <c r="FO908" s="346">
        <v>10.608200000000011</v>
      </c>
      <c r="FP908" s="346">
        <v>6.0577999999999861</v>
      </c>
      <c r="FQ908" s="346">
        <v>8.2769999999999868</v>
      </c>
      <c r="FR908" s="346">
        <v>11.459799999999973</v>
      </c>
      <c r="FS908" s="346">
        <v>11.717600000000004</v>
      </c>
      <c r="FT908" s="346">
        <v>11.047799999999995</v>
      </c>
      <c r="FU908" s="346">
        <v>12.155599999999993</v>
      </c>
      <c r="FV908" s="346">
        <v>8.9010999999999854</v>
      </c>
      <c r="FW908" s="346">
        <v>12.256500000000017</v>
      </c>
      <c r="FX908" s="346">
        <v>1.1974999999999909</v>
      </c>
      <c r="FY908" s="346">
        <v>20.989199999999983</v>
      </c>
      <c r="FZ908" s="346">
        <v>14.042500000000018</v>
      </c>
      <c r="GA908" s="346">
        <v>-1.4923999999999751</v>
      </c>
      <c r="GB908" s="346">
        <v>15.685299999999984</v>
      </c>
      <c r="GC908" s="346">
        <v>3.9075999999999453</v>
      </c>
      <c r="GD908" s="346">
        <v>5.9796999999999798</v>
      </c>
      <c r="GE908" s="346">
        <v>-19.982899999999972</v>
      </c>
      <c r="GF908" s="346">
        <v>-12.994200000000035</v>
      </c>
      <c r="GG908" s="346">
        <v>5.9300000000000068</v>
      </c>
      <c r="GH908" s="346">
        <v>11.310000000000002</v>
      </c>
      <c r="GI908" s="1897">
        <v>14.532000000000041</v>
      </c>
      <c r="GJ908" s="1897">
        <v>34.110000000000014</v>
      </c>
      <c r="GK908" s="1897">
        <v>17.149999999999977</v>
      </c>
      <c r="GL908" s="1897">
        <v>28.701734999999985</v>
      </c>
      <c r="GM908" s="1897">
        <v>43.053300000000036</v>
      </c>
      <c r="GN908" s="1897">
        <v>29.999999999999886</v>
      </c>
      <c r="GO908" s="1897">
        <v>-13.531099999999924</v>
      </c>
      <c r="GP908" s="1897">
        <v>15.08439999999996</v>
      </c>
      <c r="GQ908" s="1897">
        <v>1.3376999999999271</v>
      </c>
      <c r="GR908" s="1897">
        <v>25.374900000000139</v>
      </c>
      <c r="GS908" s="1897">
        <v>22.95270000000005</v>
      </c>
      <c r="GT908" s="1897">
        <v>24.847899999999981</v>
      </c>
      <c r="GU908" s="1897">
        <v>26.591664999999921</v>
      </c>
      <c r="GV908" s="1897">
        <v>16.99343500000009</v>
      </c>
      <c r="GW908" s="1897">
        <v>9.4999649999999747</v>
      </c>
      <c r="GX908" s="1897">
        <v>6.4045350000000099</v>
      </c>
      <c r="GY908" s="1897">
        <v>16.467699999999923</v>
      </c>
      <c r="GZ908" s="1897">
        <v>22.935400000000072</v>
      </c>
      <c r="HA908" s="1897">
        <v>9</v>
      </c>
      <c r="HB908" s="1897">
        <v>8</v>
      </c>
      <c r="HC908" s="1897">
        <v>5.9275000000000091</v>
      </c>
      <c r="HD908" s="1897">
        <v>6.9936999999999898</v>
      </c>
      <c r="HE908" s="1897">
        <v>-41.731899999999996</v>
      </c>
      <c r="HF908" s="1897">
        <v>6.7160000000000082</v>
      </c>
      <c r="HG908" s="1897">
        <v>17.763199999999983</v>
      </c>
      <c r="HH908" s="1897">
        <v>23.011999999999944</v>
      </c>
      <c r="HI908" s="1897">
        <v>18.142100000000028</v>
      </c>
      <c r="HJ908" s="1897">
        <v>20</v>
      </c>
      <c r="HK908" s="1897">
        <v>-10.505100000000084</v>
      </c>
      <c r="HL908" s="1897">
        <v>59.076800000000048</v>
      </c>
      <c r="HM908" s="1897"/>
      <c r="HN908" s="349"/>
      <c r="HO908" s="360" t="s">
        <v>606</v>
      </c>
      <c r="HP908" s="307">
        <f>SUM(CE908:CJ908)</f>
        <v>0</v>
      </c>
      <c r="HQ908" s="302">
        <f>SUM(CK908:CP908)</f>
        <v>20.893999999999998</v>
      </c>
      <c r="HR908" s="346">
        <f>HP908+HQ908</f>
        <v>20.893999999999998</v>
      </c>
      <c r="HS908" s="302">
        <f>SUM(CQ908:CV908)</f>
        <v>16.727700000000002</v>
      </c>
      <c r="HT908" s="302">
        <f>SUM(CW908:DB908)</f>
        <v>15.695099999999996</v>
      </c>
      <c r="HU908" s="346">
        <f>HS908+HT908</f>
        <v>32.422799999999995</v>
      </c>
      <c r="HV908" s="307">
        <f>SUM(DC908:DH908)</f>
        <v>13.908500000000004</v>
      </c>
      <c r="HW908" s="302">
        <f>SUM(DI908:DN908)</f>
        <v>15.717799999999983</v>
      </c>
      <c r="HX908" s="346">
        <f>HV908+HW908</f>
        <v>29.626299999999986</v>
      </c>
      <c r="HY908" s="350">
        <f>SUM(DO908:DT908)</f>
        <v>22.069000000000003</v>
      </c>
      <c r="HZ908" s="302">
        <f>SUM(DU908:DZ908)</f>
        <v>9.512100000000018</v>
      </c>
      <c r="IA908" s="346">
        <f>HY908+HZ908</f>
        <v>31.581100000000021</v>
      </c>
      <c r="IB908" s="302">
        <f>SUM(EA908:EF908)</f>
        <v>13.092700000000008</v>
      </c>
      <c r="IC908" s="302">
        <f>SUM(EG908:EL908)</f>
        <v>5.2510999999999797</v>
      </c>
      <c r="ID908" s="346">
        <f>IB908+IC908</f>
        <v>18.343799999999987</v>
      </c>
      <c r="IE908" s="350">
        <f>SUM(EM908:ER908)</f>
        <v>26.120499999999993</v>
      </c>
      <c r="IF908" s="350">
        <f>SUM(ES908:EX908)</f>
        <v>35.506200000000007</v>
      </c>
      <c r="IG908" s="346">
        <f>IE908+IF908</f>
        <v>61.6267</v>
      </c>
      <c r="IH908" s="350">
        <f>SUM(EY908:FD908)</f>
        <v>60.390499999999946</v>
      </c>
      <c r="II908" s="350">
        <f>SUM(FE908:FJ908)</f>
        <v>97.323200000000043</v>
      </c>
      <c r="IJ908" s="346">
        <f t="shared" si="1463"/>
        <v>157.71369999999999</v>
      </c>
      <c r="IK908" s="350">
        <f t="shared" si="1483"/>
        <v>54.983699999999942</v>
      </c>
      <c r="IL908" s="350">
        <f t="shared" si="1484"/>
        <v>63.558899999999937</v>
      </c>
      <c r="IM908" s="346">
        <f t="shared" si="1430"/>
        <v>118.54259999999988</v>
      </c>
      <c r="IN908" s="350">
        <f t="shared" si="1438"/>
        <v>62.678600000000017</v>
      </c>
      <c r="IO908" s="350">
        <f t="shared" si="1439"/>
        <v>-5.8498000000000729</v>
      </c>
      <c r="IP908" s="346">
        <f t="shared" si="1443"/>
        <v>56.828799999999944</v>
      </c>
      <c r="IQ908" s="350">
        <f t="shared" si="1440"/>
        <v>167.54703499999994</v>
      </c>
      <c r="IR908" s="350">
        <f t="shared" si="1441"/>
        <v>76.066500000000133</v>
      </c>
      <c r="IS908" s="346">
        <f t="shared" si="1410"/>
        <v>243.61353500000007</v>
      </c>
      <c r="IT908" s="350">
        <f>SUM(GU908:GZ908)</f>
        <v>98.892699999999991</v>
      </c>
      <c r="IU908" s="350">
        <f t="shared" si="1479"/>
        <v>-5.0946999999999889</v>
      </c>
      <c r="IV908" s="346">
        <f t="shared" si="1409"/>
        <v>93.798000000000002</v>
      </c>
      <c r="IW908" s="350">
        <f t="shared" si="1428"/>
        <v>127.48899999999992</v>
      </c>
      <c r="IX908" s="302">
        <f t="shared" si="1426"/>
        <v>-57.488999999999919</v>
      </c>
      <c r="IY908" s="346">
        <f>FISC!AJ1229</f>
        <v>70</v>
      </c>
      <c r="IZ908" s="350">
        <f>JB908/2</f>
        <v>10</v>
      </c>
      <c r="JA908" s="302">
        <f t="shared" si="1466"/>
        <v>10</v>
      </c>
      <c r="JB908" s="346">
        <f>FISC!AK1229</f>
        <v>20</v>
      </c>
      <c r="JC908" s="350">
        <f>JE908/2</f>
        <v>10</v>
      </c>
      <c r="JD908" s="302">
        <f>JE908-JC908</f>
        <v>10</v>
      </c>
      <c r="JE908" s="346">
        <f>FISC!AL1229</f>
        <v>20</v>
      </c>
      <c r="JF908" s="350">
        <f>JH908/2</f>
        <v>10.5</v>
      </c>
      <c r="JG908" s="302">
        <f>JH908-JF908</f>
        <v>10.5</v>
      </c>
      <c r="JH908" s="346">
        <f>FISC!AM1229</f>
        <v>21</v>
      </c>
      <c r="JI908" s="350">
        <f>JK908/2</f>
        <v>11</v>
      </c>
      <c r="JJ908" s="302">
        <f>JK908-JI908</f>
        <v>11</v>
      </c>
      <c r="JK908" s="346">
        <f>FISC!AN1229</f>
        <v>22</v>
      </c>
      <c r="JL908" s="350">
        <f>JN908/2</f>
        <v>11.5</v>
      </c>
      <c r="JM908" s="302">
        <f>JN908-JL908</f>
        <v>11.5</v>
      </c>
      <c r="JN908" s="346">
        <f>FISC!AO1229</f>
        <v>23</v>
      </c>
      <c r="KI908" s="349"/>
      <c r="KJ908" s="350"/>
    </row>
    <row r="909" spans="1:302" hidden="1" outlineLevel="1">
      <c r="A909" s="302"/>
      <c r="B909" s="117" t="s">
        <v>361</v>
      </c>
      <c r="D909" s="357" t="s">
        <v>608</v>
      </c>
      <c r="E909" s="346"/>
      <c r="F909" s="346"/>
      <c r="G909" s="346"/>
      <c r="H909" s="346"/>
      <c r="I909" s="346"/>
      <c r="J909" s="346"/>
      <c r="K909" s="346"/>
      <c r="L909" s="346"/>
      <c r="M909" s="346"/>
      <c r="N909" s="346"/>
      <c r="O909" s="346"/>
      <c r="P909" s="346"/>
      <c r="Q909" s="346"/>
      <c r="R909" s="346"/>
      <c r="S909" s="346"/>
      <c r="T909" s="346"/>
      <c r="U909" s="346"/>
      <c r="V909" s="346"/>
      <c r="W909" s="346"/>
      <c r="X909" s="346"/>
      <c r="Y909" s="346"/>
      <c r="Z909" s="346"/>
      <c r="AA909" s="346"/>
      <c r="AB909" s="346"/>
      <c r="AC909" s="346"/>
      <c r="AD909" s="346"/>
      <c r="AE909" s="346"/>
      <c r="AF909" s="346"/>
      <c r="AG909" s="346"/>
      <c r="AH909" s="346"/>
      <c r="AI909" s="346"/>
      <c r="AJ909" s="346"/>
      <c r="AK909" s="346"/>
      <c r="AL909" s="346"/>
      <c r="AM909" s="346"/>
      <c r="AN909" s="346"/>
      <c r="AO909" s="346"/>
      <c r="AP909" s="346"/>
      <c r="AQ909" s="346"/>
      <c r="AR909" s="346"/>
      <c r="AS909" s="346"/>
      <c r="AT909" s="346"/>
      <c r="AU909" s="346"/>
      <c r="AV909" s="346"/>
      <c r="AW909" s="346"/>
      <c r="AX909" s="346"/>
      <c r="AY909" s="346"/>
      <c r="AZ909" s="346"/>
      <c r="BA909" s="346"/>
      <c r="BB909" s="346"/>
      <c r="BC909" s="346"/>
      <c r="BD909" s="346"/>
      <c r="BE909" s="346"/>
      <c r="BF909" s="346"/>
      <c r="BG909" s="346"/>
      <c r="BH909" s="346"/>
      <c r="BI909" s="346"/>
      <c r="BJ909" s="346"/>
      <c r="BK909" s="346"/>
      <c r="BL909" s="346"/>
      <c r="BM909" s="346"/>
      <c r="BN909" s="346"/>
      <c r="BO909" s="346"/>
      <c r="BP909" s="346"/>
      <c r="BQ909" s="346"/>
      <c r="BR909" s="346"/>
      <c r="BS909" s="346"/>
      <c r="BT909" s="346"/>
      <c r="BU909" s="346"/>
      <c r="BV909" s="346"/>
      <c r="BW909" s="346"/>
      <c r="BX909" s="346"/>
      <c r="BY909" s="346"/>
      <c r="BZ909" s="346"/>
      <c r="CA909" s="346"/>
      <c r="CB909" s="346"/>
      <c r="CC909" s="346"/>
      <c r="CD909" s="352"/>
      <c r="CE909" s="346">
        <v>-1.1372549589999954</v>
      </c>
      <c r="CF909" s="346">
        <v>-2.9363888169999868</v>
      </c>
      <c r="CG909" s="346">
        <v>4.5850630180000209</v>
      </c>
      <c r="CH909" s="346">
        <v>-2.3230510569999918</v>
      </c>
      <c r="CI909" s="346">
        <v>-0.83846137100001528</v>
      </c>
      <c r="CJ909" s="346">
        <v>-0.84152325700004793</v>
      </c>
      <c r="CK909" s="346">
        <v>-0.37709123464030725</v>
      </c>
      <c r="CL909" s="346">
        <v>-4.6090576967409671</v>
      </c>
      <c r="CM909" s="346">
        <v>-1.9720146057346069</v>
      </c>
      <c r="CN909" s="346">
        <v>-0.24386713191028875</v>
      </c>
      <c r="CO909" s="346">
        <v>5.223846604026221</v>
      </c>
      <c r="CP909" s="348">
        <v>-6.2515982240812562</v>
      </c>
      <c r="CQ909" s="346">
        <v>-9.2814034044651663</v>
      </c>
      <c r="CR909" s="346">
        <v>-1.8359319072506679</v>
      </c>
      <c r="CS909" s="346">
        <v>0.30635183508552899</v>
      </c>
      <c r="CT909" s="346">
        <v>25.132314571300466</v>
      </c>
      <c r="CU909" s="346">
        <v>-23.149941404842068</v>
      </c>
      <c r="CV909" s="346">
        <v>-3.7527277347506915</v>
      </c>
      <c r="CW909" s="346">
        <v>0.74284863208265506</v>
      </c>
      <c r="CX909" s="346">
        <v>-2.0720232067819753</v>
      </c>
      <c r="CY909" s="346">
        <v>-7.7686040732472028</v>
      </c>
      <c r="CZ909" s="346">
        <v>-2.9088224455013965</v>
      </c>
      <c r="DA909" s="346">
        <v>-0.72065458055597986</v>
      </c>
      <c r="DB909" s="1479">
        <v>-3.5475250929342641</v>
      </c>
      <c r="DC909" s="346">
        <v>-1.016963142</v>
      </c>
      <c r="DD909" s="346">
        <v>0</v>
      </c>
      <c r="DE909" s="346">
        <v>-0.107257982</v>
      </c>
      <c r="DF909" s="346">
        <v>-1.0296751799999999</v>
      </c>
      <c r="DG909" s="346">
        <v>-10.5</v>
      </c>
      <c r="DH909" s="346">
        <v>-0.28742022900000003</v>
      </c>
      <c r="DI909" s="346">
        <v>-1.0425461199999999</v>
      </c>
      <c r="DJ909" s="346">
        <v>0</v>
      </c>
      <c r="DK909" s="346">
        <v>0</v>
      </c>
      <c r="DL909" s="346">
        <v>-1.055577947</v>
      </c>
      <c r="DM909" s="346">
        <v>0</v>
      </c>
      <c r="DN909" s="348">
        <v>0</v>
      </c>
      <c r="DO909" s="346">
        <v>-1.0687726710000001</v>
      </c>
      <c r="DP909" s="346">
        <v>-0.85545203299999995</v>
      </c>
      <c r="DQ909" s="346">
        <v>-0.86362635300000001</v>
      </c>
      <c r="DR909" s="346">
        <v>-1.9540111120000001</v>
      </c>
      <c r="DS909" s="346">
        <v>0</v>
      </c>
      <c r="DT909" s="346">
        <v>-0.88021006800000001</v>
      </c>
      <c r="DU909" s="346">
        <v>-11.413168518999999</v>
      </c>
      <c r="DV909" s="346">
        <v>-3.6473710920000002</v>
      </c>
      <c r="DW909" s="346">
        <v>-1.8781187340000001</v>
      </c>
      <c r="DX909" s="346">
        <v>-2.9293783150000001</v>
      </c>
      <c r="DY909" s="346">
        <v>0</v>
      </c>
      <c r="DZ909" s="348">
        <v>-0.92307597399999997</v>
      </c>
      <c r="EA909" s="346">
        <v>-1.123221655</v>
      </c>
      <c r="EB909" s="346">
        <v>-3.8</v>
      </c>
      <c r="EC909" s="346">
        <v>-1.9</v>
      </c>
      <c r="ED909" s="346">
        <v>-3.0372619259999998</v>
      </c>
      <c r="EE909" s="346">
        <v>0</v>
      </c>
      <c r="EF909" s="346">
        <v>-2.1082000059999997</v>
      </c>
      <c r="EG909" s="346">
        <v>0</v>
      </c>
      <c r="EH909" s="346">
        <v>-1.9</v>
      </c>
      <c r="EI909" s="346">
        <v>-2.0874999999999999</v>
      </c>
      <c r="EJ909" s="346">
        <v>-6.406892944</v>
      </c>
      <c r="EK909" s="346">
        <v>0</v>
      </c>
      <c r="EL909" s="348">
        <v>-6.7624064999999991</v>
      </c>
      <c r="EM909" s="346">
        <v>26.768425806610708</v>
      </c>
      <c r="EN909" s="346">
        <v>1.720469081827531</v>
      </c>
      <c r="EO909" s="346">
        <v>-15.146247700965972</v>
      </c>
      <c r="EP909" s="346">
        <v>10.680448875139689</v>
      </c>
      <c r="EQ909" s="346">
        <v>-10.468546050333202</v>
      </c>
      <c r="ER909" s="346">
        <v>-101.04947002286468</v>
      </c>
      <c r="ES909" s="346">
        <v>15.282694472995274</v>
      </c>
      <c r="ET909" s="346">
        <v>-32.425887677354979</v>
      </c>
      <c r="EU909" s="346">
        <v>-4.5866968101165639E-2</v>
      </c>
      <c r="EV909" s="346">
        <v>3.9660478675597233</v>
      </c>
      <c r="EW909" s="346">
        <v>-11.286667326501288</v>
      </c>
      <c r="EX909" s="348">
        <v>-40.671671837500924</v>
      </c>
      <c r="EY909" s="346">
        <v>0</v>
      </c>
      <c r="EZ909" s="346">
        <v>0</v>
      </c>
      <c r="FA909" s="346">
        <v>0</v>
      </c>
      <c r="FB909" s="346">
        <v>-10</v>
      </c>
      <c r="FC909" s="346">
        <v>0</v>
      </c>
      <c r="FD909" s="346">
        <v>0</v>
      </c>
      <c r="FE909" s="346">
        <v>-6.8958996150000003</v>
      </c>
      <c r="FF909" s="346">
        <v>-3.168919152</v>
      </c>
      <c r="FG909" s="346">
        <v>-3.1144872079999999</v>
      </c>
      <c r="FH909" s="346">
        <v>-11.918621296</v>
      </c>
      <c r="FI909" s="346">
        <v>0</v>
      </c>
      <c r="FJ909" s="348">
        <v>-3.4561392389999996</v>
      </c>
      <c r="FK909" s="346">
        <v>0</v>
      </c>
      <c r="FL909" s="346">
        <v>0</v>
      </c>
      <c r="FM909" s="346">
        <v>0</v>
      </c>
      <c r="FN909" s="346">
        <v>0</v>
      </c>
      <c r="FO909" s="346">
        <v>0</v>
      </c>
      <c r="FP909" s="346">
        <v>0</v>
      </c>
      <c r="FQ909" s="346">
        <v>0</v>
      </c>
      <c r="FR909" s="346">
        <v>0</v>
      </c>
      <c r="FS909" s="346">
        <v>-6.5</v>
      </c>
      <c r="FT909" s="346">
        <v>-28.5</v>
      </c>
      <c r="FU909" s="346">
        <v>-11.7</v>
      </c>
      <c r="FV909" s="346">
        <v>0</v>
      </c>
      <c r="FW909" s="346">
        <v>-26.091799999999999</v>
      </c>
      <c r="FX909" s="346">
        <v>-49.392000000000003</v>
      </c>
      <c r="FY909" s="346">
        <v>-0.123000000000001</v>
      </c>
      <c r="FZ909" s="346">
        <v>-0.33189999999999997</v>
      </c>
      <c r="GA909" s="346">
        <v>-8.9999999999999993E-3</v>
      </c>
      <c r="GB909" s="346">
        <v>0</v>
      </c>
      <c r="GC909" s="346">
        <v>0</v>
      </c>
      <c r="GD909" s="346">
        <v>0</v>
      </c>
      <c r="GE909" s="346">
        <v>-2.7047121669999998</v>
      </c>
      <c r="GF909" s="346">
        <v>0</v>
      </c>
      <c r="GG909" s="346">
        <v>0</v>
      </c>
      <c r="GH909" s="346">
        <v>-2.7829719050000001</v>
      </c>
      <c r="GI909" s="1897">
        <f t="shared" ref="GI909:HL909" si="1485">GI910+GI915</f>
        <v>0</v>
      </c>
      <c r="GJ909" s="1897">
        <f t="shared" si="1485"/>
        <v>-10</v>
      </c>
      <c r="GK909" s="1897">
        <f t="shared" si="1485"/>
        <v>-0.28525051699999998</v>
      </c>
      <c r="GL909" s="1897">
        <f t="shared" si="1485"/>
        <v>0</v>
      </c>
      <c r="GM909" s="1897">
        <f t="shared" si="1485"/>
        <v>-30</v>
      </c>
      <c r="GN909" s="1897">
        <f t="shared" si="1485"/>
        <v>-0.29603533100000001</v>
      </c>
      <c r="GO909" s="1897">
        <f t="shared" si="1485"/>
        <v>-114.05016187299999</v>
      </c>
      <c r="GP909" s="1897">
        <f t="shared" si="1485"/>
        <v>-15</v>
      </c>
      <c r="GQ909" s="1897">
        <f t="shared" si="1485"/>
        <v>-42.284721523999998</v>
      </c>
      <c r="GR909" s="1897">
        <f t="shared" si="1485"/>
        <v>0</v>
      </c>
      <c r="GS909" s="1897">
        <f t="shared" si="1485"/>
        <v>-9.1992606549999998</v>
      </c>
      <c r="GT909" s="1897">
        <f t="shared" si="1485"/>
        <v>-0.98660119000000002</v>
      </c>
      <c r="GU909" s="1897">
        <f t="shared" si="1485"/>
        <v>0</v>
      </c>
      <c r="GV909" s="1897">
        <f t="shared" si="1485"/>
        <v>0</v>
      </c>
      <c r="GW909" s="1897">
        <f t="shared" si="1485"/>
        <v>-0.99232490500000003</v>
      </c>
      <c r="GX909" s="1897">
        <f t="shared" si="1485"/>
        <v>0</v>
      </c>
      <c r="GY909" s="1897">
        <f t="shared" si="1485"/>
        <v>-9.9906587939999998</v>
      </c>
      <c r="GZ909" s="1897">
        <f t="shared" si="1485"/>
        <v>-23.004864997999999</v>
      </c>
      <c r="HA909" s="1897">
        <f t="shared" si="1485"/>
        <v>0</v>
      </c>
      <c r="HB909" s="1897">
        <f t="shared" si="1485"/>
        <v>0</v>
      </c>
      <c r="HC909" s="1897">
        <f t="shared" si="1485"/>
        <v>15.238439816999998</v>
      </c>
      <c r="HD909" s="1897">
        <f t="shared" si="1485"/>
        <v>0</v>
      </c>
      <c r="HE909" s="1897">
        <f t="shared" si="1485"/>
        <v>-65</v>
      </c>
      <c r="HF909" s="1897">
        <f t="shared" si="1485"/>
        <v>-12.039217196999999</v>
      </c>
      <c r="HG909" s="1897">
        <f t="shared" si="1485"/>
        <v>-7.4881662630000001</v>
      </c>
      <c r="HH909" s="1897">
        <f t="shared" si="1485"/>
        <v>0</v>
      </c>
      <c r="HI909" s="1897">
        <f t="shared" si="1485"/>
        <v>-1.463363051</v>
      </c>
      <c r="HJ909" s="1897">
        <f t="shared" si="1485"/>
        <v>0</v>
      </c>
      <c r="HK909" s="1897">
        <f t="shared" si="1485"/>
        <v>-55</v>
      </c>
      <c r="HL909" s="1897">
        <f t="shared" si="1485"/>
        <v>-17.756314396</v>
      </c>
      <c r="HM909" s="1897"/>
      <c r="HN909" s="349"/>
      <c r="HO909" s="357" t="s">
        <v>608</v>
      </c>
      <c r="HP909" s="307">
        <f>SUM(CE909:CJ909)</f>
        <v>-3.4916164430000163</v>
      </c>
      <c r="HQ909" s="302">
        <f>SUM(CK909:CP909)</f>
        <v>-8.2297822890812053</v>
      </c>
      <c r="HR909" s="346">
        <f>HP909+HQ909</f>
        <v>-11.721398732081221</v>
      </c>
      <c r="HS909" s="302">
        <f>SUM(CQ909:CV909)</f>
        <v>-12.5813380449226</v>
      </c>
      <c r="HT909" s="302">
        <f>SUM(CW909:DB909)</f>
        <v>-16.274780766938164</v>
      </c>
      <c r="HU909" s="346">
        <f>HS909+HT909</f>
        <v>-28.856118811860764</v>
      </c>
      <c r="HV909" s="307">
        <f>SUM(DC909:DH909)</f>
        <v>-12.941316533</v>
      </c>
      <c r="HW909" s="302">
        <f>SUM(DI909:DN909)</f>
        <v>-2.0981240669999996</v>
      </c>
      <c r="HX909" s="346">
        <f>HV909+HW909</f>
        <v>-15.039440599999999</v>
      </c>
      <c r="HY909" s="350">
        <f>SUM(DO909:DT909)</f>
        <v>-5.6220722370000002</v>
      </c>
      <c r="HZ909" s="302">
        <f>SUM(DU909:DZ909)</f>
        <v>-20.791112634000001</v>
      </c>
      <c r="IA909" s="346">
        <f>HY909+HZ909</f>
        <v>-26.413184871000002</v>
      </c>
      <c r="IB909" s="302">
        <f>SUM(EA909:EF909)</f>
        <v>-11.968683586999997</v>
      </c>
      <c r="IC909" s="302">
        <f>SUM(EG909:EL909)</f>
        <v>-17.156799444000001</v>
      </c>
      <c r="ID909" s="346">
        <f>IB909+IC909</f>
        <v>-29.125483030999998</v>
      </c>
      <c r="IE909" s="350">
        <f>SUM(EM909:ER909)</f>
        <v>-87.494920010585929</v>
      </c>
      <c r="IF909" s="350">
        <f>SUM(ES909:EX909)</f>
        <v>-65.181351468903358</v>
      </c>
      <c r="IG909" s="346">
        <f>IE909+IF909</f>
        <v>-152.67627147948929</v>
      </c>
      <c r="IH909" s="350">
        <f>SUM(EY909:FD909)</f>
        <v>-10</v>
      </c>
      <c r="II909" s="350">
        <f>SUM(FE909:FJ909)</f>
        <v>-28.554066509999998</v>
      </c>
      <c r="IJ909" s="346">
        <f t="shared" si="1463"/>
        <v>-38.554066509999998</v>
      </c>
      <c r="IK909" s="350">
        <f t="shared" si="1483"/>
        <v>0</v>
      </c>
      <c r="IL909" s="350">
        <f t="shared" si="1484"/>
        <v>-46.7</v>
      </c>
      <c r="IM909" s="346">
        <f t="shared" si="1430"/>
        <v>-46.7</v>
      </c>
      <c r="IN909" s="350">
        <f t="shared" si="1438"/>
        <v>-75.947700000000012</v>
      </c>
      <c r="IO909" s="350">
        <f t="shared" si="1439"/>
        <v>-5.4876840720000004</v>
      </c>
      <c r="IP909" s="346">
        <f t="shared" si="1443"/>
        <v>-81.435384072000005</v>
      </c>
      <c r="IQ909" s="350">
        <f t="shared" si="1440"/>
        <v>-40.581285848</v>
      </c>
      <c r="IR909" s="350">
        <f t="shared" si="1441"/>
        <v>-181.52074524199995</v>
      </c>
      <c r="IS909" s="346">
        <f t="shared" si="1410"/>
        <v>-222.10203108999994</v>
      </c>
      <c r="IT909" s="350">
        <f>IT910+IT915</f>
        <v>-33.987848696999997</v>
      </c>
      <c r="IU909" s="350">
        <f>IU910+IU915</f>
        <v>-61.80077738</v>
      </c>
      <c r="IV909" s="346">
        <f t="shared" si="1409"/>
        <v>-95.788626077000004</v>
      </c>
      <c r="IW909" s="350">
        <f t="shared" si="1428"/>
        <v>-81.707843709999992</v>
      </c>
      <c r="IX909" s="573">
        <f t="shared" si="1426"/>
        <v>-14.606842090360004</v>
      </c>
      <c r="IY909" s="346">
        <f>FISC!AJ1230</f>
        <v>-96.314685800359996</v>
      </c>
      <c r="IZ909" s="573">
        <f>IZ910+IZ915</f>
        <v>-61.321297088679998</v>
      </c>
      <c r="JA909" s="573">
        <f>JA910+JA915</f>
        <v>-65.604917088679997</v>
      </c>
      <c r="JB909" s="346">
        <f>FISC!AK1230</f>
        <v>-126.92621417736</v>
      </c>
      <c r="JC909" s="573">
        <f>JC910+JC915</f>
        <v>-64.878599676679997</v>
      </c>
      <c r="JD909" s="573">
        <f>JD910+JD915</f>
        <v>-24.067366355680011</v>
      </c>
      <c r="JE909" s="346">
        <f>FISC!AL1230</f>
        <v>-88.945966032360005</v>
      </c>
      <c r="JF909" s="573">
        <f>JF910+JF915</f>
        <v>-97.675577986679997</v>
      </c>
      <c r="JG909" s="573">
        <f>JG910+JG915</f>
        <v>-66.06238639967998</v>
      </c>
      <c r="JH909" s="346">
        <f>FISC!AM1230</f>
        <v>-163.73796438635998</v>
      </c>
      <c r="JI909" s="573">
        <f>JI910+JI915</f>
        <v>-72.881742717679998</v>
      </c>
      <c r="JJ909" s="573">
        <f>JJ910+JJ915</f>
        <v>-22.999894575679999</v>
      </c>
      <c r="JK909" s="346">
        <f>FISC!AN1230</f>
        <v>-95.881637293360001</v>
      </c>
      <c r="JL909" s="573">
        <f>JL910+JL915</f>
        <v>-106.08586947768001</v>
      </c>
      <c r="JM909" s="573">
        <f>JM910+JM915</f>
        <v>-43.245105151679986</v>
      </c>
      <c r="JN909" s="346">
        <f>FISC!AO1230</f>
        <v>-149.33097462935999</v>
      </c>
      <c r="KI909" s="349"/>
      <c r="KJ909" s="350"/>
    </row>
    <row r="910" spans="1:302" hidden="1" outlineLevel="1">
      <c r="A910" s="302"/>
      <c r="D910" s="1680" t="s">
        <v>3235</v>
      </c>
      <c r="E910" s="346"/>
      <c r="F910" s="346"/>
      <c r="G910" s="346"/>
      <c r="H910" s="346"/>
      <c r="I910" s="346"/>
      <c r="J910" s="346"/>
      <c r="K910" s="346"/>
      <c r="L910" s="346"/>
      <c r="M910" s="346"/>
      <c r="N910" s="346"/>
      <c r="O910" s="346"/>
      <c r="P910" s="346"/>
      <c r="Q910" s="346"/>
      <c r="R910" s="346"/>
      <c r="S910" s="346"/>
      <c r="T910" s="346"/>
      <c r="U910" s="346"/>
      <c r="V910" s="346"/>
      <c r="W910" s="346"/>
      <c r="X910" s="346"/>
      <c r="Y910" s="346"/>
      <c r="Z910" s="346"/>
      <c r="AA910" s="346"/>
      <c r="AB910" s="346"/>
      <c r="AC910" s="346"/>
      <c r="AD910" s="346"/>
      <c r="AE910" s="346"/>
      <c r="AF910" s="346"/>
      <c r="AG910" s="346"/>
      <c r="AH910" s="346"/>
      <c r="AI910" s="346"/>
      <c r="AJ910" s="346"/>
      <c r="AK910" s="346"/>
      <c r="AL910" s="346"/>
      <c r="AM910" s="346"/>
      <c r="AN910" s="346"/>
      <c r="AO910" s="346"/>
      <c r="AP910" s="346"/>
      <c r="AQ910" s="346"/>
      <c r="AR910" s="346"/>
      <c r="AS910" s="346"/>
      <c r="AT910" s="346"/>
      <c r="AU910" s="346"/>
      <c r="AV910" s="346"/>
      <c r="AW910" s="346"/>
      <c r="AX910" s="346"/>
      <c r="AY910" s="346"/>
      <c r="AZ910" s="346"/>
      <c r="BA910" s="346"/>
      <c r="BB910" s="346"/>
      <c r="BC910" s="346"/>
      <c r="BD910" s="346"/>
      <c r="BE910" s="346"/>
      <c r="BF910" s="346"/>
      <c r="BG910" s="346"/>
      <c r="BH910" s="346"/>
      <c r="BI910" s="346"/>
      <c r="BJ910" s="346"/>
      <c r="BK910" s="346"/>
      <c r="BL910" s="346"/>
      <c r="BM910" s="346"/>
      <c r="BN910" s="346"/>
      <c r="BO910" s="346"/>
      <c r="BP910" s="346"/>
      <c r="BQ910" s="346"/>
      <c r="BR910" s="346"/>
      <c r="BS910" s="346"/>
      <c r="BT910" s="346"/>
      <c r="BU910" s="346"/>
      <c r="BV910" s="346"/>
      <c r="BW910" s="346"/>
      <c r="BX910" s="346"/>
      <c r="BY910" s="346"/>
      <c r="BZ910" s="346"/>
      <c r="CA910" s="346"/>
      <c r="CB910" s="346"/>
      <c r="CC910" s="346"/>
      <c r="CD910" s="352"/>
      <c r="CE910" s="346"/>
      <c r="CF910" s="346"/>
      <c r="CG910" s="346"/>
      <c r="CH910" s="346"/>
      <c r="CI910" s="346"/>
      <c r="CJ910" s="346"/>
      <c r="CK910" s="346"/>
      <c r="CL910" s="346"/>
      <c r="CM910" s="346"/>
      <c r="CN910" s="346"/>
      <c r="CO910" s="346"/>
      <c r="CP910" s="348"/>
      <c r="CQ910" s="346"/>
      <c r="CR910" s="346"/>
      <c r="CS910" s="346"/>
      <c r="CT910" s="346"/>
      <c r="CU910" s="346"/>
      <c r="CV910" s="346"/>
      <c r="CW910" s="346"/>
      <c r="CX910" s="346"/>
      <c r="CY910" s="346"/>
      <c r="CZ910" s="346"/>
      <c r="DA910" s="346"/>
      <c r="DB910" s="1479"/>
      <c r="DC910" s="346"/>
      <c r="DD910" s="346"/>
      <c r="DE910" s="346"/>
      <c r="DF910" s="346"/>
      <c r="DG910" s="346"/>
      <c r="DH910" s="346"/>
      <c r="DI910" s="346"/>
      <c r="DJ910" s="346"/>
      <c r="DK910" s="346"/>
      <c r="DL910" s="346"/>
      <c r="DM910" s="346"/>
      <c r="DN910" s="348"/>
      <c r="DO910" s="346"/>
      <c r="DP910" s="346"/>
      <c r="DQ910" s="346"/>
      <c r="DR910" s="346"/>
      <c r="DS910" s="346"/>
      <c r="DT910" s="346"/>
      <c r="DU910" s="346"/>
      <c r="DV910" s="346"/>
      <c r="DW910" s="346"/>
      <c r="DX910" s="346"/>
      <c r="DY910" s="346"/>
      <c r="DZ910" s="348"/>
      <c r="EA910" s="346"/>
      <c r="EB910" s="346"/>
      <c r="EC910" s="346"/>
      <c r="ED910" s="346"/>
      <c r="EE910" s="346"/>
      <c r="EF910" s="346"/>
      <c r="EG910" s="346"/>
      <c r="EH910" s="346"/>
      <c r="EI910" s="346"/>
      <c r="EJ910" s="346"/>
      <c r="EK910" s="346"/>
      <c r="EL910" s="348"/>
      <c r="EM910" s="346"/>
      <c r="EN910" s="346"/>
      <c r="EO910" s="346"/>
      <c r="EP910" s="346"/>
      <c r="EQ910" s="346"/>
      <c r="ER910" s="346"/>
      <c r="ES910" s="346"/>
      <c r="ET910" s="346"/>
      <c r="EU910" s="346"/>
      <c r="EV910" s="346"/>
      <c r="EW910" s="346"/>
      <c r="EX910" s="348"/>
      <c r="EY910" s="346"/>
      <c r="EZ910" s="346"/>
      <c r="FA910" s="346"/>
      <c r="FB910" s="346"/>
      <c r="FC910" s="346"/>
      <c r="FD910" s="346"/>
      <c r="FE910" s="346"/>
      <c r="FF910" s="346"/>
      <c r="FG910" s="346"/>
      <c r="FH910" s="346"/>
      <c r="FI910" s="346"/>
      <c r="FJ910" s="348"/>
      <c r="FK910" s="346"/>
      <c r="FL910" s="346"/>
      <c r="FM910" s="346"/>
      <c r="FN910" s="346"/>
      <c r="FO910" s="346"/>
      <c r="FP910" s="346"/>
      <c r="FQ910" s="346"/>
      <c r="FR910" s="346"/>
      <c r="FS910" s="346"/>
      <c r="FT910" s="346"/>
      <c r="FU910" s="346"/>
      <c r="FV910" s="346"/>
      <c r="FW910" s="346"/>
      <c r="FX910" s="346"/>
      <c r="FY910" s="346"/>
      <c r="FZ910" s="346"/>
      <c r="GA910" s="346"/>
      <c r="GB910" s="346"/>
      <c r="GC910" s="346"/>
      <c r="GD910" s="346"/>
      <c r="GE910" s="346"/>
      <c r="GF910" s="346"/>
      <c r="GG910" s="346"/>
      <c r="GH910" s="346"/>
      <c r="GI910" s="1897">
        <v>0</v>
      </c>
      <c r="GJ910" s="1897">
        <v>0</v>
      </c>
      <c r="GK910" s="1897">
        <v>-0.28525051699999998</v>
      </c>
      <c r="GL910" s="1897">
        <v>0</v>
      </c>
      <c r="GM910" s="1897">
        <v>0</v>
      </c>
      <c r="GN910" s="1897">
        <v>-0.29603533100000001</v>
      </c>
      <c r="GO910" s="1897">
        <v>-69.050161872999993</v>
      </c>
      <c r="GP910" s="1897">
        <v>0</v>
      </c>
      <c r="GQ910" s="1897">
        <v>-8.7297215240000003</v>
      </c>
      <c r="GR910" s="1897">
        <v>0</v>
      </c>
      <c r="GS910" s="1897">
        <v>-9.1992606549999998</v>
      </c>
      <c r="GT910" s="1897">
        <v>-0.98660119000000002</v>
      </c>
      <c r="GU910" s="1897">
        <f>GU912</f>
        <v>0</v>
      </c>
      <c r="GV910" s="1897">
        <f t="shared" ref="GV910:HL910" si="1486">GV912</f>
        <v>0</v>
      </c>
      <c r="GW910" s="1897">
        <f t="shared" si="1486"/>
        <v>-0.99232490500000003</v>
      </c>
      <c r="GX910" s="1897">
        <f t="shared" si="1486"/>
        <v>0</v>
      </c>
      <c r="GY910" s="1897">
        <f t="shared" si="1486"/>
        <v>-9.9906587939999998</v>
      </c>
      <c r="GZ910" s="1897">
        <f t="shared" si="1486"/>
        <v>-23.004864997999999</v>
      </c>
      <c r="HA910" s="1897">
        <f t="shared" si="1486"/>
        <v>0</v>
      </c>
      <c r="HB910" s="1897">
        <f t="shared" si="1486"/>
        <v>0</v>
      </c>
      <c r="HC910" s="1897">
        <f t="shared" si="1486"/>
        <v>15.238439816999998</v>
      </c>
      <c r="HD910" s="1897">
        <f t="shared" si="1486"/>
        <v>0</v>
      </c>
      <c r="HE910" s="1897">
        <f t="shared" si="1486"/>
        <v>0</v>
      </c>
      <c r="HF910" s="1897">
        <f t="shared" si="1486"/>
        <v>-12.039217196999999</v>
      </c>
      <c r="HG910" s="1897">
        <f t="shared" si="1486"/>
        <v>-7.4881662630000001</v>
      </c>
      <c r="HH910" s="1897">
        <f t="shared" si="1486"/>
        <v>0</v>
      </c>
      <c r="HI910" s="1897">
        <f t="shared" si="1486"/>
        <v>-1.463363051</v>
      </c>
      <c r="HJ910" s="1897">
        <f t="shared" si="1486"/>
        <v>0</v>
      </c>
      <c r="HK910" s="1897">
        <f t="shared" si="1486"/>
        <v>0</v>
      </c>
      <c r="HL910" s="1897">
        <f t="shared" si="1486"/>
        <v>-17.756314396</v>
      </c>
      <c r="HM910" s="1897"/>
      <c r="HN910" s="349"/>
      <c r="HO910" s="1680" t="s">
        <v>3235</v>
      </c>
      <c r="HP910" s="307"/>
      <c r="HR910" s="346"/>
      <c r="HU910" s="346"/>
      <c r="HV910" s="307"/>
      <c r="HX910" s="346"/>
      <c r="HY910" s="350"/>
      <c r="IA910" s="346"/>
      <c r="ID910" s="346"/>
      <c r="IE910" s="350"/>
      <c r="IF910" s="350"/>
      <c r="IG910" s="346"/>
      <c r="IH910" s="350"/>
      <c r="II910" s="350"/>
      <c r="IJ910" s="346"/>
      <c r="IK910" s="350">
        <f t="shared" si="1483"/>
        <v>0</v>
      </c>
      <c r="IL910" s="350">
        <f t="shared" si="1484"/>
        <v>0</v>
      </c>
      <c r="IM910" s="346">
        <f t="shared" si="1430"/>
        <v>0</v>
      </c>
      <c r="IN910" s="350">
        <f t="shared" si="1438"/>
        <v>0</v>
      </c>
      <c r="IO910" s="350">
        <f t="shared" si="1439"/>
        <v>0</v>
      </c>
      <c r="IP910" s="346">
        <f t="shared" si="1443"/>
        <v>0</v>
      </c>
      <c r="IQ910" s="350">
        <f t="shared" si="1440"/>
        <v>-0.58128584800000005</v>
      </c>
      <c r="IR910" s="350">
        <f t="shared" si="1441"/>
        <v>-87.965745241999997</v>
      </c>
      <c r="IS910" s="346">
        <f t="shared" si="1410"/>
        <v>-88.54703108999999</v>
      </c>
      <c r="IT910" s="350">
        <f>IT911+IT912</f>
        <v>-33.987848696999997</v>
      </c>
      <c r="IU910" s="350">
        <f>IU911+IU912</f>
        <v>3.1992226199999987</v>
      </c>
      <c r="IV910" s="346">
        <f t="shared" si="1409"/>
        <v>-30.788626076999996</v>
      </c>
      <c r="IW910" s="350">
        <f t="shared" si="1428"/>
        <v>-26.707843709999999</v>
      </c>
      <c r="IX910" s="350">
        <f t="shared" si="1426"/>
        <v>-4.0347170903600009</v>
      </c>
      <c r="IY910" s="346">
        <f>FISC!AJ1231</f>
        <v>-30.74256080036</v>
      </c>
      <c r="IZ910" s="350">
        <f>IZ911+IZ912</f>
        <v>-1.3212970886800002</v>
      </c>
      <c r="JA910" s="350">
        <f>JA911+JA912</f>
        <v>-1.3212970886800002</v>
      </c>
      <c r="JB910" s="346">
        <f>FISC!AK1231</f>
        <v>-2.6425941773600004</v>
      </c>
      <c r="JC910" s="350">
        <f>JC911+JC912</f>
        <v>-2.5001996766800003</v>
      </c>
      <c r="JD910" s="350">
        <f>JD911+JD912</f>
        <v>-2.5978663556799999</v>
      </c>
      <c r="JE910" s="346">
        <f>FISC!AL1231</f>
        <v>-5.0980660323600002</v>
      </c>
      <c r="JF910" s="350">
        <f>JF911+JF912</f>
        <v>-2.6755779866800005</v>
      </c>
      <c r="JG910" s="350">
        <f>JG911+JG912</f>
        <v>-2.7776863996800003</v>
      </c>
      <c r="JH910" s="346">
        <f>FISC!AM1231</f>
        <v>-5.4532643863600008</v>
      </c>
      <c r="JI910" s="350">
        <f>JI911+JI912</f>
        <v>-2.8817427176800003</v>
      </c>
      <c r="JJ910" s="350">
        <f>JJ911+JJ912</f>
        <v>-2.9998945756800004</v>
      </c>
      <c r="JK910" s="346">
        <f>FISC!AN1231</f>
        <v>-5.8816372933600007</v>
      </c>
      <c r="JL910" s="350">
        <f>JL911+JL912</f>
        <v>-3.1076694776800005</v>
      </c>
      <c r="JM910" s="350">
        <f>JM911+JM912</f>
        <v>-3.2451051516800002</v>
      </c>
      <c r="JN910" s="346">
        <f>FISC!AO1231</f>
        <v>-6.3527746293600007</v>
      </c>
      <c r="KI910" s="349"/>
      <c r="KJ910" s="350"/>
    </row>
    <row r="911" spans="1:302" hidden="1" outlineLevel="1">
      <c r="A911" s="302"/>
      <c r="D911" s="1689" t="s">
        <v>3232</v>
      </c>
      <c r="E911" s="346"/>
      <c r="F911" s="346"/>
      <c r="G911" s="346"/>
      <c r="H911" s="346"/>
      <c r="I911" s="346"/>
      <c r="J911" s="346"/>
      <c r="K911" s="346"/>
      <c r="L911" s="346"/>
      <c r="M911" s="346"/>
      <c r="N911" s="346"/>
      <c r="O911" s="346"/>
      <c r="P911" s="346"/>
      <c r="Q911" s="346"/>
      <c r="R911" s="346"/>
      <c r="S911" s="346"/>
      <c r="T911" s="346"/>
      <c r="U911" s="346"/>
      <c r="V911" s="346"/>
      <c r="W911" s="346"/>
      <c r="X911" s="346"/>
      <c r="Y911" s="346"/>
      <c r="Z911" s="346"/>
      <c r="AA911" s="346"/>
      <c r="AB911" s="346"/>
      <c r="AC911" s="346"/>
      <c r="AD911" s="346"/>
      <c r="AE911" s="346"/>
      <c r="AF911" s="346"/>
      <c r="AG911" s="346"/>
      <c r="AH911" s="346"/>
      <c r="AI911" s="346"/>
      <c r="AJ911" s="346"/>
      <c r="AK911" s="346"/>
      <c r="AL911" s="346"/>
      <c r="AM911" s="346"/>
      <c r="AN911" s="346"/>
      <c r="AO911" s="346"/>
      <c r="AP911" s="346"/>
      <c r="AQ911" s="346"/>
      <c r="AR911" s="346"/>
      <c r="AS911" s="346"/>
      <c r="AT911" s="346"/>
      <c r="AU911" s="346"/>
      <c r="AV911" s="346"/>
      <c r="AW911" s="346"/>
      <c r="AX911" s="346"/>
      <c r="AY911" s="346"/>
      <c r="AZ911" s="346"/>
      <c r="BA911" s="346"/>
      <c r="BB911" s="346"/>
      <c r="BC911" s="346"/>
      <c r="BD911" s="346"/>
      <c r="BE911" s="346"/>
      <c r="BF911" s="346"/>
      <c r="BG911" s="346"/>
      <c r="BH911" s="346"/>
      <c r="BI911" s="346"/>
      <c r="BJ911" s="346"/>
      <c r="BK911" s="346"/>
      <c r="BL911" s="346"/>
      <c r="BM911" s="346"/>
      <c r="BN911" s="346"/>
      <c r="BO911" s="346"/>
      <c r="BP911" s="346"/>
      <c r="BQ911" s="346"/>
      <c r="BR911" s="346"/>
      <c r="BS911" s="346"/>
      <c r="BT911" s="346"/>
      <c r="BU911" s="346"/>
      <c r="BV911" s="346"/>
      <c r="BW911" s="346"/>
      <c r="BX911" s="346"/>
      <c r="BY911" s="346"/>
      <c r="BZ911" s="346"/>
      <c r="CA911" s="346"/>
      <c r="CB911" s="346"/>
      <c r="CC911" s="346"/>
      <c r="CD911" s="352"/>
      <c r="CE911" s="346"/>
      <c r="CF911" s="346"/>
      <c r="CG911" s="346"/>
      <c r="CH911" s="346"/>
      <c r="CI911" s="346"/>
      <c r="CJ911" s="346"/>
      <c r="CK911" s="346"/>
      <c r="CL911" s="346"/>
      <c r="CM911" s="346"/>
      <c r="CN911" s="346"/>
      <c r="CO911" s="346"/>
      <c r="CP911" s="348"/>
      <c r="CQ911" s="346"/>
      <c r="CR911" s="346"/>
      <c r="CS911" s="346"/>
      <c r="CT911" s="346"/>
      <c r="CU911" s="346"/>
      <c r="CV911" s="346"/>
      <c r="CW911" s="346"/>
      <c r="CX911" s="346"/>
      <c r="CY911" s="346"/>
      <c r="CZ911" s="346"/>
      <c r="DA911" s="346"/>
      <c r="DB911" s="1479"/>
      <c r="DC911" s="346"/>
      <c r="DD911" s="346"/>
      <c r="DE911" s="346"/>
      <c r="DF911" s="346"/>
      <c r="DG911" s="346"/>
      <c r="DH911" s="346"/>
      <c r="DI911" s="346"/>
      <c r="DJ911" s="346"/>
      <c r="DK911" s="346"/>
      <c r="DL911" s="346"/>
      <c r="DM911" s="346"/>
      <c r="DN911" s="348"/>
      <c r="DO911" s="346"/>
      <c r="DP911" s="346"/>
      <c r="DQ911" s="346"/>
      <c r="DR911" s="346"/>
      <c r="DS911" s="346"/>
      <c r="DT911" s="346"/>
      <c r="DU911" s="346"/>
      <c r="DV911" s="346"/>
      <c r="DW911" s="346"/>
      <c r="DX911" s="346"/>
      <c r="DY911" s="346"/>
      <c r="DZ911" s="348"/>
      <c r="EA911" s="346"/>
      <c r="EB911" s="346"/>
      <c r="EC911" s="346"/>
      <c r="ED911" s="346"/>
      <c r="EE911" s="346"/>
      <c r="EF911" s="346"/>
      <c r="EG911" s="346"/>
      <c r="EH911" s="346"/>
      <c r="EI911" s="346"/>
      <c r="EJ911" s="346"/>
      <c r="EK911" s="346"/>
      <c r="EL911" s="348"/>
      <c r="EM911" s="346"/>
      <c r="EN911" s="346"/>
      <c r="EO911" s="346"/>
      <c r="EP911" s="346"/>
      <c r="EQ911" s="346"/>
      <c r="ER911" s="346"/>
      <c r="ES911" s="346"/>
      <c r="ET911" s="346"/>
      <c r="EU911" s="346"/>
      <c r="EV911" s="346"/>
      <c r="EW911" s="346"/>
      <c r="EX911" s="348"/>
      <c r="EY911" s="346"/>
      <c r="EZ911" s="346"/>
      <c r="FA911" s="346"/>
      <c r="FB911" s="346"/>
      <c r="FC911" s="346"/>
      <c r="FD911" s="346"/>
      <c r="FE911" s="346"/>
      <c r="FF911" s="346"/>
      <c r="FG911" s="346"/>
      <c r="FH911" s="346"/>
      <c r="FI911" s="346"/>
      <c r="FJ911" s="348"/>
      <c r="FK911" s="346"/>
      <c r="FL911" s="346"/>
      <c r="FM911" s="346"/>
      <c r="FN911" s="346"/>
      <c r="FO911" s="346"/>
      <c r="FP911" s="346"/>
      <c r="FQ911" s="346"/>
      <c r="FR911" s="346"/>
      <c r="FS911" s="346"/>
      <c r="FT911" s="346"/>
      <c r="FU911" s="346"/>
      <c r="FV911" s="346"/>
      <c r="FW911" s="346"/>
      <c r="FX911" s="346"/>
      <c r="FY911" s="346"/>
      <c r="FZ911" s="346"/>
      <c r="GA911" s="346"/>
      <c r="GB911" s="346"/>
      <c r="GC911" s="346"/>
      <c r="GD911" s="346"/>
      <c r="GE911" s="346"/>
      <c r="GF911" s="346"/>
      <c r="GG911" s="346"/>
      <c r="GH911" s="346"/>
      <c r="GI911" s="1897"/>
      <c r="GJ911" s="1897"/>
      <c r="GK911" s="1897"/>
      <c r="GL911" s="1897"/>
      <c r="GM911" s="1897"/>
      <c r="GN911" s="1897"/>
      <c r="HN911" s="349"/>
      <c r="HO911" s="1680" t="s">
        <v>3232</v>
      </c>
      <c r="HP911" s="307"/>
      <c r="HR911" s="346"/>
      <c r="HU911" s="346"/>
      <c r="HV911" s="307"/>
      <c r="HX911" s="346"/>
      <c r="HY911" s="350"/>
      <c r="IA911" s="346"/>
      <c r="ID911" s="346"/>
      <c r="IE911" s="350"/>
      <c r="IF911" s="350"/>
      <c r="IG911" s="346"/>
      <c r="IH911" s="350"/>
      <c r="II911" s="350"/>
      <c r="IJ911" s="346"/>
      <c r="IK911" s="350">
        <f t="shared" si="1483"/>
        <v>0</v>
      </c>
      <c r="IL911" s="350">
        <f t="shared" si="1484"/>
        <v>0</v>
      </c>
      <c r="IM911" s="346">
        <f t="shared" si="1430"/>
        <v>0</v>
      </c>
      <c r="IN911" s="350">
        <f t="shared" si="1438"/>
        <v>0</v>
      </c>
      <c r="IO911" s="350">
        <f t="shared" si="1439"/>
        <v>0</v>
      </c>
      <c r="IP911" s="346">
        <f t="shared" si="1443"/>
        <v>0</v>
      </c>
      <c r="IQ911" s="350">
        <f t="shared" si="1440"/>
        <v>0</v>
      </c>
      <c r="IR911" s="350">
        <f t="shared" si="1441"/>
        <v>0</v>
      </c>
      <c r="IS911" s="346">
        <f t="shared" si="1410"/>
        <v>0</v>
      </c>
      <c r="IT911" s="350">
        <f t="shared" ref="IT911:IT919" si="1487">SUM(GU911:GZ911)</f>
        <v>0</v>
      </c>
      <c r="IU911" s="350">
        <f t="shared" ref="IU911:IU912" si="1488">SUM(HA911:HF911)</f>
        <v>0</v>
      </c>
      <c r="IV911" s="346">
        <f t="shared" si="1409"/>
        <v>0</v>
      </c>
      <c r="IW911" s="350">
        <f t="shared" si="1428"/>
        <v>0</v>
      </c>
      <c r="IX911" s="302">
        <f t="shared" si="1426"/>
        <v>0</v>
      </c>
      <c r="IY911" s="346">
        <f>FISC!AJ1232</f>
        <v>0</v>
      </c>
      <c r="IZ911" s="350">
        <f t="shared" ref="IZ911:IZ919" si="1489">JB911/2</f>
        <v>0</v>
      </c>
      <c r="JA911" s="302">
        <f t="shared" si="1466"/>
        <v>0</v>
      </c>
      <c r="JB911" s="346">
        <f>FISC!AK1232</f>
        <v>0</v>
      </c>
      <c r="JC911" s="350">
        <f t="shared" ref="JC911:JC919" si="1490">JE911/2</f>
        <v>0</v>
      </c>
      <c r="JD911" s="302">
        <f>JE911-JC911</f>
        <v>0</v>
      </c>
      <c r="JE911" s="346">
        <f>FISC!AL1232</f>
        <v>0</v>
      </c>
      <c r="JF911" s="350">
        <f t="shared" ref="JF911:JF919" si="1491">JH911/2</f>
        <v>0</v>
      </c>
      <c r="JG911" s="302">
        <f>JH911-JF911</f>
        <v>0</v>
      </c>
      <c r="JH911" s="346">
        <f>FISC!AM1232</f>
        <v>0</v>
      </c>
      <c r="JI911" s="350">
        <f t="shared" ref="JI911" si="1492">JK911/2</f>
        <v>0</v>
      </c>
      <c r="JJ911" s="302">
        <f>JK911-JI911</f>
        <v>0</v>
      </c>
      <c r="JK911" s="346">
        <f>FISC!AN1232</f>
        <v>0</v>
      </c>
      <c r="JL911" s="350">
        <f t="shared" ref="JL911" si="1493">JN911/2</f>
        <v>0</v>
      </c>
      <c r="JM911" s="302">
        <f>JN911-JL911</f>
        <v>0</v>
      </c>
      <c r="JN911" s="346">
        <f>FISC!AO1232</f>
        <v>0</v>
      </c>
      <c r="KI911" s="349"/>
      <c r="KJ911" s="350"/>
    </row>
    <row r="912" spans="1:302" hidden="1" outlineLevel="1">
      <c r="A912" s="302"/>
      <c r="D912" s="1689" t="s">
        <v>3233</v>
      </c>
      <c r="E912" s="346"/>
      <c r="F912" s="346"/>
      <c r="G912" s="346"/>
      <c r="H912" s="346"/>
      <c r="I912" s="346"/>
      <c r="J912" s="346"/>
      <c r="K912" s="346"/>
      <c r="L912" s="346"/>
      <c r="M912" s="346"/>
      <c r="N912" s="346"/>
      <c r="O912" s="346"/>
      <c r="P912" s="346"/>
      <c r="Q912" s="346"/>
      <c r="R912" s="346"/>
      <c r="S912" s="346"/>
      <c r="T912" s="346"/>
      <c r="U912" s="346"/>
      <c r="V912" s="346"/>
      <c r="W912" s="346"/>
      <c r="X912" s="346"/>
      <c r="Y912" s="346"/>
      <c r="Z912" s="346"/>
      <c r="AA912" s="346"/>
      <c r="AB912" s="346"/>
      <c r="AC912" s="346"/>
      <c r="AD912" s="346"/>
      <c r="AE912" s="346"/>
      <c r="AF912" s="346"/>
      <c r="AG912" s="346"/>
      <c r="AH912" s="346"/>
      <c r="AI912" s="346"/>
      <c r="AJ912" s="346"/>
      <c r="AK912" s="346"/>
      <c r="AL912" s="346"/>
      <c r="AM912" s="346"/>
      <c r="AN912" s="346"/>
      <c r="AO912" s="346"/>
      <c r="AP912" s="346"/>
      <c r="AQ912" s="346"/>
      <c r="AR912" s="346"/>
      <c r="AS912" s="346"/>
      <c r="AT912" s="346"/>
      <c r="AU912" s="346"/>
      <c r="AV912" s="346"/>
      <c r="AW912" s="346"/>
      <c r="AX912" s="346"/>
      <c r="AY912" s="346"/>
      <c r="AZ912" s="346"/>
      <c r="BA912" s="346"/>
      <c r="BB912" s="346"/>
      <c r="BC912" s="346"/>
      <c r="BD912" s="346"/>
      <c r="BE912" s="346"/>
      <c r="BF912" s="346"/>
      <c r="BG912" s="346"/>
      <c r="BH912" s="346"/>
      <c r="BI912" s="346"/>
      <c r="BJ912" s="346"/>
      <c r="BK912" s="346"/>
      <c r="BL912" s="346"/>
      <c r="BM912" s="346"/>
      <c r="BN912" s="346"/>
      <c r="BO912" s="346"/>
      <c r="BP912" s="346"/>
      <c r="BQ912" s="346"/>
      <c r="BR912" s="346"/>
      <c r="BS912" s="346"/>
      <c r="BT912" s="346"/>
      <c r="BU912" s="346"/>
      <c r="BV912" s="346"/>
      <c r="BW912" s="346"/>
      <c r="BX912" s="346"/>
      <c r="BY912" s="346"/>
      <c r="BZ912" s="346"/>
      <c r="CA912" s="346"/>
      <c r="CB912" s="346"/>
      <c r="CC912" s="346"/>
      <c r="CD912" s="352"/>
      <c r="CE912" s="346"/>
      <c r="CF912" s="346"/>
      <c r="CG912" s="346"/>
      <c r="CH912" s="346"/>
      <c r="CI912" s="346"/>
      <c r="CJ912" s="346"/>
      <c r="CK912" s="346"/>
      <c r="CL912" s="346"/>
      <c r="CM912" s="346"/>
      <c r="CN912" s="346"/>
      <c r="CO912" s="346"/>
      <c r="CP912" s="348"/>
      <c r="CQ912" s="346"/>
      <c r="CR912" s="346"/>
      <c r="CS912" s="346"/>
      <c r="CT912" s="346"/>
      <c r="CU912" s="346"/>
      <c r="CV912" s="346"/>
      <c r="CW912" s="346"/>
      <c r="CX912" s="346"/>
      <c r="CY912" s="346"/>
      <c r="CZ912" s="346"/>
      <c r="DA912" s="346"/>
      <c r="DB912" s="1479"/>
      <c r="DC912" s="346"/>
      <c r="DD912" s="346"/>
      <c r="DE912" s="346"/>
      <c r="DF912" s="346"/>
      <c r="DG912" s="346"/>
      <c r="DH912" s="346"/>
      <c r="DI912" s="346"/>
      <c r="DJ912" s="346"/>
      <c r="DK912" s="346"/>
      <c r="DL912" s="346"/>
      <c r="DM912" s="346"/>
      <c r="DN912" s="348"/>
      <c r="DO912" s="346"/>
      <c r="DP912" s="346"/>
      <c r="DQ912" s="346"/>
      <c r="DR912" s="346"/>
      <c r="DS912" s="346"/>
      <c r="DT912" s="346"/>
      <c r="DU912" s="346"/>
      <c r="DV912" s="346"/>
      <c r="DW912" s="346"/>
      <c r="DX912" s="346"/>
      <c r="DY912" s="346"/>
      <c r="DZ912" s="348"/>
      <c r="EA912" s="346"/>
      <c r="EB912" s="346"/>
      <c r="EC912" s="346"/>
      <c r="ED912" s="346"/>
      <c r="EE912" s="346"/>
      <c r="EF912" s="346"/>
      <c r="EG912" s="346"/>
      <c r="EH912" s="346"/>
      <c r="EI912" s="346"/>
      <c r="EJ912" s="346"/>
      <c r="EK912" s="346"/>
      <c r="EL912" s="348"/>
      <c r="EM912" s="346"/>
      <c r="EN912" s="346"/>
      <c r="EO912" s="346"/>
      <c r="EP912" s="346"/>
      <c r="EQ912" s="346"/>
      <c r="ER912" s="346"/>
      <c r="ES912" s="346"/>
      <c r="ET912" s="346"/>
      <c r="EU912" s="346"/>
      <c r="EV912" s="346"/>
      <c r="EW912" s="346"/>
      <c r="EX912" s="348"/>
      <c r="EY912" s="346"/>
      <c r="EZ912" s="346"/>
      <c r="FA912" s="346"/>
      <c r="FB912" s="346"/>
      <c r="FC912" s="346"/>
      <c r="FD912" s="346"/>
      <c r="FE912" s="346"/>
      <c r="FF912" s="346"/>
      <c r="FG912" s="346"/>
      <c r="FH912" s="346"/>
      <c r="FI912" s="346"/>
      <c r="FJ912" s="348"/>
      <c r="FK912" s="346"/>
      <c r="FL912" s="346"/>
      <c r="FM912" s="346"/>
      <c r="FN912" s="346"/>
      <c r="FO912" s="346"/>
      <c r="FP912" s="346"/>
      <c r="FQ912" s="346"/>
      <c r="FR912" s="346"/>
      <c r="FS912" s="346"/>
      <c r="FT912" s="346"/>
      <c r="FU912" s="346"/>
      <c r="FV912" s="346"/>
      <c r="FW912" s="346"/>
      <c r="FX912" s="346"/>
      <c r="FY912" s="346"/>
      <c r="FZ912" s="346"/>
      <c r="GA912" s="346"/>
      <c r="GB912" s="346"/>
      <c r="GC912" s="346"/>
      <c r="GD912" s="346"/>
      <c r="GE912" s="346"/>
      <c r="GF912" s="346"/>
      <c r="GG912" s="346"/>
      <c r="GH912" s="346"/>
      <c r="GI912" s="1897">
        <v>0</v>
      </c>
      <c r="GJ912" s="1897">
        <v>0</v>
      </c>
      <c r="GK912" s="1897">
        <v>-0.28525051699999998</v>
      </c>
      <c r="GL912" s="1897">
        <v>0</v>
      </c>
      <c r="GM912" s="1897">
        <v>0</v>
      </c>
      <c r="GN912" s="1897">
        <v>-0.29603533100000001</v>
      </c>
      <c r="GO912" s="1897">
        <v>-69.050161872999993</v>
      </c>
      <c r="GP912" s="1897">
        <v>0</v>
      </c>
      <c r="GQ912" s="1897">
        <v>-8.7297215240000003</v>
      </c>
      <c r="GR912" s="1897">
        <v>0</v>
      </c>
      <c r="GS912" s="1897">
        <v>-9.1992606549999998</v>
      </c>
      <c r="GT912" s="1897">
        <v>-0.98660119000000002</v>
      </c>
      <c r="GU912" s="1897">
        <f>GU913+GU914</f>
        <v>0</v>
      </c>
      <c r="GV912" s="1897">
        <f t="shared" ref="GV912:HL912" si="1494">GV913+GV914</f>
        <v>0</v>
      </c>
      <c r="GW912" s="1897">
        <f t="shared" si="1494"/>
        <v>-0.99232490500000003</v>
      </c>
      <c r="GX912" s="1897">
        <f t="shared" si="1494"/>
        <v>0</v>
      </c>
      <c r="GY912" s="1897">
        <f t="shared" si="1494"/>
        <v>-9.9906587939999998</v>
      </c>
      <c r="GZ912" s="1897">
        <f t="shared" si="1494"/>
        <v>-23.004864997999999</v>
      </c>
      <c r="HA912" s="1897">
        <f t="shared" si="1494"/>
        <v>0</v>
      </c>
      <c r="HB912" s="1897">
        <f t="shared" si="1494"/>
        <v>0</v>
      </c>
      <c r="HC912" s="1897">
        <f t="shared" si="1494"/>
        <v>15.238439816999998</v>
      </c>
      <c r="HD912" s="1897">
        <f t="shared" si="1494"/>
        <v>0</v>
      </c>
      <c r="HE912" s="1897">
        <f t="shared" si="1494"/>
        <v>0</v>
      </c>
      <c r="HF912" s="1897">
        <f t="shared" si="1494"/>
        <v>-12.039217196999999</v>
      </c>
      <c r="HG912" s="1897">
        <f t="shared" si="1494"/>
        <v>-7.4881662630000001</v>
      </c>
      <c r="HH912" s="1897">
        <f t="shared" si="1494"/>
        <v>0</v>
      </c>
      <c r="HI912" s="1897">
        <f t="shared" si="1494"/>
        <v>-1.463363051</v>
      </c>
      <c r="HJ912" s="1897">
        <f t="shared" si="1494"/>
        <v>0</v>
      </c>
      <c r="HK912" s="1897">
        <f t="shared" si="1494"/>
        <v>0</v>
      </c>
      <c r="HL912" s="1897">
        <f t="shared" si="1494"/>
        <v>-17.756314396</v>
      </c>
      <c r="HM912" s="1897"/>
      <c r="HN912" s="349"/>
      <c r="HO912" s="1680" t="s">
        <v>3233</v>
      </c>
      <c r="HP912" s="307"/>
      <c r="HR912" s="346"/>
      <c r="HU912" s="346"/>
      <c r="HV912" s="307"/>
      <c r="HX912" s="346"/>
      <c r="HY912" s="350"/>
      <c r="IA912" s="346"/>
      <c r="ID912" s="346"/>
      <c r="IE912" s="350"/>
      <c r="IF912" s="350"/>
      <c r="IG912" s="346"/>
      <c r="IH912" s="350"/>
      <c r="II912" s="350"/>
      <c r="IJ912" s="346"/>
      <c r="IK912" s="350">
        <f t="shared" si="1483"/>
        <v>0</v>
      </c>
      <c r="IL912" s="350">
        <f t="shared" si="1484"/>
        <v>0</v>
      </c>
      <c r="IM912" s="346">
        <f t="shared" si="1430"/>
        <v>0</v>
      </c>
      <c r="IN912" s="350">
        <f t="shared" ref="IN912:IN933" si="1495">SUM(FW912:GB912)</f>
        <v>0</v>
      </c>
      <c r="IO912" s="350">
        <f t="shared" ref="IO912:IO933" si="1496">SUM(GC912:GH912)</f>
        <v>0</v>
      </c>
      <c r="IP912" s="346">
        <f t="shared" si="1443"/>
        <v>0</v>
      </c>
      <c r="IQ912" s="350">
        <f t="shared" ref="IQ912:IQ938" si="1497">SUM(GI912:GN912)</f>
        <v>-0.58128584800000005</v>
      </c>
      <c r="IR912" s="350">
        <f t="shared" ref="IR912:IR938" si="1498">SUM(GO912:GT912)</f>
        <v>-87.965745241999997</v>
      </c>
      <c r="IS912" s="346">
        <f t="shared" si="1410"/>
        <v>-88.54703108999999</v>
      </c>
      <c r="IT912" s="350">
        <f t="shared" si="1487"/>
        <v>-33.987848696999997</v>
      </c>
      <c r="IU912" s="350">
        <f t="shared" si="1488"/>
        <v>3.1992226199999987</v>
      </c>
      <c r="IV912" s="346">
        <f t="shared" si="1409"/>
        <v>-30.788626076999996</v>
      </c>
      <c r="IW912" s="350">
        <f t="shared" si="1428"/>
        <v>-26.707843709999999</v>
      </c>
      <c r="IX912" s="302">
        <f t="shared" si="1426"/>
        <v>-4.0347170903600009</v>
      </c>
      <c r="IY912" s="346">
        <f>FISC!AJ1233</f>
        <v>-30.74256080036</v>
      </c>
      <c r="IZ912" s="350">
        <f>-SUM('PRINCIPAL DOMDEBT'!L4:L10)/1000000000</f>
        <v>-1.3212970886800002</v>
      </c>
      <c r="JA912" s="302">
        <f>JB912-IZ912</f>
        <v>-1.3212970886800002</v>
      </c>
      <c r="JB912" s="346">
        <f>FISC!AK1233</f>
        <v>-2.6425941773600004</v>
      </c>
      <c r="JC912" s="350">
        <f>-SUM('PRINCIPAL DOMDEBT'!O4:O10)/1000000000</f>
        <v>-2.5001996766800003</v>
      </c>
      <c r="JD912" s="302">
        <f>JE912-JC912</f>
        <v>-2.5978663556799999</v>
      </c>
      <c r="JE912" s="346">
        <f>FISC!AL1233</f>
        <v>-5.0980660323600002</v>
      </c>
      <c r="JF912" s="350">
        <f>-SUM('PRINCIPAL DOMDEBT'!R4:R10)/1000000000</f>
        <v>-2.6755779866800005</v>
      </c>
      <c r="JG912" s="302">
        <f>JH912-JF912</f>
        <v>-2.7776863996800003</v>
      </c>
      <c r="JH912" s="346">
        <f>FISC!AM1233</f>
        <v>-5.4532643863600008</v>
      </c>
      <c r="JI912" s="350">
        <f>-SUM('PRINCIPAL DOMDEBT'!U4:U10)/1000000000</f>
        <v>-2.8817427176800003</v>
      </c>
      <c r="JJ912" s="302">
        <f>JK912-JI912</f>
        <v>-2.9998945756800004</v>
      </c>
      <c r="JK912" s="346">
        <f>FISC!AN1233</f>
        <v>-5.8816372933600007</v>
      </c>
      <c r="JL912" s="350">
        <f>-SUM('PRINCIPAL DOMDEBT'!X4:X10)/1000000000</f>
        <v>-3.1076694776800005</v>
      </c>
      <c r="JM912" s="302">
        <f>JN912-JL912</f>
        <v>-3.2451051516800002</v>
      </c>
      <c r="JN912" s="346">
        <f>FISC!AO1233</f>
        <v>-6.3527746293600007</v>
      </c>
      <c r="KI912" s="349"/>
      <c r="KJ912" s="350"/>
    </row>
    <row r="913" spans="1:302" s="938" customFormat="1" hidden="1" outlineLevel="1">
      <c r="B913" s="2004"/>
      <c r="C913" s="2004"/>
      <c r="D913" s="2005" t="s">
        <v>3640</v>
      </c>
      <c r="E913" s="937"/>
      <c r="F913" s="937"/>
      <c r="G913" s="937"/>
      <c r="H913" s="937"/>
      <c r="I913" s="937"/>
      <c r="J913" s="937"/>
      <c r="K913" s="937"/>
      <c r="L913" s="937"/>
      <c r="M913" s="937"/>
      <c r="N913" s="937"/>
      <c r="O913" s="937"/>
      <c r="P913" s="937"/>
      <c r="Q913" s="937"/>
      <c r="R913" s="937"/>
      <c r="S913" s="937"/>
      <c r="T913" s="937"/>
      <c r="U913" s="937"/>
      <c r="V913" s="937"/>
      <c r="W913" s="937"/>
      <c r="X913" s="937"/>
      <c r="Y913" s="937"/>
      <c r="Z913" s="937"/>
      <c r="AA913" s="937"/>
      <c r="AB913" s="937"/>
      <c r="AC913" s="937"/>
      <c r="AD913" s="937"/>
      <c r="AE913" s="937"/>
      <c r="AF913" s="937"/>
      <c r="AG913" s="937"/>
      <c r="AH913" s="937"/>
      <c r="AI913" s="937"/>
      <c r="AJ913" s="937"/>
      <c r="AK913" s="937"/>
      <c r="AL913" s="937"/>
      <c r="AM913" s="937"/>
      <c r="AN913" s="937"/>
      <c r="AO913" s="937"/>
      <c r="AP913" s="937"/>
      <c r="AQ913" s="937"/>
      <c r="AR913" s="937"/>
      <c r="AS913" s="937"/>
      <c r="AT913" s="937"/>
      <c r="AU913" s="937"/>
      <c r="AV913" s="937"/>
      <c r="AW913" s="937"/>
      <c r="AX913" s="937"/>
      <c r="AY913" s="937"/>
      <c r="AZ913" s="937"/>
      <c r="BA913" s="937"/>
      <c r="BB913" s="937"/>
      <c r="BC913" s="937"/>
      <c r="BD913" s="937"/>
      <c r="BE913" s="937"/>
      <c r="BF913" s="937"/>
      <c r="BG913" s="937"/>
      <c r="BH913" s="937"/>
      <c r="BI913" s="937"/>
      <c r="BJ913" s="937"/>
      <c r="BK913" s="937"/>
      <c r="BL913" s="937"/>
      <c r="BM913" s="937"/>
      <c r="BN913" s="937"/>
      <c r="BO913" s="937"/>
      <c r="BP913" s="937"/>
      <c r="BQ913" s="937"/>
      <c r="BR913" s="937"/>
      <c r="BS913" s="937"/>
      <c r="BT913" s="937"/>
      <c r="BU913" s="937"/>
      <c r="BV913" s="937"/>
      <c r="BW913" s="937"/>
      <c r="BX913" s="937"/>
      <c r="BY913" s="937"/>
      <c r="BZ913" s="937"/>
      <c r="CA913" s="937"/>
      <c r="CB913" s="937"/>
      <c r="CC913" s="937"/>
      <c r="CD913" s="2006"/>
      <c r="CE913" s="937"/>
      <c r="CF913" s="937"/>
      <c r="CG913" s="937"/>
      <c r="CH913" s="937"/>
      <c r="CI913" s="937"/>
      <c r="CJ913" s="937"/>
      <c r="CK913" s="937"/>
      <c r="CL913" s="937"/>
      <c r="CM913" s="937"/>
      <c r="CN913" s="937"/>
      <c r="CO913" s="937"/>
      <c r="CP913" s="2007"/>
      <c r="CQ913" s="937"/>
      <c r="CR913" s="937"/>
      <c r="CS913" s="937"/>
      <c r="CT913" s="937"/>
      <c r="CU913" s="937"/>
      <c r="CV913" s="937"/>
      <c r="CW913" s="937"/>
      <c r="CX913" s="937"/>
      <c r="CY913" s="937"/>
      <c r="CZ913" s="937"/>
      <c r="DA913" s="937"/>
      <c r="DB913" s="2008"/>
      <c r="DC913" s="937"/>
      <c r="DD913" s="937"/>
      <c r="DE913" s="937"/>
      <c r="DF913" s="937"/>
      <c r="DG913" s="937"/>
      <c r="DH913" s="937"/>
      <c r="DI913" s="937"/>
      <c r="DJ913" s="937"/>
      <c r="DK913" s="937"/>
      <c r="DL913" s="937"/>
      <c r="DM913" s="937"/>
      <c r="DN913" s="2007"/>
      <c r="DO913" s="937"/>
      <c r="DP913" s="937"/>
      <c r="DQ913" s="937"/>
      <c r="DR913" s="937"/>
      <c r="DS913" s="937"/>
      <c r="DT913" s="937"/>
      <c r="DU913" s="937"/>
      <c r="DV913" s="937"/>
      <c r="DW913" s="937"/>
      <c r="DX913" s="937"/>
      <c r="DY913" s="937"/>
      <c r="DZ913" s="2007"/>
      <c r="EA913" s="937"/>
      <c r="EB913" s="937"/>
      <c r="EC913" s="937"/>
      <c r="ED913" s="937"/>
      <c r="EE913" s="937"/>
      <c r="EF913" s="937"/>
      <c r="EG913" s="937"/>
      <c r="EH913" s="937"/>
      <c r="EI913" s="937"/>
      <c r="EJ913" s="937"/>
      <c r="EK913" s="937"/>
      <c r="EL913" s="2007"/>
      <c r="EM913" s="937"/>
      <c r="EN913" s="937"/>
      <c r="EO913" s="937"/>
      <c r="EP913" s="937"/>
      <c r="EQ913" s="937"/>
      <c r="ER913" s="937"/>
      <c r="ES913" s="937"/>
      <c r="ET913" s="937"/>
      <c r="EU913" s="937"/>
      <c r="EV913" s="937"/>
      <c r="EW913" s="937"/>
      <c r="EX913" s="2007"/>
      <c r="EY913" s="937"/>
      <c r="EZ913" s="937"/>
      <c r="FA913" s="937"/>
      <c r="FB913" s="937"/>
      <c r="FC913" s="937"/>
      <c r="FD913" s="937"/>
      <c r="FE913" s="937"/>
      <c r="FF913" s="937"/>
      <c r="FG913" s="937"/>
      <c r="FH913" s="937"/>
      <c r="FI913" s="937"/>
      <c r="FJ913" s="2007"/>
      <c r="FK913" s="937"/>
      <c r="FL913" s="937"/>
      <c r="FM913" s="937"/>
      <c r="FN913" s="937"/>
      <c r="FO913" s="937"/>
      <c r="FP913" s="937"/>
      <c r="FQ913" s="937"/>
      <c r="FR913" s="937"/>
      <c r="FS913" s="937"/>
      <c r="FT913" s="937"/>
      <c r="FU913" s="937"/>
      <c r="FV913" s="937"/>
      <c r="FW913" s="937"/>
      <c r="FX913" s="937"/>
      <c r="FY913" s="937"/>
      <c r="FZ913" s="937"/>
      <c r="GA913" s="937"/>
      <c r="GB913" s="937"/>
      <c r="GC913" s="937"/>
      <c r="GD913" s="937"/>
      <c r="GE913" s="937"/>
      <c r="GF913" s="937"/>
      <c r="GG913" s="937"/>
      <c r="GH913" s="937"/>
      <c r="GI913" s="2009"/>
      <c r="GJ913" s="2009"/>
      <c r="GK913" s="2009"/>
      <c r="GL913" s="2009"/>
      <c r="GM913" s="2009"/>
      <c r="GN913" s="2009"/>
      <c r="GO913" s="2009"/>
      <c r="GP913" s="2009"/>
      <c r="GQ913" s="2009"/>
      <c r="GR913" s="2009"/>
      <c r="GS913" s="2009"/>
      <c r="GT913" s="2009"/>
      <c r="GU913" s="2009"/>
      <c r="GV913" s="2009"/>
      <c r="GW913" s="2009"/>
      <c r="GX913" s="2009"/>
      <c r="GY913" s="2009"/>
      <c r="GZ913" s="2009"/>
      <c r="HA913" s="2009"/>
      <c r="HB913" s="2009"/>
      <c r="HC913" s="2009">
        <v>16.264045892999999</v>
      </c>
      <c r="HD913" s="2009"/>
      <c r="HE913" s="2009"/>
      <c r="HF913" s="2009"/>
      <c r="HG913" s="2009"/>
      <c r="HH913" s="2009"/>
      <c r="HI913" s="2009"/>
      <c r="HJ913" s="2009"/>
      <c r="HK913" s="2009"/>
      <c r="HL913" s="2009"/>
      <c r="HM913" s="2009"/>
      <c r="HN913" s="937"/>
      <c r="HO913" s="2010" t="str">
        <f>D913</f>
        <v>Disbursement</v>
      </c>
      <c r="HP913" s="2011"/>
      <c r="HR913" s="937"/>
      <c r="HU913" s="937"/>
      <c r="HV913" s="2011"/>
      <c r="HX913" s="937"/>
      <c r="HY913" s="937"/>
      <c r="IA913" s="937"/>
      <c r="ID913" s="937"/>
      <c r="IE913" s="937"/>
      <c r="IF913" s="937"/>
      <c r="IG913" s="937"/>
      <c r="IH913" s="937"/>
      <c r="II913" s="937"/>
      <c r="IJ913" s="937"/>
      <c r="IK913" s="937"/>
      <c r="IL913" s="937"/>
      <c r="IM913" s="937"/>
      <c r="IN913" s="937"/>
      <c r="IO913" s="937"/>
      <c r="IP913" s="937"/>
      <c r="IQ913" s="937"/>
      <c r="IR913" s="937"/>
      <c r="IS913" s="937"/>
      <c r="IT913" s="937">
        <f t="shared" ref="IT913:IT914" si="1499">SUM(GU913:GZ913)</f>
        <v>0</v>
      </c>
      <c r="IU913" s="937">
        <f t="shared" ref="IU913:IU919" si="1500">SUM(HA913:HF913)</f>
        <v>16.264045892999999</v>
      </c>
      <c r="IV913" s="937">
        <f t="shared" si="1409"/>
        <v>16.264045892999999</v>
      </c>
      <c r="IW913" s="937">
        <f t="shared" si="1428"/>
        <v>0</v>
      </c>
      <c r="IX913" s="938">
        <f t="shared" si="1426"/>
        <v>0</v>
      </c>
      <c r="IY913" s="937"/>
      <c r="IZ913" s="937"/>
      <c r="JB913" s="937"/>
      <c r="JC913" s="937"/>
      <c r="JE913" s="937"/>
      <c r="JF913" s="937"/>
      <c r="JH913" s="937"/>
      <c r="JI913" s="937"/>
      <c r="JK913" s="937"/>
      <c r="JL913" s="937"/>
      <c r="JN913" s="937"/>
      <c r="KI913" s="937"/>
      <c r="KJ913" s="937"/>
    </row>
    <row r="914" spans="1:302" s="938" customFormat="1" hidden="1" outlineLevel="1">
      <c r="B914" s="2004"/>
      <c r="C914" s="2004"/>
      <c r="D914" s="2005" t="s">
        <v>611</v>
      </c>
      <c r="E914" s="937"/>
      <c r="F914" s="937"/>
      <c r="G914" s="937"/>
      <c r="H914" s="937"/>
      <c r="I914" s="937"/>
      <c r="J914" s="937"/>
      <c r="K914" s="937"/>
      <c r="L914" s="937"/>
      <c r="M914" s="937"/>
      <c r="N914" s="937"/>
      <c r="O914" s="937"/>
      <c r="P914" s="937"/>
      <c r="Q914" s="937"/>
      <c r="R914" s="937"/>
      <c r="S914" s="937"/>
      <c r="T914" s="937"/>
      <c r="U914" s="937"/>
      <c r="V914" s="937"/>
      <c r="W914" s="937"/>
      <c r="X914" s="937"/>
      <c r="Y914" s="937"/>
      <c r="Z914" s="937"/>
      <c r="AA914" s="937"/>
      <c r="AB914" s="937"/>
      <c r="AC914" s="937"/>
      <c r="AD914" s="937"/>
      <c r="AE914" s="937"/>
      <c r="AF914" s="937"/>
      <c r="AG914" s="937"/>
      <c r="AH914" s="937"/>
      <c r="AI914" s="937"/>
      <c r="AJ914" s="937"/>
      <c r="AK914" s="937"/>
      <c r="AL914" s="937"/>
      <c r="AM914" s="937"/>
      <c r="AN914" s="937"/>
      <c r="AO914" s="937"/>
      <c r="AP914" s="937"/>
      <c r="AQ914" s="937"/>
      <c r="AR914" s="937"/>
      <c r="AS914" s="937"/>
      <c r="AT914" s="937"/>
      <c r="AU914" s="937"/>
      <c r="AV914" s="937"/>
      <c r="AW914" s="937"/>
      <c r="AX914" s="937"/>
      <c r="AY914" s="937"/>
      <c r="AZ914" s="937"/>
      <c r="BA914" s="937"/>
      <c r="BB914" s="937"/>
      <c r="BC914" s="937"/>
      <c r="BD914" s="937"/>
      <c r="BE914" s="937"/>
      <c r="BF914" s="937"/>
      <c r="BG914" s="937"/>
      <c r="BH914" s="937"/>
      <c r="BI914" s="937"/>
      <c r="BJ914" s="937"/>
      <c r="BK914" s="937"/>
      <c r="BL914" s="937"/>
      <c r="BM914" s="937"/>
      <c r="BN914" s="937"/>
      <c r="BO914" s="937"/>
      <c r="BP914" s="937"/>
      <c r="BQ914" s="937"/>
      <c r="BR914" s="937"/>
      <c r="BS914" s="937"/>
      <c r="BT914" s="937"/>
      <c r="BU914" s="937"/>
      <c r="BV914" s="937"/>
      <c r="BW914" s="937"/>
      <c r="BX914" s="937"/>
      <c r="BY914" s="937"/>
      <c r="BZ914" s="937"/>
      <c r="CA914" s="937"/>
      <c r="CB914" s="937"/>
      <c r="CC914" s="937"/>
      <c r="CD914" s="2006"/>
      <c r="CE914" s="937"/>
      <c r="CF914" s="937"/>
      <c r="CG914" s="937"/>
      <c r="CH914" s="937"/>
      <c r="CI914" s="937"/>
      <c r="CJ914" s="937"/>
      <c r="CK914" s="937"/>
      <c r="CL914" s="937"/>
      <c r="CM914" s="937"/>
      <c r="CN914" s="937"/>
      <c r="CO914" s="937"/>
      <c r="CP914" s="2007"/>
      <c r="CQ914" s="937"/>
      <c r="CR914" s="937"/>
      <c r="CS914" s="937"/>
      <c r="CT914" s="937"/>
      <c r="CU914" s="937"/>
      <c r="CV914" s="937"/>
      <c r="CW914" s="937"/>
      <c r="CX914" s="937"/>
      <c r="CY914" s="937"/>
      <c r="CZ914" s="937"/>
      <c r="DA914" s="937"/>
      <c r="DB914" s="2008"/>
      <c r="DC914" s="937"/>
      <c r="DD914" s="937"/>
      <c r="DE914" s="937"/>
      <c r="DF914" s="937"/>
      <c r="DG914" s="937"/>
      <c r="DH914" s="937"/>
      <c r="DI914" s="937"/>
      <c r="DJ914" s="937"/>
      <c r="DK914" s="937"/>
      <c r="DL914" s="937"/>
      <c r="DM914" s="937"/>
      <c r="DN914" s="2007"/>
      <c r="DO914" s="937"/>
      <c r="DP914" s="937"/>
      <c r="DQ914" s="937"/>
      <c r="DR914" s="937"/>
      <c r="DS914" s="937"/>
      <c r="DT914" s="937"/>
      <c r="DU914" s="937"/>
      <c r="DV914" s="937"/>
      <c r="DW914" s="937"/>
      <c r="DX914" s="937"/>
      <c r="DY914" s="937"/>
      <c r="DZ914" s="2007"/>
      <c r="EA914" s="937"/>
      <c r="EB914" s="937"/>
      <c r="EC914" s="937"/>
      <c r="ED914" s="937"/>
      <c r="EE914" s="937"/>
      <c r="EF914" s="937"/>
      <c r="EG914" s="937"/>
      <c r="EH914" s="937"/>
      <c r="EI914" s="937"/>
      <c r="EJ914" s="937"/>
      <c r="EK914" s="937"/>
      <c r="EL914" s="2007"/>
      <c r="EM914" s="937"/>
      <c r="EN914" s="937"/>
      <c r="EO914" s="937"/>
      <c r="EP914" s="937"/>
      <c r="EQ914" s="937"/>
      <c r="ER914" s="937"/>
      <c r="ES914" s="937"/>
      <c r="ET914" s="937"/>
      <c r="EU914" s="937"/>
      <c r="EV914" s="937"/>
      <c r="EW914" s="937"/>
      <c r="EX914" s="2007"/>
      <c r="EY914" s="937"/>
      <c r="EZ914" s="937"/>
      <c r="FA914" s="937"/>
      <c r="FB914" s="937"/>
      <c r="FC914" s="937"/>
      <c r="FD914" s="937"/>
      <c r="FE914" s="937"/>
      <c r="FF914" s="937"/>
      <c r="FG914" s="937"/>
      <c r="FH914" s="937"/>
      <c r="FI914" s="937"/>
      <c r="FJ914" s="2007"/>
      <c r="FK914" s="937"/>
      <c r="FL914" s="937"/>
      <c r="FM914" s="937"/>
      <c r="FN914" s="937"/>
      <c r="FO914" s="937"/>
      <c r="FP914" s="937"/>
      <c r="FQ914" s="937"/>
      <c r="FR914" s="937"/>
      <c r="FS914" s="937"/>
      <c r="FT914" s="937"/>
      <c r="FU914" s="937"/>
      <c r="FV914" s="937"/>
      <c r="FW914" s="937"/>
      <c r="FX914" s="937"/>
      <c r="FY914" s="937"/>
      <c r="FZ914" s="937"/>
      <c r="GA914" s="937"/>
      <c r="GB914" s="937"/>
      <c r="GC914" s="937"/>
      <c r="GD914" s="937"/>
      <c r="GE914" s="937"/>
      <c r="GF914" s="937"/>
      <c r="GG914" s="937"/>
      <c r="GH914" s="937"/>
      <c r="GI914" s="2009"/>
      <c r="GJ914" s="2009"/>
      <c r="GK914" s="2009"/>
      <c r="GL914" s="2009"/>
      <c r="GM914" s="2009"/>
      <c r="GN914" s="2009"/>
      <c r="GO914" s="2009"/>
      <c r="GP914" s="2009"/>
      <c r="GQ914" s="2009"/>
      <c r="GR914" s="2009"/>
      <c r="GS914" s="2009"/>
      <c r="GT914" s="2009"/>
      <c r="GU914" s="2009">
        <v>0</v>
      </c>
      <c r="GV914" s="2009">
        <v>0</v>
      </c>
      <c r="GW914" s="2009">
        <v>-0.99232490500000003</v>
      </c>
      <c r="GX914" s="2009">
        <v>0</v>
      </c>
      <c r="GY914" s="2009">
        <v>-9.9906587939999998</v>
      </c>
      <c r="GZ914" s="2009">
        <v>-23.004864997999999</v>
      </c>
      <c r="HA914" s="2009">
        <v>0</v>
      </c>
      <c r="HB914" s="2009">
        <v>0</v>
      </c>
      <c r="HC914" s="2009">
        <v>-1.0256060760000001</v>
      </c>
      <c r="HD914" s="2009">
        <v>0</v>
      </c>
      <c r="HE914" s="2009">
        <v>0</v>
      </c>
      <c r="HF914" s="2009">
        <v>-12.039217196999999</v>
      </c>
      <c r="HG914" s="2009">
        <v>-7.4881662630000001</v>
      </c>
      <c r="HH914" s="2009">
        <v>0</v>
      </c>
      <c r="HI914" s="2009">
        <v>-1.463363051</v>
      </c>
      <c r="HJ914" s="2009">
        <v>0</v>
      </c>
      <c r="HK914" s="2009">
        <v>0</v>
      </c>
      <c r="HL914" s="2009">
        <v>-17.756314396</v>
      </c>
      <c r="HM914" s="2009"/>
      <c r="HN914" s="937"/>
      <c r="HO914" s="2010" t="str">
        <f>D914</f>
        <v>Reimbursements</v>
      </c>
      <c r="HP914" s="2011"/>
      <c r="HR914" s="937"/>
      <c r="HU914" s="937"/>
      <c r="HV914" s="2011"/>
      <c r="HX914" s="937"/>
      <c r="HY914" s="937"/>
      <c r="IA914" s="937"/>
      <c r="ID914" s="937"/>
      <c r="IE914" s="937"/>
      <c r="IF914" s="937"/>
      <c r="IG914" s="937"/>
      <c r="IH914" s="937"/>
      <c r="II914" s="937"/>
      <c r="IJ914" s="937"/>
      <c r="IK914" s="937"/>
      <c r="IL914" s="937"/>
      <c r="IM914" s="937"/>
      <c r="IN914" s="937"/>
      <c r="IO914" s="937"/>
      <c r="IP914" s="937"/>
      <c r="IQ914" s="937"/>
      <c r="IR914" s="937"/>
      <c r="IS914" s="937"/>
      <c r="IT914" s="937">
        <f t="shared" si="1499"/>
        <v>-33.987848696999997</v>
      </c>
      <c r="IU914" s="937">
        <f t="shared" si="1500"/>
        <v>-13.064823273</v>
      </c>
      <c r="IV914" s="937">
        <f t="shared" si="1409"/>
        <v>-47.052671969999999</v>
      </c>
      <c r="IW914" s="937">
        <f t="shared" si="1428"/>
        <v>-26.707843709999999</v>
      </c>
      <c r="IX914" s="938">
        <f t="shared" si="1426"/>
        <v>26.707843709999999</v>
      </c>
      <c r="IY914" s="937"/>
      <c r="IZ914" s="937"/>
      <c r="JB914" s="937"/>
      <c r="JC914" s="937"/>
      <c r="JE914" s="937"/>
      <c r="JF914" s="937"/>
      <c r="JH914" s="937"/>
      <c r="JI914" s="937"/>
      <c r="JK914" s="937"/>
      <c r="JL914" s="937"/>
      <c r="JN914" s="937"/>
      <c r="KI914" s="937"/>
      <c r="KJ914" s="937"/>
    </row>
    <row r="915" spans="1:302" hidden="1" outlineLevel="1">
      <c r="A915" s="302"/>
      <c r="D915" s="1680" t="s">
        <v>3236</v>
      </c>
      <c r="E915" s="346"/>
      <c r="F915" s="346"/>
      <c r="G915" s="346"/>
      <c r="H915" s="346"/>
      <c r="I915" s="346"/>
      <c r="J915" s="346"/>
      <c r="K915" s="346"/>
      <c r="L915" s="346"/>
      <c r="M915" s="346"/>
      <c r="N915" s="346"/>
      <c r="O915" s="346"/>
      <c r="P915" s="346"/>
      <c r="Q915" s="346"/>
      <c r="R915" s="346"/>
      <c r="S915" s="346"/>
      <c r="T915" s="346"/>
      <c r="U915" s="346"/>
      <c r="V915" s="346"/>
      <c r="W915" s="346"/>
      <c r="X915" s="346"/>
      <c r="Y915" s="346"/>
      <c r="Z915" s="346"/>
      <c r="AA915" s="346"/>
      <c r="AB915" s="346"/>
      <c r="AC915" s="346"/>
      <c r="AD915" s="346"/>
      <c r="AE915" s="346"/>
      <c r="AF915" s="346"/>
      <c r="AG915" s="346"/>
      <c r="AH915" s="346"/>
      <c r="AI915" s="346"/>
      <c r="AJ915" s="346"/>
      <c r="AK915" s="346"/>
      <c r="AL915" s="346"/>
      <c r="AM915" s="346"/>
      <c r="AN915" s="346"/>
      <c r="AO915" s="346"/>
      <c r="AP915" s="346"/>
      <c r="AQ915" s="346"/>
      <c r="AR915" s="346"/>
      <c r="AS915" s="346"/>
      <c r="AT915" s="346"/>
      <c r="AU915" s="346"/>
      <c r="AV915" s="346"/>
      <c r="AW915" s="346"/>
      <c r="AX915" s="346"/>
      <c r="AY915" s="346"/>
      <c r="AZ915" s="346"/>
      <c r="BA915" s="346"/>
      <c r="BB915" s="346"/>
      <c r="BC915" s="346"/>
      <c r="BD915" s="346"/>
      <c r="BE915" s="346"/>
      <c r="BF915" s="346"/>
      <c r="BG915" s="346"/>
      <c r="BH915" s="346"/>
      <c r="BI915" s="346"/>
      <c r="BJ915" s="346"/>
      <c r="BK915" s="346"/>
      <c r="BL915" s="346"/>
      <c r="BM915" s="346"/>
      <c r="BN915" s="346"/>
      <c r="BO915" s="346"/>
      <c r="BP915" s="346"/>
      <c r="BQ915" s="346"/>
      <c r="BR915" s="346"/>
      <c r="BS915" s="346"/>
      <c r="BT915" s="346"/>
      <c r="BU915" s="346"/>
      <c r="BV915" s="346"/>
      <c r="BW915" s="346"/>
      <c r="BX915" s="346"/>
      <c r="BY915" s="346"/>
      <c r="BZ915" s="346"/>
      <c r="CA915" s="346"/>
      <c r="CB915" s="346"/>
      <c r="CC915" s="346"/>
      <c r="CD915" s="352"/>
      <c r="CE915" s="346"/>
      <c r="CF915" s="346"/>
      <c r="CG915" s="346"/>
      <c r="CH915" s="346"/>
      <c r="CI915" s="346"/>
      <c r="CJ915" s="346"/>
      <c r="CK915" s="346"/>
      <c r="CL915" s="346"/>
      <c r="CM915" s="346"/>
      <c r="CN915" s="346"/>
      <c r="CO915" s="346"/>
      <c r="CP915" s="348"/>
      <c r="CQ915" s="346"/>
      <c r="CR915" s="346"/>
      <c r="CS915" s="346"/>
      <c r="CT915" s="346"/>
      <c r="CU915" s="346"/>
      <c r="CV915" s="346"/>
      <c r="CW915" s="346"/>
      <c r="CX915" s="346"/>
      <c r="CY915" s="346"/>
      <c r="CZ915" s="346"/>
      <c r="DA915" s="346"/>
      <c r="DB915" s="1479"/>
      <c r="DC915" s="346"/>
      <c r="DD915" s="346"/>
      <c r="DE915" s="346"/>
      <c r="DF915" s="346"/>
      <c r="DG915" s="346"/>
      <c r="DH915" s="346"/>
      <c r="DI915" s="346"/>
      <c r="DJ915" s="346"/>
      <c r="DK915" s="346"/>
      <c r="DL915" s="346"/>
      <c r="DM915" s="346"/>
      <c r="DN915" s="348"/>
      <c r="DO915" s="346"/>
      <c r="DP915" s="346"/>
      <c r="DQ915" s="346"/>
      <c r="DR915" s="346"/>
      <c r="DS915" s="346"/>
      <c r="DT915" s="346"/>
      <c r="DU915" s="346"/>
      <c r="DV915" s="346"/>
      <c r="DW915" s="346"/>
      <c r="DX915" s="346"/>
      <c r="DY915" s="346"/>
      <c r="DZ915" s="348"/>
      <c r="EA915" s="346"/>
      <c r="EB915" s="346"/>
      <c r="EC915" s="346"/>
      <c r="ED915" s="346"/>
      <c r="EE915" s="346"/>
      <c r="EF915" s="346"/>
      <c r="EG915" s="346"/>
      <c r="EH915" s="346"/>
      <c r="EI915" s="346"/>
      <c r="EJ915" s="346"/>
      <c r="EK915" s="346"/>
      <c r="EL915" s="348"/>
      <c r="EM915" s="346"/>
      <c r="EN915" s="346"/>
      <c r="EO915" s="346"/>
      <c r="EP915" s="346"/>
      <c r="EQ915" s="346"/>
      <c r="ER915" s="346"/>
      <c r="ES915" s="346"/>
      <c r="ET915" s="346"/>
      <c r="EU915" s="346"/>
      <c r="EV915" s="346"/>
      <c r="EW915" s="346"/>
      <c r="EX915" s="348"/>
      <c r="EY915" s="346"/>
      <c r="EZ915" s="346"/>
      <c r="FA915" s="346"/>
      <c r="FB915" s="346"/>
      <c r="FC915" s="346"/>
      <c r="FD915" s="346"/>
      <c r="FE915" s="346"/>
      <c r="FF915" s="346"/>
      <c r="FG915" s="346"/>
      <c r="FH915" s="346"/>
      <c r="FI915" s="346"/>
      <c r="FJ915" s="348"/>
      <c r="FK915" s="346"/>
      <c r="FL915" s="346"/>
      <c r="FM915" s="346"/>
      <c r="FN915" s="346"/>
      <c r="FO915" s="346"/>
      <c r="FP915" s="346"/>
      <c r="FQ915" s="346"/>
      <c r="FR915" s="346"/>
      <c r="FS915" s="346"/>
      <c r="FT915" s="346"/>
      <c r="FU915" s="346"/>
      <c r="FV915" s="346"/>
      <c r="FW915" s="346"/>
      <c r="FX915" s="346"/>
      <c r="FY915" s="346"/>
      <c r="FZ915" s="346"/>
      <c r="GA915" s="346"/>
      <c r="GB915" s="346"/>
      <c r="GC915" s="346"/>
      <c r="GD915" s="346"/>
      <c r="GE915" s="346"/>
      <c r="GF915" s="346"/>
      <c r="GG915" s="346"/>
      <c r="GH915" s="346"/>
      <c r="GI915" s="1897">
        <v>0</v>
      </c>
      <c r="GJ915" s="1897">
        <v>-10</v>
      </c>
      <c r="GK915" s="1897">
        <v>0</v>
      </c>
      <c r="GL915" s="1897">
        <v>0</v>
      </c>
      <c r="GM915" s="1897">
        <v>-30</v>
      </c>
      <c r="GN915" s="1897">
        <v>0</v>
      </c>
      <c r="GO915" s="1897">
        <v>-45</v>
      </c>
      <c r="GP915" s="1897">
        <v>-15</v>
      </c>
      <c r="GQ915" s="1897">
        <v>-33.555</v>
      </c>
      <c r="GR915" s="1897">
        <v>0</v>
      </c>
      <c r="GS915" s="1897">
        <v>0</v>
      </c>
      <c r="GT915" s="1897">
        <v>0</v>
      </c>
      <c r="GU915" s="1897">
        <v>0</v>
      </c>
      <c r="GV915" s="1897">
        <v>0</v>
      </c>
      <c r="GW915" s="1897">
        <v>0</v>
      </c>
      <c r="GX915" s="1897">
        <v>0</v>
      </c>
      <c r="GY915" s="1897">
        <v>0</v>
      </c>
      <c r="GZ915" s="1897">
        <v>0</v>
      </c>
      <c r="HA915" s="1897">
        <v>0</v>
      </c>
      <c r="HB915" s="1897">
        <v>0</v>
      </c>
      <c r="HC915" s="1897">
        <v>0</v>
      </c>
      <c r="HD915" s="1897">
        <v>0</v>
      </c>
      <c r="HE915" s="1897">
        <v>-65</v>
      </c>
      <c r="HF915" s="1897">
        <v>0</v>
      </c>
      <c r="HG915" s="1897">
        <v>0</v>
      </c>
      <c r="HH915" s="1897">
        <v>0</v>
      </c>
      <c r="HI915" s="1897">
        <v>0</v>
      </c>
      <c r="HJ915" s="1897">
        <v>0</v>
      </c>
      <c r="HK915" s="1897">
        <v>-55</v>
      </c>
      <c r="HL915" s="1897">
        <v>0</v>
      </c>
      <c r="HM915" s="1897"/>
      <c r="HN915" s="349"/>
      <c r="HO915" s="1680" t="s">
        <v>3236</v>
      </c>
      <c r="HP915" s="307"/>
      <c r="HR915" s="346"/>
      <c r="HU915" s="346"/>
      <c r="HV915" s="307"/>
      <c r="HX915" s="346"/>
      <c r="HY915" s="350"/>
      <c r="IA915" s="346"/>
      <c r="ID915" s="346"/>
      <c r="IE915" s="350"/>
      <c r="IF915" s="350"/>
      <c r="IG915" s="346"/>
      <c r="IH915" s="350"/>
      <c r="II915" s="350"/>
      <c r="IJ915" s="346"/>
      <c r="IK915" s="350">
        <f t="shared" si="1483"/>
        <v>0</v>
      </c>
      <c r="IL915" s="350">
        <f t="shared" si="1484"/>
        <v>0</v>
      </c>
      <c r="IM915" s="346">
        <f t="shared" si="1430"/>
        <v>0</v>
      </c>
      <c r="IN915" s="350">
        <f t="shared" si="1495"/>
        <v>0</v>
      </c>
      <c r="IO915" s="350">
        <f t="shared" si="1496"/>
        <v>0</v>
      </c>
      <c r="IP915" s="346">
        <f t="shared" si="1443"/>
        <v>0</v>
      </c>
      <c r="IQ915" s="350">
        <f t="shared" si="1497"/>
        <v>-40</v>
      </c>
      <c r="IR915" s="350">
        <f t="shared" si="1498"/>
        <v>-93.555000000000007</v>
      </c>
      <c r="IS915" s="346">
        <f t="shared" si="1410"/>
        <v>-133.55500000000001</v>
      </c>
      <c r="IT915" s="350">
        <f t="shared" si="1487"/>
        <v>0</v>
      </c>
      <c r="IU915" s="350">
        <f>SUM(HA915:HF915)</f>
        <v>-65</v>
      </c>
      <c r="IV915" s="346">
        <f t="shared" si="1409"/>
        <v>-65</v>
      </c>
      <c r="IW915" s="350">
        <f>SUM(HG915:HL915)</f>
        <v>-55</v>
      </c>
      <c r="IX915" s="350">
        <f t="shared" si="1426"/>
        <v>-10.572125</v>
      </c>
      <c r="IY915" s="346">
        <f>FISC!AJ1234</f>
        <v>-65.572125</v>
      </c>
      <c r="IZ915" s="350">
        <f>-(SUM('PRINCIPAL DOMDEBT'!L11:L58)/1000000000)</f>
        <v>-60</v>
      </c>
      <c r="JA915" s="350">
        <f>JB915-IZ915</f>
        <v>-64.283619999999999</v>
      </c>
      <c r="JB915" s="346">
        <f>FISC!AK1234</f>
        <v>-124.28362</v>
      </c>
      <c r="JC915" s="350">
        <f>-(SUM('PRINCIPAL DOMDEBT'!O11:O58)/1000000000)</f>
        <v>-62.378399999999999</v>
      </c>
      <c r="JD915" s="350">
        <f>JE915-JC915</f>
        <v>-21.469500000000011</v>
      </c>
      <c r="JE915" s="346">
        <f>FISC!AL1234</f>
        <v>-83.84790000000001</v>
      </c>
      <c r="JF915" s="350">
        <f>-(SUM('PRINCIPAL DOMDEBT'!R11:R58)/1000000000)</f>
        <v>-95</v>
      </c>
      <c r="JG915" s="350">
        <f>JH915-JF915</f>
        <v>-63.284699999999987</v>
      </c>
      <c r="JH915" s="346">
        <f>FISC!AM1234</f>
        <v>-158.28469999999999</v>
      </c>
      <c r="JI915" s="350">
        <f>-(SUM('PRINCIPAL DOMDEBT'!U11:U58)/1000000000)</f>
        <v>-70</v>
      </c>
      <c r="JJ915" s="350">
        <f>JK915-JI915</f>
        <v>-20</v>
      </c>
      <c r="JK915" s="346">
        <f>FISC!AN1234</f>
        <v>-90</v>
      </c>
      <c r="JL915" s="350">
        <f>-(SUM('PRINCIPAL DOMDEBT'!X11:X58)/1000000000)</f>
        <v>-102.9782</v>
      </c>
      <c r="JM915" s="350">
        <f>JN915-JL915</f>
        <v>-39.999999999999986</v>
      </c>
      <c r="JN915" s="346">
        <f>FISC!AO1234</f>
        <v>-142.97819999999999</v>
      </c>
      <c r="KI915" s="349"/>
      <c r="KJ915" s="350"/>
    </row>
    <row r="916" spans="1:302" hidden="1" outlineLevel="1">
      <c r="A916" s="302"/>
      <c r="D916" s="1639" t="s">
        <v>3133</v>
      </c>
      <c r="E916" s="346"/>
      <c r="F916" s="346"/>
      <c r="G916" s="346"/>
      <c r="H916" s="346"/>
      <c r="I916" s="346"/>
      <c r="J916" s="346"/>
      <c r="K916" s="346"/>
      <c r="L916" s="346"/>
      <c r="M916" s="346"/>
      <c r="N916" s="346"/>
      <c r="O916" s="346"/>
      <c r="P916" s="346"/>
      <c r="Q916" s="346"/>
      <c r="R916" s="346"/>
      <c r="S916" s="346"/>
      <c r="T916" s="346"/>
      <c r="U916" s="346"/>
      <c r="V916" s="346"/>
      <c r="W916" s="346"/>
      <c r="X916" s="346"/>
      <c r="Y916" s="346"/>
      <c r="Z916" s="346"/>
      <c r="AA916" s="346"/>
      <c r="AB916" s="346"/>
      <c r="AC916" s="346"/>
      <c r="AD916" s="346"/>
      <c r="AE916" s="346"/>
      <c r="AF916" s="346"/>
      <c r="AG916" s="346"/>
      <c r="AH916" s="346"/>
      <c r="AI916" s="346"/>
      <c r="AJ916" s="346"/>
      <c r="AK916" s="346"/>
      <c r="AL916" s="346"/>
      <c r="AM916" s="346"/>
      <c r="AN916" s="346"/>
      <c r="AO916" s="346"/>
      <c r="AP916" s="346"/>
      <c r="AQ916" s="346"/>
      <c r="AR916" s="346"/>
      <c r="AS916" s="346"/>
      <c r="AT916" s="346"/>
      <c r="AU916" s="346"/>
      <c r="AV916" s="346"/>
      <c r="AW916" s="346"/>
      <c r="AX916" s="346"/>
      <c r="AY916" s="346"/>
      <c r="AZ916" s="346"/>
      <c r="BA916" s="346"/>
      <c r="BB916" s="346"/>
      <c r="BC916" s="346"/>
      <c r="BD916" s="346"/>
      <c r="BE916" s="346"/>
      <c r="BF916" s="346"/>
      <c r="BG916" s="346"/>
      <c r="BH916" s="346"/>
      <c r="BI916" s="346"/>
      <c r="BJ916" s="346"/>
      <c r="BK916" s="346"/>
      <c r="BL916" s="346"/>
      <c r="BM916" s="346"/>
      <c r="BN916" s="346"/>
      <c r="BO916" s="346"/>
      <c r="BP916" s="346"/>
      <c r="BQ916" s="346"/>
      <c r="BR916" s="346"/>
      <c r="BS916" s="346"/>
      <c r="BT916" s="346"/>
      <c r="BU916" s="346"/>
      <c r="BV916" s="346"/>
      <c r="BW916" s="346"/>
      <c r="BX916" s="346"/>
      <c r="BY916" s="346"/>
      <c r="BZ916" s="346"/>
      <c r="CA916" s="346"/>
      <c r="CB916" s="346"/>
      <c r="CC916" s="346"/>
      <c r="CD916" s="352"/>
      <c r="CE916" s="346">
        <v>0</v>
      </c>
      <c r="CF916" s="346">
        <v>0</v>
      </c>
      <c r="CG916" s="346">
        <v>0</v>
      </c>
      <c r="CH916" s="346">
        <v>0</v>
      </c>
      <c r="CI916" s="346">
        <v>0</v>
      </c>
      <c r="CJ916" s="346">
        <v>0</v>
      </c>
      <c r="CK916" s="346">
        <v>0</v>
      </c>
      <c r="CL916" s="346">
        <v>0</v>
      </c>
      <c r="CM916" s="346">
        <v>0</v>
      </c>
      <c r="CN916" s="346">
        <v>0</v>
      </c>
      <c r="CO916" s="346">
        <v>0</v>
      </c>
      <c r="CP916" s="348">
        <v>0</v>
      </c>
      <c r="CQ916" s="346"/>
      <c r="CR916" s="346"/>
      <c r="CS916" s="346"/>
      <c r="CT916" s="346"/>
      <c r="CU916" s="346"/>
      <c r="CV916" s="346"/>
      <c r="CW916" s="346"/>
      <c r="CX916" s="346"/>
      <c r="CY916" s="346"/>
      <c r="CZ916" s="346"/>
      <c r="DA916" s="346"/>
      <c r="DB916" s="1479"/>
      <c r="DC916" s="346"/>
      <c r="DD916" s="346"/>
      <c r="DE916" s="346"/>
      <c r="DF916" s="346"/>
      <c r="DG916" s="346"/>
      <c r="DH916" s="346"/>
      <c r="DI916" s="346"/>
      <c r="DJ916" s="346"/>
      <c r="DK916" s="346"/>
      <c r="DL916" s="346"/>
      <c r="DM916" s="346"/>
      <c r="DN916" s="348"/>
      <c r="DO916" s="346"/>
      <c r="DP916" s="346"/>
      <c r="DQ916" s="346"/>
      <c r="DR916" s="346"/>
      <c r="DS916" s="346"/>
      <c r="DT916" s="346"/>
      <c r="DU916" s="346"/>
      <c r="DV916" s="346"/>
      <c r="DW916" s="346"/>
      <c r="DX916" s="346"/>
      <c r="DY916" s="346"/>
      <c r="DZ916" s="348"/>
      <c r="EA916" s="346"/>
      <c r="EB916" s="346"/>
      <c r="EC916" s="346"/>
      <c r="ED916" s="346"/>
      <c r="EE916" s="346"/>
      <c r="EF916" s="346"/>
      <c r="EG916" s="346"/>
      <c r="EH916" s="346"/>
      <c r="EI916" s="346"/>
      <c r="EJ916" s="346"/>
      <c r="EK916" s="346"/>
      <c r="EL916" s="348"/>
      <c r="EM916" s="346"/>
      <c r="EN916" s="346"/>
      <c r="EO916" s="346"/>
      <c r="EP916" s="346"/>
      <c r="EQ916" s="346"/>
      <c r="ER916" s="346"/>
      <c r="ES916" s="346"/>
      <c r="ET916" s="346"/>
      <c r="EU916" s="346"/>
      <c r="EV916" s="346"/>
      <c r="EW916" s="346"/>
      <c r="EX916" s="348"/>
      <c r="EY916" s="346"/>
      <c r="EZ916" s="346"/>
      <c r="FA916" s="346"/>
      <c r="FB916" s="346"/>
      <c r="FC916" s="346"/>
      <c r="FD916" s="346"/>
      <c r="FE916" s="346"/>
      <c r="FF916" s="346"/>
      <c r="FG916" s="346"/>
      <c r="FH916" s="346"/>
      <c r="FI916" s="346"/>
      <c r="FJ916" s="348"/>
      <c r="FK916" s="346">
        <v>0</v>
      </c>
      <c r="FL916" s="346">
        <v>0</v>
      </c>
      <c r="FM916" s="346">
        <v>0</v>
      </c>
      <c r="FN916" s="346">
        <v>0</v>
      </c>
      <c r="FO916" s="346">
        <v>0</v>
      </c>
      <c r="FP916" s="346">
        <v>0</v>
      </c>
      <c r="FQ916" s="346">
        <v>0</v>
      </c>
      <c r="FR916" s="346">
        <v>0</v>
      </c>
      <c r="FS916" s="346">
        <v>0</v>
      </c>
      <c r="FT916" s="346">
        <v>0</v>
      </c>
      <c r="FU916" s="346">
        <v>0</v>
      </c>
      <c r="FV916" s="346">
        <v>0</v>
      </c>
      <c r="FW916" s="346">
        <v>0</v>
      </c>
      <c r="FX916" s="346">
        <v>0</v>
      </c>
      <c r="FY916" s="346">
        <v>0</v>
      </c>
      <c r="FZ916" s="346">
        <v>0</v>
      </c>
      <c r="GA916" s="346">
        <v>0</v>
      </c>
      <c r="GB916" s="346">
        <v>0</v>
      </c>
      <c r="GC916" s="346">
        <v>0</v>
      </c>
      <c r="GD916" s="346">
        <v>0</v>
      </c>
      <c r="GE916" s="346">
        <v>0</v>
      </c>
      <c r="GF916" s="346">
        <v>0</v>
      </c>
      <c r="GG916" s="346">
        <v>0</v>
      </c>
      <c r="GH916" s="346">
        <v>0</v>
      </c>
      <c r="GI916" s="1897">
        <v>0</v>
      </c>
      <c r="GJ916" s="1897">
        <v>0</v>
      </c>
      <c r="GK916" s="1897">
        <v>0</v>
      </c>
      <c r="GL916" s="1897">
        <v>0</v>
      </c>
      <c r="GM916" s="1897">
        <v>0</v>
      </c>
      <c r="GN916" s="1897">
        <v>0</v>
      </c>
      <c r="GO916" s="1897">
        <v>0</v>
      </c>
      <c r="GP916" s="1897">
        <v>0</v>
      </c>
      <c r="GQ916" s="1897">
        <v>0</v>
      </c>
      <c r="GR916" s="1897">
        <v>0</v>
      </c>
      <c r="GS916" s="1897">
        <v>0</v>
      </c>
      <c r="GT916" s="1897">
        <v>0</v>
      </c>
      <c r="GU916" s="1897">
        <v>0</v>
      </c>
      <c r="GV916" s="1897">
        <v>0</v>
      </c>
      <c r="GW916" s="1897">
        <v>0</v>
      </c>
      <c r="GX916" s="1897">
        <v>0</v>
      </c>
      <c r="GY916" s="1897">
        <v>0</v>
      </c>
      <c r="GZ916" s="1897">
        <v>0</v>
      </c>
      <c r="HA916" s="1897">
        <v>0</v>
      </c>
      <c r="HB916" s="1897">
        <v>0</v>
      </c>
      <c r="HC916" s="1897">
        <v>0</v>
      </c>
      <c r="HD916" s="1897">
        <v>0</v>
      </c>
      <c r="HE916" s="1897">
        <v>0</v>
      </c>
      <c r="HF916" s="1897">
        <v>0</v>
      </c>
      <c r="HG916" s="1897">
        <v>0</v>
      </c>
      <c r="HH916" s="1897">
        <v>0</v>
      </c>
      <c r="HI916" s="1897">
        <v>0</v>
      </c>
      <c r="HJ916" s="1897">
        <v>0</v>
      </c>
      <c r="HK916" s="1897">
        <v>0</v>
      </c>
      <c r="HL916" s="1897">
        <v>0</v>
      </c>
      <c r="HM916" s="1897"/>
      <c r="HN916" s="349"/>
      <c r="HO916" s="1639" t="s">
        <v>3133</v>
      </c>
      <c r="HP916" s="307"/>
      <c r="HR916" s="346"/>
      <c r="HU916" s="346"/>
      <c r="HV916" s="307"/>
      <c r="HX916" s="346"/>
      <c r="HY916" s="350"/>
      <c r="IA916" s="346"/>
      <c r="ID916" s="346"/>
      <c r="IE916" s="350"/>
      <c r="IF916" s="350"/>
      <c r="IG916" s="346"/>
      <c r="IH916" s="350"/>
      <c r="II916" s="350"/>
      <c r="IJ916" s="346"/>
      <c r="IK916" s="350">
        <f t="shared" si="1483"/>
        <v>0</v>
      </c>
      <c r="IL916" s="350">
        <f t="shared" si="1484"/>
        <v>0</v>
      </c>
      <c r="IM916" s="346">
        <f t="shared" si="1430"/>
        <v>0</v>
      </c>
      <c r="IN916" s="350">
        <f t="shared" si="1495"/>
        <v>0</v>
      </c>
      <c r="IO916" s="350">
        <f>SUM(GC916:GH916)</f>
        <v>0</v>
      </c>
      <c r="IP916" s="346">
        <f t="shared" si="1443"/>
        <v>0</v>
      </c>
      <c r="IQ916" s="350">
        <f t="shared" si="1497"/>
        <v>0</v>
      </c>
      <c r="IR916" s="350">
        <f t="shared" si="1498"/>
        <v>0</v>
      </c>
      <c r="IS916" s="346">
        <f t="shared" si="1410"/>
        <v>0</v>
      </c>
      <c r="IT916" s="350">
        <f t="shared" si="1487"/>
        <v>0</v>
      </c>
      <c r="IU916" s="350">
        <f t="shared" si="1500"/>
        <v>0</v>
      </c>
      <c r="IV916" s="346">
        <f t="shared" si="1409"/>
        <v>0</v>
      </c>
      <c r="IW916" s="350">
        <f t="shared" si="1428"/>
        <v>0</v>
      </c>
      <c r="IX916" s="302">
        <f t="shared" si="1426"/>
        <v>0</v>
      </c>
      <c r="IY916" s="346">
        <f>FISC!AJ1235</f>
        <v>0</v>
      </c>
      <c r="IZ916" s="350">
        <f t="shared" si="1489"/>
        <v>0</v>
      </c>
      <c r="JA916" s="302">
        <f t="shared" si="1466"/>
        <v>0</v>
      </c>
      <c r="JB916" s="346">
        <f>FISC!AK1235</f>
        <v>0</v>
      </c>
      <c r="JC916" s="350">
        <f t="shared" si="1490"/>
        <v>0</v>
      </c>
      <c r="JD916" s="302">
        <f>JE916-JC916</f>
        <v>0</v>
      </c>
      <c r="JE916" s="346">
        <f>FISC!AL1235</f>
        <v>0</v>
      </c>
      <c r="JF916" s="350">
        <f t="shared" si="1491"/>
        <v>0</v>
      </c>
      <c r="JG916" s="302">
        <f>JH916-JF916</f>
        <v>0</v>
      </c>
      <c r="JH916" s="346">
        <f>FISC!AM1235</f>
        <v>0</v>
      </c>
      <c r="JI916" s="350">
        <f t="shared" ref="JI916:JI919" si="1501">JK916/2</f>
        <v>0</v>
      </c>
      <c r="JJ916" s="302">
        <f>JK916-JI916</f>
        <v>0</v>
      </c>
      <c r="JK916" s="346">
        <f>FISC!AN1235</f>
        <v>0</v>
      </c>
      <c r="JL916" s="350">
        <f t="shared" ref="JL916:JL919" si="1502">JN916/2</f>
        <v>0</v>
      </c>
      <c r="JM916" s="302">
        <f>JN916-JL916</f>
        <v>0</v>
      </c>
      <c r="JN916" s="346">
        <f>FISC!AO1235</f>
        <v>0</v>
      </c>
      <c r="KI916" s="349"/>
      <c r="KJ916" s="350"/>
    </row>
    <row r="917" spans="1:302" hidden="1" outlineLevel="1">
      <c r="A917" s="302"/>
      <c r="D917" s="1640" t="s">
        <v>3134</v>
      </c>
      <c r="E917" s="346"/>
      <c r="F917" s="346"/>
      <c r="G917" s="346"/>
      <c r="H917" s="346"/>
      <c r="I917" s="346"/>
      <c r="J917" s="346"/>
      <c r="K917" s="346"/>
      <c r="L917" s="346"/>
      <c r="M917" s="346"/>
      <c r="N917" s="346"/>
      <c r="O917" s="346"/>
      <c r="P917" s="346"/>
      <c r="Q917" s="346"/>
      <c r="R917" s="346"/>
      <c r="S917" s="346"/>
      <c r="T917" s="346"/>
      <c r="U917" s="346"/>
      <c r="V917" s="346"/>
      <c r="W917" s="346"/>
      <c r="X917" s="346"/>
      <c r="Y917" s="346"/>
      <c r="Z917" s="346"/>
      <c r="AA917" s="346"/>
      <c r="AB917" s="346"/>
      <c r="AC917" s="346"/>
      <c r="AD917" s="346"/>
      <c r="AE917" s="346"/>
      <c r="AF917" s="346"/>
      <c r="AG917" s="346"/>
      <c r="AH917" s="346"/>
      <c r="AI917" s="346"/>
      <c r="AJ917" s="346"/>
      <c r="AK917" s="346"/>
      <c r="AL917" s="346"/>
      <c r="AM917" s="346"/>
      <c r="AN917" s="346"/>
      <c r="AO917" s="346"/>
      <c r="AP917" s="346"/>
      <c r="AQ917" s="346"/>
      <c r="AR917" s="346"/>
      <c r="AS917" s="346"/>
      <c r="AT917" s="346"/>
      <c r="AU917" s="346"/>
      <c r="AV917" s="346"/>
      <c r="AW917" s="346"/>
      <c r="AX917" s="346"/>
      <c r="AY917" s="346"/>
      <c r="AZ917" s="346"/>
      <c r="BA917" s="346"/>
      <c r="BB917" s="346"/>
      <c r="BC917" s="346"/>
      <c r="BD917" s="346"/>
      <c r="BE917" s="346"/>
      <c r="BF917" s="346"/>
      <c r="BG917" s="346"/>
      <c r="BH917" s="346"/>
      <c r="BI917" s="346"/>
      <c r="BJ917" s="346"/>
      <c r="BK917" s="346"/>
      <c r="BL917" s="346"/>
      <c r="BM917" s="346"/>
      <c r="BN917" s="346"/>
      <c r="BO917" s="346"/>
      <c r="BP917" s="346"/>
      <c r="BQ917" s="346"/>
      <c r="BR917" s="346"/>
      <c r="BS917" s="346"/>
      <c r="BT917" s="346"/>
      <c r="BU917" s="346"/>
      <c r="BV917" s="346"/>
      <c r="BW917" s="346"/>
      <c r="BX917" s="346"/>
      <c r="BY917" s="346"/>
      <c r="BZ917" s="346"/>
      <c r="CA917" s="346"/>
      <c r="CB917" s="346"/>
      <c r="CC917" s="346"/>
      <c r="CD917" s="352"/>
      <c r="CE917" s="346">
        <v>0</v>
      </c>
      <c r="CF917" s="346">
        <v>0</v>
      </c>
      <c r="CG917" s="346">
        <v>0</v>
      </c>
      <c r="CH917" s="346">
        <v>0</v>
      </c>
      <c r="CI917" s="346">
        <v>0</v>
      </c>
      <c r="CJ917" s="346">
        <v>0</v>
      </c>
      <c r="CK917" s="346">
        <v>0</v>
      </c>
      <c r="CL917" s="346">
        <v>0</v>
      </c>
      <c r="CM917" s="346">
        <v>0</v>
      </c>
      <c r="CN917" s="346">
        <v>0</v>
      </c>
      <c r="CO917" s="346">
        <v>0</v>
      </c>
      <c r="CP917" s="348">
        <v>0</v>
      </c>
      <c r="CQ917" s="346"/>
      <c r="CR917" s="346"/>
      <c r="CS917" s="346"/>
      <c r="CT917" s="346"/>
      <c r="CU917" s="346"/>
      <c r="CV917" s="346"/>
      <c r="CW917" s="346"/>
      <c r="CX917" s="346"/>
      <c r="CY917" s="346"/>
      <c r="CZ917" s="346"/>
      <c r="DA917" s="346"/>
      <c r="DB917" s="1479"/>
      <c r="DC917" s="346"/>
      <c r="DD917" s="346"/>
      <c r="DE917" s="346"/>
      <c r="DF917" s="346"/>
      <c r="DG917" s="346"/>
      <c r="DH917" s="346"/>
      <c r="DI917" s="346"/>
      <c r="DJ917" s="346"/>
      <c r="DK917" s="346"/>
      <c r="DL917" s="346"/>
      <c r="DM917" s="346"/>
      <c r="DN917" s="348"/>
      <c r="DO917" s="346"/>
      <c r="DP917" s="346"/>
      <c r="DQ917" s="346"/>
      <c r="DR917" s="346"/>
      <c r="DS917" s="346"/>
      <c r="DT917" s="346"/>
      <c r="DU917" s="346"/>
      <c r="DV917" s="346"/>
      <c r="DW917" s="346"/>
      <c r="DX917" s="346"/>
      <c r="DY917" s="346"/>
      <c r="DZ917" s="348"/>
      <c r="EA917" s="346"/>
      <c r="EB917" s="346"/>
      <c r="EC917" s="346"/>
      <c r="ED917" s="346"/>
      <c r="EE917" s="346"/>
      <c r="EF917" s="346"/>
      <c r="EG917" s="346"/>
      <c r="EH917" s="346"/>
      <c r="EI917" s="346"/>
      <c r="EJ917" s="346"/>
      <c r="EK917" s="346"/>
      <c r="EL917" s="348"/>
      <c r="EM917" s="346"/>
      <c r="EN917" s="346"/>
      <c r="EO917" s="346"/>
      <c r="EP917" s="346"/>
      <c r="EQ917" s="346"/>
      <c r="ER917" s="346"/>
      <c r="ES917" s="346"/>
      <c r="ET917" s="346"/>
      <c r="EU917" s="346"/>
      <c r="EV917" s="346"/>
      <c r="EW917" s="346"/>
      <c r="EX917" s="348"/>
      <c r="EY917" s="346"/>
      <c r="EZ917" s="346"/>
      <c r="FA917" s="346"/>
      <c r="FB917" s="346"/>
      <c r="FC917" s="346"/>
      <c r="FD917" s="346"/>
      <c r="FE917" s="346"/>
      <c r="FF917" s="346"/>
      <c r="FG917" s="346"/>
      <c r="FH917" s="346"/>
      <c r="FI917" s="346"/>
      <c r="FJ917" s="348"/>
      <c r="FK917" s="346">
        <v>0</v>
      </c>
      <c r="FL917" s="346">
        <v>0</v>
      </c>
      <c r="FM917" s="346">
        <v>0</v>
      </c>
      <c r="FN917" s="346">
        <v>0</v>
      </c>
      <c r="FO917" s="346">
        <v>0</v>
      </c>
      <c r="FP917" s="346">
        <v>0</v>
      </c>
      <c r="FQ917" s="346">
        <v>0</v>
      </c>
      <c r="FR917" s="346">
        <v>0</v>
      </c>
      <c r="FS917" s="346">
        <v>0</v>
      </c>
      <c r="FT917" s="346">
        <v>0</v>
      </c>
      <c r="FU917" s="346">
        <v>0</v>
      </c>
      <c r="FV917" s="346">
        <v>0</v>
      </c>
      <c r="FW917" s="346">
        <v>0</v>
      </c>
      <c r="FX917" s="346">
        <v>0</v>
      </c>
      <c r="FY917" s="346">
        <v>0</v>
      </c>
      <c r="FZ917" s="346">
        <v>0</v>
      </c>
      <c r="GA917" s="346">
        <v>0</v>
      </c>
      <c r="GB917" s="346">
        <v>0</v>
      </c>
      <c r="GC917" s="346">
        <v>0</v>
      </c>
      <c r="GD917" s="346">
        <v>0</v>
      </c>
      <c r="GE917" s="346">
        <v>0</v>
      </c>
      <c r="GF917" s="346">
        <v>0</v>
      </c>
      <c r="GG917" s="346">
        <v>0</v>
      </c>
      <c r="GH917" s="346">
        <v>0</v>
      </c>
      <c r="GI917" s="1897">
        <v>0</v>
      </c>
      <c r="GJ917" s="1897">
        <v>0</v>
      </c>
      <c r="GK917" s="1897">
        <v>0</v>
      </c>
      <c r="GL917" s="1897">
        <v>0</v>
      </c>
      <c r="GM917" s="1897">
        <v>0</v>
      </c>
      <c r="GN917" s="1897">
        <v>0</v>
      </c>
      <c r="GO917" s="1897">
        <v>0</v>
      </c>
      <c r="GP917" s="1897">
        <v>0</v>
      </c>
      <c r="GQ917" s="1897">
        <v>0</v>
      </c>
      <c r="GR917" s="1897">
        <v>0</v>
      </c>
      <c r="GS917" s="1897">
        <v>0</v>
      </c>
      <c r="GT917" s="1897">
        <v>0</v>
      </c>
      <c r="GU917" s="1897">
        <v>0</v>
      </c>
      <c r="GV917" s="1897">
        <v>0</v>
      </c>
      <c r="GW917" s="1897">
        <v>0</v>
      </c>
      <c r="GX917" s="1897">
        <v>0</v>
      </c>
      <c r="GY917" s="1897">
        <v>0</v>
      </c>
      <c r="GZ917" s="1897">
        <v>0</v>
      </c>
      <c r="HA917" s="1897">
        <v>0</v>
      </c>
      <c r="HB917" s="1897">
        <v>0</v>
      </c>
      <c r="HC917" s="1897">
        <v>0</v>
      </c>
      <c r="HD917" s="1897">
        <v>0</v>
      </c>
      <c r="HE917" s="1897">
        <v>0</v>
      </c>
      <c r="HF917" s="1897">
        <v>0</v>
      </c>
      <c r="HG917" s="1897">
        <v>0</v>
      </c>
      <c r="HH917" s="1897">
        <v>0</v>
      </c>
      <c r="HI917" s="1897">
        <v>0</v>
      </c>
      <c r="HJ917" s="1897">
        <v>0</v>
      </c>
      <c r="HK917" s="1897">
        <v>0</v>
      </c>
      <c r="HL917" s="1897">
        <v>0</v>
      </c>
      <c r="HM917" s="1897"/>
      <c r="HN917" s="349"/>
      <c r="HO917" s="1640" t="s">
        <v>3134</v>
      </c>
      <c r="HP917" s="307"/>
      <c r="HR917" s="346"/>
      <c r="HU917" s="346"/>
      <c r="HV917" s="307"/>
      <c r="HX917" s="346"/>
      <c r="HY917" s="350"/>
      <c r="IA917" s="346"/>
      <c r="ID917" s="346"/>
      <c r="IE917" s="350"/>
      <c r="IF917" s="350"/>
      <c r="IG917" s="346"/>
      <c r="IH917" s="350"/>
      <c r="II917" s="350"/>
      <c r="IJ917" s="346"/>
      <c r="IK917" s="350">
        <f t="shared" si="1483"/>
        <v>0</v>
      </c>
      <c r="IL917" s="350">
        <f t="shared" si="1484"/>
        <v>0</v>
      </c>
      <c r="IM917" s="346">
        <f t="shared" si="1430"/>
        <v>0</v>
      </c>
      <c r="IN917" s="350">
        <f t="shared" si="1495"/>
        <v>0</v>
      </c>
      <c r="IO917" s="350">
        <f t="shared" si="1496"/>
        <v>0</v>
      </c>
      <c r="IP917" s="346">
        <f t="shared" si="1443"/>
        <v>0</v>
      </c>
      <c r="IQ917" s="350">
        <f t="shared" si="1497"/>
        <v>0</v>
      </c>
      <c r="IR917" s="350">
        <f t="shared" si="1498"/>
        <v>0</v>
      </c>
      <c r="IS917" s="346">
        <f t="shared" si="1410"/>
        <v>0</v>
      </c>
      <c r="IT917" s="350">
        <f t="shared" si="1487"/>
        <v>0</v>
      </c>
      <c r="IU917" s="350">
        <f t="shared" si="1500"/>
        <v>0</v>
      </c>
      <c r="IV917" s="346">
        <f t="shared" si="1409"/>
        <v>0</v>
      </c>
      <c r="IW917" s="350">
        <f t="shared" si="1428"/>
        <v>0</v>
      </c>
      <c r="IX917" s="302">
        <f t="shared" si="1426"/>
        <v>0</v>
      </c>
      <c r="IY917" s="346">
        <f>FISC!AJ1236</f>
        <v>0</v>
      </c>
      <c r="IZ917" s="350">
        <f t="shared" si="1489"/>
        <v>0</v>
      </c>
      <c r="JA917" s="302">
        <f t="shared" si="1466"/>
        <v>0</v>
      </c>
      <c r="JB917" s="346">
        <f>FISC!AK1236</f>
        <v>0</v>
      </c>
      <c r="JC917" s="350">
        <f t="shared" si="1490"/>
        <v>0</v>
      </c>
      <c r="JD917" s="302">
        <f>JE917-JC917</f>
        <v>0</v>
      </c>
      <c r="JE917" s="346">
        <f>FISC!AL1236</f>
        <v>0</v>
      </c>
      <c r="JF917" s="350">
        <f t="shared" si="1491"/>
        <v>0</v>
      </c>
      <c r="JG917" s="302">
        <f>JH917-JF917</f>
        <v>0</v>
      </c>
      <c r="JH917" s="346">
        <f>FISC!AM1236</f>
        <v>0</v>
      </c>
      <c r="JI917" s="350">
        <f t="shared" si="1501"/>
        <v>0</v>
      </c>
      <c r="JJ917" s="302">
        <f>JK917-JI917</f>
        <v>0</v>
      </c>
      <c r="JK917" s="346">
        <f>FISC!AN1236</f>
        <v>0</v>
      </c>
      <c r="JL917" s="350">
        <f t="shared" si="1502"/>
        <v>0</v>
      </c>
      <c r="JM917" s="302">
        <f>JN917-JL917</f>
        <v>0</v>
      </c>
      <c r="JN917" s="346">
        <f>FISC!AO1236</f>
        <v>0</v>
      </c>
      <c r="KI917" s="349"/>
      <c r="KJ917" s="350"/>
    </row>
    <row r="918" spans="1:302" hidden="1" outlineLevel="1">
      <c r="A918" s="302"/>
      <c r="D918" s="1640" t="s">
        <v>3135</v>
      </c>
      <c r="E918" s="346"/>
      <c r="F918" s="346"/>
      <c r="G918" s="346"/>
      <c r="H918" s="346"/>
      <c r="I918" s="346"/>
      <c r="J918" s="346"/>
      <c r="K918" s="346"/>
      <c r="L918" s="346"/>
      <c r="M918" s="346"/>
      <c r="N918" s="346"/>
      <c r="O918" s="346"/>
      <c r="P918" s="346"/>
      <c r="Q918" s="346"/>
      <c r="R918" s="346"/>
      <c r="S918" s="346"/>
      <c r="T918" s="346"/>
      <c r="U918" s="346"/>
      <c r="V918" s="346"/>
      <c r="W918" s="346"/>
      <c r="X918" s="346"/>
      <c r="Y918" s="346"/>
      <c r="Z918" s="346"/>
      <c r="AA918" s="346"/>
      <c r="AB918" s="346"/>
      <c r="AC918" s="346"/>
      <c r="AD918" s="346"/>
      <c r="AE918" s="346"/>
      <c r="AF918" s="346"/>
      <c r="AG918" s="346"/>
      <c r="AH918" s="346"/>
      <c r="AI918" s="346"/>
      <c r="AJ918" s="346"/>
      <c r="AK918" s="346"/>
      <c r="AL918" s="346"/>
      <c r="AM918" s="346"/>
      <c r="AN918" s="346"/>
      <c r="AO918" s="346"/>
      <c r="AP918" s="346"/>
      <c r="AQ918" s="346"/>
      <c r="AR918" s="346"/>
      <c r="AS918" s="346"/>
      <c r="AT918" s="346"/>
      <c r="AU918" s="346"/>
      <c r="AV918" s="346"/>
      <c r="AW918" s="346"/>
      <c r="AX918" s="346"/>
      <c r="AY918" s="346"/>
      <c r="AZ918" s="346"/>
      <c r="BA918" s="346"/>
      <c r="BB918" s="346"/>
      <c r="BC918" s="346"/>
      <c r="BD918" s="346"/>
      <c r="BE918" s="346"/>
      <c r="BF918" s="346"/>
      <c r="BG918" s="346"/>
      <c r="BH918" s="346"/>
      <c r="BI918" s="346"/>
      <c r="BJ918" s="346"/>
      <c r="BK918" s="346"/>
      <c r="BL918" s="346"/>
      <c r="BM918" s="346"/>
      <c r="BN918" s="346"/>
      <c r="BO918" s="346"/>
      <c r="BP918" s="346"/>
      <c r="BQ918" s="346"/>
      <c r="BR918" s="346"/>
      <c r="BS918" s="346"/>
      <c r="BT918" s="346"/>
      <c r="BU918" s="346"/>
      <c r="BV918" s="346"/>
      <c r="BW918" s="346"/>
      <c r="BX918" s="346"/>
      <c r="BY918" s="346"/>
      <c r="BZ918" s="346"/>
      <c r="CA918" s="346"/>
      <c r="CB918" s="346"/>
      <c r="CC918" s="346"/>
      <c r="CD918" s="352"/>
      <c r="CE918" s="346">
        <v>0</v>
      </c>
      <c r="CF918" s="346">
        <v>0</v>
      </c>
      <c r="CG918" s="346">
        <v>0</v>
      </c>
      <c r="CH918" s="346">
        <v>0</v>
      </c>
      <c r="CI918" s="346">
        <v>0</v>
      </c>
      <c r="CJ918" s="346">
        <v>0</v>
      </c>
      <c r="CK918" s="346">
        <v>0</v>
      </c>
      <c r="CL918" s="346">
        <v>0</v>
      </c>
      <c r="CM918" s="346">
        <v>0</v>
      </c>
      <c r="CN918" s="346">
        <v>0</v>
      </c>
      <c r="CO918" s="346">
        <v>0</v>
      </c>
      <c r="CP918" s="348">
        <v>0</v>
      </c>
      <c r="CQ918" s="346"/>
      <c r="CR918" s="346"/>
      <c r="CS918" s="346"/>
      <c r="CT918" s="346"/>
      <c r="CU918" s="346"/>
      <c r="CV918" s="346"/>
      <c r="CW918" s="346"/>
      <c r="CX918" s="346"/>
      <c r="CY918" s="346"/>
      <c r="CZ918" s="346"/>
      <c r="DA918" s="346"/>
      <c r="DB918" s="1479"/>
      <c r="DC918" s="346"/>
      <c r="DD918" s="346"/>
      <c r="DE918" s="346"/>
      <c r="DF918" s="346"/>
      <c r="DG918" s="346"/>
      <c r="DH918" s="346"/>
      <c r="DI918" s="346"/>
      <c r="DJ918" s="346"/>
      <c r="DK918" s="346"/>
      <c r="DL918" s="346"/>
      <c r="DM918" s="346"/>
      <c r="DN918" s="348"/>
      <c r="DO918" s="346"/>
      <c r="DP918" s="346"/>
      <c r="DQ918" s="346"/>
      <c r="DR918" s="346"/>
      <c r="DS918" s="346"/>
      <c r="DT918" s="346"/>
      <c r="DU918" s="346"/>
      <c r="DV918" s="346"/>
      <c r="DW918" s="346"/>
      <c r="DX918" s="346"/>
      <c r="DY918" s="346"/>
      <c r="DZ918" s="348"/>
      <c r="EA918" s="346"/>
      <c r="EB918" s="346"/>
      <c r="EC918" s="346"/>
      <c r="ED918" s="346"/>
      <c r="EE918" s="346"/>
      <c r="EF918" s="346"/>
      <c r="EG918" s="346"/>
      <c r="EH918" s="346"/>
      <c r="EI918" s="346"/>
      <c r="EJ918" s="346"/>
      <c r="EK918" s="346"/>
      <c r="EL918" s="348"/>
      <c r="EM918" s="346"/>
      <c r="EN918" s="346"/>
      <c r="EO918" s="346"/>
      <c r="EP918" s="346"/>
      <c r="EQ918" s="346"/>
      <c r="ER918" s="346"/>
      <c r="ES918" s="346"/>
      <c r="ET918" s="346"/>
      <c r="EU918" s="346"/>
      <c r="EV918" s="346"/>
      <c r="EW918" s="346"/>
      <c r="EX918" s="348"/>
      <c r="EY918" s="346"/>
      <c r="EZ918" s="346"/>
      <c r="FA918" s="346"/>
      <c r="FB918" s="346"/>
      <c r="FC918" s="346"/>
      <c r="FD918" s="346"/>
      <c r="FE918" s="346"/>
      <c r="FF918" s="346"/>
      <c r="FG918" s="346"/>
      <c r="FH918" s="346"/>
      <c r="FI918" s="346"/>
      <c r="FJ918" s="348"/>
      <c r="FK918" s="346">
        <v>0</v>
      </c>
      <c r="FL918" s="346">
        <v>0</v>
      </c>
      <c r="FM918" s="346">
        <v>0</v>
      </c>
      <c r="FN918" s="346">
        <v>0</v>
      </c>
      <c r="FO918" s="346">
        <v>0</v>
      </c>
      <c r="FP918" s="346">
        <v>0</v>
      </c>
      <c r="FQ918" s="346">
        <v>0</v>
      </c>
      <c r="FR918" s="346">
        <v>0</v>
      </c>
      <c r="FS918" s="346">
        <v>0</v>
      </c>
      <c r="FT918" s="346">
        <v>0</v>
      </c>
      <c r="FU918" s="346">
        <v>0</v>
      </c>
      <c r="FV918" s="346">
        <v>0</v>
      </c>
      <c r="FW918" s="346">
        <v>0</v>
      </c>
      <c r="FX918" s="346">
        <v>0</v>
      </c>
      <c r="FY918" s="346">
        <v>0</v>
      </c>
      <c r="FZ918" s="346">
        <v>0</v>
      </c>
      <c r="GA918" s="346">
        <v>0</v>
      </c>
      <c r="GB918" s="346">
        <v>0</v>
      </c>
      <c r="GC918" s="346">
        <v>0</v>
      </c>
      <c r="GD918" s="346">
        <v>0</v>
      </c>
      <c r="GE918" s="346">
        <v>0</v>
      </c>
      <c r="GF918" s="346">
        <v>0</v>
      </c>
      <c r="GG918" s="346">
        <v>0</v>
      </c>
      <c r="GH918" s="346">
        <v>0</v>
      </c>
      <c r="GI918" s="1897">
        <v>0</v>
      </c>
      <c r="GJ918" s="1897">
        <v>0</v>
      </c>
      <c r="GK918" s="1897">
        <v>0</v>
      </c>
      <c r="GL918" s="1897">
        <v>0</v>
      </c>
      <c r="GM918" s="1897">
        <v>0</v>
      </c>
      <c r="GN918" s="1897">
        <v>0</v>
      </c>
      <c r="GO918" s="1897">
        <v>0</v>
      </c>
      <c r="GP918" s="1897">
        <v>0</v>
      </c>
      <c r="GQ918" s="1897">
        <v>0</v>
      </c>
      <c r="GR918" s="1897">
        <v>0</v>
      </c>
      <c r="GS918" s="1897">
        <v>0</v>
      </c>
      <c r="GT918" s="1897">
        <v>0</v>
      </c>
      <c r="GU918" s="1897">
        <v>0</v>
      </c>
      <c r="GV918" s="1897">
        <v>0</v>
      </c>
      <c r="GW918" s="1897">
        <v>0</v>
      </c>
      <c r="GX918" s="1897">
        <v>0</v>
      </c>
      <c r="GY918" s="1897">
        <v>0</v>
      </c>
      <c r="GZ918" s="1897">
        <v>0</v>
      </c>
      <c r="HA918" s="1897">
        <v>0</v>
      </c>
      <c r="HB918" s="1897">
        <v>0</v>
      </c>
      <c r="HC918" s="1897">
        <v>0</v>
      </c>
      <c r="HD918" s="1897">
        <v>0</v>
      </c>
      <c r="HE918" s="1897">
        <v>0</v>
      </c>
      <c r="HF918" s="1897">
        <v>0</v>
      </c>
      <c r="HG918" s="1897">
        <v>0</v>
      </c>
      <c r="HH918" s="1897">
        <v>0</v>
      </c>
      <c r="HI918" s="1897">
        <v>0</v>
      </c>
      <c r="HJ918" s="1897">
        <v>0</v>
      </c>
      <c r="HK918" s="1897">
        <v>0</v>
      </c>
      <c r="HL918" s="1897">
        <v>0</v>
      </c>
      <c r="HM918" s="1897"/>
      <c r="HN918" s="349"/>
      <c r="HO918" s="1640" t="s">
        <v>3135</v>
      </c>
      <c r="HP918" s="307"/>
      <c r="HR918" s="346"/>
      <c r="HU918" s="346"/>
      <c r="HV918" s="307"/>
      <c r="HX918" s="346"/>
      <c r="HY918" s="350"/>
      <c r="IA918" s="346"/>
      <c r="ID918" s="346"/>
      <c r="IE918" s="350"/>
      <c r="IF918" s="350"/>
      <c r="IG918" s="346"/>
      <c r="IH918" s="350"/>
      <c r="II918" s="350"/>
      <c r="IJ918" s="346"/>
      <c r="IK918" s="350">
        <f t="shared" si="1483"/>
        <v>0</v>
      </c>
      <c r="IL918" s="350">
        <f t="shared" si="1484"/>
        <v>0</v>
      </c>
      <c r="IM918" s="346">
        <f t="shared" si="1430"/>
        <v>0</v>
      </c>
      <c r="IN918" s="350">
        <f t="shared" si="1495"/>
        <v>0</v>
      </c>
      <c r="IO918" s="350">
        <f t="shared" si="1496"/>
        <v>0</v>
      </c>
      <c r="IP918" s="346">
        <f t="shared" si="1443"/>
        <v>0</v>
      </c>
      <c r="IQ918" s="350">
        <f t="shared" si="1497"/>
        <v>0</v>
      </c>
      <c r="IR918" s="350">
        <f t="shared" si="1498"/>
        <v>0</v>
      </c>
      <c r="IS918" s="346">
        <f t="shared" si="1410"/>
        <v>0</v>
      </c>
      <c r="IT918" s="350">
        <f t="shared" si="1487"/>
        <v>0</v>
      </c>
      <c r="IU918" s="350">
        <f t="shared" si="1500"/>
        <v>0</v>
      </c>
      <c r="IV918" s="346">
        <f t="shared" si="1409"/>
        <v>0</v>
      </c>
      <c r="IW918" s="350">
        <f t="shared" si="1428"/>
        <v>0</v>
      </c>
      <c r="IX918" s="302">
        <f t="shared" si="1426"/>
        <v>0</v>
      </c>
      <c r="IY918" s="346">
        <f>FISC!AJ1237</f>
        <v>0</v>
      </c>
      <c r="IZ918" s="350">
        <f t="shared" si="1489"/>
        <v>0</v>
      </c>
      <c r="JA918" s="302">
        <f t="shared" si="1466"/>
        <v>0</v>
      </c>
      <c r="JB918" s="346">
        <f>FISC!AK1237</f>
        <v>0</v>
      </c>
      <c r="JC918" s="350">
        <f t="shared" si="1490"/>
        <v>0</v>
      </c>
      <c r="JD918" s="302">
        <f>JE918-JC918</f>
        <v>0</v>
      </c>
      <c r="JE918" s="346">
        <f>FISC!AL1237</f>
        <v>0</v>
      </c>
      <c r="JF918" s="350">
        <f t="shared" si="1491"/>
        <v>0</v>
      </c>
      <c r="JG918" s="302">
        <f>JH918-JF918</f>
        <v>0</v>
      </c>
      <c r="JH918" s="346">
        <f>FISC!AM1237</f>
        <v>0</v>
      </c>
      <c r="JI918" s="350">
        <f t="shared" si="1501"/>
        <v>0</v>
      </c>
      <c r="JJ918" s="302">
        <f>JK918-JI918</f>
        <v>0</v>
      </c>
      <c r="JK918" s="346">
        <f>FISC!AN1237</f>
        <v>0</v>
      </c>
      <c r="JL918" s="350">
        <f t="shared" si="1502"/>
        <v>0</v>
      </c>
      <c r="JM918" s="302">
        <f>JN918-JL918</f>
        <v>0</v>
      </c>
      <c r="JN918" s="346">
        <f>FISC!AO1237</f>
        <v>0</v>
      </c>
      <c r="KI918" s="349"/>
      <c r="KJ918" s="350"/>
    </row>
    <row r="919" spans="1:302" hidden="1" outlineLevel="1">
      <c r="A919" s="302"/>
      <c r="B919" s="117" t="s">
        <v>361</v>
      </c>
      <c r="D919" s="357" t="s">
        <v>609</v>
      </c>
      <c r="E919" s="346"/>
      <c r="F919" s="346"/>
      <c r="G919" s="346"/>
      <c r="H919" s="346"/>
      <c r="I919" s="346"/>
      <c r="J919" s="346"/>
      <c r="K919" s="346"/>
      <c r="L919" s="346"/>
      <c r="M919" s="346"/>
      <c r="N919" s="346"/>
      <c r="O919" s="346"/>
      <c r="P919" s="346"/>
      <c r="Q919" s="346"/>
      <c r="R919" s="346"/>
      <c r="S919" s="346"/>
      <c r="T919" s="346"/>
      <c r="U919" s="346"/>
      <c r="V919" s="346"/>
      <c r="W919" s="346"/>
      <c r="X919" s="346"/>
      <c r="Y919" s="346"/>
      <c r="Z919" s="346"/>
      <c r="AA919" s="346"/>
      <c r="AB919" s="346"/>
      <c r="AC919" s="346"/>
      <c r="AD919" s="346"/>
      <c r="AE919" s="346"/>
      <c r="AF919" s="346"/>
      <c r="AG919" s="346"/>
      <c r="AH919" s="346"/>
      <c r="AI919" s="346"/>
      <c r="AJ919" s="346"/>
      <c r="AK919" s="346"/>
      <c r="AL919" s="346"/>
      <c r="AM919" s="346"/>
      <c r="AN919" s="346"/>
      <c r="AO919" s="346"/>
      <c r="AP919" s="346"/>
      <c r="AQ919" s="346"/>
      <c r="AR919" s="346"/>
      <c r="AS919" s="346"/>
      <c r="AT919" s="346"/>
      <c r="AU919" s="346"/>
      <c r="AV919" s="346"/>
      <c r="AW919" s="346"/>
      <c r="AX919" s="346"/>
      <c r="AY919" s="346"/>
      <c r="AZ919" s="346"/>
      <c r="BA919" s="346"/>
      <c r="BB919" s="346"/>
      <c r="BC919" s="346"/>
      <c r="BD919" s="346"/>
      <c r="BE919" s="346"/>
      <c r="BF919" s="346"/>
      <c r="BG919" s="346"/>
      <c r="BH919" s="346"/>
      <c r="BI919" s="346"/>
      <c r="BJ919" s="346"/>
      <c r="BK919" s="346"/>
      <c r="BL919" s="346"/>
      <c r="BM919" s="346"/>
      <c r="BN919" s="346"/>
      <c r="BO919" s="346"/>
      <c r="BP919" s="346"/>
      <c r="BQ919" s="346"/>
      <c r="BR919" s="346"/>
      <c r="BS919" s="346"/>
      <c r="BT919" s="346"/>
      <c r="BU919" s="346"/>
      <c r="BV919" s="346"/>
      <c r="BW919" s="346"/>
      <c r="BX919" s="346"/>
      <c r="BY919" s="346"/>
      <c r="BZ919" s="346"/>
      <c r="CA919" s="346"/>
      <c r="CB919" s="346"/>
      <c r="CC919" s="346"/>
      <c r="CD919" s="352"/>
      <c r="CE919" s="346">
        <v>31.808639599999999</v>
      </c>
      <c r="CF919" s="346">
        <v>-8.1269907109999995</v>
      </c>
      <c r="CG919" s="346">
        <v>6.6859770689999998</v>
      </c>
      <c r="CH919" s="346">
        <v>21.824550973000001</v>
      </c>
      <c r="CI919" s="346">
        <v>-7.7382346240000004</v>
      </c>
      <c r="CJ919" s="346">
        <v>-41.174593983000001</v>
      </c>
      <c r="CK919" s="346">
        <v>35.364857600000001</v>
      </c>
      <c r="CL919" s="346">
        <v>2.1360851240000001</v>
      </c>
      <c r="CM919" s="346">
        <v>-2.0618663549999998</v>
      </c>
      <c r="CN919" s="346">
        <v>25.426471167999999</v>
      </c>
      <c r="CO919" s="346">
        <v>16.747803172000001</v>
      </c>
      <c r="CP919" s="348">
        <v>-79.881917555000001</v>
      </c>
      <c r="CQ919" s="346">
        <f t="shared" ref="CQ919:DZ919" si="1503">CQ426</f>
        <v>21.284880143999999</v>
      </c>
      <c r="CR919" s="346">
        <f t="shared" si="1503"/>
        <v>15.006292824000001</v>
      </c>
      <c r="CS919" s="346">
        <f t="shared" si="1503"/>
        <v>-2.1616755670000001</v>
      </c>
      <c r="CT919" s="346">
        <f t="shared" si="1503"/>
        <v>8.2902747340000005</v>
      </c>
      <c r="CU919" s="346">
        <f t="shared" si="1503"/>
        <v>14.067638216000001</v>
      </c>
      <c r="CV919" s="346">
        <f t="shared" si="1503"/>
        <v>-13.939712251</v>
      </c>
      <c r="CW919" s="346">
        <f t="shared" si="1503"/>
        <v>7.2815398059999996</v>
      </c>
      <c r="CX919" s="346">
        <f t="shared" si="1503"/>
        <v>17.75406121</v>
      </c>
      <c r="CY919" s="346">
        <f t="shared" si="1503"/>
        <v>-8.8636818710000007</v>
      </c>
      <c r="CZ919" s="346">
        <f t="shared" si="1503"/>
        <v>12.141147432</v>
      </c>
      <c r="DA919" s="346">
        <f t="shared" si="1503"/>
        <v>15.717157070000001</v>
      </c>
      <c r="DB919" s="1479">
        <f t="shared" si="1503"/>
        <v>-76.454366909000001</v>
      </c>
      <c r="DC919" s="346">
        <f t="shared" si="1503"/>
        <v>37.636702925000002</v>
      </c>
      <c r="DD919" s="346">
        <f t="shared" si="1503"/>
        <v>-3.7503312680000001</v>
      </c>
      <c r="DE919" s="346">
        <f t="shared" si="1503"/>
        <v>8.4308130559999999</v>
      </c>
      <c r="DF919" s="346">
        <f t="shared" si="1503"/>
        <v>21.529509368999999</v>
      </c>
      <c r="DG919" s="346">
        <f t="shared" si="1503"/>
        <v>0.76183760700000003</v>
      </c>
      <c r="DH919" s="346">
        <f t="shared" si="1503"/>
        <v>-34.708503962000002</v>
      </c>
      <c r="DI919" s="346">
        <f t="shared" si="1503"/>
        <v>29.328402982</v>
      </c>
      <c r="DJ919" s="346">
        <f t="shared" si="1503"/>
        <v>-5.4833340650000002</v>
      </c>
      <c r="DK919" s="346">
        <f t="shared" si="1503"/>
        <v>14.938295030000001</v>
      </c>
      <c r="DL919" s="346">
        <f t="shared" si="1503"/>
        <v>-2.7388450029999998</v>
      </c>
      <c r="DM919" s="346">
        <f t="shared" si="1503"/>
        <v>32.997606068000003</v>
      </c>
      <c r="DN919" s="348">
        <f t="shared" si="1503"/>
        <v>-80.737361011999994</v>
      </c>
      <c r="DO919" s="346">
        <f t="shared" si="1503"/>
        <v>9.6132284469999991</v>
      </c>
      <c r="DP919" s="346">
        <f t="shared" si="1503"/>
        <v>51.353971930999997</v>
      </c>
      <c r="DQ919" s="346">
        <f t="shared" si="1503"/>
        <v>2.2106296799999998</v>
      </c>
      <c r="DR919" s="346">
        <f t="shared" si="1503"/>
        <v>5.9088543060000003</v>
      </c>
      <c r="DS919" s="346">
        <f t="shared" si="1503"/>
        <v>9.6801277339999992</v>
      </c>
      <c r="DT919" s="346">
        <f t="shared" si="1503"/>
        <v>-70.734507523000005</v>
      </c>
      <c r="DU919" s="346">
        <f t="shared" si="1503"/>
        <v>50.939858530999999</v>
      </c>
      <c r="DV919" s="346">
        <f t="shared" si="1503"/>
        <v>-5.2782235499999999</v>
      </c>
      <c r="DW919" s="346">
        <f t="shared" si="1503"/>
        <v>-27.574826075000001</v>
      </c>
      <c r="DX919" s="346">
        <f t="shared" si="1503"/>
        <v>59.288729955000001</v>
      </c>
      <c r="DY919" s="346">
        <f t="shared" si="1503"/>
        <v>17.518485098999999</v>
      </c>
      <c r="DZ919" s="348">
        <f t="shared" si="1503"/>
        <v>-93.281594581999997</v>
      </c>
      <c r="EA919" s="346">
        <v>47.21555936</v>
      </c>
      <c r="EB919" s="346">
        <v>21.202175148999999</v>
      </c>
      <c r="EC919" s="346">
        <v>18.482069285000001</v>
      </c>
      <c r="ED919" s="346">
        <v>1.1225844479999962</v>
      </c>
      <c r="EE919" s="346">
        <v>7.6922014360000004</v>
      </c>
      <c r="EF919" s="346">
        <v>-75.861489285000005</v>
      </c>
      <c r="EG919" s="346">
        <v>4.9656702519999998</v>
      </c>
      <c r="EH919" s="346">
        <v>-0.16435275599999999</v>
      </c>
      <c r="EI919" s="346">
        <v>17.983570476000001</v>
      </c>
      <c r="EJ919" s="346">
        <v>21.250397036999999</v>
      </c>
      <c r="EK919" s="346">
        <v>46.389073705000001</v>
      </c>
      <c r="EL919" s="348">
        <v>-75.403993608999997</v>
      </c>
      <c r="EM919" s="346">
        <v>25.837880049999995</v>
      </c>
      <c r="EN919" s="346">
        <v>36.248566873999998</v>
      </c>
      <c r="EO919" s="346">
        <v>0.44080309799999812</v>
      </c>
      <c r="EP919" s="346">
        <v>33.570550891000082</v>
      </c>
      <c r="EQ919" s="346">
        <v>48.574986181000057</v>
      </c>
      <c r="ER919" s="346">
        <v>-92.413272835000001</v>
      </c>
      <c r="ES919" s="346">
        <v>-30.782850932999999</v>
      </c>
      <c r="ET919" s="346">
        <v>9.7400734640000266</v>
      </c>
      <c r="EU919" s="346">
        <v>11.986744914999997</v>
      </c>
      <c r="EV919" s="346">
        <v>147.276351898</v>
      </c>
      <c r="EW919" s="346">
        <v>62.231566880000003</v>
      </c>
      <c r="EX919" s="348">
        <v>-197.58878029100003</v>
      </c>
      <c r="EY919" s="346">
        <v>26.632126699166701</v>
      </c>
      <c r="EZ919" s="346">
        <v>29.299668134166701</v>
      </c>
      <c r="FA919" s="346">
        <v>40.303694945166704</v>
      </c>
      <c r="FB919" s="346">
        <v>-30.529431193833396</v>
      </c>
      <c r="FC919" s="346">
        <v>55.655963521166804</v>
      </c>
      <c r="FD919" s="346">
        <v>-55.130105226833301</v>
      </c>
      <c r="FE919" s="346">
        <v>-32.025499902</v>
      </c>
      <c r="FF919" s="346">
        <v>-2.960942395</v>
      </c>
      <c r="FG919" s="346">
        <v>-8.9043976540000003</v>
      </c>
      <c r="FH919" s="346">
        <v>2.107157188</v>
      </c>
      <c r="FI919" s="346">
        <v>59.248881259999997</v>
      </c>
      <c r="FJ919" s="348">
        <v>-110.55986481399999</v>
      </c>
      <c r="FK919" s="346">
        <v>86.432213680000004</v>
      </c>
      <c r="FL919" s="346">
        <v>13.579289406999999</v>
      </c>
      <c r="FM919" s="346">
        <v>2.3488274950000001</v>
      </c>
      <c r="FN919" s="346">
        <v>-10.703466624000001</v>
      </c>
      <c r="FO919" s="346">
        <v>12.851430151000001</v>
      </c>
      <c r="FP919" s="346">
        <v>53.273304389000003</v>
      </c>
      <c r="FQ919" s="346">
        <v>31.474810708</v>
      </c>
      <c r="FR919" s="346">
        <v>-5.5388419359999999</v>
      </c>
      <c r="FS919" s="346">
        <v>-74.304525472500004</v>
      </c>
      <c r="FT919" s="346">
        <v>9.9404462720000009</v>
      </c>
      <c r="FU919" s="346">
        <v>107.6545917585</v>
      </c>
      <c r="FV919" s="346">
        <v>-204.10480462300001</v>
      </c>
      <c r="FW919" s="346">
        <v>22.090584243999999</v>
      </c>
      <c r="FX919" s="346">
        <v>-21.442330771999998</v>
      </c>
      <c r="FY919" s="346">
        <v>47.756068955000003</v>
      </c>
      <c r="FZ919" s="346">
        <v>53.548558104999998</v>
      </c>
      <c r="GA919" s="346">
        <v>4.1963563730000004</v>
      </c>
      <c r="GB919" s="346">
        <v>33.844588815999998</v>
      </c>
      <c r="GC919" s="346">
        <v>18.019215185</v>
      </c>
      <c r="GD919" s="346">
        <v>27.795084486</v>
      </c>
      <c r="GE919" s="346">
        <v>-62.382185071000002</v>
      </c>
      <c r="GF919" s="346">
        <v>17.260068576333328</v>
      </c>
      <c r="GG919" s="346">
        <v>-20.990807772666656</v>
      </c>
      <c r="GH919" s="346">
        <v>-41.478239438094171</v>
      </c>
      <c r="GI919" s="1920">
        <v>0</v>
      </c>
      <c r="GJ919" s="1920">
        <v>0</v>
      </c>
      <c r="GK919" s="1921">
        <v>92.4</v>
      </c>
      <c r="GL919" s="1920">
        <v>0</v>
      </c>
      <c r="GM919" s="1920">
        <v>0</v>
      </c>
      <c r="GN919" s="1921">
        <v>21.7</v>
      </c>
      <c r="GO919" s="378">
        <v>0</v>
      </c>
      <c r="GP919" s="378">
        <v>0</v>
      </c>
      <c r="GQ919" s="378">
        <v>-45.9</v>
      </c>
      <c r="GR919" s="378">
        <v>0</v>
      </c>
      <c r="GS919" s="378">
        <v>0</v>
      </c>
      <c r="GT919" s="1897">
        <v>1.6</v>
      </c>
      <c r="GU919" s="1897">
        <v>-59.863281428767195</v>
      </c>
      <c r="GV919" s="1897">
        <v>0</v>
      </c>
      <c r="GW919" s="1897">
        <v>0</v>
      </c>
      <c r="GX919" s="1897">
        <v>0</v>
      </c>
      <c r="GY919" s="1897">
        <v>0</v>
      </c>
      <c r="GZ919" s="1897">
        <v>-19.600000000000001</v>
      </c>
      <c r="HA919" s="1897">
        <v>0</v>
      </c>
      <c r="HB919" s="1897">
        <v>0</v>
      </c>
      <c r="HC919" s="1897">
        <v>30</v>
      </c>
      <c r="HD919" s="1897">
        <v>0</v>
      </c>
      <c r="HE919" s="1897">
        <v>0</v>
      </c>
      <c r="HF919" s="1897">
        <v>-34.921502530681501</v>
      </c>
      <c r="HG919" s="1897">
        <v>0</v>
      </c>
      <c r="HH919" s="1897">
        <v>0</v>
      </c>
      <c r="HI919" s="1897">
        <v>-15</v>
      </c>
      <c r="HJ919" s="1897">
        <v>0</v>
      </c>
      <c r="HK919" s="1897">
        <v>0</v>
      </c>
      <c r="HL919" s="1897">
        <v>-5</v>
      </c>
      <c r="HM919" s="1897"/>
      <c r="HN919" s="349"/>
      <c r="HO919" s="357" t="s">
        <v>609</v>
      </c>
      <c r="HP919" s="307">
        <f>SUM(CE919:CJ919)</f>
        <v>3.2793483240000043</v>
      </c>
      <c r="HQ919" s="302">
        <f>SUM(CK919:CP919)</f>
        <v>-2.2685668459999988</v>
      </c>
      <c r="HR919" s="346">
        <f>HP919+HQ919</f>
        <v>1.0107814780000055</v>
      </c>
      <c r="HS919" s="302">
        <f>SUM(CQ919:CV919)</f>
        <v>42.547698099999991</v>
      </c>
      <c r="HT919" s="302">
        <f>SUM(CW919:DB919)</f>
        <v>-32.424143262000001</v>
      </c>
      <c r="HU919" s="346">
        <f>HS919+HT919</f>
        <v>10.12355483799999</v>
      </c>
      <c r="HV919" s="307">
        <f>SUM(DC919:DH919)</f>
        <v>29.900027727000001</v>
      </c>
      <c r="HW919" s="302">
        <f>SUM(DI919:DN919)</f>
        <v>-11.695235999999994</v>
      </c>
      <c r="HX919" s="346">
        <f>HV919+HW919</f>
        <v>18.204791727000007</v>
      </c>
      <c r="HY919" s="350">
        <f>SUM(DO919:DT919)</f>
        <v>8.0323045749999835</v>
      </c>
      <c r="HZ919" s="302">
        <f>SUM(DU919:DZ919)</f>
        <v>1.6124293780000016</v>
      </c>
      <c r="IA919" s="346">
        <f>HY919+HZ919</f>
        <v>9.6447339529999851</v>
      </c>
      <c r="IB919" s="302">
        <f>SUM(EA919:EF919)</f>
        <v>19.853100393000005</v>
      </c>
      <c r="IC919" s="302">
        <f>SUM(EG919:EL919)</f>
        <v>15.020365104999996</v>
      </c>
      <c r="ID919" s="346">
        <f>IB919+IC919</f>
        <v>34.873465498000002</v>
      </c>
      <c r="IE919" s="350">
        <f>SUM(EM919:ER919)</f>
        <v>52.259514259000113</v>
      </c>
      <c r="IF919" s="350">
        <f>SUM(ES919:EX919)</f>
        <v>2.8631059329999857</v>
      </c>
      <c r="IG919" s="346">
        <f>IE919+IF919</f>
        <v>55.122620192000099</v>
      </c>
      <c r="IH919" s="350">
        <f>SUM(EY919:FD919)</f>
        <v>66.231916879000181</v>
      </c>
      <c r="II919" s="350">
        <f>SUM(FE919:FJ919)</f>
        <v>-93.094666316999991</v>
      </c>
      <c r="IJ919" s="346">
        <f t="shared" ref="IJ919:IJ924" si="1504">IH919+II919</f>
        <v>-26.86274943799981</v>
      </c>
      <c r="IK919" s="350">
        <f t="shared" si="1483"/>
        <v>157.78159849799999</v>
      </c>
      <c r="IL919" s="350">
        <f t="shared" si="1484"/>
        <v>-134.87832329299999</v>
      </c>
      <c r="IM919" s="346">
        <f t="shared" si="1430"/>
        <v>22.903275205</v>
      </c>
      <c r="IN919" s="350">
        <f t="shared" si="1495"/>
        <v>139.99382572100001</v>
      </c>
      <c r="IO919" s="350">
        <f t="shared" si="1496"/>
        <v>-61.776864034427504</v>
      </c>
      <c r="IP919" s="346">
        <f t="shared" si="1443"/>
        <v>78.216961686572503</v>
      </c>
      <c r="IQ919" s="350">
        <f t="shared" si="1497"/>
        <v>114.10000000000001</v>
      </c>
      <c r="IR919" s="350">
        <f t="shared" si="1498"/>
        <v>-44.3</v>
      </c>
      <c r="IS919" s="346">
        <f t="shared" si="1410"/>
        <v>69.800000000000011</v>
      </c>
      <c r="IT919" s="350">
        <f t="shared" si="1487"/>
        <v>-79.463281428767203</v>
      </c>
      <c r="IU919" s="350">
        <f t="shared" si="1500"/>
        <v>-4.9215025306815008</v>
      </c>
      <c r="IV919" s="346">
        <f t="shared" si="1409"/>
        <v>-84.384783959448697</v>
      </c>
      <c r="IW919" s="350">
        <f t="shared" si="1428"/>
        <v>-20</v>
      </c>
      <c r="IX919" s="302">
        <f t="shared" si="1426"/>
        <v>-60</v>
      </c>
      <c r="IY919" s="346">
        <f>FISC!AJ1238</f>
        <v>-80</v>
      </c>
      <c r="IZ919" s="350">
        <f t="shared" si="1489"/>
        <v>-20</v>
      </c>
      <c r="JA919" s="302">
        <f>JB919-IZ919</f>
        <v>-20</v>
      </c>
      <c r="JB919" s="346">
        <f>FISC!AK1238</f>
        <v>-40</v>
      </c>
      <c r="JC919" s="350">
        <f t="shared" si="1490"/>
        <v>-20</v>
      </c>
      <c r="JD919" s="302">
        <f>JE919-JC919</f>
        <v>-20</v>
      </c>
      <c r="JE919" s="346">
        <f>FISC!AL1238</f>
        <v>-40</v>
      </c>
      <c r="JF919" s="350">
        <f t="shared" si="1491"/>
        <v>20</v>
      </c>
      <c r="JG919" s="302">
        <f>JH919-JF919</f>
        <v>20</v>
      </c>
      <c r="JH919" s="346">
        <f>FISC!AM1238</f>
        <v>40</v>
      </c>
      <c r="JI919" s="350">
        <f t="shared" si="1501"/>
        <v>20</v>
      </c>
      <c r="JJ919" s="302">
        <f>JK919-JI919</f>
        <v>20</v>
      </c>
      <c r="JK919" s="346">
        <f>FISC!AN1238</f>
        <v>40</v>
      </c>
      <c r="JL919" s="350">
        <f t="shared" si="1502"/>
        <v>20</v>
      </c>
      <c r="JM919" s="302">
        <f>JN919-JL919</f>
        <v>20</v>
      </c>
      <c r="JN919" s="346">
        <f>FISC!AO1238</f>
        <v>40</v>
      </c>
      <c r="KI919" s="349"/>
      <c r="KJ919" s="350"/>
    </row>
    <row r="920" spans="1:302" hidden="1" outlineLevel="1">
      <c r="A920" s="302"/>
      <c r="B920" s="117" t="s">
        <v>361</v>
      </c>
      <c r="D920" s="356" t="s">
        <v>602</v>
      </c>
      <c r="E920" s="346">
        <f t="shared" ref="E920:BP920" si="1505">E928</f>
        <v>0</v>
      </c>
      <c r="F920" s="346">
        <f t="shared" si="1505"/>
        <v>0</v>
      </c>
      <c r="G920" s="346">
        <f t="shared" si="1505"/>
        <v>0</v>
      </c>
      <c r="H920" s="346">
        <f t="shared" si="1505"/>
        <v>0</v>
      </c>
      <c r="I920" s="346">
        <f t="shared" si="1505"/>
        <v>0</v>
      </c>
      <c r="J920" s="346">
        <f t="shared" si="1505"/>
        <v>0</v>
      </c>
      <c r="K920" s="346">
        <f t="shared" si="1505"/>
        <v>0</v>
      </c>
      <c r="L920" s="346">
        <f t="shared" si="1505"/>
        <v>0</v>
      </c>
      <c r="M920" s="346">
        <f t="shared" si="1505"/>
        <v>0</v>
      </c>
      <c r="N920" s="346">
        <f t="shared" si="1505"/>
        <v>0</v>
      </c>
      <c r="O920" s="346">
        <f t="shared" si="1505"/>
        <v>0</v>
      </c>
      <c r="P920" s="346">
        <f t="shared" si="1505"/>
        <v>0</v>
      </c>
      <c r="Q920" s="346">
        <f t="shared" si="1505"/>
        <v>0</v>
      </c>
      <c r="R920" s="346">
        <f t="shared" si="1505"/>
        <v>0</v>
      </c>
      <c r="S920" s="346">
        <f t="shared" si="1505"/>
        <v>0</v>
      </c>
      <c r="T920" s="346">
        <f t="shared" si="1505"/>
        <v>0</v>
      </c>
      <c r="U920" s="346">
        <f t="shared" si="1505"/>
        <v>0</v>
      </c>
      <c r="V920" s="346">
        <f t="shared" si="1505"/>
        <v>0</v>
      </c>
      <c r="W920" s="346">
        <f t="shared" si="1505"/>
        <v>0</v>
      </c>
      <c r="X920" s="346">
        <f t="shared" si="1505"/>
        <v>0</v>
      </c>
      <c r="Y920" s="346">
        <f t="shared" si="1505"/>
        <v>0</v>
      </c>
      <c r="Z920" s="346">
        <f t="shared" si="1505"/>
        <v>0</v>
      </c>
      <c r="AA920" s="346">
        <f t="shared" si="1505"/>
        <v>0</v>
      </c>
      <c r="AB920" s="346">
        <f t="shared" si="1505"/>
        <v>0</v>
      </c>
      <c r="AC920" s="346">
        <f t="shared" si="1505"/>
        <v>0</v>
      </c>
      <c r="AD920" s="346">
        <f t="shared" si="1505"/>
        <v>0</v>
      </c>
      <c r="AE920" s="346">
        <f t="shared" si="1505"/>
        <v>0</v>
      </c>
      <c r="AF920" s="346">
        <f t="shared" si="1505"/>
        <v>0</v>
      </c>
      <c r="AG920" s="346">
        <f t="shared" si="1505"/>
        <v>0</v>
      </c>
      <c r="AH920" s="346">
        <f t="shared" si="1505"/>
        <v>0</v>
      </c>
      <c r="AI920" s="346">
        <f t="shared" si="1505"/>
        <v>0</v>
      </c>
      <c r="AJ920" s="346">
        <f t="shared" si="1505"/>
        <v>0</v>
      </c>
      <c r="AK920" s="346">
        <f t="shared" si="1505"/>
        <v>0</v>
      </c>
      <c r="AL920" s="346">
        <f t="shared" si="1505"/>
        <v>0</v>
      </c>
      <c r="AM920" s="346">
        <f t="shared" si="1505"/>
        <v>0</v>
      </c>
      <c r="AN920" s="346">
        <f t="shared" si="1505"/>
        <v>0</v>
      </c>
      <c r="AO920" s="346">
        <f t="shared" si="1505"/>
        <v>0</v>
      </c>
      <c r="AP920" s="346">
        <f t="shared" si="1505"/>
        <v>0</v>
      </c>
      <c r="AQ920" s="346">
        <f t="shared" si="1505"/>
        <v>0</v>
      </c>
      <c r="AR920" s="346">
        <f t="shared" si="1505"/>
        <v>0</v>
      </c>
      <c r="AS920" s="346">
        <f t="shared" si="1505"/>
        <v>0</v>
      </c>
      <c r="AT920" s="346">
        <f t="shared" si="1505"/>
        <v>0</v>
      </c>
      <c r="AU920" s="346">
        <f t="shared" si="1505"/>
        <v>0</v>
      </c>
      <c r="AV920" s="346">
        <f t="shared" si="1505"/>
        <v>0</v>
      </c>
      <c r="AW920" s="346">
        <f t="shared" si="1505"/>
        <v>0</v>
      </c>
      <c r="AX920" s="346">
        <f t="shared" si="1505"/>
        <v>0</v>
      </c>
      <c r="AY920" s="346">
        <f t="shared" si="1505"/>
        <v>0</v>
      </c>
      <c r="AZ920" s="346">
        <f t="shared" si="1505"/>
        <v>0</v>
      </c>
      <c r="BA920" s="346">
        <f t="shared" si="1505"/>
        <v>0</v>
      </c>
      <c r="BB920" s="346">
        <f t="shared" si="1505"/>
        <v>0</v>
      </c>
      <c r="BC920" s="346">
        <f t="shared" si="1505"/>
        <v>0</v>
      </c>
      <c r="BD920" s="346">
        <f t="shared" si="1505"/>
        <v>0</v>
      </c>
      <c r="BE920" s="346">
        <f t="shared" si="1505"/>
        <v>0</v>
      </c>
      <c r="BF920" s="346">
        <f t="shared" si="1505"/>
        <v>0</v>
      </c>
      <c r="BG920" s="346">
        <f t="shared" si="1505"/>
        <v>0</v>
      </c>
      <c r="BH920" s="346">
        <f t="shared" si="1505"/>
        <v>0</v>
      </c>
      <c r="BI920" s="346">
        <f t="shared" si="1505"/>
        <v>0</v>
      </c>
      <c r="BJ920" s="346">
        <f t="shared" si="1505"/>
        <v>0</v>
      </c>
      <c r="BK920" s="346">
        <f t="shared" si="1505"/>
        <v>0</v>
      </c>
      <c r="BL920" s="346">
        <f t="shared" si="1505"/>
        <v>0</v>
      </c>
      <c r="BM920" s="346">
        <f t="shared" si="1505"/>
        <v>0</v>
      </c>
      <c r="BN920" s="346">
        <f t="shared" si="1505"/>
        <v>0</v>
      </c>
      <c r="BO920" s="346">
        <f t="shared" si="1505"/>
        <v>0</v>
      </c>
      <c r="BP920" s="346">
        <f t="shared" si="1505"/>
        <v>0</v>
      </c>
      <c r="BQ920" s="346">
        <f t="shared" ref="BQ920:EB920" si="1506">BQ928</f>
        <v>0</v>
      </c>
      <c r="BR920" s="346">
        <f t="shared" si="1506"/>
        <v>0</v>
      </c>
      <c r="BS920" s="346">
        <f t="shared" si="1506"/>
        <v>0</v>
      </c>
      <c r="BT920" s="346">
        <f t="shared" si="1506"/>
        <v>0</v>
      </c>
      <c r="BU920" s="346">
        <f t="shared" si="1506"/>
        <v>0</v>
      </c>
      <c r="BV920" s="346">
        <f t="shared" si="1506"/>
        <v>0</v>
      </c>
      <c r="BW920" s="346">
        <f t="shared" si="1506"/>
        <v>0</v>
      </c>
      <c r="BX920" s="346">
        <f t="shared" si="1506"/>
        <v>0</v>
      </c>
      <c r="BY920" s="346">
        <f t="shared" si="1506"/>
        <v>0</v>
      </c>
      <c r="BZ920" s="346">
        <f t="shared" si="1506"/>
        <v>0</v>
      </c>
      <c r="CA920" s="346">
        <f t="shared" si="1506"/>
        <v>0</v>
      </c>
      <c r="CB920" s="346">
        <f t="shared" si="1506"/>
        <v>0</v>
      </c>
      <c r="CC920" s="346">
        <f t="shared" si="1506"/>
        <v>0</v>
      </c>
      <c r="CD920" s="352">
        <f t="shared" si="1506"/>
        <v>0</v>
      </c>
      <c r="CE920" s="346">
        <f t="shared" si="1506"/>
        <v>6.0648673378900142</v>
      </c>
      <c r="CF920" s="346">
        <f t="shared" si="1506"/>
        <v>3.794319855105091</v>
      </c>
      <c r="CG920" s="346">
        <f t="shared" si="1506"/>
        <v>3.4143455195842343</v>
      </c>
      <c r="CH920" s="346">
        <f t="shared" si="1506"/>
        <v>4.8064493127320151</v>
      </c>
      <c r="CI920" s="346">
        <f t="shared" si="1506"/>
        <v>2.9333864288658735</v>
      </c>
      <c r="CJ920" s="346">
        <f t="shared" si="1506"/>
        <v>6.0664323475203199</v>
      </c>
      <c r="CK920" s="346">
        <f t="shared" si="1506"/>
        <v>10.549743380728982</v>
      </c>
      <c r="CL920" s="346">
        <f t="shared" si="1506"/>
        <v>1.6094141646601652</v>
      </c>
      <c r="CM920" s="346">
        <f t="shared" si="1506"/>
        <v>2.0088474897454565</v>
      </c>
      <c r="CN920" s="346">
        <f t="shared" si="1506"/>
        <v>1.2718415560240699</v>
      </c>
      <c r="CO920" s="346">
        <f t="shared" si="1506"/>
        <v>38.105353750626847</v>
      </c>
      <c r="CP920" s="348">
        <f t="shared" si="1506"/>
        <v>24.531914229255314</v>
      </c>
      <c r="CQ920" s="346">
        <f t="shared" si="1506"/>
        <v>4.9420193008418858</v>
      </c>
      <c r="CR920" s="346">
        <f t="shared" si="1506"/>
        <v>3.8308939451566677</v>
      </c>
      <c r="CS920" s="346">
        <f t="shared" si="1506"/>
        <v>12.00286724258406</v>
      </c>
      <c r="CT920" s="346">
        <f t="shared" si="1506"/>
        <v>5.1893339261600904</v>
      </c>
      <c r="CU920" s="346">
        <f t="shared" si="1506"/>
        <v>10.46585883733734</v>
      </c>
      <c r="CV920" s="346">
        <f t="shared" si="1506"/>
        <v>67.021078465884145</v>
      </c>
      <c r="CW920" s="346">
        <f t="shared" si="1506"/>
        <v>7.8762359651259253</v>
      </c>
      <c r="CX920" s="346">
        <f t="shared" si="1506"/>
        <v>3.5485909032750431</v>
      </c>
      <c r="CY920" s="346">
        <f t="shared" si="1506"/>
        <v>8.6557670022827384</v>
      </c>
      <c r="CZ920" s="346">
        <f t="shared" si="1506"/>
        <v>48.213086059450021</v>
      </c>
      <c r="DA920" s="346">
        <f t="shared" si="1506"/>
        <v>4.8957815003413128</v>
      </c>
      <c r="DB920" s="1479">
        <f t="shared" si="1506"/>
        <v>11.545065657792968</v>
      </c>
      <c r="DC920" s="346">
        <f t="shared" si="1506"/>
        <v>-0.32746269399886818</v>
      </c>
      <c r="DD920" s="346">
        <f t="shared" si="1506"/>
        <v>3.5305284776444301</v>
      </c>
      <c r="DE920" s="346">
        <f t="shared" si="1506"/>
        <v>55.40402819682587</v>
      </c>
      <c r="DF920" s="346">
        <f t="shared" si="1506"/>
        <v>13.837937548729254</v>
      </c>
      <c r="DG920" s="346">
        <f t="shared" si="1506"/>
        <v>4.0517228288185114</v>
      </c>
      <c r="DH920" s="346">
        <f t="shared" si="1506"/>
        <v>90.018144492537417</v>
      </c>
      <c r="DI920" s="346">
        <f t="shared" si="1506"/>
        <v>5.8757694289489741</v>
      </c>
      <c r="DJ920" s="346">
        <f t="shared" si="1506"/>
        <v>21.472344372958734</v>
      </c>
      <c r="DK920" s="346">
        <f t="shared" si="1506"/>
        <v>11.427946944314153</v>
      </c>
      <c r="DL920" s="346">
        <f t="shared" si="1506"/>
        <v>10.494451571476269</v>
      </c>
      <c r="DM920" s="346">
        <f t="shared" si="1506"/>
        <v>4.9315520607593966</v>
      </c>
      <c r="DN920" s="348">
        <f t="shared" si="1506"/>
        <v>3.691164430675272</v>
      </c>
      <c r="DO920" s="346">
        <f t="shared" si="1506"/>
        <v>2.4828976559227027</v>
      </c>
      <c r="DP920" s="346">
        <f t="shared" si="1506"/>
        <v>8.2479295940122039</v>
      </c>
      <c r="DQ920" s="346">
        <f t="shared" si="1506"/>
        <v>34.80290039343646</v>
      </c>
      <c r="DR920" s="346">
        <f t="shared" si="1506"/>
        <v>68.234891521118072</v>
      </c>
      <c r="DS920" s="346">
        <f t="shared" si="1506"/>
        <v>9.7368212350321457</v>
      </c>
      <c r="DT920" s="346">
        <f t="shared" si="1506"/>
        <v>93.306756981791452</v>
      </c>
      <c r="DU920" s="346">
        <f t="shared" si="1506"/>
        <v>10.523081388542748</v>
      </c>
      <c r="DV920" s="346">
        <f t="shared" si="1506"/>
        <v>2.9753375645376945</v>
      </c>
      <c r="DW920" s="346">
        <f t="shared" si="1506"/>
        <v>16.285524088676041</v>
      </c>
      <c r="DX920" s="346">
        <f t="shared" si="1506"/>
        <v>19.930253277965207</v>
      </c>
      <c r="DY920" s="346">
        <f t="shared" si="1506"/>
        <v>36.579671090306043</v>
      </c>
      <c r="DZ920" s="348">
        <f t="shared" si="1506"/>
        <v>19.882869600030467</v>
      </c>
      <c r="EA920" s="346">
        <f t="shared" si="1506"/>
        <v>8.4231752763884664</v>
      </c>
      <c r="EB920" s="346">
        <f t="shared" si="1506"/>
        <v>31.683600606302893</v>
      </c>
      <c r="EC920" s="346">
        <f t="shared" ref="EC920:FV920" si="1507">EC928</f>
        <v>24.658814769659362</v>
      </c>
      <c r="ED920" s="346">
        <f t="shared" si="1507"/>
        <v>18.683836442856141</v>
      </c>
      <c r="EE920" s="346">
        <f t="shared" si="1507"/>
        <v>110.96608495911359</v>
      </c>
      <c r="EF920" s="346">
        <f t="shared" si="1507"/>
        <v>14.51405999831908</v>
      </c>
      <c r="EG920" s="346">
        <f t="shared" si="1507"/>
        <v>55.423346475873529</v>
      </c>
      <c r="EH920" s="346">
        <f t="shared" si="1507"/>
        <v>3.8959698821168445</v>
      </c>
      <c r="EI920" s="346">
        <f t="shared" si="1507"/>
        <v>14.580064284231812</v>
      </c>
      <c r="EJ920" s="346">
        <f t="shared" si="1507"/>
        <v>8.8538571553240697</v>
      </c>
      <c r="EK920" s="346">
        <f t="shared" si="1507"/>
        <v>38.389474378554652</v>
      </c>
      <c r="EL920" s="348">
        <f t="shared" si="1507"/>
        <v>25.956846648486049</v>
      </c>
      <c r="EM920" s="346">
        <f t="shared" si="1507"/>
        <v>9.1306091178664825</v>
      </c>
      <c r="EN920" s="346">
        <f t="shared" si="1507"/>
        <v>1.63542145193674</v>
      </c>
      <c r="EO920" s="346">
        <f t="shared" si="1507"/>
        <v>10.987169894132018</v>
      </c>
      <c r="EP920" s="346">
        <f t="shared" si="1507"/>
        <v>4.562096771518064</v>
      </c>
      <c r="EQ920" s="346">
        <f t="shared" si="1507"/>
        <v>13.176531811450971</v>
      </c>
      <c r="ER920" s="346">
        <f t="shared" si="1507"/>
        <v>219.27680270007269</v>
      </c>
      <c r="ES920" s="346">
        <f t="shared" si="1507"/>
        <v>22.37974998625814</v>
      </c>
      <c r="ET920" s="346">
        <f t="shared" si="1507"/>
        <v>15.159283741393457</v>
      </c>
      <c r="EU920" s="346">
        <f t="shared" si="1507"/>
        <v>11.394298316027328</v>
      </c>
      <c r="EV920" s="346">
        <f t="shared" si="1507"/>
        <v>18.450060664160304</v>
      </c>
      <c r="EW920" s="346">
        <f t="shared" si="1507"/>
        <v>16.139738200652342</v>
      </c>
      <c r="EX920" s="348">
        <f t="shared" si="1507"/>
        <v>106.02020398827491</v>
      </c>
      <c r="EY920" s="346">
        <f t="shared" si="1507"/>
        <v>18.710324140762001</v>
      </c>
      <c r="EZ920" s="346">
        <f t="shared" si="1507"/>
        <v>26.358275628537605</v>
      </c>
      <c r="FA920" s="346">
        <f t="shared" si="1507"/>
        <v>25.66195521547359</v>
      </c>
      <c r="FB920" s="346">
        <f t="shared" si="1507"/>
        <v>180.34086035425312</v>
      </c>
      <c r="FC920" s="346">
        <f t="shared" si="1507"/>
        <v>35.460548031665894</v>
      </c>
      <c r="FD920" s="346">
        <f t="shared" si="1507"/>
        <v>146.3197624468045</v>
      </c>
      <c r="FE920" s="346">
        <f t="shared" si="1507"/>
        <v>60.226021596908097</v>
      </c>
      <c r="FF920" s="346">
        <f t="shared" si="1507"/>
        <v>26.641361852016441</v>
      </c>
      <c r="FG920" s="346">
        <f t="shared" si="1507"/>
        <v>11.705615638270633</v>
      </c>
      <c r="FH920" s="346">
        <f t="shared" si="1507"/>
        <v>124.11776803524816</v>
      </c>
      <c r="FI920" s="346">
        <f t="shared" si="1507"/>
        <v>32.936011562168424</v>
      </c>
      <c r="FJ920" s="348">
        <f t="shared" si="1507"/>
        <v>265.54118707599042</v>
      </c>
      <c r="FK920" s="346">
        <f t="shared" si="1507"/>
        <v>165.36716256293312</v>
      </c>
      <c r="FL920" s="346">
        <f t="shared" si="1507"/>
        <v>42.676739492936349</v>
      </c>
      <c r="FM920" s="346">
        <f t="shared" si="1507"/>
        <v>47.373704321396758</v>
      </c>
      <c r="FN920" s="346">
        <f t="shared" si="1507"/>
        <v>29.80564258928019</v>
      </c>
      <c r="FO920" s="346">
        <f t="shared" si="1507"/>
        <v>24.133098201211482</v>
      </c>
      <c r="FP920" s="346">
        <f t="shared" si="1507"/>
        <v>142.03539291295886</v>
      </c>
      <c r="FQ920" s="346">
        <f t="shared" si="1507"/>
        <v>8.1583712632049998</v>
      </c>
      <c r="FR920" s="346">
        <f t="shared" si="1507"/>
        <v>30.696689018393997</v>
      </c>
      <c r="FS920" s="346">
        <f t="shared" si="1507"/>
        <v>96.048654651339973</v>
      </c>
      <c r="FT920" s="346">
        <f t="shared" si="1507"/>
        <v>24.229058993359722</v>
      </c>
      <c r="FU920" s="346">
        <f t="shared" si="1507"/>
        <v>7.5483352215044688</v>
      </c>
      <c r="FV920" s="346">
        <f t="shared" si="1507"/>
        <v>39.199590900966733</v>
      </c>
      <c r="FW920" s="346">
        <v>27.624194789979462</v>
      </c>
      <c r="FX920" s="346">
        <v>289.61078769430463</v>
      </c>
      <c r="FY920" s="346">
        <v>17.41244602701115</v>
      </c>
      <c r="FZ920" s="346">
        <v>87.691067920702139</v>
      </c>
      <c r="GA920" s="346">
        <v>74.219736986734461</v>
      </c>
      <c r="GB920" s="346">
        <v>259.05444236477047</v>
      </c>
      <c r="GC920" s="346">
        <v>3.2885865871498829</v>
      </c>
      <c r="GD920" s="346">
        <v>13.94239333506065</v>
      </c>
      <c r="GE920" s="346">
        <v>82.658302674580867</v>
      </c>
      <c r="GF920" s="346">
        <v>39.588158417380626</v>
      </c>
      <c r="GG920" s="346">
        <v>44.550087477578145</v>
      </c>
      <c r="GH920" s="346">
        <v>92.012539414141031</v>
      </c>
      <c r="GI920" s="1897">
        <f>GI922+GI928</f>
        <v>18.006083506541067</v>
      </c>
      <c r="GJ920" s="1897">
        <f t="shared" ref="GJ920:HL920" si="1508">GJ922+GJ928</f>
        <v>4.8089811679161691</v>
      </c>
      <c r="GK920" s="1897">
        <f t="shared" si="1508"/>
        <v>70.569208254395889</v>
      </c>
      <c r="GL920" s="1897">
        <f t="shared" si="1508"/>
        <v>27.560648542128696</v>
      </c>
      <c r="GM920" s="1897">
        <f t="shared" si="1508"/>
        <v>9.4039659277830996</v>
      </c>
      <c r="GN920" s="1897">
        <f t="shared" si="1508"/>
        <v>44.237588588376816</v>
      </c>
      <c r="GO920" s="1897">
        <f t="shared" si="1508"/>
        <v>27.288171702099547</v>
      </c>
      <c r="GP920" s="1897">
        <f t="shared" si="1508"/>
        <v>22.984808425351392</v>
      </c>
      <c r="GQ920" s="1897">
        <f t="shared" si="1508"/>
        <v>450.23539151328413</v>
      </c>
      <c r="GR920" s="1897">
        <f t="shared" si="1508"/>
        <v>-57.739005848373004</v>
      </c>
      <c r="GS920" s="1897">
        <f t="shared" si="1508"/>
        <v>20.289536545420098</v>
      </c>
      <c r="GT920" s="1897">
        <f t="shared" si="1508"/>
        <v>170.86324463565049</v>
      </c>
      <c r="GU920" s="1897">
        <f t="shared" si="1508"/>
        <v>24.901617678619075</v>
      </c>
      <c r="GV920" s="1897">
        <f t="shared" si="1508"/>
        <v>29.396984788598399</v>
      </c>
      <c r="GW920" s="1897">
        <f t="shared" si="1508"/>
        <v>34.278652857079472</v>
      </c>
      <c r="GX920" s="1897">
        <f t="shared" si="1508"/>
        <v>34.569296173943322</v>
      </c>
      <c r="GY920" s="1897">
        <f t="shared" si="1508"/>
        <v>61.294792130506103</v>
      </c>
      <c r="GZ920" s="1897">
        <f t="shared" si="1508"/>
        <v>389.1169962807532</v>
      </c>
      <c r="HA920" s="1897">
        <f t="shared" si="1508"/>
        <v>23.587192673905697</v>
      </c>
      <c r="HB920" s="1897">
        <f t="shared" si="1508"/>
        <v>5.8263685015150024</v>
      </c>
      <c r="HC920" s="1897">
        <f t="shared" si="1508"/>
        <v>71.093702307219047</v>
      </c>
      <c r="HD920" s="1897">
        <f t="shared" si="1508"/>
        <v>91.193470368949306</v>
      </c>
      <c r="HE920" s="1897">
        <f t="shared" si="1508"/>
        <v>132.09520843442903</v>
      </c>
      <c r="HF920" s="1897">
        <f t="shared" si="1508"/>
        <v>409.85987118987839</v>
      </c>
      <c r="HG920" s="1897">
        <f t="shared" si="1508"/>
        <v>39.520296884400395</v>
      </c>
      <c r="HH920" s="1897">
        <f t="shared" si="1508"/>
        <v>0.90679020791951359</v>
      </c>
      <c r="HI920" s="1897">
        <f t="shared" si="1508"/>
        <v>36.108589938519167</v>
      </c>
      <c r="HJ920" s="1897">
        <f t="shared" si="1508"/>
        <v>51.541524999922316</v>
      </c>
      <c r="HK920" s="1897">
        <f t="shared" si="1508"/>
        <v>80.069460153539424</v>
      </c>
      <c r="HL920" s="1897">
        <f t="shared" si="1508"/>
        <v>823.4443101715209</v>
      </c>
      <c r="HM920" s="1897"/>
      <c r="HN920" s="349"/>
      <c r="HO920" s="356" t="s">
        <v>602</v>
      </c>
      <c r="HP920" s="307">
        <f>SUM(CE920:CJ920)</f>
        <v>27.079800801697544</v>
      </c>
      <c r="HQ920" s="302">
        <f>SUM(CK920:CP920)</f>
        <v>78.077114571040823</v>
      </c>
      <c r="HR920" s="346">
        <f>HP920+HQ920</f>
        <v>105.15691537273837</v>
      </c>
      <c r="HS920" s="302">
        <f>SUM(CQ920:CV920)</f>
        <v>103.45205171796418</v>
      </c>
      <c r="HT920" s="302">
        <f>SUM(CW920:DB920)</f>
        <v>84.73452708826801</v>
      </c>
      <c r="HU920" s="346">
        <f>HS920+HT920</f>
        <v>188.18657880623221</v>
      </c>
      <c r="HV920" s="307">
        <f>SUM(DC920:DH920)</f>
        <v>166.51489885055662</v>
      </c>
      <c r="HW920" s="302">
        <f>SUM(DI920:DN920)</f>
        <v>57.893228809132793</v>
      </c>
      <c r="HX920" s="346">
        <f>HV920+HW920</f>
        <v>224.4081276596894</v>
      </c>
      <c r="HY920" s="350">
        <f>SUM(DO920:DT920)</f>
        <v>216.81219738131301</v>
      </c>
      <c r="HZ920" s="302">
        <f>SUM(DU920:DZ920)</f>
        <v>106.17673701005819</v>
      </c>
      <c r="IA920" s="346">
        <f>HY920+HZ920</f>
        <v>322.98893439137123</v>
      </c>
      <c r="IB920" s="302">
        <f>SUM(EA920:EF920)</f>
        <v>208.92957205263954</v>
      </c>
      <c r="IC920" s="302">
        <f>SUM(EG920:EL920)</f>
        <v>147.09955882458695</v>
      </c>
      <c r="ID920" s="346">
        <f>IB920+IC920</f>
        <v>356.02913087722652</v>
      </c>
      <c r="IE920" s="350">
        <f>SUM(EM920:ER920)</f>
        <v>258.76863174697695</v>
      </c>
      <c r="IF920" s="350">
        <f>SUM(ES920:EX920)</f>
        <v>189.54333489676651</v>
      </c>
      <c r="IG920" s="346">
        <f>IE920+IF920</f>
        <v>448.31196664374346</v>
      </c>
      <c r="IH920" s="1625">
        <f>+IH928</f>
        <v>432.85172581749669</v>
      </c>
      <c r="II920" s="350">
        <f>SUM(FE920:FJ920)</f>
        <v>521.16796576060221</v>
      </c>
      <c r="IJ920" s="346">
        <f t="shared" si="1504"/>
        <v>954.0196915780989</v>
      </c>
      <c r="IK920" s="350">
        <f t="shared" si="1483"/>
        <v>451.39174008071677</v>
      </c>
      <c r="IL920" s="350">
        <f>SUM(FQ920:FV920)</f>
        <v>205.88070004876988</v>
      </c>
      <c r="IM920" s="346">
        <f t="shared" si="1430"/>
        <v>657.27244012948665</v>
      </c>
      <c r="IN920" s="350">
        <f t="shared" si="1495"/>
        <v>755.61267578350225</v>
      </c>
      <c r="IO920" s="350">
        <f t="shared" si="1496"/>
        <v>276.04006790589119</v>
      </c>
      <c r="IP920" s="346">
        <f t="shared" si="1443"/>
        <v>1031.6527436893934</v>
      </c>
      <c r="IQ920" s="350">
        <f t="shared" si="1497"/>
        <v>174.58647598714174</v>
      </c>
      <c r="IR920" s="350">
        <f t="shared" si="1498"/>
        <v>633.92214697343263</v>
      </c>
      <c r="IS920" s="346">
        <f t="shared" si="1410"/>
        <v>808.50862296057437</v>
      </c>
      <c r="IT920" s="350">
        <f>+IT928+IT922+IT921</f>
        <v>573.55833990949964</v>
      </c>
      <c r="IU920" s="350">
        <f>+IU928+IU922+IU921</f>
        <v>733.65581347589648</v>
      </c>
      <c r="IV920" s="346">
        <f t="shared" si="1409"/>
        <v>1307.214153385396</v>
      </c>
      <c r="IW920" s="350">
        <f t="shared" si="1428"/>
        <v>1031.5909723558216</v>
      </c>
      <c r="IX920" s="1624">
        <f t="shared" si="1426"/>
        <v>253.03253110893365</v>
      </c>
      <c r="IY920" s="346">
        <f>FISC!AJ1239</f>
        <v>1284.6235034647552</v>
      </c>
      <c r="IZ920" s="1624">
        <f>+IZ928+IZ922+IZ921</f>
        <v>1443.4456981983878</v>
      </c>
      <c r="JA920" s="1624">
        <f>+JA928+JA922+JA921</f>
        <v>368.34171420739267</v>
      </c>
      <c r="JB920" s="346">
        <f>FISC!AK1239</f>
        <v>1811.7874124057805</v>
      </c>
      <c r="JC920" s="1624">
        <f>+JC928+JC922+JC921</f>
        <v>1149.3064888327742</v>
      </c>
      <c r="JD920" s="1624">
        <f>+JD928+JD922+JD921</f>
        <v>483.3593040396288</v>
      </c>
      <c r="JE920" s="346">
        <f>FISC!AL1239</f>
        <v>1632.665792872403</v>
      </c>
      <c r="JF920" s="1624">
        <f>+JF928+JF922+JF921</f>
        <v>779.02844806848543</v>
      </c>
      <c r="JG920" s="1624">
        <f>+JG928+JG922+JG921</f>
        <v>201.00854119955056</v>
      </c>
      <c r="JH920" s="346">
        <f>FISC!AM1239</f>
        <v>980.03698926803577</v>
      </c>
      <c r="JI920" s="1624">
        <f>+JI928+JI922+JI921</f>
        <v>653.69314307351624</v>
      </c>
      <c r="JJ920" s="1624">
        <f>+JJ928+JJ922+JJ921</f>
        <v>117.99997203796192</v>
      </c>
      <c r="JK920" s="346">
        <f>FISC!AN1239</f>
        <v>771.69311511147828</v>
      </c>
      <c r="JL920" s="1624">
        <f>+JL928+JL922+JL921</f>
        <v>274.94887118425743</v>
      </c>
      <c r="JM920" s="1624">
        <f>+JM928+JM922+JM921</f>
        <v>57.544956215305206</v>
      </c>
      <c r="JN920" s="346">
        <f>FISC!AO1239</f>
        <v>332.49382739956263</v>
      </c>
      <c r="KI920" s="349"/>
      <c r="KJ920" s="350"/>
      <c r="KM920" s="302">
        <f>KM928</f>
        <v>0</v>
      </c>
      <c r="KN920" s="302">
        <f>KN928</f>
        <v>0</v>
      </c>
      <c r="KO920" s="302">
        <f>KO928</f>
        <v>0</v>
      </c>
      <c r="KP920" s="302">
        <f>KP928</f>
        <v>0</v>
      </c>
    </row>
    <row r="921" spans="1:302" hidden="1" outlineLevel="1">
      <c r="A921" s="302"/>
      <c r="D921" s="1807" t="s">
        <v>3290</v>
      </c>
      <c r="E921" s="346"/>
      <c r="F921" s="346"/>
      <c r="G921" s="346"/>
      <c r="H921" s="346"/>
      <c r="I921" s="346"/>
      <c r="J921" s="346"/>
      <c r="K921" s="346"/>
      <c r="L921" s="346"/>
      <c r="M921" s="346"/>
      <c r="N921" s="346"/>
      <c r="O921" s="346"/>
      <c r="P921" s="346"/>
      <c r="Q921" s="346"/>
      <c r="R921" s="346"/>
      <c r="S921" s="346"/>
      <c r="T921" s="346"/>
      <c r="U921" s="346"/>
      <c r="V921" s="346"/>
      <c r="W921" s="346"/>
      <c r="X921" s="346"/>
      <c r="Y921" s="346"/>
      <c r="Z921" s="346"/>
      <c r="AA921" s="346"/>
      <c r="AB921" s="346"/>
      <c r="AC921" s="346"/>
      <c r="AD921" s="346"/>
      <c r="AE921" s="346"/>
      <c r="AF921" s="346"/>
      <c r="AG921" s="346"/>
      <c r="AH921" s="346"/>
      <c r="AI921" s="346"/>
      <c r="AJ921" s="346"/>
      <c r="AK921" s="346"/>
      <c r="AL921" s="346"/>
      <c r="AM921" s="346"/>
      <c r="AN921" s="346"/>
      <c r="AO921" s="346"/>
      <c r="AP921" s="346"/>
      <c r="AQ921" s="346"/>
      <c r="AR921" s="346"/>
      <c r="AS921" s="346"/>
      <c r="AT921" s="346"/>
      <c r="AU921" s="346"/>
      <c r="AV921" s="346"/>
      <c r="AW921" s="346"/>
      <c r="AX921" s="346"/>
      <c r="AY921" s="346"/>
      <c r="AZ921" s="346"/>
      <c r="BA921" s="346"/>
      <c r="BB921" s="346"/>
      <c r="BC921" s="346"/>
      <c r="BD921" s="346"/>
      <c r="BE921" s="346"/>
      <c r="BF921" s="346"/>
      <c r="BG921" s="346"/>
      <c r="BH921" s="346"/>
      <c r="BI921" s="346"/>
      <c r="BJ921" s="346"/>
      <c r="BK921" s="346"/>
      <c r="BL921" s="346"/>
      <c r="BM921" s="346"/>
      <c r="BN921" s="346"/>
      <c r="BO921" s="346"/>
      <c r="BP921" s="346"/>
      <c r="BQ921" s="346"/>
      <c r="BR921" s="346"/>
      <c r="BS921" s="346"/>
      <c r="BT921" s="346"/>
      <c r="BU921" s="346"/>
      <c r="BV921" s="346"/>
      <c r="BW921" s="346"/>
      <c r="BX921" s="346"/>
      <c r="BY921" s="346"/>
      <c r="BZ921" s="346"/>
      <c r="CA921" s="346"/>
      <c r="CB921" s="346"/>
      <c r="CC921" s="346"/>
      <c r="CD921" s="352"/>
      <c r="CE921" s="346"/>
      <c r="CF921" s="346"/>
      <c r="CG921" s="346"/>
      <c r="CH921" s="346"/>
      <c r="CI921" s="346"/>
      <c r="CJ921" s="346"/>
      <c r="CK921" s="346"/>
      <c r="CL921" s="346"/>
      <c r="CM921" s="346"/>
      <c r="CN921" s="346"/>
      <c r="CO921" s="346"/>
      <c r="CP921" s="348"/>
      <c r="CQ921" s="346"/>
      <c r="CR921" s="346"/>
      <c r="CS921" s="346"/>
      <c r="CT921" s="346"/>
      <c r="CU921" s="346"/>
      <c r="CV921" s="346"/>
      <c r="CW921" s="346"/>
      <c r="CX921" s="346"/>
      <c r="CY921" s="346"/>
      <c r="CZ921" s="346"/>
      <c r="DA921" s="346"/>
      <c r="DB921" s="1479"/>
      <c r="DC921" s="346"/>
      <c r="DD921" s="346"/>
      <c r="DE921" s="346"/>
      <c r="DF921" s="346"/>
      <c r="DG921" s="346"/>
      <c r="DH921" s="346"/>
      <c r="DI921" s="346"/>
      <c r="DJ921" s="346"/>
      <c r="DK921" s="346"/>
      <c r="DL921" s="346"/>
      <c r="DM921" s="346"/>
      <c r="DN921" s="348"/>
      <c r="DO921" s="346"/>
      <c r="DP921" s="346"/>
      <c r="DQ921" s="346"/>
      <c r="DR921" s="346"/>
      <c r="DS921" s="346"/>
      <c r="DT921" s="346"/>
      <c r="DU921" s="346"/>
      <c r="DV921" s="346"/>
      <c r="DW921" s="346"/>
      <c r="DX921" s="346"/>
      <c r="DY921" s="346"/>
      <c r="DZ921" s="348"/>
      <c r="EA921" s="346"/>
      <c r="EB921" s="346"/>
      <c r="EC921" s="346"/>
      <c r="ED921" s="346"/>
      <c r="EE921" s="346"/>
      <c r="EF921" s="346"/>
      <c r="EG921" s="346"/>
      <c r="EH921" s="346"/>
      <c r="EI921" s="346"/>
      <c r="EJ921" s="346"/>
      <c r="EK921" s="346"/>
      <c r="EL921" s="348"/>
      <c r="EM921" s="346"/>
      <c r="EN921" s="346"/>
      <c r="EO921" s="346"/>
      <c r="EP921" s="346"/>
      <c r="EQ921" s="346"/>
      <c r="ER921" s="346"/>
      <c r="ES921" s="346"/>
      <c r="ET921" s="346"/>
      <c r="EU921" s="346"/>
      <c r="EV921" s="346"/>
      <c r="EW921" s="346"/>
      <c r="EX921" s="348"/>
      <c r="EY921" s="346"/>
      <c r="EZ921" s="346"/>
      <c r="FA921" s="346"/>
      <c r="FB921" s="346"/>
      <c r="FC921" s="346"/>
      <c r="FD921" s="346"/>
      <c r="FE921" s="346"/>
      <c r="FF921" s="346"/>
      <c r="FG921" s="346"/>
      <c r="FH921" s="346"/>
      <c r="FI921" s="346"/>
      <c r="FJ921" s="348"/>
      <c r="FK921" s="346"/>
      <c r="FL921" s="346"/>
      <c r="FM921" s="346"/>
      <c r="FN921" s="346"/>
      <c r="FO921" s="346"/>
      <c r="FP921" s="346"/>
      <c r="FQ921" s="346"/>
      <c r="FR921" s="346"/>
      <c r="FS921" s="346"/>
      <c r="FT921" s="346"/>
      <c r="FU921" s="346"/>
      <c r="FV921" s="346"/>
      <c r="FW921" s="346"/>
      <c r="FX921" s="346"/>
      <c r="FY921" s="346">
        <v>0</v>
      </c>
      <c r="FZ921" s="346"/>
      <c r="GA921" s="346"/>
      <c r="GB921" s="346">
        <v>222.42967109467429</v>
      </c>
      <c r="GC921" s="346">
        <v>0</v>
      </c>
      <c r="GD921" s="346">
        <v>0</v>
      </c>
      <c r="GE921" s="346">
        <v>0</v>
      </c>
      <c r="GF921" s="346">
        <v>0</v>
      </c>
      <c r="GG921" s="346">
        <v>0</v>
      </c>
      <c r="GH921" s="346">
        <v>0</v>
      </c>
      <c r="GI921" s="1897">
        <v>0</v>
      </c>
      <c r="GJ921" s="1897">
        <v>0</v>
      </c>
      <c r="GK921" s="1897">
        <v>0</v>
      </c>
      <c r="GL921" s="1897">
        <v>0</v>
      </c>
      <c r="GM921" s="1897">
        <v>0</v>
      </c>
      <c r="GN921" s="1897">
        <v>0</v>
      </c>
      <c r="GO921" s="378">
        <v>0</v>
      </c>
      <c r="GP921" s="378">
        <v>0</v>
      </c>
      <c r="GQ921" s="378">
        <v>0</v>
      </c>
      <c r="GR921" s="378">
        <v>0</v>
      </c>
      <c r="GS921" s="378">
        <v>0</v>
      </c>
      <c r="GT921" s="378">
        <v>0</v>
      </c>
      <c r="GU921" s="378">
        <v>0</v>
      </c>
      <c r="GV921" s="378">
        <v>0</v>
      </c>
      <c r="GW921" s="378">
        <v>0</v>
      </c>
      <c r="GX921" s="378">
        <v>0</v>
      </c>
      <c r="GY921" s="378">
        <v>0</v>
      </c>
      <c r="GZ921" s="378">
        <v>0</v>
      </c>
      <c r="HA921" s="378">
        <v>0</v>
      </c>
      <c r="HB921" s="378">
        <v>0</v>
      </c>
      <c r="HC921" s="378">
        <v>0</v>
      </c>
      <c r="HD921" s="378">
        <v>0</v>
      </c>
      <c r="HE921" s="378">
        <v>0</v>
      </c>
      <c r="HF921" s="378">
        <v>0</v>
      </c>
      <c r="HG921" s="378">
        <v>0</v>
      </c>
      <c r="HH921" s="378">
        <v>0</v>
      </c>
      <c r="HI921" s="378">
        <v>0</v>
      </c>
      <c r="HJ921" s="378">
        <v>0</v>
      </c>
      <c r="HK921" s="378">
        <v>0</v>
      </c>
      <c r="HL921" s="378">
        <v>0</v>
      </c>
      <c r="HN921" s="349"/>
      <c r="HO921" s="1807" t="s">
        <v>3290</v>
      </c>
      <c r="HP921" s="307"/>
      <c r="HR921" s="346"/>
      <c r="HU921" s="346"/>
      <c r="HV921" s="307"/>
      <c r="HX921" s="346"/>
      <c r="HY921" s="350"/>
      <c r="IA921" s="346"/>
      <c r="ID921" s="346"/>
      <c r="IE921" s="350"/>
      <c r="IF921" s="350"/>
      <c r="IG921" s="346"/>
      <c r="IH921" s="1625"/>
      <c r="II921" s="350"/>
      <c r="IJ921" s="346">
        <f t="shared" si="1504"/>
        <v>0</v>
      </c>
      <c r="IK921" s="350"/>
      <c r="IL921" s="350"/>
      <c r="IM921" s="346"/>
      <c r="IN921" s="350">
        <f>SUM(FW921:GB921)</f>
        <v>222.42967109467429</v>
      </c>
      <c r="IO921" s="350">
        <f t="shared" si="1496"/>
        <v>0</v>
      </c>
      <c r="IP921" s="346">
        <f t="shared" si="1443"/>
        <v>222.42967109467429</v>
      </c>
      <c r="IQ921" s="350">
        <f t="shared" si="1497"/>
        <v>0</v>
      </c>
      <c r="IR921" s="350">
        <f t="shared" si="1498"/>
        <v>0</v>
      </c>
      <c r="IS921" s="346">
        <f t="shared" si="1410"/>
        <v>0</v>
      </c>
      <c r="IT921" s="350"/>
      <c r="IU921" s="350"/>
      <c r="IV921" s="346">
        <f t="shared" si="1409"/>
        <v>0</v>
      </c>
      <c r="IW921" s="350">
        <f t="shared" si="1428"/>
        <v>0</v>
      </c>
      <c r="IX921" s="350">
        <f t="shared" si="1426"/>
        <v>0</v>
      </c>
      <c r="IY921" s="346"/>
      <c r="IZ921" s="1624"/>
      <c r="JB921" s="346"/>
      <c r="JC921" s="1624"/>
      <c r="JE921" s="346">
        <f>FISC!AL1240</f>
        <v>0</v>
      </c>
      <c r="JH921" s="346">
        <f>FISC!AM1240</f>
        <v>0</v>
      </c>
      <c r="JK921" s="346">
        <f>FISC!AN1240</f>
        <v>0</v>
      </c>
      <c r="JN921" s="346">
        <f>FISC!AO1240</f>
        <v>0</v>
      </c>
      <c r="KI921" s="349"/>
      <c r="KJ921" s="350"/>
    </row>
    <row r="922" spans="1:302" hidden="1" outlineLevel="1">
      <c r="A922" s="302"/>
      <c r="D922" s="1679" t="s">
        <v>3237</v>
      </c>
      <c r="E922" s="346"/>
      <c r="F922" s="346"/>
      <c r="G922" s="346"/>
      <c r="H922" s="346"/>
      <c r="I922" s="346"/>
      <c r="J922" s="346"/>
      <c r="K922" s="346"/>
      <c r="L922" s="346"/>
      <c r="M922" s="346"/>
      <c r="N922" s="346"/>
      <c r="O922" s="346"/>
      <c r="P922" s="346"/>
      <c r="Q922" s="346"/>
      <c r="R922" s="346"/>
      <c r="S922" s="346"/>
      <c r="T922" s="346"/>
      <c r="U922" s="346"/>
      <c r="V922" s="346"/>
      <c r="W922" s="346"/>
      <c r="X922" s="346"/>
      <c r="Y922" s="346"/>
      <c r="Z922" s="346"/>
      <c r="AA922" s="346"/>
      <c r="AB922" s="346"/>
      <c r="AC922" s="346"/>
      <c r="AD922" s="346"/>
      <c r="AE922" s="346"/>
      <c r="AF922" s="346"/>
      <c r="AG922" s="346"/>
      <c r="AH922" s="346"/>
      <c r="AI922" s="346"/>
      <c r="AJ922" s="346"/>
      <c r="AK922" s="346"/>
      <c r="AL922" s="346"/>
      <c r="AM922" s="346"/>
      <c r="AN922" s="346"/>
      <c r="AO922" s="346"/>
      <c r="AP922" s="346"/>
      <c r="AQ922" s="346"/>
      <c r="AR922" s="346"/>
      <c r="AS922" s="346"/>
      <c r="AT922" s="346"/>
      <c r="AU922" s="346"/>
      <c r="AV922" s="346"/>
      <c r="AW922" s="346"/>
      <c r="AX922" s="346"/>
      <c r="AY922" s="346"/>
      <c r="AZ922" s="346"/>
      <c r="BA922" s="346"/>
      <c r="BB922" s="346"/>
      <c r="BC922" s="346"/>
      <c r="BD922" s="346"/>
      <c r="BE922" s="346"/>
      <c r="BF922" s="346"/>
      <c r="BG922" s="346"/>
      <c r="BH922" s="346"/>
      <c r="BI922" s="346"/>
      <c r="BJ922" s="346"/>
      <c r="BK922" s="346"/>
      <c r="BL922" s="346"/>
      <c r="BM922" s="346"/>
      <c r="BN922" s="346"/>
      <c r="BO922" s="346"/>
      <c r="BP922" s="346"/>
      <c r="BQ922" s="346"/>
      <c r="BR922" s="346"/>
      <c r="BS922" s="346"/>
      <c r="BT922" s="346"/>
      <c r="BU922" s="346"/>
      <c r="BV922" s="346"/>
      <c r="BW922" s="346"/>
      <c r="BX922" s="346"/>
      <c r="BY922" s="346"/>
      <c r="BZ922" s="346"/>
      <c r="CA922" s="346"/>
      <c r="CB922" s="346"/>
      <c r="CC922" s="346"/>
      <c r="CD922" s="352"/>
      <c r="CE922" s="346"/>
      <c r="CF922" s="346"/>
      <c r="CG922" s="346"/>
      <c r="CH922" s="346"/>
      <c r="CI922" s="346"/>
      <c r="CJ922" s="346"/>
      <c r="CK922" s="346"/>
      <c r="CL922" s="346"/>
      <c r="CM922" s="346"/>
      <c r="CN922" s="346"/>
      <c r="CO922" s="346"/>
      <c r="CP922" s="348"/>
      <c r="CQ922" s="346"/>
      <c r="CR922" s="346"/>
      <c r="CS922" s="346"/>
      <c r="CT922" s="346"/>
      <c r="CU922" s="346"/>
      <c r="CV922" s="346"/>
      <c r="CW922" s="346"/>
      <c r="CX922" s="346"/>
      <c r="CY922" s="346"/>
      <c r="CZ922" s="346"/>
      <c r="DA922" s="346"/>
      <c r="DB922" s="1479"/>
      <c r="DC922" s="346"/>
      <c r="DD922" s="346"/>
      <c r="DE922" s="346"/>
      <c r="DF922" s="346"/>
      <c r="DG922" s="346"/>
      <c r="DH922" s="346"/>
      <c r="DI922" s="346"/>
      <c r="DJ922" s="346"/>
      <c r="DK922" s="346"/>
      <c r="DL922" s="346"/>
      <c r="DM922" s="346"/>
      <c r="DN922" s="348"/>
      <c r="DO922" s="346"/>
      <c r="DP922" s="346"/>
      <c r="DQ922" s="346"/>
      <c r="DR922" s="346"/>
      <c r="DS922" s="346"/>
      <c r="DT922" s="346"/>
      <c r="DU922" s="346"/>
      <c r="DV922" s="346"/>
      <c r="DW922" s="346"/>
      <c r="DX922" s="346"/>
      <c r="DY922" s="346"/>
      <c r="DZ922" s="348"/>
      <c r="EA922" s="346"/>
      <c r="EB922" s="346"/>
      <c r="EC922" s="346"/>
      <c r="ED922" s="346"/>
      <c r="EE922" s="346"/>
      <c r="EF922" s="346"/>
      <c r="EG922" s="346"/>
      <c r="EH922" s="346"/>
      <c r="EI922" s="346"/>
      <c r="EJ922" s="346"/>
      <c r="EK922" s="346"/>
      <c r="EL922" s="348"/>
      <c r="EM922" s="346"/>
      <c r="EN922" s="346"/>
      <c r="EO922" s="346"/>
      <c r="EP922" s="346"/>
      <c r="EQ922" s="346"/>
      <c r="ER922" s="346"/>
      <c r="ES922" s="346"/>
      <c r="ET922" s="346"/>
      <c r="EU922" s="346"/>
      <c r="EV922" s="346"/>
      <c r="EW922" s="346"/>
      <c r="EX922" s="348"/>
      <c r="EY922" s="346"/>
      <c r="EZ922" s="346"/>
      <c r="FA922" s="346"/>
      <c r="FB922" s="346"/>
      <c r="FC922" s="346"/>
      <c r="FD922" s="346"/>
      <c r="FE922" s="346"/>
      <c r="FF922" s="346"/>
      <c r="FG922" s="346"/>
      <c r="FH922" s="346"/>
      <c r="FI922" s="346"/>
      <c r="FJ922" s="348"/>
      <c r="FK922" s="346"/>
      <c r="FL922" s="346"/>
      <c r="FM922" s="346"/>
      <c r="FN922" s="346"/>
      <c r="FO922" s="346"/>
      <c r="FP922" s="346"/>
      <c r="FQ922" s="346"/>
      <c r="FR922" s="346"/>
      <c r="FS922" s="346"/>
      <c r="FT922" s="346"/>
      <c r="FU922" s="346"/>
      <c r="FV922" s="346"/>
      <c r="FW922" s="346"/>
      <c r="FX922" s="346">
        <v>274.62635669999997</v>
      </c>
      <c r="FY922" s="346">
        <v>0</v>
      </c>
      <c r="FZ922" s="346">
        <v>0</v>
      </c>
      <c r="GA922" s="346">
        <v>0</v>
      </c>
      <c r="GB922" s="346">
        <v>0</v>
      </c>
      <c r="GC922" s="346">
        <v>0</v>
      </c>
      <c r="GD922" s="346">
        <v>0</v>
      </c>
      <c r="GE922" s="346">
        <v>0</v>
      </c>
      <c r="GF922" s="346">
        <v>0</v>
      </c>
      <c r="GG922" s="346">
        <v>0</v>
      </c>
      <c r="GH922" s="346">
        <v>0</v>
      </c>
      <c r="GI922" s="1897">
        <f>GI923-GI926</f>
        <v>0</v>
      </c>
      <c r="GJ922" s="1897">
        <f t="shared" ref="GJ922:GT922" si="1509">GJ923-GJ926</f>
        <v>0</v>
      </c>
      <c r="GK922" s="1897">
        <f t="shared" si="1509"/>
        <v>0</v>
      </c>
      <c r="GL922" s="1897">
        <f t="shared" si="1509"/>
        <v>0</v>
      </c>
      <c r="GM922" s="1897">
        <f t="shared" si="1509"/>
        <v>0</v>
      </c>
      <c r="GN922" s="1897">
        <f t="shared" si="1509"/>
        <v>0</v>
      </c>
      <c r="GO922" s="1897">
        <f t="shared" si="1509"/>
        <v>0</v>
      </c>
      <c r="GP922" s="1897">
        <f t="shared" si="1509"/>
        <v>0</v>
      </c>
      <c r="GQ922" s="1897">
        <f t="shared" si="1509"/>
        <v>0</v>
      </c>
      <c r="GR922" s="1897">
        <f t="shared" si="1509"/>
        <v>-68.114324774020005</v>
      </c>
      <c r="GS922" s="1897">
        <f t="shared" si="1509"/>
        <v>0</v>
      </c>
      <c r="GT922" s="1897">
        <f t="shared" si="1509"/>
        <v>0</v>
      </c>
      <c r="GU922" s="1897">
        <v>0</v>
      </c>
      <c r="GV922" s="1897">
        <v>0</v>
      </c>
      <c r="GW922" s="1897">
        <v>0</v>
      </c>
      <c r="GX922" s="1897">
        <v>0</v>
      </c>
      <c r="GY922" s="1897">
        <v>0</v>
      </c>
      <c r="GZ922" s="1897">
        <v>0</v>
      </c>
      <c r="HA922" s="1897">
        <v>0</v>
      </c>
      <c r="HB922" s="1897">
        <v>0</v>
      </c>
      <c r="HC922" s="1897">
        <v>0</v>
      </c>
      <c r="HD922" s="1897">
        <v>0</v>
      </c>
      <c r="HE922" s="1897">
        <v>0</v>
      </c>
      <c r="HF922" s="1897">
        <v>0</v>
      </c>
      <c r="HG922" s="1897">
        <v>0</v>
      </c>
      <c r="HH922" s="1897">
        <v>0</v>
      </c>
      <c r="HI922" s="1897">
        <v>0</v>
      </c>
      <c r="HJ922" s="1897">
        <v>0</v>
      </c>
      <c r="HK922" s="1897">
        <v>0</v>
      </c>
      <c r="HL922" s="1897">
        <v>0</v>
      </c>
      <c r="HM922" s="1897"/>
      <c r="HN922" s="349"/>
      <c r="HO922" s="1679" t="s">
        <v>3237</v>
      </c>
      <c r="HP922" s="307"/>
      <c r="HR922" s="346"/>
      <c r="HU922" s="346"/>
      <c r="HV922" s="307"/>
      <c r="HX922" s="346"/>
      <c r="HY922" s="350"/>
      <c r="IA922" s="346"/>
      <c r="ID922" s="346"/>
      <c r="IE922" s="350"/>
      <c r="IF922" s="350"/>
      <c r="IG922" s="346"/>
      <c r="IH922" s="1625"/>
      <c r="II922" s="350"/>
      <c r="IJ922" s="346">
        <f t="shared" si="1504"/>
        <v>0</v>
      </c>
      <c r="IK922" s="350">
        <f>SUM(FK922:FP922)</f>
        <v>0</v>
      </c>
      <c r="IL922" s="350">
        <f>SUM(FQ922:FV922)</f>
        <v>0</v>
      </c>
      <c r="IM922" s="346">
        <f t="shared" si="1430"/>
        <v>0</v>
      </c>
      <c r="IN922" s="350">
        <f t="shared" si="1495"/>
        <v>274.62635669999997</v>
      </c>
      <c r="IO922" s="350">
        <f t="shared" si="1496"/>
        <v>0</v>
      </c>
      <c r="IP922" s="346">
        <f t="shared" si="1443"/>
        <v>274.62635669999997</v>
      </c>
      <c r="IQ922" s="350">
        <f t="shared" si="1497"/>
        <v>0</v>
      </c>
      <c r="IR922" s="350">
        <f t="shared" si="1498"/>
        <v>-68.114324774020005</v>
      </c>
      <c r="IS922" s="346">
        <f t="shared" si="1410"/>
        <v>-68.114324774020005</v>
      </c>
      <c r="IT922" s="350">
        <v>0</v>
      </c>
      <c r="IU922" s="350">
        <f t="shared" ref="IU922:IU927" si="1510">SUM(HA922:HF922)</f>
        <v>0</v>
      </c>
      <c r="IV922" s="346">
        <f t="shared" si="1409"/>
        <v>0</v>
      </c>
      <c r="IW922" s="350">
        <f t="shared" si="1428"/>
        <v>0</v>
      </c>
      <c r="IX922" s="350">
        <f t="shared" si="1426"/>
        <v>0</v>
      </c>
      <c r="IY922" s="346">
        <f>FISC!AJ1241</f>
        <v>0</v>
      </c>
      <c r="IZ922" s="350">
        <v>0</v>
      </c>
      <c r="JA922" s="350">
        <v>0</v>
      </c>
      <c r="JB922" s="346">
        <f>FISC!AK1241</f>
        <v>0</v>
      </c>
      <c r="JC922" s="350">
        <v>0</v>
      </c>
      <c r="JD922" s="350">
        <v>0</v>
      </c>
      <c r="JE922" s="346">
        <f>FISC!AL1241</f>
        <v>0</v>
      </c>
      <c r="JF922" s="350">
        <v>0</v>
      </c>
      <c r="JG922" s="350">
        <v>0</v>
      </c>
      <c r="JH922" s="346">
        <f>FISC!AM1241</f>
        <v>0</v>
      </c>
      <c r="JI922" s="350">
        <v>0</v>
      </c>
      <c r="JJ922" s="350">
        <v>0</v>
      </c>
      <c r="JK922" s="346">
        <f>FISC!AN1241</f>
        <v>0</v>
      </c>
      <c r="JL922" s="350">
        <v>0</v>
      </c>
      <c r="JM922" s="350">
        <v>0</v>
      </c>
      <c r="JN922" s="346">
        <f>FISC!AO1241</f>
        <v>0</v>
      </c>
      <c r="KI922" s="349"/>
      <c r="KJ922" s="350"/>
    </row>
    <row r="923" spans="1:302" hidden="1" outlineLevel="1">
      <c r="A923" s="302"/>
      <c r="D923" s="1679" t="s">
        <v>3238</v>
      </c>
      <c r="E923" s="346"/>
      <c r="F923" s="346"/>
      <c r="G923" s="346"/>
      <c r="H923" s="346"/>
      <c r="I923" s="346"/>
      <c r="J923" s="346"/>
      <c r="K923" s="346"/>
      <c r="L923" s="346"/>
      <c r="M923" s="346"/>
      <c r="N923" s="346"/>
      <c r="O923" s="346"/>
      <c r="P923" s="346"/>
      <c r="Q923" s="346"/>
      <c r="R923" s="346"/>
      <c r="S923" s="346"/>
      <c r="T923" s="346"/>
      <c r="U923" s="346"/>
      <c r="V923" s="346"/>
      <c r="W923" s="346"/>
      <c r="X923" s="346"/>
      <c r="Y923" s="346"/>
      <c r="Z923" s="346"/>
      <c r="AA923" s="346"/>
      <c r="AB923" s="346"/>
      <c r="AC923" s="346"/>
      <c r="AD923" s="346"/>
      <c r="AE923" s="346"/>
      <c r="AF923" s="346"/>
      <c r="AG923" s="346"/>
      <c r="AH923" s="346"/>
      <c r="AI923" s="346"/>
      <c r="AJ923" s="346"/>
      <c r="AK923" s="346"/>
      <c r="AL923" s="346"/>
      <c r="AM923" s="346"/>
      <c r="AN923" s="346"/>
      <c r="AO923" s="346"/>
      <c r="AP923" s="346"/>
      <c r="AQ923" s="346"/>
      <c r="AR923" s="346"/>
      <c r="AS923" s="346"/>
      <c r="AT923" s="346"/>
      <c r="AU923" s="346"/>
      <c r="AV923" s="346"/>
      <c r="AW923" s="346"/>
      <c r="AX923" s="346"/>
      <c r="AY923" s="346"/>
      <c r="AZ923" s="346"/>
      <c r="BA923" s="346"/>
      <c r="BB923" s="346"/>
      <c r="BC923" s="346"/>
      <c r="BD923" s="346"/>
      <c r="BE923" s="346"/>
      <c r="BF923" s="346"/>
      <c r="BG923" s="346"/>
      <c r="BH923" s="346"/>
      <c r="BI923" s="346"/>
      <c r="BJ923" s="346"/>
      <c r="BK923" s="346"/>
      <c r="BL923" s="346"/>
      <c r="BM923" s="346"/>
      <c r="BN923" s="346"/>
      <c r="BO923" s="346"/>
      <c r="BP923" s="346"/>
      <c r="BQ923" s="346"/>
      <c r="BR923" s="346"/>
      <c r="BS923" s="346"/>
      <c r="BT923" s="346"/>
      <c r="BU923" s="346"/>
      <c r="BV923" s="346"/>
      <c r="BW923" s="346"/>
      <c r="BX923" s="346"/>
      <c r="BY923" s="346"/>
      <c r="BZ923" s="346"/>
      <c r="CA923" s="346"/>
      <c r="CB923" s="346"/>
      <c r="CC923" s="346"/>
      <c r="CD923" s="352"/>
      <c r="CE923" s="346"/>
      <c r="CF923" s="346"/>
      <c r="CG923" s="346"/>
      <c r="CH923" s="346"/>
      <c r="CI923" s="346"/>
      <c r="CJ923" s="346"/>
      <c r="CK923" s="346"/>
      <c r="CL923" s="346"/>
      <c r="CM923" s="346"/>
      <c r="CN923" s="346"/>
      <c r="CO923" s="346"/>
      <c r="CP923" s="348"/>
      <c r="CQ923" s="346"/>
      <c r="CR923" s="346"/>
      <c r="CS923" s="346"/>
      <c r="CT923" s="346"/>
      <c r="CU923" s="346"/>
      <c r="CV923" s="346"/>
      <c r="CW923" s="346"/>
      <c r="CX923" s="346"/>
      <c r="CY923" s="346"/>
      <c r="CZ923" s="346"/>
      <c r="DA923" s="346"/>
      <c r="DB923" s="1479"/>
      <c r="DC923" s="346"/>
      <c r="DD923" s="346"/>
      <c r="DE923" s="346"/>
      <c r="DF923" s="346"/>
      <c r="DG923" s="346"/>
      <c r="DH923" s="346"/>
      <c r="DI923" s="346"/>
      <c r="DJ923" s="346"/>
      <c r="DK923" s="346"/>
      <c r="DL923" s="346"/>
      <c r="DM923" s="346"/>
      <c r="DN923" s="348"/>
      <c r="DO923" s="346"/>
      <c r="DP923" s="346"/>
      <c r="DQ923" s="346"/>
      <c r="DR923" s="346"/>
      <c r="DS923" s="346"/>
      <c r="DT923" s="346"/>
      <c r="DU923" s="346"/>
      <c r="DV923" s="346"/>
      <c r="DW923" s="346"/>
      <c r="DX923" s="346"/>
      <c r="DY923" s="346"/>
      <c r="DZ923" s="348"/>
      <c r="EA923" s="346"/>
      <c r="EB923" s="346"/>
      <c r="EC923" s="346"/>
      <c r="ED923" s="346"/>
      <c r="EE923" s="346"/>
      <c r="EF923" s="346"/>
      <c r="EG923" s="346"/>
      <c r="EH923" s="346"/>
      <c r="EI923" s="346"/>
      <c r="EJ923" s="346"/>
      <c r="EK923" s="346"/>
      <c r="EL923" s="348"/>
      <c r="EM923" s="346"/>
      <c r="EN923" s="346"/>
      <c r="EO923" s="346"/>
      <c r="EP923" s="346"/>
      <c r="EQ923" s="346"/>
      <c r="ER923" s="346"/>
      <c r="ES923" s="346"/>
      <c r="ET923" s="346"/>
      <c r="EU923" s="346"/>
      <c r="EV923" s="346"/>
      <c r="EW923" s="346"/>
      <c r="EX923" s="348"/>
      <c r="EY923" s="346"/>
      <c r="EZ923" s="346"/>
      <c r="FA923" s="346"/>
      <c r="FB923" s="346"/>
      <c r="FC923" s="346"/>
      <c r="FD923" s="346"/>
      <c r="FE923" s="346"/>
      <c r="FF923" s="346"/>
      <c r="FG923" s="346"/>
      <c r="FH923" s="346"/>
      <c r="FI923" s="346"/>
      <c r="FJ923" s="348"/>
      <c r="FK923" s="346"/>
      <c r="FL923" s="346"/>
      <c r="FM923" s="346"/>
      <c r="FN923" s="346"/>
      <c r="FO923" s="346"/>
      <c r="FP923" s="346"/>
      <c r="FQ923" s="346"/>
      <c r="FR923" s="346"/>
      <c r="FS923" s="346"/>
      <c r="FT923" s="346"/>
      <c r="FU923" s="346"/>
      <c r="FV923" s="346"/>
      <c r="FW923" s="346"/>
      <c r="FX923" s="346">
        <v>614.23347672</v>
      </c>
      <c r="FY923" s="346">
        <v>0</v>
      </c>
      <c r="FZ923" s="346">
        <v>0</v>
      </c>
      <c r="GA923" s="346">
        <v>0</v>
      </c>
      <c r="GB923" s="346">
        <v>0</v>
      </c>
      <c r="GC923" s="346">
        <v>0</v>
      </c>
      <c r="GD923" s="346">
        <v>0</v>
      </c>
      <c r="GE923" s="346">
        <v>0</v>
      </c>
      <c r="GF923" s="346">
        <v>0</v>
      </c>
      <c r="GG923" s="346">
        <v>0</v>
      </c>
      <c r="GH923" s="346">
        <v>0</v>
      </c>
      <c r="GI923" s="1897">
        <v>0</v>
      </c>
      <c r="GJ923" s="1897">
        <v>0</v>
      </c>
      <c r="GK923" s="1897">
        <v>0</v>
      </c>
      <c r="GL923" s="1897">
        <v>0</v>
      </c>
      <c r="GM923" s="1897">
        <v>0</v>
      </c>
      <c r="GN923" s="1897">
        <v>0</v>
      </c>
      <c r="GO923" s="378">
        <v>0</v>
      </c>
      <c r="GP923" s="378">
        <v>0</v>
      </c>
      <c r="GQ923" s="378">
        <v>0</v>
      </c>
      <c r="GR923" s="378">
        <v>0</v>
      </c>
      <c r="GS923" s="378">
        <v>0</v>
      </c>
      <c r="GT923" s="378">
        <v>0</v>
      </c>
      <c r="GU923" s="378">
        <v>0</v>
      </c>
      <c r="GV923" s="378">
        <v>0</v>
      </c>
      <c r="GW923" s="378">
        <v>0</v>
      </c>
      <c r="GX923" s="378">
        <v>0</v>
      </c>
      <c r="GY923" s="378">
        <v>0</v>
      </c>
      <c r="GZ923" s="378">
        <v>0</v>
      </c>
      <c r="HA923" s="378">
        <v>0</v>
      </c>
      <c r="HB923" s="378">
        <v>0</v>
      </c>
      <c r="HC923" s="378">
        <v>0</v>
      </c>
      <c r="HD923" s="378">
        <v>0</v>
      </c>
      <c r="HE923" s="378">
        <v>0</v>
      </c>
      <c r="HF923" s="378">
        <v>0</v>
      </c>
      <c r="HG923" s="378">
        <v>0</v>
      </c>
      <c r="HH923" s="378">
        <v>0</v>
      </c>
      <c r="HI923" s="378">
        <v>0</v>
      </c>
      <c r="HJ923" s="378">
        <v>0</v>
      </c>
      <c r="HK923" s="378">
        <v>0</v>
      </c>
      <c r="HL923" s="378">
        <v>0</v>
      </c>
      <c r="HN923" s="349"/>
      <c r="HO923" s="1679" t="s">
        <v>3238</v>
      </c>
      <c r="HP923" s="307"/>
      <c r="HR923" s="346"/>
      <c r="HU923" s="346"/>
      <c r="HV923" s="307"/>
      <c r="HX923" s="346"/>
      <c r="HY923" s="350"/>
      <c r="IA923" s="346"/>
      <c r="ID923" s="346"/>
      <c r="IE923" s="350"/>
      <c r="IF923" s="350"/>
      <c r="IG923" s="346"/>
      <c r="IH923" s="1625"/>
      <c r="II923" s="350"/>
      <c r="IJ923" s="346">
        <f t="shared" si="1504"/>
        <v>0</v>
      </c>
      <c r="IK923" s="350">
        <f>SUM(FK923:FP923)</f>
        <v>0</v>
      </c>
      <c r="IL923" s="350">
        <f>SUM(FQ923:FV923)</f>
        <v>0</v>
      </c>
      <c r="IM923" s="346">
        <f t="shared" si="1430"/>
        <v>0</v>
      </c>
      <c r="IN923" s="350">
        <f t="shared" si="1495"/>
        <v>614.23347672</v>
      </c>
      <c r="IO923" s="350">
        <f t="shared" si="1496"/>
        <v>0</v>
      </c>
      <c r="IP923" s="346">
        <f t="shared" si="1443"/>
        <v>614.23347672</v>
      </c>
      <c r="IQ923" s="350">
        <f t="shared" si="1497"/>
        <v>0</v>
      </c>
      <c r="IR923" s="350">
        <f t="shared" si="1498"/>
        <v>0</v>
      </c>
      <c r="IS923" s="346">
        <f t="shared" si="1410"/>
        <v>0</v>
      </c>
      <c r="IT923" s="350">
        <v>0</v>
      </c>
      <c r="IU923" s="350">
        <f t="shared" si="1510"/>
        <v>0</v>
      </c>
      <c r="IV923" s="346">
        <f t="shared" ref="IV923:IV938" si="1511">IT923+IU923</f>
        <v>0</v>
      </c>
      <c r="IW923" s="350">
        <f t="shared" si="1428"/>
        <v>0</v>
      </c>
      <c r="IX923" s="350">
        <f t="shared" si="1426"/>
        <v>0</v>
      </c>
      <c r="IY923" s="346">
        <f>FISC!AJ1242</f>
        <v>0</v>
      </c>
      <c r="IZ923" s="350">
        <v>0</v>
      </c>
      <c r="JA923" s="350">
        <v>0</v>
      </c>
      <c r="JB923" s="346">
        <f>FISC!AK1242</f>
        <v>0</v>
      </c>
      <c r="JC923" s="350">
        <v>0</v>
      </c>
      <c r="JD923" s="350">
        <v>0</v>
      </c>
      <c r="JE923" s="346">
        <f>FISC!AL1242</f>
        <v>0</v>
      </c>
      <c r="JF923" s="350">
        <v>0</v>
      </c>
      <c r="JG923" s="350">
        <v>0</v>
      </c>
      <c r="JH923" s="346">
        <f>FISC!AM1242</f>
        <v>0</v>
      </c>
      <c r="JI923" s="350">
        <v>0</v>
      </c>
      <c r="JJ923" s="350">
        <v>0</v>
      </c>
      <c r="JK923" s="346">
        <f>FISC!AN1242</f>
        <v>0</v>
      </c>
      <c r="JL923" s="350">
        <v>0</v>
      </c>
      <c r="JM923" s="350">
        <v>0</v>
      </c>
      <c r="JN923" s="346">
        <f>FISC!AO1242</f>
        <v>0</v>
      </c>
      <c r="KI923" s="349"/>
      <c r="KJ923" s="350"/>
    </row>
    <row r="924" spans="1:302" hidden="1" outlineLevel="1">
      <c r="A924" s="302"/>
      <c r="D924" s="1681" t="s">
        <v>3241</v>
      </c>
      <c r="E924" s="346"/>
      <c r="F924" s="346"/>
      <c r="G924" s="346"/>
      <c r="H924" s="346"/>
      <c r="I924" s="346"/>
      <c r="J924" s="346"/>
      <c r="K924" s="346"/>
      <c r="L924" s="346"/>
      <c r="M924" s="346"/>
      <c r="N924" s="346"/>
      <c r="O924" s="346"/>
      <c r="P924" s="346"/>
      <c r="Q924" s="346"/>
      <c r="R924" s="346"/>
      <c r="S924" s="346"/>
      <c r="T924" s="346"/>
      <c r="U924" s="346"/>
      <c r="V924" s="346"/>
      <c r="W924" s="346"/>
      <c r="X924" s="346"/>
      <c r="Y924" s="346"/>
      <c r="Z924" s="346"/>
      <c r="AA924" s="346"/>
      <c r="AB924" s="346"/>
      <c r="AC924" s="346"/>
      <c r="AD924" s="346"/>
      <c r="AE924" s="346"/>
      <c r="AF924" s="346"/>
      <c r="AG924" s="346"/>
      <c r="AH924" s="346"/>
      <c r="AI924" s="346"/>
      <c r="AJ924" s="346"/>
      <c r="AK924" s="346"/>
      <c r="AL924" s="346"/>
      <c r="AM924" s="346"/>
      <c r="AN924" s="346"/>
      <c r="AO924" s="346"/>
      <c r="AP924" s="346"/>
      <c r="AQ924" s="346"/>
      <c r="AR924" s="346"/>
      <c r="AS924" s="346"/>
      <c r="AT924" s="346"/>
      <c r="AU924" s="346"/>
      <c r="AV924" s="346"/>
      <c r="AW924" s="346"/>
      <c r="AX924" s="346"/>
      <c r="AY924" s="346"/>
      <c r="AZ924" s="346"/>
      <c r="BA924" s="346"/>
      <c r="BB924" s="346"/>
      <c r="BC924" s="346"/>
      <c r="BD924" s="346"/>
      <c r="BE924" s="346"/>
      <c r="BF924" s="346"/>
      <c r="BG924" s="346"/>
      <c r="BH924" s="346"/>
      <c r="BI924" s="346"/>
      <c r="BJ924" s="346"/>
      <c r="BK924" s="346"/>
      <c r="BL924" s="346"/>
      <c r="BM924" s="346"/>
      <c r="BN924" s="346"/>
      <c r="BO924" s="346"/>
      <c r="BP924" s="346"/>
      <c r="BQ924" s="346"/>
      <c r="BR924" s="346"/>
      <c r="BS924" s="346"/>
      <c r="BT924" s="346"/>
      <c r="BU924" s="346"/>
      <c r="BV924" s="346"/>
      <c r="BW924" s="346"/>
      <c r="BX924" s="346"/>
      <c r="BY924" s="346"/>
      <c r="BZ924" s="346"/>
      <c r="CA924" s="346"/>
      <c r="CB924" s="346"/>
      <c r="CC924" s="346"/>
      <c r="CD924" s="352"/>
      <c r="CE924" s="346"/>
      <c r="CF924" s="346"/>
      <c r="CG924" s="346"/>
      <c r="CH924" s="346"/>
      <c r="CI924" s="346"/>
      <c r="CJ924" s="346"/>
      <c r="CK924" s="346"/>
      <c r="CL924" s="346"/>
      <c r="CM924" s="346"/>
      <c r="CN924" s="346"/>
      <c r="CO924" s="346"/>
      <c r="CP924" s="348"/>
      <c r="CQ924" s="346"/>
      <c r="CR924" s="346"/>
      <c r="CS924" s="346"/>
      <c r="CT924" s="346"/>
      <c r="CU924" s="346"/>
      <c r="CV924" s="346"/>
      <c r="CW924" s="346"/>
      <c r="CX924" s="346"/>
      <c r="CY924" s="346"/>
      <c r="CZ924" s="346"/>
      <c r="DA924" s="346"/>
      <c r="DB924" s="1479"/>
      <c r="DC924" s="346"/>
      <c r="DD924" s="346"/>
      <c r="DE924" s="346"/>
      <c r="DF924" s="346"/>
      <c r="DG924" s="346"/>
      <c r="DH924" s="346"/>
      <c r="DI924" s="346"/>
      <c r="DJ924" s="346"/>
      <c r="DK924" s="346"/>
      <c r="DL924" s="346"/>
      <c r="DM924" s="346"/>
      <c r="DN924" s="348"/>
      <c r="DO924" s="346"/>
      <c r="DP924" s="346"/>
      <c r="DQ924" s="346"/>
      <c r="DR924" s="346"/>
      <c r="DS924" s="346"/>
      <c r="DT924" s="346"/>
      <c r="DU924" s="346"/>
      <c r="DV924" s="346"/>
      <c r="DW924" s="346"/>
      <c r="DX924" s="346"/>
      <c r="DY924" s="346"/>
      <c r="DZ924" s="348"/>
      <c r="EA924" s="346"/>
      <c r="EB924" s="346"/>
      <c r="EC924" s="346"/>
      <c r="ED924" s="346"/>
      <c r="EE924" s="346"/>
      <c r="EF924" s="346"/>
      <c r="EG924" s="346"/>
      <c r="EH924" s="346"/>
      <c r="EI924" s="346"/>
      <c r="EJ924" s="346"/>
      <c r="EK924" s="346"/>
      <c r="EL924" s="348"/>
      <c r="EM924" s="346"/>
      <c r="EN924" s="346"/>
      <c r="EO924" s="346"/>
      <c r="EP924" s="346"/>
      <c r="EQ924" s="346"/>
      <c r="ER924" s="346"/>
      <c r="ES924" s="346"/>
      <c r="ET924" s="346"/>
      <c r="EU924" s="346"/>
      <c r="EV924" s="346"/>
      <c r="EW924" s="346"/>
      <c r="EX924" s="348"/>
      <c r="EY924" s="346"/>
      <c r="EZ924" s="346"/>
      <c r="FA924" s="346"/>
      <c r="FB924" s="346"/>
      <c r="FC924" s="346"/>
      <c r="FD924" s="346"/>
      <c r="FE924" s="346"/>
      <c r="FF924" s="346"/>
      <c r="FG924" s="346"/>
      <c r="FH924" s="346"/>
      <c r="FI924" s="346"/>
      <c r="FJ924" s="348"/>
      <c r="FK924" s="346"/>
      <c r="FL924" s="346"/>
      <c r="FM924" s="346"/>
      <c r="FN924" s="346"/>
      <c r="FO924" s="346"/>
      <c r="FP924" s="346"/>
      <c r="FQ924" s="346"/>
      <c r="FR924" s="346"/>
      <c r="FS924" s="346"/>
      <c r="FT924" s="346"/>
      <c r="FU924" s="346"/>
      <c r="FV924" s="346"/>
      <c r="FW924" s="346"/>
      <c r="FX924" s="346">
        <v>0</v>
      </c>
      <c r="FY924" s="346">
        <v>0</v>
      </c>
      <c r="FZ924" s="346">
        <v>0</v>
      </c>
      <c r="GA924" s="346">
        <v>0</v>
      </c>
      <c r="GB924" s="346">
        <v>0</v>
      </c>
      <c r="GC924" s="346">
        <v>0</v>
      </c>
      <c r="GD924" s="346">
        <v>0</v>
      </c>
      <c r="GE924" s="346">
        <v>0</v>
      </c>
      <c r="GF924" s="346">
        <v>0</v>
      </c>
      <c r="GG924" s="346">
        <v>0</v>
      </c>
      <c r="GH924" s="346">
        <v>0</v>
      </c>
      <c r="GI924" s="1897">
        <v>0</v>
      </c>
      <c r="GJ924" s="1897">
        <v>0</v>
      </c>
      <c r="GK924" s="1897">
        <v>0</v>
      </c>
      <c r="GL924" s="1897">
        <v>0</v>
      </c>
      <c r="GM924" s="1897">
        <v>0</v>
      </c>
      <c r="GN924" s="1897">
        <v>0</v>
      </c>
      <c r="GO924" s="378">
        <v>0</v>
      </c>
      <c r="GP924" s="378">
        <v>0</v>
      </c>
      <c r="GQ924" s="378">
        <v>0</v>
      </c>
      <c r="GR924" s="378">
        <v>0</v>
      </c>
      <c r="GS924" s="378">
        <v>0</v>
      </c>
      <c r="GT924" s="378">
        <v>0</v>
      </c>
      <c r="GU924" s="378">
        <v>0</v>
      </c>
      <c r="GV924" s="378">
        <v>0</v>
      </c>
      <c r="GW924" s="378">
        <v>0</v>
      </c>
      <c r="GX924" s="378">
        <v>0</v>
      </c>
      <c r="GY924" s="378">
        <v>0</v>
      </c>
      <c r="GZ924" s="378">
        <v>0</v>
      </c>
      <c r="HA924" s="378">
        <v>0</v>
      </c>
      <c r="HB924" s="378">
        <v>0</v>
      </c>
      <c r="HC924" s="378">
        <v>0</v>
      </c>
      <c r="HD924" s="378">
        <v>0</v>
      </c>
      <c r="HE924" s="378">
        <v>0</v>
      </c>
      <c r="HF924" s="378">
        <v>0</v>
      </c>
      <c r="HG924" s="378">
        <v>0</v>
      </c>
      <c r="HH924" s="378">
        <v>0</v>
      </c>
      <c r="HI924" s="378">
        <v>0</v>
      </c>
      <c r="HJ924" s="378">
        <v>0</v>
      </c>
      <c r="HK924" s="378">
        <v>0</v>
      </c>
      <c r="HL924" s="378">
        <v>0</v>
      </c>
      <c r="HN924" s="349"/>
      <c r="HO924" s="1681" t="s">
        <v>3241</v>
      </c>
      <c r="HP924" s="307"/>
      <c r="HR924" s="346"/>
      <c r="HU924" s="346"/>
      <c r="HV924" s="307"/>
      <c r="HX924" s="346"/>
      <c r="HY924" s="350"/>
      <c r="IA924" s="346"/>
      <c r="ID924" s="346"/>
      <c r="IE924" s="350"/>
      <c r="IF924" s="350"/>
      <c r="IG924" s="346"/>
      <c r="IH924" s="1625"/>
      <c r="II924" s="350"/>
      <c r="IJ924" s="346">
        <f t="shared" si="1504"/>
        <v>0</v>
      </c>
      <c r="IK924" s="350">
        <f>SUM(FK924:FP924)</f>
        <v>0</v>
      </c>
      <c r="IL924" s="350">
        <f>SUM(FQ924:FV924)</f>
        <v>0</v>
      </c>
      <c r="IM924" s="346">
        <f t="shared" si="1430"/>
        <v>0</v>
      </c>
      <c r="IN924" s="350">
        <f t="shared" si="1495"/>
        <v>0</v>
      </c>
      <c r="IO924" s="350">
        <f t="shared" si="1496"/>
        <v>0</v>
      </c>
      <c r="IP924" s="346">
        <f t="shared" si="1443"/>
        <v>0</v>
      </c>
      <c r="IQ924" s="350">
        <f t="shared" si="1497"/>
        <v>0</v>
      </c>
      <c r="IR924" s="350">
        <f t="shared" si="1498"/>
        <v>0</v>
      </c>
      <c r="IS924" s="346">
        <f t="shared" si="1410"/>
        <v>0</v>
      </c>
      <c r="IT924" s="350">
        <v>0</v>
      </c>
      <c r="IU924" s="350">
        <f t="shared" si="1510"/>
        <v>0</v>
      </c>
      <c r="IV924" s="346">
        <f t="shared" si="1511"/>
        <v>0</v>
      </c>
      <c r="IW924" s="350">
        <f t="shared" si="1428"/>
        <v>0</v>
      </c>
      <c r="IX924" s="350">
        <f t="shared" si="1426"/>
        <v>0</v>
      </c>
      <c r="IY924" s="346">
        <f>FISC!AJ1243</f>
        <v>0</v>
      </c>
      <c r="IZ924" s="350">
        <v>0</v>
      </c>
      <c r="JA924" s="350">
        <v>0</v>
      </c>
      <c r="JB924" s="346">
        <f>FISC!AK1243</f>
        <v>0</v>
      </c>
      <c r="JC924" s="350">
        <v>0</v>
      </c>
      <c r="JD924" s="350">
        <v>0</v>
      </c>
      <c r="JE924" s="346">
        <f>FISC!AL1243</f>
        <v>0</v>
      </c>
      <c r="JF924" s="350">
        <v>0</v>
      </c>
      <c r="JG924" s="350">
        <v>0</v>
      </c>
      <c r="JH924" s="346">
        <f>FISC!AM1243</f>
        <v>0</v>
      </c>
      <c r="JI924" s="350">
        <v>0</v>
      </c>
      <c r="JJ924" s="350">
        <v>0</v>
      </c>
      <c r="JK924" s="346">
        <f>FISC!AN1243</f>
        <v>0</v>
      </c>
      <c r="JL924" s="350">
        <v>0</v>
      </c>
      <c r="JM924" s="350">
        <v>0</v>
      </c>
      <c r="JN924" s="346">
        <f>FISC!AO1243</f>
        <v>0</v>
      </c>
      <c r="KI924" s="349"/>
      <c r="KJ924" s="350"/>
    </row>
    <row r="925" spans="1:302" hidden="1" outlineLevel="1">
      <c r="A925" s="302"/>
      <c r="D925" s="1681" t="s">
        <v>3360</v>
      </c>
      <c r="E925" s="346"/>
      <c r="F925" s="346"/>
      <c r="G925" s="346"/>
      <c r="H925" s="346"/>
      <c r="I925" s="346"/>
      <c r="J925" s="346"/>
      <c r="K925" s="346"/>
      <c r="L925" s="346"/>
      <c r="M925" s="346"/>
      <c r="N925" s="346"/>
      <c r="O925" s="346"/>
      <c r="P925" s="346"/>
      <c r="Q925" s="346"/>
      <c r="R925" s="346"/>
      <c r="S925" s="346"/>
      <c r="T925" s="346"/>
      <c r="U925" s="346"/>
      <c r="V925" s="346"/>
      <c r="W925" s="346"/>
      <c r="X925" s="346"/>
      <c r="Y925" s="346"/>
      <c r="Z925" s="346"/>
      <c r="AA925" s="346"/>
      <c r="AB925" s="346"/>
      <c r="AC925" s="346"/>
      <c r="AD925" s="346"/>
      <c r="AE925" s="346"/>
      <c r="AF925" s="346"/>
      <c r="AG925" s="346"/>
      <c r="AH925" s="346"/>
      <c r="AI925" s="346"/>
      <c r="AJ925" s="346"/>
      <c r="AK925" s="346"/>
      <c r="AL925" s="346"/>
      <c r="AM925" s="346"/>
      <c r="AN925" s="346"/>
      <c r="AO925" s="346"/>
      <c r="AP925" s="346"/>
      <c r="AQ925" s="346"/>
      <c r="AR925" s="346"/>
      <c r="AS925" s="346"/>
      <c r="AT925" s="346"/>
      <c r="AU925" s="346"/>
      <c r="AV925" s="346"/>
      <c r="AW925" s="346"/>
      <c r="AX925" s="346"/>
      <c r="AY925" s="346"/>
      <c r="AZ925" s="346"/>
      <c r="BA925" s="346"/>
      <c r="BB925" s="346"/>
      <c r="BC925" s="346"/>
      <c r="BD925" s="346"/>
      <c r="BE925" s="346"/>
      <c r="BF925" s="346"/>
      <c r="BG925" s="346"/>
      <c r="BH925" s="346"/>
      <c r="BI925" s="346"/>
      <c r="BJ925" s="346"/>
      <c r="BK925" s="346"/>
      <c r="BL925" s="346"/>
      <c r="BM925" s="346"/>
      <c r="BN925" s="346"/>
      <c r="BO925" s="346"/>
      <c r="BP925" s="346"/>
      <c r="BQ925" s="346"/>
      <c r="BR925" s="346"/>
      <c r="BS925" s="346"/>
      <c r="BT925" s="346"/>
      <c r="BU925" s="346"/>
      <c r="BV925" s="346"/>
      <c r="BW925" s="346"/>
      <c r="BX925" s="346"/>
      <c r="BY925" s="346"/>
      <c r="BZ925" s="346"/>
      <c r="CA925" s="346"/>
      <c r="CB925" s="346"/>
      <c r="CC925" s="346"/>
      <c r="CD925" s="352"/>
      <c r="CE925" s="346"/>
      <c r="CF925" s="346"/>
      <c r="CG925" s="346"/>
      <c r="CH925" s="346"/>
      <c r="CI925" s="346"/>
      <c r="CJ925" s="346"/>
      <c r="CK925" s="346"/>
      <c r="CL925" s="346"/>
      <c r="CM925" s="346"/>
      <c r="CN925" s="346"/>
      <c r="CO925" s="346"/>
      <c r="CP925" s="348"/>
      <c r="CQ925" s="346"/>
      <c r="CR925" s="346"/>
      <c r="CS925" s="346"/>
      <c r="CT925" s="346"/>
      <c r="CU925" s="346"/>
      <c r="CV925" s="346"/>
      <c r="CW925" s="346"/>
      <c r="CX925" s="346"/>
      <c r="CY925" s="346"/>
      <c r="CZ925" s="346"/>
      <c r="DA925" s="346"/>
      <c r="DB925" s="1479"/>
      <c r="DC925" s="346"/>
      <c r="DD925" s="346"/>
      <c r="DE925" s="346"/>
      <c r="DF925" s="346"/>
      <c r="DG925" s="346"/>
      <c r="DH925" s="346"/>
      <c r="DI925" s="346"/>
      <c r="DJ925" s="346"/>
      <c r="DK925" s="346"/>
      <c r="DL925" s="346"/>
      <c r="DM925" s="346"/>
      <c r="DN925" s="348"/>
      <c r="DO925" s="346"/>
      <c r="DP925" s="346"/>
      <c r="DQ925" s="346"/>
      <c r="DR925" s="346"/>
      <c r="DS925" s="346"/>
      <c r="DT925" s="346"/>
      <c r="DU925" s="346"/>
      <c r="DV925" s="346"/>
      <c r="DW925" s="346"/>
      <c r="DX925" s="346"/>
      <c r="DY925" s="346"/>
      <c r="DZ925" s="348"/>
      <c r="EA925" s="346"/>
      <c r="EB925" s="346"/>
      <c r="EC925" s="346"/>
      <c r="ED925" s="346"/>
      <c r="EE925" s="346"/>
      <c r="EF925" s="346"/>
      <c r="EG925" s="346"/>
      <c r="EH925" s="346"/>
      <c r="EI925" s="346"/>
      <c r="EJ925" s="346"/>
      <c r="EK925" s="346"/>
      <c r="EL925" s="348"/>
      <c r="EM925" s="346"/>
      <c r="EN925" s="346"/>
      <c r="EO925" s="346"/>
      <c r="EP925" s="346"/>
      <c r="EQ925" s="346"/>
      <c r="ER925" s="346"/>
      <c r="ES925" s="346"/>
      <c r="ET925" s="346"/>
      <c r="EU925" s="346"/>
      <c r="EV925" s="346"/>
      <c r="EW925" s="346"/>
      <c r="EX925" s="348"/>
      <c r="EY925" s="346"/>
      <c r="EZ925" s="346"/>
      <c r="FA925" s="346"/>
      <c r="FB925" s="346"/>
      <c r="FC925" s="346"/>
      <c r="FD925" s="346"/>
      <c r="FE925" s="346"/>
      <c r="FF925" s="346"/>
      <c r="FG925" s="346"/>
      <c r="FH925" s="346"/>
      <c r="FI925" s="346"/>
      <c r="FJ925" s="348"/>
      <c r="FK925" s="346"/>
      <c r="FL925" s="346"/>
      <c r="FM925" s="346"/>
      <c r="FN925" s="346"/>
      <c r="FO925" s="346"/>
      <c r="FP925" s="346"/>
      <c r="FQ925" s="346"/>
      <c r="FR925" s="346"/>
      <c r="FS925" s="346"/>
      <c r="FT925" s="346"/>
      <c r="FU925" s="346"/>
      <c r="FV925" s="346"/>
      <c r="FW925" s="346"/>
      <c r="FX925" s="346"/>
      <c r="FY925" s="346">
        <v>0</v>
      </c>
      <c r="FZ925" s="346">
        <v>0</v>
      </c>
      <c r="GA925" s="346">
        <v>0</v>
      </c>
      <c r="GB925" s="346">
        <v>0</v>
      </c>
      <c r="GC925" s="346">
        <v>0</v>
      </c>
      <c r="GD925" s="346">
        <v>0</v>
      </c>
      <c r="GE925" s="346">
        <v>0</v>
      </c>
      <c r="GF925" s="346">
        <v>0</v>
      </c>
      <c r="GG925" s="346">
        <v>0</v>
      </c>
      <c r="GH925" s="346">
        <v>0</v>
      </c>
      <c r="GI925" s="1897">
        <v>0</v>
      </c>
      <c r="GJ925" s="1897">
        <v>0</v>
      </c>
      <c r="GK925" s="1897">
        <v>0</v>
      </c>
      <c r="GL925" s="1897">
        <v>0</v>
      </c>
      <c r="GM925" s="1897">
        <v>0</v>
      </c>
      <c r="GN925" s="1897">
        <v>0</v>
      </c>
      <c r="GO925" s="378">
        <v>0</v>
      </c>
      <c r="GP925" s="378">
        <v>0</v>
      </c>
      <c r="GQ925" s="378">
        <v>0</v>
      </c>
      <c r="GR925" s="378">
        <v>0</v>
      </c>
      <c r="GS925" s="378">
        <v>0</v>
      </c>
      <c r="GT925" s="378">
        <v>0</v>
      </c>
      <c r="GU925" s="378">
        <v>0</v>
      </c>
      <c r="GV925" s="378">
        <v>0</v>
      </c>
      <c r="GW925" s="378">
        <v>0</v>
      </c>
      <c r="GX925" s="378">
        <v>0</v>
      </c>
      <c r="GY925" s="378">
        <v>0</v>
      </c>
      <c r="GZ925" s="378">
        <v>0</v>
      </c>
      <c r="HA925" s="378">
        <v>0</v>
      </c>
      <c r="HB925" s="378">
        <v>0</v>
      </c>
      <c r="HC925" s="378">
        <v>0</v>
      </c>
      <c r="HD925" s="378">
        <v>0</v>
      </c>
      <c r="HE925" s="378">
        <v>0</v>
      </c>
      <c r="HF925" s="378">
        <v>0</v>
      </c>
      <c r="HG925" s="378">
        <v>0</v>
      </c>
      <c r="HH925" s="378">
        <v>0</v>
      </c>
      <c r="HI925" s="378">
        <v>0</v>
      </c>
      <c r="HJ925" s="378">
        <v>0</v>
      </c>
      <c r="HK925" s="378">
        <v>0</v>
      </c>
      <c r="HL925" s="378">
        <v>0</v>
      </c>
      <c r="HN925" s="349"/>
      <c r="HO925" s="1681"/>
      <c r="HP925" s="307"/>
      <c r="HR925" s="346"/>
      <c r="HU925" s="346"/>
      <c r="HV925" s="307"/>
      <c r="HX925" s="346"/>
      <c r="HY925" s="350"/>
      <c r="IA925" s="346"/>
      <c r="ID925" s="346"/>
      <c r="IE925" s="350"/>
      <c r="IF925" s="350"/>
      <c r="IG925" s="346"/>
      <c r="IH925" s="1625"/>
      <c r="II925" s="350"/>
      <c r="IJ925" s="346"/>
      <c r="IK925" s="350"/>
      <c r="IL925" s="350"/>
      <c r="IM925" s="346"/>
      <c r="IN925" s="350">
        <f t="shared" si="1495"/>
        <v>0</v>
      </c>
      <c r="IO925" s="350">
        <f t="shared" si="1496"/>
        <v>0</v>
      </c>
      <c r="IP925" s="346">
        <f t="shared" si="1443"/>
        <v>0</v>
      </c>
      <c r="IQ925" s="350">
        <f t="shared" si="1497"/>
        <v>0</v>
      </c>
      <c r="IR925" s="350">
        <f t="shared" si="1498"/>
        <v>0</v>
      </c>
      <c r="IS925" s="346">
        <f t="shared" si="1410"/>
        <v>0</v>
      </c>
      <c r="IT925" s="350"/>
      <c r="IU925" s="350">
        <f t="shared" si="1510"/>
        <v>0</v>
      </c>
      <c r="IV925" s="346">
        <f t="shared" si="1511"/>
        <v>0</v>
      </c>
      <c r="IW925" s="350">
        <f t="shared" si="1428"/>
        <v>0</v>
      </c>
      <c r="IX925" s="350">
        <f t="shared" si="1426"/>
        <v>0</v>
      </c>
      <c r="IY925" s="346"/>
      <c r="IZ925" s="350"/>
      <c r="JA925" s="350"/>
      <c r="JB925" s="346"/>
      <c r="JC925" s="350"/>
      <c r="JD925" s="350"/>
      <c r="JE925" s="346">
        <f>FISC!AL1244</f>
        <v>0</v>
      </c>
      <c r="JF925" s="350"/>
      <c r="JG925" s="350"/>
      <c r="JH925" s="346">
        <f>FISC!AM1244</f>
        <v>0</v>
      </c>
      <c r="JI925" s="350"/>
      <c r="JJ925" s="350"/>
      <c r="JK925" s="346">
        <f>FISC!AN1244</f>
        <v>0</v>
      </c>
      <c r="JL925" s="350"/>
      <c r="JM925" s="350"/>
      <c r="JN925" s="346">
        <f>FISC!AO1244</f>
        <v>0</v>
      </c>
      <c r="KI925" s="349"/>
      <c r="KJ925" s="350"/>
    </row>
    <row r="926" spans="1:302" hidden="1" outlineLevel="1">
      <c r="A926" s="302"/>
      <c r="D926" s="1679" t="s">
        <v>3239</v>
      </c>
      <c r="E926" s="346"/>
      <c r="F926" s="346"/>
      <c r="G926" s="346"/>
      <c r="H926" s="346"/>
      <c r="I926" s="346"/>
      <c r="J926" s="346"/>
      <c r="K926" s="346"/>
      <c r="L926" s="346"/>
      <c r="M926" s="346"/>
      <c r="N926" s="346"/>
      <c r="O926" s="346"/>
      <c r="P926" s="346"/>
      <c r="Q926" s="346"/>
      <c r="R926" s="346"/>
      <c r="S926" s="346"/>
      <c r="T926" s="346"/>
      <c r="U926" s="346"/>
      <c r="V926" s="346"/>
      <c r="W926" s="346"/>
      <c r="X926" s="346"/>
      <c r="Y926" s="346"/>
      <c r="Z926" s="346"/>
      <c r="AA926" s="346"/>
      <c r="AB926" s="346"/>
      <c r="AC926" s="346"/>
      <c r="AD926" s="346"/>
      <c r="AE926" s="346"/>
      <c r="AF926" s="346"/>
      <c r="AG926" s="346"/>
      <c r="AH926" s="346"/>
      <c r="AI926" s="346"/>
      <c r="AJ926" s="346"/>
      <c r="AK926" s="346"/>
      <c r="AL926" s="346"/>
      <c r="AM926" s="346"/>
      <c r="AN926" s="346"/>
      <c r="AO926" s="346"/>
      <c r="AP926" s="346"/>
      <c r="AQ926" s="346"/>
      <c r="AR926" s="346"/>
      <c r="AS926" s="346"/>
      <c r="AT926" s="346"/>
      <c r="AU926" s="346"/>
      <c r="AV926" s="346"/>
      <c r="AW926" s="346"/>
      <c r="AX926" s="346"/>
      <c r="AY926" s="346"/>
      <c r="AZ926" s="346"/>
      <c r="BA926" s="346"/>
      <c r="BB926" s="346"/>
      <c r="BC926" s="346"/>
      <c r="BD926" s="346"/>
      <c r="BE926" s="346"/>
      <c r="BF926" s="346"/>
      <c r="BG926" s="346"/>
      <c r="BH926" s="346"/>
      <c r="BI926" s="346"/>
      <c r="BJ926" s="346"/>
      <c r="BK926" s="346"/>
      <c r="BL926" s="346"/>
      <c r="BM926" s="346"/>
      <c r="BN926" s="346"/>
      <c r="BO926" s="346"/>
      <c r="BP926" s="346"/>
      <c r="BQ926" s="346"/>
      <c r="BR926" s="346"/>
      <c r="BS926" s="346"/>
      <c r="BT926" s="346"/>
      <c r="BU926" s="346"/>
      <c r="BV926" s="346"/>
      <c r="BW926" s="346"/>
      <c r="BX926" s="346"/>
      <c r="BY926" s="346"/>
      <c r="BZ926" s="346"/>
      <c r="CA926" s="346"/>
      <c r="CB926" s="346"/>
      <c r="CC926" s="346"/>
      <c r="CD926" s="352"/>
      <c r="CE926" s="346"/>
      <c r="CF926" s="346"/>
      <c r="CG926" s="346"/>
      <c r="CH926" s="346"/>
      <c r="CI926" s="346"/>
      <c r="CJ926" s="346"/>
      <c r="CK926" s="346"/>
      <c r="CL926" s="346"/>
      <c r="CM926" s="346"/>
      <c r="CN926" s="346"/>
      <c r="CO926" s="346"/>
      <c r="CP926" s="348"/>
      <c r="CQ926" s="346"/>
      <c r="CR926" s="346"/>
      <c r="CS926" s="346"/>
      <c r="CT926" s="346"/>
      <c r="CU926" s="346"/>
      <c r="CV926" s="346"/>
      <c r="CW926" s="346"/>
      <c r="CX926" s="346"/>
      <c r="CY926" s="346"/>
      <c r="CZ926" s="346"/>
      <c r="DA926" s="346"/>
      <c r="DB926" s="1479"/>
      <c r="DC926" s="346"/>
      <c r="DD926" s="346"/>
      <c r="DE926" s="346"/>
      <c r="DF926" s="346"/>
      <c r="DG926" s="346"/>
      <c r="DH926" s="346"/>
      <c r="DI926" s="346"/>
      <c r="DJ926" s="346"/>
      <c r="DK926" s="346"/>
      <c r="DL926" s="346"/>
      <c r="DM926" s="346"/>
      <c r="DN926" s="348"/>
      <c r="DO926" s="346"/>
      <c r="DP926" s="346"/>
      <c r="DQ926" s="346"/>
      <c r="DR926" s="346"/>
      <c r="DS926" s="346"/>
      <c r="DT926" s="346"/>
      <c r="DU926" s="346"/>
      <c r="DV926" s="346"/>
      <c r="DW926" s="346"/>
      <c r="DX926" s="346"/>
      <c r="DY926" s="346"/>
      <c r="DZ926" s="348"/>
      <c r="EA926" s="346"/>
      <c r="EB926" s="346"/>
      <c r="EC926" s="346"/>
      <c r="ED926" s="346"/>
      <c r="EE926" s="346"/>
      <c r="EF926" s="346"/>
      <c r="EG926" s="346"/>
      <c r="EH926" s="346"/>
      <c r="EI926" s="346"/>
      <c r="EJ926" s="346"/>
      <c r="EK926" s="346"/>
      <c r="EL926" s="348"/>
      <c r="EM926" s="346"/>
      <c r="EN926" s="346"/>
      <c r="EO926" s="346"/>
      <c r="EP926" s="346"/>
      <c r="EQ926" s="346"/>
      <c r="ER926" s="346"/>
      <c r="ES926" s="346"/>
      <c r="ET926" s="346"/>
      <c r="EU926" s="346"/>
      <c r="EV926" s="346"/>
      <c r="EW926" s="346"/>
      <c r="EX926" s="348"/>
      <c r="EY926" s="346"/>
      <c r="EZ926" s="346"/>
      <c r="FA926" s="346"/>
      <c r="FB926" s="346"/>
      <c r="FC926" s="346"/>
      <c r="FD926" s="346"/>
      <c r="FE926" s="346"/>
      <c r="FF926" s="346"/>
      <c r="FG926" s="346"/>
      <c r="FH926" s="346"/>
      <c r="FI926" s="346"/>
      <c r="FJ926" s="348"/>
      <c r="FK926" s="346"/>
      <c r="FL926" s="346"/>
      <c r="FM926" s="346"/>
      <c r="FN926" s="346"/>
      <c r="FO926" s="346"/>
      <c r="FP926" s="346"/>
      <c r="FQ926" s="346"/>
      <c r="FR926" s="346"/>
      <c r="FS926" s="346"/>
      <c r="FT926" s="346"/>
      <c r="FU926" s="346"/>
      <c r="FV926" s="346"/>
      <c r="FW926" s="346"/>
      <c r="FX926" s="346">
        <v>339.60712002000002</v>
      </c>
      <c r="FY926" s="346">
        <v>0</v>
      </c>
      <c r="FZ926" s="346">
        <v>0</v>
      </c>
      <c r="GA926" s="346">
        <v>0</v>
      </c>
      <c r="GB926" s="346">
        <v>0</v>
      </c>
      <c r="GC926" s="346">
        <v>0</v>
      </c>
      <c r="GD926" s="346">
        <v>0</v>
      </c>
      <c r="GE926" s="346">
        <v>0</v>
      </c>
      <c r="GF926" s="346">
        <v>0</v>
      </c>
      <c r="GG926" s="346">
        <v>0</v>
      </c>
      <c r="GH926" s="346">
        <v>0</v>
      </c>
      <c r="GI926" s="1897">
        <v>0</v>
      </c>
      <c r="GJ926" s="1897">
        <v>0</v>
      </c>
      <c r="GK926" s="1897">
        <v>0</v>
      </c>
      <c r="GL926" s="1897">
        <v>0</v>
      </c>
      <c r="GM926" s="1897">
        <v>0</v>
      </c>
      <c r="GN926" s="1897">
        <v>0</v>
      </c>
      <c r="GO926" s="1897">
        <v>0</v>
      </c>
      <c r="GP926" s="1897">
        <v>0</v>
      </c>
      <c r="GQ926" s="1897">
        <v>0</v>
      </c>
      <c r="GR926" s="1897">
        <v>68.114324774020005</v>
      </c>
      <c r="GS926" s="1897">
        <v>0</v>
      </c>
      <c r="GT926" s="1897">
        <v>0</v>
      </c>
      <c r="GU926" s="1897">
        <v>0</v>
      </c>
      <c r="GV926" s="1897">
        <v>0</v>
      </c>
      <c r="GW926" s="1897">
        <v>0</v>
      </c>
      <c r="GX926" s="1897">
        <v>0</v>
      </c>
      <c r="GY926" s="1897">
        <v>0</v>
      </c>
      <c r="GZ926" s="1897">
        <v>0</v>
      </c>
      <c r="HA926" s="1897">
        <v>0</v>
      </c>
      <c r="HB926" s="1897">
        <v>0</v>
      </c>
      <c r="HC926" s="1897">
        <v>0</v>
      </c>
      <c r="HD926" s="1897">
        <v>0</v>
      </c>
      <c r="HE926" s="1897">
        <v>0</v>
      </c>
      <c r="HF926" s="1897">
        <v>0</v>
      </c>
      <c r="HG926" s="1897">
        <v>0</v>
      </c>
      <c r="HH926" s="1897">
        <v>0</v>
      </c>
      <c r="HI926" s="1897">
        <v>0</v>
      </c>
      <c r="HJ926" s="1897">
        <v>0</v>
      </c>
      <c r="HK926" s="1897">
        <v>0</v>
      </c>
      <c r="HL926" s="1897">
        <v>0</v>
      </c>
      <c r="HM926" s="1897"/>
      <c r="HN926" s="349"/>
      <c r="HO926" s="1679" t="s">
        <v>3239</v>
      </c>
      <c r="HP926" s="307"/>
      <c r="HR926" s="346"/>
      <c r="HU926" s="346"/>
      <c r="HV926" s="307"/>
      <c r="HX926" s="346"/>
      <c r="HY926" s="350"/>
      <c r="IA926" s="346"/>
      <c r="ID926" s="346"/>
      <c r="IE926" s="350"/>
      <c r="IF926" s="350"/>
      <c r="IG926" s="346"/>
      <c r="IH926" s="1625"/>
      <c r="II926" s="350"/>
      <c r="IJ926" s="346">
        <f>IH926+II926</f>
        <v>0</v>
      </c>
      <c r="IK926" s="350">
        <f>SUM(FK926:FP926)</f>
        <v>0</v>
      </c>
      <c r="IL926" s="350">
        <f t="shared" ref="IL926:IL933" si="1512">SUM(FQ926:FV926)</f>
        <v>0</v>
      </c>
      <c r="IM926" s="346">
        <f t="shared" si="1430"/>
        <v>0</v>
      </c>
      <c r="IN926" s="350">
        <f t="shared" si="1495"/>
        <v>339.60712002000002</v>
      </c>
      <c r="IO926" s="350">
        <f t="shared" si="1496"/>
        <v>0</v>
      </c>
      <c r="IP926" s="346">
        <f t="shared" si="1443"/>
        <v>339.60712002000002</v>
      </c>
      <c r="IQ926" s="350">
        <f t="shared" si="1497"/>
        <v>0</v>
      </c>
      <c r="IR926" s="350">
        <f t="shared" si="1498"/>
        <v>68.114324774020005</v>
      </c>
      <c r="IS926" s="346">
        <f t="shared" ref="IS926:IS938" si="1513">IQ926+IR926</f>
        <v>68.114324774020005</v>
      </c>
      <c r="IT926" s="350">
        <v>0</v>
      </c>
      <c r="IU926" s="350">
        <f t="shared" si="1510"/>
        <v>0</v>
      </c>
      <c r="IV926" s="346">
        <f t="shared" si="1511"/>
        <v>0</v>
      </c>
      <c r="IW926" s="350">
        <f t="shared" si="1428"/>
        <v>0</v>
      </c>
      <c r="IX926" s="350">
        <f t="shared" si="1426"/>
        <v>0</v>
      </c>
      <c r="IY926" s="346">
        <f>FISC!AJ1245</f>
        <v>0</v>
      </c>
      <c r="IZ926" s="350">
        <v>0</v>
      </c>
      <c r="JA926" s="350">
        <v>0</v>
      </c>
      <c r="JB926" s="346">
        <f>FISC!AK1245</f>
        <v>0</v>
      </c>
      <c r="JC926" s="350">
        <v>0</v>
      </c>
      <c r="JD926" s="350">
        <v>0</v>
      </c>
      <c r="JE926" s="346">
        <f>FISC!AL1245</f>
        <v>0</v>
      </c>
      <c r="JF926" s="350">
        <v>0</v>
      </c>
      <c r="JG926" s="350">
        <v>0</v>
      </c>
      <c r="JH926" s="346">
        <f>FISC!AM1245</f>
        <v>0</v>
      </c>
      <c r="JI926" s="350">
        <v>0</v>
      </c>
      <c r="JJ926" s="350">
        <v>0</v>
      </c>
      <c r="JK926" s="346">
        <f>FISC!AN1245</f>
        <v>0</v>
      </c>
      <c r="JL926" s="350">
        <v>0</v>
      </c>
      <c r="JM926" s="350">
        <v>0</v>
      </c>
      <c r="JN926" s="346">
        <f>FISC!AO1245</f>
        <v>0</v>
      </c>
      <c r="KI926" s="349"/>
      <c r="KJ926" s="350"/>
    </row>
    <row r="927" spans="1:302" hidden="1" outlineLevel="1">
      <c r="A927" s="302"/>
      <c r="D927" s="1681" t="s">
        <v>3242</v>
      </c>
      <c r="E927" s="346"/>
      <c r="F927" s="346"/>
      <c r="G927" s="346"/>
      <c r="H927" s="346"/>
      <c r="I927" s="346"/>
      <c r="J927" s="346"/>
      <c r="K927" s="346"/>
      <c r="L927" s="346"/>
      <c r="M927" s="346"/>
      <c r="N927" s="346"/>
      <c r="O927" s="346"/>
      <c r="P927" s="346"/>
      <c r="Q927" s="346"/>
      <c r="R927" s="346"/>
      <c r="S927" s="346"/>
      <c r="T927" s="346"/>
      <c r="U927" s="346"/>
      <c r="V927" s="346"/>
      <c r="W927" s="346"/>
      <c r="X927" s="346"/>
      <c r="Y927" s="346"/>
      <c r="Z927" s="346"/>
      <c r="AA927" s="346"/>
      <c r="AB927" s="346"/>
      <c r="AC927" s="346"/>
      <c r="AD927" s="346"/>
      <c r="AE927" s="346"/>
      <c r="AF927" s="346"/>
      <c r="AG927" s="346"/>
      <c r="AH927" s="346"/>
      <c r="AI927" s="346"/>
      <c r="AJ927" s="346"/>
      <c r="AK927" s="346"/>
      <c r="AL927" s="346"/>
      <c r="AM927" s="346"/>
      <c r="AN927" s="346"/>
      <c r="AO927" s="346"/>
      <c r="AP927" s="346"/>
      <c r="AQ927" s="346"/>
      <c r="AR927" s="346"/>
      <c r="AS927" s="346"/>
      <c r="AT927" s="346"/>
      <c r="AU927" s="346"/>
      <c r="AV927" s="346"/>
      <c r="AW927" s="346"/>
      <c r="AX927" s="346"/>
      <c r="AY927" s="346"/>
      <c r="AZ927" s="346"/>
      <c r="BA927" s="346"/>
      <c r="BB927" s="346"/>
      <c r="BC927" s="346"/>
      <c r="BD927" s="346"/>
      <c r="BE927" s="346"/>
      <c r="BF927" s="346"/>
      <c r="BG927" s="346"/>
      <c r="BH927" s="346"/>
      <c r="BI927" s="346"/>
      <c r="BJ927" s="346"/>
      <c r="BK927" s="346"/>
      <c r="BL927" s="346"/>
      <c r="BM927" s="346"/>
      <c r="BN927" s="346"/>
      <c r="BO927" s="346"/>
      <c r="BP927" s="346"/>
      <c r="BQ927" s="346"/>
      <c r="BR927" s="346"/>
      <c r="BS927" s="346"/>
      <c r="BT927" s="346"/>
      <c r="BU927" s="346"/>
      <c r="BV927" s="346"/>
      <c r="BW927" s="346"/>
      <c r="BX927" s="346"/>
      <c r="BY927" s="346"/>
      <c r="BZ927" s="346"/>
      <c r="CA927" s="346"/>
      <c r="CB927" s="346"/>
      <c r="CC927" s="346"/>
      <c r="CD927" s="352"/>
      <c r="CE927" s="346"/>
      <c r="CF927" s="346"/>
      <c r="CG927" s="346"/>
      <c r="CH927" s="346"/>
      <c r="CI927" s="346"/>
      <c r="CJ927" s="346"/>
      <c r="CK927" s="346"/>
      <c r="CL927" s="346"/>
      <c r="CM927" s="346"/>
      <c r="CN927" s="346"/>
      <c r="CO927" s="346"/>
      <c r="CP927" s="348"/>
      <c r="CQ927" s="346"/>
      <c r="CR927" s="346"/>
      <c r="CS927" s="346"/>
      <c r="CT927" s="346"/>
      <c r="CU927" s="346"/>
      <c r="CV927" s="346"/>
      <c r="CW927" s="346"/>
      <c r="CX927" s="346"/>
      <c r="CY927" s="346"/>
      <c r="CZ927" s="346"/>
      <c r="DA927" s="346"/>
      <c r="DB927" s="1479"/>
      <c r="DC927" s="346"/>
      <c r="DD927" s="346"/>
      <c r="DE927" s="346"/>
      <c r="DF927" s="346"/>
      <c r="DG927" s="346"/>
      <c r="DH927" s="346"/>
      <c r="DI927" s="346"/>
      <c r="DJ927" s="346"/>
      <c r="DK927" s="346"/>
      <c r="DL927" s="346"/>
      <c r="DM927" s="346"/>
      <c r="DN927" s="348"/>
      <c r="DO927" s="346"/>
      <c r="DP927" s="346"/>
      <c r="DQ927" s="346"/>
      <c r="DR927" s="346"/>
      <c r="DS927" s="346"/>
      <c r="DT927" s="346"/>
      <c r="DU927" s="346"/>
      <c r="DV927" s="346"/>
      <c r="DW927" s="346"/>
      <c r="DX927" s="346"/>
      <c r="DY927" s="346"/>
      <c r="DZ927" s="348"/>
      <c r="EA927" s="346"/>
      <c r="EB927" s="346"/>
      <c r="EC927" s="346"/>
      <c r="ED927" s="346"/>
      <c r="EE927" s="346"/>
      <c r="EF927" s="346"/>
      <c r="EG927" s="346"/>
      <c r="EH927" s="346"/>
      <c r="EI927" s="346"/>
      <c r="EJ927" s="346"/>
      <c r="EK927" s="346"/>
      <c r="EL927" s="348"/>
      <c r="EM927" s="346"/>
      <c r="EN927" s="346"/>
      <c r="EO927" s="346"/>
      <c r="EP927" s="346"/>
      <c r="EQ927" s="346"/>
      <c r="ER927" s="346"/>
      <c r="ES927" s="346"/>
      <c r="ET927" s="346"/>
      <c r="EU927" s="346"/>
      <c r="EV927" s="346"/>
      <c r="EW927" s="346"/>
      <c r="EX927" s="348"/>
      <c r="EY927" s="346"/>
      <c r="EZ927" s="346"/>
      <c r="FA927" s="346"/>
      <c r="FB927" s="346"/>
      <c r="FC927" s="346"/>
      <c r="FD927" s="346"/>
      <c r="FE927" s="346"/>
      <c r="FF927" s="346"/>
      <c r="FG927" s="346"/>
      <c r="FH927" s="346"/>
      <c r="FI927" s="346"/>
      <c r="FJ927" s="348"/>
      <c r="FK927" s="346"/>
      <c r="FL927" s="346"/>
      <c r="FM927" s="346"/>
      <c r="FN927" s="346"/>
      <c r="FO927" s="346"/>
      <c r="FP927" s="346"/>
      <c r="FQ927" s="346"/>
      <c r="FR927" s="346"/>
      <c r="FS927" s="346"/>
      <c r="FT927" s="346"/>
      <c r="FU927" s="346"/>
      <c r="FV927" s="346"/>
      <c r="FW927" s="346"/>
      <c r="FX927" s="346">
        <v>339.60712002000002</v>
      </c>
      <c r="FY927" s="346">
        <v>0</v>
      </c>
      <c r="FZ927" s="346">
        <v>0</v>
      </c>
      <c r="GA927" s="346">
        <v>0</v>
      </c>
      <c r="GB927" s="346">
        <v>0</v>
      </c>
      <c r="GC927" s="346">
        <v>0</v>
      </c>
      <c r="GD927" s="346">
        <v>0</v>
      </c>
      <c r="GE927" s="346">
        <v>0</v>
      </c>
      <c r="GF927" s="346">
        <v>0</v>
      </c>
      <c r="GG927" s="346">
        <v>0</v>
      </c>
      <c r="GH927" s="346">
        <v>0</v>
      </c>
      <c r="GI927" s="1897">
        <v>0</v>
      </c>
      <c r="GJ927" s="1897">
        <v>0</v>
      </c>
      <c r="GK927" s="1897">
        <v>0</v>
      </c>
      <c r="GL927" s="1897">
        <v>0</v>
      </c>
      <c r="GM927" s="1897">
        <v>0</v>
      </c>
      <c r="GN927" s="1897">
        <v>0</v>
      </c>
      <c r="GO927" s="1897">
        <v>0</v>
      </c>
      <c r="GP927" s="1897">
        <v>0</v>
      </c>
      <c r="GQ927" s="1897">
        <v>0</v>
      </c>
      <c r="GR927" s="1897">
        <v>68.114324774020005</v>
      </c>
      <c r="GS927" s="1897">
        <v>0</v>
      </c>
      <c r="GT927" s="1897">
        <v>0</v>
      </c>
      <c r="GU927" s="1897">
        <v>0</v>
      </c>
      <c r="GV927" s="1897">
        <v>0</v>
      </c>
      <c r="GW927" s="1897">
        <v>0</v>
      </c>
      <c r="GX927" s="1897">
        <v>0</v>
      </c>
      <c r="GY927" s="1897">
        <v>0</v>
      </c>
      <c r="GZ927" s="1897">
        <v>0</v>
      </c>
      <c r="HA927" s="1897">
        <v>0</v>
      </c>
      <c r="HB927" s="1897">
        <v>0</v>
      </c>
      <c r="HC927" s="1897">
        <v>0</v>
      </c>
      <c r="HD927" s="1897">
        <v>0</v>
      </c>
      <c r="HE927" s="1897">
        <v>0</v>
      </c>
      <c r="HF927" s="1897">
        <v>0</v>
      </c>
      <c r="HG927" s="1897">
        <v>0</v>
      </c>
      <c r="HH927" s="1897">
        <v>0</v>
      </c>
      <c r="HI927" s="1897">
        <v>0</v>
      </c>
      <c r="HJ927" s="1897">
        <v>0</v>
      </c>
      <c r="HK927" s="1897">
        <v>0</v>
      </c>
      <c r="HL927" s="1897">
        <v>0</v>
      </c>
      <c r="HM927" s="1897"/>
      <c r="HN927" s="349"/>
      <c r="HO927" s="1681" t="s">
        <v>3242</v>
      </c>
      <c r="HP927" s="307"/>
      <c r="HR927" s="346"/>
      <c r="HU927" s="346"/>
      <c r="HV927" s="307"/>
      <c r="HX927" s="346"/>
      <c r="HY927" s="350"/>
      <c r="IA927" s="346"/>
      <c r="ID927" s="346"/>
      <c r="IE927" s="350"/>
      <c r="IF927" s="350"/>
      <c r="IG927" s="346"/>
      <c r="IH927" s="1625"/>
      <c r="II927" s="350"/>
      <c r="IJ927" s="346">
        <f>IH927+II927</f>
        <v>0</v>
      </c>
      <c r="IK927" s="350">
        <f>SUM(FK927:FP927)</f>
        <v>0</v>
      </c>
      <c r="IL927" s="350">
        <f t="shared" si="1512"/>
        <v>0</v>
      </c>
      <c r="IM927" s="346">
        <f t="shared" si="1430"/>
        <v>0</v>
      </c>
      <c r="IN927" s="350">
        <f t="shared" si="1495"/>
        <v>339.60712002000002</v>
      </c>
      <c r="IO927" s="350">
        <f t="shared" si="1496"/>
        <v>0</v>
      </c>
      <c r="IP927" s="346">
        <f t="shared" si="1443"/>
        <v>339.60712002000002</v>
      </c>
      <c r="IQ927" s="350">
        <f t="shared" si="1497"/>
        <v>0</v>
      </c>
      <c r="IR927" s="350">
        <f t="shared" si="1498"/>
        <v>68.114324774020005</v>
      </c>
      <c r="IS927" s="346">
        <f t="shared" si="1513"/>
        <v>68.114324774020005</v>
      </c>
      <c r="IT927" s="350">
        <v>0</v>
      </c>
      <c r="IU927" s="350">
        <f t="shared" si="1510"/>
        <v>0</v>
      </c>
      <c r="IV927" s="346">
        <f t="shared" si="1511"/>
        <v>0</v>
      </c>
      <c r="IW927" s="350">
        <f t="shared" si="1428"/>
        <v>0</v>
      </c>
      <c r="IX927" s="350">
        <f t="shared" ref="IX927:IX941" si="1514">IY927-IW927</f>
        <v>0</v>
      </c>
      <c r="IY927" s="346">
        <f>FISC!AJ1246</f>
        <v>0</v>
      </c>
      <c r="IZ927" s="350">
        <v>0</v>
      </c>
      <c r="JA927" s="350">
        <v>0</v>
      </c>
      <c r="JB927" s="346">
        <f>FISC!AK1246</f>
        <v>0</v>
      </c>
      <c r="JC927" s="350">
        <v>0</v>
      </c>
      <c r="JD927" s="350">
        <v>0</v>
      </c>
      <c r="JE927" s="346">
        <f>FISC!AL1246</f>
        <v>0</v>
      </c>
      <c r="JF927" s="350">
        <v>0</v>
      </c>
      <c r="JG927" s="350">
        <v>0</v>
      </c>
      <c r="JH927" s="346">
        <f>FISC!AM1246</f>
        <v>0</v>
      </c>
      <c r="JI927" s="350">
        <v>0</v>
      </c>
      <c r="JJ927" s="350">
        <v>0</v>
      </c>
      <c r="JK927" s="346">
        <f>FISC!AN1246</f>
        <v>0</v>
      </c>
      <c r="JL927" s="350">
        <v>0</v>
      </c>
      <c r="JM927" s="350">
        <v>0</v>
      </c>
      <c r="JN927" s="346">
        <f>FISC!AO1246</f>
        <v>0</v>
      </c>
      <c r="KI927" s="349"/>
      <c r="KJ927" s="350"/>
    </row>
    <row r="928" spans="1:302" hidden="1" outlineLevel="1">
      <c r="A928" s="302"/>
      <c r="B928" s="117" t="s">
        <v>361</v>
      </c>
      <c r="D928" s="357" t="s">
        <v>601</v>
      </c>
      <c r="E928" s="346">
        <f t="shared" ref="E928:BP928" si="1515">+E929-E938</f>
        <v>0</v>
      </c>
      <c r="F928" s="346">
        <f t="shared" si="1515"/>
        <v>0</v>
      </c>
      <c r="G928" s="346">
        <f t="shared" si="1515"/>
        <v>0</v>
      </c>
      <c r="H928" s="346">
        <f t="shared" si="1515"/>
        <v>0</v>
      </c>
      <c r="I928" s="346">
        <f t="shared" si="1515"/>
        <v>0</v>
      </c>
      <c r="J928" s="346">
        <f t="shared" si="1515"/>
        <v>0</v>
      </c>
      <c r="K928" s="346">
        <f t="shared" si="1515"/>
        <v>0</v>
      </c>
      <c r="L928" s="346">
        <f t="shared" si="1515"/>
        <v>0</v>
      </c>
      <c r="M928" s="346">
        <f t="shared" si="1515"/>
        <v>0</v>
      </c>
      <c r="N928" s="346">
        <f t="shared" si="1515"/>
        <v>0</v>
      </c>
      <c r="O928" s="346">
        <f t="shared" si="1515"/>
        <v>0</v>
      </c>
      <c r="P928" s="346">
        <f t="shared" si="1515"/>
        <v>0</v>
      </c>
      <c r="Q928" s="346">
        <f t="shared" si="1515"/>
        <v>0</v>
      </c>
      <c r="R928" s="346">
        <f t="shared" si="1515"/>
        <v>0</v>
      </c>
      <c r="S928" s="346">
        <f t="shared" si="1515"/>
        <v>0</v>
      </c>
      <c r="T928" s="346">
        <f t="shared" si="1515"/>
        <v>0</v>
      </c>
      <c r="U928" s="346">
        <f t="shared" si="1515"/>
        <v>0</v>
      </c>
      <c r="V928" s="346">
        <f t="shared" si="1515"/>
        <v>0</v>
      </c>
      <c r="W928" s="346">
        <f t="shared" si="1515"/>
        <v>0</v>
      </c>
      <c r="X928" s="346">
        <f t="shared" si="1515"/>
        <v>0</v>
      </c>
      <c r="Y928" s="346">
        <f t="shared" si="1515"/>
        <v>0</v>
      </c>
      <c r="Z928" s="346">
        <f t="shared" si="1515"/>
        <v>0</v>
      </c>
      <c r="AA928" s="346">
        <f t="shared" si="1515"/>
        <v>0</v>
      </c>
      <c r="AB928" s="346">
        <f t="shared" si="1515"/>
        <v>0</v>
      </c>
      <c r="AC928" s="346">
        <f t="shared" si="1515"/>
        <v>0</v>
      </c>
      <c r="AD928" s="346">
        <f t="shared" si="1515"/>
        <v>0</v>
      </c>
      <c r="AE928" s="346">
        <f t="shared" si="1515"/>
        <v>0</v>
      </c>
      <c r="AF928" s="346">
        <f t="shared" si="1515"/>
        <v>0</v>
      </c>
      <c r="AG928" s="346">
        <f t="shared" si="1515"/>
        <v>0</v>
      </c>
      <c r="AH928" s="346">
        <f t="shared" si="1515"/>
        <v>0</v>
      </c>
      <c r="AI928" s="346">
        <f t="shared" si="1515"/>
        <v>0</v>
      </c>
      <c r="AJ928" s="346">
        <f t="shared" si="1515"/>
        <v>0</v>
      </c>
      <c r="AK928" s="346">
        <f t="shared" si="1515"/>
        <v>0</v>
      </c>
      <c r="AL928" s="346">
        <f t="shared" si="1515"/>
        <v>0</v>
      </c>
      <c r="AM928" s="346">
        <f t="shared" si="1515"/>
        <v>0</v>
      </c>
      <c r="AN928" s="346">
        <f t="shared" si="1515"/>
        <v>0</v>
      </c>
      <c r="AO928" s="346">
        <f t="shared" si="1515"/>
        <v>0</v>
      </c>
      <c r="AP928" s="346">
        <f t="shared" si="1515"/>
        <v>0</v>
      </c>
      <c r="AQ928" s="346">
        <f t="shared" si="1515"/>
        <v>0</v>
      </c>
      <c r="AR928" s="346">
        <f t="shared" si="1515"/>
        <v>0</v>
      </c>
      <c r="AS928" s="346">
        <f t="shared" si="1515"/>
        <v>0</v>
      </c>
      <c r="AT928" s="346">
        <f t="shared" si="1515"/>
        <v>0</v>
      </c>
      <c r="AU928" s="346">
        <f t="shared" si="1515"/>
        <v>0</v>
      </c>
      <c r="AV928" s="346">
        <f t="shared" si="1515"/>
        <v>0</v>
      </c>
      <c r="AW928" s="346">
        <f t="shared" si="1515"/>
        <v>0</v>
      </c>
      <c r="AX928" s="346">
        <f t="shared" si="1515"/>
        <v>0</v>
      </c>
      <c r="AY928" s="346">
        <f t="shared" si="1515"/>
        <v>0</v>
      </c>
      <c r="AZ928" s="346">
        <f t="shared" si="1515"/>
        <v>0</v>
      </c>
      <c r="BA928" s="346">
        <f t="shared" si="1515"/>
        <v>0</v>
      </c>
      <c r="BB928" s="346">
        <f t="shared" si="1515"/>
        <v>0</v>
      </c>
      <c r="BC928" s="346">
        <f t="shared" si="1515"/>
        <v>0</v>
      </c>
      <c r="BD928" s="346">
        <f t="shared" si="1515"/>
        <v>0</v>
      </c>
      <c r="BE928" s="346">
        <f t="shared" si="1515"/>
        <v>0</v>
      </c>
      <c r="BF928" s="346">
        <f t="shared" si="1515"/>
        <v>0</v>
      </c>
      <c r="BG928" s="346">
        <f t="shared" si="1515"/>
        <v>0</v>
      </c>
      <c r="BH928" s="346">
        <f t="shared" si="1515"/>
        <v>0</v>
      </c>
      <c r="BI928" s="346">
        <f t="shared" si="1515"/>
        <v>0</v>
      </c>
      <c r="BJ928" s="346">
        <f t="shared" si="1515"/>
        <v>0</v>
      </c>
      <c r="BK928" s="346">
        <f t="shared" si="1515"/>
        <v>0</v>
      </c>
      <c r="BL928" s="346">
        <f t="shared" si="1515"/>
        <v>0</v>
      </c>
      <c r="BM928" s="346">
        <f t="shared" si="1515"/>
        <v>0</v>
      </c>
      <c r="BN928" s="346">
        <f t="shared" si="1515"/>
        <v>0</v>
      </c>
      <c r="BO928" s="346">
        <f t="shared" si="1515"/>
        <v>0</v>
      </c>
      <c r="BP928" s="346">
        <f t="shared" si="1515"/>
        <v>0</v>
      </c>
      <c r="BQ928" s="346">
        <f t="shared" ref="BQ928:EB928" si="1516">+BQ929-BQ938</f>
        <v>0</v>
      </c>
      <c r="BR928" s="346">
        <f t="shared" si="1516"/>
        <v>0</v>
      </c>
      <c r="BS928" s="346">
        <f t="shared" si="1516"/>
        <v>0</v>
      </c>
      <c r="BT928" s="346">
        <f t="shared" si="1516"/>
        <v>0</v>
      </c>
      <c r="BU928" s="346">
        <f t="shared" si="1516"/>
        <v>0</v>
      </c>
      <c r="BV928" s="346">
        <f t="shared" si="1516"/>
        <v>0</v>
      </c>
      <c r="BW928" s="346">
        <f t="shared" si="1516"/>
        <v>0</v>
      </c>
      <c r="BX928" s="346">
        <f t="shared" si="1516"/>
        <v>0</v>
      </c>
      <c r="BY928" s="346">
        <f t="shared" si="1516"/>
        <v>0</v>
      </c>
      <c r="BZ928" s="346">
        <f t="shared" si="1516"/>
        <v>0</v>
      </c>
      <c r="CA928" s="346">
        <f t="shared" si="1516"/>
        <v>0</v>
      </c>
      <c r="CB928" s="346">
        <f t="shared" si="1516"/>
        <v>0</v>
      </c>
      <c r="CC928" s="346">
        <f t="shared" si="1516"/>
        <v>0</v>
      </c>
      <c r="CD928" s="352">
        <f t="shared" si="1516"/>
        <v>0</v>
      </c>
      <c r="CE928" s="346">
        <f t="shared" si="1516"/>
        <v>6.0648673378900142</v>
      </c>
      <c r="CF928" s="346">
        <f t="shared" si="1516"/>
        <v>3.794319855105091</v>
      </c>
      <c r="CG928" s="346">
        <f t="shared" si="1516"/>
        <v>3.4143455195842343</v>
      </c>
      <c r="CH928" s="346">
        <f t="shared" si="1516"/>
        <v>4.8064493127320151</v>
      </c>
      <c r="CI928" s="346">
        <f t="shared" si="1516"/>
        <v>2.9333864288658735</v>
      </c>
      <c r="CJ928" s="346">
        <f t="shared" si="1516"/>
        <v>6.0664323475203199</v>
      </c>
      <c r="CK928" s="346">
        <f t="shared" si="1516"/>
        <v>10.549743380728982</v>
      </c>
      <c r="CL928" s="346">
        <f t="shared" si="1516"/>
        <v>1.6094141646601652</v>
      </c>
      <c r="CM928" s="346">
        <f t="shared" si="1516"/>
        <v>2.0088474897454565</v>
      </c>
      <c r="CN928" s="346">
        <f t="shared" si="1516"/>
        <v>1.2718415560240699</v>
      </c>
      <c r="CO928" s="346">
        <f t="shared" si="1516"/>
        <v>38.105353750626847</v>
      </c>
      <c r="CP928" s="348">
        <f t="shared" si="1516"/>
        <v>24.531914229255314</v>
      </c>
      <c r="CQ928" s="346">
        <f t="shared" si="1516"/>
        <v>4.9420193008418858</v>
      </c>
      <c r="CR928" s="346">
        <f t="shared" si="1516"/>
        <v>3.8308939451566677</v>
      </c>
      <c r="CS928" s="346">
        <f t="shared" si="1516"/>
        <v>12.00286724258406</v>
      </c>
      <c r="CT928" s="346">
        <f t="shared" si="1516"/>
        <v>5.1893339261600904</v>
      </c>
      <c r="CU928" s="346">
        <f t="shared" si="1516"/>
        <v>10.46585883733734</v>
      </c>
      <c r="CV928" s="346">
        <f t="shared" si="1516"/>
        <v>67.021078465884145</v>
      </c>
      <c r="CW928" s="346">
        <f t="shared" si="1516"/>
        <v>7.8762359651259253</v>
      </c>
      <c r="CX928" s="346">
        <f t="shared" si="1516"/>
        <v>3.5485909032750431</v>
      </c>
      <c r="CY928" s="346">
        <f t="shared" si="1516"/>
        <v>8.6557670022827384</v>
      </c>
      <c r="CZ928" s="346">
        <f t="shared" si="1516"/>
        <v>48.213086059450021</v>
      </c>
      <c r="DA928" s="346">
        <f t="shared" si="1516"/>
        <v>4.8957815003413128</v>
      </c>
      <c r="DB928" s="1479">
        <f t="shared" si="1516"/>
        <v>11.545065657792968</v>
      </c>
      <c r="DC928" s="346">
        <f t="shared" si="1516"/>
        <v>-0.32746269399886818</v>
      </c>
      <c r="DD928" s="346">
        <f t="shared" si="1516"/>
        <v>3.5305284776444301</v>
      </c>
      <c r="DE928" s="346">
        <f t="shared" si="1516"/>
        <v>55.40402819682587</v>
      </c>
      <c r="DF928" s="346">
        <f t="shared" si="1516"/>
        <v>13.837937548729254</v>
      </c>
      <c r="DG928" s="346">
        <f t="shared" si="1516"/>
        <v>4.0517228288185114</v>
      </c>
      <c r="DH928" s="346">
        <f t="shared" si="1516"/>
        <v>90.018144492537417</v>
      </c>
      <c r="DI928" s="346">
        <f t="shared" si="1516"/>
        <v>5.8757694289489741</v>
      </c>
      <c r="DJ928" s="346">
        <f t="shared" si="1516"/>
        <v>21.472344372958734</v>
      </c>
      <c r="DK928" s="346">
        <f t="shared" si="1516"/>
        <v>11.427946944314153</v>
      </c>
      <c r="DL928" s="346">
        <f t="shared" si="1516"/>
        <v>10.494451571476269</v>
      </c>
      <c r="DM928" s="346">
        <f t="shared" si="1516"/>
        <v>4.9315520607593966</v>
      </c>
      <c r="DN928" s="348">
        <f t="shared" si="1516"/>
        <v>3.691164430675272</v>
      </c>
      <c r="DO928" s="346">
        <f t="shared" si="1516"/>
        <v>2.4828976559227027</v>
      </c>
      <c r="DP928" s="346">
        <f t="shared" si="1516"/>
        <v>8.2479295940122039</v>
      </c>
      <c r="DQ928" s="346">
        <f t="shared" si="1516"/>
        <v>34.80290039343646</v>
      </c>
      <c r="DR928" s="346">
        <f t="shared" si="1516"/>
        <v>68.234891521118072</v>
      </c>
      <c r="DS928" s="346">
        <f t="shared" si="1516"/>
        <v>9.7368212350321457</v>
      </c>
      <c r="DT928" s="346">
        <f t="shared" si="1516"/>
        <v>93.306756981791452</v>
      </c>
      <c r="DU928" s="346">
        <f t="shared" si="1516"/>
        <v>10.523081388542748</v>
      </c>
      <c r="DV928" s="346">
        <f t="shared" si="1516"/>
        <v>2.9753375645376945</v>
      </c>
      <c r="DW928" s="346">
        <f t="shared" si="1516"/>
        <v>16.285524088676041</v>
      </c>
      <c r="DX928" s="346">
        <f t="shared" si="1516"/>
        <v>19.930253277965207</v>
      </c>
      <c r="DY928" s="346">
        <f t="shared" si="1516"/>
        <v>36.579671090306043</v>
      </c>
      <c r="DZ928" s="348">
        <f t="shared" si="1516"/>
        <v>19.882869600030467</v>
      </c>
      <c r="EA928" s="346">
        <f t="shared" si="1516"/>
        <v>8.4231752763884664</v>
      </c>
      <c r="EB928" s="346">
        <f t="shared" si="1516"/>
        <v>31.683600606302893</v>
      </c>
      <c r="EC928" s="346">
        <f t="shared" ref="EC928:FP928" si="1517">+EC929-EC938</f>
        <v>24.658814769659362</v>
      </c>
      <c r="ED928" s="346">
        <f t="shared" si="1517"/>
        <v>18.683836442856141</v>
      </c>
      <c r="EE928" s="346">
        <f t="shared" si="1517"/>
        <v>110.96608495911359</v>
      </c>
      <c r="EF928" s="346">
        <f t="shared" si="1517"/>
        <v>14.51405999831908</v>
      </c>
      <c r="EG928" s="346">
        <f t="shared" si="1517"/>
        <v>55.423346475873529</v>
      </c>
      <c r="EH928" s="346">
        <f t="shared" si="1517"/>
        <v>3.8959698821168445</v>
      </c>
      <c r="EI928" s="346">
        <f t="shared" si="1517"/>
        <v>14.580064284231812</v>
      </c>
      <c r="EJ928" s="346">
        <f t="shared" si="1517"/>
        <v>8.8538571553240697</v>
      </c>
      <c r="EK928" s="346">
        <f t="shared" si="1517"/>
        <v>38.389474378554652</v>
      </c>
      <c r="EL928" s="348">
        <f t="shared" si="1517"/>
        <v>25.956846648486049</v>
      </c>
      <c r="EM928" s="346">
        <f t="shared" si="1517"/>
        <v>9.1306091178664825</v>
      </c>
      <c r="EN928" s="346">
        <f t="shared" si="1517"/>
        <v>1.63542145193674</v>
      </c>
      <c r="EO928" s="346">
        <f t="shared" si="1517"/>
        <v>10.987169894132018</v>
      </c>
      <c r="EP928" s="346">
        <f t="shared" si="1517"/>
        <v>4.562096771518064</v>
      </c>
      <c r="EQ928" s="346">
        <f t="shared" si="1517"/>
        <v>13.176531811450971</v>
      </c>
      <c r="ER928" s="346">
        <f t="shared" si="1517"/>
        <v>219.27680270007269</v>
      </c>
      <c r="ES928" s="346">
        <f t="shared" si="1517"/>
        <v>22.37974998625814</v>
      </c>
      <c r="ET928" s="346">
        <f t="shared" si="1517"/>
        <v>15.159283741393457</v>
      </c>
      <c r="EU928" s="346">
        <f t="shared" si="1517"/>
        <v>11.394298316027328</v>
      </c>
      <c r="EV928" s="346">
        <f t="shared" si="1517"/>
        <v>18.450060664160304</v>
      </c>
      <c r="EW928" s="346">
        <f t="shared" si="1517"/>
        <v>16.139738200652342</v>
      </c>
      <c r="EX928" s="348">
        <f t="shared" si="1517"/>
        <v>106.02020398827491</v>
      </c>
      <c r="EY928" s="346">
        <f t="shared" si="1517"/>
        <v>18.710324140762001</v>
      </c>
      <c r="EZ928" s="346">
        <f t="shared" si="1517"/>
        <v>26.358275628537605</v>
      </c>
      <c r="FA928" s="346">
        <f t="shared" si="1517"/>
        <v>25.66195521547359</v>
      </c>
      <c r="FB928" s="346">
        <f t="shared" si="1517"/>
        <v>180.34086035425312</v>
      </c>
      <c r="FC928" s="346">
        <f t="shared" si="1517"/>
        <v>35.460548031665894</v>
      </c>
      <c r="FD928" s="346">
        <f t="shared" si="1517"/>
        <v>146.3197624468045</v>
      </c>
      <c r="FE928" s="346">
        <f t="shared" si="1517"/>
        <v>60.226021596908097</v>
      </c>
      <c r="FF928" s="346">
        <f t="shared" si="1517"/>
        <v>26.641361852016441</v>
      </c>
      <c r="FG928" s="346">
        <f t="shared" si="1517"/>
        <v>11.705615638270633</v>
      </c>
      <c r="FH928" s="346">
        <f t="shared" si="1517"/>
        <v>124.11776803524816</v>
      </c>
      <c r="FI928" s="346">
        <f t="shared" si="1517"/>
        <v>32.936011562168424</v>
      </c>
      <c r="FJ928" s="348">
        <f t="shared" si="1517"/>
        <v>265.54118707599042</v>
      </c>
      <c r="FK928" s="346">
        <f t="shared" si="1517"/>
        <v>165.36716256293312</v>
      </c>
      <c r="FL928" s="346">
        <f t="shared" si="1517"/>
        <v>42.676739492936349</v>
      </c>
      <c r="FM928" s="346">
        <f t="shared" si="1517"/>
        <v>47.373704321396758</v>
      </c>
      <c r="FN928" s="346">
        <f t="shared" si="1517"/>
        <v>29.80564258928019</v>
      </c>
      <c r="FO928" s="346">
        <f t="shared" si="1517"/>
        <v>24.133098201211482</v>
      </c>
      <c r="FP928" s="346">
        <f t="shared" si="1517"/>
        <v>142.03539291295886</v>
      </c>
      <c r="FQ928" s="346">
        <f t="shared" ref="FQ928:FV928" si="1518">+FQ929-FQ938</f>
        <v>8.1583712632049998</v>
      </c>
      <c r="FR928" s="346">
        <f t="shared" si="1518"/>
        <v>30.696689018393997</v>
      </c>
      <c r="FS928" s="346">
        <f t="shared" si="1518"/>
        <v>96.048654651339973</v>
      </c>
      <c r="FT928" s="346">
        <f t="shared" si="1518"/>
        <v>24.229058993359722</v>
      </c>
      <c r="FU928" s="346">
        <f t="shared" si="1518"/>
        <v>7.5483352215044688</v>
      </c>
      <c r="FV928" s="346">
        <f t="shared" si="1518"/>
        <v>39.199590900966733</v>
      </c>
      <c r="FW928" s="346">
        <v>27.624194789979462</v>
      </c>
      <c r="FX928" s="346">
        <v>14.984430994304654</v>
      </c>
      <c r="FY928" s="346">
        <v>17.41244602701115</v>
      </c>
      <c r="FZ928" s="346">
        <v>87.691067920702139</v>
      </c>
      <c r="GA928" s="346">
        <v>74.219736986734461</v>
      </c>
      <c r="GB928" s="346">
        <v>36.624771270096232</v>
      </c>
      <c r="GC928" s="346">
        <v>3.2885865871498829</v>
      </c>
      <c r="GD928" s="346">
        <v>13.94239333506065</v>
      </c>
      <c r="GE928" s="346">
        <v>82.658302674580867</v>
      </c>
      <c r="GF928" s="346">
        <v>39.588158417380626</v>
      </c>
      <c r="GG928" s="346">
        <v>44.550087477578145</v>
      </c>
      <c r="GH928" s="346">
        <v>92.012539414141031</v>
      </c>
      <c r="GI928" s="1897">
        <f>GI929-GI938</f>
        <v>18.006083506541067</v>
      </c>
      <c r="GJ928" s="1897">
        <f t="shared" ref="GJ928:HL928" si="1519">GJ929-GJ938</f>
        <v>4.8089811679161691</v>
      </c>
      <c r="GK928" s="1897">
        <f t="shared" si="1519"/>
        <v>70.569208254395889</v>
      </c>
      <c r="GL928" s="1897">
        <f t="shared" si="1519"/>
        <v>27.560648542128696</v>
      </c>
      <c r="GM928" s="1897">
        <f t="shared" si="1519"/>
        <v>9.4039659277830996</v>
      </c>
      <c r="GN928" s="1897">
        <f t="shared" si="1519"/>
        <v>44.237588588376816</v>
      </c>
      <c r="GO928" s="1897">
        <f t="shared" si="1519"/>
        <v>27.288171702099547</v>
      </c>
      <c r="GP928" s="1897">
        <f t="shared" si="1519"/>
        <v>22.984808425351392</v>
      </c>
      <c r="GQ928" s="1897">
        <f t="shared" si="1519"/>
        <v>450.23539151328413</v>
      </c>
      <c r="GR928" s="1897">
        <f t="shared" si="1519"/>
        <v>10.375318925647001</v>
      </c>
      <c r="GS928" s="1897">
        <f t="shared" si="1519"/>
        <v>20.289536545420098</v>
      </c>
      <c r="GT928" s="1897">
        <f t="shared" si="1519"/>
        <v>170.86324463565049</v>
      </c>
      <c r="GU928" s="1897">
        <f t="shared" si="1519"/>
        <v>24.901617678619075</v>
      </c>
      <c r="GV928" s="1897">
        <f t="shared" si="1519"/>
        <v>29.396984788598399</v>
      </c>
      <c r="GW928" s="1897">
        <f t="shared" si="1519"/>
        <v>34.278652857079472</v>
      </c>
      <c r="GX928" s="1897">
        <f t="shared" si="1519"/>
        <v>34.569296173943322</v>
      </c>
      <c r="GY928" s="1897">
        <f t="shared" si="1519"/>
        <v>61.294792130506103</v>
      </c>
      <c r="GZ928" s="1897">
        <f t="shared" si="1519"/>
        <v>389.1169962807532</v>
      </c>
      <c r="HA928" s="1897">
        <f t="shared" si="1519"/>
        <v>23.587192673905697</v>
      </c>
      <c r="HB928" s="1897">
        <f t="shared" si="1519"/>
        <v>5.8263685015150024</v>
      </c>
      <c r="HC928" s="1897">
        <f t="shared" si="1519"/>
        <v>71.093702307219047</v>
      </c>
      <c r="HD928" s="1897">
        <f t="shared" si="1519"/>
        <v>91.193470368949306</v>
      </c>
      <c r="HE928" s="1897">
        <f t="shared" si="1519"/>
        <v>132.09520843442903</v>
      </c>
      <c r="HF928" s="1897">
        <f t="shared" si="1519"/>
        <v>409.85987118987839</v>
      </c>
      <c r="HG928" s="1897">
        <f t="shared" si="1519"/>
        <v>39.520296884400395</v>
      </c>
      <c r="HH928" s="1897">
        <f t="shared" si="1519"/>
        <v>0.90679020791951359</v>
      </c>
      <c r="HI928" s="1897">
        <f t="shared" si="1519"/>
        <v>36.108589938519167</v>
      </c>
      <c r="HJ928" s="1897">
        <f t="shared" si="1519"/>
        <v>51.541524999922316</v>
      </c>
      <c r="HK928" s="1897">
        <f t="shared" si="1519"/>
        <v>80.069460153539424</v>
      </c>
      <c r="HL928" s="1897">
        <f t="shared" si="1519"/>
        <v>823.4443101715209</v>
      </c>
      <c r="HM928" s="1897"/>
      <c r="HN928" s="349"/>
      <c r="HO928" s="357" t="s">
        <v>601</v>
      </c>
      <c r="HP928" s="307">
        <f>SUM(CE928:CJ928)</f>
        <v>27.079800801697544</v>
      </c>
      <c r="HQ928" s="302">
        <f>SUM(CK928:CP928)</f>
        <v>78.077114571040823</v>
      </c>
      <c r="HR928" s="346">
        <f>HP928+HQ928</f>
        <v>105.15691537273837</v>
      </c>
      <c r="HS928" s="302">
        <f>SUM(CQ928:CV928)</f>
        <v>103.45205171796418</v>
      </c>
      <c r="HT928" s="302">
        <f>SUM(CW928:DB928)</f>
        <v>84.73452708826801</v>
      </c>
      <c r="HU928" s="346">
        <f>HS928+HT928</f>
        <v>188.18657880623221</v>
      </c>
      <c r="HV928" s="307">
        <f>SUM(DC928:DH928)</f>
        <v>166.51489885055662</v>
      </c>
      <c r="HW928" s="302">
        <f>SUM(DI928:DN928)</f>
        <v>57.893228809132793</v>
      </c>
      <c r="HX928" s="346">
        <f>HV928+HW928</f>
        <v>224.4081276596894</v>
      </c>
      <c r="HY928" s="350">
        <f>SUM(DO928:DT928)</f>
        <v>216.81219738131301</v>
      </c>
      <c r="HZ928" s="302">
        <f>SUM(DU928:DZ928)</f>
        <v>106.17673701005819</v>
      </c>
      <c r="IA928" s="346">
        <f>HY928+HZ928</f>
        <v>322.98893439137123</v>
      </c>
      <c r="IB928" s="302">
        <f>SUM(EA928:EF928)</f>
        <v>208.92957205263954</v>
      </c>
      <c r="IC928" s="302">
        <f>SUM(EG928:EL928)</f>
        <v>147.09955882458695</v>
      </c>
      <c r="ID928" s="346">
        <f>IB928+IC928</f>
        <v>356.02913087722652</v>
      </c>
      <c r="IE928" s="350">
        <f>SUM(EM928:ER928)</f>
        <v>258.76863174697695</v>
      </c>
      <c r="IF928" s="350">
        <f>SUM(ES928:EX928)</f>
        <v>189.54333489676651</v>
      </c>
      <c r="IG928" s="346">
        <f>IE928+IF928</f>
        <v>448.31196664374346</v>
      </c>
      <c r="IH928" s="350">
        <f>SUM(EY928:FD928)</f>
        <v>432.85172581749669</v>
      </c>
      <c r="II928" s="350">
        <f>SUM(FE928:FJ928)</f>
        <v>521.16796576060221</v>
      </c>
      <c r="IJ928" s="346">
        <f>IH928+II928</f>
        <v>954.0196915780989</v>
      </c>
      <c r="IK928" s="350">
        <f>SUM(FK928:FP928)</f>
        <v>451.39174008071677</v>
      </c>
      <c r="IL928" s="350">
        <f t="shared" si="1512"/>
        <v>205.88070004876988</v>
      </c>
      <c r="IM928" s="346">
        <f t="shared" si="1430"/>
        <v>657.27244012948665</v>
      </c>
      <c r="IN928" s="350">
        <f t="shared" si="1495"/>
        <v>258.5566479888281</v>
      </c>
      <c r="IO928" s="350">
        <f t="shared" si="1496"/>
        <v>276.04006790589119</v>
      </c>
      <c r="IP928" s="346">
        <f t="shared" si="1443"/>
        <v>534.5967158947193</v>
      </c>
      <c r="IQ928" s="350">
        <f t="shared" si="1497"/>
        <v>174.58647598714174</v>
      </c>
      <c r="IR928" s="350">
        <f t="shared" si="1498"/>
        <v>702.03647174745265</v>
      </c>
      <c r="IS928" s="346">
        <f t="shared" si="1513"/>
        <v>876.62294773459439</v>
      </c>
      <c r="IT928" s="350">
        <f>IT929-IT938</f>
        <v>573.55833990949964</v>
      </c>
      <c r="IU928" s="350">
        <f>IU929-IU938</f>
        <v>733.65581347589648</v>
      </c>
      <c r="IV928" s="346">
        <f t="shared" si="1511"/>
        <v>1307.214153385396</v>
      </c>
      <c r="IW928" s="350">
        <f t="shared" ref="IW928:IW941" si="1520">SUM(HG928:HL928)</f>
        <v>1031.5909723558216</v>
      </c>
      <c r="IX928" s="1628">
        <f t="shared" si="1514"/>
        <v>253.03253110893365</v>
      </c>
      <c r="IY928" s="346">
        <f>FISC!AJ1247</f>
        <v>1284.6235034647552</v>
      </c>
      <c r="IZ928" s="1628">
        <f>IZ929-IZ938</f>
        <v>1443.4456981983878</v>
      </c>
      <c r="JA928" s="1628">
        <f>JA929-JA938</f>
        <v>368.34171420739267</v>
      </c>
      <c r="JB928" s="346">
        <f>FISC!AK1247</f>
        <v>1811.7874124057805</v>
      </c>
      <c r="JC928" s="1628">
        <f>JC929-JC938</f>
        <v>1149.3064888327742</v>
      </c>
      <c r="JD928" s="1628">
        <f>JD929-JD938</f>
        <v>483.3593040396288</v>
      </c>
      <c r="JE928" s="346">
        <f>FISC!AL1247</f>
        <v>1632.665792872403</v>
      </c>
      <c r="JF928" s="1628">
        <f>JF929-JF938</f>
        <v>779.02844806848543</v>
      </c>
      <c r="JG928" s="1628">
        <f>JG929-JG938</f>
        <v>201.00854119955056</v>
      </c>
      <c r="JH928" s="346">
        <f>FISC!AM1247</f>
        <v>980.03698926803577</v>
      </c>
      <c r="JI928" s="1628">
        <f>JI929-JI938</f>
        <v>653.69314307351624</v>
      </c>
      <c r="JJ928" s="1628">
        <f>JJ929-JJ938</f>
        <v>117.99997203796192</v>
      </c>
      <c r="JK928" s="346">
        <f>FISC!AN1247</f>
        <v>771.69311511147828</v>
      </c>
      <c r="JL928" s="1628">
        <f>JL929-JL938</f>
        <v>274.94887118425743</v>
      </c>
      <c r="JM928" s="1628">
        <f>JM929-JM938</f>
        <v>57.544956215305206</v>
      </c>
      <c r="JN928" s="346">
        <f>FISC!AO1247</f>
        <v>332.49382739956263</v>
      </c>
      <c r="KI928" s="349"/>
      <c r="KJ928" s="350"/>
      <c r="KM928" s="302">
        <f>+KM929-KM938</f>
        <v>0</v>
      </c>
      <c r="KN928" s="302">
        <f>+KN929-KN938</f>
        <v>0</v>
      </c>
      <c r="KO928" s="302">
        <f>+KO929-KO938</f>
        <v>0</v>
      </c>
      <c r="KP928" s="302">
        <f>+KP929-KP938</f>
        <v>0</v>
      </c>
    </row>
    <row r="929" spans="1:302" hidden="1" outlineLevel="1">
      <c r="A929" s="302"/>
      <c r="B929" s="117" t="s">
        <v>361</v>
      </c>
      <c r="D929" s="358" t="s">
        <v>610</v>
      </c>
      <c r="E929" s="346">
        <f t="shared" ref="E929:BP929" si="1521">SUM(E930:E935)</f>
        <v>0</v>
      </c>
      <c r="F929" s="346">
        <f t="shared" si="1521"/>
        <v>0</v>
      </c>
      <c r="G929" s="346">
        <f t="shared" si="1521"/>
        <v>0</v>
      </c>
      <c r="H929" s="346">
        <f t="shared" si="1521"/>
        <v>0</v>
      </c>
      <c r="I929" s="346">
        <f t="shared" si="1521"/>
        <v>0</v>
      </c>
      <c r="J929" s="346">
        <f t="shared" si="1521"/>
        <v>0</v>
      </c>
      <c r="K929" s="346">
        <f t="shared" si="1521"/>
        <v>0</v>
      </c>
      <c r="L929" s="346">
        <f t="shared" si="1521"/>
        <v>0</v>
      </c>
      <c r="M929" s="346">
        <f t="shared" si="1521"/>
        <v>0</v>
      </c>
      <c r="N929" s="346">
        <f t="shared" si="1521"/>
        <v>0</v>
      </c>
      <c r="O929" s="346">
        <f t="shared" si="1521"/>
        <v>0</v>
      </c>
      <c r="P929" s="346">
        <f t="shared" si="1521"/>
        <v>0</v>
      </c>
      <c r="Q929" s="346">
        <f t="shared" si="1521"/>
        <v>0</v>
      </c>
      <c r="R929" s="346">
        <f t="shared" si="1521"/>
        <v>0</v>
      </c>
      <c r="S929" s="346">
        <f t="shared" si="1521"/>
        <v>0</v>
      </c>
      <c r="T929" s="346">
        <f t="shared" si="1521"/>
        <v>0</v>
      </c>
      <c r="U929" s="346">
        <f t="shared" si="1521"/>
        <v>0</v>
      </c>
      <c r="V929" s="346">
        <f t="shared" si="1521"/>
        <v>0</v>
      </c>
      <c r="W929" s="346">
        <f t="shared" si="1521"/>
        <v>0</v>
      </c>
      <c r="X929" s="346">
        <f t="shared" si="1521"/>
        <v>0</v>
      </c>
      <c r="Y929" s="346">
        <f t="shared" si="1521"/>
        <v>0</v>
      </c>
      <c r="Z929" s="346">
        <f t="shared" si="1521"/>
        <v>0</v>
      </c>
      <c r="AA929" s="346">
        <f t="shared" si="1521"/>
        <v>0</v>
      </c>
      <c r="AB929" s="346">
        <f t="shared" si="1521"/>
        <v>0</v>
      </c>
      <c r="AC929" s="346">
        <f t="shared" si="1521"/>
        <v>0</v>
      </c>
      <c r="AD929" s="346">
        <f t="shared" si="1521"/>
        <v>0</v>
      </c>
      <c r="AE929" s="346">
        <f t="shared" si="1521"/>
        <v>0</v>
      </c>
      <c r="AF929" s="346">
        <f t="shared" si="1521"/>
        <v>0</v>
      </c>
      <c r="AG929" s="346">
        <f t="shared" si="1521"/>
        <v>0</v>
      </c>
      <c r="AH929" s="346">
        <f t="shared" si="1521"/>
        <v>0</v>
      </c>
      <c r="AI929" s="346">
        <f t="shared" si="1521"/>
        <v>0</v>
      </c>
      <c r="AJ929" s="346">
        <f t="shared" si="1521"/>
        <v>0</v>
      </c>
      <c r="AK929" s="346">
        <f t="shared" si="1521"/>
        <v>0</v>
      </c>
      <c r="AL929" s="346">
        <f t="shared" si="1521"/>
        <v>0</v>
      </c>
      <c r="AM929" s="346">
        <f t="shared" si="1521"/>
        <v>0</v>
      </c>
      <c r="AN929" s="346">
        <f t="shared" si="1521"/>
        <v>0</v>
      </c>
      <c r="AO929" s="346">
        <f t="shared" si="1521"/>
        <v>0</v>
      </c>
      <c r="AP929" s="346">
        <f t="shared" si="1521"/>
        <v>0</v>
      </c>
      <c r="AQ929" s="346">
        <f t="shared" si="1521"/>
        <v>0</v>
      </c>
      <c r="AR929" s="346">
        <f t="shared" si="1521"/>
        <v>0</v>
      </c>
      <c r="AS929" s="346">
        <f t="shared" si="1521"/>
        <v>0</v>
      </c>
      <c r="AT929" s="346">
        <f t="shared" si="1521"/>
        <v>0</v>
      </c>
      <c r="AU929" s="346">
        <f t="shared" si="1521"/>
        <v>0</v>
      </c>
      <c r="AV929" s="346">
        <f t="shared" si="1521"/>
        <v>0</v>
      </c>
      <c r="AW929" s="346">
        <f t="shared" si="1521"/>
        <v>0</v>
      </c>
      <c r="AX929" s="346">
        <f t="shared" si="1521"/>
        <v>0</v>
      </c>
      <c r="AY929" s="346">
        <f t="shared" si="1521"/>
        <v>0</v>
      </c>
      <c r="AZ929" s="346">
        <f t="shared" si="1521"/>
        <v>0</v>
      </c>
      <c r="BA929" s="346">
        <f t="shared" si="1521"/>
        <v>0</v>
      </c>
      <c r="BB929" s="346">
        <f t="shared" si="1521"/>
        <v>0</v>
      </c>
      <c r="BC929" s="346">
        <f t="shared" si="1521"/>
        <v>0</v>
      </c>
      <c r="BD929" s="346">
        <f t="shared" si="1521"/>
        <v>0</v>
      </c>
      <c r="BE929" s="346">
        <f t="shared" si="1521"/>
        <v>0</v>
      </c>
      <c r="BF929" s="346">
        <f t="shared" si="1521"/>
        <v>0</v>
      </c>
      <c r="BG929" s="346">
        <f t="shared" si="1521"/>
        <v>0</v>
      </c>
      <c r="BH929" s="346">
        <f t="shared" si="1521"/>
        <v>0</v>
      </c>
      <c r="BI929" s="346">
        <f t="shared" si="1521"/>
        <v>0</v>
      </c>
      <c r="BJ929" s="346">
        <f t="shared" si="1521"/>
        <v>0</v>
      </c>
      <c r="BK929" s="346">
        <f t="shared" si="1521"/>
        <v>0</v>
      </c>
      <c r="BL929" s="346">
        <f t="shared" si="1521"/>
        <v>0</v>
      </c>
      <c r="BM929" s="346">
        <f t="shared" si="1521"/>
        <v>0</v>
      </c>
      <c r="BN929" s="346">
        <f t="shared" si="1521"/>
        <v>0</v>
      </c>
      <c r="BO929" s="346">
        <f t="shared" si="1521"/>
        <v>0</v>
      </c>
      <c r="BP929" s="346">
        <f t="shared" si="1521"/>
        <v>0</v>
      </c>
      <c r="BQ929" s="346">
        <f t="shared" ref="BQ929:EB929" si="1522">SUM(BQ930:BQ935)</f>
        <v>0</v>
      </c>
      <c r="BR929" s="346">
        <f t="shared" si="1522"/>
        <v>0</v>
      </c>
      <c r="BS929" s="346">
        <f t="shared" si="1522"/>
        <v>0</v>
      </c>
      <c r="BT929" s="346">
        <f t="shared" si="1522"/>
        <v>0</v>
      </c>
      <c r="BU929" s="346">
        <f t="shared" si="1522"/>
        <v>0</v>
      </c>
      <c r="BV929" s="346">
        <f t="shared" si="1522"/>
        <v>0</v>
      </c>
      <c r="BW929" s="346">
        <f t="shared" si="1522"/>
        <v>0</v>
      </c>
      <c r="BX929" s="346">
        <f t="shared" si="1522"/>
        <v>0</v>
      </c>
      <c r="BY929" s="346">
        <f t="shared" si="1522"/>
        <v>0</v>
      </c>
      <c r="BZ929" s="346">
        <f t="shared" si="1522"/>
        <v>0</v>
      </c>
      <c r="CA929" s="346">
        <f t="shared" si="1522"/>
        <v>0</v>
      </c>
      <c r="CB929" s="346">
        <f t="shared" si="1522"/>
        <v>0</v>
      </c>
      <c r="CC929" s="346">
        <f t="shared" si="1522"/>
        <v>0</v>
      </c>
      <c r="CD929" s="352">
        <f t="shared" si="1522"/>
        <v>0</v>
      </c>
      <c r="CE929" s="346">
        <f t="shared" si="1522"/>
        <v>6.8171795700000004</v>
      </c>
      <c r="CF929" s="346">
        <f t="shared" si="1522"/>
        <v>3.9039883390000001</v>
      </c>
      <c r="CG929" s="346">
        <f t="shared" si="1522"/>
        <v>3.8882203720000001</v>
      </c>
      <c r="CH929" s="346">
        <f t="shared" si="1522"/>
        <v>6.2578329159999999</v>
      </c>
      <c r="CI929" s="346">
        <f t="shared" si="1522"/>
        <v>3.5211649989999998</v>
      </c>
      <c r="CJ929" s="346">
        <f t="shared" si="1522"/>
        <v>6.7397221739999997</v>
      </c>
      <c r="CK929" s="346">
        <f t="shared" si="1522"/>
        <v>11.206712712287</v>
      </c>
      <c r="CL929" s="346">
        <f t="shared" si="1522"/>
        <v>1.744920303962</v>
      </c>
      <c r="CM929" s="346">
        <f t="shared" si="1522"/>
        <v>2.9498687050729999</v>
      </c>
      <c r="CN929" s="346">
        <f t="shared" si="1522"/>
        <v>2.9364516164650003</v>
      </c>
      <c r="CO929" s="346">
        <f t="shared" si="1522"/>
        <v>39.605139809474004</v>
      </c>
      <c r="CP929" s="348">
        <f t="shared" si="1522"/>
        <v>26.624339026651</v>
      </c>
      <c r="CQ929" s="346">
        <f t="shared" si="1522"/>
        <v>5.7607435347770011</v>
      </c>
      <c r="CR929" s="346">
        <f t="shared" si="1522"/>
        <v>3.9472671107080002</v>
      </c>
      <c r="CS929" s="346">
        <f t="shared" si="1522"/>
        <v>12.991094179872</v>
      </c>
      <c r="CT929" s="346">
        <f t="shared" si="1522"/>
        <v>7.097023092573</v>
      </c>
      <c r="CU929" s="346">
        <f t="shared" si="1522"/>
        <v>12.102969035651</v>
      </c>
      <c r="CV929" s="346">
        <f t="shared" si="1522"/>
        <v>68.303412766199003</v>
      </c>
      <c r="CW929" s="346">
        <f t="shared" si="1522"/>
        <v>8.4188352186079989</v>
      </c>
      <c r="CX929" s="346">
        <f t="shared" si="1522"/>
        <v>3.7151717103489998</v>
      </c>
      <c r="CY929" s="346">
        <f t="shared" si="1522"/>
        <v>9.2964163726490003</v>
      </c>
      <c r="CZ929" s="346">
        <f t="shared" si="1522"/>
        <v>50.874632982232669</v>
      </c>
      <c r="DA929" s="346">
        <f t="shared" si="1522"/>
        <v>6.3830912553159997</v>
      </c>
      <c r="DB929" s="1479">
        <f t="shared" si="1522"/>
        <v>13.932984784080002</v>
      </c>
      <c r="DC929" s="346">
        <f t="shared" si="1522"/>
        <v>0.42216898336300002</v>
      </c>
      <c r="DD929" s="346">
        <f t="shared" si="1522"/>
        <v>3.7189687297299998</v>
      </c>
      <c r="DE929" s="346">
        <f t="shared" si="1522"/>
        <v>56.569147230663937</v>
      </c>
      <c r="DF929" s="346">
        <f t="shared" si="1522"/>
        <v>16.191702111213541</v>
      </c>
      <c r="DG929" s="346">
        <f t="shared" si="1522"/>
        <v>4.8652677647420006</v>
      </c>
      <c r="DH929" s="346">
        <f t="shared" si="1522"/>
        <v>92.409478866284672</v>
      </c>
      <c r="DI929" s="346">
        <f t="shared" si="1522"/>
        <v>6.7047741122170006</v>
      </c>
      <c r="DJ929" s="346">
        <f t="shared" si="1522"/>
        <v>21.592177564827999</v>
      </c>
      <c r="DK929" s="346">
        <f t="shared" si="1522"/>
        <v>13.796249482406001</v>
      </c>
      <c r="DL929" s="346">
        <f t="shared" si="1522"/>
        <v>13.128120131547998</v>
      </c>
      <c r="DM929" s="346">
        <f t="shared" si="1522"/>
        <v>6.8738819535209998</v>
      </c>
      <c r="DN929" s="348">
        <f t="shared" si="1522"/>
        <v>5.2576456738859996</v>
      </c>
      <c r="DO929" s="346">
        <f t="shared" si="1522"/>
        <v>3.2977253905239996</v>
      </c>
      <c r="DP929" s="346">
        <f t="shared" si="1522"/>
        <v>8.4289872174100005</v>
      </c>
      <c r="DQ929" s="346">
        <f t="shared" si="1522"/>
        <v>38.947821298748593</v>
      </c>
      <c r="DR929" s="346">
        <f t="shared" si="1522"/>
        <v>69.911567446748407</v>
      </c>
      <c r="DS929" s="346">
        <f t="shared" si="1522"/>
        <v>11.369225287213002</v>
      </c>
      <c r="DT929" s="346">
        <f t="shared" si="1522"/>
        <v>95.228024634377917</v>
      </c>
      <c r="DU929" s="346">
        <f t="shared" si="1522"/>
        <v>11.223212818042001</v>
      </c>
      <c r="DV929" s="346">
        <f t="shared" si="1522"/>
        <v>3.1183098931750002</v>
      </c>
      <c r="DW929" s="346">
        <f t="shared" si="1522"/>
        <v>21.614232810366996</v>
      </c>
      <c r="DX929" s="346">
        <f t="shared" si="1522"/>
        <v>21.526583004928</v>
      </c>
      <c r="DY929" s="346">
        <f t="shared" si="1522"/>
        <v>38.739548051481563</v>
      </c>
      <c r="DZ929" s="348">
        <f t="shared" si="1522"/>
        <v>21.164277456465001</v>
      </c>
      <c r="EA929" s="346">
        <f t="shared" si="1522"/>
        <v>9.7045831328230001</v>
      </c>
      <c r="EB929" s="346">
        <f t="shared" si="1522"/>
        <v>31.83445564578</v>
      </c>
      <c r="EC929" s="346">
        <f t="shared" ref="EC929:FP929" si="1523">SUM(EC930:EC935)</f>
        <v>29.649617502337996</v>
      </c>
      <c r="ED929" s="346">
        <f t="shared" si="1523"/>
        <v>20.755101479647003</v>
      </c>
      <c r="EE929" s="346">
        <f t="shared" si="1523"/>
        <v>112.84523325464001</v>
      </c>
      <c r="EF929" s="346">
        <f t="shared" si="1523"/>
        <v>16.683415901944997</v>
      </c>
      <c r="EG929" s="346">
        <f t="shared" si="1523"/>
        <v>56.585149008911998</v>
      </c>
      <c r="EH929" s="346">
        <f t="shared" si="1523"/>
        <v>4.4105177353120002</v>
      </c>
      <c r="EI929" s="346">
        <f t="shared" si="1523"/>
        <v>18.571578294357</v>
      </c>
      <c r="EJ929" s="346">
        <f t="shared" si="1523"/>
        <v>12.140062738398001</v>
      </c>
      <c r="EK929" s="346">
        <f t="shared" si="1523"/>
        <v>39.979994321071999</v>
      </c>
      <c r="EL929" s="348">
        <f t="shared" si="1523"/>
        <v>28.687180347918996</v>
      </c>
      <c r="EM929" s="346">
        <f t="shared" si="1523"/>
        <v>10.477656590839999</v>
      </c>
      <c r="EN929" s="346">
        <f t="shared" si="1523"/>
        <v>2.1647688006760002</v>
      </c>
      <c r="EO929" s="346">
        <f t="shared" si="1523"/>
        <v>15.058106803279999</v>
      </c>
      <c r="EP929" s="346">
        <f t="shared" si="1523"/>
        <v>7.9470246404072729</v>
      </c>
      <c r="EQ929" s="346">
        <f t="shared" si="1523"/>
        <v>15.281142754074001</v>
      </c>
      <c r="ER929" s="346">
        <f t="shared" si="1523"/>
        <v>221.13910890712106</v>
      </c>
      <c r="ES929" s="346">
        <f t="shared" si="1523"/>
        <v>23.575918671628003</v>
      </c>
      <c r="ET929" s="346">
        <f t="shared" si="1523"/>
        <v>16.006098219428999</v>
      </c>
      <c r="EU929" s="346">
        <f t="shared" si="1523"/>
        <v>17.722634921015</v>
      </c>
      <c r="EV929" s="346">
        <f t="shared" si="1523"/>
        <v>20.243834101887</v>
      </c>
      <c r="EW929" s="346">
        <f t="shared" si="1523"/>
        <v>19.614621516160998</v>
      </c>
      <c r="EX929" s="348">
        <f t="shared" si="1523"/>
        <v>107.7460570152754</v>
      </c>
      <c r="EY929" s="346">
        <f t="shared" si="1523"/>
        <v>19.924202328219</v>
      </c>
      <c r="EZ929" s="346">
        <f t="shared" si="1523"/>
        <v>27.841981081697003</v>
      </c>
      <c r="FA929" s="346">
        <f t="shared" si="1523"/>
        <v>31.800043157027002</v>
      </c>
      <c r="FB929" s="346">
        <f t="shared" si="1523"/>
        <v>186.01898445761501</v>
      </c>
      <c r="FC929" s="346">
        <f t="shared" si="1523"/>
        <v>37.658256070921006</v>
      </c>
      <c r="FD929" s="346">
        <f t="shared" si="1523"/>
        <v>148.26050493578799</v>
      </c>
      <c r="FE929" s="346">
        <f t="shared" si="1523"/>
        <v>70.013794180874157</v>
      </c>
      <c r="FF929" s="346">
        <f t="shared" si="1523"/>
        <v>27.553652486590835</v>
      </c>
      <c r="FG929" s="346">
        <f t="shared" si="1523"/>
        <v>23.042271596590833</v>
      </c>
      <c r="FH929" s="346">
        <f t="shared" si="1523"/>
        <v>129.80800154099251</v>
      </c>
      <c r="FI929" s="346">
        <f t="shared" si="1523"/>
        <v>34.267539715367647</v>
      </c>
      <c r="FJ929" s="348">
        <f t="shared" si="1523"/>
        <v>272.73316953238822</v>
      </c>
      <c r="FK929" s="346">
        <f t="shared" si="1523"/>
        <v>171.48715068064644</v>
      </c>
      <c r="FL929" s="346">
        <f t="shared" si="1523"/>
        <v>44.259788753746001</v>
      </c>
      <c r="FM929" s="346">
        <f t="shared" si="1523"/>
        <v>63.437556197943998</v>
      </c>
      <c r="FN929" s="346">
        <f t="shared" si="1523"/>
        <v>32.392566531343526</v>
      </c>
      <c r="FO929" s="346">
        <f t="shared" si="1523"/>
        <v>26.446524668434424</v>
      </c>
      <c r="FP929" s="346">
        <f t="shared" si="1523"/>
        <v>148.57245929395665</v>
      </c>
      <c r="FQ929" s="346">
        <f t="shared" ref="FQ929:FV929" si="1524">SUM(FQ930:FQ935)</f>
        <v>16.024197946205</v>
      </c>
      <c r="FR929" s="346">
        <f t="shared" si="1524"/>
        <v>34.960991666393994</v>
      </c>
      <c r="FS929" s="346">
        <f t="shared" si="1524"/>
        <v>113.14308141233998</v>
      </c>
      <c r="FT929" s="346">
        <f>SUM(FT930:FT935)</f>
        <v>26.793431561212856</v>
      </c>
      <c r="FU929" s="346">
        <f t="shared" si="1524"/>
        <v>8.9790092985810013</v>
      </c>
      <c r="FV929" s="346">
        <f t="shared" si="1524"/>
        <v>47.144922433282922</v>
      </c>
      <c r="FW929" s="346">
        <v>35.901589737339641</v>
      </c>
      <c r="FX929" s="346">
        <v>21.442936379576999</v>
      </c>
      <c r="FY929" s="346">
        <v>33.697982377468996</v>
      </c>
      <c r="FZ929" s="346">
        <v>91.252493335165411</v>
      </c>
      <c r="GA929" s="346">
        <v>76.841729057338796</v>
      </c>
      <c r="GB929" s="346">
        <v>44.204778484999999</v>
      </c>
      <c r="GC929" s="346">
        <v>11.7286206214735</v>
      </c>
      <c r="GD929" s="346">
        <v>20.862679986603997</v>
      </c>
      <c r="GE929" s="346">
        <v>102.84079293456421</v>
      </c>
      <c r="GF929" s="346">
        <v>41.973330862397603</v>
      </c>
      <c r="GG929" s="346">
        <v>48.2487896959002</v>
      </c>
      <c r="GH929" s="346">
        <v>100.75207144440628</v>
      </c>
      <c r="GI929" s="1897">
        <f>GI930+GI935</f>
        <v>23.972964942614066</v>
      </c>
      <c r="GJ929" s="1897">
        <f t="shared" ref="GJ929:HL929" si="1525">GJ930+GJ935</f>
        <v>14.888660368232877</v>
      </c>
      <c r="GK929" s="1897">
        <f t="shared" si="1525"/>
        <v>82.647879174370004</v>
      </c>
      <c r="GL929" s="1897">
        <f t="shared" si="1525"/>
        <v>31.204653108157924</v>
      </c>
      <c r="GM929" s="1897">
        <f t="shared" si="1525"/>
        <v>13.105693843020003</v>
      </c>
      <c r="GN929" s="1897">
        <f t="shared" si="1525"/>
        <v>48.32014107926291</v>
      </c>
      <c r="GO929" s="1897">
        <f t="shared" si="1525"/>
        <v>33.585667412775003</v>
      </c>
      <c r="GP929" s="1897">
        <f t="shared" si="1525"/>
        <v>32.288064439738001</v>
      </c>
      <c r="GQ929" s="1897">
        <f t="shared" si="1525"/>
        <v>464.52156085378681</v>
      </c>
      <c r="GR929" s="1897">
        <f t="shared" si="1525"/>
        <v>18.009931112640992</v>
      </c>
      <c r="GS929" s="1897">
        <f t="shared" si="1525"/>
        <v>23.205993021143005</v>
      </c>
      <c r="GT929" s="1897">
        <f t="shared" si="1525"/>
        <v>176.08743218756325</v>
      </c>
      <c r="GU929" s="1897">
        <f t="shared" si="1525"/>
        <v>31.910406423130212</v>
      </c>
      <c r="GV929" s="1897">
        <f t="shared" si="1525"/>
        <v>45.760312841547105</v>
      </c>
      <c r="GW929" s="1897">
        <f t="shared" si="1525"/>
        <v>49.829994886929001</v>
      </c>
      <c r="GX929" s="1897">
        <f t="shared" si="1525"/>
        <v>39.515026511001999</v>
      </c>
      <c r="GY929" s="1897">
        <f t="shared" si="1525"/>
        <v>66.984583489333005</v>
      </c>
      <c r="GZ929" s="1897">
        <f t="shared" si="1525"/>
        <v>393.72024007306715</v>
      </c>
      <c r="HA929" s="1897">
        <f t="shared" si="1525"/>
        <v>31.435793520262003</v>
      </c>
      <c r="HB929" s="1897">
        <f t="shared" si="1525"/>
        <v>21.236010936550997</v>
      </c>
      <c r="HC929" s="1897">
        <f t="shared" si="1525"/>
        <v>97.194849606942</v>
      </c>
      <c r="HD929" s="1897">
        <f t="shared" si="1525"/>
        <v>97.880741221386671</v>
      </c>
      <c r="HE929" s="1897">
        <f t="shared" si="1525"/>
        <v>140.28481973634678</v>
      </c>
      <c r="HF929" s="1897">
        <f t="shared" si="1525"/>
        <v>416.20358796714766</v>
      </c>
      <c r="HG929" s="1897">
        <f t="shared" si="1525"/>
        <v>46.240074034787</v>
      </c>
      <c r="HH929" s="1897">
        <f t="shared" si="1525"/>
        <v>18.851928557981999</v>
      </c>
      <c r="HI929" s="1897">
        <f t="shared" si="1525"/>
        <v>66.773321375757007</v>
      </c>
      <c r="HJ929" s="1897">
        <f t="shared" si="1525"/>
        <v>58.791450083427002</v>
      </c>
      <c r="HK929" s="1897">
        <f t="shared" si="1525"/>
        <v>89.639750179413028</v>
      </c>
      <c r="HL929" s="1897">
        <f t="shared" si="1525"/>
        <v>831.1080071141364</v>
      </c>
      <c r="HM929" s="1897"/>
      <c r="HN929" s="349"/>
      <c r="HO929" s="358" t="s">
        <v>610</v>
      </c>
      <c r="HP929" s="307">
        <f>SUM(CE929:CJ929)</f>
        <v>31.12810837</v>
      </c>
      <c r="HQ929" s="302">
        <f>SUM(CK929:CP929)</f>
        <v>85.06743217391201</v>
      </c>
      <c r="HR929" s="346">
        <f>HP929+HQ929</f>
        <v>116.19554054391202</v>
      </c>
      <c r="HS929" s="302">
        <f>SUM(CQ929:CV929)</f>
        <v>110.20250971978001</v>
      </c>
      <c r="HT929" s="302">
        <f>SUM(CW929:DB929)</f>
        <v>92.621132323234676</v>
      </c>
      <c r="HU929" s="346">
        <f>HS929+HT929</f>
        <v>202.82364204301467</v>
      </c>
      <c r="HV929" s="307">
        <f>SUM(DC929:DH929)</f>
        <v>174.17673368599714</v>
      </c>
      <c r="HW929" s="302">
        <f>SUM(DI929:DN929)</f>
        <v>67.352848918405996</v>
      </c>
      <c r="HX929" s="346">
        <f>HV929+HW929</f>
        <v>241.52958260440312</v>
      </c>
      <c r="HY929" s="350">
        <f>SUM(DO929:DT929)</f>
        <v>227.18335127502195</v>
      </c>
      <c r="HZ929" s="302">
        <f>SUM(DU929:DZ929)</f>
        <v>117.38616403445856</v>
      </c>
      <c r="IA929" s="346">
        <f>HY929+HZ929</f>
        <v>344.56951530948049</v>
      </c>
      <c r="IB929" s="302">
        <f>SUM(EA929:EF929)</f>
        <v>221.47240691717303</v>
      </c>
      <c r="IC929" s="302">
        <f>SUM(EG929:EL929)</f>
        <v>160.37448244596999</v>
      </c>
      <c r="ID929" s="346">
        <f>IB929+IC929</f>
        <v>381.84688936314302</v>
      </c>
      <c r="IE929" s="350">
        <f>SUM(EM929:ER929)</f>
        <v>272.06780849639836</v>
      </c>
      <c r="IF929" s="350">
        <f>SUM(ES929:EX929)</f>
        <v>204.90916444539539</v>
      </c>
      <c r="IG929" s="346">
        <f>IE929+IF929</f>
        <v>476.97697294179375</v>
      </c>
      <c r="IH929" s="350">
        <f>SUM(EY929:FD929)</f>
        <v>451.50397203126704</v>
      </c>
      <c r="II929" s="350">
        <f>SUM(FE929:FJ929)</f>
        <v>557.41842905280419</v>
      </c>
      <c r="IJ929" s="346">
        <f>IH929+II929</f>
        <v>1008.9224010840712</v>
      </c>
      <c r="IK929" s="350">
        <f>SUM(FK929:FP929)</f>
        <v>486.59604612607109</v>
      </c>
      <c r="IL929" s="350">
        <f t="shared" si="1512"/>
        <v>247.04563431801574</v>
      </c>
      <c r="IM929" s="346">
        <f t="shared" si="1430"/>
        <v>733.64168044408689</v>
      </c>
      <c r="IN929" s="350">
        <f t="shared" si="1495"/>
        <v>303.34150937188986</v>
      </c>
      <c r="IO929" s="350">
        <f t="shared" si="1496"/>
        <v>326.40628554534578</v>
      </c>
      <c r="IP929" s="346">
        <f t="shared" si="1443"/>
        <v>629.74779491723564</v>
      </c>
      <c r="IQ929" s="350">
        <f t="shared" si="1497"/>
        <v>214.13999251565775</v>
      </c>
      <c r="IR929" s="350">
        <f t="shared" si="1498"/>
        <v>747.69864902764721</v>
      </c>
      <c r="IS929" s="346">
        <f t="shared" si="1513"/>
        <v>961.8386415433049</v>
      </c>
      <c r="IT929" s="350">
        <f>IT930+IT935</f>
        <v>627.7205642250085</v>
      </c>
      <c r="IU929" s="350">
        <f>IU930+IU935</f>
        <v>804.23580298863612</v>
      </c>
      <c r="IV929" s="346">
        <f t="shared" si="1511"/>
        <v>1431.9563672136446</v>
      </c>
      <c r="IW929" s="350">
        <f t="shared" si="1520"/>
        <v>1111.4045313455024</v>
      </c>
      <c r="IX929" s="350">
        <f t="shared" si="1514"/>
        <v>361.34637895947321</v>
      </c>
      <c r="IY929" s="346">
        <f>FISC!AJ1248</f>
        <v>1472.7509103049756</v>
      </c>
      <c r="IZ929" s="1627">
        <f>IZ930+IZ935</f>
        <v>1598.005596340166</v>
      </c>
      <c r="JA929" s="350">
        <f>JB929-IZ929</f>
        <v>553.84918070003278</v>
      </c>
      <c r="JB929" s="346">
        <f>FISC!AK1248</f>
        <v>2151.8547770401988</v>
      </c>
      <c r="JC929" s="1627">
        <f>JC930+JC935</f>
        <v>1381.3308276047744</v>
      </c>
      <c r="JD929" s="350">
        <f>JE929-JC929</f>
        <v>737.5650499058986</v>
      </c>
      <c r="JE929" s="346">
        <f>FISC!AL1248</f>
        <v>2118.895877510673</v>
      </c>
      <c r="JF929" s="1627">
        <f>JF930+JF935</f>
        <v>1055.8021186277633</v>
      </c>
      <c r="JG929" s="350">
        <f>JH929-JF929</f>
        <v>533.58616244998166</v>
      </c>
      <c r="JH929" s="346">
        <f>FISC!AM1248</f>
        <v>1589.388281077745</v>
      </c>
      <c r="JI929" s="1627">
        <f>JI930+JI935</f>
        <v>1014.4501179115673</v>
      </c>
      <c r="JJ929" s="350">
        <f>JK929-JI929</f>
        <v>546.21594075520352</v>
      </c>
      <c r="JK929" s="346">
        <f>FISC!AN1248</f>
        <v>1560.6660586667708</v>
      </c>
      <c r="JL929" s="1627">
        <f>JL930+JL935</f>
        <v>753.65170203310254</v>
      </c>
      <c r="JM929" s="1627">
        <f>JM930+JM935</f>
        <v>584.70513850665725</v>
      </c>
      <c r="JN929" s="346">
        <f>FISC!AO1248</f>
        <v>1338.3568405397598</v>
      </c>
      <c r="KI929" s="349"/>
      <c r="KJ929" s="350"/>
      <c r="KM929" s="302">
        <f>SUM(KM930:KM935)</f>
        <v>0</v>
      </c>
      <c r="KN929" s="302">
        <f>SUM(KN930:KN935)</f>
        <v>0</v>
      </c>
      <c r="KO929" s="302">
        <f>SUM(KO930:KO935)</f>
        <v>0</v>
      </c>
      <c r="KP929" s="302">
        <f>SUM(KP930:KP935)</f>
        <v>0</v>
      </c>
    </row>
    <row r="930" spans="1:302" hidden="1" outlineLevel="1">
      <c r="A930" s="302"/>
      <c r="B930" s="117" t="s">
        <v>361</v>
      </c>
      <c r="D930" s="360" t="s">
        <v>538</v>
      </c>
      <c r="E930" s="346"/>
      <c r="F930" s="346"/>
      <c r="G930" s="346"/>
      <c r="H930" s="346"/>
      <c r="I930" s="346"/>
      <c r="J930" s="346"/>
      <c r="K930" s="346"/>
      <c r="L930" s="346"/>
      <c r="M930" s="346"/>
      <c r="N930" s="346"/>
      <c r="O930" s="346"/>
      <c r="P930" s="346"/>
      <c r="Q930" s="346"/>
      <c r="R930" s="346"/>
      <c r="S930" s="346"/>
      <c r="T930" s="346"/>
      <c r="U930" s="346"/>
      <c r="V930" s="346"/>
      <c r="W930" s="346"/>
      <c r="X930" s="346"/>
      <c r="Y930" s="346"/>
      <c r="Z930" s="346"/>
      <c r="AA930" s="346"/>
      <c r="AB930" s="346"/>
      <c r="AC930" s="346"/>
      <c r="AD930" s="346"/>
      <c r="AE930" s="346"/>
      <c r="AF930" s="346"/>
      <c r="AG930" s="346"/>
      <c r="AH930" s="346"/>
      <c r="AI930" s="346"/>
      <c r="AJ930" s="346"/>
      <c r="AK930" s="346"/>
      <c r="AL930" s="346"/>
      <c r="AM930" s="346"/>
      <c r="AN930" s="346"/>
      <c r="AO930" s="346"/>
      <c r="AP930" s="346"/>
      <c r="AQ930" s="346"/>
      <c r="AR930" s="346"/>
      <c r="AS930" s="346"/>
      <c r="AT930" s="346"/>
      <c r="AU930" s="346"/>
      <c r="AV930" s="346"/>
      <c r="AW930" s="346"/>
      <c r="AX930" s="346"/>
      <c r="AY930" s="346"/>
      <c r="AZ930" s="346"/>
      <c r="BA930" s="346"/>
      <c r="BB930" s="346"/>
      <c r="BC930" s="346"/>
      <c r="BD930" s="346"/>
      <c r="BE930" s="346"/>
      <c r="BF930" s="346"/>
      <c r="BG930" s="346"/>
      <c r="BH930" s="346"/>
      <c r="BI930" s="346"/>
      <c r="BJ930" s="346"/>
      <c r="BK930" s="346"/>
      <c r="BL930" s="346"/>
      <c r="BM930" s="346"/>
      <c r="BN930" s="346"/>
      <c r="BO930" s="346"/>
      <c r="BP930" s="346"/>
      <c r="BQ930" s="346"/>
      <c r="BR930" s="346"/>
      <c r="BS930" s="346"/>
      <c r="BT930" s="346"/>
      <c r="BU930" s="346"/>
      <c r="BV930" s="346"/>
      <c r="BW930" s="346"/>
      <c r="BX930" s="346"/>
      <c r="BY930" s="346"/>
      <c r="BZ930" s="346"/>
      <c r="CA930" s="346"/>
      <c r="CB930" s="346"/>
      <c r="CC930" s="346"/>
      <c r="CD930" s="352"/>
      <c r="CE930" s="346">
        <v>0</v>
      </c>
      <c r="CF930" s="346">
        <v>0</v>
      </c>
      <c r="CG930" s="346">
        <v>0</v>
      </c>
      <c r="CH930" s="346">
        <v>0</v>
      </c>
      <c r="CI930" s="346">
        <v>0</v>
      </c>
      <c r="CJ930" s="346">
        <v>0</v>
      </c>
      <c r="CK930" s="346">
        <v>0</v>
      </c>
      <c r="CL930" s="346">
        <v>0</v>
      </c>
      <c r="CM930" s="346">
        <v>0</v>
      </c>
      <c r="CN930" s="346">
        <v>0</v>
      </c>
      <c r="CO930" s="346">
        <v>31.631566856500001</v>
      </c>
      <c r="CP930" s="348">
        <v>17.854694282301999</v>
      </c>
      <c r="CQ930" s="346">
        <f t="shared" ref="CQ930:DV930" si="1526">CQ29</f>
        <v>0</v>
      </c>
      <c r="CR930" s="346">
        <f t="shared" si="1526"/>
        <v>0</v>
      </c>
      <c r="CS930" s="346">
        <f t="shared" si="1526"/>
        <v>0</v>
      </c>
      <c r="CT930" s="346">
        <f t="shared" si="1526"/>
        <v>0</v>
      </c>
      <c r="CU930" s="346">
        <f t="shared" si="1526"/>
        <v>0</v>
      </c>
      <c r="CV930" s="346">
        <f t="shared" si="1526"/>
        <v>56.682335553289001</v>
      </c>
      <c r="CW930" s="346">
        <f t="shared" si="1526"/>
        <v>0</v>
      </c>
      <c r="CX930" s="346">
        <f t="shared" si="1526"/>
        <v>0</v>
      </c>
      <c r="CY930" s="346">
        <f t="shared" si="1526"/>
        <v>0</v>
      </c>
      <c r="CZ930" s="346">
        <f t="shared" si="1526"/>
        <v>46.908105421953671</v>
      </c>
      <c r="DA930" s="346">
        <f t="shared" si="1526"/>
        <v>0</v>
      </c>
      <c r="DB930" s="1479">
        <f t="shared" si="1526"/>
        <v>0</v>
      </c>
      <c r="DC930" s="346">
        <f t="shared" si="1526"/>
        <v>0</v>
      </c>
      <c r="DD930" s="346">
        <f t="shared" si="1526"/>
        <v>0</v>
      </c>
      <c r="DE930" s="346">
        <f t="shared" si="1526"/>
        <v>44.87491947503694</v>
      </c>
      <c r="DF930" s="346">
        <f t="shared" si="1526"/>
        <v>7.6787741383385413</v>
      </c>
      <c r="DG930" s="346">
        <f t="shared" si="1526"/>
        <v>0</v>
      </c>
      <c r="DH930" s="346">
        <f t="shared" si="1526"/>
        <v>70.05920556739467</v>
      </c>
      <c r="DI930" s="346">
        <f t="shared" si="1526"/>
        <v>0</v>
      </c>
      <c r="DJ930" s="346">
        <f t="shared" si="1526"/>
        <v>16.048668081999999</v>
      </c>
      <c r="DK930" s="346">
        <f t="shared" si="1526"/>
        <v>0</v>
      </c>
      <c r="DL930" s="346">
        <f t="shared" si="1526"/>
        <v>0</v>
      </c>
      <c r="DM930" s="346">
        <f t="shared" si="1526"/>
        <v>0</v>
      </c>
      <c r="DN930" s="348">
        <f t="shared" si="1526"/>
        <v>0</v>
      </c>
      <c r="DO930" s="346">
        <f t="shared" si="1526"/>
        <v>0</v>
      </c>
      <c r="DP930" s="346">
        <f t="shared" si="1526"/>
        <v>0</v>
      </c>
      <c r="DQ930" s="346">
        <f t="shared" si="1526"/>
        <v>19.271476517449592</v>
      </c>
      <c r="DR930" s="346">
        <f t="shared" si="1526"/>
        <v>63.686505457646405</v>
      </c>
      <c r="DS930" s="346">
        <f t="shared" si="1526"/>
        <v>0</v>
      </c>
      <c r="DT930" s="346">
        <f t="shared" si="1526"/>
        <v>74.902879725146917</v>
      </c>
      <c r="DU930" s="346">
        <f t="shared" si="1526"/>
        <v>0</v>
      </c>
      <c r="DV930" s="346">
        <f t="shared" si="1526"/>
        <v>0</v>
      </c>
      <c r="DW930" s="346">
        <f t="shared" ref="DW930:FB930" si="1527">DW29</f>
        <v>0</v>
      </c>
      <c r="DX930" s="346">
        <f t="shared" si="1527"/>
        <v>0</v>
      </c>
      <c r="DY930" s="346">
        <f t="shared" si="1527"/>
        <v>25.959476439408562</v>
      </c>
      <c r="DZ930" s="348">
        <f t="shared" si="1527"/>
        <v>0</v>
      </c>
      <c r="EA930" s="346">
        <f t="shared" si="1527"/>
        <v>0</v>
      </c>
      <c r="EB930" s="346">
        <f t="shared" si="1527"/>
        <v>17.655663775983001</v>
      </c>
      <c r="EC930" s="346">
        <f t="shared" si="1527"/>
        <v>25.542790115999999</v>
      </c>
      <c r="ED930" s="346">
        <f t="shared" si="1527"/>
        <v>6.2556475300000001</v>
      </c>
      <c r="EE930" s="346">
        <f t="shared" si="1527"/>
        <v>104.77629606000001</v>
      </c>
      <c r="EF930" s="346">
        <f t="shared" si="1527"/>
        <v>0</v>
      </c>
      <c r="EG930" s="346">
        <f t="shared" si="1527"/>
        <v>36.409625616</v>
      </c>
      <c r="EH930" s="346">
        <f t="shared" si="1527"/>
        <v>0</v>
      </c>
      <c r="EI930" s="346">
        <f t="shared" si="1527"/>
        <v>0</v>
      </c>
      <c r="EJ930" s="346">
        <f t="shared" si="1527"/>
        <v>0</v>
      </c>
      <c r="EK930" s="346">
        <f t="shared" si="1527"/>
        <v>20.856450759000001</v>
      </c>
      <c r="EL930" s="348">
        <f t="shared" si="1527"/>
        <v>0</v>
      </c>
      <c r="EM930" s="346">
        <f t="shared" si="1527"/>
        <v>0</v>
      </c>
      <c r="EN930" s="346">
        <f t="shared" si="1527"/>
        <v>0</v>
      </c>
      <c r="EO930" s="346">
        <f t="shared" si="1527"/>
        <v>0</v>
      </c>
      <c r="EP930" s="346">
        <f t="shared" si="1527"/>
        <v>4.4390382572712728</v>
      </c>
      <c r="EQ930" s="346">
        <f t="shared" si="1527"/>
        <v>0</v>
      </c>
      <c r="ER930" s="346">
        <f t="shared" si="1527"/>
        <v>194.16733567142407</v>
      </c>
      <c r="ES930" s="346">
        <f t="shared" si="1527"/>
        <v>0</v>
      </c>
      <c r="ET930" s="346">
        <f t="shared" si="1527"/>
        <v>0</v>
      </c>
      <c r="EU930" s="346">
        <f t="shared" si="1527"/>
        <v>0</v>
      </c>
      <c r="EV930" s="346">
        <f t="shared" si="1527"/>
        <v>5.3858014281060003</v>
      </c>
      <c r="EW930" s="346">
        <f t="shared" si="1527"/>
        <v>0</v>
      </c>
      <c r="EX930" s="348">
        <f t="shared" si="1527"/>
        <v>58.056333345380395</v>
      </c>
      <c r="EY930" s="346">
        <f t="shared" si="1527"/>
        <v>0</v>
      </c>
      <c r="EZ930" s="346">
        <f t="shared" si="1527"/>
        <v>0</v>
      </c>
      <c r="FA930" s="346">
        <f t="shared" si="1527"/>
        <v>21.862293567408003</v>
      </c>
      <c r="FB930" s="346">
        <f t="shared" si="1527"/>
        <v>168.37595167678001</v>
      </c>
      <c r="FC930" s="346">
        <f t="shared" ref="FC930:FV930" si="1528">FC29</f>
        <v>12.978702141386998</v>
      </c>
      <c r="FD930" s="346">
        <f t="shared" si="1528"/>
        <v>111.34618143695599</v>
      </c>
      <c r="FE930" s="346">
        <f t="shared" si="1528"/>
        <v>46.971522584283328</v>
      </c>
      <c r="FF930" s="346">
        <f t="shared" si="1528"/>
        <v>4.5113808899999999</v>
      </c>
      <c r="FG930" s="346">
        <f t="shared" si="1528"/>
        <v>0</v>
      </c>
      <c r="FH930" s="346">
        <f t="shared" si="1528"/>
        <v>102.50687064179</v>
      </c>
      <c r="FI930" s="346">
        <f t="shared" si="1528"/>
        <v>6.9664088161651447</v>
      </c>
      <c r="FJ930" s="348">
        <f t="shared" si="1528"/>
        <v>245.4320386331857</v>
      </c>
      <c r="FK930" s="346">
        <f t="shared" si="1528"/>
        <v>53.911287541610434</v>
      </c>
      <c r="FL930" s="346">
        <f t="shared" si="1528"/>
        <v>0</v>
      </c>
      <c r="FM930" s="346">
        <f t="shared" si="1528"/>
        <v>44.669390200000002</v>
      </c>
      <c r="FN930" s="346">
        <f t="shared" si="1528"/>
        <v>19.46088985149353</v>
      </c>
      <c r="FO930" s="346">
        <f t="shared" si="1528"/>
        <v>0.94926956868242574</v>
      </c>
      <c r="FP930" s="346">
        <f t="shared" si="1528"/>
        <v>120.85648703055867</v>
      </c>
      <c r="FQ930" s="346">
        <f t="shared" si="1528"/>
        <v>0</v>
      </c>
      <c r="FR930" s="346">
        <f t="shared" si="1528"/>
        <v>21.210518928999999</v>
      </c>
      <c r="FS930" s="346">
        <f t="shared" si="1528"/>
        <v>77.391814847999996</v>
      </c>
      <c r="FT930" s="346">
        <f t="shared" si="1528"/>
        <v>0.7073382329598551</v>
      </c>
      <c r="FU930" s="346">
        <f t="shared" si="1528"/>
        <v>0</v>
      </c>
      <c r="FV930" s="346">
        <f t="shared" si="1528"/>
        <v>3.9146463928729198</v>
      </c>
      <c r="FW930" s="346">
        <v>3.9260314720886353</v>
      </c>
      <c r="FX930" s="346">
        <v>0</v>
      </c>
      <c r="FY930" s="346">
        <v>0</v>
      </c>
      <c r="FZ930" s="346">
        <v>26.227729108165409</v>
      </c>
      <c r="GA930" s="346">
        <v>45.826820963338797</v>
      </c>
      <c r="GB930" s="346">
        <v>0</v>
      </c>
      <c r="GC930" s="346">
        <v>8.2987895138364998</v>
      </c>
      <c r="GD930" s="346">
        <v>0</v>
      </c>
      <c r="GE930" s="346">
        <v>84.835333233058208</v>
      </c>
      <c r="GF930" s="346">
        <v>20.432612662744599</v>
      </c>
      <c r="GG930" s="346">
        <v>21.985868334907199</v>
      </c>
      <c r="GH930" s="346">
        <v>6.559023474406283</v>
      </c>
      <c r="GI930" s="1897">
        <v>2.8832750126240643</v>
      </c>
      <c r="GJ930" s="1897">
        <v>2.8412265226028754</v>
      </c>
      <c r="GK930" s="1897">
        <v>0</v>
      </c>
      <c r="GL930" s="1901">
        <v>2.5117047327779196</v>
      </c>
      <c r="GM930" s="1901">
        <v>0</v>
      </c>
      <c r="GN930" s="1897">
        <v>0.78372078753291408</v>
      </c>
      <c r="GO930" s="1897">
        <v>0.9753833970000001</v>
      </c>
      <c r="GP930" s="1897">
        <v>0</v>
      </c>
      <c r="GQ930" s="1897">
        <v>396.95168831449183</v>
      </c>
      <c r="GR930" s="1897">
        <v>0</v>
      </c>
      <c r="GS930" s="1897">
        <v>0</v>
      </c>
      <c r="GT930" s="1897">
        <v>128.41990886301025</v>
      </c>
      <c r="GU930" s="1897">
        <v>9.9998771468992107</v>
      </c>
      <c r="GV930" s="1897">
        <v>3.5625632239400997</v>
      </c>
      <c r="GW930" s="1897">
        <v>0</v>
      </c>
      <c r="GX930" s="1897">
        <v>0</v>
      </c>
      <c r="GY930" s="1897">
        <v>0</v>
      </c>
      <c r="GZ930" s="1897">
        <v>293.46829974723317</v>
      </c>
      <c r="HA930" s="1897">
        <v>0</v>
      </c>
      <c r="HB930" s="1897">
        <v>0</v>
      </c>
      <c r="HC930" s="1897">
        <v>17.561267907005</v>
      </c>
      <c r="HD930" s="1897">
        <v>57.371491955052676</v>
      </c>
      <c r="HE930" s="1897">
        <v>122.01017142208079</v>
      </c>
      <c r="HF930" s="1897">
        <v>287.97091081508466</v>
      </c>
      <c r="HG930" s="1897">
        <v>0</v>
      </c>
      <c r="HH930" s="1897">
        <v>0</v>
      </c>
      <c r="HI930" s="1897">
        <v>0</v>
      </c>
      <c r="HJ930" s="1897">
        <v>0</v>
      </c>
      <c r="HK930" s="1897">
        <v>48.329770787971036</v>
      </c>
      <c r="HL930" s="1897">
        <v>705.1206443458633</v>
      </c>
      <c r="HM930" s="1897"/>
      <c r="HN930" s="349"/>
      <c r="HO930" s="360" t="s">
        <v>538</v>
      </c>
      <c r="HP930" s="307">
        <f>SUM(CE930:CJ930)</f>
        <v>0</v>
      </c>
      <c r="HQ930" s="302">
        <f>SUM(CK930:CP930)</f>
        <v>49.486261138802</v>
      </c>
      <c r="HR930" s="346">
        <f>HP930+HQ930</f>
        <v>49.486261138802</v>
      </c>
      <c r="HS930" s="302">
        <f>SUM(CQ930:CV930)</f>
        <v>56.682335553289001</v>
      </c>
      <c r="HT930" s="302">
        <f>SUM(CW930:DB930)</f>
        <v>46.908105421953671</v>
      </c>
      <c r="HU930" s="346">
        <f>HS930+HT930</f>
        <v>103.59044097524267</v>
      </c>
      <c r="HV930" s="307">
        <f>SUM(DC930:DH930)</f>
        <v>122.61289918077014</v>
      </c>
      <c r="HW930" s="302">
        <f>SUM(DI930:DN930)</f>
        <v>16.048668081999999</v>
      </c>
      <c r="HX930" s="346">
        <f>HV930+HW930</f>
        <v>138.66156726277015</v>
      </c>
      <c r="HY930" s="350">
        <f>SUM(DO930:DT930)</f>
        <v>157.86086170024294</v>
      </c>
      <c r="HZ930" s="302">
        <f>SUM(DU930:DZ930)</f>
        <v>25.959476439408562</v>
      </c>
      <c r="IA930" s="346">
        <f>HY930+HZ930</f>
        <v>183.82033813965148</v>
      </c>
      <c r="IB930" s="302">
        <f>SUM(EA930:EF930)</f>
        <v>154.230397481983</v>
      </c>
      <c r="IC930" s="302">
        <f>SUM(EG930:EL930)</f>
        <v>57.266076374999997</v>
      </c>
      <c r="ID930" s="346">
        <f>IB930+IC930</f>
        <v>211.49647385698302</v>
      </c>
      <c r="IE930" s="350">
        <f>SUM(EM930:ER930)</f>
        <v>198.60637392869535</v>
      </c>
      <c r="IF930" s="350">
        <f>SUM(ES930:EX930)</f>
        <v>63.442134773486394</v>
      </c>
      <c r="IG930" s="346">
        <f>IE930+IF930</f>
        <v>262.04850870218172</v>
      </c>
      <c r="IH930" s="350">
        <f>SUM(EY930:FD930)</f>
        <v>314.56312882253098</v>
      </c>
      <c r="II930" s="350">
        <f>SUM(FE930:FJ930)</f>
        <v>406.38822156542415</v>
      </c>
      <c r="IJ930" s="346">
        <f>IH930+II930</f>
        <v>720.95135038795513</v>
      </c>
      <c r="IK930" s="350">
        <f>SUM(FK930:FP930)</f>
        <v>239.84732419234507</v>
      </c>
      <c r="IL930" s="350">
        <f t="shared" si="1512"/>
        <v>103.22431840283278</v>
      </c>
      <c r="IM930" s="346">
        <f t="shared" si="1430"/>
        <v>343.07164259517788</v>
      </c>
      <c r="IN930" s="350">
        <f t="shared" si="1495"/>
        <v>75.980581543592848</v>
      </c>
      <c r="IO930" s="350">
        <f t="shared" si="1496"/>
        <v>142.11162721895278</v>
      </c>
      <c r="IP930" s="346">
        <f t="shared" si="1443"/>
        <v>218.09220876254562</v>
      </c>
      <c r="IQ930" s="350">
        <f t="shared" si="1497"/>
        <v>9.0199270555377744</v>
      </c>
      <c r="IR930" s="350">
        <f t="shared" si="1498"/>
        <v>526.34698057450203</v>
      </c>
      <c r="IS930" s="346">
        <f t="shared" si="1513"/>
        <v>535.3669076300398</v>
      </c>
      <c r="IT930" s="350">
        <f>SUM(GU930:GZ930)</f>
        <v>307.03074011807246</v>
      </c>
      <c r="IU930" s="350">
        <f t="shared" ref="IU930:IU933" si="1529">SUM(HA930:HF930)</f>
        <v>484.91384209922313</v>
      </c>
      <c r="IV930" s="346">
        <f t="shared" si="1511"/>
        <v>791.94458221729565</v>
      </c>
      <c r="IW930" s="350">
        <f t="shared" si="1520"/>
        <v>753.45041513383433</v>
      </c>
      <c r="IX930" s="350">
        <f t="shared" si="1514"/>
        <v>110.6258722353748</v>
      </c>
      <c r="IY930" s="346">
        <f>FISC!AJ1249</f>
        <v>864.07628736920913</v>
      </c>
      <c r="IZ930" s="350">
        <f>FISC!AJ72*FISC!AK253/1000+IZ933</f>
        <v>1282.5677261226106</v>
      </c>
      <c r="JA930" s="350">
        <f>FISC!AK65*FISC!AK253/1000+JA933</f>
        <v>246.96987924347326</v>
      </c>
      <c r="JB930" s="346">
        <f>FISC!AK1249</f>
        <v>1529.5376053660839</v>
      </c>
      <c r="JC930" s="350">
        <f>FISC!AK72*FISC!AL253/1000+JC933</f>
        <v>1059.7487452132382</v>
      </c>
      <c r="JD930" s="350">
        <f>FISC!AL65*FISC!AL253/1000+JD933</f>
        <v>368.04338904242871</v>
      </c>
      <c r="JE930" s="346">
        <f>FISC!AL1249</f>
        <v>1427.792134255667</v>
      </c>
      <c r="JF930" s="302">
        <f>FISC!AL72*FISC!AM253/1000+JF933</f>
        <v>678.4260880508773</v>
      </c>
      <c r="JG930" s="302">
        <f>FISC!AM65*FISC!AM253/1000+JG933</f>
        <v>153.05935199293296</v>
      </c>
      <c r="JH930" s="346">
        <f>FISC!AM1249</f>
        <v>831.48544004381017</v>
      </c>
      <c r="JI930" s="302">
        <f>FISC!AM72*FISC!AN253/1000+JI933</f>
        <v>568.97457557380312</v>
      </c>
      <c r="JJ930" s="302">
        <f>FISC!AN65*FISC!AN253/1000+JJ933</f>
        <v>124.79753269486197</v>
      </c>
      <c r="JK930" s="346">
        <f>FISC!AN1249</f>
        <v>693.77210826866508</v>
      </c>
      <c r="JL930" s="302">
        <f>FISC!AN72*FISC!AO253/1000+JL933</f>
        <v>284.04179183921281</v>
      </c>
      <c r="JM930" s="302">
        <f>FISC!AO65*FISC!AO253/1000+JM933</f>
        <v>75.613964529135089</v>
      </c>
      <c r="JN930" s="346">
        <f>FISC!AO1249</f>
        <v>359.65575636834785</v>
      </c>
      <c r="KI930" s="349"/>
      <c r="KJ930" s="350"/>
    </row>
    <row r="931" spans="1:302" hidden="1" outlineLevel="1">
      <c r="A931" s="302"/>
      <c r="D931" s="1606" t="s">
        <v>3791</v>
      </c>
      <c r="E931" s="346"/>
      <c r="F931" s="346"/>
      <c r="G931" s="346"/>
      <c r="H931" s="346"/>
      <c r="I931" s="346"/>
      <c r="J931" s="346"/>
      <c r="K931" s="346"/>
      <c r="L931" s="346"/>
      <c r="M931" s="346"/>
      <c r="N931" s="346"/>
      <c r="O931" s="346"/>
      <c r="P931" s="346"/>
      <c r="Q931" s="346"/>
      <c r="R931" s="346"/>
      <c r="S931" s="346"/>
      <c r="T931" s="346"/>
      <c r="U931" s="346"/>
      <c r="V931" s="346"/>
      <c r="W931" s="346"/>
      <c r="X931" s="346"/>
      <c r="Y931" s="346"/>
      <c r="Z931" s="346"/>
      <c r="AA931" s="346"/>
      <c r="AB931" s="346"/>
      <c r="AC931" s="346"/>
      <c r="AD931" s="346"/>
      <c r="AE931" s="346"/>
      <c r="AF931" s="346"/>
      <c r="AG931" s="346"/>
      <c r="AH931" s="346"/>
      <c r="AI931" s="346"/>
      <c r="AJ931" s="346"/>
      <c r="AK931" s="346"/>
      <c r="AL931" s="346"/>
      <c r="AM931" s="346"/>
      <c r="AN931" s="346"/>
      <c r="AO931" s="346"/>
      <c r="AP931" s="346"/>
      <c r="AQ931" s="346"/>
      <c r="AR931" s="346"/>
      <c r="AS931" s="346"/>
      <c r="AT931" s="346"/>
      <c r="AU931" s="346"/>
      <c r="AV931" s="346"/>
      <c r="AW931" s="346"/>
      <c r="AX931" s="346"/>
      <c r="AY931" s="346"/>
      <c r="AZ931" s="346"/>
      <c r="BA931" s="346"/>
      <c r="BB931" s="346"/>
      <c r="BC931" s="346"/>
      <c r="BD931" s="346"/>
      <c r="BE931" s="346"/>
      <c r="BF931" s="346"/>
      <c r="BG931" s="346"/>
      <c r="BH931" s="346"/>
      <c r="BI931" s="346"/>
      <c r="BJ931" s="346"/>
      <c r="BK931" s="346"/>
      <c r="BL931" s="346"/>
      <c r="BM931" s="346"/>
      <c r="BN931" s="346"/>
      <c r="BO931" s="346"/>
      <c r="BP931" s="346"/>
      <c r="BQ931" s="346"/>
      <c r="BR931" s="346"/>
      <c r="BS931" s="346"/>
      <c r="BT931" s="346"/>
      <c r="BU931" s="346"/>
      <c r="BV931" s="346"/>
      <c r="BW931" s="346"/>
      <c r="BX931" s="346"/>
      <c r="BY931" s="346"/>
      <c r="BZ931" s="346"/>
      <c r="CA931" s="346"/>
      <c r="CB931" s="346"/>
      <c r="CC931" s="346"/>
      <c r="CD931" s="352"/>
      <c r="CE931" s="346"/>
      <c r="CF931" s="346"/>
      <c r="CG931" s="346"/>
      <c r="CH931" s="346"/>
      <c r="CI931" s="346"/>
      <c r="CJ931" s="346"/>
      <c r="CK931" s="346"/>
      <c r="CL931" s="346"/>
      <c r="CM931" s="346"/>
      <c r="CN931" s="346"/>
      <c r="CO931" s="346"/>
      <c r="CP931" s="348"/>
      <c r="CQ931" s="346"/>
      <c r="CR931" s="346"/>
      <c r="CS931" s="346"/>
      <c r="CT931" s="346"/>
      <c r="CU931" s="346"/>
      <c r="CV931" s="346"/>
      <c r="CW931" s="346"/>
      <c r="CX931" s="346"/>
      <c r="CY931" s="346"/>
      <c r="CZ931" s="346"/>
      <c r="DA931" s="346"/>
      <c r="DB931" s="1479"/>
      <c r="DC931" s="346"/>
      <c r="DD931" s="346"/>
      <c r="DE931" s="346"/>
      <c r="DF931" s="346"/>
      <c r="DG931" s="346"/>
      <c r="DH931" s="346"/>
      <c r="DI931" s="346"/>
      <c r="DJ931" s="346"/>
      <c r="DK931" s="346"/>
      <c r="DL931" s="346"/>
      <c r="DM931" s="346"/>
      <c r="DN931" s="348"/>
      <c r="DO931" s="346"/>
      <c r="DP931" s="346"/>
      <c r="DQ931" s="346"/>
      <c r="DR931" s="346"/>
      <c r="DS931" s="346"/>
      <c r="DT931" s="346"/>
      <c r="DU931" s="346"/>
      <c r="DV931" s="346"/>
      <c r="DW931" s="346"/>
      <c r="DX931" s="346"/>
      <c r="DY931" s="346"/>
      <c r="DZ931" s="348"/>
      <c r="EA931" s="346"/>
      <c r="EB931" s="346"/>
      <c r="EC931" s="346"/>
      <c r="ED931" s="346"/>
      <c r="EE931" s="346"/>
      <c r="EF931" s="346"/>
      <c r="EG931" s="346"/>
      <c r="EH931" s="346"/>
      <c r="EI931" s="346"/>
      <c r="EJ931" s="346"/>
      <c r="EK931" s="346"/>
      <c r="EL931" s="348"/>
      <c r="EM931" s="346"/>
      <c r="EN931" s="346"/>
      <c r="EO931" s="346"/>
      <c r="EP931" s="346"/>
      <c r="EQ931" s="346"/>
      <c r="ER931" s="346"/>
      <c r="ES931" s="346"/>
      <c r="ET931" s="346"/>
      <c r="EU931" s="346"/>
      <c r="EV931" s="346"/>
      <c r="EW931" s="346"/>
      <c r="EX931" s="348"/>
      <c r="EY931" s="346"/>
      <c r="EZ931" s="346"/>
      <c r="FA931" s="346"/>
      <c r="FB931" s="346"/>
      <c r="FC931" s="346"/>
      <c r="FD931" s="346"/>
      <c r="FE931" s="346"/>
      <c r="FF931" s="346"/>
      <c r="FG931" s="346"/>
      <c r="FH931" s="346"/>
      <c r="FI931" s="346"/>
      <c r="FJ931" s="348"/>
      <c r="FK931" s="346"/>
      <c r="FL931" s="346"/>
      <c r="FM931" s="346"/>
      <c r="FN931" s="346"/>
      <c r="FO931" s="346"/>
      <c r="FP931" s="346"/>
      <c r="FQ931" s="346"/>
      <c r="FR931" s="346"/>
      <c r="FS931" s="346"/>
      <c r="FT931" s="346"/>
      <c r="FU931" s="346"/>
      <c r="FV931" s="346"/>
      <c r="FW931" s="346"/>
      <c r="FX931" s="346"/>
      <c r="FY931" s="346"/>
      <c r="FZ931" s="346"/>
      <c r="GA931" s="346"/>
      <c r="GB931" s="346"/>
      <c r="GC931" s="346"/>
      <c r="GD931" s="346"/>
      <c r="GE931" s="346"/>
      <c r="GF931" s="346"/>
      <c r="GG931" s="346"/>
      <c r="GH931" s="346"/>
      <c r="GI931" s="1897"/>
      <c r="HN931" s="349"/>
      <c r="HO931" s="1603" t="s">
        <v>3256</v>
      </c>
      <c r="HP931" s="307"/>
      <c r="HR931" s="346"/>
      <c r="HU931" s="346"/>
      <c r="HV931" s="307"/>
      <c r="HX931" s="346"/>
      <c r="HY931" s="350"/>
      <c r="IA931" s="346"/>
      <c r="ID931" s="346"/>
      <c r="IE931" s="350"/>
      <c r="IF931" s="350"/>
      <c r="IG931" s="346"/>
      <c r="IH931" s="350"/>
      <c r="II931" s="350"/>
      <c r="IJ931" s="346"/>
      <c r="IK931" s="350">
        <v>0</v>
      </c>
      <c r="IL931" s="350">
        <f t="shared" si="1512"/>
        <v>0</v>
      </c>
      <c r="IM931" s="346">
        <f t="shared" si="1430"/>
        <v>0</v>
      </c>
      <c r="IN931" s="350">
        <f t="shared" si="1495"/>
        <v>0</v>
      </c>
      <c r="IO931" s="350">
        <f t="shared" si="1496"/>
        <v>0</v>
      </c>
      <c r="IP931" s="346">
        <f t="shared" si="1443"/>
        <v>0</v>
      </c>
      <c r="IQ931" s="350">
        <f t="shared" si="1497"/>
        <v>0</v>
      </c>
      <c r="IR931" s="350">
        <f t="shared" si="1498"/>
        <v>0</v>
      </c>
      <c r="IS931" s="346">
        <f t="shared" si="1513"/>
        <v>0</v>
      </c>
      <c r="IT931" s="350"/>
      <c r="IU931" s="350">
        <f t="shared" si="1529"/>
        <v>0</v>
      </c>
      <c r="IV931" s="346">
        <f t="shared" si="1511"/>
        <v>0</v>
      </c>
      <c r="IW931" s="350">
        <f t="shared" si="1520"/>
        <v>0</v>
      </c>
      <c r="IX931" s="350">
        <f t="shared" si="1514"/>
        <v>0</v>
      </c>
      <c r="IY931" s="346">
        <f>FISC!AJ1250</f>
        <v>0</v>
      </c>
      <c r="IZ931" s="350">
        <f>(FISC!AJ75)*FISC!AK253/1000</f>
        <v>663.42188765794174</v>
      </c>
      <c r="JA931" s="350">
        <f>(FISC!AK68)*FISC!AK253/1000</f>
        <v>0</v>
      </c>
      <c r="JB931" s="346">
        <f>FISC!AK1251</f>
        <v>663.42188765794174</v>
      </c>
      <c r="JC931" s="350">
        <f>(FISC!AK75)*FISC!AL253/1000</f>
        <v>361.97702403447545</v>
      </c>
      <c r="JD931" s="350">
        <f>(FISC!AL68)*FISC!AL253/1000</f>
        <v>184.94548827724554</v>
      </c>
      <c r="JE931" s="346">
        <f>FISC!AL1251</f>
        <v>546.92251231172099</v>
      </c>
      <c r="JF931" s="302">
        <f>(FISC!AL75)*FISC!AM253/1000</f>
        <v>49.363245630258717</v>
      </c>
      <c r="JG931" s="302">
        <f>(FISC!AM68)*FISC!AM253/1000</f>
        <v>22.853349252548536</v>
      </c>
      <c r="JH931" s="346">
        <f>FISC!AM1251</f>
        <v>72.216594882807243</v>
      </c>
      <c r="JI931" s="302">
        <f>(FISC!AM75)*FISC!AN253/1000</f>
        <v>0</v>
      </c>
      <c r="JJ931" s="302">
        <f>(FISC!AN68)*FISC!AN253/1000</f>
        <v>27.004126464935069</v>
      </c>
      <c r="JK931" s="346">
        <f>FISC!AN1251</f>
        <v>27.004126464935069</v>
      </c>
      <c r="JL931" s="302">
        <f>(FISC!AN75)*FISC!AO252/1000</f>
        <v>0</v>
      </c>
      <c r="JM931" s="302">
        <f>(FISC!AO68)*FISC!AO253/1000</f>
        <v>0</v>
      </c>
      <c r="JN931" s="346">
        <f>FISC!AO1251</f>
        <v>0</v>
      </c>
      <c r="KI931" s="349"/>
      <c r="KJ931" s="350"/>
    </row>
    <row r="932" spans="1:302" hidden="1" outlineLevel="1">
      <c r="A932" s="302"/>
      <c r="D932" s="1606" t="s">
        <v>3792</v>
      </c>
      <c r="E932" s="346"/>
      <c r="F932" s="346"/>
      <c r="G932" s="346"/>
      <c r="H932" s="346"/>
      <c r="I932" s="346"/>
      <c r="J932" s="346"/>
      <c r="K932" s="346"/>
      <c r="L932" s="346"/>
      <c r="M932" s="346"/>
      <c r="N932" s="346"/>
      <c r="O932" s="346"/>
      <c r="P932" s="346"/>
      <c r="Q932" s="346"/>
      <c r="R932" s="346"/>
      <c r="S932" s="346"/>
      <c r="T932" s="346"/>
      <c r="U932" s="346"/>
      <c r="V932" s="346"/>
      <c r="W932" s="346"/>
      <c r="X932" s="346"/>
      <c r="Y932" s="346"/>
      <c r="Z932" s="346"/>
      <c r="AA932" s="346"/>
      <c r="AB932" s="346"/>
      <c r="AC932" s="346"/>
      <c r="AD932" s="346"/>
      <c r="AE932" s="346"/>
      <c r="AF932" s="346"/>
      <c r="AG932" s="346"/>
      <c r="AH932" s="346"/>
      <c r="AI932" s="346"/>
      <c r="AJ932" s="346"/>
      <c r="AK932" s="346"/>
      <c r="AL932" s="346"/>
      <c r="AM932" s="346"/>
      <c r="AN932" s="346"/>
      <c r="AO932" s="346"/>
      <c r="AP932" s="346"/>
      <c r="AQ932" s="346"/>
      <c r="AR932" s="346"/>
      <c r="AS932" s="346"/>
      <c r="AT932" s="346"/>
      <c r="AU932" s="346"/>
      <c r="AV932" s="346"/>
      <c r="AW932" s="346"/>
      <c r="AX932" s="346"/>
      <c r="AY932" s="346"/>
      <c r="AZ932" s="346"/>
      <c r="BA932" s="346"/>
      <c r="BB932" s="346"/>
      <c r="BC932" s="346"/>
      <c r="BD932" s="346"/>
      <c r="BE932" s="346"/>
      <c r="BF932" s="346"/>
      <c r="BG932" s="346"/>
      <c r="BH932" s="346"/>
      <c r="BI932" s="346"/>
      <c r="BJ932" s="346"/>
      <c r="BK932" s="346"/>
      <c r="BL932" s="346"/>
      <c r="BM932" s="346"/>
      <c r="BN932" s="346"/>
      <c r="BO932" s="346"/>
      <c r="BP932" s="346"/>
      <c r="BQ932" s="346"/>
      <c r="BR932" s="346"/>
      <c r="BS932" s="346"/>
      <c r="BT932" s="346"/>
      <c r="BU932" s="346"/>
      <c r="BV932" s="346"/>
      <c r="BW932" s="346"/>
      <c r="BX932" s="346"/>
      <c r="BY932" s="346"/>
      <c r="BZ932" s="346"/>
      <c r="CA932" s="346"/>
      <c r="CB932" s="346"/>
      <c r="CC932" s="346"/>
      <c r="CD932" s="352"/>
      <c r="CE932" s="346"/>
      <c r="CF932" s="346"/>
      <c r="CG932" s="346"/>
      <c r="CH932" s="346"/>
      <c r="CI932" s="346"/>
      <c r="CJ932" s="346"/>
      <c r="CK932" s="346"/>
      <c r="CL932" s="346"/>
      <c r="CM932" s="346"/>
      <c r="CN932" s="346"/>
      <c r="CO932" s="346"/>
      <c r="CP932" s="348"/>
      <c r="CQ932" s="346"/>
      <c r="CR932" s="346"/>
      <c r="CS932" s="346"/>
      <c r="CT932" s="346"/>
      <c r="CU932" s="346"/>
      <c r="CV932" s="346"/>
      <c r="CW932" s="346"/>
      <c r="CX932" s="346"/>
      <c r="CY932" s="346"/>
      <c r="CZ932" s="346"/>
      <c r="DA932" s="346"/>
      <c r="DB932" s="1479"/>
      <c r="DC932" s="346"/>
      <c r="DD932" s="346"/>
      <c r="DE932" s="346"/>
      <c r="DF932" s="346"/>
      <c r="DG932" s="346"/>
      <c r="DH932" s="346"/>
      <c r="DI932" s="346"/>
      <c r="DJ932" s="346"/>
      <c r="DK932" s="346"/>
      <c r="DL932" s="346"/>
      <c r="DM932" s="346"/>
      <c r="DN932" s="348"/>
      <c r="DO932" s="346"/>
      <c r="DP932" s="346"/>
      <c r="DQ932" s="346"/>
      <c r="DR932" s="346"/>
      <c r="DS932" s="346"/>
      <c r="DT932" s="346"/>
      <c r="DU932" s="346"/>
      <c r="DV932" s="346"/>
      <c r="DW932" s="346"/>
      <c r="DX932" s="346"/>
      <c r="DY932" s="346"/>
      <c r="DZ932" s="348"/>
      <c r="EA932" s="346"/>
      <c r="EB932" s="346"/>
      <c r="EC932" s="346"/>
      <c r="ED932" s="346"/>
      <c r="EE932" s="346"/>
      <c r="EF932" s="346"/>
      <c r="EG932" s="346"/>
      <c r="EH932" s="346"/>
      <c r="EI932" s="346"/>
      <c r="EJ932" s="346"/>
      <c r="EK932" s="346"/>
      <c r="EL932" s="348"/>
      <c r="EM932" s="346"/>
      <c r="EN932" s="346"/>
      <c r="EO932" s="346"/>
      <c r="EP932" s="346"/>
      <c r="EQ932" s="346"/>
      <c r="ER932" s="346"/>
      <c r="ES932" s="346"/>
      <c r="ET932" s="346"/>
      <c r="EU932" s="346"/>
      <c r="EV932" s="346"/>
      <c r="EW932" s="346"/>
      <c r="EX932" s="348"/>
      <c r="EY932" s="346"/>
      <c r="EZ932" s="346"/>
      <c r="FA932" s="346"/>
      <c r="FB932" s="346"/>
      <c r="FC932" s="346"/>
      <c r="FD932" s="346"/>
      <c r="FE932" s="346"/>
      <c r="FF932" s="346"/>
      <c r="FG932" s="346"/>
      <c r="FH932" s="346"/>
      <c r="FI932" s="346"/>
      <c r="FJ932" s="348"/>
      <c r="FK932" s="346"/>
      <c r="FL932" s="346"/>
      <c r="FM932" s="346"/>
      <c r="FN932" s="346"/>
      <c r="FO932" s="346"/>
      <c r="FP932" s="346"/>
      <c r="FQ932" s="346"/>
      <c r="FR932" s="346"/>
      <c r="FS932" s="346"/>
      <c r="FT932" s="346"/>
      <c r="FU932" s="346"/>
      <c r="FV932" s="346"/>
      <c r="FW932" s="346"/>
      <c r="FX932" s="346"/>
      <c r="FY932" s="346"/>
      <c r="FZ932" s="346"/>
      <c r="GA932" s="346"/>
      <c r="GB932" s="346"/>
      <c r="GC932" s="346"/>
      <c r="GD932" s="346"/>
      <c r="GE932" s="346"/>
      <c r="GF932" s="346"/>
      <c r="GG932" s="346"/>
      <c r="GH932" s="346"/>
      <c r="GI932" s="1897"/>
      <c r="HN932" s="349"/>
      <c r="HO932" s="1603"/>
      <c r="HP932" s="307"/>
      <c r="HR932" s="346"/>
      <c r="HU932" s="346"/>
      <c r="HV932" s="307"/>
      <c r="HX932" s="346"/>
      <c r="HY932" s="350"/>
      <c r="IA932" s="346"/>
      <c r="ID932" s="346"/>
      <c r="IE932" s="350"/>
      <c r="IF932" s="350"/>
      <c r="IG932" s="346"/>
      <c r="IH932" s="350"/>
      <c r="II932" s="350"/>
      <c r="IJ932" s="346"/>
      <c r="IK932" s="350"/>
      <c r="IL932" s="350"/>
      <c r="IM932" s="346"/>
      <c r="IN932" s="350"/>
      <c r="IO932" s="350"/>
      <c r="IP932" s="346"/>
      <c r="IQ932" s="350"/>
      <c r="IR932" s="350"/>
      <c r="IS932" s="346"/>
      <c r="IT932" s="350"/>
      <c r="IU932" s="350"/>
      <c r="IV932" s="346"/>
      <c r="IW932" s="350"/>
      <c r="IX932" s="350"/>
      <c r="IY932" s="346"/>
      <c r="IZ932" s="350">
        <f>(FISC!AJ76)*FISC!AK253/1000</f>
        <v>309.48975784664992</v>
      </c>
      <c r="JA932" s="350">
        <f>(FISC!AK69)*FISC!AK253/1000</f>
        <v>0</v>
      </c>
      <c r="JB932" s="346">
        <f>FISC!AK1252</f>
        <v>309.48975784664992</v>
      </c>
      <c r="JC932" s="350">
        <f>(FISC!AK76)*FISC!AL253/1000</f>
        <v>54.697646140356113</v>
      </c>
      <c r="JD932" s="350">
        <f>(FISC!AL69)*FISC!AL253/1000</f>
        <v>36.424429422398653</v>
      </c>
      <c r="JE932" s="346">
        <f>FISC!AL1252</f>
        <v>91.122075562754773</v>
      </c>
      <c r="JF932" s="302">
        <f>(FISC!AL76)*FISC!AM253/1000</f>
        <v>58.254451952156927</v>
      </c>
      <c r="JG932" s="302">
        <f>(FISC!AM69)*FISC!AM253/1000</f>
        <v>28.069168344121014</v>
      </c>
      <c r="JH932" s="346">
        <f>FISC!AM1252</f>
        <v>86.323620296277937</v>
      </c>
      <c r="JI932" s="302">
        <f>(FISC!AM76)*FISC!AN253/1000</f>
        <v>44.487080148440889</v>
      </c>
      <c r="JJ932" s="302">
        <f>(FISC!AN69)*FISC!AN253/1000</f>
        <v>25.34660674609189</v>
      </c>
      <c r="JK932" s="346">
        <f>FISC!AN1252</f>
        <v>69.833686894532789</v>
      </c>
      <c r="JL932" s="302">
        <f>(FISC!AN76)*FISC!AO253/1000</f>
        <v>36.631945546877233</v>
      </c>
      <c r="JM932" s="302">
        <f>(FISC!AO69)*FISC!AO253/1000</f>
        <v>0</v>
      </c>
      <c r="JN932" s="346">
        <f>FISC!AO1252</f>
        <v>36.631945546877233</v>
      </c>
      <c r="KI932" s="349"/>
      <c r="KJ932" s="350"/>
    </row>
    <row r="933" spans="1:302" hidden="1" outlineLevel="1">
      <c r="A933" s="302"/>
      <c r="D933" s="1636" t="s">
        <v>3172</v>
      </c>
      <c r="E933" s="346"/>
      <c r="F933" s="346"/>
      <c r="G933" s="346"/>
      <c r="H933" s="346"/>
      <c r="I933" s="346"/>
      <c r="J933" s="346"/>
      <c r="K933" s="346"/>
      <c r="L933" s="346"/>
      <c r="M933" s="346"/>
      <c r="N933" s="346"/>
      <c r="O933" s="346"/>
      <c r="P933" s="346"/>
      <c r="Q933" s="346"/>
      <c r="R933" s="346"/>
      <c r="S933" s="346"/>
      <c r="T933" s="346"/>
      <c r="U933" s="346"/>
      <c r="V933" s="346"/>
      <c r="W933" s="346"/>
      <c r="X933" s="346"/>
      <c r="Y933" s="346"/>
      <c r="Z933" s="346"/>
      <c r="AA933" s="346"/>
      <c r="AB933" s="346"/>
      <c r="AC933" s="346"/>
      <c r="AD933" s="346"/>
      <c r="AE933" s="346"/>
      <c r="AF933" s="346"/>
      <c r="AG933" s="346"/>
      <c r="AH933" s="346"/>
      <c r="AI933" s="346"/>
      <c r="AJ933" s="346"/>
      <c r="AK933" s="346"/>
      <c r="AL933" s="346"/>
      <c r="AM933" s="346"/>
      <c r="AN933" s="346"/>
      <c r="AO933" s="346"/>
      <c r="AP933" s="346"/>
      <c r="AQ933" s="346"/>
      <c r="AR933" s="346"/>
      <c r="AS933" s="346"/>
      <c r="AT933" s="346"/>
      <c r="AU933" s="346"/>
      <c r="AV933" s="346"/>
      <c r="AW933" s="346"/>
      <c r="AX933" s="346"/>
      <c r="AY933" s="346"/>
      <c r="AZ933" s="346"/>
      <c r="BA933" s="346"/>
      <c r="BB933" s="346"/>
      <c r="BC933" s="346"/>
      <c r="BD933" s="346"/>
      <c r="BE933" s="346"/>
      <c r="BF933" s="346"/>
      <c r="BG933" s="346"/>
      <c r="BH933" s="346"/>
      <c r="BI933" s="346"/>
      <c r="BJ933" s="346"/>
      <c r="BK933" s="346"/>
      <c r="BL933" s="346"/>
      <c r="BM933" s="346"/>
      <c r="BN933" s="346"/>
      <c r="BO933" s="346"/>
      <c r="BP933" s="346"/>
      <c r="BQ933" s="346"/>
      <c r="BR933" s="346"/>
      <c r="BS933" s="346"/>
      <c r="BT933" s="346"/>
      <c r="BU933" s="346"/>
      <c r="BV933" s="346"/>
      <c r="BW933" s="346"/>
      <c r="BX933" s="346"/>
      <c r="BY933" s="346"/>
      <c r="BZ933" s="346"/>
      <c r="CA933" s="346"/>
      <c r="CB933" s="346"/>
      <c r="CC933" s="346"/>
      <c r="CD933" s="352"/>
      <c r="CE933" s="346">
        <v>0</v>
      </c>
      <c r="CF933" s="346">
        <v>0</v>
      </c>
      <c r="CG933" s="346">
        <v>0</v>
      </c>
      <c r="CH933" s="346">
        <v>0</v>
      </c>
      <c r="CI933" s="346">
        <v>0</v>
      </c>
      <c r="CJ933" s="346">
        <v>0</v>
      </c>
      <c r="CK933" s="346">
        <v>0</v>
      </c>
      <c r="CL933" s="346">
        <v>0</v>
      </c>
      <c r="CM933" s="346">
        <v>0</v>
      </c>
      <c r="CN933" s="346">
        <v>0</v>
      </c>
      <c r="CO933" s="346">
        <v>0</v>
      </c>
      <c r="CP933" s="348">
        <v>0</v>
      </c>
      <c r="CQ933" s="346"/>
      <c r="CR933" s="346"/>
      <c r="CS933" s="346"/>
      <c r="CT933" s="346"/>
      <c r="CU933" s="346"/>
      <c r="CV933" s="346"/>
      <c r="CW933" s="346"/>
      <c r="CX933" s="346"/>
      <c r="CY933" s="346"/>
      <c r="CZ933" s="346"/>
      <c r="DA933" s="346"/>
      <c r="DB933" s="1479"/>
      <c r="DC933" s="346"/>
      <c r="DD933" s="346"/>
      <c r="DE933" s="346"/>
      <c r="DF933" s="346"/>
      <c r="DG933" s="346"/>
      <c r="DH933" s="346"/>
      <c r="DI933" s="346"/>
      <c r="DJ933" s="346"/>
      <c r="DK933" s="346"/>
      <c r="DL933" s="346"/>
      <c r="DM933" s="346"/>
      <c r="DN933" s="348"/>
      <c r="DO933" s="346"/>
      <c r="DP933" s="346"/>
      <c r="DQ933" s="346"/>
      <c r="DR933" s="346"/>
      <c r="DS933" s="346"/>
      <c r="DT933" s="346"/>
      <c r="DU933" s="346"/>
      <c r="DV933" s="346"/>
      <c r="DW933" s="346"/>
      <c r="DX933" s="346"/>
      <c r="DY933" s="346"/>
      <c r="DZ933" s="348"/>
      <c r="EA933" s="346"/>
      <c r="EB933" s="346"/>
      <c r="EC933" s="346"/>
      <c r="ED933" s="346"/>
      <c r="EE933" s="346"/>
      <c r="EF933" s="346"/>
      <c r="EG933" s="346"/>
      <c r="EH933" s="346"/>
      <c r="EI933" s="346"/>
      <c r="EJ933" s="346"/>
      <c r="EK933" s="346"/>
      <c r="EL933" s="348"/>
      <c r="EM933" s="346"/>
      <c r="EN933" s="346"/>
      <c r="EO933" s="346"/>
      <c r="EP933" s="346"/>
      <c r="EQ933" s="346"/>
      <c r="ER933" s="346"/>
      <c r="ES933" s="346"/>
      <c r="ET933" s="346"/>
      <c r="EU933" s="346"/>
      <c r="EV933" s="346"/>
      <c r="EW933" s="346"/>
      <c r="EX933" s="348"/>
      <c r="EY933" s="346"/>
      <c r="EZ933" s="346"/>
      <c r="FA933" s="346"/>
      <c r="FB933" s="346"/>
      <c r="FC933" s="346"/>
      <c r="FD933" s="346"/>
      <c r="FE933" s="346"/>
      <c r="FF933" s="346"/>
      <c r="FG933" s="346"/>
      <c r="FH933" s="346"/>
      <c r="FI933" s="346"/>
      <c r="FJ933" s="348"/>
      <c r="FK933" s="346">
        <v>0</v>
      </c>
      <c r="FL933" s="346">
        <v>0</v>
      </c>
      <c r="FM933" s="346">
        <v>0</v>
      </c>
      <c r="FN933" s="346">
        <v>0</v>
      </c>
      <c r="FO933" s="346">
        <v>0</v>
      </c>
      <c r="FP933" s="346">
        <v>0</v>
      </c>
      <c r="FQ933" s="346">
        <v>0</v>
      </c>
      <c r="FR933" s="346">
        <v>0</v>
      </c>
      <c r="FS933" s="346">
        <v>0</v>
      </c>
      <c r="FT933" s="346">
        <v>0</v>
      </c>
      <c r="FU933" s="346">
        <v>0</v>
      </c>
      <c r="FV933" s="346">
        <v>0</v>
      </c>
      <c r="FW933" s="346">
        <v>0</v>
      </c>
      <c r="FX933" s="346">
        <v>0</v>
      </c>
      <c r="FY933" s="346">
        <v>0</v>
      </c>
      <c r="FZ933" s="346">
        <v>0</v>
      </c>
      <c r="GA933" s="346">
        <v>0</v>
      </c>
      <c r="GB933" s="346">
        <v>0</v>
      </c>
      <c r="GC933" s="346">
        <v>0</v>
      </c>
      <c r="GD933" s="346">
        <v>0</v>
      </c>
      <c r="GE933" s="346">
        <v>0</v>
      </c>
      <c r="GF933" s="346">
        <v>0</v>
      </c>
      <c r="GG933" s="346">
        <v>0</v>
      </c>
      <c r="GH933" s="346">
        <v>0</v>
      </c>
      <c r="GI933" s="1897">
        <v>0</v>
      </c>
      <c r="GJ933" s="1897">
        <v>0</v>
      </c>
      <c r="GK933" s="1897">
        <v>0</v>
      </c>
      <c r="GL933" s="1897">
        <v>0</v>
      </c>
      <c r="GM933" s="1897">
        <v>0</v>
      </c>
      <c r="GN933" s="1897">
        <v>0</v>
      </c>
      <c r="GO933" s="1897">
        <v>0</v>
      </c>
      <c r="GP933" s="1897">
        <v>0</v>
      </c>
      <c r="GQ933" s="1897">
        <v>0</v>
      </c>
      <c r="GR933" s="1897">
        <v>0</v>
      </c>
      <c r="GS933" s="1897">
        <v>0</v>
      </c>
      <c r="GT933" s="1897">
        <v>0</v>
      </c>
      <c r="GU933" s="1897"/>
      <c r="GV933" s="1897"/>
      <c r="GW933" s="1897"/>
      <c r="GX933" s="1897"/>
      <c r="GY933" s="1897"/>
      <c r="GZ933" s="1897"/>
      <c r="HA933" s="1897"/>
      <c r="HB933" s="1897"/>
      <c r="HC933" s="1897"/>
      <c r="HD933" s="1897"/>
      <c r="HE933" s="1897"/>
      <c r="HF933" s="1897"/>
      <c r="HG933" s="1897"/>
      <c r="HH933" s="1897"/>
      <c r="HI933" s="1897"/>
      <c r="HJ933" s="1897"/>
      <c r="HK933" s="1897"/>
      <c r="HL933" s="1897"/>
      <c r="HM933" s="1897"/>
      <c r="HN933" s="349"/>
      <c r="HO933" s="1636" t="s">
        <v>3172</v>
      </c>
      <c r="HP933" s="307"/>
      <c r="HR933" s="346"/>
      <c r="HU933" s="346"/>
      <c r="HV933" s="307"/>
      <c r="HX933" s="346"/>
      <c r="HY933" s="350"/>
      <c r="IA933" s="346"/>
      <c r="ID933" s="346"/>
      <c r="IE933" s="350"/>
      <c r="IF933" s="350"/>
      <c r="IG933" s="346"/>
      <c r="IH933" s="350"/>
      <c r="II933" s="350"/>
      <c r="IJ933" s="346"/>
      <c r="IK933" s="350">
        <f>SUM(FK933:FP933)</f>
        <v>0</v>
      </c>
      <c r="IL933" s="350">
        <f t="shared" si="1512"/>
        <v>0</v>
      </c>
      <c r="IM933" s="346">
        <f t="shared" si="1430"/>
        <v>0</v>
      </c>
      <c r="IN933" s="350">
        <f t="shared" si="1495"/>
        <v>0</v>
      </c>
      <c r="IO933" s="350">
        <f t="shared" si="1496"/>
        <v>0</v>
      </c>
      <c r="IP933" s="346">
        <f t="shared" si="1443"/>
        <v>0</v>
      </c>
      <c r="IQ933" s="350">
        <f t="shared" si="1497"/>
        <v>0</v>
      </c>
      <c r="IR933" s="350">
        <f t="shared" si="1498"/>
        <v>0</v>
      </c>
      <c r="IS933" s="346">
        <f t="shared" si="1513"/>
        <v>0</v>
      </c>
      <c r="IT933" s="350">
        <f>FISC!AH77*FISC!AI253/1000</f>
        <v>0</v>
      </c>
      <c r="IU933" s="350">
        <f t="shared" si="1529"/>
        <v>0</v>
      </c>
      <c r="IV933" s="346">
        <f t="shared" si="1511"/>
        <v>0</v>
      </c>
      <c r="IW933" s="350">
        <f t="shared" si="1520"/>
        <v>0</v>
      </c>
      <c r="IX933" s="350">
        <f t="shared" si="1514"/>
        <v>0</v>
      </c>
      <c r="IY933" s="346">
        <f>FISC!AJ1253</f>
        <v>0</v>
      </c>
      <c r="IZ933" s="350">
        <f>FISC!AJ77*FISC!AK253/1000</f>
        <v>0</v>
      </c>
      <c r="JA933" s="350">
        <f>FISC!AK70*FISC!AK253/1000</f>
        <v>0</v>
      </c>
      <c r="JB933" s="346">
        <f>FISC!AK1253</f>
        <v>0</v>
      </c>
      <c r="JC933" s="350">
        <f>FISC!AK77*FISC!AL253/1000</f>
        <v>57.876666753456604</v>
      </c>
      <c r="JD933" s="350">
        <f>(FISC!AL70)*FISC!AL253/1000</f>
        <v>57.876666753456604</v>
      </c>
      <c r="JE933" s="346">
        <f>FISC!AL1253</f>
        <v>115.75333350691321</v>
      </c>
      <c r="JF933" s="302">
        <f>FISC!AL77*FISC!AM253/1000</f>
        <v>0</v>
      </c>
      <c r="JG933" s="302">
        <f>FISC!AM70*FISC!AM253/1000</f>
        <v>17.141393107161011</v>
      </c>
      <c r="JH933" s="346">
        <f>FISC!AM1253</f>
        <v>17.141393107161011</v>
      </c>
      <c r="JI933" s="302">
        <f>FISC!AM77*FISC!AN253/1000</f>
        <v>72.446799483835008</v>
      </c>
      <c r="JJ933" s="302">
        <f>FISC!AN70*FISC!AN253/1000</f>
        <v>72.446799483835008</v>
      </c>
      <c r="JK933" s="346">
        <f>FISC!AN1253</f>
        <v>144.89359896767002</v>
      </c>
      <c r="JL933" s="302">
        <f>FISC!AN77*FISC!AO253/1000</f>
        <v>75.613964529135089</v>
      </c>
      <c r="JM933" s="302">
        <f>FISC!AO70*FISC!AO253/1000</f>
        <v>75.613964529135089</v>
      </c>
      <c r="JN933" s="346">
        <f>FISC!AO1253</f>
        <v>151.22792905827018</v>
      </c>
      <c r="KI933" s="349"/>
      <c r="KJ933" s="350"/>
    </row>
    <row r="934" spans="1:302" hidden="1" outlineLevel="1">
      <c r="A934" s="302"/>
      <c r="D934" s="1606" t="s">
        <v>3398</v>
      </c>
      <c r="E934" s="346"/>
      <c r="F934" s="346"/>
      <c r="G934" s="346"/>
      <c r="H934" s="346"/>
      <c r="I934" s="346"/>
      <c r="J934" s="346"/>
      <c r="K934" s="346"/>
      <c r="L934" s="346"/>
      <c r="M934" s="346"/>
      <c r="N934" s="346"/>
      <c r="O934" s="346"/>
      <c r="P934" s="346"/>
      <c r="Q934" s="346"/>
      <c r="R934" s="346"/>
      <c r="S934" s="346"/>
      <c r="T934" s="346"/>
      <c r="U934" s="346"/>
      <c r="V934" s="346"/>
      <c r="W934" s="346"/>
      <c r="X934" s="346"/>
      <c r="Y934" s="346"/>
      <c r="Z934" s="346"/>
      <c r="AA934" s="346"/>
      <c r="AB934" s="346"/>
      <c r="AC934" s="346"/>
      <c r="AD934" s="346"/>
      <c r="AE934" s="346"/>
      <c r="AF934" s="346"/>
      <c r="AG934" s="346"/>
      <c r="AH934" s="346"/>
      <c r="AI934" s="346"/>
      <c r="AJ934" s="346"/>
      <c r="AK934" s="346"/>
      <c r="AL934" s="346"/>
      <c r="AM934" s="346"/>
      <c r="AN934" s="346"/>
      <c r="AO934" s="346"/>
      <c r="AP934" s="346"/>
      <c r="AQ934" s="346"/>
      <c r="AR934" s="346"/>
      <c r="AS934" s="346"/>
      <c r="AT934" s="346"/>
      <c r="AU934" s="346"/>
      <c r="AV934" s="346"/>
      <c r="AW934" s="346"/>
      <c r="AX934" s="346"/>
      <c r="AY934" s="346"/>
      <c r="AZ934" s="346"/>
      <c r="BA934" s="346"/>
      <c r="BB934" s="346"/>
      <c r="BC934" s="346"/>
      <c r="BD934" s="346"/>
      <c r="BE934" s="346"/>
      <c r="BF934" s="346"/>
      <c r="BG934" s="346"/>
      <c r="BH934" s="346"/>
      <c r="BI934" s="346"/>
      <c r="BJ934" s="346"/>
      <c r="BK934" s="346"/>
      <c r="BL934" s="346"/>
      <c r="BM934" s="346"/>
      <c r="BN934" s="346"/>
      <c r="BO934" s="346"/>
      <c r="BP934" s="346"/>
      <c r="BQ934" s="346"/>
      <c r="BR934" s="346"/>
      <c r="BS934" s="346"/>
      <c r="BT934" s="346"/>
      <c r="BU934" s="346"/>
      <c r="BV934" s="346"/>
      <c r="BW934" s="346"/>
      <c r="BX934" s="346"/>
      <c r="BY934" s="346"/>
      <c r="BZ934" s="346"/>
      <c r="CA934" s="346"/>
      <c r="CB934" s="346"/>
      <c r="CC934" s="346"/>
      <c r="CD934" s="352"/>
      <c r="CE934" s="346"/>
      <c r="CF934" s="346"/>
      <c r="CG934" s="346"/>
      <c r="CH934" s="346"/>
      <c r="CI934" s="346"/>
      <c r="CJ934" s="346"/>
      <c r="CK934" s="346"/>
      <c r="CL934" s="346"/>
      <c r="CM934" s="346"/>
      <c r="CN934" s="346"/>
      <c r="CO934" s="346"/>
      <c r="CP934" s="348"/>
      <c r="CQ934" s="346"/>
      <c r="CR934" s="346"/>
      <c r="CS934" s="346"/>
      <c r="CT934" s="346"/>
      <c r="CU934" s="346"/>
      <c r="CV934" s="346"/>
      <c r="CW934" s="346"/>
      <c r="CX934" s="346"/>
      <c r="CY934" s="346"/>
      <c r="CZ934" s="346"/>
      <c r="DA934" s="346"/>
      <c r="DB934" s="1479"/>
      <c r="DC934" s="346"/>
      <c r="DD934" s="346"/>
      <c r="DE934" s="346"/>
      <c r="DF934" s="346"/>
      <c r="DG934" s="346"/>
      <c r="DH934" s="346"/>
      <c r="DI934" s="346"/>
      <c r="DJ934" s="346"/>
      <c r="DK934" s="346"/>
      <c r="DL934" s="346"/>
      <c r="DM934" s="346"/>
      <c r="DN934" s="348"/>
      <c r="DO934" s="346"/>
      <c r="DP934" s="346"/>
      <c r="DQ934" s="346"/>
      <c r="DR934" s="346"/>
      <c r="DS934" s="346"/>
      <c r="DT934" s="346"/>
      <c r="DU934" s="346"/>
      <c r="DV934" s="346"/>
      <c r="DW934" s="346"/>
      <c r="DX934" s="346"/>
      <c r="DY934" s="346"/>
      <c r="DZ934" s="348"/>
      <c r="EA934" s="346"/>
      <c r="EB934" s="346"/>
      <c r="EC934" s="346"/>
      <c r="ED934" s="346"/>
      <c r="EE934" s="346"/>
      <c r="EF934" s="346"/>
      <c r="EG934" s="346"/>
      <c r="EH934" s="346"/>
      <c r="EI934" s="346"/>
      <c r="EJ934" s="346"/>
      <c r="EK934" s="346"/>
      <c r="EL934" s="348"/>
      <c r="EM934" s="346"/>
      <c r="EN934" s="346"/>
      <c r="EO934" s="346"/>
      <c r="EP934" s="346"/>
      <c r="EQ934" s="346"/>
      <c r="ER934" s="346"/>
      <c r="ES934" s="346"/>
      <c r="ET934" s="346"/>
      <c r="EU934" s="346"/>
      <c r="EV934" s="346"/>
      <c r="EW934" s="346"/>
      <c r="EX934" s="348"/>
      <c r="EY934" s="346"/>
      <c r="EZ934" s="346"/>
      <c r="FA934" s="346"/>
      <c r="FB934" s="346"/>
      <c r="FC934" s="346"/>
      <c r="FD934" s="346"/>
      <c r="FE934" s="346"/>
      <c r="FF934" s="346"/>
      <c r="FG934" s="346"/>
      <c r="FH934" s="346"/>
      <c r="FI934" s="346"/>
      <c r="FJ934" s="348"/>
      <c r="FK934" s="346"/>
      <c r="FL934" s="346"/>
      <c r="FM934" s="346"/>
      <c r="FN934" s="346"/>
      <c r="FO934" s="346"/>
      <c r="FP934" s="346"/>
      <c r="FQ934" s="346"/>
      <c r="FR934" s="346"/>
      <c r="FS934" s="346"/>
      <c r="FT934" s="346"/>
      <c r="FU934" s="346"/>
      <c r="FV934" s="346"/>
      <c r="FW934" s="346"/>
      <c r="FX934" s="346"/>
      <c r="FY934" s="346"/>
      <c r="FZ934" s="346"/>
      <c r="GA934" s="346"/>
      <c r="GB934" s="346"/>
      <c r="GC934" s="346"/>
      <c r="GD934" s="346"/>
      <c r="GE934" s="346"/>
      <c r="GF934" s="346"/>
      <c r="GG934" s="346"/>
      <c r="GH934" s="346"/>
      <c r="GI934" s="1897"/>
      <c r="GT934" s="1901">
        <v>106.24015742291022</v>
      </c>
      <c r="GU934" s="1901">
        <v>0</v>
      </c>
      <c r="GV934" s="1901">
        <v>0</v>
      </c>
      <c r="GW934" s="1901">
        <v>0</v>
      </c>
      <c r="GX934" s="1901">
        <v>0</v>
      </c>
      <c r="GY934" s="1901">
        <v>0</v>
      </c>
      <c r="GZ934" s="1901">
        <v>84.79887949699507</v>
      </c>
      <c r="HA934" s="1901">
        <v>0</v>
      </c>
      <c r="HB934" s="1901">
        <v>0</v>
      </c>
      <c r="HC934" s="1901">
        <v>0</v>
      </c>
      <c r="HD934" s="1901">
        <v>0</v>
      </c>
      <c r="HE934" s="1901">
        <v>122.01017142208079</v>
      </c>
      <c r="HF934" s="1901">
        <v>0</v>
      </c>
      <c r="HG934" s="1901">
        <v>0</v>
      </c>
      <c r="HH934" s="1901">
        <v>0</v>
      </c>
      <c r="HI934" s="1901">
        <v>0</v>
      </c>
      <c r="HJ934" s="1901">
        <v>0</v>
      </c>
      <c r="HK934" s="1901">
        <v>0</v>
      </c>
      <c r="HL934" s="1901">
        <v>130.29183142756386</v>
      </c>
      <c r="HM934" s="1901"/>
      <c r="HN934" s="349"/>
      <c r="HO934" s="1636"/>
      <c r="HP934" s="307"/>
      <c r="HR934" s="346"/>
      <c r="HU934" s="346"/>
      <c r="HV934" s="307"/>
      <c r="HX934" s="346"/>
      <c r="HY934" s="350"/>
      <c r="IA934" s="346"/>
      <c r="ID934" s="346"/>
      <c r="IE934" s="350"/>
      <c r="IF934" s="350"/>
      <c r="IG934" s="346"/>
      <c r="IH934" s="350"/>
      <c r="II934" s="350"/>
      <c r="IJ934" s="346"/>
      <c r="IK934" s="350"/>
      <c r="IL934" s="350"/>
      <c r="IM934" s="346"/>
      <c r="IN934" s="350"/>
      <c r="IO934" s="350"/>
      <c r="IP934" s="346"/>
      <c r="IQ934" s="350">
        <f t="shared" si="1497"/>
        <v>0</v>
      </c>
      <c r="IR934" s="350">
        <f t="shared" si="1498"/>
        <v>106.24015742291022</v>
      </c>
      <c r="IS934" s="346">
        <f t="shared" si="1513"/>
        <v>106.24015742291022</v>
      </c>
      <c r="IT934" s="350">
        <f>FISC!AH74*FISC!AI253/1000</f>
        <v>84.330067697191197</v>
      </c>
      <c r="IU934" s="350">
        <f t="shared" ref="IU934:IU938" si="1530">SUM(HA934:HF934)</f>
        <v>122.01017142208079</v>
      </c>
      <c r="IV934" s="346">
        <f t="shared" si="1511"/>
        <v>206.34023911927198</v>
      </c>
      <c r="IW934" s="350">
        <f t="shared" si="1520"/>
        <v>130.29183142756386</v>
      </c>
      <c r="IX934" s="350">
        <f t="shared" si="1514"/>
        <v>29.096131039706961</v>
      </c>
      <c r="IY934" s="346">
        <f>FISC!AJ1254</f>
        <v>159.38796246727082</v>
      </c>
      <c r="IZ934" s="350"/>
      <c r="JA934" s="350"/>
      <c r="JB934" s="346"/>
      <c r="JC934" s="350"/>
      <c r="JD934" s="350"/>
      <c r="JE934" s="346"/>
      <c r="JH934" s="346"/>
      <c r="JK934" s="346">
        <f>FISC!AN1254</f>
        <v>0</v>
      </c>
      <c r="JN934" s="346">
        <f>FISC!AO1254</f>
        <v>0</v>
      </c>
      <c r="KI934" s="349"/>
      <c r="KJ934" s="350"/>
    </row>
    <row r="935" spans="1:302" hidden="1" outlineLevel="1">
      <c r="A935" s="302"/>
      <c r="B935" s="117" t="s">
        <v>361</v>
      </c>
      <c r="D935" s="360" t="s">
        <v>539</v>
      </c>
      <c r="E935" s="346"/>
      <c r="F935" s="346"/>
      <c r="G935" s="346"/>
      <c r="H935" s="346"/>
      <c r="I935" s="346"/>
      <c r="J935" s="346"/>
      <c r="K935" s="346"/>
      <c r="L935" s="346"/>
      <c r="M935" s="346"/>
      <c r="N935" s="346"/>
      <c r="O935" s="346"/>
      <c r="P935" s="346"/>
      <c r="Q935" s="346"/>
      <c r="R935" s="346"/>
      <c r="S935" s="346"/>
      <c r="T935" s="346"/>
      <c r="U935" s="346"/>
      <c r="V935" s="346"/>
      <c r="W935" s="346"/>
      <c r="X935" s="346"/>
      <c r="Y935" s="346"/>
      <c r="Z935" s="346"/>
      <c r="AA935" s="346"/>
      <c r="AB935" s="346"/>
      <c r="AC935" s="346"/>
      <c r="AD935" s="346"/>
      <c r="AE935" s="346"/>
      <c r="AF935" s="346"/>
      <c r="AG935" s="346"/>
      <c r="AH935" s="346"/>
      <c r="AI935" s="346"/>
      <c r="AJ935" s="346"/>
      <c r="AK935" s="346"/>
      <c r="AL935" s="346"/>
      <c r="AM935" s="346"/>
      <c r="AN935" s="346"/>
      <c r="AO935" s="346"/>
      <c r="AP935" s="346"/>
      <c r="AQ935" s="346"/>
      <c r="AR935" s="346"/>
      <c r="AS935" s="346"/>
      <c r="AT935" s="346"/>
      <c r="AU935" s="346"/>
      <c r="AV935" s="346"/>
      <c r="AW935" s="346"/>
      <c r="AX935" s="346"/>
      <c r="AY935" s="346"/>
      <c r="AZ935" s="346"/>
      <c r="BA935" s="346"/>
      <c r="BB935" s="346"/>
      <c r="BC935" s="346"/>
      <c r="BD935" s="346"/>
      <c r="BE935" s="346"/>
      <c r="BF935" s="346"/>
      <c r="BG935" s="346"/>
      <c r="BH935" s="346"/>
      <c r="BI935" s="346"/>
      <c r="BJ935" s="346"/>
      <c r="BK935" s="346"/>
      <c r="BL935" s="346"/>
      <c r="BM935" s="346"/>
      <c r="BN935" s="346"/>
      <c r="BO935" s="346"/>
      <c r="BP935" s="346"/>
      <c r="BQ935" s="346"/>
      <c r="BR935" s="346"/>
      <c r="BS935" s="346"/>
      <c r="BT935" s="346"/>
      <c r="BU935" s="346"/>
      <c r="BV935" s="346"/>
      <c r="BW935" s="346"/>
      <c r="BX935" s="346"/>
      <c r="BY935" s="346"/>
      <c r="BZ935" s="346"/>
      <c r="CA935" s="346"/>
      <c r="CB935" s="346"/>
      <c r="CC935" s="346"/>
      <c r="CD935" s="352"/>
      <c r="CE935" s="346">
        <v>6.8171795700000004</v>
      </c>
      <c r="CF935" s="346">
        <v>3.9039883390000001</v>
      </c>
      <c r="CG935" s="346">
        <v>3.8882203720000001</v>
      </c>
      <c r="CH935" s="346">
        <v>6.2578329159999999</v>
      </c>
      <c r="CI935" s="346">
        <v>3.5211649989999998</v>
      </c>
      <c r="CJ935" s="346">
        <v>6.7397221739999997</v>
      </c>
      <c r="CK935" s="346">
        <v>11.206712712287</v>
      </c>
      <c r="CL935" s="346">
        <v>1.744920303962</v>
      </c>
      <c r="CM935" s="346">
        <v>2.9498687050729999</v>
      </c>
      <c r="CN935" s="346">
        <v>2.9364516164650003</v>
      </c>
      <c r="CO935" s="346">
        <v>7.973572952974</v>
      </c>
      <c r="CP935" s="348">
        <v>8.7696447443489998</v>
      </c>
      <c r="CQ935" s="346">
        <f t="shared" ref="CQ935:DV935" si="1531">CQ24</f>
        <v>5.7607435347770011</v>
      </c>
      <c r="CR935" s="346">
        <f t="shared" si="1531"/>
        <v>3.9472671107080002</v>
      </c>
      <c r="CS935" s="346">
        <f t="shared" si="1531"/>
        <v>12.991094179872</v>
      </c>
      <c r="CT935" s="346">
        <f t="shared" si="1531"/>
        <v>7.097023092573</v>
      </c>
      <c r="CU935" s="346">
        <f t="shared" si="1531"/>
        <v>12.102969035651</v>
      </c>
      <c r="CV935" s="346">
        <f t="shared" si="1531"/>
        <v>11.621077212909999</v>
      </c>
      <c r="CW935" s="346">
        <f t="shared" si="1531"/>
        <v>8.4188352186079989</v>
      </c>
      <c r="CX935" s="346">
        <f t="shared" si="1531"/>
        <v>3.7151717103489998</v>
      </c>
      <c r="CY935" s="346">
        <f t="shared" si="1531"/>
        <v>9.2964163726490003</v>
      </c>
      <c r="CZ935" s="346">
        <f t="shared" si="1531"/>
        <v>3.9665275602789998</v>
      </c>
      <c r="DA935" s="346">
        <f t="shared" si="1531"/>
        <v>6.3830912553159997</v>
      </c>
      <c r="DB935" s="1479">
        <f t="shared" si="1531"/>
        <v>13.932984784080002</v>
      </c>
      <c r="DC935" s="346">
        <f t="shared" si="1531"/>
        <v>0.42216898336300002</v>
      </c>
      <c r="DD935" s="346">
        <f t="shared" si="1531"/>
        <v>3.7189687297299998</v>
      </c>
      <c r="DE935" s="346">
        <f t="shared" si="1531"/>
        <v>11.694227755626997</v>
      </c>
      <c r="DF935" s="346">
        <f t="shared" si="1531"/>
        <v>8.5129279728749996</v>
      </c>
      <c r="DG935" s="346">
        <f t="shared" si="1531"/>
        <v>4.8652677647420006</v>
      </c>
      <c r="DH935" s="346">
        <f t="shared" si="1531"/>
        <v>22.350273298890002</v>
      </c>
      <c r="DI935" s="346">
        <f t="shared" si="1531"/>
        <v>6.7047741122170006</v>
      </c>
      <c r="DJ935" s="346">
        <f t="shared" si="1531"/>
        <v>5.5435094828279992</v>
      </c>
      <c r="DK935" s="346">
        <f t="shared" si="1531"/>
        <v>13.796249482406001</v>
      </c>
      <c r="DL935" s="346">
        <f t="shared" si="1531"/>
        <v>13.128120131547998</v>
      </c>
      <c r="DM935" s="346">
        <f t="shared" si="1531"/>
        <v>6.8738819535209998</v>
      </c>
      <c r="DN935" s="348">
        <f t="shared" si="1531"/>
        <v>5.2576456738859996</v>
      </c>
      <c r="DO935" s="346">
        <f t="shared" si="1531"/>
        <v>3.2977253905239996</v>
      </c>
      <c r="DP935" s="346">
        <f t="shared" si="1531"/>
        <v>8.4289872174100005</v>
      </c>
      <c r="DQ935" s="346">
        <f t="shared" si="1531"/>
        <v>19.676344781299001</v>
      </c>
      <c r="DR935" s="346">
        <f t="shared" si="1531"/>
        <v>6.2250619891019987</v>
      </c>
      <c r="DS935" s="346">
        <f t="shared" si="1531"/>
        <v>11.369225287213002</v>
      </c>
      <c r="DT935" s="346">
        <f t="shared" si="1531"/>
        <v>20.325144909231</v>
      </c>
      <c r="DU935" s="346">
        <f t="shared" si="1531"/>
        <v>11.223212818042001</v>
      </c>
      <c r="DV935" s="346">
        <f t="shared" si="1531"/>
        <v>3.1183098931750002</v>
      </c>
      <c r="DW935" s="346">
        <f t="shared" ref="DW935:FB935" si="1532">DW24</f>
        <v>21.614232810366996</v>
      </c>
      <c r="DX935" s="346">
        <f t="shared" si="1532"/>
        <v>21.526583004928</v>
      </c>
      <c r="DY935" s="346">
        <f t="shared" si="1532"/>
        <v>12.780071612072998</v>
      </c>
      <c r="DZ935" s="348">
        <f t="shared" si="1532"/>
        <v>21.164277456465001</v>
      </c>
      <c r="EA935" s="346">
        <f t="shared" si="1532"/>
        <v>9.7045831328230001</v>
      </c>
      <c r="EB935" s="346">
        <f t="shared" si="1532"/>
        <v>14.178791869796999</v>
      </c>
      <c r="EC935" s="346">
        <f t="shared" si="1532"/>
        <v>4.1068273863379989</v>
      </c>
      <c r="ED935" s="346">
        <f t="shared" si="1532"/>
        <v>14.499453949647002</v>
      </c>
      <c r="EE935" s="346">
        <f t="shared" si="1532"/>
        <v>8.0689371946400001</v>
      </c>
      <c r="EF935" s="346">
        <f t="shared" si="1532"/>
        <v>16.683415901944997</v>
      </c>
      <c r="EG935" s="346">
        <f t="shared" si="1532"/>
        <v>20.175523392911998</v>
      </c>
      <c r="EH935" s="346">
        <f t="shared" si="1532"/>
        <v>4.4105177353120002</v>
      </c>
      <c r="EI935" s="346">
        <f t="shared" si="1532"/>
        <v>18.571578294357</v>
      </c>
      <c r="EJ935" s="346">
        <f t="shared" si="1532"/>
        <v>12.140062738398001</v>
      </c>
      <c r="EK935" s="346">
        <f t="shared" si="1532"/>
        <v>19.123543562072001</v>
      </c>
      <c r="EL935" s="348">
        <f t="shared" si="1532"/>
        <v>28.687180347918996</v>
      </c>
      <c r="EM935" s="346">
        <f t="shared" si="1532"/>
        <v>10.477656590839999</v>
      </c>
      <c r="EN935" s="346">
        <f t="shared" si="1532"/>
        <v>2.1647688006760002</v>
      </c>
      <c r="EO935" s="346">
        <f t="shared" si="1532"/>
        <v>15.058106803279999</v>
      </c>
      <c r="EP935" s="346">
        <f t="shared" si="1532"/>
        <v>3.5079863831359996</v>
      </c>
      <c r="EQ935" s="346">
        <f t="shared" si="1532"/>
        <v>15.281142754074001</v>
      </c>
      <c r="ER935" s="346">
        <f t="shared" si="1532"/>
        <v>26.971773235696993</v>
      </c>
      <c r="ES935" s="346">
        <f t="shared" si="1532"/>
        <v>23.575918671628003</v>
      </c>
      <c r="ET935" s="346">
        <f t="shared" si="1532"/>
        <v>16.006098219428999</v>
      </c>
      <c r="EU935" s="346">
        <f t="shared" si="1532"/>
        <v>17.722634921015</v>
      </c>
      <c r="EV935" s="346">
        <f t="shared" si="1532"/>
        <v>14.858032673780999</v>
      </c>
      <c r="EW935" s="346">
        <f t="shared" si="1532"/>
        <v>19.614621516160998</v>
      </c>
      <c r="EX935" s="348">
        <f t="shared" si="1532"/>
        <v>49.68972366989501</v>
      </c>
      <c r="EY935" s="346">
        <f t="shared" si="1532"/>
        <v>19.924202328219</v>
      </c>
      <c r="EZ935" s="346">
        <f t="shared" si="1532"/>
        <v>27.841981081697003</v>
      </c>
      <c r="FA935" s="346">
        <f t="shared" si="1532"/>
        <v>9.9377495896189991</v>
      </c>
      <c r="FB935" s="346">
        <f t="shared" si="1532"/>
        <v>17.643032780835</v>
      </c>
      <c r="FC935" s="346">
        <f t="shared" ref="FC935:FV935" si="1533">FC24</f>
        <v>24.679553929534006</v>
      </c>
      <c r="FD935" s="346">
        <f t="shared" si="1533"/>
        <v>36.914323498831997</v>
      </c>
      <c r="FE935" s="346">
        <f t="shared" si="1533"/>
        <v>23.042271596590833</v>
      </c>
      <c r="FF935" s="346">
        <f t="shared" si="1533"/>
        <v>23.042271596590833</v>
      </c>
      <c r="FG935" s="346">
        <f t="shared" si="1533"/>
        <v>23.042271596590833</v>
      </c>
      <c r="FH935" s="346">
        <f t="shared" si="1533"/>
        <v>27.301130899202501</v>
      </c>
      <c r="FI935" s="346">
        <f t="shared" si="1533"/>
        <v>27.301130899202501</v>
      </c>
      <c r="FJ935" s="348">
        <f t="shared" si="1533"/>
        <v>27.301130899202501</v>
      </c>
      <c r="FK935" s="346">
        <f t="shared" si="1533"/>
        <v>117.575863139036</v>
      </c>
      <c r="FL935" s="346">
        <f t="shared" si="1533"/>
        <v>44.259788753746001</v>
      </c>
      <c r="FM935" s="346">
        <f t="shared" si="1533"/>
        <v>18.768165997943996</v>
      </c>
      <c r="FN935" s="346">
        <f t="shared" si="1533"/>
        <v>12.931676679849998</v>
      </c>
      <c r="FO935" s="346">
        <f t="shared" si="1533"/>
        <v>25.497255099752</v>
      </c>
      <c r="FP935" s="346">
        <f t="shared" si="1533"/>
        <v>27.715972263397997</v>
      </c>
      <c r="FQ935" s="346">
        <f t="shared" si="1533"/>
        <v>16.024197946205</v>
      </c>
      <c r="FR935" s="346">
        <f t="shared" si="1533"/>
        <v>13.750472737393999</v>
      </c>
      <c r="FS935" s="346">
        <f t="shared" si="1533"/>
        <v>35.751266564339986</v>
      </c>
      <c r="FT935" s="346">
        <f t="shared" si="1533"/>
        <v>26.086093328253</v>
      </c>
      <c r="FU935" s="346">
        <f t="shared" si="1533"/>
        <v>8.9790092985810013</v>
      </c>
      <c r="FV935" s="346">
        <f t="shared" si="1533"/>
        <v>43.230276040410004</v>
      </c>
      <c r="FW935" s="346">
        <v>31.975558265251003</v>
      </c>
      <c r="FX935" s="346">
        <v>21.442936379576999</v>
      </c>
      <c r="FY935" s="346">
        <v>33.697982377468996</v>
      </c>
      <c r="FZ935" s="346">
        <v>65.024764227000006</v>
      </c>
      <c r="GA935" s="346">
        <v>31.014908093999999</v>
      </c>
      <c r="GB935" s="346">
        <v>44.204778484999999</v>
      </c>
      <c r="GC935" s="346">
        <v>3.4298311076370003</v>
      </c>
      <c r="GD935" s="346">
        <v>20.862679986603997</v>
      </c>
      <c r="GE935" s="346">
        <v>18.005459701505991</v>
      </c>
      <c r="GF935" s="346">
        <v>21.540718199653</v>
      </c>
      <c r="GG935" s="346">
        <v>26.262921360992998</v>
      </c>
      <c r="GH935" s="346">
        <v>94.193047969999995</v>
      </c>
      <c r="GI935" s="1897">
        <v>21.089689929990001</v>
      </c>
      <c r="GJ935" s="1897">
        <v>12.047433845630001</v>
      </c>
      <c r="GK935" s="1897">
        <v>82.647879174370004</v>
      </c>
      <c r="GL935" s="1897">
        <v>28.692948375380006</v>
      </c>
      <c r="GM935" s="1897">
        <v>13.105693843020003</v>
      </c>
      <c r="GN935" s="1897">
        <v>47.536420291729996</v>
      </c>
      <c r="GO935" s="1897">
        <v>32.610284015775001</v>
      </c>
      <c r="GP935" s="1897">
        <v>32.288064439738001</v>
      </c>
      <c r="GQ935" s="1897">
        <v>67.569872539294977</v>
      </c>
      <c r="GR935" s="1897">
        <v>18.009931112640992</v>
      </c>
      <c r="GS935" s="1897">
        <v>23.205993021143005</v>
      </c>
      <c r="GT935" s="1897">
        <v>47.667523324553009</v>
      </c>
      <c r="GU935" s="1897">
        <v>21.910529276230999</v>
      </c>
      <c r="GV935" s="1897">
        <v>42.197749617607002</v>
      </c>
      <c r="GW935" s="1897">
        <v>49.829994886929001</v>
      </c>
      <c r="GX935" s="1897">
        <v>39.515026511001999</v>
      </c>
      <c r="GY935" s="1897">
        <v>66.984583489333005</v>
      </c>
      <c r="GZ935" s="1897">
        <v>100.25194032583398</v>
      </c>
      <c r="HA935" s="1897">
        <v>31.435793520262003</v>
      </c>
      <c r="HB935" s="1897">
        <v>21.236010936550997</v>
      </c>
      <c r="HC935" s="1897">
        <v>79.633581699936997</v>
      </c>
      <c r="HD935" s="1897">
        <v>40.509249266334002</v>
      </c>
      <c r="HE935" s="1897">
        <v>18.274648314265999</v>
      </c>
      <c r="HF935" s="1897">
        <v>128.23267715206299</v>
      </c>
      <c r="HG935" s="1897">
        <v>46.240074034787</v>
      </c>
      <c r="HH935" s="1897">
        <v>18.851928557981999</v>
      </c>
      <c r="HI935" s="1897">
        <v>66.773321375757007</v>
      </c>
      <c r="HJ935" s="1897">
        <v>58.791450083427002</v>
      </c>
      <c r="HK935" s="1897">
        <v>41.309979391441992</v>
      </c>
      <c r="HL935" s="1897">
        <v>125.98736276827307</v>
      </c>
      <c r="HM935" s="1897"/>
      <c r="HN935" s="349"/>
      <c r="HO935" s="360" t="s">
        <v>539</v>
      </c>
      <c r="HP935" s="307">
        <f>SUM(CE935:CJ935)</f>
        <v>31.12810837</v>
      </c>
      <c r="HQ935" s="302">
        <f>SUM(CK935:CP935)</f>
        <v>35.581171035110003</v>
      </c>
      <c r="HR935" s="346">
        <f>HP935+HQ935</f>
        <v>66.70927940511001</v>
      </c>
      <c r="HS935" s="302">
        <f>SUM(CQ935:CV935)</f>
        <v>53.520174166491003</v>
      </c>
      <c r="HT935" s="302">
        <f>SUM(CW935:DB935)</f>
        <v>45.713026901280998</v>
      </c>
      <c r="HU935" s="346">
        <f>HS935+HT935</f>
        <v>99.233201067772001</v>
      </c>
      <c r="HV935" s="307">
        <f>SUM(DC935:DH935)</f>
        <v>51.563834505227</v>
      </c>
      <c r="HW935" s="302">
        <f>SUM(DI935:DN935)</f>
        <v>51.30418083640599</v>
      </c>
      <c r="HX935" s="346">
        <f>HV935+HW935</f>
        <v>102.868015341633</v>
      </c>
      <c r="HY935" s="350">
        <f>SUM(DO935:DT935)</f>
        <v>69.322489574778999</v>
      </c>
      <c r="HZ935" s="302">
        <f>SUM(DU935:DZ935)</f>
        <v>91.426687595049998</v>
      </c>
      <c r="IA935" s="346">
        <f>HY935+HZ935</f>
        <v>160.74917716982901</v>
      </c>
      <c r="IB935" s="302">
        <f>SUM(EA935:EF935)</f>
        <v>67.242009435189999</v>
      </c>
      <c r="IC935" s="302">
        <f>SUM(EG935:EL935)</f>
        <v>103.10840607096999</v>
      </c>
      <c r="ID935" s="346">
        <f>IB935+IC935</f>
        <v>170.35041550616</v>
      </c>
      <c r="IE935" s="350">
        <f>SUM(EM935:ER935)</f>
        <v>73.46143456770298</v>
      </c>
      <c r="IF935" s="350">
        <f>SUM(ES935:EX935)</f>
        <v>141.46702967190902</v>
      </c>
      <c r="IG935" s="346">
        <f>IE935+IF935</f>
        <v>214.928464239612</v>
      </c>
      <c r="IH935" s="350">
        <f>SUM(EY935:FD935)</f>
        <v>136.940843208736</v>
      </c>
      <c r="II935" s="350">
        <f>SUM(FE935:FJ935)</f>
        <v>151.03020748738001</v>
      </c>
      <c r="IJ935" s="346">
        <f>IH935+II935</f>
        <v>287.97105069611598</v>
      </c>
      <c r="IK935" s="350">
        <f>SUM(FK935:FP935)</f>
        <v>246.74872193372602</v>
      </c>
      <c r="IL935" s="350">
        <f>SUM(FQ935:FV935)</f>
        <v>143.82131591518299</v>
      </c>
      <c r="IM935" s="346">
        <f t="shared" si="1430"/>
        <v>390.57003784890901</v>
      </c>
      <c r="IN935" s="350">
        <f>SUM(FW935:GB935)</f>
        <v>227.36092782829701</v>
      </c>
      <c r="IO935" s="350">
        <f>SUM(GC935:GH935)</f>
        <v>184.29465832639301</v>
      </c>
      <c r="IP935" s="346">
        <f t="shared" si="1443"/>
        <v>411.65558615469001</v>
      </c>
      <c r="IQ935" s="350">
        <f t="shared" si="1497"/>
        <v>205.12006546012</v>
      </c>
      <c r="IR935" s="350">
        <f t="shared" si="1498"/>
        <v>221.35166845314498</v>
      </c>
      <c r="IS935" s="346">
        <f t="shared" si="1513"/>
        <v>426.47173391326498</v>
      </c>
      <c r="IT935" s="350">
        <f>SUM(GU935:GZ935)</f>
        <v>320.68982410693599</v>
      </c>
      <c r="IU935" s="350">
        <f t="shared" si="1530"/>
        <v>319.32196088941294</v>
      </c>
      <c r="IV935" s="346">
        <f t="shared" si="1511"/>
        <v>640.01178499634898</v>
      </c>
      <c r="IW935" s="350">
        <f t="shared" si="1520"/>
        <v>357.95411621166807</v>
      </c>
      <c r="IX935" s="350">
        <f t="shared" si="1514"/>
        <v>250.72050672409853</v>
      </c>
      <c r="IY935" s="346">
        <f>FISC!AJ1255</f>
        <v>608.67462293576659</v>
      </c>
      <c r="IZ935" s="350">
        <f>FISC!AJ61*FISC!AK253/1000</f>
        <v>315.43787021755537</v>
      </c>
      <c r="JA935" s="350">
        <f>FISC!AK58*FISC!AK253/1000</f>
        <v>306.87930145655957</v>
      </c>
      <c r="JB935" s="346">
        <f>FISC!AK1255</f>
        <v>622.31717167411489</v>
      </c>
      <c r="JC935" s="350">
        <f>FISC!AK61*FISC!AL253/1000</f>
        <v>321.58208239153623</v>
      </c>
      <c r="JD935" s="350">
        <f>FISC!AL58*FISC!AL253/1000</f>
        <v>369.52166086346972</v>
      </c>
      <c r="JE935" s="346">
        <f>FISC!AL1255</f>
        <v>691.10374325500595</v>
      </c>
      <c r="JF935" s="302">
        <f>FISC!AL61*FISC!AM253/1000</f>
        <v>377.37603057688602</v>
      </c>
      <c r="JG935" s="302">
        <f>FISC!AM58*FISC!AM253/1000</f>
        <v>380.52681045704895</v>
      </c>
      <c r="JH935" s="346">
        <f>FISC!AM1255</f>
        <v>757.90284103393492</v>
      </c>
      <c r="JI935" s="302">
        <f>FISC!AM61*FISC!AN253/1000</f>
        <v>445.47554233776413</v>
      </c>
      <c r="JJ935" s="302">
        <f>FISC!AN58*FISC!AN253/1000</f>
        <v>421.41840806034168</v>
      </c>
      <c r="JK935" s="346">
        <f>FISC!AN1255</f>
        <v>866.89395039810574</v>
      </c>
      <c r="JL935" s="302">
        <f>FISC!AN61*FISC!AO253/1000</f>
        <v>469.60991019388968</v>
      </c>
      <c r="JM935" s="302">
        <f>FISC!AO58*FISC!AO253/1000</f>
        <v>509.0911739775222</v>
      </c>
      <c r="JN935" s="346">
        <f>FISC!AO1255</f>
        <v>978.70108417141194</v>
      </c>
      <c r="KI935" s="349"/>
      <c r="KJ935" s="350"/>
    </row>
    <row r="936" spans="1:302" hidden="1" outlineLevel="1">
      <c r="A936" s="302"/>
      <c r="D936" s="1606" t="s">
        <v>3256</v>
      </c>
      <c r="E936" s="346"/>
      <c r="F936" s="346"/>
      <c r="G936" s="346"/>
      <c r="H936" s="346"/>
      <c r="I936" s="346"/>
      <c r="J936" s="346"/>
      <c r="K936" s="346"/>
      <c r="L936" s="346"/>
      <c r="M936" s="346"/>
      <c r="N936" s="346"/>
      <c r="O936" s="346"/>
      <c r="P936" s="346"/>
      <c r="Q936" s="346"/>
      <c r="R936" s="346"/>
      <c r="S936" s="346"/>
      <c r="T936" s="346"/>
      <c r="U936" s="346"/>
      <c r="V936" s="346"/>
      <c r="W936" s="346"/>
      <c r="X936" s="346"/>
      <c r="Y936" s="346"/>
      <c r="Z936" s="346"/>
      <c r="AA936" s="346"/>
      <c r="AB936" s="346"/>
      <c r="AC936" s="346"/>
      <c r="AD936" s="346"/>
      <c r="AE936" s="346"/>
      <c r="AF936" s="346"/>
      <c r="AG936" s="346"/>
      <c r="AH936" s="346"/>
      <c r="AI936" s="346"/>
      <c r="AJ936" s="346"/>
      <c r="AK936" s="346"/>
      <c r="AL936" s="346"/>
      <c r="AM936" s="346"/>
      <c r="AN936" s="346"/>
      <c r="AO936" s="346"/>
      <c r="AP936" s="346"/>
      <c r="AQ936" s="346"/>
      <c r="AR936" s="346"/>
      <c r="AS936" s="346"/>
      <c r="AT936" s="346"/>
      <c r="AU936" s="346"/>
      <c r="AV936" s="346"/>
      <c r="AW936" s="346"/>
      <c r="AX936" s="346"/>
      <c r="AY936" s="346"/>
      <c r="AZ936" s="346"/>
      <c r="BA936" s="346"/>
      <c r="BB936" s="346"/>
      <c r="BC936" s="346"/>
      <c r="BD936" s="346"/>
      <c r="BE936" s="346"/>
      <c r="BF936" s="346"/>
      <c r="BG936" s="346"/>
      <c r="BH936" s="346"/>
      <c r="BI936" s="346"/>
      <c r="BJ936" s="346"/>
      <c r="BK936" s="346"/>
      <c r="BL936" s="346"/>
      <c r="BM936" s="346"/>
      <c r="BN936" s="346"/>
      <c r="BO936" s="346"/>
      <c r="BP936" s="346"/>
      <c r="BQ936" s="346"/>
      <c r="BR936" s="346"/>
      <c r="BS936" s="346"/>
      <c r="BT936" s="346"/>
      <c r="BU936" s="346"/>
      <c r="BV936" s="346"/>
      <c r="BW936" s="346"/>
      <c r="BX936" s="346"/>
      <c r="BY936" s="346"/>
      <c r="BZ936" s="346"/>
      <c r="CA936" s="346"/>
      <c r="CB936" s="346"/>
      <c r="CC936" s="346"/>
      <c r="CD936" s="352"/>
      <c r="CE936" s="346"/>
      <c r="CF936" s="346"/>
      <c r="CG936" s="346"/>
      <c r="CH936" s="346"/>
      <c r="CI936" s="346"/>
      <c r="CJ936" s="346"/>
      <c r="CK936" s="346"/>
      <c r="CL936" s="346"/>
      <c r="CM936" s="346"/>
      <c r="CN936" s="346"/>
      <c r="CO936" s="346"/>
      <c r="CP936" s="348"/>
      <c r="CQ936" s="346"/>
      <c r="CR936" s="346"/>
      <c r="CS936" s="346"/>
      <c r="CT936" s="346"/>
      <c r="CU936" s="346"/>
      <c r="CV936" s="346"/>
      <c r="CW936" s="346"/>
      <c r="CX936" s="346"/>
      <c r="CY936" s="346"/>
      <c r="CZ936" s="346"/>
      <c r="DA936" s="346"/>
      <c r="DB936" s="1479"/>
      <c r="DC936" s="346"/>
      <c r="DD936" s="346"/>
      <c r="DE936" s="346"/>
      <c r="DF936" s="346"/>
      <c r="DG936" s="346"/>
      <c r="DH936" s="346"/>
      <c r="DI936" s="346"/>
      <c r="DJ936" s="346"/>
      <c r="DK936" s="346"/>
      <c r="DL936" s="346"/>
      <c r="DM936" s="346"/>
      <c r="DN936" s="348"/>
      <c r="DO936" s="346"/>
      <c r="DP936" s="346"/>
      <c r="DQ936" s="346"/>
      <c r="DR936" s="346"/>
      <c r="DS936" s="346"/>
      <c r="DT936" s="346"/>
      <c r="DU936" s="346"/>
      <c r="DV936" s="346"/>
      <c r="DW936" s="346"/>
      <c r="DX936" s="346"/>
      <c r="DY936" s="346"/>
      <c r="DZ936" s="348"/>
      <c r="EA936" s="346"/>
      <c r="EB936" s="346"/>
      <c r="EC936" s="346"/>
      <c r="ED936" s="346"/>
      <c r="EE936" s="346"/>
      <c r="EF936" s="346"/>
      <c r="EG936" s="346"/>
      <c r="EH936" s="346"/>
      <c r="EI936" s="346"/>
      <c r="EJ936" s="346"/>
      <c r="EK936" s="346"/>
      <c r="EL936" s="348"/>
      <c r="EM936" s="346"/>
      <c r="EN936" s="346"/>
      <c r="EO936" s="346"/>
      <c r="EP936" s="346"/>
      <c r="EQ936" s="346"/>
      <c r="ER936" s="346"/>
      <c r="ES936" s="346"/>
      <c r="ET936" s="346"/>
      <c r="EU936" s="346"/>
      <c r="EV936" s="346"/>
      <c r="EW936" s="346"/>
      <c r="EX936" s="348"/>
      <c r="EY936" s="346"/>
      <c r="EZ936" s="346"/>
      <c r="FA936" s="346"/>
      <c r="FB936" s="346"/>
      <c r="FC936" s="346"/>
      <c r="FD936" s="346"/>
      <c r="FE936" s="346"/>
      <c r="FF936" s="346"/>
      <c r="FG936" s="346"/>
      <c r="FH936" s="346"/>
      <c r="FI936" s="346"/>
      <c r="FJ936" s="348"/>
      <c r="FK936" s="346"/>
      <c r="FL936" s="346"/>
      <c r="FM936" s="346"/>
      <c r="FN936" s="346"/>
      <c r="FO936" s="346"/>
      <c r="FP936" s="346"/>
      <c r="FQ936" s="346"/>
      <c r="FR936" s="346"/>
      <c r="FS936" s="346"/>
      <c r="FT936" s="346"/>
      <c r="FU936" s="346"/>
      <c r="FV936" s="346"/>
      <c r="FW936" s="346"/>
      <c r="FX936" s="346"/>
      <c r="FY936" s="346"/>
      <c r="FZ936" s="346"/>
      <c r="GA936" s="346"/>
      <c r="GB936" s="346"/>
      <c r="GC936" s="346"/>
      <c r="GD936" s="346"/>
      <c r="GE936" s="346"/>
      <c r="GF936" s="346"/>
      <c r="GG936" s="346"/>
      <c r="GH936" s="346"/>
      <c r="GI936" s="1897"/>
      <c r="HN936" s="349"/>
      <c r="HO936" s="1606" t="s">
        <v>3256</v>
      </c>
      <c r="HP936" s="307"/>
      <c r="HR936" s="346"/>
      <c r="HU936" s="346"/>
      <c r="HV936" s="307"/>
      <c r="HX936" s="346"/>
      <c r="HY936" s="350"/>
      <c r="IA936" s="346"/>
      <c r="ID936" s="346"/>
      <c r="IE936" s="350"/>
      <c r="IF936" s="350"/>
      <c r="IG936" s="346"/>
      <c r="IH936" s="350"/>
      <c r="II936" s="350"/>
      <c r="IJ936" s="346"/>
      <c r="IK936" s="350"/>
      <c r="IL936" s="350"/>
      <c r="IM936" s="346"/>
      <c r="IN936" s="350"/>
      <c r="IO936" s="350"/>
      <c r="IP936" s="346"/>
      <c r="IQ936" s="350">
        <f t="shared" si="1497"/>
        <v>0</v>
      </c>
      <c r="IR936" s="350">
        <f t="shared" si="1498"/>
        <v>0</v>
      </c>
      <c r="IS936" s="346">
        <f t="shared" si="1513"/>
        <v>0</v>
      </c>
      <c r="IT936" s="350"/>
      <c r="IU936" s="350">
        <f t="shared" si="1530"/>
        <v>0</v>
      </c>
      <c r="IV936" s="346">
        <f t="shared" si="1511"/>
        <v>0</v>
      </c>
      <c r="IW936" s="350">
        <f t="shared" si="1520"/>
        <v>0</v>
      </c>
      <c r="IX936" s="350">
        <f t="shared" si="1514"/>
        <v>0</v>
      </c>
      <c r="IY936" s="346"/>
      <c r="IZ936" s="350"/>
      <c r="JB936" s="346">
        <f>FISC!AK1256</f>
        <v>0</v>
      </c>
      <c r="JC936" s="350"/>
      <c r="JE936" s="346">
        <f>FISC!AL1256</f>
        <v>0</v>
      </c>
      <c r="JH936" s="346">
        <f>FISC!AM1256</f>
        <v>0</v>
      </c>
      <c r="JK936" s="346">
        <f>FISC!AN1256</f>
        <v>0</v>
      </c>
      <c r="JN936" s="346">
        <f>FISC!AO1256</f>
        <v>0</v>
      </c>
      <c r="KI936" s="349"/>
      <c r="KJ936" s="350"/>
    </row>
    <row r="937" spans="1:302" hidden="1" outlineLevel="1">
      <c r="A937" s="302"/>
      <c r="D937" s="1606" t="s">
        <v>3199</v>
      </c>
      <c r="E937" s="346"/>
      <c r="F937" s="346"/>
      <c r="G937" s="346"/>
      <c r="H937" s="346"/>
      <c r="I937" s="346"/>
      <c r="J937" s="346"/>
      <c r="K937" s="346"/>
      <c r="L937" s="346"/>
      <c r="M937" s="346"/>
      <c r="N937" s="346"/>
      <c r="O937" s="346"/>
      <c r="P937" s="346"/>
      <c r="Q937" s="346"/>
      <c r="R937" s="346"/>
      <c r="S937" s="346"/>
      <c r="T937" s="346"/>
      <c r="U937" s="346"/>
      <c r="V937" s="346"/>
      <c r="W937" s="346"/>
      <c r="X937" s="346"/>
      <c r="Y937" s="346"/>
      <c r="Z937" s="346"/>
      <c r="AA937" s="346"/>
      <c r="AB937" s="346"/>
      <c r="AC937" s="346"/>
      <c r="AD937" s="346"/>
      <c r="AE937" s="346"/>
      <c r="AF937" s="346"/>
      <c r="AG937" s="346"/>
      <c r="AH937" s="346"/>
      <c r="AI937" s="346"/>
      <c r="AJ937" s="346"/>
      <c r="AK937" s="346"/>
      <c r="AL937" s="346"/>
      <c r="AM937" s="346"/>
      <c r="AN937" s="346"/>
      <c r="AO937" s="346"/>
      <c r="AP937" s="346"/>
      <c r="AQ937" s="346"/>
      <c r="AR937" s="346"/>
      <c r="AS937" s="346"/>
      <c r="AT937" s="346"/>
      <c r="AU937" s="346"/>
      <c r="AV937" s="346"/>
      <c r="AW937" s="346"/>
      <c r="AX937" s="346"/>
      <c r="AY937" s="346"/>
      <c r="AZ937" s="346"/>
      <c r="BA937" s="346"/>
      <c r="BB937" s="346"/>
      <c r="BC937" s="346"/>
      <c r="BD937" s="346"/>
      <c r="BE937" s="346"/>
      <c r="BF937" s="346"/>
      <c r="BG937" s="346"/>
      <c r="BH937" s="346"/>
      <c r="BI937" s="346"/>
      <c r="BJ937" s="346"/>
      <c r="BK937" s="346"/>
      <c r="BL937" s="346"/>
      <c r="BM937" s="346"/>
      <c r="BN937" s="346"/>
      <c r="BO937" s="346"/>
      <c r="BP937" s="346"/>
      <c r="BQ937" s="346"/>
      <c r="BR937" s="346"/>
      <c r="BS937" s="346"/>
      <c r="BT937" s="346"/>
      <c r="BU937" s="346"/>
      <c r="BV937" s="346"/>
      <c r="BW937" s="346"/>
      <c r="BX937" s="346"/>
      <c r="BY937" s="346"/>
      <c r="BZ937" s="346"/>
      <c r="CA937" s="346"/>
      <c r="CB937" s="346"/>
      <c r="CC937" s="346"/>
      <c r="CD937" s="352"/>
      <c r="CE937" s="346"/>
      <c r="CF937" s="346"/>
      <c r="CG937" s="346"/>
      <c r="CH937" s="346"/>
      <c r="CI937" s="346"/>
      <c r="CJ937" s="346"/>
      <c r="CK937" s="346"/>
      <c r="CL937" s="346"/>
      <c r="CM937" s="346"/>
      <c r="CN937" s="346"/>
      <c r="CO937" s="346"/>
      <c r="CP937" s="348"/>
      <c r="CQ937" s="346"/>
      <c r="CR937" s="346"/>
      <c r="CS937" s="346"/>
      <c r="CT937" s="346"/>
      <c r="CU937" s="346"/>
      <c r="CV937" s="346"/>
      <c r="CW937" s="346"/>
      <c r="CX937" s="346"/>
      <c r="CY937" s="346"/>
      <c r="CZ937" s="346"/>
      <c r="DA937" s="346"/>
      <c r="DB937" s="1479"/>
      <c r="DC937" s="346"/>
      <c r="DD937" s="346"/>
      <c r="DE937" s="346"/>
      <c r="DF937" s="346"/>
      <c r="DG937" s="346"/>
      <c r="DH937" s="346"/>
      <c r="DI937" s="346"/>
      <c r="DJ937" s="346"/>
      <c r="DK937" s="346"/>
      <c r="DL937" s="346"/>
      <c r="DM937" s="346"/>
      <c r="DN937" s="348"/>
      <c r="DO937" s="346"/>
      <c r="DP937" s="346"/>
      <c r="DQ937" s="346"/>
      <c r="DR937" s="346"/>
      <c r="DS937" s="346"/>
      <c r="DT937" s="346"/>
      <c r="DU937" s="346"/>
      <c r="DV937" s="346"/>
      <c r="DW937" s="346"/>
      <c r="DX937" s="346"/>
      <c r="DY937" s="346"/>
      <c r="DZ937" s="348"/>
      <c r="EA937" s="346"/>
      <c r="EB937" s="346"/>
      <c r="EC937" s="346"/>
      <c r="ED937" s="346"/>
      <c r="EE937" s="346"/>
      <c r="EF937" s="346"/>
      <c r="EG937" s="346"/>
      <c r="EH937" s="346"/>
      <c r="EI937" s="346"/>
      <c r="EJ937" s="346"/>
      <c r="EK937" s="346"/>
      <c r="EL937" s="348"/>
      <c r="EM937" s="346"/>
      <c r="EN937" s="346"/>
      <c r="EO937" s="346"/>
      <c r="EP937" s="346"/>
      <c r="EQ937" s="346"/>
      <c r="ER937" s="346"/>
      <c r="ES937" s="346"/>
      <c r="ET937" s="346"/>
      <c r="EU937" s="346"/>
      <c r="EV937" s="346"/>
      <c r="EW937" s="346"/>
      <c r="EX937" s="348"/>
      <c r="EY937" s="346"/>
      <c r="EZ937" s="346"/>
      <c r="FA937" s="346"/>
      <c r="FB937" s="346"/>
      <c r="FC937" s="346"/>
      <c r="FD937" s="346"/>
      <c r="FE937" s="346"/>
      <c r="FF937" s="346"/>
      <c r="FG937" s="346"/>
      <c r="FH937" s="346"/>
      <c r="FI937" s="346"/>
      <c r="FJ937" s="348"/>
      <c r="FK937" s="346"/>
      <c r="FL937" s="346"/>
      <c r="FM937" s="346"/>
      <c r="FN937" s="346"/>
      <c r="FO937" s="346"/>
      <c r="FP937" s="346"/>
      <c r="FQ937" s="346"/>
      <c r="FR937" s="346"/>
      <c r="FS937" s="346"/>
      <c r="FT937" s="346"/>
      <c r="FU937" s="346"/>
      <c r="FV937" s="346"/>
      <c r="FW937" s="346"/>
      <c r="FX937" s="346"/>
      <c r="FY937" s="346"/>
      <c r="FZ937" s="346"/>
      <c r="GA937" s="346"/>
      <c r="GB937" s="346"/>
      <c r="GC937" s="346"/>
      <c r="GD937" s="346"/>
      <c r="GE937" s="346"/>
      <c r="GF937" s="346"/>
      <c r="GG937" s="346"/>
      <c r="GH937" s="346"/>
      <c r="GI937" s="1897">
        <v>6.0993216676299999</v>
      </c>
      <c r="GJ937" s="1897">
        <v>0</v>
      </c>
      <c r="GK937" s="1897">
        <v>50.186662006339994</v>
      </c>
      <c r="GL937" s="1897">
        <v>0</v>
      </c>
      <c r="GM937" s="1897">
        <v>0</v>
      </c>
      <c r="GN937" s="1897">
        <v>0</v>
      </c>
      <c r="GO937" s="378">
        <v>0</v>
      </c>
      <c r="GP937" s="378">
        <v>0</v>
      </c>
      <c r="GQ937" s="378">
        <v>0</v>
      </c>
      <c r="GR937" s="378">
        <v>0</v>
      </c>
      <c r="GS937" s="378">
        <v>0</v>
      </c>
      <c r="GT937" s="378">
        <v>0</v>
      </c>
      <c r="GU937" s="378">
        <v>0</v>
      </c>
      <c r="GV937" s="378">
        <v>0</v>
      </c>
      <c r="GW937" s="378">
        <v>0</v>
      </c>
      <c r="GX937" s="378">
        <v>12.229799610000001</v>
      </c>
      <c r="GY937" s="378">
        <v>0</v>
      </c>
      <c r="GZ937" s="378">
        <v>0</v>
      </c>
      <c r="HA937" s="378">
        <v>0</v>
      </c>
      <c r="HB937" s="378">
        <v>0</v>
      </c>
      <c r="HC937" s="378">
        <v>0</v>
      </c>
      <c r="HD937" s="378">
        <v>0</v>
      </c>
      <c r="HE937" s="378">
        <v>0</v>
      </c>
      <c r="HF937" s="378">
        <v>34.103722865126997</v>
      </c>
      <c r="HG937" s="378">
        <v>0</v>
      </c>
      <c r="HH937" s="378">
        <v>0</v>
      </c>
      <c r="HI937" s="378">
        <v>33.791349979418996</v>
      </c>
      <c r="HJ937" s="378">
        <v>4.2459122842379999</v>
      </c>
      <c r="HK937" s="378">
        <v>0</v>
      </c>
      <c r="HL937" s="378">
        <v>0</v>
      </c>
      <c r="HN937" s="349"/>
      <c r="HO937" s="1606" t="s">
        <v>3199</v>
      </c>
      <c r="HP937" s="307"/>
      <c r="HR937" s="346"/>
      <c r="HU937" s="346"/>
      <c r="HV937" s="307"/>
      <c r="HX937" s="346"/>
      <c r="HY937" s="350"/>
      <c r="IA937" s="346"/>
      <c r="ID937" s="346"/>
      <c r="IE937" s="350"/>
      <c r="IF937" s="350"/>
      <c r="IG937" s="346"/>
      <c r="IH937" s="350"/>
      <c r="II937" s="350"/>
      <c r="IJ937" s="346"/>
      <c r="IK937" s="350"/>
      <c r="IL937" s="350">
        <f>SUM(FQ937:FV937)</f>
        <v>0</v>
      </c>
      <c r="IM937" s="346">
        <f t="shared" si="1430"/>
        <v>0</v>
      </c>
      <c r="IN937" s="350">
        <f>SUM(FW937:GB937)</f>
        <v>0</v>
      </c>
      <c r="IO937" s="350">
        <f>SUM(GC937:GH937)</f>
        <v>0</v>
      </c>
      <c r="IP937" s="346">
        <f t="shared" si="1443"/>
        <v>0</v>
      </c>
      <c r="IQ937" s="350">
        <f t="shared" si="1497"/>
        <v>56.285983673969994</v>
      </c>
      <c r="IR937" s="350">
        <f t="shared" si="1498"/>
        <v>0</v>
      </c>
      <c r="IS937" s="346">
        <f t="shared" si="1513"/>
        <v>56.285983673969994</v>
      </c>
      <c r="IT937" s="350">
        <f>SUM(GU937:GZ937)</f>
        <v>12.229799610000001</v>
      </c>
      <c r="IU937" s="350">
        <f t="shared" si="1530"/>
        <v>34.103722865126997</v>
      </c>
      <c r="IV937" s="346">
        <f t="shared" si="1511"/>
        <v>46.333522475126998</v>
      </c>
      <c r="IW937" s="350">
        <f t="shared" si="1520"/>
        <v>38.037262263656999</v>
      </c>
      <c r="IX937" s="350">
        <f t="shared" si="1514"/>
        <v>5.6289984947146294</v>
      </c>
      <c r="IY937" s="346">
        <f>FISC!AJ1257</f>
        <v>43.666260758371628</v>
      </c>
      <c r="IZ937" s="350">
        <f>JB937/2</f>
        <v>12.396420377995154</v>
      </c>
      <c r="JA937" s="350">
        <f>JB937-IZ937</f>
        <v>12.396420377995154</v>
      </c>
      <c r="JB937" s="346">
        <f>FISC!AK1257</f>
        <v>24.792840755990309</v>
      </c>
      <c r="JC937" s="350">
        <f>JE937/2</f>
        <v>0</v>
      </c>
      <c r="JD937" s="350">
        <f>JE937-JC937</f>
        <v>0</v>
      </c>
      <c r="JE937" s="346">
        <f>FISC!AL1257</f>
        <v>0</v>
      </c>
      <c r="JF937" s="350">
        <f>JH937/2</f>
        <v>0</v>
      </c>
      <c r="JG937" s="350">
        <f>JH937-JF937</f>
        <v>0</v>
      </c>
      <c r="JH937" s="346">
        <f>FISC!AM1257</f>
        <v>0</v>
      </c>
      <c r="JI937" s="350">
        <f>JK937/2</f>
        <v>0</v>
      </c>
      <c r="JJ937" s="350">
        <f>JK937-JI937</f>
        <v>0</v>
      </c>
      <c r="JK937" s="346">
        <f>FISC!AN1257</f>
        <v>0</v>
      </c>
      <c r="JL937" s="350">
        <f>JN937/2</f>
        <v>0</v>
      </c>
      <c r="JM937" s="350">
        <f>JN937-JL937</f>
        <v>0</v>
      </c>
      <c r="JN937" s="346">
        <f>FISC!AO1257</f>
        <v>0</v>
      </c>
      <c r="KI937" s="349"/>
      <c r="KJ937" s="350"/>
    </row>
    <row r="938" spans="1:302" hidden="1" outlineLevel="1">
      <c r="A938" s="302"/>
      <c r="B938" s="117" t="s">
        <v>361</v>
      </c>
      <c r="D938" s="358" t="s">
        <v>611</v>
      </c>
      <c r="E938" s="346"/>
      <c r="F938" s="346"/>
      <c r="G938" s="346"/>
      <c r="H938" s="346"/>
      <c r="I938" s="346"/>
      <c r="J938" s="346"/>
      <c r="K938" s="346"/>
      <c r="L938" s="346"/>
      <c r="M938" s="346"/>
      <c r="N938" s="346"/>
      <c r="O938" s="346"/>
      <c r="P938" s="346"/>
      <c r="Q938" s="346"/>
      <c r="R938" s="346"/>
      <c r="S938" s="346"/>
      <c r="T938" s="346"/>
      <c r="U938" s="346"/>
      <c r="V938" s="346"/>
      <c r="W938" s="346"/>
      <c r="X938" s="346"/>
      <c r="Y938" s="346"/>
      <c r="Z938" s="346"/>
      <c r="AA938" s="346"/>
      <c r="AB938" s="346"/>
      <c r="AC938" s="346"/>
      <c r="AD938" s="346"/>
      <c r="AE938" s="346"/>
      <c r="AF938" s="346"/>
      <c r="AG938" s="346"/>
      <c r="AH938" s="346"/>
      <c r="AI938" s="346"/>
      <c r="AJ938" s="346"/>
      <c r="AK938" s="346"/>
      <c r="AL938" s="346"/>
      <c r="AM938" s="346"/>
      <c r="AN938" s="346"/>
      <c r="AO938" s="346"/>
      <c r="AP938" s="346"/>
      <c r="AQ938" s="346"/>
      <c r="AR938" s="346"/>
      <c r="AS938" s="346"/>
      <c r="AT938" s="346"/>
      <c r="AU938" s="346"/>
      <c r="AV938" s="346"/>
      <c r="AW938" s="346"/>
      <c r="AX938" s="346"/>
      <c r="AY938" s="346"/>
      <c r="AZ938" s="346"/>
      <c r="BA938" s="346"/>
      <c r="BB938" s="346"/>
      <c r="BC938" s="346"/>
      <c r="BD938" s="346"/>
      <c r="BE938" s="346"/>
      <c r="BF938" s="346"/>
      <c r="BG938" s="346"/>
      <c r="BH938" s="346"/>
      <c r="BI938" s="346"/>
      <c r="BJ938" s="346"/>
      <c r="BK938" s="346"/>
      <c r="BL938" s="346"/>
      <c r="BM938" s="346"/>
      <c r="BN938" s="346"/>
      <c r="BO938" s="346"/>
      <c r="BP938" s="346"/>
      <c r="BQ938" s="346"/>
      <c r="BR938" s="346"/>
      <c r="BS938" s="346"/>
      <c r="BT938" s="346"/>
      <c r="BU938" s="346"/>
      <c r="BV938" s="346"/>
      <c r="BW938" s="346"/>
      <c r="BX938" s="346"/>
      <c r="BY938" s="346"/>
      <c r="BZ938" s="346"/>
      <c r="CA938" s="346"/>
      <c r="CB938" s="346"/>
      <c r="CC938" s="346"/>
      <c r="CD938" s="352"/>
      <c r="CE938" s="346">
        <v>0.75231223210998577</v>
      </c>
      <c r="CF938" s="346">
        <v>0.10966848389490923</v>
      </c>
      <c r="CG938" s="346">
        <v>0.47387485241576605</v>
      </c>
      <c r="CH938" s="346">
        <v>1.4513836032679843</v>
      </c>
      <c r="CI938" s="346">
        <v>0.58777857013412638</v>
      </c>
      <c r="CJ938" s="346">
        <v>0.67328982647967961</v>
      </c>
      <c r="CK938" s="346">
        <v>0.65696933155801895</v>
      </c>
      <c r="CL938" s="346">
        <v>0.13550613930183492</v>
      </c>
      <c r="CM938" s="346">
        <v>0.94102121532754346</v>
      </c>
      <c r="CN938" s="346">
        <v>1.6646100604409304</v>
      </c>
      <c r="CO938" s="346">
        <v>1.4997860588471599</v>
      </c>
      <c r="CP938" s="348">
        <v>2.092424797395688</v>
      </c>
      <c r="CQ938" s="346">
        <f t="shared" ref="CQ938:DV938" si="1534">CQ34</f>
        <v>0.81872423393511529</v>
      </c>
      <c r="CR938" s="346">
        <f t="shared" si="1534"/>
        <v>0.11637316555133259</v>
      </c>
      <c r="CS938" s="346">
        <f t="shared" si="1534"/>
        <v>0.98822693728794064</v>
      </c>
      <c r="CT938" s="346">
        <f t="shared" si="1534"/>
        <v>1.9076891664129094</v>
      </c>
      <c r="CU938" s="346">
        <f t="shared" si="1534"/>
        <v>1.6371101983136604</v>
      </c>
      <c r="CV938" s="346">
        <f t="shared" si="1534"/>
        <v>1.2823343003148511</v>
      </c>
      <c r="CW938" s="346">
        <f t="shared" si="1534"/>
        <v>0.54259925348207405</v>
      </c>
      <c r="CX938" s="346">
        <f t="shared" si="1534"/>
        <v>0.16658080707395662</v>
      </c>
      <c r="CY938" s="346">
        <f t="shared" si="1534"/>
        <v>0.64064937036626235</v>
      </c>
      <c r="CZ938" s="346">
        <f t="shared" si="1534"/>
        <v>2.6615469227826445</v>
      </c>
      <c r="DA938" s="346">
        <f t="shared" si="1534"/>
        <v>1.4873097549746874</v>
      </c>
      <c r="DB938" s="1479">
        <f t="shared" si="1534"/>
        <v>2.3879191262870338</v>
      </c>
      <c r="DC938" s="346">
        <f t="shared" si="1534"/>
        <v>0.7496316773618682</v>
      </c>
      <c r="DD938" s="346">
        <f t="shared" si="1534"/>
        <v>0.18844025208556964</v>
      </c>
      <c r="DE938" s="346">
        <f t="shared" si="1534"/>
        <v>1.1651190338380673</v>
      </c>
      <c r="DF938" s="346">
        <f t="shared" si="1534"/>
        <v>2.3537645624842876</v>
      </c>
      <c r="DG938" s="346">
        <f t="shared" si="1534"/>
        <v>0.81354493592348931</v>
      </c>
      <c r="DH938" s="346">
        <f t="shared" si="1534"/>
        <v>2.3913343737472514</v>
      </c>
      <c r="DI938" s="346">
        <f t="shared" si="1534"/>
        <v>0.82900468326802634</v>
      </c>
      <c r="DJ938" s="346">
        <f t="shared" si="1534"/>
        <v>0.11983319186926601</v>
      </c>
      <c r="DK938" s="346">
        <f t="shared" si="1534"/>
        <v>2.3683025380918479</v>
      </c>
      <c r="DL938" s="346">
        <f t="shared" si="1534"/>
        <v>2.6336685600717291</v>
      </c>
      <c r="DM938" s="346">
        <f t="shared" si="1534"/>
        <v>1.9423298927616031</v>
      </c>
      <c r="DN938" s="348">
        <f t="shared" si="1534"/>
        <v>1.5664812432107276</v>
      </c>
      <c r="DO938" s="346">
        <f t="shared" si="1534"/>
        <v>0.81482773460129687</v>
      </c>
      <c r="DP938" s="346">
        <f t="shared" si="1534"/>
        <v>0.18105762339779582</v>
      </c>
      <c r="DQ938" s="346">
        <f t="shared" si="1534"/>
        <v>4.1449209053121328</v>
      </c>
      <c r="DR938" s="346">
        <f t="shared" si="1534"/>
        <v>1.6766759256303281</v>
      </c>
      <c r="DS938" s="346">
        <f t="shared" si="1534"/>
        <v>1.6324040521808563</v>
      </c>
      <c r="DT938" s="346">
        <f t="shared" si="1534"/>
        <v>1.9212676525864625</v>
      </c>
      <c r="DU938" s="346">
        <f t="shared" si="1534"/>
        <v>0.70013142949925244</v>
      </c>
      <c r="DV938" s="346">
        <f t="shared" si="1534"/>
        <v>0.1429723286373058</v>
      </c>
      <c r="DW938" s="346">
        <f t="shared" ref="DW938:FB938" si="1535">DW34</f>
        <v>5.3287087216909566</v>
      </c>
      <c r="DX938" s="346">
        <f t="shared" si="1535"/>
        <v>1.5963297269627943</v>
      </c>
      <c r="DY938" s="346">
        <f t="shared" si="1535"/>
        <v>2.1598769611755211</v>
      </c>
      <c r="DZ938" s="348">
        <f t="shared" si="1535"/>
        <v>1.2814078564345341</v>
      </c>
      <c r="EA938" s="346">
        <f t="shared" si="1535"/>
        <v>1.2814078564345341</v>
      </c>
      <c r="EB938" s="346">
        <f t="shared" si="1535"/>
        <v>0.1508550394771061</v>
      </c>
      <c r="EC938" s="346">
        <f t="shared" si="1535"/>
        <v>4.9908027326786346</v>
      </c>
      <c r="ED938" s="346">
        <f t="shared" si="1535"/>
        <v>2.0712650367908614</v>
      </c>
      <c r="EE938" s="346">
        <f t="shared" si="1535"/>
        <v>1.8791482955264269</v>
      </c>
      <c r="EF938" s="346">
        <f t="shared" si="1535"/>
        <v>2.1693559036259176</v>
      </c>
      <c r="EG938" s="346">
        <f t="shared" si="1535"/>
        <v>1.1618025330384665</v>
      </c>
      <c r="EH938" s="346">
        <f t="shared" si="1535"/>
        <v>0.51454785319515561</v>
      </c>
      <c r="EI938" s="346">
        <f t="shared" si="1535"/>
        <v>3.9915140101251882</v>
      </c>
      <c r="EJ938" s="346">
        <f t="shared" si="1535"/>
        <v>3.2862055830739316</v>
      </c>
      <c r="EK938" s="346">
        <f t="shared" si="1535"/>
        <v>1.5905199425173457</v>
      </c>
      <c r="EL938" s="348">
        <f t="shared" si="1535"/>
        <v>2.7303336994329461</v>
      </c>
      <c r="EM938" s="346">
        <f t="shared" si="1535"/>
        <v>1.3470474729735158</v>
      </c>
      <c r="EN938" s="346">
        <f t="shared" si="1535"/>
        <v>0.52934734873926026</v>
      </c>
      <c r="EO938" s="346">
        <f t="shared" si="1535"/>
        <v>4.0709369091479815</v>
      </c>
      <c r="EP938" s="346">
        <f t="shared" si="1535"/>
        <v>3.3849278688892088</v>
      </c>
      <c r="EQ938" s="346">
        <f t="shared" si="1535"/>
        <v>2.1046109426230299</v>
      </c>
      <c r="ER938" s="346">
        <f t="shared" si="1535"/>
        <v>1.862306207048356</v>
      </c>
      <c r="ES938" s="346">
        <f t="shared" si="1535"/>
        <v>1.1961686853698605</v>
      </c>
      <c r="ET938" s="346">
        <f t="shared" si="1535"/>
        <v>0.84681447803554177</v>
      </c>
      <c r="EU938" s="346">
        <f t="shared" si="1535"/>
        <v>6.3283366049876717</v>
      </c>
      <c r="EV938" s="346">
        <f t="shared" si="1535"/>
        <v>1.7937734377266965</v>
      </c>
      <c r="EW938" s="346">
        <f t="shared" si="1535"/>
        <v>3.4748833155086563</v>
      </c>
      <c r="EX938" s="348">
        <f t="shared" si="1535"/>
        <v>1.7258530270004859</v>
      </c>
      <c r="EY938" s="346">
        <f t="shared" si="1535"/>
        <v>1.2138781874569999</v>
      </c>
      <c r="EZ938" s="346">
        <f t="shared" si="1535"/>
        <v>1.4837054531594001</v>
      </c>
      <c r="FA938" s="346">
        <f t="shared" si="1535"/>
        <v>6.13808794155341</v>
      </c>
      <c r="FB938" s="346">
        <f t="shared" si="1535"/>
        <v>5.6781241033618901</v>
      </c>
      <c r="FC938" s="346">
        <f t="shared" ref="FC938:FV938" si="1536">FC34</f>
        <v>2.1977080392551098</v>
      </c>
      <c r="FD938" s="346">
        <f t="shared" si="1536"/>
        <v>1.9407424889834901</v>
      </c>
      <c r="FE938" s="346">
        <f t="shared" si="1536"/>
        <v>9.7877725839660599</v>
      </c>
      <c r="FF938" s="346">
        <f t="shared" si="1536"/>
        <v>0.91229063457439197</v>
      </c>
      <c r="FG938" s="346">
        <f t="shared" si="1536"/>
        <v>11.3366559583202</v>
      </c>
      <c r="FH938" s="346">
        <f t="shared" si="1536"/>
        <v>5.6902335057443398</v>
      </c>
      <c r="FI938" s="346">
        <f t="shared" si="1536"/>
        <v>1.33152815319922</v>
      </c>
      <c r="FJ938" s="348">
        <f t="shared" si="1536"/>
        <v>7.1919824563977901</v>
      </c>
      <c r="FK938" s="346">
        <f t="shared" si="1536"/>
        <v>6.1199881177133246</v>
      </c>
      <c r="FL938" s="346">
        <f t="shared" si="1536"/>
        <v>1.5830492608096534</v>
      </c>
      <c r="FM938" s="346">
        <f t="shared" si="1536"/>
        <v>16.063851876547236</v>
      </c>
      <c r="FN938" s="346">
        <f t="shared" si="1536"/>
        <v>2.5869239420633345</v>
      </c>
      <c r="FO938" s="346">
        <f t="shared" si="1536"/>
        <v>2.3134264672229445</v>
      </c>
      <c r="FP938" s="346">
        <f t="shared" si="1536"/>
        <v>6.5370663809978087</v>
      </c>
      <c r="FQ938" s="346">
        <f t="shared" si="1536"/>
        <v>7.8658266829999999</v>
      </c>
      <c r="FR938" s="346">
        <f t="shared" si="1536"/>
        <v>4.2643026479999993</v>
      </c>
      <c r="FS938" s="346">
        <f t="shared" si="1536"/>
        <v>17.094426761000001</v>
      </c>
      <c r="FT938" s="346">
        <f t="shared" si="1536"/>
        <v>2.5643725678531339</v>
      </c>
      <c r="FU938" s="346">
        <f t="shared" si="1536"/>
        <v>1.4306740770765325</v>
      </c>
      <c r="FV938" s="346">
        <f t="shared" si="1536"/>
        <v>7.9453315323161871</v>
      </c>
      <c r="FW938" s="346">
        <v>8.2773949473601771</v>
      </c>
      <c r="FX938" s="346">
        <v>6.4585053852723444</v>
      </c>
      <c r="FY938" s="346">
        <v>16.285536350457846</v>
      </c>
      <c r="FZ938" s="346">
        <v>3.5614254144632755</v>
      </c>
      <c r="GA938" s="346">
        <v>2.6219920706043354</v>
      </c>
      <c r="GB938" s="346">
        <v>7.5800072149037652</v>
      </c>
      <c r="GC938" s="346">
        <v>8.4400340343236167</v>
      </c>
      <c r="GD938" s="346">
        <v>6.9202866515433472</v>
      </c>
      <c r="GE938" s="346">
        <v>20.182490259983336</v>
      </c>
      <c r="GF938" s="346">
        <v>2.3851724450169742</v>
      </c>
      <c r="GG938" s="346">
        <v>3.6987022183220533</v>
      </c>
      <c r="GH938" s="346">
        <v>8.7395320302652468</v>
      </c>
      <c r="GI938" s="1897">
        <v>5.9668814360729998</v>
      </c>
      <c r="GJ938" s="1897">
        <v>10.079679200316708</v>
      </c>
      <c r="GK938" s="1897">
        <v>12.078670919974117</v>
      </c>
      <c r="GL938" s="1897">
        <v>3.6440045660292286</v>
      </c>
      <c r="GM938" s="1897">
        <v>3.7017279152369031</v>
      </c>
      <c r="GN938" s="1897">
        <v>4.0825524908860951</v>
      </c>
      <c r="GO938" s="1897">
        <v>6.2974957106754559</v>
      </c>
      <c r="GP938" s="1897">
        <v>9.3032560143866085</v>
      </c>
      <c r="GQ938" s="1897">
        <v>14.286169340502701</v>
      </c>
      <c r="GR938" s="1897">
        <f>75.748936961014-GR926</f>
        <v>7.6346121869939907</v>
      </c>
      <c r="GS938" s="1897">
        <v>2.9164564757229061</v>
      </c>
      <c r="GT938" s="1897">
        <v>5.2241875519127694</v>
      </c>
      <c r="GU938" s="1897">
        <v>7.0087887445111372</v>
      </c>
      <c r="GV938" s="1897">
        <v>16.363328052948706</v>
      </c>
      <c r="GW938" s="1897">
        <v>15.551342029849531</v>
      </c>
      <c r="GX938" s="1897">
        <v>4.945730337058678</v>
      </c>
      <c r="GY938" s="1897">
        <v>5.6897913588269029</v>
      </c>
      <c r="GZ938" s="1897">
        <v>4.6032437923139335</v>
      </c>
      <c r="HA938" s="1897">
        <v>7.8486008463563071</v>
      </c>
      <c r="HB938" s="1897">
        <v>15.409642435035995</v>
      </c>
      <c r="HC938" s="1897">
        <v>26.101147299722953</v>
      </c>
      <c r="HD938" s="1897">
        <v>6.6872708524373596</v>
      </c>
      <c r="HE938" s="1897">
        <v>8.1896113019177612</v>
      </c>
      <c r="HF938" s="1897">
        <v>6.3437167772692531</v>
      </c>
      <c r="HG938" s="1897">
        <v>6.7197771503866059</v>
      </c>
      <c r="HH938" s="1897">
        <v>17.945138350062486</v>
      </c>
      <c r="HI938" s="1897">
        <v>30.66473143723784</v>
      </c>
      <c r="HJ938" s="1897">
        <v>7.2499250835046833</v>
      </c>
      <c r="HK938" s="1897">
        <v>9.5702900258735983</v>
      </c>
      <c r="HL938" s="1897">
        <v>7.663696942615533</v>
      </c>
      <c r="HM938" s="1897"/>
      <c r="HN938" s="349"/>
      <c r="HO938" s="358" t="s">
        <v>611</v>
      </c>
      <c r="HP938" s="307">
        <f>SUM(CE938:CJ938)</f>
        <v>4.0483075683024508</v>
      </c>
      <c r="HQ938" s="302">
        <f>SUM(CK938:CP938)</f>
        <v>6.9903176028711762</v>
      </c>
      <c r="HR938" s="346">
        <f>HP938+HQ938</f>
        <v>11.038625171173628</v>
      </c>
      <c r="HS938" s="302">
        <f>SUM(CQ938:CV938)</f>
        <v>6.7504580018158089</v>
      </c>
      <c r="HT938" s="302">
        <f>SUM(CW938:DB938)</f>
        <v>7.8866052349666589</v>
      </c>
      <c r="HU938" s="346">
        <f>HS938+HT938</f>
        <v>14.637063236782467</v>
      </c>
      <c r="HV938" s="307">
        <f>SUM(DC938:DH938)</f>
        <v>7.6618348354405335</v>
      </c>
      <c r="HW938" s="302">
        <f>SUM(DI938:DN938)</f>
        <v>9.4596201092731995</v>
      </c>
      <c r="HX938" s="346">
        <f>HV938+HW938</f>
        <v>17.121454944713733</v>
      </c>
      <c r="HY938" s="350">
        <f>SUM(DO938:DT938)</f>
        <v>10.371153893708872</v>
      </c>
      <c r="HZ938" s="302">
        <f>SUM(DU938:DZ938)</f>
        <v>11.209427024400362</v>
      </c>
      <c r="IA938" s="346">
        <f>HY938+HZ938</f>
        <v>21.580580918109234</v>
      </c>
      <c r="IB938" s="302">
        <f>SUM(EA938:EF938)</f>
        <v>12.542834864533479</v>
      </c>
      <c r="IC938" s="302">
        <f>SUM(EG938:EL938)</f>
        <v>13.274923621383035</v>
      </c>
      <c r="ID938" s="346">
        <f>IB938+IC938</f>
        <v>25.817758485916514</v>
      </c>
      <c r="IE938" s="350">
        <f>SUM(EM938:ER938)</f>
        <v>13.299176749421351</v>
      </c>
      <c r="IF938" s="350">
        <f>SUM(ES938:EX938)</f>
        <v>15.365829548628913</v>
      </c>
      <c r="IG938" s="346">
        <f>IE938+IF938</f>
        <v>28.665006298050265</v>
      </c>
      <c r="IH938" s="350">
        <f>SUM(EY938:FD938)</f>
        <v>18.652246213770297</v>
      </c>
      <c r="II938" s="350">
        <f>SUM(FE938:FJ938)</f>
        <v>36.250463292201999</v>
      </c>
      <c r="IJ938" s="346">
        <f>IH938+II938</f>
        <v>54.902709505972297</v>
      </c>
      <c r="IK938" s="350">
        <f>SUM(FK938:FP938)</f>
        <v>35.204306045354301</v>
      </c>
      <c r="IL938" s="350">
        <f>SUM(FQ938:FV938)</f>
        <v>41.164934269245855</v>
      </c>
      <c r="IM938" s="346">
        <f t="shared" si="1430"/>
        <v>76.369240314600148</v>
      </c>
      <c r="IN938" s="350">
        <f>SUM(FW938:GB938)</f>
        <v>44.784861383061745</v>
      </c>
      <c r="IO938" s="350">
        <f>SUM(GC938:GH938)</f>
        <v>50.366217639454575</v>
      </c>
      <c r="IP938" s="346">
        <f t="shared" si="1443"/>
        <v>95.151079022516313</v>
      </c>
      <c r="IQ938" s="350">
        <f t="shared" si="1497"/>
        <v>39.553516528516049</v>
      </c>
      <c r="IR938" s="350">
        <f t="shared" si="1498"/>
        <v>45.662177280194427</v>
      </c>
      <c r="IS938" s="346">
        <f t="shared" si="1513"/>
        <v>85.215693808710483</v>
      </c>
      <c r="IT938" s="350">
        <f>SUM(GU938:GZ938)</f>
        <v>54.162224315508887</v>
      </c>
      <c r="IU938" s="350">
        <f t="shared" si="1530"/>
        <v>70.57998951273963</v>
      </c>
      <c r="IV938" s="346">
        <f t="shared" si="1511"/>
        <v>124.74221382824851</v>
      </c>
      <c r="IW938" s="350">
        <f t="shared" si="1520"/>
        <v>79.813558989680743</v>
      </c>
      <c r="IX938" s="350">
        <f t="shared" si="1514"/>
        <v>108.31384785053974</v>
      </c>
      <c r="IY938" s="346">
        <f>FISC!AJ1258</f>
        <v>188.12740684022049</v>
      </c>
      <c r="IZ938" s="350">
        <f>((FISC!AJ121+FISC!AJ126)*FISC!AK253/1000)</f>
        <v>154.55989814177818</v>
      </c>
      <c r="JA938" s="350">
        <f>((FISC!AK111+FISC!AK116)*FISC!AK253/1000)</f>
        <v>185.50746649264013</v>
      </c>
      <c r="JB938" s="346">
        <f>FISC!AK1258</f>
        <v>340.06736463441831</v>
      </c>
      <c r="JC938" s="350">
        <f>((FISC!AK121+FISC!AK126)*FISC!AL253/1000)</f>
        <v>232.02433877200025</v>
      </c>
      <c r="JD938" s="350">
        <f>((FISC!AL111+FISC!AL116)*FISC!AL253/1000)</f>
        <v>254.20574586626984</v>
      </c>
      <c r="JE938" s="346">
        <f>FISC!AL1258</f>
        <v>486.23008463827006</v>
      </c>
      <c r="JF938" s="350">
        <f>((FISC!AL121+FISC!AL126)*FISC!AM253/1000)</f>
        <v>276.77367055927795</v>
      </c>
      <c r="JG938" s="350">
        <f>((FISC!AM111+FISC!AM116)*FISC!AM253/1000)</f>
        <v>332.57762125043109</v>
      </c>
      <c r="JH938" s="346">
        <f>FISC!AM1258</f>
        <v>609.35129180970921</v>
      </c>
      <c r="JI938" s="350">
        <f>((FISC!AM121+FISC!AM126)*FISC!AN253/1000)</f>
        <v>360.75697483805101</v>
      </c>
      <c r="JJ938" s="350">
        <f>((FISC!AN111+FISC!AN116)*FISC!AN253/1000)</f>
        <v>428.21596871724159</v>
      </c>
      <c r="JK938" s="346">
        <f>FISC!AN1258</f>
        <v>788.97294355529255</v>
      </c>
      <c r="JL938" s="350">
        <f>((FISC!AN121+FISC!AN126)*FISC!AO253/1000)</f>
        <v>478.70283084884511</v>
      </c>
      <c r="JM938" s="350">
        <f>((FISC!AO111+FISC!AO116)*FISC!AO253/1000)</f>
        <v>527.16018229135204</v>
      </c>
      <c r="JN938" s="346">
        <f>FISC!AO1258</f>
        <v>1005.8630131401972</v>
      </c>
      <c r="KI938" s="349"/>
      <c r="KJ938" s="350"/>
    </row>
    <row r="939" spans="1:302" hidden="1" outlineLevel="1">
      <c r="A939" s="302"/>
      <c r="D939" s="2317" t="s">
        <v>3797</v>
      </c>
      <c r="E939" s="346"/>
      <c r="F939" s="346"/>
      <c r="G939" s="346"/>
      <c r="H939" s="346"/>
      <c r="I939" s="346"/>
      <c r="J939" s="346"/>
      <c r="K939" s="346"/>
      <c r="L939" s="346"/>
      <c r="M939" s="346"/>
      <c r="N939" s="346"/>
      <c r="O939" s="346"/>
      <c r="P939" s="346"/>
      <c r="Q939" s="346"/>
      <c r="R939" s="346"/>
      <c r="S939" s="346"/>
      <c r="T939" s="346"/>
      <c r="U939" s="346"/>
      <c r="V939" s="346"/>
      <c r="W939" s="346"/>
      <c r="X939" s="346"/>
      <c r="Y939" s="346"/>
      <c r="Z939" s="346"/>
      <c r="AA939" s="346"/>
      <c r="AB939" s="346"/>
      <c r="AC939" s="346"/>
      <c r="AD939" s="346"/>
      <c r="AE939" s="346"/>
      <c r="AF939" s="346"/>
      <c r="AG939" s="346"/>
      <c r="AH939" s="346"/>
      <c r="AI939" s="346"/>
      <c r="AJ939" s="346"/>
      <c r="AK939" s="346"/>
      <c r="AL939" s="346"/>
      <c r="AM939" s="346"/>
      <c r="AN939" s="346"/>
      <c r="AO939" s="346"/>
      <c r="AP939" s="346"/>
      <c r="AQ939" s="346"/>
      <c r="AR939" s="346"/>
      <c r="AS939" s="346"/>
      <c r="AT939" s="346"/>
      <c r="AU939" s="346"/>
      <c r="AV939" s="346"/>
      <c r="AW939" s="346"/>
      <c r="AX939" s="346"/>
      <c r="AY939" s="346"/>
      <c r="AZ939" s="346"/>
      <c r="BA939" s="346"/>
      <c r="BB939" s="346"/>
      <c r="BC939" s="346"/>
      <c r="BD939" s="346"/>
      <c r="BE939" s="346"/>
      <c r="BF939" s="346"/>
      <c r="BG939" s="346"/>
      <c r="BH939" s="346"/>
      <c r="BI939" s="346"/>
      <c r="BJ939" s="346"/>
      <c r="BK939" s="346"/>
      <c r="BL939" s="346"/>
      <c r="BM939" s="346"/>
      <c r="BN939" s="346"/>
      <c r="BO939" s="346"/>
      <c r="BP939" s="346"/>
      <c r="BQ939" s="346"/>
      <c r="BR939" s="346"/>
      <c r="BS939" s="346"/>
      <c r="BT939" s="346"/>
      <c r="BU939" s="346"/>
      <c r="BV939" s="346"/>
      <c r="BW939" s="346"/>
      <c r="BX939" s="346"/>
      <c r="BY939" s="346"/>
      <c r="BZ939" s="346"/>
      <c r="CA939" s="346"/>
      <c r="CB939" s="346"/>
      <c r="CC939" s="346"/>
      <c r="CD939" s="352"/>
      <c r="CE939" s="346"/>
      <c r="CF939" s="346"/>
      <c r="CG939" s="346"/>
      <c r="CH939" s="346"/>
      <c r="CI939" s="346"/>
      <c r="CJ939" s="346"/>
      <c r="CK939" s="346"/>
      <c r="CL939" s="346"/>
      <c r="CM939" s="346"/>
      <c r="CN939" s="346"/>
      <c r="CO939" s="346"/>
      <c r="CP939" s="348"/>
      <c r="CQ939" s="346"/>
      <c r="CR939" s="346"/>
      <c r="CS939" s="346"/>
      <c r="CT939" s="346"/>
      <c r="CU939" s="346"/>
      <c r="CV939" s="346"/>
      <c r="CW939" s="346"/>
      <c r="CX939" s="346"/>
      <c r="CY939" s="346"/>
      <c r="CZ939" s="346"/>
      <c r="DA939" s="346"/>
      <c r="DB939" s="1479"/>
      <c r="DC939" s="346"/>
      <c r="DD939" s="346"/>
      <c r="DE939" s="346"/>
      <c r="DF939" s="346"/>
      <c r="DG939" s="346"/>
      <c r="DH939" s="346"/>
      <c r="DI939" s="346"/>
      <c r="DJ939" s="346"/>
      <c r="DK939" s="346"/>
      <c r="DL939" s="346"/>
      <c r="DM939" s="346"/>
      <c r="DN939" s="348"/>
      <c r="DO939" s="346"/>
      <c r="DP939" s="346"/>
      <c r="DQ939" s="346"/>
      <c r="DR939" s="346"/>
      <c r="DS939" s="346"/>
      <c r="DT939" s="346"/>
      <c r="DU939" s="346"/>
      <c r="DV939" s="346"/>
      <c r="DW939" s="346"/>
      <c r="DX939" s="346"/>
      <c r="DY939" s="346"/>
      <c r="DZ939" s="348"/>
      <c r="EA939" s="346"/>
      <c r="EB939" s="346"/>
      <c r="EC939" s="346"/>
      <c r="ED939" s="346"/>
      <c r="EE939" s="346"/>
      <c r="EF939" s="346"/>
      <c r="EG939" s="346"/>
      <c r="EH939" s="346"/>
      <c r="EI939" s="346"/>
      <c r="EJ939" s="346"/>
      <c r="EK939" s="346"/>
      <c r="EL939" s="348"/>
      <c r="EM939" s="346"/>
      <c r="EN939" s="346"/>
      <c r="EO939" s="346"/>
      <c r="EP939" s="346"/>
      <c r="EQ939" s="346"/>
      <c r="ER939" s="346"/>
      <c r="ES939" s="346"/>
      <c r="ET939" s="346"/>
      <c r="EU939" s="346"/>
      <c r="EV939" s="346"/>
      <c r="EW939" s="346"/>
      <c r="EX939" s="348"/>
      <c r="EY939" s="346"/>
      <c r="EZ939" s="346"/>
      <c r="FA939" s="346"/>
      <c r="FB939" s="346"/>
      <c r="FC939" s="346"/>
      <c r="FD939" s="346"/>
      <c r="FE939" s="346"/>
      <c r="FF939" s="346"/>
      <c r="FG939" s="346"/>
      <c r="FH939" s="346"/>
      <c r="FI939" s="346"/>
      <c r="FJ939" s="348"/>
      <c r="FK939" s="346"/>
      <c r="FL939" s="346"/>
      <c r="FM939" s="346"/>
      <c r="FN939" s="346"/>
      <c r="FO939" s="346"/>
      <c r="FP939" s="346"/>
      <c r="FQ939" s="346"/>
      <c r="FR939" s="346"/>
      <c r="FS939" s="346"/>
      <c r="FT939" s="346"/>
      <c r="FU939" s="346"/>
      <c r="FV939" s="346"/>
      <c r="FW939" s="346"/>
      <c r="FX939" s="346"/>
      <c r="FY939" s="346"/>
      <c r="FZ939" s="346"/>
      <c r="GA939" s="346"/>
      <c r="GB939" s="346"/>
      <c r="GC939" s="346"/>
      <c r="GD939" s="346"/>
      <c r="GE939" s="346"/>
      <c r="GF939" s="346"/>
      <c r="GG939" s="346"/>
      <c r="GH939" s="346"/>
      <c r="GI939" s="1897"/>
      <c r="GJ939" s="1897"/>
      <c r="GK939" s="1897"/>
      <c r="GL939" s="1897"/>
      <c r="GM939" s="1897"/>
      <c r="GN939" s="1897"/>
      <c r="GO939" s="1897"/>
      <c r="GP939" s="1897"/>
      <c r="GQ939" s="1897"/>
      <c r="GR939" s="1897"/>
      <c r="GS939" s="1897"/>
      <c r="GT939" s="1897"/>
      <c r="GU939" s="1897"/>
      <c r="GV939" s="1897"/>
      <c r="GW939" s="1897"/>
      <c r="GX939" s="1897"/>
      <c r="GY939" s="1897"/>
      <c r="GZ939" s="1897"/>
      <c r="HA939" s="1897"/>
      <c r="HB939" s="1897"/>
      <c r="HC939" s="1897"/>
      <c r="HD939" s="1897"/>
      <c r="HE939" s="1897"/>
      <c r="HF939" s="1897"/>
      <c r="HG939" s="1897"/>
      <c r="HH939" s="1897"/>
      <c r="HI939" s="1897"/>
      <c r="HJ939" s="1897"/>
      <c r="HK939" s="1897"/>
      <c r="HL939" s="1897"/>
      <c r="HM939" s="1897"/>
      <c r="HN939" s="349"/>
      <c r="HO939" s="358"/>
      <c r="HP939" s="307"/>
      <c r="HR939" s="346"/>
      <c r="HU939" s="346"/>
      <c r="HV939" s="307"/>
      <c r="HX939" s="346"/>
      <c r="HY939" s="350"/>
      <c r="IA939" s="346"/>
      <c r="ID939" s="346"/>
      <c r="IE939" s="350"/>
      <c r="IF939" s="350"/>
      <c r="IG939" s="346"/>
      <c r="IH939" s="350"/>
      <c r="II939" s="350"/>
      <c r="IJ939" s="346"/>
      <c r="IK939" s="350"/>
      <c r="IL939" s="350"/>
      <c r="IM939" s="346"/>
      <c r="IN939" s="350"/>
      <c r="IO939" s="350"/>
      <c r="IP939" s="346"/>
      <c r="IQ939" s="350"/>
      <c r="IR939" s="350"/>
      <c r="IS939" s="346"/>
      <c r="IT939" s="350"/>
      <c r="IU939" s="350"/>
      <c r="IV939" s="346"/>
      <c r="IW939" s="350"/>
      <c r="IX939" s="350"/>
      <c r="IY939" s="346"/>
      <c r="IZ939" s="350">
        <f>(FISC!AJ122+FISC!AJ127)*FISC!AK253/1000</f>
        <v>0</v>
      </c>
      <c r="JA939" s="350">
        <f>(FISC!AK112+FISC!AK117)*FISC!AK253/1000</f>
        <v>0</v>
      </c>
      <c r="JB939" s="346">
        <f>FISC!AK1259</f>
        <v>0</v>
      </c>
      <c r="JC939" s="350">
        <f>(FISC!AK122+FISC!AK127)*FISC!AL253/1000</f>
        <v>0</v>
      </c>
      <c r="JD939" s="350">
        <f>(FISC!AL112+FISC!AL117)*FISC!AL253/1000</f>
        <v>0</v>
      </c>
      <c r="JE939" s="346">
        <f>FISC!AL1259</f>
        <v>0</v>
      </c>
      <c r="JF939" s="350">
        <f>(FISC!AL122+FISC!AL127)*FISC!AM253/1000</f>
        <v>0</v>
      </c>
      <c r="JG939" s="350">
        <f>(FISC!AM112+FISC!AM117)*FISC!AM253/1000</f>
        <v>32.162134480721321</v>
      </c>
      <c r="JH939" s="346">
        <f>FISC!AM1259</f>
        <v>32.162134480721321</v>
      </c>
      <c r="JI939" s="350">
        <f>(FISC!AM122+FISC!AM127)*FISC!AN253/1000</f>
        <v>33.982706264456873</v>
      </c>
      <c r="JJ939" s="350">
        <f>(FISC!AN112+FISC!AN117)*FISC!AN253/1000</f>
        <v>55.69200235803617</v>
      </c>
      <c r="JK939" s="346">
        <f>FISC!AN1259</f>
        <v>89.674708622493043</v>
      </c>
      <c r="JL939" s="350">
        <f>(FISC!AN122+FISC!AN127)*FISC!AO253/1000</f>
        <v>58.126696015007155</v>
      </c>
      <c r="JM939" s="350">
        <f>(FISC!AO112+FISC!AO117)*FISC!AO253/1000</f>
        <v>60.226914679838913</v>
      </c>
      <c r="JN939" s="346">
        <f>FISC!AO1259</f>
        <v>118.35361069484607</v>
      </c>
      <c r="KI939" s="349"/>
      <c r="KJ939" s="350"/>
    </row>
    <row r="940" spans="1:302" hidden="1" outlineLevel="1">
      <c r="A940" s="302"/>
      <c r="D940" s="2317" t="s">
        <v>3792</v>
      </c>
      <c r="E940" s="346"/>
      <c r="F940" s="346"/>
      <c r="G940" s="346"/>
      <c r="H940" s="346"/>
      <c r="I940" s="346"/>
      <c r="J940" s="346"/>
      <c r="K940" s="346"/>
      <c r="L940" s="346"/>
      <c r="M940" s="346"/>
      <c r="N940" s="346"/>
      <c r="O940" s="346"/>
      <c r="P940" s="346"/>
      <c r="Q940" s="346"/>
      <c r="R940" s="346"/>
      <c r="S940" s="346"/>
      <c r="T940" s="346"/>
      <c r="U940" s="346"/>
      <c r="V940" s="346"/>
      <c r="W940" s="346"/>
      <c r="X940" s="346"/>
      <c r="Y940" s="346"/>
      <c r="Z940" s="346"/>
      <c r="AA940" s="346"/>
      <c r="AB940" s="346"/>
      <c r="AC940" s="346"/>
      <c r="AD940" s="346"/>
      <c r="AE940" s="346"/>
      <c r="AF940" s="346"/>
      <c r="AG940" s="346"/>
      <c r="AH940" s="346"/>
      <c r="AI940" s="346"/>
      <c r="AJ940" s="346"/>
      <c r="AK940" s="346"/>
      <c r="AL940" s="346"/>
      <c r="AM940" s="346"/>
      <c r="AN940" s="346"/>
      <c r="AO940" s="346"/>
      <c r="AP940" s="346"/>
      <c r="AQ940" s="346"/>
      <c r="AR940" s="346"/>
      <c r="AS940" s="346"/>
      <c r="AT940" s="346"/>
      <c r="AU940" s="346"/>
      <c r="AV940" s="346"/>
      <c r="AW940" s="346"/>
      <c r="AX940" s="346"/>
      <c r="AY940" s="346"/>
      <c r="AZ940" s="346"/>
      <c r="BA940" s="346"/>
      <c r="BB940" s="346"/>
      <c r="BC940" s="346"/>
      <c r="BD940" s="346"/>
      <c r="BE940" s="346"/>
      <c r="BF940" s="346"/>
      <c r="BG940" s="346"/>
      <c r="BH940" s="346"/>
      <c r="BI940" s="346"/>
      <c r="BJ940" s="346"/>
      <c r="BK940" s="346"/>
      <c r="BL940" s="346"/>
      <c r="BM940" s="346"/>
      <c r="BN940" s="346"/>
      <c r="BO940" s="346"/>
      <c r="BP940" s="346"/>
      <c r="BQ940" s="346"/>
      <c r="BR940" s="346"/>
      <c r="BS940" s="346"/>
      <c r="BT940" s="346"/>
      <c r="BU940" s="346"/>
      <c r="BV940" s="346"/>
      <c r="BW940" s="346"/>
      <c r="BX940" s="346"/>
      <c r="BY940" s="346"/>
      <c r="BZ940" s="346"/>
      <c r="CA940" s="346"/>
      <c r="CB940" s="346"/>
      <c r="CC940" s="346"/>
      <c r="CD940" s="352"/>
      <c r="CE940" s="346"/>
      <c r="CF940" s="346"/>
      <c r="CG940" s="346"/>
      <c r="CH940" s="346"/>
      <c r="CI940" s="346"/>
      <c r="CJ940" s="346"/>
      <c r="CK940" s="346"/>
      <c r="CL940" s="346"/>
      <c r="CM940" s="346"/>
      <c r="CN940" s="346"/>
      <c r="CO940" s="346"/>
      <c r="CP940" s="348"/>
      <c r="CQ940" s="346"/>
      <c r="CR940" s="346"/>
      <c r="CS940" s="346"/>
      <c r="CT940" s="346"/>
      <c r="CU940" s="346"/>
      <c r="CV940" s="346"/>
      <c r="CW940" s="346"/>
      <c r="CX940" s="346"/>
      <c r="CY940" s="346"/>
      <c r="CZ940" s="346"/>
      <c r="DA940" s="346"/>
      <c r="DB940" s="1479"/>
      <c r="DC940" s="346"/>
      <c r="DD940" s="346"/>
      <c r="DE940" s="346"/>
      <c r="DF940" s="346"/>
      <c r="DG940" s="346"/>
      <c r="DH940" s="346"/>
      <c r="DI940" s="346"/>
      <c r="DJ940" s="346"/>
      <c r="DK940" s="346"/>
      <c r="DL940" s="346"/>
      <c r="DM940" s="346"/>
      <c r="DN940" s="348"/>
      <c r="DO940" s="346"/>
      <c r="DP940" s="346"/>
      <c r="DQ940" s="346"/>
      <c r="DR940" s="346"/>
      <c r="DS940" s="346"/>
      <c r="DT940" s="346"/>
      <c r="DU940" s="346"/>
      <c r="DV940" s="346"/>
      <c r="DW940" s="346"/>
      <c r="DX940" s="346"/>
      <c r="DY940" s="346"/>
      <c r="DZ940" s="348"/>
      <c r="EA940" s="346"/>
      <c r="EB940" s="346"/>
      <c r="EC940" s="346"/>
      <c r="ED940" s="346"/>
      <c r="EE940" s="346"/>
      <c r="EF940" s="346"/>
      <c r="EG940" s="346"/>
      <c r="EH940" s="346"/>
      <c r="EI940" s="346"/>
      <c r="EJ940" s="346"/>
      <c r="EK940" s="346"/>
      <c r="EL940" s="348"/>
      <c r="EM940" s="346"/>
      <c r="EN940" s="346"/>
      <c r="EO940" s="346"/>
      <c r="EP940" s="346"/>
      <c r="EQ940" s="346"/>
      <c r="ER940" s="346"/>
      <c r="ES940" s="346"/>
      <c r="ET940" s="346"/>
      <c r="EU940" s="346"/>
      <c r="EV940" s="346"/>
      <c r="EW940" s="346"/>
      <c r="EX940" s="348"/>
      <c r="EY940" s="346"/>
      <c r="EZ940" s="346"/>
      <c r="FA940" s="346"/>
      <c r="FB940" s="346"/>
      <c r="FC940" s="346"/>
      <c r="FD940" s="346"/>
      <c r="FE940" s="346"/>
      <c r="FF940" s="346"/>
      <c r="FG940" s="346"/>
      <c r="FH940" s="346"/>
      <c r="FI940" s="346"/>
      <c r="FJ940" s="348"/>
      <c r="FK940" s="346"/>
      <c r="FL940" s="346"/>
      <c r="FM940" s="346"/>
      <c r="FN940" s="346"/>
      <c r="FO940" s="346"/>
      <c r="FP940" s="346"/>
      <c r="FQ940" s="346"/>
      <c r="FR940" s="346"/>
      <c r="FS940" s="346"/>
      <c r="FT940" s="346"/>
      <c r="FU940" s="346"/>
      <c r="FV940" s="346"/>
      <c r="FW940" s="346"/>
      <c r="FX940" s="346"/>
      <c r="FY940" s="346"/>
      <c r="FZ940" s="346"/>
      <c r="GA940" s="346"/>
      <c r="GB940" s="346"/>
      <c r="GC940" s="346"/>
      <c r="GD940" s="346"/>
      <c r="GE940" s="346"/>
      <c r="GF940" s="346"/>
      <c r="GG940" s="346"/>
      <c r="GH940" s="346"/>
      <c r="GI940" s="1897"/>
      <c r="GJ940" s="1897"/>
      <c r="GK940" s="1897"/>
      <c r="GL940" s="1897"/>
      <c r="GM940" s="1897"/>
      <c r="GN940" s="1897"/>
      <c r="GO940" s="1897"/>
      <c r="GP940" s="1897"/>
      <c r="GQ940" s="1897"/>
      <c r="GR940" s="1897"/>
      <c r="GS940" s="1897"/>
      <c r="GT940" s="1897"/>
      <c r="GU940" s="1897"/>
      <c r="GV940" s="1897"/>
      <c r="GW940" s="1897"/>
      <c r="GX940" s="1897"/>
      <c r="GY940" s="1897"/>
      <c r="GZ940" s="1897"/>
      <c r="HA940" s="1897"/>
      <c r="HB940" s="1897"/>
      <c r="HC940" s="1897"/>
      <c r="HD940" s="1897"/>
      <c r="HE940" s="1897"/>
      <c r="HF940" s="1897"/>
      <c r="HG940" s="1897"/>
      <c r="HH940" s="1897"/>
      <c r="HI940" s="1897"/>
      <c r="HJ940" s="1897"/>
      <c r="HK940" s="1897"/>
      <c r="HL940" s="1897"/>
      <c r="HM940" s="1897"/>
      <c r="HN940" s="349"/>
      <c r="HO940" s="358"/>
      <c r="HP940" s="307"/>
      <c r="HR940" s="346"/>
      <c r="HU940" s="346"/>
      <c r="HV940" s="307"/>
      <c r="HX940" s="346"/>
      <c r="HY940" s="350"/>
      <c r="IA940" s="346"/>
      <c r="ID940" s="346"/>
      <c r="IE940" s="350"/>
      <c r="IF940" s="350"/>
      <c r="IG940" s="346"/>
      <c r="IH940" s="350"/>
      <c r="II940" s="350"/>
      <c r="IJ940" s="346"/>
      <c r="IK940" s="350"/>
      <c r="IL940" s="350"/>
      <c r="IM940" s="346"/>
      <c r="IN940" s="350"/>
      <c r="IO940" s="350"/>
      <c r="IP940" s="346"/>
      <c r="IQ940" s="350"/>
      <c r="IR940" s="350"/>
      <c r="IS940" s="346"/>
      <c r="IT940" s="350"/>
      <c r="IU940" s="350"/>
      <c r="IV940" s="346"/>
      <c r="IW940" s="350"/>
      <c r="IX940" s="350"/>
      <c r="IY940" s="346"/>
      <c r="IZ940" s="350">
        <f>(FISC!AJ123+FISC!AJ128)*FISC!AK253/1000</f>
        <v>0</v>
      </c>
      <c r="JA940" s="350">
        <f>(FISC!AK113+FISC!AK118)*FISC!AK253/1000</f>
        <v>0</v>
      </c>
      <c r="JB940" s="346">
        <f>FISC!AK1260</f>
        <v>0</v>
      </c>
      <c r="JC940" s="350">
        <f>(FISC!AK123+FISC!AK128)*FISC!AL253/1000</f>
        <v>0</v>
      </c>
      <c r="JD940" s="350">
        <f>(FISC!AL113+FISC!AL118)*FISC!AL253/1000</f>
        <v>0</v>
      </c>
      <c r="JE940" s="346">
        <f>FISC!AL1260</f>
        <v>0</v>
      </c>
      <c r="JF940" s="350">
        <f>(FISC!AL123+FISC!AL128)*FISC!AM253/1000</f>
        <v>0</v>
      </c>
      <c r="JG940" s="350">
        <f>(FISC!AM113+FISC!AM118)*FISC!AM253/1000</f>
        <v>4.8599577711802286</v>
      </c>
      <c r="JH940" s="346">
        <f>FISC!AM1260</f>
        <v>4.8599577711802286</v>
      </c>
      <c r="JI940" s="350">
        <f>(FISC!AM123+FISC!AM128)*FISC!AN253/1000</f>
        <v>5.1350608428890006</v>
      </c>
      <c r="JJ940" s="350">
        <f>(FISC!AN113+FISC!AN118)*FISC!AN253/1000</f>
        <v>13.683950715205341</v>
      </c>
      <c r="JK940" s="346">
        <f>FISC!AN1260</f>
        <v>18.819011558094342</v>
      </c>
      <c r="JL940" s="350">
        <f>(FISC!AN123+FISC!AN128)*FISC!AO254/1000</f>
        <v>19.424791733146854</v>
      </c>
      <c r="JM940" s="350">
        <f>(FISC!AO113+FISC!AO118)*FISC!AO254/1000</f>
        <v>28.195734471146633</v>
      </c>
      <c r="JN940" s="346">
        <f>FISC!AO1260</f>
        <v>35.013225858381766</v>
      </c>
      <c r="KI940" s="349"/>
      <c r="KJ940" s="350"/>
    </row>
    <row r="941" spans="1:302" hidden="1" outlineLevel="1">
      <c r="A941" s="302"/>
      <c r="B941" s="117" t="s">
        <v>361</v>
      </c>
      <c r="D941" s="351" t="s">
        <v>612</v>
      </c>
      <c r="E941" s="346">
        <f t="shared" ref="E941:AJ941" si="1537">E834-(E856-E892)</f>
        <v>0</v>
      </c>
      <c r="F941" s="346">
        <f t="shared" si="1537"/>
        <v>0</v>
      </c>
      <c r="G941" s="346">
        <f t="shared" si="1537"/>
        <v>0</v>
      </c>
      <c r="H941" s="346">
        <f t="shared" si="1537"/>
        <v>0</v>
      </c>
      <c r="I941" s="346">
        <f t="shared" si="1537"/>
        <v>0</v>
      </c>
      <c r="J941" s="346">
        <f t="shared" si="1537"/>
        <v>0</v>
      </c>
      <c r="K941" s="346">
        <f t="shared" si="1537"/>
        <v>0</v>
      </c>
      <c r="L941" s="346">
        <f t="shared" si="1537"/>
        <v>0</v>
      </c>
      <c r="M941" s="346">
        <f t="shared" si="1537"/>
        <v>0</v>
      </c>
      <c r="N941" s="346">
        <f t="shared" si="1537"/>
        <v>0</v>
      </c>
      <c r="O941" s="346">
        <f t="shared" si="1537"/>
        <v>0</v>
      </c>
      <c r="P941" s="346">
        <f t="shared" si="1537"/>
        <v>0</v>
      </c>
      <c r="Q941" s="346">
        <f t="shared" si="1537"/>
        <v>0</v>
      </c>
      <c r="R941" s="346">
        <f t="shared" si="1537"/>
        <v>0</v>
      </c>
      <c r="S941" s="346">
        <f t="shared" si="1537"/>
        <v>0</v>
      </c>
      <c r="T941" s="346">
        <f t="shared" si="1537"/>
        <v>0</v>
      </c>
      <c r="U941" s="346">
        <f t="shared" si="1537"/>
        <v>0</v>
      </c>
      <c r="V941" s="346">
        <f t="shared" si="1537"/>
        <v>0</v>
      </c>
      <c r="W941" s="346">
        <f t="shared" si="1537"/>
        <v>0</v>
      </c>
      <c r="X941" s="346">
        <f t="shared" si="1537"/>
        <v>0</v>
      </c>
      <c r="Y941" s="346">
        <f t="shared" si="1537"/>
        <v>0</v>
      </c>
      <c r="Z941" s="346">
        <f t="shared" si="1537"/>
        <v>0</v>
      </c>
      <c r="AA941" s="346">
        <f t="shared" si="1537"/>
        <v>0</v>
      </c>
      <c r="AB941" s="346">
        <f t="shared" si="1537"/>
        <v>0</v>
      </c>
      <c r="AC941" s="346">
        <f t="shared" si="1537"/>
        <v>0</v>
      </c>
      <c r="AD941" s="346">
        <f t="shared" si="1537"/>
        <v>0</v>
      </c>
      <c r="AE941" s="346">
        <f t="shared" si="1537"/>
        <v>0</v>
      </c>
      <c r="AF941" s="346">
        <f t="shared" si="1537"/>
        <v>0</v>
      </c>
      <c r="AG941" s="346">
        <f t="shared" si="1537"/>
        <v>0</v>
      </c>
      <c r="AH941" s="346">
        <f t="shared" si="1537"/>
        <v>0</v>
      </c>
      <c r="AI941" s="346">
        <f t="shared" si="1537"/>
        <v>0</v>
      </c>
      <c r="AJ941" s="346">
        <f t="shared" si="1537"/>
        <v>0</v>
      </c>
      <c r="AK941" s="346">
        <f t="shared" ref="AK941:BP941" si="1538">AK834-(AK856-AK892)</f>
        <v>0</v>
      </c>
      <c r="AL941" s="346" t="e">
        <f t="shared" si="1538"/>
        <v>#VALUE!</v>
      </c>
      <c r="AM941" s="346">
        <f t="shared" si="1538"/>
        <v>0</v>
      </c>
      <c r="AN941" s="346">
        <f t="shared" si="1538"/>
        <v>0</v>
      </c>
      <c r="AO941" s="346">
        <f t="shared" si="1538"/>
        <v>49.400217065693496</v>
      </c>
      <c r="AP941" s="346">
        <f t="shared" si="1538"/>
        <v>25.622571089368499</v>
      </c>
      <c r="AQ941" s="346">
        <f t="shared" si="1538"/>
        <v>49.377613606619597</v>
      </c>
      <c r="AR941" s="346">
        <f t="shared" si="1538"/>
        <v>47.635893483708863</v>
      </c>
      <c r="AS941" s="346">
        <f t="shared" si="1538"/>
        <v>35.294126524572633</v>
      </c>
      <c r="AT941" s="346">
        <f t="shared" si="1538"/>
        <v>142.50100410549555</v>
      </c>
      <c r="AU941" s="346">
        <f t="shared" si="1538"/>
        <v>35.926838502372902</v>
      </c>
      <c r="AV941" s="346">
        <f t="shared" si="1538"/>
        <v>37.058652320060034</v>
      </c>
      <c r="AW941" s="346">
        <f t="shared" si="1538"/>
        <v>97.305234257372689</v>
      </c>
      <c r="AX941" s="346">
        <f t="shared" si="1538"/>
        <v>64.11043239519249</v>
      </c>
      <c r="AY941" s="346">
        <f t="shared" si="1538"/>
        <v>39.182231080533917</v>
      </c>
      <c r="AZ941" s="346">
        <f t="shared" si="1538"/>
        <v>75.782830687742262</v>
      </c>
      <c r="BA941" s="346">
        <f t="shared" si="1538"/>
        <v>33.091572293166763</v>
      </c>
      <c r="BB941" s="346">
        <f t="shared" si="1538"/>
        <v>33.18907983741984</v>
      </c>
      <c r="BC941" s="346">
        <f t="shared" si="1538"/>
        <v>38.956923720701269</v>
      </c>
      <c r="BD941" s="346">
        <f t="shared" si="1538"/>
        <v>114.95957863109896</v>
      </c>
      <c r="BE941" s="346">
        <f t="shared" si="1538"/>
        <v>35.166646755218636</v>
      </c>
      <c r="BF941" s="346">
        <f t="shared" si="1538"/>
        <v>66.692662215191731</v>
      </c>
      <c r="BG941" s="346">
        <f t="shared" si="1538"/>
        <v>20.388145502762562</v>
      </c>
      <c r="BH941" s="346">
        <f t="shared" si="1538"/>
        <v>-9.2078320636189943</v>
      </c>
      <c r="BI941" s="346">
        <f t="shared" si="1538"/>
        <v>13.092948375074222</v>
      </c>
      <c r="BJ941" s="346">
        <f t="shared" si="1538"/>
        <v>-26.440108551884734</v>
      </c>
      <c r="BK941" s="346">
        <f t="shared" si="1538"/>
        <v>-29.224930722817902</v>
      </c>
      <c r="BL941" s="346">
        <f t="shared" si="1538"/>
        <v>84.410162341847666</v>
      </c>
      <c r="BM941" s="346">
        <f t="shared" si="1538"/>
        <v>-44.958651826957109</v>
      </c>
      <c r="BN941" s="346">
        <f t="shared" si="1538"/>
        <v>-18.908860436826735</v>
      </c>
      <c r="BO941" s="346">
        <f t="shared" si="1538"/>
        <v>19.037651689046292</v>
      </c>
      <c r="BP941" s="346">
        <f t="shared" si="1538"/>
        <v>-69.812806269244192</v>
      </c>
      <c r="BQ941" s="346">
        <f t="shared" ref="BQ941:CV941" si="1539">BQ834-(BQ856-BQ892)</f>
        <v>-63.979123292294858</v>
      </c>
      <c r="BR941" s="346">
        <f t="shared" si="1539"/>
        <v>65.15532343998423</v>
      </c>
      <c r="BS941" s="346">
        <f t="shared" si="1539"/>
        <v>6.0694768288844614</v>
      </c>
      <c r="BT941" s="346">
        <f t="shared" si="1539"/>
        <v>-26.352133359487432</v>
      </c>
      <c r="BU941" s="346">
        <f t="shared" si="1539"/>
        <v>18.472697623059339</v>
      </c>
      <c r="BV941" s="346">
        <f t="shared" si="1539"/>
        <v>-16.695729181569973</v>
      </c>
      <c r="BW941" s="346">
        <f t="shared" si="1539"/>
        <v>-29.343123673461093</v>
      </c>
      <c r="BX941" s="346">
        <f t="shared" si="1539"/>
        <v>26.670872886249363</v>
      </c>
      <c r="BY941" s="346">
        <f t="shared" si="1539"/>
        <v>-30.293054584938016</v>
      </c>
      <c r="BZ941" s="346">
        <f t="shared" si="1539"/>
        <v>-33.240856614792129</v>
      </c>
      <c r="CA941" s="346">
        <f t="shared" si="1539"/>
        <v>35.902338399363416</v>
      </c>
      <c r="CB941" s="346">
        <f t="shared" si="1539"/>
        <v>-48.338747381329469</v>
      </c>
      <c r="CC941" s="346">
        <f t="shared" si="1539"/>
        <v>-74.416872919694569</v>
      </c>
      <c r="CD941" s="352">
        <f t="shared" si="1539"/>
        <v>-34.433830394705687</v>
      </c>
      <c r="CE941" s="346">
        <f t="shared" si="1539"/>
        <v>0.42461652831457286</v>
      </c>
      <c r="CF941" s="346">
        <f t="shared" si="1539"/>
        <v>-10.463376122478566</v>
      </c>
      <c r="CG941" s="346">
        <f t="shared" si="1539"/>
        <v>31.334242432741128</v>
      </c>
      <c r="CH941" s="346">
        <f t="shared" si="1539"/>
        <v>-44.501753889792901</v>
      </c>
      <c r="CI941" s="346">
        <f t="shared" si="1539"/>
        <v>-4.7324255927931276</v>
      </c>
      <c r="CJ941" s="346">
        <f t="shared" si="1539"/>
        <v>-5.5261220665393438</v>
      </c>
      <c r="CK941" s="346">
        <f t="shared" si="1539"/>
        <v>7.2314950116608969</v>
      </c>
      <c r="CL941" s="346">
        <f t="shared" si="1539"/>
        <v>18.226296226696171</v>
      </c>
      <c r="CM941" s="346">
        <f t="shared" si="1539"/>
        <v>3.9538114556749915</v>
      </c>
      <c r="CN941" s="346">
        <f t="shared" si="1539"/>
        <v>-39.636185154166299</v>
      </c>
      <c r="CO941" s="346">
        <f t="shared" si="1539"/>
        <v>10.940030891764053</v>
      </c>
      <c r="CP941" s="348">
        <f t="shared" si="1539"/>
        <v>20.224822146055303</v>
      </c>
      <c r="CQ941" s="346">
        <f t="shared" si="1539"/>
        <v>16.986415427607</v>
      </c>
      <c r="CR941" s="346">
        <f t="shared" si="1539"/>
        <v>-5.4877165309607818</v>
      </c>
      <c r="CS941" s="346">
        <f t="shared" si="1539"/>
        <v>3.6216965362644729</v>
      </c>
      <c r="CT941" s="346">
        <f t="shared" si="1539"/>
        <v>6.1454212857142423</v>
      </c>
      <c r="CU941" s="346">
        <f t="shared" si="1539"/>
        <v>-15.073846300083362</v>
      </c>
      <c r="CV941" s="346">
        <f t="shared" si="1539"/>
        <v>26.109340470748947</v>
      </c>
      <c r="CW941" s="346">
        <f t="shared" ref="CW941:EB941" si="1540">CW834-(CW856-CW892)</f>
        <v>-23.893840580059681</v>
      </c>
      <c r="CX941" s="346">
        <f t="shared" si="1540"/>
        <v>-24.465101896615273</v>
      </c>
      <c r="CY941" s="346">
        <f t="shared" si="1540"/>
        <v>19.484405688142029</v>
      </c>
      <c r="CZ941" s="346">
        <f t="shared" si="1540"/>
        <v>-1.0370819598349215</v>
      </c>
      <c r="DA941" s="346">
        <f t="shared" si="1540"/>
        <v>47.192817107685684</v>
      </c>
      <c r="DB941" s="1479">
        <f t="shared" si="1540"/>
        <v>7.9705685526607759</v>
      </c>
      <c r="DC941" s="346">
        <f t="shared" si="1540"/>
        <v>-9.2510255290785892</v>
      </c>
      <c r="DD941" s="346">
        <f t="shared" si="1540"/>
        <v>-43.555208878602997</v>
      </c>
      <c r="DE941" s="346">
        <f t="shared" si="1540"/>
        <v>14.567885185288908</v>
      </c>
      <c r="DF941" s="346">
        <f t="shared" si="1540"/>
        <v>-7.2711786112844123</v>
      </c>
      <c r="DG941" s="346">
        <f t="shared" si="1540"/>
        <v>-3.2963900419334156</v>
      </c>
      <c r="DH941" s="346">
        <f t="shared" si="1540"/>
        <v>25.198558154569078</v>
      </c>
      <c r="DI941" s="346">
        <f t="shared" si="1540"/>
        <v>-27.207758566780257</v>
      </c>
      <c r="DJ941" s="346">
        <f t="shared" si="1540"/>
        <v>-19.27507337857039</v>
      </c>
      <c r="DK941" s="346">
        <f t="shared" si="1540"/>
        <v>50.284704815950036</v>
      </c>
      <c r="DL941" s="346">
        <f t="shared" si="1540"/>
        <v>-55.666589014387327</v>
      </c>
      <c r="DM941" s="346">
        <f t="shared" si="1540"/>
        <v>10.226432119285818</v>
      </c>
      <c r="DN941" s="348">
        <f t="shared" si="1540"/>
        <v>82.417633667038587</v>
      </c>
      <c r="DO941" s="346">
        <f t="shared" si="1540"/>
        <v>-79.326535892291517</v>
      </c>
      <c r="DP941" s="346">
        <f t="shared" si="1540"/>
        <v>2.8271394918599526</v>
      </c>
      <c r="DQ941" s="346">
        <f t="shared" si="1540"/>
        <v>24.370362672379446</v>
      </c>
      <c r="DR941" s="346">
        <f t="shared" si="1540"/>
        <v>-26.209915638076637</v>
      </c>
      <c r="DS941" s="346">
        <f t="shared" si="1540"/>
        <v>-16.099693720680165</v>
      </c>
      <c r="DT941" s="346">
        <f t="shared" si="1540"/>
        <v>42.848612171588933</v>
      </c>
      <c r="DU941" s="346">
        <f t="shared" si="1540"/>
        <v>-43.316155553232889</v>
      </c>
      <c r="DV941" s="346">
        <f t="shared" si="1540"/>
        <v>3.8528205988339721</v>
      </c>
      <c r="DW941" s="346">
        <f t="shared" si="1540"/>
        <v>21.223299859335185</v>
      </c>
      <c r="DX941" s="346">
        <f t="shared" si="1540"/>
        <v>-22.370275653511001</v>
      </c>
      <c r="DY941" s="346">
        <f t="shared" si="1540"/>
        <v>38.912273369721447</v>
      </c>
      <c r="DZ941" s="348">
        <f t="shared" si="1540"/>
        <v>70.514254556423481</v>
      </c>
      <c r="EA941" s="346">
        <f t="shared" si="1540"/>
        <v>14.90586645445169</v>
      </c>
      <c r="EB941" s="346">
        <f t="shared" si="1540"/>
        <v>-32.332925792807828</v>
      </c>
      <c r="EC941" s="346">
        <f t="shared" ref="EC941:FH941" si="1541">EC834-(EC856-EC892)</f>
        <v>-22.231528389022841</v>
      </c>
      <c r="ED941" s="346">
        <f t="shared" si="1541"/>
        <v>-16.626222865389714</v>
      </c>
      <c r="EE941" s="346">
        <f t="shared" si="1541"/>
        <v>106.61340373983299</v>
      </c>
      <c r="EF941" s="346">
        <f t="shared" si="1541"/>
        <v>-60.987477774880233</v>
      </c>
      <c r="EG941" s="346">
        <f t="shared" si="1541"/>
        <v>-40.418521672266856</v>
      </c>
      <c r="EH941" s="346">
        <f t="shared" si="1541"/>
        <v>-7.7205894026887592</v>
      </c>
      <c r="EI941" s="346">
        <f t="shared" si="1541"/>
        <v>24.747113711559951</v>
      </c>
      <c r="EJ941" s="346">
        <f t="shared" si="1541"/>
        <v>34.647239565493116</v>
      </c>
      <c r="EK941" s="346">
        <f t="shared" si="1541"/>
        <v>37.375534266161907</v>
      </c>
      <c r="EL941" s="348">
        <f t="shared" si="1541"/>
        <v>-1.7768669835857196</v>
      </c>
      <c r="EM941" s="346">
        <f t="shared" si="1541"/>
        <v>5.0822941706700391</v>
      </c>
      <c r="EN941" s="346">
        <f t="shared" si="1541"/>
        <v>23.001637524134523</v>
      </c>
      <c r="EO941" s="346">
        <f t="shared" si="1541"/>
        <v>21.017960222919314</v>
      </c>
      <c r="EP941" s="346">
        <f t="shared" si="1541"/>
        <v>6.5253562250127857</v>
      </c>
      <c r="EQ941" s="346">
        <f t="shared" si="1541"/>
        <v>-9.3123081770299763</v>
      </c>
      <c r="ER941" s="346">
        <f t="shared" si="1541"/>
        <v>-19.931516677860031</v>
      </c>
      <c r="ES941" s="346">
        <f t="shared" si="1541"/>
        <v>-21.467566058501546</v>
      </c>
      <c r="ET941" s="346">
        <f t="shared" si="1541"/>
        <v>5.0018529144976469</v>
      </c>
      <c r="EU941" s="346">
        <f t="shared" si="1541"/>
        <v>41.093421077725786</v>
      </c>
      <c r="EV941" s="346">
        <f t="shared" si="1541"/>
        <v>20.029667398912494</v>
      </c>
      <c r="EW941" s="346">
        <f t="shared" si="1541"/>
        <v>-37.106487879623472</v>
      </c>
      <c r="EX941" s="348">
        <f t="shared" si="1541"/>
        <v>-62.800179627111902</v>
      </c>
      <c r="EY941" s="346">
        <f t="shared" si="1541"/>
        <v>-25.832106926181829</v>
      </c>
      <c r="EZ941" s="346">
        <f t="shared" si="1541"/>
        <v>-42.845015236387454</v>
      </c>
      <c r="FA941" s="346">
        <f t="shared" si="1541"/>
        <v>40.066970002069567</v>
      </c>
      <c r="FB941" s="346">
        <f t="shared" si="1541"/>
        <v>-15.111730798628159</v>
      </c>
      <c r="FC941" s="346">
        <f t="shared" si="1541"/>
        <v>12.785278889865225</v>
      </c>
      <c r="FD941" s="346">
        <f t="shared" si="1541"/>
        <v>13.988059023595724</v>
      </c>
      <c r="FE941" s="346">
        <f t="shared" si="1541"/>
        <v>-1.2854610077525166</v>
      </c>
      <c r="FF941" s="346">
        <f t="shared" si="1541"/>
        <v>-2.9944099748562536</v>
      </c>
      <c r="FG941" s="346">
        <f t="shared" si="1541"/>
        <v>-25.601050784779176</v>
      </c>
      <c r="FH941" s="346">
        <f t="shared" si="1541"/>
        <v>-8.2387497340205584</v>
      </c>
      <c r="FI941" s="346">
        <f t="shared" ref="FI941:FV941" si="1542">FI834-(FI856-FI892)</f>
        <v>-31.564510085961103</v>
      </c>
      <c r="FJ941" s="348">
        <f t="shared" si="1542"/>
        <v>84.165969503801165</v>
      </c>
      <c r="FK941" s="346">
        <f t="shared" si="1542"/>
        <v>-111.89883603320959</v>
      </c>
      <c r="FL941" s="346">
        <f t="shared" si="1542"/>
        <v>-35.132130663003721</v>
      </c>
      <c r="FM941" s="346">
        <f t="shared" si="1542"/>
        <v>11.696736859246272</v>
      </c>
      <c r="FN941" s="346">
        <f t="shared" si="1542"/>
        <v>33.56690123182571</v>
      </c>
      <c r="FO941" s="346">
        <f t="shared" si="1542"/>
        <v>5.2519449621693184</v>
      </c>
      <c r="FP941" s="346">
        <f t="shared" si="1542"/>
        <v>50.272658370440013</v>
      </c>
      <c r="FQ941" s="346">
        <f t="shared" si="1542"/>
        <v>8.0110911439031725</v>
      </c>
      <c r="FR941" s="346">
        <f t="shared" si="1542"/>
        <v>37.488205504280018</v>
      </c>
      <c r="FS941" s="346">
        <f t="shared" si="1542"/>
        <v>-8.3717769103185731</v>
      </c>
      <c r="FT941" s="346">
        <f t="shared" si="1542"/>
        <v>-61.454841483936399</v>
      </c>
      <c r="FU941" s="346">
        <f t="shared" si="1542"/>
        <v>-29.656882802885093</v>
      </c>
      <c r="FV941" s="346">
        <f t="shared" si="1542"/>
        <v>78.0119026200571</v>
      </c>
      <c r="FW941" s="346">
        <v>-133.53924042924029</v>
      </c>
      <c r="FX941" s="346">
        <v>-26.546114629070516</v>
      </c>
      <c r="FY941" s="346">
        <v>76.388740930034018</v>
      </c>
      <c r="FZ941" s="346">
        <v>56.427221892580718</v>
      </c>
      <c r="GA941" s="346">
        <v>59.136362582910479</v>
      </c>
      <c r="GB941" s="346">
        <v>223.87188301238533</v>
      </c>
      <c r="GC941" s="346">
        <v>17.024046278038497</v>
      </c>
      <c r="GD941" s="346">
        <v>-27.748728333902903</v>
      </c>
      <c r="GE941" s="346">
        <v>-120.70943646177901</v>
      </c>
      <c r="GF941" s="346">
        <v>-235.99761871476443</v>
      </c>
      <c r="GG941" s="346">
        <v>-25.690959716764496</v>
      </c>
      <c r="GH941" s="346">
        <v>100.37758507979358</v>
      </c>
      <c r="GI941" s="1897">
        <f t="shared" ref="GI941:HL941" si="1543">GI834-GI856+GI892</f>
        <v>-97.802393097344321</v>
      </c>
      <c r="GJ941" s="1897">
        <f t="shared" si="1543"/>
        <v>-20.636294211180982</v>
      </c>
      <c r="GK941" s="1897">
        <f t="shared" si="1543"/>
        <v>69.175310275726503</v>
      </c>
      <c r="GL941" s="1897">
        <f t="shared" si="1543"/>
        <v>6.3105436232977041</v>
      </c>
      <c r="GM941" s="1897">
        <f t="shared" si="1543"/>
        <v>-8.6924457889828872</v>
      </c>
      <c r="GN941" s="1897">
        <f t="shared" si="1543"/>
        <v>96.955517806466972</v>
      </c>
      <c r="GO941" s="1897">
        <f t="shared" si="1543"/>
        <v>-106.8035463452908</v>
      </c>
      <c r="GP941" s="1897">
        <f t="shared" si="1543"/>
        <v>-18.625267632301057</v>
      </c>
      <c r="GQ941" s="1897">
        <f t="shared" si="1543"/>
        <v>119.21772425653847</v>
      </c>
      <c r="GR941" s="1897">
        <f t="shared" si="1543"/>
        <v>-189.58716336308041</v>
      </c>
      <c r="GS941" s="1897">
        <f t="shared" si="1543"/>
        <v>-219.49931151025095</v>
      </c>
      <c r="GT941" s="1897">
        <f t="shared" si="1543"/>
        <v>349.79471159983046</v>
      </c>
      <c r="GU941" s="1897">
        <f t="shared" si="1543"/>
        <v>104.32010732637097</v>
      </c>
      <c r="GV941" s="1897">
        <f t="shared" si="1543"/>
        <v>6.196581685677927</v>
      </c>
      <c r="GW941" s="1897">
        <f t="shared" si="1543"/>
        <v>5.4015814992060029</v>
      </c>
      <c r="GX941" s="1897">
        <f t="shared" si="1543"/>
        <v>40.207616194113875</v>
      </c>
      <c r="GY941" s="1897">
        <f t="shared" si="1543"/>
        <v>-97.845572983421306</v>
      </c>
      <c r="GZ941" s="1897">
        <f t="shared" si="1543"/>
        <v>24.984975032598527</v>
      </c>
      <c r="HA941" s="1897">
        <f t="shared" si="1543"/>
        <v>128.32845211876938</v>
      </c>
      <c r="HB941" s="1897">
        <f t="shared" si="1543"/>
        <v>-106.46088067679808</v>
      </c>
      <c r="HC941" s="1897">
        <f t="shared" si="1543"/>
        <v>-84.599290583900213</v>
      </c>
      <c r="HD941" s="1897">
        <f t="shared" si="1543"/>
        <v>43.079156313578721</v>
      </c>
      <c r="HE941" s="1897">
        <f t="shared" si="1543"/>
        <v>-54.393559857246373</v>
      </c>
      <c r="HF941" s="1897">
        <f t="shared" si="1543"/>
        <v>74.220182181498785</v>
      </c>
      <c r="HG941" s="1897">
        <f t="shared" si="1543"/>
        <v>22.963592345475902</v>
      </c>
      <c r="HH941" s="1897">
        <f t="shared" si="1543"/>
        <v>-16.968424639735417</v>
      </c>
      <c r="HI941" s="1897">
        <f t="shared" si="1543"/>
        <v>33.914016451796471</v>
      </c>
      <c r="HJ941" s="1897">
        <f t="shared" si="1543"/>
        <v>67.996773494778822</v>
      </c>
      <c r="HK941" s="1897">
        <f t="shared" si="1543"/>
        <v>-131.81246765812472</v>
      </c>
      <c r="HL941" s="1897">
        <f t="shared" si="1543"/>
        <v>54.457606760203134</v>
      </c>
      <c r="HM941" s="1897"/>
      <c r="HN941" s="349"/>
      <c r="HO941" s="351" t="s">
        <v>612</v>
      </c>
      <c r="HP941" s="307">
        <f>SUM(CE941:CJ941)</f>
        <v>-33.464818710548236</v>
      </c>
      <c r="HQ941" s="302">
        <f>SUM(CK941:CP941)</f>
        <v>20.940270577685116</v>
      </c>
      <c r="HR941" s="346">
        <f>HP941+HQ941</f>
        <v>-12.524548132863121</v>
      </c>
      <c r="HS941" s="302">
        <f>SUM(CQ941:CV941)</f>
        <v>32.301310889290519</v>
      </c>
      <c r="HT941" s="302">
        <f>SUM(CW941:DB941)</f>
        <v>25.251766911978613</v>
      </c>
      <c r="HU941" s="346">
        <f>HS941+HT941</f>
        <v>57.553077801269133</v>
      </c>
      <c r="HV941" s="307">
        <f>SUM(DC941:DH941)</f>
        <v>-23.607359721041426</v>
      </c>
      <c r="HW941" s="302">
        <f>SUM(DI941:DN941)</f>
        <v>40.779349642536467</v>
      </c>
      <c r="HX941" s="346">
        <f>HV941+HW941</f>
        <v>17.17198992149504</v>
      </c>
      <c r="HY941" s="350">
        <f>SUM(DO941:DT941)</f>
        <v>-51.590030915219991</v>
      </c>
      <c r="HZ941" s="302">
        <f>SUM(DU941:DZ941)</f>
        <v>68.816217177570195</v>
      </c>
      <c r="IA941" s="346">
        <f>HY941+HZ941</f>
        <v>17.226186262350204</v>
      </c>
      <c r="IB941" s="302">
        <f>SUM(EA941:EF941)</f>
        <v>-10.658884627815937</v>
      </c>
      <c r="IC941" s="302">
        <f>SUM(EG941:EL941)</f>
        <v>46.853909484673636</v>
      </c>
      <c r="ID941" s="346">
        <f>IB941+IC941</f>
        <v>36.1950248568577</v>
      </c>
      <c r="IE941" s="350">
        <f>SUM(EM941:ER941)</f>
        <v>26.383423287846654</v>
      </c>
      <c r="IF941" s="350">
        <f>SUM(ES941:EX941)</f>
        <v>-55.249292174100994</v>
      </c>
      <c r="IG941" s="346">
        <f>IE941+IF941</f>
        <v>-28.86586888625434</v>
      </c>
      <c r="IH941" s="1628">
        <f>IH834-IH856+IH892</f>
        <v>-16.948545045666947</v>
      </c>
      <c r="II941" s="350">
        <f>SUM(FE941:FJ941)</f>
        <v>14.481787916431557</v>
      </c>
      <c r="IJ941" s="346">
        <f>IH941+II941</f>
        <v>-2.4667571292353898</v>
      </c>
      <c r="IK941" s="350">
        <f>IK834-IK856+IK892</f>
        <v>-46.24272527253197</v>
      </c>
      <c r="IL941" s="350">
        <f>SUM(FQ941:FV941)</f>
        <v>24.027698071100225</v>
      </c>
      <c r="IM941" s="346">
        <f t="shared" si="1430"/>
        <v>-22.215027201431745</v>
      </c>
      <c r="IN941" s="350">
        <f t="shared" ref="IN941:IV941" si="1544">IN834-IN856+IN892</f>
        <v>255.73885335959972</v>
      </c>
      <c r="IO941" s="350">
        <f t="shared" si="1544"/>
        <v>-292.74511186937877</v>
      </c>
      <c r="IP941" s="346">
        <f t="shared" si="1544"/>
        <v>-37.006258509779173</v>
      </c>
      <c r="IQ941" s="350">
        <f t="shared" si="1544"/>
        <v>45.310238607982853</v>
      </c>
      <c r="IR941" s="350">
        <f t="shared" si="1544"/>
        <v>-65.502852994554246</v>
      </c>
      <c r="IS941" s="346">
        <f t="shared" si="1544"/>
        <v>-20.192614386571222</v>
      </c>
      <c r="IT941" s="350">
        <f t="shared" si="1544"/>
        <v>91.235489144546477</v>
      </c>
      <c r="IU941" s="350">
        <f t="shared" si="1544"/>
        <v>-7.8296633692250452</v>
      </c>
      <c r="IV941" s="346">
        <f t="shared" si="1544"/>
        <v>83.405825775321318</v>
      </c>
      <c r="IW941" s="350">
        <f t="shared" si="1520"/>
        <v>30.551096754394194</v>
      </c>
      <c r="IX941" s="350">
        <f t="shared" si="1514"/>
        <v>-30.551096754394194</v>
      </c>
      <c r="IY941" s="346">
        <f>FISC!AJ1261</f>
        <v>0</v>
      </c>
      <c r="IZ941" s="350">
        <f>IZ834-IZ856+IZ892</f>
        <v>0</v>
      </c>
      <c r="JA941" s="350">
        <f>JB941-IZ941</f>
        <v>0</v>
      </c>
      <c r="JB941" s="346">
        <f>FISC!AK1261</f>
        <v>0</v>
      </c>
      <c r="JC941" s="350">
        <f>JC834-JC856+JC892</f>
        <v>0</v>
      </c>
      <c r="JD941" s="350">
        <f>JE941-JC941</f>
        <v>0</v>
      </c>
      <c r="JE941" s="346">
        <f>FISC!AL1261</f>
        <v>0</v>
      </c>
      <c r="JF941" s="350">
        <f>JF834-JF856+JF892</f>
        <v>0</v>
      </c>
      <c r="JG941" s="350">
        <f>JH941-JF941</f>
        <v>0</v>
      </c>
      <c r="JH941" s="346">
        <f>FISC!AM1261</f>
        <v>0</v>
      </c>
      <c r="JI941" s="350">
        <f>JI834-JI856+JI892</f>
        <v>0</v>
      </c>
      <c r="JJ941" s="350">
        <f>JK941-JI941</f>
        <v>0</v>
      </c>
      <c r="JK941" s="346">
        <f>FISC!AN1261</f>
        <v>0</v>
      </c>
      <c r="JL941" s="350">
        <f>JL834-JL856+JL892</f>
        <v>0</v>
      </c>
      <c r="JM941" s="350">
        <f>JN941-JL941</f>
        <v>0</v>
      </c>
      <c r="JN941" s="346">
        <f>FISC!AO1261</f>
        <v>0</v>
      </c>
      <c r="KI941" s="349"/>
      <c r="KJ941" s="350"/>
      <c r="KM941" s="302">
        <f>KM834-(KM856-KM892)</f>
        <v>0</v>
      </c>
      <c r="KN941" s="302">
        <f>KN834-(KN856-KN892)</f>
        <v>0</v>
      </c>
      <c r="KO941" s="302">
        <f>KO834-(KO856-KO892)</f>
        <v>0</v>
      </c>
      <c r="KP941" s="302">
        <f>KP834-(KP856-KP892)</f>
        <v>0</v>
      </c>
    </row>
    <row r="942" spans="1:302" hidden="1" outlineLevel="1">
      <c r="A942" s="302"/>
      <c r="D942" s="351"/>
      <c r="E942" s="346"/>
      <c r="F942" s="346"/>
      <c r="G942" s="346"/>
      <c r="H942" s="346"/>
      <c r="I942" s="346"/>
      <c r="J942" s="346"/>
      <c r="K942" s="346"/>
      <c r="L942" s="346"/>
      <c r="M942" s="346"/>
      <c r="N942" s="346"/>
      <c r="O942" s="346"/>
      <c r="P942" s="346"/>
      <c r="Q942" s="346"/>
      <c r="R942" s="346"/>
      <c r="S942" s="346"/>
      <c r="T942" s="346"/>
      <c r="U942" s="346"/>
      <c r="V942" s="346"/>
      <c r="W942" s="346"/>
      <c r="X942" s="346"/>
      <c r="Y942" s="346"/>
      <c r="Z942" s="346"/>
      <c r="AA942" s="346"/>
      <c r="AB942" s="346"/>
      <c r="AC942" s="346"/>
      <c r="AD942" s="346"/>
      <c r="AE942" s="346"/>
      <c r="AF942" s="346"/>
      <c r="AG942" s="346"/>
      <c r="AH942" s="346"/>
      <c r="AI942" s="346"/>
      <c r="AJ942" s="346"/>
      <c r="AK942" s="346"/>
      <c r="AL942" s="346"/>
      <c r="AM942" s="346"/>
      <c r="AN942" s="346"/>
      <c r="AO942" s="346"/>
      <c r="AP942" s="346"/>
      <c r="AQ942" s="346"/>
      <c r="AR942" s="346"/>
      <c r="AS942" s="346"/>
      <c r="AT942" s="346"/>
      <c r="AU942" s="346"/>
      <c r="AV942" s="346"/>
      <c r="AW942" s="346"/>
      <c r="AX942" s="346"/>
      <c r="AY942" s="346"/>
      <c r="AZ942" s="346"/>
      <c r="BA942" s="346"/>
      <c r="BB942" s="346"/>
      <c r="BC942" s="346"/>
      <c r="BD942" s="346"/>
      <c r="BE942" s="346"/>
      <c r="BF942" s="346"/>
      <c r="BG942" s="346"/>
      <c r="BH942" s="346"/>
      <c r="BI942" s="346"/>
      <c r="BJ942" s="346"/>
      <c r="BK942" s="346"/>
      <c r="BL942" s="346"/>
      <c r="BM942" s="346"/>
      <c r="BN942" s="346"/>
      <c r="BO942" s="346"/>
      <c r="BP942" s="346"/>
      <c r="BQ942" s="346"/>
      <c r="BR942" s="346"/>
      <c r="BS942" s="346"/>
      <c r="BT942" s="346"/>
      <c r="BU942" s="346"/>
      <c r="BV942" s="346"/>
      <c r="BW942" s="346"/>
      <c r="BX942" s="346"/>
      <c r="BY942" s="346"/>
      <c r="BZ942" s="346"/>
      <c r="CA942" s="346"/>
      <c r="CB942" s="346"/>
      <c r="CC942" s="346"/>
      <c r="CD942" s="346"/>
      <c r="CE942" s="346"/>
      <c r="CF942" s="346"/>
      <c r="CG942" s="346"/>
      <c r="CH942" s="346"/>
      <c r="CI942" s="346"/>
      <c r="CJ942" s="346"/>
      <c r="CK942" s="346"/>
      <c r="CL942" s="346"/>
      <c r="CM942" s="346"/>
      <c r="CN942" s="346"/>
      <c r="CO942" s="346"/>
      <c r="CP942" s="348"/>
      <c r="CQ942" s="346"/>
      <c r="CR942" s="346"/>
      <c r="CS942" s="346"/>
      <c r="CT942" s="346"/>
      <c r="CU942" s="346"/>
      <c r="CV942" s="346"/>
      <c r="CW942" s="346"/>
      <c r="CX942" s="346"/>
      <c r="CY942" s="346"/>
      <c r="CZ942" s="346"/>
      <c r="DA942" s="346"/>
      <c r="DB942" s="1479"/>
      <c r="DC942" s="346"/>
      <c r="DD942" s="346"/>
      <c r="DE942" s="346"/>
      <c r="DF942" s="346"/>
      <c r="DG942" s="346"/>
      <c r="DH942" s="346"/>
      <c r="DI942" s="346"/>
      <c r="DJ942" s="346"/>
      <c r="DK942" s="346"/>
      <c r="DL942" s="346"/>
      <c r="DM942" s="346"/>
      <c r="DN942" s="348"/>
      <c r="DO942" s="346"/>
      <c r="DP942" s="346"/>
      <c r="DQ942" s="346"/>
      <c r="DR942" s="346"/>
      <c r="DS942" s="346"/>
      <c r="DT942" s="346"/>
      <c r="DU942" s="346"/>
      <c r="DV942" s="346"/>
      <c r="DW942" s="346"/>
      <c r="DX942" s="346"/>
      <c r="DY942" s="346"/>
      <c r="DZ942" s="348"/>
      <c r="EA942" s="346"/>
      <c r="EB942" s="346"/>
      <c r="EC942" s="346"/>
      <c r="ED942" s="346"/>
      <c r="EE942" s="346"/>
      <c r="EF942" s="346"/>
      <c r="EG942" s="346"/>
      <c r="EH942" s="346"/>
      <c r="EI942" s="346"/>
      <c r="EJ942" s="346"/>
      <c r="EK942" s="346"/>
      <c r="EL942" s="348"/>
      <c r="EM942" s="346"/>
      <c r="EN942" s="346"/>
      <c r="EO942" s="346"/>
      <c r="EP942" s="346"/>
      <c r="EQ942" s="346"/>
      <c r="ER942" s="346"/>
      <c r="ES942" s="346"/>
      <c r="ET942" s="346"/>
      <c r="EU942" s="346"/>
      <c r="EV942" s="346"/>
      <c r="EW942" s="346"/>
      <c r="EX942" s="348"/>
      <c r="EY942" s="346"/>
      <c r="EZ942" s="346"/>
      <c r="FA942" s="346"/>
      <c r="FB942" s="346"/>
      <c r="FC942" s="346"/>
      <c r="FD942" s="346"/>
      <c r="FE942" s="346"/>
      <c r="FF942" s="346"/>
      <c r="FG942" s="346"/>
      <c r="FH942" s="346"/>
      <c r="FI942" s="346"/>
      <c r="FJ942" s="348"/>
      <c r="FK942" s="346"/>
      <c r="FL942" s="346"/>
      <c r="FM942" s="346"/>
      <c r="FN942" s="346"/>
      <c r="FO942" s="346"/>
      <c r="FP942" s="346"/>
      <c r="FQ942" s="346"/>
      <c r="FR942" s="346"/>
      <c r="FS942" s="346"/>
      <c r="FT942" s="346"/>
      <c r="FU942" s="346"/>
      <c r="FV942" s="346"/>
      <c r="FW942" s="346"/>
      <c r="FX942" s="346"/>
      <c r="FY942" s="346"/>
      <c r="FZ942" s="346"/>
      <c r="GA942" s="346"/>
      <c r="GB942" s="346"/>
      <c r="GC942" s="346"/>
      <c r="GD942" s="346"/>
      <c r="GE942" s="346"/>
      <c r="GF942" s="346"/>
      <c r="GG942" s="346"/>
      <c r="GH942" s="346"/>
      <c r="GI942" s="1897"/>
      <c r="HN942" s="349"/>
      <c r="HO942" s="351"/>
      <c r="HP942" s="307"/>
      <c r="HR942" s="346"/>
      <c r="HU942" s="346"/>
      <c r="HV942" s="307"/>
      <c r="HX942" s="346"/>
      <c r="HY942" s="350"/>
      <c r="IA942" s="346"/>
      <c r="ID942" s="346"/>
      <c r="IE942" s="350"/>
      <c r="IF942" s="350"/>
      <c r="IG942" s="346"/>
      <c r="IH942" s="1628"/>
      <c r="II942" s="350"/>
      <c r="IJ942" s="346"/>
      <c r="IK942" s="350"/>
      <c r="IL942" s="350"/>
      <c r="IM942" s="346"/>
      <c r="IN942" s="350"/>
      <c r="IO942" s="350"/>
      <c r="IP942" s="346"/>
      <c r="IQ942" s="350"/>
      <c r="IR942" s="350"/>
      <c r="IS942" s="346"/>
      <c r="IT942" s="350"/>
      <c r="IU942" s="350"/>
      <c r="IV942" s="346"/>
      <c r="IW942" s="350"/>
      <c r="IX942" s="350"/>
      <c r="IY942" s="346"/>
      <c r="IZ942" s="350"/>
      <c r="JA942" s="350"/>
      <c r="JB942" s="346"/>
      <c r="JE942" s="346"/>
      <c r="KI942" s="349"/>
      <c r="KJ942" s="350"/>
    </row>
    <row r="943" spans="1:302" hidden="1" outlineLevel="1">
      <c r="A943" s="302"/>
      <c r="CP943" s="303"/>
      <c r="DZ943" s="348"/>
      <c r="EA943" s="346"/>
      <c r="GI943" s="1897"/>
      <c r="HO943" s="117"/>
      <c r="HP943" s="117"/>
      <c r="HQ943" s="117"/>
      <c r="HU943" s="117"/>
      <c r="HV943" s="307"/>
      <c r="IN943" s="302">
        <f>IN923-IN926</f>
        <v>274.62635669999997</v>
      </c>
      <c r="IS943" s="1923"/>
      <c r="IV943" s="1923"/>
    </row>
    <row r="944" spans="1:302" hidden="1" outlineLevel="1">
      <c r="A944" s="302"/>
      <c r="D944" s="1725" t="s">
        <v>3249</v>
      </c>
      <c r="CP944" s="303"/>
      <c r="DZ944" s="348"/>
      <c r="EA944" s="346"/>
      <c r="GI944" s="1897"/>
      <c r="HO944" s="117"/>
      <c r="HP944" s="117"/>
      <c r="HQ944" s="117"/>
      <c r="HR944" s="370">
        <v>2014</v>
      </c>
      <c r="HS944" s="637"/>
      <c r="HT944" s="637"/>
      <c r="HU944" s="370">
        <v>2015</v>
      </c>
      <c r="HV944" s="390"/>
      <c r="HW944" s="370"/>
      <c r="HX944" s="370">
        <v>2016</v>
      </c>
      <c r="HY944" s="370"/>
      <c r="HZ944" s="370"/>
      <c r="IA944" s="370">
        <v>2017</v>
      </c>
      <c r="IB944" s="370"/>
      <c r="IC944" s="370"/>
      <c r="ID944" s="370">
        <v>2018</v>
      </c>
      <c r="IE944" s="370"/>
      <c r="IF944" s="370"/>
      <c r="IG944" s="370">
        <v>2019</v>
      </c>
      <c r="IH944" s="370"/>
      <c r="II944" s="370"/>
      <c r="IJ944" s="370">
        <v>2020</v>
      </c>
      <c r="IK944" s="370"/>
      <c r="IL944" s="370"/>
      <c r="IM944" s="370">
        <v>2021</v>
      </c>
      <c r="IN944" s="370"/>
      <c r="IO944" s="637">
        <f>IN801-IN802</f>
        <v>68.396171479000003</v>
      </c>
      <c r="IP944" s="370">
        <v>2022</v>
      </c>
      <c r="IQ944" s="370"/>
      <c r="IR944" s="370"/>
      <c r="IS944" s="370">
        <v>2023</v>
      </c>
      <c r="IT944" s="370"/>
      <c r="IU944" s="370"/>
      <c r="IV944" s="370">
        <v>2024</v>
      </c>
      <c r="IW944" s="370"/>
      <c r="IX944" s="370"/>
      <c r="IY944" s="370">
        <v>2025</v>
      </c>
      <c r="IZ944" s="370"/>
      <c r="JA944" s="370"/>
      <c r="JB944" s="370">
        <v>2026</v>
      </c>
      <c r="JE944" s="370">
        <v>2027</v>
      </c>
    </row>
    <row r="945" spans="1:274" hidden="1" outlineLevel="1">
      <c r="A945" s="302"/>
      <c r="D945" s="302"/>
      <c r="CP945" s="303"/>
      <c r="DZ945" s="348"/>
      <c r="EA945" s="346"/>
      <c r="GI945" s="1897"/>
      <c r="HO945" s="117"/>
      <c r="HP945" s="117"/>
      <c r="HQ945" s="117"/>
      <c r="HV945" s="307"/>
    </row>
    <row r="946" spans="1:274" hidden="1" outlineLevel="1">
      <c r="A946" s="302"/>
      <c r="D946" s="1726" t="s">
        <v>592</v>
      </c>
      <c r="CP946" s="303"/>
      <c r="DZ946" s="348"/>
      <c r="EA946" s="346"/>
      <c r="GI946" s="1897"/>
      <c r="HO946" s="117"/>
      <c r="HP946" s="117"/>
      <c r="HQ946" s="117"/>
      <c r="HR946" s="302">
        <f>HQ842+HS842</f>
        <v>-324.63377352274574</v>
      </c>
      <c r="HU946" s="302">
        <f>HT842+HV842</f>
        <v>-314.46069617946495</v>
      </c>
      <c r="HV946" s="307"/>
      <c r="HX946" s="302">
        <f>HW842+HY842</f>
        <v>-338.08870041993629</v>
      </c>
      <c r="IA946" s="302">
        <f>HZ842+IB842</f>
        <v>-303.25647104836435</v>
      </c>
      <c r="ID946" s="302">
        <f>IC842+IE842</f>
        <v>-292.0879723578563</v>
      </c>
      <c r="IG946" s="302">
        <f>IF842+IH842</f>
        <v>-819.93409500150551</v>
      </c>
      <c r="IJ946" s="302">
        <f>II842+IK842</f>
        <v>-990.66089976121407</v>
      </c>
      <c r="IM946" s="302">
        <f>IL842+IN842</f>
        <v>-965.04927871679433</v>
      </c>
      <c r="IO946" s="302">
        <v>109.10620815443994</v>
      </c>
      <c r="IP946" s="302">
        <f>IO842+IQ842</f>
        <v>-1100.897626225159</v>
      </c>
      <c r="IS946" s="302">
        <f>IR842+IT842</f>
        <v>-960.32692078175637</v>
      </c>
      <c r="IV946" s="302">
        <f>IU842+IW842</f>
        <v>-1376.7336019242327</v>
      </c>
      <c r="IY946" s="302">
        <f>IX842+IZ842</f>
        <v>-2093.9717347842216</v>
      </c>
      <c r="JB946" s="302">
        <f>JA842+JC842</f>
        <v>-1240.2513100667802</v>
      </c>
      <c r="JE946" s="302">
        <f>JD842+JF842</f>
        <v>-1157.7619505167104</v>
      </c>
    </row>
    <row r="947" spans="1:274" ht="15.5" hidden="1" outlineLevel="1" thickBot="1">
      <c r="A947" s="302"/>
      <c r="D947" s="1726" t="s">
        <v>593</v>
      </c>
      <c r="CP947" s="303"/>
      <c r="DZ947" s="348"/>
      <c r="EA947" s="346"/>
      <c r="HO947" s="117"/>
      <c r="HP947" s="117"/>
      <c r="HQ947" s="117"/>
      <c r="HR947" s="302">
        <f>HQ843+HS843</f>
        <v>-746.45458067863638</v>
      </c>
      <c r="HU947" s="302">
        <f>HT843+HV843</f>
        <v>-689.06243269109564</v>
      </c>
      <c r="HV947" s="307"/>
      <c r="HX947" s="302">
        <f>HW843+HY843</f>
        <v>-677.42452107215649</v>
      </c>
      <c r="IA947" s="302">
        <f>HZ843+IB843</f>
        <v>-662.99792251172471</v>
      </c>
      <c r="ID947" s="302">
        <f>IC843+IE843</f>
        <v>-690.77354506053678</v>
      </c>
      <c r="IG947" s="302">
        <f>IF843+IH843</f>
        <v>-1200.601735651353</v>
      </c>
      <c r="IJ947" s="302">
        <f>II843+IK843</f>
        <v>-1466.2550313247843</v>
      </c>
      <c r="IM947" s="302">
        <f>IL843+IN843</f>
        <v>-1566.3448857396343</v>
      </c>
      <c r="IO947" s="302">
        <f>IN801-IO946</f>
        <v>97.711391278560058</v>
      </c>
      <c r="IP947" s="302">
        <f>IO843+IQ843</f>
        <v>-1899.0176339946152</v>
      </c>
      <c r="IS947" s="302">
        <f>IR843+IT843</f>
        <v>-1733.3518546766604</v>
      </c>
      <c r="IV947" s="302">
        <f>IU843+IW843</f>
        <v>-2163.1284005673037</v>
      </c>
      <c r="IY947" s="302">
        <f>IX843+IZ843</f>
        <v>-2643.1891012954966</v>
      </c>
      <c r="JB947" s="302">
        <f>JA843+JC843</f>
        <v>-1853.0044891147445</v>
      </c>
      <c r="JE947" s="302">
        <f>JD843+JF843</f>
        <v>-1855.7588382135962</v>
      </c>
    </row>
    <row r="948" spans="1:274" ht="15.5" hidden="1" outlineLevel="1" thickBot="1">
      <c r="A948" s="302"/>
      <c r="D948" s="1738" t="s">
        <v>3254</v>
      </c>
      <c r="CP948" s="303"/>
      <c r="DZ948" s="348"/>
      <c r="EA948" s="346"/>
      <c r="HO948" s="117"/>
      <c r="HP948" s="117"/>
      <c r="HQ948" s="117"/>
      <c r="HV948" s="307"/>
      <c r="IJ948" s="302">
        <f>II853+IK853</f>
        <v>-990.66089976121407</v>
      </c>
      <c r="IM948" s="302">
        <f>IL853+IN853</f>
        <v>-364.41545007756912</v>
      </c>
      <c r="IO948" s="302">
        <f>IO947/IP801</f>
        <v>0.2001533883864213</v>
      </c>
      <c r="IP948" s="302">
        <f>IO853+IQ853</f>
        <v>0</v>
      </c>
      <c r="IS948" s="302">
        <f>IR853+IT853</f>
        <v>-427.60583946013401</v>
      </c>
      <c r="IV948" s="302">
        <f>IU853+IW853</f>
        <v>-1367.6025759242327</v>
      </c>
      <c r="IY948" s="302">
        <f>IX853+IZ853</f>
        <v>-1975.8767676394718</v>
      </c>
      <c r="JB948" s="302">
        <f>JA853+JC853</f>
        <v>-1235.2513100667802</v>
      </c>
      <c r="JE948" s="302">
        <f>JD853+JF853</f>
        <v>-1157.7619505167104</v>
      </c>
    </row>
    <row r="949" spans="1:274" hidden="1" outlineLevel="1">
      <c r="A949" s="302"/>
      <c r="D949" s="1725" t="s">
        <v>3250</v>
      </c>
      <c r="CP949" s="303"/>
      <c r="DZ949" s="348"/>
      <c r="EA949" s="346"/>
      <c r="HO949" s="117"/>
      <c r="HP949" s="117"/>
      <c r="HQ949" s="117"/>
      <c r="HV949" s="307"/>
      <c r="IO949" s="302">
        <v>0.39986686472916499</v>
      </c>
      <c r="IS949" s="302">
        <v>6.5</v>
      </c>
      <c r="IV949" s="302">
        <v>5.5</v>
      </c>
      <c r="IY949" s="302">
        <v>4.5</v>
      </c>
    </row>
    <row r="950" spans="1:274" hidden="1" outlineLevel="1">
      <c r="A950" s="302"/>
      <c r="D950" s="1726" t="s">
        <v>592</v>
      </c>
      <c r="CP950" s="303"/>
      <c r="DZ950" s="348"/>
      <c r="EA950" s="346"/>
      <c r="HO950" s="117"/>
      <c r="HP950" s="117"/>
      <c r="HQ950" s="117"/>
      <c r="HR950" s="1733">
        <f>HR946/HR954</f>
        <v>-5.7733198207850923E-2</v>
      </c>
      <c r="HS950" s="1733"/>
      <c r="HT950" s="1733"/>
      <c r="HU950" s="1733">
        <f>HU946/HU954</f>
        <v>-5.1131820516986171E-2</v>
      </c>
      <c r="HV950" s="1734"/>
      <c r="HW950" s="1733"/>
      <c r="HX950" s="1733">
        <f>HX946/HX954</f>
        <v>-4.939206726368682E-2</v>
      </c>
      <c r="HY950" s="1733"/>
      <c r="HZ950" s="1733"/>
      <c r="IA950" s="1733">
        <f>IA946/IA954</f>
        <v>-3.9413471314800712E-2</v>
      </c>
      <c r="IB950" s="1733"/>
      <c r="IC950" s="1733"/>
      <c r="ID950" s="1733">
        <f>ID946/ID954</f>
        <v>-3.519498564162056E-2</v>
      </c>
      <c r="IE950" s="1733"/>
      <c r="IF950" s="1733"/>
      <c r="IG950" s="1733">
        <f>IG946/IG954</f>
        <v>-8.809251220088099E-2</v>
      </c>
      <c r="IH950" s="1733"/>
      <c r="II950" s="1733"/>
      <c r="IJ950" s="1733">
        <f>IJ946/IJ954</f>
        <v>-0.1032533649878184</v>
      </c>
      <c r="IK950" s="1733"/>
      <c r="IL950" s="1733"/>
      <c r="IM950" s="1733">
        <f>IM946/IM954</f>
        <v>-8.8110113457826211E-2</v>
      </c>
      <c r="IN950" s="1733"/>
      <c r="IO950" s="1733"/>
      <c r="IP950" s="1733">
        <f>IP946/IP954</f>
        <v>-8.0241808049224719E-2</v>
      </c>
      <c r="IQ950" s="1733"/>
      <c r="IR950" s="1733"/>
      <c r="IS950" s="1733">
        <f>IS946/IS954</f>
        <v>-5.7759811015398177E-2</v>
      </c>
      <c r="IT950" s="1733"/>
      <c r="IU950" s="1733"/>
      <c r="IV950" s="1733">
        <f>IV946/IV954</f>
        <v>-7.3287058723301754E-2</v>
      </c>
      <c r="IW950" s="1733"/>
      <c r="IX950" s="1733"/>
      <c r="IY950" s="1733">
        <f>IY946/IY954</f>
        <v>-9.8392208735608722E-2</v>
      </c>
      <c r="IZ950" s="1733"/>
      <c r="JA950" s="1733"/>
      <c r="JB950" s="1733">
        <f>JB946/JB954</f>
        <v>-5.1623219981781147E-2</v>
      </c>
      <c r="JE950" s="1733">
        <f>JE946/JE954</f>
        <v>-4.5291456809500412E-2</v>
      </c>
    </row>
    <row r="951" spans="1:274" ht="15.5" hidden="1" outlineLevel="1" thickBot="1">
      <c r="A951" s="302"/>
      <c r="D951" s="1726" t="s">
        <v>593</v>
      </c>
      <c r="CP951" s="303"/>
      <c r="DZ951" s="348"/>
      <c r="EA951" s="346"/>
      <c r="HO951" s="117"/>
      <c r="HP951" s="117"/>
      <c r="HQ951" s="117"/>
      <c r="HR951" s="1733">
        <f>HR947/HR954</f>
        <v>-0.13275023664923286</v>
      </c>
      <c r="HS951" s="1733"/>
      <c r="HT951" s="1733"/>
      <c r="HU951" s="1733">
        <f>HU947/HU954</f>
        <v>-0.11204267198229198</v>
      </c>
      <c r="HV951" s="1734"/>
      <c r="HW951" s="1733"/>
      <c r="HX951" s="1733">
        <f>HX947/HX954</f>
        <v>-9.8966328863718991E-2</v>
      </c>
      <c r="HY951" s="1733"/>
      <c r="HZ951" s="1733"/>
      <c r="IA951" s="1733">
        <f>IA947/IA954</f>
        <v>-8.6168151697975995E-2</v>
      </c>
      <c r="IB951" s="1733"/>
      <c r="IC951" s="1733"/>
      <c r="ID951" s="1733">
        <f>ID947/ID954</f>
        <v>-8.3234392719981537E-2</v>
      </c>
      <c r="IE951" s="1733"/>
      <c r="IF951" s="1733"/>
      <c r="IG951" s="1733">
        <f>IG947/IG954</f>
        <v>-0.12899088315881233</v>
      </c>
      <c r="IH951" s="1733"/>
      <c r="II951" s="1733"/>
      <c r="IJ951" s="1733">
        <f>IJ947/IJ954</f>
        <v>-0.1528229951854313</v>
      </c>
      <c r="IK951" s="1733"/>
      <c r="IL951" s="1733"/>
      <c r="IM951" s="1733">
        <f>IM947/IM954</f>
        <v>-0.14300909667547246</v>
      </c>
      <c r="IN951" s="1733"/>
      <c r="IO951" s="1733"/>
      <c r="IP951" s="1733">
        <f>IP947/IP954</f>
        <v>-0.13841487604218292</v>
      </c>
      <c r="IQ951" s="1733"/>
      <c r="IR951" s="1733"/>
      <c r="IS951" s="1733">
        <f>IS947/IS954</f>
        <v>-0.10425415906055459</v>
      </c>
      <c r="IT951" s="1733"/>
      <c r="IU951" s="1733"/>
      <c r="IV951" s="1733">
        <f>IV947/IV954</f>
        <v>-0.11514886968462495</v>
      </c>
      <c r="IW951" s="1733"/>
      <c r="IX951" s="1733"/>
      <c r="IY951" s="1733">
        <f>IY947/IY954</f>
        <v>-0.12419900873645365</v>
      </c>
      <c r="IZ951" s="1733"/>
      <c r="JA951" s="1733"/>
      <c r="JB951" s="1733">
        <f>JB947/JB954</f>
        <v>-7.7127963979854872E-2</v>
      </c>
      <c r="JE951" s="1733">
        <f>JE947/JE954</f>
        <v>-7.2596980089290497E-2</v>
      </c>
    </row>
    <row r="952" spans="1:274" ht="15.5" hidden="1" outlineLevel="1" thickBot="1">
      <c r="A952" s="302"/>
      <c r="D952" s="1738" t="s">
        <v>3254</v>
      </c>
      <c r="CP952" s="303"/>
      <c r="DZ952" s="348"/>
      <c r="EA952" s="346"/>
      <c r="HO952" s="117"/>
      <c r="HP952" s="117"/>
      <c r="HQ952" s="117"/>
      <c r="HR952" s="1733"/>
      <c r="HS952" s="1733"/>
      <c r="HT952" s="1733"/>
      <c r="HU952" s="1733"/>
      <c r="HV952" s="1734"/>
      <c r="HW952" s="1733"/>
      <c r="HX952" s="1733"/>
      <c r="HY952" s="1733"/>
      <c r="HZ952" s="1733"/>
      <c r="IA952" s="1733"/>
      <c r="IB952" s="1733"/>
      <c r="IC952" s="1733"/>
      <c r="ID952" s="1733"/>
      <c r="IE952" s="1733"/>
      <c r="IF952" s="1733"/>
      <c r="IG952" s="1733"/>
      <c r="IH952" s="1733">
        <f>IH953/IF953-1</f>
        <v>7.1220823403935318E-2</v>
      </c>
      <c r="II952" s="1733"/>
      <c r="IJ952" s="1742">
        <f>IJ948/IJ954</f>
        <v>-0.1032533649878184</v>
      </c>
      <c r="IK952" s="1733"/>
      <c r="IL952" s="1733"/>
      <c r="IM952" s="1742">
        <f>IM948/IM954</f>
        <v>-3.3271551370737937E-2</v>
      </c>
      <c r="IN952" s="1733"/>
      <c r="IO952" s="1733"/>
      <c r="IP952" s="1742">
        <f>IP948/IP954</f>
        <v>0</v>
      </c>
      <c r="IQ952" s="1733"/>
      <c r="IR952" s="1733"/>
      <c r="IS952" s="1742">
        <f>IS948/IS954</f>
        <v>-2.5718775493862252E-2</v>
      </c>
      <c r="IT952" s="1733"/>
      <c r="IU952" s="1733"/>
      <c r="IV952" s="1742">
        <f>IV948/IV954</f>
        <v>-7.2800990803022422E-2</v>
      </c>
      <c r="IW952" s="1733"/>
      <c r="IX952" s="1733"/>
      <c r="IY952" s="1742">
        <f>IY948/IY954</f>
        <v>-9.2843124922818654E-2</v>
      </c>
      <c r="IZ952" s="1733"/>
      <c r="JA952" s="1733"/>
      <c r="JB952" s="1742">
        <f>JB948/JB954</f>
        <v>-5.1415104015433158E-2</v>
      </c>
      <c r="JE952" s="1742">
        <f>JE948/JE954</f>
        <v>-4.5291456809500412E-2</v>
      </c>
    </row>
    <row r="953" spans="1:274" hidden="1" outlineLevel="1">
      <c r="A953" s="302"/>
      <c r="D953" s="1736" t="s">
        <v>3252</v>
      </c>
      <c r="CP953" s="303"/>
      <c r="DZ953" s="348"/>
      <c r="EA953" s="346"/>
      <c r="HO953" s="117"/>
      <c r="HP953" s="117"/>
      <c r="HQ953" s="117"/>
      <c r="HV953" s="307"/>
      <c r="HZ953" s="302">
        <f>HZ955+IB955</f>
        <v>1558.8229801576588</v>
      </c>
      <c r="IA953" s="1918">
        <f>IC953/HZ953-1</f>
        <v>0.1074171171698981</v>
      </c>
      <c r="IC953" s="302">
        <f>IC955+IE955</f>
        <v>1726.2672508643836</v>
      </c>
      <c r="ID953" s="302">
        <f>IF953-IC953</f>
        <v>550.97387104181962</v>
      </c>
      <c r="IE953" s="1918">
        <f>IF953/IC953-1</f>
        <v>0.31917066767381108</v>
      </c>
      <c r="IF953" s="302">
        <f>IF955+IH955</f>
        <v>2277.2411219062033</v>
      </c>
      <c r="IG953" s="302">
        <f>IH953-IF953</f>
        <v>162.18698779146143</v>
      </c>
      <c r="IH953" s="302">
        <f>II955+IK955</f>
        <v>2439.4281096976647</v>
      </c>
      <c r="IJ953" s="1737">
        <v>9.1</v>
      </c>
      <c r="IM953" s="1735">
        <v>8.9</v>
      </c>
      <c r="IP953" s="1735">
        <v>8</v>
      </c>
      <c r="IS953" s="1735">
        <v>6.2</v>
      </c>
      <c r="IV953" s="1735">
        <v>4.5</v>
      </c>
      <c r="IY953" s="1735">
        <v>3.5</v>
      </c>
      <c r="JB953" s="1735">
        <v>3</v>
      </c>
      <c r="JE953" s="1735">
        <v>3</v>
      </c>
    </row>
    <row r="954" spans="1:274" ht="13.5" hidden="1" customHeight="1" outlineLevel="1">
      <c r="A954" s="302"/>
      <c r="D954" s="117" t="s">
        <v>3251</v>
      </c>
      <c r="CP954" s="303"/>
      <c r="DZ954" s="348"/>
      <c r="EA954" s="346"/>
      <c r="HO954" s="117"/>
      <c r="HP954" s="117"/>
      <c r="HQ954" s="117"/>
      <c r="HR954" s="302">
        <f>FISC!Y207</f>
        <v>5623</v>
      </c>
      <c r="HU954" s="302">
        <f>FISC!Z207</f>
        <v>6150</v>
      </c>
      <c r="HX954" s="302">
        <f>FISC!AA207</f>
        <v>6845</v>
      </c>
      <c r="IA954" s="302">
        <f>FISC!AB207</f>
        <v>7694.2340000000004</v>
      </c>
      <c r="ID954" s="302">
        <f>FISC!AC207</f>
        <v>8299.1360000000004</v>
      </c>
      <c r="IG954" s="302">
        <f>FISC!AD207</f>
        <v>9307.6479999999992</v>
      </c>
      <c r="IJ954" s="302">
        <f>FISC!AE207</f>
        <v>9594.4660000000003</v>
      </c>
      <c r="IM954" s="302">
        <f>FISC!AF207</f>
        <v>10952.763999999999</v>
      </c>
      <c r="IP954" s="302">
        <f>FISC!AG207</f>
        <v>13719.751</v>
      </c>
      <c r="IS954" s="302">
        <f>FISC!AH207</f>
        <v>16626.213</v>
      </c>
      <c r="IV954" s="302">
        <f>FISC!AI207</f>
        <v>18785.493999999999</v>
      </c>
      <c r="IY954" s="302">
        <f>FISC!AJ207</f>
        <v>21281.885646158898</v>
      </c>
      <c r="JB954" s="302">
        <f>FISC!AK207</f>
        <v>24025.066830478405</v>
      </c>
      <c r="JE954" s="302">
        <f>FISC!AL402</f>
        <v>25562.479815704588</v>
      </c>
    </row>
    <row r="955" spans="1:274" hidden="1" outlineLevel="1">
      <c r="A955" s="302"/>
      <c r="CP955" s="303"/>
      <c r="DZ955" s="348"/>
      <c r="EA955" s="346"/>
      <c r="HO955" s="117"/>
      <c r="HP955" s="117"/>
      <c r="HQ955" s="117"/>
      <c r="HU955" s="302">
        <f t="shared" ref="HU955:IQ955" si="1545">HU957-HU755</f>
        <v>1296.6929846414382</v>
      </c>
      <c r="HV955" s="302">
        <f t="shared" si="1545"/>
        <v>671.41768553904922</v>
      </c>
      <c r="HW955" s="302">
        <f t="shared" si="1545"/>
        <v>712.39258903165353</v>
      </c>
      <c r="HX955" s="302">
        <f t="shared" si="1545"/>
        <v>1383.8102745707026</v>
      </c>
      <c r="HY955" s="302">
        <f t="shared" si="1545"/>
        <v>744.29408033177901</v>
      </c>
      <c r="HZ955" s="302">
        <f t="shared" si="1545"/>
        <v>766.93450983246873</v>
      </c>
      <c r="IA955" s="302">
        <f t="shared" si="1545"/>
        <v>1511.2285901642479</v>
      </c>
      <c r="IB955" s="302">
        <f t="shared" si="1545"/>
        <v>791.88847032519004</v>
      </c>
      <c r="IC955" s="302">
        <f t="shared" si="1545"/>
        <v>857.79824264881006</v>
      </c>
      <c r="ID955" s="302">
        <f t="shared" si="1545"/>
        <v>1649.6867129740001</v>
      </c>
      <c r="IE955" s="302">
        <f t="shared" si="1545"/>
        <v>868.46900821557358</v>
      </c>
      <c r="IF955" s="302">
        <f t="shared" si="1545"/>
        <v>1170.844780137656</v>
      </c>
      <c r="IG955" s="302">
        <f t="shared" si="1545"/>
        <v>2039.3137883532299</v>
      </c>
      <c r="IH955" s="302">
        <f t="shared" si="1545"/>
        <v>1106.3963417685475</v>
      </c>
      <c r="II955" s="302">
        <f t="shared" si="1545"/>
        <v>1143.770753945819</v>
      </c>
      <c r="IJ955" s="302">
        <f t="shared" si="1545"/>
        <v>2250.1670957143665</v>
      </c>
      <c r="IK955" s="302">
        <f t="shared" si="1545"/>
        <v>1295.6573557518454</v>
      </c>
      <c r="IL955" s="302">
        <f t="shared" si="1545"/>
        <v>1233.5250551294635</v>
      </c>
      <c r="IM955" s="302">
        <f t="shared" si="1545"/>
        <v>2529.1824108813089</v>
      </c>
      <c r="IN955" s="302">
        <f t="shared" si="1545"/>
        <v>1420.8304581375817</v>
      </c>
      <c r="IO955" s="302">
        <f t="shared" si="1545"/>
        <v>1663.3407019359806</v>
      </c>
      <c r="IP955" s="302">
        <f t="shared" si="1545"/>
        <v>3084.1711600735621</v>
      </c>
      <c r="IQ955" s="302">
        <f t="shared" si="1545"/>
        <v>1522.4093055379872</v>
      </c>
      <c r="IS955" s="1140">
        <v>-6.3</v>
      </c>
      <c r="IV955" s="1140">
        <v>-4.8</v>
      </c>
      <c r="IY955" s="1140">
        <v>-3.5</v>
      </c>
      <c r="JB955" s="1140">
        <v>-3.2</v>
      </c>
      <c r="JE955" s="1140">
        <v>-3.2</v>
      </c>
    </row>
    <row r="956" spans="1:274" s="1935" customFormat="1" collapsed="1">
      <c r="A956" s="1938"/>
      <c r="B956" s="1938"/>
      <c r="C956" s="1938"/>
      <c r="D956" s="1938" t="s">
        <v>3478</v>
      </c>
      <c r="DB956" s="1939"/>
      <c r="DN956" s="1940"/>
      <c r="DZ956" s="1940"/>
      <c r="EA956" s="1933"/>
      <c r="EB956" s="1933"/>
      <c r="EC956" s="1933"/>
      <c r="ED956" s="1933"/>
      <c r="EE956" s="1933"/>
      <c r="EF956" s="1933"/>
      <c r="EG956" s="1933"/>
      <c r="EH956" s="1933"/>
      <c r="EI956" s="1933"/>
      <c r="EJ956" s="1933"/>
      <c r="EK956" s="1933"/>
      <c r="EL956" s="1941"/>
      <c r="EM956" s="1933"/>
      <c r="EN956" s="1933"/>
      <c r="EO956" s="1933"/>
      <c r="EP956" s="1933"/>
      <c r="EQ956" s="1933"/>
      <c r="ER956" s="1933"/>
      <c r="ES956" s="1933"/>
      <c r="ET956" s="1933"/>
      <c r="EU956" s="1933"/>
      <c r="EV956" s="1933"/>
      <c r="EW956" s="1933"/>
      <c r="EX956" s="1941"/>
      <c r="EY956" s="1933"/>
      <c r="EZ956" s="1933"/>
      <c r="FA956" s="1933"/>
      <c r="FB956" s="1933"/>
      <c r="FC956" s="1933"/>
      <c r="FD956" s="1933"/>
      <c r="FE956" s="1933"/>
      <c r="FF956" s="1933"/>
      <c r="FG956" s="1933"/>
      <c r="FH956" s="1933"/>
      <c r="FI956" s="1933"/>
      <c r="FJ956" s="1941"/>
      <c r="FK956" s="1933"/>
      <c r="FL956" s="1933"/>
      <c r="FM956" s="1933"/>
      <c r="FN956" s="1933"/>
      <c r="FO956" s="1933"/>
      <c r="FP956" s="1933"/>
      <c r="FQ956" s="1933"/>
      <c r="FR956" s="1933"/>
      <c r="FS956" s="1933"/>
      <c r="FT956" s="1933"/>
      <c r="FU956" s="1933"/>
      <c r="FV956" s="1933"/>
      <c r="FW956" s="1933"/>
      <c r="FX956" s="1933"/>
      <c r="FY956" s="1933"/>
      <c r="FZ956" s="1933"/>
      <c r="GA956" s="1933"/>
      <c r="GB956" s="1933"/>
      <c r="GC956" s="1933"/>
      <c r="GD956" s="1933"/>
      <c r="GE956" s="1933"/>
      <c r="GF956" s="1933"/>
      <c r="GG956" s="1933"/>
      <c r="GH956" s="1933"/>
      <c r="GI956" s="1933"/>
      <c r="GJ956" s="1933"/>
      <c r="GK956" s="1933"/>
      <c r="GL956" s="1933"/>
      <c r="GM956" s="1933"/>
      <c r="GN956" s="1933"/>
      <c r="GO956" s="1933"/>
      <c r="GP956" s="1933"/>
      <c r="GQ956" s="1933"/>
      <c r="GR956" s="1933"/>
      <c r="GS956" s="1933"/>
      <c r="GT956" s="1933"/>
      <c r="GU956" s="1933"/>
      <c r="GV956" s="1933"/>
      <c r="GW956" s="1933"/>
      <c r="GX956" s="1933"/>
      <c r="GY956" s="1933"/>
      <c r="GZ956" s="1933"/>
      <c r="HA956" s="1933"/>
      <c r="HB956" s="1933"/>
      <c r="HC956" s="1933"/>
      <c r="HD956" s="1933"/>
      <c r="HE956" s="1933"/>
      <c r="HF956" s="1933"/>
      <c r="HG956" s="1933"/>
      <c r="HH956" s="1933"/>
      <c r="HI956" s="1933"/>
      <c r="HJ956" s="1933"/>
      <c r="HK956" s="1933"/>
      <c r="HL956" s="1933"/>
      <c r="HM956" s="1933"/>
      <c r="HP956" s="1935">
        <f>HP667+HP730</f>
        <v>408.96122529907126</v>
      </c>
      <c r="HQ956" s="1935">
        <f>HQ667+HQ730</f>
        <v>455.51260626260114</v>
      </c>
      <c r="HR956" s="1935">
        <f>HP956+HQ956</f>
        <v>864.47383156167234</v>
      </c>
      <c r="HS956" s="1935">
        <f>HS667+HS730</f>
        <v>448.59583340744371</v>
      </c>
      <c r="HT956" s="1935">
        <f>HT667+HT730</f>
        <v>554.18346017255112</v>
      </c>
      <c r="HU956" s="1935">
        <f>HS956+HT956</f>
        <v>1002.7792935799948</v>
      </c>
      <c r="HV956" s="1935">
        <f>HV667+HV730</f>
        <v>541.30664534152311</v>
      </c>
      <c r="HW956" s="1935">
        <f>HW667+HW730</f>
        <v>626.65685231089913</v>
      </c>
      <c r="HX956" s="1935">
        <f>HV956+HW956</f>
        <v>1167.9634976524221</v>
      </c>
      <c r="HY956" s="1935">
        <f>HY667+HY730</f>
        <v>599.38320158507076</v>
      </c>
      <c r="HZ956" s="1935">
        <f>HZ667+HZ730</f>
        <v>686.1966439603666</v>
      </c>
      <c r="IA956" s="1935">
        <f>HY956+HZ956</f>
        <v>1285.5798455454374</v>
      </c>
      <c r="IB956" s="1935">
        <f>IB667+IB730</f>
        <v>690.94483308776034</v>
      </c>
      <c r="IC956" s="1935">
        <f>IC667+IC730</f>
        <v>770.55892283457592</v>
      </c>
      <c r="ID956" s="1935">
        <f>IB956+IC956</f>
        <v>1461.5037559223363</v>
      </c>
      <c r="IE956" s="1935">
        <f>IE667+IE730</f>
        <v>805.87437132404148</v>
      </c>
      <c r="IF956" s="1935">
        <f>IF667+IF730</f>
        <v>864.40294225748414</v>
      </c>
      <c r="IG956" s="1935">
        <f>IE956+IF956</f>
        <v>1670.2773135815255</v>
      </c>
      <c r="IH956" s="1935">
        <f>IH667+IH730</f>
        <v>907.27158025004235</v>
      </c>
      <c r="II956" s="1935">
        <f>II667+II730</f>
        <v>848.13167894538265</v>
      </c>
      <c r="IJ956" s="1935">
        <f>IH956+II956</f>
        <v>1755.4032591954251</v>
      </c>
      <c r="IK956" s="1935">
        <f>IK667+IK730</f>
        <v>971.59939653109495</v>
      </c>
      <c r="IL956" s="1935">
        <f>IL667+IL730</f>
        <v>1035.5036327559105</v>
      </c>
      <c r="IM956" s="1935">
        <f>IK956+IL956</f>
        <v>2007.1030292870055</v>
      </c>
      <c r="IN956" s="1935">
        <f>IN667+IN730</f>
        <v>1051.1631436074811</v>
      </c>
      <c r="IO956" s="1935">
        <f>IO667+IO730</f>
        <v>1226.8355023023412</v>
      </c>
      <c r="IP956" s="1935">
        <f>IN956+IO956</f>
        <v>2277.9986459098222</v>
      </c>
      <c r="IQ956" s="1935">
        <f>IQ667+IQ730</f>
        <v>1257.2104364144536</v>
      </c>
      <c r="IR956" s="1935">
        <f>IR667+IR730</f>
        <v>1431.0495012969325</v>
      </c>
      <c r="IS956" s="1935">
        <f>IQ956+IR956</f>
        <v>2688.2599377113861</v>
      </c>
      <c r="IT956" s="1935">
        <f>IT667+IT730</f>
        <v>1469.1922849323196</v>
      </c>
      <c r="IU956" s="1935">
        <f>IU667+IU730</f>
        <v>1584.144667207092</v>
      </c>
      <c r="IV956" s="1935">
        <f>IT956+IU956</f>
        <v>3053.3369521394116</v>
      </c>
      <c r="IW956" s="1935">
        <f>IW667+IW730</f>
        <v>1783.0773881590005</v>
      </c>
      <c r="IX956" s="1935">
        <f>IX667+IX730</f>
        <v>1876.2703651618262</v>
      </c>
      <c r="IY956" s="1935">
        <f>IW956+IX956</f>
        <v>3659.347753320827</v>
      </c>
      <c r="IZ956" s="1935">
        <f>IZ667+IZ730</f>
        <v>2061.7133066598317</v>
      </c>
      <c r="JA956" s="1935">
        <f>JA667+JA730</f>
        <v>2190.915395886761</v>
      </c>
      <c r="JB956" s="1935">
        <f>IZ956+JA956</f>
        <v>4252.6287025465926</v>
      </c>
      <c r="JC956" s="1935">
        <f>JC667+JC730</f>
        <v>2445.1810190357478</v>
      </c>
      <c r="JD956" s="1935">
        <f>JD667+JD730</f>
        <v>2600.6354533515682</v>
      </c>
      <c r="JE956" s="1935">
        <f>JC956+JD956</f>
        <v>5045.816472387316</v>
      </c>
      <c r="JF956" s="1935">
        <f t="shared" ref="JF956:JN956" si="1546">JF667+JF730</f>
        <v>2825.7008546387797</v>
      </c>
      <c r="JG956" s="1935">
        <f t="shared" si="1546"/>
        <v>3004.5466261395095</v>
      </c>
      <c r="JH956" s="1935">
        <f t="shared" si="1546"/>
        <v>5830.2474807782892</v>
      </c>
      <c r="JI956" s="1935">
        <f t="shared" si="1546"/>
        <v>3208.8254245076205</v>
      </c>
      <c r="JJ956" s="1935">
        <f t="shared" si="1546"/>
        <v>3412.0906217751308</v>
      </c>
      <c r="JK956" s="1935">
        <f t="shared" si="1546"/>
        <v>6620.9160462827513</v>
      </c>
      <c r="JL956" s="1935">
        <f t="shared" si="1546"/>
        <v>3637.498678699671</v>
      </c>
      <c r="JM956" s="1935">
        <f t="shared" si="1546"/>
        <v>3868.2681755354411</v>
      </c>
      <c r="JN956" s="1935">
        <f t="shared" si="1546"/>
        <v>7505.7668542351121</v>
      </c>
    </row>
    <row r="957" spans="1:274" s="1935" customFormat="1">
      <c r="A957" s="1938"/>
      <c r="B957" s="1938"/>
      <c r="C957" s="1938"/>
      <c r="D957" s="1938" t="s">
        <v>3479</v>
      </c>
      <c r="DB957" s="1939"/>
      <c r="DN957" s="1940"/>
      <c r="DZ957" s="1940"/>
      <c r="EA957" s="1933"/>
      <c r="EB957" s="1933"/>
      <c r="EC957" s="1933"/>
      <c r="ED957" s="1933"/>
      <c r="EE957" s="1933"/>
      <c r="EF957" s="1933"/>
      <c r="EG957" s="1933"/>
      <c r="EH957" s="1933"/>
      <c r="EI957" s="1933"/>
      <c r="EJ957" s="1933"/>
      <c r="EK957" s="1933"/>
      <c r="EL957" s="1941"/>
      <c r="EM957" s="1933"/>
      <c r="EN957" s="1933"/>
      <c r="EO957" s="1933"/>
      <c r="EP957" s="1933"/>
      <c r="EQ957" s="1933"/>
      <c r="ER957" s="1933"/>
      <c r="ES957" s="1933"/>
      <c r="ET957" s="1933"/>
      <c r="EU957" s="1933"/>
      <c r="EV957" s="1933"/>
      <c r="EW957" s="1933"/>
      <c r="EX957" s="1941"/>
      <c r="EY957" s="1933"/>
      <c r="EZ957" s="1933"/>
      <c r="FA957" s="1933"/>
      <c r="FB957" s="1933"/>
      <c r="FC957" s="1933"/>
      <c r="FD957" s="1933"/>
      <c r="FE957" s="1933"/>
      <c r="FF957" s="1933"/>
      <c r="FG957" s="1933"/>
      <c r="FH957" s="1933"/>
      <c r="FI957" s="1933"/>
      <c r="FJ957" s="1941"/>
      <c r="FK957" s="1933"/>
      <c r="FL957" s="1933"/>
      <c r="FM957" s="1933"/>
      <c r="FN957" s="1933"/>
      <c r="FO957" s="1933"/>
      <c r="FP957" s="1933"/>
      <c r="FQ957" s="1933"/>
      <c r="FR957" s="1933"/>
      <c r="FS957" s="1933"/>
      <c r="FT957" s="1933"/>
      <c r="FU957" s="1933"/>
      <c r="FV957" s="1933"/>
      <c r="FW957" s="1933"/>
      <c r="FX957" s="1933"/>
      <c r="FY957" s="1933"/>
      <c r="FZ957" s="1933"/>
      <c r="GA957" s="1933"/>
      <c r="GB957" s="1933"/>
      <c r="GC957" s="1933"/>
      <c r="GD957" s="1933"/>
      <c r="GE957" s="1933"/>
      <c r="GF957" s="1933"/>
      <c r="GG957" s="1933"/>
      <c r="GH957" s="1933"/>
      <c r="GI957" s="1933"/>
      <c r="GJ957" s="1933"/>
      <c r="GK957" s="1933"/>
      <c r="GL957" s="1933"/>
      <c r="GM957" s="1933"/>
      <c r="GN957" s="1933"/>
      <c r="GO957" s="1933"/>
      <c r="GP957" s="1933"/>
      <c r="GQ957" s="1933"/>
      <c r="GR957" s="1933"/>
      <c r="GS957" s="1933"/>
      <c r="GT957" s="1933"/>
      <c r="GU957" s="1933"/>
      <c r="GV957" s="1933"/>
      <c r="GW957" s="1933"/>
      <c r="GX957" s="1933"/>
      <c r="GY957" s="1933"/>
      <c r="GZ957" s="1933"/>
      <c r="HA957" s="1933"/>
      <c r="HB957" s="1933"/>
      <c r="HC957" s="1933"/>
      <c r="HD957" s="1933"/>
      <c r="HE957" s="1933"/>
      <c r="HF957" s="1933"/>
      <c r="HG957" s="1933"/>
      <c r="HH957" s="1933"/>
      <c r="HI957" s="1933"/>
      <c r="HJ957" s="1933"/>
      <c r="HK957" s="1933"/>
      <c r="HL957" s="1933"/>
      <c r="HM957" s="1933"/>
      <c r="HP957" s="1935">
        <f>HP755+HP757+HP797+HP799+HP801+HP804+HP813+HP817</f>
        <v>647.78110126558602</v>
      </c>
      <c r="HQ957" s="1935">
        <f>HQ755+HQ757+HQ797+HQ799+HQ801+HQ804+HQ813+HQ817</f>
        <v>769.20021048579292</v>
      </c>
      <c r="HR957" s="1935">
        <f t="shared" ref="HR957:HR960" si="1547">HP957+HQ957</f>
        <v>1416.9813117513791</v>
      </c>
      <c r="HS957" s="1935">
        <f>HS755+HS757+HS797+HS799+HS801+HS804+HS813+HS817</f>
        <v>699.91168160546022</v>
      </c>
      <c r="HT957" s="1935">
        <f>HT755+HT757+HT797+HT799+HT801+HT804+HT813+HT817</f>
        <v>784.2894369119781</v>
      </c>
      <c r="HU957" s="1935">
        <f t="shared" ref="HU957:HU960" si="1548">HS957+HT957</f>
        <v>1484.2011185174383</v>
      </c>
      <c r="HV957" s="1935">
        <f>HV755+HV757+HV797+HV799+HV801+HV804+HV813+HV817</f>
        <v>774.23100290804916</v>
      </c>
      <c r="HW957" s="1935">
        <f>HW755+HW757+HW797+HW799+HW801+HW804+HW813+HW817</f>
        <v>824.34013653765351</v>
      </c>
      <c r="HX957" s="1935">
        <f t="shared" ref="HX957:HX960" si="1549">HV957+HW957</f>
        <v>1598.5711394457026</v>
      </c>
      <c r="HY957" s="1935">
        <f>HY755+HY757+HY797+HY799+HY801+HY804+HY813+HY817</f>
        <v>881.66307670777906</v>
      </c>
      <c r="HZ957" s="1935">
        <f>HZ755+HZ757+HZ797+HZ799+HZ801+HZ804+HZ813+HZ817</f>
        <v>866.56550559146876</v>
      </c>
      <c r="IA957" s="1935">
        <f t="shared" ref="IA957:IA959" si="1550">HY957+HZ957</f>
        <v>1748.2285822992478</v>
      </c>
      <c r="IB957" s="1935">
        <f>IB755+IB757+IB797+IB799+IB801+IB804+IB813+IB817</f>
        <v>916.79628874819002</v>
      </c>
      <c r="IC957" s="1935">
        <f>IC755+IC757+IC797+IC799+IC801+IC804+IC813+IC817</f>
        <v>984.61015095281005</v>
      </c>
      <c r="ID957" s="1935">
        <f t="shared" ref="ID957:ID960" si="1551">IB957+IC957</f>
        <v>1901.4064397010002</v>
      </c>
      <c r="IE957" s="1935">
        <f>IE755+IE757+IE797+IE799+IE801+IE804+IE813+IE817</f>
        <v>988.5211587925736</v>
      </c>
      <c r="IF957" s="1935">
        <f>IF755+IF757+IF797+IF799+IF801+IF804+IF813+IF817</f>
        <v>1292.6815515806561</v>
      </c>
      <c r="IG957" s="1935">
        <f t="shared" ref="IG957:IG960" si="1552">IE957+IF957</f>
        <v>2281.2027103732298</v>
      </c>
      <c r="IH957" s="1935">
        <f>IH755+IH757+IH797+IH799+IH801+IH804+IH813+IH817</f>
        <v>1240.3291454495475</v>
      </c>
      <c r="II957" s="1935">
        <f>II755+II757+II797+II799+II801+II804+II813+II817</f>
        <v>1276.1650151718191</v>
      </c>
      <c r="IJ957" s="1935">
        <f t="shared" ref="IJ957:IJ960" si="1553">IH957+II957</f>
        <v>2516.4941606213665</v>
      </c>
      <c r="IK957" s="1935">
        <f>IK755+IK757+IK797+IK799+IK801+IK804+IK813+IK817</f>
        <v>1445.4338677308456</v>
      </c>
      <c r="IL957" s="1935">
        <f>IL755+IL757+IL797+IL799+IL801+IL804+IL813+IL817</f>
        <v>1386.0119024364635</v>
      </c>
      <c r="IM957" s="1935">
        <f t="shared" ref="IM957:IM960" si="1554">IK957+IL957</f>
        <v>2831.4457701673091</v>
      </c>
      <c r="IN957" s="1935">
        <f>IN755+IN757+IN797+IN799+IN801+IN804+IN813+IN817</f>
        <v>1576.9416250105817</v>
      </c>
      <c r="IO957" s="1935">
        <f>IO755+IO757+IO797+IO799+IO801+IO804+IO813+IO817</f>
        <v>1824.9629640029807</v>
      </c>
      <c r="IP957" s="1935">
        <f t="shared" ref="IP957:IP960" si="1555">IN957+IO957</f>
        <v>3401.9045890135621</v>
      </c>
      <c r="IQ957" s="1935">
        <f>IQ755+IQ757+IQ797+IQ799+IQ801+IQ804+IQ813+IQ817</f>
        <v>1706.2754706069873</v>
      </c>
      <c r="IR957" s="1935">
        <f>IR755+IR757+IR797+IR799+IR801+IR804+IR813+IR817</f>
        <v>2020.3625759367721</v>
      </c>
      <c r="IS957" s="1935">
        <f t="shared" ref="IS957:IS960" si="1556">IQ957+IR957</f>
        <v>3726.6380465437596</v>
      </c>
      <c r="IT957" s="1935">
        <f>IT755+IT757+IT797+IT799+IT801+IT804+IT813+IT817</f>
        <v>1829.0395976632849</v>
      </c>
      <c r="IU957" s="1935">
        <f>IU755+IU757+IU797+IU799+IU801+IU804+IU813+IU817</f>
        <v>2324.8211175256038</v>
      </c>
      <c r="IV957" s="1935">
        <f t="shared" ref="IV957:IV960" si="1557">IT957+IU957</f>
        <v>4153.8607151888882</v>
      </c>
      <c r="IW957" s="1935">
        <f>IW755+IW757+IW797+IW799+IW801+IW804+IW813+IW817</f>
        <v>2202.3127807765336</v>
      </c>
      <c r="IX957" s="1935">
        <f>IX755+IX757+IX797+IX799+IX801+IX804+IX813+IX817</f>
        <v>2128.6087022310408</v>
      </c>
      <c r="IY957" s="1935">
        <f t="shared" ref="IY957:IY960" si="1558">IW957+IX957</f>
        <v>4330.9214830075744</v>
      </c>
      <c r="IZ957" s="1935">
        <f>IZ755+IZ757+IZ797+IZ799+IZ801+IZ804+IZ813+IZ817</f>
        <v>2515.4340194639913</v>
      </c>
      <c r="JA957" s="1935">
        <f>JA755+JA757+JA797+JA799+JA801+JA804+JA813+JA817</f>
        <v>2063.7955550430784</v>
      </c>
      <c r="JB957" s="1935">
        <f t="shared" ref="JB957:JB960" si="1559">IZ957+JA957</f>
        <v>4579.2295745070696</v>
      </c>
      <c r="JC957" s="1935">
        <f>JC755+JC757+JC797+JC799+JC801+JC804+JC813+JC817</f>
        <v>2950.6649488498656</v>
      </c>
      <c r="JD957" s="1935">
        <f>JD755+JD757+JD797+JD799+JD801+JD804+JD813+JD817</f>
        <v>2447.1509875350171</v>
      </c>
      <c r="JE957" s="1935">
        <f t="shared" ref="JE957:JE960" si="1560">JC957+JD957</f>
        <v>5397.8159363848827</v>
      </c>
      <c r="JF957" s="579">
        <f t="shared" ref="JF957:JN957" si="1561">JF755+JF757+JF797+JF799+JF801+JF804+JF813+JF817</f>
        <v>3398.5560268865793</v>
      </c>
      <c r="JG957" s="579">
        <f t="shared" si="1561"/>
        <v>2856.2265738176575</v>
      </c>
      <c r="JH957" s="579">
        <f t="shared" si="1561"/>
        <v>6254.7826007042368</v>
      </c>
      <c r="JI957" s="579">
        <f t="shared" si="1561"/>
        <v>3800.1612093940576</v>
      </c>
      <c r="JJ957" s="579">
        <f t="shared" si="1561"/>
        <v>3293.3378419925448</v>
      </c>
      <c r="JK957" s="579">
        <f t="shared" si="1561"/>
        <v>7093.4990513866014</v>
      </c>
      <c r="JL957" s="579">
        <f t="shared" si="1561"/>
        <v>4180.9323425032508</v>
      </c>
      <c r="JM957" s="1935">
        <f t="shared" si="1561"/>
        <v>3684.963846869829</v>
      </c>
      <c r="JN957" s="1935">
        <f t="shared" si="1561"/>
        <v>7865.8961893730793</v>
      </c>
    </row>
    <row r="958" spans="1:274" s="1935" customFormat="1">
      <c r="A958" s="1938"/>
      <c r="B958" s="1938"/>
      <c r="C958" s="1938"/>
      <c r="D958" s="1938" t="s">
        <v>3480</v>
      </c>
      <c r="DB958" s="1939"/>
      <c r="DN958" s="1940"/>
      <c r="DZ958" s="1940"/>
      <c r="EA958" s="1933"/>
      <c r="EB958" s="1933"/>
      <c r="EC958" s="1933"/>
      <c r="ED958" s="1933"/>
      <c r="EE958" s="1933"/>
      <c r="EF958" s="1933"/>
      <c r="EG958" s="1933"/>
      <c r="EH958" s="1933"/>
      <c r="EI958" s="1933"/>
      <c r="EJ958" s="1933"/>
      <c r="EK958" s="1933"/>
      <c r="EL958" s="1941"/>
      <c r="EM958" s="1933"/>
      <c r="EN958" s="1933"/>
      <c r="EO958" s="1933"/>
      <c r="EP958" s="1933"/>
      <c r="EQ958" s="1933"/>
      <c r="ER958" s="1933"/>
      <c r="ES958" s="1933"/>
      <c r="ET958" s="1933"/>
      <c r="EU958" s="1933"/>
      <c r="EV958" s="1933"/>
      <c r="EW958" s="1933"/>
      <c r="EX958" s="1941"/>
      <c r="EY958" s="1933"/>
      <c r="EZ958" s="1933"/>
      <c r="FA958" s="1933"/>
      <c r="FB958" s="1933"/>
      <c r="FC958" s="1933"/>
      <c r="FD958" s="1933"/>
      <c r="FE958" s="1933"/>
      <c r="FF958" s="1933"/>
      <c r="FG958" s="1933"/>
      <c r="FH958" s="1933"/>
      <c r="FI958" s="1933"/>
      <c r="FJ958" s="1941"/>
      <c r="FK958" s="1933"/>
      <c r="FL958" s="1933"/>
      <c r="FM958" s="1933"/>
      <c r="FN958" s="1933"/>
      <c r="FO958" s="1933"/>
      <c r="FP958" s="1933"/>
      <c r="FQ958" s="1933"/>
      <c r="FR958" s="1933"/>
      <c r="FS958" s="1933"/>
      <c r="FT958" s="1933"/>
      <c r="FU958" s="1933"/>
      <c r="FV958" s="1933"/>
      <c r="FW958" s="1933"/>
      <c r="FX958" s="1933"/>
      <c r="FY958" s="1933"/>
      <c r="FZ958" s="1933"/>
      <c r="GA958" s="1933"/>
      <c r="GB958" s="1933"/>
      <c r="GC958" s="1933"/>
      <c r="GD958" s="1933"/>
      <c r="GE958" s="1933"/>
      <c r="GF958" s="1933"/>
      <c r="GG958" s="1933"/>
      <c r="GH958" s="1933"/>
      <c r="GI958" s="1933"/>
      <c r="GJ958" s="1933"/>
      <c r="GK958" s="1933"/>
      <c r="GL958" s="1933"/>
      <c r="GM958" s="1933"/>
      <c r="GN958" s="1933"/>
      <c r="GO958" s="1933"/>
      <c r="GP958" s="1933"/>
      <c r="GQ958" s="1933"/>
      <c r="GR958" s="1933"/>
      <c r="GS958" s="1933"/>
      <c r="GT958" s="1933"/>
      <c r="GU958" s="1933"/>
      <c r="GV958" s="1933"/>
      <c r="GW958" s="1933"/>
      <c r="GX958" s="1933"/>
      <c r="GY958" s="1933"/>
      <c r="GZ958" s="1933"/>
      <c r="HA958" s="1933"/>
      <c r="HB958" s="1933"/>
      <c r="HC958" s="1933"/>
      <c r="HD958" s="1933"/>
      <c r="HE958" s="1933"/>
      <c r="HF958" s="1933"/>
      <c r="HG958" s="1933"/>
      <c r="HH958" s="1933"/>
      <c r="HI958" s="1933"/>
      <c r="HJ958" s="1933"/>
      <c r="HK958" s="1933"/>
      <c r="HL958" s="1933"/>
      <c r="HM958" s="1933"/>
      <c r="HP958" s="1935">
        <f>HP780+HP811+HP789+HP876+HP883+HP887+HP888+HP889</f>
        <v>58.561791359932037</v>
      </c>
      <c r="HQ958" s="1935">
        <f>HQ780+HQ811+HQ789+HQ876+HQ883+HQ887+HQ888+HQ889</f>
        <v>96.918326545630691</v>
      </c>
      <c r="HR958" s="1935">
        <f t="shared" si="1547"/>
        <v>155.48011790556274</v>
      </c>
      <c r="HS958" s="1935">
        <f>HS780+HS811+HS789+HS876+HS883+HS887+HS888+HS889</f>
        <v>84.532801711797191</v>
      </c>
      <c r="HT958" s="1935">
        <f>HT780+HT811+HT789+HT876+HT883+HT887+HT888+HT889</f>
        <v>118.26534418528678</v>
      </c>
      <c r="HU958" s="1935">
        <f t="shared" si="1548"/>
        <v>202.79814589708397</v>
      </c>
      <c r="HV958" s="1935">
        <f>HV780+HV811+HV789+HV876+HV883+HV887+HV888+HV889</f>
        <v>107.7667541998558</v>
      </c>
      <c r="HW958" s="1935">
        <f>HW780+HW811+HW789+HW876+HW883+HW887+HW888+HW889</f>
        <v>108.40454882964059</v>
      </c>
      <c r="HX958" s="1935">
        <f t="shared" si="1549"/>
        <v>216.17130302949639</v>
      </c>
      <c r="HY958" s="1935">
        <f>HY780+HY811+HY789+HY876+HY883+HY887+HY888+HY889</f>
        <v>89.056812893053234</v>
      </c>
      <c r="HZ958" s="1935">
        <f>HZ780+HZ811+HZ789+HZ876+HZ883+HZ887+HZ888+HZ889</f>
        <v>119.47586113414242</v>
      </c>
      <c r="IA958" s="1935">
        <f t="shared" si="1550"/>
        <v>208.53267402719564</v>
      </c>
      <c r="IB958" s="1935">
        <f>IB780+IB811+IB789+IB876+IB883+IB887+IB888+IB889</f>
        <v>137.30174408605086</v>
      </c>
      <c r="IC958" s="1935">
        <f>IC780+IC811+IC789+IC876+IC883+IC887+IC888+IC889</f>
        <v>135.99290314299981</v>
      </c>
      <c r="ID958" s="1935">
        <f t="shared" si="1551"/>
        <v>273.29464722905067</v>
      </c>
      <c r="IE958" s="1935">
        <f>IE780+IE811+IE789+IE876+IE883+IE887+IE888+IE889</f>
        <v>158.08262633077041</v>
      </c>
      <c r="IF958" s="1935">
        <f>IF780+IF811+IF789+IF876+IF883+IF887+IF888+IF889</f>
        <v>172.22497953638825</v>
      </c>
      <c r="IG958" s="1935">
        <f t="shared" si="1552"/>
        <v>330.30760586715866</v>
      </c>
      <c r="IH958" s="1935">
        <f>IH780+IH811+IH789+IH876+IH883+IH887+IH888+IH889</f>
        <v>267.04058159228782</v>
      </c>
      <c r="II958" s="1935">
        <f>II780+II811+II789+II876+II883+II887+II888+II889</f>
        <v>254.34229641277159</v>
      </c>
      <c r="IJ958" s="1935">
        <f t="shared" si="1553"/>
        <v>521.38287800505941</v>
      </c>
      <c r="IK958" s="1935">
        <f>IK780+IK811+IK789+IK876+IK883+IK887+IK888+IK889</f>
        <v>308.42441815082589</v>
      </c>
      <c r="IL958" s="1935">
        <f>IL780+IL811+IL789+IL876+IL883+IL887+IL888+IL889</f>
        <v>287.22455623547927</v>
      </c>
      <c r="IM958" s="1935">
        <f t="shared" si="1554"/>
        <v>595.6489743863051</v>
      </c>
      <c r="IN958" s="1935">
        <f>IN780+IN811+IN789+IN876+IN883+IN887+IN888+IN889</f>
        <v>373.56828368750172</v>
      </c>
      <c r="IO958" s="1935">
        <f>IO780+IO811+IO789+IO876+IO883+IO887+IO888+IO889</f>
        <v>442.53703638055373</v>
      </c>
      <c r="IP958" s="1935">
        <f t="shared" si="1555"/>
        <v>816.10532006805545</v>
      </c>
      <c r="IQ958" s="1935">
        <f>IQ780+IQ811+IQ789+IQ876+IQ883+IQ887+IQ888+IQ889</f>
        <v>409.28810172088833</v>
      </c>
      <c r="IR958" s="1935">
        <f>IR780+IR811+IR789+IR876+IR883+IR887+IR888+IR889</f>
        <v>380.62786557518308</v>
      </c>
      <c r="IS958" s="1935">
        <f t="shared" si="1556"/>
        <v>789.91596729607136</v>
      </c>
      <c r="IT958" s="1935">
        <f>IT780+IT811+IT789+IT876+IT883+IT887+IT888+IT889</f>
        <v>403.56360173067225</v>
      </c>
      <c r="IU958" s="1935">
        <f>IU780+IU811+IU789+IU876+IU883+IU887+IU888+IU889</f>
        <v>481.91500919731516</v>
      </c>
      <c r="IV958" s="1935">
        <f t="shared" si="1557"/>
        <v>885.47861092798735</v>
      </c>
      <c r="IW958" s="1935">
        <f>IW780+IW811+IW789+IW876+IW883+IW887+IW888+IW889</f>
        <v>521.30154843394337</v>
      </c>
      <c r="IX958" s="1935">
        <f>IX780+IX811+IX789+IX876+IX883+IX887+IX888+IX889</f>
        <v>526.72639717096888</v>
      </c>
      <c r="IY958" s="1935">
        <f t="shared" si="1558"/>
        <v>1048.0279456049122</v>
      </c>
      <c r="IZ958" s="1935">
        <f>IZ780+IZ811+IZ789+IZ876+IZ883+IZ887+IZ888+IZ889</f>
        <v>1410.4036542511531</v>
      </c>
      <c r="JA958" s="1935">
        <f>JA780+JA811+JA789+JA876+JA883+JA887+JA888+JA889</f>
        <v>519.41763824982036</v>
      </c>
      <c r="JB958" s="1935">
        <f t="shared" si="1559"/>
        <v>1929.8212925009734</v>
      </c>
      <c r="JC958" s="1935">
        <f>JC780+JC811+JC789+JC876+JC883+JC887+JC888+JC889</f>
        <v>955.25849116308723</v>
      </c>
      <c r="JD958" s="1935">
        <f>JD780+JD811+JD789+JD876+JD883+JD887+JD888+JD889</f>
        <v>745.82240763464324</v>
      </c>
      <c r="JE958" s="1935">
        <f t="shared" si="1560"/>
        <v>1701.0808987977305</v>
      </c>
      <c r="JF958" s="1935">
        <f>JF780+JF789+JF811+JF876+JF883+JF887+JF888+JF889</f>
        <v>690.50408025600075</v>
      </c>
      <c r="JG958" s="1935">
        <f>JG780+JG789+JG811+JG876+JG883+JG887+JG888+JG889</f>
        <v>651.07225815832328</v>
      </c>
      <c r="JH958" s="1935">
        <f>JH780+JH811+JH789+JH876+JH883+JH887+JH888+JH889</f>
        <v>1341.5763384143243</v>
      </c>
      <c r="JI958" s="1935">
        <f>JI780+JI789+JI811+JI876+JI883+JI887+JI888+JI889</f>
        <v>666.14100475455427</v>
      </c>
      <c r="JJ958" s="1935">
        <f>JJ780+JJ789+JJ811+JJ876+JJ883+JJ887+JJ888+JJ889</f>
        <v>705.1079084413866</v>
      </c>
      <c r="JK958" s="1935">
        <f>JK780+JK811+JK789+JK876+JK883+JK887+JK888+JK889</f>
        <v>1371.2489131959405</v>
      </c>
      <c r="JL958" s="1935">
        <f>JL780+JL789+JL811+JL876+JL883+JL887+JL888+JL889</f>
        <v>706.98904763890368</v>
      </c>
      <c r="JM958" s="1935">
        <f>JM780+JM789+JM811+JM876+JM883+JM887+JM888+JM889</f>
        <v>972.73962831951519</v>
      </c>
      <c r="JN958" s="1935">
        <f>JN780+JN811+JN789+JN876+JN883+JN887+JN888+JN889</f>
        <v>1679.7286759584188</v>
      </c>
    </row>
    <row r="959" spans="1:274" s="1935" customFormat="1">
      <c r="A959" s="1938"/>
      <c r="B959" s="1938"/>
      <c r="C959" s="1938"/>
      <c r="D959" s="1938" t="s">
        <v>3481</v>
      </c>
      <c r="DB959" s="1939"/>
      <c r="DN959" s="1940"/>
      <c r="DZ959" s="1940"/>
      <c r="EA959" s="1933"/>
      <c r="EB959" s="1933"/>
      <c r="EC959" s="1933"/>
      <c r="ED959" s="1933"/>
      <c r="EE959" s="1933"/>
      <c r="EF959" s="1933"/>
      <c r="EG959" s="1933"/>
      <c r="EH959" s="1933"/>
      <c r="EI959" s="1933"/>
      <c r="EJ959" s="1933"/>
      <c r="EK959" s="1933"/>
      <c r="EL959" s="1941"/>
      <c r="EM959" s="1933"/>
      <c r="EN959" s="1933"/>
      <c r="EO959" s="1933"/>
      <c r="EP959" s="1933"/>
      <c r="EQ959" s="1933"/>
      <c r="ER959" s="1933"/>
      <c r="ES959" s="1933"/>
      <c r="ET959" s="1933"/>
      <c r="EU959" s="1933"/>
      <c r="EV959" s="1933"/>
      <c r="EW959" s="1933"/>
      <c r="EX959" s="1941"/>
      <c r="EY959" s="1933"/>
      <c r="EZ959" s="1933"/>
      <c r="FA959" s="1933"/>
      <c r="FB959" s="1933"/>
      <c r="FC959" s="1933"/>
      <c r="FD959" s="1933"/>
      <c r="FE959" s="1933"/>
      <c r="FF959" s="1933"/>
      <c r="FG959" s="1933"/>
      <c r="FH959" s="1933"/>
      <c r="FI959" s="1933"/>
      <c r="FJ959" s="1941"/>
      <c r="FK959" s="1933"/>
      <c r="FL959" s="1933"/>
      <c r="FM959" s="1933"/>
      <c r="FN959" s="1933"/>
      <c r="FO959" s="1933"/>
      <c r="FP959" s="1933"/>
      <c r="FQ959" s="1933"/>
      <c r="FR959" s="1933"/>
      <c r="FS959" s="1933"/>
      <c r="FT959" s="1933"/>
      <c r="FU959" s="1933"/>
      <c r="FV959" s="1933"/>
      <c r="FW959" s="1933"/>
      <c r="FX959" s="1933"/>
      <c r="FY959" s="1933"/>
      <c r="FZ959" s="1933"/>
      <c r="GA959" s="1933"/>
      <c r="GB959" s="1933"/>
      <c r="GC959" s="1933"/>
      <c r="GD959" s="1933"/>
      <c r="GE959" s="1933"/>
      <c r="GF959" s="1933"/>
      <c r="GG959" s="1933"/>
      <c r="GH959" s="1933"/>
      <c r="GI959" s="1933"/>
      <c r="GJ959" s="1933"/>
      <c r="GK959" s="1933"/>
      <c r="GL959" s="1933"/>
      <c r="GM959" s="1933"/>
      <c r="GN959" s="1933"/>
      <c r="GO959" s="1933"/>
      <c r="GP959" s="1933"/>
      <c r="GQ959" s="1933"/>
      <c r="GR959" s="1933"/>
      <c r="GS959" s="1933"/>
      <c r="GT959" s="1933"/>
      <c r="GU959" s="1933"/>
      <c r="GV959" s="1933"/>
      <c r="GW959" s="1933"/>
      <c r="GX959" s="1933"/>
      <c r="GY959" s="1933"/>
      <c r="GZ959" s="1933"/>
      <c r="HA959" s="1933"/>
      <c r="HB959" s="1933"/>
      <c r="HC959" s="1933"/>
      <c r="HD959" s="1933"/>
      <c r="HE959" s="1933"/>
      <c r="HF959" s="1933"/>
      <c r="HG959" s="1933"/>
      <c r="HH959" s="1933"/>
      <c r="HI959" s="1933"/>
      <c r="HJ959" s="1933"/>
      <c r="HK959" s="1933"/>
      <c r="HL959" s="1933"/>
      <c r="HM959" s="1933"/>
      <c r="HP959" s="1935">
        <f>HP754+HP817+HP876+HP883+HP887+HP888+HP889</f>
        <v>706.34289262551806</v>
      </c>
      <c r="HQ959" s="1935">
        <f>HQ754+HQ817+HQ876+HQ883+HQ887+HQ888+HQ889</f>
        <v>866.11853703142367</v>
      </c>
      <c r="HR959" s="1935">
        <f t="shared" si="1547"/>
        <v>1572.4614296569416</v>
      </c>
      <c r="HS959" s="1935">
        <f>HS754+HS817+HS876+HS883+HS887+HS888+HS889</f>
        <v>784.44448331725744</v>
      </c>
      <c r="HT959" s="1935">
        <f>HT754+HT817+HT876+HT883+HT887+HT888+HT889</f>
        <v>902.55478109726471</v>
      </c>
      <c r="HU959" s="1935">
        <f t="shared" si="1548"/>
        <v>1686.9992644145223</v>
      </c>
      <c r="HV959" s="1935">
        <f>HV754+HV817+HV876+HV883+HV887+HV888+HV889</f>
        <v>881.99775710790493</v>
      </c>
      <c r="HW959" s="1935">
        <f>HW754+HW817+HW876+HW883+HW887+HW888+HW889</f>
        <v>932.74468536729398</v>
      </c>
      <c r="HX959" s="1935">
        <f t="shared" si="1549"/>
        <v>1814.7424424751989</v>
      </c>
      <c r="HY959" s="1935">
        <f>HY754+HY817+HY876+HY883+HY887+HY888+HY889</f>
        <v>970.71988960083218</v>
      </c>
      <c r="HZ959" s="1935">
        <f>HZ754+HZ817+HZ876+HZ883+HZ887+HZ888+HZ889</f>
        <v>986.04136672561117</v>
      </c>
      <c r="IA959" s="1935">
        <f t="shared" si="1550"/>
        <v>1956.7612563264433</v>
      </c>
      <c r="IB959" s="1935">
        <f>IB754+IB817+IB876+IB883+IB887+IB888+IB889</f>
        <v>1054.0980328342407</v>
      </c>
      <c r="IC959" s="1935">
        <f>IC754+IC817+IC876+IC883+IC887+IC888+IC889</f>
        <v>1120.6030540958097</v>
      </c>
      <c r="ID959" s="1935">
        <f t="shared" si="1551"/>
        <v>2174.7010869300502</v>
      </c>
      <c r="IE959" s="1935">
        <f>IE754+IE817+IE876+IE883+IE887+IE888+IE889</f>
        <v>1146.6037851233441</v>
      </c>
      <c r="IF959" s="1935">
        <f>IF754+IF817+IF876+IF883+IF887+IF888+IF889</f>
        <v>1464.9065311170441</v>
      </c>
      <c r="IG959" s="1935">
        <f t="shared" si="1552"/>
        <v>2611.5103162403884</v>
      </c>
      <c r="IH959" s="1935">
        <f>IH754+IH817+IH876+IH883+IH887+IH888+IH889</f>
        <v>1507.3697270418352</v>
      </c>
      <c r="II959" s="1935">
        <f>II754+II817+II876+II883+II887+II888+II889</f>
        <v>1530.5073115845905</v>
      </c>
      <c r="IJ959" s="1935">
        <f t="shared" si="1553"/>
        <v>3037.8770386264259</v>
      </c>
      <c r="IK959" s="1935">
        <f>IK754+IK817+IK876+IK883+IK887+IK888+IK889</f>
        <v>1755.4787952166714</v>
      </c>
      <c r="IL959" s="1935">
        <f>IL754+IL817+IL876+IL883+IL887+IL888+IL889</f>
        <v>1702.5017534049427</v>
      </c>
      <c r="IM959" s="1935">
        <f t="shared" si="1554"/>
        <v>3457.9805486216142</v>
      </c>
      <c r="IN959" s="1935">
        <f>IN754+IN817+IN876+IN883+IN887+IN888+IN889</f>
        <v>1950.5099086980831</v>
      </c>
      <c r="IO959" s="1935">
        <f>IO754+IO817+IO876+IO883+IO887+IO888+IO889</f>
        <v>2267.5000003835344</v>
      </c>
      <c r="IP959" s="1935">
        <f t="shared" si="1555"/>
        <v>4218.0099090816175</v>
      </c>
      <c r="IQ959" s="1935">
        <f>IQ754+IQ817+IQ876+IQ883+IQ887+IQ888+IQ889</f>
        <v>2115.5635723278756</v>
      </c>
      <c r="IR959" s="1935">
        <f>IR754+IR817+IR876+IR883+IR887+IR888+IR889</f>
        <v>2400.9904415119554</v>
      </c>
      <c r="IS959" s="1935">
        <f t="shared" si="1556"/>
        <v>4516.554013839831</v>
      </c>
      <c r="IT959" s="1935">
        <f>IT754+IT817+IT876+IT883+IT887+IT888+IT889</f>
        <v>2232.6031993939569</v>
      </c>
      <c r="IU959" s="1935">
        <f>IU754+IU817+IU876+IU883+IU887+IU888+IU889</f>
        <v>2806.7361267229194</v>
      </c>
      <c r="IV959" s="1935">
        <f t="shared" si="1557"/>
        <v>5039.3393261168767</v>
      </c>
      <c r="IW959" s="1935">
        <f>IW754+IW817+IW876+IW883+IW887+IW888+IW889</f>
        <v>2723.6143292104771</v>
      </c>
      <c r="IX959" s="1935">
        <f>IX754+IX817+IX876+IX883+IX887+IX888+IX889</f>
        <v>2655.3350994020093</v>
      </c>
      <c r="IY959" s="1935">
        <f t="shared" si="1558"/>
        <v>5378.9494286124864</v>
      </c>
      <c r="IZ959" s="1935">
        <f>IZ754+IZ817+IZ876+IZ883+IZ887+IZ888+IZ889</f>
        <v>3925.8376737151448</v>
      </c>
      <c r="JA959" s="1935">
        <f>JA754+JA817+JA876+JA883+JA887+JA888+JA889</f>
        <v>2583.2131932928978</v>
      </c>
      <c r="JB959" s="1935">
        <f t="shared" si="1559"/>
        <v>6509.0508670080426</v>
      </c>
      <c r="JC959" s="1935">
        <f>JC754+JC817+JC876+JC883+JC887+JC888+JC889</f>
        <v>3905.887710744355</v>
      </c>
      <c r="JD959" s="1935">
        <f>JD754+JD817+JD876+JD883+JD887+JD888+JD889</f>
        <v>3193.0091244382575</v>
      </c>
      <c r="JE959" s="1935">
        <f t="shared" si="1560"/>
        <v>7098.8968351826124</v>
      </c>
      <c r="JF959" s="579">
        <f t="shared" ref="JF959:JN959" si="1562">JF754+JF817+JF876+JF883+JF887+JF888+JF889</f>
        <v>4089.0860217656864</v>
      </c>
      <c r="JG959" s="579">
        <f t="shared" si="1562"/>
        <v>3507.2729173528755</v>
      </c>
      <c r="JH959" s="579">
        <f t="shared" si="1562"/>
        <v>7596.3589391185615</v>
      </c>
      <c r="JI959" s="579">
        <f t="shared" si="1562"/>
        <v>4466.2917240871893</v>
      </c>
      <c r="JJ959" s="579">
        <f t="shared" si="1562"/>
        <v>3998.4562404953535</v>
      </c>
      <c r="JK959" s="579">
        <f t="shared" si="1562"/>
        <v>8464.7479645825406</v>
      </c>
      <c r="JL959" s="579">
        <f t="shared" si="1562"/>
        <v>4887.8710050070358</v>
      </c>
      <c r="JM959" s="1935">
        <f t="shared" si="1562"/>
        <v>4657.7538603244639</v>
      </c>
      <c r="JN959" s="1935">
        <f t="shared" si="1562"/>
        <v>9545.6248653314997</v>
      </c>
    </row>
    <row r="960" spans="1:274" s="1935" customFormat="1">
      <c r="A960" s="1938"/>
      <c r="B960" s="1938"/>
      <c r="C960" s="1938"/>
      <c r="D960" s="1938" t="s">
        <v>3482</v>
      </c>
      <c r="DB960" s="1939"/>
      <c r="DN960" s="1940"/>
      <c r="DZ960" s="1940"/>
      <c r="EA960" s="1933"/>
      <c r="EB960" s="1933"/>
      <c r="EC960" s="1933"/>
      <c r="ED960" s="1933"/>
      <c r="EE960" s="1933"/>
      <c r="EF960" s="1933"/>
      <c r="EG960" s="1933"/>
      <c r="EH960" s="1933"/>
      <c r="EI960" s="1933"/>
      <c r="EJ960" s="1933"/>
      <c r="EK960" s="1933"/>
      <c r="EL960" s="1941"/>
      <c r="EM960" s="1933"/>
      <c r="EN960" s="1933"/>
      <c r="EO960" s="1933"/>
      <c r="EP960" s="1933"/>
      <c r="EQ960" s="1933"/>
      <c r="ER960" s="1933"/>
      <c r="ES960" s="1933"/>
      <c r="ET960" s="1933"/>
      <c r="EU960" s="1933"/>
      <c r="EV960" s="1933"/>
      <c r="EW960" s="1933"/>
      <c r="EX960" s="1941"/>
      <c r="EY960" s="1933"/>
      <c r="EZ960" s="1933"/>
      <c r="FA960" s="1933"/>
      <c r="FB960" s="1933"/>
      <c r="FC960" s="1933"/>
      <c r="FD960" s="1933"/>
      <c r="FE960" s="1933"/>
      <c r="FF960" s="1933"/>
      <c r="FG960" s="1933"/>
      <c r="FH960" s="1933"/>
      <c r="FI960" s="1933"/>
      <c r="FJ960" s="1941"/>
      <c r="FK960" s="1933"/>
      <c r="FL960" s="1933"/>
      <c r="FM960" s="1933"/>
      <c r="FN960" s="1933"/>
      <c r="FO960" s="1933"/>
      <c r="FP960" s="1933"/>
      <c r="FQ960" s="1933"/>
      <c r="FR960" s="1933"/>
      <c r="FS960" s="1933"/>
      <c r="FT960" s="1933"/>
      <c r="FU960" s="1933"/>
      <c r="FV960" s="1933"/>
      <c r="FW960" s="1933"/>
      <c r="FX960" s="1933"/>
      <c r="FY960" s="1933"/>
      <c r="FZ960" s="1933"/>
      <c r="GA960" s="1933"/>
      <c r="GB960" s="1933"/>
      <c r="GC960" s="1933"/>
      <c r="GD960" s="1933"/>
      <c r="GE960" s="1933"/>
      <c r="GF960" s="1933"/>
      <c r="GG960" s="1933"/>
      <c r="GH960" s="1933"/>
      <c r="GI960" s="1933"/>
      <c r="GJ960" s="1933"/>
      <c r="GK960" s="1933"/>
      <c r="GL960" s="1933"/>
      <c r="GM960" s="1933"/>
      <c r="GN960" s="1933"/>
      <c r="GO960" s="1933"/>
      <c r="GP960" s="1933"/>
      <c r="GQ960" s="1933"/>
      <c r="GR960" s="1933"/>
      <c r="GS960" s="1933"/>
      <c r="GT960" s="1933"/>
      <c r="GU960" s="1933"/>
      <c r="GV960" s="1933"/>
      <c r="GW960" s="1933"/>
      <c r="GX960" s="1933"/>
      <c r="GY960" s="1933"/>
      <c r="GZ960" s="1933"/>
      <c r="HA960" s="1933"/>
      <c r="HB960" s="1933"/>
      <c r="HC960" s="1933"/>
      <c r="HD960" s="1933"/>
      <c r="HE960" s="1933"/>
      <c r="HF960" s="1933"/>
      <c r="HG960" s="1933"/>
      <c r="HH960" s="1933"/>
      <c r="HI960" s="1933"/>
      <c r="HJ960" s="1933"/>
      <c r="HK960" s="1933"/>
      <c r="HL960" s="1933"/>
      <c r="HM960" s="1933"/>
      <c r="HP960" s="1935">
        <f>HP843</f>
        <v>-297.38166732644675</v>
      </c>
      <c r="HQ960" s="1935">
        <f>HQ843</f>
        <v>-410.60593076882253</v>
      </c>
      <c r="HR960" s="1935">
        <f t="shared" si="1547"/>
        <v>-707.98759809526928</v>
      </c>
      <c r="HS960" s="1935">
        <f>HS843</f>
        <v>-335.84864990981384</v>
      </c>
      <c r="HT960" s="1935">
        <f>HT843</f>
        <v>-348.3713209247137</v>
      </c>
      <c r="HU960" s="1935">
        <f t="shared" si="1548"/>
        <v>-684.21997083452754</v>
      </c>
      <c r="HV960" s="1935">
        <f>HV843</f>
        <v>-340.69111176638188</v>
      </c>
      <c r="HW960" s="1935">
        <f>HW843</f>
        <v>-306.08783305639497</v>
      </c>
      <c r="HX960" s="1935">
        <f t="shared" si="1549"/>
        <v>-646.77894482277679</v>
      </c>
      <c r="HY960" s="1935">
        <f>HY843</f>
        <v>-371.33668801576147</v>
      </c>
      <c r="HZ960" s="1935">
        <f>HZ843</f>
        <v>-299.8447227652444</v>
      </c>
      <c r="IA960" s="1935">
        <f>HY960+HZ960</f>
        <v>-671.18141078100587</v>
      </c>
      <c r="IB960" s="1935">
        <f>IB843</f>
        <v>-363.15319974648031</v>
      </c>
      <c r="IC960" s="1935">
        <f>IC843</f>
        <v>-350.0441312612341</v>
      </c>
      <c r="ID960" s="1935">
        <f t="shared" si="1551"/>
        <v>-713.19733100771441</v>
      </c>
      <c r="IE960" s="1935">
        <f>IE843</f>
        <v>-340.72941379930268</v>
      </c>
      <c r="IF960" s="1935">
        <f>IF843</f>
        <v>-600.50358885955995</v>
      </c>
      <c r="IG960" s="1935">
        <f t="shared" si="1552"/>
        <v>-941.23300265886269</v>
      </c>
      <c r="IH960" s="1935">
        <f>IH843</f>
        <v>-600.09814679179294</v>
      </c>
      <c r="II960" s="1935">
        <f>II843</f>
        <v>-682.37563263920777</v>
      </c>
      <c r="IJ960" s="1935">
        <f t="shared" si="1553"/>
        <v>-1282.4737794310008</v>
      </c>
      <c r="IK960" s="1935">
        <f>IK843</f>
        <v>-783.87939868557646</v>
      </c>
      <c r="IL960" s="1935">
        <f>IL843</f>
        <v>-666.99812064903222</v>
      </c>
      <c r="IM960" s="1935">
        <f t="shared" si="1554"/>
        <v>-1450.8775193346087</v>
      </c>
      <c r="IN960" s="1935">
        <f>IN843</f>
        <v>-899.34676509060193</v>
      </c>
      <c r="IO960" s="1935">
        <f>IO843</f>
        <v>-1040.6644980811932</v>
      </c>
      <c r="IP960" s="1935">
        <f t="shared" si="1555"/>
        <v>-1940.0112631717952</v>
      </c>
      <c r="IQ960" s="1935">
        <f>IQ843</f>
        <v>-858.35313591342208</v>
      </c>
      <c r="IR960" s="1935">
        <f>IR843</f>
        <v>-969.94094021502303</v>
      </c>
      <c r="IS960" s="1935">
        <f t="shared" si="1556"/>
        <v>-1828.2940761284451</v>
      </c>
      <c r="IT960" s="1935">
        <f>IT843</f>
        <v>-763.41091446163728</v>
      </c>
      <c r="IU960" s="1935">
        <f>IU843</f>
        <v>-1222.5914595158272</v>
      </c>
      <c r="IV960" s="1935">
        <f t="shared" si="1557"/>
        <v>-1986.0023739774645</v>
      </c>
      <c r="IW960" s="1935">
        <f>IW843</f>
        <v>-940.53694105147645</v>
      </c>
      <c r="IX960" s="1935">
        <f>IX843</f>
        <v>-779.06473424018316</v>
      </c>
      <c r="IY960" s="1935">
        <f t="shared" si="1558"/>
        <v>-1719.6016752916596</v>
      </c>
      <c r="IZ960" s="1935">
        <f>IZ843</f>
        <v>-1864.1243670553133</v>
      </c>
      <c r="JA960" s="1935">
        <f>JA843</f>
        <v>-392.29779740613697</v>
      </c>
      <c r="JB960" s="1935">
        <f t="shared" si="1559"/>
        <v>-2256.4221644614504</v>
      </c>
      <c r="JC960" s="1935">
        <f>JC843</f>
        <v>-1460.7066917086077</v>
      </c>
      <c r="JD960" s="1935">
        <f>JD843</f>
        <v>-592.37367108668968</v>
      </c>
      <c r="JE960" s="1935">
        <f t="shared" si="1560"/>
        <v>-2053.0803627952973</v>
      </c>
      <c r="JF960" s="1935">
        <f t="shared" ref="JF960:JN960" si="1563">JF843</f>
        <v>-1263.3851671269065</v>
      </c>
      <c r="JG960" s="1935">
        <f t="shared" si="1563"/>
        <v>-502.72629121336672</v>
      </c>
      <c r="JH960" s="1935">
        <f t="shared" si="1563"/>
        <v>-1766.111458340273</v>
      </c>
      <c r="JI960" s="1935">
        <f t="shared" si="1563"/>
        <v>-1257.4662995795686</v>
      </c>
      <c r="JJ960" s="1935">
        <f t="shared" si="1563"/>
        <v>-586.36561872022207</v>
      </c>
      <c r="JK960" s="1935">
        <f t="shared" si="1563"/>
        <v>-1843.8319182997911</v>
      </c>
      <c r="JL960" s="1935">
        <f t="shared" si="1563"/>
        <v>-1250.3723263073643</v>
      </c>
      <c r="JM960" s="1935">
        <f t="shared" si="1563"/>
        <v>-789.48568478902325</v>
      </c>
      <c r="JN960" s="1935">
        <f t="shared" si="1563"/>
        <v>-2039.8580110963878</v>
      </c>
    </row>
    <row r="961" spans="1:302" s="1935" customFormat="1">
      <c r="A961" s="1938"/>
      <c r="B961" s="1938"/>
      <c r="C961" s="1938"/>
      <c r="D961" s="1942" t="s">
        <v>3483</v>
      </c>
      <c r="DB961" s="1939"/>
      <c r="DN961" s="1940"/>
      <c r="DZ961" s="1940"/>
      <c r="EA961" s="1933"/>
      <c r="EB961" s="1933"/>
      <c r="EC961" s="1933"/>
      <c r="ED961" s="1933"/>
      <c r="EE961" s="1933"/>
      <c r="EF961" s="1933"/>
      <c r="EG961" s="1933"/>
      <c r="EH961" s="1933"/>
      <c r="EI961" s="1933"/>
      <c r="EJ961" s="1933"/>
      <c r="EK961" s="1933"/>
      <c r="EL961" s="1941"/>
      <c r="EM961" s="1933"/>
      <c r="EN961" s="1933"/>
      <c r="EO961" s="1933"/>
      <c r="EP961" s="1933"/>
      <c r="EQ961" s="1933"/>
      <c r="ER961" s="1933"/>
      <c r="ES961" s="1933"/>
      <c r="ET961" s="1933"/>
      <c r="EU961" s="1933"/>
      <c r="EV961" s="1933"/>
      <c r="EW961" s="1933"/>
      <c r="EX961" s="1941"/>
      <c r="EY961" s="1933"/>
      <c r="EZ961" s="1933"/>
      <c r="FA961" s="1933"/>
      <c r="FB961" s="1933"/>
      <c r="FC961" s="1933"/>
      <c r="FD961" s="1933"/>
      <c r="FE961" s="1933"/>
      <c r="FF961" s="1933"/>
      <c r="FG961" s="1933"/>
      <c r="FH961" s="1933"/>
      <c r="FI961" s="1933"/>
      <c r="FJ961" s="1941"/>
      <c r="FK961" s="1933"/>
      <c r="FL961" s="1933"/>
      <c r="FM961" s="1933"/>
      <c r="FN961" s="1933"/>
      <c r="FO961" s="1933"/>
      <c r="FP961" s="1933"/>
      <c r="FQ961" s="1933"/>
      <c r="FR961" s="1933"/>
      <c r="FS961" s="1933"/>
      <c r="FT961" s="1933"/>
      <c r="FU961" s="1933"/>
      <c r="FV961" s="1933"/>
      <c r="FW961" s="1933"/>
      <c r="FX961" s="1933"/>
      <c r="FY961" s="1933"/>
      <c r="FZ961" s="1933"/>
      <c r="GA961" s="1933"/>
      <c r="GB961" s="1933"/>
      <c r="GC961" s="1933"/>
      <c r="GD961" s="1933"/>
      <c r="GE961" s="1933"/>
      <c r="GF961" s="1933"/>
      <c r="GG961" s="1933"/>
      <c r="GH961" s="1933"/>
      <c r="GI961" s="1933"/>
      <c r="GJ961" s="1933"/>
      <c r="GK961" s="1933"/>
      <c r="GL961" s="1933"/>
      <c r="GM961" s="1933"/>
      <c r="GN961" s="1933"/>
      <c r="GO961" s="1933"/>
      <c r="GP961" s="1933"/>
      <c r="GQ961" s="1933"/>
      <c r="GR961" s="1933"/>
      <c r="GS961" s="1933"/>
      <c r="GT961" s="1933"/>
      <c r="GU961" s="1933"/>
      <c r="GV961" s="1933"/>
      <c r="GW961" s="1933"/>
      <c r="GX961" s="1933"/>
      <c r="GY961" s="1933"/>
      <c r="GZ961" s="1933"/>
      <c r="HA961" s="1933"/>
      <c r="HB961" s="1933"/>
      <c r="HC961" s="1933"/>
      <c r="HD961" s="1933"/>
      <c r="HE961" s="1933"/>
      <c r="HF961" s="1933"/>
      <c r="HG961" s="1933"/>
      <c r="HH961" s="1933"/>
      <c r="HI961" s="1933"/>
      <c r="HJ961" s="1933"/>
      <c r="HK961" s="1933"/>
      <c r="HL961" s="1933"/>
      <c r="HM961" s="1933"/>
      <c r="HP961" s="1943" t="str">
        <f t="shared" ref="HP961:JE961" si="1564">IF(ABS(HP956-HP959-HP960)&gt;0.01,"Alert","")</f>
        <v/>
      </c>
      <c r="HQ961" s="1943" t="str">
        <f t="shared" si="1564"/>
        <v/>
      </c>
      <c r="HR961" s="1943" t="str">
        <f t="shared" si="1564"/>
        <v/>
      </c>
      <c r="HS961" s="1943" t="str">
        <f t="shared" si="1564"/>
        <v/>
      </c>
      <c r="HT961" s="1943" t="str">
        <f t="shared" si="1564"/>
        <v/>
      </c>
      <c r="HU961" s="1943" t="str">
        <f t="shared" si="1564"/>
        <v/>
      </c>
      <c r="HV961" s="1943" t="str">
        <f t="shared" si="1564"/>
        <v/>
      </c>
      <c r="HW961" s="1943" t="str">
        <f t="shared" si="1564"/>
        <v/>
      </c>
      <c r="HX961" s="1943" t="str">
        <f t="shared" si="1564"/>
        <v/>
      </c>
      <c r="HY961" s="1943" t="str">
        <f t="shared" si="1564"/>
        <v/>
      </c>
      <c r="HZ961" s="1943" t="str">
        <f t="shared" si="1564"/>
        <v/>
      </c>
      <c r="IA961" s="1943" t="str">
        <f t="shared" si="1564"/>
        <v/>
      </c>
      <c r="IB961" s="1943" t="str">
        <f t="shared" si="1564"/>
        <v/>
      </c>
      <c r="IC961" s="1943" t="str">
        <f t="shared" si="1564"/>
        <v/>
      </c>
      <c r="ID961" s="1943" t="str">
        <f t="shared" si="1564"/>
        <v/>
      </c>
      <c r="IE961" s="1943" t="str">
        <f t="shared" si="1564"/>
        <v/>
      </c>
      <c r="IF961" s="1943" t="str">
        <f t="shared" si="1564"/>
        <v/>
      </c>
      <c r="IG961" s="1943" t="str">
        <f t="shared" si="1564"/>
        <v/>
      </c>
      <c r="IH961" s="1943" t="str">
        <f t="shared" si="1564"/>
        <v/>
      </c>
      <c r="II961" s="1943" t="str">
        <f t="shared" si="1564"/>
        <v/>
      </c>
      <c r="IJ961" s="1943" t="str">
        <f t="shared" si="1564"/>
        <v/>
      </c>
      <c r="IK961" s="1943" t="str">
        <f t="shared" si="1564"/>
        <v/>
      </c>
      <c r="IL961" s="1943" t="str">
        <f t="shared" si="1564"/>
        <v/>
      </c>
      <c r="IM961" s="1943" t="str">
        <f t="shared" si="1564"/>
        <v/>
      </c>
      <c r="IN961" s="1943" t="str">
        <f t="shared" si="1564"/>
        <v/>
      </c>
      <c r="IO961" s="1943" t="str">
        <f t="shared" si="1564"/>
        <v/>
      </c>
      <c r="IP961" s="1943" t="str">
        <f t="shared" si="1564"/>
        <v/>
      </c>
      <c r="IQ961" s="1943" t="str">
        <f t="shared" si="1564"/>
        <v/>
      </c>
      <c r="IR961" s="1943" t="str">
        <f t="shared" si="1564"/>
        <v/>
      </c>
      <c r="IS961" s="1943" t="str">
        <f t="shared" si="1564"/>
        <v/>
      </c>
      <c r="IT961" s="1943" t="str">
        <f t="shared" si="1564"/>
        <v/>
      </c>
      <c r="IU961" s="1943" t="str">
        <f t="shared" si="1564"/>
        <v/>
      </c>
      <c r="IV961" s="1943" t="str">
        <f t="shared" si="1564"/>
        <v/>
      </c>
      <c r="IW961" s="1943" t="str">
        <f t="shared" si="1564"/>
        <v/>
      </c>
      <c r="IX961" s="1943" t="str">
        <f t="shared" si="1564"/>
        <v/>
      </c>
      <c r="IY961" s="1943" t="str">
        <f t="shared" si="1564"/>
        <v/>
      </c>
      <c r="IZ961" s="1943" t="str">
        <f t="shared" si="1564"/>
        <v/>
      </c>
      <c r="JA961" s="1943" t="str">
        <f t="shared" si="1564"/>
        <v/>
      </c>
      <c r="JB961" s="1943" t="str">
        <f t="shared" si="1564"/>
        <v/>
      </c>
      <c r="JC961" s="1943" t="str">
        <f t="shared" si="1564"/>
        <v/>
      </c>
      <c r="JD961" s="1943" t="str">
        <f t="shared" si="1564"/>
        <v/>
      </c>
      <c r="JE961" s="1943" t="str">
        <f t="shared" si="1564"/>
        <v/>
      </c>
      <c r="JF961" s="1943" t="str">
        <f>IF(ABS(JF956-JF959-JF960)&gt;0.01,JF956-JF959-JF960,"")</f>
        <v/>
      </c>
      <c r="JG961" s="1943" t="str">
        <f>IF(ABS(JG956-JG959-JG960)&gt;0.01,JG956-JG959-JG960,"")</f>
        <v/>
      </c>
      <c r="JH961" s="1943" t="str">
        <f t="shared" ref="JH961" si="1565">IF(ABS(JH956-JH959-JH960)&gt;0.01,"Alert","")</f>
        <v/>
      </c>
      <c r="JI961" s="1943" t="str">
        <f t="shared" ref="JI961" si="1566">IF(ABS(JI956-JI959-JI960)&gt;0.01,"Alert","")</f>
        <v/>
      </c>
      <c r="JJ961" s="1943" t="str">
        <f t="shared" ref="JJ961" si="1567">IF(ABS(JJ956-JJ959-JJ960)&gt;0.01,"Alert","")</f>
        <v/>
      </c>
      <c r="JK961" s="1943" t="str">
        <f t="shared" ref="JK961" si="1568">IF(ABS(JK956-JK959-JK960)&gt;0.01,"Alert","")</f>
        <v/>
      </c>
      <c r="JL961" s="1943" t="str">
        <f t="shared" ref="JL961" si="1569">IF(ABS(JL956-JL959-JL960)&gt;0.01,"Alert","")</f>
        <v/>
      </c>
      <c r="JM961" s="1943" t="str">
        <f t="shared" ref="JM961" si="1570">IF(ABS(JM956-JM959-JM960)&gt;0.01,"Alert","")</f>
        <v/>
      </c>
      <c r="JN961" s="1943" t="str">
        <f t="shared" ref="JN961" si="1571">IF(ABS(JN956-JN959-JN960)&gt;0.01,"Alert","")</f>
        <v/>
      </c>
    </row>
    <row r="962" spans="1:302" s="1935" customFormat="1">
      <c r="A962" s="1938"/>
      <c r="B962" s="1938"/>
      <c r="C962" s="1938"/>
      <c r="D962" s="1942"/>
      <c r="DB962" s="1939"/>
      <c r="DN962" s="1940"/>
      <c r="DZ962" s="1940"/>
      <c r="EA962" s="1933"/>
      <c r="EB962" s="1933"/>
      <c r="EC962" s="1933"/>
      <c r="ED962" s="1933"/>
      <c r="EE962" s="1933"/>
      <c r="EF962" s="1933"/>
      <c r="EG962" s="1933"/>
      <c r="EH962" s="1933"/>
      <c r="EI962" s="1933"/>
      <c r="EJ962" s="1933"/>
      <c r="EK962" s="1933"/>
      <c r="EL962" s="1941"/>
      <c r="EM962" s="1933"/>
      <c r="EN962" s="1933"/>
      <c r="EO962" s="1933"/>
      <c r="EP962" s="1933"/>
      <c r="EQ962" s="1933"/>
      <c r="ER962" s="1933"/>
      <c r="ES962" s="1933"/>
      <c r="ET962" s="1933"/>
      <c r="EU962" s="1933"/>
      <c r="EV962" s="1933"/>
      <c r="EW962" s="1933"/>
      <c r="EX962" s="1941"/>
      <c r="EY962" s="1933"/>
      <c r="EZ962" s="1933"/>
      <c r="FA962" s="1933"/>
      <c r="FB962" s="1933"/>
      <c r="FC962" s="1933"/>
      <c r="FD962" s="1933"/>
      <c r="FE962" s="1933"/>
      <c r="FF962" s="1933"/>
      <c r="FG962" s="1933"/>
      <c r="FH962" s="1933"/>
      <c r="FI962" s="1933"/>
      <c r="FJ962" s="1941"/>
      <c r="FK962" s="1933"/>
      <c r="FL962" s="1933"/>
      <c r="FM962" s="1933"/>
      <c r="FN962" s="1933"/>
      <c r="FO962" s="1933"/>
      <c r="FP962" s="1933"/>
      <c r="FQ962" s="1933"/>
      <c r="FR962" s="1933"/>
      <c r="FS962" s="1933"/>
      <c r="FT962" s="1933"/>
      <c r="FU962" s="1933"/>
      <c r="FV962" s="1933"/>
      <c r="FW962" s="1933"/>
      <c r="FX962" s="1933"/>
      <c r="FY962" s="1933"/>
      <c r="FZ962" s="1933"/>
      <c r="GA962" s="1933"/>
      <c r="GB962" s="1933"/>
      <c r="GC962" s="1933"/>
      <c r="GD962" s="1933"/>
      <c r="GE962" s="1933"/>
      <c r="GF962" s="1933"/>
      <c r="GG962" s="1933"/>
      <c r="GH962" s="1933"/>
      <c r="GI962" s="1933"/>
      <c r="GJ962" s="1933"/>
      <c r="GK962" s="1933"/>
      <c r="GL962" s="1933"/>
      <c r="GM962" s="1933"/>
      <c r="GN962" s="1933"/>
      <c r="GO962" s="1933"/>
      <c r="GP962" s="1933"/>
      <c r="GQ962" s="1933"/>
      <c r="GR962" s="1933"/>
      <c r="GS962" s="1933"/>
      <c r="GT962" s="1933"/>
      <c r="GU962" s="1933"/>
      <c r="GV962" s="1933"/>
      <c r="GW962" s="1933"/>
      <c r="GX962" s="1933"/>
      <c r="GY962" s="1933"/>
      <c r="GZ962" s="1933"/>
      <c r="HA962" s="1933"/>
      <c r="HB962" s="1933"/>
      <c r="HC962" s="1933"/>
      <c r="HD962" s="1933"/>
      <c r="HE962" s="1933"/>
      <c r="HF962" s="1933"/>
      <c r="HG962" s="1933"/>
      <c r="HH962" s="1933"/>
      <c r="HI962" s="1933"/>
      <c r="HJ962" s="1933"/>
      <c r="HK962" s="1933"/>
      <c r="HL962" s="1933"/>
      <c r="HM962" s="1933"/>
      <c r="HP962" s="1943"/>
      <c r="HQ962" s="1943"/>
      <c r="HR962" s="1943"/>
      <c r="HS962" s="1943"/>
      <c r="HT962" s="1943"/>
      <c r="HU962" s="1943"/>
      <c r="HV962" s="1943"/>
      <c r="HW962" s="1943"/>
      <c r="HX962" s="1943"/>
      <c r="HY962" s="1943"/>
      <c r="HZ962" s="1943">
        <f>HZ963+IB963</f>
        <v>1465.8582474876589</v>
      </c>
      <c r="IA962" s="1992">
        <f>IC962/HZ962-1</f>
        <v>9.4111371714942216E-2</v>
      </c>
      <c r="IB962" s="1943"/>
      <c r="IC962" s="1943">
        <f>IC963+IE963</f>
        <v>1603.8121778983837</v>
      </c>
      <c r="ID962" s="1992">
        <f>IF962/IC962-1</f>
        <v>0.30140546844784422</v>
      </c>
      <c r="IE962" s="1943"/>
      <c r="IF962" s="1943">
        <f>IF963+IH963</f>
        <v>2087.2099386802033</v>
      </c>
      <c r="IG962" s="1992">
        <f>IH962/IF962-1</f>
        <v>0.1107739663829217</v>
      </c>
      <c r="IH962" s="1943">
        <f>II963+IK963</f>
        <v>2318.4184622616644</v>
      </c>
      <c r="II962" s="1943"/>
      <c r="IJ962" s="1943"/>
      <c r="IK962" s="1943"/>
      <c r="IL962" s="1943"/>
      <c r="IM962" s="1943"/>
      <c r="IN962" s="1943"/>
      <c r="IO962" s="1943"/>
      <c r="IP962" s="1943"/>
      <c r="IQ962" s="1943"/>
      <c r="IR962" s="1943"/>
      <c r="IS962" s="1943"/>
      <c r="IT962" s="1943"/>
      <c r="IU962" s="1943"/>
      <c r="IV962" s="1943"/>
      <c r="IW962" s="1943"/>
      <c r="IX962" s="1943"/>
      <c r="IY962" s="1943"/>
      <c r="IZ962" s="1943"/>
      <c r="JA962" s="1943"/>
      <c r="JB962" s="1943"/>
      <c r="JC962" s="1943"/>
      <c r="JD962" s="1943"/>
      <c r="JE962" s="1943"/>
      <c r="JF962" s="1943"/>
      <c r="JG962" s="1943"/>
      <c r="JH962" s="1943"/>
      <c r="JI962" s="1943"/>
      <c r="JJ962" s="1943"/>
      <c r="JK962" s="1943"/>
      <c r="JL962" s="1943"/>
      <c r="JM962" s="1943"/>
      <c r="JN962" s="1943"/>
    </row>
    <row r="963" spans="1:302" s="1935" customFormat="1">
      <c r="A963" s="1938"/>
      <c r="B963" s="1938"/>
      <c r="C963" s="1938"/>
      <c r="D963" s="1938"/>
      <c r="DB963" s="1939"/>
      <c r="DN963" s="1940"/>
      <c r="DZ963" s="1940"/>
      <c r="EA963" s="1933"/>
      <c r="EB963" s="1933"/>
      <c r="EC963" s="1933"/>
      <c r="ED963" s="1933"/>
      <c r="EE963" s="1933"/>
      <c r="EF963" s="1933"/>
      <c r="EG963" s="1933"/>
      <c r="EH963" s="1933"/>
      <c r="EI963" s="1933"/>
      <c r="EJ963" s="1933"/>
      <c r="EK963" s="1933"/>
      <c r="EL963" s="1941"/>
      <c r="EM963" s="1933"/>
      <c r="EN963" s="1933"/>
      <c r="EO963" s="1933"/>
      <c r="EP963" s="1933"/>
      <c r="EQ963" s="1933"/>
      <c r="ER963" s="1933"/>
      <c r="ES963" s="1933"/>
      <c r="ET963" s="1933"/>
      <c r="EU963" s="1933"/>
      <c r="EV963" s="1933"/>
      <c r="EW963" s="1933"/>
      <c r="EX963" s="1941"/>
      <c r="EY963" s="1933"/>
      <c r="EZ963" s="1933"/>
      <c r="FA963" s="1933"/>
      <c r="FB963" s="1933"/>
      <c r="FC963" s="1933"/>
      <c r="FD963" s="1933"/>
      <c r="FE963" s="1933"/>
      <c r="FF963" s="1933"/>
      <c r="FG963" s="1933"/>
      <c r="FH963" s="1933"/>
      <c r="FI963" s="1933"/>
      <c r="FJ963" s="1941"/>
      <c r="FK963" s="1933"/>
      <c r="FL963" s="1933"/>
      <c r="FM963" s="1933"/>
      <c r="FN963" s="1933"/>
      <c r="FO963" s="1933"/>
      <c r="FP963" s="1933"/>
      <c r="FQ963" s="1933"/>
      <c r="FR963" s="1933"/>
      <c r="FS963" s="1933"/>
      <c r="FT963" s="1933"/>
      <c r="FU963" s="1933"/>
      <c r="FV963" s="1933"/>
      <c r="FW963" s="1933"/>
      <c r="FX963" s="1933"/>
      <c r="FY963" s="1933"/>
      <c r="FZ963" s="1933"/>
      <c r="GA963" s="1933"/>
      <c r="GB963" s="1933"/>
      <c r="GC963" s="1933"/>
      <c r="GD963" s="1933"/>
      <c r="GE963" s="1933"/>
      <c r="GF963" s="1933"/>
      <c r="GG963" s="1933"/>
      <c r="GH963" s="1933"/>
      <c r="GI963" s="1933"/>
      <c r="GJ963" s="1933"/>
      <c r="GK963" s="1933"/>
      <c r="GL963" s="1933"/>
      <c r="GM963" s="1933"/>
      <c r="GN963" s="1933"/>
      <c r="GO963" s="1933"/>
      <c r="GP963" s="1933"/>
      <c r="GQ963" s="1933"/>
      <c r="GR963" s="1933"/>
      <c r="GS963" s="1933"/>
      <c r="GT963" s="1933"/>
      <c r="GU963" s="1933"/>
      <c r="GV963" s="1933"/>
      <c r="GW963" s="1933"/>
      <c r="GX963" s="1933"/>
      <c r="GY963" s="1933"/>
      <c r="GZ963" s="1933"/>
      <c r="HA963" s="1933"/>
      <c r="HB963" s="1933"/>
      <c r="HC963" s="1933"/>
      <c r="HD963" s="1933"/>
      <c r="HE963" s="1933"/>
      <c r="HF963" s="1933"/>
      <c r="HG963" s="1933"/>
      <c r="HH963" s="1933"/>
      <c r="HI963" s="1933"/>
      <c r="HJ963" s="1933"/>
      <c r="HK963" s="1933"/>
      <c r="HL963" s="1933"/>
      <c r="HM963" s="1933"/>
      <c r="HU963" s="938">
        <f t="shared" ref="HU963:IQ963" si="1572">HU955-HU813</f>
        <v>1229.0158938074383</v>
      </c>
      <c r="HV963" s="938">
        <f t="shared" si="1572"/>
        <v>631.72635126004923</v>
      </c>
      <c r="HW963" s="938">
        <f t="shared" si="1572"/>
        <v>680.64867305965356</v>
      </c>
      <c r="HX963" s="938">
        <f t="shared" si="1572"/>
        <v>1312.3750243197026</v>
      </c>
      <c r="HY963" s="938">
        <f t="shared" si="1572"/>
        <v>694.45265963977897</v>
      </c>
      <c r="HZ963" s="938">
        <f t="shared" si="1572"/>
        <v>729.25224803146875</v>
      </c>
      <c r="IA963" s="938">
        <f t="shared" si="1572"/>
        <v>1423.7049076712478</v>
      </c>
      <c r="IB963" s="938">
        <f t="shared" si="1572"/>
        <v>736.60599945619003</v>
      </c>
      <c r="IC963" s="938">
        <f t="shared" si="1572"/>
        <v>805.28529763681001</v>
      </c>
      <c r="ID963" s="938">
        <f t="shared" si="1572"/>
        <v>1541.891297093</v>
      </c>
      <c r="IE963" s="938">
        <f t="shared" si="1572"/>
        <v>798.52688026157352</v>
      </c>
      <c r="IF963" s="938">
        <f t="shared" si="1572"/>
        <v>1070.164379754656</v>
      </c>
      <c r="IG963" s="938">
        <f t="shared" si="1572"/>
        <v>1868.69126001623</v>
      </c>
      <c r="IH963" s="938">
        <f t="shared" si="1572"/>
        <v>1017.0455589255474</v>
      </c>
      <c r="II963" s="938">
        <f t="shared" si="1572"/>
        <v>1088.7715987698191</v>
      </c>
      <c r="IJ963" s="938">
        <f t="shared" si="1572"/>
        <v>2105.8171576953664</v>
      </c>
      <c r="IK963" s="938">
        <f t="shared" si="1572"/>
        <v>1229.6468634918454</v>
      </c>
      <c r="IL963" s="938">
        <f t="shared" si="1572"/>
        <v>1167.2740454914635</v>
      </c>
      <c r="IM963" s="938">
        <f t="shared" si="1572"/>
        <v>2396.9209089833089</v>
      </c>
      <c r="IN963" s="938">
        <f t="shared" si="1572"/>
        <v>1346.8885515355817</v>
      </c>
      <c r="IO963" s="938">
        <f t="shared" si="1572"/>
        <v>1590.2640597839807</v>
      </c>
      <c r="IP963" s="938">
        <f t="shared" si="1572"/>
        <v>2937.1526113195623</v>
      </c>
      <c r="IQ963" s="938">
        <f t="shared" si="1572"/>
        <v>1456.7093055379871</v>
      </c>
      <c r="IT963" s="938"/>
      <c r="IW963" s="938"/>
    </row>
    <row r="964" spans="1:302" s="1935" customFormat="1">
      <c r="A964" s="1938"/>
      <c r="B964" s="1938"/>
      <c r="C964" s="1938"/>
      <c r="D964" s="1938" t="s">
        <v>3484</v>
      </c>
      <c r="DB964" s="1939"/>
      <c r="DN964" s="1940"/>
      <c r="DZ964" s="1940"/>
      <c r="EA964" s="1933"/>
      <c r="EB964" s="1933"/>
      <c r="EC964" s="1933"/>
      <c r="ED964" s="1933"/>
      <c r="EE964" s="1933"/>
      <c r="EF964" s="1933"/>
      <c r="EG964" s="1933"/>
      <c r="EH964" s="1933"/>
      <c r="EI964" s="1933"/>
      <c r="EJ964" s="1933"/>
      <c r="EK964" s="1933"/>
      <c r="EL964" s="1941"/>
      <c r="EM964" s="1933"/>
      <c r="EN964" s="1933"/>
      <c r="EO964" s="1933"/>
      <c r="EP964" s="1933"/>
      <c r="EQ964" s="1933"/>
      <c r="ER964" s="1933"/>
      <c r="ES964" s="1933"/>
      <c r="ET964" s="1933"/>
      <c r="EU964" s="1933"/>
      <c r="EV964" s="1933"/>
      <c r="EW964" s="1933"/>
      <c r="EX964" s="1941"/>
      <c r="EY964" s="1933"/>
      <c r="EZ964" s="1933"/>
      <c r="FA964" s="1933"/>
      <c r="FB964" s="1933"/>
      <c r="FC964" s="1933"/>
      <c r="FD964" s="1933"/>
      <c r="FE964" s="1933"/>
      <c r="FF964" s="1933"/>
      <c r="FG964" s="1933"/>
      <c r="FH964" s="1933"/>
      <c r="FI964" s="1933"/>
      <c r="FJ964" s="1941"/>
      <c r="FK964" s="1933"/>
      <c r="FL964" s="1933"/>
      <c r="FM964" s="1933"/>
      <c r="FN964" s="1933"/>
      <c r="FO964" s="1933"/>
      <c r="FP964" s="1933"/>
      <c r="FQ964" s="1933"/>
      <c r="FR964" s="1933"/>
      <c r="FS964" s="1933"/>
      <c r="FT964" s="1933"/>
      <c r="FU964" s="1933"/>
      <c r="FV964" s="1933"/>
      <c r="FW964" s="1933"/>
      <c r="FX964" s="1933"/>
      <c r="FY964" s="1933"/>
      <c r="FZ964" s="1933"/>
      <c r="GA964" s="1933"/>
      <c r="GB964" s="1933"/>
      <c r="GC964" s="1933"/>
      <c r="GD964" s="1933"/>
      <c r="GE964" s="1933"/>
      <c r="GF964" s="1933"/>
      <c r="GG964" s="1933"/>
      <c r="GH964" s="1933"/>
      <c r="GI964" s="1933"/>
      <c r="GJ964" s="1933"/>
      <c r="GK964" s="1933"/>
      <c r="GL964" s="1933"/>
      <c r="GM964" s="1933"/>
      <c r="GN964" s="1933"/>
      <c r="GO964" s="1933"/>
      <c r="GP964" s="1933"/>
      <c r="GQ964" s="1933"/>
      <c r="GR964" s="1933"/>
      <c r="GS964" s="1933"/>
      <c r="GT964" s="1933"/>
      <c r="GU964" s="1933"/>
      <c r="GV964" s="1933"/>
      <c r="GW964" s="1933"/>
      <c r="GX964" s="1933"/>
      <c r="GY964" s="1933"/>
      <c r="GZ964" s="1933"/>
      <c r="HA964" s="1933"/>
      <c r="HB964" s="1933"/>
      <c r="HC964" s="1933"/>
      <c r="HD964" s="1933"/>
      <c r="HE964" s="1933"/>
      <c r="HF964" s="1933"/>
      <c r="HG964" s="1933"/>
      <c r="HH964" s="1933"/>
      <c r="HI964" s="1933"/>
      <c r="HJ964" s="1933"/>
      <c r="HK964" s="1933"/>
      <c r="HL964" s="1933"/>
      <c r="HM964" s="1933"/>
      <c r="HP964" s="1935">
        <v>2590</v>
      </c>
      <c r="HQ964" s="1935">
        <v>2749</v>
      </c>
      <c r="HR964" s="1935">
        <f>HP964+HQ964</f>
        <v>5339</v>
      </c>
      <c r="HS964" s="1935">
        <v>2873</v>
      </c>
      <c r="HT964" s="1935">
        <v>2965</v>
      </c>
      <c r="HU964" s="1935">
        <f>HS964+HT964</f>
        <v>5838</v>
      </c>
      <c r="HV964" s="1935">
        <v>3185</v>
      </c>
      <c r="HW964" s="1935">
        <v>3372</v>
      </c>
      <c r="HX964" s="1935">
        <f>HV964+HW964</f>
        <v>6557</v>
      </c>
      <c r="HY964" s="1935">
        <v>3474</v>
      </c>
      <c r="HZ964" s="1935">
        <v>3763</v>
      </c>
      <c r="IA964" s="1935">
        <f>HY964+HZ964</f>
        <v>7237</v>
      </c>
      <c r="IB964" s="1935">
        <v>3932</v>
      </c>
      <c r="IC964" s="1935">
        <v>4081</v>
      </c>
      <c r="ID964" s="1935">
        <f>IB964+IC964</f>
        <v>8013</v>
      </c>
      <c r="IE964" s="1935">
        <v>4218</v>
      </c>
      <c r="IF964" s="1935">
        <v>4499</v>
      </c>
      <c r="IG964" s="1935">
        <f>IE964+IF964</f>
        <v>8717</v>
      </c>
      <c r="IH964" s="1935">
        <v>4808</v>
      </c>
      <c r="II964" s="1935">
        <v>4578</v>
      </c>
      <c r="IJ964" s="1935">
        <f>IH964+II964</f>
        <v>9386</v>
      </c>
      <c r="IK964" s="1935">
        <v>5019</v>
      </c>
      <c r="IL964" s="1935">
        <v>5251</v>
      </c>
      <c r="IM964" s="1935">
        <f>IK964+IL964</f>
        <v>10270</v>
      </c>
      <c r="IN964" s="1935">
        <v>5682</v>
      </c>
      <c r="IO964" s="1935">
        <v>6306</v>
      </c>
      <c r="IP964" s="1935">
        <f>IN964+IO964</f>
        <v>11988</v>
      </c>
      <c r="IQ964" s="1935">
        <v>7414</v>
      </c>
      <c r="IR964" s="1935">
        <v>7879</v>
      </c>
      <c r="IS964" s="1935">
        <f>IQ964+IR964</f>
        <v>15293</v>
      </c>
      <c r="IT964" s="1935">
        <f>+IV964/2</f>
        <v>8873.5</v>
      </c>
      <c r="IU964" s="1935">
        <f>+IV964/2</f>
        <v>8873.5</v>
      </c>
      <c r="IV964" s="579">
        <f>+FISC!AI208</f>
        <v>17747</v>
      </c>
      <c r="IW964" s="579">
        <f>+IY964/2</f>
        <v>10016.844911539723</v>
      </c>
      <c r="IX964" s="579">
        <f>+IY964/2</f>
        <v>10016.844911539723</v>
      </c>
      <c r="IY964" s="579">
        <f>+FISC!AJ208</f>
        <v>20033.689823079447</v>
      </c>
      <c r="IZ964" s="579">
        <f>+JB964/2</f>
        <v>11326.738119159327</v>
      </c>
      <c r="JA964" s="579">
        <f>+JB964/2</f>
        <v>11326.738119159327</v>
      </c>
      <c r="JB964" s="579">
        <f>+FISC!AK208</f>
        <v>22653.476238318653</v>
      </c>
      <c r="JC964" s="579">
        <f>+JE964/2</f>
        <v>12781.239907852294</v>
      </c>
      <c r="JD964" s="579">
        <f>+JE964/2</f>
        <v>12781.239907852294</v>
      </c>
      <c r="JE964" s="579">
        <f>+FISC!AL208</f>
        <v>25562.479815704588</v>
      </c>
      <c r="JF964" s="579">
        <f>+JH964/2</f>
        <v>14387.536018309578</v>
      </c>
      <c r="JG964" s="579">
        <f>+JH964/2</f>
        <v>14387.536018309578</v>
      </c>
      <c r="JH964" s="579">
        <f>+FISC!AM208</f>
        <v>28775.072036619156</v>
      </c>
      <c r="JI964" s="579">
        <f>+JK964/2</f>
        <v>16166.704197489691</v>
      </c>
      <c r="JJ964" s="579">
        <f>+JK964/2</f>
        <v>16166.704197489691</v>
      </c>
      <c r="JK964" s="579">
        <f>+FISC!AN208</f>
        <v>32333.408394979382</v>
      </c>
      <c r="JL964" s="579">
        <f>+JN964/2</f>
        <v>18163.761804602887</v>
      </c>
      <c r="JM964" s="579">
        <f>+JN964/2</f>
        <v>18163.761804602887</v>
      </c>
      <c r="JN964" s="579">
        <f>+FISC!AO208</f>
        <v>36327.523609205775</v>
      </c>
    </row>
    <row r="965" spans="1:302" s="1935" customFormat="1">
      <c r="A965" s="1938"/>
      <c r="B965" s="1938"/>
      <c r="C965" s="1938"/>
      <c r="D965" s="1938" t="s">
        <v>3485</v>
      </c>
      <c r="DB965" s="1939"/>
      <c r="DN965" s="1940"/>
      <c r="DZ965" s="1940"/>
      <c r="EA965" s="1933"/>
      <c r="EB965" s="1933"/>
      <c r="EC965" s="1933"/>
      <c r="ED965" s="1933"/>
      <c r="EE965" s="1933"/>
      <c r="EF965" s="1933"/>
      <c r="EG965" s="1933"/>
      <c r="EH965" s="1933"/>
      <c r="EI965" s="1933"/>
      <c r="EJ965" s="1933"/>
      <c r="EK965" s="1933"/>
      <c r="EL965" s="1941"/>
      <c r="EM965" s="1933"/>
      <c r="EN965" s="1933"/>
      <c r="EO965" s="1933"/>
      <c r="EP965" s="1933"/>
      <c r="EQ965" s="1933"/>
      <c r="ER965" s="1933"/>
      <c r="ES965" s="1933"/>
      <c r="ET965" s="1933"/>
      <c r="EU965" s="1933"/>
      <c r="EV965" s="1933"/>
      <c r="EW965" s="1933"/>
      <c r="EX965" s="1941"/>
      <c r="EY965" s="1933"/>
      <c r="EZ965" s="1933"/>
      <c r="FA965" s="1933"/>
      <c r="FB965" s="1933"/>
      <c r="FC965" s="1933"/>
      <c r="FD965" s="1933"/>
      <c r="FE965" s="1933"/>
      <c r="FF965" s="1933"/>
      <c r="FG965" s="1933"/>
      <c r="FH965" s="1933"/>
      <c r="FI965" s="1933"/>
      <c r="FJ965" s="1941"/>
      <c r="FK965" s="1933"/>
      <c r="FL965" s="1933"/>
      <c r="FM965" s="1933"/>
      <c r="FN965" s="1933"/>
      <c r="FO965" s="1933"/>
      <c r="FP965" s="1933"/>
      <c r="FQ965" s="1933"/>
      <c r="FR965" s="1933"/>
      <c r="FS965" s="1933"/>
      <c r="FT965" s="1933"/>
      <c r="FU965" s="1933"/>
      <c r="FV965" s="1933"/>
      <c r="FW965" s="1933"/>
      <c r="FX965" s="1933"/>
      <c r="FY965" s="1933"/>
      <c r="FZ965" s="1933"/>
      <c r="GA965" s="1933"/>
      <c r="GB965" s="1933"/>
      <c r="GC965" s="1933"/>
      <c r="GD965" s="1933"/>
      <c r="GE965" s="1933"/>
      <c r="GF965" s="1933"/>
      <c r="GG965" s="1933"/>
      <c r="GH965" s="1933"/>
      <c r="GI965" s="1933"/>
      <c r="GJ965" s="1933"/>
      <c r="GK965" s="1933"/>
      <c r="GL965" s="1933"/>
      <c r="GM965" s="1933"/>
      <c r="GN965" s="1933"/>
      <c r="GO965" s="1933"/>
      <c r="GP965" s="1933"/>
      <c r="GQ965" s="1933"/>
      <c r="GR965" s="1933"/>
      <c r="GS965" s="1933"/>
      <c r="GT965" s="1933"/>
      <c r="GU965" s="1933"/>
      <c r="GV965" s="1933"/>
      <c r="GW965" s="1933"/>
      <c r="GX965" s="1933"/>
      <c r="GY965" s="1933"/>
      <c r="GZ965" s="1933"/>
      <c r="HA965" s="1933"/>
      <c r="HB965" s="1933"/>
      <c r="HC965" s="1933"/>
      <c r="HD965" s="1933"/>
      <c r="HE965" s="1933"/>
      <c r="HF965" s="1933"/>
      <c r="HG965" s="1933"/>
      <c r="HH965" s="1933"/>
      <c r="HI965" s="1933"/>
      <c r="HJ965" s="1933"/>
      <c r="HK965" s="1933"/>
      <c r="HL965" s="1933"/>
      <c r="HM965" s="1933"/>
      <c r="HP965" s="1946">
        <f>HP956/HP$964</f>
        <v>0.15790008698805841</v>
      </c>
      <c r="HQ965" s="1946">
        <f t="shared" ref="HQ965:JH965" si="1573">HQ956/HQ$964</f>
        <v>0.1657012027146603</v>
      </c>
      <c r="HR965" s="1946">
        <f t="shared" si="1573"/>
        <v>0.16191680681057732</v>
      </c>
      <c r="HS965" s="1946">
        <f t="shared" si="1573"/>
        <v>0.15614195384874477</v>
      </c>
      <c r="HT965" s="1946">
        <f t="shared" si="1573"/>
        <v>0.18690841827067492</v>
      </c>
      <c r="HU965" s="1946">
        <f t="shared" si="1573"/>
        <v>0.1717676076704342</v>
      </c>
      <c r="HV965" s="1946">
        <f t="shared" si="1573"/>
        <v>0.16995499068807632</v>
      </c>
      <c r="HW965" s="1946">
        <f t="shared" si="1573"/>
        <v>0.1858412966521053</v>
      </c>
      <c r="HX965" s="1946">
        <f t="shared" si="1573"/>
        <v>0.17812467556083914</v>
      </c>
      <c r="HY965" s="1946">
        <f t="shared" si="1573"/>
        <v>0.1725340246358868</v>
      </c>
      <c r="HZ965" s="1946">
        <f t="shared" si="1573"/>
        <v>0.18235361253265123</v>
      </c>
      <c r="IA965" s="1946">
        <f t="shared" si="1573"/>
        <v>0.17763988469606706</v>
      </c>
      <c r="IB965" s="1946">
        <f t="shared" si="1573"/>
        <v>0.175723507906348</v>
      </c>
      <c r="IC965" s="1946">
        <f t="shared" si="1573"/>
        <v>0.18881620260587501</v>
      </c>
      <c r="ID965" s="1946">
        <f t="shared" si="1573"/>
        <v>0.18239158316764462</v>
      </c>
      <c r="IE965" s="1946">
        <f t="shared" si="1573"/>
        <v>0.19105603872073054</v>
      </c>
      <c r="IF965" s="1946">
        <f t="shared" si="1573"/>
        <v>0.19213223877694691</v>
      </c>
      <c r="IG965" s="1946">
        <f t="shared" si="1573"/>
        <v>0.1916114848665281</v>
      </c>
      <c r="IH965" s="1946">
        <f t="shared" si="1573"/>
        <v>0.1887004118656494</v>
      </c>
      <c r="II965" s="1946">
        <f t="shared" si="1573"/>
        <v>0.18526248994001368</v>
      </c>
      <c r="IJ965" s="1946">
        <f t="shared" si="1573"/>
        <v>0.18702357332148148</v>
      </c>
      <c r="IK965" s="1946">
        <f t="shared" si="1573"/>
        <v>0.19358425912155708</v>
      </c>
      <c r="IL965" s="1946">
        <f t="shared" si="1573"/>
        <v>0.19720122505349658</v>
      </c>
      <c r="IM965" s="1946">
        <f t="shared" si="1573"/>
        <v>0.19543359584099371</v>
      </c>
      <c r="IN965" s="1946">
        <f t="shared" si="1573"/>
        <v>0.18499879331353064</v>
      </c>
      <c r="IO965" s="1946">
        <f t="shared" si="1573"/>
        <v>0.19455050781832242</v>
      </c>
      <c r="IP965" s="1946">
        <f t="shared" si="1573"/>
        <v>0.1900232437362214</v>
      </c>
      <c r="IQ965" s="1946">
        <f t="shared" si="1573"/>
        <v>0.16957248940038488</v>
      </c>
      <c r="IR965" s="1946">
        <f t="shared" si="1573"/>
        <v>0.18162831594071996</v>
      </c>
      <c r="IS965" s="1946">
        <f t="shared" si="1573"/>
        <v>0.17578368781216153</v>
      </c>
      <c r="IT965" s="1946">
        <f t="shared" si="1573"/>
        <v>0.16557077646163515</v>
      </c>
      <c r="IU965" s="1946">
        <f t="shared" si="1573"/>
        <v>0.17852534706790915</v>
      </c>
      <c r="IV965" s="1946">
        <f t="shared" si="1573"/>
        <v>0.17204806176477216</v>
      </c>
      <c r="IW965" s="1946">
        <f t="shared" si="1573"/>
        <v>0.17800788610641649</v>
      </c>
      <c r="IX965" s="1946">
        <f t="shared" si="1573"/>
        <v>0.18731151193129716</v>
      </c>
      <c r="IY965" s="1946">
        <f t="shared" si="1573"/>
        <v>0.18265969901885684</v>
      </c>
      <c r="IZ965" s="1946">
        <f t="shared" si="1573"/>
        <v>0.18202180406841192</v>
      </c>
      <c r="JA965" s="1946">
        <f t="shared" si="1573"/>
        <v>0.19342862639163508</v>
      </c>
      <c r="JB965" s="1946">
        <f t="shared" si="1573"/>
        <v>0.1877252152300235</v>
      </c>
      <c r="JC965" s="1946">
        <f t="shared" si="1573"/>
        <v>0.19131015743891358</v>
      </c>
      <c r="JD965" s="1946">
        <f t="shared" si="1573"/>
        <v>0.20347286117005281</v>
      </c>
      <c r="JE965" s="1946">
        <f t="shared" si="1573"/>
        <v>0.19739150930448318</v>
      </c>
      <c r="JF965" s="1946">
        <f t="shared" si="1573"/>
        <v>0.19639922020301412</v>
      </c>
      <c r="JG965" s="1946">
        <f t="shared" si="1573"/>
        <v>0.20882982480919066</v>
      </c>
      <c r="JH965" s="1946">
        <f t="shared" si="1573"/>
        <v>0.20261452250610237</v>
      </c>
      <c r="JI965" s="1946">
        <f t="shared" ref="JI965:JN965" si="1574">JI956/JI$964</f>
        <v>0.19848358609826458</v>
      </c>
      <c r="JJ965" s="1946">
        <f t="shared" si="1574"/>
        <v>0.21105666189556113</v>
      </c>
      <c r="JK965" s="1946">
        <f t="shared" si="1574"/>
        <v>0.20477012399691286</v>
      </c>
      <c r="JL965" s="1946">
        <f t="shared" si="1574"/>
        <v>0.20026130698200914</v>
      </c>
      <c r="JM965" s="1946">
        <f t="shared" si="1574"/>
        <v>0.21296624659299274</v>
      </c>
      <c r="JN965" s="1946">
        <f t="shared" si="1574"/>
        <v>0.20661377678750092</v>
      </c>
    </row>
    <row r="966" spans="1:302" s="1935" customFormat="1">
      <c r="A966" s="1938"/>
      <c r="B966" s="1938"/>
      <c r="C966" s="1938"/>
      <c r="D966" s="1938" t="s">
        <v>3486</v>
      </c>
      <c r="DB966" s="1939"/>
      <c r="DN966" s="1940"/>
      <c r="DZ966" s="1940"/>
      <c r="EA966" s="1933"/>
      <c r="EB966" s="1933"/>
      <c r="EC966" s="1933"/>
      <c r="ED966" s="1933"/>
      <c r="EE966" s="1933"/>
      <c r="EF966" s="1933"/>
      <c r="EG966" s="1933"/>
      <c r="EH966" s="1933"/>
      <c r="EI966" s="1933"/>
      <c r="EJ966" s="1933"/>
      <c r="EK966" s="1933"/>
      <c r="EL966" s="1941"/>
      <c r="EM966" s="1933"/>
      <c r="EN966" s="1933"/>
      <c r="EO966" s="1933"/>
      <c r="EP966" s="1933"/>
      <c r="EQ966" s="1933"/>
      <c r="ER966" s="1933"/>
      <c r="ES966" s="1933"/>
      <c r="ET966" s="1933"/>
      <c r="EU966" s="1933"/>
      <c r="EV966" s="1933"/>
      <c r="EW966" s="1933"/>
      <c r="EX966" s="1941"/>
      <c r="EY966" s="1933"/>
      <c r="EZ966" s="1933"/>
      <c r="FA966" s="1933"/>
      <c r="FB966" s="1933"/>
      <c r="FC966" s="1933"/>
      <c r="FD966" s="1933"/>
      <c r="FE966" s="1933"/>
      <c r="FF966" s="1933"/>
      <c r="FG966" s="1933"/>
      <c r="FH966" s="1933"/>
      <c r="FI966" s="1933"/>
      <c r="FJ966" s="1941"/>
      <c r="FK966" s="1933"/>
      <c r="FL966" s="1933"/>
      <c r="FM966" s="1933"/>
      <c r="FN966" s="1933"/>
      <c r="FO966" s="1933"/>
      <c r="FP966" s="1933"/>
      <c r="FQ966" s="1933"/>
      <c r="FR966" s="1933"/>
      <c r="FS966" s="1933"/>
      <c r="FT966" s="1933"/>
      <c r="FU966" s="1933"/>
      <c r="FV966" s="1933"/>
      <c r="FW966" s="1933"/>
      <c r="FX966" s="1933"/>
      <c r="FY966" s="1933"/>
      <c r="FZ966" s="1933"/>
      <c r="GA966" s="1933"/>
      <c r="GB966" s="1933"/>
      <c r="GC966" s="1933"/>
      <c r="GD966" s="1933"/>
      <c r="GE966" s="1933"/>
      <c r="GF966" s="1933"/>
      <c r="GG966" s="1933"/>
      <c r="GH966" s="1933"/>
      <c r="GI966" s="1933"/>
      <c r="GJ966" s="1933"/>
      <c r="GK966" s="1933"/>
      <c r="GL966" s="1933"/>
      <c r="GM966" s="1933"/>
      <c r="GN966" s="1933"/>
      <c r="GO966" s="1933"/>
      <c r="GP966" s="1933"/>
      <c r="GQ966" s="1933"/>
      <c r="GR966" s="1933"/>
      <c r="GS966" s="1933"/>
      <c r="GT966" s="1933"/>
      <c r="GU966" s="1933"/>
      <c r="GV966" s="1933"/>
      <c r="GW966" s="1933"/>
      <c r="GX966" s="1933"/>
      <c r="GY966" s="1933"/>
      <c r="GZ966" s="1933"/>
      <c r="HA966" s="1933"/>
      <c r="HB966" s="1933"/>
      <c r="HC966" s="1933"/>
      <c r="HD966" s="1933"/>
      <c r="HE966" s="1933"/>
      <c r="HF966" s="1933"/>
      <c r="HG966" s="1933"/>
      <c r="HH966" s="1933"/>
      <c r="HI966" s="1933"/>
      <c r="HJ966" s="1933"/>
      <c r="HK966" s="1933"/>
      <c r="HL966" s="1933"/>
      <c r="HM966" s="1933"/>
      <c r="HP966" s="1946">
        <f t="shared" ref="HP966:JH966" si="1575">HP957/HP$964</f>
        <v>0.25010853330717608</v>
      </c>
      <c r="HQ966" s="1946">
        <f t="shared" si="1575"/>
        <v>0.27981091687369697</v>
      </c>
      <c r="HR966" s="1946">
        <f t="shared" si="1575"/>
        <v>0.26540200632166683</v>
      </c>
      <c r="HS966" s="1946">
        <f t="shared" si="1575"/>
        <v>0.24361701413347031</v>
      </c>
      <c r="HT966" s="1946">
        <f t="shared" si="1575"/>
        <v>0.26451583032444453</v>
      </c>
      <c r="HU966" s="1946">
        <f t="shared" si="1575"/>
        <v>0.25423109258606341</v>
      </c>
      <c r="HV966" s="1946">
        <f t="shared" si="1575"/>
        <v>0.24308665711398716</v>
      </c>
      <c r="HW966" s="1946">
        <f t="shared" si="1575"/>
        <v>0.24446623266241208</v>
      </c>
      <c r="HX966" s="1946">
        <f t="shared" si="1575"/>
        <v>0.24379611704219956</v>
      </c>
      <c r="HY966" s="1946">
        <f t="shared" si="1575"/>
        <v>0.25378902611047183</v>
      </c>
      <c r="HZ966" s="1946">
        <f t="shared" si="1575"/>
        <v>0.23028581068069859</v>
      </c>
      <c r="IA966" s="1946">
        <f t="shared" si="1575"/>
        <v>0.24156813352207376</v>
      </c>
      <c r="IB966" s="1946">
        <f t="shared" si="1575"/>
        <v>0.23316284047512462</v>
      </c>
      <c r="IC966" s="1946">
        <f t="shared" si="1575"/>
        <v>0.24126688335035776</v>
      </c>
      <c r="ID966" s="1946">
        <f t="shared" si="1575"/>
        <v>0.23729020837401724</v>
      </c>
      <c r="IE966" s="1946">
        <f t="shared" si="1575"/>
        <v>0.23435779013574529</v>
      </c>
      <c r="IF966" s="1946">
        <f t="shared" si="1575"/>
        <v>0.28732641733288644</v>
      </c>
      <c r="IG966" s="1946">
        <f t="shared" si="1575"/>
        <v>0.26169584838513593</v>
      </c>
      <c r="IH966" s="1946">
        <f t="shared" si="1575"/>
        <v>0.25797195204857476</v>
      </c>
      <c r="II966" s="1946">
        <f t="shared" si="1575"/>
        <v>0.27876037902398842</v>
      </c>
      <c r="IJ966" s="1946">
        <f t="shared" si="1575"/>
        <v>0.26811145968691313</v>
      </c>
      <c r="IK966" s="1946">
        <f t="shared" si="1575"/>
        <v>0.28799240241698459</v>
      </c>
      <c r="IL966" s="1946">
        <f t="shared" si="1575"/>
        <v>0.26395199056112428</v>
      </c>
      <c r="IM966" s="1946">
        <f t="shared" si="1575"/>
        <v>0.27570065921784898</v>
      </c>
      <c r="IN966" s="1946">
        <f t="shared" si="1575"/>
        <v>0.27753284495082398</v>
      </c>
      <c r="IO966" s="1946">
        <f t="shared" si="1575"/>
        <v>0.28940104091388846</v>
      </c>
      <c r="IP966" s="1946">
        <f t="shared" si="1575"/>
        <v>0.28377582490937286</v>
      </c>
      <c r="IQ966" s="1946">
        <f t="shared" si="1575"/>
        <v>0.23014236182991465</v>
      </c>
      <c r="IR966" s="1946">
        <f t="shared" si="1575"/>
        <v>0.25642373092229626</v>
      </c>
      <c r="IS966" s="1946">
        <f t="shared" si="1575"/>
        <v>0.24368260292576732</v>
      </c>
      <c r="IT966" s="1946">
        <f t="shared" si="1575"/>
        <v>0.20612380657725643</v>
      </c>
      <c r="IU966" s="1946">
        <f t="shared" si="1575"/>
        <v>0.26199595622083777</v>
      </c>
      <c r="IV966" s="1946">
        <f t="shared" si="1575"/>
        <v>0.23405988139904707</v>
      </c>
      <c r="IW966" s="1946">
        <f t="shared" si="1575"/>
        <v>0.21986092429557327</v>
      </c>
      <c r="IX966" s="1946">
        <f t="shared" si="1575"/>
        <v>0.21250291094941642</v>
      </c>
      <c r="IY966" s="1946">
        <f t="shared" si="1575"/>
        <v>0.21618191762249483</v>
      </c>
      <c r="IZ966" s="1946">
        <f t="shared" si="1575"/>
        <v>0.22207929529235795</v>
      </c>
      <c r="JA966" s="1946">
        <f t="shared" si="1575"/>
        <v>0.18220563884602761</v>
      </c>
      <c r="JB966" s="1946">
        <f t="shared" si="1575"/>
        <v>0.20214246706919278</v>
      </c>
      <c r="JC966" s="1946">
        <f t="shared" si="1575"/>
        <v>0.23085905359127892</v>
      </c>
      <c r="JD966" s="1946">
        <f t="shared" si="1575"/>
        <v>0.19146428712535027</v>
      </c>
      <c r="JE966" s="1946">
        <f t="shared" si="1575"/>
        <v>0.2111616703583146</v>
      </c>
      <c r="JF966" s="1946">
        <f t="shared" si="1575"/>
        <v>0.23621529235871777</v>
      </c>
      <c r="JG966" s="1946">
        <f t="shared" si="1575"/>
        <v>0.19852089824017286</v>
      </c>
      <c r="JH966" s="1946">
        <f t="shared" si="1575"/>
        <v>0.21736809529944531</v>
      </c>
      <c r="JI966" s="1946">
        <f t="shared" ref="JI966:JN966" si="1576">JI957/JI$964</f>
        <v>0.23506097241416302</v>
      </c>
      <c r="JJ966" s="1946">
        <f t="shared" si="1576"/>
        <v>0.20371114617807645</v>
      </c>
      <c r="JK966" s="1946">
        <f t="shared" si="1576"/>
        <v>0.21938605929611971</v>
      </c>
      <c r="JL966" s="1946">
        <f t="shared" si="1576"/>
        <v>0.23017987063911832</v>
      </c>
      <c r="JM966" s="1946">
        <f t="shared" si="1576"/>
        <v>0.20287448638178138</v>
      </c>
      <c r="JN966" s="1946">
        <f t="shared" si="1576"/>
        <v>0.21652717851044984</v>
      </c>
    </row>
    <row r="967" spans="1:302" s="1935" customFormat="1">
      <c r="A967" s="1938"/>
      <c r="B967" s="1938"/>
      <c r="C967" s="1938"/>
      <c r="D967" s="1938" t="s">
        <v>3487</v>
      </c>
      <c r="DB967" s="1939"/>
      <c r="DN967" s="1940"/>
      <c r="DZ967" s="1940"/>
      <c r="EA967" s="1933"/>
      <c r="EB967" s="1933"/>
      <c r="EC967" s="1933"/>
      <c r="ED967" s="1933"/>
      <c r="EE967" s="1933"/>
      <c r="EF967" s="1933"/>
      <c r="EG967" s="1933"/>
      <c r="EH967" s="1933"/>
      <c r="EI967" s="1933"/>
      <c r="EJ967" s="1933"/>
      <c r="EK967" s="1933"/>
      <c r="EL967" s="1941"/>
      <c r="EM967" s="1933"/>
      <c r="EN967" s="1933"/>
      <c r="EO967" s="1933"/>
      <c r="EP967" s="1933"/>
      <c r="EQ967" s="1933"/>
      <c r="ER967" s="1933"/>
      <c r="ES967" s="1933"/>
      <c r="ET967" s="1933"/>
      <c r="EU967" s="1933"/>
      <c r="EV967" s="1933"/>
      <c r="EW967" s="1933"/>
      <c r="EX967" s="1941"/>
      <c r="EY967" s="1933"/>
      <c r="EZ967" s="1933"/>
      <c r="FA967" s="1933"/>
      <c r="FB967" s="1933"/>
      <c r="FC967" s="1933"/>
      <c r="FD967" s="1933"/>
      <c r="FE967" s="1933"/>
      <c r="FF967" s="1933"/>
      <c r="FG967" s="1933"/>
      <c r="FH967" s="1933"/>
      <c r="FI967" s="1933"/>
      <c r="FJ967" s="1941"/>
      <c r="FK967" s="1933"/>
      <c r="FL967" s="1933"/>
      <c r="FM967" s="1933"/>
      <c r="FN967" s="1933"/>
      <c r="FO967" s="1933"/>
      <c r="FP967" s="1933"/>
      <c r="FQ967" s="1933"/>
      <c r="FR967" s="1933"/>
      <c r="FS967" s="1933"/>
      <c r="FT967" s="1933"/>
      <c r="FU967" s="1933"/>
      <c r="FV967" s="1933"/>
      <c r="FW967" s="1933"/>
      <c r="FX967" s="1933"/>
      <c r="FY967" s="1933"/>
      <c r="FZ967" s="1933"/>
      <c r="GA967" s="1933"/>
      <c r="GB967" s="1933"/>
      <c r="GC967" s="1933"/>
      <c r="GD967" s="1933"/>
      <c r="GE967" s="1933"/>
      <c r="GF967" s="1933"/>
      <c r="GG967" s="1933"/>
      <c r="GH967" s="1933"/>
      <c r="GI967" s="1933"/>
      <c r="GJ967" s="1933"/>
      <c r="GK967" s="1933"/>
      <c r="GL967" s="1933"/>
      <c r="GM967" s="1933"/>
      <c r="GN967" s="1933"/>
      <c r="GO967" s="1933"/>
      <c r="GP967" s="1933"/>
      <c r="GQ967" s="1933"/>
      <c r="GR967" s="1933"/>
      <c r="GS967" s="1933"/>
      <c r="GT967" s="1933"/>
      <c r="GU967" s="1933"/>
      <c r="GV967" s="1933"/>
      <c r="GW967" s="1933"/>
      <c r="GX967" s="1933"/>
      <c r="GY967" s="1933"/>
      <c r="GZ967" s="1933"/>
      <c r="HA967" s="1933"/>
      <c r="HB967" s="1933"/>
      <c r="HC967" s="1933"/>
      <c r="HD967" s="1933"/>
      <c r="HE967" s="1933"/>
      <c r="HF967" s="1933"/>
      <c r="HG967" s="1933"/>
      <c r="HH967" s="1933"/>
      <c r="HI967" s="1933"/>
      <c r="HJ967" s="1933"/>
      <c r="HK967" s="1933"/>
      <c r="HL967" s="1933"/>
      <c r="HM967" s="1933"/>
      <c r="HP967" s="1946">
        <f t="shared" ref="HP967:JH967" si="1577">HP958/HP$964</f>
        <v>2.2610730254800013E-2</v>
      </c>
      <c r="HQ967" s="1946">
        <f t="shared" si="1577"/>
        <v>3.52558481431905E-2</v>
      </c>
      <c r="HR967" s="1946">
        <f t="shared" si="1577"/>
        <v>2.912158042808817E-2</v>
      </c>
      <c r="HS967" s="1946">
        <f t="shared" si="1577"/>
        <v>2.942318193936554E-2</v>
      </c>
      <c r="HT967" s="1946">
        <f t="shared" si="1577"/>
        <v>3.9887131259793179E-2</v>
      </c>
      <c r="HU967" s="1946">
        <f t="shared" si="1577"/>
        <v>3.4737606354416577E-2</v>
      </c>
      <c r="HV967" s="1946">
        <f t="shared" si="1577"/>
        <v>3.3835715604350329E-2</v>
      </c>
      <c r="HW967" s="1946">
        <f t="shared" si="1577"/>
        <v>3.2148442713416547E-2</v>
      </c>
      <c r="HX967" s="1946">
        <f t="shared" si="1577"/>
        <v>3.2968019373112153E-2</v>
      </c>
      <c r="HY967" s="1946">
        <f t="shared" si="1577"/>
        <v>2.5635236871920909E-2</v>
      </c>
      <c r="HZ967" s="1946">
        <f t="shared" si="1577"/>
        <v>3.1750162406096842E-2</v>
      </c>
      <c r="IA967" s="1946">
        <f t="shared" si="1577"/>
        <v>2.8814795360950069E-2</v>
      </c>
      <c r="IB967" s="1946">
        <f t="shared" si="1577"/>
        <v>3.4919060042230637E-2</v>
      </c>
      <c r="IC967" s="1946">
        <f t="shared" si="1577"/>
        <v>3.3323426401127128E-2</v>
      </c>
      <c r="ID967" s="1946">
        <f t="shared" si="1577"/>
        <v>3.4106407990646535E-2</v>
      </c>
      <c r="IE967" s="1946">
        <f t="shared" si="1577"/>
        <v>3.7478100125834614E-2</v>
      </c>
      <c r="IF967" s="1946">
        <f t="shared" si="1577"/>
        <v>3.8280724502420149E-2</v>
      </c>
      <c r="IG967" s="1946">
        <f t="shared" si="1577"/>
        <v>3.7892348958031279E-2</v>
      </c>
      <c r="IH967" s="1946">
        <f t="shared" si="1577"/>
        <v>5.5540886354469181E-2</v>
      </c>
      <c r="II967" s="1946">
        <f t="shared" si="1577"/>
        <v>5.5557513414760069E-2</v>
      </c>
      <c r="IJ967" s="1946">
        <f t="shared" si="1577"/>
        <v>5.554899616503936E-2</v>
      </c>
      <c r="IK967" s="1946">
        <f t="shared" si="1577"/>
        <v>6.145136843013068E-2</v>
      </c>
      <c r="IL967" s="1946">
        <f t="shared" si="1577"/>
        <v>5.4699020421915684E-2</v>
      </c>
      <c r="IM967" s="1946">
        <f t="shared" si="1577"/>
        <v>5.799892642515142E-2</v>
      </c>
      <c r="IN967" s="1946">
        <f t="shared" si="1577"/>
        <v>6.5745914059750388E-2</v>
      </c>
      <c r="IO967" s="1946">
        <f t="shared" si="1577"/>
        <v>7.0177138658508359E-2</v>
      </c>
      <c r="IP967" s="1946">
        <f t="shared" si="1577"/>
        <v>6.8076853525863817E-2</v>
      </c>
      <c r="IQ967" s="1946">
        <f t="shared" si="1577"/>
        <v>5.5204761494589742E-2</v>
      </c>
      <c r="IR967" s="1946">
        <f t="shared" si="1577"/>
        <v>4.83091592302555E-2</v>
      </c>
      <c r="IS967" s="1946">
        <f t="shared" si="1577"/>
        <v>5.165212628627943E-2</v>
      </c>
      <c r="IT967" s="1946">
        <f t="shared" si="1577"/>
        <v>4.5479641824609486E-2</v>
      </c>
      <c r="IU967" s="1946">
        <f t="shared" si="1577"/>
        <v>5.4309461790422627E-2</v>
      </c>
      <c r="IV967" s="1946">
        <f t="shared" si="1577"/>
        <v>4.9894551807516049E-2</v>
      </c>
      <c r="IW967" s="1946">
        <f t="shared" si="1577"/>
        <v>5.2042489729813769E-2</v>
      </c>
      <c r="IX967" s="1946">
        <f t="shared" si="1577"/>
        <v>5.2584062329263312E-2</v>
      </c>
      <c r="IY967" s="1946">
        <f t="shared" si="1577"/>
        <v>5.2313276029538544E-2</v>
      </c>
      <c r="IZ967" s="1946">
        <f t="shared" si="1577"/>
        <v>0.12451984317227541</v>
      </c>
      <c r="JA967" s="1946">
        <f t="shared" si="1577"/>
        <v>4.5857654055867912E-2</v>
      </c>
      <c r="JB967" s="1946">
        <f t="shared" si="1577"/>
        <v>8.5188748614071663E-2</v>
      </c>
      <c r="JC967" s="1946">
        <f t="shared" si="1577"/>
        <v>7.4739109667772821E-2</v>
      </c>
      <c r="JD967" s="1946">
        <f t="shared" si="1577"/>
        <v>5.8352899484848814E-2</v>
      </c>
      <c r="JE967" s="1946">
        <f t="shared" si="1577"/>
        <v>6.6546004576310824E-2</v>
      </c>
      <c r="JF967" s="1946">
        <f t="shared" si="1577"/>
        <v>4.7993212971092845E-2</v>
      </c>
      <c r="JG967" s="1946">
        <f t="shared" si="1577"/>
        <v>4.5252519773348869E-2</v>
      </c>
      <c r="JH967" s="1946">
        <f t="shared" si="1577"/>
        <v>4.6622866372220864E-2</v>
      </c>
      <c r="JI967" s="1946">
        <f t="shared" ref="JI967:JN967" si="1578">JI958/JI$964</f>
        <v>4.1204502576226411E-2</v>
      </c>
      <c r="JJ967" s="1946">
        <f t="shared" si="1578"/>
        <v>4.3614820920078026E-2</v>
      </c>
      <c r="JK967" s="1946">
        <f t="shared" si="1578"/>
        <v>4.2409661748152208E-2</v>
      </c>
      <c r="JL967" s="1946">
        <f t="shared" si="1578"/>
        <v>3.8923052132281609E-2</v>
      </c>
      <c r="JM967" s="1946">
        <f t="shared" si="1578"/>
        <v>5.3553863939848227E-2</v>
      </c>
      <c r="JN967" s="1946">
        <f t="shared" si="1578"/>
        <v>4.6238458036064918E-2</v>
      </c>
    </row>
    <row r="968" spans="1:302" s="1935" customFormat="1">
      <c r="A968" s="1938"/>
      <c r="B968" s="1938"/>
      <c r="C968" s="1938"/>
      <c r="D968" s="1938" t="s">
        <v>3488</v>
      </c>
      <c r="DB968" s="1939"/>
      <c r="DN968" s="1940"/>
      <c r="DZ968" s="1940"/>
      <c r="EA968" s="1933"/>
      <c r="EB968" s="1933"/>
      <c r="EC968" s="1933"/>
      <c r="ED968" s="1933"/>
      <c r="EE968" s="1933"/>
      <c r="EF968" s="1933"/>
      <c r="EG968" s="1933"/>
      <c r="EH968" s="1933"/>
      <c r="EI968" s="1933"/>
      <c r="EJ968" s="1933"/>
      <c r="EK968" s="1933"/>
      <c r="EL968" s="1941"/>
      <c r="EM968" s="1933"/>
      <c r="EN968" s="1933"/>
      <c r="EO968" s="1933"/>
      <c r="EP968" s="1933"/>
      <c r="EQ968" s="1933"/>
      <c r="ER968" s="1933"/>
      <c r="ES968" s="1933"/>
      <c r="ET968" s="1933"/>
      <c r="EU968" s="1933"/>
      <c r="EV968" s="1933"/>
      <c r="EW968" s="1933"/>
      <c r="EX968" s="1941"/>
      <c r="EY968" s="1933"/>
      <c r="EZ968" s="1933"/>
      <c r="FA968" s="1933"/>
      <c r="FB968" s="1933"/>
      <c r="FC968" s="1933"/>
      <c r="FD968" s="1933"/>
      <c r="FE968" s="1933"/>
      <c r="FF968" s="1933"/>
      <c r="FG968" s="1933"/>
      <c r="FH968" s="1933"/>
      <c r="FI968" s="1933"/>
      <c r="FJ968" s="1941"/>
      <c r="FK968" s="1933"/>
      <c r="FL968" s="1933"/>
      <c r="FM968" s="1933"/>
      <c r="FN968" s="1933"/>
      <c r="FO968" s="1933"/>
      <c r="FP968" s="1933"/>
      <c r="FQ968" s="1933"/>
      <c r="FR968" s="1933"/>
      <c r="FS968" s="1933"/>
      <c r="FT968" s="1933"/>
      <c r="FU968" s="1933"/>
      <c r="FV968" s="1933"/>
      <c r="FW968" s="1933"/>
      <c r="FX968" s="1933"/>
      <c r="FY968" s="1933"/>
      <c r="FZ968" s="1933"/>
      <c r="GA968" s="1933"/>
      <c r="GB968" s="1933"/>
      <c r="GC968" s="1933"/>
      <c r="GD968" s="1933"/>
      <c r="GE968" s="1933"/>
      <c r="GF968" s="1933"/>
      <c r="GG968" s="1933"/>
      <c r="GH968" s="1933"/>
      <c r="GI968" s="1933"/>
      <c r="GJ968" s="1933"/>
      <c r="GK968" s="1933"/>
      <c r="GL968" s="1933"/>
      <c r="GM968" s="1933"/>
      <c r="GN968" s="1933"/>
      <c r="GO968" s="1933"/>
      <c r="GP968" s="1933"/>
      <c r="GQ968" s="1933"/>
      <c r="GR968" s="1933"/>
      <c r="GS968" s="1933"/>
      <c r="GT968" s="1933"/>
      <c r="GU968" s="1933"/>
      <c r="GV968" s="1933"/>
      <c r="GW968" s="1933"/>
      <c r="GX968" s="1933"/>
      <c r="GY968" s="1933"/>
      <c r="GZ968" s="1933"/>
      <c r="HA968" s="1933"/>
      <c r="HB968" s="1933"/>
      <c r="HC968" s="1933"/>
      <c r="HD968" s="1933"/>
      <c r="HE968" s="1933"/>
      <c r="HF968" s="1933"/>
      <c r="HG968" s="1933"/>
      <c r="HH968" s="1933"/>
      <c r="HI968" s="1933"/>
      <c r="HJ968" s="1933"/>
      <c r="HK968" s="1933"/>
      <c r="HL968" s="1933"/>
      <c r="HM968" s="1933"/>
      <c r="HP968" s="1946">
        <f t="shared" ref="HP968:JH968" si="1579">HP959/HP$964</f>
        <v>0.27271926356197607</v>
      </c>
      <c r="HQ968" s="1946">
        <f t="shared" si="1579"/>
        <v>0.31506676501688746</v>
      </c>
      <c r="HR968" s="1946">
        <f t="shared" si="1579"/>
        <v>0.29452358674975493</v>
      </c>
      <c r="HS968" s="1946">
        <f t="shared" si="1579"/>
        <v>0.27304019607283586</v>
      </c>
      <c r="HT968" s="1946">
        <f t="shared" si="1579"/>
        <v>0.30440296158423769</v>
      </c>
      <c r="HU968" s="1946">
        <f t="shared" si="1579"/>
        <v>0.28896869894048</v>
      </c>
      <c r="HV968" s="1946">
        <f t="shared" si="1579"/>
        <v>0.27692237271833747</v>
      </c>
      <c r="HW968" s="1946">
        <f t="shared" si="1579"/>
        <v>0.27661467537582857</v>
      </c>
      <c r="HX968" s="1946">
        <f t="shared" si="1579"/>
        <v>0.27676413641531172</v>
      </c>
      <c r="HY968" s="1946">
        <f t="shared" si="1579"/>
        <v>0.2794242629823927</v>
      </c>
      <c r="HZ968" s="1946">
        <f t="shared" si="1579"/>
        <v>0.26203597308679544</v>
      </c>
      <c r="IA968" s="1946">
        <f t="shared" si="1579"/>
        <v>0.27038292888302379</v>
      </c>
      <c r="IB968" s="1946">
        <f t="shared" si="1579"/>
        <v>0.2680819005173552</v>
      </c>
      <c r="IC968" s="1946">
        <f t="shared" si="1579"/>
        <v>0.27459030975148485</v>
      </c>
      <c r="ID968" s="1946">
        <f t="shared" si="1579"/>
        <v>0.27139661636466372</v>
      </c>
      <c r="IE968" s="1946">
        <f t="shared" si="1579"/>
        <v>0.27183589026157989</v>
      </c>
      <c r="IF968" s="1946">
        <f t="shared" si="1579"/>
        <v>0.32560714183530653</v>
      </c>
      <c r="IG968" s="1946">
        <f t="shared" si="1579"/>
        <v>0.29958819734316722</v>
      </c>
      <c r="IH968" s="1946">
        <f t="shared" si="1579"/>
        <v>0.31351283840304395</v>
      </c>
      <c r="II968" s="1946">
        <f t="shared" si="1579"/>
        <v>0.33431789243874849</v>
      </c>
      <c r="IJ968" s="1946">
        <f t="shared" si="1579"/>
        <v>0.32366045585195247</v>
      </c>
      <c r="IK968" s="1946">
        <f t="shared" si="1579"/>
        <v>0.34976664578933481</v>
      </c>
      <c r="IL968" s="1946">
        <f t="shared" si="1579"/>
        <v>0.32422429125974916</v>
      </c>
      <c r="IM968" s="1946">
        <f t="shared" si="1579"/>
        <v>0.33670696675965084</v>
      </c>
      <c r="IN968" s="1946">
        <f t="shared" si="1579"/>
        <v>0.34327875901057431</v>
      </c>
      <c r="IO968" s="1946">
        <f t="shared" si="1579"/>
        <v>0.35957817957239685</v>
      </c>
      <c r="IP968" s="1946">
        <f t="shared" si="1579"/>
        <v>0.35185267843523671</v>
      </c>
      <c r="IQ968" s="1946">
        <f t="shared" si="1579"/>
        <v>0.2853471233245044</v>
      </c>
      <c r="IR968" s="1946">
        <f t="shared" si="1579"/>
        <v>0.30473289015255178</v>
      </c>
      <c r="IS968" s="1946">
        <f t="shared" si="1579"/>
        <v>0.29533472921204673</v>
      </c>
      <c r="IT968" s="1946">
        <f t="shared" si="1579"/>
        <v>0.25160344840186588</v>
      </c>
      <c r="IU968" s="1946">
        <f t="shared" si="1579"/>
        <v>0.31630541801126044</v>
      </c>
      <c r="IV968" s="1946">
        <f t="shared" si="1579"/>
        <v>0.28395443320656316</v>
      </c>
      <c r="IW968" s="1946">
        <f t="shared" si="1579"/>
        <v>0.27190341402538709</v>
      </c>
      <c r="IX968" s="1946">
        <f t="shared" si="1579"/>
        <v>0.26508697327867969</v>
      </c>
      <c r="IY968" s="1946">
        <f t="shared" si="1579"/>
        <v>0.26849519365203339</v>
      </c>
      <c r="IZ968" s="1946">
        <f t="shared" si="1579"/>
        <v>0.34659913846463342</v>
      </c>
      <c r="JA968" s="1946">
        <f t="shared" si="1579"/>
        <v>0.22806329290189545</v>
      </c>
      <c r="JB968" s="1946">
        <f t="shared" si="1579"/>
        <v>0.28733121568326442</v>
      </c>
      <c r="JC968" s="1946">
        <f t="shared" si="1579"/>
        <v>0.30559536781284657</v>
      </c>
      <c r="JD968" s="1946">
        <f t="shared" si="1579"/>
        <v>0.24981998205640421</v>
      </c>
      <c r="JE968" s="1946">
        <f t="shared" si="1579"/>
        <v>0.27770767493462539</v>
      </c>
      <c r="JF968" s="1946">
        <f t="shared" si="1579"/>
        <v>0.28421030651543916</v>
      </c>
      <c r="JG968" s="1946">
        <f t="shared" si="1579"/>
        <v>0.24377161682789325</v>
      </c>
      <c r="JH968" s="1946">
        <f t="shared" si="1579"/>
        <v>0.26399096167166619</v>
      </c>
      <c r="JI968" s="1946">
        <f t="shared" ref="JI968:JN968" si="1580">JI959/JI$964</f>
        <v>0.27626482612211706</v>
      </c>
      <c r="JJ968" s="1946">
        <f t="shared" si="1580"/>
        <v>0.24732661596642683</v>
      </c>
      <c r="JK968" s="1946">
        <f t="shared" si="1580"/>
        <v>0.26179572104427185</v>
      </c>
      <c r="JL968" s="1946">
        <f t="shared" si="1580"/>
        <v>0.26910014883416927</v>
      </c>
      <c r="JM968" s="1946">
        <f t="shared" si="1580"/>
        <v>0.25643112425886033</v>
      </c>
      <c r="JN968" s="1946">
        <f t="shared" si="1580"/>
        <v>0.2627656365465148</v>
      </c>
    </row>
    <row r="969" spans="1:302" s="1935" customFormat="1">
      <c r="A969" s="1938"/>
      <c r="B969" s="1938"/>
      <c r="C969" s="1938"/>
      <c r="D969" s="1938" t="s">
        <v>3489</v>
      </c>
      <c r="DB969" s="1939"/>
      <c r="DN969" s="1940"/>
      <c r="DZ969" s="1940"/>
      <c r="EA969" s="1933"/>
      <c r="EB969" s="1933"/>
      <c r="EC969" s="1933"/>
      <c r="ED969" s="1933"/>
      <c r="EE969" s="1933"/>
      <c r="EF969" s="1933"/>
      <c r="EG969" s="1933"/>
      <c r="EH969" s="1933"/>
      <c r="EI969" s="1933"/>
      <c r="EJ969" s="1933"/>
      <c r="EK969" s="1933"/>
      <c r="EL969" s="1941"/>
      <c r="EM969" s="1933"/>
      <c r="EN969" s="1933"/>
      <c r="EO969" s="1933"/>
      <c r="EP969" s="1933"/>
      <c r="EQ969" s="1933"/>
      <c r="ER969" s="1933"/>
      <c r="ES969" s="1933"/>
      <c r="ET969" s="1933"/>
      <c r="EU969" s="1933"/>
      <c r="EV969" s="1933"/>
      <c r="EW969" s="1933"/>
      <c r="EX969" s="1941"/>
      <c r="EY969" s="1933"/>
      <c r="EZ969" s="1933"/>
      <c r="FA969" s="1933"/>
      <c r="FB969" s="1933"/>
      <c r="FC969" s="1933"/>
      <c r="FD969" s="1933"/>
      <c r="FE969" s="1933"/>
      <c r="FF969" s="1933"/>
      <c r="FG969" s="1933"/>
      <c r="FH969" s="1933"/>
      <c r="FI969" s="1933"/>
      <c r="FJ969" s="1941"/>
      <c r="FK969" s="1933"/>
      <c r="FL969" s="1933"/>
      <c r="FM969" s="1933"/>
      <c r="FN969" s="1933"/>
      <c r="FO969" s="1933"/>
      <c r="FP969" s="1933"/>
      <c r="FQ969" s="1933"/>
      <c r="FR969" s="1933"/>
      <c r="FS969" s="1933"/>
      <c r="FT969" s="1933"/>
      <c r="FU969" s="1933"/>
      <c r="FV969" s="1933"/>
      <c r="FW969" s="1933"/>
      <c r="FX969" s="1933"/>
      <c r="FY969" s="1933"/>
      <c r="FZ969" s="1933"/>
      <c r="GA969" s="1933"/>
      <c r="GB969" s="1933"/>
      <c r="GC969" s="1933"/>
      <c r="GD969" s="1933"/>
      <c r="GE969" s="1933"/>
      <c r="GF969" s="1933"/>
      <c r="GG969" s="1933"/>
      <c r="GH969" s="1933"/>
      <c r="GI969" s="1933"/>
      <c r="GJ969" s="1933"/>
      <c r="GK969" s="1933"/>
      <c r="GL969" s="1933"/>
      <c r="GM969" s="1933"/>
      <c r="GN969" s="1933"/>
      <c r="GO969" s="1933"/>
      <c r="GP969" s="1933"/>
      <c r="GQ969" s="1933"/>
      <c r="GR969" s="1933"/>
      <c r="GS969" s="1933"/>
      <c r="GT969" s="1933"/>
      <c r="GU969" s="1933"/>
      <c r="GV969" s="1933"/>
      <c r="GW969" s="1933"/>
      <c r="GX969" s="1933"/>
      <c r="GY969" s="1933"/>
      <c r="GZ969" s="1933"/>
      <c r="HA969" s="1933"/>
      <c r="HB969" s="1933"/>
      <c r="HC969" s="1933"/>
      <c r="HD969" s="1933"/>
      <c r="HE969" s="1933"/>
      <c r="HF969" s="1933"/>
      <c r="HG969" s="1933"/>
      <c r="HH969" s="1933"/>
      <c r="HI969" s="1933"/>
      <c r="HJ969" s="1933"/>
      <c r="HK969" s="1933"/>
      <c r="HL969" s="1933"/>
      <c r="HM969" s="1933"/>
      <c r="HP969" s="1946">
        <f t="shared" ref="HP969:JH969" si="1581">HP960/HP$964</f>
        <v>-0.11481917657391766</v>
      </c>
      <c r="HQ969" s="1946">
        <f t="shared" si="1581"/>
        <v>-0.14936556230222719</v>
      </c>
      <c r="HR969" s="1946">
        <f t="shared" si="1581"/>
        <v>-0.1326067799391776</v>
      </c>
      <c r="HS969" s="1946">
        <f t="shared" si="1581"/>
        <v>-0.11689824222409113</v>
      </c>
      <c r="HT969" s="1946">
        <f t="shared" si="1581"/>
        <v>-0.11749454331356279</v>
      </c>
      <c r="HU969" s="1946">
        <f t="shared" si="1581"/>
        <v>-0.11720109127004583</v>
      </c>
      <c r="HV969" s="1946">
        <f t="shared" si="1581"/>
        <v>-0.10696738203026118</v>
      </c>
      <c r="HW969" s="1946">
        <f t="shared" si="1581"/>
        <v>-9.0773378723723305E-2</v>
      </c>
      <c r="HX969" s="1946">
        <f t="shared" si="1581"/>
        <v>-9.8639460854472588E-2</v>
      </c>
      <c r="HY969" s="1946">
        <f t="shared" si="1581"/>
        <v>-0.10689023834650589</v>
      </c>
      <c r="HZ969" s="1946">
        <f t="shared" si="1581"/>
        <v>-7.9682360554144141E-2</v>
      </c>
      <c r="IA969" s="1946">
        <f t="shared" si="1581"/>
        <v>-9.2743044186956725E-2</v>
      </c>
      <c r="IB969" s="1946">
        <f t="shared" si="1581"/>
        <v>-9.2358392611007201E-2</v>
      </c>
      <c r="IC969" s="1946">
        <f t="shared" si="1581"/>
        <v>-8.5774107145609929E-2</v>
      </c>
      <c r="ID969" s="1946">
        <f t="shared" si="1581"/>
        <v>-8.9005033197019148E-2</v>
      </c>
      <c r="IE969" s="1946">
        <f t="shared" si="1581"/>
        <v>-8.0779851540849379E-2</v>
      </c>
      <c r="IF969" s="1946">
        <f t="shared" si="1581"/>
        <v>-0.13347490305835963</v>
      </c>
      <c r="IG969" s="1946">
        <f t="shared" si="1581"/>
        <v>-0.10797671247663906</v>
      </c>
      <c r="IH969" s="1946">
        <f t="shared" si="1581"/>
        <v>-0.12481242653739454</v>
      </c>
      <c r="II969" s="1946">
        <f t="shared" si="1581"/>
        <v>-0.14905540249873478</v>
      </c>
      <c r="IJ969" s="1946">
        <f t="shared" si="1581"/>
        <v>-0.13663688253047099</v>
      </c>
      <c r="IK969" s="1946">
        <f t="shared" si="1581"/>
        <v>-0.15618238666777773</v>
      </c>
      <c r="IL969" s="1946">
        <f t="shared" si="1581"/>
        <v>-0.12702306620625256</v>
      </c>
      <c r="IM969" s="1946">
        <f t="shared" si="1581"/>
        <v>-0.14127337091865713</v>
      </c>
      <c r="IN969" s="1946">
        <f t="shared" si="1581"/>
        <v>-0.15827996569704364</v>
      </c>
      <c r="IO969" s="1946">
        <f t="shared" si="1581"/>
        <v>-0.1650276717540744</v>
      </c>
      <c r="IP969" s="1946">
        <f t="shared" si="1581"/>
        <v>-0.16182943469901528</v>
      </c>
      <c r="IQ969" s="1946">
        <f t="shared" si="1581"/>
        <v>-0.11577463392411952</v>
      </c>
      <c r="IR969" s="1946">
        <f t="shared" si="1581"/>
        <v>-0.12310457421183184</v>
      </c>
      <c r="IS969" s="1946">
        <f t="shared" si="1581"/>
        <v>-0.11955104139988525</v>
      </c>
      <c r="IT969" s="1946">
        <f t="shared" si="1581"/>
        <v>-8.6032671940230718E-2</v>
      </c>
      <c r="IU969" s="1946">
        <f t="shared" si="1581"/>
        <v>-0.13778007094335123</v>
      </c>
      <c r="IV969" s="1946">
        <f t="shared" si="1581"/>
        <v>-0.11190637144179098</v>
      </c>
      <c r="IW969" s="1946">
        <f t="shared" si="1581"/>
        <v>-9.3895527918970573E-2</v>
      </c>
      <c r="IX969" s="1946">
        <f t="shared" si="1581"/>
        <v>-7.777546134738253E-2</v>
      </c>
      <c r="IY969" s="1946">
        <f t="shared" si="1581"/>
        <v>-8.5835494633176551E-2</v>
      </c>
      <c r="IZ969" s="1946">
        <f t="shared" si="1581"/>
        <v>-0.16457733439622149</v>
      </c>
      <c r="JA969" s="1946">
        <f t="shared" si="1581"/>
        <v>-3.4634666510260363E-2</v>
      </c>
      <c r="JB969" s="1946">
        <f t="shared" si="1581"/>
        <v>-9.9606000453240931E-2</v>
      </c>
      <c r="JC969" s="1946">
        <f t="shared" si="1581"/>
        <v>-0.11428521037393302</v>
      </c>
      <c r="JD969" s="1946">
        <f t="shared" si="1581"/>
        <v>-4.6347120886351449E-2</v>
      </c>
      <c r="JE969" s="1946">
        <f t="shared" si="1581"/>
        <v>-8.0316165630142225E-2</v>
      </c>
      <c r="JF969" s="1946">
        <f t="shared" si="1581"/>
        <v>-8.7811086312425041E-2</v>
      </c>
      <c r="JG969" s="1946">
        <f t="shared" si="1581"/>
        <v>-3.4941792018702664E-2</v>
      </c>
      <c r="JH969" s="1946">
        <f t="shared" si="1581"/>
        <v>-6.1376439165563845E-2</v>
      </c>
      <c r="JI969" s="1946">
        <f t="shared" ref="JI969:JN969" si="1582">JI960/JI$964</f>
        <v>-7.7781240023852449E-2</v>
      </c>
      <c r="JJ969" s="1946">
        <f t="shared" si="1582"/>
        <v>-3.6269954070865654E-2</v>
      </c>
      <c r="JK969" s="1946">
        <f t="shared" si="1582"/>
        <v>-5.7025597047359065E-2</v>
      </c>
      <c r="JL969" s="1946">
        <f t="shared" si="1582"/>
        <v>-6.8838841852160104E-2</v>
      </c>
      <c r="JM969" s="1946">
        <f t="shared" si="1582"/>
        <v>-4.346487766586761E-2</v>
      </c>
      <c r="JN969" s="1946">
        <f t="shared" si="1582"/>
        <v>-5.6151859759013864E-2</v>
      </c>
    </row>
    <row r="970" spans="1:302">
      <c r="A970" s="302"/>
      <c r="CP970" s="303"/>
      <c r="DZ970" s="348"/>
      <c r="EA970" s="346"/>
      <c r="HO970" s="117"/>
      <c r="HP970" s="117"/>
      <c r="HQ970" s="117"/>
      <c r="HV970" s="307"/>
    </row>
    <row r="971" spans="1:302">
      <c r="A971" s="302"/>
      <c r="D971" s="117" t="s">
        <v>3334</v>
      </c>
      <c r="CP971" s="303"/>
      <c r="EA971" s="302"/>
      <c r="HO971" s="117" t="s">
        <v>673</v>
      </c>
      <c r="HP971" s="117"/>
      <c r="HQ971" s="117"/>
      <c r="HR971" s="461">
        <f t="shared" ref="HR971:ID971" si="1583">+HR1</f>
        <v>2015</v>
      </c>
      <c r="HS971" s="461">
        <f t="shared" si="1583"/>
        <v>2014</v>
      </c>
      <c r="HT971" s="461">
        <f t="shared" si="1583"/>
        <v>2015</v>
      </c>
      <c r="HU971" s="461">
        <f t="shared" si="1583"/>
        <v>2015</v>
      </c>
      <c r="HV971" s="464">
        <f t="shared" si="1583"/>
        <v>2015</v>
      </c>
      <c r="HW971" s="464">
        <f t="shared" si="1583"/>
        <v>2016</v>
      </c>
      <c r="HX971" s="464">
        <f t="shared" si="1583"/>
        <v>2016</v>
      </c>
      <c r="HY971" s="464">
        <f t="shared" si="1583"/>
        <v>2016</v>
      </c>
      <c r="HZ971" s="464">
        <f t="shared" si="1583"/>
        <v>2017</v>
      </c>
      <c r="IA971" s="464">
        <f t="shared" si="1583"/>
        <v>2017</v>
      </c>
      <c r="IB971" s="464">
        <f t="shared" si="1583"/>
        <v>2017</v>
      </c>
      <c r="IC971" s="464">
        <f t="shared" si="1583"/>
        <v>2018</v>
      </c>
      <c r="ID971" s="464">
        <f t="shared" si="1583"/>
        <v>2018</v>
      </c>
      <c r="IE971" s="464"/>
      <c r="IF971" s="464"/>
      <c r="IG971" s="464">
        <f>+IG1</f>
        <v>2019</v>
      </c>
      <c r="IH971" s="464"/>
      <c r="II971" s="464"/>
      <c r="IJ971" s="464">
        <f>+IK1</f>
        <v>2020</v>
      </c>
      <c r="IK971" s="464"/>
      <c r="IL971" s="464"/>
      <c r="IM971" s="464">
        <f>+KH1</f>
        <v>2021</v>
      </c>
      <c r="IN971" s="464"/>
      <c r="IO971" s="464"/>
      <c r="IP971" s="464"/>
      <c r="IQ971" s="464"/>
      <c r="IR971" s="464"/>
      <c r="IS971" s="464"/>
      <c r="IT971" s="464"/>
      <c r="IU971" s="464"/>
      <c r="IV971" s="464"/>
      <c r="IW971" s="464"/>
      <c r="IX971" s="464"/>
      <c r="IY971" s="464"/>
    </row>
    <row r="972" spans="1:302">
      <c r="A972" s="302"/>
      <c r="D972" s="309" t="s">
        <v>3328</v>
      </c>
      <c r="E972" s="310"/>
      <c r="F972" s="310"/>
      <c r="G972" s="310"/>
      <c r="H972" s="310"/>
      <c r="I972" s="310"/>
      <c r="J972" s="310"/>
      <c r="K972" s="310"/>
      <c r="L972" s="310"/>
      <c r="M972" s="310"/>
      <c r="N972" s="310"/>
      <c r="O972" s="310"/>
      <c r="P972" s="310"/>
      <c r="Q972" s="310"/>
      <c r="R972" s="310"/>
      <c r="S972" s="310"/>
      <c r="T972" s="310"/>
      <c r="U972" s="310"/>
      <c r="V972" s="310"/>
      <c r="W972" s="310"/>
      <c r="X972" s="310"/>
      <c r="Y972" s="310"/>
      <c r="Z972" s="310"/>
      <c r="AA972" s="310"/>
      <c r="AB972" s="310"/>
      <c r="AC972" s="310"/>
      <c r="AD972" s="310"/>
      <c r="AE972" s="310"/>
      <c r="AF972" s="310"/>
      <c r="AG972" s="310"/>
      <c r="AH972" s="310"/>
      <c r="AI972" s="310"/>
      <c r="AJ972" s="310"/>
      <c r="AK972" s="310"/>
      <c r="AL972" s="310"/>
      <c r="AM972" s="310"/>
      <c r="AN972" s="310"/>
      <c r="AO972" s="310"/>
      <c r="AP972" s="310"/>
      <c r="AQ972" s="310"/>
      <c r="AR972" s="310"/>
      <c r="AS972" s="310"/>
      <c r="AT972" s="310"/>
      <c r="AU972" s="310"/>
      <c r="AV972" s="310"/>
      <c r="AW972" s="310"/>
      <c r="AX972" s="310"/>
      <c r="AY972" s="310"/>
      <c r="AZ972" s="310"/>
      <c r="BA972" s="310"/>
      <c r="BB972" s="310"/>
      <c r="BC972" s="310"/>
      <c r="BD972" s="310"/>
      <c r="BE972" s="310"/>
      <c r="BF972" s="310"/>
      <c r="BG972" s="310"/>
      <c r="BH972" s="310"/>
      <c r="BI972" s="310"/>
      <c r="BJ972" s="310"/>
      <c r="BK972" s="310"/>
      <c r="BL972" s="310"/>
      <c r="BM972" s="310"/>
      <c r="BN972" s="310"/>
      <c r="BO972" s="310"/>
      <c r="BP972" s="310"/>
      <c r="BQ972" s="310"/>
      <c r="BR972" s="310"/>
      <c r="BS972" s="310"/>
      <c r="BT972" s="310"/>
      <c r="BU972" s="310"/>
      <c r="BV972" s="310"/>
      <c r="BW972" s="310"/>
      <c r="BX972" s="310"/>
      <c r="BY972" s="310"/>
      <c r="BZ972" s="310"/>
      <c r="CA972" s="310"/>
      <c r="CB972" s="310"/>
      <c r="CC972" s="310"/>
      <c r="CD972" s="310"/>
      <c r="CE972" s="310"/>
      <c r="CF972" s="310"/>
      <c r="CG972" s="310"/>
      <c r="CH972" s="310"/>
      <c r="CI972" s="310"/>
      <c r="CJ972" s="310"/>
      <c r="CK972" s="310"/>
      <c r="CL972" s="310"/>
      <c r="CM972" s="310"/>
      <c r="CN972" s="310"/>
      <c r="CO972" s="310"/>
      <c r="CP972" s="311"/>
      <c r="CQ972" s="310"/>
      <c r="CR972" s="310"/>
      <c r="CS972" s="310"/>
      <c r="CT972" s="310"/>
      <c r="CU972" s="310"/>
      <c r="CV972" s="310"/>
      <c r="CW972" s="310"/>
      <c r="CX972" s="310"/>
      <c r="CY972" s="310"/>
      <c r="CZ972" s="310"/>
      <c r="DA972" s="310"/>
      <c r="DB972" s="313"/>
      <c r="DC972" s="310"/>
      <c r="DD972" s="310"/>
      <c r="DE972" s="310"/>
      <c r="DF972" s="310"/>
      <c r="DG972" s="310"/>
      <c r="DH972" s="310"/>
      <c r="DI972" s="310"/>
      <c r="DJ972" s="310"/>
      <c r="DK972" s="310"/>
      <c r="DL972" s="310"/>
      <c r="DM972" s="310"/>
      <c r="DN972" s="311"/>
      <c r="DO972" s="310"/>
      <c r="DP972" s="310"/>
      <c r="DQ972" s="310"/>
      <c r="DR972" s="310"/>
      <c r="DS972" s="310"/>
      <c r="DT972" s="310"/>
      <c r="DU972" s="310"/>
      <c r="DV972" s="310"/>
      <c r="DW972" s="310"/>
      <c r="DX972" s="310"/>
      <c r="DY972" s="310"/>
      <c r="EA972" s="302"/>
      <c r="HN972" s="312"/>
      <c r="HO972" s="309" t="s">
        <v>656</v>
      </c>
      <c r="HP972" s="1531"/>
      <c r="HQ972" s="1531"/>
      <c r="HR972" s="463" t="str">
        <f t="shared" ref="HR972:ID972" si="1584">+HR2</f>
        <v>2013/14</v>
      </c>
      <c r="HS972" s="463" t="str">
        <f t="shared" si="1584"/>
        <v>2014/15</v>
      </c>
      <c r="HT972" s="463" t="str">
        <f t="shared" si="1584"/>
        <v>2014/15</v>
      </c>
      <c r="HU972" s="463" t="str">
        <f t="shared" si="1584"/>
        <v>2014/15</v>
      </c>
      <c r="HV972" s="463" t="str">
        <f t="shared" si="1584"/>
        <v>2015/16</v>
      </c>
      <c r="HW972" s="463" t="str">
        <f t="shared" si="1584"/>
        <v>2015/16</v>
      </c>
      <c r="HX972" s="463" t="str">
        <f t="shared" si="1584"/>
        <v>2015/16</v>
      </c>
      <c r="HY972" s="463" t="str">
        <f t="shared" si="1584"/>
        <v>2016/17</v>
      </c>
      <c r="HZ972" s="463" t="str">
        <f t="shared" si="1584"/>
        <v>2016/17</v>
      </c>
      <c r="IA972" s="463" t="str">
        <f t="shared" si="1584"/>
        <v>2016/17</v>
      </c>
      <c r="IB972" s="463" t="str">
        <f t="shared" si="1584"/>
        <v>2017/18</v>
      </c>
      <c r="IC972" s="463" t="str">
        <f t="shared" si="1584"/>
        <v>2017/18</v>
      </c>
      <c r="ID972" s="463" t="str">
        <f t="shared" si="1584"/>
        <v>2017/18</v>
      </c>
      <c r="IE972" s="463"/>
      <c r="IF972" s="463"/>
      <c r="IG972" s="463" t="str">
        <f>+IG2</f>
        <v>2018/19</v>
      </c>
      <c r="IH972" s="463"/>
      <c r="II972" s="463"/>
      <c r="IJ972" s="463" t="str">
        <f>+IJ2</f>
        <v>2019/20</v>
      </c>
      <c r="IK972" s="463"/>
      <c r="IL972" s="463"/>
      <c r="IM972" s="463" t="str">
        <f>+KH2</f>
        <v>2020/2021</v>
      </c>
      <c r="IN972" s="463"/>
      <c r="IO972" s="463"/>
      <c r="IP972" s="463"/>
      <c r="IQ972" s="463"/>
      <c r="IR972" s="463"/>
      <c r="IS972" s="463"/>
      <c r="IT972" s="463"/>
      <c r="IU972" s="463"/>
      <c r="IV972" s="463"/>
      <c r="IW972" s="463"/>
      <c r="IX972" s="463"/>
      <c r="IY972" s="463"/>
      <c r="KI972" s="312"/>
      <c r="KJ972" s="310"/>
      <c r="KM972" s="310"/>
      <c r="KN972" s="310"/>
      <c r="KO972" s="310"/>
      <c r="KP972" s="313"/>
    </row>
    <row r="973" spans="1:302">
      <c r="A973" s="302"/>
      <c r="D973" s="370"/>
      <c r="CP973" s="303"/>
      <c r="DZ973" s="311"/>
      <c r="EA973" s="310"/>
      <c r="HO973" s="370"/>
      <c r="HP973" s="370"/>
      <c r="HQ973" s="370"/>
      <c r="HR973" s="460"/>
      <c r="HS973" s="460"/>
      <c r="HT973" s="460"/>
      <c r="HU973" s="460"/>
      <c r="HV973" s="460"/>
      <c r="HW973" s="460"/>
      <c r="HX973" s="460"/>
      <c r="HY973" s="460"/>
      <c r="HZ973" s="460"/>
      <c r="IA973" s="460"/>
      <c r="IB973" s="460"/>
      <c r="IC973" s="460"/>
      <c r="ID973" s="460"/>
      <c r="IE973" s="460"/>
      <c r="IF973" s="460"/>
      <c r="IG973" s="460"/>
      <c r="IH973" s="460"/>
      <c r="II973" s="460"/>
      <c r="IJ973" s="460"/>
      <c r="IK973" s="460"/>
      <c r="IL973" s="460"/>
      <c r="IM973" s="460"/>
      <c r="IN973" s="460"/>
      <c r="IO973" s="460"/>
      <c r="IP973" s="460"/>
      <c r="IQ973" s="460"/>
      <c r="IR973" s="460"/>
      <c r="IS973" s="460"/>
      <c r="IT973" s="460"/>
      <c r="IU973" s="460"/>
      <c r="IV973" s="460"/>
      <c r="IW973" s="460"/>
      <c r="IX973" s="460"/>
      <c r="IY973" s="460"/>
    </row>
    <row r="974" spans="1:302">
      <c r="A974" s="302"/>
      <c r="D974" s="431"/>
      <c r="E974" s="375">
        <f t="shared" ref="E974:AM974" si="1585">E1131</f>
        <v>39083</v>
      </c>
      <c r="F974" s="375">
        <f t="shared" si="1585"/>
        <v>39114</v>
      </c>
      <c r="G974" s="375">
        <f t="shared" si="1585"/>
        <v>39142</v>
      </c>
      <c r="H974" s="375">
        <f t="shared" si="1585"/>
        <v>39173</v>
      </c>
      <c r="I974" s="375">
        <f t="shared" si="1585"/>
        <v>39203</v>
      </c>
      <c r="J974" s="375">
        <f t="shared" si="1585"/>
        <v>39234</v>
      </c>
      <c r="K974" s="375">
        <f t="shared" si="1585"/>
        <v>39264</v>
      </c>
      <c r="L974" s="375">
        <f t="shared" si="1585"/>
        <v>39295</v>
      </c>
      <c r="M974" s="375">
        <f t="shared" si="1585"/>
        <v>39326</v>
      </c>
      <c r="N974" s="375">
        <f t="shared" si="1585"/>
        <v>39356</v>
      </c>
      <c r="O974" s="375">
        <f t="shared" si="1585"/>
        <v>39387</v>
      </c>
      <c r="P974" s="375">
        <f t="shared" si="1585"/>
        <v>39417</v>
      </c>
      <c r="Q974" s="375">
        <f t="shared" si="1585"/>
        <v>39448</v>
      </c>
      <c r="R974" s="375">
        <f t="shared" si="1585"/>
        <v>39479</v>
      </c>
      <c r="S974" s="375">
        <f t="shared" si="1585"/>
        <v>39508</v>
      </c>
      <c r="T974" s="375">
        <f t="shared" si="1585"/>
        <v>39539</v>
      </c>
      <c r="U974" s="375">
        <f t="shared" si="1585"/>
        <v>39569</v>
      </c>
      <c r="V974" s="375">
        <f t="shared" si="1585"/>
        <v>39600</v>
      </c>
      <c r="W974" s="375">
        <f t="shared" si="1585"/>
        <v>39630</v>
      </c>
      <c r="X974" s="375">
        <f t="shared" si="1585"/>
        <v>39661</v>
      </c>
      <c r="Y974" s="375">
        <f t="shared" si="1585"/>
        <v>39692</v>
      </c>
      <c r="Z974" s="375">
        <f t="shared" si="1585"/>
        <v>39722</v>
      </c>
      <c r="AA974" s="375">
        <f t="shared" si="1585"/>
        <v>39753</v>
      </c>
      <c r="AB974" s="375">
        <f t="shared" si="1585"/>
        <v>39783</v>
      </c>
      <c r="AC974" s="375">
        <f t="shared" si="1585"/>
        <v>39814</v>
      </c>
      <c r="AD974" s="375">
        <f t="shared" si="1585"/>
        <v>39845</v>
      </c>
      <c r="AE974" s="375">
        <f t="shared" si="1585"/>
        <v>39873</v>
      </c>
      <c r="AF974" s="375">
        <f t="shared" si="1585"/>
        <v>39904</v>
      </c>
      <c r="AG974" s="375">
        <f t="shared" si="1585"/>
        <v>39934</v>
      </c>
      <c r="AH974" s="375">
        <f t="shared" si="1585"/>
        <v>39965</v>
      </c>
      <c r="AI974" s="375">
        <f t="shared" si="1585"/>
        <v>39995</v>
      </c>
      <c r="AJ974" s="375">
        <f t="shared" si="1585"/>
        <v>40026</v>
      </c>
      <c r="AK974" s="375">
        <f t="shared" si="1585"/>
        <v>40057</v>
      </c>
      <c r="AL974" s="375">
        <f t="shared" si="1585"/>
        <v>40087</v>
      </c>
      <c r="AM974" s="375">
        <f t="shared" si="1585"/>
        <v>40118</v>
      </c>
      <c r="AN974" s="375">
        <f>AN1131</f>
        <v>40148</v>
      </c>
      <c r="AO974" s="375">
        <f t="shared" ref="AO974:CC974" si="1586">AO1131</f>
        <v>40179</v>
      </c>
      <c r="AP974" s="375">
        <f t="shared" si="1586"/>
        <v>40210</v>
      </c>
      <c r="AQ974" s="375">
        <f t="shared" si="1586"/>
        <v>40238</v>
      </c>
      <c r="AR974" s="375">
        <f t="shared" si="1586"/>
        <v>40269</v>
      </c>
      <c r="AS974" s="375">
        <f t="shared" si="1586"/>
        <v>40299</v>
      </c>
      <c r="AT974" s="375">
        <f t="shared" si="1586"/>
        <v>40330</v>
      </c>
      <c r="AU974" s="375">
        <f t="shared" si="1586"/>
        <v>40360</v>
      </c>
      <c r="AV974" s="375">
        <f t="shared" si="1586"/>
        <v>40391</v>
      </c>
      <c r="AW974" s="375">
        <f t="shared" si="1586"/>
        <v>40422</v>
      </c>
      <c r="AX974" s="375">
        <f t="shared" si="1586"/>
        <v>40452</v>
      </c>
      <c r="AY974" s="375">
        <f t="shared" si="1586"/>
        <v>40483</v>
      </c>
      <c r="AZ974" s="375">
        <f t="shared" si="1586"/>
        <v>40513</v>
      </c>
      <c r="BA974" s="375">
        <f t="shared" si="1586"/>
        <v>40544</v>
      </c>
      <c r="BB974" s="375">
        <f t="shared" si="1586"/>
        <v>40575</v>
      </c>
      <c r="BC974" s="375">
        <f t="shared" si="1586"/>
        <v>40603</v>
      </c>
      <c r="BD974" s="375">
        <f t="shared" si="1586"/>
        <v>40634</v>
      </c>
      <c r="BE974" s="375">
        <f t="shared" si="1586"/>
        <v>40664</v>
      </c>
      <c r="BF974" s="375">
        <f t="shared" si="1586"/>
        <v>40695</v>
      </c>
      <c r="BG974" s="375">
        <f t="shared" si="1586"/>
        <v>40725</v>
      </c>
      <c r="BH974" s="375">
        <f t="shared" si="1586"/>
        <v>40756</v>
      </c>
      <c r="BI974" s="375">
        <f t="shared" si="1586"/>
        <v>40787</v>
      </c>
      <c r="BJ974" s="375">
        <f t="shared" si="1586"/>
        <v>40817</v>
      </c>
      <c r="BK974" s="375">
        <f t="shared" si="1586"/>
        <v>40848</v>
      </c>
      <c r="BL974" s="375">
        <f t="shared" si="1586"/>
        <v>40878</v>
      </c>
      <c r="BM974" s="375">
        <f t="shared" si="1586"/>
        <v>40909</v>
      </c>
      <c r="BN974" s="375">
        <f t="shared" si="1586"/>
        <v>40940</v>
      </c>
      <c r="BO974" s="375">
        <f t="shared" si="1586"/>
        <v>40969</v>
      </c>
      <c r="BP974" s="375">
        <f t="shared" si="1586"/>
        <v>41000</v>
      </c>
      <c r="BQ974" s="375">
        <f t="shared" si="1586"/>
        <v>41030</v>
      </c>
      <c r="BR974" s="375">
        <f t="shared" si="1586"/>
        <v>41061</v>
      </c>
      <c r="BS974" s="375">
        <f t="shared" si="1586"/>
        <v>41091</v>
      </c>
      <c r="BT974" s="375">
        <f t="shared" si="1586"/>
        <v>41122</v>
      </c>
      <c r="BU974" s="375">
        <f t="shared" si="1586"/>
        <v>41153</v>
      </c>
      <c r="BV974" s="375">
        <f t="shared" si="1586"/>
        <v>41183</v>
      </c>
      <c r="BW974" s="375">
        <f t="shared" si="1586"/>
        <v>41214</v>
      </c>
      <c r="BX974" s="375">
        <f t="shared" si="1586"/>
        <v>41244</v>
      </c>
      <c r="BY974" s="375">
        <f t="shared" si="1586"/>
        <v>41275</v>
      </c>
      <c r="BZ974" s="375">
        <f t="shared" si="1586"/>
        <v>41306</v>
      </c>
      <c r="CA974" s="375">
        <f t="shared" si="1586"/>
        <v>41334</v>
      </c>
      <c r="CB974" s="375">
        <f t="shared" si="1586"/>
        <v>41365</v>
      </c>
      <c r="CC974" s="375">
        <f t="shared" si="1586"/>
        <v>41395</v>
      </c>
      <c r="CD974" s="474">
        <f t="shared" ref="CD974:DI974" si="1587">+CD1</f>
        <v>41426</v>
      </c>
      <c r="CE974" s="474">
        <f t="shared" si="1587"/>
        <v>41456</v>
      </c>
      <c r="CF974" s="474">
        <f t="shared" si="1587"/>
        <v>41487</v>
      </c>
      <c r="CG974" s="474">
        <f t="shared" si="1587"/>
        <v>41518</v>
      </c>
      <c r="CH974" s="474">
        <f t="shared" si="1587"/>
        <v>41548</v>
      </c>
      <c r="CI974" s="474">
        <f t="shared" si="1587"/>
        <v>41579</v>
      </c>
      <c r="CJ974" s="474">
        <f t="shared" si="1587"/>
        <v>41609</v>
      </c>
      <c r="CK974" s="474">
        <f t="shared" si="1587"/>
        <v>41640</v>
      </c>
      <c r="CL974" s="474">
        <f t="shared" si="1587"/>
        <v>41671</v>
      </c>
      <c r="CM974" s="474">
        <f t="shared" si="1587"/>
        <v>41699</v>
      </c>
      <c r="CN974" s="474">
        <f t="shared" si="1587"/>
        <v>41730</v>
      </c>
      <c r="CO974" s="474">
        <f t="shared" si="1587"/>
        <v>41760</v>
      </c>
      <c r="CP974" s="655">
        <f t="shared" si="1587"/>
        <v>41791</v>
      </c>
      <c r="CQ974" s="474">
        <f t="shared" si="1587"/>
        <v>41821</v>
      </c>
      <c r="CR974" s="474">
        <f t="shared" si="1587"/>
        <v>41852</v>
      </c>
      <c r="CS974" s="474">
        <f t="shared" si="1587"/>
        <v>41883</v>
      </c>
      <c r="CT974" s="474">
        <f t="shared" si="1587"/>
        <v>41913</v>
      </c>
      <c r="CU974" s="474">
        <f t="shared" si="1587"/>
        <v>41944</v>
      </c>
      <c r="CV974" s="474">
        <f t="shared" si="1587"/>
        <v>41974</v>
      </c>
      <c r="CW974" s="474">
        <f t="shared" si="1587"/>
        <v>42005</v>
      </c>
      <c r="CX974" s="474">
        <f t="shared" si="1587"/>
        <v>42036</v>
      </c>
      <c r="CY974" s="474">
        <f t="shared" si="1587"/>
        <v>42064</v>
      </c>
      <c r="CZ974" s="474">
        <f t="shared" si="1587"/>
        <v>42095</v>
      </c>
      <c r="DA974" s="474">
        <f t="shared" si="1587"/>
        <v>42125</v>
      </c>
      <c r="DB974" s="1518">
        <f t="shared" si="1587"/>
        <v>42156</v>
      </c>
      <c r="DC974" s="474">
        <f t="shared" si="1587"/>
        <v>42186</v>
      </c>
      <c r="DD974" s="474">
        <f t="shared" si="1587"/>
        <v>42217</v>
      </c>
      <c r="DE974" s="474">
        <f t="shared" si="1587"/>
        <v>42248</v>
      </c>
      <c r="DF974" s="474">
        <f t="shared" si="1587"/>
        <v>42278</v>
      </c>
      <c r="DG974" s="474">
        <f t="shared" si="1587"/>
        <v>42309</v>
      </c>
      <c r="DH974" s="474">
        <f t="shared" si="1587"/>
        <v>42339</v>
      </c>
      <c r="DI974" s="474">
        <f t="shared" si="1587"/>
        <v>42370</v>
      </c>
      <c r="DJ974" s="474">
        <f t="shared" ref="DJ974:EO974" si="1588">+DJ1</f>
        <v>42401</v>
      </c>
      <c r="DK974" s="474">
        <f t="shared" si="1588"/>
        <v>42430</v>
      </c>
      <c r="DL974" s="474">
        <f t="shared" si="1588"/>
        <v>42461</v>
      </c>
      <c r="DM974" s="474">
        <f t="shared" si="1588"/>
        <v>42491</v>
      </c>
      <c r="DN974" s="655">
        <f t="shared" si="1588"/>
        <v>42522</v>
      </c>
      <c r="DO974" s="474">
        <f t="shared" si="1588"/>
        <v>42552</v>
      </c>
      <c r="DP974" s="474">
        <f t="shared" si="1588"/>
        <v>42583</v>
      </c>
      <c r="DQ974" s="474">
        <f t="shared" si="1588"/>
        <v>42615</v>
      </c>
      <c r="DR974" s="474">
        <f t="shared" si="1588"/>
        <v>42646</v>
      </c>
      <c r="DS974" s="474">
        <f t="shared" si="1588"/>
        <v>42678</v>
      </c>
      <c r="DT974" s="474">
        <f t="shared" si="1588"/>
        <v>42709</v>
      </c>
      <c r="DU974" s="474">
        <f t="shared" si="1588"/>
        <v>42736</v>
      </c>
      <c r="DV974" s="474">
        <f t="shared" si="1588"/>
        <v>42767</v>
      </c>
      <c r="DW974" s="474">
        <f t="shared" si="1588"/>
        <v>42795</v>
      </c>
      <c r="DX974" s="474">
        <f t="shared" si="1588"/>
        <v>42826</v>
      </c>
      <c r="DY974" s="474">
        <f t="shared" si="1588"/>
        <v>42856</v>
      </c>
      <c r="DZ974" s="655">
        <f t="shared" si="1588"/>
        <v>42887</v>
      </c>
      <c r="EA974" s="474">
        <f t="shared" si="1588"/>
        <v>42917</v>
      </c>
      <c r="EB974" s="474">
        <f t="shared" si="1588"/>
        <v>42948</v>
      </c>
      <c r="EC974" s="474">
        <f t="shared" si="1588"/>
        <v>42979</v>
      </c>
      <c r="ED974" s="474">
        <f t="shared" si="1588"/>
        <v>43009</v>
      </c>
      <c r="EE974" s="474">
        <f t="shared" si="1588"/>
        <v>43040</v>
      </c>
      <c r="EF974" s="474">
        <f t="shared" si="1588"/>
        <v>43070</v>
      </c>
      <c r="EG974" s="474">
        <f t="shared" si="1588"/>
        <v>43101</v>
      </c>
      <c r="EH974" s="474">
        <f t="shared" si="1588"/>
        <v>43132</v>
      </c>
      <c r="EI974" s="474">
        <f t="shared" si="1588"/>
        <v>43160</v>
      </c>
      <c r="EJ974" s="474">
        <f t="shared" si="1588"/>
        <v>43191</v>
      </c>
      <c r="EK974" s="474">
        <f t="shared" si="1588"/>
        <v>43221</v>
      </c>
      <c r="EL974" s="655">
        <f t="shared" si="1588"/>
        <v>43252</v>
      </c>
      <c r="EM974" s="474">
        <f t="shared" si="1588"/>
        <v>43282</v>
      </c>
      <c r="EN974" s="474">
        <f t="shared" si="1588"/>
        <v>43313</v>
      </c>
      <c r="EO974" s="474">
        <f t="shared" si="1588"/>
        <v>43344</v>
      </c>
      <c r="EP974" s="474">
        <f t="shared" ref="EP974:FU974" si="1589">+EP1</f>
        <v>43374</v>
      </c>
      <c r="EQ974" s="474">
        <f t="shared" si="1589"/>
        <v>43405</v>
      </c>
      <c r="ER974" s="474">
        <f t="shared" si="1589"/>
        <v>43435</v>
      </c>
      <c r="ES974" s="474">
        <f t="shared" si="1589"/>
        <v>43466</v>
      </c>
      <c r="ET974" s="474">
        <f t="shared" si="1589"/>
        <v>43497</v>
      </c>
      <c r="EU974" s="474">
        <f t="shared" si="1589"/>
        <v>43525</v>
      </c>
      <c r="EV974" s="474">
        <f t="shared" si="1589"/>
        <v>43556</v>
      </c>
      <c r="EW974" s="474">
        <f t="shared" si="1589"/>
        <v>43586</v>
      </c>
      <c r="EX974" s="655">
        <f t="shared" si="1589"/>
        <v>43617</v>
      </c>
      <c r="EY974" s="474">
        <f t="shared" si="1589"/>
        <v>43647</v>
      </c>
      <c r="EZ974" s="474">
        <f t="shared" si="1589"/>
        <v>43678</v>
      </c>
      <c r="FA974" s="474">
        <f t="shared" si="1589"/>
        <v>43709</v>
      </c>
      <c r="FB974" s="474">
        <f t="shared" si="1589"/>
        <v>43739</v>
      </c>
      <c r="FC974" s="474">
        <f t="shared" si="1589"/>
        <v>43770</v>
      </c>
      <c r="FD974" s="474">
        <f t="shared" si="1589"/>
        <v>43800</v>
      </c>
      <c r="FE974" s="474">
        <f t="shared" si="1589"/>
        <v>43831</v>
      </c>
      <c r="FF974" s="474">
        <f t="shared" si="1589"/>
        <v>43862</v>
      </c>
      <c r="FG974" s="474">
        <f t="shared" si="1589"/>
        <v>43891</v>
      </c>
      <c r="FH974" s="474">
        <f t="shared" si="1589"/>
        <v>43922</v>
      </c>
      <c r="FI974" s="474">
        <f t="shared" si="1589"/>
        <v>43952</v>
      </c>
      <c r="FJ974" s="655">
        <f t="shared" si="1589"/>
        <v>43983</v>
      </c>
      <c r="FK974" s="474">
        <f t="shared" si="1589"/>
        <v>44013</v>
      </c>
      <c r="FL974" s="474">
        <f t="shared" si="1589"/>
        <v>44044</v>
      </c>
      <c r="FM974" s="474">
        <f t="shared" si="1589"/>
        <v>44075</v>
      </c>
      <c r="FN974" s="474">
        <f t="shared" si="1589"/>
        <v>44105</v>
      </c>
      <c r="FO974" s="474">
        <f t="shared" si="1589"/>
        <v>44136</v>
      </c>
      <c r="FP974" s="474">
        <f t="shared" si="1589"/>
        <v>44166</v>
      </c>
      <c r="FQ974" s="474">
        <f t="shared" si="1589"/>
        <v>44197</v>
      </c>
      <c r="FR974" s="474">
        <f t="shared" si="1589"/>
        <v>44228</v>
      </c>
      <c r="FS974" s="474">
        <f t="shared" si="1589"/>
        <v>44256</v>
      </c>
      <c r="FT974" s="474">
        <f t="shared" si="1589"/>
        <v>44287</v>
      </c>
      <c r="FU974" s="474">
        <f t="shared" si="1589"/>
        <v>44317</v>
      </c>
      <c r="FV974" s="655">
        <f t="shared" ref="FV974:GH974" si="1590">+FV1</f>
        <v>44348</v>
      </c>
      <c r="FW974" s="474">
        <f t="shared" si="1590"/>
        <v>44378</v>
      </c>
      <c r="FX974" s="474">
        <f t="shared" si="1590"/>
        <v>44409</v>
      </c>
      <c r="FY974" s="474">
        <f t="shared" si="1590"/>
        <v>44440</v>
      </c>
      <c r="FZ974" s="474">
        <f t="shared" si="1590"/>
        <v>44470</v>
      </c>
      <c r="GA974" s="474">
        <f t="shared" si="1590"/>
        <v>44501</v>
      </c>
      <c r="GB974" s="474">
        <f t="shared" si="1590"/>
        <v>44531</v>
      </c>
      <c r="GC974" s="474">
        <f t="shared" si="1590"/>
        <v>44562</v>
      </c>
      <c r="GD974" s="474">
        <f t="shared" si="1590"/>
        <v>44593</v>
      </c>
      <c r="GE974" s="474">
        <f t="shared" si="1590"/>
        <v>44621</v>
      </c>
      <c r="GF974" s="474">
        <f t="shared" si="1590"/>
        <v>44652</v>
      </c>
      <c r="GG974" s="474">
        <f t="shared" si="1590"/>
        <v>44682</v>
      </c>
      <c r="GH974" s="474">
        <f t="shared" si="1590"/>
        <v>44713</v>
      </c>
      <c r="HO974" s="431"/>
      <c r="HP974" s="431"/>
      <c r="HQ974" s="431"/>
      <c r="HR974" s="460" t="str">
        <f>+HR3</f>
        <v>Proj.</v>
      </c>
      <c r="HV974" s="307"/>
    </row>
    <row r="975" spans="1:302">
      <c r="A975" s="302"/>
      <c r="B975" s="117" t="s">
        <v>361</v>
      </c>
      <c r="D975" s="431" t="str">
        <f>D$666</f>
        <v xml:space="preserve">REVENUE </v>
      </c>
      <c r="E975" s="432">
        <f>E$666</f>
        <v>0</v>
      </c>
      <c r="F975" s="432">
        <f t="shared" ref="F975:L975" si="1591">F$666</f>
        <v>0</v>
      </c>
      <c r="G975" s="432">
        <f t="shared" si="1591"/>
        <v>0</v>
      </c>
      <c r="H975" s="432">
        <f t="shared" si="1591"/>
        <v>0</v>
      </c>
      <c r="I975" s="432">
        <f t="shared" si="1591"/>
        <v>0</v>
      </c>
      <c r="J975" s="432">
        <f t="shared" si="1591"/>
        <v>0</v>
      </c>
      <c r="K975" s="432">
        <f t="shared" si="1591"/>
        <v>0</v>
      </c>
      <c r="L975" s="432">
        <f t="shared" si="1591"/>
        <v>0</v>
      </c>
      <c r="M975" s="432">
        <f t="shared" ref="M975:AW975" si="1592">M$666</f>
        <v>0</v>
      </c>
      <c r="N975" s="432">
        <f t="shared" si="1592"/>
        <v>0</v>
      </c>
      <c r="O975" s="432">
        <f t="shared" si="1592"/>
        <v>0</v>
      </c>
      <c r="P975" s="432">
        <f t="shared" si="1592"/>
        <v>0</v>
      </c>
      <c r="Q975" s="432">
        <f t="shared" si="1592"/>
        <v>0</v>
      </c>
      <c r="R975" s="432">
        <f t="shared" si="1592"/>
        <v>0</v>
      </c>
      <c r="S975" s="432">
        <f t="shared" si="1592"/>
        <v>0</v>
      </c>
      <c r="T975" s="432">
        <f t="shared" si="1592"/>
        <v>0</v>
      </c>
      <c r="U975" s="432">
        <f t="shared" si="1592"/>
        <v>0</v>
      </c>
      <c r="V975" s="432">
        <f t="shared" si="1592"/>
        <v>0</v>
      </c>
      <c r="W975" s="432">
        <f t="shared" si="1592"/>
        <v>0</v>
      </c>
      <c r="X975" s="432">
        <f t="shared" si="1592"/>
        <v>0</v>
      </c>
      <c r="Y975" s="432">
        <f t="shared" si="1592"/>
        <v>0</v>
      </c>
      <c r="Z975" s="432">
        <f t="shared" si="1592"/>
        <v>0</v>
      </c>
      <c r="AA975" s="432">
        <f t="shared" si="1592"/>
        <v>0</v>
      </c>
      <c r="AB975" s="432">
        <f t="shared" si="1592"/>
        <v>0</v>
      </c>
      <c r="AC975" s="432">
        <f t="shared" si="1592"/>
        <v>0</v>
      </c>
      <c r="AD975" s="432">
        <f t="shared" si="1592"/>
        <v>0</v>
      </c>
      <c r="AE975" s="432">
        <f t="shared" si="1592"/>
        <v>0</v>
      </c>
      <c r="AF975" s="432">
        <f t="shared" si="1592"/>
        <v>0</v>
      </c>
      <c r="AG975" s="432">
        <f t="shared" si="1592"/>
        <v>0</v>
      </c>
      <c r="AH975" s="432">
        <f t="shared" si="1592"/>
        <v>0</v>
      </c>
      <c r="AI975" s="432">
        <f t="shared" si="1592"/>
        <v>0</v>
      </c>
      <c r="AJ975" s="432">
        <f t="shared" si="1592"/>
        <v>0</v>
      </c>
      <c r="AK975" s="432">
        <f t="shared" si="1592"/>
        <v>0</v>
      </c>
      <c r="AL975" s="432">
        <f t="shared" si="1592"/>
        <v>0</v>
      </c>
      <c r="AM975" s="432">
        <f t="shared" si="1592"/>
        <v>0</v>
      </c>
      <c r="AN975" s="432">
        <f t="shared" si="1592"/>
        <v>0</v>
      </c>
      <c r="AO975" s="432">
        <f t="shared" si="1592"/>
        <v>50.764051338100003</v>
      </c>
      <c r="AP975" s="432">
        <f t="shared" si="1592"/>
        <v>27.464071189399998</v>
      </c>
      <c r="AQ975" s="432">
        <f t="shared" si="1592"/>
        <v>52.704604605700005</v>
      </c>
      <c r="AR975" s="432">
        <f t="shared" si="1592"/>
        <v>52.450684614687695</v>
      </c>
      <c r="AS975" s="432">
        <f t="shared" si="1592"/>
        <v>37.514520986539999</v>
      </c>
      <c r="AT975" s="432">
        <f t="shared" si="1592"/>
        <v>145.81842276795999</v>
      </c>
      <c r="AU975" s="432">
        <f t="shared" si="1592"/>
        <v>45.242107081518114</v>
      </c>
      <c r="AV975" s="432">
        <f t="shared" si="1592"/>
        <v>41.216609372966381</v>
      </c>
      <c r="AW975" s="432">
        <f t="shared" si="1592"/>
        <v>99.511322758994424</v>
      </c>
      <c r="AX975" s="432">
        <f t="shared" ref="AX975:BP975" si="1593">AX$666</f>
        <v>77.047074561920894</v>
      </c>
      <c r="AY975" s="432">
        <f t="shared" si="1593"/>
        <v>51.908946840943649</v>
      </c>
      <c r="AZ975" s="432">
        <f t="shared" si="1593"/>
        <v>164.83524409942342</v>
      </c>
      <c r="BA975" s="432">
        <f t="shared" si="1593"/>
        <v>47.685840098106972</v>
      </c>
      <c r="BB975" s="432">
        <f t="shared" si="1593"/>
        <v>42.204233708412133</v>
      </c>
      <c r="BC975" s="432">
        <f t="shared" si="1593"/>
        <v>58.428774369228194</v>
      </c>
      <c r="BD975" s="432">
        <f t="shared" si="1593"/>
        <v>125.52862767270642</v>
      </c>
      <c r="BE975" s="432">
        <f t="shared" si="1593"/>
        <v>49.905182617244385</v>
      </c>
      <c r="BF975" s="432">
        <f t="shared" si="1593"/>
        <v>84.826683068776774</v>
      </c>
      <c r="BG975" s="432">
        <f t="shared" si="1593"/>
        <v>84.863712009047049</v>
      </c>
      <c r="BH975" s="432">
        <f t="shared" si="1593"/>
        <v>87.431064078743631</v>
      </c>
      <c r="BI975" s="432">
        <f t="shared" si="1593"/>
        <v>90.991184823855434</v>
      </c>
      <c r="BJ975" s="432">
        <f t="shared" si="1593"/>
        <v>139.53374566348828</v>
      </c>
      <c r="BK975" s="432">
        <f t="shared" si="1593"/>
        <v>59.901284263126023</v>
      </c>
      <c r="BL975" s="432">
        <f t="shared" si="1593"/>
        <v>150.86878106347314</v>
      </c>
      <c r="BM975" s="432">
        <f t="shared" si="1593"/>
        <v>49.199301889464422</v>
      </c>
      <c r="BN975" s="432">
        <f t="shared" si="1593"/>
        <v>54.865402846602905</v>
      </c>
      <c r="BO975" s="432">
        <f t="shared" si="1593"/>
        <v>87.325823345340822</v>
      </c>
      <c r="BP975" s="432">
        <f t="shared" si="1593"/>
        <v>48.881244038379769</v>
      </c>
      <c r="BQ975" s="432">
        <f t="shared" ref="BQ975:EB975" si="1594">BQ$666</f>
        <v>58.226618850201561</v>
      </c>
      <c r="BR975" s="432">
        <f t="shared" si="1594"/>
        <v>150.36567512421823</v>
      </c>
      <c r="BS975" s="432">
        <f t="shared" si="1594"/>
        <v>90.36355308905361</v>
      </c>
      <c r="BT975" s="432">
        <f t="shared" si="1594"/>
        <v>66.12355607797042</v>
      </c>
      <c r="BU975" s="432">
        <f t="shared" si="1594"/>
        <v>79.559246208253612</v>
      </c>
      <c r="BV975" s="432">
        <f t="shared" si="1594"/>
        <v>116.26442904656267</v>
      </c>
      <c r="BW975" s="432">
        <f t="shared" si="1594"/>
        <v>90.734610517433737</v>
      </c>
      <c r="BX975" s="432">
        <f t="shared" si="1594"/>
        <v>102.06349611236305</v>
      </c>
      <c r="BY975" s="432">
        <f t="shared" si="1594"/>
        <v>53.009081867357082</v>
      </c>
      <c r="BZ975" s="432">
        <f t="shared" si="1594"/>
        <v>56.599137084425003</v>
      </c>
      <c r="CA975" s="432">
        <f t="shared" si="1594"/>
        <v>110.14968963268464</v>
      </c>
      <c r="CB975" s="432">
        <f t="shared" si="1594"/>
        <v>91.758888527829711</v>
      </c>
      <c r="CC975" s="432">
        <f t="shared" si="1594"/>
        <v>106.25504840687425</v>
      </c>
      <c r="CD975" s="433">
        <f t="shared" si="1594"/>
        <v>60.628299093566639</v>
      </c>
      <c r="CE975" s="432">
        <f t="shared" si="1594"/>
        <v>82.685163190403983</v>
      </c>
      <c r="CF975" s="432">
        <f t="shared" si="1594"/>
        <v>100.57501141659461</v>
      </c>
      <c r="CG975" s="432">
        <f t="shared" si="1594"/>
        <v>144.83236343818794</v>
      </c>
      <c r="CH975" s="432">
        <f t="shared" si="1594"/>
        <v>130.50979666979984</v>
      </c>
      <c r="CI975" s="432">
        <f t="shared" si="1594"/>
        <v>94.72419237543815</v>
      </c>
      <c r="CJ975" s="432">
        <f t="shared" si="1594"/>
        <v>149.04992806584778</v>
      </c>
      <c r="CK975" s="432">
        <f t="shared" si="1594"/>
        <v>85.966192720506342</v>
      </c>
      <c r="CL975" s="432">
        <f t="shared" si="1594"/>
        <v>78.100962569555776</v>
      </c>
      <c r="CM975" s="432">
        <f t="shared" si="1594"/>
        <v>103.25846458630221</v>
      </c>
      <c r="CN975" s="432">
        <f t="shared" si="1594"/>
        <v>120.24400415745573</v>
      </c>
      <c r="CO975" s="432">
        <f t="shared" si="1594"/>
        <v>104.05976888760976</v>
      </c>
      <c r="CP975" s="435">
        <f t="shared" si="1594"/>
        <v>144.78464070659047</v>
      </c>
      <c r="CQ975" s="434">
        <f t="shared" si="1594"/>
        <v>97.920965172476912</v>
      </c>
      <c r="CR975" s="434">
        <f t="shared" si="1594"/>
        <v>86.224940333926114</v>
      </c>
      <c r="CS975" s="434">
        <f t="shared" si="1594"/>
        <v>117.20928087688272</v>
      </c>
      <c r="CT975" s="434">
        <f t="shared" si="1594"/>
        <v>100.85749179386798</v>
      </c>
      <c r="CU975" s="434">
        <f t="shared" si="1594"/>
        <v>97.299391171813085</v>
      </c>
      <c r="CV975" s="434">
        <f t="shared" si="1594"/>
        <v>190.00314384894824</v>
      </c>
      <c r="CW975" s="434">
        <f t="shared" si="1594"/>
        <v>89.552012981353641</v>
      </c>
      <c r="CX975" s="434">
        <f t="shared" si="1594"/>
        <v>81.816984367428347</v>
      </c>
      <c r="CY975" s="434">
        <f t="shared" si="1594"/>
        <v>172.40699314343357</v>
      </c>
      <c r="CZ975" s="434">
        <f t="shared" si="1594"/>
        <v>118.71610216913216</v>
      </c>
      <c r="DA975" s="434">
        <f t="shared" si="1594"/>
        <v>124.36734037722404</v>
      </c>
      <c r="DB975" s="1519">
        <f t="shared" si="1594"/>
        <v>142.33205433880741</v>
      </c>
      <c r="DC975" s="432">
        <f t="shared" si="1594"/>
        <v>102.0880767810843</v>
      </c>
      <c r="DD975" s="432">
        <f t="shared" si="1594"/>
        <v>95.697050271437831</v>
      </c>
      <c r="DE975" s="432">
        <f t="shared" si="1594"/>
        <v>138.09599026285105</v>
      </c>
      <c r="DF975" s="432">
        <f t="shared" si="1594"/>
        <v>114.36960915083218</v>
      </c>
      <c r="DG975" s="432">
        <f t="shared" si="1594"/>
        <v>115.45476893736439</v>
      </c>
      <c r="DH975" s="432">
        <f t="shared" si="1594"/>
        <v>175.194859244756</v>
      </c>
      <c r="DI975" s="432">
        <f t="shared" si="1594"/>
        <v>91.968916539472175</v>
      </c>
      <c r="DJ975" s="432">
        <f t="shared" si="1594"/>
        <v>92.451046572176182</v>
      </c>
      <c r="DK975" s="432">
        <f t="shared" si="1594"/>
        <v>168.45863078303569</v>
      </c>
      <c r="DL975" s="432">
        <f t="shared" si="1594"/>
        <v>149.33098099906874</v>
      </c>
      <c r="DM975" s="432">
        <f t="shared" si="1594"/>
        <v>103.63545642586396</v>
      </c>
      <c r="DN975" s="435">
        <f t="shared" si="1594"/>
        <v>194.93171747802916</v>
      </c>
      <c r="DO975" s="432">
        <f t="shared" si="1594"/>
        <v>106.53063455515742</v>
      </c>
      <c r="DP975" s="432">
        <f t="shared" si="1594"/>
        <v>105.15065491160993</v>
      </c>
      <c r="DQ975" s="432">
        <f t="shared" si="1594"/>
        <v>143.00830635500984</v>
      </c>
      <c r="DR975" s="432">
        <f t="shared" si="1594"/>
        <v>87.330224927279033</v>
      </c>
      <c r="DS975" s="432">
        <f t="shared" si="1594"/>
        <v>113.37420171308366</v>
      </c>
      <c r="DT975" s="432">
        <f t="shared" si="1594"/>
        <v>209.20510328840419</v>
      </c>
      <c r="DU975" s="432">
        <f t="shared" si="1594"/>
        <v>118.73678232140514</v>
      </c>
      <c r="DV975" s="432">
        <f t="shared" si="1594"/>
        <v>100.1147183492308</v>
      </c>
      <c r="DW975" s="432">
        <f t="shared" si="1594"/>
        <v>186.66238984802462</v>
      </c>
      <c r="DX975" s="432">
        <f t="shared" si="1594"/>
        <v>102.62154014452315</v>
      </c>
      <c r="DY975" s="432">
        <f t="shared" si="1594"/>
        <v>105.2327304799788</v>
      </c>
      <c r="DZ975" s="435">
        <f t="shared" si="1594"/>
        <v>237.79464259824945</v>
      </c>
      <c r="EA975" s="432">
        <f t="shared" si="1594"/>
        <v>118.75792254390362</v>
      </c>
      <c r="EB975" s="432">
        <f t="shared" si="1594"/>
        <v>111.53170918049945</v>
      </c>
      <c r="EC975" s="432">
        <f t="shared" ref="EC975:GH975" si="1595">EC$666</f>
        <v>157.93620448453362</v>
      </c>
      <c r="ED975" s="432">
        <f t="shared" si="1595"/>
        <v>143.46682915999466</v>
      </c>
      <c r="EE975" s="432">
        <f t="shared" si="1595"/>
        <v>122.41457350380961</v>
      </c>
      <c r="EF975" s="432">
        <f t="shared" si="1595"/>
        <v>231.61288589733448</v>
      </c>
      <c r="EG975" s="432">
        <f t="shared" si="1595"/>
        <v>157.86386326101345</v>
      </c>
      <c r="EH975" s="432">
        <f t="shared" si="1595"/>
        <v>108.18347605714308</v>
      </c>
      <c r="EI975" s="432">
        <f t="shared" si="1595"/>
        <v>194.07285926877938</v>
      </c>
      <c r="EJ975" s="432">
        <f t="shared" si="1595"/>
        <v>164.31741057758791</v>
      </c>
      <c r="EK975" s="432">
        <f t="shared" si="1595"/>
        <v>115.44541785758058</v>
      </c>
      <c r="EL975" s="435">
        <f t="shared" si="1595"/>
        <v>194.80928099886683</v>
      </c>
      <c r="EM975" s="432">
        <f t="shared" si="1595"/>
        <v>120.22438695535122</v>
      </c>
      <c r="EN975" s="432">
        <f t="shared" si="1595"/>
        <v>177.05111501416377</v>
      </c>
      <c r="EO975" s="432">
        <f t="shared" si="1595"/>
        <v>195.09194664382187</v>
      </c>
      <c r="EP975" s="432">
        <f t="shared" si="1595"/>
        <v>145.90375253753786</v>
      </c>
      <c r="EQ975" s="432">
        <f t="shared" si="1595"/>
        <v>117.40491916855672</v>
      </c>
      <c r="ER975" s="432">
        <f t="shared" si="1595"/>
        <v>284.75043852089505</v>
      </c>
      <c r="ES975" s="432">
        <f t="shared" si="1595"/>
        <v>153.58628163057952</v>
      </c>
      <c r="ET975" s="432">
        <f t="shared" si="1595"/>
        <v>152.15785626601814</v>
      </c>
      <c r="EU975" s="432">
        <f t="shared" si="1595"/>
        <v>198.77553167169151</v>
      </c>
      <c r="EV975" s="432">
        <f t="shared" si="1595"/>
        <v>176.4318138988844</v>
      </c>
      <c r="EW975" s="432">
        <f t="shared" si="1595"/>
        <v>130.62862058169628</v>
      </c>
      <c r="EX975" s="435">
        <f t="shared" si="1595"/>
        <v>213.02070854854497</v>
      </c>
      <c r="EY975" s="432">
        <f t="shared" si="1595"/>
        <v>147.07637366835445</v>
      </c>
      <c r="EZ975" s="432">
        <f t="shared" si="1595"/>
        <v>155.01117363850076</v>
      </c>
      <c r="FA975" s="432">
        <f t="shared" si="1595"/>
        <v>223.09007641053159</v>
      </c>
      <c r="FB975" s="432">
        <f t="shared" si="1595"/>
        <v>167.36696303480105</v>
      </c>
      <c r="FC975" s="432">
        <f t="shared" si="1595"/>
        <v>147.0914591491011</v>
      </c>
      <c r="FD975" s="432">
        <f t="shared" si="1595"/>
        <v>288.10530465867004</v>
      </c>
      <c r="FE975" s="432">
        <f t="shared" si="1595"/>
        <v>162.48959082536501</v>
      </c>
      <c r="FF975" s="432">
        <f t="shared" si="1595"/>
        <v>166.55007861652268</v>
      </c>
      <c r="FG975" s="432">
        <f t="shared" si="1595"/>
        <v>159.86762347704894</v>
      </c>
      <c r="FH975" s="432">
        <f t="shared" si="1595"/>
        <v>173.76685037164617</v>
      </c>
      <c r="FI975" s="432">
        <f t="shared" si="1595"/>
        <v>156.23772638719868</v>
      </c>
      <c r="FJ975" s="435">
        <f t="shared" si="1595"/>
        <v>246.30844360155203</v>
      </c>
      <c r="FK975" s="432">
        <f t="shared" si="1595"/>
        <v>126.06048066020975</v>
      </c>
      <c r="FL975" s="432">
        <f t="shared" si="1595"/>
        <v>137.55042253350024</v>
      </c>
      <c r="FM975" s="432">
        <f t="shared" si="1595"/>
        <v>327.11590510847509</v>
      </c>
      <c r="FN975" s="432">
        <f t="shared" si="1595"/>
        <v>202.28595220119698</v>
      </c>
      <c r="FO975" s="432">
        <f t="shared" si="1595"/>
        <v>154.93709785169005</v>
      </c>
      <c r="FP975" s="432">
        <f t="shared" si="1595"/>
        <v>282.15503540564202</v>
      </c>
      <c r="FQ975" s="432">
        <f t="shared" si="1595"/>
        <v>154.48173816429275</v>
      </c>
      <c r="FR975" s="432">
        <f t="shared" si="1595"/>
        <v>157.25181798574698</v>
      </c>
      <c r="FS975" s="432">
        <f t="shared" si="1595"/>
        <v>288.3709878983542</v>
      </c>
      <c r="FT975" s="432">
        <f t="shared" si="1595"/>
        <v>249.30029367000355</v>
      </c>
      <c r="FU975" s="432">
        <f t="shared" si="1595"/>
        <v>165.49561757698166</v>
      </c>
      <c r="FV975" s="435">
        <f t="shared" si="1595"/>
        <v>323.18584803199445</v>
      </c>
      <c r="FW975" s="432">
        <f t="shared" si="1595"/>
        <v>144.05016196422122</v>
      </c>
      <c r="FX975" s="432">
        <f t="shared" si="1595"/>
        <v>200.60548259652219</v>
      </c>
      <c r="FY975" s="432">
        <f t="shared" si="1595"/>
        <v>267.5749424581644</v>
      </c>
      <c r="FZ975" s="432">
        <f t="shared" si="1595"/>
        <v>208.46535963515919</v>
      </c>
      <c r="GA975" s="432">
        <f t="shared" si="1595"/>
        <v>247.90277896371293</v>
      </c>
      <c r="GB975" s="432">
        <f t="shared" si="1595"/>
        <v>281.27735444107793</v>
      </c>
      <c r="GC975" s="432">
        <f t="shared" si="1595"/>
        <v>224.02175914985401</v>
      </c>
      <c r="GD975" s="432">
        <f t="shared" si="1595"/>
        <v>213.82765546235129</v>
      </c>
      <c r="GE975" s="432">
        <f t="shared" si="1595"/>
        <v>383.06304311769935</v>
      </c>
      <c r="GF975" s="432">
        <f t="shared" si="1595"/>
        <v>236.60389057232098</v>
      </c>
      <c r="GG975" s="432">
        <f t="shared" si="1595"/>
        <v>367.31219203461114</v>
      </c>
      <c r="GH975" s="432">
        <f t="shared" si="1595"/>
        <v>327.47838494040917</v>
      </c>
      <c r="HN975" s="363"/>
      <c r="HO975" s="431" t="s">
        <v>493</v>
      </c>
      <c r="HP975" s="431"/>
      <c r="HQ975" s="431"/>
      <c r="HR975" s="302">
        <f>HR$666</f>
        <v>1338.7904887842926</v>
      </c>
      <c r="HS975" s="302">
        <f>HS$666</f>
        <v>689.51521319791505</v>
      </c>
      <c r="HT975" s="302">
        <f>HT$666</f>
        <v>729.19148737737919</v>
      </c>
      <c r="HU975" s="457">
        <f>HU$666</f>
        <v>1418.7067005752942</v>
      </c>
      <c r="HV975" s="307"/>
      <c r="HX975" s="457">
        <f>HX$666</f>
        <v>1541.6771034459716</v>
      </c>
      <c r="IA975" s="457">
        <f>IA$666</f>
        <v>1615.7619294919559</v>
      </c>
      <c r="ID975" s="457">
        <f>ID$666</f>
        <v>1820.4124327910467</v>
      </c>
      <c r="IE975" s="457"/>
      <c r="IF975" s="457"/>
      <c r="IG975" s="457">
        <f>IG$666</f>
        <v>2065.0273714377413</v>
      </c>
      <c r="IH975" s="457"/>
      <c r="II975" s="457"/>
      <c r="IJ975" s="457">
        <f>IJ$666</f>
        <v>2192.9616638392927</v>
      </c>
      <c r="IK975" s="457"/>
      <c r="IL975" s="457"/>
      <c r="IM975" s="457">
        <f>IM$666</f>
        <v>2568.1911970880878</v>
      </c>
      <c r="IN975" s="457"/>
      <c r="IO975" s="457">
        <f>IO$666</f>
        <v>1752.3069252772459</v>
      </c>
      <c r="IP975" s="457">
        <f>IP$666</f>
        <v>3102.1830053361036</v>
      </c>
      <c r="IQ975" s="457">
        <f>IQ$666</f>
        <v>1529.8590212090053</v>
      </c>
      <c r="IR975" s="457">
        <f>IR$666</f>
        <v>1869.7081622573328</v>
      </c>
      <c r="IS975" s="457"/>
      <c r="IT975" s="457"/>
      <c r="IU975" s="457"/>
      <c r="IV975" s="457"/>
      <c r="IW975" s="457"/>
      <c r="IX975" s="457"/>
      <c r="IY975" s="457"/>
      <c r="KI975" s="363"/>
      <c r="KJ975" s="364"/>
      <c r="KM975" s="302">
        <f>KM$666</f>
        <v>0</v>
      </c>
      <c r="KN975" s="302">
        <f>KN$666</f>
        <v>0</v>
      </c>
      <c r="KO975" s="302">
        <f>KO$666</f>
        <v>0</v>
      </c>
      <c r="KP975" s="302">
        <f>KP$666</f>
        <v>0</v>
      </c>
    </row>
    <row r="976" spans="1:302">
      <c r="A976" s="302"/>
      <c r="B976" s="117" t="s">
        <v>361</v>
      </c>
      <c r="D976" s="436" t="str">
        <f>D$667</f>
        <v xml:space="preserve">Taxes </v>
      </c>
      <c r="E976" s="432">
        <f>E$667</f>
        <v>0</v>
      </c>
      <c r="F976" s="432">
        <f t="shared" ref="F976:L976" si="1596">F$667</f>
        <v>0</v>
      </c>
      <c r="G976" s="432">
        <f t="shared" si="1596"/>
        <v>0</v>
      </c>
      <c r="H976" s="432">
        <f t="shared" si="1596"/>
        <v>0</v>
      </c>
      <c r="I976" s="432">
        <f t="shared" si="1596"/>
        <v>0</v>
      </c>
      <c r="J976" s="432">
        <f t="shared" si="1596"/>
        <v>0</v>
      </c>
      <c r="K976" s="432">
        <f t="shared" si="1596"/>
        <v>0</v>
      </c>
      <c r="L976" s="432">
        <f t="shared" si="1596"/>
        <v>0</v>
      </c>
      <c r="M976" s="432">
        <f t="shared" ref="M976:AW976" si="1597">M$667</f>
        <v>0</v>
      </c>
      <c r="N976" s="432">
        <f t="shared" si="1597"/>
        <v>0</v>
      </c>
      <c r="O976" s="432">
        <f t="shared" si="1597"/>
        <v>0</v>
      </c>
      <c r="P976" s="432">
        <f t="shared" si="1597"/>
        <v>0</v>
      </c>
      <c r="Q976" s="432">
        <f t="shared" si="1597"/>
        <v>0</v>
      </c>
      <c r="R976" s="432">
        <f t="shared" si="1597"/>
        <v>0</v>
      </c>
      <c r="S976" s="432">
        <f t="shared" si="1597"/>
        <v>0</v>
      </c>
      <c r="T976" s="432">
        <f t="shared" si="1597"/>
        <v>0</v>
      </c>
      <c r="U976" s="432">
        <f t="shared" si="1597"/>
        <v>0</v>
      </c>
      <c r="V976" s="432">
        <f t="shared" si="1597"/>
        <v>0</v>
      </c>
      <c r="W976" s="432">
        <f t="shared" si="1597"/>
        <v>0</v>
      </c>
      <c r="X976" s="432">
        <f t="shared" si="1597"/>
        <v>0</v>
      </c>
      <c r="Y976" s="432">
        <f t="shared" si="1597"/>
        <v>0</v>
      </c>
      <c r="Z976" s="432">
        <f t="shared" si="1597"/>
        <v>0</v>
      </c>
      <c r="AA976" s="432">
        <f t="shared" si="1597"/>
        <v>0</v>
      </c>
      <c r="AB976" s="432">
        <f t="shared" si="1597"/>
        <v>0</v>
      </c>
      <c r="AC976" s="432">
        <f t="shared" si="1597"/>
        <v>0</v>
      </c>
      <c r="AD976" s="432">
        <f t="shared" si="1597"/>
        <v>0</v>
      </c>
      <c r="AE976" s="432">
        <f t="shared" si="1597"/>
        <v>0</v>
      </c>
      <c r="AF976" s="432">
        <f t="shared" si="1597"/>
        <v>0</v>
      </c>
      <c r="AG976" s="432">
        <f t="shared" si="1597"/>
        <v>0</v>
      </c>
      <c r="AH976" s="432">
        <f t="shared" si="1597"/>
        <v>0</v>
      </c>
      <c r="AI976" s="432">
        <f t="shared" si="1597"/>
        <v>0</v>
      </c>
      <c r="AJ976" s="432">
        <f t="shared" si="1597"/>
        <v>0</v>
      </c>
      <c r="AK976" s="432">
        <f t="shared" si="1597"/>
        <v>0</v>
      </c>
      <c r="AL976" s="432">
        <f t="shared" si="1597"/>
        <v>0</v>
      </c>
      <c r="AM976" s="432">
        <f t="shared" si="1597"/>
        <v>0</v>
      </c>
      <c r="AN976" s="432">
        <f t="shared" si="1597"/>
        <v>0</v>
      </c>
      <c r="AO976" s="432">
        <f t="shared" si="1597"/>
        <v>28.378078309600003</v>
      </c>
      <c r="AP976" s="432">
        <f t="shared" si="1597"/>
        <v>26.593847742499999</v>
      </c>
      <c r="AQ976" s="432">
        <f t="shared" si="1597"/>
        <v>43.462740556200004</v>
      </c>
      <c r="AR976" s="432">
        <f t="shared" si="1597"/>
        <v>28.6498438283</v>
      </c>
      <c r="AS976" s="432">
        <f t="shared" si="1597"/>
        <v>27.3119272297</v>
      </c>
      <c r="AT976" s="432">
        <f t="shared" si="1597"/>
        <v>35.113359245399998</v>
      </c>
      <c r="AU976" s="432">
        <f t="shared" si="1597"/>
        <v>29.502769495600003</v>
      </c>
      <c r="AV976" s="432">
        <f t="shared" si="1597"/>
        <v>32.637733389600008</v>
      </c>
      <c r="AW976" s="432">
        <f t="shared" si="1597"/>
        <v>37.198990474200002</v>
      </c>
      <c r="AX976" s="432">
        <f t="shared" ref="AX976:BP976" si="1598">AX$667</f>
        <v>31.172462902000003</v>
      </c>
      <c r="AY976" s="432">
        <f t="shared" si="1598"/>
        <v>32.9844390481</v>
      </c>
      <c r="AZ976" s="432">
        <f t="shared" si="1598"/>
        <v>42.768411501699994</v>
      </c>
      <c r="BA976" s="432">
        <f t="shared" si="1598"/>
        <v>37.270421333599998</v>
      </c>
      <c r="BB976" s="432">
        <f t="shared" si="1598"/>
        <v>30.090863977800002</v>
      </c>
      <c r="BC976" s="432">
        <f t="shared" si="1598"/>
        <v>48.51068161189999</v>
      </c>
      <c r="BD976" s="432">
        <f t="shared" si="1598"/>
        <v>35.4363995438</v>
      </c>
      <c r="BE976" s="432">
        <f t="shared" si="1598"/>
        <v>38.119603839999996</v>
      </c>
      <c r="BF976" s="432">
        <f t="shared" si="1598"/>
        <v>43.731171053300002</v>
      </c>
      <c r="BG976" s="432">
        <f t="shared" si="1598"/>
        <v>34.278467516299997</v>
      </c>
      <c r="BH976" s="432">
        <f t="shared" si="1598"/>
        <v>40.540797734099996</v>
      </c>
      <c r="BI976" s="432">
        <f t="shared" si="1598"/>
        <v>45.5637019634</v>
      </c>
      <c r="BJ976" s="432">
        <f t="shared" si="1598"/>
        <v>38.158057333199999</v>
      </c>
      <c r="BK976" s="432">
        <f t="shared" si="1598"/>
        <v>39.859909695600003</v>
      </c>
      <c r="BL976" s="432">
        <f t="shared" si="1598"/>
        <v>50.309845600399996</v>
      </c>
      <c r="BM976" s="432">
        <f t="shared" si="1598"/>
        <v>41.397093836399989</v>
      </c>
      <c r="BN976" s="432">
        <f t="shared" si="1598"/>
        <v>41.6296176512</v>
      </c>
      <c r="BO976" s="432">
        <f t="shared" si="1598"/>
        <v>56.363561111400003</v>
      </c>
      <c r="BP976" s="432">
        <f t="shared" si="1598"/>
        <v>41.6442277246</v>
      </c>
      <c r="BQ976" s="432">
        <f t="shared" ref="BQ976:EB976" si="1599">BQ$667</f>
        <v>51.381044522600007</v>
      </c>
      <c r="BR976" s="432">
        <f t="shared" si="1599"/>
        <v>53.773741767499999</v>
      </c>
      <c r="BS976" s="432">
        <f t="shared" si="1599"/>
        <v>43.989135728399994</v>
      </c>
      <c r="BT976" s="432">
        <f t="shared" si="1599"/>
        <v>48.0655510148</v>
      </c>
      <c r="BU976" s="432">
        <f t="shared" si="1599"/>
        <v>53.670180058900009</v>
      </c>
      <c r="BV976" s="432">
        <f t="shared" si="1599"/>
        <v>48.625806363999999</v>
      </c>
      <c r="BW976" s="432">
        <f t="shared" si="1599"/>
        <v>45.821263381100003</v>
      </c>
      <c r="BX976" s="432">
        <f t="shared" si="1599"/>
        <v>53.2656191783</v>
      </c>
      <c r="BY976" s="432">
        <f t="shared" si="1599"/>
        <v>48.798145427400009</v>
      </c>
      <c r="BZ976" s="432">
        <f t="shared" si="1599"/>
        <v>48.290016709999996</v>
      </c>
      <c r="CA976" s="432">
        <f t="shared" si="1599"/>
        <v>67.86227846460001</v>
      </c>
      <c r="CB976" s="432">
        <f t="shared" si="1599"/>
        <v>47.864069070200003</v>
      </c>
      <c r="CC976" s="432">
        <f t="shared" si="1599"/>
        <v>48.458169235899994</v>
      </c>
      <c r="CD976" s="433">
        <f t="shared" si="1599"/>
        <v>0</v>
      </c>
      <c r="CE976" s="432">
        <f t="shared" si="1599"/>
        <v>47.617064136600007</v>
      </c>
      <c r="CF976" s="432">
        <f t="shared" si="1599"/>
        <v>53.907251717999998</v>
      </c>
      <c r="CG976" s="432">
        <f t="shared" si="1599"/>
        <v>65.190181342100004</v>
      </c>
      <c r="CH976" s="432">
        <f t="shared" si="1599"/>
        <v>54.087637409999999</v>
      </c>
      <c r="CI976" s="432">
        <f t="shared" si="1599"/>
        <v>53.84528620079999</v>
      </c>
      <c r="CJ976" s="432">
        <f t="shared" si="1599"/>
        <v>68.130436793900003</v>
      </c>
      <c r="CK976" s="432">
        <f t="shared" si="1599"/>
        <v>59.819924644799997</v>
      </c>
      <c r="CL976" s="432">
        <f t="shared" si="1599"/>
        <v>55.9432367223</v>
      </c>
      <c r="CM976" s="432">
        <f t="shared" si="1599"/>
        <v>64.537803322999991</v>
      </c>
      <c r="CN976" s="432">
        <f t="shared" si="1599"/>
        <v>55.778860669299995</v>
      </c>
      <c r="CO976" s="432">
        <f t="shared" si="1599"/>
        <v>61.522298340200003</v>
      </c>
      <c r="CP976" s="435">
        <f t="shared" si="1599"/>
        <v>87.613793423199994</v>
      </c>
      <c r="CQ976" s="432">
        <f t="shared" si="1599"/>
        <v>60.13069540019999</v>
      </c>
      <c r="CR976" s="432">
        <f t="shared" si="1599"/>
        <v>59.04467703840001</v>
      </c>
      <c r="CS976" s="432">
        <f t="shared" si="1599"/>
        <v>77.571227140099992</v>
      </c>
      <c r="CT976" s="432">
        <f t="shared" si="1599"/>
        <v>56.983891421400003</v>
      </c>
      <c r="CU976" s="432">
        <f t="shared" si="1599"/>
        <v>55.233619734400001</v>
      </c>
      <c r="CV976" s="432">
        <f t="shared" si="1599"/>
        <v>79.648759425700007</v>
      </c>
      <c r="CW976" s="432">
        <f t="shared" si="1599"/>
        <v>63.564419083499999</v>
      </c>
      <c r="CX976" s="432">
        <f t="shared" si="1599"/>
        <v>56.871880704899993</v>
      </c>
      <c r="CY976" s="432">
        <f t="shared" si="1599"/>
        <v>93.172891711000005</v>
      </c>
      <c r="CZ976" s="432">
        <f t="shared" si="1599"/>
        <v>69.108155242199999</v>
      </c>
      <c r="DA976" s="432">
        <f t="shared" si="1599"/>
        <v>65.436950582800009</v>
      </c>
      <c r="DB976" s="1519">
        <f t="shared" si="1599"/>
        <v>93.470612855200002</v>
      </c>
      <c r="DC976" s="432">
        <f t="shared" si="1599"/>
        <v>66.899926132465808</v>
      </c>
      <c r="DD976" s="432">
        <f t="shared" si="1599"/>
        <v>68.245586880935562</v>
      </c>
      <c r="DE976" s="432">
        <f t="shared" si="1599"/>
        <v>86.824346869568416</v>
      </c>
      <c r="DF976" s="432">
        <f t="shared" si="1599"/>
        <v>77.768789279906358</v>
      </c>
      <c r="DG976" s="432">
        <f t="shared" si="1599"/>
        <v>70.290688721549131</v>
      </c>
      <c r="DH976" s="432">
        <f t="shared" si="1599"/>
        <v>94.437271875493821</v>
      </c>
      <c r="DI976" s="432">
        <f t="shared" si="1599"/>
        <v>76.998886418319074</v>
      </c>
      <c r="DJ976" s="432">
        <f t="shared" si="1599"/>
        <v>72.781232871814339</v>
      </c>
      <c r="DK976" s="432">
        <f t="shared" si="1599"/>
        <v>113.69690742097904</v>
      </c>
      <c r="DL976" s="432">
        <f t="shared" si="1599"/>
        <v>78.445692153350137</v>
      </c>
      <c r="DM976" s="432">
        <f t="shared" si="1599"/>
        <v>78.436310386163612</v>
      </c>
      <c r="DN976" s="435">
        <f t="shared" si="1599"/>
        <v>115.54161037543037</v>
      </c>
      <c r="DO976" s="432">
        <f t="shared" si="1599"/>
        <v>67.24378485328306</v>
      </c>
      <c r="DP976" s="432">
        <f t="shared" si="1599"/>
        <v>80.020170967565377</v>
      </c>
      <c r="DQ976" s="432">
        <f t="shared" si="1599"/>
        <v>93.417646211050737</v>
      </c>
      <c r="DR976" s="432">
        <f t="shared" si="1599"/>
        <v>71.710702953049363</v>
      </c>
      <c r="DS976" s="432">
        <f t="shared" si="1599"/>
        <v>74.685107629818347</v>
      </c>
      <c r="DT976" s="432">
        <f t="shared" si="1599"/>
        <v>100.0551486989196</v>
      </c>
      <c r="DU976" s="432">
        <f t="shared" si="1599"/>
        <v>83.668729627200236</v>
      </c>
      <c r="DV976" s="432">
        <f t="shared" si="1599"/>
        <v>77.275728463722075</v>
      </c>
      <c r="DW976" s="432">
        <f t="shared" si="1599"/>
        <v>126.0845368149709</v>
      </c>
      <c r="DX976" s="432">
        <f t="shared" si="1599"/>
        <v>76.135244471367301</v>
      </c>
      <c r="DY976" s="432">
        <f t="shared" si="1599"/>
        <v>83.725678370989797</v>
      </c>
      <c r="DZ976" s="435">
        <f t="shared" si="1599"/>
        <v>118.39807715427889</v>
      </c>
      <c r="EA976" s="432">
        <f t="shared" si="1599"/>
        <v>77.131139934568424</v>
      </c>
      <c r="EB976" s="432">
        <f t="shared" si="1599"/>
        <v>85.064671576639626</v>
      </c>
      <c r="EC976" s="432">
        <f t="shared" ref="EC976:GH976" si="1600">EC$667</f>
        <v>105.73529056923476</v>
      </c>
      <c r="ED976" s="432">
        <f t="shared" si="1600"/>
        <v>91.398602824108167</v>
      </c>
      <c r="EE976" s="432">
        <f t="shared" si="1600"/>
        <v>85.558614639260611</v>
      </c>
      <c r="EF976" s="432">
        <f t="shared" si="1600"/>
        <v>114.65280414025804</v>
      </c>
      <c r="EG976" s="432">
        <f t="shared" si="1600"/>
        <v>99.51139740181128</v>
      </c>
      <c r="EH976" s="432">
        <f t="shared" si="1600"/>
        <v>84.319556122114008</v>
      </c>
      <c r="EI976" s="432">
        <f t="shared" si="1600"/>
        <v>133.25942373731618</v>
      </c>
      <c r="EJ976" s="432">
        <f t="shared" si="1600"/>
        <v>103.29260755838931</v>
      </c>
      <c r="EK976" s="432">
        <f t="shared" si="1600"/>
        <v>89.475933699727847</v>
      </c>
      <c r="EL976" s="435">
        <f t="shared" si="1600"/>
        <v>129.57340025709945</v>
      </c>
      <c r="EM976" s="432">
        <f t="shared" si="1600"/>
        <v>88.812454326839998</v>
      </c>
      <c r="EN976" s="432">
        <f t="shared" si="1600"/>
        <v>103.19555137677001</v>
      </c>
      <c r="EO976" s="432">
        <f t="shared" si="1600"/>
        <v>116.14608373476</v>
      </c>
      <c r="EP976" s="432">
        <f t="shared" si="1600"/>
        <v>101.63279526957668</v>
      </c>
      <c r="EQ976" s="432">
        <f t="shared" si="1600"/>
        <v>99.20474964683666</v>
      </c>
      <c r="ER976" s="432">
        <f t="shared" si="1600"/>
        <v>138.3298491095467</v>
      </c>
      <c r="ES976" s="432">
        <f t="shared" si="1600"/>
        <v>117.4347124288328</v>
      </c>
      <c r="ET976" s="432">
        <f t="shared" si="1600"/>
        <v>106.05712111844994</v>
      </c>
      <c r="EU976" s="432">
        <f t="shared" si="1600"/>
        <v>128.69624140632001</v>
      </c>
      <c r="EV976" s="432">
        <f t="shared" si="1600"/>
        <v>128.4253273124944</v>
      </c>
      <c r="EW976" s="432">
        <f t="shared" si="1600"/>
        <v>114.30942840778002</v>
      </c>
      <c r="EX976" s="435">
        <f t="shared" si="1600"/>
        <v>160.27794428067008</v>
      </c>
      <c r="EY976" s="432">
        <f t="shared" si="1600"/>
        <v>105.65950605125064</v>
      </c>
      <c r="EZ976" s="432">
        <f t="shared" si="1600"/>
        <v>114.2113842418846</v>
      </c>
      <c r="FA976" s="432">
        <f t="shared" si="1600"/>
        <v>132.89683536742749</v>
      </c>
      <c r="FB976" s="432">
        <f t="shared" si="1600"/>
        <v>108.92264112604063</v>
      </c>
      <c r="FC976" s="432">
        <f t="shared" si="1600"/>
        <v>106.68326342096984</v>
      </c>
      <c r="FD976" s="432">
        <f t="shared" si="1600"/>
        <v>165.17336859615594</v>
      </c>
      <c r="FE976" s="432">
        <f t="shared" si="1600"/>
        <v>129.17978821231756</v>
      </c>
      <c r="FF976" s="432">
        <f t="shared" si="1600"/>
        <v>116.33520310306274</v>
      </c>
      <c r="FG976" s="432">
        <f t="shared" si="1600"/>
        <v>123.84354192911091</v>
      </c>
      <c r="FH976" s="432">
        <f t="shared" si="1600"/>
        <v>111.61971296276113</v>
      </c>
      <c r="FI976" s="432">
        <f t="shared" si="1600"/>
        <v>92.550406284305652</v>
      </c>
      <c r="FJ976" s="435">
        <f t="shared" si="1600"/>
        <v>168.5330629930489</v>
      </c>
      <c r="FK976" s="432">
        <f t="shared" si="1600"/>
        <v>99.945885748172259</v>
      </c>
      <c r="FL976" s="432">
        <f t="shared" si="1600"/>
        <v>106.90137584125107</v>
      </c>
      <c r="FM976" s="432">
        <f t="shared" si="1600"/>
        <v>155.09121168506633</v>
      </c>
      <c r="FN976" s="432">
        <f t="shared" si="1600"/>
        <v>118.94741214038808</v>
      </c>
      <c r="FO976" s="432">
        <f t="shared" si="1600"/>
        <v>119.17105225139113</v>
      </c>
      <c r="FP976" s="432">
        <f t="shared" si="1600"/>
        <v>161.98099204682552</v>
      </c>
      <c r="FQ976" s="432">
        <f t="shared" si="1600"/>
        <v>118.21035142438593</v>
      </c>
      <c r="FR976" s="432">
        <f t="shared" si="1600"/>
        <v>121.65400060516743</v>
      </c>
      <c r="FS976" s="432">
        <f t="shared" si="1600"/>
        <v>169.64471663081804</v>
      </c>
      <c r="FT976" s="432">
        <f t="shared" si="1600"/>
        <v>131.6406722489491</v>
      </c>
      <c r="FU976" s="432">
        <f t="shared" si="1600"/>
        <v>129.16985994808741</v>
      </c>
      <c r="FV976" s="435">
        <f t="shared" si="1600"/>
        <v>189.33175192633266</v>
      </c>
      <c r="FW976" s="432">
        <f t="shared" si="1600"/>
        <v>110.1156569781196</v>
      </c>
      <c r="FX976" s="432">
        <f t="shared" si="1600"/>
        <v>123.39516343103196</v>
      </c>
      <c r="FY976" s="432">
        <f t="shared" si="1600"/>
        <v>167.87899487170446</v>
      </c>
      <c r="FZ976" s="432">
        <f t="shared" si="1600"/>
        <v>129.13909366182429</v>
      </c>
      <c r="GA976" s="432">
        <f t="shared" si="1600"/>
        <v>135.90353463757307</v>
      </c>
      <c r="GB976" s="432">
        <f t="shared" si="1600"/>
        <v>186.33327966820102</v>
      </c>
      <c r="GC976" s="432">
        <f t="shared" si="1600"/>
        <v>146.46208294654627</v>
      </c>
      <c r="GD976" s="432">
        <f t="shared" si="1600"/>
        <v>134.54808684712521</v>
      </c>
      <c r="GE976" s="432">
        <f t="shared" si="1600"/>
        <v>232.31337755216748</v>
      </c>
      <c r="GF976" s="432">
        <f t="shared" si="1600"/>
        <v>142.49260437009488</v>
      </c>
      <c r="GG976" s="432">
        <f t="shared" si="1600"/>
        <v>145.4445077296626</v>
      </c>
      <c r="GH976" s="432">
        <f t="shared" si="1600"/>
        <v>222.74720845481093</v>
      </c>
      <c r="HN976" s="363"/>
      <c r="HO976" s="436" t="s">
        <v>494</v>
      </c>
      <c r="HP976" s="436"/>
      <c r="HQ976" s="436"/>
      <c r="HR976" s="302">
        <f>HR$667</f>
        <v>727.99377472419997</v>
      </c>
      <c r="HS976" s="302">
        <f>HS$667</f>
        <v>388.61287016020003</v>
      </c>
      <c r="HT976" s="302">
        <f>HT$667</f>
        <v>441.62491017960002</v>
      </c>
      <c r="HU976" s="457">
        <f>HU$667</f>
        <v>830.23778033980011</v>
      </c>
      <c r="HV976" s="307"/>
      <c r="HX976" s="457">
        <f>HX$667</f>
        <v>1000.3672493859756</v>
      </c>
      <c r="IA976" s="457">
        <f>IA$667</f>
        <v>1052.4205562162156</v>
      </c>
      <c r="ID976" s="457">
        <f>ID$667</f>
        <v>1198.9734424605276</v>
      </c>
      <c r="IE976" s="457"/>
      <c r="IF976" s="457"/>
      <c r="IG976" s="457">
        <f>IG$667</f>
        <v>1402.5222584188773</v>
      </c>
      <c r="IH976" s="457"/>
      <c r="II976" s="457"/>
      <c r="IJ976" s="457">
        <f>IJ$667</f>
        <v>1475.6087142883362</v>
      </c>
      <c r="IK976" s="457"/>
      <c r="IL976" s="457"/>
      <c r="IM976" s="457">
        <f>IM$667</f>
        <v>1621.6892824968349</v>
      </c>
      <c r="IN976" s="457"/>
      <c r="IO976" s="457">
        <f>IO$667</f>
        <v>1024.0078679004075</v>
      </c>
      <c r="IP976" s="457">
        <f>IP$667</f>
        <v>1876.7735911488621</v>
      </c>
      <c r="IQ976" s="457">
        <f>IQ$667</f>
        <v>1070.2524980307714</v>
      </c>
      <c r="IR976" s="457">
        <f>IR$667</f>
        <v>1217.1192987819688</v>
      </c>
      <c r="IS976" s="457"/>
      <c r="IT976" s="457"/>
      <c r="IU976" s="457"/>
      <c r="IV976" s="457"/>
      <c r="IW976" s="457"/>
      <c r="IX976" s="457"/>
      <c r="IY976" s="457"/>
      <c r="KI976" s="363"/>
      <c r="KJ976" s="364"/>
      <c r="KM976" s="302">
        <f>KM$667</f>
        <v>0</v>
      </c>
      <c r="KN976" s="302">
        <f>KN$667</f>
        <v>0</v>
      </c>
      <c r="KO976" s="302">
        <f>KO$667</f>
        <v>0</v>
      </c>
      <c r="KP976" s="302">
        <f>KP$667</f>
        <v>0</v>
      </c>
    </row>
    <row r="977" spans="1:302">
      <c r="A977" s="302"/>
      <c r="B977" s="117" t="s">
        <v>361</v>
      </c>
      <c r="D977" s="436" t="str">
        <f>D$707</f>
        <v xml:space="preserve">Social contributions </v>
      </c>
      <c r="E977" s="432">
        <f>E$707</f>
        <v>0</v>
      </c>
      <c r="F977" s="432">
        <f t="shared" ref="F977:L977" si="1601">F$707</f>
        <v>0</v>
      </c>
      <c r="G977" s="432">
        <f t="shared" si="1601"/>
        <v>0</v>
      </c>
      <c r="H977" s="432">
        <f t="shared" si="1601"/>
        <v>0</v>
      </c>
      <c r="I977" s="432">
        <f t="shared" si="1601"/>
        <v>0</v>
      </c>
      <c r="J977" s="432">
        <f t="shared" si="1601"/>
        <v>0</v>
      </c>
      <c r="K977" s="432">
        <f t="shared" si="1601"/>
        <v>0</v>
      </c>
      <c r="L977" s="432">
        <f t="shared" si="1601"/>
        <v>0</v>
      </c>
      <c r="M977" s="432">
        <f t="shared" ref="M977:AW977" si="1602">M$707</f>
        <v>0</v>
      </c>
      <c r="N977" s="432">
        <f t="shared" si="1602"/>
        <v>0</v>
      </c>
      <c r="O977" s="432">
        <f t="shared" si="1602"/>
        <v>0</v>
      </c>
      <c r="P977" s="432">
        <f t="shared" si="1602"/>
        <v>0</v>
      </c>
      <c r="Q977" s="432">
        <f t="shared" si="1602"/>
        <v>0</v>
      </c>
      <c r="R977" s="432">
        <f t="shared" si="1602"/>
        <v>0</v>
      </c>
      <c r="S977" s="432">
        <f t="shared" si="1602"/>
        <v>0</v>
      </c>
      <c r="T977" s="432">
        <f t="shared" si="1602"/>
        <v>0</v>
      </c>
      <c r="U977" s="432">
        <f t="shared" si="1602"/>
        <v>0</v>
      </c>
      <c r="V977" s="432">
        <f t="shared" si="1602"/>
        <v>0</v>
      </c>
      <c r="W977" s="432">
        <f t="shared" si="1602"/>
        <v>0</v>
      </c>
      <c r="X977" s="432">
        <f t="shared" si="1602"/>
        <v>0</v>
      </c>
      <c r="Y977" s="432">
        <f t="shared" si="1602"/>
        <v>0</v>
      </c>
      <c r="Z977" s="432">
        <f t="shared" si="1602"/>
        <v>0</v>
      </c>
      <c r="AA977" s="432">
        <f t="shared" si="1602"/>
        <v>0</v>
      </c>
      <c r="AB977" s="432">
        <f t="shared" si="1602"/>
        <v>0</v>
      </c>
      <c r="AC977" s="432">
        <f t="shared" si="1602"/>
        <v>0</v>
      </c>
      <c r="AD977" s="432">
        <f t="shared" si="1602"/>
        <v>0</v>
      </c>
      <c r="AE977" s="432">
        <f t="shared" si="1602"/>
        <v>0</v>
      </c>
      <c r="AF977" s="432">
        <f t="shared" si="1602"/>
        <v>0</v>
      </c>
      <c r="AG977" s="432">
        <f t="shared" si="1602"/>
        <v>0</v>
      </c>
      <c r="AH977" s="432">
        <f t="shared" si="1602"/>
        <v>0</v>
      </c>
      <c r="AI977" s="432">
        <f t="shared" si="1602"/>
        <v>0</v>
      </c>
      <c r="AJ977" s="432">
        <f t="shared" si="1602"/>
        <v>0</v>
      </c>
      <c r="AK977" s="432">
        <f t="shared" si="1602"/>
        <v>0</v>
      </c>
      <c r="AL977" s="432">
        <f t="shared" si="1602"/>
        <v>0</v>
      </c>
      <c r="AM977" s="432">
        <f t="shared" si="1602"/>
        <v>0</v>
      </c>
      <c r="AN977" s="432">
        <f t="shared" si="1602"/>
        <v>0</v>
      </c>
      <c r="AO977" s="432">
        <f t="shared" si="1602"/>
        <v>0</v>
      </c>
      <c r="AP977" s="432">
        <f t="shared" si="1602"/>
        <v>0</v>
      </c>
      <c r="AQ977" s="432">
        <f t="shared" si="1602"/>
        <v>0</v>
      </c>
      <c r="AR977" s="432">
        <f t="shared" si="1602"/>
        <v>0</v>
      </c>
      <c r="AS977" s="432">
        <f t="shared" si="1602"/>
        <v>0</v>
      </c>
      <c r="AT977" s="432">
        <f t="shared" si="1602"/>
        <v>0</v>
      </c>
      <c r="AU977" s="432">
        <f t="shared" si="1602"/>
        <v>0</v>
      </c>
      <c r="AV977" s="432">
        <f t="shared" si="1602"/>
        <v>0</v>
      </c>
      <c r="AW977" s="432">
        <f t="shared" si="1602"/>
        <v>0</v>
      </c>
      <c r="AX977" s="432">
        <f t="shared" ref="AX977:BP977" si="1603">AX$707</f>
        <v>0</v>
      </c>
      <c r="AY977" s="432">
        <f t="shared" si="1603"/>
        <v>0</v>
      </c>
      <c r="AZ977" s="432">
        <f t="shared" si="1603"/>
        <v>0</v>
      </c>
      <c r="BA977" s="432">
        <f t="shared" si="1603"/>
        <v>0</v>
      </c>
      <c r="BB977" s="432">
        <f t="shared" si="1603"/>
        <v>0</v>
      </c>
      <c r="BC977" s="432">
        <f t="shared" si="1603"/>
        <v>0</v>
      </c>
      <c r="BD977" s="432">
        <f t="shared" si="1603"/>
        <v>0</v>
      </c>
      <c r="BE977" s="432">
        <f t="shared" si="1603"/>
        <v>0</v>
      </c>
      <c r="BF977" s="432">
        <f t="shared" si="1603"/>
        <v>0</v>
      </c>
      <c r="BG977" s="432">
        <f t="shared" si="1603"/>
        <v>0</v>
      </c>
      <c r="BH977" s="432">
        <f t="shared" si="1603"/>
        <v>0</v>
      </c>
      <c r="BI977" s="432">
        <f t="shared" si="1603"/>
        <v>0</v>
      </c>
      <c r="BJ977" s="432">
        <f t="shared" si="1603"/>
        <v>0</v>
      </c>
      <c r="BK977" s="432">
        <f t="shared" si="1603"/>
        <v>0</v>
      </c>
      <c r="BL977" s="432">
        <f t="shared" si="1603"/>
        <v>0</v>
      </c>
      <c r="BM977" s="432">
        <f t="shared" si="1603"/>
        <v>0</v>
      </c>
      <c r="BN977" s="432">
        <f t="shared" si="1603"/>
        <v>0</v>
      </c>
      <c r="BO977" s="432">
        <f t="shared" si="1603"/>
        <v>0</v>
      </c>
      <c r="BP977" s="432">
        <f t="shared" si="1603"/>
        <v>0</v>
      </c>
      <c r="BQ977" s="432">
        <f t="shared" ref="BQ977:EB977" si="1604">BQ$707</f>
        <v>0</v>
      </c>
      <c r="BR977" s="432">
        <f t="shared" si="1604"/>
        <v>0</v>
      </c>
      <c r="BS977" s="432">
        <f t="shared" si="1604"/>
        <v>0</v>
      </c>
      <c r="BT977" s="432">
        <f t="shared" si="1604"/>
        <v>0</v>
      </c>
      <c r="BU977" s="432">
        <f t="shared" si="1604"/>
        <v>0</v>
      </c>
      <c r="BV977" s="432">
        <f t="shared" si="1604"/>
        <v>0</v>
      </c>
      <c r="BW977" s="432">
        <f t="shared" si="1604"/>
        <v>0</v>
      </c>
      <c r="BX977" s="432">
        <f t="shared" si="1604"/>
        <v>0</v>
      </c>
      <c r="BY977" s="432">
        <f t="shared" si="1604"/>
        <v>0</v>
      </c>
      <c r="BZ977" s="432">
        <f t="shared" si="1604"/>
        <v>0</v>
      </c>
      <c r="CA977" s="432">
        <f t="shared" si="1604"/>
        <v>0</v>
      </c>
      <c r="CB977" s="432">
        <f t="shared" si="1604"/>
        <v>0</v>
      </c>
      <c r="CC977" s="432">
        <f t="shared" si="1604"/>
        <v>0</v>
      </c>
      <c r="CD977" s="433">
        <f t="shared" si="1604"/>
        <v>0</v>
      </c>
      <c r="CE977" s="432">
        <f t="shared" si="1604"/>
        <v>0</v>
      </c>
      <c r="CF977" s="432">
        <f t="shared" si="1604"/>
        <v>0</v>
      </c>
      <c r="CG977" s="432">
        <f t="shared" si="1604"/>
        <v>0</v>
      </c>
      <c r="CH977" s="432">
        <f t="shared" si="1604"/>
        <v>0</v>
      </c>
      <c r="CI977" s="432">
        <f t="shared" si="1604"/>
        <v>0</v>
      </c>
      <c r="CJ977" s="432">
        <f t="shared" si="1604"/>
        <v>0</v>
      </c>
      <c r="CK977" s="432">
        <f t="shared" si="1604"/>
        <v>0</v>
      </c>
      <c r="CL977" s="432">
        <f t="shared" si="1604"/>
        <v>0</v>
      </c>
      <c r="CM977" s="432">
        <f t="shared" si="1604"/>
        <v>0</v>
      </c>
      <c r="CN977" s="432">
        <f t="shared" si="1604"/>
        <v>0</v>
      </c>
      <c r="CO977" s="432">
        <f t="shared" si="1604"/>
        <v>0</v>
      </c>
      <c r="CP977" s="435">
        <f t="shared" si="1604"/>
        <v>0</v>
      </c>
      <c r="CQ977" s="432">
        <f t="shared" si="1604"/>
        <v>0</v>
      </c>
      <c r="CR977" s="432">
        <f t="shared" si="1604"/>
        <v>0</v>
      </c>
      <c r="CS977" s="432">
        <f t="shared" si="1604"/>
        <v>0</v>
      </c>
      <c r="CT977" s="432">
        <f t="shared" si="1604"/>
        <v>0</v>
      </c>
      <c r="CU977" s="432">
        <f t="shared" si="1604"/>
        <v>0</v>
      </c>
      <c r="CV977" s="432">
        <f t="shared" si="1604"/>
        <v>0</v>
      </c>
      <c r="CW977" s="432">
        <f t="shared" si="1604"/>
        <v>0</v>
      </c>
      <c r="CX977" s="432">
        <f t="shared" si="1604"/>
        <v>0</v>
      </c>
      <c r="CY977" s="432">
        <f t="shared" si="1604"/>
        <v>0</v>
      </c>
      <c r="CZ977" s="432">
        <f t="shared" si="1604"/>
        <v>0</v>
      </c>
      <c r="DA977" s="432">
        <f t="shared" si="1604"/>
        <v>0</v>
      </c>
      <c r="DB977" s="1519">
        <f t="shared" si="1604"/>
        <v>0</v>
      </c>
      <c r="DC977" s="432">
        <f t="shared" si="1604"/>
        <v>0</v>
      </c>
      <c r="DD977" s="432">
        <f t="shared" si="1604"/>
        <v>0</v>
      </c>
      <c r="DE977" s="432">
        <f t="shared" si="1604"/>
        <v>0</v>
      </c>
      <c r="DF977" s="432">
        <f t="shared" si="1604"/>
        <v>0</v>
      </c>
      <c r="DG977" s="432">
        <f t="shared" si="1604"/>
        <v>0</v>
      </c>
      <c r="DH977" s="432">
        <f t="shared" si="1604"/>
        <v>0</v>
      </c>
      <c r="DI977" s="432">
        <f t="shared" si="1604"/>
        <v>0</v>
      </c>
      <c r="DJ977" s="432">
        <f t="shared" si="1604"/>
        <v>0</v>
      </c>
      <c r="DK977" s="432">
        <f t="shared" si="1604"/>
        <v>0</v>
      </c>
      <c r="DL977" s="432">
        <f t="shared" si="1604"/>
        <v>0</v>
      </c>
      <c r="DM977" s="432">
        <f t="shared" si="1604"/>
        <v>0</v>
      </c>
      <c r="DN977" s="435">
        <f t="shared" si="1604"/>
        <v>0</v>
      </c>
      <c r="DO977" s="432">
        <f t="shared" si="1604"/>
        <v>0</v>
      </c>
      <c r="DP977" s="432">
        <f t="shared" si="1604"/>
        <v>0</v>
      </c>
      <c r="DQ977" s="432">
        <f t="shared" si="1604"/>
        <v>0</v>
      </c>
      <c r="DR977" s="432">
        <f t="shared" si="1604"/>
        <v>0</v>
      </c>
      <c r="DS977" s="432">
        <f t="shared" si="1604"/>
        <v>0</v>
      </c>
      <c r="DT977" s="432">
        <f t="shared" si="1604"/>
        <v>0</v>
      </c>
      <c r="DU977" s="432">
        <f t="shared" si="1604"/>
        <v>0</v>
      </c>
      <c r="DV977" s="432">
        <f t="shared" si="1604"/>
        <v>0</v>
      </c>
      <c r="DW977" s="432">
        <f t="shared" si="1604"/>
        <v>0</v>
      </c>
      <c r="DX977" s="432">
        <f t="shared" si="1604"/>
        <v>0</v>
      </c>
      <c r="DY977" s="432">
        <f t="shared" si="1604"/>
        <v>0</v>
      </c>
      <c r="DZ977" s="435">
        <f t="shared" si="1604"/>
        <v>0</v>
      </c>
      <c r="EA977" s="432">
        <f t="shared" si="1604"/>
        <v>0</v>
      </c>
      <c r="EB977" s="432">
        <f t="shared" si="1604"/>
        <v>0</v>
      </c>
      <c r="EC977" s="432">
        <f t="shared" ref="EC977:GH977" si="1605">EC$707</f>
        <v>0</v>
      </c>
      <c r="ED977" s="432">
        <f t="shared" si="1605"/>
        <v>0</v>
      </c>
      <c r="EE977" s="432">
        <f t="shared" si="1605"/>
        <v>0</v>
      </c>
      <c r="EF977" s="432">
        <f t="shared" si="1605"/>
        <v>0</v>
      </c>
      <c r="EG977" s="432">
        <f t="shared" si="1605"/>
        <v>0</v>
      </c>
      <c r="EH977" s="432">
        <f t="shared" si="1605"/>
        <v>0</v>
      </c>
      <c r="EI977" s="432">
        <f t="shared" si="1605"/>
        <v>0</v>
      </c>
      <c r="EJ977" s="432">
        <f t="shared" si="1605"/>
        <v>0</v>
      </c>
      <c r="EK977" s="432">
        <f t="shared" si="1605"/>
        <v>0</v>
      </c>
      <c r="EL977" s="435">
        <f t="shared" si="1605"/>
        <v>0</v>
      </c>
      <c r="EM977" s="432">
        <f t="shared" si="1605"/>
        <v>0</v>
      </c>
      <c r="EN977" s="432">
        <f t="shared" si="1605"/>
        <v>0</v>
      </c>
      <c r="EO977" s="432">
        <f t="shared" si="1605"/>
        <v>0</v>
      </c>
      <c r="EP977" s="432">
        <f t="shared" si="1605"/>
        <v>0</v>
      </c>
      <c r="EQ977" s="432">
        <f t="shared" si="1605"/>
        <v>0</v>
      </c>
      <c r="ER977" s="432">
        <f t="shared" si="1605"/>
        <v>0</v>
      </c>
      <c r="ES977" s="432">
        <f t="shared" si="1605"/>
        <v>0</v>
      </c>
      <c r="ET977" s="432">
        <f t="shared" si="1605"/>
        <v>0</v>
      </c>
      <c r="EU977" s="432">
        <f t="shared" si="1605"/>
        <v>0</v>
      </c>
      <c r="EV977" s="432">
        <f t="shared" si="1605"/>
        <v>0</v>
      </c>
      <c r="EW977" s="432">
        <f t="shared" si="1605"/>
        <v>0</v>
      </c>
      <c r="EX977" s="435">
        <f t="shared" si="1605"/>
        <v>0</v>
      </c>
      <c r="EY977" s="432">
        <f t="shared" si="1605"/>
        <v>0</v>
      </c>
      <c r="EZ977" s="432">
        <f t="shared" si="1605"/>
        <v>0</v>
      </c>
      <c r="FA977" s="432">
        <f t="shared" si="1605"/>
        <v>0</v>
      </c>
      <c r="FB977" s="432">
        <f t="shared" si="1605"/>
        <v>0</v>
      </c>
      <c r="FC977" s="432">
        <f t="shared" si="1605"/>
        <v>0</v>
      </c>
      <c r="FD977" s="432">
        <f t="shared" si="1605"/>
        <v>0</v>
      </c>
      <c r="FE977" s="432">
        <f t="shared" si="1605"/>
        <v>0</v>
      </c>
      <c r="FF977" s="432">
        <f t="shared" si="1605"/>
        <v>0</v>
      </c>
      <c r="FG977" s="432">
        <f t="shared" si="1605"/>
        <v>0</v>
      </c>
      <c r="FH977" s="432">
        <f t="shared" si="1605"/>
        <v>0</v>
      </c>
      <c r="FI977" s="432">
        <f t="shared" si="1605"/>
        <v>0</v>
      </c>
      <c r="FJ977" s="435">
        <f t="shared" si="1605"/>
        <v>0</v>
      </c>
      <c r="FK977" s="432">
        <f t="shared" si="1605"/>
        <v>0</v>
      </c>
      <c r="FL977" s="432">
        <f t="shared" si="1605"/>
        <v>0</v>
      </c>
      <c r="FM977" s="432">
        <f t="shared" si="1605"/>
        <v>0</v>
      </c>
      <c r="FN977" s="432">
        <f t="shared" si="1605"/>
        <v>0</v>
      </c>
      <c r="FO977" s="432">
        <f t="shared" si="1605"/>
        <v>0</v>
      </c>
      <c r="FP977" s="432">
        <f t="shared" si="1605"/>
        <v>0</v>
      </c>
      <c r="FQ977" s="432">
        <f t="shared" si="1605"/>
        <v>0</v>
      </c>
      <c r="FR977" s="432">
        <f t="shared" si="1605"/>
        <v>0</v>
      </c>
      <c r="FS977" s="432">
        <f t="shared" si="1605"/>
        <v>0</v>
      </c>
      <c r="FT977" s="432">
        <f t="shared" si="1605"/>
        <v>0</v>
      </c>
      <c r="FU977" s="432">
        <f t="shared" si="1605"/>
        <v>0</v>
      </c>
      <c r="FV977" s="435">
        <f t="shared" si="1605"/>
        <v>0</v>
      </c>
      <c r="FW977" s="432">
        <f t="shared" si="1605"/>
        <v>0</v>
      </c>
      <c r="FX977" s="432">
        <f t="shared" si="1605"/>
        <v>0</v>
      </c>
      <c r="FY977" s="432">
        <f t="shared" si="1605"/>
        <v>0</v>
      </c>
      <c r="FZ977" s="432">
        <f t="shared" si="1605"/>
        <v>0</v>
      </c>
      <c r="GA977" s="432">
        <f t="shared" si="1605"/>
        <v>0</v>
      </c>
      <c r="GB977" s="432">
        <f t="shared" si="1605"/>
        <v>0</v>
      </c>
      <c r="GC977" s="432">
        <f t="shared" si="1605"/>
        <v>0</v>
      </c>
      <c r="GD977" s="432">
        <f t="shared" si="1605"/>
        <v>0</v>
      </c>
      <c r="GE977" s="432">
        <f t="shared" si="1605"/>
        <v>0</v>
      </c>
      <c r="GF977" s="432">
        <f t="shared" si="1605"/>
        <v>0</v>
      </c>
      <c r="GG977" s="432">
        <f t="shared" si="1605"/>
        <v>0</v>
      </c>
      <c r="GH977" s="432">
        <f t="shared" si="1605"/>
        <v>0</v>
      </c>
      <c r="HN977" s="363"/>
      <c r="HO977" s="436" t="s">
        <v>528</v>
      </c>
      <c r="HP977" s="436"/>
      <c r="HQ977" s="436"/>
      <c r="HR977" s="302">
        <f>HR$707</f>
        <v>0</v>
      </c>
      <c r="HS977" s="302">
        <f>HS$707</f>
        <v>0</v>
      </c>
      <c r="HT977" s="302">
        <f>HT$707</f>
        <v>0</v>
      </c>
      <c r="HU977" s="457">
        <f>HU$707</f>
        <v>0</v>
      </c>
      <c r="HV977" s="307"/>
      <c r="HX977" s="457">
        <f>HX$707</f>
        <v>0</v>
      </c>
      <c r="IA977" s="457">
        <f>IA$707</f>
        <v>0</v>
      </c>
      <c r="ID977" s="457">
        <f>ID$707</f>
        <v>0</v>
      </c>
      <c r="IE977" s="457"/>
      <c r="IF977" s="457"/>
      <c r="IG977" s="457">
        <f>IG$707</f>
        <v>0</v>
      </c>
      <c r="IH977" s="457"/>
      <c r="II977" s="457"/>
      <c r="IJ977" s="457">
        <f>IJ$707</f>
        <v>0</v>
      </c>
      <c r="IK977" s="457"/>
      <c r="IL977" s="457"/>
      <c r="IM977" s="457">
        <f>IM$707</f>
        <v>0</v>
      </c>
      <c r="IN977" s="457"/>
      <c r="IO977" s="457">
        <f>IO$707</f>
        <v>0</v>
      </c>
      <c r="IP977" s="457">
        <f>IP$707</f>
        <v>0</v>
      </c>
      <c r="IQ977" s="457">
        <f>IQ$707</f>
        <v>0</v>
      </c>
      <c r="IR977" s="457">
        <f>IR$707</f>
        <v>0</v>
      </c>
      <c r="IS977" s="457"/>
      <c r="IT977" s="457"/>
      <c r="IU977" s="457"/>
      <c r="IV977" s="457"/>
      <c r="IW977" s="457"/>
      <c r="IX977" s="457"/>
      <c r="IY977" s="457"/>
      <c r="KI977" s="363"/>
      <c r="KJ977" s="364"/>
      <c r="KM977" s="302">
        <f>KM$707</f>
        <v>0</v>
      </c>
      <c r="KN977" s="302">
        <f>KN$707</f>
        <v>0</v>
      </c>
      <c r="KO977" s="302">
        <f>KO$707</f>
        <v>0</v>
      </c>
      <c r="KP977" s="302">
        <f>KP$707</f>
        <v>0</v>
      </c>
    </row>
    <row r="978" spans="1:302">
      <c r="A978" s="302"/>
      <c r="B978" s="117" t="s">
        <v>361</v>
      </c>
      <c r="D978" s="436" t="str">
        <f>D$717</f>
        <v xml:space="preserve">Grants </v>
      </c>
      <c r="E978" s="432">
        <f>E$717</f>
        <v>0</v>
      </c>
      <c r="F978" s="432">
        <f t="shared" ref="F978:L978" si="1606">F$717</f>
        <v>0</v>
      </c>
      <c r="G978" s="432">
        <f t="shared" si="1606"/>
        <v>0</v>
      </c>
      <c r="H978" s="432">
        <f t="shared" si="1606"/>
        <v>0</v>
      </c>
      <c r="I978" s="432">
        <f t="shared" si="1606"/>
        <v>0</v>
      </c>
      <c r="J978" s="432">
        <f t="shared" si="1606"/>
        <v>0</v>
      </c>
      <c r="K978" s="432">
        <f t="shared" si="1606"/>
        <v>0</v>
      </c>
      <c r="L978" s="432">
        <f t="shared" si="1606"/>
        <v>0</v>
      </c>
      <c r="M978" s="432">
        <f t="shared" ref="M978:AW978" si="1607">M$717</f>
        <v>0</v>
      </c>
      <c r="N978" s="432">
        <f t="shared" si="1607"/>
        <v>0</v>
      </c>
      <c r="O978" s="432">
        <f t="shared" si="1607"/>
        <v>0</v>
      </c>
      <c r="P978" s="432">
        <f t="shared" si="1607"/>
        <v>0</v>
      </c>
      <c r="Q978" s="432">
        <f t="shared" si="1607"/>
        <v>0</v>
      </c>
      <c r="R978" s="432">
        <f t="shared" si="1607"/>
        <v>0</v>
      </c>
      <c r="S978" s="432">
        <f t="shared" si="1607"/>
        <v>0</v>
      </c>
      <c r="T978" s="432">
        <f t="shared" si="1607"/>
        <v>0</v>
      </c>
      <c r="U978" s="432">
        <f t="shared" si="1607"/>
        <v>0</v>
      </c>
      <c r="V978" s="432">
        <f t="shared" si="1607"/>
        <v>0</v>
      </c>
      <c r="W978" s="432">
        <f t="shared" si="1607"/>
        <v>0</v>
      </c>
      <c r="X978" s="432">
        <f t="shared" si="1607"/>
        <v>0</v>
      </c>
      <c r="Y978" s="432">
        <f t="shared" si="1607"/>
        <v>0</v>
      </c>
      <c r="Z978" s="432">
        <f t="shared" si="1607"/>
        <v>0</v>
      </c>
      <c r="AA978" s="432">
        <f t="shared" si="1607"/>
        <v>0</v>
      </c>
      <c r="AB978" s="432">
        <f t="shared" si="1607"/>
        <v>0</v>
      </c>
      <c r="AC978" s="432">
        <f t="shared" si="1607"/>
        <v>0</v>
      </c>
      <c r="AD978" s="432">
        <f t="shared" si="1607"/>
        <v>0</v>
      </c>
      <c r="AE978" s="432">
        <f t="shared" si="1607"/>
        <v>0</v>
      </c>
      <c r="AF978" s="432">
        <f t="shared" si="1607"/>
        <v>0</v>
      </c>
      <c r="AG978" s="432">
        <f t="shared" si="1607"/>
        <v>0</v>
      </c>
      <c r="AH978" s="432">
        <f t="shared" si="1607"/>
        <v>0</v>
      </c>
      <c r="AI978" s="432">
        <f t="shared" si="1607"/>
        <v>0</v>
      </c>
      <c r="AJ978" s="432">
        <f t="shared" si="1607"/>
        <v>0</v>
      </c>
      <c r="AK978" s="432">
        <f t="shared" si="1607"/>
        <v>0</v>
      </c>
      <c r="AL978" s="432">
        <f t="shared" si="1607"/>
        <v>0</v>
      </c>
      <c r="AM978" s="432">
        <f t="shared" si="1607"/>
        <v>0</v>
      </c>
      <c r="AN978" s="432">
        <f t="shared" si="1607"/>
        <v>0</v>
      </c>
      <c r="AO978" s="432">
        <f t="shared" si="1607"/>
        <v>21.649201587</v>
      </c>
      <c r="AP978" s="432">
        <f t="shared" si="1607"/>
        <v>0</v>
      </c>
      <c r="AQ978" s="432">
        <f t="shared" si="1607"/>
        <v>8.0213442799999992</v>
      </c>
      <c r="AR978" s="432">
        <f t="shared" si="1607"/>
        <v>12.581843562</v>
      </c>
      <c r="AS978" s="432">
        <f t="shared" si="1607"/>
        <v>9.056692696999999</v>
      </c>
      <c r="AT978" s="432">
        <f t="shared" si="1607"/>
        <v>97.265289525</v>
      </c>
      <c r="AU978" s="432">
        <f t="shared" si="1607"/>
        <v>14.359943473818106</v>
      </c>
      <c r="AV978" s="432">
        <f t="shared" si="1607"/>
        <v>7.232509424266377</v>
      </c>
      <c r="AW978" s="432">
        <f t="shared" si="1607"/>
        <v>59.516871442659337</v>
      </c>
      <c r="AX978" s="432">
        <f t="shared" ref="AX978:BP978" si="1608">AX$717</f>
        <v>33.411417465369809</v>
      </c>
      <c r="AY978" s="432">
        <f t="shared" si="1608"/>
        <v>16.044825288505645</v>
      </c>
      <c r="AZ978" s="432">
        <f t="shared" si="1608"/>
        <v>109.82659987000741</v>
      </c>
      <c r="BA978" s="432">
        <f t="shared" si="1608"/>
        <v>8.8019992640933733</v>
      </c>
      <c r="BB978" s="432">
        <f t="shared" si="1608"/>
        <v>10.577286439512136</v>
      </c>
      <c r="BC978" s="432">
        <f t="shared" si="1608"/>
        <v>8.244866279878206</v>
      </c>
      <c r="BD978" s="432">
        <f t="shared" si="1608"/>
        <v>75.35028321798481</v>
      </c>
      <c r="BE978" s="432">
        <f t="shared" si="1608"/>
        <v>9.7280125404380176</v>
      </c>
      <c r="BF978" s="432">
        <f t="shared" si="1608"/>
        <v>27.298432574456768</v>
      </c>
      <c r="BG978" s="432">
        <f t="shared" si="1608"/>
        <v>49.565736672181224</v>
      </c>
      <c r="BH978" s="432">
        <f t="shared" si="1608"/>
        <v>45.808815921452073</v>
      </c>
      <c r="BI978" s="432">
        <f t="shared" si="1608"/>
        <v>44.04422361746596</v>
      </c>
      <c r="BJ978" s="432">
        <f t="shared" si="1608"/>
        <v>86.384493198957969</v>
      </c>
      <c r="BK978" s="432">
        <f t="shared" si="1608"/>
        <v>18.147950790476774</v>
      </c>
      <c r="BL978" s="432">
        <f t="shared" si="1608"/>
        <v>86.604788187888346</v>
      </c>
      <c r="BM978" s="432">
        <f t="shared" si="1608"/>
        <v>6.0136036638934369</v>
      </c>
      <c r="BN978" s="432">
        <f t="shared" si="1608"/>
        <v>11.641648074884673</v>
      </c>
      <c r="BO978" s="432">
        <f t="shared" si="1608"/>
        <v>16.867940131778187</v>
      </c>
      <c r="BP978" s="432">
        <f t="shared" si="1608"/>
        <v>5.4282211105678257</v>
      </c>
      <c r="BQ978" s="432">
        <f t="shared" ref="BQ978:EB978" si="1609">BQ$717</f>
        <v>4.8722007713956961</v>
      </c>
      <c r="BR978" s="432">
        <f t="shared" si="1609"/>
        <v>82.006366405057818</v>
      </c>
      <c r="BS978" s="432">
        <f t="shared" si="1609"/>
        <v>40.803880088389626</v>
      </c>
      <c r="BT978" s="432">
        <f t="shared" si="1609"/>
        <v>14.813409459931112</v>
      </c>
      <c r="BU978" s="432">
        <f t="shared" si="1609"/>
        <v>22.770009261522112</v>
      </c>
      <c r="BV978" s="432">
        <f t="shared" si="1609"/>
        <v>48.610405375930306</v>
      </c>
      <c r="BW978" s="432">
        <f t="shared" si="1609"/>
        <v>41.538890177774903</v>
      </c>
      <c r="BX978" s="432">
        <f t="shared" si="1609"/>
        <v>32.076902483857872</v>
      </c>
      <c r="BY978" s="432">
        <f t="shared" si="1609"/>
        <v>6.4084407417666696E-6</v>
      </c>
      <c r="BZ978" s="432">
        <f t="shared" si="1609"/>
        <v>3.9502690426215792</v>
      </c>
      <c r="CA978" s="432">
        <f t="shared" si="1609"/>
        <v>21.932064366094338</v>
      </c>
      <c r="CB978" s="432">
        <f t="shared" si="1609"/>
        <v>38.051989401949243</v>
      </c>
      <c r="CC978" s="432">
        <f t="shared" si="1609"/>
        <v>50.358811871651319</v>
      </c>
      <c r="CD978" s="433">
        <f t="shared" si="1609"/>
        <v>43.183925704585832</v>
      </c>
      <c r="CE978" s="432">
        <f t="shared" si="1609"/>
        <v>31.294496220706698</v>
      </c>
      <c r="CF978" s="432">
        <f t="shared" si="1609"/>
        <v>38.849477566021811</v>
      </c>
      <c r="CG978" s="432">
        <f t="shared" si="1609"/>
        <v>76.031701622894502</v>
      </c>
      <c r="CH978" s="432">
        <f t="shared" si="1609"/>
        <v>48.3828124680496</v>
      </c>
      <c r="CI978" s="432">
        <f t="shared" si="1609"/>
        <v>36.012732783613451</v>
      </c>
      <c r="CJ978" s="432">
        <f t="shared" si="1609"/>
        <v>62.84400919591495</v>
      </c>
      <c r="CK978" s="432">
        <f t="shared" si="1609"/>
        <v>22.369328398681304</v>
      </c>
      <c r="CL978" s="432">
        <f t="shared" si="1609"/>
        <v>15.370313869472696</v>
      </c>
      <c r="CM978" s="432">
        <f t="shared" si="1609"/>
        <v>15.260357731845993</v>
      </c>
      <c r="CN978" s="432">
        <f t="shared" si="1609"/>
        <v>60.223322623538365</v>
      </c>
      <c r="CO978" s="432">
        <f t="shared" si="1609"/>
        <v>36.611849603410164</v>
      </c>
      <c r="CP978" s="435">
        <f t="shared" si="1609"/>
        <v>31.066255138470598</v>
      </c>
      <c r="CQ978" s="432">
        <f t="shared" si="1609"/>
        <v>34.448433302576923</v>
      </c>
      <c r="CR978" s="432">
        <f t="shared" si="1609"/>
        <v>20.63533699242986</v>
      </c>
      <c r="CS978" s="432">
        <f t="shared" si="1609"/>
        <v>32.087946900292721</v>
      </c>
      <c r="CT978" s="432">
        <f t="shared" si="1609"/>
        <v>27.612034403931105</v>
      </c>
      <c r="CU978" s="432">
        <f t="shared" si="1609"/>
        <v>37.436683176818299</v>
      </c>
      <c r="CV978" s="432">
        <f t="shared" si="1609"/>
        <v>88.698945014422492</v>
      </c>
      <c r="CW978" s="432">
        <f t="shared" si="1609"/>
        <v>19.204165503062438</v>
      </c>
      <c r="CX978" s="432">
        <f t="shared" si="1609"/>
        <v>20.746947771968358</v>
      </c>
      <c r="CY978" s="432">
        <f t="shared" si="1609"/>
        <v>35.869115706465713</v>
      </c>
      <c r="CZ978" s="432">
        <f t="shared" si="1609"/>
        <v>25.985062782443698</v>
      </c>
      <c r="DA978" s="432">
        <f t="shared" si="1609"/>
        <v>51.924950351204735</v>
      </c>
      <c r="DB978" s="1519">
        <f t="shared" si="1609"/>
        <v>21.277785089683185</v>
      </c>
      <c r="DC978" s="432">
        <f t="shared" si="1609"/>
        <v>31.952444359087636</v>
      </c>
      <c r="DD978" s="432">
        <f t="shared" si="1609"/>
        <v>25.176932769502265</v>
      </c>
      <c r="DE978" s="432">
        <f t="shared" si="1609"/>
        <v>37.733474002093303</v>
      </c>
      <c r="DF978" s="432">
        <f t="shared" si="1609"/>
        <v>10.630564396348262</v>
      </c>
      <c r="DG978" s="432">
        <f t="shared" si="1609"/>
        <v>42.242365627815268</v>
      </c>
      <c r="DH978" s="432">
        <f t="shared" si="1609"/>
        <v>51.857928151955861</v>
      </c>
      <c r="DI978" s="432">
        <f t="shared" si="1609"/>
        <v>10.091643304932198</v>
      </c>
      <c r="DJ978" s="432">
        <f t="shared" si="1609"/>
        <v>14.552678703328509</v>
      </c>
      <c r="DK978" s="432">
        <f t="shared" si="1609"/>
        <v>15.303282783798712</v>
      </c>
      <c r="DL978" s="432">
        <f t="shared" si="1609"/>
        <v>65.287056068877121</v>
      </c>
      <c r="DM978" s="432">
        <f t="shared" si="1609"/>
        <v>19.525803094469907</v>
      </c>
      <c r="DN978" s="435">
        <f t="shared" si="1609"/>
        <v>49.359432531340339</v>
      </c>
      <c r="DO978" s="432">
        <f t="shared" si="1609"/>
        <v>33.422444226957452</v>
      </c>
      <c r="DP978" s="432">
        <f t="shared" si="1609"/>
        <v>18.29263575142069</v>
      </c>
      <c r="DQ978" s="432">
        <f t="shared" si="1609"/>
        <v>12.474113623446415</v>
      </c>
      <c r="DR978" s="432">
        <f t="shared" si="1609"/>
        <v>3.5377734003285308</v>
      </c>
      <c r="DS978" s="432">
        <f t="shared" si="1609"/>
        <v>31.35309165422964</v>
      </c>
      <c r="DT978" s="432">
        <f t="shared" si="1609"/>
        <v>66.135865509090536</v>
      </c>
      <c r="DU978" s="432">
        <f t="shared" si="1609"/>
        <v>26.913274467305172</v>
      </c>
      <c r="DV978" s="432">
        <f t="shared" si="1609"/>
        <v>15.756937633074747</v>
      </c>
      <c r="DW978" s="432">
        <f t="shared" si="1609"/>
        <v>20.479289792514571</v>
      </c>
      <c r="DX978" s="432">
        <f t="shared" si="1609"/>
        <v>18.128668872949451</v>
      </c>
      <c r="DY978" s="432">
        <f t="shared" si="1609"/>
        <v>11.651588312578538</v>
      </c>
      <c r="DZ978" s="435">
        <f t="shared" si="1609"/>
        <v>72.036400702622785</v>
      </c>
      <c r="EA978" s="432">
        <f t="shared" si="1609"/>
        <v>34.374027905691761</v>
      </c>
      <c r="EB978" s="432">
        <f t="shared" si="1609"/>
        <v>19.935162580397741</v>
      </c>
      <c r="EC978" s="432">
        <f t="shared" ref="EC978:GH978" si="1610">EC$717</f>
        <v>25.342666027910504</v>
      </c>
      <c r="ED978" s="432">
        <f t="shared" si="1610"/>
        <v>23.34687522806593</v>
      </c>
      <c r="EE978" s="432">
        <f t="shared" si="1610"/>
        <v>28.348180612750795</v>
      </c>
      <c r="EF978" s="432">
        <f t="shared" si="1610"/>
        <v>63.428379327498348</v>
      </c>
      <c r="EG978" s="432">
        <f t="shared" si="1610"/>
        <v>47.224657854775174</v>
      </c>
      <c r="EH978" s="432">
        <f t="shared" si="1610"/>
        <v>16.080746444490156</v>
      </c>
      <c r="EI978" s="432">
        <f t="shared" si="1610"/>
        <v>37.312599014628738</v>
      </c>
      <c r="EJ978" s="432">
        <f t="shared" si="1610"/>
        <v>24.48871988855079</v>
      </c>
      <c r="EK978" s="432">
        <f t="shared" si="1610"/>
        <v>8.1360103973705851</v>
      </c>
      <c r="EL978" s="435">
        <f t="shared" si="1610"/>
        <v>30.89065158657996</v>
      </c>
      <c r="EM978" s="432">
        <f t="shared" si="1610"/>
        <v>23.923055191511224</v>
      </c>
      <c r="EN978" s="432">
        <f t="shared" si="1610"/>
        <v>33.012554116012367</v>
      </c>
      <c r="EO978" s="432">
        <f t="shared" si="1610"/>
        <v>32.159939741700256</v>
      </c>
      <c r="EP978" s="432">
        <f t="shared" si="1610"/>
        <v>25.713574178749187</v>
      </c>
      <c r="EQ978" s="432">
        <f t="shared" si="1610"/>
        <v>8.589162902411001</v>
      </c>
      <c r="ER978" s="432">
        <f t="shared" si="1610"/>
        <v>111.15390138590099</v>
      </c>
      <c r="ES978" s="432">
        <f t="shared" si="1610"/>
        <v>25.804821157746737</v>
      </c>
      <c r="ET978" s="432">
        <f t="shared" si="1610"/>
        <v>40.261564226468217</v>
      </c>
      <c r="EU978" s="432">
        <f t="shared" si="1610"/>
        <v>26.416724477371513</v>
      </c>
      <c r="EV978" s="432">
        <f t="shared" si="1610"/>
        <v>31.9069752635531</v>
      </c>
      <c r="EW978" s="432">
        <f t="shared" si="1610"/>
        <v>9.2735813359162655</v>
      </c>
      <c r="EX978" s="435">
        <f t="shared" si="1610"/>
        <v>26.53420387887488</v>
      </c>
      <c r="EY978" s="432">
        <f t="shared" si="1610"/>
        <v>32.241833855093404</v>
      </c>
      <c r="EZ978" s="432">
        <f t="shared" si="1610"/>
        <v>19.120340874614172</v>
      </c>
      <c r="FA978" s="432">
        <f t="shared" si="1610"/>
        <v>42.084767594036236</v>
      </c>
      <c r="FB978" s="432">
        <f t="shared" si="1610"/>
        <v>17.141012261463228</v>
      </c>
      <c r="FC978" s="432">
        <f t="shared" si="1610"/>
        <v>28.591621457094867</v>
      </c>
      <c r="FD978" s="432">
        <f t="shared" si="1610"/>
        <v>81.29019426761478</v>
      </c>
      <c r="FE978" s="432">
        <f t="shared" si="1610"/>
        <v>18.57477772208745</v>
      </c>
      <c r="FF978" s="432">
        <f t="shared" si="1610"/>
        <v>40.829624657206764</v>
      </c>
      <c r="FG978" s="432">
        <f t="shared" si="1610"/>
        <v>23.485399915408056</v>
      </c>
      <c r="FH978" s="432">
        <f t="shared" si="1610"/>
        <v>43.434433253070914</v>
      </c>
      <c r="FI978" s="432">
        <f t="shared" si="1610"/>
        <v>25.711020665681996</v>
      </c>
      <c r="FJ978" s="435">
        <f t="shared" si="1610"/>
        <v>65.053378120495665</v>
      </c>
      <c r="FK978" s="432">
        <f t="shared" si="1610"/>
        <v>18.016468952481294</v>
      </c>
      <c r="FL978" s="432">
        <f t="shared" si="1610"/>
        <v>22.038160849417618</v>
      </c>
      <c r="FM978" s="432">
        <f t="shared" si="1610"/>
        <v>85.114840036842878</v>
      </c>
      <c r="FN978" s="432">
        <f t="shared" si="1610"/>
        <v>55.795753342564119</v>
      </c>
      <c r="FO978" s="432">
        <f t="shared" si="1610"/>
        <v>24.596989962932081</v>
      </c>
      <c r="FP978" s="432">
        <f t="shared" si="1610"/>
        <v>52.943284085381222</v>
      </c>
      <c r="FQ978" s="432">
        <f t="shared" si="1610"/>
        <v>26.0973223375467</v>
      </c>
      <c r="FR978" s="432">
        <f t="shared" si="1610"/>
        <v>26.0973223375467</v>
      </c>
      <c r="FS978" s="432">
        <f t="shared" si="1610"/>
        <v>101.97518335178538</v>
      </c>
      <c r="FT978" s="432">
        <f t="shared" si="1610"/>
        <v>40.092255082663847</v>
      </c>
      <c r="FU978" s="432">
        <f t="shared" si="1610"/>
        <v>26.540783368213397</v>
      </c>
      <c r="FV978" s="435">
        <f t="shared" si="1610"/>
        <v>81.779804093706915</v>
      </c>
      <c r="FW978" s="432">
        <f t="shared" si="1610"/>
        <v>25.536817192198459</v>
      </c>
      <c r="FX978" s="432">
        <f t="shared" si="1610"/>
        <v>68.769149023021257</v>
      </c>
      <c r="FY978" s="432">
        <f t="shared" si="1610"/>
        <v>34.1409768277097</v>
      </c>
      <c r="FZ978" s="432">
        <f t="shared" si="1610"/>
        <v>51.587092125766084</v>
      </c>
      <c r="GA978" s="432">
        <f t="shared" si="1610"/>
        <v>54.156510223755291</v>
      </c>
      <c r="GB978" s="432">
        <f t="shared" si="1610"/>
        <v>64.522391058925933</v>
      </c>
      <c r="GC978" s="432">
        <f t="shared" si="1610"/>
        <v>51.379938509455535</v>
      </c>
      <c r="GD978" s="432">
        <f t="shared" si="1610"/>
        <v>32.894609653005027</v>
      </c>
      <c r="GE978" s="432">
        <f t="shared" si="1610"/>
        <v>127.61318963777623</v>
      </c>
      <c r="GF978" s="432">
        <f t="shared" si="1610"/>
        <v>64.638842304396093</v>
      </c>
      <c r="GG978" s="432">
        <f t="shared" si="1610"/>
        <v>211.40135803759989</v>
      </c>
      <c r="GH978" s="432">
        <f t="shared" si="1610"/>
        <v>37.543484832671957</v>
      </c>
      <c r="HN978" s="363"/>
      <c r="HO978" s="436" t="s">
        <v>536</v>
      </c>
      <c r="HP978" s="436"/>
      <c r="HQ978" s="436"/>
      <c r="HR978" s="302">
        <f>HR$717</f>
        <v>474.31665722262017</v>
      </c>
      <c r="HS978" s="302">
        <f>HS$717</f>
        <v>240.9193797904714</v>
      </c>
      <c r="HT978" s="302">
        <f>HT$717</f>
        <v>175.00802720482812</v>
      </c>
      <c r="HU978" s="457">
        <f>HU$717</f>
        <v>415.92740699529952</v>
      </c>
      <c r="HV978" s="307"/>
      <c r="HX978" s="457">
        <f>HX$717</f>
        <v>373.71360579354939</v>
      </c>
      <c r="IA978" s="457">
        <f>IA$717</f>
        <v>330.18208394651856</v>
      </c>
      <c r="ID978" s="457">
        <f>ID$717</f>
        <v>358.90867686871047</v>
      </c>
      <c r="IE978" s="457"/>
      <c r="IF978" s="457"/>
      <c r="IG978" s="457">
        <f>IG$717</f>
        <v>394.75005785621573</v>
      </c>
      <c r="IH978" s="457"/>
      <c r="II978" s="457"/>
      <c r="IJ978" s="457">
        <f>IJ$717</f>
        <v>437.5584046438675</v>
      </c>
      <c r="IK978" s="457"/>
      <c r="IL978" s="457"/>
      <c r="IM978" s="457">
        <f>IM$717</f>
        <v>561.08816780108214</v>
      </c>
      <c r="IN978" s="457"/>
      <c r="IO978" s="457">
        <f>IO$717</f>
        <v>525.47142297490473</v>
      </c>
      <c r="IP978" s="457">
        <f>IP$717</f>
        <v>824.18435942628139</v>
      </c>
      <c r="IQ978" s="457">
        <f>IQ$717</f>
        <v>272.64858479455143</v>
      </c>
      <c r="IR978" s="457">
        <f>IR$717</f>
        <v>438.65866096040048</v>
      </c>
      <c r="IS978" s="457"/>
      <c r="IT978" s="457"/>
      <c r="IU978" s="457"/>
      <c r="IV978" s="457"/>
      <c r="IW978" s="457"/>
      <c r="IX978" s="457"/>
      <c r="IY978" s="457"/>
      <c r="KI978" s="363"/>
      <c r="KJ978" s="364"/>
      <c r="KM978" s="302">
        <f>KM$717</f>
        <v>0</v>
      </c>
      <c r="KN978" s="302">
        <f>KN$717</f>
        <v>0</v>
      </c>
      <c r="KO978" s="302">
        <f>KO$717</f>
        <v>0</v>
      </c>
      <c r="KP978" s="302">
        <f>KP$717</f>
        <v>0</v>
      </c>
    </row>
    <row r="979" spans="1:302">
      <c r="A979" s="302"/>
      <c r="B979" s="117" t="s">
        <v>361</v>
      </c>
      <c r="D979" s="437" t="str">
        <f>D$719</f>
        <v xml:space="preserve">Current </v>
      </c>
      <c r="E979" s="432">
        <f t="shared" ref="E979:AJ979" si="1611">E719+E723</f>
        <v>0</v>
      </c>
      <c r="F979" s="432">
        <f t="shared" si="1611"/>
        <v>0</v>
      </c>
      <c r="G979" s="432">
        <f t="shared" si="1611"/>
        <v>0</v>
      </c>
      <c r="H979" s="432">
        <f t="shared" si="1611"/>
        <v>0</v>
      </c>
      <c r="I979" s="432">
        <f t="shared" si="1611"/>
        <v>0</v>
      </c>
      <c r="J979" s="432">
        <f t="shared" si="1611"/>
        <v>0</v>
      </c>
      <c r="K979" s="432">
        <f t="shared" si="1611"/>
        <v>0</v>
      </c>
      <c r="L979" s="432">
        <f t="shared" si="1611"/>
        <v>0</v>
      </c>
      <c r="M979" s="432">
        <f t="shared" si="1611"/>
        <v>0</v>
      </c>
      <c r="N979" s="432">
        <f t="shared" si="1611"/>
        <v>0</v>
      </c>
      <c r="O979" s="432">
        <f t="shared" si="1611"/>
        <v>0</v>
      </c>
      <c r="P979" s="432">
        <f t="shared" si="1611"/>
        <v>0</v>
      </c>
      <c r="Q979" s="432">
        <f t="shared" si="1611"/>
        <v>0</v>
      </c>
      <c r="R979" s="432">
        <f t="shared" si="1611"/>
        <v>0</v>
      </c>
      <c r="S979" s="432">
        <f t="shared" si="1611"/>
        <v>0</v>
      </c>
      <c r="T979" s="432">
        <f t="shared" si="1611"/>
        <v>0</v>
      </c>
      <c r="U979" s="432">
        <f t="shared" si="1611"/>
        <v>0</v>
      </c>
      <c r="V979" s="432">
        <f t="shared" si="1611"/>
        <v>0</v>
      </c>
      <c r="W979" s="432">
        <f t="shared" si="1611"/>
        <v>0</v>
      </c>
      <c r="X979" s="432">
        <f t="shared" si="1611"/>
        <v>0</v>
      </c>
      <c r="Y979" s="432">
        <f t="shared" si="1611"/>
        <v>0</v>
      </c>
      <c r="Z979" s="432">
        <f t="shared" si="1611"/>
        <v>0</v>
      </c>
      <c r="AA979" s="432">
        <f t="shared" si="1611"/>
        <v>0</v>
      </c>
      <c r="AB979" s="432">
        <f t="shared" si="1611"/>
        <v>0</v>
      </c>
      <c r="AC979" s="432">
        <f t="shared" si="1611"/>
        <v>0</v>
      </c>
      <c r="AD979" s="432">
        <f t="shared" si="1611"/>
        <v>0</v>
      </c>
      <c r="AE979" s="432">
        <f t="shared" si="1611"/>
        <v>0</v>
      </c>
      <c r="AF979" s="432">
        <f t="shared" si="1611"/>
        <v>0</v>
      </c>
      <c r="AG979" s="432">
        <f t="shared" si="1611"/>
        <v>0</v>
      </c>
      <c r="AH979" s="432">
        <f t="shared" si="1611"/>
        <v>0</v>
      </c>
      <c r="AI979" s="432">
        <f t="shared" si="1611"/>
        <v>0</v>
      </c>
      <c r="AJ979" s="432">
        <f t="shared" si="1611"/>
        <v>0</v>
      </c>
      <c r="AK979" s="432">
        <f t="shared" ref="AK979:BP979" si="1612">AK719+AK723</f>
        <v>0</v>
      </c>
      <c r="AL979" s="432">
        <f t="shared" si="1612"/>
        <v>0</v>
      </c>
      <c r="AM979" s="432">
        <f t="shared" si="1612"/>
        <v>0</v>
      </c>
      <c r="AN979" s="432">
        <f t="shared" si="1612"/>
        <v>0</v>
      </c>
      <c r="AO979" s="432">
        <f t="shared" si="1612"/>
        <v>21.649201587</v>
      </c>
      <c r="AP979" s="432">
        <f t="shared" si="1612"/>
        <v>0</v>
      </c>
      <c r="AQ979" s="432">
        <f t="shared" si="1612"/>
        <v>8.0213442799999992</v>
      </c>
      <c r="AR979" s="432">
        <f t="shared" si="1612"/>
        <v>12.581843562</v>
      </c>
      <c r="AS979" s="432">
        <f t="shared" si="1612"/>
        <v>9.056692696999999</v>
      </c>
      <c r="AT979" s="432">
        <f t="shared" si="1612"/>
        <v>97.265289525</v>
      </c>
      <c r="AU979" s="432">
        <f t="shared" si="1612"/>
        <v>6.1597314819999998</v>
      </c>
      <c r="AV979" s="432">
        <f t="shared" si="1612"/>
        <v>4.7773699999999995</v>
      </c>
      <c r="AW979" s="432">
        <f t="shared" si="1612"/>
        <v>58.822261999999988</v>
      </c>
      <c r="AX979" s="432">
        <f t="shared" si="1612"/>
        <v>26.394771204000001</v>
      </c>
      <c r="AY979" s="432">
        <f t="shared" si="1612"/>
        <v>6.9810858910000002</v>
      </c>
      <c r="AZ979" s="432">
        <f t="shared" si="1612"/>
        <v>24.142312999000001</v>
      </c>
      <c r="BA979" s="432">
        <f t="shared" si="1612"/>
        <v>0.531323502</v>
      </c>
      <c r="BB979" s="432">
        <f t="shared" si="1612"/>
        <v>5.2342624570000007</v>
      </c>
      <c r="BC979" s="432">
        <f t="shared" si="1612"/>
        <v>1.0111021920000001</v>
      </c>
      <c r="BD979" s="432">
        <f t="shared" si="1612"/>
        <v>67.936107326759995</v>
      </c>
      <c r="BE979" s="432">
        <f t="shared" si="1612"/>
        <v>1.03516734123</v>
      </c>
      <c r="BF979" s="432">
        <f t="shared" si="1612"/>
        <v>13.367550886</v>
      </c>
      <c r="BG979" s="432">
        <f t="shared" si="1612"/>
        <v>41.011713339000003</v>
      </c>
      <c r="BH979" s="432">
        <f t="shared" si="1612"/>
        <v>37.631219074000001</v>
      </c>
      <c r="BI979" s="432">
        <f t="shared" si="1612"/>
        <v>29.764305502999996</v>
      </c>
      <c r="BJ979" s="432">
        <f t="shared" si="1612"/>
        <v>25.662271436000001</v>
      </c>
      <c r="BK979" s="432">
        <f t="shared" si="1612"/>
        <v>4.6969805640000004</v>
      </c>
      <c r="BL979" s="432">
        <f t="shared" si="1612"/>
        <v>72.178950183000012</v>
      </c>
      <c r="BM979" s="432">
        <f t="shared" si="1612"/>
        <v>2.2913186510000001</v>
      </c>
      <c r="BN979" s="432">
        <f t="shared" si="1612"/>
        <v>4.1133515819999991</v>
      </c>
      <c r="BO979" s="432">
        <f t="shared" si="1612"/>
        <v>11.480174020999998</v>
      </c>
      <c r="BP979" s="432">
        <f t="shared" si="1612"/>
        <v>0.244489505</v>
      </c>
      <c r="BQ979" s="432">
        <f t="shared" ref="BQ979:CV979" si="1613">BQ719+BQ723</f>
        <v>0.210040425</v>
      </c>
      <c r="BR979" s="432">
        <f t="shared" si="1613"/>
        <v>36.401174263000001</v>
      </c>
      <c r="BS979" s="432">
        <f t="shared" si="1613"/>
        <v>28.600580636487997</v>
      </c>
      <c r="BT979" s="432">
        <f t="shared" si="1613"/>
        <v>0</v>
      </c>
      <c r="BU979" s="432">
        <f t="shared" si="1613"/>
        <v>16.179806585249999</v>
      </c>
      <c r="BV979" s="432">
        <f t="shared" si="1613"/>
        <v>40.644011394025</v>
      </c>
      <c r="BW979" s="432">
        <f t="shared" si="1613"/>
        <v>0</v>
      </c>
      <c r="BX979" s="432">
        <f t="shared" si="1613"/>
        <v>3.0755816996010013</v>
      </c>
      <c r="BY979" s="432">
        <f t="shared" si="1613"/>
        <v>0</v>
      </c>
      <c r="BZ979" s="432">
        <f t="shared" si="1613"/>
        <v>0</v>
      </c>
      <c r="CA979" s="432">
        <f t="shared" si="1613"/>
        <v>12.997303972659999</v>
      </c>
      <c r="CB979" s="432">
        <f t="shared" si="1613"/>
        <v>31.179930483504002</v>
      </c>
      <c r="CC979" s="432">
        <f t="shared" si="1613"/>
        <v>17.791806279455997</v>
      </c>
      <c r="CD979" s="433">
        <f t="shared" si="1613"/>
        <v>32.721542591764994</v>
      </c>
      <c r="CE979" s="432">
        <f t="shared" si="1613"/>
        <v>10.649725516935002</v>
      </c>
      <c r="CF979" s="432">
        <f t="shared" si="1613"/>
        <v>32.642625870288001</v>
      </c>
      <c r="CG979" s="432">
        <f t="shared" si="1613"/>
        <v>42.376945760600009</v>
      </c>
      <c r="CH979" s="432">
        <f t="shared" si="1613"/>
        <v>8.2179470510999995</v>
      </c>
      <c r="CI979" s="432">
        <f t="shared" si="1613"/>
        <v>2.710436597478</v>
      </c>
      <c r="CJ979" s="432">
        <f t="shared" si="1613"/>
        <v>39.538582284914</v>
      </c>
      <c r="CK979" s="432">
        <f t="shared" si="1613"/>
        <v>0</v>
      </c>
      <c r="CL979" s="432">
        <f t="shared" si="1613"/>
        <v>0</v>
      </c>
      <c r="CM979" s="432">
        <f t="shared" si="1613"/>
        <v>0</v>
      </c>
      <c r="CN979" s="432">
        <f t="shared" si="1613"/>
        <v>5.1416973700781536</v>
      </c>
      <c r="CO979" s="432">
        <f t="shared" si="1613"/>
        <v>20.51012667949999</v>
      </c>
      <c r="CP979" s="435">
        <f t="shared" si="1613"/>
        <v>9.2667948451580067</v>
      </c>
      <c r="CQ979" s="432">
        <f t="shared" si="1613"/>
        <v>17.574926579780833</v>
      </c>
      <c r="CR979" s="432">
        <f t="shared" si="1613"/>
        <v>6.1004475483840262E-2</v>
      </c>
      <c r="CS979" s="432">
        <f t="shared" si="1613"/>
        <v>18.410786140034833</v>
      </c>
      <c r="CT979" s="432">
        <f t="shared" si="1613"/>
        <v>4.6459715500613363</v>
      </c>
      <c r="CU979" s="432">
        <f t="shared" si="1613"/>
        <v>11.644424817805957</v>
      </c>
      <c r="CV979" s="432">
        <f t="shared" si="1613"/>
        <v>63.104221270265896</v>
      </c>
      <c r="CW979" s="432">
        <f t="shared" ref="CW979:EB979" si="1614">CW719+CW723</f>
        <v>0.36886337475031195</v>
      </c>
      <c r="CX979" s="432">
        <f t="shared" si="1614"/>
        <v>5.3526167373176399E-2</v>
      </c>
      <c r="CY979" s="432">
        <f t="shared" si="1614"/>
        <v>17.62001316069103</v>
      </c>
      <c r="CZ979" s="432">
        <f t="shared" si="1614"/>
        <v>13.437569677394109</v>
      </c>
      <c r="DA979" s="432">
        <f t="shared" si="1614"/>
        <v>27.297930233327257</v>
      </c>
      <c r="DB979" s="1519">
        <f t="shared" si="1614"/>
        <v>0.68446750797208367</v>
      </c>
      <c r="DC979" s="432">
        <f t="shared" si="1614"/>
        <v>18.500350525863201</v>
      </c>
      <c r="DD979" s="432">
        <f t="shared" si="1614"/>
        <v>6.1547591233999999</v>
      </c>
      <c r="DE979" s="432">
        <f t="shared" si="1614"/>
        <v>21.85774148142</v>
      </c>
      <c r="DF979" s="432">
        <f t="shared" si="1614"/>
        <v>0.27488678799999999</v>
      </c>
      <c r="DG979" s="432">
        <f t="shared" si="1614"/>
        <v>33.148919335843502</v>
      </c>
      <c r="DH979" s="432">
        <f t="shared" si="1614"/>
        <v>22.95045653645364</v>
      </c>
      <c r="DI979" s="432">
        <f t="shared" si="1614"/>
        <v>0.45384504142463566</v>
      </c>
      <c r="DJ979" s="432">
        <f t="shared" si="1614"/>
        <v>3.0471868759055294</v>
      </c>
      <c r="DK979" s="432">
        <f t="shared" si="1614"/>
        <v>0.34657287472925635</v>
      </c>
      <c r="DL979" s="432">
        <f t="shared" si="1614"/>
        <v>54.368579620764223</v>
      </c>
      <c r="DM979" s="432">
        <f t="shared" si="1614"/>
        <v>0.23876751243749914</v>
      </c>
      <c r="DN979" s="435">
        <f t="shared" si="1614"/>
        <v>43.464944561485638</v>
      </c>
      <c r="DO979" s="432">
        <f t="shared" si="1614"/>
        <v>21.286172955145268</v>
      </c>
      <c r="DP979" s="432">
        <f t="shared" si="1614"/>
        <v>6.15912446300276</v>
      </c>
      <c r="DQ979" s="432">
        <f t="shared" si="1614"/>
        <v>0.36889618367652649</v>
      </c>
      <c r="DR979" s="432">
        <f t="shared" si="1614"/>
        <v>0.3018041686636207</v>
      </c>
      <c r="DS979" s="432">
        <f t="shared" si="1614"/>
        <v>16.246436408114487</v>
      </c>
      <c r="DT979" s="432">
        <f t="shared" si="1614"/>
        <v>48.103489986870606</v>
      </c>
      <c r="DU979" s="432">
        <f t="shared" si="1614"/>
        <v>15.925133723153333</v>
      </c>
      <c r="DV979" s="432">
        <f t="shared" si="1614"/>
        <v>5.8007764595570457E-2</v>
      </c>
      <c r="DW979" s="432">
        <f t="shared" si="1614"/>
        <v>10.541360405145587</v>
      </c>
      <c r="DX979" s="432">
        <f t="shared" si="1614"/>
        <v>12.189416837913845</v>
      </c>
      <c r="DY979" s="432">
        <f t="shared" si="1614"/>
        <v>4.4983689553372501E-2</v>
      </c>
      <c r="DZ979" s="435">
        <f t="shared" si="1614"/>
        <v>52.957257360683563</v>
      </c>
      <c r="EA979" s="432">
        <f t="shared" si="1614"/>
        <v>22.330994918999998</v>
      </c>
      <c r="EB979" s="432">
        <f t="shared" si="1614"/>
        <v>8.3537451970000003</v>
      </c>
      <c r="EC979" s="432">
        <f t="shared" ref="EC979:FH979" si="1615">EC719+EC723</f>
        <v>6.3896163980000003</v>
      </c>
      <c r="ED979" s="432">
        <f t="shared" si="1615"/>
        <v>14.13396304859401</v>
      </c>
      <c r="EE979" s="432">
        <f t="shared" si="1615"/>
        <v>9.6817075793944767</v>
      </c>
      <c r="EF979" s="432">
        <f t="shared" si="1615"/>
        <v>48.730264540326587</v>
      </c>
      <c r="EG979" s="432">
        <f t="shared" si="1615"/>
        <v>39.490286297071613</v>
      </c>
      <c r="EH979" s="432">
        <f t="shared" si="1615"/>
        <v>3.5360454347946204</v>
      </c>
      <c r="EI979" s="432">
        <f t="shared" si="1615"/>
        <v>15.814171582027823</v>
      </c>
      <c r="EJ979" s="432">
        <f t="shared" si="1615"/>
        <v>20.966980069027823</v>
      </c>
      <c r="EK979" s="432">
        <f t="shared" si="1615"/>
        <v>5.0993692085567657E-2</v>
      </c>
      <c r="EL979" s="435">
        <f t="shared" si="1615"/>
        <v>0.7199081113879362</v>
      </c>
      <c r="EM979" s="432">
        <f t="shared" si="1615"/>
        <v>8.246678119256373</v>
      </c>
      <c r="EN979" s="432">
        <f t="shared" si="1615"/>
        <v>16.731777538332228</v>
      </c>
      <c r="EO979" s="432">
        <f t="shared" si="1615"/>
        <v>0.2027860917652563</v>
      </c>
      <c r="EP979" s="432">
        <f t="shared" si="1615"/>
        <v>2.364907381854027E-2</v>
      </c>
      <c r="EQ979" s="432">
        <f t="shared" si="1615"/>
        <v>2.350520414</v>
      </c>
      <c r="ER979" s="432">
        <f t="shared" si="1615"/>
        <v>79.196747735965999</v>
      </c>
      <c r="ES979" s="432">
        <f t="shared" si="1615"/>
        <v>14.032465188655175</v>
      </c>
      <c r="ET979" s="432">
        <f t="shared" si="1615"/>
        <v>25.71504433300705</v>
      </c>
      <c r="EU979" s="432">
        <f t="shared" si="1615"/>
        <v>9.7848614553610838E-2</v>
      </c>
      <c r="EV979" s="432">
        <f t="shared" si="1615"/>
        <v>14.861680736767459</v>
      </c>
      <c r="EW979" s="432">
        <f t="shared" si="1615"/>
        <v>0</v>
      </c>
      <c r="EX979" s="435">
        <f t="shared" si="1615"/>
        <v>0.21532801592438158</v>
      </c>
      <c r="EY979" s="432">
        <f t="shared" si="1615"/>
        <v>18.885914780479233</v>
      </c>
      <c r="EZ979" s="432">
        <f t="shared" si="1615"/>
        <v>0</v>
      </c>
      <c r="FA979" s="432">
        <f t="shared" si="1615"/>
        <v>9.608507644444737</v>
      </c>
      <c r="FB979" s="432">
        <f t="shared" si="1615"/>
        <v>0</v>
      </c>
      <c r="FC979" s="432">
        <f t="shared" si="1615"/>
        <v>9.2111639751582803</v>
      </c>
      <c r="FD979" s="432">
        <f t="shared" si="1615"/>
        <v>52.863934318023269</v>
      </c>
      <c r="FE979" s="432">
        <f t="shared" si="1615"/>
        <v>0</v>
      </c>
      <c r="FF979" s="432">
        <f t="shared" si="1615"/>
        <v>17.942072601710958</v>
      </c>
      <c r="FG979" s="432">
        <f t="shared" si="1615"/>
        <v>0</v>
      </c>
      <c r="FH979" s="432">
        <f t="shared" si="1615"/>
        <v>26.339455367801001</v>
      </c>
      <c r="FI979" s="432">
        <f t="shared" ref="FI979:GH979" si="1616">FI719+FI723</f>
        <v>0</v>
      </c>
      <c r="FJ979" s="435">
        <f t="shared" si="1616"/>
        <v>42.879513273999997</v>
      </c>
      <c r="FK979" s="432">
        <f t="shared" si="1616"/>
        <v>0</v>
      </c>
      <c r="FL979" s="432">
        <f t="shared" si="1616"/>
        <v>0</v>
      </c>
      <c r="FM979" s="432">
        <f t="shared" si="1616"/>
        <v>55.78206542418198</v>
      </c>
      <c r="FN979" s="432">
        <f t="shared" si="1616"/>
        <v>35.485712861354926</v>
      </c>
      <c r="FO979" s="432">
        <f t="shared" si="1616"/>
        <v>0</v>
      </c>
      <c r="FP979" s="432">
        <f t="shared" si="1616"/>
        <v>28.462910114962668</v>
      </c>
      <c r="FQ979" s="432">
        <f t="shared" si="1616"/>
        <v>0</v>
      </c>
      <c r="FR979" s="432">
        <f t="shared" si="1616"/>
        <v>0</v>
      </c>
      <c r="FS979" s="432">
        <f t="shared" si="1616"/>
        <v>74.49219628223868</v>
      </c>
      <c r="FT979" s="432">
        <f t="shared" si="1616"/>
        <v>15.214705663450417</v>
      </c>
      <c r="FU979" s="432">
        <f t="shared" si="1616"/>
        <v>0</v>
      </c>
      <c r="FV979" s="435">
        <f t="shared" si="1616"/>
        <v>56.902254674493491</v>
      </c>
      <c r="FW979" s="432">
        <f t="shared" si="1616"/>
        <v>1.2382475E-2</v>
      </c>
      <c r="FX979" s="432">
        <f t="shared" si="1616"/>
        <v>43.244714305822797</v>
      </c>
      <c r="FY979" s="432">
        <f t="shared" si="1616"/>
        <v>8.6165421105112401</v>
      </c>
      <c r="FZ979" s="432">
        <f t="shared" si="1616"/>
        <v>17.063186750203002</v>
      </c>
      <c r="GA979" s="432">
        <f t="shared" si="1616"/>
        <v>19.632604848192209</v>
      </c>
      <c r="GB979" s="432">
        <f t="shared" si="1616"/>
        <v>29.998485683362848</v>
      </c>
      <c r="GC979" s="432">
        <f t="shared" si="1616"/>
        <v>18.56186430122964</v>
      </c>
      <c r="GD979" s="432">
        <f t="shared" si="1616"/>
        <v>7.6535444779132003E-2</v>
      </c>
      <c r="GE979" s="432">
        <f t="shared" si="1616"/>
        <v>94.795115429550336</v>
      </c>
      <c r="GF979" s="432">
        <f t="shared" si="1616"/>
        <v>31.820768096170202</v>
      </c>
      <c r="GG979" s="432">
        <f t="shared" si="1616"/>
        <v>178.58328382937401</v>
      </c>
      <c r="GH979" s="432">
        <f t="shared" si="1616"/>
        <v>4.7254106244460603</v>
      </c>
      <c r="HN979" s="363"/>
      <c r="HO979" s="437" t="s">
        <v>538</v>
      </c>
      <c r="HP979" s="437"/>
      <c r="HQ979" s="437"/>
      <c r="HR979" s="302">
        <f>HR719+HR723</f>
        <v>171.05488197605115</v>
      </c>
      <c r="HS979" s="302">
        <f>HS719+HS723</f>
        <v>115.44133483343269</v>
      </c>
      <c r="HT979" s="302">
        <f>HT719+HT723</f>
        <v>59.462370121507973</v>
      </c>
      <c r="HU979" s="457">
        <f>HU719+HU723</f>
        <v>174.90370495494068</v>
      </c>
      <c r="HV979" s="307"/>
      <c r="HX979" s="457">
        <f>HX719+HX723</f>
        <v>204.80701027772713</v>
      </c>
      <c r="IA979" s="457">
        <f>IA719+IA723</f>
        <v>184.18208394651856</v>
      </c>
      <c r="ID979" s="457">
        <f>ID719+ID723</f>
        <v>190.19867686871044</v>
      </c>
      <c r="IE979" s="457"/>
      <c r="IF979" s="457"/>
      <c r="IG979" s="457">
        <f>IG719+IG723</f>
        <v>161.67452586204607</v>
      </c>
      <c r="IH979" s="457"/>
      <c r="II979" s="457"/>
      <c r="IJ979" s="457">
        <f>IJ719+IJ723</f>
        <v>177.73056196161747</v>
      </c>
      <c r="IK979" s="457"/>
      <c r="IL979" s="457"/>
      <c r="IM979" s="457">
        <f>IM719+IM723</f>
        <v>271.30825333268211</v>
      </c>
      <c r="IN979" s="457"/>
      <c r="IO979" s="457">
        <f>IO719+IO723</f>
        <v>328.56297772554939</v>
      </c>
      <c r="IP979" s="457">
        <f>IP719+IP723</f>
        <v>447.13089389864149</v>
      </c>
      <c r="IQ979" s="457">
        <f>IQ719+IQ723</f>
        <v>86.452719849594033</v>
      </c>
      <c r="IR979" s="457">
        <f>IR719+IR723</f>
        <v>223.56962116235658</v>
      </c>
      <c r="IS979" s="457"/>
      <c r="IT979" s="457"/>
      <c r="IU979" s="457"/>
      <c r="IV979" s="457"/>
      <c r="IW979" s="457"/>
      <c r="IX979" s="457"/>
      <c r="IY979" s="457"/>
      <c r="KI979" s="363"/>
      <c r="KJ979" s="364"/>
      <c r="KM979" s="302">
        <f>KM719+KM723</f>
        <v>0</v>
      </c>
      <c r="KN979" s="302">
        <f>KN719+KN723</f>
        <v>0</v>
      </c>
      <c r="KO979" s="302">
        <f>KO719+KO723</f>
        <v>0</v>
      </c>
      <c r="KP979" s="302">
        <f>KP719+KP723</f>
        <v>0</v>
      </c>
    </row>
    <row r="980" spans="1:302">
      <c r="A980" s="302"/>
      <c r="B980" s="117" t="s">
        <v>361</v>
      </c>
      <c r="D980" s="437" t="str">
        <f>D$721</f>
        <v xml:space="preserve">Capital </v>
      </c>
      <c r="E980" s="432">
        <f t="shared" ref="E980:AJ980" si="1617">+E721+E724</f>
        <v>0</v>
      </c>
      <c r="F980" s="432">
        <f t="shared" si="1617"/>
        <v>0</v>
      </c>
      <c r="G980" s="432">
        <f t="shared" si="1617"/>
        <v>0</v>
      </c>
      <c r="H980" s="432">
        <f t="shared" si="1617"/>
        <v>0</v>
      </c>
      <c r="I980" s="432">
        <f t="shared" si="1617"/>
        <v>0</v>
      </c>
      <c r="J980" s="432">
        <f t="shared" si="1617"/>
        <v>0</v>
      </c>
      <c r="K980" s="432">
        <f t="shared" si="1617"/>
        <v>0</v>
      </c>
      <c r="L980" s="432">
        <f t="shared" si="1617"/>
        <v>0</v>
      </c>
      <c r="M980" s="432">
        <f t="shared" si="1617"/>
        <v>0</v>
      </c>
      <c r="N980" s="432">
        <f t="shared" si="1617"/>
        <v>0</v>
      </c>
      <c r="O980" s="432">
        <f t="shared" si="1617"/>
        <v>0</v>
      </c>
      <c r="P980" s="432">
        <f t="shared" si="1617"/>
        <v>0</v>
      </c>
      <c r="Q980" s="432">
        <f t="shared" si="1617"/>
        <v>0</v>
      </c>
      <c r="R980" s="432">
        <f t="shared" si="1617"/>
        <v>0</v>
      </c>
      <c r="S980" s="432">
        <f t="shared" si="1617"/>
        <v>0</v>
      </c>
      <c r="T980" s="432">
        <f t="shared" si="1617"/>
        <v>0</v>
      </c>
      <c r="U980" s="432">
        <f t="shared" si="1617"/>
        <v>0</v>
      </c>
      <c r="V980" s="432">
        <f t="shared" si="1617"/>
        <v>0</v>
      </c>
      <c r="W980" s="432">
        <f t="shared" si="1617"/>
        <v>0</v>
      </c>
      <c r="X980" s="432">
        <f t="shared" si="1617"/>
        <v>0</v>
      </c>
      <c r="Y980" s="432">
        <f t="shared" si="1617"/>
        <v>0</v>
      </c>
      <c r="Z980" s="432">
        <f t="shared" si="1617"/>
        <v>0</v>
      </c>
      <c r="AA980" s="432">
        <f t="shared" si="1617"/>
        <v>0</v>
      </c>
      <c r="AB980" s="432">
        <f t="shared" si="1617"/>
        <v>0</v>
      </c>
      <c r="AC980" s="432">
        <f t="shared" si="1617"/>
        <v>0</v>
      </c>
      <c r="AD980" s="432">
        <f t="shared" si="1617"/>
        <v>0</v>
      </c>
      <c r="AE980" s="432">
        <f t="shared" si="1617"/>
        <v>0</v>
      </c>
      <c r="AF980" s="432">
        <f t="shared" si="1617"/>
        <v>0</v>
      </c>
      <c r="AG980" s="432">
        <f t="shared" si="1617"/>
        <v>0</v>
      </c>
      <c r="AH980" s="432">
        <f t="shared" si="1617"/>
        <v>0</v>
      </c>
      <c r="AI980" s="432">
        <f t="shared" si="1617"/>
        <v>0</v>
      </c>
      <c r="AJ980" s="432">
        <f t="shared" si="1617"/>
        <v>0</v>
      </c>
      <c r="AK980" s="432">
        <f t="shared" ref="AK980:BP980" si="1618">+AK721+AK724</f>
        <v>0</v>
      </c>
      <c r="AL980" s="432">
        <f t="shared" si="1618"/>
        <v>0</v>
      </c>
      <c r="AM980" s="432">
        <f t="shared" si="1618"/>
        <v>0</v>
      </c>
      <c r="AN980" s="432">
        <f t="shared" si="1618"/>
        <v>0</v>
      </c>
      <c r="AO980" s="432">
        <f t="shared" si="1618"/>
        <v>0</v>
      </c>
      <c r="AP980" s="432">
        <f t="shared" si="1618"/>
        <v>0</v>
      </c>
      <c r="AQ980" s="432">
        <f t="shared" si="1618"/>
        <v>0</v>
      </c>
      <c r="AR980" s="432">
        <f t="shared" si="1618"/>
        <v>0</v>
      </c>
      <c r="AS980" s="432">
        <f t="shared" si="1618"/>
        <v>0</v>
      </c>
      <c r="AT980" s="432">
        <f t="shared" si="1618"/>
        <v>0</v>
      </c>
      <c r="AU980" s="432">
        <f t="shared" si="1618"/>
        <v>8.2002119918181062</v>
      </c>
      <c r="AV980" s="432">
        <f t="shared" si="1618"/>
        <v>2.4551394242663771</v>
      </c>
      <c r="AW980" s="432">
        <f t="shared" si="1618"/>
        <v>0.69460944265934976</v>
      </c>
      <c r="AX980" s="432">
        <f t="shared" si="1618"/>
        <v>7.0166462613698037</v>
      </c>
      <c r="AY980" s="432">
        <f t="shared" si="1618"/>
        <v>9.0637393975056462</v>
      </c>
      <c r="AZ980" s="432">
        <f t="shared" si="1618"/>
        <v>85.684286871007416</v>
      </c>
      <c r="BA980" s="432">
        <f t="shared" si="1618"/>
        <v>8.270675762093374</v>
      </c>
      <c r="BB980" s="432">
        <f t="shared" si="1618"/>
        <v>5.3430239825121344</v>
      </c>
      <c r="BC980" s="432">
        <f t="shared" si="1618"/>
        <v>7.2337640878782059</v>
      </c>
      <c r="BD980" s="432">
        <f t="shared" si="1618"/>
        <v>7.4141758912248124</v>
      </c>
      <c r="BE980" s="432">
        <f t="shared" si="1618"/>
        <v>8.6928451992080173</v>
      </c>
      <c r="BF980" s="432">
        <f t="shared" si="1618"/>
        <v>13.930881688456768</v>
      </c>
      <c r="BG980" s="432">
        <f t="shared" si="1618"/>
        <v>8.5540233331812221</v>
      </c>
      <c r="BH980" s="432">
        <f t="shared" si="1618"/>
        <v>8.1775968474520724</v>
      </c>
      <c r="BI980" s="432">
        <f t="shared" si="1618"/>
        <v>14.279918114465966</v>
      </c>
      <c r="BJ980" s="432">
        <f t="shared" si="1618"/>
        <v>60.722221762957972</v>
      </c>
      <c r="BK980" s="432">
        <f t="shared" si="1618"/>
        <v>13.450970226476773</v>
      </c>
      <c r="BL980" s="432">
        <f t="shared" si="1618"/>
        <v>14.425838004888339</v>
      </c>
      <c r="BM980" s="432">
        <f t="shared" si="1618"/>
        <v>3.7222850128934368</v>
      </c>
      <c r="BN980" s="432">
        <f t="shared" si="1618"/>
        <v>7.5282964928846736</v>
      </c>
      <c r="BO980" s="432">
        <f t="shared" si="1618"/>
        <v>5.3877661107781902</v>
      </c>
      <c r="BP980" s="432">
        <f t="shared" si="1618"/>
        <v>5.183731605567826</v>
      </c>
      <c r="BQ980" s="432">
        <f t="shared" ref="BQ980:CV980" si="1619">+BQ721+BQ724</f>
        <v>4.6621603463956962</v>
      </c>
      <c r="BR980" s="432">
        <f t="shared" si="1619"/>
        <v>45.605192142057817</v>
      </c>
      <c r="BS980" s="432">
        <f t="shared" si="1619"/>
        <v>12.203299451901628</v>
      </c>
      <c r="BT980" s="432">
        <f t="shared" si="1619"/>
        <v>14.813409459931112</v>
      </c>
      <c r="BU980" s="432">
        <f t="shared" si="1619"/>
        <v>6.5902026762721153</v>
      </c>
      <c r="BV980" s="432">
        <f t="shared" si="1619"/>
        <v>7.9663939819053082</v>
      </c>
      <c r="BW980" s="432">
        <f t="shared" si="1619"/>
        <v>41.538890177774903</v>
      </c>
      <c r="BX980" s="432">
        <f t="shared" si="1619"/>
        <v>29.001320784256873</v>
      </c>
      <c r="BY980" s="432">
        <f t="shared" si="1619"/>
        <v>6.4084407417666696E-6</v>
      </c>
      <c r="BZ980" s="432">
        <f t="shared" si="1619"/>
        <v>3.9502690426215792</v>
      </c>
      <c r="CA980" s="432">
        <f t="shared" si="1619"/>
        <v>8.9347603934343383</v>
      </c>
      <c r="CB980" s="432">
        <f t="shared" si="1619"/>
        <v>6.8720589184452443</v>
      </c>
      <c r="CC980" s="432">
        <f t="shared" si="1619"/>
        <v>32.567005592195322</v>
      </c>
      <c r="CD980" s="433">
        <f t="shared" si="1619"/>
        <v>10.462383112820836</v>
      </c>
      <c r="CE980" s="432">
        <f t="shared" si="1619"/>
        <v>20.644770703771695</v>
      </c>
      <c r="CF980" s="432">
        <f t="shared" si="1619"/>
        <v>6.2068516957338105</v>
      </c>
      <c r="CG980" s="432">
        <f t="shared" si="1619"/>
        <v>33.654755862294493</v>
      </c>
      <c r="CH980" s="432">
        <f t="shared" si="1619"/>
        <v>40.164865416949603</v>
      </c>
      <c r="CI980" s="432">
        <f t="shared" si="1619"/>
        <v>33.30229618613545</v>
      </c>
      <c r="CJ980" s="432">
        <f t="shared" si="1619"/>
        <v>23.305426911000946</v>
      </c>
      <c r="CK980" s="432">
        <f t="shared" si="1619"/>
        <v>22.369328398681304</v>
      </c>
      <c r="CL980" s="432">
        <f t="shared" si="1619"/>
        <v>15.370313869472696</v>
      </c>
      <c r="CM980" s="432">
        <f t="shared" si="1619"/>
        <v>15.260357731845993</v>
      </c>
      <c r="CN980" s="432">
        <f t="shared" si="1619"/>
        <v>55.08162525346021</v>
      </c>
      <c r="CO980" s="432">
        <f t="shared" si="1619"/>
        <v>16.101722923910174</v>
      </c>
      <c r="CP980" s="435">
        <f t="shared" si="1619"/>
        <v>21.799460293312592</v>
      </c>
      <c r="CQ980" s="432">
        <f t="shared" si="1619"/>
        <v>16.87350672279609</v>
      </c>
      <c r="CR980" s="432">
        <f t="shared" si="1619"/>
        <v>20.574332516946019</v>
      </c>
      <c r="CS980" s="432">
        <f t="shared" si="1619"/>
        <v>13.677160760257889</v>
      </c>
      <c r="CT980" s="432">
        <f t="shared" si="1619"/>
        <v>22.966062853869769</v>
      </c>
      <c r="CU980" s="432">
        <f t="shared" si="1619"/>
        <v>25.792258359012344</v>
      </c>
      <c r="CV980" s="432">
        <f t="shared" si="1619"/>
        <v>25.594723744156603</v>
      </c>
      <c r="CW980" s="432">
        <f t="shared" ref="CW980:EB980" si="1620">+CW721+CW724</f>
        <v>18.835302128312126</v>
      </c>
      <c r="CX980" s="432">
        <f t="shared" si="1620"/>
        <v>20.69342160459518</v>
      </c>
      <c r="CY980" s="432">
        <f t="shared" si="1620"/>
        <v>18.249102545774683</v>
      </c>
      <c r="CZ980" s="432">
        <f t="shared" si="1620"/>
        <v>12.54749310504959</v>
      </c>
      <c r="DA980" s="432">
        <f t="shared" si="1620"/>
        <v>24.627020117877478</v>
      </c>
      <c r="DB980" s="1519">
        <f t="shared" si="1620"/>
        <v>20.593317581711101</v>
      </c>
      <c r="DC980" s="432">
        <f t="shared" si="1620"/>
        <v>13.452093833224433</v>
      </c>
      <c r="DD980" s="432">
        <f t="shared" si="1620"/>
        <v>19.022173646102264</v>
      </c>
      <c r="DE980" s="432">
        <f t="shared" si="1620"/>
        <v>15.875732520673303</v>
      </c>
      <c r="DF980" s="432">
        <f t="shared" si="1620"/>
        <v>10.355677608348262</v>
      </c>
      <c r="DG980" s="432">
        <f t="shared" si="1620"/>
        <v>9.0934462919717642</v>
      </c>
      <c r="DH980" s="432">
        <f t="shared" si="1620"/>
        <v>28.907471615502221</v>
      </c>
      <c r="DI980" s="432">
        <f t="shared" si="1620"/>
        <v>9.6377982635075625</v>
      </c>
      <c r="DJ980" s="432">
        <f t="shared" si="1620"/>
        <v>11.505491827422979</v>
      </c>
      <c r="DK980" s="432">
        <f t="shared" si="1620"/>
        <v>14.956709909069456</v>
      </c>
      <c r="DL980" s="432">
        <f t="shared" si="1620"/>
        <v>10.918476448112893</v>
      </c>
      <c r="DM980" s="432">
        <f t="shared" si="1620"/>
        <v>19.287035582032409</v>
      </c>
      <c r="DN980" s="435">
        <f t="shared" si="1620"/>
        <v>5.8944879698547039</v>
      </c>
      <c r="DO980" s="432">
        <f t="shared" si="1620"/>
        <v>12.136271271812186</v>
      </c>
      <c r="DP980" s="432">
        <f t="shared" si="1620"/>
        <v>12.133511288417928</v>
      </c>
      <c r="DQ980" s="432">
        <f t="shared" si="1620"/>
        <v>12.10521743976989</v>
      </c>
      <c r="DR980" s="432">
        <f t="shared" si="1620"/>
        <v>3.2359692316649102</v>
      </c>
      <c r="DS980" s="432">
        <f t="shared" si="1620"/>
        <v>15.106655246115155</v>
      </c>
      <c r="DT980" s="432">
        <f t="shared" si="1620"/>
        <v>18.032375522219933</v>
      </c>
      <c r="DU980" s="432">
        <f t="shared" si="1620"/>
        <v>10.988140744151838</v>
      </c>
      <c r="DV980" s="432">
        <f t="shared" si="1620"/>
        <v>15.698929868479176</v>
      </c>
      <c r="DW980" s="432">
        <f t="shared" si="1620"/>
        <v>9.9379293873689836</v>
      </c>
      <c r="DX980" s="432">
        <f t="shared" si="1620"/>
        <v>5.9392520350356071</v>
      </c>
      <c r="DY980" s="432">
        <f t="shared" si="1620"/>
        <v>11.606604623025165</v>
      </c>
      <c r="DZ980" s="435">
        <f t="shared" si="1620"/>
        <v>19.079143341939226</v>
      </c>
      <c r="EA980" s="432">
        <f t="shared" si="1620"/>
        <v>12.04303298669176</v>
      </c>
      <c r="EB980" s="432">
        <f t="shared" si="1620"/>
        <v>11.58141738339774</v>
      </c>
      <c r="EC980" s="432">
        <f t="shared" ref="EC980:FH980" si="1621">+EC721+EC724</f>
        <v>18.953049629910502</v>
      </c>
      <c r="ED980" s="432">
        <f t="shared" si="1621"/>
        <v>9.2129121794719193</v>
      </c>
      <c r="EE980" s="432">
        <f t="shared" si="1621"/>
        <v>18.666473033356318</v>
      </c>
      <c r="EF980" s="432">
        <f t="shared" si="1621"/>
        <v>14.698114787171765</v>
      </c>
      <c r="EG980" s="432">
        <f t="shared" si="1621"/>
        <v>7.7343715577035592</v>
      </c>
      <c r="EH980" s="432">
        <f t="shared" si="1621"/>
        <v>12.544701009695537</v>
      </c>
      <c r="EI980" s="432">
        <f t="shared" si="1621"/>
        <v>21.498427432600909</v>
      </c>
      <c r="EJ980" s="432">
        <f t="shared" si="1621"/>
        <v>3.5217398195229666</v>
      </c>
      <c r="EK980" s="432">
        <f t="shared" si="1621"/>
        <v>8.0850167052850175</v>
      </c>
      <c r="EL980" s="435">
        <f t="shared" si="1621"/>
        <v>30.170743475192022</v>
      </c>
      <c r="EM980" s="432">
        <f t="shared" si="1621"/>
        <v>15.676377072254855</v>
      </c>
      <c r="EN980" s="432">
        <f t="shared" si="1621"/>
        <v>16.280776577680143</v>
      </c>
      <c r="EO980" s="432">
        <f t="shared" si="1621"/>
        <v>31.957153649935002</v>
      </c>
      <c r="EP980" s="432">
        <f t="shared" si="1621"/>
        <v>25.689925104930648</v>
      </c>
      <c r="EQ980" s="432">
        <f t="shared" si="1621"/>
        <v>6.238642488411001</v>
      </c>
      <c r="ER980" s="432">
        <f t="shared" si="1621"/>
        <v>31.957153649935002</v>
      </c>
      <c r="ES980" s="432">
        <f t="shared" si="1621"/>
        <v>11.77235596909156</v>
      </c>
      <c r="ET980" s="432">
        <f t="shared" si="1621"/>
        <v>14.546519893461165</v>
      </c>
      <c r="EU980" s="432">
        <f t="shared" si="1621"/>
        <v>26.318875862817901</v>
      </c>
      <c r="EV980" s="432">
        <f t="shared" si="1621"/>
        <v>17.045294526785639</v>
      </c>
      <c r="EW980" s="432">
        <f t="shared" si="1621"/>
        <v>9.2735813359162655</v>
      </c>
      <c r="EX980" s="435">
        <f t="shared" si="1621"/>
        <v>26.318875862950499</v>
      </c>
      <c r="EY980" s="432">
        <f t="shared" si="1621"/>
        <v>13.355919074614171</v>
      </c>
      <c r="EZ980" s="432">
        <f t="shared" si="1621"/>
        <v>19.120340874614172</v>
      </c>
      <c r="FA980" s="432">
        <f t="shared" si="1621"/>
        <v>32.476259949591501</v>
      </c>
      <c r="FB980" s="432">
        <f t="shared" si="1621"/>
        <v>17.141012261463228</v>
      </c>
      <c r="FC980" s="432">
        <f t="shared" si="1621"/>
        <v>19.380457481936588</v>
      </c>
      <c r="FD980" s="432">
        <f t="shared" si="1621"/>
        <v>28.4262599495915</v>
      </c>
      <c r="FE980" s="432">
        <f t="shared" si="1621"/>
        <v>18.57477772208745</v>
      </c>
      <c r="FF980" s="432">
        <f t="shared" si="1621"/>
        <v>22.887552055495807</v>
      </c>
      <c r="FG980" s="432">
        <f t="shared" si="1621"/>
        <v>23.485399915408056</v>
      </c>
      <c r="FH980" s="432">
        <f t="shared" si="1621"/>
        <v>17.094977885269913</v>
      </c>
      <c r="FI980" s="432">
        <f t="shared" ref="FI980:GH980" si="1622">+FI721+FI724</f>
        <v>25.711020665681996</v>
      </c>
      <c r="FJ980" s="435">
        <f t="shared" si="1622"/>
        <v>22.173864846495658</v>
      </c>
      <c r="FK980" s="432">
        <f t="shared" si="1622"/>
        <v>18.016468952481294</v>
      </c>
      <c r="FL980" s="432">
        <f t="shared" si="1622"/>
        <v>22.038160849417618</v>
      </c>
      <c r="FM980" s="432">
        <f t="shared" si="1622"/>
        <v>29.332774612660895</v>
      </c>
      <c r="FN980" s="432">
        <f t="shared" si="1622"/>
        <v>20.310040481209192</v>
      </c>
      <c r="FO980" s="432">
        <f t="shared" si="1622"/>
        <v>24.596989962932081</v>
      </c>
      <c r="FP980" s="432">
        <f t="shared" si="1622"/>
        <v>24.480373970418551</v>
      </c>
      <c r="FQ980" s="432">
        <f t="shared" si="1622"/>
        <v>26.0973223375467</v>
      </c>
      <c r="FR980" s="432">
        <f t="shared" si="1622"/>
        <v>26.0973223375467</v>
      </c>
      <c r="FS980" s="432">
        <f t="shared" si="1622"/>
        <v>27.482987069546699</v>
      </c>
      <c r="FT980" s="432">
        <f t="shared" si="1622"/>
        <v>24.877549419213427</v>
      </c>
      <c r="FU980" s="432">
        <f t="shared" si="1622"/>
        <v>26.540783368213397</v>
      </c>
      <c r="FV980" s="435">
        <f t="shared" si="1622"/>
        <v>24.877549419213427</v>
      </c>
      <c r="FW980" s="432">
        <f t="shared" si="1622"/>
        <v>25.52443471719846</v>
      </c>
      <c r="FX980" s="432">
        <f t="shared" si="1622"/>
        <v>25.52443471719846</v>
      </c>
      <c r="FY980" s="432">
        <f t="shared" si="1622"/>
        <v>25.52443471719846</v>
      </c>
      <c r="FZ980" s="432">
        <f t="shared" si="1622"/>
        <v>34.523905375563082</v>
      </c>
      <c r="GA980" s="432">
        <f t="shared" si="1622"/>
        <v>34.523905375563082</v>
      </c>
      <c r="GB980" s="432">
        <f t="shared" si="1622"/>
        <v>34.523905375563082</v>
      </c>
      <c r="GC980" s="432">
        <f t="shared" si="1622"/>
        <v>32.818074208225894</v>
      </c>
      <c r="GD980" s="432">
        <f t="shared" si="1622"/>
        <v>32.818074208225894</v>
      </c>
      <c r="GE980" s="432">
        <f t="shared" si="1622"/>
        <v>32.818074208225894</v>
      </c>
      <c r="GF980" s="432">
        <f t="shared" si="1622"/>
        <v>32.818074208225894</v>
      </c>
      <c r="GG980" s="432">
        <f t="shared" si="1622"/>
        <v>32.818074208225894</v>
      </c>
      <c r="GH980" s="432">
        <f t="shared" si="1622"/>
        <v>32.818074208225894</v>
      </c>
      <c r="HN980" s="363"/>
      <c r="HO980" s="437" t="s">
        <v>539</v>
      </c>
      <c r="HP980" s="437"/>
      <c r="HQ980" s="437"/>
      <c r="HR980" s="302">
        <f>+HR721+HR724</f>
        <v>303.26177524656896</v>
      </c>
      <c r="HS980" s="302">
        <f>+HS721+HS724</f>
        <v>125.47804495703872</v>
      </c>
      <c r="HT980" s="302">
        <f>+HT721+HT724</f>
        <v>115.54565708332017</v>
      </c>
      <c r="HU980" s="457">
        <f>+HU721+HU724</f>
        <v>241.0237020403589</v>
      </c>
      <c r="HV980" s="307"/>
      <c r="HX980" s="457">
        <f>+HX721+HX724</f>
        <v>168.90659551582223</v>
      </c>
      <c r="IA980" s="457">
        <f>+IA721+IA724</f>
        <v>146</v>
      </c>
      <c r="ID980" s="457">
        <f>+ID721+ID724</f>
        <v>168.71</v>
      </c>
      <c r="IE980" s="457"/>
      <c r="IF980" s="457"/>
      <c r="IG980" s="457">
        <f>+IG721+IG724</f>
        <v>233.07553199416967</v>
      </c>
      <c r="IH980" s="457"/>
      <c r="II980" s="457"/>
      <c r="IJ980" s="457">
        <f>+IJ721+IJ724</f>
        <v>259.82784268225004</v>
      </c>
      <c r="IK980" s="457"/>
      <c r="IL980" s="457"/>
      <c r="IM980" s="457">
        <f>+IM721+IM724</f>
        <v>294.74832278039997</v>
      </c>
      <c r="IN980" s="457"/>
      <c r="IO980" s="457">
        <f>+IO721+IO724</f>
        <v>196.90844524935534</v>
      </c>
      <c r="IP980" s="457">
        <f>+IP721+IP724</f>
        <v>377.05346552764001</v>
      </c>
      <c r="IQ980" s="457">
        <f>+IQ721+IQ724</f>
        <v>186.19586494495741</v>
      </c>
      <c r="IR980" s="457">
        <f>+IR721+IR724</f>
        <v>215.08903979804384</v>
      </c>
      <c r="IS980" s="457"/>
      <c r="IT980" s="457"/>
      <c r="IU980" s="457"/>
      <c r="IV980" s="457"/>
      <c r="IW980" s="457"/>
      <c r="IX980" s="457"/>
      <c r="IY980" s="457"/>
      <c r="KI980" s="363"/>
      <c r="KJ980" s="364"/>
      <c r="KM980" s="302">
        <f>+KM721+KM724</f>
        <v>0</v>
      </c>
      <c r="KN980" s="302">
        <f>+KN721+KN724</f>
        <v>0</v>
      </c>
      <c r="KO980" s="302">
        <f>+KO721+KO724</f>
        <v>0</v>
      </c>
      <c r="KP980" s="302">
        <f>+KP721+KP724</f>
        <v>0</v>
      </c>
    </row>
    <row r="981" spans="1:302">
      <c r="A981" s="302"/>
      <c r="B981" s="117" t="s">
        <v>361</v>
      </c>
      <c r="D981" s="436" t="str">
        <f>D$730</f>
        <v xml:space="preserve">Other revenue </v>
      </c>
      <c r="E981" s="432">
        <f>E$730</f>
        <v>0</v>
      </c>
      <c r="F981" s="432">
        <f t="shared" ref="F981:L981" si="1623">F$730</f>
        <v>0</v>
      </c>
      <c r="G981" s="432">
        <f t="shared" si="1623"/>
        <v>0</v>
      </c>
      <c r="H981" s="432">
        <f t="shared" si="1623"/>
        <v>0</v>
      </c>
      <c r="I981" s="432">
        <f t="shared" si="1623"/>
        <v>0</v>
      </c>
      <c r="J981" s="432">
        <f t="shared" si="1623"/>
        <v>0</v>
      </c>
      <c r="K981" s="432">
        <f t="shared" si="1623"/>
        <v>0</v>
      </c>
      <c r="L981" s="432">
        <f t="shared" si="1623"/>
        <v>0</v>
      </c>
      <c r="M981" s="432">
        <f t="shared" ref="M981:AW981" si="1624">M$730</f>
        <v>0</v>
      </c>
      <c r="N981" s="432">
        <f t="shared" si="1624"/>
        <v>0</v>
      </c>
      <c r="O981" s="432">
        <f t="shared" si="1624"/>
        <v>0</v>
      </c>
      <c r="P981" s="432">
        <f t="shared" si="1624"/>
        <v>0</v>
      </c>
      <c r="Q981" s="432">
        <f t="shared" si="1624"/>
        <v>0</v>
      </c>
      <c r="R981" s="432">
        <f t="shared" si="1624"/>
        <v>0</v>
      </c>
      <c r="S981" s="432">
        <f t="shared" si="1624"/>
        <v>0</v>
      </c>
      <c r="T981" s="432">
        <f t="shared" si="1624"/>
        <v>0</v>
      </c>
      <c r="U981" s="432">
        <f t="shared" si="1624"/>
        <v>0</v>
      </c>
      <c r="V981" s="432">
        <f t="shared" si="1624"/>
        <v>0</v>
      </c>
      <c r="W981" s="432">
        <f t="shared" si="1624"/>
        <v>0</v>
      </c>
      <c r="X981" s="432">
        <f t="shared" si="1624"/>
        <v>0</v>
      </c>
      <c r="Y981" s="432">
        <f t="shared" si="1624"/>
        <v>0</v>
      </c>
      <c r="Z981" s="432">
        <f t="shared" si="1624"/>
        <v>0</v>
      </c>
      <c r="AA981" s="432">
        <f t="shared" si="1624"/>
        <v>0</v>
      </c>
      <c r="AB981" s="432">
        <f t="shared" si="1624"/>
        <v>0</v>
      </c>
      <c r="AC981" s="432">
        <f t="shared" si="1624"/>
        <v>0</v>
      </c>
      <c r="AD981" s="432">
        <f t="shared" si="1624"/>
        <v>0</v>
      </c>
      <c r="AE981" s="432">
        <f t="shared" si="1624"/>
        <v>0</v>
      </c>
      <c r="AF981" s="432">
        <f t="shared" si="1624"/>
        <v>0</v>
      </c>
      <c r="AG981" s="432">
        <f t="shared" si="1624"/>
        <v>0</v>
      </c>
      <c r="AH981" s="432">
        <f t="shared" si="1624"/>
        <v>0</v>
      </c>
      <c r="AI981" s="432">
        <f t="shared" si="1624"/>
        <v>0</v>
      </c>
      <c r="AJ981" s="432">
        <f t="shared" si="1624"/>
        <v>0</v>
      </c>
      <c r="AK981" s="432">
        <f t="shared" si="1624"/>
        <v>0</v>
      </c>
      <c r="AL981" s="432">
        <f t="shared" si="1624"/>
        <v>0</v>
      </c>
      <c r="AM981" s="432">
        <f t="shared" si="1624"/>
        <v>0</v>
      </c>
      <c r="AN981" s="432">
        <f t="shared" si="1624"/>
        <v>0</v>
      </c>
      <c r="AO981" s="432">
        <f t="shared" si="1624"/>
        <v>0.73677144149999996</v>
      </c>
      <c r="AP981" s="432">
        <f t="shared" si="1624"/>
        <v>0.87022344689999998</v>
      </c>
      <c r="AQ981" s="432">
        <f t="shared" si="1624"/>
        <v>1.2205197695000001</v>
      </c>
      <c r="AR981" s="432">
        <f t="shared" si="1624"/>
        <v>11.218997224387699</v>
      </c>
      <c r="AS981" s="432">
        <f t="shared" si="1624"/>
        <v>1.1459010598400001</v>
      </c>
      <c r="AT981" s="432">
        <f t="shared" si="1624"/>
        <v>13.439773997560001</v>
      </c>
      <c r="AU981" s="432">
        <f t="shared" si="1624"/>
        <v>1.3793941121</v>
      </c>
      <c r="AV981" s="432">
        <f t="shared" si="1624"/>
        <v>1.3463665591</v>
      </c>
      <c r="AW981" s="432">
        <f t="shared" si="1624"/>
        <v>2.7954608421350797</v>
      </c>
      <c r="AX981" s="432">
        <f t="shared" ref="AX981:BP981" si="1625">AX$730</f>
        <v>12.463194194551081</v>
      </c>
      <c r="AY981" s="432">
        <f t="shared" si="1625"/>
        <v>2.8796825043380001</v>
      </c>
      <c r="AZ981" s="432">
        <f t="shared" si="1625"/>
        <v>12.240232727716002</v>
      </c>
      <c r="BA981" s="432">
        <f t="shared" si="1625"/>
        <v>1.6134195004136</v>
      </c>
      <c r="BB981" s="432">
        <f t="shared" si="1625"/>
        <v>1.5360832911</v>
      </c>
      <c r="BC981" s="432">
        <f t="shared" si="1625"/>
        <v>1.6732264774500001</v>
      </c>
      <c r="BD981" s="432">
        <f t="shared" si="1625"/>
        <v>14.741944910921598</v>
      </c>
      <c r="BE981" s="432">
        <f t="shared" si="1625"/>
        <v>2.0575662368063701</v>
      </c>
      <c r="BF981" s="432">
        <f t="shared" si="1625"/>
        <v>13.797079441020001</v>
      </c>
      <c r="BG981" s="432">
        <f t="shared" si="1625"/>
        <v>1.0195078205658223</v>
      </c>
      <c r="BH981" s="432">
        <f t="shared" si="1625"/>
        <v>1.0814504231915532</v>
      </c>
      <c r="BI981" s="432">
        <f t="shared" si="1625"/>
        <v>1.3832592429894861</v>
      </c>
      <c r="BJ981" s="432">
        <f t="shared" si="1625"/>
        <v>14.99119513133029</v>
      </c>
      <c r="BK981" s="432">
        <f t="shared" si="1625"/>
        <v>1.8934237770492439</v>
      </c>
      <c r="BL981" s="432">
        <f t="shared" si="1625"/>
        <v>13.954147275184809</v>
      </c>
      <c r="BM981" s="432">
        <f t="shared" si="1625"/>
        <v>1.7886043891709966</v>
      </c>
      <c r="BN981" s="432">
        <f t="shared" si="1625"/>
        <v>1.5941371205182304</v>
      </c>
      <c r="BO981" s="432">
        <f t="shared" si="1625"/>
        <v>14.094322102162641</v>
      </c>
      <c r="BP981" s="432">
        <f t="shared" si="1625"/>
        <v>1.8087952032119421</v>
      </c>
      <c r="BQ981" s="432">
        <f t="shared" ref="BQ981:EB981" si="1626">BQ$730</f>
        <v>1.9733735562058536</v>
      </c>
      <c r="BR981" s="432">
        <f t="shared" si="1626"/>
        <v>14.585566951660402</v>
      </c>
      <c r="BS981" s="432">
        <f t="shared" si="1626"/>
        <v>5.5705372722639872</v>
      </c>
      <c r="BT981" s="432">
        <f t="shared" si="1626"/>
        <v>3.2445956032393015</v>
      </c>
      <c r="BU981" s="432">
        <f t="shared" si="1626"/>
        <v>3.1190568878314879</v>
      </c>
      <c r="BV981" s="432">
        <f t="shared" si="1626"/>
        <v>19.028217306632374</v>
      </c>
      <c r="BW981" s="432">
        <f t="shared" si="1626"/>
        <v>3.3744569585588167</v>
      </c>
      <c r="BX981" s="432">
        <f t="shared" si="1626"/>
        <v>16.720974450205173</v>
      </c>
      <c r="BY981" s="432">
        <f t="shared" si="1626"/>
        <v>4.2109300315163303</v>
      </c>
      <c r="BZ981" s="432">
        <f t="shared" si="1626"/>
        <v>4.3588513318034314</v>
      </c>
      <c r="CA981" s="432">
        <f t="shared" si="1626"/>
        <v>20.355346801990287</v>
      </c>
      <c r="CB981" s="432">
        <f t="shared" si="1626"/>
        <v>5.8428300556804622</v>
      </c>
      <c r="CC981" s="432">
        <f t="shared" si="1626"/>
        <v>7.4380672993229435</v>
      </c>
      <c r="CD981" s="433">
        <f t="shared" si="1626"/>
        <v>17.444373388980807</v>
      </c>
      <c r="CE981" s="432">
        <f t="shared" si="1626"/>
        <v>3.773602833097268</v>
      </c>
      <c r="CF981" s="432">
        <f t="shared" si="1626"/>
        <v>7.8182821325727847</v>
      </c>
      <c r="CG981" s="432">
        <f t="shared" si="1626"/>
        <v>3.6104804731934399</v>
      </c>
      <c r="CH981" s="432">
        <f t="shared" si="1626"/>
        <v>28.03934679175023</v>
      </c>
      <c r="CI981" s="432">
        <f t="shared" si="1626"/>
        <v>4.8661733910247236</v>
      </c>
      <c r="CJ981" s="432">
        <f t="shared" si="1626"/>
        <v>18.075482076032799</v>
      </c>
      <c r="CK981" s="432">
        <f t="shared" si="1626"/>
        <v>3.7769396770250454</v>
      </c>
      <c r="CL981" s="432">
        <f t="shared" si="1626"/>
        <v>6.7874119777830728</v>
      </c>
      <c r="CM981" s="432">
        <f t="shared" si="1626"/>
        <v>23.460303531456216</v>
      </c>
      <c r="CN981" s="432">
        <f t="shared" si="1626"/>
        <v>4.2418208646173605</v>
      </c>
      <c r="CO981" s="432">
        <f t="shared" si="1626"/>
        <v>5.9256209439995917</v>
      </c>
      <c r="CP981" s="435">
        <f t="shared" si="1626"/>
        <v>26.10459214491987</v>
      </c>
      <c r="CQ981" s="432">
        <f t="shared" si="1626"/>
        <v>3.3418364696999996</v>
      </c>
      <c r="CR981" s="432">
        <f t="shared" si="1626"/>
        <v>6.5449263030962497</v>
      </c>
      <c r="CS981" s="432">
        <f t="shared" si="1626"/>
        <v>7.5501068364899995</v>
      </c>
      <c r="CT981" s="432">
        <f t="shared" si="1626"/>
        <v>16.261565968536868</v>
      </c>
      <c r="CU981" s="432">
        <f t="shared" si="1626"/>
        <v>4.6290882605947905</v>
      </c>
      <c r="CV981" s="432">
        <f t="shared" si="1626"/>
        <v>21.655439408825746</v>
      </c>
      <c r="CW981" s="432">
        <f t="shared" si="1626"/>
        <v>6.7834283947911951</v>
      </c>
      <c r="CX981" s="432">
        <f t="shared" si="1626"/>
        <v>4.1981558905599998</v>
      </c>
      <c r="CY981" s="432">
        <f t="shared" si="1626"/>
        <v>43.364985725967856</v>
      </c>
      <c r="CZ981" s="432">
        <f t="shared" si="1626"/>
        <v>23.622884144488452</v>
      </c>
      <c r="DA981" s="432">
        <f t="shared" si="1626"/>
        <v>7.0054394432192941</v>
      </c>
      <c r="DB981" s="1519">
        <f t="shared" si="1626"/>
        <v>27.583656393924237</v>
      </c>
      <c r="DC981" s="432">
        <f t="shared" si="1626"/>
        <v>3.2357062895308539</v>
      </c>
      <c r="DD981" s="432">
        <f t="shared" si="1626"/>
        <v>2.2745306210000003</v>
      </c>
      <c r="DE981" s="432">
        <f t="shared" si="1626"/>
        <v>13.538169391189323</v>
      </c>
      <c r="DF981" s="432">
        <f t="shared" si="1626"/>
        <v>25.970255474577556</v>
      </c>
      <c r="DG981" s="432">
        <f t="shared" si="1626"/>
        <v>2.9217145880000004</v>
      </c>
      <c r="DH981" s="432">
        <f t="shared" si="1626"/>
        <v>28.899659217306308</v>
      </c>
      <c r="DI981" s="432">
        <f t="shared" si="1626"/>
        <v>4.8783868162208952</v>
      </c>
      <c r="DJ981" s="432">
        <f t="shared" si="1626"/>
        <v>5.1171349970333324</v>
      </c>
      <c r="DK981" s="432">
        <f t="shared" si="1626"/>
        <v>39.458440578257921</v>
      </c>
      <c r="DL981" s="432">
        <f t="shared" si="1626"/>
        <v>5.5982327768414768</v>
      </c>
      <c r="DM981" s="432">
        <f t="shared" si="1626"/>
        <v>5.6733429452304431</v>
      </c>
      <c r="DN981" s="435">
        <f t="shared" si="1626"/>
        <v>30.030674571258462</v>
      </c>
      <c r="DO981" s="432">
        <f t="shared" si="1626"/>
        <v>5.864405474916901</v>
      </c>
      <c r="DP981" s="432">
        <f t="shared" si="1626"/>
        <v>6.8378481926238717</v>
      </c>
      <c r="DQ981" s="432">
        <f t="shared" si="1626"/>
        <v>37.116546520512699</v>
      </c>
      <c r="DR981" s="432">
        <f t="shared" si="1626"/>
        <v>12.081748573901143</v>
      </c>
      <c r="DS981" s="432">
        <f t="shared" si="1626"/>
        <v>7.3360024290356769</v>
      </c>
      <c r="DT981" s="432">
        <f t="shared" si="1626"/>
        <v>43.014089080394044</v>
      </c>
      <c r="DU981" s="432">
        <f t="shared" si="1626"/>
        <v>8.1547782268997402</v>
      </c>
      <c r="DV981" s="432">
        <f t="shared" si="1626"/>
        <v>7.0820522524339884</v>
      </c>
      <c r="DW981" s="432">
        <f t="shared" si="1626"/>
        <v>40.098563240539136</v>
      </c>
      <c r="DX981" s="432">
        <f t="shared" si="1626"/>
        <v>8.3576268002064005</v>
      </c>
      <c r="DY981" s="432">
        <f t="shared" si="1626"/>
        <v>9.8554637964104632</v>
      </c>
      <c r="DZ981" s="435">
        <f t="shared" si="1626"/>
        <v>47.360164741347774</v>
      </c>
      <c r="EA981" s="432">
        <f t="shared" si="1626"/>
        <v>7.2527547036434381</v>
      </c>
      <c r="EB981" s="432">
        <f t="shared" si="1626"/>
        <v>6.5318750234620744</v>
      </c>
      <c r="EC981" s="432">
        <f t="shared" ref="EC981:GH981" si="1627">EC$730</f>
        <v>26.858247887388359</v>
      </c>
      <c r="ED981" s="432">
        <f t="shared" si="1627"/>
        <v>28.721351107820574</v>
      </c>
      <c r="EE981" s="432">
        <f t="shared" si="1627"/>
        <v>8.5077782517982019</v>
      </c>
      <c r="EF981" s="432">
        <f t="shared" si="1627"/>
        <v>53.531702429578104</v>
      </c>
      <c r="EG981" s="432">
        <f t="shared" si="1627"/>
        <v>11.12780800442701</v>
      </c>
      <c r="EH981" s="432">
        <f t="shared" si="1627"/>
        <v>7.7831734905389149</v>
      </c>
      <c r="EI981" s="432">
        <f t="shared" si="1627"/>
        <v>23.500836516834458</v>
      </c>
      <c r="EJ981" s="432">
        <f t="shared" si="1627"/>
        <v>36.536083130647825</v>
      </c>
      <c r="EK981" s="432">
        <f t="shared" si="1627"/>
        <v>17.833473760482146</v>
      </c>
      <c r="EL981" s="435">
        <f t="shared" si="1627"/>
        <v>34.345229155187425</v>
      </c>
      <c r="EM981" s="432">
        <f t="shared" si="1627"/>
        <v>7.4888774369999993</v>
      </c>
      <c r="EN981" s="432">
        <f t="shared" si="1627"/>
        <v>40.843009521381404</v>
      </c>
      <c r="EO981" s="432">
        <f t="shared" si="1627"/>
        <v>46.785923167361609</v>
      </c>
      <c r="EP981" s="432">
        <f t="shared" si="1627"/>
        <v>18.55738308921201</v>
      </c>
      <c r="EQ981" s="432">
        <f t="shared" si="1627"/>
        <v>9.6110066193090482</v>
      </c>
      <c r="ER981" s="432">
        <f t="shared" si="1627"/>
        <v>35.266688025447394</v>
      </c>
      <c r="ES981" s="432">
        <f t="shared" si="1627"/>
        <v>10.346748043999991</v>
      </c>
      <c r="ET981" s="432">
        <f t="shared" si="1627"/>
        <v>5.8391709211</v>
      </c>
      <c r="EU981" s="432">
        <f t="shared" si="1627"/>
        <v>43.662565787999995</v>
      </c>
      <c r="EV981" s="432">
        <f t="shared" si="1627"/>
        <v>16.099511322836889</v>
      </c>
      <c r="EW981" s="432">
        <f t="shared" si="1627"/>
        <v>7.045610838</v>
      </c>
      <c r="EX981" s="435">
        <f t="shared" si="1627"/>
        <v>26.208560388999999</v>
      </c>
      <c r="EY981" s="432">
        <f t="shared" si="1627"/>
        <v>9.1750337620104041</v>
      </c>
      <c r="EZ981" s="432">
        <f t="shared" si="1627"/>
        <v>21.679448522001998</v>
      </c>
      <c r="FA981" s="432">
        <f t="shared" si="1627"/>
        <v>48.108473449067887</v>
      </c>
      <c r="FB981" s="432">
        <f t="shared" si="1627"/>
        <v>41.303309647297183</v>
      </c>
      <c r="FC981" s="432">
        <f t="shared" si="1627"/>
        <v>11.81657427103638</v>
      </c>
      <c r="FD981" s="432">
        <f t="shared" si="1627"/>
        <v>41.641741794899325</v>
      </c>
      <c r="FE981" s="432">
        <f t="shared" si="1627"/>
        <v>14.735024890960016</v>
      </c>
      <c r="FF981" s="432">
        <f t="shared" si="1627"/>
        <v>9.3852508562531689</v>
      </c>
      <c r="FG981" s="432">
        <f t="shared" si="1627"/>
        <v>12.538681632529986</v>
      </c>
      <c r="FH981" s="432">
        <f t="shared" si="1627"/>
        <v>18.712704155814109</v>
      </c>
      <c r="FI981" s="432">
        <f t="shared" si="1627"/>
        <v>37.976299437211026</v>
      </c>
      <c r="FJ981" s="435">
        <f t="shared" si="1627"/>
        <v>12.722002488007465</v>
      </c>
      <c r="FK981" s="432">
        <f t="shared" si="1627"/>
        <v>8.0981259595561923</v>
      </c>
      <c r="FL981" s="432">
        <f t="shared" si="1627"/>
        <v>8.6108858428315358</v>
      </c>
      <c r="FM981" s="432">
        <f t="shared" si="1627"/>
        <v>86.909853386565914</v>
      </c>
      <c r="FN981" s="432">
        <f t="shared" si="1627"/>
        <v>27.54278671824477</v>
      </c>
      <c r="FO981" s="432">
        <f t="shared" si="1627"/>
        <v>11.169055637366844</v>
      </c>
      <c r="FP981" s="432">
        <f t="shared" si="1627"/>
        <v>67.230759273435282</v>
      </c>
      <c r="FQ981" s="432">
        <f t="shared" si="1627"/>
        <v>10.174064402360132</v>
      </c>
      <c r="FR981" s="432">
        <f t="shared" si="1627"/>
        <v>9.5004950430328599</v>
      </c>
      <c r="FS981" s="432">
        <f t="shared" si="1627"/>
        <v>16.75108791575078</v>
      </c>
      <c r="FT981" s="432">
        <f t="shared" si="1627"/>
        <v>77.567366338390585</v>
      </c>
      <c r="FU981" s="432">
        <f t="shared" si="1627"/>
        <v>9.7849742606808618</v>
      </c>
      <c r="FV981" s="435">
        <f t="shared" si="1627"/>
        <v>52.07429201195486</v>
      </c>
      <c r="FW981" s="432">
        <f t="shared" si="1627"/>
        <v>8.3976877939031542</v>
      </c>
      <c r="FX981" s="432">
        <f t="shared" si="1627"/>
        <v>8.441170142468966</v>
      </c>
      <c r="FY981" s="432">
        <f t="shared" si="1627"/>
        <v>65.554970758750216</v>
      </c>
      <c r="FZ981" s="432">
        <f t="shared" si="1627"/>
        <v>27.739173847568807</v>
      </c>
      <c r="GA981" s="432">
        <f t="shared" si="1627"/>
        <v>57.842734102384561</v>
      </c>
      <c r="GB981" s="432">
        <f t="shared" si="1627"/>
        <v>30.421683713950962</v>
      </c>
      <c r="GC981" s="432">
        <f t="shared" si="1627"/>
        <v>26.179737693851997</v>
      </c>
      <c r="GD981" s="432">
        <f t="shared" si="1627"/>
        <v>46.384958962221042</v>
      </c>
      <c r="GE981" s="432">
        <f t="shared" si="1627"/>
        <v>23.136475927755605</v>
      </c>
      <c r="GF981" s="432">
        <f t="shared" si="1627"/>
        <v>29.472443897830001</v>
      </c>
      <c r="GG981" s="432">
        <f t="shared" si="1627"/>
        <v>10.466326267348695</v>
      </c>
      <c r="GH981" s="432">
        <f t="shared" si="1627"/>
        <v>67.187691652926262</v>
      </c>
      <c r="HN981" s="363"/>
      <c r="HO981" s="436" t="s">
        <v>542</v>
      </c>
      <c r="HP981" s="436"/>
      <c r="HQ981" s="436"/>
      <c r="HR981" s="302">
        <f>HR$730</f>
        <v>136.48005683747238</v>
      </c>
      <c r="HS981" s="302">
        <f>HS$730</f>
        <v>59.98296324724366</v>
      </c>
      <c r="HT981" s="302">
        <f>HT$730</f>
        <v>112.55854999295104</v>
      </c>
      <c r="HU981" s="457">
        <f>HU$730</f>
        <v>172.54151324019472</v>
      </c>
      <c r="HV981" s="307"/>
      <c r="HX981" s="457">
        <f>HX$730</f>
        <v>167.59624826644659</v>
      </c>
      <c r="IA981" s="457">
        <f>IA$730</f>
        <v>233.15928932922185</v>
      </c>
      <c r="ID981" s="457">
        <f>ID$730</f>
        <v>262.53031346180853</v>
      </c>
      <c r="IE981" s="457"/>
      <c r="IF981" s="457"/>
      <c r="IG981" s="457">
        <f>IG$730</f>
        <v>267.75505516264832</v>
      </c>
      <c r="IH981" s="457"/>
      <c r="II981" s="457"/>
      <c r="IJ981" s="457">
        <f>IJ$730</f>
        <v>279.79454490708895</v>
      </c>
      <c r="IK981" s="457"/>
      <c r="IL981" s="457"/>
      <c r="IM981" s="457">
        <f>IM$730</f>
        <v>385.41374679017065</v>
      </c>
      <c r="IN981" s="457"/>
      <c r="IO981" s="457">
        <f>IO$730</f>
        <v>202.82763440193361</v>
      </c>
      <c r="IP981" s="457">
        <f>IP$730</f>
        <v>401.22505476096023</v>
      </c>
      <c r="IQ981" s="457">
        <f>IQ$730</f>
        <v>186.95793838368223</v>
      </c>
      <c r="IR981" s="457">
        <f>IR$730</f>
        <v>213.9302025149637</v>
      </c>
      <c r="IS981" s="457"/>
      <c r="IT981" s="457"/>
      <c r="IU981" s="457"/>
      <c r="IV981" s="457"/>
      <c r="IW981" s="457"/>
      <c r="IX981" s="457"/>
      <c r="IY981" s="457"/>
      <c r="KI981" s="363"/>
      <c r="KJ981" s="364"/>
      <c r="KM981" s="302">
        <f>KM$730</f>
        <v>0</v>
      </c>
      <c r="KN981" s="302">
        <f>KN$730</f>
        <v>0</v>
      </c>
      <c r="KO981" s="302">
        <f>KO$730</f>
        <v>0</v>
      </c>
      <c r="KP981" s="302">
        <f>KP$730</f>
        <v>0</v>
      </c>
    </row>
    <row r="982" spans="1:302">
      <c r="A982" s="302"/>
      <c r="B982" s="117" t="s">
        <v>361</v>
      </c>
      <c r="D982" s="453" t="str">
        <f>D$754</f>
        <v xml:space="preserve">EXPENSE </v>
      </c>
      <c r="E982" s="361">
        <f>E$754</f>
        <v>0</v>
      </c>
      <c r="F982" s="361">
        <f t="shared" ref="F982:L982" si="1628">F$754</f>
        <v>0</v>
      </c>
      <c r="G982" s="361">
        <f t="shared" si="1628"/>
        <v>0</v>
      </c>
      <c r="H982" s="361">
        <f t="shared" si="1628"/>
        <v>0</v>
      </c>
      <c r="I982" s="361">
        <f t="shared" si="1628"/>
        <v>0</v>
      </c>
      <c r="J982" s="361">
        <f t="shared" si="1628"/>
        <v>0</v>
      </c>
      <c r="K982" s="361">
        <f t="shared" si="1628"/>
        <v>0</v>
      </c>
      <c r="L982" s="361">
        <f t="shared" si="1628"/>
        <v>0</v>
      </c>
      <c r="M982" s="361">
        <f t="shared" ref="M982:AW982" si="1629">M$754</f>
        <v>0</v>
      </c>
      <c r="N982" s="361">
        <f t="shared" si="1629"/>
        <v>0</v>
      </c>
      <c r="O982" s="361">
        <f t="shared" si="1629"/>
        <v>0</v>
      </c>
      <c r="P982" s="361">
        <f t="shared" si="1629"/>
        <v>0</v>
      </c>
      <c r="Q982" s="361">
        <f t="shared" si="1629"/>
        <v>0</v>
      </c>
      <c r="R982" s="361">
        <f t="shared" si="1629"/>
        <v>0</v>
      </c>
      <c r="S982" s="361">
        <f t="shared" si="1629"/>
        <v>0</v>
      </c>
      <c r="T982" s="361">
        <f t="shared" si="1629"/>
        <v>0</v>
      </c>
      <c r="U982" s="361">
        <f t="shared" si="1629"/>
        <v>0</v>
      </c>
      <c r="V982" s="361">
        <f t="shared" si="1629"/>
        <v>0</v>
      </c>
      <c r="W982" s="361">
        <f t="shared" si="1629"/>
        <v>0</v>
      </c>
      <c r="X982" s="361">
        <f t="shared" si="1629"/>
        <v>0</v>
      </c>
      <c r="Y982" s="361">
        <f t="shared" si="1629"/>
        <v>0</v>
      </c>
      <c r="Z982" s="361">
        <f t="shared" si="1629"/>
        <v>0</v>
      </c>
      <c r="AA982" s="361">
        <f t="shared" si="1629"/>
        <v>0</v>
      </c>
      <c r="AB982" s="361">
        <f t="shared" si="1629"/>
        <v>0</v>
      </c>
      <c r="AC982" s="361">
        <f t="shared" si="1629"/>
        <v>0</v>
      </c>
      <c r="AD982" s="361">
        <f t="shared" si="1629"/>
        <v>0</v>
      </c>
      <c r="AE982" s="361">
        <f t="shared" si="1629"/>
        <v>0</v>
      </c>
      <c r="AF982" s="361">
        <f t="shared" si="1629"/>
        <v>0</v>
      </c>
      <c r="AG982" s="361">
        <f t="shared" si="1629"/>
        <v>0</v>
      </c>
      <c r="AH982" s="361">
        <f t="shared" si="1629"/>
        <v>0</v>
      </c>
      <c r="AI982" s="361">
        <f t="shared" si="1629"/>
        <v>0</v>
      </c>
      <c r="AJ982" s="361">
        <f t="shared" si="1629"/>
        <v>0</v>
      </c>
      <c r="AK982" s="361">
        <f t="shared" si="1629"/>
        <v>0</v>
      </c>
      <c r="AL982" s="361">
        <f t="shared" si="1629"/>
        <v>0</v>
      </c>
      <c r="AM982" s="361">
        <f t="shared" si="1629"/>
        <v>0</v>
      </c>
      <c r="AN982" s="361">
        <f t="shared" si="1629"/>
        <v>0</v>
      </c>
      <c r="AO982" s="361">
        <f t="shared" si="1629"/>
        <v>0.4218368758062</v>
      </c>
      <c r="AP982" s="361">
        <f t="shared" si="1629"/>
        <v>0.15930158205101999</v>
      </c>
      <c r="AQ982" s="361">
        <f t="shared" si="1629"/>
        <v>0.61614968011050009</v>
      </c>
      <c r="AR982" s="361">
        <f t="shared" si="1629"/>
        <v>0.29238099254990002</v>
      </c>
      <c r="AS982" s="361">
        <f t="shared" si="1629"/>
        <v>0.49848143689416663</v>
      </c>
      <c r="AT982" s="361">
        <f t="shared" si="1629"/>
        <v>0.27567536453119995</v>
      </c>
      <c r="AU982" s="361">
        <f t="shared" si="1629"/>
        <v>0.41900182074452003</v>
      </c>
      <c r="AV982" s="361">
        <f t="shared" si="1629"/>
        <v>5.9318858289000003E-3</v>
      </c>
      <c r="AW982" s="361">
        <f t="shared" si="1629"/>
        <v>0.31037488525610002</v>
      </c>
      <c r="AX982" s="361">
        <f t="shared" ref="AX982:BP982" si="1630">AX$754</f>
        <v>0.79970507613979092</v>
      </c>
      <c r="AY982" s="361">
        <f t="shared" si="1630"/>
        <v>0.12941338107390002</v>
      </c>
      <c r="AZ982" s="361">
        <f t="shared" si="1630"/>
        <v>0.66349748529589991</v>
      </c>
      <c r="BA982" s="361">
        <f t="shared" si="1630"/>
        <v>0.43553760418569998</v>
      </c>
      <c r="BB982" s="361">
        <f t="shared" si="1630"/>
        <v>1.0110004030600001E-2</v>
      </c>
      <c r="BC982" s="361">
        <f t="shared" si="1630"/>
        <v>0.92716271887939983</v>
      </c>
      <c r="BD982" s="361">
        <f t="shared" si="1630"/>
        <v>0.33346708193720004</v>
      </c>
      <c r="BE982" s="361">
        <f t="shared" si="1630"/>
        <v>0.16446884016910002</v>
      </c>
      <c r="BF982" s="361">
        <f t="shared" si="1630"/>
        <v>0.46283348290624249</v>
      </c>
      <c r="BG982" s="361">
        <f t="shared" si="1630"/>
        <v>47.211846316241342</v>
      </c>
      <c r="BH982" s="361">
        <f t="shared" si="1630"/>
        <v>74.45831871456619</v>
      </c>
      <c r="BI982" s="361">
        <f t="shared" si="1630"/>
        <v>45.532160173451999</v>
      </c>
      <c r="BJ982" s="361">
        <f t="shared" si="1630"/>
        <v>75.295248003342707</v>
      </c>
      <c r="BK982" s="361">
        <f t="shared" si="1630"/>
        <v>53.105264547779008</v>
      </c>
      <c r="BL982" s="361">
        <f t="shared" si="1630"/>
        <v>38.754961242518796</v>
      </c>
      <c r="BM982" s="361">
        <f t="shared" si="1630"/>
        <v>69.929913903593913</v>
      </c>
      <c r="BN982" s="361">
        <f t="shared" si="1630"/>
        <v>49.273468699155501</v>
      </c>
      <c r="BO982" s="361">
        <f t="shared" si="1630"/>
        <v>48.539825571859296</v>
      </c>
      <c r="BP982" s="361">
        <f t="shared" si="1630"/>
        <v>83.436657257436394</v>
      </c>
      <c r="BQ982" s="361">
        <f t="shared" ref="BQ982:EB982" si="1631">BQ$754</f>
        <v>70.304949398627159</v>
      </c>
      <c r="BR982" s="361">
        <f t="shared" si="1631"/>
        <v>28.275897556700397</v>
      </c>
      <c r="BS982" s="361">
        <f t="shared" si="1631"/>
        <v>61.815081714061002</v>
      </c>
      <c r="BT982" s="361">
        <f t="shared" si="1631"/>
        <v>54.432380561523502</v>
      </c>
      <c r="BU982" s="361">
        <f t="shared" si="1631"/>
        <v>38.381478157159499</v>
      </c>
      <c r="BV982" s="361">
        <f t="shared" si="1631"/>
        <v>84.69430708071971</v>
      </c>
      <c r="BW982" s="361">
        <f t="shared" si="1631"/>
        <v>52.963476475276906</v>
      </c>
      <c r="BX982" s="361">
        <f t="shared" si="1631"/>
        <v>37.893483078853301</v>
      </c>
      <c r="BY982" s="361">
        <f t="shared" si="1631"/>
        <v>62.100208835434358</v>
      </c>
      <c r="BZ982" s="361">
        <f t="shared" si="1631"/>
        <v>63.563128624635553</v>
      </c>
      <c r="CA982" s="361">
        <f t="shared" si="1631"/>
        <v>44.987419374886883</v>
      </c>
      <c r="CB982" s="361">
        <f t="shared" si="1631"/>
        <v>82.44895081532394</v>
      </c>
      <c r="CC982" s="361">
        <f t="shared" si="1631"/>
        <v>110.29717865720355</v>
      </c>
      <c r="CD982" s="362">
        <f t="shared" si="1631"/>
        <v>44.276011968101493</v>
      </c>
      <c r="CE982" s="361">
        <f t="shared" si="1631"/>
        <v>71.458612352207666</v>
      </c>
      <c r="CF982" s="361">
        <f t="shared" si="1631"/>
        <v>80.614230169444525</v>
      </c>
      <c r="CG982" s="361">
        <f t="shared" si="1631"/>
        <v>56.53873985673652</v>
      </c>
      <c r="CH982" s="361">
        <f t="shared" si="1631"/>
        <v>112.84926202137515</v>
      </c>
      <c r="CI982" s="361">
        <f t="shared" si="1631"/>
        <v>58.41319784896168</v>
      </c>
      <c r="CJ982" s="361">
        <f t="shared" si="1631"/>
        <v>58.648621584906493</v>
      </c>
      <c r="CK982" s="361">
        <f t="shared" si="1631"/>
        <v>95.979081952908501</v>
      </c>
      <c r="CL982" s="361">
        <f t="shared" si="1631"/>
        <v>62.087554476596175</v>
      </c>
      <c r="CM982" s="361">
        <f t="shared" si="1631"/>
        <v>59.108390563097089</v>
      </c>
      <c r="CN982" s="361">
        <f t="shared" si="1631"/>
        <v>114.98262093264997</v>
      </c>
      <c r="CO982" s="361">
        <f t="shared" si="1631"/>
        <v>84.451621389061472</v>
      </c>
      <c r="CP982" s="1495">
        <f t="shared" si="1631"/>
        <v>47.933403958317456</v>
      </c>
      <c r="CQ982" s="454">
        <f t="shared" si="1631"/>
        <v>100.17957960570411</v>
      </c>
      <c r="CR982" s="445">
        <f t="shared" si="1631"/>
        <v>76.755145306457905</v>
      </c>
      <c r="CS982" s="445">
        <f t="shared" si="1631"/>
        <v>78.99562305287499</v>
      </c>
      <c r="CT982" s="445">
        <f t="shared" si="1631"/>
        <v>90.375015269121633</v>
      </c>
      <c r="CU982" s="445">
        <f t="shared" si="1631"/>
        <v>74.556325616232883</v>
      </c>
      <c r="CV982" s="445">
        <f t="shared" si="1631"/>
        <v>74.798320147405676</v>
      </c>
      <c r="CW982" s="445">
        <f t="shared" si="1631"/>
        <v>83.594369939108489</v>
      </c>
      <c r="CX982" s="445">
        <f t="shared" si="1631"/>
        <v>55.364763503715224</v>
      </c>
      <c r="CY982" s="445">
        <f t="shared" si="1631"/>
        <v>102.5462955264567</v>
      </c>
      <c r="CZ982" s="445">
        <f t="shared" si="1631"/>
        <v>137.93081720125494</v>
      </c>
      <c r="DA982" s="445">
        <f t="shared" si="1631"/>
        <v>75.620315410053152</v>
      </c>
      <c r="DB982" s="1520">
        <f t="shared" si="1631"/>
        <v>36.487652212698229</v>
      </c>
      <c r="DC982" s="443">
        <f t="shared" si="1631"/>
        <v>115.07450532287467</v>
      </c>
      <c r="DD982" s="443">
        <f t="shared" si="1631"/>
        <v>88.600249235000007</v>
      </c>
      <c r="DE982" s="443">
        <f t="shared" si="1631"/>
        <v>75.262546940399986</v>
      </c>
      <c r="DF982" s="443">
        <f t="shared" si="1631"/>
        <v>152.2468426775811</v>
      </c>
      <c r="DG982" s="443">
        <f t="shared" si="1631"/>
        <v>83.222383627999989</v>
      </c>
      <c r="DH982" s="443">
        <f t="shared" si="1631"/>
        <v>76.716107223000009</v>
      </c>
      <c r="DI982" s="443">
        <f t="shared" si="1631"/>
        <v>124.87842583198848</v>
      </c>
      <c r="DJ982" s="443">
        <f t="shared" si="1631"/>
        <v>78.511082680869407</v>
      </c>
      <c r="DK982" s="443">
        <f t="shared" si="1631"/>
        <v>90.745945551081348</v>
      </c>
      <c r="DL982" s="443">
        <f t="shared" si="1631"/>
        <v>125.2924094857818</v>
      </c>
      <c r="DM982" s="443">
        <f t="shared" si="1631"/>
        <v>74.90322348545844</v>
      </c>
      <c r="DN982" s="446">
        <f t="shared" si="1631"/>
        <v>61.502820190708533</v>
      </c>
      <c r="DO982" s="443">
        <f t="shared" si="1631"/>
        <v>144.07550871509005</v>
      </c>
      <c r="DP982" s="443">
        <f t="shared" si="1631"/>
        <v>113.07770425551797</v>
      </c>
      <c r="DQ982" s="443">
        <f t="shared" si="1631"/>
        <v>76.082356122777597</v>
      </c>
      <c r="DR982" s="443">
        <f t="shared" si="1631"/>
        <v>156.06651094656246</v>
      </c>
      <c r="DS982" s="443">
        <f t="shared" si="1631"/>
        <v>104.26100455498974</v>
      </c>
      <c r="DT982" s="443">
        <f t="shared" si="1631"/>
        <v>111.50208148811539</v>
      </c>
      <c r="DU982" s="443">
        <f t="shared" si="1631"/>
        <v>132.61847265266206</v>
      </c>
      <c r="DV982" s="443">
        <f t="shared" si="1631"/>
        <v>104.58270080807941</v>
      </c>
      <c r="DW982" s="443">
        <f t="shared" si="1631"/>
        <v>79.563794331681549</v>
      </c>
      <c r="DX982" s="443">
        <f t="shared" si="1631"/>
        <v>153.83782506362562</v>
      </c>
      <c r="DY982" s="443">
        <f t="shared" si="1631"/>
        <v>100.9167906141913</v>
      </c>
      <c r="DZ982" s="446">
        <f t="shared" si="1631"/>
        <v>46.872684568321155</v>
      </c>
      <c r="EA982" s="443">
        <f t="shared" si="1631"/>
        <v>145.30212676947173</v>
      </c>
      <c r="EB982" s="443">
        <f t="shared" si="1631"/>
        <v>130.68953977944261</v>
      </c>
      <c r="EC982" s="443">
        <f t="shared" ref="EC982:GH982" si="1632">EC$754</f>
        <v>141.10338209713646</v>
      </c>
      <c r="ED982" s="443">
        <f t="shared" si="1632"/>
        <v>140.02275301199998</v>
      </c>
      <c r="EE982" s="443">
        <f t="shared" si="1632"/>
        <v>96.151639869999997</v>
      </c>
      <c r="EF982" s="443">
        <f t="shared" si="1632"/>
        <v>90.247179783000007</v>
      </c>
      <c r="EG982" s="443">
        <f t="shared" si="1632"/>
        <v>156.25003193032137</v>
      </c>
      <c r="EH982" s="443">
        <f t="shared" si="1632"/>
        <v>94.812955786241616</v>
      </c>
      <c r="EI982" s="443">
        <f t="shared" si="1632"/>
        <v>124.76817025059032</v>
      </c>
      <c r="EJ982" s="443">
        <f t="shared" si="1632"/>
        <v>119.00127803696546</v>
      </c>
      <c r="EK982" s="443">
        <f t="shared" si="1632"/>
        <v>120.87081263640491</v>
      </c>
      <c r="EL982" s="446">
        <f t="shared" si="1632"/>
        <v>77.702326093316088</v>
      </c>
      <c r="EM982" s="443">
        <f t="shared" si="1632"/>
        <v>109.85451754499697</v>
      </c>
      <c r="EN982" s="443">
        <f t="shared" si="1632"/>
        <v>125.79905447463875</v>
      </c>
      <c r="EO982" s="443">
        <f t="shared" si="1632"/>
        <v>102.91453615671431</v>
      </c>
      <c r="EP982" s="443">
        <f t="shared" si="1632"/>
        <v>157.58331419881409</v>
      </c>
      <c r="EQ982" s="443">
        <f t="shared" si="1632"/>
        <v>145.96961350311793</v>
      </c>
      <c r="ER982" s="443">
        <f t="shared" si="1632"/>
        <v>106.89384576221238</v>
      </c>
      <c r="ES982" s="443">
        <f t="shared" si="1632"/>
        <v>135.51409806396794</v>
      </c>
      <c r="ET982" s="443">
        <f t="shared" si="1632"/>
        <v>117.00239800372515</v>
      </c>
      <c r="EU982" s="443">
        <f t="shared" si="1632"/>
        <v>138.66612055156887</v>
      </c>
      <c r="EV982" s="443">
        <f t="shared" si="1632"/>
        <v>276.39451889608108</v>
      </c>
      <c r="EW982" s="443">
        <f t="shared" si="1632"/>
        <v>169.57482779654237</v>
      </c>
      <c r="EX982" s="446">
        <f t="shared" si="1632"/>
        <v>80.696747638226839</v>
      </c>
      <c r="EY982" s="443">
        <f t="shared" si="1632"/>
        <v>135.54473385247792</v>
      </c>
      <c r="EZ982" s="443">
        <f t="shared" si="1632"/>
        <v>150.91730850391738</v>
      </c>
      <c r="FA982" s="443">
        <f t="shared" si="1632"/>
        <v>150.34048970330511</v>
      </c>
      <c r="FB982" s="443">
        <f t="shared" si="1632"/>
        <v>152.86264558400836</v>
      </c>
      <c r="FC982" s="443">
        <f t="shared" si="1632"/>
        <v>167.49266295468342</v>
      </c>
      <c r="FD982" s="443">
        <f t="shared" si="1632"/>
        <v>153.30630701289576</v>
      </c>
      <c r="FE982" s="443">
        <f t="shared" si="1632"/>
        <v>141.90985569054118</v>
      </c>
      <c r="FF982" s="443">
        <f t="shared" si="1632"/>
        <v>166.06225588561682</v>
      </c>
      <c r="FG982" s="443">
        <f t="shared" si="1632"/>
        <v>169.20589458029306</v>
      </c>
      <c r="FH982" s="443">
        <f t="shared" si="1632"/>
        <v>147.73294296268554</v>
      </c>
      <c r="FI982" s="443">
        <f t="shared" si="1632"/>
        <v>252.83473571944506</v>
      </c>
      <c r="FJ982" s="446">
        <f t="shared" si="1632"/>
        <v>112.92171774518997</v>
      </c>
      <c r="FK982" s="443">
        <f t="shared" si="1632"/>
        <v>219.1918465372174</v>
      </c>
      <c r="FL982" s="443">
        <f t="shared" si="1632"/>
        <v>155.82205387646056</v>
      </c>
      <c r="FM982" s="443">
        <f t="shared" si="1632"/>
        <v>167.81463236436889</v>
      </c>
      <c r="FN982" s="443">
        <f t="shared" si="1632"/>
        <v>142.24071716064336</v>
      </c>
      <c r="FO982" s="443">
        <f t="shared" si="1632"/>
        <v>198.30870370624206</v>
      </c>
      <c r="FP982" s="443">
        <f t="shared" si="1632"/>
        <v>160.83325130389358</v>
      </c>
      <c r="FQ982" s="443">
        <f t="shared" si="1632"/>
        <v>119.74511789993736</v>
      </c>
      <c r="FR982" s="443">
        <f t="shared" si="1632"/>
        <v>161.14429667342094</v>
      </c>
      <c r="FS982" s="443">
        <f t="shared" si="1632"/>
        <v>182.70007181548141</v>
      </c>
      <c r="FT982" s="443">
        <f t="shared" si="1632"/>
        <v>170.5411933862847</v>
      </c>
      <c r="FU982" s="443">
        <f t="shared" si="1632"/>
        <v>289.50421094387059</v>
      </c>
      <c r="FV982" s="446">
        <f t="shared" si="1632"/>
        <v>121.51134231148433</v>
      </c>
      <c r="FW982" s="443">
        <f t="shared" si="1632"/>
        <v>151.80794224983575</v>
      </c>
      <c r="FX982" s="443">
        <f t="shared" si="1632"/>
        <v>182.72433729046381</v>
      </c>
      <c r="FY982" s="443">
        <f t="shared" si="1632"/>
        <v>288.38844737599351</v>
      </c>
      <c r="FZ982" s="443">
        <f t="shared" si="1632"/>
        <v>177.82332819536788</v>
      </c>
      <c r="GA982" s="443">
        <f t="shared" si="1632"/>
        <v>179.01943237914801</v>
      </c>
      <c r="GB982" s="443">
        <f t="shared" si="1632"/>
        <v>164.6325557816927</v>
      </c>
      <c r="GC982" s="443">
        <f t="shared" si="1632"/>
        <v>197.80811904856702</v>
      </c>
      <c r="GD982" s="443">
        <f t="shared" si="1632"/>
        <v>250.93833467570244</v>
      </c>
      <c r="GE982" s="443">
        <f t="shared" si="1632"/>
        <v>208.77223398815104</v>
      </c>
      <c r="GF982" s="443">
        <f t="shared" si="1632"/>
        <v>230.91735339860341</v>
      </c>
      <c r="GG982" s="443">
        <f t="shared" si="1632"/>
        <v>262.55063902730666</v>
      </c>
      <c r="GH982" s="443">
        <f t="shared" si="1632"/>
        <v>172.5182399804556</v>
      </c>
      <c r="HN982" s="363"/>
      <c r="HO982" s="453" t="s">
        <v>590</v>
      </c>
      <c r="HP982" s="453"/>
      <c r="HQ982" s="453"/>
      <c r="HR982" s="302">
        <f>HR$754</f>
        <v>903.06533710626275</v>
      </c>
      <c r="HS982" s="302">
        <f>HS$754</f>
        <v>495.66000899779721</v>
      </c>
      <c r="HT982" s="302">
        <f>HT$754</f>
        <v>491.5442137932867</v>
      </c>
      <c r="HU982" s="457">
        <f>HU$754</f>
        <v>987.20422279108391</v>
      </c>
      <c r="HV982" s="307"/>
      <c r="HX982" s="457">
        <f>HX$754</f>
        <v>1146.9565422527439</v>
      </c>
      <c r="IA982" s="457">
        <f>IA$754</f>
        <v>1323.4574341216144</v>
      </c>
      <c r="ID982" s="457">
        <f>ID$754</f>
        <v>1436.9221960448904</v>
      </c>
      <c r="IE982" s="457"/>
      <c r="IF982" s="457"/>
      <c r="IG982" s="457">
        <f>IG$754</f>
        <v>1666.8635925906065</v>
      </c>
      <c r="IH982" s="457"/>
      <c r="II982" s="457"/>
      <c r="IJ982" s="457">
        <f>IJ$754</f>
        <v>1901.1315501950596</v>
      </c>
      <c r="IK982" s="457"/>
      <c r="IL982" s="457"/>
      <c r="IM982" s="457">
        <f>IM$754</f>
        <v>2089.3574379793054</v>
      </c>
      <c r="IN982" s="457"/>
      <c r="IO982" s="457">
        <f>IO$754</f>
        <v>1323.504920118786</v>
      </c>
      <c r="IP982" s="457">
        <f>IP$754</f>
        <v>2467.9009633912874</v>
      </c>
      <c r="IQ982" s="457">
        <f>IQ$754</f>
        <v>1360.8212060239184</v>
      </c>
      <c r="IR982" s="457">
        <f>IR$754</f>
        <v>1495.8734270301832</v>
      </c>
      <c r="IS982" s="457"/>
      <c r="IT982" s="457"/>
      <c r="IU982" s="457"/>
      <c r="IV982" s="457"/>
      <c r="IW982" s="457"/>
      <c r="IX982" s="457"/>
      <c r="IY982" s="457"/>
      <c r="KI982" s="363"/>
      <c r="KJ982" s="364"/>
      <c r="KM982" s="302">
        <f>KM$754</f>
        <v>0</v>
      </c>
      <c r="KN982" s="302">
        <f>KN$754</f>
        <v>0</v>
      </c>
      <c r="KO982" s="302">
        <f>KO$754</f>
        <v>0</v>
      </c>
      <c r="KP982" s="302">
        <f>KP$754</f>
        <v>0</v>
      </c>
    </row>
    <row r="983" spans="1:302">
      <c r="A983" s="302"/>
      <c r="B983" s="117" t="s">
        <v>361</v>
      </c>
      <c r="D983" s="453" t="str">
        <f>D$814</f>
        <v>NET OPERATING BALANCE</v>
      </c>
      <c r="E983" s="361"/>
      <c r="F983" s="361"/>
      <c r="G983" s="361"/>
      <c r="H983" s="361"/>
      <c r="I983" s="361"/>
      <c r="J983" s="361"/>
      <c r="K983" s="361"/>
      <c r="L983" s="361"/>
      <c r="M983" s="361"/>
      <c r="N983" s="361"/>
      <c r="O983" s="361"/>
      <c r="P983" s="361"/>
      <c r="Q983" s="361"/>
      <c r="R983" s="361"/>
      <c r="S983" s="361"/>
      <c r="T983" s="361"/>
      <c r="U983" s="361"/>
      <c r="V983" s="361"/>
      <c r="W983" s="361"/>
      <c r="X983" s="361"/>
      <c r="Y983" s="361"/>
      <c r="Z983" s="361"/>
      <c r="AA983" s="361"/>
      <c r="AB983" s="361"/>
      <c r="AC983" s="361"/>
      <c r="AD983" s="361"/>
      <c r="AE983" s="361"/>
      <c r="AF983" s="361"/>
      <c r="AG983" s="361"/>
      <c r="AH983" s="361"/>
      <c r="AI983" s="361"/>
      <c r="AJ983" s="361"/>
      <c r="AK983" s="361"/>
      <c r="AL983" s="361"/>
      <c r="AM983" s="361"/>
      <c r="AN983" s="361"/>
      <c r="AO983" s="361"/>
      <c r="AP983" s="361"/>
      <c r="AQ983" s="361"/>
      <c r="AR983" s="361"/>
      <c r="AS983" s="361"/>
      <c r="AT983" s="361"/>
      <c r="AU983" s="361"/>
      <c r="AV983" s="361"/>
      <c r="AW983" s="361"/>
      <c r="AX983" s="361"/>
      <c r="AY983" s="361"/>
      <c r="AZ983" s="361"/>
      <c r="BA983" s="361"/>
      <c r="BB983" s="361"/>
      <c r="BC983" s="361"/>
      <c r="BD983" s="361"/>
      <c r="BE983" s="361"/>
      <c r="BF983" s="361"/>
      <c r="BG983" s="361"/>
      <c r="BH983" s="361"/>
      <c r="BI983" s="361"/>
      <c r="BJ983" s="361"/>
      <c r="BK983" s="361"/>
      <c r="BL983" s="361"/>
      <c r="BM983" s="361"/>
      <c r="BN983" s="361"/>
      <c r="BO983" s="361"/>
      <c r="BP983" s="361"/>
      <c r="BQ983" s="361"/>
      <c r="BR983" s="361"/>
      <c r="BS983" s="361"/>
      <c r="BT983" s="361"/>
      <c r="BU983" s="361"/>
      <c r="BV983" s="361"/>
      <c r="BW983" s="361"/>
      <c r="BX983" s="361"/>
      <c r="BY983" s="361"/>
      <c r="BZ983" s="361"/>
      <c r="CA983" s="361"/>
      <c r="CB983" s="361"/>
      <c r="CC983" s="361"/>
      <c r="CD983" s="362"/>
      <c r="CE983" s="361"/>
      <c r="CF983" s="361"/>
      <c r="CG983" s="361"/>
      <c r="CH983" s="361"/>
      <c r="CI983" s="361"/>
      <c r="CJ983" s="361"/>
      <c r="CK983" s="361"/>
      <c r="CL983" s="361"/>
      <c r="CM983" s="361"/>
      <c r="CN983" s="361"/>
      <c r="CO983" s="361"/>
      <c r="CP983" s="1495"/>
      <c r="CQ983" s="430"/>
      <c r="CR983" s="443"/>
      <c r="CS983" s="443"/>
      <c r="CT983" s="443"/>
      <c r="CU983" s="443"/>
      <c r="CV983" s="443"/>
      <c r="CW983" s="443"/>
      <c r="CX983" s="443"/>
      <c r="CY983" s="443"/>
      <c r="CZ983" s="443"/>
      <c r="DA983" s="443"/>
      <c r="DB983" s="1520"/>
      <c r="DC983" s="443"/>
      <c r="DD983" s="443"/>
      <c r="DE983" s="443"/>
      <c r="DF983" s="443"/>
      <c r="DG983" s="443"/>
      <c r="DH983" s="443"/>
      <c r="DI983" s="443"/>
      <c r="DJ983" s="443"/>
      <c r="DK983" s="443"/>
      <c r="DL983" s="443"/>
      <c r="DM983" s="443"/>
      <c r="DN983" s="446"/>
      <c r="DO983" s="443"/>
      <c r="DP983" s="443"/>
      <c r="DQ983" s="443"/>
      <c r="DR983" s="443"/>
      <c r="DS983" s="443"/>
      <c r="DT983" s="443"/>
      <c r="DU983" s="443"/>
      <c r="DV983" s="443"/>
      <c r="DW983" s="443"/>
      <c r="DX983" s="443"/>
      <c r="DY983" s="443"/>
      <c r="DZ983" s="446"/>
      <c r="EA983" s="443"/>
      <c r="EB983" s="443"/>
      <c r="EC983" s="443"/>
      <c r="ED983" s="443"/>
      <c r="EE983" s="443"/>
      <c r="EF983" s="443"/>
      <c r="EG983" s="443"/>
      <c r="EH983" s="443"/>
      <c r="EI983" s="443"/>
      <c r="EJ983" s="443"/>
      <c r="EK983" s="443"/>
      <c r="EL983" s="446"/>
      <c r="EM983" s="443"/>
      <c r="EN983" s="443"/>
      <c r="EO983" s="443"/>
      <c r="EP983" s="443"/>
      <c r="EQ983" s="443"/>
      <c r="ER983" s="443"/>
      <c r="ES983" s="443"/>
      <c r="ET983" s="443"/>
      <c r="EU983" s="443"/>
      <c r="EV983" s="443"/>
      <c r="EW983" s="443"/>
      <c r="EX983" s="446"/>
      <c r="EY983" s="443"/>
      <c r="EZ983" s="443"/>
      <c r="FA983" s="443"/>
      <c r="FB983" s="443"/>
      <c r="FC983" s="443"/>
      <c r="FD983" s="443"/>
      <c r="FE983" s="443"/>
      <c r="FF983" s="443"/>
      <c r="FG983" s="443"/>
      <c r="FH983" s="443"/>
      <c r="FI983" s="443"/>
      <c r="FJ983" s="446"/>
      <c r="FK983" s="443"/>
      <c r="FL983" s="443"/>
      <c r="FM983" s="443"/>
      <c r="FN983" s="443"/>
      <c r="FO983" s="443"/>
      <c r="FP983" s="443"/>
      <c r="FQ983" s="443"/>
      <c r="FR983" s="443"/>
      <c r="FS983" s="443"/>
      <c r="FT983" s="443"/>
      <c r="FU983" s="443"/>
      <c r="FV983" s="446"/>
      <c r="FW983" s="443"/>
      <c r="FX983" s="443"/>
      <c r="FY983" s="443"/>
      <c r="FZ983" s="443"/>
      <c r="GA983" s="443"/>
      <c r="GB983" s="443"/>
      <c r="GC983" s="443"/>
      <c r="GD983" s="443"/>
      <c r="GE983" s="443"/>
      <c r="GF983" s="443"/>
      <c r="GG983" s="443"/>
      <c r="GH983" s="443"/>
      <c r="HN983" s="363"/>
      <c r="HO983" s="453" t="s">
        <v>591</v>
      </c>
      <c r="HP983" s="453"/>
      <c r="HQ983" s="453"/>
      <c r="HU983" s="457"/>
      <c r="HV983" s="307"/>
      <c r="HX983" s="457"/>
      <c r="IA983" s="457"/>
      <c r="ID983" s="457"/>
      <c r="IE983" s="457"/>
      <c r="IF983" s="457"/>
      <c r="IG983" s="457"/>
      <c r="IH983" s="457"/>
      <c r="II983" s="457"/>
      <c r="IJ983" s="457"/>
      <c r="IK983" s="457"/>
      <c r="IL983" s="457"/>
      <c r="IM983" s="457"/>
      <c r="IN983" s="457"/>
      <c r="IO983" s="457"/>
      <c r="IP983" s="457"/>
      <c r="IQ983" s="457"/>
      <c r="IR983" s="457"/>
      <c r="IS983" s="457"/>
      <c r="IT983" s="457"/>
      <c r="IU983" s="457"/>
      <c r="IV983" s="457"/>
      <c r="IW983" s="457"/>
      <c r="IX983" s="457"/>
      <c r="IY983" s="457"/>
      <c r="KI983" s="363"/>
      <c r="KJ983" s="364"/>
    </row>
    <row r="984" spans="1:302">
      <c r="A984" s="302"/>
      <c r="B984" s="117" t="s">
        <v>361</v>
      </c>
      <c r="D984" s="438" t="str">
        <f>D$815</f>
        <v>including grants</v>
      </c>
      <c r="E984" s="439">
        <f>E$815</f>
        <v>0</v>
      </c>
      <c r="F984" s="439">
        <f t="shared" ref="F984:L984" si="1633">F$815</f>
        <v>0</v>
      </c>
      <c r="G984" s="439">
        <f t="shared" si="1633"/>
        <v>0</v>
      </c>
      <c r="H984" s="439">
        <f t="shared" si="1633"/>
        <v>0</v>
      </c>
      <c r="I984" s="439">
        <f t="shared" si="1633"/>
        <v>0</v>
      </c>
      <c r="J984" s="439">
        <f t="shared" si="1633"/>
        <v>0</v>
      </c>
      <c r="K984" s="439">
        <f t="shared" si="1633"/>
        <v>0</v>
      </c>
      <c r="L984" s="439">
        <f t="shared" si="1633"/>
        <v>0</v>
      </c>
      <c r="M984" s="439">
        <f t="shared" ref="M984:AW984" si="1634">M$815</f>
        <v>0</v>
      </c>
      <c r="N984" s="439">
        <f t="shared" si="1634"/>
        <v>0</v>
      </c>
      <c r="O984" s="439">
        <f t="shared" si="1634"/>
        <v>0</v>
      </c>
      <c r="P984" s="439">
        <f t="shared" si="1634"/>
        <v>0</v>
      </c>
      <c r="Q984" s="439">
        <f t="shared" si="1634"/>
        <v>0</v>
      </c>
      <c r="R984" s="439">
        <f t="shared" si="1634"/>
        <v>0</v>
      </c>
      <c r="S984" s="439">
        <f t="shared" si="1634"/>
        <v>0</v>
      </c>
      <c r="T984" s="439">
        <f t="shared" si="1634"/>
        <v>0</v>
      </c>
      <c r="U984" s="439">
        <f t="shared" si="1634"/>
        <v>0</v>
      </c>
      <c r="V984" s="439">
        <f t="shared" si="1634"/>
        <v>0</v>
      </c>
      <c r="W984" s="439">
        <f t="shared" si="1634"/>
        <v>0</v>
      </c>
      <c r="X984" s="439">
        <f t="shared" si="1634"/>
        <v>0</v>
      </c>
      <c r="Y984" s="439">
        <f t="shared" si="1634"/>
        <v>0</v>
      </c>
      <c r="Z984" s="439">
        <f t="shared" si="1634"/>
        <v>0</v>
      </c>
      <c r="AA984" s="439">
        <f t="shared" si="1634"/>
        <v>0</v>
      </c>
      <c r="AB984" s="439">
        <f t="shared" si="1634"/>
        <v>0</v>
      </c>
      <c r="AC984" s="439">
        <f t="shared" si="1634"/>
        <v>0</v>
      </c>
      <c r="AD984" s="439">
        <f t="shared" si="1634"/>
        <v>0</v>
      </c>
      <c r="AE984" s="439">
        <f t="shared" si="1634"/>
        <v>0</v>
      </c>
      <c r="AF984" s="439">
        <f t="shared" si="1634"/>
        <v>0</v>
      </c>
      <c r="AG984" s="439">
        <f t="shared" si="1634"/>
        <v>0</v>
      </c>
      <c r="AH984" s="439">
        <f t="shared" si="1634"/>
        <v>0</v>
      </c>
      <c r="AI984" s="439">
        <f t="shared" si="1634"/>
        <v>0</v>
      </c>
      <c r="AJ984" s="439">
        <f t="shared" si="1634"/>
        <v>0</v>
      </c>
      <c r="AK984" s="439">
        <f t="shared" si="1634"/>
        <v>0</v>
      </c>
      <c r="AL984" s="439">
        <f t="shared" si="1634"/>
        <v>0</v>
      </c>
      <c r="AM984" s="439">
        <f t="shared" si="1634"/>
        <v>0</v>
      </c>
      <c r="AN984" s="439">
        <f t="shared" si="1634"/>
        <v>0</v>
      </c>
      <c r="AO984" s="439">
        <f t="shared" si="1634"/>
        <v>50.342214462293803</v>
      </c>
      <c r="AP984" s="439">
        <f t="shared" si="1634"/>
        <v>27.304769607348977</v>
      </c>
      <c r="AQ984" s="439">
        <f t="shared" si="1634"/>
        <v>52.088454925589502</v>
      </c>
      <c r="AR984" s="439">
        <f t="shared" si="1634"/>
        <v>52.158303622137794</v>
      </c>
      <c r="AS984" s="439">
        <f t="shared" si="1634"/>
        <v>37.016039549645832</v>
      </c>
      <c r="AT984" s="439">
        <f t="shared" si="1634"/>
        <v>145.54274740342879</v>
      </c>
      <c r="AU984" s="439">
        <f t="shared" si="1634"/>
        <v>44.823105260773595</v>
      </c>
      <c r="AV984" s="439">
        <f t="shared" si="1634"/>
        <v>41.210677487137481</v>
      </c>
      <c r="AW984" s="439">
        <f t="shared" si="1634"/>
        <v>99.200947873738329</v>
      </c>
      <c r="AX984" s="439">
        <f t="shared" ref="AX984:BP984" si="1635">AX$815</f>
        <v>76.247369485781107</v>
      </c>
      <c r="AY984" s="439">
        <f t="shared" si="1635"/>
        <v>51.779533459869747</v>
      </c>
      <c r="AZ984" s="439">
        <f t="shared" si="1635"/>
        <v>164.17174661412753</v>
      </c>
      <c r="BA984" s="439">
        <f t="shared" si="1635"/>
        <v>47.250302493921275</v>
      </c>
      <c r="BB984" s="439">
        <f t="shared" si="1635"/>
        <v>42.194123704381532</v>
      </c>
      <c r="BC984" s="439">
        <f t="shared" si="1635"/>
        <v>57.501611650348792</v>
      </c>
      <c r="BD984" s="439">
        <f t="shared" si="1635"/>
        <v>125.19516059076922</v>
      </c>
      <c r="BE984" s="439">
        <f t="shared" si="1635"/>
        <v>49.740713777075285</v>
      </c>
      <c r="BF984" s="439">
        <f t="shared" si="1635"/>
        <v>84.363849585870526</v>
      </c>
      <c r="BG984" s="439">
        <f t="shared" si="1635"/>
        <v>37.651865692805707</v>
      </c>
      <c r="BH984" s="439">
        <f t="shared" si="1635"/>
        <v>12.972745364177442</v>
      </c>
      <c r="BI984" s="439">
        <f t="shared" si="1635"/>
        <v>45.459024650403435</v>
      </c>
      <c r="BJ984" s="439">
        <f t="shared" si="1635"/>
        <v>64.238497660145569</v>
      </c>
      <c r="BK984" s="439">
        <f t="shared" si="1635"/>
        <v>6.7960197153470148</v>
      </c>
      <c r="BL984" s="439">
        <f t="shared" si="1635"/>
        <v>112.11381982095435</v>
      </c>
      <c r="BM984" s="439">
        <f t="shared" si="1635"/>
        <v>-20.730612014129491</v>
      </c>
      <c r="BN984" s="439">
        <f t="shared" si="1635"/>
        <v>5.5919341474474038</v>
      </c>
      <c r="BO984" s="439">
        <f t="shared" si="1635"/>
        <v>38.785997773481526</v>
      </c>
      <c r="BP984" s="439">
        <f t="shared" si="1635"/>
        <v>-34.555413219056625</v>
      </c>
      <c r="BQ984" s="439">
        <f t="shared" ref="BQ984:EB984" si="1636">BQ$815</f>
        <v>-12.078330548425598</v>
      </c>
      <c r="BR984" s="439">
        <f t="shared" si="1636"/>
        <v>122.08977756751783</v>
      </c>
      <c r="BS984" s="439">
        <f t="shared" si="1636"/>
        <v>28.548471374992609</v>
      </c>
      <c r="BT984" s="439">
        <f t="shared" si="1636"/>
        <v>11.691175516446918</v>
      </c>
      <c r="BU984" s="439">
        <f t="shared" si="1636"/>
        <v>41.177768051094112</v>
      </c>
      <c r="BV984" s="439">
        <f t="shared" si="1636"/>
        <v>31.570121965842958</v>
      </c>
      <c r="BW984" s="439">
        <f t="shared" si="1636"/>
        <v>37.771134042156831</v>
      </c>
      <c r="BX984" s="439">
        <f t="shared" si="1636"/>
        <v>64.170013033509747</v>
      </c>
      <c r="BY984" s="439">
        <f t="shared" si="1636"/>
        <v>-9.0911269680772762</v>
      </c>
      <c r="BZ984" s="439">
        <f t="shared" si="1636"/>
        <v>-6.9639915402105501</v>
      </c>
      <c r="CA984" s="439">
        <f t="shared" si="1636"/>
        <v>65.162270257797758</v>
      </c>
      <c r="CB984" s="439">
        <f t="shared" si="1636"/>
        <v>9.3099377125057714</v>
      </c>
      <c r="CC984" s="439">
        <f t="shared" si="1636"/>
        <v>-4.0421302503292935</v>
      </c>
      <c r="CD984" s="440">
        <f t="shared" si="1636"/>
        <v>16.352287125465146</v>
      </c>
      <c r="CE984" s="439">
        <f t="shared" si="1636"/>
        <v>11.226550838196317</v>
      </c>
      <c r="CF984" s="439">
        <f t="shared" si="1636"/>
        <v>19.960781247150081</v>
      </c>
      <c r="CG984" s="439">
        <f t="shared" si="1636"/>
        <v>88.293623581451413</v>
      </c>
      <c r="CH984" s="439">
        <f t="shared" si="1636"/>
        <v>17.660534648424687</v>
      </c>
      <c r="CI984" s="439">
        <f t="shared" si="1636"/>
        <v>36.31099452647647</v>
      </c>
      <c r="CJ984" s="439">
        <f t="shared" si="1636"/>
        <v>90.401306480941287</v>
      </c>
      <c r="CK984" s="439">
        <f t="shared" si="1636"/>
        <v>-10.012889232402159</v>
      </c>
      <c r="CL984" s="439">
        <f t="shared" si="1636"/>
        <v>16.013408092959601</v>
      </c>
      <c r="CM984" s="439">
        <f t="shared" si="1636"/>
        <v>44.150074023205121</v>
      </c>
      <c r="CN984" s="439">
        <f t="shared" si="1636"/>
        <v>5.261383224805769</v>
      </c>
      <c r="CO984" s="439">
        <f t="shared" si="1636"/>
        <v>19.608147498548291</v>
      </c>
      <c r="CP984" s="441">
        <f t="shared" si="1636"/>
        <v>96.85123674827301</v>
      </c>
      <c r="CQ984" s="439">
        <f t="shared" si="1636"/>
        <v>-2.2586144332271942</v>
      </c>
      <c r="CR984" s="439">
        <f t="shared" si="1636"/>
        <v>9.4697950274682086</v>
      </c>
      <c r="CS984" s="439">
        <f t="shared" si="1636"/>
        <v>38.213657824007726</v>
      </c>
      <c r="CT984" s="439">
        <f t="shared" si="1636"/>
        <v>10.482476524746346</v>
      </c>
      <c r="CU984" s="439">
        <f t="shared" si="1636"/>
        <v>22.743065555580202</v>
      </c>
      <c r="CV984" s="439">
        <f t="shared" si="1636"/>
        <v>115.20482370154257</v>
      </c>
      <c r="CW984" s="439">
        <f t="shared" si="1636"/>
        <v>5.9576430422451523</v>
      </c>
      <c r="CX984" s="439">
        <f t="shared" si="1636"/>
        <v>26.452220863713123</v>
      </c>
      <c r="CY984" s="439">
        <f t="shared" si="1636"/>
        <v>69.860697616976864</v>
      </c>
      <c r="CZ984" s="439">
        <f t="shared" si="1636"/>
        <v>-19.214715032122783</v>
      </c>
      <c r="DA984" s="439">
        <f t="shared" si="1636"/>
        <v>48.747024967170887</v>
      </c>
      <c r="DB984" s="1521">
        <f t="shared" si="1636"/>
        <v>105.84440212610917</v>
      </c>
      <c r="DC984" s="439">
        <f t="shared" si="1636"/>
        <v>-12.986428541790374</v>
      </c>
      <c r="DD984" s="439">
        <f t="shared" si="1636"/>
        <v>7.0968010364378245</v>
      </c>
      <c r="DE984" s="439">
        <f t="shared" si="1636"/>
        <v>62.83344332245106</v>
      </c>
      <c r="DF984" s="439">
        <f t="shared" si="1636"/>
        <v>-37.877233526748924</v>
      </c>
      <c r="DG984" s="439">
        <f t="shared" si="1636"/>
        <v>32.232385309364403</v>
      </c>
      <c r="DH984" s="439">
        <f t="shared" si="1636"/>
        <v>98.478752021755994</v>
      </c>
      <c r="DI984" s="439">
        <f t="shared" si="1636"/>
        <v>-32.909509292516304</v>
      </c>
      <c r="DJ984" s="439">
        <f t="shared" si="1636"/>
        <v>13.939963891306775</v>
      </c>
      <c r="DK984" s="439">
        <f t="shared" si="1636"/>
        <v>77.712685231954339</v>
      </c>
      <c r="DL984" s="439">
        <f t="shared" si="1636"/>
        <v>24.038571513286939</v>
      </c>
      <c r="DM984" s="439">
        <f t="shared" si="1636"/>
        <v>28.732232940405524</v>
      </c>
      <c r="DN984" s="441">
        <f t="shared" si="1636"/>
        <v>133.42889728732064</v>
      </c>
      <c r="DO984" s="439">
        <f t="shared" si="1636"/>
        <v>-37.544874159932633</v>
      </c>
      <c r="DP984" s="439">
        <f t="shared" si="1636"/>
        <v>-7.9270493439080383</v>
      </c>
      <c r="DQ984" s="439">
        <f t="shared" si="1636"/>
        <v>66.925950232232239</v>
      </c>
      <c r="DR984" s="439">
        <f t="shared" si="1636"/>
        <v>-68.736286019283426</v>
      </c>
      <c r="DS984" s="439">
        <f t="shared" si="1636"/>
        <v>9.1131971580939251</v>
      </c>
      <c r="DT984" s="439">
        <f t="shared" si="1636"/>
        <v>97.703021800288795</v>
      </c>
      <c r="DU984" s="439">
        <f t="shared" si="1636"/>
        <v>-13.88169033125692</v>
      </c>
      <c r="DV984" s="439">
        <f t="shared" si="1636"/>
        <v>-4.4679824588486099</v>
      </c>
      <c r="DW984" s="439">
        <f t="shared" si="1636"/>
        <v>107.09859551634307</v>
      </c>
      <c r="DX984" s="439">
        <f t="shared" si="1636"/>
        <v>-51.216284919102463</v>
      </c>
      <c r="DY984" s="439">
        <f t="shared" si="1636"/>
        <v>4.3159398657874988</v>
      </c>
      <c r="DZ984" s="441">
        <f t="shared" si="1636"/>
        <v>190.92195802992831</v>
      </c>
      <c r="EA984" s="439">
        <f t="shared" si="1636"/>
        <v>-26.544204225568109</v>
      </c>
      <c r="EB984" s="439">
        <f t="shared" si="1636"/>
        <v>-19.157830598943164</v>
      </c>
      <c r="EC984" s="439">
        <f t="shared" ref="EC984:GH984" si="1637">EC$815</f>
        <v>16.832822387397158</v>
      </c>
      <c r="ED984" s="439">
        <f t="shared" si="1637"/>
        <v>3.4440761479946786</v>
      </c>
      <c r="EE984" s="439">
        <f t="shared" si="1637"/>
        <v>26.26293363380961</v>
      </c>
      <c r="EF984" s="439">
        <f t="shared" si="1637"/>
        <v>141.36570611433447</v>
      </c>
      <c r="EG984" s="439">
        <f t="shared" si="1637"/>
        <v>1.6138313306920793</v>
      </c>
      <c r="EH984" s="439">
        <f t="shared" si="1637"/>
        <v>13.370520270901466</v>
      </c>
      <c r="EI984" s="439">
        <f t="shared" si="1637"/>
        <v>69.304689018189066</v>
      </c>
      <c r="EJ984" s="439">
        <f t="shared" si="1637"/>
        <v>45.316132540622448</v>
      </c>
      <c r="EK984" s="439">
        <f t="shared" si="1637"/>
        <v>-5.4253947788243266</v>
      </c>
      <c r="EL984" s="441">
        <f t="shared" si="1637"/>
        <v>117.10695490555074</v>
      </c>
      <c r="EM984" s="439">
        <f t="shared" si="1637"/>
        <v>10.369869410354255</v>
      </c>
      <c r="EN984" s="439">
        <f t="shared" si="1637"/>
        <v>51.252060539525019</v>
      </c>
      <c r="EO984" s="439">
        <f t="shared" si="1637"/>
        <v>92.177410487107565</v>
      </c>
      <c r="EP984" s="439">
        <f t="shared" si="1637"/>
        <v>-11.679561661276239</v>
      </c>
      <c r="EQ984" s="439">
        <f t="shared" si="1637"/>
        <v>-28.56469433456121</v>
      </c>
      <c r="ER984" s="439">
        <f t="shared" si="1637"/>
        <v>177.85659275868267</v>
      </c>
      <c r="ES984" s="439">
        <f t="shared" si="1637"/>
        <v>18.072183566611585</v>
      </c>
      <c r="ET984" s="439">
        <f t="shared" si="1637"/>
        <v>35.155458262292996</v>
      </c>
      <c r="EU984" s="439">
        <f t="shared" si="1637"/>
        <v>60.109411120122644</v>
      </c>
      <c r="EV984" s="439">
        <f t="shared" si="1637"/>
        <v>-99.962704997196681</v>
      </c>
      <c r="EW984" s="439">
        <f t="shared" si="1637"/>
        <v>-38.946207214846083</v>
      </c>
      <c r="EX984" s="441">
        <f t="shared" si="1637"/>
        <v>132.32396091031814</v>
      </c>
      <c r="EY984" s="439">
        <f t="shared" si="1637"/>
        <v>11.531639815876531</v>
      </c>
      <c r="EZ984" s="439">
        <f t="shared" si="1637"/>
        <v>4.0938651345833819</v>
      </c>
      <c r="FA984" s="439">
        <f t="shared" si="1637"/>
        <v>72.749586707226484</v>
      </c>
      <c r="FB984" s="439">
        <f t="shared" si="1637"/>
        <v>14.504317450792684</v>
      </c>
      <c r="FC984" s="439">
        <f t="shared" si="1637"/>
        <v>-20.401203805582327</v>
      </c>
      <c r="FD984" s="439">
        <f t="shared" si="1637"/>
        <v>134.79899764577428</v>
      </c>
      <c r="FE984" s="439">
        <f t="shared" si="1637"/>
        <v>20.579735134823835</v>
      </c>
      <c r="FF984" s="439">
        <f t="shared" si="1637"/>
        <v>0.48782273090586159</v>
      </c>
      <c r="FG984" s="439">
        <f t="shared" si="1637"/>
        <v>-9.338271103244125</v>
      </c>
      <c r="FH984" s="439">
        <f t="shared" si="1637"/>
        <v>26.03390740896063</v>
      </c>
      <c r="FI984" s="439">
        <f t="shared" si="1637"/>
        <v>-96.597009332246387</v>
      </c>
      <c r="FJ984" s="441">
        <f t="shared" si="1637"/>
        <v>133.38672585636206</v>
      </c>
      <c r="FK984" s="439">
        <f t="shared" si="1637"/>
        <v>-93.131365877007653</v>
      </c>
      <c r="FL984" s="439">
        <f t="shared" si="1637"/>
        <v>-18.271631342960319</v>
      </c>
      <c r="FM984" s="439">
        <f t="shared" si="1637"/>
        <v>159.3012727441062</v>
      </c>
      <c r="FN984" s="439">
        <f t="shared" si="1637"/>
        <v>60.045235040553621</v>
      </c>
      <c r="FO984" s="439">
        <f t="shared" si="1637"/>
        <v>-43.371605854552001</v>
      </c>
      <c r="FP984" s="439">
        <f t="shared" si="1637"/>
        <v>121.32178410174845</v>
      </c>
      <c r="FQ984" s="439">
        <f t="shared" si="1637"/>
        <v>34.736620264355395</v>
      </c>
      <c r="FR984" s="439">
        <f t="shared" si="1637"/>
        <v>-3.8924786876739574</v>
      </c>
      <c r="FS984" s="439">
        <f t="shared" si="1637"/>
        <v>105.67091608287279</v>
      </c>
      <c r="FT984" s="439">
        <f t="shared" si="1637"/>
        <v>78.759100283718851</v>
      </c>
      <c r="FU984" s="439">
        <f t="shared" si="1637"/>
        <v>-124.00859336688893</v>
      </c>
      <c r="FV984" s="441">
        <f t="shared" si="1637"/>
        <v>201.67450572051013</v>
      </c>
      <c r="FW984" s="439">
        <f t="shared" si="1637"/>
        <v>-7.7577802856145297</v>
      </c>
      <c r="FX984" s="439">
        <f t="shared" si="1637"/>
        <v>17.881145306058386</v>
      </c>
      <c r="FY984" s="439">
        <f t="shared" si="1637"/>
        <v>-20.813504917829107</v>
      </c>
      <c r="FZ984" s="439">
        <f t="shared" si="1637"/>
        <v>30.64203143979131</v>
      </c>
      <c r="GA984" s="439">
        <f t="shared" si="1637"/>
        <v>68.883346584564919</v>
      </c>
      <c r="GB984" s="439">
        <f t="shared" si="1637"/>
        <v>116.64479865938523</v>
      </c>
      <c r="GC984" s="439">
        <f t="shared" si="1637"/>
        <v>15.144317438286748</v>
      </c>
      <c r="GD984" s="439">
        <f t="shared" si="1637"/>
        <v>-37.110679213351148</v>
      </c>
      <c r="GE984" s="439">
        <f t="shared" si="1637"/>
        <v>174.29080912954831</v>
      </c>
      <c r="GF984" s="439">
        <f t="shared" si="1637"/>
        <v>5.6865371737175678</v>
      </c>
      <c r="GG984" s="439">
        <f t="shared" si="1637"/>
        <v>104.76155300730449</v>
      </c>
      <c r="GH984" s="439">
        <f t="shared" si="1637"/>
        <v>154.96014495995357</v>
      </c>
      <c r="HO984" s="438" t="s">
        <v>592</v>
      </c>
      <c r="HP984" s="438"/>
      <c r="HQ984" s="438"/>
      <c r="HR984" s="302">
        <f>HR$815</f>
        <v>435.72515167802987</v>
      </c>
      <c r="HS984" s="302">
        <f>HS$815</f>
        <v>193.85520420011784</v>
      </c>
      <c r="HT984" s="302">
        <f>HT$815</f>
        <v>237.64727358409243</v>
      </c>
      <c r="HU984" s="457">
        <f>HU$815</f>
        <v>431.50247778421027</v>
      </c>
      <c r="HV984" s="307"/>
      <c r="HX984" s="457">
        <f>HX$815</f>
        <v>394.72056119322792</v>
      </c>
      <c r="IA984" s="457">
        <f>IA$815</f>
        <v>292.30449537034173</v>
      </c>
      <c r="ID984" s="457">
        <f>ID$815</f>
        <v>383.49023674615614</v>
      </c>
      <c r="IE984" s="457"/>
      <c r="IF984" s="457"/>
      <c r="IG984" s="457">
        <f>IG$815</f>
        <v>398.16377884713467</v>
      </c>
      <c r="IH984" s="457"/>
      <c r="II984" s="457"/>
      <c r="IJ984" s="457">
        <f>IJ$815</f>
        <v>291.83011364423294</v>
      </c>
      <c r="IK984" s="457"/>
      <c r="IL984" s="457"/>
      <c r="IM984" s="457">
        <f>IM$815</f>
        <v>478.8337591087826</v>
      </c>
      <c r="IN984" s="457"/>
      <c r="IO984" s="457">
        <f>IO$815</f>
        <v>417.73268249545958</v>
      </c>
      <c r="IP984" s="457">
        <f>IP$815</f>
        <v>623.21271928181579</v>
      </c>
      <c r="IQ984" s="457">
        <f>IQ$815</f>
        <v>169.03781518508686</v>
      </c>
      <c r="IR984" s="457">
        <f>IR$815</f>
        <v>373.83473522714968</v>
      </c>
      <c r="IS984" s="457"/>
      <c r="IT984" s="457"/>
      <c r="IU984" s="457"/>
      <c r="IV984" s="457"/>
      <c r="IW984" s="457"/>
      <c r="IX984" s="457"/>
      <c r="IY984" s="457"/>
      <c r="KM984" s="302">
        <f>KM$815</f>
        <v>0</v>
      </c>
      <c r="KN984" s="302">
        <f>KN$815</f>
        <v>0</v>
      </c>
      <c r="KO984" s="302">
        <f>KO$815</f>
        <v>0</v>
      </c>
      <c r="KP984" s="302">
        <f>KP$815</f>
        <v>0</v>
      </c>
    </row>
    <row r="985" spans="1:302">
      <c r="A985" s="302"/>
      <c r="B985" s="117" t="s">
        <v>361</v>
      </c>
      <c r="D985" s="438" t="str">
        <f>D$816</f>
        <v>excluding grants</v>
      </c>
      <c r="E985" s="439">
        <f>E$816</f>
        <v>0</v>
      </c>
      <c r="F985" s="439">
        <f t="shared" ref="F985:L985" si="1638">F$816</f>
        <v>0</v>
      </c>
      <c r="G985" s="439">
        <f t="shared" si="1638"/>
        <v>0</v>
      </c>
      <c r="H985" s="439">
        <f t="shared" si="1638"/>
        <v>0</v>
      </c>
      <c r="I985" s="439">
        <f t="shared" si="1638"/>
        <v>0</v>
      </c>
      <c r="J985" s="439">
        <f t="shared" si="1638"/>
        <v>0</v>
      </c>
      <c r="K985" s="439">
        <f t="shared" si="1638"/>
        <v>0</v>
      </c>
      <c r="L985" s="439">
        <f t="shared" si="1638"/>
        <v>0</v>
      </c>
      <c r="M985" s="439">
        <f t="shared" ref="M985:AW985" si="1639">M$816</f>
        <v>0</v>
      </c>
      <c r="N985" s="439">
        <f t="shared" si="1639"/>
        <v>0</v>
      </c>
      <c r="O985" s="439">
        <f t="shared" si="1639"/>
        <v>0</v>
      </c>
      <c r="P985" s="439">
        <f t="shared" si="1639"/>
        <v>0</v>
      </c>
      <c r="Q985" s="439">
        <f t="shared" si="1639"/>
        <v>0</v>
      </c>
      <c r="R985" s="439">
        <f t="shared" si="1639"/>
        <v>0</v>
      </c>
      <c r="S985" s="439">
        <f t="shared" si="1639"/>
        <v>0</v>
      </c>
      <c r="T985" s="439">
        <f t="shared" si="1639"/>
        <v>0</v>
      </c>
      <c r="U985" s="439">
        <f t="shared" si="1639"/>
        <v>0</v>
      </c>
      <c r="V985" s="439">
        <f t="shared" si="1639"/>
        <v>0</v>
      </c>
      <c r="W985" s="439">
        <f t="shared" si="1639"/>
        <v>0</v>
      </c>
      <c r="X985" s="439">
        <f t="shared" si="1639"/>
        <v>0</v>
      </c>
      <c r="Y985" s="439">
        <f t="shared" si="1639"/>
        <v>0</v>
      </c>
      <c r="Z985" s="439">
        <f t="shared" si="1639"/>
        <v>0</v>
      </c>
      <c r="AA985" s="439">
        <f t="shared" si="1639"/>
        <v>0</v>
      </c>
      <c r="AB985" s="439">
        <f t="shared" si="1639"/>
        <v>0</v>
      </c>
      <c r="AC985" s="439">
        <f t="shared" si="1639"/>
        <v>0</v>
      </c>
      <c r="AD985" s="439">
        <f t="shared" si="1639"/>
        <v>0</v>
      </c>
      <c r="AE985" s="439">
        <f t="shared" si="1639"/>
        <v>0</v>
      </c>
      <c r="AF985" s="439">
        <f t="shared" si="1639"/>
        <v>0</v>
      </c>
      <c r="AG985" s="439">
        <f t="shared" si="1639"/>
        <v>0</v>
      </c>
      <c r="AH985" s="439">
        <f t="shared" si="1639"/>
        <v>0</v>
      </c>
      <c r="AI985" s="439">
        <f t="shared" si="1639"/>
        <v>0</v>
      </c>
      <c r="AJ985" s="439">
        <f t="shared" si="1639"/>
        <v>0</v>
      </c>
      <c r="AK985" s="439">
        <f t="shared" si="1639"/>
        <v>0</v>
      </c>
      <c r="AL985" s="439">
        <f t="shared" si="1639"/>
        <v>0</v>
      </c>
      <c r="AM985" s="439">
        <f t="shared" si="1639"/>
        <v>0</v>
      </c>
      <c r="AN985" s="439">
        <f t="shared" si="1639"/>
        <v>0</v>
      </c>
      <c r="AO985" s="439">
        <f t="shared" si="1639"/>
        <v>28.693012875293803</v>
      </c>
      <c r="AP985" s="439">
        <f t="shared" si="1639"/>
        <v>27.304769607348977</v>
      </c>
      <c r="AQ985" s="439">
        <f t="shared" si="1639"/>
        <v>44.067110645589501</v>
      </c>
      <c r="AR985" s="439">
        <f t="shared" si="1639"/>
        <v>39.576460060137798</v>
      </c>
      <c r="AS985" s="439">
        <f t="shared" si="1639"/>
        <v>27.959346852645833</v>
      </c>
      <c r="AT985" s="439">
        <f t="shared" si="1639"/>
        <v>48.277457878428784</v>
      </c>
      <c r="AU985" s="439">
        <f t="shared" si="1639"/>
        <v>30.463161786955489</v>
      </c>
      <c r="AV985" s="439">
        <f t="shared" si="1639"/>
        <v>33.978168062871106</v>
      </c>
      <c r="AW985" s="439">
        <f t="shared" si="1639"/>
        <v>39.684076431078985</v>
      </c>
      <c r="AX985" s="439">
        <f t="shared" ref="AX985:BP985" si="1640">AX$816</f>
        <v>42.835952020411291</v>
      </c>
      <c r="AY985" s="439">
        <f t="shared" si="1640"/>
        <v>35.734708171364105</v>
      </c>
      <c r="AZ985" s="439">
        <f t="shared" si="1640"/>
        <v>54.345146744120107</v>
      </c>
      <c r="BA985" s="439">
        <f t="shared" si="1640"/>
        <v>38.4483032298279</v>
      </c>
      <c r="BB985" s="439">
        <f t="shared" si="1640"/>
        <v>31.616837264869396</v>
      </c>
      <c r="BC985" s="439">
        <f t="shared" si="1640"/>
        <v>49.256745370470583</v>
      </c>
      <c r="BD985" s="439">
        <f t="shared" si="1640"/>
        <v>49.84487737278441</v>
      </c>
      <c r="BE985" s="439">
        <f t="shared" si="1640"/>
        <v>40.01270123663727</v>
      </c>
      <c r="BF985" s="439">
        <f t="shared" si="1640"/>
        <v>57.065417011413764</v>
      </c>
      <c r="BG985" s="439">
        <f t="shared" si="1640"/>
        <v>-11.913870979375517</v>
      </c>
      <c r="BH985" s="439">
        <f t="shared" si="1640"/>
        <v>-32.836070557274631</v>
      </c>
      <c r="BI985" s="439">
        <f t="shared" si="1640"/>
        <v>1.4148010329374756</v>
      </c>
      <c r="BJ985" s="439">
        <f t="shared" si="1640"/>
        <v>-22.1459955388124</v>
      </c>
      <c r="BK985" s="439">
        <f t="shared" si="1640"/>
        <v>-11.351931075129762</v>
      </c>
      <c r="BL985" s="439">
        <f t="shared" si="1640"/>
        <v>25.509031633065995</v>
      </c>
      <c r="BM985" s="439">
        <f t="shared" si="1640"/>
        <v>-26.744215678022925</v>
      </c>
      <c r="BN985" s="439">
        <f t="shared" si="1640"/>
        <v>-6.0497139274372671</v>
      </c>
      <c r="BO985" s="439">
        <f t="shared" si="1640"/>
        <v>21.918057641703342</v>
      </c>
      <c r="BP985" s="439">
        <f t="shared" si="1640"/>
        <v>-39.983634329624451</v>
      </c>
      <c r="BQ985" s="439">
        <f t="shared" ref="BQ985:EB985" si="1641">BQ$816</f>
        <v>-16.950531319821295</v>
      </c>
      <c r="BR985" s="439">
        <f t="shared" si="1641"/>
        <v>40.08341116246001</v>
      </c>
      <c r="BS985" s="439">
        <f t="shared" si="1641"/>
        <v>-12.255408713397017</v>
      </c>
      <c r="BT985" s="439">
        <f t="shared" si="1641"/>
        <v>-3.1222339434841899</v>
      </c>
      <c r="BU985" s="439">
        <f t="shared" si="1641"/>
        <v>18.407758789572</v>
      </c>
      <c r="BV985" s="439">
        <f t="shared" si="1641"/>
        <v>-17.040283410087341</v>
      </c>
      <c r="BW985" s="439">
        <f t="shared" si="1641"/>
        <v>-3.7677561356180718</v>
      </c>
      <c r="BX985" s="439">
        <f t="shared" si="1641"/>
        <v>32.093110549651875</v>
      </c>
      <c r="BY985" s="439">
        <f t="shared" si="1641"/>
        <v>-9.091133376518016</v>
      </c>
      <c r="BZ985" s="439">
        <f t="shared" si="1641"/>
        <v>-10.914260582832128</v>
      </c>
      <c r="CA985" s="439">
        <f t="shared" si="1641"/>
        <v>43.23020589170342</v>
      </c>
      <c r="CB985" s="439">
        <f t="shared" si="1641"/>
        <v>-28.742051689443471</v>
      </c>
      <c r="CC985" s="439">
        <f t="shared" si="1641"/>
        <v>-54.400942121980613</v>
      </c>
      <c r="CD985" s="440">
        <f t="shared" si="1641"/>
        <v>-26.831638579120686</v>
      </c>
      <c r="CE985" s="439">
        <f t="shared" si="1641"/>
        <v>-20.067945382510381</v>
      </c>
      <c r="CF985" s="439">
        <f t="shared" si="1641"/>
        <v>-18.88869631887173</v>
      </c>
      <c r="CG985" s="439">
        <f t="shared" si="1641"/>
        <v>12.261921958556918</v>
      </c>
      <c r="CH985" s="439">
        <f t="shared" si="1641"/>
        <v>-30.722277819624907</v>
      </c>
      <c r="CI985" s="439">
        <f t="shared" si="1641"/>
        <v>0.29826174286301921</v>
      </c>
      <c r="CJ985" s="439">
        <f t="shared" si="1641"/>
        <v>27.557297285026337</v>
      </c>
      <c r="CK985" s="439">
        <f t="shared" si="1641"/>
        <v>-32.382217631083464</v>
      </c>
      <c r="CL985" s="439">
        <f t="shared" si="1641"/>
        <v>0.64309422348690504</v>
      </c>
      <c r="CM985" s="439">
        <f t="shared" si="1641"/>
        <v>28.889716291359122</v>
      </c>
      <c r="CN985" s="439">
        <f t="shared" si="1641"/>
        <v>-54.961939398732596</v>
      </c>
      <c r="CO985" s="439">
        <f t="shared" si="1641"/>
        <v>-17.003702104861873</v>
      </c>
      <c r="CP985" s="441">
        <f t="shared" si="1641"/>
        <v>65.784981609802415</v>
      </c>
      <c r="CQ985" s="439">
        <f t="shared" si="1641"/>
        <v>-36.707047735804117</v>
      </c>
      <c r="CR985" s="439">
        <f t="shared" si="1641"/>
        <v>-11.165541964961648</v>
      </c>
      <c r="CS985" s="439">
        <f t="shared" si="1641"/>
        <v>6.1257109237150047</v>
      </c>
      <c r="CT985" s="439">
        <f t="shared" si="1641"/>
        <v>-17.129557879184759</v>
      </c>
      <c r="CU985" s="439">
        <f t="shared" si="1641"/>
        <v>-14.693617621238097</v>
      </c>
      <c r="CV985" s="439">
        <f t="shared" si="1641"/>
        <v>26.505878687120074</v>
      </c>
      <c r="CW985" s="439">
        <f t="shared" si="1641"/>
        <v>-13.246522460817289</v>
      </c>
      <c r="CX985" s="439">
        <f t="shared" si="1641"/>
        <v>5.7052730917447647</v>
      </c>
      <c r="CY985" s="439">
        <f t="shared" si="1641"/>
        <v>33.991581910511144</v>
      </c>
      <c r="CZ985" s="439">
        <f t="shared" si="1641"/>
        <v>-45.199777814566488</v>
      </c>
      <c r="DA985" s="439">
        <f t="shared" si="1641"/>
        <v>-3.1779253840338555</v>
      </c>
      <c r="DB985" s="1521">
        <f t="shared" si="1641"/>
        <v>84.566617036425981</v>
      </c>
      <c r="DC985" s="439">
        <f t="shared" si="1641"/>
        <v>-44.93887290087801</v>
      </c>
      <c r="DD985" s="439">
        <f t="shared" si="1641"/>
        <v>-18.080131733064434</v>
      </c>
      <c r="DE985" s="439">
        <f t="shared" si="1641"/>
        <v>25.099969320357758</v>
      </c>
      <c r="DF985" s="439">
        <f t="shared" si="1641"/>
        <v>-48.507797923097186</v>
      </c>
      <c r="DG985" s="439">
        <f t="shared" si="1641"/>
        <v>-10.009980318450857</v>
      </c>
      <c r="DH985" s="439">
        <f t="shared" si="1641"/>
        <v>46.620823869800134</v>
      </c>
      <c r="DI985" s="439">
        <f t="shared" si="1641"/>
        <v>-43.001152597448495</v>
      </c>
      <c r="DJ985" s="439">
        <f t="shared" si="1641"/>
        <v>-0.61271481202173561</v>
      </c>
      <c r="DK985" s="439">
        <f t="shared" si="1641"/>
        <v>62.409402448155618</v>
      </c>
      <c r="DL985" s="439">
        <f t="shared" si="1641"/>
        <v>-41.248484555590181</v>
      </c>
      <c r="DM985" s="439">
        <f t="shared" si="1641"/>
        <v>9.2064298459356166</v>
      </c>
      <c r="DN985" s="441">
        <f t="shared" si="1641"/>
        <v>84.069464755980292</v>
      </c>
      <c r="DO985" s="439">
        <f t="shared" si="1641"/>
        <v>-70.967318386890085</v>
      </c>
      <c r="DP985" s="439">
        <f t="shared" si="1641"/>
        <v>-26.219685095328728</v>
      </c>
      <c r="DQ985" s="439">
        <f t="shared" si="1641"/>
        <v>54.451836608785825</v>
      </c>
      <c r="DR985" s="439">
        <f t="shared" si="1641"/>
        <v>-72.274059419611959</v>
      </c>
      <c r="DS985" s="439">
        <f t="shared" si="1641"/>
        <v>-22.239894496135719</v>
      </c>
      <c r="DT985" s="439">
        <f t="shared" si="1641"/>
        <v>31.567156291198259</v>
      </c>
      <c r="DU985" s="439">
        <f t="shared" si="1641"/>
        <v>-40.794964798562091</v>
      </c>
      <c r="DV985" s="439">
        <f t="shared" si="1641"/>
        <v>-20.224920091923352</v>
      </c>
      <c r="DW985" s="439">
        <f t="shared" si="1641"/>
        <v>86.619305723828489</v>
      </c>
      <c r="DX985" s="439">
        <f t="shared" si="1641"/>
        <v>-69.344953792051911</v>
      </c>
      <c r="DY985" s="439">
        <f t="shared" si="1641"/>
        <v>-7.3356484467910406</v>
      </c>
      <c r="DZ985" s="441">
        <f t="shared" si="1641"/>
        <v>118.88555732730552</v>
      </c>
      <c r="EA985" s="439">
        <f t="shared" si="1641"/>
        <v>-60.91823213125987</v>
      </c>
      <c r="EB985" s="439">
        <f t="shared" si="1641"/>
        <v>-39.092993179340908</v>
      </c>
      <c r="EC985" s="439">
        <f t="shared" ref="EC985:GH985" si="1642">EC$816</f>
        <v>-8.5098436405133384</v>
      </c>
      <c r="ED985" s="439">
        <f t="shared" si="1642"/>
        <v>-19.902799080071247</v>
      </c>
      <c r="EE985" s="439">
        <f t="shared" si="1642"/>
        <v>-2.0852469789411856</v>
      </c>
      <c r="EF985" s="439">
        <f t="shared" si="1642"/>
        <v>77.93732678683611</v>
      </c>
      <c r="EG985" s="439">
        <f t="shared" si="1642"/>
        <v>-45.610826524083095</v>
      </c>
      <c r="EH985" s="439">
        <f t="shared" si="1642"/>
        <v>-2.7102261735886941</v>
      </c>
      <c r="EI985" s="439">
        <f t="shared" si="1642"/>
        <v>31.992090003560321</v>
      </c>
      <c r="EJ985" s="439">
        <f t="shared" si="1642"/>
        <v>20.827412652071644</v>
      </c>
      <c r="EK985" s="439">
        <f t="shared" si="1642"/>
        <v>-13.56140517619491</v>
      </c>
      <c r="EL985" s="441">
        <f t="shared" si="1642"/>
        <v>86.216303318970773</v>
      </c>
      <c r="EM985" s="439">
        <f t="shared" si="1642"/>
        <v>-13.553185781156969</v>
      </c>
      <c r="EN985" s="439">
        <f t="shared" si="1642"/>
        <v>18.239506423512637</v>
      </c>
      <c r="EO985" s="439">
        <f t="shared" si="1642"/>
        <v>60.017470745407294</v>
      </c>
      <c r="EP985" s="439">
        <f t="shared" si="1642"/>
        <v>-37.393135840025423</v>
      </c>
      <c r="EQ985" s="439">
        <f t="shared" si="1642"/>
        <v>-37.153857236972215</v>
      </c>
      <c r="ER985" s="439">
        <f t="shared" si="1642"/>
        <v>66.702691372781658</v>
      </c>
      <c r="ES985" s="439">
        <f t="shared" si="1642"/>
        <v>-7.732637591135159</v>
      </c>
      <c r="ET985" s="439">
        <f t="shared" si="1642"/>
        <v>-5.1061059641752138</v>
      </c>
      <c r="EU985" s="439">
        <f t="shared" si="1642"/>
        <v>33.692686642751141</v>
      </c>
      <c r="EV985" s="439">
        <f t="shared" si="1642"/>
        <v>-131.86968026074979</v>
      </c>
      <c r="EW985" s="439">
        <f t="shared" si="1642"/>
        <v>-48.219788550762345</v>
      </c>
      <c r="EX985" s="441">
        <f t="shared" si="1642"/>
        <v>105.78975703144326</v>
      </c>
      <c r="EY985" s="439">
        <f t="shared" si="1642"/>
        <v>-20.710194039216873</v>
      </c>
      <c r="EZ985" s="439">
        <f t="shared" si="1642"/>
        <v>-15.026475740030804</v>
      </c>
      <c r="FA985" s="439">
        <f t="shared" si="1642"/>
        <v>30.664819113190248</v>
      </c>
      <c r="FB985" s="439">
        <f t="shared" si="1642"/>
        <v>-2.6366948106705479</v>
      </c>
      <c r="FC985" s="439">
        <f t="shared" si="1642"/>
        <v>-48.992825262677201</v>
      </c>
      <c r="FD985" s="439">
        <f t="shared" si="1642"/>
        <v>53.508803378159513</v>
      </c>
      <c r="FE985" s="439">
        <f t="shared" si="1642"/>
        <v>2.0049574127363883</v>
      </c>
      <c r="FF985" s="439">
        <f t="shared" si="1642"/>
        <v>-40.341801926300903</v>
      </c>
      <c r="FG985" s="439">
        <f t="shared" si="1642"/>
        <v>-32.823671018652192</v>
      </c>
      <c r="FH985" s="439">
        <f t="shared" si="1642"/>
        <v>-17.400525844110291</v>
      </c>
      <c r="FI985" s="439">
        <f t="shared" si="1642"/>
        <v>-122.30802999792837</v>
      </c>
      <c r="FJ985" s="441">
        <f t="shared" si="1642"/>
        <v>68.333347735866397</v>
      </c>
      <c r="FK985" s="439">
        <f t="shared" si="1642"/>
        <v>-111.14783482948894</v>
      </c>
      <c r="FL985" s="439">
        <f t="shared" si="1642"/>
        <v>-40.309792192377941</v>
      </c>
      <c r="FM985" s="439">
        <f t="shared" si="1642"/>
        <v>74.186432707263322</v>
      </c>
      <c r="FN985" s="439">
        <f t="shared" si="1642"/>
        <v>4.2494816979894949</v>
      </c>
      <c r="FO985" s="439">
        <f t="shared" si="1642"/>
        <v>-67.968595817484072</v>
      </c>
      <c r="FP985" s="439">
        <f t="shared" si="1642"/>
        <v>68.378500016367241</v>
      </c>
      <c r="FQ985" s="439">
        <f t="shared" si="1642"/>
        <v>8.6392979268086947</v>
      </c>
      <c r="FR985" s="439">
        <f t="shared" si="1642"/>
        <v>-29.989801025220657</v>
      </c>
      <c r="FS985" s="439">
        <f t="shared" si="1642"/>
        <v>3.6957327310874177</v>
      </c>
      <c r="FT985" s="439">
        <f t="shared" si="1642"/>
        <v>38.666845201054997</v>
      </c>
      <c r="FU985" s="439">
        <f t="shared" si="1642"/>
        <v>-150.54937673510233</v>
      </c>
      <c r="FV985" s="441">
        <f t="shared" si="1642"/>
        <v>119.89470162680323</v>
      </c>
      <c r="FW985" s="439">
        <f t="shared" si="1642"/>
        <v>-33.294597477812985</v>
      </c>
      <c r="FX985" s="439">
        <f t="shared" si="1642"/>
        <v>-50.888003716962857</v>
      </c>
      <c r="FY985" s="439">
        <f t="shared" si="1642"/>
        <v>-54.9544817455388</v>
      </c>
      <c r="FZ985" s="439">
        <f t="shared" si="1642"/>
        <v>-20.945060685974767</v>
      </c>
      <c r="GA985" s="439">
        <f t="shared" si="1642"/>
        <v>14.726836360809642</v>
      </c>
      <c r="GB985" s="439">
        <f t="shared" si="1642"/>
        <v>52.122407600459297</v>
      </c>
      <c r="GC985" s="439">
        <f t="shared" si="1642"/>
        <v>-36.235621071168794</v>
      </c>
      <c r="GD985" s="439">
        <f t="shared" si="1642"/>
        <v>-70.005288866356182</v>
      </c>
      <c r="GE985" s="439">
        <f t="shared" si="1642"/>
        <v>46.677619491772077</v>
      </c>
      <c r="GF985" s="439">
        <f t="shared" si="1642"/>
        <v>-58.952305130678525</v>
      </c>
      <c r="GG985" s="439">
        <f t="shared" si="1642"/>
        <v>-106.63980503029541</v>
      </c>
      <c r="GH985" s="439">
        <f t="shared" si="1642"/>
        <v>117.41666012728163</v>
      </c>
      <c r="HO985" s="438" t="s">
        <v>593</v>
      </c>
      <c r="HP985" s="438"/>
      <c r="HQ985" s="438"/>
      <c r="HR985" s="302">
        <f>HR$816</f>
        <v>-38.591505544590241</v>
      </c>
      <c r="HS985" s="302">
        <f>HS$816</f>
        <v>-47.064175590353543</v>
      </c>
      <c r="HT985" s="302">
        <f>HT$816</f>
        <v>62.639246379264257</v>
      </c>
      <c r="HU985" s="457">
        <f>HU$816</f>
        <v>15.575070788910715</v>
      </c>
      <c r="HV985" s="307"/>
      <c r="HX985" s="457">
        <f>HX$816</f>
        <v>21.006955399678517</v>
      </c>
      <c r="IA985" s="457">
        <f>IA$816</f>
        <v>-37.877588576176791</v>
      </c>
      <c r="ID985" s="457">
        <f>ID$816</f>
        <v>24.581559877445599</v>
      </c>
      <c r="IE985" s="457"/>
      <c r="IF985" s="457"/>
      <c r="IG985" s="457">
        <f>IG$816</f>
        <v>3.4137209909188897</v>
      </c>
      <c r="IH985" s="457"/>
      <c r="II985" s="457"/>
      <c r="IJ985" s="457">
        <f>IJ$816</f>
        <v>-145.72829099963465</v>
      </c>
      <c r="IK985" s="457"/>
      <c r="IL985" s="457"/>
      <c r="IM985" s="457">
        <f>IM$816</f>
        <v>-82.254408692299535</v>
      </c>
      <c r="IN985" s="457"/>
      <c r="IO985" s="457">
        <f>IO$816</f>
        <v>-107.7387404794452</v>
      </c>
      <c r="IP985" s="457">
        <f>IP$816</f>
        <v>-200.97164014446568</v>
      </c>
      <c r="IQ985" s="457">
        <f>IQ$816</f>
        <v>-103.6107696094646</v>
      </c>
      <c r="IR985" s="457">
        <f>IR$816</f>
        <v>-64.823925733250775</v>
      </c>
      <c r="IS985" s="457"/>
      <c r="IT985" s="457"/>
      <c r="IU985" s="457"/>
      <c r="IV985" s="457"/>
      <c r="IW985" s="457"/>
      <c r="IX985" s="457"/>
      <c r="IY985" s="457"/>
      <c r="KM985" s="302">
        <f>KM$816</f>
        <v>0</v>
      </c>
      <c r="KN985" s="302">
        <f>KN$816</f>
        <v>0</v>
      </c>
      <c r="KO985" s="302">
        <f>KO$816</f>
        <v>0</v>
      </c>
      <c r="KP985" s="302">
        <f>KP$816</f>
        <v>0</v>
      </c>
    </row>
    <row r="986" spans="1:302">
      <c r="A986" s="302"/>
      <c r="B986" s="117" t="s">
        <v>361</v>
      </c>
      <c r="D986" s="442" t="str">
        <f>D$817</f>
        <v xml:space="preserve">Net Investment in nonfinancial assets </v>
      </c>
      <c r="E986" s="443">
        <f>E$817</f>
        <v>0</v>
      </c>
      <c r="F986" s="443">
        <f t="shared" ref="F986:L986" si="1643">F$817</f>
        <v>0</v>
      </c>
      <c r="G986" s="443">
        <f t="shared" si="1643"/>
        <v>0</v>
      </c>
      <c r="H986" s="443">
        <f t="shared" si="1643"/>
        <v>0</v>
      </c>
      <c r="I986" s="443">
        <f t="shared" si="1643"/>
        <v>0</v>
      </c>
      <c r="J986" s="443">
        <f t="shared" si="1643"/>
        <v>0</v>
      </c>
      <c r="K986" s="443">
        <f t="shared" si="1643"/>
        <v>0</v>
      </c>
      <c r="L986" s="443">
        <f t="shared" si="1643"/>
        <v>0</v>
      </c>
      <c r="M986" s="443">
        <f t="shared" ref="M986:AW986" si="1644">M$817</f>
        <v>0</v>
      </c>
      <c r="N986" s="443">
        <f t="shared" si="1644"/>
        <v>0</v>
      </c>
      <c r="O986" s="443">
        <f t="shared" si="1644"/>
        <v>0</v>
      </c>
      <c r="P986" s="443">
        <f t="shared" si="1644"/>
        <v>0</v>
      </c>
      <c r="Q986" s="443">
        <f t="shared" si="1644"/>
        <v>0</v>
      </c>
      <c r="R986" s="443">
        <f t="shared" si="1644"/>
        <v>0</v>
      </c>
      <c r="S986" s="443">
        <f t="shared" si="1644"/>
        <v>0</v>
      </c>
      <c r="T986" s="443">
        <f t="shared" si="1644"/>
        <v>0</v>
      </c>
      <c r="U986" s="443">
        <f t="shared" si="1644"/>
        <v>0</v>
      </c>
      <c r="V986" s="443">
        <f t="shared" si="1644"/>
        <v>0</v>
      </c>
      <c r="W986" s="443">
        <f t="shared" si="1644"/>
        <v>0</v>
      </c>
      <c r="X986" s="443">
        <f t="shared" si="1644"/>
        <v>0</v>
      </c>
      <c r="Y986" s="443">
        <f t="shared" si="1644"/>
        <v>0</v>
      </c>
      <c r="Z986" s="443">
        <f t="shared" si="1644"/>
        <v>0</v>
      </c>
      <c r="AA986" s="443">
        <f t="shared" si="1644"/>
        <v>0</v>
      </c>
      <c r="AB986" s="443">
        <f t="shared" si="1644"/>
        <v>0</v>
      </c>
      <c r="AC986" s="443">
        <f t="shared" si="1644"/>
        <v>0</v>
      </c>
      <c r="AD986" s="443">
        <f t="shared" si="1644"/>
        <v>0</v>
      </c>
      <c r="AE986" s="443">
        <f t="shared" si="1644"/>
        <v>0</v>
      </c>
      <c r="AF986" s="443">
        <f t="shared" si="1644"/>
        <v>0</v>
      </c>
      <c r="AG986" s="443">
        <f t="shared" si="1644"/>
        <v>0</v>
      </c>
      <c r="AH986" s="443">
        <f t="shared" si="1644"/>
        <v>0</v>
      </c>
      <c r="AI986" s="443">
        <f t="shared" si="1644"/>
        <v>0</v>
      </c>
      <c r="AJ986" s="443">
        <f t="shared" si="1644"/>
        <v>0</v>
      </c>
      <c r="AK986" s="443">
        <f t="shared" si="1644"/>
        <v>0</v>
      </c>
      <c r="AL986" s="443">
        <f t="shared" si="1644"/>
        <v>0</v>
      </c>
      <c r="AM986" s="443">
        <f t="shared" si="1644"/>
        <v>0</v>
      </c>
      <c r="AN986" s="443">
        <f t="shared" si="1644"/>
        <v>0</v>
      </c>
      <c r="AO986" s="443">
        <f t="shared" si="1644"/>
        <v>0.94199739660030579</v>
      </c>
      <c r="AP986" s="443">
        <f t="shared" si="1644"/>
        <v>1.6821985179804768</v>
      </c>
      <c r="AQ986" s="443">
        <f t="shared" si="1644"/>
        <v>2.7108413189699068</v>
      </c>
      <c r="AR986" s="443">
        <f t="shared" si="1644"/>
        <v>4.522410138428933</v>
      </c>
      <c r="AS986" s="443">
        <f t="shared" si="1644"/>
        <v>1.7219130250731998</v>
      </c>
      <c r="AT986" s="443">
        <f t="shared" si="1644"/>
        <v>3.0417432979332482</v>
      </c>
      <c r="AU986" s="443">
        <f t="shared" si="1644"/>
        <v>8.8962667584006923</v>
      </c>
      <c r="AV986" s="443">
        <f t="shared" si="1644"/>
        <v>4.1520251670774488</v>
      </c>
      <c r="AW986" s="443">
        <f t="shared" si="1644"/>
        <v>1.8957136163656356</v>
      </c>
      <c r="AX986" s="443">
        <f t="shared" ref="AX986:BP986" si="1645">AX$817</f>
        <v>12.136937090588619</v>
      </c>
      <c r="AY986" s="443">
        <f t="shared" si="1645"/>
        <v>12.597302379335828</v>
      </c>
      <c r="AZ986" s="443">
        <f t="shared" si="1645"/>
        <v>88.388915926385266</v>
      </c>
      <c r="BA986" s="443">
        <f t="shared" si="1645"/>
        <v>14.15873020075451</v>
      </c>
      <c r="BB986" s="443">
        <f t="shared" si="1645"/>
        <v>9.0050438669616906</v>
      </c>
      <c r="BC986" s="443">
        <f t="shared" si="1645"/>
        <v>18.544687929647523</v>
      </c>
      <c r="BD986" s="443">
        <f t="shared" si="1645"/>
        <v>10.23558195967026</v>
      </c>
      <c r="BE986" s="443">
        <f t="shared" si="1645"/>
        <v>14.574067021856646</v>
      </c>
      <c r="BF986" s="443">
        <f t="shared" si="1645"/>
        <v>17.671187370678794</v>
      </c>
      <c r="BG986" s="443">
        <f t="shared" si="1645"/>
        <v>17.263720190043145</v>
      </c>
      <c r="BH986" s="443">
        <f t="shared" si="1645"/>
        <v>22.180577427796436</v>
      </c>
      <c r="BI986" s="443">
        <f t="shared" si="1645"/>
        <v>32.366076275329213</v>
      </c>
      <c r="BJ986" s="443">
        <f t="shared" si="1645"/>
        <v>90.678606212030303</v>
      </c>
      <c r="BK986" s="443">
        <f t="shared" si="1645"/>
        <v>36.020950438164917</v>
      </c>
      <c r="BL986" s="443">
        <f t="shared" si="1645"/>
        <v>27.703657479106681</v>
      </c>
      <c r="BM986" s="443">
        <f t="shared" si="1645"/>
        <v>24.228039812827614</v>
      </c>
      <c r="BN986" s="443">
        <f t="shared" si="1645"/>
        <v>24.500794584274139</v>
      </c>
      <c r="BO986" s="443">
        <f t="shared" si="1645"/>
        <v>19.748346084435234</v>
      </c>
      <c r="BP986" s="443">
        <f t="shared" si="1645"/>
        <v>35.257393050187574</v>
      </c>
      <c r="BQ986" s="443">
        <f t="shared" ref="BQ986:EB986" si="1646">BQ$817</f>
        <v>51.90079274386926</v>
      </c>
      <c r="BR986" s="443">
        <f t="shared" si="1646"/>
        <v>56.934454127533598</v>
      </c>
      <c r="BS986" s="443">
        <f t="shared" si="1646"/>
        <v>22.478994546108147</v>
      </c>
      <c r="BT986" s="443">
        <f t="shared" si="1646"/>
        <v>38.043308875934351</v>
      </c>
      <c r="BU986" s="443">
        <f t="shared" si="1646"/>
        <v>22.705070428034773</v>
      </c>
      <c r="BV986" s="443">
        <f t="shared" si="1646"/>
        <v>48.265851147412931</v>
      </c>
      <c r="BW986" s="443">
        <f t="shared" si="1646"/>
        <v>67.114257715617924</v>
      </c>
      <c r="BX986" s="443">
        <f t="shared" si="1646"/>
        <v>37.499140147260384</v>
      </c>
      <c r="BY986" s="443">
        <f t="shared" si="1646"/>
        <v>21.20192761686074</v>
      </c>
      <c r="BZ986" s="443">
        <f t="shared" si="1646"/>
        <v>26.276865074581579</v>
      </c>
      <c r="CA986" s="443">
        <f t="shared" si="1646"/>
        <v>29.259931858434339</v>
      </c>
      <c r="CB986" s="443">
        <f t="shared" si="1646"/>
        <v>57.64868509383524</v>
      </c>
      <c r="CC986" s="443">
        <f t="shared" si="1646"/>
        <v>70.374742669365276</v>
      </c>
      <c r="CD986" s="444">
        <f t="shared" si="1646"/>
        <v>50.786117520170833</v>
      </c>
      <c r="CE986" s="443">
        <f t="shared" si="1646"/>
        <v>37.988402959771697</v>
      </c>
      <c r="CF986" s="443">
        <f t="shared" si="1646"/>
        <v>25.220409839733811</v>
      </c>
      <c r="CG986" s="443">
        <f t="shared" si="1646"/>
        <v>52.684286896294495</v>
      </c>
      <c r="CH986" s="443">
        <f t="shared" si="1646"/>
        <v>70.628913120949605</v>
      </c>
      <c r="CI986" s="443">
        <f t="shared" si="1646"/>
        <v>54.291197960135449</v>
      </c>
      <c r="CJ986" s="443">
        <f t="shared" si="1646"/>
        <v>41.119030590000946</v>
      </c>
      <c r="CK986" s="443">
        <f t="shared" si="1646"/>
        <v>55.460422057968302</v>
      </c>
      <c r="CL986" s="443">
        <f t="shared" si="1646"/>
        <v>35.436422143434697</v>
      </c>
      <c r="CM986" s="443">
        <f t="shared" si="1646"/>
        <v>42.064420844918999</v>
      </c>
      <c r="CN986" s="443">
        <f t="shared" si="1646"/>
        <v>86.950632093925208</v>
      </c>
      <c r="CO986" s="443">
        <f t="shared" si="1646"/>
        <v>75.540018884884176</v>
      </c>
      <c r="CP986" s="446">
        <f t="shared" si="1646"/>
        <v>65.990125718661602</v>
      </c>
      <c r="CQ986" s="445">
        <f t="shared" si="1646"/>
        <v>34.40228101250365</v>
      </c>
      <c r="CR986" s="445">
        <f t="shared" si="1646"/>
        <v>42.883278748654021</v>
      </c>
      <c r="CS986" s="445">
        <f t="shared" si="1646"/>
        <v>49.51160525412989</v>
      </c>
      <c r="CT986" s="445">
        <f t="shared" si="1646"/>
        <v>46.421699296442767</v>
      </c>
      <c r="CU986" s="445">
        <f t="shared" si="1646"/>
        <v>53.739223337663347</v>
      </c>
      <c r="CV986" s="445">
        <f t="shared" si="1646"/>
        <v>51.679716109066604</v>
      </c>
      <c r="CW986" s="445">
        <f t="shared" si="1646"/>
        <v>55.038740427920125</v>
      </c>
      <c r="CX986" s="445">
        <f t="shared" si="1646"/>
        <v>45.841412379944181</v>
      </c>
      <c r="CY986" s="445">
        <f t="shared" si="1646"/>
        <v>57.908603124423678</v>
      </c>
      <c r="CZ986" s="445">
        <f t="shared" si="1646"/>
        <v>64.0564101613286</v>
      </c>
      <c r="DA986" s="445">
        <f t="shared" si="1646"/>
        <v>67.95081361957044</v>
      </c>
      <c r="DB986" s="1520">
        <f t="shared" si="1646"/>
        <v>66.680155561791111</v>
      </c>
      <c r="DC986" s="443">
        <f t="shared" si="1646"/>
        <v>21.57346960858743</v>
      </c>
      <c r="DD986" s="443">
        <f t="shared" si="1646"/>
        <v>39.15421071883226</v>
      </c>
      <c r="DE986" s="443">
        <f t="shared" si="1646"/>
        <v>63.197945614300309</v>
      </c>
      <c r="DF986" s="443">
        <f t="shared" si="1646"/>
        <v>55.439473761223262</v>
      </c>
      <c r="DG986" s="443">
        <f t="shared" si="1646"/>
        <v>30.221960439713769</v>
      </c>
      <c r="DH986" s="443">
        <f t="shared" si="1646"/>
        <v>62.307650503392217</v>
      </c>
      <c r="DI986" s="443">
        <f t="shared" si="1646"/>
        <v>63.041178112724566</v>
      </c>
      <c r="DJ986" s="443">
        <f t="shared" si="1646"/>
        <v>42.419698521250979</v>
      </c>
      <c r="DK986" s="443">
        <f t="shared" si="1646"/>
        <v>51.958763865475454</v>
      </c>
      <c r="DL986" s="443">
        <f t="shared" si="1646"/>
        <v>64.843746364660888</v>
      </c>
      <c r="DM986" s="443">
        <f t="shared" si="1646"/>
        <v>85.380655616553412</v>
      </c>
      <c r="DN986" s="446">
        <f t="shared" si="1646"/>
        <v>37.898425423740704</v>
      </c>
      <c r="DO986" s="443">
        <f t="shared" si="1646"/>
        <v>28.847081130336186</v>
      </c>
      <c r="DP986" s="443">
        <f t="shared" si="1646"/>
        <v>41.982476238827928</v>
      </c>
      <c r="DQ986" s="443">
        <f t="shared" si="1646"/>
        <v>49.595832033068888</v>
      </c>
      <c r="DR986" s="443">
        <f t="shared" si="1646"/>
        <v>34.290945020766912</v>
      </c>
      <c r="DS986" s="443">
        <f t="shared" si="1646"/>
        <v>53.910384987328158</v>
      </c>
      <c r="DT986" s="443">
        <f t="shared" si="1646"/>
        <v>54.464161008450937</v>
      </c>
      <c r="DU986" s="443">
        <f t="shared" si="1646"/>
        <v>62.43160382719384</v>
      </c>
      <c r="DV986" s="443">
        <f t="shared" si="1646"/>
        <v>39.119038036654175</v>
      </c>
      <c r="DW986" s="443">
        <f t="shared" si="1646"/>
        <v>48.255834464735983</v>
      </c>
      <c r="DX986" s="443">
        <f t="shared" si="1646"/>
        <v>61.847538793963608</v>
      </c>
      <c r="DY986" s="443">
        <f t="shared" si="1646"/>
        <v>68.178430905098168</v>
      </c>
      <c r="DZ986" s="446">
        <f t="shared" si="1646"/>
        <v>63.942362148404229</v>
      </c>
      <c r="EA986" s="443">
        <f t="shared" si="1646"/>
        <v>28.786624880514758</v>
      </c>
      <c r="EB986" s="443">
        <f t="shared" si="1646"/>
        <v>55.690945095194735</v>
      </c>
      <c r="EC986" s="443">
        <f t="shared" ref="EC986:GH986" si="1647">EC$817</f>
        <v>51.394767048248497</v>
      </c>
      <c r="ED986" s="443">
        <f t="shared" si="1647"/>
        <v>51.249061761118917</v>
      </c>
      <c r="EE986" s="443">
        <f t="shared" si="1647"/>
        <v>49.109509324996317</v>
      </c>
      <c r="EF986" s="443">
        <f t="shared" si="1647"/>
        <v>48.122426311116762</v>
      </c>
      <c r="EG986" s="443">
        <f t="shared" si="1647"/>
        <v>82.967037175615559</v>
      </c>
      <c r="EH986" s="443">
        <f t="shared" si="1647"/>
        <v>38.229524450007531</v>
      </c>
      <c r="EI986" s="443">
        <f t="shared" si="1647"/>
        <v>66.555127287957902</v>
      </c>
      <c r="EJ986" s="443">
        <f t="shared" si="1647"/>
        <v>45.485128549920972</v>
      </c>
      <c r="EK986" s="443">
        <f t="shared" si="1647"/>
        <v>85.263161202357011</v>
      </c>
      <c r="EL986" s="446">
        <f t="shared" si="1647"/>
        <v>77.915357075111018</v>
      </c>
      <c r="EM986" s="443">
        <f t="shared" si="1647"/>
        <v>51.614901485094855</v>
      </c>
      <c r="EN986" s="443">
        <f t="shared" si="1647"/>
        <v>43.830041447356145</v>
      </c>
      <c r="EO986" s="443">
        <f t="shared" si="1647"/>
        <v>74.469983333214998</v>
      </c>
      <c r="EP986" s="443">
        <f t="shared" si="1647"/>
        <v>66.438695400066649</v>
      </c>
      <c r="EQ986" s="443">
        <f t="shared" si="1647"/>
        <v>48.281106191485001</v>
      </c>
      <c r="ER986" s="443">
        <f t="shared" si="1647"/>
        <v>96.638936359631998</v>
      </c>
      <c r="ES986" s="443">
        <f t="shared" si="1647"/>
        <v>78.338560893719574</v>
      </c>
      <c r="ET986" s="443">
        <f t="shared" si="1647"/>
        <v>76.315914970890162</v>
      </c>
      <c r="EU986" s="443">
        <f t="shared" si="1647"/>
        <v>79.790247340832906</v>
      </c>
      <c r="EV986" s="443">
        <f t="shared" si="1647"/>
        <v>86.772331061566632</v>
      </c>
      <c r="EW986" s="443">
        <f t="shared" si="1647"/>
        <v>107.16435010407727</v>
      </c>
      <c r="EX986" s="446">
        <f t="shared" si="1647"/>
        <v>105.02289732984551</v>
      </c>
      <c r="EY986" s="443">
        <f t="shared" si="1647"/>
        <v>70.748007073833179</v>
      </c>
      <c r="EZ986" s="443">
        <f t="shared" si="1647"/>
        <v>86.413824742311178</v>
      </c>
      <c r="FA986" s="443">
        <f t="shared" si="1647"/>
        <v>90.847694377210502</v>
      </c>
      <c r="FB986" s="443">
        <f t="shared" si="1647"/>
        <v>77.065584289298229</v>
      </c>
      <c r="FC986" s="443">
        <f t="shared" si="1647"/>
        <v>85.662440113470595</v>
      </c>
      <c r="FD986" s="443">
        <f t="shared" si="1647"/>
        <v>97.286303987423508</v>
      </c>
      <c r="FE986" s="443">
        <f t="shared" si="1647"/>
        <v>77.102056569678282</v>
      </c>
      <c r="FF986" s="443">
        <f t="shared" si="1647"/>
        <v>86.003314120086642</v>
      </c>
      <c r="FG986" s="443">
        <f t="shared" si="1647"/>
        <v>75.966626252998893</v>
      </c>
      <c r="FH986" s="443">
        <f t="shared" si="1647"/>
        <v>84.38913137647242</v>
      </c>
      <c r="FI986" s="443">
        <f t="shared" si="1647"/>
        <v>117.2655610008845</v>
      </c>
      <c r="FJ986" s="446">
        <f t="shared" si="1647"/>
        <v>84.347380595698155</v>
      </c>
      <c r="FK986" s="443">
        <f t="shared" si="1647"/>
        <v>171.83657830651731</v>
      </c>
      <c r="FL986" s="443">
        <f t="shared" si="1647"/>
        <v>96.686887676163622</v>
      </c>
      <c r="FM986" s="443">
        <f t="shared" si="1647"/>
        <v>80.8996559596049</v>
      </c>
      <c r="FN986" s="443">
        <f t="shared" si="1647"/>
        <v>75.518510505059197</v>
      </c>
      <c r="FO986" s="443">
        <f t="shared" si="1647"/>
        <v>88.330848225684079</v>
      </c>
      <c r="FP986" s="443">
        <f t="shared" si="1647"/>
        <v>137.94791612681655</v>
      </c>
      <c r="FQ986" s="443">
        <f t="shared" si="1647"/>
        <v>122.24075020475169</v>
      </c>
      <c r="FR986" s="443">
        <f t="shared" si="1647"/>
        <v>88.834328388940691</v>
      </c>
      <c r="FS986" s="443">
        <f t="shared" si="1647"/>
        <v>102.06992275938669</v>
      </c>
      <c r="FT986" s="443">
        <f t="shared" si="1647"/>
        <v>98.011199247466422</v>
      </c>
      <c r="FU986" s="443">
        <f t="shared" si="1647"/>
        <v>109.56281016829439</v>
      </c>
      <c r="FV986" s="446">
        <f t="shared" si="1647"/>
        <v>82.916948134623425</v>
      </c>
      <c r="FW986" s="443">
        <f t="shared" si="1647"/>
        <v>78.999984561449466</v>
      </c>
      <c r="FX986" s="443">
        <f t="shared" si="1647"/>
        <v>73.00768048777546</v>
      </c>
      <c r="FY986" s="443">
        <f t="shared" si="1647"/>
        <v>119.97959473966745</v>
      </c>
      <c r="FZ986" s="443">
        <f t="shared" si="1647"/>
        <v>185.40299948756308</v>
      </c>
      <c r="GA986" s="443">
        <f t="shared" si="1647"/>
        <v>110.70866922756308</v>
      </c>
      <c r="GB986" s="443">
        <f t="shared" si="1647"/>
        <v>197.51155053456307</v>
      </c>
      <c r="GC986" s="443">
        <f t="shared" si="1647"/>
        <v>142.09590988886288</v>
      </c>
      <c r="GD986" s="443">
        <f t="shared" si="1647"/>
        <v>118.75533595782969</v>
      </c>
      <c r="GE986" s="443">
        <f t="shared" si="1647"/>
        <v>138.33091178973197</v>
      </c>
      <c r="GF986" s="443">
        <f t="shared" si="1647"/>
        <v>130.2277522798789</v>
      </c>
      <c r="GG986" s="443">
        <f t="shared" si="1647"/>
        <v>123.77320511721888</v>
      </c>
      <c r="GH986" s="443">
        <f t="shared" si="1647"/>
        <v>174.38481665122589</v>
      </c>
      <c r="HN986" s="363"/>
      <c r="HO986" s="442" t="s">
        <v>3103</v>
      </c>
      <c r="HP986" s="442"/>
      <c r="HQ986" s="442"/>
      <c r="HR986" s="302">
        <f>HR$817</f>
        <v>643.37428311067902</v>
      </c>
      <c r="HS986" s="302">
        <f>HS$817</f>
        <v>278.63780375846028</v>
      </c>
      <c r="HT986" s="302">
        <f>HT$817</f>
        <v>357.47613527497811</v>
      </c>
      <c r="HU986" s="457">
        <f>HU$817</f>
        <v>636.11393903343833</v>
      </c>
      <c r="HV986" s="307"/>
      <c r="HX986" s="457">
        <f>HX$817</f>
        <v>617.4371785504552</v>
      </c>
      <c r="IA986" s="457">
        <f>IA$817</f>
        <v>606.86568859482907</v>
      </c>
      <c r="ID986" s="457">
        <f>ID$817</f>
        <v>680.76867016215999</v>
      </c>
      <c r="IE986" s="457"/>
      <c r="IF986" s="457"/>
      <c r="IG986" s="457">
        <f>IG$817</f>
        <v>914.67796591778165</v>
      </c>
      <c r="IH986" s="457"/>
      <c r="II986" s="457"/>
      <c r="IJ986" s="457">
        <f>IJ$817</f>
        <v>1033.0979244993659</v>
      </c>
      <c r="IK986" s="457"/>
      <c r="IL986" s="457"/>
      <c r="IM986" s="457">
        <f>IM$817</f>
        <v>1254.856355703309</v>
      </c>
      <c r="IN986" s="457"/>
      <c r="IO986" s="457">
        <f>IO$817</f>
        <v>827.56793168474837</v>
      </c>
      <c r="IP986" s="457">
        <f>IP$817</f>
        <v>1593.17841072333</v>
      </c>
      <c r="IQ986" s="457">
        <f>IQ$817</f>
        <v>655.06258419798746</v>
      </c>
      <c r="IR986" s="457">
        <f>IR$817</f>
        <v>863.36162995977202</v>
      </c>
      <c r="IS986" s="457"/>
      <c r="IT986" s="457"/>
      <c r="IU986" s="457"/>
      <c r="IV986" s="457"/>
      <c r="IW986" s="457"/>
      <c r="IX986" s="457"/>
      <c r="IY986" s="457"/>
      <c r="KI986" s="363"/>
      <c r="KJ986" s="364"/>
      <c r="KM986" s="302">
        <f>KM$817</f>
        <v>0</v>
      </c>
      <c r="KN986" s="302">
        <f>KN$817</f>
        <v>0</v>
      </c>
      <c r="KO986" s="302">
        <f>KO$817</f>
        <v>0</v>
      </c>
      <c r="KP986" s="302">
        <f>KP$817</f>
        <v>0</v>
      </c>
    </row>
    <row r="987" spans="1:302">
      <c r="A987" s="302"/>
      <c r="B987" s="117" t="s">
        <v>361</v>
      </c>
      <c r="D987" s="447" t="str">
        <f>D$818</f>
        <v>Foreign financed</v>
      </c>
      <c r="E987" s="443">
        <f>E$818</f>
        <v>0</v>
      </c>
      <c r="F987" s="443">
        <f t="shared" ref="F987:L987" si="1648">F$818</f>
        <v>0</v>
      </c>
      <c r="G987" s="443">
        <f t="shared" si="1648"/>
        <v>0</v>
      </c>
      <c r="H987" s="443">
        <f t="shared" si="1648"/>
        <v>0</v>
      </c>
      <c r="I987" s="443">
        <f t="shared" si="1648"/>
        <v>0</v>
      </c>
      <c r="J987" s="443">
        <f t="shared" si="1648"/>
        <v>0</v>
      </c>
      <c r="K987" s="443">
        <f t="shared" si="1648"/>
        <v>0</v>
      </c>
      <c r="L987" s="443">
        <f t="shared" si="1648"/>
        <v>0</v>
      </c>
      <c r="M987" s="443">
        <f t="shared" ref="M987:AW987" si="1649">M$818</f>
        <v>0</v>
      </c>
      <c r="N987" s="443">
        <f t="shared" si="1649"/>
        <v>0</v>
      </c>
      <c r="O987" s="443">
        <f t="shared" si="1649"/>
        <v>0</v>
      </c>
      <c r="P987" s="443">
        <f t="shared" si="1649"/>
        <v>0</v>
      </c>
      <c r="Q987" s="443">
        <f t="shared" si="1649"/>
        <v>0</v>
      </c>
      <c r="R987" s="443">
        <f t="shared" si="1649"/>
        <v>0</v>
      </c>
      <c r="S987" s="443">
        <f t="shared" si="1649"/>
        <v>0</v>
      </c>
      <c r="T987" s="443">
        <f t="shared" si="1649"/>
        <v>0</v>
      </c>
      <c r="U987" s="443">
        <f t="shared" si="1649"/>
        <v>0</v>
      </c>
      <c r="V987" s="443">
        <f t="shared" si="1649"/>
        <v>0</v>
      </c>
      <c r="W987" s="443">
        <f t="shared" si="1649"/>
        <v>0</v>
      </c>
      <c r="X987" s="443">
        <f t="shared" si="1649"/>
        <v>0</v>
      </c>
      <c r="Y987" s="443">
        <f t="shared" si="1649"/>
        <v>0</v>
      </c>
      <c r="Z987" s="443">
        <f t="shared" si="1649"/>
        <v>0</v>
      </c>
      <c r="AA987" s="443">
        <f t="shared" si="1649"/>
        <v>0</v>
      </c>
      <c r="AB987" s="443">
        <f t="shared" si="1649"/>
        <v>0</v>
      </c>
      <c r="AC987" s="443">
        <f t="shared" si="1649"/>
        <v>0</v>
      </c>
      <c r="AD987" s="443">
        <f t="shared" si="1649"/>
        <v>0</v>
      </c>
      <c r="AE987" s="443">
        <f t="shared" si="1649"/>
        <v>0</v>
      </c>
      <c r="AF987" s="443">
        <f t="shared" si="1649"/>
        <v>0</v>
      </c>
      <c r="AG987" s="443">
        <f t="shared" si="1649"/>
        <v>0</v>
      </c>
      <c r="AH987" s="443">
        <f t="shared" si="1649"/>
        <v>0</v>
      </c>
      <c r="AI987" s="443">
        <f t="shared" si="1649"/>
        <v>0</v>
      </c>
      <c r="AJ987" s="443">
        <f t="shared" si="1649"/>
        <v>0</v>
      </c>
      <c r="AK987" s="443">
        <f t="shared" si="1649"/>
        <v>0</v>
      </c>
      <c r="AL987" s="443">
        <f t="shared" si="1649"/>
        <v>0</v>
      </c>
      <c r="AM987" s="443">
        <f t="shared" si="1649"/>
        <v>0</v>
      </c>
      <c r="AN987" s="443">
        <f t="shared" si="1649"/>
        <v>0</v>
      </c>
      <c r="AO987" s="443">
        <f t="shared" si="1649"/>
        <v>0.94199739660030579</v>
      </c>
      <c r="AP987" s="443">
        <f t="shared" si="1649"/>
        <v>1.6821985179804768</v>
      </c>
      <c r="AQ987" s="443">
        <f t="shared" si="1649"/>
        <v>2.7108413189699068</v>
      </c>
      <c r="AR987" s="443">
        <f t="shared" si="1649"/>
        <v>4.522410138428933</v>
      </c>
      <c r="AS987" s="443">
        <f t="shared" si="1649"/>
        <v>1.7219130250731998</v>
      </c>
      <c r="AT987" s="443">
        <f t="shared" si="1649"/>
        <v>3.0417432979332482</v>
      </c>
      <c r="AU987" s="443">
        <f t="shared" si="1649"/>
        <v>8.8962667584006923</v>
      </c>
      <c r="AV987" s="443">
        <f t="shared" si="1649"/>
        <v>4.1520251670774488</v>
      </c>
      <c r="AW987" s="443">
        <f t="shared" si="1649"/>
        <v>1.8957136163656356</v>
      </c>
      <c r="AX987" s="443">
        <f t="shared" ref="AX987:BP987" si="1650">AX$818</f>
        <v>12.136937090588619</v>
      </c>
      <c r="AY987" s="443">
        <f t="shared" si="1650"/>
        <v>12.597302379335828</v>
      </c>
      <c r="AZ987" s="443">
        <f t="shared" si="1650"/>
        <v>88.388915926385266</v>
      </c>
      <c r="BA987" s="443">
        <f t="shared" si="1650"/>
        <v>14.15873020075451</v>
      </c>
      <c r="BB987" s="443">
        <f t="shared" si="1650"/>
        <v>9.0050438669616906</v>
      </c>
      <c r="BC987" s="443">
        <f t="shared" si="1650"/>
        <v>18.544687929647523</v>
      </c>
      <c r="BD987" s="443">
        <f t="shared" si="1650"/>
        <v>10.23558195967026</v>
      </c>
      <c r="BE987" s="443">
        <f t="shared" si="1650"/>
        <v>14.574067021856646</v>
      </c>
      <c r="BF987" s="443">
        <f t="shared" si="1650"/>
        <v>17.671187370678794</v>
      </c>
      <c r="BG987" s="443">
        <f t="shared" si="1650"/>
        <v>12.451294508243144</v>
      </c>
      <c r="BH987" s="443">
        <f t="shared" si="1650"/>
        <v>10.575512258726437</v>
      </c>
      <c r="BI987" s="443">
        <f t="shared" si="1650"/>
        <v>17.387422666289211</v>
      </c>
      <c r="BJ987" s="443">
        <f t="shared" si="1650"/>
        <v>63.647873066030307</v>
      </c>
      <c r="BK987" s="443">
        <f t="shared" si="1650"/>
        <v>20.880266670164918</v>
      </c>
      <c r="BL987" s="443">
        <f t="shared" si="1650"/>
        <v>20.26695088010668</v>
      </c>
      <c r="BM987" s="443">
        <f t="shared" si="1650"/>
        <v>5.8544672338276129</v>
      </c>
      <c r="BN987" s="443">
        <f t="shared" si="1650"/>
        <v>13.649621592274141</v>
      </c>
      <c r="BO987" s="443">
        <f t="shared" si="1650"/>
        <v>10.211354677215237</v>
      </c>
      <c r="BP987" s="443">
        <f t="shared" si="1650"/>
        <v>7.9268224163475747</v>
      </c>
      <c r="BQ987" s="443">
        <f t="shared" ref="BQ987:EB987" si="1651">BQ$818</f>
        <v>9.5964837929292592</v>
      </c>
      <c r="BR987" s="443">
        <f t="shared" si="1651"/>
        <v>50.581934584973595</v>
      </c>
      <c r="BS987" s="443">
        <f t="shared" si="1651"/>
        <v>13.252070333108145</v>
      </c>
      <c r="BT987" s="443">
        <f t="shared" si="1651"/>
        <v>22.477493039934352</v>
      </c>
      <c r="BU987" s="443">
        <f t="shared" si="1651"/>
        <v>11.689606913034773</v>
      </c>
      <c r="BV987" s="443">
        <f t="shared" si="1651"/>
        <v>9.5620629325629274</v>
      </c>
      <c r="BW987" s="443">
        <f t="shared" si="1651"/>
        <v>47.003610449617923</v>
      </c>
      <c r="BX987" s="443">
        <f t="shared" si="1651"/>
        <v>33.692962709260385</v>
      </c>
      <c r="BY987" s="443">
        <f t="shared" si="1651"/>
        <v>2.1001001144407416</v>
      </c>
      <c r="BZ987" s="443">
        <f t="shared" si="1651"/>
        <v>8.1529400676215786</v>
      </c>
      <c r="CA987" s="443">
        <f t="shared" si="1651"/>
        <v>14.111623062434338</v>
      </c>
      <c r="CB987" s="443">
        <f t="shared" si="1651"/>
        <v>11.671582692445245</v>
      </c>
      <c r="CC987" s="443">
        <f t="shared" si="1651"/>
        <v>38.615047441195287</v>
      </c>
      <c r="CD987" s="444">
        <f t="shared" si="1651"/>
        <v>28.344641886820838</v>
      </c>
      <c r="CE987" s="443">
        <f t="shared" si="1651"/>
        <v>27.461950273771695</v>
      </c>
      <c r="CF987" s="443">
        <f t="shared" si="1651"/>
        <v>10.11084003473381</v>
      </c>
      <c r="CG987" s="443">
        <f t="shared" si="1651"/>
        <v>37.542976234294493</v>
      </c>
      <c r="CH987" s="443">
        <f t="shared" si="1651"/>
        <v>46.422698332949601</v>
      </c>
      <c r="CI987" s="443">
        <f t="shared" si="1651"/>
        <v>36.82346118513545</v>
      </c>
      <c r="CJ987" s="443">
        <f t="shared" si="1651"/>
        <v>30.045149085000947</v>
      </c>
      <c r="CK987" s="443">
        <f t="shared" si="1651"/>
        <v>33.576041110968305</v>
      </c>
      <c r="CL987" s="443">
        <f t="shared" si="1651"/>
        <v>17.115234173434697</v>
      </c>
      <c r="CM987" s="443">
        <f t="shared" si="1651"/>
        <v>18.210226436918994</v>
      </c>
      <c r="CN987" s="443">
        <f t="shared" si="1651"/>
        <v>58.01807686992521</v>
      </c>
      <c r="CO987" s="443">
        <f t="shared" si="1651"/>
        <v>24.075295876884173</v>
      </c>
      <c r="CP987" s="446">
        <f t="shared" si="1651"/>
        <v>30.569105037661593</v>
      </c>
      <c r="CQ987" s="443">
        <f t="shared" si="1651"/>
        <v>22.634250257573093</v>
      </c>
      <c r="CR987" s="443">
        <f t="shared" si="1651"/>
        <v>24.52159962765402</v>
      </c>
      <c r="CS987" s="443">
        <f t="shared" si="1651"/>
        <v>26.668254940129891</v>
      </c>
      <c r="CT987" s="443">
        <f t="shared" si="1651"/>
        <v>30.063085946442769</v>
      </c>
      <c r="CU987" s="443">
        <f t="shared" si="1651"/>
        <v>37.895227394663344</v>
      </c>
      <c r="CV987" s="443">
        <f t="shared" si="1651"/>
        <v>37.215800957066605</v>
      </c>
      <c r="CW987" s="443">
        <f t="shared" si="1651"/>
        <v>27.254137346920125</v>
      </c>
      <c r="CX987" s="443">
        <f t="shared" si="1651"/>
        <v>24.408593314944181</v>
      </c>
      <c r="CY987" s="443">
        <f t="shared" si="1651"/>
        <v>27.545518918423681</v>
      </c>
      <c r="CZ987" s="443">
        <f t="shared" si="1651"/>
        <v>16.514020665328591</v>
      </c>
      <c r="DA987" s="443">
        <f t="shared" si="1651"/>
        <v>31.010111373193478</v>
      </c>
      <c r="DB987" s="1520">
        <f t="shared" si="1651"/>
        <v>34.526302365791103</v>
      </c>
      <c r="DC987" s="443">
        <f t="shared" si="1651"/>
        <v>13.874262816587432</v>
      </c>
      <c r="DD987" s="443">
        <f t="shared" si="1651"/>
        <v>22.741142375832265</v>
      </c>
      <c r="DE987" s="443">
        <f t="shared" si="1651"/>
        <v>27.5699602763003</v>
      </c>
      <c r="DF987" s="443">
        <f t="shared" si="1651"/>
        <v>18.868605581223264</v>
      </c>
      <c r="DG987" s="443">
        <f t="shared" si="1651"/>
        <v>13.958714056713765</v>
      </c>
      <c r="DH987" s="443">
        <f t="shared" si="1651"/>
        <v>51.257744914392219</v>
      </c>
      <c r="DI987" s="443">
        <f t="shared" si="1651"/>
        <v>16.342572375724565</v>
      </c>
      <c r="DJ987" s="443">
        <f t="shared" si="1651"/>
        <v>17.049001310250979</v>
      </c>
      <c r="DK987" s="443">
        <f t="shared" si="1651"/>
        <v>28.752959391475457</v>
      </c>
      <c r="DL987" s="443">
        <f t="shared" si="1651"/>
        <v>24.046596579660893</v>
      </c>
      <c r="DM987" s="443">
        <f t="shared" si="1651"/>
        <v>26.160917535553409</v>
      </c>
      <c r="DN987" s="446">
        <f t="shared" si="1651"/>
        <v>11.152133643740704</v>
      </c>
      <c r="DO987" s="443">
        <f t="shared" si="1651"/>
        <v>15.433996662336185</v>
      </c>
      <c r="DP987" s="443">
        <f t="shared" si="1651"/>
        <v>20.562498505827929</v>
      </c>
      <c r="DQ987" s="443">
        <f t="shared" si="1651"/>
        <v>31.781562221068889</v>
      </c>
      <c r="DR987" s="443">
        <f t="shared" si="1651"/>
        <v>9.4610312207669089</v>
      </c>
      <c r="DS987" s="443">
        <f t="shared" si="1651"/>
        <v>26.475880533328159</v>
      </c>
      <c r="DT987" s="443">
        <f t="shared" si="1651"/>
        <v>38.357520431450936</v>
      </c>
      <c r="DU987" s="443">
        <f t="shared" si="1651"/>
        <v>22.211353562193839</v>
      </c>
      <c r="DV987" s="443">
        <f t="shared" si="1651"/>
        <v>18.817239761654175</v>
      </c>
      <c r="DW987" s="443">
        <f t="shared" si="1651"/>
        <v>31.552162197735981</v>
      </c>
      <c r="DX987" s="443">
        <f t="shared" si="1651"/>
        <v>27.465835039963608</v>
      </c>
      <c r="DY987" s="443">
        <f t="shared" si="1651"/>
        <v>24.386676235098165</v>
      </c>
      <c r="DZ987" s="446">
        <f t="shared" si="1651"/>
        <v>40.24342079840423</v>
      </c>
      <c r="EA987" s="443">
        <f t="shared" si="1651"/>
        <v>21.74761611951476</v>
      </c>
      <c r="EB987" s="443">
        <f t="shared" si="1651"/>
        <v>25.760209253194738</v>
      </c>
      <c r="EC987" s="443">
        <f t="shared" ref="EC987:GH987" si="1652">EC$818</f>
        <v>23.0598770162485</v>
      </c>
      <c r="ED987" s="443">
        <f t="shared" si="1652"/>
        <v>23.712366129118919</v>
      </c>
      <c r="EE987" s="443">
        <f t="shared" si="1652"/>
        <v>26.735410227996319</v>
      </c>
      <c r="EF987" s="443">
        <f t="shared" si="1652"/>
        <v>31.381530689116762</v>
      </c>
      <c r="EG987" s="443">
        <f t="shared" si="1652"/>
        <v>27.909894950615559</v>
      </c>
      <c r="EH987" s="443">
        <f t="shared" si="1652"/>
        <v>16.955218745007535</v>
      </c>
      <c r="EI987" s="443">
        <f t="shared" si="1652"/>
        <v>40.070005726957909</v>
      </c>
      <c r="EJ987" s="443">
        <f t="shared" si="1652"/>
        <v>15.661802557920968</v>
      </c>
      <c r="EK987" s="443">
        <f t="shared" si="1652"/>
        <v>27.208560267357019</v>
      </c>
      <c r="EL987" s="446">
        <f t="shared" si="1652"/>
        <v>58.857923823111022</v>
      </c>
      <c r="EM987" s="443">
        <f t="shared" si="1652"/>
        <v>26.154033663094854</v>
      </c>
      <c r="EN987" s="443">
        <f t="shared" si="1652"/>
        <v>18.445545378356144</v>
      </c>
      <c r="EO987" s="443">
        <f t="shared" si="1652"/>
        <v>47.015260453214999</v>
      </c>
      <c r="EP987" s="443">
        <f t="shared" si="1652"/>
        <v>29.197911488066648</v>
      </c>
      <c r="EQ987" s="443">
        <f t="shared" si="1652"/>
        <v>21.519785242485</v>
      </c>
      <c r="ER987" s="443">
        <f t="shared" si="1652"/>
        <v>58.928926885631995</v>
      </c>
      <c r="ES987" s="443">
        <f t="shared" si="1652"/>
        <v>35.348274640719566</v>
      </c>
      <c r="ET987" s="443">
        <f t="shared" si="1652"/>
        <v>30.552618112890165</v>
      </c>
      <c r="EU987" s="443">
        <f t="shared" si="1652"/>
        <v>44.041510783832905</v>
      </c>
      <c r="EV987" s="443">
        <f t="shared" si="1652"/>
        <v>31.903327200566636</v>
      </c>
      <c r="EW987" s="443">
        <f t="shared" si="1652"/>
        <v>28.888202852077264</v>
      </c>
      <c r="EX987" s="446">
        <f t="shared" si="1652"/>
        <v>76.008599532845508</v>
      </c>
      <c r="EY987" s="443">
        <f t="shared" si="1652"/>
        <v>33.280121402833174</v>
      </c>
      <c r="EZ987" s="443">
        <f t="shared" si="1652"/>
        <v>46.962321956311172</v>
      </c>
      <c r="FA987" s="443">
        <f t="shared" si="1652"/>
        <v>42.414009539210497</v>
      </c>
      <c r="FB987" s="443">
        <f t="shared" si="1652"/>
        <v>34.784045042298231</v>
      </c>
      <c r="FC987" s="443">
        <f t="shared" si="1652"/>
        <v>44.060011411470597</v>
      </c>
      <c r="FD987" s="443">
        <f t="shared" si="1652"/>
        <v>65.340583448423502</v>
      </c>
      <c r="FE987" s="443">
        <f t="shared" si="1652"/>
        <v>41.617049318678283</v>
      </c>
      <c r="FF987" s="443">
        <f t="shared" si="1652"/>
        <v>45.92982365208664</v>
      </c>
      <c r="FG987" s="443">
        <f t="shared" si="1652"/>
        <v>46.527671511998889</v>
      </c>
      <c r="FH987" s="443">
        <f t="shared" si="1652"/>
        <v>44.396108784472418</v>
      </c>
      <c r="FI987" s="443">
        <f t="shared" si="1652"/>
        <v>53.012151564884498</v>
      </c>
      <c r="FJ987" s="446">
        <f t="shared" si="1652"/>
        <v>49.474995745698159</v>
      </c>
      <c r="FK987" s="443">
        <f t="shared" si="1652"/>
        <v>135.59233209151731</v>
      </c>
      <c r="FL987" s="443">
        <f t="shared" si="1652"/>
        <v>66.297949603163616</v>
      </c>
      <c r="FM987" s="443">
        <f t="shared" si="1652"/>
        <v>48.100940610604894</v>
      </c>
      <c r="FN987" s="443">
        <f t="shared" si="1652"/>
        <v>33.241717161059192</v>
      </c>
      <c r="FO987" s="443">
        <f t="shared" si="1652"/>
        <v>50.094245062684081</v>
      </c>
      <c r="FP987" s="443">
        <f t="shared" si="1652"/>
        <v>52.196346233816548</v>
      </c>
      <c r="FQ987" s="443">
        <f t="shared" si="1652"/>
        <v>42.1215202837517</v>
      </c>
      <c r="FR987" s="443">
        <f t="shared" si="1652"/>
        <v>39.847795074940699</v>
      </c>
      <c r="FS987" s="443">
        <f t="shared" si="1652"/>
        <v>63.234253633886681</v>
      </c>
      <c r="FT987" s="443">
        <f t="shared" si="1652"/>
        <v>50.963642747466423</v>
      </c>
      <c r="FU987" s="443">
        <f t="shared" si="1652"/>
        <v>35.519792666794402</v>
      </c>
      <c r="FV987" s="446">
        <f t="shared" si="1652"/>
        <v>68.107825459623427</v>
      </c>
      <c r="FW987" s="443">
        <f t="shared" si="1652"/>
        <v>57.499992982449463</v>
      </c>
      <c r="FX987" s="443">
        <f t="shared" si="1652"/>
        <v>46.967371096775459</v>
      </c>
      <c r="FY987" s="443">
        <f t="shared" si="1652"/>
        <v>59.222417094667456</v>
      </c>
      <c r="FZ987" s="443">
        <f t="shared" si="1652"/>
        <v>99.548669602563081</v>
      </c>
      <c r="GA987" s="443">
        <f t="shared" si="1652"/>
        <v>65.538813469563081</v>
      </c>
      <c r="GB987" s="443">
        <f t="shared" si="1652"/>
        <v>78.728683860563081</v>
      </c>
      <c r="GC987" s="443">
        <f t="shared" si="1652"/>
        <v>36.247905315862894</v>
      </c>
      <c r="GD987" s="443">
        <f t="shared" si="1652"/>
        <v>53.680754194829888</v>
      </c>
      <c r="GE987" s="443">
        <f t="shared" si="1652"/>
        <v>50.823533909731886</v>
      </c>
      <c r="GF987" s="443">
        <f t="shared" si="1652"/>
        <v>54.358792407878894</v>
      </c>
      <c r="GG987" s="443">
        <f t="shared" si="1652"/>
        <v>59.080995569218892</v>
      </c>
      <c r="GH987" s="443">
        <f t="shared" si="1652"/>
        <v>127.01112217822589</v>
      </c>
      <c r="HN987" s="363"/>
      <c r="HO987" s="447" t="s">
        <v>594</v>
      </c>
      <c r="HP987" s="447"/>
      <c r="HQ987" s="447"/>
      <c r="HR987" s="302">
        <f>HR$818</f>
        <v>369.97105465167897</v>
      </c>
      <c r="HS987" s="302">
        <f>HS$818</f>
        <v>178.99821912352974</v>
      </c>
      <c r="HT987" s="302">
        <f>HT$818</f>
        <v>161.25868398460116</v>
      </c>
      <c r="HU987" s="457">
        <f>HU$818</f>
        <v>340.25690310813093</v>
      </c>
      <c r="HV987" s="307"/>
      <c r="HX987" s="457">
        <f>HX$818</f>
        <v>271.77461085745529</v>
      </c>
      <c r="IA987" s="457">
        <f>IA$818</f>
        <v>306.74917716982901</v>
      </c>
      <c r="ID987" s="457">
        <f>ID$818</f>
        <v>339.06041550615998</v>
      </c>
      <c r="IE987" s="457"/>
      <c r="IF987" s="457"/>
      <c r="IG987" s="457">
        <f>IG$818</f>
        <v>448.00399623378166</v>
      </c>
      <c r="IH987" s="457"/>
      <c r="II987" s="457"/>
      <c r="IJ987" s="457">
        <f>IJ$818</f>
        <v>547.79889337836607</v>
      </c>
      <c r="IK987" s="457"/>
      <c r="IL987" s="457"/>
      <c r="IM987" s="457">
        <f>IM$818</f>
        <v>685.31836062930893</v>
      </c>
      <c r="IN987" s="457"/>
      <c r="IO987" s="457">
        <f>IO$818</f>
        <v>381.20310357574834</v>
      </c>
      <c r="IP987" s="457">
        <f>IP$818</f>
        <v>788.70905168233003</v>
      </c>
      <c r="IQ987" s="457">
        <f>IQ$818</f>
        <v>335.02994673110743</v>
      </c>
      <c r="IR987" s="457">
        <f>IR$818</f>
        <v>436.44070825118888</v>
      </c>
      <c r="IS987" s="457"/>
      <c r="IT987" s="457"/>
      <c r="IU987" s="457"/>
      <c r="IV987" s="457"/>
      <c r="IW987" s="457"/>
      <c r="IX987" s="457"/>
      <c r="IY987" s="457"/>
      <c r="KI987" s="363"/>
      <c r="KJ987" s="364"/>
      <c r="KM987" s="302">
        <f>KM$818</f>
        <v>0</v>
      </c>
      <c r="KN987" s="302">
        <f>KN$818</f>
        <v>0</v>
      </c>
      <c r="KO987" s="302">
        <f>KO$818</f>
        <v>0</v>
      </c>
      <c r="KP987" s="302">
        <f>KP$818</f>
        <v>0</v>
      </c>
    </row>
    <row r="988" spans="1:302">
      <c r="A988" s="302"/>
      <c r="B988" s="117" t="s">
        <v>361</v>
      </c>
      <c r="D988" s="447" t="str">
        <f>D$822</f>
        <v>Domestically financed</v>
      </c>
      <c r="E988" s="443">
        <f>E$822</f>
        <v>0</v>
      </c>
      <c r="F988" s="443">
        <f t="shared" ref="F988:L988" si="1653">F$822</f>
        <v>0</v>
      </c>
      <c r="G988" s="443">
        <f t="shared" si="1653"/>
        <v>0</v>
      </c>
      <c r="H988" s="443">
        <f t="shared" si="1653"/>
        <v>0</v>
      </c>
      <c r="I988" s="443">
        <f t="shared" si="1653"/>
        <v>0</v>
      </c>
      <c r="J988" s="443">
        <f t="shared" si="1653"/>
        <v>0</v>
      </c>
      <c r="K988" s="443">
        <f t="shared" si="1653"/>
        <v>0</v>
      </c>
      <c r="L988" s="443">
        <f t="shared" si="1653"/>
        <v>0</v>
      </c>
      <c r="M988" s="443">
        <f t="shared" ref="M988:AW988" si="1654">M$822</f>
        <v>0</v>
      </c>
      <c r="N988" s="443">
        <f t="shared" si="1654"/>
        <v>0</v>
      </c>
      <c r="O988" s="443">
        <f t="shared" si="1654"/>
        <v>0</v>
      </c>
      <c r="P988" s="443">
        <f t="shared" si="1654"/>
        <v>0</v>
      </c>
      <c r="Q988" s="443">
        <f t="shared" si="1654"/>
        <v>0</v>
      </c>
      <c r="R988" s="443">
        <f t="shared" si="1654"/>
        <v>0</v>
      </c>
      <c r="S988" s="443">
        <f t="shared" si="1654"/>
        <v>0</v>
      </c>
      <c r="T988" s="443">
        <f t="shared" si="1654"/>
        <v>0</v>
      </c>
      <c r="U988" s="443">
        <f t="shared" si="1654"/>
        <v>0</v>
      </c>
      <c r="V988" s="443">
        <f t="shared" si="1654"/>
        <v>0</v>
      </c>
      <c r="W988" s="443">
        <f t="shared" si="1654"/>
        <v>0</v>
      </c>
      <c r="X988" s="443">
        <f t="shared" si="1654"/>
        <v>0</v>
      </c>
      <c r="Y988" s="443">
        <f t="shared" si="1654"/>
        <v>0</v>
      </c>
      <c r="Z988" s="443">
        <f t="shared" si="1654"/>
        <v>0</v>
      </c>
      <c r="AA988" s="443">
        <f t="shared" si="1654"/>
        <v>0</v>
      </c>
      <c r="AB988" s="443">
        <f t="shared" si="1654"/>
        <v>0</v>
      </c>
      <c r="AC988" s="443">
        <f t="shared" si="1654"/>
        <v>0</v>
      </c>
      <c r="AD988" s="443">
        <f t="shared" si="1654"/>
        <v>0</v>
      </c>
      <c r="AE988" s="443">
        <f t="shared" si="1654"/>
        <v>0</v>
      </c>
      <c r="AF988" s="443">
        <f t="shared" si="1654"/>
        <v>0</v>
      </c>
      <c r="AG988" s="443">
        <f t="shared" si="1654"/>
        <v>0</v>
      </c>
      <c r="AH988" s="443">
        <f t="shared" si="1654"/>
        <v>0</v>
      </c>
      <c r="AI988" s="443">
        <f t="shared" si="1654"/>
        <v>0</v>
      </c>
      <c r="AJ988" s="443">
        <f t="shared" si="1654"/>
        <v>0</v>
      </c>
      <c r="AK988" s="443">
        <f t="shared" si="1654"/>
        <v>0</v>
      </c>
      <c r="AL988" s="443">
        <f t="shared" si="1654"/>
        <v>0</v>
      </c>
      <c r="AM988" s="443">
        <f t="shared" si="1654"/>
        <v>0</v>
      </c>
      <c r="AN988" s="443">
        <f t="shared" si="1654"/>
        <v>0</v>
      </c>
      <c r="AO988" s="443">
        <f t="shared" si="1654"/>
        <v>0</v>
      </c>
      <c r="AP988" s="443">
        <f t="shared" si="1654"/>
        <v>0</v>
      </c>
      <c r="AQ988" s="443">
        <f t="shared" si="1654"/>
        <v>0</v>
      </c>
      <c r="AR988" s="443">
        <f t="shared" si="1654"/>
        <v>0</v>
      </c>
      <c r="AS988" s="443">
        <f t="shared" si="1654"/>
        <v>0</v>
      </c>
      <c r="AT988" s="443">
        <f t="shared" si="1654"/>
        <v>0</v>
      </c>
      <c r="AU988" s="443">
        <f t="shared" si="1654"/>
        <v>0</v>
      </c>
      <c r="AV988" s="443">
        <f t="shared" si="1654"/>
        <v>0</v>
      </c>
      <c r="AW988" s="443">
        <f t="shared" si="1654"/>
        <v>0</v>
      </c>
      <c r="AX988" s="443">
        <f t="shared" ref="AX988:BP988" si="1655">AX$822</f>
        <v>0</v>
      </c>
      <c r="AY988" s="443">
        <f t="shared" si="1655"/>
        <v>0</v>
      </c>
      <c r="AZ988" s="443">
        <f t="shared" si="1655"/>
        <v>0</v>
      </c>
      <c r="BA988" s="443">
        <f t="shared" si="1655"/>
        <v>0</v>
      </c>
      <c r="BB988" s="443">
        <f t="shared" si="1655"/>
        <v>0</v>
      </c>
      <c r="BC988" s="443">
        <f t="shared" si="1655"/>
        <v>0</v>
      </c>
      <c r="BD988" s="443">
        <f t="shared" si="1655"/>
        <v>0</v>
      </c>
      <c r="BE988" s="443">
        <f t="shared" si="1655"/>
        <v>0</v>
      </c>
      <c r="BF988" s="443">
        <f t="shared" si="1655"/>
        <v>0</v>
      </c>
      <c r="BG988" s="443">
        <f t="shared" si="1655"/>
        <v>4.8124256818000006</v>
      </c>
      <c r="BH988" s="443">
        <f t="shared" si="1655"/>
        <v>11.60506516907</v>
      </c>
      <c r="BI988" s="443">
        <f t="shared" si="1655"/>
        <v>14.97865360904</v>
      </c>
      <c r="BJ988" s="443">
        <f t="shared" si="1655"/>
        <v>27.030733145999999</v>
      </c>
      <c r="BK988" s="443">
        <f t="shared" si="1655"/>
        <v>15.140683768000001</v>
      </c>
      <c r="BL988" s="443">
        <f t="shared" si="1655"/>
        <v>7.4367065990000008</v>
      </c>
      <c r="BM988" s="443">
        <f t="shared" si="1655"/>
        <v>18.373572579000001</v>
      </c>
      <c r="BN988" s="443">
        <f t="shared" si="1655"/>
        <v>10.851172992</v>
      </c>
      <c r="BO988" s="443">
        <f t="shared" si="1655"/>
        <v>9.5369914072199986</v>
      </c>
      <c r="BP988" s="443">
        <f t="shared" si="1655"/>
        <v>27.330570633840001</v>
      </c>
      <c r="BQ988" s="443">
        <f t="shared" ref="BQ988:EB988" si="1656">BQ$822</f>
        <v>42.304308950940005</v>
      </c>
      <c r="BR988" s="443">
        <f t="shared" si="1656"/>
        <v>6.3525195425600005</v>
      </c>
      <c r="BS988" s="443">
        <f t="shared" si="1656"/>
        <v>9.2269242130000002</v>
      </c>
      <c r="BT988" s="443">
        <f t="shared" si="1656"/>
        <v>15.565815836000001</v>
      </c>
      <c r="BU988" s="443">
        <f t="shared" si="1656"/>
        <v>11.015463515</v>
      </c>
      <c r="BV988" s="443">
        <f t="shared" si="1656"/>
        <v>38.70378821485</v>
      </c>
      <c r="BW988" s="443">
        <f t="shared" si="1656"/>
        <v>20.110647266000001</v>
      </c>
      <c r="BX988" s="443">
        <f t="shared" si="1656"/>
        <v>3.8061774380000002</v>
      </c>
      <c r="BY988" s="443">
        <f t="shared" si="1656"/>
        <v>19.101827502419997</v>
      </c>
      <c r="BZ988" s="443">
        <f t="shared" si="1656"/>
        <v>18.12392500696</v>
      </c>
      <c r="CA988" s="443">
        <f t="shared" si="1656"/>
        <v>15.148308796</v>
      </c>
      <c r="CB988" s="443">
        <f t="shared" si="1656"/>
        <v>45.977102401389999</v>
      </c>
      <c r="CC988" s="443">
        <f t="shared" si="1656"/>
        <v>31.759695228169996</v>
      </c>
      <c r="CD988" s="444">
        <f t="shared" si="1656"/>
        <v>22.441475633349999</v>
      </c>
      <c r="CE988" s="443">
        <f t="shared" si="1656"/>
        <v>10.526452686000001</v>
      </c>
      <c r="CF988" s="443">
        <f t="shared" si="1656"/>
        <v>15.109569805</v>
      </c>
      <c r="CG988" s="443">
        <f t="shared" si="1656"/>
        <v>15.141310662</v>
      </c>
      <c r="CH988" s="443">
        <f t="shared" si="1656"/>
        <v>24.206214788</v>
      </c>
      <c r="CI988" s="443">
        <f t="shared" si="1656"/>
        <v>17.467736775000002</v>
      </c>
      <c r="CJ988" s="443">
        <f t="shared" si="1656"/>
        <v>11.073881504999999</v>
      </c>
      <c r="CK988" s="443">
        <f t="shared" si="1656"/>
        <v>21.884380947</v>
      </c>
      <c r="CL988" s="443">
        <f t="shared" si="1656"/>
        <v>18.32118797</v>
      </c>
      <c r="CM988" s="443">
        <f t="shared" si="1656"/>
        <v>23.854194408000001</v>
      </c>
      <c r="CN988" s="443">
        <f t="shared" si="1656"/>
        <v>28.932555223999998</v>
      </c>
      <c r="CO988" s="443">
        <f t="shared" si="1656"/>
        <v>51.464723008</v>
      </c>
      <c r="CP988" s="446">
        <f t="shared" si="1656"/>
        <v>35.421020681000002</v>
      </c>
      <c r="CQ988" s="443">
        <f t="shared" si="1656"/>
        <v>11.76803075493056</v>
      </c>
      <c r="CR988" s="443">
        <f t="shared" si="1656"/>
        <v>18.361679120999998</v>
      </c>
      <c r="CS988" s="443">
        <f t="shared" si="1656"/>
        <v>22.843350313999998</v>
      </c>
      <c r="CT988" s="443">
        <f t="shared" si="1656"/>
        <v>16.358613350000002</v>
      </c>
      <c r="CU988" s="443">
        <f t="shared" si="1656"/>
        <v>15.843995942999999</v>
      </c>
      <c r="CV988" s="443">
        <f t="shared" si="1656"/>
        <v>14.463915152</v>
      </c>
      <c r="CW988" s="443">
        <f t="shared" si="1656"/>
        <v>27.784603081</v>
      </c>
      <c r="CX988" s="443">
        <f t="shared" si="1656"/>
        <v>21.432819065</v>
      </c>
      <c r="CY988" s="443">
        <f t="shared" si="1656"/>
        <v>30.363084206</v>
      </c>
      <c r="CZ988" s="443">
        <f t="shared" si="1656"/>
        <v>47.542389496000006</v>
      </c>
      <c r="DA988" s="443">
        <f t="shared" si="1656"/>
        <v>36.940702246376965</v>
      </c>
      <c r="DB988" s="1520">
        <f t="shared" si="1656"/>
        <v>32.153853196</v>
      </c>
      <c r="DC988" s="443">
        <f t="shared" si="1656"/>
        <v>7.699206792</v>
      </c>
      <c r="DD988" s="443">
        <f t="shared" si="1656"/>
        <v>16.413068342999999</v>
      </c>
      <c r="DE988" s="443">
        <f t="shared" si="1656"/>
        <v>35.627985338000009</v>
      </c>
      <c r="DF988" s="443">
        <f t="shared" si="1656"/>
        <v>36.570868179999998</v>
      </c>
      <c r="DG988" s="443">
        <f t="shared" si="1656"/>
        <v>16.263246383000002</v>
      </c>
      <c r="DH988" s="443">
        <f t="shared" si="1656"/>
        <v>11.049905589</v>
      </c>
      <c r="DI988" s="443">
        <f t="shared" si="1656"/>
        <v>46.698605737000001</v>
      </c>
      <c r="DJ988" s="443">
        <f t="shared" si="1656"/>
        <v>25.370697211</v>
      </c>
      <c r="DK988" s="443">
        <f t="shared" si="1656"/>
        <v>23.205804473999997</v>
      </c>
      <c r="DL988" s="443">
        <f t="shared" si="1656"/>
        <v>40.797149785000002</v>
      </c>
      <c r="DM988" s="443">
        <f t="shared" si="1656"/>
        <v>59.219738081000003</v>
      </c>
      <c r="DN988" s="446">
        <f t="shared" si="1656"/>
        <v>26.74629178</v>
      </c>
      <c r="DO988" s="443">
        <f t="shared" si="1656"/>
        <v>13.413084467999999</v>
      </c>
      <c r="DP988" s="443">
        <f t="shared" si="1656"/>
        <v>21.419977733</v>
      </c>
      <c r="DQ988" s="443">
        <f t="shared" si="1656"/>
        <v>17.814269811999999</v>
      </c>
      <c r="DR988" s="443">
        <f t="shared" si="1656"/>
        <v>24.8299138</v>
      </c>
      <c r="DS988" s="443">
        <f t="shared" si="1656"/>
        <v>27.434504454000002</v>
      </c>
      <c r="DT988" s="443">
        <f t="shared" si="1656"/>
        <v>16.106640577</v>
      </c>
      <c r="DU988" s="443">
        <f t="shared" si="1656"/>
        <v>40.220250265000004</v>
      </c>
      <c r="DV988" s="443">
        <f t="shared" si="1656"/>
        <v>20.301798274999999</v>
      </c>
      <c r="DW988" s="443">
        <f t="shared" si="1656"/>
        <v>16.703672267000002</v>
      </c>
      <c r="DX988" s="443">
        <f t="shared" si="1656"/>
        <v>34.381703754</v>
      </c>
      <c r="DY988" s="443">
        <f t="shared" si="1656"/>
        <v>43.791754669999996</v>
      </c>
      <c r="DZ988" s="446">
        <f t="shared" si="1656"/>
        <v>23.698941349999998</v>
      </c>
      <c r="EA988" s="443">
        <f t="shared" si="1656"/>
        <v>7.0390087609999998</v>
      </c>
      <c r="EB988" s="443">
        <f t="shared" si="1656"/>
        <v>29.930735841999997</v>
      </c>
      <c r="EC988" s="443">
        <f t="shared" ref="EC988:GH988" si="1657">EC$822</f>
        <v>28.334890032000001</v>
      </c>
      <c r="ED988" s="443">
        <f t="shared" si="1657"/>
        <v>27.536695631999997</v>
      </c>
      <c r="EE988" s="443">
        <f t="shared" si="1657"/>
        <v>22.374099096999998</v>
      </c>
      <c r="EF988" s="443">
        <f t="shared" si="1657"/>
        <v>16.740895622</v>
      </c>
      <c r="EG988" s="443">
        <f t="shared" si="1657"/>
        <v>55.057142225</v>
      </c>
      <c r="EH988" s="443">
        <f t="shared" si="1657"/>
        <v>21.274305705</v>
      </c>
      <c r="EI988" s="443">
        <f t="shared" si="1657"/>
        <v>26.485121561</v>
      </c>
      <c r="EJ988" s="443">
        <f t="shared" si="1657"/>
        <v>29.823325992000001</v>
      </c>
      <c r="EK988" s="443">
        <f t="shared" si="1657"/>
        <v>58.054600934999996</v>
      </c>
      <c r="EL988" s="446">
        <f t="shared" si="1657"/>
        <v>19.057433251999999</v>
      </c>
      <c r="EM988" s="443">
        <f t="shared" si="1657"/>
        <v>25.460867822000001</v>
      </c>
      <c r="EN988" s="443">
        <f t="shared" si="1657"/>
        <v>25.384496069000001</v>
      </c>
      <c r="EO988" s="443">
        <f t="shared" si="1657"/>
        <v>27.454722879999998</v>
      </c>
      <c r="EP988" s="443">
        <f t="shared" si="1657"/>
        <v>37.240783912000005</v>
      </c>
      <c r="EQ988" s="443">
        <f t="shared" si="1657"/>
        <v>26.761320949000002</v>
      </c>
      <c r="ER988" s="443">
        <f t="shared" si="1657"/>
        <v>37.710009473999996</v>
      </c>
      <c r="ES988" s="443">
        <f t="shared" si="1657"/>
        <v>42.990286253000001</v>
      </c>
      <c r="ET988" s="443">
        <f t="shared" si="1657"/>
        <v>45.763296858000004</v>
      </c>
      <c r="EU988" s="443">
        <f t="shared" si="1657"/>
        <v>35.748736557000001</v>
      </c>
      <c r="EV988" s="443">
        <f t="shared" si="1657"/>
        <v>54.869003861000003</v>
      </c>
      <c r="EW988" s="443">
        <f t="shared" si="1657"/>
        <v>78.276147252000001</v>
      </c>
      <c r="EX988" s="446">
        <f t="shared" si="1657"/>
        <v>29.014297797000001</v>
      </c>
      <c r="EY988" s="443">
        <f t="shared" si="1657"/>
        <v>37.467885670999998</v>
      </c>
      <c r="EZ988" s="443">
        <f t="shared" si="1657"/>
        <v>39.451502786000006</v>
      </c>
      <c r="FA988" s="443">
        <f t="shared" si="1657"/>
        <v>48.433684837999998</v>
      </c>
      <c r="FB988" s="443">
        <f t="shared" si="1657"/>
        <v>42.281539246999998</v>
      </c>
      <c r="FC988" s="443">
        <f t="shared" si="1657"/>
        <v>41.602428701999997</v>
      </c>
      <c r="FD988" s="443">
        <f t="shared" si="1657"/>
        <v>31.945720539</v>
      </c>
      <c r="FE988" s="443">
        <f t="shared" si="1657"/>
        <v>35.485007250999999</v>
      </c>
      <c r="FF988" s="443">
        <f t="shared" si="1657"/>
        <v>40.073490468000003</v>
      </c>
      <c r="FG988" s="443">
        <f t="shared" si="1657"/>
        <v>29.438954741</v>
      </c>
      <c r="FH988" s="443">
        <f t="shared" si="1657"/>
        <v>39.993022592000003</v>
      </c>
      <c r="FI988" s="443">
        <f t="shared" si="1657"/>
        <v>64.253409435999998</v>
      </c>
      <c r="FJ988" s="446">
        <f t="shared" si="1657"/>
        <v>34.872384849999996</v>
      </c>
      <c r="FK988" s="443">
        <f t="shared" si="1657"/>
        <v>36.244246215000004</v>
      </c>
      <c r="FL988" s="443">
        <f t="shared" si="1657"/>
        <v>30.388938072999998</v>
      </c>
      <c r="FM988" s="443">
        <f t="shared" si="1657"/>
        <v>32.798715348999998</v>
      </c>
      <c r="FN988" s="443">
        <f t="shared" si="1657"/>
        <v>42.276793343999998</v>
      </c>
      <c r="FO988" s="443">
        <f t="shared" si="1657"/>
        <v>38.236603162999998</v>
      </c>
      <c r="FP988" s="443">
        <f t="shared" si="1657"/>
        <v>85.751569892999996</v>
      </c>
      <c r="FQ988" s="443">
        <f t="shared" si="1657"/>
        <v>80.119229920999999</v>
      </c>
      <c r="FR988" s="443">
        <f t="shared" si="1657"/>
        <v>48.986533313999999</v>
      </c>
      <c r="FS988" s="443">
        <f t="shared" si="1657"/>
        <v>38.835669125500004</v>
      </c>
      <c r="FT988" s="443">
        <f t="shared" si="1657"/>
        <v>47.047556499999999</v>
      </c>
      <c r="FU988" s="443">
        <f t="shared" si="1657"/>
        <v>74.043017501499989</v>
      </c>
      <c r="FV988" s="446">
        <f t="shared" si="1657"/>
        <v>14.809122674999999</v>
      </c>
      <c r="FW988" s="443">
        <f t="shared" si="1657"/>
        <v>21.499991579</v>
      </c>
      <c r="FX988" s="443">
        <f t="shared" si="1657"/>
        <v>26.040309391000001</v>
      </c>
      <c r="FY988" s="443">
        <f t="shared" si="1657"/>
        <v>60.757177644999999</v>
      </c>
      <c r="FZ988" s="443">
        <f t="shared" si="1657"/>
        <v>85.854329884999999</v>
      </c>
      <c r="GA988" s="443">
        <f t="shared" si="1657"/>
        <v>45.169855757999997</v>
      </c>
      <c r="GB988" s="443">
        <f t="shared" si="1657"/>
        <v>118.78286667399999</v>
      </c>
      <c r="GC988" s="443">
        <f t="shared" si="1657"/>
        <v>105.848004573</v>
      </c>
      <c r="GD988" s="443">
        <f t="shared" si="1657"/>
        <v>65.074581762999799</v>
      </c>
      <c r="GE988" s="443">
        <f t="shared" si="1657"/>
        <v>87.507377880000092</v>
      </c>
      <c r="GF988" s="443">
        <f t="shared" si="1657"/>
        <v>75.868959872000005</v>
      </c>
      <c r="GG988" s="443">
        <f t="shared" si="1657"/>
        <v>64.692209547999994</v>
      </c>
      <c r="GH988" s="443">
        <f t="shared" si="1657"/>
        <v>47.373694473</v>
      </c>
      <c r="HN988" s="363"/>
      <c r="HO988" s="447" t="s">
        <v>595</v>
      </c>
      <c r="HP988" s="447"/>
      <c r="HQ988" s="447"/>
      <c r="HR988" s="302">
        <f>HR$822</f>
        <v>273.40322845899999</v>
      </c>
      <c r="HS988" s="302">
        <f>HS$822</f>
        <v>99.639584634930557</v>
      </c>
      <c r="HT988" s="302">
        <f>HT$822</f>
        <v>196.21745129037697</v>
      </c>
      <c r="HU988" s="457">
        <f>HU$822</f>
        <v>295.85703592530751</v>
      </c>
      <c r="HV988" s="307"/>
      <c r="HX988" s="457">
        <f>HX$822</f>
        <v>345.66256769300003</v>
      </c>
      <c r="IA988" s="457">
        <f>IA$822</f>
        <v>300.116511425</v>
      </c>
      <c r="ID988" s="457">
        <f>ID$822</f>
        <v>341.70825465600001</v>
      </c>
      <c r="IE988" s="457"/>
      <c r="IF988" s="457"/>
      <c r="IG988" s="457">
        <f>IG$822</f>
        <v>466.67396968400004</v>
      </c>
      <c r="IH988" s="457"/>
      <c r="II988" s="457"/>
      <c r="IJ988" s="457">
        <f>IJ$822</f>
        <v>485.29903112100004</v>
      </c>
      <c r="IK988" s="457"/>
      <c r="IL988" s="457"/>
      <c r="IM988" s="457">
        <f>IM$822</f>
        <v>569.53799507400004</v>
      </c>
      <c r="IN988" s="457"/>
      <c r="IO988" s="457">
        <f>IO$822</f>
        <v>446.36482810899992</v>
      </c>
      <c r="IP988" s="457">
        <f>IP$822</f>
        <v>804.46935904099996</v>
      </c>
      <c r="IQ988" s="457">
        <f>IQ$822</f>
        <v>320.03263746687998</v>
      </c>
      <c r="IR988" s="457">
        <f>IR$822</f>
        <v>426.92092170858325</v>
      </c>
      <c r="IS988" s="457"/>
      <c r="IT988" s="457"/>
      <c r="IU988" s="457"/>
      <c r="IV988" s="457"/>
      <c r="IW988" s="457"/>
      <c r="IX988" s="457"/>
      <c r="IY988" s="457"/>
      <c r="KI988" s="363"/>
      <c r="KJ988" s="364"/>
      <c r="KM988" s="302">
        <f>KM$822</f>
        <v>0</v>
      </c>
      <c r="KN988" s="302">
        <f>KN$822</f>
        <v>0</v>
      </c>
      <c r="KO988" s="302">
        <f>KO$822</f>
        <v>0</v>
      </c>
      <c r="KP988" s="302">
        <f>KP$822</f>
        <v>0</v>
      </c>
    </row>
    <row r="989" spans="1:302">
      <c r="B989" s="117" t="s">
        <v>361</v>
      </c>
      <c r="D989" s="442" t="str">
        <f>D$833</f>
        <v>Net lending (+) / borrowing (-) {deficit/Surplus}</v>
      </c>
      <c r="E989" s="443"/>
      <c r="F989" s="443"/>
      <c r="G989" s="443"/>
      <c r="H989" s="443"/>
      <c r="I989" s="443"/>
      <c r="J989" s="443"/>
      <c r="K989" s="443"/>
      <c r="L989" s="443"/>
      <c r="M989" s="443"/>
      <c r="N989" s="443"/>
      <c r="O989" s="443"/>
      <c r="P989" s="443"/>
      <c r="Q989" s="443"/>
      <c r="R989" s="443"/>
      <c r="S989" s="443"/>
      <c r="T989" s="443"/>
      <c r="U989" s="443"/>
      <c r="V989" s="443"/>
      <c r="W989" s="443"/>
      <c r="X989" s="443"/>
      <c r="Y989" s="443"/>
      <c r="Z989" s="443"/>
      <c r="AA989" s="443"/>
      <c r="AB989" s="443"/>
      <c r="AC989" s="443"/>
      <c r="AD989" s="443"/>
      <c r="AE989" s="443"/>
      <c r="AF989" s="443"/>
      <c r="AG989" s="443"/>
      <c r="AH989" s="443"/>
      <c r="AI989" s="443"/>
      <c r="AJ989" s="443"/>
      <c r="AK989" s="443"/>
      <c r="AL989" s="443"/>
      <c r="AM989" s="443"/>
      <c r="AN989" s="443"/>
      <c r="AO989" s="443"/>
      <c r="AP989" s="443"/>
      <c r="AQ989" s="443"/>
      <c r="AR989" s="443"/>
      <c r="AS989" s="443"/>
      <c r="AT989" s="443"/>
      <c r="AU989" s="443"/>
      <c r="AV989" s="443"/>
      <c r="AW989" s="443"/>
      <c r="AX989" s="443"/>
      <c r="AY989" s="443"/>
      <c r="AZ989" s="443"/>
      <c r="BA989" s="443"/>
      <c r="BB989" s="443"/>
      <c r="BC989" s="443"/>
      <c r="BD989" s="443"/>
      <c r="BE989" s="443"/>
      <c r="BF989" s="443"/>
      <c r="BG989" s="443"/>
      <c r="BH989" s="443"/>
      <c r="BI989" s="443"/>
      <c r="BJ989" s="443"/>
      <c r="BK989" s="443"/>
      <c r="BL989" s="443"/>
      <c r="BM989" s="443"/>
      <c r="BN989" s="443"/>
      <c r="BO989" s="443"/>
      <c r="BP989" s="443"/>
      <c r="BQ989" s="443"/>
      <c r="BR989" s="443"/>
      <c r="BS989" s="443"/>
      <c r="BT989" s="443"/>
      <c r="BU989" s="443"/>
      <c r="BV989" s="443"/>
      <c r="BW989" s="443"/>
      <c r="BX989" s="443"/>
      <c r="BY989" s="443"/>
      <c r="BZ989" s="443"/>
      <c r="CA989" s="443"/>
      <c r="CB989" s="443"/>
      <c r="CC989" s="443"/>
      <c r="CD989" s="444"/>
      <c r="CE989" s="443"/>
      <c r="CF989" s="443"/>
      <c r="CG989" s="443"/>
      <c r="CH989" s="443"/>
      <c r="CI989" s="443"/>
      <c r="CJ989" s="443"/>
      <c r="CK989" s="443"/>
      <c r="CL989" s="443"/>
      <c r="CM989" s="443"/>
      <c r="CN989" s="443"/>
      <c r="CO989" s="443"/>
      <c r="CP989" s="446"/>
      <c r="CQ989" s="443"/>
      <c r="CR989" s="443"/>
      <c r="CS989" s="443"/>
      <c r="CT989" s="443"/>
      <c r="CU989" s="443"/>
      <c r="CV989" s="443"/>
      <c r="CW989" s="443"/>
      <c r="CX989" s="443"/>
      <c r="CY989" s="443"/>
      <c r="CZ989" s="443"/>
      <c r="DA989" s="443"/>
      <c r="DB989" s="1520"/>
      <c r="DC989" s="443"/>
      <c r="DD989" s="443"/>
      <c r="DE989" s="443"/>
      <c r="DF989" s="443"/>
      <c r="DG989" s="443"/>
      <c r="DH989" s="443"/>
      <c r="DI989" s="443"/>
      <c r="DJ989" s="443"/>
      <c r="DK989" s="443"/>
      <c r="DL989" s="443"/>
      <c r="DM989" s="443"/>
      <c r="DN989" s="446"/>
      <c r="DO989" s="443"/>
      <c r="DP989" s="443"/>
      <c r="DQ989" s="443"/>
      <c r="DR989" s="443"/>
      <c r="DS989" s="443"/>
      <c r="DT989" s="443"/>
      <c r="DU989" s="443"/>
      <c r="DV989" s="443"/>
      <c r="DW989" s="443"/>
      <c r="DX989" s="443"/>
      <c r="DY989" s="443"/>
      <c r="DZ989" s="446"/>
      <c r="EA989" s="443"/>
      <c r="EB989" s="443"/>
      <c r="EC989" s="443"/>
      <c r="ED989" s="443"/>
      <c r="EE989" s="443"/>
      <c r="EF989" s="443"/>
      <c r="EG989" s="443"/>
      <c r="EH989" s="443"/>
      <c r="EI989" s="443"/>
      <c r="EJ989" s="443"/>
      <c r="EK989" s="443"/>
      <c r="EL989" s="446"/>
      <c r="EM989" s="443"/>
      <c r="EN989" s="443"/>
      <c r="EO989" s="443"/>
      <c r="EP989" s="443"/>
      <c r="EQ989" s="443"/>
      <c r="ER989" s="443"/>
      <c r="ES989" s="443"/>
      <c r="ET989" s="443"/>
      <c r="EU989" s="443"/>
      <c r="EV989" s="443"/>
      <c r="EW989" s="443"/>
      <c r="EX989" s="446"/>
      <c r="EY989" s="443"/>
      <c r="EZ989" s="443"/>
      <c r="FA989" s="443"/>
      <c r="FB989" s="443"/>
      <c r="FC989" s="443"/>
      <c r="FD989" s="443"/>
      <c r="FE989" s="443"/>
      <c r="FF989" s="443"/>
      <c r="FG989" s="443"/>
      <c r="FH989" s="443"/>
      <c r="FI989" s="443"/>
      <c r="FJ989" s="446"/>
      <c r="FK989" s="443"/>
      <c r="FL989" s="443"/>
      <c r="FM989" s="443"/>
      <c r="FN989" s="443"/>
      <c r="FO989" s="443"/>
      <c r="FP989" s="443"/>
      <c r="FQ989" s="443"/>
      <c r="FR989" s="443"/>
      <c r="FS989" s="443"/>
      <c r="FT989" s="443"/>
      <c r="FU989" s="443"/>
      <c r="FV989" s="446"/>
      <c r="FW989" s="443"/>
      <c r="FX989" s="443"/>
      <c r="FY989" s="443"/>
      <c r="FZ989" s="443"/>
      <c r="GA989" s="443"/>
      <c r="GB989" s="443"/>
      <c r="GC989" s="443"/>
      <c r="GD989" s="443"/>
      <c r="GE989" s="443"/>
      <c r="GF989" s="443"/>
      <c r="GG989" s="443"/>
      <c r="GH989" s="443"/>
      <c r="HN989" s="363"/>
      <c r="HO989" s="442" t="s">
        <v>3104</v>
      </c>
      <c r="HP989" s="442"/>
      <c r="HQ989" s="442"/>
      <c r="HU989" s="457"/>
      <c r="HV989" s="307"/>
      <c r="HX989" s="457"/>
      <c r="IA989" s="457"/>
      <c r="ID989" s="457"/>
      <c r="IE989" s="457"/>
      <c r="IF989" s="457"/>
      <c r="IG989" s="457"/>
      <c r="IH989" s="457"/>
      <c r="II989" s="457"/>
      <c r="IJ989" s="457"/>
      <c r="IK989" s="457"/>
      <c r="IL989" s="457"/>
      <c r="IM989" s="457"/>
      <c r="IN989" s="457"/>
      <c r="IO989" s="457"/>
      <c r="IP989" s="457"/>
      <c r="IQ989" s="457"/>
      <c r="IR989" s="457"/>
      <c r="IS989" s="457"/>
      <c r="IT989" s="457"/>
      <c r="IU989" s="457"/>
      <c r="IV989" s="457"/>
      <c r="IW989" s="457"/>
      <c r="IX989" s="457"/>
      <c r="IY989" s="457"/>
      <c r="KI989" s="363"/>
      <c r="KJ989" s="364"/>
    </row>
    <row r="990" spans="1:302">
      <c r="B990" s="117" t="s">
        <v>361</v>
      </c>
      <c r="D990" s="438" t="str">
        <f>D$834</f>
        <v>including grants</v>
      </c>
      <c r="E990" s="439">
        <f>E$834</f>
        <v>0</v>
      </c>
      <c r="F990" s="439">
        <f t="shared" ref="F990:L990" si="1658">F$834</f>
        <v>0</v>
      </c>
      <c r="G990" s="439">
        <f t="shared" si="1658"/>
        <v>0</v>
      </c>
      <c r="H990" s="439">
        <f t="shared" si="1658"/>
        <v>0</v>
      </c>
      <c r="I990" s="439">
        <f t="shared" si="1658"/>
        <v>0</v>
      </c>
      <c r="J990" s="439">
        <f t="shared" si="1658"/>
        <v>0</v>
      </c>
      <c r="K990" s="439">
        <f t="shared" si="1658"/>
        <v>0</v>
      </c>
      <c r="L990" s="439">
        <f t="shared" si="1658"/>
        <v>0</v>
      </c>
      <c r="M990" s="439">
        <f t="shared" ref="M990:AW990" si="1659">M$834</f>
        <v>0</v>
      </c>
      <c r="N990" s="439">
        <f t="shared" si="1659"/>
        <v>0</v>
      </c>
      <c r="O990" s="439">
        <f t="shared" si="1659"/>
        <v>0</v>
      </c>
      <c r="P990" s="439">
        <f t="shared" si="1659"/>
        <v>0</v>
      </c>
      <c r="Q990" s="439">
        <f t="shared" si="1659"/>
        <v>0</v>
      </c>
      <c r="R990" s="439">
        <f t="shared" si="1659"/>
        <v>0</v>
      </c>
      <c r="S990" s="439">
        <f t="shared" si="1659"/>
        <v>0</v>
      </c>
      <c r="T990" s="439">
        <f t="shared" si="1659"/>
        <v>0</v>
      </c>
      <c r="U990" s="439">
        <f t="shared" si="1659"/>
        <v>0</v>
      </c>
      <c r="V990" s="439">
        <f t="shared" si="1659"/>
        <v>0</v>
      </c>
      <c r="W990" s="439">
        <f t="shared" si="1659"/>
        <v>0</v>
      </c>
      <c r="X990" s="439">
        <f t="shared" si="1659"/>
        <v>0</v>
      </c>
      <c r="Y990" s="439">
        <f t="shared" si="1659"/>
        <v>0</v>
      </c>
      <c r="Z990" s="439">
        <f t="shared" si="1659"/>
        <v>0</v>
      </c>
      <c r="AA990" s="439">
        <f t="shared" si="1659"/>
        <v>0</v>
      </c>
      <c r="AB990" s="439">
        <f t="shared" si="1659"/>
        <v>0</v>
      </c>
      <c r="AC990" s="439">
        <f t="shared" si="1659"/>
        <v>0</v>
      </c>
      <c r="AD990" s="439">
        <f t="shared" si="1659"/>
        <v>0</v>
      </c>
      <c r="AE990" s="439">
        <f t="shared" si="1659"/>
        <v>0</v>
      </c>
      <c r="AF990" s="439">
        <f t="shared" si="1659"/>
        <v>0</v>
      </c>
      <c r="AG990" s="439">
        <f t="shared" si="1659"/>
        <v>0</v>
      </c>
      <c r="AH990" s="439">
        <f t="shared" si="1659"/>
        <v>0</v>
      </c>
      <c r="AI990" s="439">
        <f t="shared" si="1659"/>
        <v>0</v>
      </c>
      <c r="AJ990" s="439">
        <f t="shared" si="1659"/>
        <v>0</v>
      </c>
      <c r="AK990" s="439">
        <f t="shared" si="1659"/>
        <v>0</v>
      </c>
      <c r="AL990" s="439">
        <f t="shared" si="1659"/>
        <v>0</v>
      </c>
      <c r="AM990" s="439">
        <f t="shared" si="1659"/>
        <v>0</v>
      </c>
      <c r="AN990" s="439">
        <f t="shared" si="1659"/>
        <v>0</v>
      </c>
      <c r="AO990" s="439">
        <f t="shared" si="1659"/>
        <v>49.400217065693496</v>
      </c>
      <c r="AP990" s="439">
        <f t="shared" si="1659"/>
        <v>25.622571089368499</v>
      </c>
      <c r="AQ990" s="439">
        <f t="shared" si="1659"/>
        <v>49.377613606619597</v>
      </c>
      <c r="AR990" s="439">
        <f t="shared" si="1659"/>
        <v>47.635893483708863</v>
      </c>
      <c r="AS990" s="439">
        <f t="shared" si="1659"/>
        <v>35.294126524572633</v>
      </c>
      <c r="AT990" s="439">
        <f t="shared" si="1659"/>
        <v>142.50100410549555</v>
      </c>
      <c r="AU990" s="439">
        <f t="shared" si="1659"/>
        <v>35.926838502372902</v>
      </c>
      <c r="AV990" s="439">
        <f t="shared" si="1659"/>
        <v>37.058652320060034</v>
      </c>
      <c r="AW990" s="439">
        <f t="shared" si="1659"/>
        <v>97.305234257372689</v>
      </c>
      <c r="AX990" s="439">
        <f t="shared" ref="AX990:BP990" si="1660">AX$834</f>
        <v>64.11043239519249</v>
      </c>
      <c r="AY990" s="439">
        <f t="shared" si="1660"/>
        <v>39.182231080533917</v>
      </c>
      <c r="AZ990" s="439">
        <f t="shared" si="1660"/>
        <v>75.782830687742262</v>
      </c>
      <c r="BA990" s="439">
        <f t="shared" si="1660"/>
        <v>33.091572293166763</v>
      </c>
      <c r="BB990" s="439">
        <f t="shared" si="1660"/>
        <v>33.18907983741984</v>
      </c>
      <c r="BC990" s="439">
        <f t="shared" si="1660"/>
        <v>38.956923720701269</v>
      </c>
      <c r="BD990" s="439">
        <f t="shared" si="1660"/>
        <v>114.95957863109896</v>
      </c>
      <c r="BE990" s="439">
        <f t="shared" si="1660"/>
        <v>35.166646755218636</v>
      </c>
      <c r="BF990" s="439">
        <f t="shared" si="1660"/>
        <v>66.692662215191731</v>
      </c>
      <c r="BG990" s="439">
        <f t="shared" si="1660"/>
        <v>20.388145502762562</v>
      </c>
      <c r="BH990" s="439">
        <f t="shared" si="1660"/>
        <v>-9.2078320636189943</v>
      </c>
      <c r="BI990" s="439">
        <f t="shared" si="1660"/>
        <v>13.092948375074222</v>
      </c>
      <c r="BJ990" s="439">
        <f t="shared" si="1660"/>
        <v>-26.440108551884734</v>
      </c>
      <c r="BK990" s="439">
        <f t="shared" si="1660"/>
        <v>-29.224930722817902</v>
      </c>
      <c r="BL990" s="439">
        <f t="shared" si="1660"/>
        <v>84.410162341847666</v>
      </c>
      <c r="BM990" s="439">
        <f t="shared" si="1660"/>
        <v>-44.958651826957109</v>
      </c>
      <c r="BN990" s="439">
        <f t="shared" si="1660"/>
        <v>-18.908860436826735</v>
      </c>
      <c r="BO990" s="439">
        <f t="shared" si="1660"/>
        <v>19.037651689046292</v>
      </c>
      <c r="BP990" s="439">
        <f t="shared" si="1660"/>
        <v>-69.812806269244192</v>
      </c>
      <c r="BQ990" s="439">
        <f t="shared" ref="BQ990:EB990" si="1661">BQ$834</f>
        <v>-63.979123292294858</v>
      </c>
      <c r="BR990" s="439">
        <f t="shared" si="1661"/>
        <v>65.15532343998423</v>
      </c>
      <c r="BS990" s="439">
        <f t="shared" si="1661"/>
        <v>6.0694768288844614</v>
      </c>
      <c r="BT990" s="439">
        <f t="shared" si="1661"/>
        <v>-26.352133359487432</v>
      </c>
      <c r="BU990" s="439">
        <f t="shared" si="1661"/>
        <v>18.472697623059339</v>
      </c>
      <c r="BV990" s="439">
        <f t="shared" si="1661"/>
        <v>-16.695729181569973</v>
      </c>
      <c r="BW990" s="439">
        <f t="shared" si="1661"/>
        <v>-29.343123673461093</v>
      </c>
      <c r="BX990" s="439">
        <f t="shared" si="1661"/>
        <v>26.670872886249363</v>
      </c>
      <c r="BY990" s="439">
        <f t="shared" si="1661"/>
        <v>-30.293054584938016</v>
      </c>
      <c r="BZ990" s="439">
        <f t="shared" si="1661"/>
        <v>-33.240856614792129</v>
      </c>
      <c r="CA990" s="439">
        <f t="shared" si="1661"/>
        <v>35.902338399363416</v>
      </c>
      <c r="CB990" s="439">
        <f t="shared" si="1661"/>
        <v>-48.338747381329469</v>
      </c>
      <c r="CC990" s="439">
        <f t="shared" si="1661"/>
        <v>-74.416872919694569</v>
      </c>
      <c r="CD990" s="440">
        <f t="shared" si="1661"/>
        <v>-34.433830394705687</v>
      </c>
      <c r="CE990" s="439">
        <f t="shared" si="1661"/>
        <v>-26.76185212157538</v>
      </c>
      <c r="CF990" s="439">
        <f t="shared" si="1661"/>
        <v>-5.2596285925837307</v>
      </c>
      <c r="CG990" s="439">
        <f t="shared" si="1661"/>
        <v>35.609336685156919</v>
      </c>
      <c r="CH990" s="439">
        <f t="shared" si="1661"/>
        <v>-52.968378472524918</v>
      </c>
      <c r="CI990" s="439">
        <f t="shared" si="1661"/>
        <v>-17.980203433658978</v>
      </c>
      <c r="CJ990" s="439">
        <f t="shared" si="1661"/>
        <v>49.28227589094034</v>
      </c>
      <c r="CK990" s="439">
        <f t="shared" si="1661"/>
        <v>-65.473311290370461</v>
      </c>
      <c r="CL990" s="439">
        <f t="shared" si="1661"/>
        <v>-19.423014050475096</v>
      </c>
      <c r="CM990" s="439">
        <f t="shared" si="1661"/>
        <v>2.0856531782861225</v>
      </c>
      <c r="CN990" s="439">
        <f t="shared" si="1661"/>
        <v>-81.689248869119439</v>
      </c>
      <c r="CO990" s="439">
        <f t="shared" si="1661"/>
        <v>-55.931871386335885</v>
      </c>
      <c r="CP990" s="441">
        <f t="shared" si="1661"/>
        <v>30.861111029611408</v>
      </c>
      <c r="CQ990" s="439">
        <f t="shared" si="1661"/>
        <v>-36.660895445730844</v>
      </c>
      <c r="CR990" s="439">
        <f t="shared" si="1661"/>
        <v>-33.413483721185813</v>
      </c>
      <c r="CS990" s="439">
        <f t="shared" si="1661"/>
        <v>-11.297947430122164</v>
      </c>
      <c r="CT990" s="439">
        <f t="shared" si="1661"/>
        <v>-35.939222771696421</v>
      </c>
      <c r="CU990" s="439">
        <f t="shared" si="1661"/>
        <v>-30.996157782083145</v>
      </c>
      <c r="CV990" s="439">
        <f t="shared" si="1661"/>
        <v>63.525107592475962</v>
      </c>
      <c r="CW990" s="439">
        <f t="shared" si="1661"/>
        <v>-49.081097385674973</v>
      </c>
      <c r="CX990" s="439">
        <f t="shared" si="1661"/>
        <v>-19.389191516231058</v>
      </c>
      <c r="CY990" s="439">
        <f t="shared" si="1661"/>
        <v>11.952094492553186</v>
      </c>
      <c r="CZ990" s="439">
        <f t="shared" si="1661"/>
        <v>-83.271125193451383</v>
      </c>
      <c r="DA990" s="439">
        <f t="shared" si="1661"/>
        <v>-19.203788652399552</v>
      </c>
      <c r="DB990" s="1521">
        <f t="shared" si="1661"/>
        <v>39.164246564318063</v>
      </c>
      <c r="DC990" s="439">
        <f t="shared" si="1661"/>
        <v>-34.559898150377805</v>
      </c>
      <c r="DD990" s="439">
        <f t="shared" si="1661"/>
        <v>-32.057409682394436</v>
      </c>
      <c r="DE990" s="439">
        <f t="shared" si="1661"/>
        <v>-0.36450229184924865</v>
      </c>
      <c r="DF990" s="439">
        <f t="shared" si="1661"/>
        <v>-93.316707287972179</v>
      </c>
      <c r="DG990" s="439">
        <f t="shared" si="1661"/>
        <v>2.0104248696506346</v>
      </c>
      <c r="DH990" s="439">
        <f t="shared" si="1661"/>
        <v>36.171101518363777</v>
      </c>
      <c r="DI990" s="439">
        <f t="shared" si="1661"/>
        <v>-95.95068740524087</v>
      </c>
      <c r="DJ990" s="439">
        <f t="shared" si="1661"/>
        <v>-28.479734629944204</v>
      </c>
      <c r="DK990" s="439">
        <f t="shared" si="1661"/>
        <v>25.753921366478885</v>
      </c>
      <c r="DL990" s="439">
        <f t="shared" si="1661"/>
        <v>-40.805174851373948</v>
      </c>
      <c r="DM990" s="439">
        <f t="shared" si="1661"/>
        <v>-56.648422676147888</v>
      </c>
      <c r="DN990" s="441">
        <f t="shared" si="1661"/>
        <v>95.530471863579933</v>
      </c>
      <c r="DO990" s="439">
        <f t="shared" si="1661"/>
        <v>-66.391955290268811</v>
      </c>
      <c r="DP990" s="439">
        <f t="shared" si="1661"/>
        <v>-49.909525582735967</v>
      </c>
      <c r="DQ990" s="439">
        <f t="shared" si="1661"/>
        <v>17.330118199163351</v>
      </c>
      <c r="DR990" s="439">
        <f t="shared" si="1661"/>
        <v>-103.02723104005034</v>
      </c>
      <c r="DS990" s="439">
        <f t="shared" si="1661"/>
        <v>-44.797187829234232</v>
      </c>
      <c r="DT990" s="439">
        <f t="shared" si="1661"/>
        <v>43.238860791837858</v>
      </c>
      <c r="DU990" s="439">
        <f t="shared" si="1661"/>
        <v>-76.313294158450759</v>
      </c>
      <c r="DV990" s="439">
        <f t="shared" si="1661"/>
        <v>-43.587020495502784</v>
      </c>
      <c r="DW990" s="439">
        <f t="shared" si="1661"/>
        <v>58.842761051607084</v>
      </c>
      <c r="DX990" s="439">
        <f t="shared" si="1661"/>
        <v>-113.06382371306607</v>
      </c>
      <c r="DY990" s="439">
        <f t="shared" si="1661"/>
        <v>-63.862491039310669</v>
      </c>
      <c r="DZ990" s="441">
        <f t="shared" si="1661"/>
        <v>126.97959588152408</v>
      </c>
      <c r="EA990" s="439">
        <f t="shared" si="1661"/>
        <v>-55.330829106082867</v>
      </c>
      <c r="EB990" s="439">
        <f t="shared" si="1661"/>
        <v>-74.848775694137899</v>
      </c>
      <c r="EC990" s="439">
        <f t="shared" ref="EC990:GH990" si="1662">EC$834</f>
        <v>-34.561944660851339</v>
      </c>
      <c r="ED990" s="439">
        <f t="shared" si="1662"/>
        <v>-47.804985613124238</v>
      </c>
      <c r="EE990" s="439">
        <f t="shared" si="1662"/>
        <v>-22.846575691186708</v>
      </c>
      <c r="EF990" s="439">
        <f t="shared" si="1662"/>
        <v>93.243279803217717</v>
      </c>
      <c r="EG990" s="439">
        <f t="shared" si="1662"/>
        <v>-81.35320584492348</v>
      </c>
      <c r="EH990" s="439">
        <f t="shared" si="1662"/>
        <v>-24.859004179106066</v>
      </c>
      <c r="EI990" s="439">
        <f t="shared" si="1662"/>
        <v>2.7495617302311643</v>
      </c>
      <c r="EJ990" s="439">
        <f t="shared" si="1662"/>
        <v>-0.16899600929852454</v>
      </c>
      <c r="EK990" s="439">
        <f t="shared" si="1662"/>
        <v>-90.688555981181338</v>
      </c>
      <c r="EL990" s="441">
        <f t="shared" si="1662"/>
        <v>39.191597830439719</v>
      </c>
      <c r="EM990" s="439">
        <f t="shared" si="1662"/>
        <v>-41.2450320747406</v>
      </c>
      <c r="EN990" s="439">
        <f t="shared" si="1662"/>
        <v>7.422019092168874</v>
      </c>
      <c r="EO990" s="439">
        <f t="shared" si="1662"/>
        <v>17.707427153892567</v>
      </c>
      <c r="EP990" s="439">
        <f t="shared" si="1662"/>
        <v>-78.118257061342888</v>
      </c>
      <c r="EQ990" s="439">
        <f t="shared" si="1662"/>
        <v>-76.845800526046219</v>
      </c>
      <c r="ER990" s="439">
        <f t="shared" si="1662"/>
        <v>81.217656399050668</v>
      </c>
      <c r="ES990" s="439">
        <f t="shared" si="1662"/>
        <v>-60.266377327107989</v>
      </c>
      <c r="ET990" s="439">
        <f t="shared" si="1662"/>
        <v>-41.160456708597167</v>
      </c>
      <c r="EU990" s="439">
        <f t="shared" si="1662"/>
        <v>-19.680836220710262</v>
      </c>
      <c r="EV990" s="439">
        <f t="shared" si="1662"/>
        <v>-186.73503605876331</v>
      </c>
      <c r="EW990" s="439">
        <f t="shared" si="1662"/>
        <v>-146.11055731892336</v>
      </c>
      <c r="EX990" s="441">
        <f t="shared" si="1662"/>
        <v>27.301063580472629</v>
      </c>
      <c r="EY990" s="439">
        <f t="shared" si="1662"/>
        <v>-59.216367257956648</v>
      </c>
      <c r="EZ990" s="439">
        <f t="shared" si="1662"/>
        <v>-82.319959607727796</v>
      </c>
      <c r="FA990" s="439">
        <f t="shared" si="1662"/>
        <v>-18.098107669984017</v>
      </c>
      <c r="FB990" s="439">
        <f t="shared" si="1662"/>
        <v>-62.561266838505546</v>
      </c>
      <c r="FC990" s="439">
        <f t="shared" si="1662"/>
        <v>-106.06364391905292</v>
      </c>
      <c r="FD990" s="439">
        <f t="shared" si="1662"/>
        <v>37.51269365835077</v>
      </c>
      <c r="FE990" s="439">
        <f t="shared" si="1662"/>
        <v>-56.522321434854447</v>
      </c>
      <c r="FF990" s="439">
        <f t="shared" si="1662"/>
        <v>-85.515491389180781</v>
      </c>
      <c r="FG990" s="439">
        <f t="shared" si="1662"/>
        <v>-85.304897356243018</v>
      </c>
      <c r="FH990" s="439">
        <f t="shared" si="1662"/>
        <v>-58.35522396751179</v>
      </c>
      <c r="FI990" s="439">
        <f t="shared" si="1662"/>
        <v>-213.86257033313089</v>
      </c>
      <c r="FJ990" s="441">
        <f t="shared" si="1662"/>
        <v>49.039345260663907</v>
      </c>
      <c r="FK990" s="439">
        <f t="shared" si="1662"/>
        <v>-264.96794418352499</v>
      </c>
      <c r="FL990" s="439">
        <f t="shared" si="1662"/>
        <v>-114.95851901912394</v>
      </c>
      <c r="FM990" s="439">
        <f t="shared" si="1662"/>
        <v>78.4016167845013</v>
      </c>
      <c r="FN990" s="439">
        <f t="shared" si="1662"/>
        <v>-15.473275464505576</v>
      </c>
      <c r="FO990" s="439">
        <f t="shared" si="1662"/>
        <v>-131.70245408023607</v>
      </c>
      <c r="FP990" s="439">
        <f t="shared" si="1662"/>
        <v>-16.626132025068102</v>
      </c>
      <c r="FQ990" s="439">
        <f t="shared" si="1662"/>
        <v>-87.504129940396297</v>
      </c>
      <c r="FR990" s="439">
        <f t="shared" si="1662"/>
        <v>-92.726807076614648</v>
      </c>
      <c r="FS990" s="439">
        <f t="shared" si="1662"/>
        <v>3.600993323486108</v>
      </c>
      <c r="FT990" s="439">
        <f t="shared" si="1662"/>
        <v>-19.252098963747571</v>
      </c>
      <c r="FU990" s="439">
        <f t="shared" si="1662"/>
        <v>-233.57140353518332</v>
      </c>
      <c r="FV990" s="441">
        <f t="shared" si="1662"/>
        <v>118.7575575858867</v>
      </c>
      <c r="FW990" s="439">
        <f t="shared" si="1662"/>
        <v>-86.757764847063982</v>
      </c>
      <c r="FX990" s="439">
        <f t="shared" si="1662"/>
        <v>-55.126535181717074</v>
      </c>
      <c r="FY990" s="439">
        <f t="shared" si="1662"/>
        <v>-114.4853690854966</v>
      </c>
      <c r="FZ990" s="439">
        <f t="shared" si="1662"/>
        <v>-121.23602056953979</v>
      </c>
      <c r="GA990" s="439">
        <f t="shared" si="1662"/>
        <v>-33.249545396800073</v>
      </c>
      <c r="GB990" s="439">
        <f t="shared" si="1662"/>
        <v>-47.341804396159858</v>
      </c>
      <c r="GC990" s="439">
        <f t="shared" si="1662"/>
        <v>-136.27992244803835</v>
      </c>
      <c r="GD990" s="439">
        <f t="shared" si="1662"/>
        <v>-138.87711470864298</v>
      </c>
      <c r="GE990" s="439">
        <f t="shared" si="1662"/>
        <v>52.948797802354164</v>
      </c>
      <c r="GF990" s="439">
        <f t="shared" si="1662"/>
        <v>-107.55231464362349</v>
      </c>
      <c r="GG990" s="439">
        <f t="shared" si="1662"/>
        <v>-2.0227516473765661</v>
      </c>
      <c r="GH990" s="439">
        <f t="shared" si="1662"/>
        <v>20.223345017978289</v>
      </c>
      <c r="HO990" s="438" t="s">
        <v>592</v>
      </c>
      <c r="HP990" s="438"/>
      <c r="HQ990" s="438"/>
      <c r="HR990" s="302">
        <f>HR$834</f>
        <v>-207.64913143264909</v>
      </c>
      <c r="HS990" s="302">
        <f>HS$834</f>
        <v>-84.782599558342412</v>
      </c>
      <c r="HT990" s="302">
        <f>HT$834</f>
        <v>-119.8288616908857</v>
      </c>
      <c r="HU990" s="457">
        <f>HU$834</f>
        <v>-204.61146124922811</v>
      </c>
      <c r="HV990" s="307"/>
      <c r="HX990" s="457">
        <f>HX$834</f>
        <v>-222.71661735722734</v>
      </c>
      <c r="IA990" s="457">
        <f>IA$834</f>
        <v>-314.56119322448728</v>
      </c>
      <c r="ID990" s="457">
        <f>ID$834</f>
        <v>-297.27843341600385</v>
      </c>
      <c r="IE990" s="457"/>
      <c r="IF990" s="457"/>
      <c r="IG990" s="457">
        <f>IG$834</f>
        <v>-516.51418707064704</v>
      </c>
      <c r="IH990" s="457"/>
      <c r="II990" s="457"/>
      <c r="IJ990" s="457">
        <f>IJ$834</f>
        <v>-741.26781085513312</v>
      </c>
      <c r="IK990" s="457"/>
      <c r="IL990" s="457"/>
      <c r="IM990" s="457">
        <f>IM$834</f>
        <v>-776.02259659452648</v>
      </c>
      <c r="IN990" s="457"/>
      <c r="IO990" s="457">
        <f>IO$834</f>
        <v>-311.55996062734891</v>
      </c>
      <c r="IP990" s="457">
        <f>IP$834</f>
        <v>-769.75700010412629</v>
      </c>
      <c r="IQ990" s="457">
        <f>IQ$834</f>
        <v>-486.02476901290061</v>
      </c>
      <c r="IR990" s="457">
        <f>IR$834</f>
        <v>-489.5268947326224</v>
      </c>
      <c r="IS990" s="457"/>
      <c r="IT990" s="457"/>
      <c r="IU990" s="457"/>
      <c r="IV990" s="457"/>
      <c r="IW990" s="457"/>
      <c r="IX990" s="457"/>
      <c r="IY990" s="457"/>
      <c r="KM990" s="302">
        <f>KM$834</f>
        <v>0</v>
      </c>
      <c r="KN990" s="302">
        <f>KN$834</f>
        <v>0</v>
      </c>
      <c r="KO990" s="302">
        <f>KO$834</f>
        <v>0</v>
      </c>
      <c r="KP990" s="302">
        <f>KP$834</f>
        <v>0</v>
      </c>
    </row>
    <row r="991" spans="1:302">
      <c r="B991" s="117" t="s">
        <v>361</v>
      </c>
      <c r="D991" s="438" t="str">
        <f>D$835</f>
        <v>excluding grants</v>
      </c>
      <c r="E991" s="439">
        <f>E$835</f>
        <v>0</v>
      </c>
      <c r="F991" s="439">
        <f t="shared" ref="F991:L991" si="1663">F$835</f>
        <v>0</v>
      </c>
      <c r="G991" s="439">
        <f t="shared" si="1663"/>
        <v>0</v>
      </c>
      <c r="H991" s="439">
        <f t="shared" si="1663"/>
        <v>0</v>
      </c>
      <c r="I991" s="439">
        <f t="shared" si="1663"/>
        <v>0</v>
      </c>
      <c r="J991" s="439">
        <f t="shared" si="1663"/>
        <v>0</v>
      </c>
      <c r="K991" s="439">
        <f t="shared" si="1663"/>
        <v>0</v>
      </c>
      <c r="L991" s="439">
        <f t="shared" si="1663"/>
        <v>0</v>
      </c>
      <c r="M991" s="439">
        <f t="shared" ref="M991:AW991" si="1664">M$835</f>
        <v>0</v>
      </c>
      <c r="N991" s="439">
        <f t="shared" si="1664"/>
        <v>0</v>
      </c>
      <c r="O991" s="439">
        <f t="shared" si="1664"/>
        <v>0</v>
      </c>
      <c r="P991" s="439">
        <f t="shared" si="1664"/>
        <v>0</v>
      </c>
      <c r="Q991" s="439">
        <f t="shared" si="1664"/>
        <v>0</v>
      </c>
      <c r="R991" s="439">
        <f t="shared" si="1664"/>
        <v>0</v>
      </c>
      <c r="S991" s="439">
        <f t="shared" si="1664"/>
        <v>0</v>
      </c>
      <c r="T991" s="439">
        <f t="shared" si="1664"/>
        <v>0</v>
      </c>
      <c r="U991" s="439">
        <f t="shared" si="1664"/>
        <v>0</v>
      </c>
      <c r="V991" s="439">
        <f t="shared" si="1664"/>
        <v>0</v>
      </c>
      <c r="W991" s="439">
        <f t="shared" si="1664"/>
        <v>0</v>
      </c>
      <c r="X991" s="439">
        <f t="shared" si="1664"/>
        <v>0</v>
      </c>
      <c r="Y991" s="439">
        <f t="shared" si="1664"/>
        <v>0</v>
      </c>
      <c r="Z991" s="439">
        <f t="shared" si="1664"/>
        <v>0</v>
      </c>
      <c r="AA991" s="439">
        <f t="shared" si="1664"/>
        <v>0</v>
      </c>
      <c r="AB991" s="439">
        <f t="shared" si="1664"/>
        <v>0</v>
      </c>
      <c r="AC991" s="439">
        <f t="shared" si="1664"/>
        <v>0</v>
      </c>
      <c r="AD991" s="439">
        <f t="shared" si="1664"/>
        <v>0</v>
      </c>
      <c r="AE991" s="439">
        <f t="shared" si="1664"/>
        <v>0</v>
      </c>
      <c r="AF991" s="439">
        <f t="shared" si="1664"/>
        <v>0</v>
      </c>
      <c r="AG991" s="439">
        <f t="shared" si="1664"/>
        <v>0</v>
      </c>
      <c r="AH991" s="439">
        <f t="shared" si="1664"/>
        <v>0</v>
      </c>
      <c r="AI991" s="439">
        <f t="shared" si="1664"/>
        <v>0</v>
      </c>
      <c r="AJ991" s="439">
        <f t="shared" si="1664"/>
        <v>0</v>
      </c>
      <c r="AK991" s="439">
        <f t="shared" si="1664"/>
        <v>0</v>
      </c>
      <c r="AL991" s="439">
        <f t="shared" si="1664"/>
        <v>0</v>
      </c>
      <c r="AM991" s="439">
        <f t="shared" si="1664"/>
        <v>0</v>
      </c>
      <c r="AN991" s="439">
        <f t="shared" si="1664"/>
        <v>0</v>
      </c>
      <c r="AO991" s="439">
        <f t="shared" si="1664"/>
        <v>27.751015478693496</v>
      </c>
      <c r="AP991" s="439">
        <f t="shared" si="1664"/>
        <v>25.622571089368499</v>
      </c>
      <c r="AQ991" s="439">
        <f t="shared" si="1664"/>
        <v>41.356269326619596</v>
      </c>
      <c r="AR991" s="439">
        <f t="shared" si="1664"/>
        <v>35.054049921708867</v>
      </c>
      <c r="AS991" s="439">
        <f t="shared" si="1664"/>
        <v>26.237433827572634</v>
      </c>
      <c r="AT991" s="439">
        <f t="shared" si="1664"/>
        <v>45.235714580495539</v>
      </c>
      <c r="AU991" s="439">
        <f t="shared" si="1664"/>
        <v>21.566895028554796</v>
      </c>
      <c r="AV991" s="439">
        <f t="shared" si="1664"/>
        <v>29.826142895793659</v>
      </c>
      <c r="AW991" s="439">
        <f t="shared" si="1664"/>
        <v>37.788362814713352</v>
      </c>
      <c r="AX991" s="439">
        <f t="shared" ref="AX991:BP991" si="1665">AX$835</f>
        <v>30.699014929822674</v>
      </c>
      <c r="AY991" s="439">
        <f t="shared" si="1665"/>
        <v>23.137405792028275</v>
      </c>
      <c r="AZ991" s="439">
        <f t="shared" si="1665"/>
        <v>-34.043769182265159</v>
      </c>
      <c r="BA991" s="439">
        <f t="shared" si="1665"/>
        <v>24.289573029073388</v>
      </c>
      <c r="BB991" s="439">
        <f t="shared" si="1665"/>
        <v>22.611793397907704</v>
      </c>
      <c r="BC991" s="439">
        <f t="shared" si="1665"/>
        <v>30.71205744082306</v>
      </c>
      <c r="BD991" s="439">
        <f t="shared" si="1665"/>
        <v>39.609295413114154</v>
      </c>
      <c r="BE991" s="439">
        <f t="shared" si="1665"/>
        <v>25.438634214780624</v>
      </c>
      <c r="BF991" s="439">
        <f t="shared" si="1665"/>
        <v>39.39422964073497</v>
      </c>
      <c r="BG991" s="439">
        <f t="shared" si="1665"/>
        <v>-29.177591169418662</v>
      </c>
      <c r="BH991" s="439">
        <f t="shared" si="1665"/>
        <v>-55.016647985071067</v>
      </c>
      <c r="BI991" s="439">
        <f t="shared" si="1665"/>
        <v>-30.951275242391738</v>
      </c>
      <c r="BJ991" s="439">
        <f t="shared" si="1665"/>
        <v>-112.8246017508427</v>
      </c>
      <c r="BK991" s="439">
        <f t="shared" si="1665"/>
        <v>-47.372881513294679</v>
      </c>
      <c r="BL991" s="439">
        <f t="shared" si="1665"/>
        <v>-2.1946258460406867</v>
      </c>
      <c r="BM991" s="439">
        <f t="shared" si="1665"/>
        <v>-50.972255490850543</v>
      </c>
      <c r="BN991" s="439">
        <f t="shared" si="1665"/>
        <v>-30.550508511711406</v>
      </c>
      <c r="BO991" s="439">
        <f t="shared" si="1665"/>
        <v>2.1697115572681085</v>
      </c>
      <c r="BP991" s="439">
        <f t="shared" si="1665"/>
        <v>-75.241027379812024</v>
      </c>
      <c r="BQ991" s="439">
        <f t="shared" ref="BQ991:EB991" si="1666">BQ$835</f>
        <v>-68.851324063690555</v>
      </c>
      <c r="BR991" s="439">
        <f t="shared" si="1666"/>
        <v>-16.851042965073589</v>
      </c>
      <c r="BS991" s="439">
        <f t="shared" si="1666"/>
        <v>-34.734403259505164</v>
      </c>
      <c r="BT991" s="439">
        <f t="shared" si="1666"/>
        <v>-41.16554281941854</v>
      </c>
      <c r="BU991" s="439">
        <f t="shared" si="1666"/>
        <v>-4.297311638462773</v>
      </c>
      <c r="BV991" s="439">
        <f t="shared" si="1666"/>
        <v>-65.306134557500272</v>
      </c>
      <c r="BW991" s="439">
        <f t="shared" si="1666"/>
        <v>-70.882013851235996</v>
      </c>
      <c r="BX991" s="439">
        <f t="shared" si="1666"/>
        <v>-5.4060295976085087</v>
      </c>
      <c r="BY991" s="439">
        <f t="shared" si="1666"/>
        <v>-30.293060993378756</v>
      </c>
      <c r="BZ991" s="439">
        <f t="shared" si="1666"/>
        <v>-37.191125657413707</v>
      </c>
      <c r="CA991" s="439">
        <f t="shared" si="1666"/>
        <v>13.970274033269082</v>
      </c>
      <c r="CB991" s="439">
        <f t="shared" si="1666"/>
        <v>-86.390736783278712</v>
      </c>
      <c r="CC991" s="439">
        <f t="shared" si="1666"/>
        <v>-124.7756847913459</v>
      </c>
      <c r="CD991" s="440">
        <f t="shared" si="1666"/>
        <v>-77.617756099291512</v>
      </c>
      <c r="CE991" s="439">
        <f t="shared" si="1666"/>
        <v>-58.056348342282078</v>
      </c>
      <c r="CF991" s="439">
        <f t="shared" si="1666"/>
        <v>-44.109106158605542</v>
      </c>
      <c r="CG991" s="439">
        <f t="shared" si="1666"/>
        <v>-40.422364937737576</v>
      </c>
      <c r="CH991" s="439">
        <f t="shared" si="1666"/>
        <v>-101.35119094057451</v>
      </c>
      <c r="CI991" s="439">
        <f t="shared" si="1666"/>
        <v>-53.99293621727243</v>
      </c>
      <c r="CJ991" s="439">
        <f t="shared" si="1666"/>
        <v>-13.561733304974609</v>
      </c>
      <c r="CK991" s="439">
        <f t="shared" si="1666"/>
        <v>-87.842639689051765</v>
      </c>
      <c r="CL991" s="439">
        <f t="shared" si="1666"/>
        <v>-34.793327919947792</v>
      </c>
      <c r="CM991" s="439">
        <f t="shared" si="1666"/>
        <v>-13.174704553559877</v>
      </c>
      <c r="CN991" s="439">
        <f t="shared" si="1666"/>
        <v>-141.9125714926578</v>
      </c>
      <c r="CO991" s="439">
        <f t="shared" si="1666"/>
        <v>-92.543720989746049</v>
      </c>
      <c r="CP991" s="441">
        <f t="shared" si="1666"/>
        <v>-0.20514410885918721</v>
      </c>
      <c r="CQ991" s="439">
        <f t="shared" si="1666"/>
        <v>-71.109328748307775</v>
      </c>
      <c r="CR991" s="439">
        <f t="shared" si="1666"/>
        <v>-54.048820713615669</v>
      </c>
      <c r="CS991" s="439">
        <f t="shared" si="1666"/>
        <v>-43.385894330414885</v>
      </c>
      <c r="CT991" s="439">
        <f t="shared" si="1666"/>
        <v>-63.551257175627526</v>
      </c>
      <c r="CU991" s="439">
        <f t="shared" si="1666"/>
        <v>-68.432840958901437</v>
      </c>
      <c r="CV991" s="439">
        <f t="shared" si="1666"/>
        <v>-25.17383742194653</v>
      </c>
      <c r="CW991" s="439">
        <f t="shared" si="1666"/>
        <v>-68.285262888737407</v>
      </c>
      <c r="CX991" s="439">
        <f t="shared" si="1666"/>
        <v>-40.136139288199416</v>
      </c>
      <c r="CY991" s="439">
        <f t="shared" si="1666"/>
        <v>-23.917021213912534</v>
      </c>
      <c r="CZ991" s="439">
        <f t="shared" si="1666"/>
        <v>-109.25618797589509</v>
      </c>
      <c r="DA991" s="439">
        <f t="shared" si="1666"/>
        <v>-71.128739003604295</v>
      </c>
      <c r="DB991" s="1521">
        <f t="shared" si="1666"/>
        <v>17.886461474634871</v>
      </c>
      <c r="DC991" s="439">
        <f t="shared" si="1666"/>
        <v>-66.512342509465441</v>
      </c>
      <c r="DD991" s="439">
        <f t="shared" si="1666"/>
        <v>-57.234342451896694</v>
      </c>
      <c r="DE991" s="439">
        <f t="shared" si="1666"/>
        <v>-38.097976293942551</v>
      </c>
      <c r="DF991" s="439">
        <f t="shared" si="1666"/>
        <v>-103.94727168432044</v>
      </c>
      <c r="DG991" s="439">
        <f t="shared" si="1666"/>
        <v>-40.231940758164626</v>
      </c>
      <c r="DH991" s="439">
        <f t="shared" si="1666"/>
        <v>-15.686826633592084</v>
      </c>
      <c r="DI991" s="439">
        <f t="shared" si="1666"/>
        <v>-106.04233071017306</v>
      </c>
      <c r="DJ991" s="439">
        <f t="shared" si="1666"/>
        <v>-43.032413333272714</v>
      </c>
      <c r="DK991" s="439">
        <f t="shared" si="1666"/>
        <v>10.450638582680163</v>
      </c>
      <c r="DL991" s="439">
        <f t="shared" si="1666"/>
        <v>-106.09223092025107</v>
      </c>
      <c r="DM991" s="439">
        <f t="shared" si="1666"/>
        <v>-76.174225770617795</v>
      </c>
      <c r="DN991" s="441">
        <f t="shared" si="1666"/>
        <v>46.171039332239587</v>
      </c>
      <c r="DO991" s="439">
        <f t="shared" si="1666"/>
        <v>-99.814399517226263</v>
      </c>
      <c r="DP991" s="439">
        <f t="shared" si="1666"/>
        <v>-68.202161334156656</v>
      </c>
      <c r="DQ991" s="439">
        <f t="shared" si="1666"/>
        <v>4.8560045757169377</v>
      </c>
      <c r="DR991" s="439">
        <f t="shared" si="1666"/>
        <v>-106.56500444037887</v>
      </c>
      <c r="DS991" s="439">
        <f t="shared" si="1666"/>
        <v>-76.150279483463876</v>
      </c>
      <c r="DT991" s="439">
        <f t="shared" si="1666"/>
        <v>-22.897004717252678</v>
      </c>
      <c r="DU991" s="439">
        <f t="shared" si="1666"/>
        <v>-103.22656862575593</v>
      </c>
      <c r="DV991" s="439">
        <f t="shared" si="1666"/>
        <v>-59.343958128577526</v>
      </c>
      <c r="DW991" s="439">
        <f t="shared" si="1666"/>
        <v>38.363471259092506</v>
      </c>
      <c r="DX991" s="439">
        <f t="shared" si="1666"/>
        <v>-131.19249258601553</v>
      </c>
      <c r="DY991" s="439">
        <f t="shared" si="1666"/>
        <v>-75.514079351889208</v>
      </c>
      <c r="DZ991" s="441">
        <f t="shared" si="1666"/>
        <v>54.943195178901291</v>
      </c>
      <c r="EA991" s="439">
        <f t="shared" si="1666"/>
        <v>-89.704857011774635</v>
      </c>
      <c r="EB991" s="439">
        <f t="shared" si="1666"/>
        <v>-94.783938274535643</v>
      </c>
      <c r="EC991" s="439">
        <f t="shared" ref="EC991:GH991" si="1667">EC$835</f>
        <v>-59.904610688761835</v>
      </c>
      <c r="ED991" s="439">
        <f t="shared" si="1667"/>
        <v>-71.151860841190171</v>
      </c>
      <c r="EE991" s="439">
        <f t="shared" si="1667"/>
        <v>-51.194756303937503</v>
      </c>
      <c r="EF991" s="439">
        <f t="shared" si="1667"/>
        <v>29.814900475719348</v>
      </c>
      <c r="EG991" s="439">
        <f t="shared" si="1667"/>
        <v>-128.57786369969864</v>
      </c>
      <c r="EH991" s="439">
        <f t="shared" si="1667"/>
        <v>-40.939750623596225</v>
      </c>
      <c r="EI991" s="439">
        <f t="shared" si="1667"/>
        <v>-34.563037284397581</v>
      </c>
      <c r="EJ991" s="439">
        <f t="shared" si="1667"/>
        <v>-24.657715897849329</v>
      </c>
      <c r="EK991" s="439">
        <f t="shared" si="1667"/>
        <v>-98.824566378551921</v>
      </c>
      <c r="EL991" s="441">
        <f t="shared" si="1667"/>
        <v>8.3009462438597552</v>
      </c>
      <c r="EM991" s="439">
        <f t="shared" si="1667"/>
        <v>-65.168087266251831</v>
      </c>
      <c r="EN991" s="439">
        <f t="shared" si="1667"/>
        <v>-25.590535023843508</v>
      </c>
      <c r="EO991" s="439">
        <f t="shared" si="1667"/>
        <v>-14.452512587807703</v>
      </c>
      <c r="EP991" s="439">
        <f t="shared" si="1667"/>
        <v>-103.83183124009207</v>
      </c>
      <c r="EQ991" s="439">
        <f t="shared" si="1667"/>
        <v>-85.434963428457223</v>
      </c>
      <c r="ER991" s="439">
        <f t="shared" si="1667"/>
        <v>-29.93624498685034</v>
      </c>
      <c r="ES991" s="439">
        <f t="shared" si="1667"/>
        <v>-86.071198484854733</v>
      </c>
      <c r="ET991" s="439">
        <f t="shared" si="1667"/>
        <v>-81.422020935065376</v>
      </c>
      <c r="EU991" s="439">
        <f t="shared" si="1667"/>
        <v>-46.097560698081764</v>
      </c>
      <c r="EV991" s="439">
        <f t="shared" si="1667"/>
        <v>-218.64201132231642</v>
      </c>
      <c r="EW991" s="439">
        <f t="shared" si="1667"/>
        <v>-155.3841386548396</v>
      </c>
      <c r="EX991" s="441">
        <f t="shared" si="1667"/>
        <v>0.76685970159775252</v>
      </c>
      <c r="EY991" s="439">
        <f t="shared" si="1667"/>
        <v>-91.458201113050052</v>
      </c>
      <c r="EZ991" s="439">
        <f t="shared" si="1667"/>
        <v>-101.44030048234198</v>
      </c>
      <c r="FA991" s="439">
        <f t="shared" si="1667"/>
        <v>-60.182875264020254</v>
      </c>
      <c r="FB991" s="439">
        <f t="shared" si="1667"/>
        <v>-79.702279099968777</v>
      </c>
      <c r="FC991" s="439">
        <f t="shared" si="1667"/>
        <v>-134.65526537614778</v>
      </c>
      <c r="FD991" s="439">
        <f t="shared" si="1667"/>
        <v>-43.777500609263996</v>
      </c>
      <c r="FE991" s="439">
        <f t="shared" si="1667"/>
        <v>-75.097099156941894</v>
      </c>
      <c r="FF991" s="439">
        <f t="shared" si="1667"/>
        <v>-126.34511604638755</v>
      </c>
      <c r="FG991" s="439">
        <f t="shared" si="1667"/>
        <v>-108.79029727165108</v>
      </c>
      <c r="FH991" s="439">
        <f t="shared" si="1667"/>
        <v>-101.78965722058271</v>
      </c>
      <c r="FI991" s="439">
        <f t="shared" si="1667"/>
        <v>-239.57359099881288</v>
      </c>
      <c r="FJ991" s="441">
        <f t="shared" si="1667"/>
        <v>-16.014032859831758</v>
      </c>
      <c r="FK991" s="439">
        <f t="shared" si="1667"/>
        <v>-282.98441313600625</v>
      </c>
      <c r="FL991" s="439">
        <f t="shared" si="1667"/>
        <v>-136.99667986854155</v>
      </c>
      <c r="FM991" s="439">
        <f t="shared" si="1667"/>
        <v>-6.713223252341578</v>
      </c>
      <c r="FN991" s="439">
        <f t="shared" si="1667"/>
        <v>-71.269028807069702</v>
      </c>
      <c r="FO991" s="439">
        <f t="shared" si="1667"/>
        <v>-156.29944404316814</v>
      </c>
      <c r="FP991" s="439">
        <f t="shared" si="1667"/>
        <v>-69.569416110449311</v>
      </c>
      <c r="FQ991" s="439">
        <f t="shared" si="1667"/>
        <v>-113.601452277943</v>
      </c>
      <c r="FR991" s="439">
        <f t="shared" si="1667"/>
        <v>-118.82412941416135</v>
      </c>
      <c r="FS991" s="439">
        <f t="shared" si="1667"/>
        <v>-98.374190028299267</v>
      </c>
      <c r="FT991" s="439">
        <f t="shared" si="1667"/>
        <v>-59.344354046411425</v>
      </c>
      <c r="FU991" s="439">
        <f t="shared" si="1667"/>
        <v>-260.11218690339672</v>
      </c>
      <c r="FV991" s="441">
        <f t="shared" si="1667"/>
        <v>36.977753492179801</v>
      </c>
      <c r="FW991" s="439">
        <f t="shared" si="1667"/>
        <v>-112.29458203926244</v>
      </c>
      <c r="FX991" s="439">
        <f t="shared" si="1667"/>
        <v>-123.89568420473832</v>
      </c>
      <c r="FY991" s="439">
        <f t="shared" si="1667"/>
        <v>-148.62634591320631</v>
      </c>
      <c r="FZ991" s="439">
        <f t="shared" si="1667"/>
        <v>-172.82311269530587</v>
      </c>
      <c r="GA991" s="439">
        <f t="shared" si="1667"/>
        <v>-87.40605562055535</v>
      </c>
      <c r="GB991" s="439">
        <f t="shared" si="1667"/>
        <v>-111.86419545508579</v>
      </c>
      <c r="GC991" s="439">
        <f t="shared" si="1667"/>
        <v>-187.65986095749389</v>
      </c>
      <c r="GD991" s="439">
        <f t="shared" si="1667"/>
        <v>-171.77172436164801</v>
      </c>
      <c r="GE991" s="439">
        <f t="shared" si="1667"/>
        <v>-74.664391835422066</v>
      </c>
      <c r="GF991" s="439">
        <f t="shared" si="1667"/>
        <v>-172.19115694801957</v>
      </c>
      <c r="GG991" s="439">
        <f t="shared" si="1667"/>
        <v>-213.42410968497646</v>
      </c>
      <c r="GH991" s="439">
        <f t="shared" si="1667"/>
        <v>-17.320139814693647</v>
      </c>
      <c r="HO991" s="438" t="s">
        <v>593</v>
      </c>
      <c r="HP991" s="438"/>
      <c r="HQ991" s="438"/>
      <c r="HR991" s="302">
        <f>HR$835</f>
        <v>-681.96578865526931</v>
      </c>
      <c r="HS991" s="302">
        <f>HS$835</f>
        <v>-325.70197934881384</v>
      </c>
      <c r="HT991" s="302">
        <f>HT$835</f>
        <v>-294.83688889571386</v>
      </c>
      <c r="HU991" s="457">
        <f>HU$835</f>
        <v>-620.53886824452775</v>
      </c>
      <c r="HV991" s="307"/>
      <c r="HX991" s="457">
        <f>HX$835</f>
        <v>-596.43022315077678</v>
      </c>
      <c r="IA991" s="457">
        <f>IA$835</f>
        <v>-644.74327717100573</v>
      </c>
      <c r="ID991" s="457">
        <f>ID$835</f>
        <v>-656.18711028471432</v>
      </c>
      <c r="IE991" s="457"/>
      <c r="IF991" s="457"/>
      <c r="IG991" s="457">
        <f>IG$835</f>
        <v>-911.26424492686283</v>
      </c>
      <c r="IH991" s="457"/>
      <c r="II991" s="457"/>
      <c r="IJ991" s="457">
        <f>IJ$835</f>
        <v>-1178.8262154990007</v>
      </c>
      <c r="IK991" s="457"/>
      <c r="IL991" s="457"/>
      <c r="IM991" s="457">
        <f>IM$835</f>
        <v>-1337.1107643956084</v>
      </c>
      <c r="IN991" s="457"/>
      <c r="IO991" s="457">
        <f>IO$835</f>
        <v>-837.03138360225364</v>
      </c>
      <c r="IP991" s="457">
        <f>IP$835</f>
        <v>-1593.9413595304077</v>
      </c>
      <c r="IQ991" s="457">
        <f>IQ$835</f>
        <v>-758.67335380745203</v>
      </c>
      <c r="IR991" s="457">
        <f>IR$835</f>
        <v>-928.18555569302293</v>
      </c>
      <c r="IS991" s="457"/>
      <c r="IT991" s="457"/>
      <c r="IU991" s="457"/>
      <c r="IV991" s="457"/>
      <c r="IW991" s="457"/>
      <c r="IX991" s="457"/>
      <c r="IY991" s="457"/>
      <c r="KM991" s="302">
        <f>KM$835</f>
        <v>0</v>
      </c>
      <c r="KN991" s="302">
        <f>KN$835</f>
        <v>0</v>
      </c>
      <c r="KO991" s="302">
        <f>KO$835</f>
        <v>0</v>
      </c>
      <c r="KP991" s="302">
        <f>KP$835</f>
        <v>0</v>
      </c>
    </row>
    <row r="992" spans="1:302">
      <c r="B992" s="117" t="s">
        <v>361</v>
      </c>
      <c r="D992" s="442" t="str">
        <f>D$856</f>
        <v>Net acquisition of financial assets</v>
      </c>
      <c r="E992" s="443">
        <f>E$856</f>
        <v>0</v>
      </c>
      <c r="F992" s="443">
        <f t="shared" ref="F992:L992" si="1668">F$856</f>
        <v>0</v>
      </c>
      <c r="G992" s="443">
        <f t="shared" si="1668"/>
        <v>0</v>
      </c>
      <c r="H992" s="443">
        <f t="shared" si="1668"/>
        <v>0</v>
      </c>
      <c r="I992" s="443">
        <f t="shared" si="1668"/>
        <v>0</v>
      </c>
      <c r="J992" s="443">
        <f t="shared" si="1668"/>
        <v>0</v>
      </c>
      <c r="K992" s="443">
        <f t="shared" si="1668"/>
        <v>0</v>
      </c>
      <c r="L992" s="443">
        <f t="shared" si="1668"/>
        <v>0</v>
      </c>
      <c r="M992" s="443">
        <f t="shared" ref="M992:AW992" si="1669">M$856</f>
        <v>0</v>
      </c>
      <c r="N992" s="443">
        <f t="shared" si="1669"/>
        <v>0</v>
      </c>
      <c r="O992" s="443">
        <f t="shared" si="1669"/>
        <v>0</v>
      </c>
      <c r="P992" s="443">
        <f t="shared" si="1669"/>
        <v>0</v>
      </c>
      <c r="Q992" s="443">
        <f t="shared" si="1669"/>
        <v>0</v>
      </c>
      <c r="R992" s="443">
        <f t="shared" si="1669"/>
        <v>0</v>
      </c>
      <c r="S992" s="443">
        <f t="shared" si="1669"/>
        <v>0</v>
      </c>
      <c r="T992" s="443">
        <f t="shared" si="1669"/>
        <v>0</v>
      </c>
      <c r="U992" s="443">
        <f t="shared" si="1669"/>
        <v>0</v>
      </c>
      <c r="V992" s="443">
        <f t="shared" si="1669"/>
        <v>0</v>
      </c>
      <c r="W992" s="443">
        <f t="shared" si="1669"/>
        <v>0</v>
      </c>
      <c r="X992" s="443">
        <f t="shared" si="1669"/>
        <v>0</v>
      </c>
      <c r="Y992" s="443">
        <f t="shared" si="1669"/>
        <v>0</v>
      </c>
      <c r="Z992" s="443">
        <f t="shared" si="1669"/>
        <v>0</v>
      </c>
      <c r="AA992" s="443">
        <f t="shared" si="1669"/>
        <v>0</v>
      </c>
      <c r="AB992" s="443">
        <f t="shared" si="1669"/>
        <v>0</v>
      </c>
      <c r="AC992" s="443">
        <f t="shared" si="1669"/>
        <v>0</v>
      </c>
      <c r="AD992" s="443">
        <f t="shared" si="1669"/>
        <v>0</v>
      </c>
      <c r="AE992" s="443">
        <f t="shared" si="1669"/>
        <v>0</v>
      </c>
      <c r="AF992" s="443">
        <f t="shared" si="1669"/>
        <v>0</v>
      </c>
      <c r="AG992" s="443">
        <f t="shared" si="1669"/>
        <v>0</v>
      </c>
      <c r="AH992" s="443">
        <f t="shared" si="1669"/>
        <v>0</v>
      </c>
      <c r="AI992" s="443">
        <f t="shared" si="1669"/>
        <v>0</v>
      </c>
      <c r="AJ992" s="443">
        <f t="shared" si="1669"/>
        <v>0</v>
      </c>
      <c r="AK992" s="443">
        <f t="shared" si="1669"/>
        <v>0</v>
      </c>
      <c r="AL992" s="443">
        <f t="shared" si="1669"/>
        <v>0</v>
      </c>
      <c r="AM992" s="443">
        <f t="shared" si="1669"/>
        <v>0</v>
      </c>
      <c r="AN992" s="443">
        <f t="shared" si="1669"/>
        <v>0</v>
      </c>
      <c r="AO992" s="443">
        <f t="shared" si="1669"/>
        <v>0</v>
      </c>
      <c r="AP992" s="443">
        <f t="shared" si="1669"/>
        <v>0</v>
      </c>
      <c r="AQ992" s="443">
        <f t="shared" si="1669"/>
        <v>0</v>
      </c>
      <c r="AR992" s="443">
        <f t="shared" si="1669"/>
        <v>0</v>
      </c>
      <c r="AS992" s="443">
        <f t="shared" si="1669"/>
        <v>0</v>
      </c>
      <c r="AT992" s="443">
        <f t="shared" si="1669"/>
        <v>0</v>
      </c>
      <c r="AU992" s="443">
        <f t="shared" si="1669"/>
        <v>0</v>
      </c>
      <c r="AV992" s="443">
        <f t="shared" si="1669"/>
        <v>0</v>
      </c>
      <c r="AW992" s="443">
        <f t="shared" si="1669"/>
        <v>0</v>
      </c>
      <c r="AX992" s="443">
        <f t="shared" ref="AX992:BP992" si="1670">AX$856</f>
        <v>0</v>
      </c>
      <c r="AY992" s="443">
        <f t="shared" si="1670"/>
        <v>0</v>
      </c>
      <c r="AZ992" s="443">
        <f t="shared" si="1670"/>
        <v>0</v>
      </c>
      <c r="BA992" s="443">
        <f t="shared" si="1670"/>
        <v>0</v>
      </c>
      <c r="BB992" s="443">
        <f t="shared" si="1670"/>
        <v>0</v>
      </c>
      <c r="BC992" s="443">
        <f t="shared" si="1670"/>
        <v>0</v>
      </c>
      <c r="BD992" s="443">
        <f t="shared" si="1670"/>
        <v>0</v>
      </c>
      <c r="BE992" s="443">
        <f t="shared" si="1670"/>
        <v>0</v>
      </c>
      <c r="BF992" s="443">
        <f t="shared" si="1670"/>
        <v>0</v>
      </c>
      <c r="BG992" s="443">
        <f t="shared" si="1670"/>
        <v>0</v>
      </c>
      <c r="BH992" s="443">
        <f t="shared" si="1670"/>
        <v>0</v>
      </c>
      <c r="BI992" s="443">
        <f t="shared" si="1670"/>
        <v>0</v>
      </c>
      <c r="BJ992" s="443">
        <f t="shared" si="1670"/>
        <v>0</v>
      </c>
      <c r="BK992" s="443">
        <f t="shared" si="1670"/>
        <v>0</v>
      </c>
      <c r="BL992" s="443">
        <f t="shared" si="1670"/>
        <v>0</v>
      </c>
      <c r="BM992" s="443">
        <f t="shared" si="1670"/>
        <v>0</v>
      </c>
      <c r="BN992" s="443">
        <f t="shared" si="1670"/>
        <v>0</v>
      </c>
      <c r="BO992" s="443">
        <f t="shared" si="1670"/>
        <v>0</v>
      </c>
      <c r="BP992" s="443">
        <f t="shared" si="1670"/>
        <v>0</v>
      </c>
      <c r="BQ992" s="443">
        <f t="shared" ref="BQ992:EB992" si="1671">BQ$856</f>
        <v>0</v>
      </c>
      <c r="BR992" s="443">
        <f t="shared" si="1671"/>
        <v>0</v>
      </c>
      <c r="BS992" s="443">
        <f t="shared" si="1671"/>
        <v>0</v>
      </c>
      <c r="BT992" s="443">
        <f t="shared" si="1671"/>
        <v>0</v>
      </c>
      <c r="BU992" s="443">
        <f t="shared" si="1671"/>
        <v>0</v>
      </c>
      <c r="BV992" s="443">
        <f t="shared" si="1671"/>
        <v>0</v>
      </c>
      <c r="BW992" s="443">
        <f t="shared" si="1671"/>
        <v>0</v>
      </c>
      <c r="BX992" s="443">
        <f t="shared" si="1671"/>
        <v>0</v>
      </c>
      <c r="BY992" s="443">
        <f t="shared" si="1671"/>
        <v>0</v>
      </c>
      <c r="BZ992" s="443">
        <f t="shared" si="1671"/>
        <v>0</v>
      </c>
      <c r="CA992" s="443">
        <f t="shared" si="1671"/>
        <v>0</v>
      </c>
      <c r="CB992" s="443">
        <f t="shared" si="1671"/>
        <v>0</v>
      </c>
      <c r="CC992" s="443">
        <f t="shared" si="1671"/>
        <v>0</v>
      </c>
      <c r="CD992" s="444">
        <f t="shared" si="1671"/>
        <v>0</v>
      </c>
      <c r="CE992" s="443">
        <f t="shared" si="1671"/>
        <v>6.9172833290000426</v>
      </c>
      <c r="CF992" s="443">
        <f t="shared" si="1671"/>
        <v>0.83358785699993732</v>
      </c>
      <c r="CG992" s="443">
        <f t="shared" si="1671"/>
        <v>18.765479859000035</v>
      </c>
      <c r="CH992" s="443">
        <f t="shared" si="1671"/>
        <v>15.635324646000015</v>
      </c>
      <c r="CI992" s="443">
        <f t="shared" si="1671"/>
        <v>-8.3810874069999954</v>
      </c>
      <c r="CJ992" s="443">
        <f t="shared" si="1671"/>
        <v>18.858713064999961</v>
      </c>
      <c r="CK992" s="443">
        <f t="shared" si="1671"/>
        <v>-27.16729655594267</v>
      </c>
      <c r="CL992" s="443">
        <f t="shared" si="1671"/>
        <v>-28.512868685252101</v>
      </c>
      <c r="CM992" s="443">
        <f t="shared" si="1671"/>
        <v>-3.943191748377993</v>
      </c>
      <c r="CN992" s="443">
        <f t="shared" si="1671"/>
        <v>-15.598618122839355</v>
      </c>
      <c r="CO992" s="443">
        <f t="shared" si="1671"/>
        <v>8.2661012485531078</v>
      </c>
      <c r="CP992" s="446">
        <f t="shared" si="1671"/>
        <v>-50.985312666269827</v>
      </c>
      <c r="CQ992" s="443">
        <f t="shared" si="1671"/>
        <v>-36.71231483296112</v>
      </c>
      <c r="CR992" s="443">
        <f t="shared" si="1671"/>
        <v>6.0564876716809755</v>
      </c>
      <c r="CS992" s="443">
        <f t="shared" si="1671"/>
        <v>0.24889954428293093</v>
      </c>
      <c r="CT992" s="443">
        <f t="shared" si="1671"/>
        <v>-3.236720825950091</v>
      </c>
      <c r="CU992" s="443">
        <f t="shared" si="1671"/>
        <v>0.65324416649547723</v>
      </c>
      <c r="CV992" s="443">
        <f t="shared" si="1671"/>
        <v>86.75130560186048</v>
      </c>
      <c r="CW992" s="443">
        <f t="shared" si="1671"/>
        <v>-9.2731324024067145</v>
      </c>
      <c r="CX992" s="443">
        <f t="shared" si="1671"/>
        <v>39.321639286877286</v>
      </c>
      <c r="CY992" s="443">
        <f t="shared" si="1671"/>
        <v>-15.458830137553322</v>
      </c>
      <c r="CZ992" s="443">
        <f t="shared" si="1671"/>
        <v>-20.78863218766784</v>
      </c>
      <c r="DA992" s="443">
        <f t="shared" si="1671"/>
        <v>-7.7543217702998817</v>
      </c>
      <c r="DB992" s="1520">
        <f t="shared" si="1671"/>
        <v>-21.513148332484011</v>
      </c>
      <c r="DC992" s="443">
        <f t="shared" si="1671"/>
        <v>15.883404467701894</v>
      </c>
      <c r="DD992" s="443">
        <f t="shared" si="1671"/>
        <v>26.277996405852996</v>
      </c>
      <c r="DE992" s="443">
        <f t="shared" si="1671"/>
        <v>38.546195793687737</v>
      </c>
      <c r="DF992" s="443">
        <f t="shared" si="1671"/>
        <v>-44.805756938958524</v>
      </c>
      <c r="DG992" s="443">
        <f t="shared" si="1671"/>
        <v>14.454375347402552</v>
      </c>
      <c r="DH992" s="443">
        <f t="shared" si="1671"/>
        <v>71.148963665332133</v>
      </c>
      <c r="DI992" s="443">
        <f t="shared" si="1671"/>
        <v>-32.020802547511629</v>
      </c>
      <c r="DJ992" s="443">
        <f t="shared" si="1671"/>
        <v>22.292049056584904</v>
      </c>
      <c r="DK992" s="443">
        <f t="shared" si="1671"/>
        <v>13.33445852484299</v>
      </c>
      <c r="DL992" s="443">
        <f t="shared" si="1671"/>
        <v>2.9614427844896496</v>
      </c>
      <c r="DM992" s="443">
        <f t="shared" si="1671"/>
        <v>-5.1853966666743077</v>
      </c>
      <c r="DN992" s="446">
        <f t="shared" si="1671"/>
        <v>-43.533358384783384</v>
      </c>
      <c r="DO992" s="443">
        <f t="shared" si="1671"/>
        <v>24.120642784941868</v>
      </c>
      <c r="DP992" s="443">
        <f t="shared" si="1671"/>
        <v>18.127784417416297</v>
      </c>
      <c r="DQ992" s="443">
        <f t="shared" si="1671"/>
        <v>17.170359247220375</v>
      </c>
      <c r="DR992" s="443">
        <f t="shared" si="1671"/>
        <v>-6.1952806868556278</v>
      </c>
      <c r="DS992" s="443">
        <f t="shared" si="1671"/>
        <v>3.4810884754780602</v>
      </c>
      <c r="DT992" s="443">
        <f t="shared" si="1671"/>
        <v>24.266188011040384</v>
      </c>
      <c r="DU992" s="443">
        <f t="shared" si="1671"/>
        <v>17.014690429328425</v>
      </c>
      <c r="DV992" s="443">
        <f t="shared" si="1671"/>
        <v>-47.983298171799049</v>
      </c>
      <c r="DW992" s="443">
        <f t="shared" si="1671"/>
        <v>36.43424047194793</v>
      </c>
      <c r="DX992" s="443">
        <f t="shared" si="1671"/>
        <v>-14.356243141589854</v>
      </c>
      <c r="DY992" s="443">
        <f t="shared" si="1671"/>
        <v>-33.710608219726048</v>
      </c>
      <c r="DZ992" s="446">
        <f t="shared" si="1671"/>
        <v>-7.8664596308689347</v>
      </c>
      <c r="EA992" s="443">
        <f t="shared" si="1671"/>
        <v>0.21931586527290392</v>
      </c>
      <c r="EB992" s="443">
        <f t="shared" si="1671"/>
        <v>16.572225853972824</v>
      </c>
      <c r="EC992" s="443">
        <f t="shared" ref="EC992:GH992" si="1672">EC$856</f>
        <v>37.522925416834028</v>
      </c>
      <c r="ED992" s="443">
        <f t="shared" si="1672"/>
        <v>-4.2118037828783432</v>
      </c>
      <c r="EE992" s="443">
        <f t="shared" si="1672"/>
        <v>10.936461576093924</v>
      </c>
      <c r="EF992" s="443">
        <f t="shared" si="1672"/>
        <v>90.875028285416988</v>
      </c>
      <c r="EG992" s="443">
        <f t="shared" si="1672"/>
        <v>5.1779432167129436E-3</v>
      </c>
      <c r="EH992" s="443">
        <f t="shared" si="1672"/>
        <v>-15.302797650300407</v>
      </c>
      <c r="EI992" s="443">
        <f t="shared" si="1672"/>
        <v>8.548882778903014</v>
      </c>
      <c r="EJ992" s="443">
        <f t="shared" si="1672"/>
        <v>-11.145874326467542</v>
      </c>
      <c r="EK992" s="443">
        <f t="shared" si="1672"/>
        <v>-14.991042163788611</v>
      </c>
      <c r="EL992" s="446">
        <f t="shared" si="1672"/>
        <v>-4.2065886464884841</v>
      </c>
      <c r="EM992" s="443">
        <f t="shared" si="1672"/>
        <v>15.393488729066524</v>
      </c>
      <c r="EN992" s="443">
        <f t="shared" si="1672"/>
        <v>39.014138975798588</v>
      </c>
      <c r="EO992" s="443">
        <f t="shared" si="1672"/>
        <v>7.9711922221392904</v>
      </c>
      <c r="EP992" s="443">
        <f t="shared" si="1672"/>
        <v>-35.810316748697858</v>
      </c>
      <c r="EQ992" s="443">
        <f t="shared" si="1672"/>
        <v>-6.1247204068983763</v>
      </c>
      <c r="ER992" s="443">
        <f t="shared" si="1672"/>
        <v>137.00153291911872</v>
      </c>
      <c r="ES992" s="443">
        <f t="shared" si="1672"/>
        <v>-35.46871774235305</v>
      </c>
      <c r="ET992" s="443">
        <f t="shared" si="1672"/>
        <v>-20.123140095056328</v>
      </c>
      <c r="EU992" s="443">
        <f t="shared" si="1672"/>
        <v>-24.407681035509874</v>
      </c>
      <c r="EV992" s="443">
        <f t="shared" si="1672"/>
        <v>-12.07224302795575</v>
      </c>
      <c r="EW992" s="443">
        <f t="shared" si="1672"/>
        <v>-24.908431685148855</v>
      </c>
      <c r="EX992" s="446">
        <f t="shared" si="1672"/>
        <v>28.139495067358503</v>
      </c>
      <c r="EY992" s="443">
        <f t="shared" si="1672"/>
        <v>-5.8679094918460821</v>
      </c>
      <c r="EZ992" s="443">
        <f t="shared" si="1672"/>
        <v>20.596399391363931</v>
      </c>
      <c r="FA992" s="443">
        <f t="shared" si="1672"/>
        <v>22.794672488586684</v>
      </c>
      <c r="FB992" s="443">
        <f t="shared" si="1672"/>
        <v>107.34179312054232</v>
      </c>
      <c r="FC992" s="443">
        <f t="shared" si="1672"/>
        <v>-12.715611256085468</v>
      </c>
      <c r="FD992" s="443">
        <f t="shared" si="1672"/>
        <v>129.67879185472628</v>
      </c>
      <c r="FE992" s="443">
        <f t="shared" si="1672"/>
        <v>25.999761652806228</v>
      </c>
      <c r="FF992" s="443">
        <f t="shared" si="1672"/>
        <v>-44.018381109308137</v>
      </c>
      <c r="FG992" s="443">
        <f t="shared" si="1672"/>
        <v>6.0005842048067262</v>
      </c>
      <c r="FH992" s="443">
        <f t="shared" si="1672"/>
        <v>83.770729693757005</v>
      </c>
      <c r="FI992" s="443">
        <f t="shared" si="1672"/>
        <v>-68.82196742500139</v>
      </c>
      <c r="FJ992" s="446">
        <f t="shared" si="1672"/>
        <v>156.43115877985326</v>
      </c>
      <c r="FK992" s="443">
        <f t="shared" si="1672"/>
        <v>119.22756809261762</v>
      </c>
      <c r="FL992" s="443">
        <f t="shared" si="1672"/>
        <v>5.9306405438161391</v>
      </c>
      <c r="FM992" s="443">
        <f t="shared" si="1672"/>
        <v>146.41001174165183</v>
      </c>
      <c r="FN992" s="443">
        <f t="shared" si="1672"/>
        <v>-4.954500731051132</v>
      </c>
      <c r="FO992" s="443">
        <f t="shared" si="1672"/>
        <v>-74.953970690193884</v>
      </c>
      <c r="FP992" s="443">
        <f t="shared" si="1672"/>
        <v>153.40550690645074</v>
      </c>
      <c r="FQ992" s="443">
        <f t="shared" si="1672"/>
        <v>-30.843539113094504</v>
      </c>
      <c r="FR992" s="443">
        <f t="shared" si="1672"/>
        <v>-85.072845498500726</v>
      </c>
      <c r="FS992" s="443">
        <f t="shared" si="1672"/>
        <v>40.718999412644692</v>
      </c>
      <c r="FT992" s="443">
        <f t="shared" si="1672"/>
        <v>39.224747785548615</v>
      </c>
      <c r="FU992" s="443">
        <f t="shared" si="1672"/>
        <v>-92.130388752293868</v>
      </c>
      <c r="FV992" s="446">
        <f t="shared" si="1672"/>
        <v>-60.031453756203597</v>
      </c>
      <c r="FW992" s="443">
        <f t="shared" si="1672"/>
        <v>80.849744616155718</v>
      </c>
      <c r="FX992" s="443">
        <f t="shared" si="1672"/>
        <v>150.77380136965814</v>
      </c>
      <c r="FY992" s="443">
        <f t="shared" si="1672"/>
        <v>-96.515595033519446</v>
      </c>
      <c r="FZ992" s="443">
        <f t="shared" si="1672"/>
        <v>-16.423616436418332</v>
      </c>
      <c r="GA992" s="443">
        <f t="shared" si="1672"/>
        <v>16.012185380023897</v>
      </c>
      <c r="GB992" s="443">
        <f t="shared" si="1672"/>
        <v>47.878443772225324</v>
      </c>
      <c r="GC992" s="443">
        <f t="shared" si="1672"/>
        <v>-107.48696695392698</v>
      </c>
      <c r="GD992" s="443">
        <f t="shared" si="1672"/>
        <v>-23.883908553679504</v>
      </c>
      <c r="GE992" s="443">
        <f t="shared" si="1672"/>
        <v>197.23083970071414</v>
      </c>
      <c r="GF992" s="443">
        <f t="shared" si="1672"/>
        <v>194.22094606485484</v>
      </c>
      <c r="GG992" s="443">
        <f t="shared" si="1672"/>
        <v>78.22748777429949</v>
      </c>
      <c r="GH992" s="443">
        <f t="shared" si="1672"/>
        <v>-1.3949119907684526</v>
      </c>
      <c r="HN992" s="363"/>
      <c r="HO992" s="442" t="s">
        <v>596</v>
      </c>
      <c r="HP992" s="442"/>
      <c r="HQ992" s="442"/>
      <c r="HR992" s="302">
        <f>HR$856</f>
        <v>-65.311885181128815</v>
      </c>
      <c r="HS992" s="302">
        <f>HS$856</f>
        <v>53.760901325408653</v>
      </c>
      <c r="HT992" s="302">
        <f>HT$856</f>
        <v>-35.466425543534484</v>
      </c>
      <c r="HU992" s="457">
        <f>HU$856</f>
        <v>18.294475781874169</v>
      </c>
      <c r="HV992" s="307"/>
      <c r="HX992" s="457">
        <f>HX$856</f>
        <v>79.353571507967018</v>
      </c>
      <c r="IA992" s="457">
        <f>IA$856</f>
        <v>30.50310398653383</v>
      </c>
      <c r="ID992" s="457">
        <f>ID$856</f>
        <v>114.821911149787</v>
      </c>
      <c r="IE992" s="457"/>
      <c r="IF992" s="457"/>
      <c r="IG992" s="457">
        <f>IG$856</f>
        <v>68.604597171861514</v>
      </c>
      <c r="IH992" s="457"/>
      <c r="II992" s="457"/>
      <c r="IJ992" s="457">
        <f>IJ$856</f>
        <v>421.19002190420133</v>
      </c>
      <c r="IK992" s="457"/>
      <c r="IL992" s="457"/>
      <c r="IM992" s="457">
        <f>IM$856</f>
        <v>156.93077594139189</v>
      </c>
      <c r="IN992" s="457"/>
      <c r="IO992" s="457">
        <f>IO$856</f>
        <v>336.91348604149357</v>
      </c>
      <c r="IP992" s="457">
        <f>IP$856</f>
        <v>519.48844970961886</v>
      </c>
      <c r="IQ992" s="457">
        <f>IQ$856</f>
        <v>-37.233497481741836</v>
      </c>
      <c r="IR992" s="457">
        <f>IR$856</f>
        <v>32.710359993364747</v>
      </c>
      <c r="IS992" s="457"/>
      <c r="IT992" s="457"/>
      <c r="IU992" s="457"/>
      <c r="IV992" s="457"/>
      <c r="IW992" s="457"/>
      <c r="IX992" s="457"/>
      <c r="IY992" s="457"/>
      <c r="KI992" s="363"/>
      <c r="KJ992" s="364"/>
      <c r="KM992" s="302">
        <f>KM$856</f>
        <v>0</v>
      </c>
      <c r="KN992" s="302">
        <f>KN$856</f>
        <v>0</v>
      </c>
      <c r="KO992" s="302">
        <f>KO$856</f>
        <v>0</v>
      </c>
      <c r="KP992" s="302">
        <f>KP$856</f>
        <v>0</v>
      </c>
    </row>
    <row r="993" spans="1:302">
      <c r="B993" s="117" t="s">
        <v>361</v>
      </c>
      <c r="D993" s="448" t="str">
        <f>D$857</f>
        <v xml:space="preserve">Domestic </v>
      </c>
      <c r="E993" s="443">
        <f>E$857</f>
        <v>0</v>
      </c>
      <c r="F993" s="443">
        <f t="shared" ref="F993:L993" si="1673">F$857</f>
        <v>0</v>
      </c>
      <c r="G993" s="443">
        <f t="shared" si="1673"/>
        <v>0</v>
      </c>
      <c r="H993" s="443">
        <f t="shared" si="1673"/>
        <v>0</v>
      </c>
      <c r="I993" s="443">
        <f t="shared" si="1673"/>
        <v>0</v>
      </c>
      <c r="J993" s="443">
        <f t="shared" si="1673"/>
        <v>0</v>
      </c>
      <c r="K993" s="443">
        <f t="shared" si="1673"/>
        <v>0</v>
      </c>
      <c r="L993" s="443">
        <f t="shared" si="1673"/>
        <v>0</v>
      </c>
      <c r="M993" s="443">
        <f t="shared" ref="M993:AW993" si="1674">M$857</f>
        <v>0</v>
      </c>
      <c r="N993" s="443">
        <f t="shared" si="1674"/>
        <v>0</v>
      </c>
      <c r="O993" s="443">
        <f t="shared" si="1674"/>
        <v>0</v>
      </c>
      <c r="P993" s="443">
        <f t="shared" si="1674"/>
        <v>0</v>
      </c>
      <c r="Q993" s="443">
        <f t="shared" si="1674"/>
        <v>0</v>
      </c>
      <c r="R993" s="443">
        <f t="shared" si="1674"/>
        <v>0</v>
      </c>
      <c r="S993" s="443">
        <f t="shared" si="1674"/>
        <v>0</v>
      </c>
      <c r="T993" s="443">
        <f t="shared" si="1674"/>
        <v>0</v>
      </c>
      <c r="U993" s="443">
        <f t="shared" si="1674"/>
        <v>0</v>
      </c>
      <c r="V993" s="443">
        <f t="shared" si="1674"/>
        <v>0</v>
      </c>
      <c r="W993" s="443">
        <f t="shared" si="1674"/>
        <v>0</v>
      </c>
      <c r="X993" s="443">
        <f t="shared" si="1674"/>
        <v>0</v>
      </c>
      <c r="Y993" s="443">
        <f t="shared" si="1674"/>
        <v>0</v>
      </c>
      <c r="Z993" s="443">
        <f t="shared" si="1674"/>
        <v>0</v>
      </c>
      <c r="AA993" s="443">
        <f t="shared" si="1674"/>
        <v>0</v>
      </c>
      <c r="AB993" s="443">
        <f t="shared" si="1674"/>
        <v>0</v>
      </c>
      <c r="AC993" s="443">
        <f t="shared" si="1674"/>
        <v>0</v>
      </c>
      <c r="AD993" s="443">
        <f t="shared" si="1674"/>
        <v>0</v>
      </c>
      <c r="AE993" s="443">
        <f t="shared" si="1674"/>
        <v>0</v>
      </c>
      <c r="AF993" s="443">
        <f t="shared" si="1674"/>
        <v>0</v>
      </c>
      <c r="AG993" s="443">
        <f t="shared" si="1674"/>
        <v>0</v>
      </c>
      <c r="AH993" s="443">
        <f t="shared" si="1674"/>
        <v>0</v>
      </c>
      <c r="AI993" s="443">
        <f t="shared" si="1674"/>
        <v>0</v>
      </c>
      <c r="AJ993" s="443">
        <f t="shared" si="1674"/>
        <v>0</v>
      </c>
      <c r="AK993" s="443">
        <f t="shared" si="1674"/>
        <v>0</v>
      </c>
      <c r="AL993" s="443">
        <f t="shared" si="1674"/>
        <v>0</v>
      </c>
      <c r="AM993" s="443">
        <f t="shared" si="1674"/>
        <v>0</v>
      </c>
      <c r="AN993" s="443">
        <f t="shared" si="1674"/>
        <v>0</v>
      </c>
      <c r="AO993" s="443">
        <f t="shared" si="1674"/>
        <v>0</v>
      </c>
      <c r="AP993" s="443">
        <f t="shared" si="1674"/>
        <v>0</v>
      </c>
      <c r="AQ993" s="443">
        <f t="shared" si="1674"/>
        <v>0</v>
      </c>
      <c r="AR993" s="443">
        <f t="shared" si="1674"/>
        <v>0</v>
      </c>
      <c r="AS993" s="443">
        <f t="shared" si="1674"/>
        <v>0</v>
      </c>
      <c r="AT993" s="443">
        <f t="shared" si="1674"/>
        <v>0</v>
      </c>
      <c r="AU993" s="443">
        <f t="shared" si="1674"/>
        <v>0</v>
      </c>
      <c r="AV993" s="443">
        <f t="shared" si="1674"/>
        <v>0</v>
      </c>
      <c r="AW993" s="443">
        <f t="shared" si="1674"/>
        <v>0</v>
      </c>
      <c r="AX993" s="443">
        <f t="shared" ref="AX993:BP993" si="1675">AX$857</f>
        <v>0</v>
      </c>
      <c r="AY993" s="443">
        <f t="shared" si="1675"/>
        <v>0</v>
      </c>
      <c r="AZ993" s="443">
        <f t="shared" si="1675"/>
        <v>0</v>
      </c>
      <c r="BA993" s="443">
        <f t="shared" si="1675"/>
        <v>0</v>
      </c>
      <c r="BB993" s="443">
        <f t="shared" si="1675"/>
        <v>0</v>
      </c>
      <c r="BC993" s="443">
        <f t="shared" si="1675"/>
        <v>0</v>
      </c>
      <c r="BD993" s="443">
        <f t="shared" si="1675"/>
        <v>0</v>
      </c>
      <c r="BE993" s="443">
        <f t="shared" si="1675"/>
        <v>0</v>
      </c>
      <c r="BF993" s="443">
        <f t="shared" si="1675"/>
        <v>0</v>
      </c>
      <c r="BG993" s="443">
        <f t="shared" si="1675"/>
        <v>0</v>
      </c>
      <c r="BH993" s="443">
        <f t="shared" si="1675"/>
        <v>0</v>
      </c>
      <c r="BI993" s="443">
        <f t="shared" si="1675"/>
        <v>0</v>
      </c>
      <c r="BJ993" s="443">
        <f t="shared" si="1675"/>
        <v>0</v>
      </c>
      <c r="BK993" s="443">
        <f t="shared" si="1675"/>
        <v>0</v>
      </c>
      <c r="BL993" s="443">
        <f t="shared" si="1675"/>
        <v>0</v>
      </c>
      <c r="BM993" s="443">
        <f t="shared" si="1675"/>
        <v>0</v>
      </c>
      <c r="BN993" s="443">
        <f t="shared" si="1675"/>
        <v>0</v>
      </c>
      <c r="BO993" s="443">
        <f t="shared" si="1675"/>
        <v>0</v>
      </c>
      <c r="BP993" s="443">
        <f t="shared" si="1675"/>
        <v>0</v>
      </c>
      <c r="BQ993" s="443">
        <f t="shared" ref="BQ993:EB993" si="1676">BQ$857</f>
        <v>0</v>
      </c>
      <c r="BR993" s="443">
        <f t="shared" si="1676"/>
        <v>0</v>
      </c>
      <c r="BS993" s="443">
        <f t="shared" si="1676"/>
        <v>0</v>
      </c>
      <c r="BT993" s="443">
        <f t="shared" si="1676"/>
        <v>0</v>
      </c>
      <c r="BU993" s="443">
        <f t="shared" si="1676"/>
        <v>0</v>
      </c>
      <c r="BV993" s="443">
        <f t="shared" si="1676"/>
        <v>0</v>
      </c>
      <c r="BW993" s="443">
        <f t="shared" si="1676"/>
        <v>0</v>
      </c>
      <c r="BX993" s="443">
        <f t="shared" si="1676"/>
        <v>0</v>
      </c>
      <c r="BY993" s="443">
        <f t="shared" si="1676"/>
        <v>0</v>
      </c>
      <c r="BZ993" s="443">
        <f t="shared" si="1676"/>
        <v>0</v>
      </c>
      <c r="CA993" s="443">
        <f t="shared" si="1676"/>
        <v>0</v>
      </c>
      <c r="CB993" s="443">
        <f t="shared" si="1676"/>
        <v>0</v>
      </c>
      <c r="CC993" s="443">
        <f t="shared" si="1676"/>
        <v>0</v>
      </c>
      <c r="CD993" s="444">
        <f t="shared" si="1676"/>
        <v>0</v>
      </c>
      <c r="CE993" s="443">
        <f t="shared" si="1676"/>
        <v>6.9172833290000426</v>
      </c>
      <c r="CF993" s="443">
        <f t="shared" si="1676"/>
        <v>0.83358785699993732</v>
      </c>
      <c r="CG993" s="443">
        <f t="shared" si="1676"/>
        <v>18.765479859000035</v>
      </c>
      <c r="CH993" s="443">
        <f t="shared" si="1676"/>
        <v>15.635324646000015</v>
      </c>
      <c r="CI993" s="443">
        <f t="shared" si="1676"/>
        <v>-8.3810874069999954</v>
      </c>
      <c r="CJ993" s="443">
        <f t="shared" si="1676"/>
        <v>18.858713064999961</v>
      </c>
      <c r="CK993" s="443">
        <f t="shared" si="1676"/>
        <v>-27.16729655594267</v>
      </c>
      <c r="CL993" s="443">
        <f t="shared" si="1676"/>
        <v>-28.512868685252101</v>
      </c>
      <c r="CM993" s="443">
        <f t="shared" si="1676"/>
        <v>-3.943191748377993</v>
      </c>
      <c r="CN993" s="443">
        <f t="shared" si="1676"/>
        <v>-15.598618122839355</v>
      </c>
      <c r="CO993" s="443">
        <f t="shared" si="1676"/>
        <v>8.2661012485531078</v>
      </c>
      <c r="CP993" s="446">
        <f t="shared" si="1676"/>
        <v>-50.985312666269827</v>
      </c>
      <c r="CQ993" s="445">
        <f t="shared" si="1676"/>
        <v>-36.71231483296112</v>
      </c>
      <c r="CR993" s="445">
        <f t="shared" si="1676"/>
        <v>6.0564876716809755</v>
      </c>
      <c r="CS993" s="445">
        <f t="shared" si="1676"/>
        <v>0.24889954428293093</v>
      </c>
      <c r="CT993" s="445">
        <f t="shared" si="1676"/>
        <v>-3.236720825950091</v>
      </c>
      <c r="CU993" s="445">
        <f t="shared" si="1676"/>
        <v>0.65324416649547723</v>
      </c>
      <c r="CV993" s="445">
        <f t="shared" si="1676"/>
        <v>86.75130560186048</v>
      </c>
      <c r="CW993" s="445">
        <f t="shared" si="1676"/>
        <v>-9.2731324024067145</v>
      </c>
      <c r="CX993" s="445">
        <f t="shared" si="1676"/>
        <v>39.321639286877286</v>
      </c>
      <c r="CY993" s="445">
        <f t="shared" si="1676"/>
        <v>-15.458830137553322</v>
      </c>
      <c r="CZ993" s="445">
        <f t="shared" si="1676"/>
        <v>-20.78863218766784</v>
      </c>
      <c r="DA993" s="445">
        <f t="shared" si="1676"/>
        <v>-7.7543217702998817</v>
      </c>
      <c r="DB993" s="1520">
        <f t="shared" si="1676"/>
        <v>-21.513148332484011</v>
      </c>
      <c r="DC993" s="443">
        <f t="shared" si="1676"/>
        <v>15.883404467701894</v>
      </c>
      <c r="DD993" s="443">
        <f t="shared" si="1676"/>
        <v>26.277996405852996</v>
      </c>
      <c r="DE993" s="443">
        <f t="shared" si="1676"/>
        <v>38.546195793687737</v>
      </c>
      <c r="DF993" s="443">
        <f t="shared" si="1676"/>
        <v>-44.805756938958524</v>
      </c>
      <c r="DG993" s="443">
        <f t="shared" si="1676"/>
        <v>14.454375347402552</v>
      </c>
      <c r="DH993" s="443">
        <f t="shared" si="1676"/>
        <v>71.148963665332133</v>
      </c>
      <c r="DI993" s="443">
        <f t="shared" si="1676"/>
        <v>-32.020802547511629</v>
      </c>
      <c r="DJ993" s="443">
        <f t="shared" si="1676"/>
        <v>22.292049056584904</v>
      </c>
      <c r="DK993" s="443">
        <f t="shared" si="1676"/>
        <v>13.33445852484299</v>
      </c>
      <c r="DL993" s="443">
        <f t="shared" si="1676"/>
        <v>2.9614427844896496</v>
      </c>
      <c r="DM993" s="443">
        <f t="shared" si="1676"/>
        <v>-5.1853966666743077</v>
      </c>
      <c r="DN993" s="446">
        <f t="shared" si="1676"/>
        <v>-43.533358384783384</v>
      </c>
      <c r="DO993" s="443">
        <f t="shared" si="1676"/>
        <v>24.120642784941868</v>
      </c>
      <c r="DP993" s="443">
        <f t="shared" si="1676"/>
        <v>18.127784417416297</v>
      </c>
      <c r="DQ993" s="443">
        <f t="shared" si="1676"/>
        <v>17.170359247220375</v>
      </c>
      <c r="DR993" s="443">
        <f t="shared" si="1676"/>
        <v>-6.1952806868556278</v>
      </c>
      <c r="DS993" s="443">
        <f t="shared" si="1676"/>
        <v>3.4810884754780602</v>
      </c>
      <c r="DT993" s="443">
        <f t="shared" si="1676"/>
        <v>24.266188011040384</v>
      </c>
      <c r="DU993" s="443">
        <f t="shared" si="1676"/>
        <v>17.014690429328425</v>
      </c>
      <c r="DV993" s="443">
        <f t="shared" si="1676"/>
        <v>-47.983298171799049</v>
      </c>
      <c r="DW993" s="443">
        <f t="shared" si="1676"/>
        <v>36.43424047194793</v>
      </c>
      <c r="DX993" s="443">
        <f t="shared" si="1676"/>
        <v>-14.356243141589854</v>
      </c>
      <c r="DY993" s="443">
        <f t="shared" si="1676"/>
        <v>-33.710608219726048</v>
      </c>
      <c r="DZ993" s="446">
        <f t="shared" si="1676"/>
        <v>-7.8664596308689347</v>
      </c>
      <c r="EA993" s="443">
        <f t="shared" si="1676"/>
        <v>0.21931586527290392</v>
      </c>
      <c r="EB993" s="443">
        <f t="shared" si="1676"/>
        <v>16.572225853972824</v>
      </c>
      <c r="EC993" s="443">
        <f t="shared" ref="EC993:GH993" si="1677">EC$857</f>
        <v>37.522925416834028</v>
      </c>
      <c r="ED993" s="443">
        <f t="shared" si="1677"/>
        <v>-4.2118037828783432</v>
      </c>
      <c r="EE993" s="443">
        <f t="shared" si="1677"/>
        <v>10.936461576093924</v>
      </c>
      <c r="EF993" s="443">
        <f t="shared" si="1677"/>
        <v>90.875028285416988</v>
      </c>
      <c r="EG993" s="443">
        <f t="shared" si="1677"/>
        <v>5.1779432167129436E-3</v>
      </c>
      <c r="EH993" s="443">
        <f t="shared" si="1677"/>
        <v>-15.302797650300407</v>
      </c>
      <c r="EI993" s="443">
        <f t="shared" si="1677"/>
        <v>8.548882778903014</v>
      </c>
      <c r="EJ993" s="443">
        <f t="shared" si="1677"/>
        <v>-11.145874326467542</v>
      </c>
      <c r="EK993" s="443">
        <f t="shared" si="1677"/>
        <v>-14.991042163788611</v>
      </c>
      <c r="EL993" s="446">
        <f t="shared" si="1677"/>
        <v>-4.2065886464884841</v>
      </c>
      <c r="EM993" s="443">
        <f t="shared" si="1677"/>
        <v>15.393488729066524</v>
      </c>
      <c r="EN993" s="443">
        <f t="shared" si="1677"/>
        <v>39.014138975798588</v>
      </c>
      <c r="EO993" s="443">
        <f t="shared" si="1677"/>
        <v>7.9711922221392904</v>
      </c>
      <c r="EP993" s="443">
        <f t="shared" si="1677"/>
        <v>-35.810316748697858</v>
      </c>
      <c r="EQ993" s="443">
        <f t="shared" si="1677"/>
        <v>-6.1247204068983763</v>
      </c>
      <c r="ER993" s="443">
        <f t="shared" si="1677"/>
        <v>137.00153291911872</v>
      </c>
      <c r="ES993" s="443">
        <f t="shared" si="1677"/>
        <v>-35.46871774235305</v>
      </c>
      <c r="ET993" s="443">
        <f t="shared" si="1677"/>
        <v>-20.123140095056328</v>
      </c>
      <c r="EU993" s="443">
        <f t="shared" si="1677"/>
        <v>-24.407681035509874</v>
      </c>
      <c r="EV993" s="443">
        <f t="shared" si="1677"/>
        <v>-12.07224302795575</v>
      </c>
      <c r="EW993" s="443">
        <f t="shared" si="1677"/>
        <v>-24.908431685148855</v>
      </c>
      <c r="EX993" s="446">
        <f t="shared" si="1677"/>
        <v>28.139495067358503</v>
      </c>
      <c r="EY993" s="443">
        <f t="shared" si="1677"/>
        <v>-5.8679094918460821</v>
      </c>
      <c r="EZ993" s="443">
        <f t="shared" si="1677"/>
        <v>20.596399391363931</v>
      </c>
      <c r="FA993" s="443">
        <f t="shared" si="1677"/>
        <v>22.794672488586684</v>
      </c>
      <c r="FB993" s="443">
        <f t="shared" si="1677"/>
        <v>107.34179312054232</v>
      </c>
      <c r="FC993" s="443">
        <f t="shared" si="1677"/>
        <v>-12.715611256085468</v>
      </c>
      <c r="FD993" s="443">
        <f t="shared" si="1677"/>
        <v>129.67879185472628</v>
      </c>
      <c r="FE993" s="443">
        <f t="shared" si="1677"/>
        <v>25.999761652806228</v>
      </c>
      <c r="FF993" s="443">
        <f t="shared" si="1677"/>
        <v>-44.018381109308137</v>
      </c>
      <c r="FG993" s="443">
        <f t="shared" si="1677"/>
        <v>6.0005842048067262</v>
      </c>
      <c r="FH993" s="443">
        <f t="shared" si="1677"/>
        <v>83.770729693757005</v>
      </c>
      <c r="FI993" s="443">
        <f t="shared" si="1677"/>
        <v>-68.82196742500139</v>
      </c>
      <c r="FJ993" s="446">
        <f t="shared" si="1677"/>
        <v>156.43115877985326</v>
      </c>
      <c r="FK993" s="443">
        <f t="shared" si="1677"/>
        <v>119.22756809261762</v>
      </c>
      <c r="FL993" s="443">
        <f t="shared" si="1677"/>
        <v>5.9306405438161391</v>
      </c>
      <c r="FM993" s="443">
        <f t="shared" si="1677"/>
        <v>146.41001174165183</v>
      </c>
      <c r="FN993" s="443">
        <f t="shared" si="1677"/>
        <v>-4.954500731051132</v>
      </c>
      <c r="FO993" s="443">
        <f t="shared" si="1677"/>
        <v>-74.953970690193884</v>
      </c>
      <c r="FP993" s="443">
        <f t="shared" si="1677"/>
        <v>153.40550690645074</v>
      </c>
      <c r="FQ993" s="443">
        <f t="shared" si="1677"/>
        <v>-30.843539113094504</v>
      </c>
      <c r="FR993" s="443">
        <f t="shared" si="1677"/>
        <v>-85.072845498500726</v>
      </c>
      <c r="FS993" s="443">
        <f t="shared" si="1677"/>
        <v>40.718999412644692</v>
      </c>
      <c r="FT993" s="443">
        <f t="shared" si="1677"/>
        <v>39.224747785548615</v>
      </c>
      <c r="FU993" s="443">
        <f t="shared" si="1677"/>
        <v>-92.130388752293868</v>
      </c>
      <c r="FV993" s="446">
        <f t="shared" si="1677"/>
        <v>-60.031453756203597</v>
      </c>
      <c r="FW993" s="443">
        <f t="shared" si="1677"/>
        <v>80.849744616155718</v>
      </c>
      <c r="FX993" s="443">
        <f t="shared" si="1677"/>
        <v>150.77380136965814</v>
      </c>
      <c r="FY993" s="443">
        <f t="shared" si="1677"/>
        <v>-96.515595033519446</v>
      </c>
      <c r="FZ993" s="443">
        <f t="shared" si="1677"/>
        <v>-16.423616436418332</v>
      </c>
      <c r="GA993" s="443">
        <f t="shared" si="1677"/>
        <v>16.012185380023897</v>
      </c>
      <c r="GB993" s="443">
        <f t="shared" si="1677"/>
        <v>47.878443772225324</v>
      </c>
      <c r="GC993" s="443">
        <f t="shared" si="1677"/>
        <v>-107.48696695392698</v>
      </c>
      <c r="GD993" s="443">
        <f t="shared" si="1677"/>
        <v>-23.883908553679504</v>
      </c>
      <c r="GE993" s="443">
        <f t="shared" si="1677"/>
        <v>197.23083970071414</v>
      </c>
      <c r="GF993" s="443">
        <f t="shared" si="1677"/>
        <v>40.372582589854844</v>
      </c>
      <c r="GG993" s="443">
        <f t="shared" si="1677"/>
        <v>78.22748777429949</v>
      </c>
      <c r="GH993" s="443">
        <f t="shared" si="1677"/>
        <v>-1.3949119907684526</v>
      </c>
      <c r="HN993" s="363"/>
      <c r="HO993" s="448" t="s">
        <v>597</v>
      </c>
      <c r="HP993" s="448"/>
      <c r="HQ993" s="448"/>
      <c r="HR993" s="302">
        <f>HR$857</f>
        <v>-65.311885181128815</v>
      </c>
      <c r="HS993" s="302">
        <f>HS$857</f>
        <v>53.760901325408653</v>
      </c>
      <c r="HT993" s="302">
        <f>HT$857</f>
        <v>-35.466425543534484</v>
      </c>
      <c r="HU993" s="457">
        <f>HU$857</f>
        <v>18.294475781874169</v>
      </c>
      <c r="HV993" s="307"/>
      <c r="HX993" s="457">
        <f>HX$857</f>
        <v>79.353571507967018</v>
      </c>
      <c r="IA993" s="457">
        <f>IA$857</f>
        <v>30.50310398653383</v>
      </c>
      <c r="ID993" s="457">
        <f>ID$857</f>
        <v>114.821911149787</v>
      </c>
      <c r="IE993" s="457"/>
      <c r="IF993" s="457"/>
      <c r="IG993" s="457">
        <f>IG$857</f>
        <v>68.604597171861514</v>
      </c>
      <c r="IH993" s="457"/>
      <c r="II993" s="457"/>
      <c r="IJ993" s="457">
        <f>IJ$857</f>
        <v>421.19002190420133</v>
      </c>
      <c r="IK993" s="457"/>
      <c r="IL993" s="457"/>
      <c r="IM993" s="457">
        <f>IM$857</f>
        <v>156.93077594139189</v>
      </c>
      <c r="IN993" s="457"/>
      <c r="IO993" s="457">
        <f>IO$857</f>
        <v>183.06512256649353</v>
      </c>
      <c r="IP993" s="457">
        <f>IP$857</f>
        <v>365.64008623461882</v>
      </c>
      <c r="IQ993" s="457">
        <f>IQ$857</f>
        <v>-37.233497481741836</v>
      </c>
      <c r="IR993" s="457">
        <f>IR$857</f>
        <v>100.82468476738475</v>
      </c>
      <c r="IS993" s="457"/>
      <c r="IT993" s="457"/>
      <c r="IU993" s="457"/>
      <c r="IV993" s="457"/>
      <c r="IW993" s="457"/>
      <c r="IX993" s="457"/>
      <c r="IY993" s="457"/>
      <c r="KI993" s="363"/>
      <c r="KJ993" s="364"/>
      <c r="KM993" s="302">
        <f>KM$857</f>
        <v>0</v>
      </c>
      <c r="KN993" s="302">
        <f>KN$857</f>
        <v>0</v>
      </c>
      <c r="KO993" s="302">
        <f>KO$857</f>
        <v>0</v>
      </c>
      <c r="KP993" s="302">
        <f>KP$857</f>
        <v>0</v>
      </c>
    </row>
    <row r="994" spans="1:302">
      <c r="B994" s="117" t="s">
        <v>361</v>
      </c>
      <c r="D994" s="448" t="str">
        <f>D$890</f>
        <v xml:space="preserve">Foreign </v>
      </c>
      <c r="E994" s="443">
        <f>E$890</f>
        <v>0</v>
      </c>
      <c r="F994" s="443">
        <f t="shared" ref="F994:L994" si="1678">F$890</f>
        <v>0</v>
      </c>
      <c r="G994" s="443">
        <f t="shared" si="1678"/>
        <v>0</v>
      </c>
      <c r="H994" s="443">
        <f t="shared" si="1678"/>
        <v>0</v>
      </c>
      <c r="I994" s="443">
        <f t="shared" si="1678"/>
        <v>0</v>
      </c>
      <c r="J994" s="443">
        <f t="shared" si="1678"/>
        <v>0</v>
      </c>
      <c r="K994" s="443">
        <f t="shared" si="1678"/>
        <v>0</v>
      </c>
      <c r="L994" s="443">
        <f t="shared" si="1678"/>
        <v>0</v>
      </c>
      <c r="M994" s="443">
        <f t="shared" ref="M994:AW994" si="1679">M$890</f>
        <v>0</v>
      </c>
      <c r="N994" s="443">
        <f t="shared" si="1679"/>
        <v>0</v>
      </c>
      <c r="O994" s="443">
        <f t="shared" si="1679"/>
        <v>0</v>
      </c>
      <c r="P994" s="443">
        <f t="shared" si="1679"/>
        <v>0</v>
      </c>
      <c r="Q994" s="443">
        <f t="shared" si="1679"/>
        <v>0</v>
      </c>
      <c r="R994" s="443">
        <f t="shared" si="1679"/>
        <v>0</v>
      </c>
      <c r="S994" s="443">
        <f t="shared" si="1679"/>
        <v>0</v>
      </c>
      <c r="T994" s="443">
        <f t="shared" si="1679"/>
        <v>0</v>
      </c>
      <c r="U994" s="443">
        <f t="shared" si="1679"/>
        <v>0</v>
      </c>
      <c r="V994" s="443">
        <f t="shared" si="1679"/>
        <v>0</v>
      </c>
      <c r="W994" s="443">
        <f t="shared" si="1679"/>
        <v>0</v>
      </c>
      <c r="X994" s="443">
        <f t="shared" si="1679"/>
        <v>0</v>
      </c>
      <c r="Y994" s="443">
        <f t="shared" si="1679"/>
        <v>0</v>
      </c>
      <c r="Z994" s="443">
        <f t="shared" si="1679"/>
        <v>0</v>
      </c>
      <c r="AA994" s="443">
        <f t="shared" si="1679"/>
        <v>0</v>
      </c>
      <c r="AB994" s="443">
        <f t="shared" si="1679"/>
        <v>0</v>
      </c>
      <c r="AC994" s="443">
        <f t="shared" si="1679"/>
        <v>0</v>
      </c>
      <c r="AD994" s="443">
        <f t="shared" si="1679"/>
        <v>0</v>
      </c>
      <c r="AE994" s="443">
        <f t="shared" si="1679"/>
        <v>0</v>
      </c>
      <c r="AF994" s="443">
        <f t="shared" si="1679"/>
        <v>0</v>
      </c>
      <c r="AG994" s="443">
        <f t="shared" si="1679"/>
        <v>0</v>
      </c>
      <c r="AH994" s="443">
        <f t="shared" si="1679"/>
        <v>0</v>
      </c>
      <c r="AI994" s="443">
        <f t="shared" si="1679"/>
        <v>0</v>
      </c>
      <c r="AJ994" s="443">
        <f t="shared" si="1679"/>
        <v>0</v>
      </c>
      <c r="AK994" s="443">
        <f t="shared" si="1679"/>
        <v>0</v>
      </c>
      <c r="AL994" s="443">
        <f t="shared" si="1679"/>
        <v>0</v>
      </c>
      <c r="AM994" s="443">
        <f t="shared" si="1679"/>
        <v>0</v>
      </c>
      <c r="AN994" s="443">
        <f t="shared" si="1679"/>
        <v>0</v>
      </c>
      <c r="AO994" s="443">
        <f t="shared" si="1679"/>
        <v>0</v>
      </c>
      <c r="AP994" s="443">
        <f t="shared" si="1679"/>
        <v>0</v>
      </c>
      <c r="AQ994" s="443">
        <f t="shared" si="1679"/>
        <v>0</v>
      </c>
      <c r="AR994" s="443">
        <f t="shared" si="1679"/>
        <v>0</v>
      </c>
      <c r="AS994" s="443">
        <f t="shared" si="1679"/>
        <v>0</v>
      </c>
      <c r="AT994" s="443">
        <f t="shared" si="1679"/>
        <v>0</v>
      </c>
      <c r="AU994" s="443">
        <f t="shared" si="1679"/>
        <v>0</v>
      </c>
      <c r="AV994" s="443">
        <f t="shared" si="1679"/>
        <v>0</v>
      </c>
      <c r="AW994" s="443">
        <f t="shared" si="1679"/>
        <v>0</v>
      </c>
      <c r="AX994" s="443">
        <f t="shared" ref="AX994:BP994" si="1680">AX$890</f>
        <v>0</v>
      </c>
      <c r="AY994" s="443">
        <f t="shared" si="1680"/>
        <v>0</v>
      </c>
      <c r="AZ994" s="443">
        <f t="shared" si="1680"/>
        <v>0</v>
      </c>
      <c r="BA994" s="443">
        <f t="shared" si="1680"/>
        <v>0</v>
      </c>
      <c r="BB994" s="443">
        <f t="shared" si="1680"/>
        <v>0</v>
      </c>
      <c r="BC994" s="443">
        <f t="shared" si="1680"/>
        <v>0</v>
      </c>
      <c r="BD994" s="443">
        <f t="shared" si="1680"/>
        <v>0</v>
      </c>
      <c r="BE994" s="443">
        <f t="shared" si="1680"/>
        <v>0</v>
      </c>
      <c r="BF994" s="443">
        <f t="shared" si="1680"/>
        <v>0</v>
      </c>
      <c r="BG994" s="443">
        <f t="shared" si="1680"/>
        <v>0</v>
      </c>
      <c r="BH994" s="443">
        <f t="shared" si="1680"/>
        <v>0</v>
      </c>
      <c r="BI994" s="443">
        <f t="shared" si="1680"/>
        <v>0</v>
      </c>
      <c r="BJ994" s="443">
        <f t="shared" si="1680"/>
        <v>0</v>
      </c>
      <c r="BK994" s="443">
        <f t="shared" si="1680"/>
        <v>0</v>
      </c>
      <c r="BL994" s="443">
        <f t="shared" si="1680"/>
        <v>0</v>
      </c>
      <c r="BM994" s="443">
        <f t="shared" si="1680"/>
        <v>0</v>
      </c>
      <c r="BN994" s="443">
        <f t="shared" si="1680"/>
        <v>0</v>
      </c>
      <c r="BO994" s="443">
        <f t="shared" si="1680"/>
        <v>0</v>
      </c>
      <c r="BP994" s="443">
        <f t="shared" si="1680"/>
        <v>0</v>
      </c>
      <c r="BQ994" s="443">
        <f t="shared" ref="BQ994:EB994" si="1681">BQ$890</f>
        <v>0</v>
      </c>
      <c r="BR994" s="443">
        <f t="shared" si="1681"/>
        <v>0</v>
      </c>
      <c r="BS994" s="443">
        <f t="shared" si="1681"/>
        <v>0</v>
      </c>
      <c r="BT994" s="443">
        <f t="shared" si="1681"/>
        <v>0</v>
      </c>
      <c r="BU994" s="443">
        <f t="shared" si="1681"/>
        <v>0</v>
      </c>
      <c r="BV994" s="443">
        <f t="shared" si="1681"/>
        <v>0</v>
      </c>
      <c r="BW994" s="443">
        <f t="shared" si="1681"/>
        <v>0</v>
      </c>
      <c r="BX994" s="443">
        <f t="shared" si="1681"/>
        <v>0</v>
      </c>
      <c r="BY994" s="443">
        <f t="shared" si="1681"/>
        <v>0</v>
      </c>
      <c r="BZ994" s="443">
        <f t="shared" si="1681"/>
        <v>0</v>
      </c>
      <c r="CA994" s="443">
        <f t="shared" si="1681"/>
        <v>0</v>
      </c>
      <c r="CB994" s="443">
        <f t="shared" si="1681"/>
        <v>0</v>
      </c>
      <c r="CC994" s="443">
        <f t="shared" si="1681"/>
        <v>0</v>
      </c>
      <c r="CD994" s="444">
        <f t="shared" si="1681"/>
        <v>0</v>
      </c>
      <c r="CE994" s="443">
        <f t="shared" si="1681"/>
        <v>0</v>
      </c>
      <c r="CF994" s="443">
        <f t="shared" si="1681"/>
        <v>0</v>
      </c>
      <c r="CG994" s="443">
        <f t="shared" si="1681"/>
        <v>0</v>
      </c>
      <c r="CH994" s="443">
        <f t="shared" si="1681"/>
        <v>0</v>
      </c>
      <c r="CI994" s="443">
        <f t="shared" si="1681"/>
        <v>0</v>
      </c>
      <c r="CJ994" s="443">
        <f t="shared" si="1681"/>
        <v>0</v>
      </c>
      <c r="CK994" s="443">
        <f t="shared" si="1681"/>
        <v>0</v>
      </c>
      <c r="CL994" s="443">
        <f t="shared" si="1681"/>
        <v>0</v>
      </c>
      <c r="CM994" s="443">
        <f t="shared" si="1681"/>
        <v>0</v>
      </c>
      <c r="CN994" s="443">
        <f t="shared" si="1681"/>
        <v>0</v>
      </c>
      <c r="CO994" s="443">
        <f t="shared" si="1681"/>
        <v>0</v>
      </c>
      <c r="CP994" s="446">
        <f t="shared" si="1681"/>
        <v>0</v>
      </c>
      <c r="CQ994" s="443">
        <f t="shared" si="1681"/>
        <v>0</v>
      </c>
      <c r="CR994" s="443">
        <f t="shared" si="1681"/>
        <v>0</v>
      </c>
      <c r="CS994" s="443">
        <f t="shared" si="1681"/>
        <v>0</v>
      </c>
      <c r="CT994" s="443">
        <f t="shared" si="1681"/>
        <v>0</v>
      </c>
      <c r="CU994" s="443">
        <f t="shared" si="1681"/>
        <v>0</v>
      </c>
      <c r="CV994" s="443">
        <f t="shared" si="1681"/>
        <v>0</v>
      </c>
      <c r="CW994" s="443">
        <f t="shared" si="1681"/>
        <v>0</v>
      </c>
      <c r="CX994" s="443">
        <f t="shared" si="1681"/>
        <v>0</v>
      </c>
      <c r="CY994" s="443">
        <f t="shared" si="1681"/>
        <v>0</v>
      </c>
      <c r="CZ994" s="443">
        <f t="shared" si="1681"/>
        <v>0</v>
      </c>
      <c r="DA994" s="443">
        <f t="shared" si="1681"/>
        <v>0</v>
      </c>
      <c r="DB994" s="1520">
        <f t="shared" si="1681"/>
        <v>0</v>
      </c>
      <c r="DC994" s="443">
        <f t="shared" si="1681"/>
        <v>0</v>
      </c>
      <c r="DD994" s="443">
        <f t="shared" si="1681"/>
        <v>0</v>
      </c>
      <c r="DE994" s="443">
        <f t="shared" si="1681"/>
        <v>0</v>
      </c>
      <c r="DF994" s="443">
        <f t="shared" si="1681"/>
        <v>0</v>
      </c>
      <c r="DG994" s="443">
        <f t="shared" si="1681"/>
        <v>0</v>
      </c>
      <c r="DH994" s="443">
        <f t="shared" si="1681"/>
        <v>0</v>
      </c>
      <c r="DI994" s="443">
        <f t="shared" si="1681"/>
        <v>0</v>
      </c>
      <c r="DJ994" s="443">
        <f t="shared" si="1681"/>
        <v>0</v>
      </c>
      <c r="DK994" s="443">
        <f t="shared" si="1681"/>
        <v>0</v>
      </c>
      <c r="DL994" s="443">
        <f t="shared" si="1681"/>
        <v>0</v>
      </c>
      <c r="DM994" s="443">
        <f t="shared" si="1681"/>
        <v>0</v>
      </c>
      <c r="DN994" s="446">
        <f t="shared" si="1681"/>
        <v>0</v>
      </c>
      <c r="DO994" s="443">
        <f t="shared" si="1681"/>
        <v>0</v>
      </c>
      <c r="DP994" s="443">
        <f t="shared" si="1681"/>
        <v>0</v>
      </c>
      <c r="DQ994" s="443">
        <f t="shared" si="1681"/>
        <v>0</v>
      </c>
      <c r="DR994" s="443">
        <f t="shared" si="1681"/>
        <v>0</v>
      </c>
      <c r="DS994" s="443">
        <f t="shared" si="1681"/>
        <v>0</v>
      </c>
      <c r="DT994" s="443">
        <f t="shared" si="1681"/>
        <v>0</v>
      </c>
      <c r="DU994" s="443">
        <f t="shared" si="1681"/>
        <v>0</v>
      </c>
      <c r="DV994" s="443">
        <f t="shared" si="1681"/>
        <v>0</v>
      </c>
      <c r="DW994" s="443">
        <f t="shared" si="1681"/>
        <v>0</v>
      </c>
      <c r="DX994" s="443">
        <f t="shared" si="1681"/>
        <v>0</v>
      </c>
      <c r="DY994" s="443">
        <f t="shared" si="1681"/>
        <v>0</v>
      </c>
      <c r="DZ994" s="446">
        <f t="shared" si="1681"/>
        <v>0</v>
      </c>
      <c r="EA994" s="443">
        <f t="shared" si="1681"/>
        <v>0</v>
      </c>
      <c r="EB994" s="443">
        <f t="shared" si="1681"/>
        <v>0</v>
      </c>
      <c r="EC994" s="443">
        <f t="shared" ref="EC994:GH994" si="1682">EC$890</f>
        <v>0</v>
      </c>
      <c r="ED994" s="443">
        <f t="shared" si="1682"/>
        <v>0</v>
      </c>
      <c r="EE994" s="443">
        <f t="shared" si="1682"/>
        <v>0</v>
      </c>
      <c r="EF994" s="443">
        <f t="shared" si="1682"/>
        <v>0</v>
      </c>
      <c r="EG994" s="443">
        <f t="shared" si="1682"/>
        <v>0</v>
      </c>
      <c r="EH994" s="443">
        <f t="shared" si="1682"/>
        <v>0</v>
      </c>
      <c r="EI994" s="443">
        <f t="shared" si="1682"/>
        <v>0</v>
      </c>
      <c r="EJ994" s="443">
        <f t="shared" si="1682"/>
        <v>0</v>
      </c>
      <c r="EK994" s="443">
        <f t="shared" si="1682"/>
        <v>0</v>
      </c>
      <c r="EL994" s="446">
        <f t="shared" si="1682"/>
        <v>0</v>
      </c>
      <c r="EM994" s="443">
        <f t="shared" si="1682"/>
        <v>0</v>
      </c>
      <c r="EN994" s="443">
        <f t="shared" si="1682"/>
        <v>0</v>
      </c>
      <c r="EO994" s="443">
        <f t="shared" si="1682"/>
        <v>0</v>
      </c>
      <c r="EP994" s="443">
        <f t="shared" si="1682"/>
        <v>0</v>
      </c>
      <c r="EQ994" s="443">
        <f t="shared" si="1682"/>
        <v>0</v>
      </c>
      <c r="ER994" s="443">
        <f t="shared" si="1682"/>
        <v>0</v>
      </c>
      <c r="ES994" s="443">
        <f t="shared" si="1682"/>
        <v>0</v>
      </c>
      <c r="ET994" s="443">
        <f t="shared" si="1682"/>
        <v>0</v>
      </c>
      <c r="EU994" s="443">
        <f t="shared" si="1682"/>
        <v>0</v>
      </c>
      <c r="EV994" s="443">
        <f t="shared" si="1682"/>
        <v>0</v>
      </c>
      <c r="EW994" s="443">
        <f t="shared" si="1682"/>
        <v>0</v>
      </c>
      <c r="EX994" s="446">
        <f t="shared" si="1682"/>
        <v>0</v>
      </c>
      <c r="EY994" s="443">
        <f t="shared" si="1682"/>
        <v>0</v>
      </c>
      <c r="EZ994" s="443">
        <f t="shared" si="1682"/>
        <v>0</v>
      </c>
      <c r="FA994" s="443">
        <f t="shared" si="1682"/>
        <v>0</v>
      </c>
      <c r="FB994" s="443">
        <f t="shared" si="1682"/>
        <v>0</v>
      </c>
      <c r="FC994" s="443">
        <f t="shared" si="1682"/>
        <v>0</v>
      </c>
      <c r="FD994" s="443">
        <f t="shared" si="1682"/>
        <v>0</v>
      </c>
      <c r="FE994" s="443">
        <f t="shared" si="1682"/>
        <v>0</v>
      </c>
      <c r="FF994" s="443">
        <f t="shared" si="1682"/>
        <v>0</v>
      </c>
      <c r="FG994" s="443">
        <f t="shared" si="1682"/>
        <v>0</v>
      </c>
      <c r="FH994" s="443">
        <f t="shared" si="1682"/>
        <v>0</v>
      </c>
      <c r="FI994" s="443">
        <f t="shared" si="1682"/>
        <v>0</v>
      </c>
      <c r="FJ994" s="446">
        <f t="shared" si="1682"/>
        <v>0</v>
      </c>
      <c r="FK994" s="443">
        <f t="shared" si="1682"/>
        <v>0</v>
      </c>
      <c r="FL994" s="443">
        <f t="shared" si="1682"/>
        <v>0</v>
      </c>
      <c r="FM994" s="443">
        <f t="shared" si="1682"/>
        <v>0</v>
      </c>
      <c r="FN994" s="443">
        <f t="shared" si="1682"/>
        <v>0</v>
      </c>
      <c r="FO994" s="443">
        <f t="shared" si="1682"/>
        <v>0</v>
      </c>
      <c r="FP994" s="443">
        <f t="shared" si="1682"/>
        <v>0</v>
      </c>
      <c r="FQ994" s="443">
        <f t="shared" si="1682"/>
        <v>0</v>
      </c>
      <c r="FR994" s="443">
        <f t="shared" si="1682"/>
        <v>0</v>
      </c>
      <c r="FS994" s="443">
        <f t="shared" si="1682"/>
        <v>0</v>
      </c>
      <c r="FT994" s="443">
        <f t="shared" si="1682"/>
        <v>0</v>
      </c>
      <c r="FU994" s="443">
        <f t="shared" si="1682"/>
        <v>0</v>
      </c>
      <c r="FV994" s="446">
        <f t="shared" si="1682"/>
        <v>0</v>
      </c>
      <c r="FW994" s="443">
        <f t="shared" si="1682"/>
        <v>0</v>
      </c>
      <c r="FX994" s="443">
        <f t="shared" si="1682"/>
        <v>0</v>
      </c>
      <c r="FY994" s="443">
        <f t="shared" si="1682"/>
        <v>0</v>
      </c>
      <c r="FZ994" s="443">
        <f t="shared" si="1682"/>
        <v>0</v>
      </c>
      <c r="GA994" s="443">
        <f t="shared" si="1682"/>
        <v>0</v>
      </c>
      <c r="GB994" s="443">
        <f t="shared" si="1682"/>
        <v>0</v>
      </c>
      <c r="GC994" s="443">
        <f t="shared" si="1682"/>
        <v>0</v>
      </c>
      <c r="GD994" s="443">
        <f t="shared" si="1682"/>
        <v>0</v>
      </c>
      <c r="GE994" s="443">
        <f t="shared" si="1682"/>
        <v>0</v>
      </c>
      <c r="GF994" s="443">
        <f t="shared" si="1682"/>
        <v>153.84836347500001</v>
      </c>
      <c r="GG994" s="443">
        <f t="shared" si="1682"/>
        <v>0</v>
      </c>
      <c r="GH994" s="443">
        <f t="shared" si="1682"/>
        <v>0</v>
      </c>
      <c r="HN994" s="363"/>
      <c r="HO994" s="448" t="s">
        <v>602</v>
      </c>
      <c r="HP994" s="448"/>
      <c r="HQ994" s="448"/>
      <c r="HR994" s="302">
        <f>HR$890</f>
        <v>0</v>
      </c>
      <c r="HS994" s="302">
        <f>HS$890</f>
        <v>0</v>
      </c>
      <c r="HT994" s="302">
        <f>HT$890</f>
        <v>0</v>
      </c>
      <c r="HU994" s="457">
        <f>HU$890</f>
        <v>0</v>
      </c>
      <c r="HV994" s="307"/>
      <c r="HX994" s="457">
        <f>HX$890</f>
        <v>0</v>
      </c>
      <c r="IA994" s="457">
        <f>IA$890</f>
        <v>0</v>
      </c>
      <c r="ID994" s="457">
        <f>ID$890</f>
        <v>0</v>
      </c>
      <c r="IE994" s="457"/>
      <c r="IF994" s="457"/>
      <c r="IG994" s="457">
        <f>IG$890</f>
        <v>0</v>
      </c>
      <c r="IH994" s="457"/>
      <c r="II994" s="457"/>
      <c r="IJ994" s="457">
        <f>IJ$890</f>
        <v>0</v>
      </c>
      <c r="IK994" s="457"/>
      <c r="IL994" s="457"/>
      <c r="IM994" s="457">
        <f>IM$890</f>
        <v>0</v>
      </c>
      <c r="IN994" s="457"/>
      <c r="IO994" s="457">
        <f>IO$890</f>
        <v>153.84836347500001</v>
      </c>
      <c r="IP994" s="457">
        <f>IP$890</f>
        <v>153.84836347500001</v>
      </c>
      <c r="IQ994" s="457">
        <f>IQ$890</f>
        <v>0</v>
      </c>
      <c r="IR994" s="457">
        <f>IR$890</f>
        <v>-68.114324774020005</v>
      </c>
      <c r="IS994" s="457"/>
      <c r="IT994" s="457"/>
      <c r="IU994" s="457"/>
      <c r="IV994" s="457"/>
      <c r="IW994" s="457"/>
      <c r="IX994" s="457"/>
      <c r="IY994" s="457"/>
      <c r="KI994" s="363"/>
      <c r="KJ994" s="364"/>
      <c r="KM994" s="302">
        <f>KM$890</f>
        <v>0</v>
      </c>
      <c r="KN994" s="302">
        <f>KN$890</f>
        <v>0</v>
      </c>
      <c r="KO994" s="302">
        <f>KO$890</f>
        <v>0</v>
      </c>
      <c r="KP994" s="302">
        <f>KP$890</f>
        <v>0</v>
      </c>
    </row>
    <row r="995" spans="1:302">
      <c r="B995" s="117" t="s">
        <v>361</v>
      </c>
      <c r="D995" s="442" t="str">
        <f>D$892</f>
        <v>Net incurrence of liabilities</v>
      </c>
      <c r="E995" s="443">
        <f>E$892</f>
        <v>0</v>
      </c>
      <c r="F995" s="443">
        <f t="shared" ref="F995:L995" si="1683">F$892</f>
        <v>0</v>
      </c>
      <c r="G995" s="443">
        <f t="shared" si="1683"/>
        <v>0</v>
      </c>
      <c r="H995" s="443">
        <f t="shared" si="1683"/>
        <v>0</v>
      </c>
      <c r="I995" s="443">
        <f t="shared" si="1683"/>
        <v>0</v>
      </c>
      <c r="J995" s="443">
        <f t="shared" si="1683"/>
        <v>0</v>
      </c>
      <c r="K995" s="443">
        <f t="shared" si="1683"/>
        <v>0</v>
      </c>
      <c r="L995" s="443">
        <f t="shared" si="1683"/>
        <v>0</v>
      </c>
      <c r="M995" s="443">
        <f t="shared" ref="M995:AW995" si="1684">M$892</f>
        <v>0</v>
      </c>
      <c r="N995" s="443">
        <f t="shared" si="1684"/>
        <v>0</v>
      </c>
      <c r="O995" s="443">
        <f t="shared" si="1684"/>
        <v>0</v>
      </c>
      <c r="P995" s="443">
        <f t="shared" si="1684"/>
        <v>0</v>
      </c>
      <c r="Q995" s="443">
        <f t="shared" si="1684"/>
        <v>0</v>
      </c>
      <c r="R995" s="443">
        <f t="shared" si="1684"/>
        <v>0</v>
      </c>
      <c r="S995" s="443">
        <f t="shared" si="1684"/>
        <v>0</v>
      </c>
      <c r="T995" s="443">
        <f t="shared" si="1684"/>
        <v>0</v>
      </c>
      <c r="U995" s="443">
        <f t="shared" si="1684"/>
        <v>0</v>
      </c>
      <c r="V995" s="443">
        <f t="shared" si="1684"/>
        <v>0</v>
      </c>
      <c r="W995" s="443">
        <f t="shared" si="1684"/>
        <v>0</v>
      </c>
      <c r="X995" s="443">
        <f t="shared" si="1684"/>
        <v>0</v>
      </c>
      <c r="Y995" s="443">
        <f t="shared" si="1684"/>
        <v>0</v>
      </c>
      <c r="Z995" s="443">
        <f t="shared" si="1684"/>
        <v>0</v>
      </c>
      <c r="AA995" s="443">
        <f t="shared" si="1684"/>
        <v>0</v>
      </c>
      <c r="AB995" s="443">
        <f t="shared" si="1684"/>
        <v>0</v>
      </c>
      <c r="AC995" s="443">
        <f t="shared" si="1684"/>
        <v>0</v>
      </c>
      <c r="AD995" s="443">
        <f t="shared" si="1684"/>
        <v>0</v>
      </c>
      <c r="AE995" s="443">
        <f t="shared" si="1684"/>
        <v>0</v>
      </c>
      <c r="AF995" s="443">
        <f t="shared" si="1684"/>
        <v>0</v>
      </c>
      <c r="AG995" s="443">
        <f t="shared" si="1684"/>
        <v>0</v>
      </c>
      <c r="AH995" s="443">
        <f t="shared" si="1684"/>
        <v>0</v>
      </c>
      <c r="AI995" s="443">
        <f t="shared" si="1684"/>
        <v>0</v>
      </c>
      <c r="AJ995" s="443">
        <f t="shared" si="1684"/>
        <v>0</v>
      </c>
      <c r="AK995" s="443">
        <f t="shared" si="1684"/>
        <v>0</v>
      </c>
      <c r="AL995" s="443" t="str">
        <f t="shared" si="1684"/>
        <v>`</v>
      </c>
      <c r="AM995" s="443">
        <f t="shared" si="1684"/>
        <v>0</v>
      </c>
      <c r="AN995" s="443">
        <f t="shared" si="1684"/>
        <v>0</v>
      </c>
      <c r="AO995" s="443">
        <f t="shared" si="1684"/>
        <v>0</v>
      </c>
      <c r="AP995" s="443">
        <f t="shared" si="1684"/>
        <v>0</v>
      </c>
      <c r="AQ995" s="443">
        <f t="shared" si="1684"/>
        <v>0</v>
      </c>
      <c r="AR995" s="443">
        <f t="shared" si="1684"/>
        <v>0</v>
      </c>
      <c r="AS995" s="443">
        <f t="shared" si="1684"/>
        <v>0</v>
      </c>
      <c r="AT995" s="443">
        <f t="shared" si="1684"/>
        <v>0</v>
      </c>
      <c r="AU995" s="443">
        <f t="shared" si="1684"/>
        <v>0</v>
      </c>
      <c r="AV995" s="443">
        <f t="shared" si="1684"/>
        <v>0</v>
      </c>
      <c r="AW995" s="443">
        <f t="shared" si="1684"/>
        <v>0</v>
      </c>
      <c r="AX995" s="443">
        <f t="shared" ref="AX995:BP995" si="1685">AX$892</f>
        <v>0</v>
      </c>
      <c r="AY995" s="443">
        <f t="shared" si="1685"/>
        <v>0</v>
      </c>
      <c r="AZ995" s="443">
        <f t="shared" si="1685"/>
        <v>0</v>
      </c>
      <c r="BA995" s="443">
        <f t="shared" si="1685"/>
        <v>0</v>
      </c>
      <c r="BB995" s="443">
        <f t="shared" si="1685"/>
        <v>0</v>
      </c>
      <c r="BC995" s="443">
        <f t="shared" si="1685"/>
        <v>0</v>
      </c>
      <c r="BD995" s="443">
        <f t="shared" si="1685"/>
        <v>0</v>
      </c>
      <c r="BE995" s="443">
        <f t="shared" si="1685"/>
        <v>0</v>
      </c>
      <c r="BF995" s="443">
        <f t="shared" si="1685"/>
        <v>0</v>
      </c>
      <c r="BG995" s="443">
        <f t="shared" si="1685"/>
        <v>0</v>
      </c>
      <c r="BH995" s="443">
        <f t="shared" si="1685"/>
        <v>0</v>
      </c>
      <c r="BI995" s="443">
        <f t="shared" si="1685"/>
        <v>0</v>
      </c>
      <c r="BJ995" s="443">
        <f t="shared" si="1685"/>
        <v>0</v>
      </c>
      <c r="BK995" s="443">
        <f t="shared" si="1685"/>
        <v>0</v>
      </c>
      <c r="BL995" s="443">
        <f t="shared" si="1685"/>
        <v>0</v>
      </c>
      <c r="BM995" s="443">
        <f t="shared" si="1685"/>
        <v>0</v>
      </c>
      <c r="BN995" s="443">
        <f t="shared" si="1685"/>
        <v>0</v>
      </c>
      <c r="BO995" s="443">
        <f t="shared" si="1685"/>
        <v>0</v>
      </c>
      <c r="BP995" s="443">
        <f t="shared" si="1685"/>
        <v>0</v>
      </c>
      <c r="BQ995" s="443">
        <f t="shared" ref="BQ995:EB995" si="1686">BQ$892</f>
        <v>0</v>
      </c>
      <c r="BR995" s="443">
        <f t="shared" si="1686"/>
        <v>0</v>
      </c>
      <c r="BS995" s="443">
        <f t="shared" si="1686"/>
        <v>0</v>
      </c>
      <c r="BT995" s="443">
        <f t="shared" si="1686"/>
        <v>0</v>
      </c>
      <c r="BU995" s="443">
        <f t="shared" si="1686"/>
        <v>0</v>
      </c>
      <c r="BV995" s="443">
        <f t="shared" si="1686"/>
        <v>0</v>
      </c>
      <c r="BW995" s="443">
        <f t="shared" si="1686"/>
        <v>0</v>
      </c>
      <c r="BX995" s="443">
        <f t="shared" si="1686"/>
        <v>0</v>
      </c>
      <c r="BY995" s="443">
        <f t="shared" si="1686"/>
        <v>0</v>
      </c>
      <c r="BZ995" s="443">
        <f t="shared" si="1686"/>
        <v>0</v>
      </c>
      <c r="CA995" s="443">
        <f t="shared" si="1686"/>
        <v>0</v>
      </c>
      <c r="CB995" s="443">
        <f t="shared" si="1686"/>
        <v>0</v>
      </c>
      <c r="CC995" s="443">
        <f t="shared" si="1686"/>
        <v>0</v>
      </c>
      <c r="CD995" s="444">
        <f t="shared" si="1686"/>
        <v>0</v>
      </c>
      <c r="CE995" s="443">
        <f t="shared" si="1686"/>
        <v>34.103751978889996</v>
      </c>
      <c r="CF995" s="443">
        <f t="shared" si="1686"/>
        <v>-4.3701596728948982</v>
      </c>
      <c r="CG995" s="443">
        <f t="shared" si="1686"/>
        <v>14.490385606584244</v>
      </c>
      <c r="CH995" s="443">
        <f t="shared" si="1686"/>
        <v>24.101949228732032</v>
      </c>
      <c r="CI995" s="443">
        <f t="shared" si="1686"/>
        <v>4.8666904338658554</v>
      </c>
      <c r="CJ995" s="443">
        <f t="shared" si="1686"/>
        <v>-35.949684892479723</v>
      </c>
      <c r="CK995" s="443">
        <f t="shared" si="1686"/>
        <v>45.537509746088695</v>
      </c>
      <c r="CL995" s="443">
        <f t="shared" si="1686"/>
        <v>9.1364415919191622</v>
      </c>
      <c r="CM995" s="443">
        <f t="shared" si="1686"/>
        <v>-2.0750334709891241</v>
      </c>
      <c r="CN995" s="443">
        <f t="shared" si="1686"/>
        <v>26.454445592113782</v>
      </c>
      <c r="CO995" s="443">
        <f t="shared" si="1686"/>
        <v>75.138003526653051</v>
      </c>
      <c r="CP995" s="446">
        <f t="shared" si="1686"/>
        <v>-61.621601549825932</v>
      </c>
      <c r="CQ995" s="445">
        <f t="shared" si="1686"/>
        <v>16.934996040376724</v>
      </c>
      <c r="CR995" s="445">
        <f t="shared" si="1686"/>
        <v>33.982254861906007</v>
      </c>
      <c r="CS995" s="445">
        <f t="shared" si="1686"/>
        <v>15.168543510669569</v>
      </c>
      <c r="CT995" s="445">
        <f t="shared" si="1686"/>
        <v>38.84792323146057</v>
      </c>
      <c r="CU995" s="445">
        <f t="shared" si="1686"/>
        <v>16.575555648495261</v>
      </c>
      <c r="CV995" s="445">
        <f t="shared" si="1686"/>
        <v>49.335538480133465</v>
      </c>
      <c r="CW995" s="445">
        <f t="shared" si="1686"/>
        <v>15.914124403208575</v>
      </c>
      <c r="CX995" s="445">
        <f t="shared" si="1686"/>
        <v>34.245728906493071</v>
      </c>
      <c r="CY995" s="445">
        <f t="shared" si="1686"/>
        <v>-7.9265189419644795</v>
      </c>
      <c r="CZ995" s="445">
        <f t="shared" si="1686"/>
        <v>61.445411045948624</v>
      </c>
      <c r="DA995" s="445">
        <f t="shared" si="1686"/>
        <v>58.642283989785348</v>
      </c>
      <c r="DB995" s="1520">
        <f t="shared" si="1686"/>
        <v>-52.706826344141298</v>
      </c>
      <c r="DC995" s="443">
        <f t="shared" si="1686"/>
        <v>41.192277089001109</v>
      </c>
      <c r="DD995" s="443">
        <f t="shared" si="1686"/>
        <v>14.780197209644435</v>
      </c>
      <c r="DE995" s="443">
        <f t="shared" si="1686"/>
        <v>53.478583270825894</v>
      </c>
      <c r="DF995" s="443">
        <f t="shared" si="1686"/>
        <v>41.239771737729242</v>
      </c>
      <c r="DG995" s="443">
        <f t="shared" si="1686"/>
        <v>9.1475604358185016</v>
      </c>
      <c r="DH995" s="443">
        <f t="shared" si="1686"/>
        <v>60.176420301537433</v>
      </c>
      <c r="DI995" s="443">
        <f t="shared" si="1686"/>
        <v>36.722126290948985</v>
      </c>
      <c r="DJ995" s="443">
        <f t="shared" si="1686"/>
        <v>31.496710307958718</v>
      </c>
      <c r="DK995" s="443">
        <f t="shared" si="1686"/>
        <v>37.865241974314145</v>
      </c>
      <c r="DL995" s="443">
        <f t="shared" si="1686"/>
        <v>-11.89997137852373</v>
      </c>
      <c r="DM995" s="443">
        <f t="shared" si="1686"/>
        <v>61.689458128759398</v>
      </c>
      <c r="DN995" s="446">
        <f t="shared" si="1686"/>
        <v>-56.64619658132473</v>
      </c>
      <c r="DO995" s="443">
        <f t="shared" si="1686"/>
        <v>11.186062182919162</v>
      </c>
      <c r="DP995" s="443">
        <f t="shared" si="1686"/>
        <v>70.864449492012213</v>
      </c>
      <c r="DQ995" s="443">
        <f t="shared" si="1686"/>
        <v>24.21060372043647</v>
      </c>
      <c r="DR995" s="443">
        <f t="shared" si="1686"/>
        <v>70.622034715118076</v>
      </c>
      <c r="DS995" s="443">
        <f t="shared" si="1686"/>
        <v>32.178582584032128</v>
      </c>
      <c r="DT995" s="443">
        <f t="shared" si="1686"/>
        <v>23.875939390791459</v>
      </c>
      <c r="DU995" s="443">
        <f t="shared" si="1686"/>
        <v>50.011829034546295</v>
      </c>
      <c r="DV995" s="443">
        <f t="shared" si="1686"/>
        <v>-0.54345707746229444</v>
      </c>
      <c r="DW995" s="443">
        <f t="shared" si="1686"/>
        <v>-1.1852207203239686</v>
      </c>
      <c r="DX995" s="443">
        <f t="shared" si="1686"/>
        <v>76.337304917965213</v>
      </c>
      <c r="DY995" s="443">
        <f t="shared" si="1686"/>
        <v>69.064156189306061</v>
      </c>
      <c r="DZ995" s="446">
        <f t="shared" si="1686"/>
        <v>-64.331800955969527</v>
      </c>
      <c r="EA995" s="443">
        <f t="shared" si="1686"/>
        <v>70.456011425807461</v>
      </c>
      <c r="EB995" s="443">
        <f t="shared" si="1686"/>
        <v>59.088075755302896</v>
      </c>
      <c r="EC995" s="443">
        <f t="shared" ref="EC995:GH995" si="1687">EC$892</f>
        <v>49.853341688662525</v>
      </c>
      <c r="ED995" s="443">
        <f t="shared" si="1687"/>
        <v>26.966958964856182</v>
      </c>
      <c r="EE995" s="443">
        <f t="shared" si="1687"/>
        <v>140.39644100711362</v>
      </c>
      <c r="EF995" s="443">
        <f t="shared" si="1687"/>
        <v>-63.355729292680948</v>
      </c>
      <c r="EG995" s="443">
        <f t="shared" si="1687"/>
        <v>40.939862115873339</v>
      </c>
      <c r="EH995" s="443">
        <f t="shared" si="1687"/>
        <v>1.8356171261168992</v>
      </c>
      <c r="EI995" s="443">
        <f t="shared" si="1687"/>
        <v>30.546434760231801</v>
      </c>
      <c r="EJ995" s="443">
        <f t="shared" si="1687"/>
        <v>23.670361248324099</v>
      </c>
      <c r="EK995" s="443">
        <f t="shared" si="1687"/>
        <v>113.07304808355462</v>
      </c>
      <c r="EL995" s="446">
        <f t="shared" si="1687"/>
        <v>-45.175053460513922</v>
      </c>
      <c r="EM995" s="443">
        <f t="shared" si="1687"/>
        <v>61.720814974477165</v>
      </c>
      <c r="EN995" s="443">
        <f t="shared" si="1687"/>
        <v>54.593757407764237</v>
      </c>
      <c r="EO995" s="443">
        <f t="shared" si="1687"/>
        <v>11.281725291166037</v>
      </c>
      <c r="EP995" s="443">
        <f t="shared" si="1687"/>
        <v>48.833296537657823</v>
      </c>
      <c r="EQ995" s="443">
        <f t="shared" si="1687"/>
        <v>61.408771942117866</v>
      </c>
      <c r="ER995" s="443">
        <f t="shared" si="1687"/>
        <v>35.852359842208017</v>
      </c>
      <c r="ES995" s="443">
        <f t="shared" si="1687"/>
        <v>3.3300935262533926</v>
      </c>
      <c r="ET995" s="443">
        <f t="shared" si="1687"/>
        <v>26.039169528038485</v>
      </c>
      <c r="EU995" s="443">
        <f t="shared" si="1687"/>
        <v>36.366576262926174</v>
      </c>
      <c r="EV995" s="443">
        <f t="shared" si="1687"/>
        <v>194.69246042972006</v>
      </c>
      <c r="EW995" s="443">
        <f t="shared" si="1687"/>
        <v>84.095637754151028</v>
      </c>
      <c r="EX995" s="446">
        <f t="shared" si="1687"/>
        <v>-61.961748140226035</v>
      </c>
      <c r="EY995" s="443">
        <f t="shared" si="1687"/>
        <v>27.516350839928734</v>
      </c>
      <c r="EZ995" s="443">
        <f t="shared" si="1687"/>
        <v>60.071343762704274</v>
      </c>
      <c r="FA995" s="443">
        <f t="shared" si="1687"/>
        <v>80.959750160640269</v>
      </c>
      <c r="FB995" s="443">
        <f t="shared" si="1687"/>
        <v>154.79132916041971</v>
      </c>
      <c r="FC995" s="443">
        <f t="shared" si="1687"/>
        <v>106.13331155283268</v>
      </c>
      <c r="FD995" s="443">
        <f t="shared" si="1687"/>
        <v>106.15415721997124</v>
      </c>
      <c r="FE995" s="443">
        <f t="shared" si="1687"/>
        <v>81.236622079908159</v>
      </c>
      <c r="FF995" s="443">
        <f t="shared" si="1687"/>
        <v>38.502700305016397</v>
      </c>
      <c r="FG995" s="443">
        <f t="shared" si="1687"/>
        <v>65.70443077627057</v>
      </c>
      <c r="FH995" s="443">
        <f t="shared" si="1687"/>
        <v>133.88720392724824</v>
      </c>
      <c r="FI995" s="443">
        <f t="shared" si="1687"/>
        <v>113.4760928221684</v>
      </c>
      <c r="FJ995" s="446">
        <f t="shared" si="1687"/>
        <v>191.55778302299052</v>
      </c>
      <c r="FK995" s="443">
        <f t="shared" si="1687"/>
        <v>272.29667624293302</v>
      </c>
      <c r="FL995" s="443">
        <f t="shared" si="1687"/>
        <v>85.757028899936358</v>
      </c>
      <c r="FM995" s="443">
        <f t="shared" si="1687"/>
        <v>79.705131816396801</v>
      </c>
      <c r="FN995" s="443">
        <f t="shared" si="1687"/>
        <v>44.085675965280153</v>
      </c>
      <c r="FO995" s="443">
        <f t="shared" si="1687"/>
        <v>62.000428352211486</v>
      </c>
      <c r="FP995" s="443">
        <f t="shared" si="1687"/>
        <v>220.30429730195885</v>
      </c>
      <c r="FQ995" s="443">
        <f t="shared" si="1687"/>
        <v>64.671681971204961</v>
      </c>
      <c r="FR995" s="443">
        <f t="shared" si="1687"/>
        <v>45.142167082393954</v>
      </c>
      <c r="FS995" s="443">
        <f t="shared" si="1687"/>
        <v>28.746229178840011</v>
      </c>
      <c r="FT995" s="443">
        <f t="shared" si="1687"/>
        <v>-2.9779947346402125</v>
      </c>
      <c r="FU995" s="443">
        <f t="shared" si="1687"/>
        <v>111.78413198000437</v>
      </c>
      <c r="FV995" s="446">
        <f t="shared" si="1687"/>
        <v>-100.7771087220332</v>
      </c>
      <c r="FW995" s="443">
        <f t="shared" si="1687"/>
        <v>34.068269033979405</v>
      </c>
      <c r="FX995" s="443">
        <f t="shared" si="1687"/>
        <v>179.3542219223047</v>
      </c>
      <c r="FY995" s="443">
        <f t="shared" si="1687"/>
        <v>94.358514982011172</v>
      </c>
      <c r="FZ995" s="443">
        <f t="shared" si="1687"/>
        <v>161.23962602570217</v>
      </c>
      <c r="GA995" s="443">
        <f t="shared" si="1687"/>
        <v>108.39809335973445</v>
      </c>
      <c r="GB995" s="443">
        <f t="shared" si="1687"/>
        <v>319.09213118077048</v>
      </c>
      <c r="GC995" s="443">
        <f t="shared" si="1687"/>
        <v>45.817001772149879</v>
      </c>
      <c r="GD995" s="443">
        <f t="shared" si="1687"/>
        <v>87.24447782106057</v>
      </c>
      <c r="GE995" s="443">
        <f t="shared" si="1687"/>
        <v>23.572605436580972</v>
      </c>
      <c r="GF995" s="443">
        <f t="shared" si="1687"/>
        <v>65.775641993713919</v>
      </c>
      <c r="GG995" s="443">
        <f t="shared" si="1687"/>
        <v>54.55927970491156</v>
      </c>
      <c r="GH995" s="443">
        <f t="shared" si="1687"/>
        <v>78.759328071046838</v>
      </c>
      <c r="HN995" s="363"/>
      <c r="HO995" s="442" t="s">
        <v>603</v>
      </c>
      <c r="HP995" s="442"/>
      <c r="HQ995" s="442"/>
      <c r="HR995" s="302">
        <f>HR$892</f>
        <v>129.81269811865718</v>
      </c>
      <c r="HS995" s="302">
        <f>HS$892</f>
        <v>170.84481177304158</v>
      </c>
      <c r="HT995" s="302">
        <f>HT$892</f>
        <v>109.61420305932984</v>
      </c>
      <c r="HU995" s="457">
        <f>HU$892</f>
        <v>280.45901483237139</v>
      </c>
      <c r="HV995" s="307"/>
      <c r="HX995" s="457">
        <f>HX$892</f>
        <v>319.24217878668935</v>
      </c>
      <c r="IA995" s="457">
        <f>IA$892</f>
        <v>362.2904834733713</v>
      </c>
      <c r="ID995" s="457">
        <f>ID$892</f>
        <v>448.29536942264849</v>
      </c>
      <c r="IE995" s="457"/>
      <c r="IF995" s="457"/>
      <c r="IG995" s="457">
        <f>IG$892</f>
        <v>556.25291535625433</v>
      </c>
      <c r="IH995" s="457"/>
      <c r="II995" s="457"/>
      <c r="IJ995" s="457">
        <f>IJ$892</f>
        <v>1159.9910756300992</v>
      </c>
      <c r="IK995" s="457"/>
      <c r="IL995" s="457"/>
      <c r="IM995" s="457">
        <f>IM$892</f>
        <v>910.73834533448655</v>
      </c>
      <c r="IN995" s="457"/>
      <c r="IO995" s="457">
        <f>IO$892</f>
        <v>355.72833479946371</v>
      </c>
      <c r="IP995" s="457">
        <f>IP$892</f>
        <v>1252.239191303966</v>
      </c>
      <c r="IQ995" s="457">
        <f>IQ$892</f>
        <v>494.10151013914162</v>
      </c>
      <c r="IR995" s="457">
        <f>IR$892</f>
        <v>456.73440173143285</v>
      </c>
      <c r="IS995" s="457"/>
      <c r="IT995" s="457"/>
      <c r="IU995" s="457"/>
      <c r="IV995" s="457"/>
      <c r="IW995" s="457"/>
      <c r="IX995" s="457"/>
      <c r="IY995" s="457"/>
      <c r="KI995" s="363"/>
      <c r="KJ995" s="364"/>
      <c r="KM995" s="302">
        <f>KM$892</f>
        <v>0</v>
      </c>
      <c r="KN995" s="302">
        <f>KN$892</f>
        <v>0</v>
      </c>
      <c r="KO995" s="302">
        <f>KO$892</f>
        <v>0</v>
      </c>
      <c r="KP995" s="302">
        <f>KP$892</f>
        <v>0</v>
      </c>
    </row>
    <row r="996" spans="1:302">
      <c r="B996" s="117" t="s">
        <v>361</v>
      </c>
      <c r="D996" s="448" t="str">
        <f>D$893</f>
        <v xml:space="preserve">Domestic </v>
      </c>
      <c r="E996" s="443">
        <f>E$893</f>
        <v>0</v>
      </c>
      <c r="F996" s="443">
        <f t="shared" ref="F996:L996" si="1688">F$893</f>
        <v>0</v>
      </c>
      <c r="G996" s="443">
        <f t="shared" si="1688"/>
        <v>0</v>
      </c>
      <c r="H996" s="443">
        <f t="shared" si="1688"/>
        <v>0</v>
      </c>
      <c r="I996" s="443">
        <f t="shared" si="1688"/>
        <v>0</v>
      </c>
      <c r="J996" s="443">
        <f t="shared" si="1688"/>
        <v>0</v>
      </c>
      <c r="K996" s="443">
        <f t="shared" si="1688"/>
        <v>0</v>
      </c>
      <c r="L996" s="443">
        <f t="shared" si="1688"/>
        <v>0</v>
      </c>
      <c r="M996" s="443">
        <f t="shared" ref="M996:AW996" si="1689">M$893</f>
        <v>0</v>
      </c>
      <c r="N996" s="443">
        <f t="shared" si="1689"/>
        <v>0</v>
      </c>
      <c r="O996" s="443">
        <f t="shared" si="1689"/>
        <v>0</v>
      </c>
      <c r="P996" s="443">
        <f t="shared" si="1689"/>
        <v>0</v>
      </c>
      <c r="Q996" s="443">
        <f t="shared" si="1689"/>
        <v>0</v>
      </c>
      <c r="R996" s="443">
        <f t="shared" si="1689"/>
        <v>0</v>
      </c>
      <c r="S996" s="443">
        <f t="shared" si="1689"/>
        <v>0</v>
      </c>
      <c r="T996" s="443">
        <f t="shared" si="1689"/>
        <v>0</v>
      </c>
      <c r="U996" s="443">
        <f t="shared" si="1689"/>
        <v>0</v>
      </c>
      <c r="V996" s="443">
        <f t="shared" si="1689"/>
        <v>0</v>
      </c>
      <c r="W996" s="443">
        <f t="shared" si="1689"/>
        <v>0</v>
      </c>
      <c r="X996" s="443">
        <f t="shared" si="1689"/>
        <v>0</v>
      </c>
      <c r="Y996" s="443">
        <f t="shared" si="1689"/>
        <v>0</v>
      </c>
      <c r="Z996" s="443">
        <f t="shared" si="1689"/>
        <v>0</v>
      </c>
      <c r="AA996" s="443">
        <f t="shared" si="1689"/>
        <v>0</v>
      </c>
      <c r="AB996" s="443">
        <f t="shared" si="1689"/>
        <v>0</v>
      </c>
      <c r="AC996" s="443">
        <f t="shared" si="1689"/>
        <v>0</v>
      </c>
      <c r="AD996" s="443">
        <f t="shared" si="1689"/>
        <v>0</v>
      </c>
      <c r="AE996" s="443">
        <f t="shared" si="1689"/>
        <v>0</v>
      </c>
      <c r="AF996" s="443">
        <f t="shared" si="1689"/>
        <v>0</v>
      </c>
      <c r="AG996" s="443">
        <f t="shared" si="1689"/>
        <v>0</v>
      </c>
      <c r="AH996" s="443">
        <f t="shared" si="1689"/>
        <v>0</v>
      </c>
      <c r="AI996" s="443">
        <f t="shared" si="1689"/>
        <v>0</v>
      </c>
      <c r="AJ996" s="443">
        <f t="shared" si="1689"/>
        <v>0</v>
      </c>
      <c r="AK996" s="443">
        <f t="shared" si="1689"/>
        <v>0</v>
      </c>
      <c r="AL996" s="443">
        <f t="shared" si="1689"/>
        <v>0</v>
      </c>
      <c r="AM996" s="443">
        <f t="shared" si="1689"/>
        <v>0</v>
      </c>
      <c r="AN996" s="443">
        <f t="shared" si="1689"/>
        <v>0</v>
      </c>
      <c r="AO996" s="443">
        <f t="shared" si="1689"/>
        <v>0</v>
      </c>
      <c r="AP996" s="443">
        <f t="shared" si="1689"/>
        <v>0</v>
      </c>
      <c r="AQ996" s="443">
        <f t="shared" si="1689"/>
        <v>0</v>
      </c>
      <c r="AR996" s="443">
        <f t="shared" si="1689"/>
        <v>0</v>
      </c>
      <c r="AS996" s="443">
        <f t="shared" si="1689"/>
        <v>0</v>
      </c>
      <c r="AT996" s="443">
        <f t="shared" si="1689"/>
        <v>0</v>
      </c>
      <c r="AU996" s="443">
        <f t="shared" si="1689"/>
        <v>0</v>
      </c>
      <c r="AV996" s="443">
        <f t="shared" si="1689"/>
        <v>0</v>
      </c>
      <c r="AW996" s="443">
        <f t="shared" si="1689"/>
        <v>0</v>
      </c>
      <c r="AX996" s="443">
        <f t="shared" ref="AX996:BP996" si="1690">AX$893</f>
        <v>0</v>
      </c>
      <c r="AY996" s="443">
        <f t="shared" si="1690"/>
        <v>0</v>
      </c>
      <c r="AZ996" s="443">
        <f t="shared" si="1690"/>
        <v>0</v>
      </c>
      <c r="BA996" s="443">
        <f t="shared" si="1690"/>
        <v>0</v>
      </c>
      <c r="BB996" s="443">
        <f t="shared" si="1690"/>
        <v>0</v>
      </c>
      <c r="BC996" s="443">
        <f t="shared" si="1690"/>
        <v>0</v>
      </c>
      <c r="BD996" s="443">
        <f t="shared" si="1690"/>
        <v>0</v>
      </c>
      <c r="BE996" s="443">
        <f t="shared" si="1690"/>
        <v>0</v>
      </c>
      <c r="BF996" s="443">
        <f t="shared" si="1690"/>
        <v>0</v>
      </c>
      <c r="BG996" s="443">
        <f t="shared" si="1690"/>
        <v>0</v>
      </c>
      <c r="BH996" s="443">
        <f t="shared" si="1690"/>
        <v>0</v>
      </c>
      <c r="BI996" s="443">
        <f t="shared" si="1690"/>
        <v>0</v>
      </c>
      <c r="BJ996" s="443">
        <f t="shared" si="1690"/>
        <v>0</v>
      </c>
      <c r="BK996" s="443">
        <f t="shared" si="1690"/>
        <v>0</v>
      </c>
      <c r="BL996" s="443">
        <f t="shared" si="1690"/>
        <v>0</v>
      </c>
      <c r="BM996" s="443">
        <f t="shared" si="1690"/>
        <v>0</v>
      </c>
      <c r="BN996" s="443">
        <f t="shared" si="1690"/>
        <v>0</v>
      </c>
      <c r="BO996" s="443">
        <f t="shared" si="1690"/>
        <v>0</v>
      </c>
      <c r="BP996" s="443">
        <f t="shared" si="1690"/>
        <v>0</v>
      </c>
      <c r="BQ996" s="443">
        <f t="shared" ref="BQ996:EB996" si="1691">BQ$893</f>
        <v>0</v>
      </c>
      <c r="BR996" s="443">
        <f t="shared" si="1691"/>
        <v>0</v>
      </c>
      <c r="BS996" s="443">
        <f t="shared" si="1691"/>
        <v>0</v>
      </c>
      <c r="BT996" s="443">
        <f t="shared" si="1691"/>
        <v>0</v>
      </c>
      <c r="BU996" s="443">
        <f t="shared" si="1691"/>
        <v>0</v>
      </c>
      <c r="BV996" s="443">
        <f t="shared" si="1691"/>
        <v>0</v>
      </c>
      <c r="BW996" s="443">
        <f t="shared" si="1691"/>
        <v>0</v>
      </c>
      <c r="BX996" s="443">
        <f t="shared" si="1691"/>
        <v>0</v>
      </c>
      <c r="BY996" s="443">
        <f t="shared" si="1691"/>
        <v>0</v>
      </c>
      <c r="BZ996" s="443">
        <f t="shared" si="1691"/>
        <v>0</v>
      </c>
      <c r="CA996" s="443">
        <f t="shared" si="1691"/>
        <v>0</v>
      </c>
      <c r="CB996" s="443">
        <f t="shared" si="1691"/>
        <v>0</v>
      </c>
      <c r="CC996" s="443">
        <f t="shared" si="1691"/>
        <v>0</v>
      </c>
      <c r="CD996" s="444">
        <f t="shared" si="1691"/>
        <v>0</v>
      </c>
      <c r="CE996" s="443">
        <f t="shared" si="1691"/>
        <v>28.038884640999981</v>
      </c>
      <c r="CF996" s="443">
        <f t="shared" si="1691"/>
        <v>-8.1644795279999887</v>
      </c>
      <c r="CG996" s="443">
        <f t="shared" si="1691"/>
        <v>11.07604008700001</v>
      </c>
      <c r="CH996" s="443">
        <f t="shared" si="1691"/>
        <v>19.295499916000018</v>
      </c>
      <c r="CI996" s="443">
        <f t="shared" si="1691"/>
        <v>1.9333040049999823</v>
      </c>
      <c r="CJ996" s="443">
        <f t="shared" si="1691"/>
        <v>-42.016117240000042</v>
      </c>
      <c r="CK996" s="443">
        <f t="shared" si="1691"/>
        <v>34.987766365359711</v>
      </c>
      <c r="CL996" s="443">
        <f t="shared" si="1691"/>
        <v>7.5270274272589974</v>
      </c>
      <c r="CM996" s="443">
        <f t="shared" si="1691"/>
        <v>-4.0838809607345805</v>
      </c>
      <c r="CN996" s="443">
        <f t="shared" si="1691"/>
        <v>25.18260403608971</v>
      </c>
      <c r="CO996" s="443">
        <f t="shared" si="1691"/>
        <v>37.032649776026204</v>
      </c>
      <c r="CP996" s="446">
        <f t="shared" si="1691"/>
        <v>-86.153515779081246</v>
      </c>
      <c r="CQ996" s="443">
        <f t="shared" si="1691"/>
        <v>11.992976739534837</v>
      </c>
      <c r="CR996" s="443">
        <f t="shared" si="1691"/>
        <v>30.15136091674934</v>
      </c>
      <c r="CS996" s="443">
        <f t="shared" si="1691"/>
        <v>3.1656762680855084</v>
      </c>
      <c r="CT996" s="443">
        <f t="shared" si="1691"/>
        <v>33.658589305300481</v>
      </c>
      <c r="CU996" s="443">
        <f t="shared" si="1691"/>
        <v>6.1096968111579226</v>
      </c>
      <c r="CV996" s="443">
        <f t="shared" si="1691"/>
        <v>-17.685539985750676</v>
      </c>
      <c r="CW996" s="443">
        <f t="shared" si="1691"/>
        <v>8.0378884380826499</v>
      </c>
      <c r="CX996" s="443">
        <f t="shared" si="1691"/>
        <v>30.697138003218029</v>
      </c>
      <c r="CY996" s="443">
        <f t="shared" si="1691"/>
        <v>-16.582285944247218</v>
      </c>
      <c r="CZ996" s="443">
        <f t="shared" si="1691"/>
        <v>13.232324986498604</v>
      </c>
      <c r="DA996" s="443">
        <f t="shared" si="1691"/>
        <v>53.746502489444033</v>
      </c>
      <c r="DB996" s="1520">
        <f t="shared" si="1691"/>
        <v>-64.251892001934266</v>
      </c>
      <c r="DC996" s="443">
        <f t="shared" si="1691"/>
        <v>41.519739782999977</v>
      </c>
      <c r="DD996" s="443">
        <f t="shared" si="1691"/>
        <v>11.249668732000004</v>
      </c>
      <c r="DE996" s="443">
        <f t="shared" si="1691"/>
        <v>-1.9254449259999777</v>
      </c>
      <c r="DF996" s="443">
        <f t="shared" si="1691"/>
        <v>27.401834188999988</v>
      </c>
      <c r="DG996" s="443">
        <f t="shared" si="1691"/>
        <v>5.0958376069999893</v>
      </c>
      <c r="DH996" s="443">
        <f t="shared" si="1691"/>
        <v>-29.841724190999987</v>
      </c>
      <c r="DI996" s="443">
        <f t="shared" si="1691"/>
        <v>30.846356862000011</v>
      </c>
      <c r="DJ996" s="443">
        <f t="shared" si="1691"/>
        <v>10.024365934999985</v>
      </c>
      <c r="DK996" s="443">
        <f t="shared" si="1691"/>
        <v>26.437295029999994</v>
      </c>
      <c r="DL996" s="443">
        <f t="shared" si="1691"/>
        <v>-22.394422949999999</v>
      </c>
      <c r="DM996" s="443">
        <f t="shared" si="1691"/>
        <v>56.757906068000004</v>
      </c>
      <c r="DN996" s="446">
        <f t="shared" si="1691"/>
        <v>-60.337361012000002</v>
      </c>
      <c r="DO996" s="443">
        <f t="shared" si="1691"/>
        <v>8.7031645269964599</v>
      </c>
      <c r="DP996" s="443">
        <f t="shared" si="1691"/>
        <v>62.616519898000007</v>
      </c>
      <c r="DQ996" s="443">
        <f t="shared" si="1691"/>
        <v>-10.592296672999989</v>
      </c>
      <c r="DR996" s="443">
        <f t="shared" si="1691"/>
        <v>2.3871431940000054</v>
      </c>
      <c r="DS996" s="443">
        <f t="shared" si="1691"/>
        <v>22.441761348999979</v>
      </c>
      <c r="DT996" s="443">
        <f t="shared" si="1691"/>
        <v>-69.430817590999993</v>
      </c>
      <c r="DU996" s="443">
        <f t="shared" si="1691"/>
        <v>39.488747646003546</v>
      </c>
      <c r="DV996" s="443">
        <f t="shared" si="1691"/>
        <v>-3.5187946419999889</v>
      </c>
      <c r="DW996" s="443">
        <f t="shared" si="1691"/>
        <v>-17.47074480900001</v>
      </c>
      <c r="DX996" s="443">
        <f t="shared" si="1691"/>
        <v>56.407051640000006</v>
      </c>
      <c r="DY996" s="443">
        <f t="shared" si="1691"/>
        <v>32.484485099000011</v>
      </c>
      <c r="DZ996" s="446">
        <f t="shared" si="1691"/>
        <v>-84.214670556000002</v>
      </c>
      <c r="EA996" s="443">
        <f t="shared" si="1691"/>
        <v>62.032836149418991</v>
      </c>
      <c r="EB996" s="443">
        <f t="shared" si="1691"/>
        <v>27.404475149000003</v>
      </c>
      <c r="EC996" s="443">
        <f t="shared" ref="EC996:GH996" si="1692">EC$893</f>
        <v>25.194526919003167</v>
      </c>
      <c r="ED996" s="443">
        <f t="shared" si="1692"/>
        <v>8.2831225220000402</v>
      </c>
      <c r="EE996" s="443">
        <f t="shared" si="1692"/>
        <v>29.430356048000032</v>
      </c>
      <c r="EF996" s="443">
        <f t="shared" si="1692"/>
        <v>-77.869789291000032</v>
      </c>
      <c r="EG996" s="443">
        <f t="shared" si="1692"/>
        <v>-14.483484360000194</v>
      </c>
      <c r="EH996" s="443">
        <f t="shared" si="1692"/>
        <v>-2.0603527559999453</v>
      </c>
      <c r="EI996" s="443">
        <f t="shared" si="1692"/>
        <v>15.966370475999989</v>
      </c>
      <c r="EJ996" s="443">
        <f t="shared" si="1692"/>
        <v>14.816504093000027</v>
      </c>
      <c r="EK996" s="443">
        <f t="shared" si="1692"/>
        <v>74.683573704999972</v>
      </c>
      <c r="EL996" s="446">
        <f t="shared" si="1692"/>
        <v>-71.131900108999972</v>
      </c>
      <c r="EM996" s="443">
        <f t="shared" si="1692"/>
        <v>52.59020585661068</v>
      </c>
      <c r="EN996" s="443">
        <f t="shared" si="1692"/>
        <v>52.958335955827494</v>
      </c>
      <c r="EO996" s="443">
        <f t="shared" si="1692"/>
        <v>0.29455539703401884</v>
      </c>
      <c r="EP996" s="443">
        <f t="shared" si="1692"/>
        <v>44.271199766139759</v>
      </c>
      <c r="EQ996" s="443">
        <f t="shared" si="1692"/>
        <v>48.232240130666895</v>
      </c>
      <c r="ER996" s="443">
        <f t="shared" si="1692"/>
        <v>-183.42444285786468</v>
      </c>
      <c r="ES996" s="443">
        <f t="shared" si="1692"/>
        <v>-19.049656460004748</v>
      </c>
      <c r="ET996" s="443">
        <f t="shared" si="1692"/>
        <v>10.879885786645026</v>
      </c>
      <c r="EU996" s="443">
        <f t="shared" si="1692"/>
        <v>24.972277946898849</v>
      </c>
      <c r="EV996" s="443">
        <f t="shared" si="1692"/>
        <v>176.24239976555975</v>
      </c>
      <c r="EW996" s="443">
        <f t="shared" si="1692"/>
        <v>67.955899553498682</v>
      </c>
      <c r="EX996" s="446">
        <f t="shared" si="1692"/>
        <v>-167.98195212850095</v>
      </c>
      <c r="EY996" s="443">
        <f t="shared" si="1692"/>
        <v>8.8060266991667326</v>
      </c>
      <c r="EZ996" s="443">
        <f t="shared" si="1692"/>
        <v>33.713068134166669</v>
      </c>
      <c r="FA996" s="443">
        <f t="shared" si="1692"/>
        <v>55.297794945166679</v>
      </c>
      <c r="FB996" s="443">
        <f t="shared" si="1692"/>
        <v>-25.549531193833424</v>
      </c>
      <c r="FC996" s="443">
        <f t="shared" si="1692"/>
        <v>70.672763521166786</v>
      </c>
      <c r="FD996" s="443">
        <f t="shared" si="1692"/>
        <v>-40.165605226833272</v>
      </c>
      <c r="FE996" s="443">
        <f t="shared" si="1692"/>
        <v>21.010600483000054</v>
      </c>
      <c r="FF996" s="443">
        <f t="shared" si="1692"/>
        <v>11.861338452999956</v>
      </c>
      <c r="FG996" s="443">
        <f t="shared" si="1692"/>
        <v>53.998815137999934</v>
      </c>
      <c r="FH996" s="443">
        <f t="shared" si="1692"/>
        <v>9.7694358920000859</v>
      </c>
      <c r="FI996" s="443">
        <f t="shared" si="1692"/>
        <v>80.540081259999965</v>
      </c>
      <c r="FJ996" s="446">
        <f t="shared" si="1692"/>
        <v>-73.983404052999902</v>
      </c>
      <c r="FK996" s="443">
        <f t="shared" si="1692"/>
        <v>106.92951367999991</v>
      </c>
      <c r="FL996" s="443">
        <f t="shared" si="1692"/>
        <v>43.080289407000016</v>
      </c>
      <c r="FM996" s="443">
        <f t="shared" si="1692"/>
        <v>32.33142749500005</v>
      </c>
      <c r="FN996" s="443">
        <f t="shared" si="1692"/>
        <v>14.280033375999963</v>
      </c>
      <c r="FO996" s="443">
        <f t="shared" si="1692"/>
        <v>37.867330151000004</v>
      </c>
      <c r="FP996" s="443">
        <f t="shared" si="1692"/>
        <v>78.268904388999985</v>
      </c>
      <c r="FQ996" s="443">
        <f t="shared" si="1692"/>
        <v>56.513310707999956</v>
      </c>
      <c r="FR996" s="443">
        <f t="shared" si="1692"/>
        <v>14.445478063999953</v>
      </c>
      <c r="FS996" s="443">
        <f t="shared" si="1692"/>
        <v>-67.302425472499962</v>
      </c>
      <c r="FT996" s="443">
        <f t="shared" si="1692"/>
        <v>-27.207053727999934</v>
      </c>
      <c r="FU996" s="443">
        <f t="shared" si="1692"/>
        <v>104.2357967584999</v>
      </c>
      <c r="FV996" s="446">
        <f t="shared" si="1692"/>
        <v>-139.97669962299994</v>
      </c>
      <c r="FW996" s="443">
        <f t="shared" si="1692"/>
        <v>6.4440742439999426</v>
      </c>
      <c r="FX996" s="443">
        <f t="shared" si="1692"/>
        <v>-110.25656577199993</v>
      </c>
      <c r="FY996" s="443">
        <f t="shared" si="1692"/>
        <v>76.946068955000015</v>
      </c>
      <c r="FZ996" s="443">
        <f t="shared" si="1692"/>
        <v>73.548558105000026</v>
      </c>
      <c r="GA996" s="443">
        <f t="shared" si="1692"/>
        <v>34.178356372999986</v>
      </c>
      <c r="GB996" s="443">
        <f t="shared" si="1692"/>
        <v>60.037688816000028</v>
      </c>
      <c r="GC996" s="443">
        <f t="shared" si="1692"/>
        <v>42.528415184999993</v>
      </c>
      <c r="GD996" s="443">
        <f t="shared" si="1692"/>
        <v>73.302084485999927</v>
      </c>
      <c r="GE996" s="443">
        <f t="shared" si="1692"/>
        <v>-59.085697237999895</v>
      </c>
      <c r="GF996" s="443">
        <f t="shared" si="1692"/>
        <v>26.187483576333296</v>
      </c>
      <c r="GG996" s="443">
        <f t="shared" si="1692"/>
        <v>10.009192227333415</v>
      </c>
      <c r="GH996" s="443">
        <f t="shared" si="1692"/>
        <v>-13.2532113430942</v>
      </c>
      <c r="HN996" s="363"/>
      <c r="HO996" s="448" t="s">
        <v>597</v>
      </c>
      <c r="HP996" s="448"/>
      <c r="HQ996" s="448"/>
      <c r="HR996" s="302">
        <f>HR$893</f>
        <v>24.655782745918764</v>
      </c>
      <c r="HS996" s="302">
        <f>HS$893</f>
        <v>67.392760055077403</v>
      </c>
      <c r="HT996" s="302">
        <f>HT$893</f>
        <v>24.879675971061829</v>
      </c>
      <c r="HU996" s="457">
        <f>HU$893</f>
        <v>92.272436026139232</v>
      </c>
      <c r="HV996" s="307"/>
      <c r="HX996" s="457">
        <f>HX$893</f>
        <v>94.834051126999995</v>
      </c>
      <c r="IA996" s="457">
        <f>IA$893</f>
        <v>39.301549082000022</v>
      </c>
      <c r="ID996" s="457">
        <f>ID$893</f>
        <v>92.266238545422084</v>
      </c>
      <c r="IE996" s="457"/>
      <c r="IF996" s="457"/>
      <c r="IG996" s="457">
        <f>IG$893</f>
        <v>107.94094871251076</v>
      </c>
      <c r="IH996" s="457"/>
      <c r="II996" s="457"/>
      <c r="IJ996" s="457">
        <f>IJ$893</f>
        <v>205.97138405200027</v>
      </c>
      <c r="IK996" s="457"/>
      <c r="IL996" s="457"/>
      <c r="IM996" s="457">
        <f>IM$893</f>
        <v>253.46590520499987</v>
      </c>
      <c r="IN996" s="457"/>
      <c r="IO996" s="457">
        <f>IO$893</f>
        <v>79.688266893572546</v>
      </c>
      <c r="IP996" s="457">
        <f>IP$893</f>
        <v>220.58644761457262</v>
      </c>
      <c r="IQ996" s="457">
        <f>IQ$893</f>
        <v>319.51503415199988</v>
      </c>
      <c r="IR996" s="457">
        <f>IR$893</f>
        <v>-177.18774524199986</v>
      </c>
      <c r="IS996" s="457"/>
      <c r="IT996" s="457"/>
      <c r="IU996" s="457"/>
      <c r="IV996" s="457"/>
      <c r="IW996" s="457"/>
      <c r="IX996" s="457"/>
      <c r="IY996" s="457"/>
      <c r="KI996" s="363"/>
      <c r="KJ996" s="364"/>
      <c r="KM996" s="302">
        <f>KM$893</f>
        <v>0</v>
      </c>
      <c r="KN996" s="302">
        <f>KN$893</f>
        <v>0</v>
      </c>
      <c r="KO996" s="302">
        <f>KO$893</f>
        <v>0</v>
      </c>
      <c r="KP996" s="302">
        <f>KP$893</f>
        <v>0</v>
      </c>
    </row>
    <row r="997" spans="1:302">
      <c r="B997" s="117" t="s">
        <v>361</v>
      </c>
      <c r="D997" s="448" t="str">
        <f>D$920</f>
        <v xml:space="preserve">Foreign </v>
      </c>
      <c r="E997" s="443">
        <f>E$920</f>
        <v>0</v>
      </c>
      <c r="F997" s="443">
        <f t="shared" ref="F997:L997" si="1693">F$920</f>
        <v>0</v>
      </c>
      <c r="G997" s="443">
        <f t="shared" si="1693"/>
        <v>0</v>
      </c>
      <c r="H997" s="443">
        <f t="shared" si="1693"/>
        <v>0</v>
      </c>
      <c r="I997" s="443">
        <f t="shared" si="1693"/>
        <v>0</v>
      </c>
      <c r="J997" s="443">
        <f t="shared" si="1693"/>
        <v>0</v>
      </c>
      <c r="K997" s="443">
        <f t="shared" si="1693"/>
        <v>0</v>
      </c>
      <c r="L997" s="443">
        <f t="shared" si="1693"/>
        <v>0</v>
      </c>
      <c r="M997" s="443">
        <f t="shared" ref="M997:AW997" si="1694">M$920</f>
        <v>0</v>
      </c>
      <c r="N997" s="443">
        <f t="shared" si="1694"/>
        <v>0</v>
      </c>
      <c r="O997" s="443">
        <f t="shared" si="1694"/>
        <v>0</v>
      </c>
      <c r="P997" s="443">
        <f t="shared" si="1694"/>
        <v>0</v>
      </c>
      <c r="Q997" s="443">
        <f t="shared" si="1694"/>
        <v>0</v>
      </c>
      <c r="R997" s="443">
        <f t="shared" si="1694"/>
        <v>0</v>
      </c>
      <c r="S997" s="443">
        <f t="shared" si="1694"/>
        <v>0</v>
      </c>
      <c r="T997" s="443">
        <f t="shared" si="1694"/>
        <v>0</v>
      </c>
      <c r="U997" s="443">
        <f t="shared" si="1694"/>
        <v>0</v>
      </c>
      <c r="V997" s="443">
        <f t="shared" si="1694"/>
        <v>0</v>
      </c>
      <c r="W997" s="443">
        <f t="shared" si="1694"/>
        <v>0</v>
      </c>
      <c r="X997" s="443">
        <f t="shared" si="1694"/>
        <v>0</v>
      </c>
      <c r="Y997" s="443">
        <f t="shared" si="1694"/>
        <v>0</v>
      </c>
      <c r="Z997" s="443">
        <f t="shared" si="1694"/>
        <v>0</v>
      </c>
      <c r="AA997" s="443">
        <f t="shared" si="1694"/>
        <v>0</v>
      </c>
      <c r="AB997" s="443">
        <f t="shared" si="1694"/>
        <v>0</v>
      </c>
      <c r="AC997" s="443">
        <f t="shared" si="1694"/>
        <v>0</v>
      </c>
      <c r="AD997" s="443">
        <f t="shared" si="1694"/>
        <v>0</v>
      </c>
      <c r="AE997" s="443">
        <f t="shared" si="1694"/>
        <v>0</v>
      </c>
      <c r="AF997" s="443">
        <f t="shared" si="1694"/>
        <v>0</v>
      </c>
      <c r="AG997" s="443">
        <f t="shared" si="1694"/>
        <v>0</v>
      </c>
      <c r="AH997" s="443">
        <f t="shared" si="1694"/>
        <v>0</v>
      </c>
      <c r="AI997" s="443">
        <f t="shared" si="1694"/>
        <v>0</v>
      </c>
      <c r="AJ997" s="443">
        <f t="shared" si="1694"/>
        <v>0</v>
      </c>
      <c r="AK997" s="443">
        <f t="shared" si="1694"/>
        <v>0</v>
      </c>
      <c r="AL997" s="443">
        <f t="shared" si="1694"/>
        <v>0</v>
      </c>
      <c r="AM997" s="443">
        <f t="shared" si="1694"/>
        <v>0</v>
      </c>
      <c r="AN997" s="443">
        <f t="shared" si="1694"/>
        <v>0</v>
      </c>
      <c r="AO997" s="443">
        <f t="shared" si="1694"/>
        <v>0</v>
      </c>
      <c r="AP997" s="443">
        <f t="shared" si="1694"/>
        <v>0</v>
      </c>
      <c r="AQ997" s="443">
        <f t="shared" si="1694"/>
        <v>0</v>
      </c>
      <c r="AR997" s="443">
        <f t="shared" si="1694"/>
        <v>0</v>
      </c>
      <c r="AS997" s="443">
        <f t="shared" si="1694"/>
        <v>0</v>
      </c>
      <c r="AT997" s="443">
        <f t="shared" si="1694"/>
        <v>0</v>
      </c>
      <c r="AU997" s="443">
        <f t="shared" si="1694"/>
        <v>0</v>
      </c>
      <c r="AV997" s="443">
        <f t="shared" si="1694"/>
        <v>0</v>
      </c>
      <c r="AW997" s="443">
        <f t="shared" si="1694"/>
        <v>0</v>
      </c>
      <c r="AX997" s="443">
        <f t="shared" ref="AX997:BP997" si="1695">AX$920</f>
        <v>0</v>
      </c>
      <c r="AY997" s="443">
        <f t="shared" si="1695"/>
        <v>0</v>
      </c>
      <c r="AZ997" s="443">
        <f t="shared" si="1695"/>
        <v>0</v>
      </c>
      <c r="BA997" s="443">
        <f t="shared" si="1695"/>
        <v>0</v>
      </c>
      <c r="BB997" s="443">
        <f t="shared" si="1695"/>
        <v>0</v>
      </c>
      <c r="BC997" s="443">
        <f t="shared" si="1695"/>
        <v>0</v>
      </c>
      <c r="BD997" s="443">
        <f t="shared" si="1695"/>
        <v>0</v>
      </c>
      <c r="BE997" s="443">
        <f t="shared" si="1695"/>
        <v>0</v>
      </c>
      <c r="BF997" s="443">
        <f t="shared" si="1695"/>
        <v>0</v>
      </c>
      <c r="BG997" s="443">
        <f t="shared" si="1695"/>
        <v>0</v>
      </c>
      <c r="BH997" s="443">
        <f t="shared" si="1695"/>
        <v>0</v>
      </c>
      <c r="BI997" s="443">
        <f t="shared" si="1695"/>
        <v>0</v>
      </c>
      <c r="BJ997" s="443">
        <f t="shared" si="1695"/>
        <v>0</v>
      </c>
      <c r="BK997" s="443">
        <f t="shared" si="1695"/>
        <v>0</v>
      </c>
      <c r="BL997" s="443">
        <f t="shared" si="1695"/>
        <v>0</v>
      </c>
      <c r="BM997" s="443">
        <f t="shared" si="1695"/>
        <v>0</v>
      </c>
      <c r="BN997" s="443">
        <f t="shared" si="1695"/>
        <v>0</v>
      </c>
      <c r="BO997" s="443">
        <f t="shared" si="1695"/>
        <v>0</v>
      </c>
      <c r="BP997" s="443">
        <f t="shared" si="1695"/>
        <v>0</v>
      </c>
      <c r="BQ997" s="443">
        <f t="shared" ref="BQ997:EB997" si="1696">BQ$920</f>
        <v>0</v>
      </c>
      <c r="BR997" s="443">
        <f t="shared" si="1696"/>
        <v>0</v>
      </c>
      <c r="BS997" s="443">
        <f t="shared" si="1696"/>
        <v>0</v>
      </c>
      <c r="BT997" s="443">
        <f t="shared" si="1696"/>
        <v>0</v>
      </c>
      <c r="BU997" s="443">
        <f t="shared" si="1696"/>
        <v>0</v>
      </c>
      <c r="BV997" s="443">
        <f t="shared" si="1696"/>
        <v>0</v>
      </c>
      <c r="BW997" s="443">
        <f t="shared" si="1696"/>
        <v>0</v>
      </c>
      <c r="BX997" s="443">
        <f t="shared" si="1696"/>
        <v>0</v>
      </c>
      <c r="BY997" s="443">
        <f t="shared" si="1696"/>
        <v>0</v>
      </c>
      <c r="BZ997" s="443">
        <f t="shared" si="1696"/>
        <v>0</v>
      </c>
      <c r="CA997" s="443">
        <f t="shared" si="1696"/>
        <v>0</v>
      </c>
      <c r="CB997" s="443">
        <f t="shared" si="1696"/>
        <v>0</v>
      </c>
      <c r="CC997" s="443">
        <f t="shared" si="1696"/>
        <v>0</v>
      </c>
      <c r="CD997" s="444">
        <f t="shared" si="1696"/>
        <v>0</v>
      </c>
      <c r="CE997" s="443">
        <f t="shared" si="1696"/>
        <v>6.0648673378900142</v>
      </c>
      <c r="CF997" s="443">
        <f t="shared" si="1696"/>
        <v>3.794319855105091</v>
      </c>
      <c r="CG997" s="443">
        <f t="shared" si="1696"/>
        <v>3.4143455195842343</v>
      </c>
      <c r="CH997" s="443">
        <f t="shared" si="1696"/>
        <v>4.8064493127320151</v>
      </c>
      <c r="CI997" s="443">
        <f t="shared" si="1696"/>
        <v>2.9333864288658735</v>
      </c>
      <c r="CJ997" s="443">
        <f t="shared" si="1696"/>
        <v>6.0664323475203199</v>
      </c>
      <c r="CK997" s="443">
        <f t="shared" si="1696"/>
        <v>10.549743380728982</v>
      </c>
      <c r="CL997" s="443">
        <f t="shared" si="1696"/>
        <v>1.6094141646601652</v>
      </c>
      <c r="CM997" s="443">
        <f t="shared" si="1696"/>
        <v>2.0088474897454565</v>
      </c>
      <c r="CN997" s="443">
        <f t="shared" si="1696"/>
        <v>1.2718415560240699</v>
      </c>
      <c r="CO997" s="443">
        <f t="shared" si="1696"/>
        <v>38.105353750626847</v>
      </c>
      <c r="CP997" s="446">
        <f t="shared" si="1696"/>
        <v>24.531914229255314</v>
      </c>
      <c r="CQ997" s="443">
        <f t="shared" si="1696"/>
        <v>4.9420193008418858</v>
      </c>
      <c r="CR997" s="443">
        <f t="shared" si="1696"/>
        <v>3.8308939451566677</v>
      </c>
      <c r="CS997" s="443">
        <f t="shared" si="1696"/>
        <v>12.00286724258406</v>
      </c>
      <c r="CT997" s="443">
        <f t="shared" si="1696"/>
        <v>5.1893339261600904</v>
      </c>
      <c r="CU997" s="443">
        <f t="shared" si="1696"/>
        <v>10.46585883733734</v>
      </c>
      <c r="CV997" s="443">
        <f t="shared" si="1696"/>
        <v>67.021078465884145</v>
      </c>
      <c r="CW997" s="443">
        <f t="shared" si="1696"/>
        <v>7.8762359651259253</v>
      </c>
      <c r="CX997" s="443">
        <f t="shared" si="1696"/>
        <v>3.5485909032750431</v>
      </c>
      <c r="CY997" s="443">
        <f t="shared" si="1696"/>
        <v>8.6557670022827384</v>
      </c>
      <c r="CZ997" s="443">
        <f t="shared" si="1696"/>
        <v>48.213086059450021</v>
      </c>
      <c r="DA997" s="443">
        <f t="shared" si="1696"/>
        <v>4.8957815003413128</v>
      </c>
      <c r="DB997" s="1520">
        <f t="shared" si="1696"/>
        <v>11.545065657792968</v>
      </c>
      <c r="DC997" s="443">
        <f t="shared" si="1696"/>
        <v>-0.32746269399886818</v>
      </c>
      <c r="DD997" s="443">
        <f t="shared" si="1696"/>
        <v>3.5305284776444301</v>
      </c>
      <c r="DE997" s="443">
        <f t="shared" si="1696"/>
        <v>55.40402819682587</v>
      </c>
      <c r="DF997" s="443">
        <f t="shared" si="1696"/>
        <v>13.837937548729254</v>
      </c>
      <c r="DG997" s="443">
        <f t="shared" si="1696"/>
        <v>4.0517228288185114</v>
      </c>
      <c r="DH997" s="443">
        <f t="shared" si="1696"/>
        <v>90.018144492537417</v>
      </c>
      <c r="DI997" s="443">
        <f t="shared" si="1696"/>
        <v>5.8757694289489741</v>
      </c>
      <c r="DJ997" s="443">
        <f t="shared" si="1696"/>
        <v>21.472344372958734</v>
      </c>
      <c r="DK997" s="443">
        <f t="shared" si="1696"/>
        <v>11.427946944314153</v>
      </c>
      <c r="DL997" s="443">
        <f t="shared" si="1696"/>
        <v>10.494451571476269</v>
      </c>
      <c r="DM997" s="443">
        <f t="shared" si="1696"/>
        <v>4.9315520607593966</v>
      </c>
      <c r="DN997" s="446">
        <f t="shared" si="1696"/>
        <v>3.691164430675272</v>
      </c>
      <c r="DO997" s="443">
        <f t="shared" si="1696"/>
        <v>2.4828976559227027</v>
      </c>
      <c r="DP997" s="443">
        <f t="shared" si="1696"/>
        <v>8.2479295940122039</v>
      </c>
      <c r="DQ997" s="443">
        <f t="shared" si="1696"/>
        <v>34.80290039343646</v>
      </c>
      <c r="DR997" s="443">
        <f t="shared" si="1696"/>
        <v>68.234891521118072</v>
      </c>
      <c r="DS997" s="443">
        <f t="shared" si="1696"/>
        <v>9.7368212350321457</v>
      </c>
      <c r="DT997" s="443">
        <f t="shared" si="1696"/>
        <v>93.306756981791452</v>
      </c>
      <c r="DU997" s="443">
        <f t="shared" si="1696"/>
        <v>10.523081388542748</v>
      </c>
      <c r="DV997" s="443">
        <f t="shared" si="1696"/>
        <v>2.9753375645376945</v>
      </c>
      <c r="DW997" s="443">
        <f t="shared" si="1696"/>
        <v>16.285524088676041</v>
      </c>
      <c r="DX997" s="443">
        <f t="shared" si="1696"/>
        <v>19.930253277965207</v>
      </c>
      <c r="DY997" s="443">
        <f t="shared" si="1696"/>
        <v>36.579671090306043</v>
      </c>
      <c r="DZ997" s="446">
        <f t="shared" si="1696"/>
        <v>19.882869600030467</v>
      </c>
      <c r="EA997" s="443">
        <f t="shared" si="1696"/>
        <v>8.4231752763884664</v>
      </c>
      <c r="EB997" s="443">
        <f t="shared" si="1696"/>
        <v>31.683600606302893</v>
      </c>
      <c r="EC997" s="443">
        <f t="shared" ref="EC997:GH997" si="1697">EC$920</f>
        <v>24.658814769659362</v>
      </c>
      <c r="ED997" s="443">
        <f t="shared" si="1697"/>
        <v>18.683836442856141</v>
      </c>
      <c r="EE997" s="443">
        <f t="shared" si="1697"/>
        <v>110.96608495911359</v>
      </c>
      <c r="EF997" s="443">
        <f t="shared" si="1697"/>
        <v>14.51405999831908</v>
      </c>
      <c r="EG997" s="443">
        <f t="shared" si="1697"/>
        <v>55.423346475873529</v>
      </c>
      <c r="EH997" s="443">
        <f t="shared" si="1697"/>
        <v>3.8959698821168445</v>
      </c>
      <c r="EI997" s="443">
        <f t="shared" si="1697"/>
        <v>14.580064284231812</v>
      </c>
      <c r="EJ997" s="443">
        <f t="shared" si="1697"/>
        <v>8.8538571553240697</v>
      </c>
      <c r="EK997" s="443">
        <f t="shared" si="1697"/>
        <v>38.389474378554652</v>
      </c>
      <c r="EL997" s="446">
        <f t="shared" si="1697"/>
        <v>25.956846648486049</v>
      </c>
      <c r="EM997" s="443">
        <f t="shared" si="1697"/>
        <v>9.1306091178664825</v>
      </c>
      <c r="EN997" s="443">
        <f t="shared" si="1697"/>
        <v>1.63542145193674</v>
      </c>
      <c r="EO997" s="443">
        <f t="shared" si="1697"/>
        <v>10.987169894132018</v>
      </c>
      <c r="EP997" s="443">
        <f t="shared" si="1697"/>
        <v>4.562096771518064</v>
      </c>
      <c r="EQ997" s="443">
        <f t="shared" si="1697"/>
        <v>13.176531811450971</v>
      </c>
      <c r="ER997" s="443">
        <f t="shared" si="1697"/>
        <v>219.27680270007269</v>
      </c>
      <c r="ES997" s="443">
        <f t="shared" si="1697"/>
        <v>22.37974998625814</v>
      </c>
      <c r="ET997" s="443">
        <f t="shared" si="1697"/>
        <v>15.159283741393457</v>
      </c>
      <c r="EU997" s="443">
        <f t="shared" si="1697"/>
        <v>11.394298316027328</v>
      </c>
      <c r="EV997" s="443">
        <f t="shared" si="1697"/>
        <v>18.450060664160304</v>
      </c>
      <c r="EW997" s="443">
        <f t="shared" si="1697"/>
        <v>16.139738200652342</v>
      </c>
      <c r="EX997" s="446">
        <f t="shared" si="1697"/>
        <v>106.02020398827491</v>
      </c>
      <c r="EY997" s="443">
        <f t="shared" si="1697"/>
        <v>18.710324140762001</v>
      </c>
      <c r="EZ997" s="443">
        <f t="shared" si="1697"/>
        <v>26.358275628537605</v>
      </c>
      <c r="FA997" s="443">
        <f t="shared" si="1697"/>
        <v>25.66195521547359</v>
      </c>
      <c r="FB997" s="443">
        <f t="shared" si="1697"/>
        <v>180.34086035425312</v>
      </c>
      <c r="FC997" s="443">
        <f t="shared" si="1697"/>
        <v>35.460548031665894</v>
      </c>
      <c r="FD997" s="443">
        <f t="shared" si="1697"/>
        <v>146.3197624468045</v>
      </c>
      <c r="FE997" s="443">
        <f t="shared" si="1697"/>
        <v>60.226021596908097</v>
      </c>
      <c r="FF997" s="443">
        <f t="shared" si="1697"/>
        <v>26.641361852016441</v>
      </c>
      <c r="FG997" s="443">
        <f t="shared" si="1697"/>
        <v>11.705615638270633</v>
      </c>
      <c r="FH997" s="443">
        <f t="shared" si="1697"/>
        <v>124.11776803524816</v>
      </c>
      <c r="FI997" s="443">
        <f t="shared" si="1697"/>
        <v>32.936011562168424</v>
      </c>
      <c r="FJ997" s="446">
        <f t="shared" si="1697"/>
        <v>265.54118707599042</v>
      </c>
      <c r="FK997" s="443">
        <f t="shared" si="1697"/>
        <v>165.36716256293312</v>
      </c>
      <c r="FL997" s="443">
        <f t="shared" si="1697"/>
        <v>42.676739492936349</v>
      </c>
      <c r="FM997" s="443">
        <f t="shared" si="1697"/>
        <v>47.373704321396758</v>
      </c>
      <c r="FN997" s="443">
        <f t="shared" si="1697"/>
        <v>29.80564258928019</v>
      </c>
      <c r="FO997" s="443">
        <f t="shared" si="1697"/>
        <v>24.133098201211482</v>
      </c>
      <c r="FP997" s="443">
        <f t="shared" si="1697"/>
        <v>142.03539291295886</v>
      </c>
      <c r="FQ997" s="443">
        <f t="shared" si="1697"/>
        <v>8.1583712632049998</v>
      </c>
      <c r="FR997" s="443">
        <f t="shared" si="1697"/>
        <v>30.696689018393997</v>
      </c>
      <c r="FS997" s="443">
        <f t="shared" si="1697"/>
        <v>96.048654651339973</v>
      </c>
      <c r="FT997" s="443">
        <f t="shared" si="1697"/>
        <v>24.229058993359722</v>
      </c>
      <c r="FU997" s="443">
        <f t="shared" si="1697"/>
        <v>7.5483352215044688</v>
      </c>
      <c r="FV997" s="446">
        <f t="shared" si="1697"/>
        <v>39.199590900966733</v>
      </c>
      <c r="FW997" s="443">
        <f t="shared" si="1697"/>
        <v>27.624194789979462</v>
      </c>
      <c r="FX997" s="443">
        <f t="shared" si="1697"/>
        <v>289.61078769430463</v>
      </c>
      <c r="FY997" s="443">
        <f t="shared" si="1697"/>
        <v>17.41244602701115</v>
      </c>
      <c r="FZ997" s="443">
        <f t="shared" si="1697"/>
        <v>87.691067920702139</v>
      </c>
      <c r="GA997" s="443">
        <f t="shared" si="1697"/>
        <v>74.219736986734461</v>
      </c>
      <c r="GB997" s="443">
        <f t="shared" si="1697"/>
        <v>259.05444236477047</v>
      </c>
      <c r="GC997" s="443">
        <f t="shared" si="1697"/>
        <v>3.2885865871498829</v>
      </c>
      <c r="GD997" s="443">
        <f t="shared" si="1697"/>
        <v>13.94239333506065</v>
      </c>
      <c r="GE997" s="443">
        <f t="shared" si="1697"/>
        <v>82.658302674580867</v>
      </c>
      <c r="GF997" s="443">
        <f t="shared" si="1697"/>
        <v>39.588158417380626</v>
      </c>
      <c r="GG997" s="443">
        <f t="shared" si="1697"/>
        <v>44.550087477578145</v>
      </c>
      <c r="GH997" s="443">
        <f t="shared" si="1697"/>
        <v>92.012539414141031</v>
      </c>
      <c r="HN997" s="363"/>
      <c r="HO997" s="448" t="s">
        <v>602</v>
      </c>
      <c r="HP997" s="448"/>
      <c r="HQ997" s="448"/>
      <c r="HR997" s="302">
        <f>HR$920</f>
        <v>105.15691537273837</v>
      </c>
      <c r="HS997" s="302">
        <f>HS$920</f>
        <v>103.45205171796418</v>
      </c>
      <c r="HT997" s="302">
        <f>HT$920</f>
        <v>84.73452708826801</v>
      </c>
      <c r="HU997" s="457">
        <f>HU$920</f>
        <v>188.18657880623221</v>
      </c>
      <c r="HV997" s="307"/>
      <c r="HX997" s="457">
        <f>HX$920</f>
        <v>224.4081276596894</v>
      </c>
      <c r="IA997" s="457">
        <f>IA$920</f>
        <v>322.98893439137123</v>
      </c>
      <c r="ID997" s="457">
        <f>ID$920</f>
        <v>356.02913087722652</v>
      </c>
      <c r="IE997" s="457"/>
      <c r="IF997" s="457"/>
      <c r="IG997" s="457">
        <f>IG$920</f>
        <v>448.31196664374346</v>
      </c>
      <c r="IH997" s="457"/>
      <c r="II997" s="457"/>
      <c r="IJ997" s="457">
        <f>IJ$920</f>
        <v>954.0196915780989</v>
      </c>
      <c r="IK997" s="457"/>
      <c r="IL997" s="457"/>
      <c r="IM997" s="457">
        <f>IM$920</f>
        <v>657.27244012948665</v>
      </c>
      <c r="IN997" s="457"/>
      <c r="IO997" s="457">
        <f>IO$920</f>
        <v>276.04006790589119</v>
      </c>
      <c r="IP997" s="457">
        <f>IP$920</f>
        <v>1031.6527436893934</v>
      </c>
      <c r="IQ997" s="457">
        <f>IQ$920</f>
        <v>174.58647598714174</v>
      </c>
      <c r="IR997" s="457">
        <f>IR$920</f>
        <v>633.92214697343263</v>
      </c>
      <c r="IS997" s="457"/>
      <c r="IT997" s="457"/>
      <c r="IU997" s="457"/>
      <c r="IV997" s="457"/>
      <c r="IW997" s="457"/>
      <c r="IX997" s="457"/>
      <c r="IY997" s="457"/>
      <c r="KI997" s="363"/>
      <c r="KJ997" s="364"/>
      <c r="KM997" s="302">
        <f>KM$920</f>
        <v>0</v>
      </c>
      <c r="KN997" s="302">
        <f>KN$920</f>
        <v>0</v>
      </c>
      <c r="KO997" s="302">
        <f>KO$920</f>
        <v>0</v>
      </c>
      <c r="KP997" s="302">
        <f>KP$920</f>
        <v>0</v>
      </c>
    </row>
    <row r="998" spans="1:302" ht="15.5" thickBot="1">
      <c r="A998" s="365"/>
      <c r="B998" s="365" t="s">
        <v>361</v>
      </c>
      <c r="C998" s="365"/>
      <c r="D998" s="449" t="str">
        <f>D$941</f>
        <v>Statistical discrepancy</v>
      </c>
      <c r="E998" s="450">
        <f>E$941</f>
        <v>0</v>
      </c>
      <c r="F998" s="450">
        <f t="shared" ref="F998:L998" si="1698">F$941</f>
        <v>0</v>
      </c>
      <c r="G998" s="450">
        <f t="shared" si="1698"/>
        <v>0</v>
      </c>
      <c r="H998" s="450">
        <f t="shared" si="1698"/>
        <v>0</v>
      </c>
      <c r="I998" s="450">
        <f t="shared" si="1698"/>
        <v>0</v>
      </c>
      <c r="J998" s="450">
        <f t="shared" si="1698"/>
        <v>0</v>
      </c>
      <c r="K998" s="450">
        <f t="shared" si="1698"/>
        <v>0</v>
      </c>
      <c r="L998" s="450">
        <f t="shared" si="1698"/>
        <v>0</v>
      </c>
      <c r="M998" s="450">
        <f t="shared" ref="M998:AW998" si="1699">M$941</f>
        <v>0</v>
      </c>
      <c r="N998" s="450">
        <f t="shared" si="1699"/>
        <v>0</v>
      </c>
      <c r="O998" s="450">
        <f t="shared" si="1699"/>
        <v>0</v>
      </c>
      <c r="P998" s="450">
        <f t="shared" si="1699"/>
        <v>0</v>
      </c>
      <c r="Q998" s="450">
        <f t="shared" si="1699"/>
        <v>0</v>
      </c>
      <c r="R998" s="450">
        <f t="shared" si="1699"/>
        <v>0</v>
      </c>
      <c r="S998" s="450">
        <f t="shared" si="1699"/>
        <v>0</v>
      </c>
      <c r="T998" s="450">
        <f t="shared" si="1699"/>
        <v>0</v>
      </c>
      <c r="U998" s="450">
        <f t="shared" si="1699"/>
        <v>0</v>
      </c>
      <c r="V998" s="450">
        <f t="shared" si="1699"/>
        <v>0</v>
      </c>
      <c r="W998" s="450">
        <f t="shared" si="1699"/>
        <v>0</v>
      </c>
      <c r="X998" s="450">
        <f t="shared" si="1699"/>
        <v>0</v>
      </c>
      <c r="Y998" s="450">
        <f t="shared" si="1699"/>
        <v>0</v>
      </c>
      <c r="Z998" s="450">
        <f t="shared" si="1699"/>
        <v>0</v>
      </c>
      <c r="AA998" s="450">
        <f t="shared" si="1699"/>
        <v>0</v>
      </c>
      <c r="AB998" s="450">
        <f t="shared" si="1699"/>
        <v>0</v>
      </c>
      <c r="AC998" s="450">
        <f t="shared" si="1699"/>
        <v>0</v>
      </c>
      <c r="AD998" s="450">
        <f t="shared" si="1699"/>
        <v>0</v>
      </c>
      <c r="AE998" s="450">
        <f t="shared" si="1699"/>
        <v>0</v>
      </c>
      <c r="AF998" s="450">
        <f t="shared" si="1699"/>
        <v>0</v>
      </c>
      <c r="AG998" s="450">
        <f t="shared" si="1699"/>
        <v>0</v>
      </c>
      <c r="AH998" s="450">
        <f t="shared" si="1699"/>
        <v>0</v>
      </c>
      <c r="AI998" s="450">
        <f t="shared" si="1699"/>
        <v>0</v>
      </c>
      <c r="AJ998" s="450">
        <f t="shared" si="1699"/>
        <v>0</v>
      </c>
      <c r="AK998" s="450">
        <f t="shared" si="1699"/>
        <v>0</v>
      </c>
      <c r="AL998" s="450" t="e">
        <f>AL$941</f>
        <v>#VALUE!</v>
      </c>
      <c r="AM998" s="450">
        <f t="shared" si="1699"/>
        <v>0</v>
      </c>
      <c r="AN998" s="450">
        <f t="shared" si="1699"/>
        <v>0</v>
      </c>
      <c r="AO998" s="450">
        <f t="shared" si="1699"/>
        <v>49.400217065693496</v>
      </c>
      <c r="AP998" s="450">
        <f t="shared" si="1699"/>
        <v>25.622571089368499</v>
      </c>
      <c r="AQ998" s="450">
        <f t="shared" si="1699"/>
        <v>49.377613606619597</v>
      </c>
      <c r="AR998" s="450">
        <f t="shared" si="1699"/>
        <v>47.635893483708863</v>
      </c>
      <c r="AS998" s="450">
        <f t="shared" si="1699"/>
        <v>35.294126524572633</v>
      </c>
      <c r="AT998" s="450">
        <f t="shared" si="1699"/>
        <v>142.50100410549555</v>
      </c>
      <c r="AU998" s="450">
        <f t="shared" si="1699"/>
        <v>35.926838502372902</v>
      </c>
      <c r="AV998" s="450">
        <f t="shared" si="1699"/>
        <v>37.058652320060034</v>
      </c>
      <c r="AW998" s="450">
        <f t="shared" si="1699"/>
        <v>97.305234257372689</v>
      </c>
      <c r="AX998" s="450">
        <f t="shared" ref="AX998:BP998" si="1700">AX$941</f>
        <v>64.11043239519249</v>
      </c>
      <c r="AY998" s="450">
        <f t="shared" si="1700"/>
        <v>39.182231080533917</v>
      </c>
      <c r="AZ998" s="450">
        <f t="shared" si="1700"/>
        <v>75.782830687742262</v>
      </c>
      <c r="BA998" s="450">
        <f t="shared" si="1700"/>
        <v>33.091572293166763</v>
      </c>
      <c r="BB998" s="450">
        <f t="shared" si="1700"/>
        <v>33.18907983741984</v>
      </c>
      <c r="BC998" s="450">
        <f t="shared" si="1700"/>
        <v>38.956923720701269</v>
      </c>
      <c r="BD998" s="450">
        <f t="shared" si="1700"/>
        <v>114.95957863109896</v>
      </c>
      <c r="BE998" s="450">
        <f t="shared" si="1700"/>
        <v>35.166646755218636</v>
      </c>
      <c r="BF998" s="450">
        <f t="shared" si="1700"/>
        <v>66.692662215191731</v>
      </c>
      <c r="BG998" s="450">
        <f t="shared" si="1700"/>
        <v>20.388145502762562</v>
      </c>
      <c r="BH998" s="450">
        <f t="shared" si="1700"/>
        <v>-9.2078320636189943</v>
      </c>
      <c r="BI998" s="450">
        <f t="shared" si="1700"/>
        <v>13.092948375074222</v>
      </c>
      <c r="BJ998" s="450">
        <f t="shared" si="1700"/>
        <v>-26.440108551884734</v>
      </c>
      <c r="BK998" s="450">
        <f t="shared" si="1700"/>
        <v>-29.224930722817902</v>
      </c>
      <c r="BL998" s="450">
        <f t="shared" si="1700"/>
        <v>84.410162341847666</v>
      </c>
      <c r="BM998" s="450">
        <f t="shared" si="1700"/>
        <v>-44.958651826957109</v>
      </c>
      <c r="BN998" s="450">
        <f t="shared" si="1700"/>
        <v>-18.908860436826735</v>
      </c>
      <c r="BO998" s="450">
        <f t="shared" si="1700"/>
        <v>19.037651689046292</v>
      </c>
      <c r="BP998" s="450">
        <f t="shared" si="1700"/>
        <v>-69.812806269244192</v>
      </c>
      <c r="BQ998" s="450">
        <f t="shared" ref="BQ998:EB998" si="1701">BQ$941</f>
        <v>-63.979123292294858</v>
      </c>
      <c r="BR998" s="450">
        <f t="shared" si="1701"/>
        <v>65.15532343998423</v>
      </c>
      <c r="BS998" s="450">
        <f t="shared" si="1701"/>
        <v>6.0694768288844614</v>
      </c>
      <c r="BT998" s="450">
        <f t="shared" si="1701"/>
        <v>-26.352133359487432</v>
      </c>
      <c r="BU998" s="450">
        <f t="shared" si="1701"/>
        <v>18.472697623059339</v>
      </c>
      <c r="BV998" s="450">
        <f t="shared" si="1701"/>
        <v>-16.695729181569973</v>
      </c>
      <c r="BW998" s="450">
        <f t="shared" si="1701"/>
        <v>-29.343123673461093</v>
      </c>
      <c r="BX998" s="450">
        <f t="shared" si="1701"/>
        <v>26.670872886249363</v>
      </c>
      <c r="BY998" s="450">
        <f t="shared" si="1701"/>
        <v>-30.293054584938016</v>
      </c>
      <c r="BZ998" s="450">
        <f t="shared" si="1701"/>
        <v>-33.240856614792129</v>
      </c>
      <c r="CA998" s="450">
        <f t="shared" si="1701"/>
        <v>35.902338399363416</v>
      </c>
      <c r="CB998" s="450">
        <f t="shared" si="1701"/>
        <v>-48.338747381329469</v>
      </c>
      <c r="CC998" s="450">
        <f t="shared" si="1701"/>
        <v>-74.416872919694569</v>
      </c>
      <c r="CD998" s="451">
        <f t="shared" si="1701"/>
        <v>-34.433830394705687</v>
      </c>
      <c r="CE998" s="450">
        <f t="shared" si="1701"/>
        <v>0.42461652831457286</v>
      </c>
      <c r="CF998" s="450">
        <f t="shared" si="1701"/>
        <v>-10.463376122478566</v>
      </c>
      <c r="CG998" s="450">
        <f t="shared" si="1701"/>
        <v>31.334242432741128</v>
      </c>
      <c r="CH998" s="450">
        <f t="shared" si="1701"/>
        <v>-44.501753889792901</v>
      </c>
      <c r="CI998" s="450">
        <f t="shared" si="1701"/>
        <v>-4.7324255927931276</v>
      </c>
      <c r="CJ998" s="450">
        <f t="shared" si="1701"/>
        <v>-5.5261220665393438</v>
      </c>
      <c r="CK998" s="450">
        <f t="shared" si="1701"/>
        <v>7.2314950116608969</v>
      </c>
      <c r="CL998" s="450">
        <f t="shared" si="1701"/>
        <v>18.226296226696171</v>
      </c>
      <c r="CM998" s="450">
        <f t="shared" si="1701"/>
        <v>3.9538114556749915</v>
      </c>
      <c r="CN998" s="450">
        <f t="shared" si="1701"/>
        <v>-39.636185154166299</v>
      </c>
      <c r="CO998" s="450">
        <f t="shared" si="1701"/>
        <v>10.940030891764053</v>
      </c>
      <c r="CP998" s="452">
        <f t="shared" si="1701"/>
        <v>20.224822146055303</v>
      </c>
      <c r="CQ998" s="450">
        <f t="shared" si="1701"/>
        <v>16.986415427607</v>
      </c>
      <c r="CR998" s="450">
        <f t="shared" si="1701"/>
        <v>-5.4877165309607818</v>
      </c>
      <c r="CS998" s="450">
        <f t="shared" si="1701"/>
        <v>3.6216965362644729</v>
      </c>
      <c r="CT998" s="450">
        <f t="shared" si="1701"/>
        <v>6.1454212857142423</v>
      </c>
      <c r="CU998" s="450">
        <f t="shared" si="1701"/>
        <v>-15.073846300083362</v>
      </c>
      <c r="CV998" s="450">
        <f t="shared" si="1701"/>
        <v>26.109340470748947</v>
      </c>
      <c r="CW998" s="450">
        <f t="shared" si="1701"/>
        <v>-23.893840580059681</v>
      </c>
      <c r="CX998" s="450">
        <f t="shared" si="1701"/>
        <v>-24.465101896615273</v>
      </c>
      <c r="CY998" s="450">
        <f t="shared" si="1701"/>
        <v>19.484405688142029</v>
      </c>
      <c r="CZ998" s="450">
        <f t="shared" si="1701"/>
        <v>-1.0370819598349215</v>
      </c>
      <c r="DA998" s="450">
        <f t="shared" si="1701"/>
        <v>47.192817107685684</v>
      </c>
      <c r="DB998" s="1522">
        <f t="shared" si="1701"/>
        <v>7.9705685526607759</v>
      </c>
      <c r="DC998" s="450">
        <f t="shared" si="1701"/>
        <v>-9.2510255290785892</v>
      </c>
      <c r="DD998" s="450">
        <f t="shared" si="1701"/>
        <v>-43.555208878602997</v>
      </c>
      <c r="DE998" s="450">
        <f t="shared" si="1701"/>
        <v>14.567885185288908</v>
      </c>
      <c r="DF998" s="450">
        <f t="shared" si="1701"/>
        <v>-7.2711786112844123</v>
      </c>
      <c r="DG998" s="450">
        <f t="shared" si="1701"/>
        <v>-3.2963900419334156</v>
      </c>
      <c r="DH998" s="450">
        <f t="shared" si="1701"/>
        <v>25.198558154569078</v>
      </c>
      <c r="DI998" s="450">
        <f t="shared" si="1701"/>
        <v>-27.207758566780257</v>
      </c>
      <c r="DJ998" s="450">
        <f t="shared" si="1701"/>
        <v>-19.27507337857039</v>
      </c>
      <c r="DK998" s="450">
        <f t="shared" si="1701"/>
        <v>50.284704815950036</v>
      </c>
      <c r="DL998" s="450">
        <f t="shared" si="1701"/>
        <v>-55.666589014387327</v>
      </c>
      <c r="DM998" s="450">
        <f t="shared" si="1701"/>
        <v>10.226432119285818</v>
      </c>
      <c r="DN998" s="452">
        <f t="shared" si="1701"/>
        <v>82.417633667038587</v>
      </c>
      <c r="DO998" s="450">
        <f t="shared" si="1701"/>
        <v>-79.326535892291517</v>
      </c>
      <c r="DP998" s="450">
        <f t="shared" si="1701"/>
        <v>2.8271394918599526</v>
      </c>
      <c r="DQ998" s="450">
        <f t="shared" si="1701"/>
        <v>24.370362672379446</v>
      </c>
      <c r="DR998" s="450">
        <f t="shared" si="1701"/>
        <v>-26.209915638076637</v>
      </c>
      <c r="DS998" s="450">
        <f t="shared" si="1701"/>
        <v>-16.099693720680165</v>
      </c>
      <c r="DT998" s="450">
        <f t="shared" si="1701"/>
        <v>42.848612171588933</v>
      </c>
      <c r="DU998" s="450">
        <f t="shared" si="1701"/>
        <v>-43.316155553232889</v>
      </c>
      <c r="DV998" s="450">
        <f t="shared" si="1701"/>
        <v>3.8528205988339721</v>
      </c>
      <c r="DW998" s="450">
        <f t="shared" si="1701"/>
        <v>21.223299859335185</v>
      </c>
      <c r="DX998" s="450">
        <f t="shared" si="1701"/>
        <v>-22.370275653511001</v>
      </c>
      <c r="DY998" s="450">
        <f t="shared" si="1701"/>
        <v>38.912273369721447</v>
      </c>
      <c r="DZ998" s="452">
        <f t="shared" si="1701"/>
        <v>70.514254556423481</v>
      </c>
      <c r="EA998" s="450">
        <f t="shared" si="1701"/>
        <v>14.90586645445169</v>
      </c>
      <c r="EB998" s="450">
        <f t="shared" si="1701"/>
        <v>-32.332925792807828</v>
      </c>
      <c r="EC998" s="450">
        <f t="shared" ref="EC998:GH998" si="1702">EC$941</f>
        <v>-22.231528389022841</v>
      </c>
      <c r="ED998" s="450">
        <f t="shared" si="1702"/>
        <v>-16.626222865389714</v>
      </c>
      <c r="EE998" s="450">
        <f t="shared" si="1702"/>
        <v>106.61340373983299</v>
      </c>
      <c r="EF998" s="450">
        <f t="shared" si="1702"/>
        <v>-60.987477774880233</v>
      </c>
      <c r="EG998" s="450">
        <f t="shared" si="1702"/>
        <v>-40.418521672266856</v>
      </c>
      <c r="EH998" s="450">
        <f t="shared" si="1702"/>
        <v>-7.7205894026887592</v>
      </c>
      <c r="EI998" s="450">
        <f t="shared" si="1702"/>
        <v>24.747113711559951</v>
      </c>
      <c r="EJ998" s="450">
        <f t="shared" si="1702"/>
        <v>34.647239565493116</v>
      </c>
      <c r="EK998" s="450">
        <f t="shared" si="1702"/>
        <v>37.375534266161907</v>
      </c>
      <c r="EL998" s="452">
        <f t="shared" si="1702"/>
        <v>-1.7768669835857196</v>
      </c>
      <c r="EM998" s="450">
        <f t="shared" si="1702"/>
        <v>5.0822941706700391</v>
      </c>
      <c r="EN998" s="450">
        <f t="shared" si="1702"/>
        <v>23.001637524134523</v>
      </c>
      <c r="EO998" s="450">
        <f t="shared" si="1702"/>
        <v>21.017960222919314</v>
      </c>
      <c r="EP998" s="450">
        <f t="shared" si="1702"/>
        <v>6.5253562250127857</v>
      </c>
      <c r="EQ998" s="450">
        <f t="shared" si="1702"/>
        <v>-9.3123081770299763</v>
      </c>
      <c r="ER998" s="450">
        <f t="shared" si="1702"/>
        <v>-19.931516677860031</v>
      </c>
      <c r="ES998" s="450">
        <f t="shared" si="1702"/>
        <v>-21.467566058501546</v>
      </c>
      <c r="ET998" s="450">
        <f t="shared" si="1702"/>
        <v>5.0018529144976469</v>
      </c>
      <c r="EU998" s="450">
        <f t="shared" si="1702"/>
        <v>41.093421077725786</v>
      </c>
      <c r="EV998" s="450">
        <f t="shared" si="1702"/>
        <v>20.029667398912494</v>
      </c>
      <c r="EW998" s="450">
        <f t="shared" si="1702"/>
        <v>-37.106487879623472</v>
      </c>
      <c r="EX998" s="452">
        <f t="shared" si="1702"/>
        <v>-62.800179627111902</v>
      </c>
      <c r="EY998" s="450">
        <f t="shared" si="1702"/>
        <v>-25.832106926181829</v>
      </c>
      <c r="EZ998" s="450">
        <f t="shared" si="1702"/>
        <v>-42.845015236387454</v>
      </c>
      <c r="FA998" s="450">
        <f t="shared" si="1702"/>
        <v>40.066970002069567</v>
      </c>
      <c r="FB998" s="450">
        <f t="shared" si="1702"/>
        <v>-15.111730798628159</v>
      </c>
      <c r="FC998" s="450">
        <f t="shared" si="1702"/>
        <v>12.785278889865225</v>
      </c>
      <c r="FD998" s="450">
        <f t="shared" si="1702"/>
        <v>13.988059023595724</v>
      </c>
      <c r="FE998" s="450">
        <f t="shared" si="1702"/>
        <v>-1.2854610077525166</v>
      </c>
      <c r="FF998" s="450">
        <f t="shared" si="1702"/>
        <v>-2.9944099748562536</v>
      </c>
      <c r="FG998" s="450">
        <f t="shared" si="1702"/>
        <v>-25.601050784779176</v>
      </c>
      <c r="FH998" s="450">
        <f t="shared" si="1702"/>
        <v>-8.2387497340205584</v>
      </c>
      <c r="FI998" s="450">
        <f t="shared" si="1702"/>
        <v>-31.564510085961103</v>
      </c>
      <c r="FJ998" s="452">
        <f t="shared" si="1702"/>
        <v>84.165969503801165</v>
      </c>
      <c r="FK998" s="450">
        <f t="shared" si="1702"/>
        <v>-111.89883603320959</v>
      </c>
      <c r="FL998" s="450">
        <f t="shared" si="1702"/>
        <v>-35.132130663003721</v>
      </c>
      <c r="FM998" s="450">
        <f t="shared" si="1702"/>
        <v>11.696736859246272</v>
      </c>
      <c r="FN998" s="450">
        <f t="shared" si="1702"/>
        <v>33.56690123182571</v>
      </c>
      <c r="FO998" s="450">
        <f t="shared" si="1702"/>
        <v>5.2519449621693184</v>
      </c>
      <c r="FP998" s="450">
        <f t="shared" si="1702"/>
        <v>50.272658370440013</v>
      </c>
      <c r="FQ998" s="450">
        <f t="shared" si="1702"/>
        <v>8.0110911439031725</v>
      </c>
      <c r="FR998" s="450">
        <f t="shared" si="1702"/>
        <v>37.488205504280018</v>
      </c>
      <c r="FS998" s="450">
        <f t="shared" si="1702"/>
        <v>-8.3717769103185731</v>
      </c>
      <c r="FT998" s="450">
        <f t="shared" si="1702"/>
        <v>-61.454841483936399</v>
      </c>
      <c r="FU998" s="450">
        <f t="shared" si="1702"/>
        <v>-29.656882802885093</v>
      </c>
      <c r="FV998" s="452">
        <f t="shared" si="1702"/>
        <v>78.0119026200571</v>
      </c>
      <c r="FW998" s="450">
        <f t="shared" si="1702"/>
        <v>-133.53924042924029</v>
      </c>
      <c r="FX998" s="450">
        <f t="shared" si="1702"/>
        <v>-26.546114629070516</v>
      </c>
      <c r="FY998" s="450">
        <f t="shared" si="1702"/>
        <v>76.388740930034018</v>
      </c>
      <c r="FZ998" s="450">
        <f t="shared" si="1702"/>
        <v>56.427221892580718</v>
      </c>
      <c r="GA998" s="450">
        <f t="shared" si="1702"/>
        <v>59.136362582910479</v>
      </c>
      <c r="GB998" s="450">
        <f t="shared" si="1702"/>
        <v>223.87188301238533</v>
      </c>
      <c r="GC998" s="450">
        <f t="shared" si="1702"/>
        <v>17.024046278038497</v>
      </c>
      <c r="GD998" s="450">
        <f t="shared" si="1702"/>
        <v>-27.748728333902903</v>
      </c>
      <c r="GE998" s="450">
        <f t="shared" si="1702"/>
        <v>-120.70943646177901</v>
      </c>
      <c r="GF998" s="450">
        <f t="shared" si="1702"/>
        <v>-235.99761871476443</v>
      </c>
      <c r="GG998" s="450">
        <f t="shared" si="1702"/>
        <v>-25.690959716764496</v>
      </c>
      <c r="GH998" s="450">
        <f t="shared" si="1702"/>
        <v>100.37758507979358</v>
      </c>
      <c r="GI998" s="1897"/>
      <c r="HN998" s="366"/>
      <c r="HO998" s="449" t="s">
        <v>612</v>
      </c>
      <c r="HP998" s="449"/>
      <c r="HQ998" s="449"/>
      <c r="HR998" s="367">
        <f>HR$941</f>
        <v>-12.524548132863121</v>
      </c>
      <c r="HS998" s="367">
        <f>HS$941</f>
        <v>32.301310889290519</v>
      </c>
      <c r="HT998" s="367">
        <f>HT$941</f>
        <v>25.251766911978613</v>
      </c>
      <c r="HU998" s="458">
        <f>HU$941</f>
        <v>57.553077801269133</v>
      </c>
      <c r="HV998" s="459"/>
      <c r="HW998" s="367"/>
      <c r="HX998" s="458">
        <f>HX$941</f>
        <v>17.17198992149504</v>
      </c>
      <c r="HY998" s="367"/>
      <c r="HZ998" s="367"/>
      <c r="IA998" s="458">
        <f>IA$941</f>
        <v>17.226186262350204</v>
      </c>
      <c r="IB998" s="367"/>
      <c r="IC998" s="367"/>
      <c r="ID998" s="458">
        <f>ID$941</f>
        <v>36.1950248568577</v>
      </c>
      <c r="IE998" s="458"/>
      <c r="IF998" s="458"/>
      <c r="IG998" s="458">
        <f>IG$941</f>
        <v>-28.86586888625434</v>
      </c>
      <c r="IH998" s="458"/>
      <c r="II998" s="458"/>
      <c r="IJ998" s="458">
        <f>IJ$941</f>
        <v>-2.4667571292353898</v>
      </c>
      <c r="IK998" s="458"/>
      <c r="IL998" s="458"/>
      <c r="IM998" s="458">
        <f>IM$941</f>
        <v>-22.215027201431745</v>
      </c>
      <c r="IN998" s="458"/>
      <c r="IO998" s="458">
        <f>IO$941</f>
        <v>-292.74511186937877</v>
      </c>
      <c r="IP998" s="458">
        <f>IP$941</f>
        <v>-37.006258509779173</v>
      </c>
      <c r="IQ998" s="458">
        <f>IQ$941</f>
        <v>45.310238607982853</v>
      </c>
      <c r="IR998" s="458">
        <f>IR$941</f>
        <v>-65.502852994554246</v>
      </c>
      <c r="IS998" s="458"/>
      <c r="IT998" s="458"/>
      <c r="IU998" s="458"/>
      <c r="IV998" s="458"/>
      <c r="IW998" s="458"/>
      <c r="IX998" s="458"/>
      <c r="IY998" s="458"/>
      <c r="KI998" s="366"/>
      <c r="KJ998" s="367"/>
      <c r="KM998" s="367">
        <f>KM$941</f>
        <v>0</v>
      </c>
      <c r="KN998" s="367">
        <f>KN$941</f>
        <v>0</v>
      </c>
      <c r="KO998" s="367">
        <f>KO$941</f>
        <v>0</v>
      </c>
      <c r="KP998" s="367">
        <f>KP$941</f>
        <v>0</v>
      </c>
    </row>
    <row r="999" spans="1:302" ht="16" thickTop="1" thickBot="1">
      <c r="D999" s="14"/>
      <c r="DZ999" s="452"/>
      <c r="EA999" s="450"/>
      <c r="HV999" s="307"/>
    </row>
    <row r="1000" spans="1:302" ht="16" thickTop="1" thickBot="1">
      <c r="D1000" s="14"/>
      <c r="EA1000" s="302"/>
      <c r="HV1000" s="307"/>
    </row>
    <row r="1001" spans="1:302" ht="15.5">
      <c r="D1001" s="401" t="s">
        <v>940</v>
      </c>
      <c r="CJ1001" s="476">
        <f>+CJ1</f>
        <v>41609</v>
      </c>
      <c r="CP1001" s="476">
        <f t="shared" ref="CP1001:DF1001" si="1703">+CP1</f>
        <v>41791</v>
      </c>
      <c r="CQ1001" s="476">
        <f t="shared" si="1703"/>
        <v>41821</v>
      </c>
      <c r="CR1001" s="475">
        <f t="shared" si="1703"/>
        <v>41852</v>
      </c>
      <c r="CS1001" s="475">
        <f t="shared" si="1703"/>
        <v>41883</v>
      </c>
      <c r="CT1001" s="475">
        <f t="shared" si="1703"/>
        <v>41913</v>
      </c>
      <c r="CU1001" s="475">
        <f t="shared" si="1703"/>
        <v>41944</v>
      </c>
      <c r="CV1001" s="475">
        <f t="shared" si="1703"/>
        <v>41974</v>
      </c>
      <c r="CW1001" s="475">
        <f t="shared" si="1703"/>
        <v>42005</v>
      </c>
      <c r="CX1001" s="475">
        <f t="shared" si="1703"/>
        <v>42036</v>
      </c>
      <c r="CY1001" s="475">
        <f t="shared" si="1703"/>
        <v>42064</v>
      </c>
      <c r="CZ1001" s="475">
        <f t="shared" si="1703"/>
        <v>42095</v>
      </c>
      <c r="DA1001" s="475">
        <f t="shared" si="1703"/>
        <v>42125</v>
      </c>
      <c r="DB1001" s="1523">
        <f t="shared" si="1703"/>
        <v>42156</v>
      </c>
      <c r="DC1001" s="931">
        <f t="shared" si="1703"/>
        <v>42186</v>
      </c>
      <c r="DD1001" s="931">
        <f t="shared" si="1703"/>
        <v>42217</v>
      </c>
      <c r="DE1001" s="931">
        <f t="shared" si="1703"/>
        <v>42248</v>
      </c>
      <c r="DF1001" s="931">
        <f t="shared" si="1703"/>
        <v>42278</v>
      </c>
      <c r="EA1001" s="302"/>
      <c r="HV1001" s="307"/>
    </row>
    <row r="1002" spans="1:302" ht="15.5">
      <c r="D1002" s="9"/>
      <c r="EA1002" s="302"/>
      <c r="HV1002" s="307"/>
    </row>
    <row r="1003" spans="1:302">
      <c r="D1003" s="469" t="s">
        <v>615</v>
      </c>
      <c r="EA1003" s="302"/>
      <c r="HV1003" s="307"/>
    </row>
    <row r="1004" spans="1:302">
      <c r="D1004" s="469"/>
      <c r="EA1004" s="302"/>
      <c r="HV1004" s="307"/>
    </row>
    <row r="1005" spans="1:302">
      <c r="A1005" s="302"/>
      <c r="B1005" s="302"/>
      <c r="C1005" s="302"/>
      <c r="D1005" s="469" t="s">
        <v>616</v>
      </c>
      <c r="EA1005" s="302"/>
      <c r="HV1005" s="307"/>
      <c r="KI1005" s="302"/>
    </row>
    <row r="1006" spans="1:302">
      <c r="A1006" s="302"/>
      <c r="B1006" s="302"/>
      <c r="C1006" s="302"/>
      <c r="D1006" s="469" t="s">
        <v>138</v>
      </c>
      <c r="EA1006" s="302"/>
      <c r="HV1006" s="307"/>
      <c r="KI1006" s="302"/>
    </row>
    <row r="1007" spans="1:302">
      <c r="A1007" s="302"/>
      <c r="B1007" s="302"/>
      <c r="C1007" s="302"/>
      <c r="D1007" s="471" t="s">
        <v>658</v>
      </c>
      <c r="EA1007" s="302"/>
      <c r="HV1007" s="307"/>
      <c r="KI1007" s="302"/>
    </row>
    <row r="1008" spans="1:302">
      <c r="A1008" s="302"/>
      <c r="B1008" s="302"/>
      <c r="C1008" s="302"/>
      <c r="D1008" s="470" t="s">
        <v>140</v>
      </c>
      <c r="EA1008" s="302"/>
      <c r="HV1008" s="307"/>
      <c r="KI1008" s="302"/>
    </row>
    <row r="1009" spans="1:295">
      <c r="A1009" s="302"/>
      <c r="B1009" s="302"/>
      <c r="C1009" s="302"/>
      <c r="D1009" s="470" t="s">
        <v>141</v>
      </c>
      <c r="EA1009" s="302"/>
      <c r="HV1009" s="307"/>
      <c r="KI1009" s="302"/>
    </row>
    <row r="1010" spans="1:295">
      <c r="A1010" s="302"/>
      <c r="B1010" s="302"/>
      <c r="C1010" s="302"/>
      <c r="D1010" s="470" t="s">
        <v>142</v>
      </c>
      <c r="EA1010" s="302"/>
      <c r="HV1010" s="307"/>
      <c r="KI1010" s="302"/>
    </row>
    <row r="1011" spans="1:295">
      <c r="A1011" s="302"/>
      <c r="B1011" s="302"/>
      <c r="C1011" s="302"/>
      <c r="D1011" s="470" t="s">
        <v>144</v>
      </c>
      <c r="EA1011" s="302"/>
      <c r="HV1011" s="307"/>
      <c r="KI1011" s="302"/>
    </row>
    <row r="1012" spans="1:295">
      <c r="A1012" s="302"/>
      <c r="B1012" s="302"/>
      <c r="C1012" s="302"/>
      <c r="D1012" s="469" t="s">
        <v>145</v>
      </c>
      <c r="EA1012" s="302"/>
      <c r="HV1012" s="307"/>
      <c r="KI1012" s="302"/>
    </row>
    <row r="1013" spans="1:295">
      <c r="A1013" s="302"/>
      <c r="B1013" s="302"/>
      <c r="C1013" s="302"/>
      <c r="D1013" s="470" t="s">
        <v>613</v>
      </c>
      <c r="EA1013" s="302"/>
      <c r="HV1013" s="307"/>
      <c r="KI1013" s="302"/>
    </row>
    <row r="1014" spans="1:295">
      <c r="A1014" s="302"/>
      <c r="B1014" s="302"/>
      <c r="C1014" s="302"/>
      <c r="D1014" s="469" t="s">
        <v>191</v>
      </c>
      <c r="EA1014" s="302"/>
      <c r="HV1014" s="307"/>
      <c r="KI1014" s="302"/>
    </row>
    <row r="1015" spans="1:295">
      <c r="A1015" s="302"/>
      <c r="B1015" s="302"/>
      <c r="C1015" s="302"/>
      <c r="D1015" s="470" t="s">
        <v>617</v>
      </c>
      <c r="EA1015" s="302"/>
      <c r="HV1015" s="307"/>
      <c r="KI1015" s="302"/>
    </row>
    <row r="1016" spans="1:295">
      <c r="A1016" s="302"/>
      <c r="B1016" s="302"/>
      <c r="C1016" s="302"/>
      <c r="D1016" s="470" t="s">
        <v>618</v>
      </c>
      <c r="EA1016" s="302"/>
      <c r="HV1016" s="307"/>
      <c r="KI1016" s="302"/>
    </row>
    <row r="1017" spans="1:295">
      <c r="A1017" s="302"/>
      <c r="B1017" s="302"/>
      <c r="C1017" s="302"/>
      <c r="D1017" s="470" t="s">
        <v>619</v>
      </c>
      <c r="EA1017" s="302"/>
      <c r="HV1017" s="307"/>
      <c r="KI1017" s="302"/>
    </row>
    <row r="1018" spans="1:295">
      <c r="A1018" s="302"/>
      <c r="B1018" s="302"/>
      <c r="C1018" s="302"/>
      <c r="D1018" s="469" t="s">
        <v>620</v>
      </c>
      <c r="EA1018" s="302"/>
      <c r="HV1018" s="307"/>
      <c r="KI1018" s="302"/>
    </row>
    <row r="1019" spans="1:295">
      <c r="A1019" s="302"/>
      <c r="B1019" s="302"/>
      <c r="C1019" s="302"/>
      <c r="D1019" s="470" t="s">
        <v>621</v>
      </c>
      <c r="EA1019" s="302"/>
      <c r="HV1019" s="307"/>
      <c r="KI1019" s="302"/>
    </row>
    <row r="1020" spans="1:295">
      <c r="A1020" s="302"/>
      <c r="B1020" s="302"/>
      <c r="C1020" s="302"/>
      <c r="D1020" s="470" t="s">
        <v>622</v>
      </c>
      <c r="EA1020" s="302"/>
      <c r="HV1020" s="307"/>
      <c r="KI1020" s="302"/>
    </row>
    <row r="1021" spans="1:295">
      <c r="A1021" s="302"/>
      <c r="B1021" s="302"/>
      <c r="C1021" s="302"/>
      <c r="D1021" s="470" t="s">
        <v>150</v>
      </c>
      <c r="EA1021" s="302"/>
      <c r="HV1021" s="307"/>
      <c r="KI1021" s="302"/>
    </row>
    <row r="1022" spans="1:295">
      <c r="A1022" s="302"/>
      <c r="B1022" s="302"/>
      <c r="C1022" s="302"/>
      <c r="D1022" s="469" t="s">
        <v>608</v>
      </c>
      <c r="EA1022" s="302"/>
      <c r="HV1022" s="307"/>
      <c r="KI1022" s="302"/>
    </row>
    <row r="1023" spans="1:295">
      <c r="A1023" s="302"/>
      <c r="B1023" s="302"/>
      <c r="C1023" s="302"/>
      <c r="D1023" s="470" t="s">
        <v>623</v>
      </c>
      <c r="EA1023" s="302"/>
      <c r="HV1023" s="307"/>
      <c r="KI1023" s="302"/>
    </row>
    <row r="1024" spans="1:295">
      <c r="A1024" s="302"/>
      <c r="B1024" s="302"/>
      <c r="C1024" s="302"/>
      <c r="D1024" s="470" t="s">
        <v>186</v>
      </c>
      <c r="EA1024" s="302"/>
      <c r="HV1024" s="307"/>
      <c r="KI1024" s="302"/>
    </row>
    <row r="1025" spans="1:295">
      <c r="A1025" s="302"/>
      <c r="B1025" s="302"/>
      <c r="C1025" s="302"/>
      <c r="D1025" s="470" t="s">
        <v>624</v>
      </c>
      <c r="EA1025" s="302"/>
      <c r="HV1025" s="307"/>
      <c r="KI1025" s="302"/>
    </row>
    <row r="1026" spans="1:295">
      <c r="A1026" s="302"/>
      <c r="B1026" s="302"/>
      <c r="C1026" s="302"/>
      <c r="D1026" s="470"/>
      <c r="EA1026" s="302"/>
      <c r="HV1026" s="307"/>
      <c r="KI1026" s="302"/>
    </row>
    <row r="1027" spans="1:295">
      <c r="A1027" s="302"/>
      <c r="B1027" s="302"/>
      <c r="C1027" s="302"/>
      <c r="D1027" s="469" t="s">
        <v>625</v>
      </c>
      <c r="EA1027" s="302"/>
      <c r="HV1027" s="307"/>
      <c r="KI1027" s="302"/>
    </row>
    <row r="1028" spans="1:295">
      <c r="A1028" s="302"/>
      <c r="B1028" s="302"/>
      <c r="C1028" s="302"/>
      <c r="D1028" s="470"/>
      <c r="EA1028" s="302"/>
      <c r="HV1028" s="307"/>
      <c r="KI1028" s="302"/>
    </row>
    <row r="1029" spans="1:295">
      <c r="A1029" s="302"/>
      <c r="B1029" s="302"/>
      <c r="C1029" s="302"/>
      <c r="D1029" s="469" t="s">
        <v>626</v>
      </c>
      <c r="EA1029" s="302"/>
      <c r="HV1029" s="307"/>
      <c r="KI1029" s="302"/>
    </row>
    <row r="1030" spans="1:295">
      <c r="A1030" s="302"/>
      <c r="B1030" s="302"/>
      <c r="C1030" s="302"/>
      <c r="D1030" s="470"/>
      <c r="EA1030" s="302"/>
      <c r="HV1030" s="307"/>
      <c r="KI1030" s="302"/>
    </row>
    <row r="1031" spans="1:295">
      <c r="A1031" s="302"/>
      <c r="B1031" s="302"/>
      <c r="C1031" s="302"/>
      <c r="D1031" s="469" t="s">
        <v>627</v>
      </c>
      <c r="EA1031" s="302"/>
      <c r="HV1031" s="307"/>
      <c r="KI1031" s="302"/>
    </row>
    <row r="1032" spans="1:295">
      <c r="A1032" s="302"/>
      <c r="B1032" s="302"/>
      <c r="C1032" s="302"/>
      <c r="D1032" s="470"/>
      <c r="EA1032" s="302"/>
      <c r="HV1032" s="307"/>
      <c r="KI1032" s="302"/>
    </row>
    <row r="1033" spans="1:295">
      <c r="A1033" s="302"/>
      <c r="B1033" s="302"/>
      <c r="C1033" s="302"/>
      <c r="D1033" s="470" t="s">
        <v>628</v>
      </c>
      <c r="EA1033" s="302"/>
      <c r="HV1033" s="307"/>
      <c r="KI1033" s="302"/>
    </row>
    <row r="1034" spans="1:295">
      <c r="A1034" s="302"/>
      <c r="B1034" s="302"/>
      <c r="C1034" s="302"/>
      <c r="D1034" s="470" t="s">
        <v>83</v>
      </c>
      <c r="EA1034" s="302"/>
      <c r="HV1034" s="307"/>
      <c r="KI1034" s="302"/>
    </row>
    <row r="1035" spans="1:295">
      <c r="A1035" s="302"/>
      <c r="B1035" s="302"/>
      <c r="C1035" s="302"/>
      <c r="D1035" s="470" t="s">
        <v>84</v>
      </c>
      <c r="EA1035" s="302"/>
      <c r="HV1035" s="307"/>
      <c r="KI1035" s="302"/>
    </row>
    <row r="1036" spans="1:295">
      <c r="A1036" s="302"/>
      <c r="B1036" s="302"/>
      <c r="C1036" s="302"/>
      <c r="D1036" s="470" t="s">
        <v>139</v>
      </c>
      <c r="EA1036" s="302"/>
      <c r="HV1036" s="307"/>
      <c r="KI1036" s="302"/>
    </row>
    <row r="1037" spans="1:295">
      <c r="A1037" s="302"/>
      <c r="B1037" s="302"/>
      <c r="C1037" s="302"/>
      <c r="D1037" s="470" t="s">
        <v>155</v>
      </c>
      <c r="EA1037" s="302"/>
      <c r="HV1037" s="307"/>
      <c r="KI1037" s="302"/>
    </row>
    <row r="1038" spans="1:295">
      <c r="A1038" s="302"/>
      <c r="B1038" s="302"/>
      <c r="C1038" s="302"/>
      <c r="D1038" s="470" t="s">
        <v>35</v>
      </c>
      <c r="EA1038" s="302"/>
      <c r="HV1038" s="307"/>
      <c r="KI1038" s="302"/>
    </row>
    <row r="1039" spans="1:295">
      <c r="A1039" s="302"/>
      <c r="B1039" s="302"/>
      <c r="C1039" s="302"/>
      <c r="D1039" s="470" t="s">
        <v>629</v>
      </c>
      <c r="EA1039" s="302"/>
      <c r="HV1039" s="307"/>
      <c r="KI1039" s="302"/>
    </row>
    <row r="1040" spans="1:295">
      <c r="A1040" s="302"/>
      <c r="B1040" s="302"/>
      <c r="C1040" s="302"/>
      <c r="D1040" s="470" t="s">
        <v>630</v>
      </c>
      <c r="EA1040" s="302"/>
      <c r="HV1040" s="307"/>
      <c r="KI1040" s="302"/>
    </row>
    <row r="1041" spans="1:295">
      <c r="A1041" s="302"/>
      <c r="B1041" s="302"/>
      <c r="C1041" s="302"/>
      <c r="D1041" s="470" t="s">
        <v>631</v>
      </c>
      <c r="EA1041" s="302"/>
      <c r="KI1041" s="302"/>
    </row>
    <row r="1042" spans="1:295">
      <c r="A1042" s="302"/>
      <c r="B1042" s="302"/>
      <c r="C1042" s="302"/>
      <c r="D1042" s="470" t="s">
        <v>632</v>
      </c>
      <c r="EA1042" s="302"/>
      <c r="KI1042" s="302"/>
    </row>
    <row r="1043" spans="1:295">
      <c r="A1043" s="302"/>
      <c r="B1043" s="302"/>
      <c r="C1043" s="302"/>
      <c r="D1043" s="470" t="s">
        <v>630</v>
      </c>
      <c r="EA1043" s="302"/>
      <c r="KI1043" s="302"/>
    </row>
    <row r="1044" spans="1:295">
      <c r="A1044" s="302"/>
      <c r="B1044" s="302"/>
      <c r="C1044" s="302"/>
      <c r="D1044" s="470" t="s">
        <v>85</v>
      </c>
      <c r="EA1044" s="302"/>
      <c r="KI1044" s="302"/>
    </row>
    <row r="1045" spans="1:295">
      <c r="A1045" s="302"/>
      <c r="B1045" s="302"/>
      <c r="C1045" s="302"/>
      <c r="D1045" s="470" t="s">
        <v>614</v>
      </c>
      <c r="EA1045" s="302"/>
      <c r="KI1045" s="302"/>
    </row>
    <row r="1046" spans="1:295">
      <c r="A1046" s="302"/>
      <c r="B1046" s="302"/>
      <c r="C1046" s="302"/>
      <c r="D1046" s="470" t="s">
        <v>139</v>
      </c>
      <c r="KI1046" s="302"/>
    </row>
    <row r="1047" spans="1:295">
      <c r="A1047" s="302"/>
      <c r="B1047" s="302"/>
      <c r="C1047" s="302"/>
      <c r="D1047" s="470" t="s">
        <v>633</v>
      </c>
      <c r="KI1047" s="302"/>
    </row>
    <row r="1048" spans="1:295">
      <c r="A1048" s="302"/>
      <c r="B1048" s="302"/>
      <c r="C1048" s="302"/>
      <c r="D1048" s="470"/>
      <c r="KI1048" s="302"/>
    </row>
    <row r="1049" spans="1:295">
      <c r="A1049" s="302"/>
      <c r="B1049" s="302"/>
      <c r="C1049" s="302"/>
      <c r="D1049" s="469" t="s">
        <v>476</v>
      </c>
      <c r="KI1049" s="302"/>
    </row>
    <row r="1050" spans="1:295">
      <c r="A1050" s="302"/>
      <c r="B1050" s="302"/>
      <c r="C1050" s="302"/>
      <c r="D1050" s="470" t="s">
        <v>659</v>
      </c>
      <c r="KI1050" s="302"/>
    </row>
    <row r="1051" spans="1:295">
      <c r="A1051" s="302"/>
      <c r="B1051" s="302"/>
      <c r="C1051" s="302"/>
      <c r="D1051" s="471" t="s">
        <v>660</v>
      </c>
      <c r="KI1051" s="302"/>
    </row>
    <row r="1052" spans="1:295">
      <c r="A1052" s="302"/>
      <c r="B1052" s="302"/>
      <c r="C1052" s="302"/>
      <c r="D1052" s="470" t="s">
        <v>661</v>
      </c>
      <c r="KI1052" s="302"/>
    </row>
    <row r="1053" spans="1:295">
      <c r="A1053" s="302"/>
      <c r="B1053" s="302"/>
      <c r="C1053" s="302"/>
      <c r="D1053" s="470" t="s">
        <v>662</v>
      </c>
      <c r="KI1053" s="302"/>
    </row>
    <row r="1054" spans="1:295">
      <c r="A1054" s="302"/>
      <c r="B1054" s="302"/>
      <c r="C1054" s="302"/>
      <c r="D1054" s="470"/>
      <c r="KI1054" s="302"/>
    </row>
    <row r="1055" spans="1:295">
      <c r="A1055" s="302"/>
      <c r="B1055" s="302"/>
      <c r="C1055" s="302"/>
      <c r="D1055" s="469" t="s">
        <v>635</v>
      </c>
      <c r="KI1055" s="302"/>
    </row>
    <row r="1056" spans="1:295">
      <c r="A1056" s="302"/>
      <c r="B1056" s="302"/>
      <c r="C1056" s="302"/>
      <c r="D1056" s="469" t="s">
        <v>636</v>
      </c>
      <c r="KI1056" s="302"/>
    </row>
    <row r="1057" spans="1:295">
      <c r="A1057" s="302"/>
      <c r="B1057" s="302"/>
      <c r="C1057" s="302"/>
      <c r="D1057" s="469" t="s">
        <v>637</v>
      </c>
      <c r="KI1057" s="302"/>
    </row>
    <row r="1058" spans="1:295">
      <c r="A1058" s="302"/>
      <c r="B1058" s="302"/>
      <c r="C1058" s="302"/>
      <c r="D1058" s="469" t="s">
        <v>638</v>
      </c>
      <c r="KI1058" s="302"/>
    </row>
    <row r="1059" spans="1:295">
      <c r="A1059" s="302"/>
      <c r="B1059" s="302"/>
      <c r="C1059" s="302"/>
      <c r="D1059" s="470"/>
      <c r="KI1059" s="302"/>
    </row>
    <row r="1060" spans="1:295">
      <c r="A1060" s="302"/>
      <c r="B1060" s="302"/>
      <c r="C1060" s="302"/>
      <c r="D1060" s="469" t="s">
        <v>639</v>
      </c>
      <c r="KI1060" s="302"/>
    </row>
    <row r="1063" spans="1:295">
      <c r="A1063" s="302"/>
      <c r="B1063" s="302"/>
      <c r="C1063" s="302"/>
      <c r="D1063" s="14" t="s">
        <v>728</v>
      </c>
      <c r="HR1063" s="302" t="s">
        <v>719</v>
      </c>
      <c r="KI1063" s="302"/>
    </row>
    <row r="1064" spans="1:295" ht="15.5">
      <c r="A1064" s="302"/>
      <c r="B1064" s="302"/>
      <c r="C1064" s="302"/>
      <c r="D1064" s="488" t="str">
        <f>+D1063</f>
        <v>FISCAL_inyear_DOMDEBT1415</v>
      </c>
      <c r="E1064" s="473"/>
      <c r="F1064" s="473"/>
      <c r="G1064" s="473"/>
      <c r="H1064" s="473"/>
      <c r="I1064" s="473"/>
      <c r="J1064" s="473"/>
      <c r="K1064" s="473"/>
      <c r="L1064" s="473"/>
      <c r="M1064" s="473"/>
      <c r="N1064" s="473"/>
      <c r="O1064" s="473"/>
      <c r="P1064" s="473"/>
      <c r="Q1064" s="473"/>
      <c r="R1064" s="473"/>
      <c r="S1064" s="473"/>
      <c r="T1064" s="473"/>
      <c r="U1064" s="473"/>
      <c r="V1064" s="473"/>
      <c r="W1064" s="473"/>
      <c r="X1064" s="473"/>
      <c r="Y1064" s="473"/>
      <c r="Z1064" s="473"/>
      <c r="AA1064" s="473"/>
      <c r="AB1064" s="473"/>
      <c r="AC1064" s="473"/>
      <c r="AD1064" s="473"/>
      <c r="AE1064" s="473"/>
      <c r="AF1064" s="473"/>
      <c r="AG1064" s="473"/>
      <c r="AH1064" s="473"/>
      <c r="AI1064" s="473"/>
      <c r="AJ1064" s="473"/>
      <c r="AK1064" s="473"/>
      <c r="AL1064" s="473"/>
      <c r="AM1064" s="473"/>
      <c r="AN1064" s="473"/>
      <c r="AO1064" s="473"/>
      <c r="AP1064" s="473"/>
      <c r="AQ1064" s="473"/>
      <c r="AR1064" s="473"/>
      <c r="AS1064" s="473"/>
      <c r="AT1064" s="473"/>
      <c r="AU1064" s="473"/>
      <c r="AV1064" s="473"/>
      <c r="AW1064" s="473"/>
      <c r="AX1064" s="473"/>
      <c r="AY1064" s="473"/>
      <c r="AZ1064" s="473"/>
      <c r="BA1064" s="473"/>
      <c r="BB1064" s="473"/>
      <c r="BC1064" s="473"/>
      <c r="BD1064" s="473"/>
      <c r="BE1064" s="473"/>
      <c r="BF1064" s="473"/>
      <c r="BG1064" s="473"/>
      <c r="BH1064" s="473"/>
      <c r="BI1064" s="473"/>
      <c r="BJ1064" s="473"/>
      <c r="BK1064" s="473"/>
      <c r="BL1064" s="473"/>
      <c r="BM1064" s="473"/>
      <c r="BN1064" s="473"/>
      <c r="BO1064" s="473"/>
      <c r="BP1064" s="473"/>
      <c r="BQ1064" s="473"/>
      <c r="BR1064" s="473"/>
      <c r="BS1064" s="473"/>
      <c r="BT1064" s="473"/>
      <c r="BU1064" s="473"/>
      <c r="BV1064" s="473"/>
      <c r="BW1064" s="473"/>
      <c r="BX1064" s="473"/>
      <c r="BY1064" s="473"/>
      <c r="BZ1064" s="473"/>
      <c r="CA1064" s="473"/>
      <c r="CB1064" s="473"/>
      <c r="CC1064" s="473"/>
      <c r="CD1064" s="473"/>
      <c r="CE1064" s="473"/>
      <c r="CF1064" s="473"/>
      <c r="CG1064" s="473"/>
      <c r="CH1064" s="473"/>
      <c r="CI1064" s="473"/>
      <c r="CJ1064" s="473"/>
      <c r="CK1064" s="473"/>
      <c r="CL1064" s="473"/>
      <c r="CM1064" s="473"/>
      <c r="CN1064" s="473"/>
      <c r="CO1064" s="473"/>
      <c r="CP1064" s="473"/>
      <c r="CQ1064" s="473"/>
      <c r="CR1064" s="473"/>
      <c r="CS1064" s="473"/>
      <c r="CT1064" s="473"/>
      <c r="CU1064" s="473"/>
      <c r="CV1064" s="473"/>
      <c r="CW1064" s="473"/>
      <c r="CX1064" s="473"/>
      <c r="CY1064" s="473"/>
      <c r="CZ1064" s="473"/>
      <c r="DA1064" s="473"/>
      <c r="DB1064" s="1524"/>
      <c r="DC1064" s="473"/>
      <c r="DD1064" s="473"/>
      <c r="DE1064" s="473"/>
      <c r="DF1064" s="473"/>
      <c r="DG1064" s="473"/>
      <c r="DH1064" s="473"/>
      <c r="DI1064" s="473"/>
      <c r="DJ1064" s="473"/>
      <c r="DK1064" s="473"/>
      <c r="DL1064" s="473"/>
      <c r="DM1064" s="473"/>
      <c r="DN1064" s="1543"/>
      <c r="DO1064" s="473"/>
      <c r="DP1064" s="473"/>
      <c r="DQ1064" s="473"/>
      <c r="DR1064" s="473"/>
      <c r="DS1064" s="473"/>
      <c r="DT1064" s="473"/>
      <c r="DU1064" s="473"/>
      <c r="DV1064" s="473"/>
      <c r="DW1064" s="473"/>
      <c r="DX1064" s="473"/>
      <c r="DY1064" s="473"/>
      <c r="DZ1064" s="1543"/>
      <c r="HR1064" s="518" t="str">
        <f>+HR1063</f>
        <v>FISCAL_inyear_DOMDEBTproj</v>
      </c>
      <c r="HS1064" s="518"/>
      <c r="HT1064" s="518"/>
      <c r="HU1064" s="515" t="str">
        <f t="shared" ref="HU1064:ID1064" si="1704">+HU2</f>
        <v>2014/15</v>
      </c>
      <c r="HV1064" s="515" t="str">
        <f t="shared" si="1704"/>
        <v>2015/16</v>
      </c>
      <c r="HW1064" s="515" t="str">
        <f t="shared" si="1704"/>
        <v>2015/16</v>
      </c>
      <c r="HX1064" s="515" t="str">
        <f t="shared" si="1704"/>
        <v>2015/16</v>
      </c>
      <c r="HY1064" s="515" t="str">
        <f t="shared" si="1704"/>
        <v>2016/17</v>
      </c>
      <c r="HZ1064" s="515" t="str">
        <f t="shared" si="1704"/>
        <v>2016/17</v>
      </c>
      <c r="IA1064" s="515" t="str">
        <f t="shared" si="1704"/>
        <v>2016/17</v>
      </c>
      <c r="IB1064" s="515" t="str">
        <f t="shared" si="1704"/>
        <v>2017/18</v>
      </c>
      <c r="IC1064" s="515" t="str">
        <f t="shared" si="1704"/>
        <v>2017/18</v>
      </c>
      <c r="ID1064" s="515" t="str">
        <f t="shared" si="1704"/>
        <v>2017/18</v>
      </c>
      <c r="IE1064" s="515"/>
      <c r="IF1064" s="515"/>
      <c r="IG1064" s="515" t="str">
        <f>+IG2</f>
        <v>2018/19</v>
      </c>
      <c r="IH1064" s="515"/>
      <c r="II1064" s="515"/>
      <c r="IJ1064" s="515" t="str">
        <f>+IJ2</f>
        <v>2019/20</v>
      </c>
      <c r="KI1064" s="302"/>
    </row>
    <row r="1065" spans="1:295" ht="15.5">
      <c r="A1065" s="302"/>
      <c r="B1065" s="302"/>
      <c r="C1065" s="302"/>
      <c r="D1065" s="488"/>
      <c r="E1065" s="473"/>
      <c r="F1065" s="473"/>
      <c r="G1065" s="473"/>
      <c r="H1065" s="473"/>
      <c r="I1065" s="473"/>
      <c r="J1065" s="473"/>
      <c r="K1065" s="473"/>
      <c r="L1065" s="473"/>
      <c r="M1065" s="473"/>
      <c r="N1065" s="473"/>
      <c r="O1065" s="473"/>
      <c r="P1065" s="473"/>
      <c r="Q1065" s="473"/>
      <c r="R1065" s="473"/>
      <c r="S1065" s="473"/>
      <c r="T1065" s="473"/>
      <c r="U1065" s="473"/>
      <c r="V1065" s="473"/>
      <c r="W1065" s="473"/>
      <c r="X1065" s="473"/>
      <c r="Y1065" s="473"/>
      <c r="Z1065" s="473"/>
      <c r="AA1065" s="473"/>
      <c r="AB1065" s="473"/>
      <c r="AC1065" s="473"/>
      <c r="AD1065" s="473"/>
      <c r="AE1065" s="473"/>
      <c r="AF1065" s="473"/>
      <c r="AG1065" s="473"/>
      <c r="AH1065" s="473"/>
      <c r="AI1065" s="473"/>
      <c r="AJ1065" s="473"/>
      <c r="AK1065" s="473"/>
      <c r="AL1065" s="473"/>
      <c r="AM1065" s="473"/>
      <c r="AN1065" s="473"/>
      <c r="AO1065" s="473"/>
      <c r="AP1065" s="473"/>
      <c r="AQ1065" s="473"/>
      <c r="AR1065" s="473"/>
      <c r="AS1065" s="473"/>
      <c r="AT1065" s="473"/>
      <c r="AU1065" s="473"/>
      <c r="AV1065" s="473"/>
      <c r="AW1065" s="473"/>
      <c r="AX1065" s="473"/>
      <c r="AY1065" s="473"/>
      <c r="AZ1065" s="473"/>
      <c r="BA1065" s="473"/>
      <c r="BB1065" s="473"/>
      <c r="BC1065" s="473"/>
      <c r="BD1065" s="473"/>
      <c r="BE1065" s="473"/>
      <c r="BF1065" s="473"/>
      <c r="BG1065" s="473"/>
      <c r="BH1065" s="473"/>
      <c r="BI1065" s="473"/>
      <c r="BJ1065" s="473"/>
      <c r="BK1065" s="473"/>
      <c r="BL1065" s="473"/>
      <c r="BM1065" s="473"/>
      <c r="BN1065" s="473"/>
      <c r="BO1065" s="473"/>
      <c r="BP1065" s="473"/>
      <c r="BQ1065" s="473"/>
      <c r="BR1065" s="473"/>
      <c r="BS1065" s="473"/>
      <c r="BT1065" s="473"/>
      <c r="BU1065" s="473"/>
      <c r="BV1065" s="473"/>
      <c r="BW1065" s="473"/>
      <c r="BX1065" s="473"/>
      <c r="BY1065" s="473"/>
      <c r="BZ1065" s="473"/>
      <c r="CA1065" s="473"/>
      <c r="CB1065" s="473"/>
      <c r="CC1065" s="473"/>
      <c r="CD1065" s="473"/>
      <c r="CE1065" s="473"/>
      <c r="CF1065" s="473"/>
      <c r="CG1065" s="473"/>
      <c r="CH1065" s="473"/>
      <c r="CI1065" s="473"/>
      <c r="CJ1065" s="473"/>
      <c r="CK1065" s="473"/>
      <c r="CL1065" s="473"/>
      <c r="CM1065" s="473"/>
      <c r="CN1065" s="473"/>
      <c r="CO1065" s="473"/>
      <c r="CP1065" s="473"/>
      <c r="CQ1065" s="473"/>
      <c r="CR1065" s="473"/>
      <c r="CS1065" s="473"/>
      <c r="CT1065" s="473"/>
      <c r="CU1065" s="473"/>
      <c r="CV1065" s="473"/>
      <c r="CW1065" s="473"/>
      <c r="CX1065" s="473"/>
      <c r="CY1065" s="473"/>
      <c r="CZ1065" s="473"/>
      <c r="DA1065" s="473"/>
      <c r="DB1065" s="1524"/>
      <c r="DC1065" s="473"/>
      <c r="DD1065" s="473"/>
      <c r="DE1065" s="473"/>
      <c r="DF1065" s="473"/>
      <c r="DG1065" s="473"/>
      <c r="DH1065" s="473"/>
      <c r="DI1065" s="473"/>
      <c r="DJ1065" s="473"/>
      <c r="DK1065" s="473"/>
      <c r="DL1065" s="473"/>
      <c r="DM1065" s="473"/>
      <c r="DN1065" s="1543"/>
      <c r="DO1065" s="473"/>
      <c r="DP1065" s="473"/>
      <c r="DQ1065" s="473"/>
      <c r="DR1065" s="473"/>
      <c r="DS1065" s="473"/>
      <c r="DT1065" s="473"/>
      <c r="DU1065" s="473"/>
      <c r="DV1065" s="473"/>
      <c r="DW1065" s="473"/>
      <c r="DX1065" s="473"/>
      <c r="DY1065" s="473"/>
      <c r="DZ1065" s="1543"/>
      <c r="HR1065" s="518"/>
      <c r="HS1065" s="518"/>
      <c r="HT1065" s="518"/>
      <c r="HU1065" s="516" t="str">
        <f t="shared" ref="HU1065:IG1065" si="1705">+HU463</f>
        <v>Ʃ months</v>
      </c>
      <c r="HV1065" s="516" t="str">
        <f t="shared" si="1705"/>
        <v>July-Dec</v>
      </c>
      <c r="HW1065" s="516" t="str">
        <f t="shared" si="1705"/>
        <v>Jan-June</v>
      </c>
      <c r="HX1065" s="516" t="str">
        <f t="shared" si="1705"/>
        <v>Ʃ months</v>
      </c>
      <c r="HY1065" s="516" t="str">
        <f t="shared" si="1705"/>
        <v>Jul-Dec</v>
      </c>
      <c r="HZ1065" s="516" t="str">
        <f t="shared" si="1705"/>
        <v>Jan-Jun</v>
      </c>
      <c r="IA1065" s="516" t="str">
        <f t="shared" si="1705"/>
        <v>Proj.</v>
      </c>
      <c r="IB1065" s="516" t="str">
        <f t="shared" si="1705"/>
        <v>Jul-Dec</v>
      </c>
      <c r="IC1065" s="516" t="str">
        <f t="shared" si="1705"/>
        <v>Jan-Jun</v>
      </c>
      <c r="ID1065" s="516" t="str">
        <f t="shared" si="1705"/>
        <v>Proj.</v>
      </c>
      <c r="IE1065" s="516" t="str">
        <f t="shared" si="1705"/>
        <v>Jul-Dec</v>
      </c>
      <c r="IF1065" s="516" t="str">
        <f t="shared" si="1705"/>
        <v>Jan-Jun</v>
      </c>
      <c r="IG1065" s="516" t="str">
        <f t="shared" si="1705"/>
        <v>Proj.</v>
      </c>
      <c r="IH1065" s="516"/>
      <c r="II1065" s="516"/>
      <c r="IJ1065" s="516" t="str">
        <f>+IJ463</f>
        <v>Proj.</v>
      </c>
      <c r="KI1065" s="302"/>
    </row>
    <row r="1066" spans="1:295" ht="15.5">
      <c r="A1066" s="302"/>
      <c r="B1066" s="302"/>
      <c r="C1066" s="302"/>
      <c r="D1066" s="495" t="s">
        <v>663</v>
      </c>
      <c r="E1066" s="473"/>
      <c r="F1066" s="473"/>
      <c r="G1066" s="473"/>
      <c r="H1066" s="473"/>
      <c r="I1066" s="473"/>
      <c r="J1066" s="473"/>
      <c r="K1066" s="473"/>
      <c r="L1066" s="473"/>
      <c r="M1066" s="473"/>
      <c r="N1066" s="473"/>
      <c r="O1066" s="473"/>
      <c r="P1066" s="473"/>
      <c r="Q1066" s="473"/>
      <c r="R1066" s="473"/>
      <c r="S1066" s="473"/>
      <c r="T1066" s="473"/>
      <c r="U1066" s="473"/>
      <c r="V1066" s="473"/>
      <c r="W1066" s="473"/>
      <c r="X1066" s="473"/>
      <c r="Y1066" s="473"/>
      <c r="Z1066" s="473"/>
      <c r="AA1066" s="473"/>
      <c r="AB1066" s="473"/>
      <c r="AC1066" s="473"/>
      <c r="AD1066" s="473"/>
      <c r="AE1066" s="473"/>
      <c r="AF1066" s="473"/>
      <c r="AG1066" s="473"/>
      <c r="AH1066" s="473"/>
      <c r="AI1066" s="473"/>
      <c r="AJ1066" s="473"/>
      <c r="AK1066" s="473"/>
      <c r="AL1066" s="473"/>
      <c r="AM1066" s="473"/>
      <c r="AN1066" s="473"/>
      <c r="AO1066" s="473"/>
      <c r="AP1066" s="473"/>
      <c r="AQ1066" s="473"/>
      <c r="AR1066" s="473"/>
      <c r="AS1066" s="473"/>
      <c r="AT1066" s="473"/>
      <c r="AU1066" s="473"/>
      <c r="AV1066" s="473"/>
      <c r="AW1066" s="473"/>
      <c r="AX1066" s="473"/>
      <c r="AY1066" s="473"/>
      <c r="AZ1066" s="473"/>
      <c r="BA1066" s="473"/>
      <c r="BB1066" s="473"/>
      <c r="BC1066" s="473"/>
      <c r="BD1066" s="473"/>
      <c r="BE1066" s="473"/>
      <c r="BF1066" s="473"/>
      <c r="BG1066" s="473"/>
      <c r="BH1066" s="473"/>
      <c r="BI1066" s="473"/>
      <c r="BJ1066" s="473"/>
      <c r="BK1066" s="473"/>
      <c r="BL1066" s="473"/>
      <c r="BM1066" s="473"/>
      <c r="BN1066" s="473"/>
      <c r="BO1066" s="473"/>
      <c r="BP1066" s="473"/>
      <c r="BQ1066" s="473"/>
      <c r="BR1066" s="473"/>
      <c r="BS1066" s="473"/>
      <c r="BT1066" s="473"/>
      <c r="BU1066" s="473"/>
      <c r="BV1066" s="473"/>
      <c r="BW1066" s="473"/>
      <c r="BX1066" s="473"/>
      <c r="BY1066" s="473"/>
      <c r="BZ1066" s="473"/>
      <c r="CA1066" s="473"/>
      <c r="CB1066" s="473"/>
      <c r="CC1066" s="473"/>
      <c r="CD1066" s="473"/>
      <c r="CE1066" s="473"/>
      <c r="CF1066" s="473"/>
      <c r="CG1066" s="473"/>
      <c r="CH1066" s="473"/>
      <c r="CI1066" s="473"/>
      <c r="CJ1066" s="496">
        <f t="shared" ref="CJ1066:DZ1066" si="1706">+CJ1</f>
        <v>41609</v>
      </c>
      <c r="CK1066" s="496">
        <f t="shared" si="1706"/>
        <v>41640</v>
      </c>
      <c r="CL1066" s="496">
        <f t="shared" si="1706"/>
        <v>41671</v>
      </c>
      <c r="CM1066" s="496">
        <f t="shared" si="1706"/>
        <v>41699</v>
      </c>
      <c r="CN1066" s="496">
        <f t="shared" si="1706"/>
        <v>41730</v>
      </c>
      <c r="CO1066" s="496">
        <f t="shared" si="1706"/>
        <v>41760</v>
      </c>
      <c r="CP1066" s="496">
        <f t="shared" si="1706"/>
        <v>41791</v>
      </c>
      <c r="CQ1066" s="496">
        <f t="shared" si="1706"/>
        <v>41821</v>
      </c>
      <c r="CR1066" s="496">
        <f t="shared" si="1706"/>
        <v>41852</v>
      </c>
      <c r="CS1066" s="496">
        <f t="shared" si="1706"/>
        <v>41883</v>
      </c>
      <c r="CT1066" s="496">
        <f t="shared" si="1706"/>
        <v>41913</v>
      </c>
      <c r="CU1066" s="496">
        <f t="shared" si="1706"/>
        <v>41944</v>
      </c>
      <c r="CV1066" s="496">
        <f t="shared" si="1706"/>
        <v>41974</v>
      </c>
      <c r="CW1066" s="496">
        <f t="shared" si="1706"/>
        <v>42005</v>
      </c>
      <c r="CX1066" s="496">
        <f t="shared" si="1706"/>
        <v>42036</v>
      </c>
      <c r="CY1066" s="496">
        <f t="shared" si="1706"/>
        <v>42064</v>
      </c>
      <c r="CZ1066" s="496">
        <f t="shared" si="1706"/>
        <v>42095</v>
      </c>
      <c r="DA1066" s="496">
        <f t="shared" si="1706"/>
        <v>42125</v>
      </c>
      <c r="DB1066" s="1525">
        <f t="shared" si="1706"/>
        <v>42156</v>
      </c>
      <c r="DC1066" s="642">
        <f t="shared" si="1706"/>
        <v>42186</v>
      </c>
      <c r="DD1066" s="642">
        <f t="shared" si="1706"/>
        <v>42217</v>
      </c>
      <c r="DE1066" s="642">
        <f t="shared" si="1706"/>
        <v>42248</v>
      </c>
      <c r="DF1066" s="642">
        <f t="shared" si="1706"/>
        <v>42278</v>
      </c>
      <c r="DG1066" s="642">
        <f t="shared" si="1706"/>
        <v>42309</v>
      </c>
      <c r="DH1066" s="642">
        <f t="shared" si="1706"/>
        <v>42339</v>
      </c>
      <c r="DI1066" s="642">
        <f t="shared" si="1706"/>
        <v>42370</v>
      </c>
      <c r="DJ1066" s="642">
        <f t="shared" si="1706"/>
        <v>42401</v>
      </c>
      <c r="DK1066" s="642">
        <f t="shared" si="1706"/>
        <v>42430</v>
      </c>
      <c r="DL1066" s="642">
        <f t="shared" si="1706"/>
        <v>42461</v>
      </c>
      <c r="DM1066" s="642">
        <f t="shared" si="1706"/>
        <v>42491</v>
      </c>
      <c r="DN1066" s="1544">
        <f t="shared" si="1706"/>
        <v>42522</v>
      </c>
      <c r="DO1066" s="642">
        <f t="shared" si="1706"/>
        <v>42552</v>
      </c>
      <c r="DP1066" s="642">
        <f t="shared" si="1706"/>
        <v>42583</v>
      </c>
      <c r="DQ1066" s="642">
        <f t="shared" si="1706"/>
        <v>42615</v>
      </c>
      <c r="DR1066" s="642">
        <f t="shared" si="1706"/>
        <v>42646</v>
      </c>
      <c r="DS1066" s="642">
        <f t="shared" si="1706"/>
        <v>42678</v>
      </c>
      <c r="DT1066" s="642">
        <f t="shared" si="1706"/>
        <v>42709</v>
      </c>
      <c r="DU1066" s="642">
        <f t="shared" si="1706"/>
        <v>42736</v>
      </c>
      <c r="DV1066" s="642">
        <f t="shared" si="1706"/>
        <v>42767</v>
      </c>
      <c r="DW1066" s="642">
        <f t="shared" si="1706"/>
        <v>42795</v>
      </c>
      <c r="DX1066" s="642">
        <f t="shared" si="1706"/>
        <v>42826</v>
      </c>
      <c r="DY1066" s="642">
        <f t="shared" si="1706"/>
        <v>42856</v>
      </c>
      <c r="DZ1066" s="1544">
        <f t="shared" si="1706"/>
        <v>42887</v>
      </c>
      <c r="HR1066" s="518"/>
      <c r="HS1066" s="518"/>
      <c r="HT1066" s="518"/>
      <c r="HU1066" s="488"/>
      <c r="HV1066" s="488"/>
      <c r="HW1066" s="488"/>
      <c r="HX1066" s="346"/>
      <c r="HY1066" s="488"/>
      <c r="HZ1066" s="488"/>
      <c r="IA1066" s="346"/>
      <c r="IB1066" s="488"/>
      <c r="IC1066" s="488"/>
      <c r="ID1066" s="346"/>
      <c r="IE1066" s="346"/>
      <c r="IF1066" s="346"/>
      <c r="IG1066" s="346"/>
      <c r="IH1066" s="346"/>
      <c r="II1066" s="346"/>
      <c r="IJ1066" s="346"/>
      <c r="KI1066" s="302"/>
    </row>
    <row r="1067" spans="1:295" ht="15.5">
      <c r="A1067" s="302"/>
      <c r="B1067" s="302"/>
      <c r="C1067" s="302"/>
      <c r="D1067" s="495"/>
      <c r="E1067" s="473"/>
      <c r="F1067" s="473"/>
      <c r="G1067" s="473"/>
      <c r="H1067" s="473"/>
      <c r="I1067" s="473"/>
      <c r="J1067" s="473"/>
      <c r="K1067" s="473"/>
      <c r="L1067" s="473"/>
      <c r="M1067" s="473"/>
      <c r="N1067" s="473"/>
      <c r="O1067" s="473"/>
      <c r="P1067" s="473"/>
      <c r="Q1067" s="473"/>
      <c r="R1067" s="473"/>
      <c r="S1067" s="473"/>
      <c r="T1067" s="473"/>
      <c r="U1067" s="473"/>
      <c r="V1067" s="473"/>
      <c r="W1067" s="473"/>
      <c r="X1067" s="473"/>
      <c r="Y1067" s="473"/>
      <c r="Z1067" s="473"/>
      <c r="AA1067" s="473"/>
      <c r="AB1067" s="473"/>
      <c r="AC1067" s="473"/>
      <c r="AD1067" s="473"/>
      <c r="AE1067" s="473"/>
      <c r="AF1067" s="473"/>
      <c r="AG1067" s="473"/>
      <c r="AH1067" s="473"/>
      <c r="AI1067" s="473"/>
      <c r="AJ1067" s="473"/>
      <c r="AK1067" s="473"/>
      <c r="AL1067" s="473"/>
      <c r="AM1067" s="473"/>
      <c r="AN1067" s="473"/>
      <c r="AO1067" s="473"/>
      <c r="AP1067" s="473"/>
      <c r="AQ1067" s="473"/>
      <c r="AR1067" s="473"/>
      <c r="AS1067" s="473"/>
      <c r="AT1067" s="473"/>
      <c r="AU1067" s="473"/>
      <c r="AV1067" s="473"/>
      <c r="AW1067" s="473"/>
      <c r="AX1067" s="473"/>
      <c r="AY1067" s="473"/>
      <c r="AZ1067" s="473"/>
      <c r="BA1067" s="473"/>
      <c r="BB1067" s="473"/>
      <c r="BC1067" s="473"/>
      <c r="BD1067" s="473"/>
      <c r="BE1067" s="473"/>
      <c r="BF1067" s="473"/>
      <c r="BG1067" s="473"/>
      <c r="BH1067" s="473"/>
      <c r="BI1067" s="473"/>
      <c r="BJ1067" s="473"/>
      <c r="BK1067" s="473"/>
      <c r="BL1067" s="473"/>
      <c r="BM1067" s="473"/>
      <c r="BN1067" s="473"/>
      <c r="BO1067" s="473"/>
      <c r="BP1067" s="473"/>
      <c r="BQ1067" s="473"/>
      <c r="BR1067" s="473"/>
      <c r="BS1067" s="473"/>
      <c r="BT1067" s="473"/>
      <c r="BU1067" s="473"/>
      <c r="BV1067" s="473"/>
      <c r="BW1067" s="473"/>
      <c r="BX1067" s="473"/>
      <c r="BY1067" s="473"/>
      <c r="BZ1067" s="473"/>
      <c r="CA1067" s="473"/>
      <c r="CB1067" s="473"/>
      <c r="CC1067" s="473"/>
      <c r="CD1067" s="473"/>
      <c r="CE1067" s="473"/>
      <c r="CF1067" s="473"/>
      <c r="CG1067" s="473"/>
      <c r="CH1067" s="473"/>
      <c r="CI1067" s="473"/>
      <c r="CJ1067" s="496"/>
      <c r="CK1067" s="473"/>
      <c r="CL1067" s="473"/>
      <c r="CM1067" s="473"/>
      <c r="CN1067" s="473"/>
      <c r="CO1067" s="473"/>
      <c r="CP1067" s="496"/>
      <c r="CQ1067" s="496"/>
      <c r="CR1067" s="496"/>
      <c r="CS1067" s="496"/>
      <c r="CT1067" s="496"/>
      <c r="CU1067" s="496"/>
      <c r="CV1067" s="496"/>
      <c r="CW1067" s="496"/>
      <c r="CX1067" s="496"/>
      <c r="CY1067" s="496"/>
      <c r="CZ1067" s="496"/>
      <c r="DA1067" s="496"/>
      <c r="DB1067" s="1526"/>
      <c r="DC1067" s="496"/>
      <c r="DD1067" s="496"/>
      <c r="DE1067" s="496"/>
      <c r="DF1067" s="496"/>
      <c r="DG1067" s="496"/>
      <c r="DH1067" s="496"/>
      <c r="DI1067" s="501"/>
      <c r="DJ1067" s="501"/>
      <c r="DK1067" s="501"/>
      <c r="DL1067" s="501"/>
      <c r="DM1067" s="501"/>
      <c r="DN1067" s="1545"/>
      <c r="DO1067" s="501"/>
      <c r="DP1067" s="501"/>
      <c r="DQ1067" s="501"/>
      <c r="DR1067" s="501"/>
      <c r="DS1067" s="501"/>
      <c r="DT1067" s="501"/>
      <c r="DU1067" s="501"/>
      <c r="DV1067" s="501"/>
      <c r="DW1067" s="501"/>
      <c r="DX1067" s="501"/>
      <c r="DY1067" s="501"/>
      <c r="DZ1067" s="1545"/>
      <c r="HR1067" s="518"/>
      <c r="HS1067" s="518"/>
      <c r="HT1067" s="518"/>
      <c r="HU1067" s="488"/>
      <c r="HV1067" s="488"/>
      <c r="HW1067" s="488"/>
      <c r="HX1067" s="346"/>
      <c r="HY1067" s="488"/>
      <c r="HZ1067" s="488"/>
      <c r="IA1067" s="346"/>
      <c r="IB1067" s="488"/>
      <c r="IC1067" s="488"/>
      <c r="ID1067" s="346"/>
      <c r="IE1067" s="346"/>
      <c r="IF1067" s="346"/>
      <c r="IG1067" s="346"/>
      <c r="IH1067" s="346"/>
      <c r="II1067" s="346"/>
      <c r="IJ1067" s="346"/>
      <c r="KI1067" s="302"/>
    </row>
    <row r="1068" spans="1:295" ht="15.5">
      <c r="A1068" s="302"/>
      <c r="B1068" s="302"/>
      <c r="C1068" s="302"/>
      <c r="D1068" s="497" t="s">
        <v>677</v>
      </c>
      <c r="E1068" s="473"/>
      <c r="F1068" s="473"/>
      <c r="G1068" s="473"/>
      <c r="H1068" s="473"/>
      <c r="I1068" s="473"/>
      <c r="J1068" s="473"/>
      <c r="K1068" s="473"/>
      <c r="L1068" s="473"/>
      <c r="M1068" s="473"/>
      <c r="N1068" s="473"/>
      <c r="O1068" s="473"/>
      <c r="P1068" s="473"/>
      <c r="Q1068" s="473"/>
      <c r="R1068" s="473"/>
      <c r="S1068" s="473"/>
      <c r="T1068" s="473"/>
      <c r="U1068" s="473"/>
      <c r="V1068" s="473"/>
      <c r="W1068" s="473"/>
      <c r="X1068" s="473"/>
      <c r="Y1068" s="473"/>
      <c r="Z1068" s="473"/>
      <c r="AA1068" s="473"/>
      <c r="AB1068" s="473"/>
      <c r="AC1068" s="473"/>
      <c r="AD1068" s="473"/>
      <c r="AE1068" s="473"/>
      <c r="AF1068" s="473"/>
      <c r="AG1068" s="473"/>
      <c r="AH1068" s="473"/>
      <c r="AI1068" s="473"/>
      <c r="AJ1068" s="473"/>
      <c r="AK1068" s="473"/>
      <c r="AL1068" s="473"/>
      <c r="AM1068" s="473"/>
      <c r="AN1068" s="473"/>
      <c r="AO1068" s="473"/>
      <c r="AP1068" s="473"/>
      <c r="AQ1068" s="473"/>
      <c r="AR1068" s="473"/>
      <c r="AS1068" s="473"/>
      <c r="AT1068" s="473"/>
      <c r="AU1068" s="473"/>
      <c r="AV1068" s="473"/>
      <c r="AW1068" s="473"/>
      <c r="AX1068" s="473"/>
      <c r="AY1068" s="473"/>
      <c r="AZ1068" s="473"/>
      <c r="BA1068" s="473"/>
      <c r="BB1068" s="473"/>
      <c r="BC1068" s="473"/>
      <c r="BD1068" s="473"/>
      <c r="BE1068" s="473"/>
      <c r="BF1068" s="473"/>
      <c r="BG1068" s="473"/>
      <c r="BH1068" s="473"/>
      <c r="BI1068" s="473"/>
      <c r="BJ1068" s="473"/>
      <c r="BK1068" s="473"/>
      <c r="BL1068" s="473"/>
      <c r="BM1068" s="473"/>
      <c r="BN1068" s="473"/>
      <c r="BO1068" s="473"/>
      <c r="BP1068" s="473"/>
      <c r="BQ1068" s="473"/>
      <c r="BR1068" s="473"/>
      <c r="BS1068" s="473"/>
      <c r="BT1068" s="473"/>
      <c r="BU1068" s="473"/>
      <c r="BV1068" s="473"/>
      <c r="BW1068" s="473"/>
      <c r="BX1068" s="473"/>
      <c r="BY1068" s="473"/>
      <c r="BZ1068" s="473"/>
      <c r="CA1068" s="473"/>
      <c r="CB1068" s="473"/>
      <c r="CC1068" s="473"/>
      <c r="CD1068" s="473"/>
      <c r="CE1068" s="473"/>
      <c r="CF1068" s="473"/>
      <c r="CG1068" s="473"/>
      <c r="CH1068" s="473"/>
      <c r="CI1068" s="473"/>
      <c r="CJ1068" s="501">
        <f>+CJ1069+CJ1070</f>
        <v>80.672805901000004</v>
      </c>
      <c r="CK1068" s="473"/>
      <c r="CL1068" s="473"/>
      <c r="CM1068" s="473"/>
      <c r="CN1068" s="473"/>
      <c r="CO1068" s="473"/>
      <c r="CP1068" s="501">
        <f t="shared" ref="CP1068:DB1068" si="1707">+CP1069+CP1070</f>
        <v>101.273805901</v>
      </c>
      <c r="CQ1068" s="501">
        <f t="shared" si="1707"/>
        <v>101.04880590100001</v>
      </c>
      <c r="CR1068" s="501">
        <f t="shared" si="1707"/>
        <v>91.187805901000004</v>
      </c>
      <c r="CS1068" s="501">
        <f t="shared" si="1707"/>
        <v>117.147805901</v>
      </c>
      <c r="CT1068" s="501">
        <f t="shared" si="1707"/>
        <v>117.23580590099999</v>
      </c>
      <c r="CU1068" s="501">
        <f t="shared" si="1707"/>
        <v>102.46180590100001</v>
      </c>
      <c r="CV1068" s="501">
        <f t="shared" si="1707"/>
        <v>87.002805901000002</v>
      </c>
      <c r="CW1068" s="501">
        <f t="shared" si="1707"/>
        <v>117.368805901</v>
      </c>
      <c r="CX1068" s="501">
        <f t="shared" si="1707"/>
        <v>86.856805901000001</v>
      </c>
      <c r="CY1068" s="501">
        <f t="shared" si="1707"/>
        <v>110.678805901</v>
      </c>
      <c r="CZ1068" s="501">
        <f t="shared" si="1707"/>
        <v>107.665805901</v>
      </c>
      <c r="DA1068" s="501">
        <f t="shared" si="1707"/>
        <v>95.342805901000006</v>
      </c>
      <c r="DB1068" s="1527">
        <f t="shared" si="1707"/>
        <v>112.50780590100001</v>
      </c>
      <c r="DC1068" s="501">
        <f t="shared" ref="DC1068:DK1068" si="1708">+DC1069+DC1070</f>
        <v>108.02780590099999</v>
      </c>
      <c r="DD1068" s="501">
        <f t="shared" si="1708"/>
        <v>119.35980590100002</v>
      </c>
      <c r="DE1068" s="501">
        <f t="shared" si="1708"/>
        <v>127.37080590100001</v>
      </c>
      <c r="DF1068" s="501">
        <f t="shared" si="1708"/>
        <v>120.60780590100001</v>
      </c>
      <c r="DG1068" s="501">
        <f t="shared" si="1708"/>
        <v>108.85980590100002</v>
      </c>
      <c r="DH1068" s="501">
        <f t="shared" si="1708"/>
        <v>103.80080590099999</v>
      </c>
      <c r="DI1068" s="501">
        <f t="shared" si="1708"/>
        <v>125.85380590100002</v>
      </c>
      <c r="DJ1068" s="501">
        <f t="shared" si="1708"/>
        <v>104.224805901</v>
      </c>
      <c r="DK1068" s="501">
        <f t="shared" si="1708"/>
        <v>120.60780590100001</v>
      </c>
      <c r="DL1068" s="501">
        <f t="shared" ref="DL1068:DT1068" si="1709">+DL1069+DL1070</f>
        <v>117.427805901</v>
      </c>
      <c r="DM1068" s="501">
        <f t="shared" si="1709"/>
        <v>123.968805901</v>
      </c>
      <c r="DN1068" s="1545">
        <f t="shared" si="1709"/>
        <v>113.08680590099999</v>
      </c>
      <c r="DO1068" s="501">
        <f t="shared" si="1709"/>
        <v>132.47180590100001</v>
      </c>
      <c r="DP1068" s="501">
        <f t="shared" si="1709"/>
        <v>137.79980590100001</v>
      </c>
      <c r="DQ1068" s="501">
        <f t="shared" si="1709"/>
        <v>114.67080590099999</v>
      </c>
      <c r="DR1068" s="501">
        <f t="shared" si="1709"/>
        <v>124.987805901</v>
      </c>
      <c r="DS1068" s="501">
        <f t="shared" si="1709"/>
        <v>137.12180590100002</v>
      </c>
      <c r="DT1068" s="501">
        <f t="shared" si="1709"/>
        <v>109.106805901</v>
      </c>
      <c r="DU1068" s="501"/>
      <c r="DV1068" s="501"/>
      <c r="DW1068" s="501"/>
      <c r="DX1068" s="501"/>
      <c r="DY1068" s="501"/>
      <c r="DZ1068" s="1545"/>
      <c r="HR1068" s="517" t="str">
        <f>+D1068</f>
        <v>Central Bank NBR</v>
      </c>
      <c r="HS1068" s="518"/>
      <c r="HT1068" s="518"/>
      <c r="HU1068" s="517">
        <f>+DB1068</f>
        <v>112.50780590100001</v>
      </c>
      <c r="HV1068" s="517"/>
      <c r="HW1068" s="518"/>
      <c r="HX1068" s="513">
        <f>+DN1068</f>
        <v>113.08680590099999</v>
      </c>
      <c r="HY1068" s="518"/>
      <c r="HZ1068" s="518"/>
      <c r="IA1068" s="346"/>
      <c r="IB1068" s="518"/>
      <c r="IC1068" s="518"/>
      <c r="ID1068" s="346"/>
      <c r="IE1068" s="346"/>
      <c r="IF1068" s="346"/>
      <c r="IG1068" s="346"/>
      <c r="IH1068" s="346"/>
      <c r="II1068" s="346"/>
      <c r="IJ1068" s="346"/>
      <c r="KI1068" s="302"/>
    </row>
    <row r="1069" spans="1:295" ht="15.5">
      <c r="A1069" s="302"/>
      <c r="B1069" s="302"/>
      <c r="C1069" s="302"/>
      <c r="D1069" s="472" t="s">
        <v>678</v>
      </c>
      <c r="E1069" s="473"/>
      <c r="F1069" s="473"/>
      <c r="G1069" s="473"/>
      <c r="H1069" s="473"/>
      <c r="I1069" s="473"/>
      <c r="J1069" s="473"/>
      <c r="K1069" s="473"/>
      <c r="L1069" s="473"/>
      <c r="M1069" s="473"/>
      <c r="N1069" s="473"/>
      <c r="O1069" s="473"/>
      <c r="P1069" s="473"/>
      <c r="Q1069" s="473"/>
      <c r="R1069" s="473"/>
      <c r="S1069" s="473"/>
      <c r="T1069" s="473"/>
      <c r="U1069" s="473"/>
      <c r="V1069" s="473"/>
      <c r="W1069" s="473"/>
      <c r="X1069" s="473"/>
      <c r="Y1069" s="473"/>
      <c r="Z1069" s="473"/>
      <c r="AA1069" s="473"/>
      <c r="AB1069" s="473"/>
      <c r="AC1069" s="473"/>
      <c r="AD1069" s="473"/>
      <c r="AE1069" s="473"/>
      <c r="AF1069" s="473"/>
      <c r="AG1069" s="473"/>
      <c r="AH1069" s="473"/>
      <c r="AI1069" s="473"/>
      <c r="AJ1069" s="473"/>
      <c r="AK1069" s="473"/>
      <c r="AL1069" s="473"/>
      <c r="AM1069" s="473"/>
      <c r="AN1069" s="473"/>
      <c r="AO1069" s="473"/>
      <c r="AP1069" s="473"/>
      <c r="AQ1069" s="473"/>
      <c r="AR1069" s="473"/>
      <c r="AS1069" s="473"/>
      <c r="AT1069" s="473"/>
      <c r="AU1069" s="473"/>
      <c r="AV1069" s="473"/>
      <c r="AW1069" s="473"/>
      <c r="AX1069" s="473"/>
      <c r="AY1069" s="473"/>
      <c r="AZ1069" s="473"/>
      <c r="BA1069" s="473"/>
      <c r="BB1069" s="473"/>
      <c r="BC1069" s="473"/>
      <c r="BD1069" s="473"/>
      <c r="BE1069" s="473"/>
      <c r="BF1069" s="473"/>
      <c r="BG1069" s="473"/>
      <c r="BH1069" s="473"/>
      <c r="BI1069" s="473"/>
      <c r="BJ1069" s="473"/>
      <c r="BK1069" s="473"/>
      <c r="BL1069" s="473"/>
      <c r="BM1069" s="473"/>
      <c r="BN1069" s="473"/>
      <c r="BO1069" s="473"/>
      <c r="BP1069" s="473"/>
      <c r="BQ1069" s="473"/>
      <c r="BR1069" s="473"/>
      <c r="BS1069" s="473"/>
      <c r="BT1069" s="473"/>
      <c r="BU1069" s="473"/>
      <c r="BV1069" s="473"/>
      <c r="BW1069" s="473"/>
      <c r="BX1069" s="473"/>
      <c r="BY1069" s="473"/>
      <c r="BZ1069" s="473"/>
      <c r="CA1069" s="473"/>
      <c r="CB1069" s="473"/>
      <c r="CC1069" s="473"/>
      <c r="CD1069" s="473"/>
      <c r="CE1069" s="473"/>
      <c r="CF1069" s="473"/>
      <c r="CG1069" s="473"/>
      <c r="CH1069" s="473"/>
      <c r="CI1069" s="473"/>
      <c r="CJ1069" s="473">
        <f>+CJ79</f>
        <v>38.572805901000002</v>
      </c>
      <c r="CK1069" s="473"/>
      <c r="CL1069" s="473"/>
      <c r="CM1069" s="473"/>
      <c r="CN1069" s="473"/>
      <c r="CO1069" s="473"/>
      <c r="CP1069" s="473">
        <f t="shared" ref="CP1069:DT1069" si="1710">+CP79</f>
        <v>38.572805901000002</v>
      </c>
      <c r="CQ1069" s="473">
        <f t="shared" si="1710"/>
        <v>38.572805901000002</v>
      </c>
      <c r="CR1069" s="473">
        <f t="shared" si="1710"/>
        <v>38.572805901000002</v>
      </c>
      <c r="CS1069" s="473">
        <f t="shared" si="1710"/>
        <v>38.572805901000002</v>
      </c>
      <c r="CT1069" s="473">
        <f t="shared" si="1710"/>
        <v>38.572805901000002</v>
      </c>
      <c r="CU1069" s="473">
        <f t="shared" si="1710"/>
        <v>38.572805901000002</v>
      </c>
      <c r="CV1069" s="473">
        <f t="shared" si="1710"/>
        <v>38.572805901000002</v>
      </c>
      <c r="CW1069" s="473">
        <f t="shared" si="1710"/>
        <v>38.572805901000002</v>
      </c>
      <c r="CX1069" s="473">
        <f t="shared" si="1710"/>
        <v>38.572805901000002</v>
      </c>
      <c r="CY1069" s="473">
        <f t="shared" si="1710"/>
        <v>38.572805901000002</v>
      </c>
      <c r="CZ1069" s="473">
        <f t="shared" si="1710"/>
        <v>38.572805901000002</v>
      </c>
      <c r="DA1069" s="473">
        <f t="shared" si="1710"/>
        <v>38.572805901000002</v>
      </c>
      <c r="DB1069" s="1524">
        <f t="shared" si="1710"/>
        <v>38.572805901000002</v>
      </c>
      <c r="DC1069" s="473">
        <f t="shared" si="1710"/>
        <v>38.572805901000002</v>
      </c>
      <c r="DD1069" s="473">
        <f t="shared" si="1710"/>
        <v>38.572805901000002</v>
      </c>
      <c r="DE1069" s="473">
        <f t="shared" si="1710"/>
        <v>38.572805901000002</v>
      </c>
      <c r="DF1069" s="473">
        <f t="shared" si="1710"/>
        <v>38.572805901000002</v>
      </c>
      <c r="DG1069" s="473">
        <f t="shared" si="1710"/>
        <v>38.572805901000002</v>
      </c>
      <c r="DH1069" s="473">
        <f t="shared" si="1710"/>
        <v>38.572805901000002</v>
      </c>
      <c r="DI1069" s="473">
        <f t="shared" si="1710"/>
        <v>38.572805901000002</v>
      </c>
      <c r="DJ1069" s="473">
        <f t="shared" si="1710"/>
        <v>38.572805901000002</v>
      </c>
      <c r="DK1069" s="473">
        <f t="shared" si="1710"/>
        <v>38.572805901000002</v>
      </c>
      <c r="DL1069" s="473">
        <f t="shared" si="1710"/>
        <v>38.572805901000002</v>
      </c>
      <c r="DM1069" s="473">
        <f t="shared" si="1710"/>
        <v>38.572805901000002</v>
      </c>
      <c r="DN1069" s="1543">
        <f t="shared" si="1710"/>
        <v>38.572805901000002</v>
      </c>
      <c r="DO1069" s="473">
        <f t="shared" si="1710"/>
        <v>38.572805901000002</v>
      </c>
      <c r="DP1069" s="473">
        <f t="shared" si="1710"/>
        <v>38.572805901000002</v>
      </c>
      <c r="DQ1069" s="473">
        <f t="shared" si="1710"/>
        <v>38.572805901000002</v>
      </c>
      <c r="DR1069" s="473">
        <f t="shared" si="1710"/>
        <v>38.572805901000002</v>
      </c>
      <c r="DS1069" s="473">
        <f t="shared" si="1710"/>
        <v>38.572805901000002</v>
      </c>
      <c r="DT1069" s="473">
        <f t="shared" si="1710"/>
        <v>38.572805901000002</v>
      </c>
      <c r="DU1069" s="473"/>
      <c r="DV1069" s="473"/>
      <c r="DW1069" s="473"/>
      <c r="DX1069" s="473"/>
      <c r="DY1069" s="473"/>
      <c r="DZ1069" s="1543"/>
      <c r="HR1069" s="518" t="str">
        <f>+D1069</f>
        <v xml:space="preserve">Consolidated debt </v>
      </c>
      <c r="HS1069" s="518"/>
      <c r="HT1069" s="518"/>
      <c r="HU1069" s="518">
        <f>+DB1069</f>
        <v>38.572805901000002</v>
      </c>
      <c r="HV1069" s="518"/>
      <c r="HW1069" s="518"/>
      <c r="HX1069" s="346">
        <f>+DN1069</f>
        <v>38.572805901000002</v>
      </c>
      <c r="HY1069" s="518"/>
      <c r="HZ1069" s="518"/>
      <c r="IA1069" s="346"/>
      <c r="IB1069" s="518"/>
      <c r="IC1069" s="518"/>
      <c r="ID1069" s="346"/>
      <c r="IE1069" s="346"/>
      <c r="IF1069" s="346"/>
      <c r="IG1069" s="346"/>
      <c r="IH1069" s="346"/>
      <c r="II1069" s="346"/>
      <c r="IJ1069" s="346"/>
      <c r="KI1069" s="302"/>
    </row>
    <row r="1070" spans="1:295" ht="15.5">
      <c r="A1070" s="302"/>
      <c r="B1070" s="302"/>
      <c r="C1070" s="302"/>
      <c r="D1070" s="472" t="s">
        <v>679</v>
      </c>
      <c r="E1070" s="473"/>
      <c r="F1070" s="473"/>
      <c r="G1070" s="473"/>
      <c r="H1070" s="473"/>
      <c r="I1070" s="473"/>
      <c r="J1070" s="473"/>
      <c r="K1070" s="473"/>
      <c r="L1070" s="473"/>
      <c r="M1070" s="473"/>
      <c r="N1070" s="473"/>
      <c r="O1070" s="473"/>
      <c r="P1070" s="473"/>
      <c r="Q1070" s="473"/>
      <c r="R1070" s="473"/>
      <c r="S1070" s="473"/>
      <c r="T1070" s="473"/>
      <c r="U1070" s="473"/>
      <c r="V1070" s="473"/>
      <c r="W1070" s="473"/>
      <c r="X1070" s="473"/>
      <c r="Y1070" s="473"/>
      <c r="Z1070" s="473"/>
      <c r="AA1070" s="473"/>
      <c r="AB1070" s="473"/>
      <c r="AC1070" s="473"/>
      <c r="AD1070" s="473"/>
      <c r="AE1070" s="473"/>
      <c r="AF1070" s="473"/>
      <c r="AG1070" s="473"/>
      <c r="AH1070" s="473"/>
      <c r="AI1070" s="473"/>
      <c r="AJ1070" s="473"/>
      <c r="AK1070" s="473"/>
      <c r="AL1070" s="473"/>
      <c r="AM1070" s="473"/>
      <c r="AN1070" s="473"/>
      <c r="AO1070" s="473"/>
      <c r="AP1070" s="473"/>
      <c r="AQ1070" s="473"/>
      <c r="AR1070" s="473"/>
      <c r="AS1070" s="473"/>
      <c r="AT1070" s="473"/>
      <c r="AU1070" s="473"/>
      <c r="AV1070" s="473"/>
      <c r="AW1070" s="473"/>
      <c r="AX1070" s="473"/>
      <c r="AY1070" s="473"/>
      <c r="AZ1070" s="473"/>
      <c r="BA1070" s="473"/>
      <c r="BB1070" s="473"/>
      <c r="BC1070" s="473"/>
      <c r="BD1070" s="473"/>
      <c r="BE1070" s="473"/>
      <c r="BF1070" s="473"/>
      <c r="BG1070" s="473"/>
      <c r="BH1070" s="473"/>
      <c r="BI1070" s="473"/>
      <c r="BJ1070" s="473"/>
      <c r="BK1070" s="473"/>
      <c r="BL1070" s="473"/>
      <c r="BM1070" s="473"/>
      <c r="BN1070" s="473"/>
      <c r="BO1070" s="473"/>
      <c r="BP1070" s="473"/>
      <c r="BQ1070" s="473"/>
      <c r="BR1070" s="473"/>
      <c r="BS1070" s="473"/>
      <c r="BT1070" s="473"/>
      <c r="BU1070" s="473"/>
      <c r="BV1070" s="473"/>
      <c r="BW1070" s="473"/>
      <c r="BX1070" s="473"/>
      <c r="BY1070" s="473"/>
      <c r="BZ1070" s="473"/>
      <c r="CA1070" s="473"/>
      <c r="CB1070" s="473"/>
      <c r="CC1070" s="473"/>
      <c r="CD1070" s="473"/>
      <c r="CE1070" s="473"/>
      <c r="CF1070" s="473"/>
      <c r="CG1070" s="473"/>
      <c r="CH1070" s="473"/>
      <c r="CI1070" s="473"/>
      <c r="CJ1070" s="473">
        <f>-CJ137</f>
        <v>42.1</v>
      </c>
      <c r="CK1070" s="473"/>
      <c r="CL1070" s="473"/>
      <c r="CM1070" s="473"/>
      <c r="CN1070" s="473"/>
      <c r="CO1070" s="473"/>
      <c r="CP1070" s="473">
        <f t="shared" ref="CP1070:DT1070" si="1711">-CP137</f>
        <v>62.701000000000001</v>
      </c>
      <c r="CQ1070" s="473">
        <f t="shared" si="1711"/>
        <v>62.475999999999999</v>
      </c>
      <c r="CR1070" s="473">
        <f t="shared" si="1711"/>
        <v>52.615000000000002</v>
      </c>
      <c r="CS1070" s="473">
        <f t="shared" si="1711"/>
        <v>78.575000000000003</v>
      </c>
      <c r="CT1070" s="473">
        <f t="shared" si="1711"/>
        <v>78.662999999999997</v>
      </c>
      <c r="CU1070" s="473">
        <f t="shared" si="1711"/>
        <v>63.889000000000003</v>
      </c>
      <c r="CV1070" s="473">
        <f t="shared" si="1711"/>
        <v>48.43</v>
      </c>
      <c r="CW1070" s="473">
        <f t="shared" si="1711"/>
        <v>78.796000000000006</v>
      </c>
      <c r="CX1070" s="473">
        <f t="shared" si="1711"/>
        <v>48.283999999999999</v>
      </c>
      <c r="CY1070" s="473">
        <f t="shared" si="1711"/>
        <v>72.105999999999995</v>
      </c>
      <c r="CZ1070" s="473">
        <f t="shared" si="1711"/>
        <v>69.093000000000004</v>
      </c>
      <c r="DA1070" s="473">
        <f t="shared" si="1711"/>
        <v>56.77</v>
      </c>
      <c r="DB1070" s="1524">
        <f t="shared" si="1711"/>
        <v>73.935000000000002</v>
      </c>
      <c r="DC1070" s="473">
        <f t="shared" si="1711"/>
        <v>69.454999999999998</v>
      </c>
      <c r="DD1070" s="473">
        <f t="shared" si="1711"/>
        <v>80.787000000000006</v>
      </c>
      <c r="DE1070" s="473">
        <f t="shared" si="1711"/>
        <v>88.798000000000002</v>
      </c>
      <c r="DF1070" s="473">
        <f t="shared" si="1711"/>
        <v>82.034999999999997</v>
      </c>
      <c r="DG1070" s="473">
        <f t="shared" si="1711"/>
        <v>70.287000000000006</v>
      </c>
      <c r="DH1070" s="473">
        <f t="shared" si="1711"/>
        <v>65.227999999999994</v>
      </c>
      <c r="DI1070" s="473">
        <f t="shared" si="1711"/>
        <v>87.281000000000006</v>
      </c>
      <c r="DJ1070" s="473">
        <f t="shared" si="1711"/>
        <v>65.652000000000001</v>
      </c>
      <c r="DK1070" s="473">
        <f t="shared" si="1711"/>
        <v>82.034999999999997</v>
      </c>
      <c r="DL1070" s="473">
        <f t="shared" si="1711"/>
        <v>78.855000000000004</v>
      </c>
      <c r="DM1070" s="473">
        <f t="shared" si="1711"/>
        <v>85.396000000000001</v>
      </c>
      <c r="DN1070" s="1543">
        <f t="shared" si="1711"/>
        <v>74.513999999999996</v>
      </c>
      <c r="DO1070" s="473">
        <f t="shared" si="1711"/>
        <v>93.899000000000001</v>
      </c>
      <c r="DP1070" s="473">
        <f t="shared" si="1711"/>
        <v>99.227000000000004</v>
      </c>
      <c r="DQ1070" s="473">
        <f t="shared" si="1711"/>
        <v>76.097999999999999</v>
      </c>
      <c r="DR1070" s="473">
        <f t="shared" si="1711"/>
        <v>86.415000000000006</v>
      </c>
      <c r="DS1070" s="473">
        <f t="shared" si="1711"/>
        <v>98.549000000000007</v>
      </c>
      <c r="DT1070" s="473">
        <f t="shared" si="1711"/>
        <v>70.534000000000006</v>
      </c>
      <c r="DU1070" s="473"/>
      <c r="DV1070" s="473"/>
      <c r="DW1070" s="473"/>
      <c r="DX1070" s="473"/>
      <c r="DY1070" s="473"/>
      <c r="DZ1070" s="1543"/>
      <c r="HR1070" s="518" t="str">
        <f>+D1070</f>
        <v>overdraft</v>
      </c>
      <c r="HS1070" s="518"/>
      <c r="HT1070" s="518"/>
      <c r="HU1070" s="518">
        <f>+DB1070</f>
        <v>73.935000000000002</v>
      </c>
      <c r="HV1070" s="518"/>
      <c r="HW1070" s="518"/>
      <c r="HX1070" s="346">
        <f>+DN1070</f>
        <v>74.513999999999996</v>
      </c>
      <c r="HY1070" s="518"/>
      <c r="HZ1070" s="518"/>
      <c r="IA1070" s="346"/>
      <c r="IB1070" s="518"/>
      <c r="IC1070" s="518"/>
      <c r="ID1070" s="346"/>
      <c r="IE1070" s="346"/>
      <c r="IF1070" s="346"/>
      <c r="IG1070" s="346"/>
      <c r="IH1070" s="346"/>
      <c r="II1070" s="346"/>
      <c r="IJ1070" s="346"/>
      <c r="KI1070" s="302"/>
    </row>
    <row r="1071" spans="1:295" ht="15.5">
      <c r="A1071" s="302"/>
      <c r="B1071" s="302"/>
      <c r="C1071" s="302"/>
      <c r="D1071" s="498" t="s">
        <v>686</v>
      </c>
      <c r="E1071" s="473"/>
      <c r="F1071" s="473"/>
      <c r="G1071" s="473"/>
      <c r="H1071" s="473"/>
      <c r="I1071" s="473"/>
      <c r="J1071" s="473"/>
      <c r="K1071" s="473"/>
      <c r="L1071" s="473"/>
      <c r="M1071" s="473"/>
      <c r="N1071" s="473"/>
      <c r="O1071" s="473"/>
      <c r="P1071" s="473"/>
      <c r="Q1071" s="473"/>
      <c r="R1071" s="473"/>
      <c r="S1071" s="473"/>
      <c r="T1071" s="473"/>
      <c r="U1071" s="473"/>
      <c r="V1071" s="473"/>
      <c r="W1071" s="473"/>
      <c r="X1071" s="473"/>
      <c r="Y1071" s="473"/>
      <c r="Z1071" s="473"/>
      <c r="AA1071" s="473"/>
      <c r="AB1071" s="473"/>
      <c r="AC1071" s="473"/>
      <c r="AD1071" s="473"/>
      <c r="AE1071" s="473"/>
      <c r="AF1071" s="473"/>
      <c r="AG1071" s="473"/>
      <c r="AH1071" s="473"/>
      <c r="AI1071" s="473"/>
      <c r="AJ1071" s="473"/>
      <c r="AK1071" s="473"/>
      <c r="AL1071" s="473"/>
      <c r="AM1071" s="473"/>
      <c r="AN1071" s="473"/>
      <c r="AO1071" s="473"/>
      <c r="AP1071" s="473"/>
      <c r="AQ1071" s="473"/>
      <c r="AR1071" s="473"/>
      <c r="AS1071" s="473"/>
      <c r="AT1071" s="473"/>
      <c r="AU1071" s="473"/>
      <c r="AV1071" s="473"/>
      <c r="AW1071" s="473"/>
      <c r="AX1071" s="473"/>
      <c r="AY1071" s="473"/>
      <c r="AZ1071" s="473"/>
      <c r="BA1071" s="473"/>
      <c r="BB1071" s="473"/>
      <c r="BC1071" s="473"/>
      <c r="BD1071" s="473"/>
      <c r="BE1071" s="473"/>
      <c r="BF1071" s="473"/>
      <c r="BG1071" s="473"/>
      <c r="BH1071" s="473"/>
      <c r="BI1071" s="473"/>
      <c r="BJ1071" s="473"/>
      <c r="BK1071" s="473"/>
      <c r="BL1071" s="473"/>
      <c r="BM1071" s="473"/>
      <c r="BN1071" s="473"/>
      <c r="BO1071" s="473"/>
      <c r="BP1071" s="473"/>
      <c r="BQ1071" s="473"/>
      <c r="BR1071" s="473"/>
      <c r="BS1071" s="473"/>
      <c r="BT1071" s="473"/>
      <c r="BU1071" s="473"/>
      <c r="BV1071" s="473"/>
      <c r="BW1071" s="473"/>
      <c r="BX1071" s="473"/>
      <c r="BY1071" s="473"/>
      <c r="BZ1071" s="473"/>
      <c r="CA1071" s="473"/>
      <c r="CB1071" s="473"/>
      <c r="CC1071" s="473"/>
      <c r="CD1071" s="473"/>
      <c r="CE1071" s="473"/>
      <c r="CF1071" s="473"/>
      <c r="CG1071" s="473"/>
      <c r="CH1071" s="473"/>
      <c r="CI1071" s="473"/>
      <c r="CJ1071" s="473"/>
      <c r="CK1071" s="473"/>
      <c r="CL1071" s="473"/>
      <c r="CM1071" s="473"/>
      <c r="CN1071" s="473"/>
      <c r="CO1071" s="473"/>
      <c r="CP1071" s="473"/>
      <c r="CQ1071" s="473"/>
      <c r="CR1071" s="473"/>
      <c r="CS1071" s="473"/>
      <c r="CT1071" s="473"/>
      <c r="CU1071" s="473"/>
      <c r="CV1071" s="473"/>
      <c r="CW1071" s="473"/>
      <c r="CX1071" s="473"/>
      <c r="CY1071" s="473"/>
      <c r="CZ1071" s="473"/>
      <c r="DA1071" s="473"/>
      <c r="DB1071" s="1524"/>
      <c r="DC1071" s="473"/>
      <c r="DD1071" s="473"/>
      <c r="DE1071" s="473"/>
      <c r="DF1071" s="473"/>
      <c r="DG1071" s="473"/>
      <c r="DH1071" s="473"/>
      <c r="DI1071" s="501"/>
      <c r="DJ1071" s="501"/>
      <c r="DK1071" s="501"/>
      <c r="DL1071" s="501"/>
      <c r="DM1071" s="501"/>
      <c r="DN1071" s="1545"/>
      <c r="DO1071" s="501"/>
      <c r="DP1071" s="501"/>
      <c r="DQ1071" s="501"/>
      <c r="DR1071" s="501"/>
      <c r="DS1071" s="501"/>
      <c r="DT1071" s="501"/>
      <c r="DU1071" s="501"/>
      <c r="DV1071" s="501"/>
      <c r="DW1071" s="501"/>
      <c r="DX1071" s="501"/>
      <c r="DY1071" s="501"/>
      <c r="DZ1071" s="1545"/>
      <c r="HR1071" s="547" t="str">
        <f>+D1071</f>
        <v>memorandum: monetary policy instruments</v>
      </c>
      <c r="HS1071" s="518"/>
      <c r="HT1071" s="518"/>
      <c r="HU1071" s="518"/>
      <c r="HV1071" s="518"/>
      <c r="HW1071" s="518"/>
      <c r="HX1071" s="346"/>
      <c r="HY1071" s="518"/>
      <c r="HZ1071" s="518"/>
      <c r="IA1071" s="346"/>
      <c r="IB1071" s="518"/>
      <c r="IC1071" s="518"/>
      <c r="ID1071" s="346"/>
      <c r="IE1071" s="346"/>
      <c r="IF1071" s="346"/>
      <c r="IG1071" s="346"/>
      <c r="IH1071" s="346"/>
      <c r="II1071" s="346"/>
      <c r="IJ1071" s="346"/>
      <c r="KI1071" s="302"/>
    </row>
    <row r="1072" spans="1:295" ht="15.5">
      <c r="A1072" s="302"/>
      <c r="B1072" s="302"/>
      <c r="C1072" s="302"/>
      <c r="D1072" s="472"/>
      <c r="E1072" s="473"/>
      <c r="F1072" s="473"/>
      <c r="G1072" s="473"/>
      <c r="H1072" s="473"/>
      <c r="I1072" s="473"/>
      <c r="J1072" s="473"/>
      <c r="K1072" s="473"/>
      <c r="L1072" s="473"/>
      <c r="M1072" s="473"/>
      <c r="N1072" s="473"/>
      <c r="O1072" s="473"/>
      <c r="P1072" s="473"/>
      <c r="Q1072" s="473"/>
      <c r="R1072" s="473"/>
      <c r="S1072" s="473"/>
      <c r="T1072" s="473"/>
      <c r="U1072" s="473"/>
      <c r="V1072" s="473"/>
      <c r="W1072" s="473"/>
      <c r="X1072" s="473"/>
      <c r="Y1072" s="473"/>
      <c r="Z1072" s="473"/>
      <c r="AA1072" s="473"/>
      <c r="AB1072" s="473"/>
      <c r="AC1072" s="473"/>
      <c r="AD1072" s="473"/>
      <c r="AE1072" s="473"/>
      <c r="AF1072" s="473"/>
      <c r="AG1072" s="473"/>
      <c r="AH1072" s="473"/>
      <c r="AI1072" s="473"/>
      <c r="AJ1072" s="473"/>
      <c r="AK1072" s="473"/>
      <c r="AL1072" s="473"/>
      <c r="AM1072" s="473"/>
      <c r="AN1072" s="473"/>
      <c r="AO1072" s="473"/>
      <c r="AP1072" s="473"/>
      <c r="AQ1072" s="473"/>
      <c r="AR1072" s="473"/>
      <c r="AS1072" s="473"/>
      <c r="AT1072" s="473"/>
      <c r="AU1072" s="473"/>
      <c r="AV1072" s="473"/>
      <c r="AW1072" s="473"/>
      <c r="AX1072" s="473"/>
      <c r="AY1072" s="473"/>
      <c r="AZ1072" s="473"/>
      <c r="BA1072" s="473"/>
      <c r="BB1072" s="473"/>
      <c r="BC1072" s="473"/>
      <c r="BD1072" s="473"/>
      <c r="BE1072" s="473"/>
      <c r="BF1072" s="473"/>
      <c r="BG1072" s="473"/>
      <c r="BH1072" s="473"/>
      <c r="BI1072" s="473"/>
      <c r="BJ1072" s="473"/>
      <c r="BK1072" s="473"/>
      <c r="BL1072" s="473"/>
      <c r="BM1072" s="473"/>
      <c r="BN1072" s="473"/>
      <c r="BO1072" s="473"/>
      <c r="BP1072" s="473"/>
      <c r="BQ1072" s="473"/>
      <c r="BR1072" s="473"/>
      <c r="BS1072" s="473"/>
      <c r="BT1072" s="473"/>
      <c r="BU1072" s="473"/>
      <c r="BV1072" s="473"/>
      <c r="BW1072" s="473"/>
      <c r="BX1072" s="473"/>
      <c r="BY1072" s="473"/>
      <c r="BZ1072" s="473"/>
      <c r="CA1072" s="473"/>
      <c r="CB1072" s="473"/>
      <c r="CC1072" s="473"/>
      <c r="CD1072" s="473"/>
      <c r="CE1072" s="473"/>
      <c r="CF1072" s="473"/>
      <c r="CG1072" s="473"/>
      <c r="CH1072" s="473"/>
      <c r="CI1072" s="473"/>
      <c r="CJ1072" s="473"/>
      <c r="CK1072" s="473"/>
      <c r="CL1072" s="473"/>
      <c r="CM1072" s="473"/>
      <c r="CN1072" s="473"/>
      <c r="CO1072" s="473"/>
      <c r="CP1072" s="473"/>
      <c r="CQ1072" s="473"/>
      <c r="CR1072" s="473"/>
      <c r="CS1072" s="473"/>
      <c r="CT1072" s="473"/>
      <c r="CU1072" s="473"/>
      <c r="CV1072" s="473"/>
      <c r="CW1072" s="473"/>
      <c r="CX1072" s="473"/>
      <c r="CY1072" s="473"/>
      <c r="CZ1072" s="473"/>
      <c r="DA1072" s="473"/>
      <c r="DB1072" s="1524"/>
      <c r="DC1072" s="473"/>
      <c r="DD1072" s="473"/>
      <c r="DE1072" s="473"/>
      <c r="DF1072" s="473"/>
      <c r="DG1072" s="473"/>
      <c r="DH1072" s="473"/>
      <c r="DI1072" s="501"/>
      <c r="DJ1072" s="501"/>
      <c r="DK1072" s="501"/>
      <c r="DL1072" s="501"/>
      <c r="DM1072" s="501"/>
      <c r="DN1072" s="1545"/>
      <c r="DO1072" s="501"/>
      <c r="DP1072" s="501"/>
      <c r="DQ1072" s="501"/>
      <c r="DR1072" s="501"/>
      <c r="DS1072" s="501"/>
      <c r="DT1072" s="501"/>
      <c r="DU1072" s="501"/>
      <c r="DV1072" s="501"/>
      <c r="DW1072" s="501"/>
      <c r="DX1072" s="501"/>
      <c r="DY1072" s="501"/>
      <c r="DZ1072" s="1545"/>
      <c r="HR1072" s="517"/>
      <c r="HS1072" s="518"/>
      <c r="HT1072" s="518"/>
      <c r="HU1072" s="518"/>
      <c r="HV1072" s="518"/>
      <c r="HW1072" s="518"/>
      <c r="HX1072" s="346"/>
      <c r="HY1072" s="518"/>
      <c r="HZ1072" s="518"/>
      <c r="IA1072" s="346"/>
      <c r="IB1072" s="518"/>
      <c r="IC1072" s="518"/>
      <c r="ID1072" s="346"/>
      <c r="IE1072" s="346"/>
      <c r="IF1072" s="346"/>
      <c r="IG1072" s="346"/>
      <c r="IH1072" s="346"/>
      <c r="II1072" s="346"/>
      <c r="IJ1072" s="346"/>
      <c r="KI1072" s="302"/>
    </row>
    <row r="1073" spans="1:295" ht="15.5">
      <c r="A1073" s="302"/>
      <c r="B1073" s="302"/>
      <c r="C1073" s="302"/>
      <c r="D1073" s="497" t="s">
        <v>680</v>
      </c>
      <c r="E1073" s="473"/>
      <c r="F1073" s="473"/>
      <c r="G1073" s="473"/>
      <c r="H1073" s="473"/>
      <c r="I1073" s="473"/>
      <c r="J1073" s="473"/>
      <c r="K1073" s="473"/>
      <c r="L1073" s="473"/>
      <c r="M1073" s="473"/>
      <c r="N1073" s="473"/>
      <c r="O1073" s="473"/>
      <c r="P1073" s="473"/>
      <c r="Q1073" s="473"/>
      <c r="R1073" s="473"/>
      <c r="S1073" s="473"/>
      <c r="T1073" s="473"/>
      <c r="U1073" s="473"/>
      <c r="V1073" s="473"/>
      <c r="W1073" s="473"/>
      <c r="X1073" s="473"/>
      <c r="Y1073" s="473"/>
      <c r="Z1073" s="473"/>
      <c r="AA1073" s="473"/>
      <c r="AB1073" s="473"/>
      <c r="AC1073" s="473"/>
      <c r="AD1073" s="473"/>
      <c r="AE1073" s="473"/>
      <c r="AF1073" s="473"/>
      <c r="AG1073" s="473"/>
      <c r="AH1073" s="473"/>
      <c r="AI1073" s="473"/>
      <c r="AJ1073" s="473"/>
      <c r="AK1073" s="473"/>
      <c r="AL1073" s="473"/>
      <c r="AM1073" s="473"/>
      <c r="AN1073" s="473"/>
      <c r="AO1073" s="473"/>
      <c r="AP1073" s="473"/>
      <c r="AQ1073" s="473"/>
      <c r="AR1073" s="473"/>
      <c r="AS1073" s="473"/>
      <c r="AT1073" s="473"/>
      <c r="AU1073" s="473"/>
      <c r="AV1073" s="473"/>
      <c r="AW1073" s="473"/>
      <c r="AX1073" s="473"/>
      <c r="AY1073" s="473"/>
      <c r="AZ1073" s="473"/>
      <c r="BA1073" s="473"/>
      <c r="BB1073" s="473"/>
      <c r="BC1073" s="473"/>
      <c r="BD1073" s="473"/>
      <c r="BE1073" s="473"/>
      <c r="BF1073" s="473"/>
      <c r="BG1073" s="473"/>
      <c r="BH1073" s="473"/>
      <c r="BI1073" s="473"/>
      <c r="BJ1073" s="473"/>
      <c r="BK1073" s="473"/>
      <c r="BL1073" s="473"/>
      <c r="BM1073" s="473"/>
      <c r="BN1073" s="473"/>
      <c r="BO1073" s="473"/>
      <c r="BP1073" s="473"/>
      <c r="BQ1073" s="473"/>
      <c r="BR1073" s="473"/>
      <c r="BS1073" s="473"/>
      <c r="BT1073" s="473"/>
      <c r="BU1073" s="473"/>
      <c r="BV1073" s="473"/>
      <c r="BW1073" s="473"/>
      <c r="BX1073" s="473"/>
      <c r="BY1073" s="473"/>
      <c r="BZ1073" s="473"/>
      <c r="CA1073" s="473"/>
      <c r="CB1073" s="473"/>
      <c r="CC1073" s="473"/>
      <c r="CD1073" s="473"/>
      <c r="CE1073" s="473"/>
      <c r="CF1073" s="473"/>
      <c r="CG1073" s="473"/>
      <c r="CH1073" s="473"/>
      <c r="CI1073" s="473"/>
      <c r="CJ1073" s="501">
        <f>+CJ1075+CJ1078</f>
        <v>154.20558764899999</v>
      </c>
      <c r="CK1073" s="473"/>
      <c r="CL1073" s="473"/>
      <c r="CM1073" s="473"/>
      <c r="CN1073" s="473"/>
      <c r="CO1073" s="473"/>
      <c r="CP1073" s="501">
        <f t="shared" ref="CP1073:DB1073" si="1712">+CP1075+CP1078</f>
        <v>158.406871685</v>
      </c>
      <c r="CQ1073" s="501">
        <f t="shared" si="1712"/>
        <v>157.716971685</v>
      </c>
      <c r="CR1073" s="501">
        <f t="shared" si="1712"/>
        <v>166.46847168500003</v>
      </c>
      <c r="CS1073" s="501">
        <f t="shared" si="1712"/>
        <v>172.66111370300001</v>
      </c>
      <c r="CT1073" s="501">
        <f t="shared" si="1712"/>
        <v>168.61801370300003</v>
      </c>
      <c r="CU1073" s="501">
        <f t="shared" si="1712"/>
        <v>176.725913703</v>
      </c>
      <c r="CV1073" s="501">
        <f t="shared" si="1712"/>
        <v>177.591655721</v>
      </c>
      <c r="CW1073" s="501">
        <f t="shared" si="1712"/>
        <v>179.56415572099999</v>
      </c>
      <c r="CX1073" s="501">
        <f t="shared" si="1712"/>
        <v>186.87305572099999</v>
      </c>
      <c r="CY1073" s="501">
        <f t="shared" si="1712"/>
        <v>186.79275572099999</v>
      </c>
      <c r="CZ1073" s="501">
        <f t="shared" si="1712"/>
        <v>190.79275572099999</v>
      </c>
      <c r="DA1073" s="501">
        <f t="shared" si="1712"/>
        <v>221.73035572100002</v>
      </c>
      <c r="DB1073" s="1527">
        <f t="shared" si="1712"/>
        <v>238.075097747</v>
      </c>
      <c r="DC1073" s="501">
        <f t="shared" ref="DC1073:DN1073" si="1713">+DC1075+DC1078</f>
        <v>246.49059774699998</v>
      </c>
      <c r="DD1073" s="501">
        <f t="shared" si="1713"/>
        <v>256.08769774699999</v>
      </c>
      <c r="DE1073" s="501">
        <f t="shared" si="1713"/>
        <v>246.51193976500002</v>
      </c>
      <c r="DF1073" s="501">
        <f t="shared" si="1713"/>
        <v>253.56293976500001</v>
      </c>
      <c r="DG1073" s="501">
        <f t="shared" si="1713"/>
        <v>257.04663976500001</v>
      </c>
      <c r="DH1073" s="501">
        <f t="shared" si="1713"/>
        <v>257.41891953599998</v>
      </c>
      <c r="DI1073" s="501">
        <f t="shared" si="1713"/>
        <v>253.75141953600001</v>
      </c>
      <c r="DJ1073" s="501">
        <f t="shared" si="1713"/>
        <v>260.52781953599998</v>
      </c>
      <c r="DK1073" s="501">
        <f t="shared" si="1713"/>
        <v>271.74681953599998</v>
      </c>
      <c r="DL1073" s="501">
        <f t="shared" si="1713"/>
        <v>240.868319536</v>
      </c>
      <c r="DM1073" s="501">
        <f t="shared" si="1713"/>
        <v>256.565319536</v>
      </c>
      <c r="DN1073" s="1545">
        <f t="shared" si="1713"/>
        <v>270.09231953599999</v>
      </c>
      <c r="DO1073" s="501">
        <f t="shared" ref="DO1073:DT1073" si="1714">+DO1075+DO1078</f>
        <v>266.58931798041851</v>
      </c>
      <c r="DP1073" s="501">
        <f t="shared" si="1714"/>
        <v>256.83661798041851</v>
      </c>
      <c r="DQ1073" s="501">
        <f t="shared" si="1714"/>
        <v>238.21331798041857</v>
      </c>
      <c r="DR1073" s="501">
        <f t="shared" si="1714"/>
        <v>228.70391798041857</v>
      </c>
      <c r="DS1073" s="501">
        <f t="shared" si="1714"/>
        <v>232.11661798041854</v>
      </c>
      <c r="DT1073" s="501">
        <f t="shared" si="1714"/>
        <v>239.06964355541854</v>
      </c>
      <c r="DU1073" s="501"/>
      <c r="DV1073" s="501"/>
      <c r="DW1073" s="501"/>
      <c r="DX1073" s="501"/>
      <c r="DY1073" s="501"/>
      <c r="DZ1073" s="1545"/>
      <c r="HR1073" s="546" t="str">
        <f t="shared" ref="HR1073:HR1081" si="1715">+D1073</f>
        <v>Commercial banks</v>
      </c>
      <c r="HS1073" s="518"/>
      <c r="HT1073" s="518"/>
      <c r="HU1073" s="517">
        <f>+DB1073</f>
        <v>238.075097747</v>
      </c>
      <c r="HV1073" s="517"/>
      <c r="HW1073" s="518"/>
      <c r="HX1073" s="346">
        <f>+DN1073</f>
        <v>270.09231953599999</v>
      </c>
      <c r="HY1073" s="518"/>
      <c r="HZ1073" s="518"/>
      <c r="IA1073" s="346"/>
      <c r="IB1073" s="518"/>
      <c r="IC1073" s="518"/>
      <c r="ID1073" s="346"/>
      <c r="IE1073" s="346"/>
      <c r="IF1073" s="346"/>
      <c r="IG1073" s="346"/>
      <c r="IH1073" s="346"/>
      <c r="II1073" s="346"/>
      <c r="IJ1073" s="346"/>
      <c r="KI1073" s="302"/>
    </row>
    <row r="1074" spans="1:295" ht="15.5">
      <c r="A1074" s="302"/>
      <c r="B1074" s="302"/>
      <c r="C1074" s="302"/>
      <c r="D1074" s="472" t="s">
        <v>691</v>
      </c>
      <c r="E1074" s="473"/>
      <c r="F1074" s="473"/>
      <c r="G1074" s="473"/>
      <c r="H1074" s="473"/>
      <c r="I1074" s="473"/>
      <c r="J1074" s="473"/>
      <c r="K1074" s="473"/>
      <c r="L1074" s="473"/>
      <c r="M1074" s="473"/>
      <c r="N1074" s="473"/>
      <c r="O1074" s="473"/>
      <c r="P1074" s="473"/>
      <c r="Q1074" s="473"/>
      <c r="R1074" s="473"/>
      <c r="S1074" s="473"/>
      <c r="T1074" s="473"/>
      <c r="U1074" s="473"/>
      <c r="V1074" s="473"/>
      <c r="W1074" s="473"/>
      <c r="X1074" s="473"/>
      <c r="Y1074" s="473"/>
      <c r="Z1074" s="473"/>
      <c r="AA1074" s="473"/>
      <c r="AB1074" s="473"/>
      <c r="AC1074" s="473"/>
      <c r="AD1074" s="473"/>
      <c r="AE1074" s="473"/>
      <c r="AF1074" s="473"/>
      <c r="AG1074" s="473"/>
      <c r="AH1074" s="473"/>
      <c r="AI1074" s="473"/>
      <c r="AJ1074" s="473"/>
      <c r="AK1074" s="473"/>
      <c r="AL1074" s="473"/>
      <c r="AM1074" s="473"/>
      <c r="AN1074" s="473"/>
      <c r="AO1074" s="473"/>
      <c r="AP1074" s="473"/>
      <c r="AQ1074" s="473"/>
      <c r="AR1074" s="473"/>
      <c r="AS1074" s="473"/>
      <c r="AT1074" s="473"/>
      <c r="AU1074" s="473"/>
      <c r="AV1074" s="473"/>
      <c r="AW1074" s="473"/>
      <c r="AX1074" s="473"/>
      <c r="AY1074" s="473"/>
      <c r="AZ1074" s="473"/>
      <c r="BA1074" s="473"/>
      <c r="BB1074" s="473"/>
      <c r="BC1074" s="473"/>
      <c r="BD1074" s="473"/>
      <c r="BE1074" s="473"/>
      <c r="BF1074" s="473"/>
      <c r="BG1074" s="473"/>
      <c r="BH1074" s="473"/>
      <c r="BI1074" s="473"/>
      <c r="BJ1074" s="473"/>
      <c r="BK1074" s="473"/>
      <c r="BL1074" s="473"/>
      <c r="BM1074" s="473"/>
      <c r="BN1074" s="473"/>
      <c r="BO1074" s="473"/>
      <c r="BP1074" s="473"/>
      <c r="BQ1074" s="473"/>
      <c r="BR1074" s="473"/>
      <c r="BS1074" s="473"/>
      <c r="BT1074" s="473"/>
      <c r="BU1074" s="473"/>
      <c r="BV1074" s="473"/>
      <c r="BW1074" s="473"/>
      <c r="BX1074" s="473"/>
      <c r="BY1074" s="473"/>
      <c r="BZ1074" s="473"/>
      <c r="CA1074" s="473"/>
      <c r="CB1074" s="473"/>
      <c r="CC1074" s="473"/>
      <c r="CD1074" s="473"/>
      <c r="CE1074" s="473"/>
      <c r="CF1074" s="473"/>
      <c r="CG1074" s="473"/>
      <c r="CH1074" s="473"/>
      <c r="CI1074" s="473"/>
      <c r="CJ1074" s="473"/>
      <c r="CK1074" s="473"/>
      <c r="CL1074" s="473"/>
      <c r="CM1074" s="473"/>
      <c r="CN1074" s="473"/>
      <c r="CO1074" s="473"/>
      <c r="CP1074" s="473"/>
      <c r="CQ1074" s="473"/>
      <c r="CR1074" s="473"/>
      <c r="CS1074" s="473"/>
      <c r="CT1074" s="473"/>
      <c r="CU1074" s="473"/>
      <c r="CV1074" s="473"/>
      <c r="CW1074" s="473"/>
      <c r="CX1074" s="473"/>
      <c r="CY1074" s="473"/>
      <c r="CZ1074" s="473"/>
      <c r="DA1074" s="473"/>
      <c r="DB1074" s="1524"/>
      <c r="DC1074" s="496"/>
      <c r="DD1074" s="496"/>
      <c r="DE1074" s="496"/>
      <c r="DF1074" s="496"/>
      <c r="DG1074" s="496"/>
      <c r="DH1074" s="645">
        <f>+FISC!Z1666</f>
        <v>136</v>
      </c>
      <c r="DI1074" s="645">
        <f>+FISC!AA1666</f>
        <v>0</v>
      </c>
      <c r="DJ1074" s="501"/>
      <c r="DK1074" s="501"/>
      <c r="DL1074" s="501"/>
      <c r="DM1074" s="501"/>
      <c r="DN1074" s="1545"/>
      <c r="DO1074" s="501"/>
      <c r="DP1074" s="501"/>
      <c r="DQ1074" s="501"/>
      <c r="DR1074" s="501"/>
      <c r="DS1074" s="501"/>
      <c r="DT1074" s="501"/>
      <c r="DU1074" s="501"/>
      <c r="DV1074" s="501"/>
      <c r="DW1074" s="501"/>
      <c r="DX1074" s="501"/>
      <c r="DY1074" s="501"/>
      <c r="DZ1074" s="1545"/>
      <c r="HR1074" s="517" t="str">
        <f t="shared" si="1715"/>
        <v>Claims on government (monetary survey)</v>
      </c>
      <c r="HS1074" s="518"/>
      <c r="HT1074" s="518"/>
      <c r="HU1074" s="518"/>
      <c r="HV1074" s="518"/>
      <c r="HW1074" s="518"/>
      <c r="HX1074" s="346"/>
      <c r="HY1074" s="518"/>
      <c r="HZ1074" s="518"/>
      <c r="IA1074" s="346"/>
      <c r="IB1074" s="518"/>
      <c r="IC1074" s="518"/>
      <c r="ID1074" s="346"/>
      <c r="IE1074" s="346"/>
      <c r="IF1074" s="346"/>
      <c r="IG1074" s="346"/>
      <c r="IH1074" s="346"/>
      <c r="II1074" s="346"/>
      <c r="IJ1074" s="346"/>
      <c r="KI1074" s="302"/>
    </row>
    <row r="1075" spans="1:295" ht="15.5">
      <c r="A1075" s="302"/>
      <c r="B1075" s="302"/>
      <c r="C1075" s="302"/>
      <c r="D1075" s="500" t="s">
        <v>689</v>
      </c>
      <c r="E1075" s="473"/>
      <c r="F1075" s="473"/>
      <c r="G1075" s="473"/>
      <c r="H1075" s="473"/>
      <c r="I1075" s="473"/>
      <c r="J1075" s="473"/>
      <c r="K1075" s="473"/>
      <c r="L1075" s="473"/>
      <c r="M1075" s="473"/>
      <c r="N1075" s="473"/>
      <c r="O1075" s="473"/>
      <c r="P1075" s="473"/>
      <c r="Q1075" s="473"/>
      <c r="R1075" s="473"/>
      <c r="S1075" s="473"/>
      <c r="T1075" s="473"/>
      <c r="U1075" s="473"/>
      <c r="V1075" s="473"/>
      <c r="W1075" s="473"/>
      <c r="X1075" s="473"/>
      <c r="Y1075" s="473"/>
      <c r="Z1075" s="473"/>
      <c r="AA1075" s="473"/>
      <c r="AB1075" s="473"/>
      <c r="AC1075" s="473"/>
      <c r="AD1075" s="473"/>
      <c r="AE1075" s="473"/>
      <c r="AF1075" s="473"/>
      <c r="AG1075" s="473"/>
      <c r="AH1075" s="473"/>
      <c r="AI1075" s="473"/>
      <c r="AJ1075" s="473"/>
      <c r="AK1075" s="473"/>
      <c r="AL1075" s="473"/>
      <c r="AM1075" s="473"/>
      <c r="AN1075" s="473"/>
      <c r="AO1075" s="473"/>
      <c r="AP1075" s="473"/>
      <c r="AQ1075" s="473"/>
      <c r="AR1075" s="473"/>
      <c r="AS1075" s="473"/>
      <c r="AT1075" s="473"/>
      <c r="AU1075" s="473"/>
      <c r="AV1075" s="473"/>
      <c r="AW1075" s="473"/>
      <c r="AX1075" s="473"/>
      <c r="AY1075" s="473"/>
      <c r="AZ1075" s="473"/>
      <c r="BA1075" s="473"/>
      <c r="BB1075" s="473"/>
      <c r="BC1075" s="473"/>
      <c r="BD1075" s="473"/>
      <c r="BE1075" s="473"/>
      <c r="BF1075" s="473"/>
      <c r="BG1075" s="473"/>
      <c r="BH1075" s="473"/>
      <c r="BI1075" s="473"/>
      <c r="BJ1075" s="473"/>
      <c r="BK1075" s="473"/>
      <c r="BL1075" s="473"/>
      <c r="BM1075" s="473"/>
      <c r="BN1075" s="473"/>
      <c r="BO1075" s="473"/>
      <c r="BP1075" s="473"/>
      <c r="BQ1075" s="473"/>
      <c r="BR1075" s="473"/>
      <c r="BS1075" s="473"/>
      <c r="BT1075" s="473"/>
      <c r="BU1075" s="473"/>
      <c r="BV1075" s="473"/>
      <c r="BW1075" s="473"/>
      <c r="BX1075" s="473"/>
      <c r="BY1075" s="473"/>
      <c r="BZ1075" s="473"/>
      <c r="CA1075" s="473"/>
      <c r="CB1075" s="473"/>
      <c r="CC1075" s="473"/>
      <c r="CD1075" s="473"/>
      <c r="CE1075" s="473"/>
      <c r="CF1075" s="473"/>
      <c r="CG1075" s="473"/>
      <c r="CH1075" s="473"/>
      <c r="CI1075" s="473"/>
      <c r="CJ1075" s="500">
        <f>+CJ1076+CJ1077</f>
        <v>152.5566</v>
      </c>
      <c r="CK1075" s="473"/>
      <c r="CL1075" s="473"/>
      <c r="CM1075" s="473"/>
      <c r="CN1075" s="473"/>
      <c r="CO1075" s="473"/>
      <c r="CP1075" s="500">
        <f t="shared" ref="CP1075:DB1075" si="1716">+CP1076+CP1077</f>
        <v>156.97239999999999</v>
      </c>
      <c r="CQ1075" s="500">
        <f t="shared" si="1716"/>
        <v>156.2825</v>
      </c>
      <c r="CR1075" s="500">
        <f t="shared" si="1716"/>
        <v>165.03400000000002</v>
      </c>
      <c r="CS1075" s="500">
        <f t="shared" si="1716"/>
        <v>171.3339</v>
      </c>
      <c r="CT1075" s="500">
        <f t="shared" si="1716"/>
        <v>167.29080000000002</v>
      </c>
      <c r="CU1075" s="500">
        <f t="shared" si="1716"/>
        <v>175.39869999999999</v>
      </c>
      <c r="CV1075" s="500">
        <f t="shared" si="1716"/>
        <v>176.3717</v>
      </c>
      <c r="CW1075" s="500">
        <f t="shared" si="1716"/>
        <v>178.3442</v>
      </c>
      <c r="CX1075" s="500">
        <f t="shared" si="1716"/>
        <v>185.65309999999999</v>
      </c>
      <c r="CY1075" s="500">
        <f t="shared" si="1716"/>
        <v>185.68009999999998</v>
      </c>
      <c r="CZ1075" s="500">
        <f t="shared" si="1716"/>
        <v>189.68009999999998</v>
      </c>
      <c r="DA1075" s="500">
        <f t="shared" si="1716"/>
        <v>220.61770000000001</v>
      </c>
      <c r="DB1075" s="1528">
        <f t="shared" si="1716"/>
        <v>237.06970000000001</v>
      </c>
      <c r="DC1075" s="500">
        <f t="shared" ref="DC1075:DH1075" si="1717">+DC1076+DC1077</f>
        <v>245.48519999999999</v>
      </c>
      <c r="DD1075" s="500">
        <f t="shared" si="1717"/>
        <v>255.08229999999998</v>
      </c>
      <c r="DE1075" s="500">
        <f t="shared" si="1717"/>
        <v>245.61380000000003</v>
      </c>
      <c r="DF1075" s="500">
        <f t="shared" si="1717"/>
        <v>252.66480000000001</v>
      </c>
      <c r="DG1075" s="500">
        <f t="shared" si="1717"/>
        <v>256.14850000000001</v>
      </c>
      <c r="DH1075" s="500">
        <f t="shared" si="1717"/>
        <v>256.8082</v>
      </c>
      <c r="DI1075" s="500">
        <f t="shared" ref="DI1075:DN1075" si="1718">+DI1076+DI1077</f>
        <v>253.14070000000001</v>
      </c>
      <c r="DJ1075" s="500">
        <f t="shared" si="1718"/>
        <v>259.9171</v>
      </c>
      <c r="DK1075" s="500">
        <f t="shared" si="1718"/>
        <v>271.1361</v>
      </c>
      <c r="DL1075" s="500">
        <f t="shared" si="1718"/>
        <v>240.2576</v>
      </c>
      <c r="DM1075" s="500">
        <f t="shared" si="1718"/>
        <v>255.9546</v>
      </c>
      <c r="DN1075" s="1546">
        <f t="shared" si="1718"/>
        <v>269.48160000000001</v>
      </c>
      <c r="DO1075" s="500">
        <f t="shared" ref="DO1075:DT1075" si="1719">+DO1076+DO1077</f>
        <v>265.97859844441854</v>
      </c>
      <c r="DP1075" s="500">
        <f t="shared" si="1719"/>
        <v>256.22589844441853</v>
      </c>
      <c r="DQ1075" s="500">
        <f t="shared" si="1719"/>
        <v>237.60259844441856</v>
      </c>
      <c r="DR1075" s="500">
        <f t="shared" si="1719"/>
        <v>228.09319844441856</v>
      </c>
      <c r="DS1075" s="500">
        <f t="shared" si="1719"/>
        <v>231.50589844441853</v>
      </c>
      <c r="DT1075" s="500">
        <f t="shared" si="1719"/>
        <v>238.65259844441854</v>
      </c>
      <c r="DU1075" s="500"/>
      <c r="DV1075" s="500"/>
      <c r="DW1075" s="500"/>
      <c r="DX1075" s="500"/>
      <c r="DY1075" s="500"/>
      <c r="DZ1075" s="1546"/>
      <c r="HR1075" s="517" t="str">
        <f t="shared" si="1715"/>
        <v>Banks holding of securities</v>
      </c>
      <c r="HS1075" s="518"/>
      <c r="HT1075" s="518"/>
      <c r="HU1075" s="500">
        <f>+HU1076+HU1077</f>
        <v>237.06970000000001</v>
      </c>
      <c r="HV1075" s="500"/>
      <c r="HW1075" s="518"/>
      <c r="HX1075" s="714">
        <f t="shared" ref="HX1075:HX1081" si="1720">+DN1075</f>
        <v>269.48160000000001</v>
      </c>
      <c r="HY1075" s="518"/>
      <c r="HZ1075" s="518"/>
      <c r="IA1075" s="346"/>
      <c r="IB1075" s="518"/>
      <c r="IC1075" s="518"/>
      <c r="ID1075" s="346"/>
      <c r="IE1075" s="346"/>
      <c r="IF1075" s="346"/>
      <c r="IG1075" s="346"/>
      <c r="IH1075" s="346"/>
      <c r="II1075" s="346"/>
      <c r="IJ1075" s="346"/>
      <c r="KI1075" s="302"/>
    </row>
    <row r="1076" spans="1:295" ht="15.5">
      <c r="A1076" s="302"/>
      <c r="B1076" s="302"/>
      <c r="C1076" s="302"/>
      <c r="D1076" s="473" t="s">
        <v>681</v>
      </c>
      <c r="E1076" s="473"/>
      <c r="F1076" s="473"/>
      <c r="G1076" s="473"/>
      <c r="H1076" s="473"/>
      <c r="I1076" s="473"/>
      <c r="J1076" s="473"/>
      <c r="K1076" s="473"/>
      <c r="L1076" s="473"/>
      <c r="M1076" s="473"/>
      <c r="N1076" s="473"/>
      <c r="O1076" s="473"/>
      <c r="P1076" s="473"/>
      <c r="Q1076" s="473"/>
      <c r="R1076" s="473"/>
      <c r="S1076" s="473"/>
      <c r="T1076" s="473"/>
      <c r="U1076" s="473"/>
      <c r="V1076" s="473"/>
      <c r="W1076" s="473"/>
      <c r="X1076" s="473"/>
      <c r="Y1076" s="473"/>
      <c r="Z1076" s="473"/>
      <c r="AA1076" s="473"/>
      <c r="AB1076" s="473"/>
      <c r="AC1076" s="473"/>
      <c r="AD1076" s="473"/>
      <c r="AE1076" s="473"/>
      <c r="AF1076" s="473"/>
      <c r="AG1076" s="473"/>
      <c r="AH1076" s="473"/>
      <c r="AI1076" s="473"/>
      <c r="AJ1076" s="473"/>
      <c r="AK1076" s="473"/>
      <c r="AL1076" s="473"/>
      <c r="AM1076" s="473"/>
      <c r="AN1076" s="473"/>
      <c r="AO1076" s="473"/>
      <c r="AP1076" s="473"/>
      <c r="AQ1076" s="473"/>
      <c r="AR1076" s="473"/>
      <c r="AS1076" s="473"/>
      <c r="AT1076" s="473"/>
      <c r="AU1076" s="473"/>
      <c r="AV1076" s="473"/>
      <c r="AW1076" s="473"/>
      <c r="AX1076" s="473"/>
      <c r="AY1076" s="473"/>
      <c r="AZ1076" s="473"/>
      <c r="BA1076" s="473"/>
      <c r="BB1076" s="473"/>
      <c r="BC1076" s="473"/>
      <c r="BD1076" s="473"/>
      <c r="BE1076" s="473"/>
      <c r="BF1076" s="473"/>
      <c r="BG1076" s="473"/>
      <c r="BH1076" s="473"/>
      <c r="BI1076" s="473"/>
      <c r="BJ1076" s="473"/>
      <c r="BK1076" s="473"/>
      <c r="BL1076" s="473"/>
      <c r="BM1076" s="473"/>
      <c r="BN1076" s="473"/>
      <c r="BO1076" s="473"/>
      <c r="BP1076" s="473"/>
      <c r="BQ1076" s="473"/>
      <c r="BR1076" s="473"/>
      <c r="BS1076" s="473"/>
      <c r="BT1076" s="473"/>
      <c r="BU1076" s="473"/>
      <c r="BV1076" s="473"/>
      <c r="BW1076" s="473"/>
      <c r="BX1076" s="473"/>
      <c r="BY1076" s="473"/>
      <c r="BZ1076" s="473"/>
      <c r="CA1076" s="473"/>
      <c r="CB1076" s="473"/>
      <c r="CC1076" s="473"/>
      <c r="CD1076" s="473"/>
      <c r="CE1076" s="473"/>
      <c r="CF1076" s="473"/>
      <c r="CG1076" s="473"/>
      <c r="CH1076" s="473"/>
      <c r="CI1076" s="473"/>
      <c r="CJ1076" s="473">
        <f>+CJ123</f>
        <v>145.6336</v>
      </c>
      <c r="CK1076" s="473"/>
      <c r="CL1076" s="473"/>
      <c r="CM1076" s="473"/>
      <c r="CN1076" s="473"/>
      <c r="CO1076" s="473"/>
      <c r="CP1076" s="473">
        <f t="shared" ref="CP1076:DT1076" si="1721">+CP123</f>
        <v>145.9434</v>
      </c>
      <c r="CQ1076" s="473">
        <f t="shared" si="1721"/>
        <v>145.2535</v>
      </c>
      <c r="CR1076" s="473">
        <f t="shared" si="1721"/>
        <v>148.07560000000001</v>
      </c>
      <c r="CS1076" s="473">
        <f t="shared" si="1721"/>
        <v>154.37549999999999</v>
      </c>
      <c r="CT1076" s="473">
        <f t="shared" si="1721"/>
        <v>150.33240000000001</v>
      </c>
      <c r="CU1076" s="473">
        <f t="shared" si="1721"/>
        <v>151.09739999999999</v>
      </c>
      <c r="CV1076" s="473">
        <f t="shared" si="1721"/>
        <v>152.07040000000001</v>
      </c>
      <c r="CW1076" s="473">
        <f t="shared" si="1721"/>
        <v>154.0429</v>
      </c>
      <c r="CX1076" s="473">
        <f t="shared" si="1721"/>
        <v>154.13900000000001</v>
      </c>
      <c r="CY1076" s="473">
        <f t="shared" si="1721"/>
        <v>154.166</v>
      </c>
      <c r="CZ1076" s="473">
        <f t="shared" si="1721"/>
        <v>158.166</v>
      </c>
      <c r="DA1076" s="473">
        <f t="shared" si="1721"/>
        <v>187.01150000000001</v>
      </c>
      <c r="DB1076" s="1524">
        <f t="shared" si="1721"/>
        <v>203.46350000000001</v>
      </c>
      <c r="DC1076" s="473">
        <f t="shared" si="1721"/>
        <v>211.87899999999999</v>
      </c>
      <c r="DD1076" s="473">
        <f t="shared" si="1721"/>
        <v>213.92599999999999</v>
      </c>
      <c r="DE1076" s="473">
        <f t="shared" si="1721"/>
        <v>204.45750000000001</v>
      </c>
      <c r="DF1076" s="473">
        <f t="shared" si="1721"/>
        <v>211.5085</v>
      </c>
      <c r="DG1076" s="473">
        <f t="shared" si="1721"/>
        <v>209.95079999999999</v>
      </c>
      <c r="DH1076" s="473">
        <f t="shared" si="1721"/>
        <v>210.6105</v>
      </c>
      <c r="DI1076" s="473">
        <f t="shared" si="1721"/>
        <v>206.94300000000001</v>
      </c>
      <c r="DJ1076" s="473">
        <f t="shared" si="1721"/>
        <v>207.93720000000002</v>
      </c>
      <c r="DK1076" s="473">
        <f t="shared" si="1721"/>
        <v>219.15620000000001</v>
      </c>
      <c r="DL1076" s="473">
        <f t="shared" si="1721"/>
        <v>188.27770000000001</v>
      </c>
      <c r="DM1076" s="473">
        <f t="shared" si="1721"/>
        <v>200.47470000000001</v>
      </c>
      <c r="DN1076" s="1543">
        <f t="shared" si="1721"/>
        <v>214.0017</v>
      </c>
      <c r="DO1076" s="473">
        <f t="shared" si="1721"/>
        <v>210.49869844441855</v>
      </c>
      <c r="DP1076" s="473">
        <f t="shared" si="1721"/>
        <v>197.03189844441854</v>
      </c>
      <c r="DQ1076" s="473">
        <f t="shared" si="1721"/>
        <v>180.33169844441855</v>
      </c>
      <c r="DR1076" s="473">
        <f t="shared" si="1721"/>
        <v>170.82229844441855</v>
      </c>
      <c r="DS1076" s="473">
        <f t="shared" si="1721"/>
        <v>170.59499844441854</v>
      </c>
      <c r="DT1076" s="473">
        <f t="shared" si="1721"/>
        <v>177.74169844441855</v>
      </c>
      <c r="DU1076" s="473"/>
      <c r="DV1076" s="473"/>
      <c r="DW1076" s="473"/>
      <c r="DX1076" s="473"/>
      <c r="DY1076" s="473"/>
      <c r="DZ1076" s="1543"/>
      <c r="HR1076" s="518" t="str">
        <f t="shared" si="1715"/>
        <v xml:space="preserve">T bills </v>
      </c>
      <c r="HS1076" s="518"/>
      <c r="HT1076" s="518"/>
      <c r="HU1076" s="518">
        <f t="shared" ref="HU1076:HU1081" si="1722">+DB1076</f>
        <v>203.46350000000001</v>
      </c>
      <c r="HV1076" s="518"/>
      <c r="HW1076" s="518"/>
      <c r="HX1076" s="346">
        <f t="shared" si="1720"/>
        <v>214.0017</v>
      </c>
      <c r="HY1076" s="518"/>
      <c r="HZ1076" s="518"/>
      <c r="IA1076" s="346"/>
      <c r="IB1076" s="518"/>
      <c r="IC1076" s="518"/>
      <c r="ID1076" s="346"/>
      <c r="IE1076" s="346"/>
      <c r="IF1076" s="346"/>
      <c r="IG1076" s="346"/>
      <c r="IH1076" s="346"/>
      <c r="II1076" s="346"/>
      <c r="IJ1076" s="346"/>
      <c r="KI1076" s="302"/>
    </row>
    <row r="1077" spans="1:295" ht="15.5">
      <c r="A1077" s="302"/>
      <c r="B1077" s="302"/>
      <c r="C1077" s="302"/>
      <c r="D1077" s="473" t="s">
        <v>682</v>
      </c>
      <c r="E1077" s="473"/>
      <c r="F1077" s="473"/>
      <c r="G1077" s="473"/>
      <c r="H1077" s="473"/>
      <c r="I1077" s="473"/>
      <c r="J1077" s="473"/>
      <c r="K1077" s="473"/>
      <c r="L1077" s="473"/>
      <c r="M1077" s="473"/>
      <c r="N1077" s="473"/>
      <c r="O1077" s="473"/>
      <c r="P1077" s="473"/>
      <c r="Q1077" s="473"/>
      <c r="R1077" s="473"/>
      <c r="S1077" s="473"/>
      <c r="T1077" s="473"/>
      <c r="U1077" s="473"/>
      <c r="V1077" s="473"/>
      <c r="W1077" s="473"/>
      <c r="X1077" s="473"/>
      <c r="Y1077" s="473"/>
      <c r="Z1077" s="473"/>
      <c r="AA1077" s="473"/>
      <c r="AB1077" s="473"/>
      <c r="AC1077" s="473"/>
      <c r="AD1077" s="473"/>
      <c r="AE1077" s="473"/>
      <c r="AF1077" s="473"/>
      <c r="AG1077" s="473"/>
      <c r="AH1077" s="473"/>
      <c r="AI1077" s="473"/>
      <c r="AJ1077" s="473"/>
      <c r="AK1077" s="473"/>
      <c r="AL1077" s="473"/>
      <c r="AM1077" s="473"/>
      <c r="AN1077" s="473"/>
      <c r="AO1077" s="473"/>
      <c r="AP1077" s="473"/>
      <c r="AQ1077" s="473"/>
      <c r="AR1077" s="473"/>
      <c r="AS1077" s="473"/>
      <c r="AT1077" s="473"/>
      <c r="AU1077" s="473"/>
      <c r="AV1077" s="473"/>
      <c r="AW1077" s="473"/>
      <c r="AX1077" s="473"/>
      <c r="AY1077" s="473"/>
      <c r="AZ1077" s="473"/>
      <c r="BA1077" s="473"/>
      <c r="BB1077" s="473"/>
      <c r="BC1077" s="473"/>
      <c r="BD1077" s="473"/>
      <c r="BE1077" s="473"/>
      <c r="BF1077" s="473"/>
      <c r="BG1077" s="473"/>
      <c r="BH1077" s="473"/>
      <c r="BI1077" s="473"/>
      <c r="BJ1077" s="473"/>
      <c r="BK1077" s="473"/>
      <c r="BL1077" s="473"/>
      <c r="BM1077" s="473"/>
      <c r="BN1077" s="473"/>
      <c r="BO1077" s="473"/>
      <c r="BP1077" s="473"/>
      <c r="BQ1077" s="473"/>
      <c r="BR1077" s="473"/>
      <c r="BS1077" s="473"/>
      <c r="BT1077" s="473"/>
      <c r="BU1077" s="473"/>
      <c r="BV1077" s="473"/>
      <c r="BW1077" s="473"/>
      <c r="BX1077" s="473"/>
      <c r="BY1077" s="473"/>
      <c r="BZ1077" s="473"/>
      <c r="CA1077" s="473"/>
      <c r="CB1077" s="473"/>
      <c r="CC1077" s="473"/>
      <c r="CD1077" s="473"/>
      <c r="CE1077" s="473"/>
      <c r="CF1077" s="473"/>
      <c r="CG1077" s="473"/>
      <c r="CH1077" s="473"/>
      <c r="CI1077" s="473"/>
      <c r="CJ1077" s="473">
        <f>+CJ126</f>
        <v>6.923</v>
      </c>
      <c r="CK1077" s="473"/>
      <c r="CL1077" s="473"/>
      <c r="CM1077" s="473"/>
      <c r="CN1077" s="473"/>
      <c r="CO1077" s="473"/>
      <c r="CP1077" s="473">
        <f t="shared" ref="CP1077:DT1077" si="1723">+CP126</f>
        <v>11.029</v>
      </c>
      <c r="CQ1077" s="473">
        <f t="shared" si="1723"/>
        <v>11.029</v>
      </c>
      <c r="CR1077" s="473">
        <f t="shared" si="1723"/>
        <v>16.958400000000001</v>
      </c>
      <c r="CS1077" s="473">
        <f t="shared" si="1723"/>
        <v>16.958400000000001</v>
      </c>
      <c r="CT1077" s="473">
        <f t="shared" si="1723"/>
        <v>16.958400000000001</v>
      </c>
      <c r="CU1077" s="473">
        <f t="shared" si="1723"/>
        <v>24.301300000000001</v>
      </c>
      <c r="CV1077" s="473">
        <f t="shared" si="1723"/>
        <v>24.301300000000001</v>
      </c>
      <c r="CW1077" s="473">
        <f t="shared" si="1723"/>
        <v>24.301300000000001</v>
      </c>
      <c r="CX1077" s="473">
        <f t="shared" si="1723"/>
        <v>31.514099999999999</v>
      </c>
      <c r="CY1077" s="473">
        <f t="shared" si="1723"/>
        <v>31.514099999999999</v>
      </c>
      <c r="CZ1077" s="473">
        <f t="shared" si="1723"/>
        <v>31.514099999999999</v>
      </c>
      <c r="DA1077" s="473">
        <f t="shared" si="1723"/>
        <v>33.606200000000001</v>
      </c>
      <c r="DB1077" s="1524">
        <f t="shared" si="1723"/>
        <v>33.606200000000001</v>
      </c>
      <c r="DC1077" s="473">
        <f t="shared" si="1723"/>
        <v>33.606199999999994</v>
      </c>
      <c r="DD1077" s="473">
        <f t="shared" si="1723"/>
        <v>41.156300000000002</v>
      </c>
      <c r="DE1077" s="473">
        <f t="shared" si="1723"/>
        <v>41.156300000000002</v>
      </c>
      <c r="DF1077" s="473">
        <f t="shared" si="1723"/>
        <v>41.156300000000002</v>
      </c>
      <c r="DG1077" s="473">
        <f t="shared" si="1723"/>
        <v>46.197699999999998</v>
      </c>
      <c r="DH1077" s="473">
        <f t="shared" si="1723"/>
        <v>46.197699999999998</v>
      </c>
      <c r="DI1077" s="473">
        <f t="shared" si="1723"/>
        <v>46.197699999999998</v>
      </c>
      <c r="DJ1077" s="473">
        <f t="shared" si="1723"/>
        <v>51.979899999999994</v>
      </c>
      <c r="DK1077" s="473">
        <f t="shared" si="1723"/>
        <v>51.979899999999994</v>
      </c>
      <c r="DL1077" s="473">
        <f t="shared" si="1723"/>
        <v>51.979899999999994</v>
      </c>
      <c r="DM1077" s="473">
        <f t="shared" si="1723"/>
        <v>55.479899999999994</v>
      </c>
      <c r="DN1077" s="1543">
        <f t="shared" si="1723"/>
        <v>55.479899999999994</v>
      </c>
      <c r="DO1077" s="473">
        <f t="shared" si="1723"/>
        <v>55.479899999999994</v>
      </c>
      <c r="DP1077" s="473">
        <f t="shared" si="1723"/>
        <v>59.193999999999996</v>
      </c>
      <c r="DQ1077" s="473">
        <f t="shared" si="1723"/>
        <v>57.270900000000005</v>
      </c>
      <c r="DR1077" s="473">
        <f t="shared" si="1723"/>
        <v>57.270900000000005</v>
      </c>
      <c r="DS1077" s="473">
        <f t="shared" si="1723"/>
        <v>60.910900000000005</v>
      </c>
      <c r="DT1077" s="473">
        <f t="shared" si="1723"/>
        <v>60.910900000000005</v>
      </c>
      <c r="DU1077" s="473"/>
      <c r="DV1077" s="473"/>
      <c r="DW1077" s="473"/>
      <c r="DX1077" s="473"/>
      <c r="DY1077" s="473"/>
      <c r="DZ1077" s="1543"/>
      <c r="HR1077" s="518" t="str">
        <f t="shared" si="1715"/>
        <v>T bonds</v>
      </c>
      <c r="HS1077" s="518"/>
      <c r="HT1077" s="518"/>
      <c r="HU1077" s="518">
        <f t="shared" si="1722"/>
        <v>33.606200000000001</v>
      </c>
      <c r="HV1077" s="518"/>
      <c r="HW1077" s="518"/>
      <c r="HX1077" s="346">
        <f t="shared" si="1720"/>
        <v>55.479899999999994</v>
      </c>
      <c r="HY1077" s="518"/>
      <c r="HZ1077" s="518"/>
      <c r="IA1077" s="346"/>
      <c r="IB1077" s="518"/>
      <c r="IC1077" s="518"/>
      <c r="ID1077" s="346"/>
      <c r="IE1077" s="346"/>
      <c r="IF1077" s="346"/>
      <c r="IG1077" s="346"/>
      <c r="IH1077" s="346"/>
      <c r="II1077" s="346"/>
      <c r="IJ1077" s="346"/>
      <c r="KI1077" s="302"/>
    </row>
    <row r="1078" spans="1:295" ht="15.5">
      <c r="A1078" s="302"/>
      <c r="B1078" s="302"/>
      <c r="C1078" s="302"/>
      <c r="D1078" s="499" t="s">
        <v>683</v>
      </c>
      <c r="E1078" s="473"/>
      <c r="F1078" s="473"/>
      <c r="G1078" s="473"/>
      <c r="H1078" s="473"/>
      <c r="I1078" s="473"/>
      <c r="J1078" s="473"/>
      <c r="K1078" s="473"/>
      <c r="L1078" s="473"/>
      <c r="M1078" s="473"/>
      <c r="N1078" s="473"/>
      <c r="O1078" s="473"/>
      <c r="P1078" s="473"/>
      <c r="Q1078" s="473"/>
      <c r="R1078" s="473"/>
      <c r="S1078" s="473"/>
      <c r="T1078" s="473"/>
      <c r="U1078" s="473"/>
      <c r="V1078" s="473"/>
      <c r="W1078" s="473"/>
      <c r="X1078" s="473"/>
      <c r="Y1078" s="473"/>
      <c r="Z1078" s="473"/>
      <c r="AA1078" s="473"/>
      <c r="AB1078" s="473"/>
      <c r="AC1078" s="473"/>
      <c r="AD1078" s="473"/>
      <c r="AE1078" s="473"/>
      <c r="AF1078" s="473"/>
      <c r="AG1078" s="473"/>
      <c r="AH1078" s="473"/>
      <c r="AI1078" s="473"/>
      <c r="AJ1078" s="473"/>
      <c r="AK1078" s="473"/>
      <c r="AL1078" s="473"/>
      <c r="AM1078" s="473"/>
      <c r="AN1078" s="473"/>
      <c r="AO1078" s="473"/>
      <c r="AP1078" s="473"/>
      <c r="AQ1078" s="473"/>
      <c r="AR1078" s="473"/>
      <c r="AS1078" s="473"/>
      <c r="AT1078" s="473"/>
      <c r="AU1078" s="473"/>
      <c r="AV1078" s="473"/>
      <c r="AW1078" s="473"/>
      <c r="AX1078" s="473"/>
      <c r="AY1078" s="473"/>
      <c r="AZ1078" s="473"/>
      <c r="BA1078" s="473"/>
      <c r="BB1078" s="473"/>
      <c r="BC1078" s="473"/>
      <c r="BD1078" s="473"/>
      <c r="BE1078" s="473"/>
      <c r="BF1078" s="473"/>
      <c r="BG1078" s="473"/>
      <c r="BH1078" s="473"/>
      <c r="BI1078" s="473"/>
      <c r="BJ1078" s="473"/>
      <c r="BK1078" s="473"/>
      <c r="BL1078" s="473"/>
      <c r="BM1078" s="473"/>
      <c r="BN1078" s="473"/>
      <c r="BO1078" s="473"/>
      <c r="BP1078" s="473"/>
      <c r="BQ1078" s="473"/>
      <c r="BR1078" s="473"/>
      <c r="BS1078" s="473"/>
      <c r="BT1078" s="473"/>
      <c r="BU1078" s="473"/>
      <c r="BV1078" s="473"/>
      <c r="BW1078" s="473"/>
      <c r="BX1078" s="473"/>
      <c r="BY1078" s="473"/>
      <c r="BZ1078" s="473"/>
      <c r="CA1078" s="473"/>
      <c r="CB1078" s="473"/>
      <c r="CC1078" s="473"/>
      <c r="CD1078" s="473"/>
      <c r="CE1078" s="473"/>
      <c r="CF1078" s="473"/>
      <c r="CG1078" s="473"/>
      <c r="CH1078" s="473"/>
      <c r="CI1078" s="473"/>
      <c r="CJ1078" s="500">
        <f>+CJ1079+CJ1080+CJ1081</f>
        <v>1.6489876489999999</v>
      </c>
      <c r="CK1078" s="473"/>
      <c r="CL1078" s="473"/>
      <c r="CM1078" s="473"/>
      <c r="CN1078" s="473"/>
      <c r="CO1078" s="473"/>
      <c r="CP1078" s="500">
        <f t="shared" ref="CP1078:DB1078" si="1724">+CP1079+CP1080+CP1081</f>
        <v>1.4344716850000001</v>
      </c>
      <c r="CQ1078" s="500">
        <f t="shared" si="1724"/>
        <v>1.4344716850000001</v>
      </c>
      <c r="CR1078" s="500">
        <f t="shared" si="1724"/>
        <v>1.4344716850000001</v>
      </c>
      <c r="CS1078" s="500">
        <f t="shared" si="1724"/>
        <v>1.327213703</v>
      </c>
      <c r="CT1078" s="500">
        <f t="shared" si="1724"/>
        <v>1.327213703</v>
      </c>
      <c r="CU1078" s="500">
        <f t="shared" si="1724"/>
        <v>1.327213703</v>
      </c>
      <c r="CV1078" s="500">
        <f t="shared" si="1724"/>
        <v>1.2199557209999998</v>
      </c>
      <c r="CW1078" s="500">
        <f t="shared" si="1724"/>
        <v>1.2199557209999998</v>
      </c>
      <c r="CX1078" s="500">
        <f t="shared" si="1724"/>
        <v>1.2199557209999998</v>
      </c>
      <c r="CY1078" s="500">
        <f t="shared" si="1724"/>
        <v>1.1126557209999999</v>
      </c>
      <c r="CZ1078" s="500">
        <f t="shared" si="1724"/>
        <v>1.1126557209999999</v>
      </c>
      <c r="DA1078" s="500">
        <f t="shared" si="1724"/>
        <v>1.1126557209999999</v>
      </c>
      <c r="DB1078" s="1528">
        <f t="shared" si="1724"/>
        <v>1.005397747</v>
      </c>
      <c r="DC1078" s="500">
        <f t="shared" ref="DC1078:DH1078" si="1725">+DC1079+DC1080+DC1081</f>
        <v>1.005397747</v>
      </c>
      <c r="DD1078" s="500">
        <f t="shared" si="1725"/>
        <v>1.005397747</v>
      </c>
      <c r="DE1078" s="500">
        <f t="shared" si="1725"/>
        <v>0.89813976499999992</v>
      </c>
      <c r="DF1078" s="500">
        <f t="shared" si="1725"/>
        <v>0.89813976499999992</v>
      </c>
      <c r="DG1078" s="500">
        <f t="shared" si="1725"/>
        <v>0.89813976499999992</v>
      </c>
      <c r="DH1078" s="500">
        <f t="shared" si="1725"/>
        <v>0.61071953599999995</v>
      </c>
      <c r="DI1078" s="500">
        <f t="shared" ref="DI1078:DN1078" si="1726">+DI1079+DI1080+DI1081</f>
        <v>0.61071953599999995</v>
      </c>
      <c r="DJ1078" s="500">
        <f t="shared" si="1726"/>
        <v>0.61071953599999995</v>
      </c>
      <c r="DK1078" s="500">
        <f t="shared" si="1726"/>
        <v>0.61071953599999995</v>
      </c>
      <c r="DL1078" s="500">
        <f t="shared" si="1726"/>
        <v>0.61071953599999995</v>
      </c>
      <c r="DM1078" s="500">
        <f t="shared" si="1726"/>
        <v>0.61071953599999995</v>
      </c>
      <c r="DN1078" s="1546">
        <f t="shared" si="1726"/>
        <v>0.61071953599999995</v>
      </c>
      <c r="DO1078" s="500">
        <f t="shared" ref="DO1078:DT1078" si="1727">+DO1079+DO1080+DO1081</f>
        <v>0.61071953599999995</v>
      </c>
      <c r="DP1078" s="500">
        <f t="shared" si="1727"/>
        <v>0.61071953599999995</v>
      </c>
      <c r="DQ1078" s="500">
        <f t="shared" si="1727"/>
        <v>0.61071953599999995</v>
      </c>
      <c r="DR1078" s="500">
        <f t="shared" si="1727"/>
        <v>0.61071953599999995</v>
      </c>
      <c r="DS1078" s="500">
        <f t="shared" si="1727"/>
        <v>0.61071953599999995</v>
      </c>
      <c r="DT1078" s="500">
        <f t="shared" si="1727"/>
        <v>0.41704511100000002</v>
      </c>
      <c r="DU1078" s="500"/>
      <c r="DV1078" s="500"/>
      <c r="DW1078" s="500"/>
      <c r="DX1078" s="500"/>
      <c r="DY1078" s="500"/>
      <c r="DZ1078" s="1546"/>
      <c r="HR1078" s="517" t="str">
        <f t="shared" si="1715"/>
        <v>Corporate bonds</v>
      </c>
      <c r="HS1078" s="518"/>
      <c r="HT1078" s="518"/>
      <c r="HU1078" s="519">
        <f t="shared" si="1722"/>
        <v>1.005397747</v>
      </c>
      <c r="HV1078" s="519"/>
      <c r="HW1078" s="518"/>
      <c r="HX1078" s="714">
        <f t="shared" si="1720"/>
        <v>0.61071953599999995</v>
      </c>
      <c r="HY1078" s="518"/>
      <c r="HZ1078" s="518"/>
      <c r="IA1078" s="346"/>
      <c r="IB1078" s="518"/>
      <c r="IC1078" s="518"/>
      <c r="ID1078" s="346"/>
      <c r="IE1078" s="346"/>
      <c r="IF1078" s="346"/>
      <c r="IG1078" s="346"/>
      <c r="IH1078" s="346"/>
      <c r="II1078" s="346"/>
      <c r="IJ1078" s="346"/>
      <c r="KI1078" s="302"/>
    </row>
    <row r="1079" spans="1:295" ht="15.5">
      <c r="A1079" s="302"/>
      <c r="B1079" s="302"/>
      <c r="C1079" s="302"/>
      <c r="D1079" s="472" t="str">
        <f>+D84</f>
        <v>BANCOR</v>
      </c>
      <c r="E1079" s="473"/>
      <c r="F1079" s="473"/>
      <c r="G1079" s="473"/>
      <c r="H1079" s="473"/>
      <c r="I1079" s="473"/>
      <c r="J1079" s="473"/>
      <c r="K1079" s="473"/>
      <c r="L1079" s="473"/>
      <c r="M1079" s="473"/>
      <c r="N1079" s="473"/>
      <c r="O1079" s="473"/>
      <c r="P1079" s="473"/>
      <c r="Q1079" s="473"/>
      <c r="R1079" s="473"/>
      <c r="S1079" s="473"/>
      <c r="T1079" s="473"/>
      <c r="U1079" s="473"/>
      <c r="V1079" s="473"/>
      <c r="W1079" s="473"/>
      <c r="X1079" s="473"/>
      <c r="Y1079" s="473"/>
      <c r="Z1079" s="473"/>
      <c r="AA1079" s="473"/>
      <c r="AB1079" s="473"/>
      <c r="AC1079" s="473"/>
      <c r="AD1079" s="473"/>
      <c r="AE1079" s="473"/>
      <c r="AF1079" s="473"/>
      <c r="AG1079" s="473"/>
      <c r="AH1079" s="473"/>
      <c r="AI1079" s="473"/>
      <c r="AJ1079" s="473"/>
      <c r="AK1079" s="473"/>
      <c r="AL1079" s="473"/>
      <c r="AM1079" s="473"/>
      <c r="AN1079" s="473"/>
      <c r="AO1079" s="473"/>
      <c r="AP1079" s="473"/>
      <c r="AQ1079" s="473"/>
      <c r="AR1079" s="473"/>
      <c r="AS1079" s="473"/>
      <c r="AT1079" s="473"/>
      <c r="AU1079" s="473"/>
      <c r="AV1079" s="473"/>
      <c r="AW1079" s="473"/>
      <c r="AX1079" s="473"/>
      <c r="AY1079" s="473"/>
      <c r="AZ1079" s="473"/>
      <c r="BA1079" s="473"/>
      <c r="BB1079" s="473"/>
      <c r="BC1079" s="473"/>
      <c r="BD1079" s="473"/>
      <c r="BE1079" s="473"/>
      <c r="BF1079" s="473"/>
      <c r="BG1079" s="473"/>
      <c r="BH1079" s="473"/>
      <c r="BI1079" s="473"/>
      <c r="BJ1079" s="473"/>
      <c r="BK1079" s="473"/>
      <c r="BL1079" s="473"/>
      <c r="BM1079" s="473"/>
      <c r="BN1079" s="473"/>
      <c r="BO1079" s="473"/>
      <c r="BP1079" s="473"/>
      <c r="BQ1079" s="473"/>
      <c r="BR1079" s="473"/>
      <c r="BS1079" s="473"/>
      <c r="BT1079" s="473"/>
      <c r="BU1079" s="473"/>
      <c r="BV1079" s="473"/>
      <c r="BW1079" s="473"/>
      <c r="BX1079" s="473"/>
      <c r="BY1079" s="473"/>
      <c r="BZ1079" s="473"/>
      <c r="CA1079" s="473"/>
      <c r="CB1079" s="473"/>
      <c r="CC1079" s="473"/>
      <c r="CD1079" s="473"/>
      <c r="CE1079" s="473"/>
      <c r="CF1079" s="473"/>
      <c r="CG1079" s="473"/>
      <c r="CH1079" s="473"/>
      <c r="CI1079" s="473"/>
      <c r="CJ1079" s="473">
        <f>+CJ84</f>
        <v>0.89935816700000004</v>
      </c>
      <c r="CK1079" s="473"/>
      <c r="CL1079" s="473"/>
      <c r="CM1079" s="473"/>
      <c r="CN1079" s="473"/>
      <c r="CO1079" s="473"/>
      <c r="CP1079" s="473">
        <f t="shared" ref="CP1079:DT1079" si="1728">+CP84</f>
        <v>0.68484220299999998</v>
      </c>
      <c r="CQ1079" s="473">
        <f t="shared" si="1728"/>
        <v>0.68484220299999998</v>
      </c>
      <c r="CR1079" s="473">
        <f t="shared" si="1728"/>
        <v>0.68484220299999998</v>
      </c>
      <c r="CS1079" s="473">
        <f t="shared" si="1728"/>
        <v>0.57758422099999995</v>
      </c>
      <c r="CT1079" s="473">
        <f t="shared" si="1728"/>
        <v>0.57758422099999995</v>
      </c>
      <c r="CU1079" s="473">
        <f t="shared" si="1728"/>
        <v>0.57758422099999995</v>
      </c>
      <c r="CV1079" s="473">
        <f t="shared" si="1728"/>
        <v>0.47032623899999992</v>
      </c>
      <c r="CW1079" s="473">
        <f t="shared" si="1728"/>
        <v>0.47032623899999992</v>
      </c>
      <c r="CX1079" s="473">
        <f t="shared" si="1728"/>
        <v>0.47032623899999992</v>
      </c>
      <c r="CY1079" s="473">
        <f t="shared" si="1728"/>
        <v>0.36302623899999992</v>
      </c>
      <c r="CZ1079" s="473">
        <f t="shared" si="1728"/>
        <v>0.36302623899999992</v>
      </c>
      <c r="DA1079" s="473">
        <f t="shared" si="1728"/>
        <v>0.36302623899999992</v>
      </c>
      <c r="DB1079" s="1524">
        <f t="shared" si="1728"/>
        <v>0.25576826499999994</v>
      </c>
      <c r="DC1079" s="473">
        <f t="shared" si="1728"/>
        <v>0.25576826499999994</v>
      </c>
      <c r="DD1079" s="473">
        <f t="shared" si="1728"/>
        <v>0.25576826499999994</v>
      </c>
      <c r="DE1079" s="473">
        <f t="shared" si="1728"/>
        <v>0.14851028299999994</v>
      </c>
      <c r="DF1079" s="473">
        <f t="shared" si="1728"/>
        <v>0.14851028299999994</v>
      </c>
      <c r="DG1079" s="473">
        <f t="shared" si="1728"/>
        <v>0.14851028299999994</v>
      </c>
      <c r="DH1079" s="473">
        <f t="shared" si="1728"/>
        <v>4.1252308999999932E-2</v>
      </c>
      <c r="DI1079" s="473">
        <f t="shared" si="1728"/>
        <v>4.1252308999999932E-2</v>
      </c>
      <c r="DJ1079" s="473">
        <f t="shared" si="1728"/>
        <v>4.1252308999999932E-2</v>
      </c>
      <c r="DK1079" s="473">
        <f t="shared" si="1728"/>
        <v>4.1252308999999932E-2</v>
      </c>
      <c r="DL1079" s="473">
        <f t="shared" si="1728"/>
        <v>4.1252308999999932E-2</v>
      </c>
      <c r="DM1079" s="473">
        <f t="shared" si="1728"/>
        <v>4.1252308999999932E-2</v>
      </c>
      <c r="DN1079" s="1543">
        <f t="shared" si="1728"/>
        <v>4.1252308999999932E-2</v>
      </c>
      <c r="DO1079" s="473">
        <f t="shared" si="1728"/>
        <v>4.1252308999999932E-2</v>
      </c>
      <c r="DP1079" s="473">
        <f t="shared" si="1728"/>
        <v>4.1252308999999932E-2</v>
      </c>
      <c r="DQ1079" s="473">
        <f t="shared" si="1728"/>
        <v>4.1252308999999932E-2</v>
      </c>
      <c r="DR1079" s="473">
        <f t="shared" si="1728"/>
        <v>4.1252308999999932E-2</v>
      </c>
      <c r="DS1079" s="473">
        <f t="shared" si="1728"/>
        <v>4.1252308999999932E-2</v>
      </c>
      <c r="DT1079" s="473">
        <f t="shared" si="1728"/>
        <v>4.1252308999999932E-2</v>
      </c>
      <c r="DU1079" s="473"/>
      <c r="DV1079" s="473"/>
      <c r="DW1079" s="473"/>
      <c r="DX1079" s="473"/>
      <c r="DY1079" s="473"/>
      <c r="DZ1079" s="1543"/>
      <c r="HR1079" s="518" t="str">
        <f t="shared" si="1715"/>
        <v>BANCOR</v>
      </c>
      <c r="HS1079" s="518"/>
      <c r="HT1079" s="518"/>
      <c r="HU1079" s="518">
        <f t="shared" si="1722"/>
        <v>0.25576826499999994</v>
      </c>
      <c r="HV1079" s="518"/>
      <c r="HW1079" s="518"/>
      <c r="HX1079" s="346">
        <f t="shared" si="1720"/>
        <v>4.1252308999999932E-2</v>
      </c>
      <c r="HY1079" s="518"/>
      <c r="HZ1079" s="518"/>
      <c r="IA1079" s="346"/>
      <c r="IB1079" s="518"/>
      <c r="IC1079" s="518"/>
      <c r="ID1079" s="346"/>
      <c r="IE1079" s="346"/>
      <c r="IF1079" s="346"/>
      <c r="IG1079" s="346"/>
      <c r="IH1079" s="346"/>
      <c r="II1079" s="346"/>
      <c r="IJ1079" s="346"/>
      <c r="KI1079" s="302"/>
    </row>
    <row r="1080" spans="1:295" ht="15.5">
      <c r="A1080" s="302"/>
      <c r="B1080" s="302"/>
      <c r="C1080" s="302"/>
      <c r="D1080" s="472" t="str">
        <f>+D85</f>
        <v>BCR</v>
      </c>
      <c r="E1080" s="473"/>
      <c r="F1080" s="473"/>
      <c r="G1080" s="473"/>
      <c r="H1080" s="473"/>
      <c r="I1080" s="473"/>
      <c r="J1080" s="473"/>
      <c r="K1080" s="473"/>
      <c r="L1080" s="473"/>
      <c r="M1080" s="473"/>
      <c r="N1080" s="473"/>
      <c r="O1080" s="473"/>
      <c r="P1080" s="473"/>
      <c r="Q1080" s="473"/>
      <c r="R1080" s="473"/>
      <c r="S1080" s="473"/>
      <c r="T1080" s="473"/>
      <c r="U1080" s="473"/>
      <c r="V1080" s="473"/>
      <c r="W1080" s="473"/>
      <c r="X1080" s="473"/>
      <c r="Y1080" s="473"/>
      <c r="Z1080" s="473"/>
      <c r="AA1080" s="473"/>
      <c r="AB1080" s="473"/>
      <c r="AC1080" s="473"/>
      <c r="AD1080" s="473"/>
      <c r="AE1080" s="473"/>
      <c r="AF1080" s="473"/>
      <c r="AG1080" s="473"/>
      <c r="AH1080" s="473"/>
      <c r="AI1080" s="473"/>
      <c r="AJ1080" s="473"/>
      <c r="AK1080" s="473"/>
      <c r="AL1080" s="473"/>
      <c r="AM1080" s="473"/>
      <c r="AN1080" s="473"/>
      <c r="AO1080" s="473"/>
      <c r="AP1080" s="473"/>
      <c r="AQ1080" s="473"/>
      <c r="AR1080" s="473"/>
      <c r="AS1080" s="473"/>
      <c r="AT1080" s="473"/>
      <c r="AU1080" s="473"/>
      <c r="AV1080" s="473"/>
      <c r="AW1080" s="473"/>
      <c r="AX1080" s="473"/>
      <c r="AY1080" s="473"/>
      <c r="AZ1080" s="473"/>
      <c r="BA1080" s="473"/>
      <c r="BB1080" s="473"/>
      <c r="BC1080" s="473"/>
      <c r="BD1080" s="473"/>
      <c r="BE1080" s="473"/>
      <c r="BF1080" s="473"/>
      <c r="BG1080" s="473"/>
      <c r="BH1080" s="473"/>
      <c r="BI1080" s="473"/>
      <c r="BJ1080" s="473"/>
      <c r="BK1080" s="473"/>
      <c r="BL1080" s="473"/>
      <c r="BM1080" s="473"/>
      <c r="BN1080" s="473"/>
      <c r="BO1080" s="473"/>
      <c r="BP1080" s="473"/>
      <c r="BQ1080" s="473"/>
      <c r="BR1080" s="473"/>
      <c r="BS1080" s="473"/>
      <c r="BT1080" s="473"/>
      <c r="BU1080" s="473"/>
      <c r="BV1080" s="473"/>
      <c r="BW1080" s="473"/>
      <c r="BX1080" s="473"/>
      <c r="BY1080" s="473"/>
      <c r="BZ1080" s="473"/>
      <c r="CA1080" s="473"/>
      <c r="CB1080" s="473"/>
      <c r="CC1080" s="473"/>
      <c r="CD1080" s="473"/>
      <c r="CE1080" s="473"/>
      <c r="CF1080" s="473"/>
      <c r="CG1080" s="473"/>
      <c r="CH1080" s="473"/>
      <c r="CI1080" s="473"/>
      <c r="CJ1080" s="473">
        <f>+CJ85</f>
        <v>0.74962948200000001</v>
      </c>
      <c r="CK1080" s="473"/>
      <c r="CL1080" s="473"/>
      <c r="CM1080" s="473"/>
      <c r="CN1080" s="473"/>
      <c r="CO1080" s="473"/>
      <c r="CP1080" s="473">
        <f t="shared" ref="CP1080:DT1080" si="1729">+CP85</f>
        <v>0.74962948200000001</v>
      </c>
      <c r="CQ1080" s="473">
        <f t="shared" si="1729"/>
        <v>0.74962948200000001</v>
      </c>
      <c r="CR1080" s="473">
        <f t="shared" si="1729"/>
        <v>0.74962948200000001</v>
      </c>
      <c r="CS1080" s="473">
        <f t="shared" si="1729"/>
        <v>0.74962948200000001</v>
      </c>
      <c r="CT1080" s="473">
        <f t="shared" si="1729"/>
        <v>0.74962948200000001</v>
      </c>
      <c r="CU1080" s="473">
        <f t="shared" si="1729"/>
        <v>0.74962948200000001</v>
      </c>
      <c r="CV1080" s="473">
        <f t="shared" si="1729"/>
        <v>0.74962948200000001</v>
      </c>
      <c r="CW1080" s="473">
        <f t="shared" si="1729"/>
        <v>0.74962948200000001</v>
      </c>
      <c r="CX1080" s="473">
        <f t="shared" si="1729"/>
        <v>0.74962948200000001</v>
      </c>
      <c r="CY1080" s="473">
        <f t="shared" si="1729"/>
        <v>0.74962948200000001</v>
      </c>
      <c r="CZ1080" s="473">
        <f t="shared" si="1729"/>
        <v>0.74962948200000001</v>
      </c>
      <c r="DA1080" s="473">
        <f t="shared" si="1729"/>
        <v>0.74962948200000001</v>
      </c>
      <c r="DB1080" s="1524">
        <f t="shared" si="1729"/>
        <v>0.74962948200000001</v>
      </c>
      <c r="DC1080" s="473">
        <f t="shared" si="1729"/>
        <v>0.74962948200000001</v>
      </c>
      <c r="DD1080" s="473">
        <f t="shared" si="1729"/>
        <v>0.74962948200000001</v>
      </c>
      <c r="DE1080" s="473">
        <f t="shared" si="1729"/>
        <v>0.74962948200000001</v>
      </c>
      <c r="DF1080" s="473">
        <f t="shared" si="1729"/>
        <v>0.74962948200000001</v>
      </c>
      <c r="DG1080" s="473">
        <f t="shared" si="1729"/>
        <v>0.74962948200000001</v>
      </c>
      <c r="DH1080" s="473">
        <f t="shared" si="1729"/>
        <v>0.56946722700000008</v>
      </c>
      <c r="DI1080" s="473">
        <f t="shared" si="1729"/>
        <v>0.56946722700000008</v>
      </c>
      <c r="DJ1080" s="473">
        <f t="shared" si="1729"/>
        <v>0.56946722700000008</v>
      </c>
      <c r="DK1080" s="473">
        <f t="shared" si="1729"/>
        <v>0.56946722700000008</v>
      </c>
      <c r="DL1080" s="473">
        <f t="shared" si="1729"/>
        <v>0.56946722700000008</v>
      </c>
      <c r="DM1080" s="473">
        <f t="shared" si="1729"/>
        <v>0.56946722700000008</v>
      </c>
      <c r="DN1080" s="1543">
        <f t="shared" si="1729"/>
        <v>0.56946722700000008</v>
      </c>
      <c r="DO1080" s="473">
        <f t="shared" si="1729"/>
        <v>0.56946722700000008</v>
      </c>
      <c r="DP1080" s="473">
        <f t="shared" si="1729"/>
        <v>0.56946722700000008</v>
      </c>
      <c r="DQ1080" s="473">
        <f t="shared" si="1729"/>
        <v>0.56946722700000008</v>
      </c>
      <c r="DR1080" s="473">
        <f t="shared" si="1729"/>
        <v>0.56946722700000008</v>
      </c>
      <c r="DS1080" s="473">
        <f t="shared" si="1729"/>
        <v>0.56946722700000008</v>
      </c>
      <c r="DT1080" s="473">
        <f t="shared" si="1729"/>
        <v>0.37579280200000009</v>
      </c>
      <c r="DU1080" s="473"/>
      <c r="DV1080" s="473"/>
      <c r="DW1080" s="473"/>
      <c r="DX1080" s="473"/>
      <c r="DY1080" s="473"/>
      <c r="DZ1080" s="1543"/>
      <c r="HR1080" s="518" t="str">
        <f t="shared" si="1715"/>
        <v>BCR</v>
      </c>
      <c r="HS1080" s="518"/>
      <c r="HT1080" s="518"/>
      <c r="HU1080" s="518">
        <f t="shared" si="1722"/>
        <v>0.74962948200000001</v>
      </c>
      <c r="HV1080" s="518"/>
      <c r="HW1080" s="518"/>
      <c r="HX1080" s="346">
        <f t="shared" si="1720"/>
        <v>0.56946722700000008</v>
      </c>
      <c r="HY1080" s="518"/>
      <c r="HZ1080" s="518"/>
      <c r="IA1080" s="346"/>
      <c r="IB1080" s="518"/>
      <c r="IC1080" s="518"/>
      <c r="ID1080" s="346"/>
      <c r="IE1080" s="346"/>
      <c r="IF1080" s="346"/>
      <c r="IG1080" s="346"/>
      <c r="IH1080" s="346"/>
      <c r="II1080" s="346"/>
      <c r="IJ1080" s="346"/>
      <c r="KI1080" s="302"/>
    </row>
    <row r="1081" spans="1:295" ht="15.5">
      <c r="A1081" s="302"/>
      <c r="B1081" s="302"/>
      <c r="C1081" s="302"/>
      <c r="D1081" s="472" t="str">
        <f>+D86</f>
        <v>BK/ONATRACOM</v>
      </c>
      <c r="E1081" s="473"/>
      <c r="F1081" s="473"/>
      <c r="G1081" s="473"/>
      <c r="H1081" s="473"/>
      <c r="I1081" s="473"/>
      <c r="J1081" s="473"/>
      <c r="K1081" s="473"/>
      <c r="L1081" s="473"/>
      <c r="M1081" s="473"/>
      <c r="N1081" s="473"/>
      <c r="O1081" s="473"/>
      <c r="P1081" s="473"/>
      <c r="Q1081" s="473"/>
      <c r="R1081" s="473"/>
      <c r="S1081" s="473"/>
      <c r="T1081" s="473"/>
      <c r="U1081" s="473"/>
      <c r="V1081" s="473"/>
      <c r="W1081" s="473"/>
      <c r="X1081" s="473"/>
      <c r="Y1081" s="473"/>
      <c r="Z1081" s="473"/>
      <c r="AA1081" s="473"/>
      <c r="AB1081" s="473"/>
      <c r="AC1081" s="473"/>
      <c r="AD1081" s="473"/>
      <c r="AE1081" s="473"/>
      <c r="AF1081" s="473"/>
      <c r="AG1081" s="473"/>
      <c r="AH1081" s="473"/>
      <c r="AI1081" s="473"/>
      <c r="AJ1081" s="473"/>
      <c r="AK1081" s="473"/>
      <c r="AL1081" s="473"/>
      <c r="AM1081" s="473"/>
      <c r="AN1081" s="473"/>
      <c r="AO1081" s="473"/>
      <c r="AP1081" s="473"/>
      <c r="AQ1081" s="473"/>
      <c r="AR1081" s="473"/>
      <c r="AS1081" s="473"/>
      <c r="AT1081" s="473"/>
      <c r="AU1081" s="473"/>
      <c r="AV1081" s="473"/>
      <c r="AW1081" s="473"/>
      <c r="AX1081" s="473"/>
      <c r="AY1081" s="473"/>
      <c r="AZ1081" s="473"/>
      <c r="BA1081" s="473"/>
      <c r="BB1081" s="473"/>
      <c r="BC1081" s="473"/>
      <c r="BD1081" s="473"/>
      <c r="BE1081" s="473"/>
      <c r="BF1081" s="473"/>
      <c r="BG1081" s="473"/>
      <c r="BH1081" s="473"/>
      <c r="BI1081" s="473"/>
      <c r="BJ1081" s="473"/>
      <c r="BK1081" s="473"/>
      <c r="BL1081" s="473"/>
      <c r="BM1081" s="473"/>
      <c r="BN1081" s="473"/>
      <c r="BO1081" s="473"/>
      <c r="BP1081" s="473"/>
      <c r="BQ1081" s="473"/>
      <c r="BR1081" s="473"/>
      <c r="BS1081" s="473"/>
      <c r="BT1081" s="473"/>
      <c r="BU1081" s="473"/>
      <c r="BV1081" s="473"/>
      <c r="BW1081" s="473"/>
      <c r="BX1081" s="473"/>
      <c r="BY1081" s="473"/>
      <c r="BZ1081" s="473"/>
      <c r="CA1081" s="473"/>
      <c r="CB1081" s="473"/>
      <c r="CC1081" s="473"/>
      <c r="CD1081" s="473"/>
      <c r="CE1081" s="473"/>
      <c r="CF1081" s="473"/>
      <c r="CG1081" s="473"/>
      <c r="CH1081" s="473"/>
      <c r="CI1081" s="473"/>
      <c r="CJ1081" s="473">
        <f>+CJ86</f>
        <v>0</v>
      </c>
      <c r="CK1081" s="473"/>
      <c r="CL1081" s="473"/>
      <c r="CM1081" s="473"/>
      <c r="CN1081" s="473"/>
      <c r="CO1081" s="473"/>
      <c r="CP1081" s="473">
        <f t="shared" ref="CP1081:DT1081" si="1730">+CP86</f>
        <v>0</v>
      </c>
      <c r="CQ1081" s="473">
        <f t="shared" si="1730"/>
        <v>0</v>
      </c>
      <c r="CR1081" s="473">
        <f t="shared" si="1730"/>
        <v>0</v>
      </c>
      <c r="CS1081" s="473">
        <f t="shared" si="1730"/>
        <v>0</v>
      </c>
      <c r="CT1081" s="473">
        <f t="shared" si="1730"/>
        <v>0</v>
      </c>
      <c r="CU1081" s="473">
        <f t="shared" si="1730"/>
        <v>0</v>
      </c>
      <c r="CV1081" s="473">
        <f t="shared" si="1730"/>
        <v>0</v>
      </c>
      <c r="CW1081" s="473">
        <f t="shared" si="1730"/>
        <v>0</v>
      </c>
      <c r="CX1081" s="473">
        <f t="shared" si="1730"/>
        <v>0</v>
      </c>
      <c r="CY1081" s="473">
        <f t="shared" si="1730"/>
        <v>0</v>
      </c>
      <c r="CZ1081" s="473">
        <f t="shared" si="1730"/>
        <v>0</v>
      </c>
      <c r="DA1081" s="473">
        <f t="shared" si="1730"/>
        <v>0</v>
      </c>
      <c r="DB1081" s="1524">
        <f t="shared" si="1730"/>
        <v>0</v>
      </c>
      <c r="DC1081" s="473">
        <f t="shared" si="1730"/>
        <v>0</v>
      </c>
      <c r="DD1081" s="473">
        <f t="shared" si="1730"/>
        <v>0</v>
      </c>
      <c r="DE1081" s="473">
        <f t="shared" si="1730"/>
        <v>0</v>
      </c>
      <c r="DF1081" s="473">
        <f t="shared" si="1730"/>
        <v>0</v>
      </c>
      <c r="DG1081" s="473">
        <f t="shared" si="1730"/>
        <v>0</v>
      </c>
      <c r="DH1081" s="473">
        <f t="shared" si="1730"/>
        <v>0</v>
      </c>
      <c r="DI1081" s="473">
        <f t="shared" si="1730"/>
        <v>0</v>
      </c>
      <c r="DJ1081" s="473">
        <f t="shared" si="1730"/>
        <v>0</v>
      </c>
      <c r="DK1081" s="473">
        <f t="shared" si="1730"/>
        <v>0</v>
      </c>
      <c r="DL1081" s="473">
        <f t="shared" si="1730"/>
        <v>0</v>
      </c>
      <c r="DM1081" s="473">
        <f t="shared" si="1730"/>
        <v>0</v>
      </c>
      <c r="DN1081" s="1543">
        <f t="shared" si="1730"/>
        <v>0</v>
      </c>
      <c r="DO1081" s="473">
        <f t="shared" si="1730"/>
        <v>0</v>
      </c>
      <c r="DP1081" s="473">
        <f t="shared" si="1730"/>
        <v>0</v>
      </c>
      <c r="DQ1081" s="473">
        <f t="shared" si="1730"/>
        <v>0</v>
      </c>
      <c r="DR1081" s="473">
        <f t="shared" si="1730"/>
        <v>0</v>
      </c>
      <c r="DS1081" s="473">
        <f t="shared" si="1730"/>
        <v>0</v>
      </c>
      <c r="DT1081" s="473">
        <f t="shared" si="1730"/>
        <v>0</v>
      </c>
      <c r="DU1081" s="473"/>
      <c r="DV1081" s="473"/>
      <c r="DW1081" s="473"/>
      <c r="DX1081" s="473"/>
      <c r="DY1081" s="473"/>
      <c r="DZ1081" s="1543"/>
      <c r="HR1081" s="518" t="str">
        <f t="shared" si="1715"/>
        <v>BK/ONATRACOM</v>
      </c>
      <c r="HS1081" s="518"/>
      <c r="HT1081" s="518"/>
      <c r="HU1081" s="518">
        <f t="shared" si="1722"/>
        <v>0</v>
      </c>
      <c r="HV1081" s="518"/>
      <c r="HW1081" s="518"/>
      <c r="HX1081" s="346">
        <f t="shared" si="1720"/>
        <v>0</v>
      </c>
      <c r="HY1081" s="518"/>
      <c r="HZ1081" s="518"/>
      <c r="IA1081" s="346"/>
      <c r="IB1081" s="518"/>
      <c r="IC1081" s="518"/>
      <c r="ID1081" s="346"/>
      <c r="IE1081" s="346"/>
      <c r="IF1081" s="346"/>
      <c r="IG1081" s="346"/>
      <c r="IH1081" s="346"/>
      <c r="II1081" s="346"/>
      <c r="IJ1081" s="346"/>
      <c r="KI1081" s="302"/>
    </row>
    <row r="1082" spans="1:295" ht="15.5">
      <c r="A1082" s="302"/>
      <c r="B1082" s="302"/>
      <c r="C1082" s="302"/>
      <c r="D1082" s="472"/>
      <c r="E1082" s="473"/>
      <c r="F1082" s="473"/>
      <c r="G1082" s="473"/>
      <c r="H1082" s="473"/>
      <c r="I1082" s="473"/>
      <c r="J1082" s="473"/>
      <c r="K1082" s="473"/>
      <c r="L1082" s="473"/>
      <c r="M1082" s="473"/>
      <c r="N1082" s="473"/>
      <c r="O1082" s="473"/>
      <c r="P1082" s="473"/>
      <c r="Q1082" s="473"/>
      <c r="R1082" s="473"/>
      <c r="S1082" s="473"/>
      <c r="T1082" s="473"/>
      <c r="U1082" s="473"/>
      <c r="V1082" s="473"/>
      <c r="W1082" s="473"/>
      <c r="X1082" s="473"/>
      <c r="Y1082" s="473"/>
      <c r="Z1082" s="473"/>
      <c r="AA1082" s="473"/>
      <c r="AB1082" s="473"/>
      <c r="AC1082" s="473"/>
      <c r="AD1082" s="473"/>
      <c r="AE1082" s="473"/>
      <c r="AF1082" s="473"/>
      <c r="AG1082" s="473"/>
      <c r="AH1082" s="473"/>
      <c r="AI1082" s="473"/>
      <c r="AJ1082" s="473"/>
      <c r="AK1082" s="473"/>
      <c r="AL1082" s="473"/>
      <c r="AM1082" s="473"/>
      <c r="AN1082" s="473"/>
      <c r="AO1082" s="473"/>
      <c r="AP1082" s="473"/>
      <c r="AQ1082" s="473"/>
      <c r="AR1082" s="473"/>
      <c r="AS1082" s="473"/>
      <c r="AT1082" s="473"/>
      <c r="AU1082" s="473"/>
      <c r="AV1082" s="473"/>
      <c r="AW1082" s="473"/>
      <c r="AX1082" s="473"/>
      <c r="AY1082" s="473"/>
      <c r="AZ1082" s="473"/>
      <c r="BA1082" s="473"/>
      <c r="BB1082" s="473"/>
      <c r="BC1082" s="473"/>
      <c r="BD1082" s="473"/>
      <c r="BE1082" s="473"/>
      <c r="BF1082" s="473"/>
      <c r="BG1082" s="473"/>
      <c r="BH1082" s="473"/>
      <c r="BI1082" s="473"/>
      <c r="BJ1082" s="473"/>
      <c r="BK1082" s="473"/>
      <c r="BL1082" s="473"/>
      <c r="BM1082" s="473"/>
      <c r="BN1082" s="473"/>
      <c r="BO1082" s="473"/>
      <c r="BP1082" s="473"/>
      <c r="BQ1082" s="473"/>
      <c r="BR1082" s="473"/>
      <c r="BS1082" s="473"/>
      <c r="BT1082" s="473"/>
      <c r="BU1082" s="473"/>
      <c r="BV1082" s="473"/>
      <c r="BW1082" s="473"/>
      <c r="BX1082" s="473"/>
      <c r="BY1082" s="473"/>
      <c r="BZ1082" s="473"/>
      <c r="CA1082" s="473"/>
      <c r="CB1082" s="473"/>
      <c r="CC1082" s="473"/>
      <c r="CD1082" s="473"/>
      <c r="CE1082" s="473"/>
      <c r="CF1082" s="473"/>
      <c r="CG1082" s="473"/>
      <c r="CH1082" s="473"/>
      <c r="CI1082" s="473"/>
      <c r="CJ1082" s="473"/>
      <c r="CK1082" s="473"/>
      <c r="CL1082" s="473"/>
      <c r="CM1082" s="473"/>
      <c r="CN1082" s="473"/>
      <c r="CO1082" s="473"/>
      <c r="CP1082" s="473"/>
      <c r="CQ1082" s="473"/>
      <c r="CR1082" s="473"/>
      <c r="CS1082" s="473"/>
      <c r="CT1082" s="473"/>
      <c r="CU1082" s="473"/>
      <c r="CV1082" s="473"/>
      <c r="CW1082" s="473"/>
      <c r="CX1082" s="473"/>
      <c r="CY1082" s="473"/>
      <c r="CZ1082" s="473"/>
      <c r="DA1082" s="473"/>
      <c r="DB1082" s="1524"/>
      <c r="DC1082" s="473"/>
      <c r="DD1082" s="473"/>
      <c r="DE1082" s="473"/>
      <c r="DF1082" s="473"/>
      <c r="DG1082" s="473"/>
      <c r="DH1082" s="473"/>
      <c r="DI1082" s="501"/>
      <c r="DJ1082" s="501"/>
      <c r="DK1082" s="501"/>
      <c r="DL1082" s="501"/>
      <c r="DM1082" s="501"/>
      <c r="DN1082" s="1545"/>
      <c r="DO1082" s="501"/>
      <c r="DP1082" s="501"/>
      <c r="DQ1082" s="501"/>
      <c r="DR1082" s="501"/>
      <c r="DS1082" s="501"/>
      <c r="DT1082" s="501"/>
      <c r="DU1082" s="501"/>
      <c r="DV1082" s="501"/>
      <c r="DW1082" s="501"/>
      <c r="DX1082" s="501"/>
      <c r="DY1082" s="501"/>
      <c r="DZ1082" s="1545"/>
      <c r="HR1082" s="517"/>
      <c r="HS1082" s="518"/>
      <c r="HT1082" s="518"/>
      <c r="HU1082" s="518"/>
      <c r="HV1082" s="518"/>
      <c r="HW1082" s="518"/>
      <c r="HX1082" s="346"/>
      <c r="HY1082" s="518"/>
      <c r="HZ1082" s="518"/>
      <c r="IA1082" s="346"/>
      <c r="IB1082" s="518"/>
      <c r="IC1082" s="518"/>
      <c r="ID1082" s="346"/>
      <c r="IE1082" s="346"/>
      <c r="IF1082" s="346"/>
      <c r="IG1082" s="346"/>
      <c r="IH1082" s="346"/>
      <c r="II1082" s="346"/>
      <c r="IJ1082" s="346"/>
      <c r="KI1082" s="302"/>
    </row>
    <row r="1083" spans="1:295" ht="15.5">
      <c r="A1083" s="302"/>
      <c r="B1083" s="302"/>
      <c r="C1083" s="302"/>
      <c r="D1083" s="497" t="s">
        <v>684</v>
      </c>
      <c r="E1083" s="473"/>
      <c r="F1083" s="473"/>
      <c r="G1083" s="473"/>
      <c r="H1083" s="473"/>
      <c r="I1083" s="473"/>
      <c r="J1083" s="473"/>
      <c r="K1083" s="473"/>
      <c r="L1083" s="473"/>
      <c r="M1083" s="473"/>
      <c r="N1083" s="473"/>
      <c r="O1083" s="473"/>
      <c r="P1083" s="473"/>
      <c r="Q1083" s="473"/>
      <c r="R1083" s="473"/>
      <c r="S1083" s="473"/>
      <c r="T1083" s="473"/>
      <c r="U1083" s="473"/>
      <c r="V1083" s="473"/>
      <c r="W1083" s="473"/>
      <c r="X1083" s="473"/>
      <c r="Y1083" s="473"/>
      <c r="Z1083" s="473"/>
      <c r="AA1083" s="473"/>
      <c r="AB1083" s="473"/>
      <c r="AC1083" s="473"/>
      <c r="AD1083" s="473"/>
      <c r="AE1083" s="473"/>
      <c r="AF1083" s="473"/>
      <c r="AG1083" s="473"/>
      <c r="AH1083" s="473"/>
      <c r="AI1083" s="473"/>
      <c r="AJ1083" s="473"/>
      <c r="AK1083" s="473"/>
      <c r="AL1083" s="473"/>
      <c r="AM1083" s="473"/>
      <c r="AN1083" s="473"/>
      <c r="AO1083" s="473"/>
      <c r="AP1083" s="473"/>
      <c r="AQ1083" s="473"/>
      <c r="AR1083" s="473"/>
      <c r="AS1083" s="473"/>
      <c r="AT1083" s="473"/>
      <c r="AU1083" s="473"/>
      <c r="AV1083" s="473"/>
      <c r="AW1083" s="473"/>
      <c r="AX1083" s="473"/>
      <c r="AY1083" s="473"/>
      <c r="AZ1083" s="473"/>
      <c r="BA1083" s="473"/>
      <c r="BB1083" s="473"/>
      <c r="BC1083" s="473"/>
      <c r="BD1083" s="473"/>
      <c r="BE1083" s="473"/>
      <c r="BF1083" s="473"/>
      <c r="BG1083" s="473"/>
      <c r="BH1083" s="473"/>
      <c r="BI1083" s="473"/>
      <c r="BJ1083" s="473"/>
      <c r="BK1083" s="473"/>
      <c r="BL1083" s="473"/>
      <c r="BM1083" s="473"/>
      <c r="BN1083" s="473"/>
      <c r="BO1083" s="473"/>
      <c r="BP1083" s="473"/>
      <c r="BQ1083" s="473"/>
      <c r="BR1083" s="473"/>
      <c r="BS1083" s="473"/>
      <c r="BT1083" s="473"/>
      <c r="BU1083" s="473"/>
      <c r="BV1083" s="473"/>
      <c r="BW1083" s="473"/>
      <c r="BX1083" s="473"/>
      <c r="BY1083" s="473"/>
      <c r="BZ1083" s="473"/>
      <c r="CA1083" s="473"/>
      <c r="CB1083" s="473"/>
      <c r="CC1083" s="473"/>
      <c r="CD1083" s="473"/>
      <c r="CE1083" s="473"/>
      <c r="CF1083" s="473"/>
      <c r="CG1083" s="473"/>
      <c r="CH1083" s="473"/>
      <c r="CI1083" s="473"/>
      <c r="CJ1083" s="501">
        <f>+CJ1085+CJ1086+CJ1087</f>
        <v>13.637188379600367</v>
      </c>
      <c r="CK1083" s="473"/>
      <c r="CL1083" s="473"/>
      <c r="CM1083" s="473"/>
      <c r="CN1083" s="473"/>
      <c r="CO1083" s="473"/>
      <c r="CP1083" s="501">
        <f t="shared" ref="CP1083:DB1083" si="1731">+CP1085+CP1086+CP1087</f>
        <v>35.878392418999994</v>
      </c>
      <c r="CQ1083" s="501">
        <f t="shared" si="1731"/>
        <v>36.557792418999995</v>
      </c>
      <c r="CR1083" s="501">
        <f t="shared" si="1731"/>
        <v>44.787292418999996</v>
      </c>
      <c r="CS1083" s="501">
        <f t="shared" si="1731"/>
        <v>43.508392419000003</v>
      </c>
      <c r="CT1083" s="501">
        <f t="shared" si="1731"/>
        <v>47.787492419000003</v>
      </c>
      <c r="CU1083" s="501">
        <f t="shared" si="1731"/>
        <v>54.871592418999995</v>
      </c>
      <c r="CV1083" s="501">
        <f t="shared" si="1731"/>
        <v>53.905492418999998</v>
      </c>
      <c r="CW1083" s="501">
        <f t="shared" si="1731"/>
        <v>51.946492418999995</v>
      </c>
      <c r="CX1083" s="501">
        <f t="shared" si="1731"/>
        <v>59.652692419000005</v>
      </c>
      <c r="CY1083" s="501">
        <f t="shared" si="1731"/>
        <v>59.675692419000001</v>
      </c>
      <c r="CZ1083" s="501">
        <f t="shared" si="1731"/>
        <v>59.675692419000001</v>
      </c>
      <c r="DA1083" s="501">
        <f t="shared" si="1731"/>
        <v>67.488092418999997</v>
      </c>
      <c r="DB1083" s="1527">
        <f t="shared" si="1731"/>
        <v>66.786092418999999</v>
      </c>
      <c r="DC1083" s="501">
        <f t="shared" ref="DC1083:DH1083" si="1732">+DC1085+DC1086+DC1087</f>
        <v>63.270592418999996</v>
      </c>
      <c r="DD1083" s="501">
        <f t="shared" si="1732"/>
        <v>68.673492418999999</v>
      </c>
      <c r="DE1083" s="501">
        <f t="shared" si="1732"/>
        <v>67.892992418999995</v>
      </c>
      <c r="DF1083" s="501">
        <f t="shared" si="1732"/>
        <v>67.743992418999994</v>
      </c>
      <c r="DG1083" s="501">
        <f t="shared" si="1732"/>
        <v>79.094292418999999</v>
      </c>
      <c r="DH1083" s="501">
        <f t="shared" si="1732"/>
        <v>83.588792419000001</v>
      </c>
      <c r="DI1083" s="501">
        <f t="shared" ref="DI1083:DN1083" si="1733">+DI1085+DI1086+DI1087</f>
        <v>88.232569208671464</v>
      </c>
      <c r="DJ1083" s="501">
        <f t="shared" si="1733"/>
        <v>96.963869208671454</v>
      </c>
      <c r="DK1083" s="501">
        <f t="shared" si="1733"/>
        <v>97.243869208671455</v>
      </c>
      <c r="DL1083" s="501">
        <f t="shared" si="1733"/>
        <v>109.52236920867145</v>
      </c>
      <c r="DM1083" s="501">
        <f t="shared" si="1733"/>
        <v>117.58566920867145</v>
      </c>
      <c r="DN1083" s="1545">
        <f t="shared" si="1733"/>
        <v>124.48579699267981</v>
      </c>
      <c r="DO1083" s="501">
        <f t="shared" ref="DO1083:DT1083" si="1734">+DO1085+DO1086+DO1087</f>
        <v>128.14750729925771</v>
      </c>
      <c r="DP1083" s="501">
        <f t="shared" si="1734"/>
        <v>150.01820729925774</v>
      </c>
      <c r="DQ1083" s="501">
        <f t="shared" si="1734"/>
        <v>156.70220729925774</v>
      </c>
      <c r="DR1083" s="501">
        <f t="shared" si="1734"/>
        <v>164.64390729925773</v>
      </c>
      <c r="DS1083" s="501">
        <f t="shared" si="1734"/>
        <v>173.99284091425773</v>
      </c>
      <c r="DT1083" s="501">
        <f t="shared" si="1734"/>
        <v>169.03004091425774</v>
      </c>
      <c r="DU1083" s="501"/>
      <c r="DV1083" s="501"/>
      <c r="DW1083" s="501"/>
      <c r="DX1083" s="501"/>
      <c r="DY1083" s="501"/>
      <c r="DZ1083" s="1545"/>
      <c r="HR1083" s="546" t="str">
        <f t="shared" ref="HR1083:HR1089" si="1735">+D1083</f>
        <v xml:space="preserve">Non banks </v>
      </c>
      <c r="HS1083" s="518"/>
      <c r="HT1083" s="518"/>
      <c r="HU1083" s="517">
        <f t="shared" ref="HU1083:HU1089" si="1736">+DB1083</f>
        <v>66.786092418999999</v>
      </c>
      <c r="HV1083" s="517"/>
      <c r="HW1083" s="518"/>
      <c r="HX1083" s="513">
        <f t="shared" ref="HX1083:HX1090" si="1737">+DN1083</f>
        <v>124.48579699267981</v>
      </c>
      <c r="HY1083" s="518"/>
      <c r="HZ1083" s="518"/>
      <c r="IA1083" s="346"/>
      <c r="IB1083" s="518"/>
      <c r="IC1083" s="518"/>
      <c r="ID1083" s="346"/>
      <c r="IE1083" s="346"/>
      <c r="IF1083" s="346"/>
      <c r="IG1083" s="346"/>
      <c r="IH1083" s="346"/>
      <c r="II1083" s="346"/>
      <c r="IJ1083" s="346"/>
      <c r="KI1083" s="302"/>
    </row>
    <row r="1084" spans="1:295" ht="15.5">
      <c r="A1084" s="302"/>
      <c r="B1084" s="302"/>
      <c r="C1084" s="302"/>
      <c r="D1084" s="500" t="str">
        <f>+D1075</f>
        <v>Banks holding of securities</v>
      </c>
      <c r="E1084" s="473"/>
      <c r="F1084" s="473"/>
      <c r="G1084" s="473"/>
      <c r="H1084" s="473"/>
      <c r="I1084" s="473"/>
      <c r="J1084" s="473"/>
      <c r="K1084" s="473"/>
      <c r="L1084" s="473"/>
      <c r="M1084" s="473"/>
      <c r="N1084" s="473"/>
      <c r="O1084" s="473"/>
      <c r="P1084" s="473"/>
      <c r="Q1084" s="473"/>
      <c r="R1084" s="473"/>
      <c r="S1084" s="473"/>
      <c r="T1084" s="473"/>
      <c r="U1084" s="473"/>
      <c r="V1084" s="473"/>
      <c r="W1084" s="473"/>
      <c r="X1084" s="473"/>
      <c r="Y1084" s="473"/>
      <c r="Z1084" s="473"/>
      <c r="AA1084" s="473"/>
      <c r="AB1084" s="473"/>
      <c r="AC1084" s="473"/>
      <c r="AD1084" s="473"/>
      <c r="AE1084" s="473"/>
      <c r="AF1084" s="473"/>
      <c r="AG1084" s="473"/>
      <c r="AH1084" s="473"/>
      <c r="AI1084" s="473"/>
      <c r="AJ1084" s="473"/>
      <c r="AK1084" s="473"/>
      <c r="AL1084" s="473"/>
      <c r="AM1084" s="473"/>
      <c r="AN1084" s="473"/>
      <c r="AO1084" s="473"/>
      <c r="AP1084" s="473"/>
      <c r="AQ1084" s="473"/>
      <c r="AR1084" s="473"/>
      <c r="AS1084" s="473"/>
      <c r="AT1084" s="473"/>
      <c r="AU1084" s="473"/>
      <c r="AV1084" s="473"/>
      <c r="AW1084" s="473"/>
      <c r="AX1084" s="473"/>
      <c r="AY1084" s="473"/>
      <c r="AZ1084" s="473"/>
      <c r="BA1084" s="473"/>
      <c r="BB1084" s="473"/>
      <c r="BC1084" s="473"/>
      <c r="BD1084" s="473"/>
      <c r="BE1084" s="473"/>
      <c r="BF1084" s="473"/>
      <c r="BG1084" s="473"/>
      <c r="BH1084" s="473"/>
      <c r="BI1084" s="473"/>
      <c r="BJ1084" s="473"/>
      <c r="BK1084" s="473"/>
      <c r="BL1084" s="473"/>
      <c r="BM1084" s="473"/>
      <c r="BN1084" s="473"/>
      <c r="BO1084" s="473"/>
      <c r="BP1084" s="473"/>
      <c r="BQ1084" s="473"/>
      <c r="BR1084" s="473"/>
      <c r="BS1084" s="473"/>
      <c r="BT1084" s="473"/>
      <c r="BU1084" s="473"/>
      <c r="BV1084" s="473"/>
      <c r="BW1084" s="473"/>
      <c r="BX1084" s="473"/>
      <c r="BY1084" s="473"/>
      <c r="BZ1084" s="473"/>
      <c r="CA1084" s="473"/>
      <c r="CB1084" s="473"/>
      <c r="CC1084" s="473"/>
      <c r="CD1084" s="473"/>
      <c r="CE1084" s="473"/>
      <c r="CF1084" s="473"/>
      <c r="CG1084" s="473"/>
      <c r="CH1084" s="473"/>
      <c r="CI1084" s="473"/>
      <c r="CJ1084" s="500">
        <f>+CJ1085+CJ1086</f>
        <v>12.4474</v>
      </c>
      <c r="CK1084" s="473"/>
      <c r="CL1084" s="473"/>
      <c r="CM1084" s="473"/>
      <c r="CN1084" s="473"/>
      <c r="CO1084" s="473"/>
      <c r="CP1084" s="500">
        <f t="shared" ref="CP1084:DB1084" si="1738">+CP1085+CP1086</f>
        <v>33.022599999999997</v>
      </c>
      <c r="CQ1084" s="500">
        <f t="shared" si="1738"/>
        <v>33.701999999999998</v>
      </c>
      <c r="CR1084" s="500">
        <f t="shared" si="1738"/>
        <v>41.9315</v>
      </c>
      <c r="CS1084" s="500">
        <f t="shared" si="1738"/>
        <v>40.6526</v>
      </c>
      <c r="CT1084" s="500">
        <f t="shared" si="1738"/>
        <v>44.931699999999999</v>
      </c>
      <c r="CU1084" s="500">
        <f t="shared" si="1738"/>
        <v>52.015799999999999</v>
      </c>
      <c r="CV1084" s="500">
        <f t="shared" si="1738"/>
        <v>51.049700000000001</v>
      </c>
      <c r="CW1084" s="500">
        <f t="shared" si="1738"/>
        <v>49.090699999999998</v>
      </c>
      <c r="CX1084" s="500">
        <f t="shared" si="1738"/>
        <v>56.796900000000001</v>
      </c>
      <c r="CY1084" s="500">
        <f t="shared" si="1738"/>
        <v>56.819900000000004</v>
      </c>
      <c r="CZ1084" s="500">
        <f t="shared" si="1738"/>
        <v>56.819900000000004</v>
      </c>
      <c r="DA1084" s="500">
        <f t="shared" si="1738"/>
        <v>64.632300000000001</v>
      </c>
      <c r="DB1084" s="1528">
        <f t="shared" si="1738"/>
        <v>63.930300000000003</v>
      </c>
      <c r="DC1084" s="500">
        <f t="shared" ref="DC1084:DH1084" si="1739">+DC1085+DC1086</f>
        <v>60.4148</v>
      </c>
      <c r="DD1084" s="500">
        <f t="shared" si="1739"/>
        <v>65.817700000000002</v>
      </c>
      <c r="DE1084" s="500">
        <f t="shared" si="1739"/>
        <v>65.037199999999999</v>
      </c>
      <c r="DF1084" s="500">
        <f t="shared" si="1739"/>
        <v>64.888199999999998</v>
      </c>
      <c r="DG1084" s="500">
        <f t="shared" si="1739"/>
        <v>76.238500000000002</v>
      </c>
      <c r="DH1084" s="500">
        <f t="shared" si="1739"/>
        <v>80.733000000000004</v>
      </c>
      <c r="DI1084" s="500">
        <f t="shared" ref="DI1084:DN1084" si="1740">+DI1085+DI1086</f>
        <v>86.960999999999999</v>
      </c>
      <c r="DJ1084" s="500">
        <f t="shared" si="1740"/>
        <v>95.692299999999989</v>
      </c>
      <c r="DK1084" s="500">
        <f t="shared" si="1740"/>
        <v>95.97229999999999</v>
      </c>
      <c r="DL1084" s="500">
        <f t="shared" si="1740"/>
        <v>108.25079999999998</v>
      </c>
      <c r="DM1084" s="500">
        <f t="shared" si="1740"/>
        <v>116.31409999999998</v>
      </c>
      <c r="DN1084" s="1546">
        <f t="shared" si="1740"/>
        <v>123.18709999999999</v>
      </c>
      <c r="DO1084" s="500">
        <f t="shared" ref="DO1084:DT1084" si="1741">+DO1085+DO1086</f>
        <v>126.84881030657789</v>
      </c>
      <c r="DP1084" s="500">
        <f t="shared" si="1741"/>
        <v>148.71951030657792</v>
      </c>
      <c r="DQ1084" s="500">
        <f t="shared" si="1741"/>
        <v>155.40351030657791</v>
      </c>
      <c r="DR1084" s="500">
        <f t="shared" si="1741"/>
        <v>163.34521030657791</v>
      </c>
      <c r="DS1084" s="500">
        <f t="shared" si="1741"/>
        <v>172.6941439215779</v>
      </c>
      <c r="DT1084" s="500">
        <f t="shared" si="1741"/>
        <v>167.73134392157792</v>
      </c>
      <c r="DU1084" s="500"/>
      <c r="DV1084" s="500"/>
      <c r="DW1084" s="500"/>
      <c r="DX1084" s="500"/>
      <c r="DY1084" s="500"/>
      <c r="DZ1084" s="1546"/>
      <c r="HR1084" s="517" t="str">
        <f t="shared" si="1735"/>
        <v>Banks holding of securities</v>
      </c>
      <c r="HS1084" s="518"/>
      <c r="HT1084" s="518"/>
      <c r="HU1084" s="519">
        <f t="shared" si="1736"/>
        <v>63.930300000000003</v>
      </c>
      <c r="HV1084" s="519"/>
      <c r="HW1084" s="518"/>
      <c r="HX1084" s="714">
        <f t="shared" si="1737"/>
        <v>123.18709999999999</v>
      </c>
      <c r="HY1084" s="518"/>
      <c r="HZ1084" s="518"/>
      <c r="IA1084" s="346"/>
      <c r="IB1084" s="518"/>
      <c r="IC1084" s="518"/>
      <c r="ID1084" s="346"/>
      <c r="IE1084" s="346"/>
      <c r="IF1084" s="346"/>
      <c r="IG1084" s="346"/>
      <c r="IH1084" s="346"/>
      <c r="II1084" s="346"/>
      <c r="IJ1084" s="346"/>
      <c r="KI1084" s="302"/>
    </row>
    <row r="1085" spans="1:295" ht="15.5">
      <c r="A1085" s="302"/>
      <c r="B1085" s="302"/>
      <c r="C1085" s="302"/>
      <c r="D1085" s="473" t="str">
        <f>+D1076</f>
        <v xml:space="preserve">T bills </v>
      </c>
      <c r="E1085" s="473"/>
      <c r="F1085" s="473"/>
      <c r="G1085" s="473"/>
      <c r="H1085" s="473"/>
      <c r="I1085" s="473"/>
      <c r="J1085" s="473"/>
      <c r="K1085" s="473"/>
      <c r="L1085" s="473"/>
      <c r="M1085" s="473"/>
      <c r="N1085" s="473"/>
      <c r="O1085" s="473"/>
      <c r="P1085" s="473"/>
      <c r="Q1085" s="473"/>
      <c r="R1085" s="473"/>
      <c r="S1085" s="473"/>
      <c r="T1085" s="473"/>
      <c r="U1085" s="473"/>
      <c r="V1085" s="473"/>
      <c r="W1085" s="473"/>
      <c r="X1085" s="473"/>
      <c r="Y1085" s="473"/>
      <c r="Z1085" s="473"/>
      <c r="AA1085" s="473"/>
      <c r="AB1085" s="473"/>
      <c r="AC1085" s="473"/>
      <c r="AD1085" s="473"/>
      <c r="AE1085" s="473"/>
      <c r="AF1085" s="473"/>
      <c r="AG1085" s="473"/>
      <c r="AH1085" s="473"/>
      <c r="AI1085" s="473"/>
      <c r="AJ1085" s="473"/>
      <c r="AK1085" s="473"/>
      <c r="AL1085" s="473"/>
      <c r="AM1085" s="473"/>
      <c r="AN1085" s="473"/>
      <c r="AO1085" s="473"/>
      <c r="AP1085" s="473"/>
      <c r="AQ1085" s="473"/>
      <c r="AR1085" s="473"/>
      <c r="AS1085" s="473"/>
      <c r="AT1085" s="473"/>
      <c r="AU1085" s="473"/>
      <c r="AV1085" s="473"/>
      <c r="AW1085" s="473"/>
      <c r="AX1085" s="473"/>
      <c r="AY1085" s="473"/>
      <c r="AZ1085" s="473"/>
      <c r="BA1085" s="473"/>
      <c r="BB1085" s="473"/>
      <c r="BC1085" s="473"/>
      <c r="BD1085" s="473"/>
      <c r="BE1085" s="473"/>
      <c r="BF1085" s="473"/>
      <c r="BG1085" s="473"/>
      <c r="BH1085" s="473"/>
      <c r="BI1085" s="473"/>
      <c r="BJ1085" s="473"/>
      <c r="BK1085" s="473"/>
      <c r="BL1085" s="473"/>
      <c r="BM1085" s="473"/>
      <c r="BN1085" s="473"/>
      <c r="BO1085" s="473"/>
      <c r="BP1085" s="473"/>
      <c r="BQ1085" s="473"/>
      <c r="BR1085" s="473"/>
      <c r="BS1085" s="473"/>
      <c r="BT1085" s="473"/>
      <c r="BU1085" s="473"/>
      <c r="BV1085" s="473"/>
      <c r="BW1085" s="473"/>
      <c r="BX1085" s="473"/>
      <c r="BY1085" s="473"/>
      <c r="BZ1085" s="473"/>
      <c r="CA1085" s="473"/>
      <c r="CB1085" s="473"/>
      <c r="CC1085" s="473"/>
      <c r="CD1085" s="473"/>
      <c r="CE1085" s="473"/>
      <c r="CF1085" s="473"/>
      <c r="CG1085" s="473"/>
      <c r="CH1085" s="473"/>
      <c r="CI1085" s="473"/>
      <c r="CJ1085" s="473">
        <f>+CJ124</f>
        <v>10.8704</v>
      </c>
      <c r="CK1085" s="473"/>
      <c r="CL1085" s="473"/>
      <c r="CM1085" s="473"/>
      <c r="CN1085" s="473"/>
      <c r="CO1085" s="473"/>
      <c r="CP1085" s="473">
        <f t="shared" ref="CP1085:DT1085" si="1742">+CP124</f>
        <v>10.551600000000001</v>
      </c>
      <c r="CQ1085" s="473">
        <f t="shared" si="1742"/>
        <v>11.231</v>
      </c>
      <c r="CR1085" s="473">
        <f t="shared" si="1742"/>
        <v>10.389900000000001</v>
      </c>
      <c r="CS1085" s="473">
        <f t="shared" si="1742"/>
        <v>9.1110000000000007</v>
      </c>
      <c r="CT1085" s="473">
        <f t="shared" si="1742"/>
        <v>13.3901</v>
      </c>
      <c r="CU1085" s="473">
        <f t="shared" si="1742"/>
        <v>12.8171</v>
      </c>
      <c r="CV1085" s="473">
        <f t="shared" si="1742"/>
        <v>11.851000000000001</v>
      </c>
      <c r="CW1085" s="473">
        <f t="shared" si="1742"/>
        <v>9.8919999999999995</v>
      </c>
      <c r="CX1085" s="473">
        <f t="shared" si="1742"/>
        <v>9.8109999999999999</v>
      </c>
      <c r="CY1085" s="473">
        <f t="shared" si="1742"/>
        <v>9.8339999999999996</v>
      </c>
      <c r="CZ1085" s="473">
        <f t="shared" si="1742"/>
        <v>9.8339999999999996</v>
      </c>
      <c r="DA1085" s="473">
        <f t="shared" si="1742"/>
        <v>9.7385000000000002</v>
      </c>
      <c r="DB1085" s="1524">
        <f t="shared" si="1742"/>
        <v>9.0365000000000002</v>
      </c>
      <c r="DC1085" s="473">
        <f t="shared" si="1742"/>
        <v>5.5209999999999999</v>
      </c>
      <c r="DD1085" s="473">
        <f t="shared" si="1742"/>
        <v>3.4740000000000002</v>
      </c>
      <c r="DE1085" s="473">
        <f t="shared" si="1742"/>
        <v>2.6934999999999998</v>
      </c>
      <c r="DF1085" s="473">
        <f t="shared" si="1742"/>
        <v>2.5445000000000002</v>
      </c>
      <c r="DG1085" s="473">
        <f t="shared" si="1742"/>
        <v>7.4361999999999995</v>
      </c>
      <c r="DH1085" s="473">
        <f t="shared" si="1742"/>
        <v>11.9307</v>
      </c>
      <c r="DI1085" s="473">
        <f t="shared" si="1742"/>
        <v>18.1587</v>
      </c>
      <c r="DJ1085" s="473">
        <f t="shared" si="1742"/>
        <v>17.6722</v>
      </c>
      <c r="DK1085" s="473">
        <f t="shared" si="1742"/>
        <v>17.952200000000001</v>
      </c>
      <c r="DL1085" s="473">
        <f t="shared" si="1742"/>
        <v>30.230700000000002</v>
      </c>
      <c r="DM1085" s="473">
        <f t="shared" si="1742"/>
        <v>31.794</v>
      </c>
      <c r="DN1085" s="1543">
        <f t="shared" si="1742"/>
        <v>38.667000000000002</v>
      </c>
      <c r="DO1085" s="473">
        <f t="shared" si="1742"/>
        <v>42.328710306577911</v>
      </c>
      <c r="DP1085" s="473">
        <f t="shared" si="1742"/>
        <v>52.913510306577912</v>
      </c>
      <c r="DQ1085" s="473">
        <f t="shared" si="1742"/>
        <v>60.174410306577919</v>
      </c>
      <c r="DR1085" s="473">
        <f t="shared" si="1742"/>
        <v>68.116110306577923</v>
      </c>
      <c r="DS1085" s="473">
        <f t="shared" si="1742"/>
        <v>66.105043921577916</v>
      </c>
      <c r="DT1085" s="473">
        <f t="shared" si="1742"/>
        <v>61.142243921577922</v>
      </c>
      <c r="DU1085" s="473"/>
      <c r="DV1085" s="473"/>
      <c r="DW1085" s="473"/>
      <c r="DX1085" s="473"/>
      <c r="DY1085" s="473"/>
      <c r="DZ1085" s="1543"/>
      <c r="HR1085" s="518" t="str">
        <f t="shared" si="1735"/>
        <v xml:space="preserve">T bills </v>
      </c>
      <c r="HS1085" s="518"/>
      <c r="HT1085" s="518"/>
      <c r="HU1085" s="518">
        <f t="shared" si="1736"/>
        <v>9.0365000000000002</v>
      </c>
      <c r="HV1085" s="518"/>
      <c r="HW1085" s="518"/>
      <c r="HX1085" s="346">
        <f t="shared" si="1737"/>
        <v>38.667000000000002</v>
      </c>
      <c r="HY1085" s="518"/>
      <c r="HZ1085" s="518"/>
      <c r="IA1085" s="346"/>
      <c r="IB1085" s="518"/>
      <c r="IC1085" s="518"/>
      <c r="ID1085" s="346"/>
      <c r="IE1085" s="346"/>
      <c r="IF1085" s="346"/>
      <c r="IG1085" s="346"/>
      <c r="IH1085" s="346"/>
      <c r="II1085" s="346"/>
      <c r="IJ1085" s="346"/>
      <c r="KI1085" s="302"/>
    </row>
    <row r="1086" spans="1:295" ht="15.5">
      <c r="A1086" s="302"/>
      <c r="B1086" s="302"/>
      <c r="C1086" s="302"/>
      <c r="D1086" s="473" t="str">
        <f>+D1077</f>
        <v>T bonds</v>
      </c>
      <c r="E1086" s="473"/>
      <c r="F1086" s="473"/>
      <c r="G1086" s="473"/>
      <c r="H1086" s="473"/>
      <c r="I1086" s="473"/>
      <c r="J1086" s="473"/>
      <c r="K1086" s="473"/>
      <c r="L1086" s="473"/>
      <c r="M1086" s="473"/>
      <c r="N1086" s="473"/>
      <c r="O1086" s="473"/>
      <c r="P1086" s="473"/>
      <c r="Q1086" s="473"/>
      <c r="R1086" s="473"/>
      <c r="S1086" s="473"/>
      <c r="T1086" s="473"/>
      <c r="U1086" s="473"/>
      <c r="V1086" s="473"/>
      <c r="W1086" s="473"/>
      <c r="X1086" s="473"/>
      <c r="Y1086" s="473"/>
      <c r="Z1086" s="473"/>
      <c r="AA1086" s="473"/>
      <c r="AB1086" s="473"/>
      <c r="AC1086" s="473"/>
      <c r="AD1086" s="473"/>
      <c r="AE1086" s="473"/>
      <c r="AF1086" s="473"/>
      <c r="AG1086" s="473"/>
      <c r="AH1086" s="473"/>
      <c r="AI1086" s="473"/>
      <c r="AJ1086" s="473"/>
      <c r="AK1086" s="473"/>
      <c r="AL1086" s="473"/>
      <c r="AM1086" s="473"/>
      <c r="AN1086" s="473"/>
      <c r="AO1086" s="473"/>
      <c r="AP1086" s="473"/>
      <c r="AQ1086" s="473"/>
      <c r="AR1086" s="473"/>
      <c r="AS1086" s="473"/>
      <c r="AT1086" s="473"/>
      <c r="AU1086" s="473"/>
      <c r="AV1086" s="473"/>
      <c r="AW1086" s="473"/>
      <c r="AX1086" s="473"/>
      <c r="AY1086" s="473"/>
      <c r="AZ1086" s="473"/>
      <c r="BA1086" s="473"/>
      <c r="BB1086" s="473"/>
      <c r="BC1086" s="473"/>
      <c r="BD1086" s="473"/>
      <c r="BE1086" s="473"/>
      <c r="BF1086" s="473"/>
      <c r="BG1086" s="473"/>
      <c r="BH1086" s="473"/>
      <c r="BI1086" s="473"/>
      <c r="BJ1086" s="473"/>
      <c r="BK1086" s="473"/>
      <c r="BL1086" s="473"/>
      <c r="BM1086" s="473"/>
      <c r="BN1086" s="473"/>
      <c r="BO1086" s="473"/>
      <c r="BP1086" s="473"/>
      <c r="BQ1086" s="473"/>
      <c r="BR1086" s="473"/>
      <c r="BS1086" s="473"/>
      <c r="BT1086" s="473"/>
      <c r="BU1086" s="473"/>
      <c r="BV1086" s="473"/>
      <c r="BW1086" s="473"/>
      <c r="BX1086" s="473"/>
      <c r="BY1086" s="473"/>
      <c r="BZ1086" s="473"/>
      <c r="CA1086" s="473"/>
      <c r="CB1086" s="473"/>
      <c r="CC1086" s="473"/>
      <c r="CD1086" s="473"/>
      <c r="CE1086" s="473"/>
      <c r="CF1086" s="473"/>
      <c r="CG1086" s="473"/>
      <c r="CH1086" s="473"/>
      <c r="CI1086" s="473"/>
      <c r="CJ1086" s="473">
        <f>+CJ127</f>
        <v>1.577</v>
      </c>
      <c r="CK1086" s="473"/>
      <c r="CL1086" s="473"/>
      <c r="CM1086" s="473"/>
      <c r="CN1086" s="473"/>
      <c r="CO1086" s="473"/>
      <c r="CP1086" s="473">
        <f t="shared" ref="CP1086:DT1086" si="1743">+CP127</f>
        <v>22.471</v>
      </c>
      <c r="CQ1086" s="473">
        <f t="shared" si="1743"/>
        <v>22.471</v>
      </c>
      <c r="CR1086" s="473">
        <f t="shared" si="1743"/>
        <v>31.541599999999999</v>
      </c>
      <c r="CS1086" s="473">
        <f t="shared" si="1743"/>
        <v>31.541599999999999</v>
      </c>
      <c r="CT1086" s="473">
        <f t="shared" si="1743"/>
        <v>31.541599999999999</v>
      </c>
      <c r="CU1086" s="473">
        <f t="shared" si="1743"/>
        <v>39.198700000000002</v>
      </c>
      <c r="CV1086" s="473">
        <f t="shared" si="1743"/>
        <v>39.198700000000002</v>
      </c>
      <c r="CW1086" s="473">
        <f t="shared" si="1743"/>
        <v>39.198700000000002</v>
      </c>
      <c r="CX1086" s="473">
        <f t="shared" si="1743"/>
        <v>46.985900000000001</v>
      </c>
      <c r="CY1086" s="473">
        <f t="shared" si="1743"/>
        <v>46.985900000000001</v>
      </c>
      <c r="CZ1086" s="473">
        <f t="shared" si="1743"/>
        <v>46.985900000000001</v>
      </c>
      <c r="DA1086" s="473">
        <f t="shared" si="1743"/>
        <v>54.893799999999999</v>
      </c>
      <c r="DB1086" s="1524">
        <f t="shared" si="1743"/>
        <v>54.893799999999999</v>
      </c>
      <c r="DC1086" s="473">
        <f t="shared" si="1743"/>
        <v>54.893799999999999</v>
      </c>
      <c r="DD1086" s="473">
        <f t="shared" si="1743"/>
        <v>62.343699999999998</v>
      </c>
      <c r="DE1086" s="473">
        <f t="shared" si="1743"/>
        <v>62.343699999999998</v>
      </c>
      <c r="DF1086" s="473">
        <f t="shared" si="1743"/>
        <v>62.343699999999998</v>
      </c>
      <c r="DG1086" s="473">
        <f t="shared" si="1743"/>
        <v>68.802300000000002</v>
      </c>
      <c r="DH1086" s="473">
        <f t="shared" si="1743"/>
        <v>68.802300000000002</v>
      </c>
      <c r="DI1086" s="473">
        <f t="shared" si="1743"/>
        <v>68.802300000000002</v>
      </c>
      <c r="DJ1086" s="473">
        <f t="shared" si="1743"/>
        <v>78.020099999999985</v>
      </c>
      <c r="DK1086" s="473">
        <f t="shared" si="1743"/>
        <v>78.020099999999985</v>
      </c>
      <c r="DL1086" s="473">
        <f t="shared" si="1743"/>
        <v>78.020099999999985</v>
      </c>
      <c r="DM1086" s="473">
        <f t="shared" si="1743"/>
        <v>84.520099999999985</v>
      </c>
      <c r="DN1086" s="1543">
        <f t="shared" si="1743"/>
        <v>84.520099999999985</v>
      </c>
      <c r="DO1086" s="473">
        <f t="shared" si="1743"/>
        <v>84.520099999999985</v>
      </c>
      <c r="DP1086" s="473">
        <f t="shared" si="1743"/>
        <v>95.805999999999997</v>
      </c>
      <c r="DQ1086" s="473">
        <f t="shared" si="1743"/>
        <v>95.229099999999988</v>
      </c>
      <c r="DR1086" s="473">
        <f t="shared" si="1743"/>
        <v>95.229099999999988</v>
      </c>
      <c r="DS1086" s="473">
        <f t="shared" si="1743"/>
        <v>106.58909999999999</v>
      </c>
      <c r="DT1086" s="473">
        <f t="shared" si="1743"/>
        <v>106.58909999999999</v>
      </c>
      <c r="DU1086" s="473"/>
      <c r="DV1086" s="473"/>
      <c r="DW1086" s="473"/>
      <c r="DX1086" s="473"/>
      <c r="DY1086" s="473"/>
      <c r="DZ1086" s="1543"/>
      <c r="HR1086" s="518" t="str">
        <f t="shared" si="1735"/>
        <v>T bonds</v>
      </c>
      <c r="HS1086" s="518"/>
      <c r="HT1086" s="518"/>
      <c r="HU1086" s="518">
        <f t="shared" si="1736"/>
        <v>54.893799999999999</v>
      </c>
      <c r="HV1086" s="518"/>
      <c r="HW1086" s="518"/>
      <c r="HX1086" s="346">
        <f t="shared" si="1737"/>
        <v>84.520099999999985</v>
      </c>
      <c r="HY1086" s="518"/>
      <c r="HZ1086" s="518"/>
      <c r="IA1086" s="346"/>
      <c r="IB1086" s="518"/>
      <c r="IC1086" s="518"/>
      <c r="ID1086" s="346"/>
      <c r="IE1086" s="346"/>
      <c r="IF1086" s="346"/>
      <c r="IG1086" s="346"/>
      <c r="IH1086" s="346"/>
      <c r="II1086" s="346"/>
      <c r="IJ1086" s="346"/>
      <c r="KI1086" s="302"/>
    </row>
    <row r="1087" spans="1:295" ht="15.5">
      <c r="A1087" s="302"/>
      <c r="B1087" s="302"/>
      <c r="C1087" s="302"/>
      <c r="D1087" s="499" t="s">
        <v>683</v>
      </c>
      <c r="E1087" s="473"/>
      <c r="F1087" s="473"/>
      <c r="G1087" s="473"/>
      <c r="H1087" s="473"/>
      <c r="I1087" s="473"/>
      <c r="J1087" s="473"/>
      <c r="K1087" s="473"/>
      <c r="L1087" s="473"/>
      <c r="M1087" s="473"/>
      <c r="N1087" s="473"/>
      <c r="O1087" s="473"/>
      <c r="P1087" s="473"/>
      <c r="Q1087" s="473"/>
      <c r="R1087" s="473"/>
      <c r="S1087" s="473"/>
      <c r="T1087" s="473"/>
      <c r="U1087" s="473"/>
      <c r="V1087" s="473"/>
      <c r="W1087" s="473"/>
      <c r="X1087" s="473"/>
      <c r="Y1087" s="473"/>
      <c r="Z1087" s="473"/>
      <c r="AA1087" s="473"/>
      <c r="AB1087" s="473"/>
      <c r="AC1087" s="473"/>
      <c r="AD1087" s="473"/>
      <c r="AE1087" s="473"/>
      <c r="AF1087" s="473"/>
      <c r="AG1087" s="473"/>
      <c r="AH1087" s="473"/>
      <c r="AI1087" s="473"/>
      <c r="AJ1087" s="473"/>
      <c r="AK1087" s="473"/>
      <c r="AL1087" s="473"/>
      <c r="AM1087" s="473"/>
      <c r="AN1087" s="473"/>
      <c r="AO1087" s="473"/>
      <c r="AP1087" s="473"/>
      <c r="AQ1087" s="473"/>
      <c r="AR1087" s="473"/>
      <c r="AS1087" s="473"/>
      <c r="AT1087" s="473"/>
      <c r="AU1087" s="473"/>
      <c r="AV1087" s="473"/>
      <c r="AW1087" s="473"/>
      <c r="AX1087" s="473"/>
      <c r="AY1087" s="473"/>
      <c r="AZ1087" s="473"/>
      <c r="BA1087" s="473"/>
      <c r="BB1087" s="473"/>
      <c r="BC1087" s="473"/>
      <c r="BD1087" s="473"/>
      <c r="BE1087" s="473"/>
      <c r="BF1087" s="473"/>
      <c r="BG1087" s="473"/>
      <c r="BH1087" s="473"/>
      <c r="BI1087" s="473"/>
      <c r="BJ1087" s="473"/>
      <c r="BK1087" s="473"/>
      <c r="BL1087" s="473"/>
      <c r="BM1087" s="473"/>
      <c r="BN1087" s="473"/>
      <c r="BO1087" s="473"/>
      <c r="BP1087" s="473"/>
      <c r="BQ1087" s="473"/>
      <c r="BR1087" s="473"/>
      <c r="BS1087" s="473"/>
      <c r="BT1087" s="473"/>
      <c r="BU1087" s="473"/>
      <c r="BV1087" s="473"/>
      <c r="BW1087" s="473"/>
      <c r="BX1087" s="473"/>
      <c r="BY1087" s="473"/>
      <c r="BZ1087" s="473"/>
      <c r="CA1087" s="473"/>
      <c r="CB1087" s="473"/>
      <c r="CC1087" s="473"/>
      <c r="CD1087" s="473"/>
      <c r="CE1087" s="473"/>
      <c r="CF1087" s="473"/>
      <c r="CG1087" s="473"/>
      <c r="CH1087" s="473"/>
      <c r="CI1087" s="473"/>
      <c r="CJ1087" s="500">
        <f>+CJ1088+CJ1089</f>
        <v>1.189788379600367</v>
      </c>
      <c r="CK1087" s="473"/>
      <c r="CL1087" s="473"/>
      <c r="CM1087" s="473"/>
      <c r="CN1087" s="473"/>
      <c r="CO1087" s="473"/>
      <c r="CP1087" s="500">
        <f t="shared" ref="CP1087:DB1087" si="1744">+CP1088+CP1089</f>
        <v>2.8557924190000001</v>
      </c>
      <c r="CQ1087" s="500">
        <f t="shared" si="1744"/>
        <v>2.8557924190000001</v>
      </c>
      <c r="CR1087" s="500">
        <f t="shared" si="1744"/>
        <v>2.8557924190000001</v>
      </c>
      <c r="CS1087" s="500">
        <f t="shared" si="1744"/>
        <v>2.8557924190000001</v>
      </c>
      <c r="CT1087" s="500">
        <f t="shared" si="1744"/>
        <v>2.8557924190000001</v>
      </c>
      <c r="CU1087" s="500">
        <f t="shared" si="1744"/>
        <v>2.8557924190000001</v>
      </c>
      <c r="CV1087" s="500">
        <f t="shared" si="1744"/>
        <v>2.8557924190000001</v>
      </c>
      <c r="CW1087" s="500">
        <f t="shared" si="1744"/>
        <v>2.8557924190000001</v>
      </c>
      <c r="CX1087" s="500">
        <f t="shared" si="1744"/>
        <v>2.8557924190000001</v>
      </c>
      <c r="CY1087" s="500">
        <f t="shared" si="1744"/>
        <v>2.8557924190000001</v>
      </c>
      <c r="CZ1087" s="500">
        <f t="shared" si="1744"/>
        <v>2.8557924190000001</v>
      </c>
      <c r="DA1087" s="500">
        <f t="shared" si="1744"/>
        <v>2.8557924190000001</v>
      </c>
      <c r="DB1087" s="1528">
        <f t="shared" si="1744"/>
        <v>2.8557924190000001</v>
      </c>
      <c r="DC1087" s="500">
        <f t="shared" ref="DC1087:DH1087" si="1745">+DC1088+DC1089</f>
        <v>2.8557924190000001</v>
      </c>
      <c r="DD1087" s="500">
        <f t="shared" si="1745"/>
        <v>2.8557924190000001</v>
      </c>
      <c r="DE1087" s="500">
        <f t="shared" si="1745"/>
        <v>2.8557924190000001</v>
      </c>
      <c r="DF1087" s="500">
        <f t="shared" si="1745"/>
        <v>2.8557924190000001</v>
      </c>
      <c r="DG1087" s="500">
        <f t="shared" si="1745"/>
        <v>2.8557924190000001</v>
      </c>
      <c r="DH1087" s="500">
        <f t="shared" si="1745"/>
        <v>2.8557924190000001</v>
      </c>
      <c r="DI1087" s="500">
        <f t="shared" ref="DI1087:DN1087" si="1746">+DI1088+DI1089</f>
        <v>1.2715692086714601</v>
      </c>
      <c r="DJ1087" s="500">
        <f t="shared" si="1746"/>
        <v>1.2715692086714601</v>
      </c>
      <c r="DK1087" s="500">
        <f t="shared" si="1746"/>
        <v>1.2715692086714601</v>
      </c>
      <c r="DL1087" s="500">
        <f t="shared" si="1746"/>
        <v>1.2715692086714601</v>
      </c>
      <c r="DM1087" s="500">
        <f t="shared" si="1746"/>
        <v>1.2715692086714601</v>
      </c>
      <c r="DN1087" s="1546">
        <f t="shared" si="1746"/>
        <v>1.2986969926798162</v>
      </c>
      <c r="DO1087" s="500">
        <f t="shared" ref="DO1087:DT1087" si="1747">+DO1088+DO1089</f>
        <v>1.2986969926798162</v>
      </c>
      <c r="DP1087" s="500">
        <f t="shared" si="1747"/>
        <v>1.2986969926798162</v>
      </c>
      <c r="DQ1087" s="500">
        <f t="shared" si="1747"/>
        <v>1.2986969926798162</v>
      </c>
      <c r="DR1087" s="500">
        <f t="shared" si="1747"/>
        <v>1.2986969926798162</v>
      </c>
      <c r="DS1087" s="500">
        <f t="shared" si="1747"/>
        <v>1.2986969926798162</v>
      </c>
      <c r="DT1087" s="500">
        <f t="shared" si="1747"/>
        <v>1.2986969926798162</v>
      </c>
      <c r="DU1087" s="500"/>
      <c r="DV1087" s="500"/>
      <c r="DW1087" s="500"/>
      <c r="DX1087" s="500"/>
      <c r="DY1087" s="500"/>
      <c r="DZ1087" s="1546"/>
      <c r="HR1087" s="517" t="str">
        <f t="shared" si="1735"/>
        <v>Corporate bonds</v>
      </c>
      <c r="HS1087" s="518"/>
      <c r="HT1087" s="518"/>
      <c r="HU1087" s="519">
        <f t="shared" si="1736"/>
        <v>2.8557924190000001</v>
      </c>
      <c r="HV1087" s="519"/>
      <c r="HW1087" s="518"/>
      <c r="HX1087" s="714">
        <f t="shared" si="1737"/>
        <v>1.2986969926798162</v>
      </c>
      <c r="HY1087" s="518"/>
      <c r="HZ1087" s="518"/>
      <c r="IA1087" s="346"/>
      <c r="IB1087" s="518"/>
      <c r="IC1087" s="518"/>
      <c r="ID1087" s="346"/>
      <c r="IE1087" s="346"/>
      <c r="IF1087" s="346"/>
      <c r="IG1087" s="346"/>
      <c r="IH1087" s="346"/>
      <c r="II1087" s="346"/>
      <c r="IJ1087" s="346"/>
      <c r="KI1087" s="302"/>
    </row>
    <row r="1088" spans="1:295" ht="15.5">
      <c r="A1088" s="302"/>
      <c r="B1088" s="302"/>
      <c r="C1088" s="302"/>
      <c r="D1088" s="472" t="str">
        <f>+D99</f>
        <v>SODEPARAL</v>
      </c>
      <c r="E1088" s="473"/>
      <c r="F1088" s="473"/>
      <c r="G1088" s="473"/>
      <c r="H1088" s="473"/>
      <c r="I1088" s="473"/>
      <c r="J1088" s="473"/>
      <c r="K1088" s="473"/>
      <c r="L1088" s="473"/>
      <c r="M1088" s="473"/>
      <c r="N1088" s="473"/>
      <c r="O1088" s="473"/>
      <c r="P1088" s="473"/>
      <c r="Q1088" s="473"/>
      <c r="R1088" s="473"/>
      <c r="S1088" s="473"/>
      <c r="T1088" s="473"/>
      <c r="U1088" s="473"/>
      <c r="V1088" s="473"/>
      <c r="W1088" s="473"/>
      <c r="X1088" s="473"/>
      <c r="Y1088" s="473"/>
      <c r="Z1088" s="473"/>
      <c r="AA1088" s="473"/>
      <c r="AB1088" s="473"/>
      <c r="AC1088" s="473"/>
      <c r="AD1088" s="473"/>
      <c r="AE1088" s="473"/>
      <c r="AF1088" s="473"/>
      <c r="AG1088" s="473"/>
      <c r="AH1088" s="473"/>
      <c r="AI1088" s="473"/>
      <c r="AJ1088" s="473"/>
      <c r="AK1088" s="473"/>
      <c r="AL1088" s="473"/>
      <c r="AM1088" s="473"/>
      <c r="AN1088" s="473"/>
      <c r="AO1088" s="473"/>
      <c r="AP1088" s="473"/>
      <c r="AQ1088" s="473"/>
      <c r="AR1088" s="473"/>
      <c r="AS1088" s="473"/>
      <c r="AT1088" s="473"/>
      <c r="AU1088" s="473"/>
      <c r="AV1088" s="473"/>
      <c r="AW1088" s="473"/>
      <c r="AX1088" s="473"/>
      <c r="AY1088" s="473"/>
      <c r="AZ1088" s="473"/>
      <c r="BA1088" s="473"/>
      <c r="BB1088" s="473"/>
      <c r="BC1088" s="473"/>
      <c r="BD1088" s="473"/>
      <c r="BE1088" s="473"/>
      <c r="BF1088" s="473"/>
      <c r="BG1088" s="473"/>
      <c r="BH1088" s="473"/>
      <c r="BI1088" s="473"/>
      <c r="BJ1088" s="473"/>
      <c r="BK1088" s="473"/>
      <c r="BL1088" s="473"/>
      <c r="BM1088" s="473"/>
      <c r="BN1088" s="473"/>
      <c r="BO1088" s="473"/>
      <c r="BP1088" s="473"/>
      <c r="BQ1088" s="473"/>
      <c r="BR1088" s="473"/>
      <c r="BS1088" s="473"/>
      <c r="BT1088" s="473"/>
      <c r="BU1088" s="473"/>
      <c r="BV1088" s="473"/>
      <c r="BW1088" s="473"/>
      <c r="BX1088" s="473"/>
      <c r="BY1088" s="473"/>
      <c r="BZ1088" s="473"/>
      <c r="CA1088" s="473"/>
      <c r="CB1088" s="473"/>
      <c r="CC1088" s="473"/>
      <c r="CD1088" s="473"/>
      <c r="CE1088" s="473"/>
      <c r="CF1088" s="473"/>
      <c r="CG1088" s="473"/>
      <c r="CH1088" s="473"/>
      <c r="CI1088" s="473"/>
      <c r="CJ1088" s="473">
        <f>+CJ87</f>
        <v>1.7016389999999999E-2</v>
      </c>
      <c r="CK1088" s="473"/>
      <c r="CL1088" s="473"/>
      <c r="CM1088" s="473"/>
      <c r="CN1088" s="473"/>
      <c r="CO1088" s="473"/>
      <c r="CP1088" s="473">
        <f t="shared" ref="CP1088:DT1088" si="1748">+CP87</f>
        <v>1.7016389999999999E-2</v>
      </c>
      <c r="CQ1088" s="473">
        <f t="shared" si="1748"/>
        <v>1.7016389999999999E-2</v>
      </c>
      <c r="CR1088" s="473">
        <f t="shared" si="1748"/>
        <v>1.7016389999999999E-2</v>
      </c>
      <c r="CS1088" s="473">
        <f t="shared" si="1748"/>
        <v>1.7016389999999999E-2</v>
      </c>
      <c r="CT1088" s="473">
        <f t="shared" si="1748"/>
        <v>1.7016389999999999E-2</v>
      </c>
      <c r="CU1088" s="473">
        <f t="shared" si="1748"/>
        <v>1.7016389999999999E-2</v>
      </c>
      <c r="CV1088" s="473">
        <f t="shared" si="1748"/>
        <v>1.7016389999999999E-2</v>
      </c>
      <c r="CW1088" s="473">
        <f t="shared" si="1748"/>
        <v>1.7016389999999999E-2</v>
      </c>
      <c r="CX1088" s="473">
        <f t="shared" si="1748"/>
        <v>1.7016389999999999E-2</v>
      </c>
      <c r="CY1088" s="473">
        <f t="shared" si="1748"/>
        <v>1.7016389999999999E-2</v>
      </c>
      <c r="CZ1088" s="473">
        <f t="shared" si="1748"/>
        <v>1.7016389999999999E-2</v>
      </c>
      <c r="DA1088" s="473">
        <f t="shared" si="1748"/>
        <v>1.7016389999999999E-2</v>
      </c>
      <c r="DB1088" s="1524">
        <f t="shared" si="1748"/>
        <v>1.7016389999999999E-2</v>
      </c>
      <c r="DC1088" s="473">
        <f t="shared" si="1748"/>
        <v>1.7016389999999999E-2</v>
      </c>
      <c r="DD1088" s="473">
        <f t="shared" si="1748"/>
        <v>1.7016389999999999E-2</v>
      </c>
      <c r="DE1088" s="473">
        <f t="shared" si="1748"/>
        <v>1.7016389999999999E-2</v>
      </c>
      <c r="DF1088" s="473">
        <f t="shared" si="1748"/>
        <v>1.7016389999999999E-2</v>
      </c>
      <c r="DG1088" s="473">
        <f t="shared" si="1748"/>
        <v>1.7016389999999999E-2</v>
      </c>
      <c r="DH1088" s="473">
        <f t="shared" si="1748"/>
        <v>1.7016389999999999E-2</v>
      </c>
      <c r="DI1088" s="473">
        <f t="shared" si="1748"/>
        <v>1.7016389999999999E-2</v>
      </c>
      <c r="DJ1088" s="473">
        <f t="shared" si="1748"/>
        <v>1.7016389999999999E-2</v>
      </c>
      <c r="DK1088" s="473">
        <f t="shared" si="1748"/>
        <v>1.7016389999999999E-2</v>
      </c>
      <c r="DL1088" s="473">
        <f t="shared" si="1748"/>
        <v>1.7016389999999999E-2</v>
      </c>
      <c r="DM1088" s="473">
        <f t="shared" si="1748"/>
        <v>1.7016389999999999E-2</v>
      </c>
      <c r="DN1088" s="1543">
        <f t="shared" si="1748"/>
        <v>1.7016389999999999E-2</v>
      </c>
      <c r="DO1088" s="473">
        <f t="shared" si="1748"/>
        <v>1.7016389999999999E-2</v>
      </c>
      <c r="DP1088" s="473">
        <f t="shared" si="1748"/>
        <v>1.7016389999999999E-2</v>
      </c>
      <c r="DQ1088" s="473">
        <f t="shared" si="1748"/>
        <v>1.7016389999999999E-2</v>
      </c>
      <c r="DR1088" s="473">
        <f t="shared" si="1748"/>
        <v>1.7016389999999999E-2</v>
      </c>
      <c r="DS1088" s="473">
        <f t="shared" si="1748"/>
        <v>1.7016389999999999E-2</v>
      </c>
      <c r="DT1088" s="473">
        <f t="shared" si="1748"/>
        <v>1.7016389999999999E-2</v>
      </c>
      <c r="DU1088" s="473"/>
      <c r="DV1088" s="473"/>
      <c r="DW1088" s="473"/>
      <c r="DX1088" s="473"/>
      <c r="DY1088" s="473"/>
      <c r="DZ1088" s="1543"/>
      <c r="HR1088" s="518" t="str">
        <f t="shared" si="1735"/>
        <v>SODEPARAL</v>
      </c>
      <c r="HS1088" s="518"/>
      <c r="HT1088" s="518"/>
      <c r="HU1088" s="518">
        <f t="shared" si="1736"/>
        <v>1.7016389999999999E-2</v>
      </c>
      <c r="HV1088" s="518"/>
      <c r="HW1088" s="518"/>
      <c r="HX1088" s="346">
        <f t="shared" si="1737"/>
        <v>1.7016389999999999E-2</v>
      </c>
      <c r="HY1088" s="518"/>
      <c r="HZ1088" s="518"/>
      <c r="IA1088" s="346"/>
      <c r="IB1088" s="518"/>
      <c r="IC1088" s="518"/>
      <c r="ID1088" s="346"/>
      <c r="IE1088" s="346"/>
      <c r="IF1088" s="346"/>
      <c r="IG1088" s="346"/>
      <c r="IH1088" s="346"/>
      <c r="II1088" s="346"/>
      <c r="IJ1088" s="346"/>
      <c r="KI1088" s="302"/>
    </row>
    <row r="1089" spans="1:295" ht="15.5">
      <c r="A1089" s="302"/>
      <c r="B1089" s="302"/>
      <c r="C1089" s="302"/>
      <c r="D1089" s="472" t="str">
        <f>+D100</f>
        <v>NATIONAL POST OFFICE</v>
      </c>
      <c r="E1089" s="473"/>
      <c r="F1089" s="473"/>
      <c r="G1089" s="473"/>
      <c r="H1089" s="473"/>
      <c r="I1089" s="473"/>
      <c r="J1089" s="473"/>
      <c r="K1089" s="473"/>
      <c r="L1089" s="473"/>
      <c r="M1089" s="473"/>
      <c r="N1089" s="473"/>
      <c r="O1089" s="473"/>
      <c r="P1089" s="473"/>
      <c r="Q1089" s="473"/>
      <c r="R1089" s="473"/>
      <c r="S1089" s="473"/>
      <c r="T1089" s="473"/>
      <c r="U1089" s="473"/>
      <c r="V1089" s="473"/>
      <c r="W1089" s="473"/>
      <c r="X1089" s="473"/>
      <c r="Y1089" s="473"/>
      <c r="Z1089" s="473"/>
      <c r="AA1089" s="473"/>
      <c r="AB1089" s="473"/>
      <c r="AC1089" s="473"/>
      <c r="AD1089" s="473"/>
      <c r="AE1089" s="473"/>
      <c r="AF1089" s="473"/>
      <c r="AG1089" s="473"/>
      <c r="AH1089" s="473"/>
      <c r="AI1089" s="473"/>
      <c r="AJ1089" s="473"/>
      <c r="AK1089" s="473"/>
      <c r="AL1089" s="473"/>
      <c r="AM1089" s="473"/>
      <c r="AN1089" s="473"/>
      <c r="AO1089" s="473"/>
      <c r="AP1089" s="473"/>
      <c r="AQ1089" s="473"/>
      <c r="AR1089" s="473"/>
      <c r="AS1089" s="473"/>
      <c r="AT1089" s="473"/>
      <c r="AU1089" s="473"/>
      <c r="AV1089" s="473"/>
      <c r="AW1089" s="473"/>
      <c r="AX1089" s="473"/>
      <c r="AY1089" s="473"/>
      <c r="AZ1089" s="473"/>
      <c r="BA1089" s="473"/>
      <c r="BB1089" s="473"/>
      <c r="BC1089" s="473"/>
      <c r="BD1089" s="473"/>
      <c r="BE1089" s="473"/>
      <c r="BF1089" s="473"/>
      <c r="BG1089" s="473"/>
      <c r="BH1089" s="473"/>
      <c r="BI1089" s="473"/>
      <c r="BJ1089" s="473"/>
      <c r="BK1089" s="473"/>
      <c r="BL1089" s="473"/>
      <c r="BM1089" s="473"/>
      <c r="BN1089" s="473"/>
      <c r="BO1089" s="473"/>
      <c r="BP1089" s="473"/>
      <c r="BQ1089" s="473"/>
      <c r="BR1089" s="473"/>
      <c r="BS1089" s="473"/>
      <c r="BT1089" s="473"/>
      <c r="BU1089" s="473"/>
      <c r="BV1089" s="473"/>
      <c r="BW1089" s="473"/>
      <c r="BX1089" s="473"/>
      <c r="BY1089" s="473"/>
      <c r="BZ1089" s="473"/>
      <c r="CA1089" s="473"/>
      <c r="CB1089" s="473"/>
      <c r="CC1089" s="473"/>
      <c r="CD1089" s="473"/>
      <c r="CE1089" s="473"/>
      <c r="CF1089" s="473"/>
      <c r="CG1089" s="473"/>
      <c r="CH1089" s="473"/>
      <c r="CI1089" s="473"/>
      <c r="CJ1089" s="473">
        <f>+CJ88</f>
        <v>1.172771989600367</v>
      </c>
      <c r="CK1089" s="473"/>
      <c r="CL1089" s="473"/>
      <c r="CM1089" s="473"/>
      <c r="CN1089" s="473"/>
      <c r="CO1089" s="473"/>
      <c r="CP1089" s="473">
        <f t="shared" ref="CP1089:DT1089" si="1749">+CP88</f>
        <v>2.8387760289999999</v>
      </c>
      <c r="CQ1089" s="473">
        <f t="shared" si="1749"/>
        <v>2.8387760289999999</v>
      </c>
      <c r="CR1089" s="473">
        <f t="shared" si="1749"/>
        <v>2.8387760289999999</v>
      </c>
      <c r="CS1089" s="473">
        <f t="shared" si="1749"/>
        <v>2.8387760289999999</v>
      </c>
      <c r="CT1089" s="473">
        <f t="shared" si="1749"/>
        <v>2.8387760289999999</v>
      </c>
      <c r="CU1089" s="473">
        <f t="shared" si="1749"/>
        <v>2.8387760289999999</v>
      </c>
      <c r="CV1089" s="473">
        <f t="shared" si="1749"/>
        <v>2.8387760289999999</v>
      </c>
      <c r="CW1089" s="473">
        <f t="shared" si="1749"/>
        <v>2.8387760289999999</v>
      </c>
      <c r="CX1089" s="473">
        <f t="shared" si="1749"/>
        <v>2.8387760289999999</v>
      </c>
      <c r="CY1089" s="473">
        <f t="shared" si="1749"/>
        <v>2.8387760289999999</v>
      </c>
      <c r="CZ1089" s="473">
        <f t="shared" si="1749"/>
        <v>2.8387760289999999</v>
      </c>
      <c r="DA1089" s="473">
        <f t="shared" si="1749"/>
        <v>2.8387760289999999</v>
      </c>
      <c r="DB1089" s="1524">
        <f t="shared" si="1749"/>
        <v>2.8387760289999999</v>
      </c>
      <c r="DC1089" s="473">
        <f t="shared" si="1749"/>
        <v>2.8387760289999999</v>
      </c>
      <c r="DD1089" s="473">
        <f t="shared" si="1749"/>
        <v>2.8387760289999999</v>
      </c>
      <c r="DE1089" s="473">
        <f t="shared" si="1749"/>
        <v>2.8387760289999999</v>
      </c>
      <c r="DF1089" s="473">
        <f t="shared" si="1749"/>
        <v>2.8387760289999999</v>
      </c>
      <c r="DG1089" s="473">
        <f t="shared" si="1749"/>
        <v>2.8387760289999999</v>
      </c>
      <c r="DH1089" s="473">
        <f t="shared" si="1749"/>
        <v>2.8387760289999999</v>
      </c>
      <c r="DI1089" s="473">
        <f t="shared" si="1749"/>
        <v>1.2545528186714601</v>
      </c>
      <c r="DJ1089" s="473">
        <f t="shared" si="1749"/>
        <v>1.2545528186714601</v>
      </c>
      <c r="DK1089" s="473">
        <f t="shared" si="1749"/>
        <v>1.2545528186714601</v>
      </c>
      <c r="DL1089" s="473">
        <f t="shared" si="1749"/>
        <v>1.2545528186714601</v>
      </c>
      <c r="DM1089" s="473">
        <f t="shared" si="1749"/>
        <v>1.2545528186714601</v>
      </c>
      <c r="DN1089" s="1543">
        <f t="shared" si="1749"/>
        <v>1.2816806026798162</v>
      </c>
      <c r="DO1089" s="473">
        <f t="shared" si="1749"/>
        <v>1.2816806026798162</v>
      </c>
      <c r="DP1089" s="473">
        <f t="shared" si="1749"/>
        <v>1.2816806026798162</v>
      </c>
      <c r="DQ1089" s="473">
        <f t="shared" si="1749"/>
        <v>1.2816806026798162</v>
      </c>
      <c r="DR1089" s="473">
        <f t="shared" si="1749"/>
        <v>1.2816806026798162</v>
      </c>
      <c r="DS1089" s="473">
        <f t="shared" si="1749"/>
        <v>1.2816806026798162</v>
      </c>
      <c r="DT1089" s="473">
        <f t="shared" si="1749"/>
        <v>1.2816806026798162</v>
      </c>
      <c r="DU1089" s="473"/>
      <c r="DV1089" s="473"/>
      <c r="DW1089" s="473"/>
      <c r="DX1089" s="473"/>
      <c r="DY1089" s="473"/>
      <c r="DZ1089" s="1543"/>
      <c r="HR1089" s="518" t="str">
        <f t="shared" si="1735"/>
        <v>NATIONAL POST OFFICE</v>
      </c>
      <c r="HS1089" s="518"/>
      <c r="HT1089" s="518"/>
      <c r="HU1089" s="518">
        <f t="shared" si="1736"/>
        <v>2.8387760289999999</v>
      </c>
      <c r="HV1089" s="518"/>
      <c r="HW1089" s="518"/>
      <c r="HX1089" s="346">
        <f t="shared" si="1737"/>
        <v>1.2816806026798162</v>
      </c>
      <c r="HY1089" s="518"/>
      <c r="HZ1089" s="518"/>
      <c r="IA1089" s="346"/>
      <c r="IB1089" s="518"/>
      <c r="IC1089" s="518"/>
      <c r="ID1089" s="346"/>
      <c r="IE1089" s="346"/>
      <c r="IF1089" s="346"/>
      <c r="IG1089" s="346"/>
      <c r="IH1089" s="346"/>
      <c r="II1089" s="346"/>
      <c r="IJ1089" s="346"/>
      <c r="KI1089" s="302"/>
    </row>
    <row r="1090" spans="1:295" ht="15.5">
      <c r="A1090" s="302"/>
      <c r="B1090" s="302"/>
      <c r="C1090" s="302"/>
      <c r="D1090" s="472"/>
      <c r="E1090" s="473"/>
      <c r="F1090" s="473"/>
      <c r="G1090" s="473"/>
      <c r="H1090" s="473"/>
      <c r="I1090" s="473"/>
      <c r="J1090" s="473"/>
      <c r="K1090" s="473"/>
      <c r="L1090" s="473"/>
      <c r="M1090" s="473"/>
      <c r="N1090" s="473"/>
      <c r="O1090" s="473"/>
      <c r="P1090" s="473"/>
      <c r="Q1090" s="473"/>
      <c r="R1090" s="473"/>
      <c r="S1090" s="473"/>
      <c r="T1090" s="473"/>
      <c r="U1090" s="473"/>
      <c r="V1090" s="473"/>
      <c r="W1090" s="473"/>
      <c r="X1090" s="473"/>
      <c r="Y1090" s="473"/>
      <c r="Z1090" s="473"/>
      <c r="AA1090" s="473"/>
      <c r="AB1090" s="473"/>
      <c r="AC1090" s="473"/>
      <c r="AD1090" s="473"/>
      <c r="AE1090" s="473"/>
      <c r="AF1090" s="473"/>
      <c r="AG1090" s="473"/>
      <c r="AH1090" s="473"/>
      <c r="AI1090" s="473"/>
      <c r="AJ1090" s="473"/>
      <c r="AK1090" s="473"/>
      <c r="AL1090" s="473"/>
      <c r="AM1090" s="473"/>
      <c r="AN1090" s="473"/>
      <c r="AO1090" s="473"/>
      <c r="AP1090" s="473"/>
      <c r="AQ1090" s="473"/>
      <c r="AR1090" s="473"/>
      <c r="AS1090" s="473"/>
      <c r="AT1090" s="473"/>
      <c r="AU1090" s="473"/>
      <c r="AV1090" s="473"/>
      <c r="AW1090" s="473"/>
      <c r="AX1090" s="473"/>
      <c r="AY1090" s="473"/>
      <c r="AZ1090" s="473"/>
      <c r="BA1090" s="473"/>
      <c r="BB1090" s="473"/>
      <c r="BC1090" s="473"/>
      <c r="BD1090" s="473"/>
      <c r="BE1090" s="473"/>
      <c r="BF1090" s="473"/>
      <c r="BG1090" s="473"/>
      <c r="BH1090" s="473"/>
      <c r="BI1090" s="473"/>
      <c r="BJ1090" s="473"/>
      <c r="BK1090" s="473"/>
      <c r="BL1090" s="473"/>
      <c r="BM1090" s="473"/>
      <c r="BN1090" s="473"/>
      <c r="BO1090" s="473"/>
      <c r="BP1090" s="473"/>
      <c r="BQ1090" s="473"/>
      <c r="BR1090" s="473"/>
      <c r="BS1090" s="473"/>
      <c r="BT1090" s="473"/>
      <c r="BU1090" s="473"/>
      <c r="BV1090" s="473"/>
      <c r="BW1090" s="473"/>
      <c r="BX1090" s="473"/>
      <c r="BY1090" s="473"/>
      <c r="BZ1090" s="473"/>
      <c r="CA1090" s="473"/>
      <c r="CB1090" s="473"/>
      <c r="CC1090" s="473"/>
      <c r="CD1090" s="473"/>
      <c r="CE1090" s="473"/>
      <c r="CF1090" s="473"/>
      <c r="CG1090" s="473"/>
      <c r="CH1090" s="473"/>
      <c r="CI1090" s="473"/>
      <c r="CJ1090" s="473"/>
      <c r="CK1090" s="473"/>
      <c r="CL1090" s="473"/>
      <c r="CM1090" s="473"/>
      <c r="CN1090" s="473"/>
      <c r="CO1090" s="473"/>
      <c r="CP1090" s="473"/>
      <c r="CQ1090" s="473"/>
      <c r="CR1090" s="473"/>
      <c r="CS1090" s="473"/>
      <c r="CT1090" s="473"/>
      <c r="CU1090" s="473"/>
      <c r="CV1090" s="473"/>
      <c r="CW1090" s="473"/>
      <c r="CX1090" s="473"/>
      <c r="CY1090" s="473"/>
      <c r="CZ1090" s="473"/>
      <c r="DA1090" s="473"/>
      <c r="DB1090" s="1524"/>
      <c r="DC1090" s="473"/>
      <c r="DD1090" s="473"/>
      <c r="DE1090" s="473"/>
      <c r="DF1090" s="473"/>
      <c r="DG1090" s="473"/>
      <c r="DH1090" s="473"/>
      <c r="DI1090" s="473"/>
      <c r="DJ1090" s="473"/>
      <c r="DK1090" s="473"/>
      <c r="DL1090" s="473"/>
      <c r="DM1090" s="473"/>
      <c r="DN1090" s="1543"/>
      <c r="DO1090" s="473"/>
      <c r="DP1090" s="473"/>
      <c r="DQ1090" s="473"/>
      <c r="DR1090" s="473"/>
      <c r="DS1090" s="473"/>
      <c r="DT1090" s="473"/>
      <c r="DU1090" s="473"/>
      <c r="DV1090" s="473"/>
      <c r="DW1090" s="473"/>
      <c r="DX1090" s="473"/>
      <c r="DY1090" s="473"/>
      <c r="DZ1090" s="1543"/>
      <c r="HR1090" s="517"/>
      <c r="HS1090" s="518"/>
      <c r="HT1090" s="518"/>
      <c r="HU1090" s="518"/>
      <c r="HV1090" s="518"/>
      <c r="HW1090" s="518"/>
      <c r="HX1090" s="346">
        <f t="shared" si="1737"/>
        <v>0</v>
      </c>
      <c r="HY1090" s="518"/>
      <c r="HZ1090" s="518"/>
      <c r="IA1090" s="346"/>
      <c r="IB1090" s="518"/>
      <c r="IC1090" s="518"/>
      <c r="ID1090" s="346"/>
      <c r="IE1090" s="346"/>
      <c r="IF1090" s="346"/>
      <c r="IG1090" s="346"/>
      <c r="IH1090" s="346"/>
      <c r="II1090" s="346"/>
      <c r="IJ1090" s="346"/>
      <c r="KI1090" s="302"/>
    </row>
    <row r="1091" spans="1:295" ht="15.5">
      <c r="A1091" s="302"/>
      <c r="B1091" s="302"/>
      <c r="C1091" s="302"/>
      <c r="D1091" s="497" t="s">
        <v>685</v>
      </c>
      <c r="E1091" s="473"/>
      <c r="F1091" s="473"/>
      <c r="G1091" s="473"/>
      <c r="H1091" s="473"/>
      <c r="I1091" s="473"/>
      <c r="J1091" s="473"/>
      <c r="K1091" s="473"/>
      <c r="L1091" s="473"/>
      <c r="M1091" s="473"/>
      <c r="N1091" s="473"/>
      <c r="O1091" s="473"/>
      <c r="P1091" s="473"/>
      <c r="Q1091" s="473"/>
      <c r="R1091" s="473"/>
      <c r="S1091" s="473"/>
      <c r="T1091" s="473"/>
      <c r="U1091" s="473"/>
      <c r="V1091" s="473"/>
      <c r="W1091" s="473"/>
      <c r="X1091" s="473"/>
      <c r="Y1091" s="473"/>
      <c r="Z1091" s="473"/>
      <c r="AA1091" s="473"/>
      <c r="AB1091" s="473"/>
      <c r="AC1091" s="473"/>
      <c r="AD1091" s="473"/>
      <c r="AE1091" s="473"/>
      <c r="AF1091" s="473"/>
      <c r="AG1091" s="473"/>
      <c r="AH1091" s="473"/>
      <c r="AI1091" s="473"/>
      <c r="AJ1091" s="473"/>
      <c r="AK1091" s="473"/>
      <c r="AL1091" s="473"/>
      <c r="AM1091" s="473"/>
      <c r="AN1091" s="473"/>
      <c r="AO1091" s="473"/>
      <c r="AP1091" s="473"/>
      <c r="AQ1091" s="473"/>
      <c r="AR1091" s="473"/>
      <c r="AS1091" s="473"/>
      <c r="AT1091" s="473"/>
      <c r="AU1091" s="473"/>
      <c r="AV1091" s="473"/>
      <c r="AW1091" s="473"/>
      <c r="AX1091" s="473"/>
      <c r="AY1091" s="473"/>
      <c r="AZ1091" s="473"/>
      <c r="BA1091" s="473"/>
      <c r="BB1091" s="473"/>
      <c r="BC1091" s="473"/>
      <c r="BD1091" s="473"/>
      <c r="BE1091" s="473"/>
      <c r="BF1091" s="473"/>
      <c r="BG1091" s="473"/>
      <c r="BH1091" s="473"/>
      <c r="BI1091" s="473"/>
      <c r="BJ1091" s="473"/>
      <c r="BK1091" s="473"/>
      <c r="BL1091" s="473"/>
      <c r="BM1091" s="473"/>
      <c r="BN1091" s="473"/>
      <c r="BO1091" s="473"/>
      <c r="BP1091" s="473"/>
      <c r="BQ1091" s="473"/>
      <c r="BR1091" s="473"/>
      <c r="BS1091" s="473"/>
      <c r="BT1091" s="473"/>
      <c r="BU1091" s="473"/>
      <c r="BV1091" s="473"/>
      <c r="BW1091" s="473"/>
      <c r="BX1091" s="473"/>
      <c r="BY1091" s="473"/>
      <c r="BZ1091" s="473"/>
      <c r="CA1091" s="473"/>
      <c r="CB1091" s="473"/>
      <c r="CC1091" s="473"/>
      <c r="CD1091" s="473"/>
      <c r="CE1091" s="473"/>
      <c r="CF1091" s="473"/>
      <c r="CG1091" s="473"/>
      <c r="CH1091" s="473"/>
      <c r="CI1091" s="473"/>
      <c r="CJ1091" s="500">
        <f>+CJ1092+CJ1093</f>
        <v>68.013805340000005</v>
      </c>
      <c r="CK1091" s="473"/>
      <c r="CL1091" s="473"/>
      <c r="CM1091" s="473"/>
      <c r="CN1091" s="473"/>
      <c r="CO1091" s="473"/>
      <c r="CP1091" s="500">
        <f t="shared" ref="CP1091:DB1091" si="1750">+CP1092+CP1093</f>
        <v>53.398000257000007</v>
      </c>
      <c r="CQ1091" s="500">
        <f t="shared" si="1750"/>
        <v>52.430335140797453</v>
      </c>
      <c r="CR1091" s="500">
        <f t="shared" si="1750"/>
        <v>52.430335140797453</v>
      </c>
      <c r="CS1091" s="500">
        <f t="shared" si="1750"/>
        <v>52.430335140797453</v>
      </c>
      <c r="CT1091" s="500">
        <f t="shared" si="1750"/>
        <v>51.450574210642365</v>
      </c>
      <c r="CU1091" s="500">
        <f t="shared" si="1750"/>
        <v>51.450574210642365</v>
      </c>
      <c r="CV1091" s="500">
        <f t="shared" si="1750"/>
        <v>51.450574210642365</v>
      </c>
      <c r="CW1091" s="500">
        <f t="shared" si="1750"/>
        <v>50.458566268860338</v>
      </c>
      <c r="CX1091" s="500">
        <f t="shared" si="1750"/>
        <v>50.458566268860338</v>
      </c>
      <c r="CY1091" s="500">
        <f t="shared" si="1750"/>
        <v>50.458566268860338</v>
      </c>
      <c r="CZ1091" s="500">
        <f t="shared" si="1750"/>
        <v>49.45415822780604</v>
      </c>
      <c r="DA1091" s="500">
        <f t="shared" si="1750"/>
        <v>49.45415822780604</v>
      </c>
      <c r="DB1091" s="1528">
        <f t="shared" si="1750"/>
        <v>49.45415822780604</v>
      </c>
      <c r="DC1091" s="500">
        <f t="shared" ref="DC1091:DH1091" si="1751">+DC1092+DC1093</f>
        <v>48.43719508623856</v>
      </c>
      <c r="DD1091" s="500">
        <f t="shared" si="1751"/>
        <v>48.43719508623856</v>
      </c>
      <c r="DE1091" s="500">
        <f t="shared" si="1751"/>
        <v>48.43719508623856</v>
      </c>
      <c r="DF1091" s="500">
        <f t="shared" si="1751"/>
        <v>47.407519905401493</v>
      </c>
      <c r="DG1091" s="500">
        <f t="shared" si="1751"/>
        <v>40.407519905401493</v>
      </c>
      <c r="DH1091" s="500">
        <f t="shared" si="1751"/>
        <v>40.407519905401493</v>
      </c>
      <c r="DI1091" s="500">
        <f t="shared" ref="DI1091:DN1091" si="1752">+DI1092+DI1093</f>
        <v>39.364973785401489</v>
      </c>
      <c r="DJ1091" s="500">
        <f t="shared" si="1752"/>
        <v>39.364973785401489</v>
      </c>
      <c r="DK1091" s="500">
        <f t="shared" si="1752"/>
        <v>39.364973785401489</v>
      </c>
      <c r="DL1091" s="500">
        <f t="shared" si="1752"/>
        <v>38.309395838296489</v>
      </c>
      <c r="DM1091" s="500">
        <f t="shared" si="1752"/>
        <v>38.309395838296489</v>
      </c>
      <c r="DN1091" s="1546">
        <f t="shared" si="1752"/>
        <v>38.309395838296489</v>
      </c>
      <c r="DO1091" s="500">
        <f t="shared" ref="DO1091:DT1091" si="1753">+DO1092+DO1093</f>
        <v>37.240623166852671</v>
      </c>
      <c r="DP1091" s="500">
        <f t="shared" si="1753"/>
        <v>36.385171133852666</v>
      </c>
      <c r="DQ1091" s="500">
        <f t="shared" si="1753"/>
        <v>35.521544780852665</v>
      </c>
      <c r="DR1091" s="500">
        <f t="shared" si="1753"/>
        <v>33.567533669015802</v>
      </c>
      <c r="DS1091" s="500">
        <f t="shared" si="1753"/>
        <v>33.567533669015802</v>
      </c>
      <c r="DT1091" s="500">
        <f t="shared" si="1753"/>
        <v>33.479512601015806</v>
      </c>
      <c r="DU1091" s="500"/>
      <c r="DV1091" s="500"/>
      <c r="DW1091" s="500"/>
      <c r="DX1091" s="500"/>
      <c r="DY1091" s="500"/>
      <c r="DZ1091" s="1546"/>
      <c r="HR1091" s="517" t="str">
        <f>+D1091</f>
        <v>debt to RSSB</v>
      </c>
      <c r="HS1091" s="518"/>
      <c r="HT1091" s="518"/>
      <c r="HU1091" s="517">
        <f>+DB1091</f>
        <v>49.45415822780604</v>
      </c>
      <c r="HV1091" s="517"/>
      <c r="HW1091" s="518"/>
      <c r="HX1091" s="346"/>
      <c r="HY1091" s="518"/>
      <c r="HZ1091" s="518"/>
      <c r="IA1091" s="346"/>
      <c r="IB1091" s="518"/>
      <c r="IC1091" s="518"/>
      <c r="ID1091" s="346"/>
      <c r="IE1091" s="346"/>
      <c r="IF1091" s="346"/>
      <c r="IG1091" s="346"/>
      <c r="IH1091" s="346"/>
      <c r="II1091" s="346"/>
      <c r="IJ1091" s="346"/>
      <c r="KI1091" s="302"/>
    </row>
    <row r="1092" spans="1:295" ht="15.5">
      <c r="A1092" s="302"/>
      <c r="B1092" s="302"/>
      <c r="C1092" s="302"/>
      <c r="D1092" s="472" t="str">
        <f>+D81</f>
        <v>Old consolidated debt</v>
      </c>
      <c r="E1092" s="473"/>
      <c r="F1092" s="473"/>
      <c r="G1092" s="473"/>
      <c r="H1092" s="473"/>
      <c r="I1092" s="473"/>
      <c r="J1092" s="473"/>
      <c r="K1092" s="473"/>
      <c r="L1092" s="473"/>
      <c r="M1092" s="473"/>
      <c r="N1092" s="473"/>
      <c r="O1092" s="473"/>
      <c r="P1092" s="473"/>
      <c r="Q1092" s="473"/>
      <c r="R1092" s="473"/>
      <c r="S1092" s="473"/>
      <c r="T1092" s="473"/>
      <c r="U1092" s="473"/>
      <c r="V1092" s="473"/>
      <c r="W1092" s="473"/>
      <c r="X1092" s="473"/>
      <c r="Y1092" s="473"/>
      <c r="Z1092" s="473"/>
      <c r="AA1092" s="473"/>
      <c r="AB1092" s="473"/>
      <c r="AC1092" s="473"/>
      <c r="AD1092" s="473"/>
      <c r="AE1092" s="473"/>
      <c r="AF1092" s="473"/>
      <c r="AG1092" s="473"/>
      <c r="AH1092" s="473"/>
      <c r="AI1092" s="473"/>
      <c r="AJ1092" s="473"/>
      <c r="AK1092" s="473"/>
      <c r="AL1092" s="473"/>
      <c r="AM1092" s="473"/>
      <c r="AN1092" s="473"/>
      <c r="AO1092" s="473"/>
      <c r="AP1092" s="473"/>
      <c r="AQ1092" s="473"/>
      <c r="AR1092" s="473"/>
      <c r="AS1092" s="473"/>
      <c r="AT1092" s="473"/>
      <c r="AU1092" s="473"/>
      <c r="AV1092" s="473"/>
      <c r="AW1092" s="473"/>
      <c r="AX1092" s="473"/>
      <c r="AY1092" s="473"/>
      <c r="AZ1092" s="473"/>
      <c r="BA1092" s="473"/>
      <c r="BB1092" s="473"/>
      <c r="BC1092" s="473"/>
      <c r="BD1092" s="473"/>
      <c r="BE1092" s="473"/>
      <c r="BF1092" s="473"/>
      <c r="BG1092" s="473"/>
      <c r="BH1092" s="473"/>
      <c r="BI1092" s="473"/>
      <c r="BJ1092" s="473"/>
      <c r="BK1092" s="473"/>
      <c r="BL1092" s="473"/>
      <c r="BM1092" s="473"/>
      <c r="BN1092" s="473"/>
      <c r="BO1092" s="473"/>
      <c r="BP1092" s="473"/>
      <c r="BQ1092" s="473"/>
      <c r="BR1092" s="473"/>
      <c r="BS1092" s="473"/>
      <c r="BT1092" s="473"/>
      <c r="BU1092" s="473"/>
      <c r="BV1092" s="473"/>
      <c r="BW1092" s="473"/>
      <c r="BX1092" s="473"/>
      <c r="BY1092" s="473"/>
      <c r="BZ1092" s="473"/>
      <c r="CA1092" s="473"/>
      <c r="CB1092" s="473"/>
      <c r="CC1092" s="473"/>
      <c r="CD1092" s="473"/>
      <c r="CE1092" s="473"/>
      <c r="CF1092" s="473"/>
      <c r="CG1092" s="473"/>
      <c r="CH1092" s="473"/>
      <c r="CI1092" s="473"/>
      <c r="CJ1092" s="473">
        <f>+CJ81</f>
        <v>41.716166811999997</v>
      </c>
      <c r="CK1092" s="473"/>
      <c r="CL1092" s="473"/>
      <c r="CM1092" s="473"/>
      <c r="CN1092" s="473"/>
      <c r="CO1092" s="473"/>
      <c r="CP1092" s="473">
        <f t="shared" ref="CP1092:DT1092" si="1754">+CP81</f>
        <v>34</v>
      </c>
      <c r="CQ1092" s="473">
        <f t="shared" si="1754"/>
        <v>34</v>
      </c>
      <c r="CR1092" s="473">
        <f t="shared" si="1754"/>
        <v>34</v>
      </c>
      <c r="CS1092" s="473">
        <f t="shared" si="1754"/>
        <v>34</v>
      </c>
      <c r="CT1092" s="473">
        <f t="shared" si="1754"/>
        <v>34</v>
      </c>
      <c r="CU1092" s="473">
        <f t="shared" si="1754"/>
        <v>34</v>
      </c>
      <c r="CV1092" s="473">
        <f t="shared" si="1754"/>
        <v>34</v>
      </c>
      <c r="CW1092" s="473">
        <f t="shared" si="1754"/>
        <v>34</v>
      </c>
      <c r="CX1092" s="473">
        <f t="shared" si="1754"/>
        <v>34</v>
      </c>
      <c r="CY1092" s="473">
        <f t="shared" si="1754"/>
        <v>34</v>
      </c>
      <c r="CZ1092" s="473">
        <f t="shared" si="1754"/>
        <v>34</v>
      </c>
      <c r="DA1092" s="473">
        <f t="shared" si="1754"/>
        <v>34</v>
      </c>
      <c r="DB1092" s="1524">
        <f t="shared" si="1754"/>
        <v>34</v>
      </c>
      <c r="DC1092" s="473">
        <f t="shared" si="1754"/>
        <v>34</v>
      </c>
      <c r="DD1092" s="473">
        <f t="shared" si="1754"/>
        <v>34</v>
      </c>
      <c r="DE1092" s="473">
        <f t="shared" si="1754"/>
        <v>34</v>
      </c>
      <c r="DF1092" s="473">
        <f t="shared" si="1754"/>
        <v>34</v>
      </c>
      <c r="DG1092" s="473">
        <f t="shared" si="1754"/>
        <v>27</v>
      </c>
      <c r="DH1092" s="473">
        <f t="shared" si="1754"/>
        <v>27</v>
      </c>
      <c r="DI1092" s="473">
        <f t="shared" si="1754"/>
        <v>27</v>
      </c>
      <c r="DJ1092" s="473">
        <f t="shared" si="1754"/>
        <v>27</v>
      </c>
      <c r="DK1092" s="473">
        <f t="shared" si="1754"/>
        <v>27</v>
      </c>
      <c r="DL1092" s="473">
        <f t="shared" si="1754"/>
        <v>25.944422052894996</v>
      </c>
      <c r="DM1092" s="473">
        <f t="shared" si="1754"/>
        <v>25.944422052894996</v>
      </c>
      <c r="DN1092" s="1543">
        <f t="shared" si="1754"/>
        <v>25.944422052894996</v>
      </c>
      <c r="DO1092" s="473">
        <f t="shared" si="1754"/>
        <v>25.944422052894996</v>
      </c>
      <c r="DP1092" s="473">
        <f t="shared" si="1754"/>
        <v>25.088970019894997</v>
      </c>
      <c r="DQ1092" s="473">
        <f t="shared" si="1754"/>
        <v>24.225343666894997</v>
      </c>
      <c r="DR1092" s="473">
        <f t="shared" si="1754"/>
        <v>23.353464884894997</v>
      </c>
      <c r="DS1092" s="473">
        <f t="shared" si="1754"/>
        <v>23.353464884894997</v>
      </c>
      <c r="DT1092" s="473">
        <f t="shared" si="1754"/>
        <v>23.265443816894997</v>
      </c>
      <c r="DU1092" s="473"/>
      <c r="DV1092" s="473"/>
      <c r="DW1092" s="473"/>
      <c r="DX1092" s="473"/>
      <c r="DY1092" s="473"/>
      <c r="DZ1092" s="1543"/>
      <c r="HR1092" s="518" t="str">
        <f>+D1092</f>
        <v>Old consolidated debt</v>
      </c>
      <c r="HS1092" s="518"/>
      <c r="HT1092" s="518"/>
      <c r="HU1092" s="518">
        <f>+DB1092</f>
        <v>34</v>
      </c>
      <c r="HV1092" s="518"/>
      <c r="HW1092" s="518"/>
      <c r="HX1092" s="346">
        <f>+DN1092</f>
        <v>25.944422052894996</v>
      </c>
      <c r="HY1092" s="518"/>
      <c r="HZ1092" s="518"/>
      <c r="IA1092" s="346"/>
      <c r="IB1092" s="518"/>
      <c r="IC1092" s="518"/>
      <c r="ID1092" s="346"/>
      <c r="IE1092" s="346"/>
      <c r="IF1092" s="346"/>
      <c r="IG1092" s="346"/>
      <c r="IH1092" s="346"/>
      <c r="II1092" s="346"/>
      <c r="IJ1092" s="346"/>
      <c r="KI1092" s="302"/>
    </row>
    <row r="1093" spans="1:295" ht="15.5">
      <c r="A1093" s="302"/>
      <c r="B1093" s="302"/>
      <c r="C1093" s="302"/>
      <c r="D1093" s="472" t="str">
        <f>+D82</f>
        <v>New loan</v>
      </c>
      <c r="E1093" s="473"/>
      <c r="F1093" s="473"/>
      <c r="G1093" s="473"/>
      <c r="H1093" s="473"/>
      <c r="I1093" s="473"/>
      <c r="J1093" s="473"/>
      <c r="K1093" s="473"/>
      <c r="L1093" s="473"/>
      <c r="M1093" s="473"/>
      <c r="N1093" s="473"/>
      <c r="O1093" s="473"/>
      <c r="P1093" s="473"/>
      <c r="Q1093" s="473"/>
      <c r="R1093" s="473"/>
      <c r="S1093" s="473"/>
      <c r="T1093" s="473"/>
      <c r="U1093" s="473"/>
      <c r="V1093" s="473"/>
      <c r="W1093" s="473"/>
      <c r="X1093" s="473"/>
      <c r="Y1093" s="473"/>
      <c r="Z1093" s="473"/>
      <c r="AA1093" s="473"/>
      <c r="AB1093" s="473"/>
      <c r="AC1093" s="473"/>
      <c r="AD1093" s="473"/>
      <c r="AE1093" s="473"/>
      <c r="AF1093" s="473"/>
      <c r="AG1093" s="473"/>
      <c r="AH1093" s="473"/>
      <c r="AI1093" s="473"/>
      <c r="AJ1093" s="473"/>
      <c r="AK1093" s="473"/>
      <c r="AL1093" s="473"/>
      <c r="AM1093" s="473"/>
      <c r="AN1093" s="473"/>
      <c r="AO1093" s="473"/>
      <c r="AP1093" s="473"/>
      <c r="AQ1093" s="473"/>
      <c r="AR1093" s="473"/>
      <c r="AS1093" s="473"/>
      <c r="AT1093" s="473"/>
      <c r="AU1093" s="473"/>
      <c r="AV1093" s="473"/>
      <c r="AW1093" s="473"/>
      <c r="AX1093" s="473"/>
      <c r="AY1093" s="473"/>
      <c r="AZ1093" s="473"/>
      <c r="BA1093" s="473"/>
      <c r="BB1093" s="473"/>
      <c r="BC1093" s="473"/>
      <c r="BD1093" s="473"/>
      <c r="BE1093" s="473"/>
      <c r="BF1093" s="473"/>
      <c r="BG1093" s="473"/>
      <c r="BH1093" s="473"/>
      <c r="BI1093" s="473"/>
      <c r="BJ1093" s="473"/>
      <c r="BK1093" s="473"/>
      <c r="BL1093" s="473"/>
      <c r="BM1093" s="473"/>
      <c r="BN1093" s="473"/>
      <c r="BO1093" s="473"/>
      <c r="BP1093" s="473"/>
      <c r="BQ1093" s="473"/>
      <c r="BR1093" s="473"/>
      <c r="BS1093" s="473"/>
      <c r="BT1093" s="473"/>
      <c r="BU1093" s="473"/>
      <c r="BV1093" s="473"/>
      <c r="BW1093" s="473"/>
      <c r="BX1093" s="473"/>
      <c r="BY1093" s="473"/>
      <c r="BZ1093" s="473"/>
      <c r="CA1093" s="473"/>
      <c r="CB1093" s="473"/>
      <c r="CC1093" s="473"/>
      <c r="CD1093" s="473"/>
      <c r="CE1093" s="473"/>
      <c r="CF1093" s="473"/>
      <c r="CG1093" s="473"/>
      <c r="CH1093" s="473"/>
      <c r="CI1093" s="473"/>
      <c r="CJ1093" s="473">
        <f>+CJ82</f>
        <v>26.297638528000007</v>
      </c>
      <c r="CK1093" s="473"/>
      <c r="CL1093" s="473"/>
      <c r="CM1093" s="473"/>
      <c r="CN1093" s="473"/>
      <c r="CO1093" s="473"/>
      <c r="CP1093" s="473">
        <f t="shared" ref="CP1093:DT1093" si="1755">+CP82</f>
        <v>19.398000257000007</v>
      </c>
      <c r="CQ1093" s="473">
        <f t="shared" si="1755"/>
        <v>18.430335140797453</v>
      </c>
      <c r="CR1093" s="473">
        <f t="shared" si="1755"/>
        <v>18.430335140797453</v>
      </c>
      <c r="CS1093" s="473">
        <f t="shared" si="1755"/>
        <v>18.430335140797453</v>
      </c>
      <c r="CT1093" s="473">
        <f t="shared" si="1755"/>
        <v>17.450574210642365</v>
      </c>
      <c r="CU1093" s="473">
        <f t="shared" si="1755"/>
        <v>17.450574210642365</v>
      </c>
      <c r="CV1093" s="473">
        <f t="shared" si="1755"/>
        <v>17.450574210642365</v>
      </c>
      <c r="CW1093" s="473">
        <f t="shared" si="1755"/>
        <v>16.458566268860341</v>
      </c>
      <c r="CX1093" s="473">
        <f t="shared" si="1755"/>
        <v>16.458566268860341</v>
      </c>
      <c r="CY1093" s="473">
        <f t="shared" si="1755"/>
        <v>16.458566268860341</v>
      </c>
      <c r="CZ1093" s="473">
        <f t="shared" si="1755"/>
        <v>15.45415822780604</v>
      </c>
      <c r="DA1093" s="473">
        <f t="shared" si="1755"/>
        <v>15.45415822780604</v>
      </c>
      <c r="DB1093" s="1524">
        <f t="shared" si="1755"/>
        <v>15.45415822780604</v>
      </c>
      <c r="DC1093" s="473">
        <f t="shared" si="1755"/>
        <v>14.437195086238562</v>
      </c>
      <c r="DD1093" s="473">
        <f t="shared" si="1755"/>
        <v>14.437195086238562</v>
      </c>
      <c r="DE1093" s="473">
        <f t="shared" si="1755"/>
        <v>14.437195086238562</v>
      </c>
      <c r="DF1093" s="473">
        <f t="shared" si="1755"/>
        <v>13.407519905401491</v>
      </c>
      <c r="DG1093" s="473">
        <f t="shared" si="1755"/>
        <v>13.407519905401491</v>
      </c>
      <c r="DH1093" s="473">
        <f t="shared" si="1755"/>
        <v>13.407519905401491</v>
      </c>
      <c r="DI1093" s="473">
        <f t="shared" si="1755"/>
        <v>12.364973785401492</v>
      </c>
      <c r="DJ1093" s="473">
        <f t="shared" si="1755"/>
        <v>12.364973785401492</v>
      </c>
      <c r="DK1093" s="473">
        <f t="shared" si="1755"/>
        <v>12.364973785401492</v>
      </c>
      <c r="DL1093" s="473">
        <f t="shared" si="1755"/>
        <v>12.364973785401492</v>
      </c>
      <c r="DM1093" s="473">
        <f t="shared" si="1755"/>
        <v>12.364973785401492</v>
      </c>
      <c r="DN1093" s="1543">
        <f t="shared" si="1755"/>
        <v>12.364973785401492</v>
      </c>
      <c r="DO1093" s="473">
        <f t="shared" si="1755"/>
        <v>11.296201113957672</v>
      </c>
      <c r="DP1093" s="473">
        <f t="shared" si="1755"/>
        <v>11.296201113957672</v>
      </c>
      <c r="DQ1093" s="473">
        <f t="shared" si="1755"/>
        <v>11.296201113957672</v>
      </c>
      <c r="DR1093" s="473">
        <f t="shared" si="1755"/>
        <v>10.214068784120807</v>
      </c>
      <c r="DS1093" s="473">
        <f t="shared" si="1755"/>
        <v>10.214068784120807</v>
      </c>
      <c r="DT1093" s="473">
        <f t="shared" si="1755"/>
        <v>10.214068784120807</v>
      </c>
      <c r="DU1093" s="473"/>
      <c r="DV1093" s="473"/>
      <c r="DW1093" s="473"/>
      <c r="DX1093" s="473"/>
      <c r="DY1093" s="473"/>
      <c r="DZ1093" s="1543"/>
      <c r="HR1093" s="518" t="str">
        <f>+D1093</f>
        <v>New loan</v>
      </c>
      <c r="HS1093" s="518"/>
      <c r="HT1093" s="518"/>
      <c r="HU1093" s="518">
        <f>+DB1093</f>
        <v>15.45415822780604</v>
      </c>
      <c r="HV1093" s="518"/>
      <c r="HW1093" s="518"/>
      <c r="HX1093" s="346">
        <f>+DN1093</f>
        <v>12.364973785401492</v>
      </c>
      <c r="HY1093" s="518"/>
      <c r="HZ1093" s="518"/>
      <c r="IA1093" s="346"/>
      <c r="IB1093" s="518"/>
      <c r="IC1093" s="518"/>
      <c r="ID1093" s="346"/>
      <c r="IE1093" s="346"/>
      <c r="IF1093" s="346"/>
      <c r="IG1093" s="346"/>
      <c r="IH1093" s="346"/>
      <c r="II1093" s="346"/>
      <c r="IJ1093" s="346"/>
      <c r="KI1093" s="302"/>
    </row>
    <row r="1094" spans="1:295" ht="15.5">
      <c r="A1094" s="302"/>
      <c r="B1094" s="302"/>
      <c r="C1094" s="302"/>
      <c r="D1094" s="472"/>
      <c r="E1094" s="473"/>
      <c r="F1094" s="473"/>
      <c r="G1094" s="473"/>
      <c r="H1094" s="473"/>
      <c r="I1094" s="473"/>
      <c r="J1094" s="473"/>
      <c r="K1094" s="473"/>
      <c r="L1094" s="473"/>
      <c r="M1094" s="473"/>
      <c r="N1094" s="473"/>
      <c r="O1094" s="473"/>
      <c r="P1094" s="473"/>
      <c r="Q1094" s="473"/>
      <c r="R1094" s="473"/>
      <c r="S1094" s="473"/>
      <c r="T1094" s="473"/>
      <c r="U1094" s="473"/>
      <c r="V1094" s="473"/>
      <c r="W1094" s="473"/>
      <c r="X1094" s="473"/>
      <c r="Y1094" s="473"/>
      <c r="Z1094" s="473"/>
      <c r="AA1094" s="473"/>
      <c r="AB1094" s="473"/>
      <c r="AC1094" s="473"/>
      <c r="AD1094" s="473"/>
      <c r="AE1094" s="473"/>
      <c r="AF1094" s="473"/>
      <c r="AG1094" s="473"/>
      <c r="AH1094" s="473"/>
      <c r="AI1094" s="473"/>
      <c r="AJ1094" s="473"/>
      <c r="AK1094" s="473"/>
      <c r="AL1094" s="473"/>
      <c r="AM1094" s="473"/>
      <c r="AN1094" s="473"/>
      <c r="AO1094" s="473"/>
      <c r="AP1094" s="473"/>
      <c r="AQ1094" s="473"/>
      <c r="AR1094" s="473"/>
      <c r="AS1094" s="473"/>
      <c r="AT1094" s="473"/>
      <c r="AU1094" s="473"/>
      <c r="AV1094" s="473"/>
      <c r="AW1094" s="473"/>
      <c r="AX1094" s="473"/>
      <c r="AY1094" s="473"/>
      <c r="AZ1094" s="473"/>
      <c r="BA1094" s="473"/>
      <c r="BB1094" s="473"/>
      <c r="BC1094" s="473"/>
      <c r="BD1094" s="473"/>
      <c r="BE1094" s="473"/>
      <c r="BF1094" s="473"/>
      <c r="BG1094" s="473"/>
      <c r="BH1094" s="473"/>
      <c r="BI1094" s="473"/>
      <c r="BJ1094" s="473"/>
      <c r="BK1094" s="473"/>
      <c r="BL1094" s="473"/>
      <c r="BM1094" s="473"/>
      <c r="BN1094" s="473"/>
      <c r="BO1094" s="473"/>
      <c r="BP1094" s="473"/>
      <c r="BQ1094" s="473"/>
      <c r="BR1094" s="473"/>
      <c r="BS1094" s="473"/>
      <c r="BT1094" s="473"/>
      <c r="BU1094" s="473"/>
      <c r="BV1094" s="473"/>
      <c r="BW1094" s="473"/>
      <c r="BX1094" s="473"/>
      <c r="BY1094" s="473"/>
      <c r="BZ1094" s="473"/>
      <c r="CA1094" s="473"/>
      <c r="CB1094" s="473"/>
      <c r="CC1094" s="473"/>
      <c r="CD1094" s="473"/>
      <c r="CE1094" s="473"/>
      <c r="CF1094" s="473"/>
      <c r="CG1094" s="473"/>
      <c r="CH1094" s="473"/>
      <c r="CI1094" s="473"/>
      <c r="CJ1094" s="473"/>
      <c r="CK1094" s="473"/>
      <c r="CL1094" s="473"/>
      <c r="CM1094" s="473"/>
      <c r="CN1094" s="473"/>
      <c r="CO1094" s="473"/>
      <c r="CP1094" s="473"/>
      <c r="CQ1094" s="473"/>
      <c r="CR1094" s="473"/>
      <c r="CS1094" s="473"/>
      <c r="CT1094" s="473"/>
      <c r="CU1094" s="473"/>
      <c r="CV1094" s="473"/>
      <c r="CW1094" s="473"/>
      <c r="CX1094" s="473"/>
      <c r="CY1094" s="473"/>
      <c r="CZ1094" s="473"/>
      <c r="DA1094" s="473"/>
      <c r="DB1094" s="1524"/>
      <c r="DC1094" s="473"/>
      <c r="DD1094" s="473"/>
      <c r="DE1094" s="473"/>
      <c r="DF1094" s="473"/>
      <c r="DG1094" s="473"/>
      <c r="DH1094" s="473"/>
      <c r="DI1094" s="473"/>
      <c r="DJ1094" s="473"/>
      <c r="DK1094" s="473"/>
      <c r="DL1094" s="501"/>
      <c r="DM1094" s="501"/>
      <c r="DN1094" s="1545"/>
      <c r="DO1094" s="501"/>
      <c r="DP1094" s="501"/>
      <c r="DQ1094" s="501"/>
      <c r="DR1094" s="501"/>
      <c r="DS1094" s="501"/>
      <c r="DT1094" s="501"/>
      <c r="DU1094" s="501"/>
      <c r="DV1094" s="501"/>
      <c r="DW1094" s="501"/>
      <c r="DX1094" s="501"/>
      <c r="DY1094" s="501"/>
      <c r="DZ1094" s="1545"/>
      <c r="HR1094" s="517"/>
      <c r="HS1094" s="518"/>
      <c r="HT1094" s="518"/>
      <c r="HU1094" s="518"/>
      <c r="HV1094" s="518"/>
      <c r="HW1094" s="518"/>
      <c r="HX1094" s="346"/>
      <c r="HY1094" s="518"/>
      <c r="HZ1094" s="518"/>
      <c r="IA1094" s="346"/>
      <c r="IB1094" s="518"/>
      <c r="IC1094" s="518"/>
      <c r="ID1094" s="346"/>
      <c r="IE1094" s="346"/>
      <c r="IF1094" s="346"/>
      <c r="IG1094" s="346"/>
      <c r="IH1094" s="346"/>
      <c r="II1094" s="346"/>
      <c r="IJ1094" s="346"/>
      <c r="KI1094" s="302"/>
    </row>
    <row r="1095" spans="1:295" ht="15.5">
      <c r="A1095" s="302"/>
      <c r="B1095" s="302"/>
      <c r="C1095" s="302"/>
      <c r="D1095" s="497" t="s">
        <v>687</v>
      </c>
      <c r="E1095" s="473"/>
      <c r="F1095" s="473"/>
      <c r="G1095" s="473"/>
      <c r="H1095" s="473"/>
      <c r="I1095" s="473"/>
      <c r="J1095" s="473"/>
      <c r="K1095" s="473"/>
      <c r="L1095" s="473"/>
      <c r="M1095" s="473"/>
      <c r="N1095" s="473"/>
      <c r="O1095" s="473"/>
      <c r="P1095" s="473"/>
      <c r="Q1095" s="473"/>
      <c r="R1095" s="473"/>
      <c r="S1095" s="473"/>
      <c r="T1095" s="473"/>
      <c r="U1095" s="473"/>
      <c r="V1095" s="473"/>
      <c r="W1095" s="473"/>
      <c r="X1095" s="473"/>
      <c r="Y1095" s="473"/>
      <c r="Z1095" s="473"/>
      <c r="AA1095" s="473"/>
      <c r="AB1095" s="473"/>
      <c r="AC1095" s="473"/>
      <c r="AD1095" s="473"/>
      <c r="AE1095" s="473"/>
      <c r="AF1095" s="473"/>
      <c r="AG1095" s="473"/>
      <c r="AH1095" s="473"/>
      <c r="AI1095" s="473"/>
      <c r="AJ1095" s="473"/>
      <c r="AK1095" s="473"/>
      <c r="AL1095" s="473"/>
      <c r="AM1095" s="473"/>
      <c r="AN1095" s="473"/>
      <c r="AO1095" s="473"/>
      <c r="AP1095" s="473"/>
      <c r="AQ1095" s="473"/>
      <c r="AR1095" s="473"/>
      <c r="AS1095" s="473"/>
      <c r="AT1095" s="473"/>
      <c r="AU1095" s="473"/>
      <c r="AV1095" s="473"/>
      <c r="AW1095" s="473"/>
      <c r="AX1095" s="473"/>
      <c r="AY1095" s="473"/>
      <c r="AZ1095" s="473"/>
      <c r="BA1095" s="473"/>
      <c r="BB1095" s="473"/>
      <c r="BC1095" s="473"/>
      <c r="BD1095" s="473"/>
      <c r="BE1095" s="473"/>
      <c r="BF1095" s="473"/>
      <c r="BG1095" s="473"/>
      <c r="BH1095" s="473"/>
      <c r="BI1095" s="473"/>
      <c r="BJ1095" s="473"/>
      <c r="BK1095" s="473"/>
      <c r="BL1095" s="473"/>
      <c r="BM1095" s="473"/>
      <c r="BN1095" s="473"/>
      <c r="BO1095" s="473"/>
      <c r="BP1095" s="473"/>
      <c r="BQ1095" s="473"/>
      <c r="BR1095" s="473"/>
      <c r="BS1095" s="473"/>
      <c r="BT1095" s="473"/>
      <c r="BU1095" s="473"/>
      <c r="BV1095" s="473"/>
      <c r="BW1095" s="473"/>
      <c r="BX1095" s="473"/>
      <c r="BY1095" s="473"/>
      <c r="BZ1095" s="473"/>
      <c r="CA1095" s="473"/>
      <c r="CB1095" s="473"/>
      <c r="CC1095" s="473"/>
      <c r="CD1095" s="473"/>
      <c r="CE1095" s="473"/>
      <c r="CF1095" s="473"/>
      <c r="CG1095" s="473"/>
      <c r="CH1095" s="473"/>
      <c r="CI1095" s="473"/>
      <c r="CJ1095" s="501">
        <f>+CJ1068+CJ1073+CJ1083+CJ1091</f>
        <v>316.52938726960036</v>
      </c>
      <c r="CK1095" s="473"/>
      <c r="CL1095" s="473"/>
      <c r="CM1095" s="473"/>
      <c r="CN1095" s="473"/>
      <c r="CO1095" s="473"/>
      <c r="CP1095" s="501">
        <f t="shared" ref="CP1095:DB1095" si="1756">+CP1068+CP1073+CP1083+CP1091</f>
        <v>348.957070262</v>
      </c>
      <c r="CQ1095" s="501">
        <f t="shared" si="1756"/>
        <v>347.75390514579749</v>
      </c>
      <c r="CR1095" s="501">
        <f t="shared" si="1756"/>
        <v>354.87390514579749</v>
      </c>
      <c r="CS1095" s="501">
        <f t="shared" si="1756"/>
        <v>385.74764716379752</v>
      </c>
      <c r="CT1095" s="501">
        <f t="shared" si="1756"/>
        <v>385.09188623364236</v>
      </c>
      <c r="CU1095" s="501">
        <f t="shared" si="1756"/>
        <v>385.50988623364231</v>
      </c>
      <c r="CV1095" s="501">
        <f t="shared" si="1756"/>
        <v>369.95052825164231</v>
      </c>
      <c r="CW1095" s="501">
        <f t="shared" si="1756"/>
        <v>399.33802030986033</v>
      </c>
      <c r="CX1095" s="501">
        <f t="shared" si="1756"/>
        <v>383.84112030986034</v>
      </c>
      <c r="CY1095" s="501">
        <f t="shared" si="1756"/>
        <v>407.60582030986035</v>
      </c>
      <c r="CZ1095" s="501">
        <f t="shared" si="1756"/>
        <v>407.588412268806</v>
      </c>
      <c r="DA1095" s="501">
        <f t="shared" si="1756"/>
        <v>434.01541226880607</v>
      </c>
      <c r="DB1095" s="1527">
        <f t="shared" si="1756"/>
        <v>466.82315429480605</v>
      </c>
      <c r="DC1095" s="501">
        <f t="shared" ref="DC1095:DH1095" si="1757">+DC1068+DC1073+DC1083+DC1091</f>
        <v>466.22619115323852</v>
      </c>
      <c r="DD1095" s="501">
        <f t="shared" si="1757"/>
        <v>492.55819115323857</v>
      </c>
      <c r="DE1095" s="501">
        <f t="shared" si="1757"/>
        <v>490.21293317123855</v>
      </c>
      <c r="DF1095" s="501">
        <f t="shared" si="1757"/>
        <v>489.32225799040151</v>
      </c>
      <c r="DG1095" s="501">
        <f t="shared" si="1757"/>
        <v>485.40825799040152</v>
      </c>
      <c r="DH1095" s="501">
        <f t="shared" si="1757"/>
        <v>485.21603776140148</v>
      </c>
      <c r="DI1095" s="501">
        <f t="shared" ref="DI1095:DN1095" si="1758">+DI1068+DI1073+DI1083+DI1091</f>
        <v>507.20276843107303</v>
      </c>
      <c r="DJ1095" s="501">
        <f t="shared" si="1758"/>
        <v>501.08146843107295</v>
      </c>
      <c r="DK1095" s="501">
        <f t="shared" si="1758"/>
        <v>528.9634684310729</v>
      </c>
      <c r="DL1095" s="501">
        <f t="shared" si="1758"/>
        <v>506.12789048396792</v>
      </c>
      <c r="DM1095" s="501">
        <f t="shared" si="1758"/>
        <v>536.42919048396789</v>
      </c>
      <c r="DN1095" s="1545">
        <f t="shared" si="1758"/>
        <v>545.97431826797629</v>
      </c>
      <c r="DO1095" s="501">
        <f t="shared" ref="DO1095:DT1095" si="1759">+DO1068+DO1073+DO1083+DO1091</f>
        <v>564.44925434752895</v>
      </c>
      <c r="DP1095" s="501">
        <f t="shared" si="1759"/>
        <v>581.03980231452886</v>
      </c>
      <c r="DQ1095" s="501">
        <f t="shared" si="1759"/>
        <v>545.10787596152898</v>
      </c>
      <c r="DR1095" s="501">
        <f t="shared" si="1759"/>
        <v>551.90316484969208</v>
      </c>
      <c r="DS1095" s="501">
        <f t="shared" si="1759"/>
        <v>576.79879846469203</v>
      </c>
      <c r="DT1095" s="501">
        <f t="shared" si="1759"/>
        <v>550.68600297169212</v>
      </c>
      <c r="DU1095" s="501"/>
      <c r="DV1095" s="501"/>
      <c r="DW1095" s="501"/>
      <c r="DX1095" s="501"/>
      <c r="DY1095" s="501"/>
      <c r="DZ1095" s="1545"/>
      <c r="HR1095" s="517" t="str">
        <f>+D1095</f>
        <v>Central government debt (excl. NBR mon.policy instruments)</v>
      </c>
      <c r="HS1095" s="518"/>
      <c r="HT1095" s="518"/>
      <c r="HU1095" s="517">
        <f>+DB1095</f>
        <v>466.82315429480605</v>
      </c>
      <c r="HV1095" s="517"/>
      <c r="HW1095" s="518"/>
      <c r="HX1095" s="346">
        <f>+DN1095</f>
        <v>545.97431826797629</v>
      </c>
      <c r="HY1095" s="518"/>
      <c r="HZ1095" s="518"/>
      <c r="IA1095" s="346"/>
      <c r="IB1095" s="518"/>
      <c r="IC1095" s="518"/>
      <c r="ID1095" s="346"/>
      <c r="IE1095" s="346"/>
      <c r="IF1095" s="346"/>
      <c r="IG1095" s="346"/>
      <c r="IH1095" s="346"/>
      <c r="II1095" s="346"/>
      <c r="IJ1095" s="346"/>
      <c r="KI1095" s="302"/>
    </row>
    <row r="1096" spans="1:295" ht="15.5">
      <c r="A1096" s="302"/>
      <c r="B1096" s="302"/>
      <c r="C1096" s="302"/>
      <c r="D1096" s="552" t="s">
        <v>741</v>
      </c>
      <c r="E1096" s="473"/>
      <c r="F1096" s="473"/>
      <c r="G1096" s="473"/>
      <c r="H1096" s="473"/>
      <c r="I1096" s="473"/>
      <c r="J1096" s="473"/>
      <c r="K1096" s="473"/>
      <c r="L1096" s="473"/>
      <c r="M1096" s="473"/>
      <c r="N1096" s="473"/>
      <c r="O1096" s="473"/>
      <c r="P1096" s="473"/>
      <c r="Q1096" s="473"/>
      <c r="R1096" s="473"/>
      <c r="S1096" s="473"/>
      <c r="T1096" s="473"/>
      <c r="U1096" s="473"/>
      <c r="V1096" s="473"/>
      <c r="W1096" s="473"/>
      <c r="X1096" s="473"/>
      <c r="Y1096" s="473"/>
      <c r="Z1096" s="473"/>
      <c r="AA1096" s="473"/>
      <c r="AB1096" s="473"/>
      <c r="AC1096" s="473"/>
      <c r="AD1096" s="473"/>
      <c r="AE1096" s="473"/>
      <c r="AF1096" s="473"/>
      <c r="AG1096" s="473"/>
      <c r="AH1096" s="473"/>
      <c r="AI1096" s="473"/>
      <c r="AJ1096" s="473"/>
      <c r="AK1096" s="473"/>
      <c r="AL1096" s="473"/>
      <c r="AM1096" s="473"/>
      <c r="AN1096" s="473"/>
      <c r="AO1096" s="473"/>
      <c r="AP1096" s="473"/>
      <c r="AQ1096" s="473"/>
      <c r="AR1096" s="473"/>
      <c r="AS1096" s="473"/>
      <c r="AT1096" s="473"/>
      <c r="AU1096" s="473"/>
      <c r="AV1096" s="473"/>
      <c r="AW1096" s="473"/>
      <c r="AX1096" s="473"/>
      <c r="AY1096" s="473"/>
      <c r="AZ1096" s="473"/>
      <c r="BA1096" s="473"/>
      <c r="BB1096" s="473"/>
      <c r="BC1096" s="473"/>
      <c r="BD1096" s="473"/>
      <c r="BE1096" s="473"/>
      <c r="BF1096" s="473"/>
      <c r="BG1096" s="473"/>
      <c r="BH1096" s="473"/>
      <c r="BI1096" s="473"/>
      <c r="BJ1096" s="473"/>
      <c r="BK1096" s="473"/>
      <c r="BL1096" s="473"/>
      <c r="BM1096" s="473"/>
      <c r="BN1096" s="473"/>
      <c r="BO1096" s="473"/>
      <c r="BP1096" s="473"/>
      <c r="BQ1096" s="473"/>
      <c r="BR1096" s="473"/>
      <c r="BS1096" s="473"/>
      <c r="BT1096" s="473"/>
      <c r="BU1096" s="473"/>
      <c r="BV1096" s="473"/>
      <c r="BW1096" s="473"/>
      <c r="BX1096" s="473"/>
      <c r="BY1096" s="473"/>
      <c r="BZ1096" s="473"/>
      <c r="CA1096" s="473"/>
      <c r="CB1096" s="473"/>
      <c r="CC1096" s="473"/>
      <c r="CD1096" s="473"/>
      <c r="CE1096" s="473"/>
      <c r="CF1096" s="473"/>
      <c r="CG1096" s="473"/>
      <c r="CH1096" s="473"/>
      <c r="CI1096" s="473"/>
      <c r="CJ1096" s="501"/>
      <c r="CK1096" s="473"/>
      <c r="CL1096" s="473"/>
      <c r="CM1096" s="473"/>
      <c r="CN1096" s="473"/>
      <c r="CO1096" s="473"/>
      <c r="CP1096" s="501"/>
      <c r="CQ1096" s="473"/>
      <c r="CR1096" s="473"/>
      <c r="CS1096" s="473"/>
      <c r="CT1096" s="473"/>
      <c r="CU1096" s="473"/>
      <c r="CV1096" s="501"/>
      <c r="CW1096" s="473"/>
      <c r="CX1096" s="473"/>
      <c r="CY1096" s="473"/>
      <c r="CZ1096" s="473"/>
      <c r="DA1096" s="473"/>
      <c r="DB1096" s="1529">
        <f>+AVERAGE(CQ1095:DB1095)</f>
        <v>394.01164149469327</v>
      </c>
      <c r="DC1096" s="551">
        <f t="shared" ref="DC1096:DH1096" si="1760">+AVERAGE(CR1095:DC1095)</f>
        <v>403.88433199531329</v>
      </c>
      <c r="DD1096" s="551">
        <f t="shared" si="1760"/>
        <v>415.35802249593343</v>
      </c>
      <c r="DE1096" s="551">
        <f t="shared" si="1760"/>
        <v>424.06346299655343</v>
      </c>
      <c r="DF1096" s="551">
        <f t="shared" si="1760"/>
        <v>432.74932730961672</v>
      </c>
      <c r="DG1096" s="551">
        <f t="shared" si="1760"/>
        <v>441.07419162268002</v>
      </c>
      <c r="DH1096" s="551">
        <f t="shared" si="1760"/>
        <v>450.67965074849332</v>
      </c>
      <c r="DI1096" s="551">
        <f t="shared" ref="DI1096:DP1096" si="1761">+AVERAGE(CX1095:DI1095)</f>
        <v>459.66837975859431</v>
      </c>
      <c r="DJ1096" s="551">
        <f t="shared" si="1761"/>
        <v>469.43840876869535</v>
      </c>
      <c r="DK1096" s="551">
        <f t="shared" si="1761"/>
        <v>479.55154611212976</v>
      </c>
      <c r="DL1096" s="551">
        <f t="shared" si="1761"/>
        <v>487.76316929672657</v>
      </c>
      <c r="DM1096" s="551">
        <f t="shared" si="1761"/>
        <v>496.29765081465683</v>
      </c>
      <c r="DN1096" s="1547">
        <f t="shared" si="1761"/>
        <v>502.89358114575424</v>
      </c>
      <c r="DO1096" s="551">
        <f t="shared" si="1761"/>
        <v>511.07883641194508</v>
      </c>
      <c r="DP1096" s="551">
        <f t="shared" si="1761"/>
        <v>518.45230400871935</v>
      </c>
      <c r="DQ1096" s="551">
        <f>+AVERAGE(DF1095:DQ1095)</f>
        <v>523.02688257457692</v>
      </c>
      <c r="DR1096" s="551">
        <f>+AVERAGE(DG1095:DR1095)</f>
        <v>528.2419581461844</v>
      </c>
      <c r="DS1096" s="551">
        <f>+AVERAGE(DH1095:DS1095)</f>
        <v>535.85783651904194</v>
      </c>
      <c r="DT1096" s="551">
        <f>+AVERAGE(DI1095:DT1095)</f>
        <v>541.31366695323277</v>
      </c>
      <c r="DU1096" s="551"/>
      <c r="DV1096" s="551"/>
      <c r="DW1096" s="551"/>
      <c r="DX1096" s="551"/>
      <c r="DY1096" s="551"/>
      <c r="DZ1096" s="1547"/>
      <c r="HR1096" s="517"/>
      <c r="HS1096" s="518"/>
      <c r="HT1096" s="518"/>
      <c r="HU1096" s="518"/>
      <c r="HV1096" s="518"/>
      <c r="HW1096" s="473"/>
      <c r="HX1096" s="551">
        <f>+DN1096</f>
        <v>502.89358114575424</v>
      </c>
      <c r="HY1096" s="518"/>
      <c r="HZ1096" s="518"/>
      <c r="IA1096" s="346"/>
      <c r="IB1096" s="518"/>
      <c r="IC1096" s="518"/>
      <c r="ID1096" s="346"/>
      <c r="IE1096" s="346"/>
      <c r="IF1096" s="346"/>
      <c r="IG1096" s="346"/>
      <c r="IH1096" s="346"/>
      <c r="II1096" s="346"/>
      <c r="IJ1096" s="346"/>
      <c r="KI1096" s="302"/>
    </row>
    <row r="1097" spans="1:295" ht="15.5">
      <c r="A1097" s="302"/>
      <c r="B1097" s="302"/>
      <c r="C1097" s="302"/>
      <c r="D1097" s="497" t="str">
        <f>+FISC!D1689</f>
        <v xml:space="preserve">Govenment guaranteed domestic debt </v>
      </c>
      <c r="E1097" s="473"/>
      <c r="F1097" s="473"/>
      <c r="G1097" s="473"/>
      <c r="H1097" s="473"/>
      <c r="I1097" s="473"/>
      <c r="J1097" s="473"/>
      <c r="K1097" s="473"/>
      <c r="L1097" s="473"/>
      <c r="M1097" s="473"/>
      <c r="N1097" s="473"/>
      <c r="O1097" s="473"/>
      <c r="P1097" s="473"/>
      <c r="Q1097" s="473"/>
      <c r="R1097" s="473"/>
      <c r="S1097" s="473"/>
      <c r="T1097" s="473"/>
      <c r="U1097" s="473"/>
      <c r="V1097" s="473"/>
      <c r="W1097" s="473"/>
      <c r="X1097" s="473"/>
      <c r="Y1097" s="473"/>
      <c r="Z1097" s="473"/>
      <c r="AA1097" s="473"/>
      <c r="AB1097" s="473"/>
      <c r="AC1097" s="473"/>
      <c r="AD1097" s="473"/>
      <c r="AE1097" s="473"/>
      <c r="AF1097" s="473"/>
      <c r="AG1097" s="473"/>
      <c r="AH1097" s="473"/>
      <c r="AI1097" s="473"/>
      <c r="AJ1097" s="473"/>
      <c r="AK1097" s="473"/>
      <c r="AL1097" s="473"/>
      <c r="AM1097" s="473"/>
      <c r="AN1097" s="473"/>
      <c r="AO1097" s="473"/>
      <c r="AP1097" s="473"/>
      <c r="AQ1097" s="473"/>
      <c r="AR1097" s="473"/>
      <c r="AS1097" s="473"/>
      <c r="AT1097" s="473"/>
      <c r="AU1097" s="473"/>
      <c r="AV1097" s="473"/>
      <c r="AW1097" s="473"/>
      <c r="AX1097" s="473"/>
      <c r="AY1097" s="473"/>
      <c r="AZ1097" s="473"/>
      <c r="BA1097" s="473"/>
      <c r="BB1097" s="473"/>
      <c r="BC1097" s="473"/>
      <c r="BD1097" s="473"/>
      <c r="BE1097" s="473"/>
      <c r="BF1097" s="473"/>
      <c r="BG1097" s="473"/>
      <c r="BH1097" s="473"/>
      <c r="BI1097" s="473"/>
      <c r="BJ1097" s="473"/>
      <c r="BK1097" s="473"/>
      <c r="BL1097" s="473"/>
      <c r="BM1097" s="473"/>
      <c r="BN1097" s="473"/>
      <c r="BO1097" s="473"/>
      <c r="BP1097" s="473"/>
      <c r="BQ1097" s="473"/>
      <c r="BR1097" s="473"/>
      <c r="BS1097" s="473"/>
      <c r="BT1097" s="473"/>
      <c r="BU1097" s="473"/>
      <c r="BV1097" s="473"/>
      <c r="BW1097" s="473"/>
      <c r="BX1097" s="473"/>
      <c r="BY1097" s="473"/>
      <c r="BZ1097" s="473"/>
      <c r="CA1097" s="473"/>
      <c r="CB1097" s="473"/>
      <c r="CC1097" s="473"/>
      <c r="CD1097" s="473"/>
      <c r="CE1097" s="473"/>
      <c r="CF1097" s="473"/>
      <c r="CG1097" s="473"/>
      <c r="CH1097" s="473"/>
      <c r="CI1097" s="473"/>
      <c r="CJ1097" s="501"/>
      <c r="CK1097" s="473"/>
      <c r="CL1097" s="473"/>
      <c r="CM1097" s="473"/>
      <c r="CN1097" s="473"/>
      <c r="CO1097" s="473"/>
      <c r="CP1097" s="501"/>
      <c r="CQ1097" s="473"/>
      <c r="CR1097" s="473"/>
      <c r="CS1097" s="473"/>
      <c r="CT1097" s="473"/>
      <c r="CU1097" s="473"/>
      <c r="CV1097" s="501"/>
      <c r="CW1097" s="473"/>
      <c r="CX1097" s="473"/>
      <c r="CY1097" s="473"/>
      <c r="CZ1097" s="473"/>
      <c r="DA1097" s="473"/>
      <c r="DB1097" s="1527">
        <f>+FISC!Y1689</f>
        <v>21.78</v>
      </c>
      <c r="DC1097" s="501">
        <f>+DB1097</f>
        <v>21.78</v>
      </c>
      <c r="DD1097" s="501">
        <f>+DC1097</f>
        <v>21.78</v>
      </c>
      <c r="DE1097" s="501">
        <f>+DD1097</f>
        <v>21.78</v>
      </c>
      <c r="DF1097" s="501">
        <f>+DE1097</f>
        <v>21.78</v>
      </c>
      <c r="DG1097" s="501">
        <f>+DF1097</f>
        <v>21.78</v>
      </c>
      <c r="DH1097" s="501">
        <f>+FISC!Z192</f>
        <v>21.869908928919699</v>
      </c>
      <c r="DI1097" s="501">
        <f>+FISC!AA192</f>
        <v>25851.85400997</v>
      </c>
      <c r="DJ1097" s="501">
        <f>+FISC!AB192</f>
        <v>34055.337669619352</v>
      </c>
      <c r="DK1097" s="501">
        <f>+FISC!AC192</f>
        <v>27711.41576224663</v>
      </c>
      <c r="DL1097" s="501">
        <f>+FISC!AD192</f>
        <v>26971.091693616021</v>
      </c>
      <c r="DM1097" s="501">
        <f>+FISC!AE192</f>
        <v>24019.34197956137</v>
      </c>
      <c r="DN1097" s="1545">
        <f>+FISC!AF192</f>
        <v>22794.367442057715</v>
      </c>
      <c r="DO1097" s="501">
        <f>+FISC!AG192</f>
        <v>21663.178523462597</v>
      </c>
      <c r="DP1097" s="501">
        <f>+FISC!AH192</f>
        <v>0</v>
      </c>
      <c r="DQ1097" s="501">
        <f>+FISC!AI192</f>
        <v>0</v>
      </c>
      <c r="DR1097" s="501">
        <f>+FISC!AJ192</f>
        <v>0</v>
      </c>
      <c r="DS1097" s="501">
        <f>+FISC!AK192</f>
        <v>0</v>
      </c>
      <c r="DT1097" s="501">
        <f>+FISC!AL192</f>
        <v>0</v>
      </c>
      <c r="DU1097" s="501"/>
      <c r="DV1097" s="501"/>
      <c r="DW1097" s="501"/>
      <c r="DX1097" s="501"/>
      <c r="DY1097" s="501"/>
      <c r="DZ1097" s="1545"/>
      <c r="HR1097" s="517" t="str">
        <f>+D1097</f>
        <v xml:space="preserve">Govenment guaranteed domestic debt </v>
      </c>
      <c r="HS1097" s="518"/>
      <c r="HT1097" s="518"/>
      <c r="HU1097" s="517">
        <f>+DB1097</f>
        <v>21.78</v>
      </c>
      <c r="HV1097" s="517"/>
      <c r="HW1097" s="473"/>
      <c r="HX1097" s="346">
        <f>+DN1097</f>
        <v>22794.367442057715</v>
      </c>
      <c r="HY1097" s="518"/>
      <c r="HZ1097" s="518"/>
      <c r="IA1097" s="346"/>
      <c r="IB1097" s="518"/>
      <c r="IC1097" s="518"/>
      <c r="ID1097" s="346"/>
      <c r="IE1097" s="346"/>
      <c r="IF1097" s="346"/>
      <c r="IG1097" s="346"/>
      <c r="IH1097" s="346"/>
      <c r="II1097" s="346"/>
      <c r="IJ1097" s="346"/>
      <c r="KI1097" s="302"/>
    </row>
    <row r="1098" spans="1:295" ht="15.5">
      <c r="A1098" s="302"/>
      <c r="B1098" s="302"/>
      <c r="C1098" s="302"/>
      <c r="D1098" s="497"/>
      <c r="E1098" s="473"/>
      <c r="F1098" s="473"/>
      <c r="G1098" s="473"/>
      <c r="H1098" s="473"/>
      <c r="I1098" s="473"/>
      <c r="J1098" s="473"/>
      <c r="K1098" s="473"/>
      <c r="L1098" s="473"/>
      <c r="M1098" s="473"/>
      <c r="N1098" s="473"/>
      <c r="O1098" s="473"/>
      <c r="P1098" s="473"/>
      <c r="Q1098" s="473"/>
      <c r="R1098" s="473"/>
      <c r="S1098" s="473"/>
      <c r="T1098" s="473"/>
      <c r="U1098" s="473"/>
      <c r="V1098" s="473"/>
      <c r="W1098" s="473"/>
      <c r="X1098" s="473"/>
      <c r="Y1098" s="473"/>
      <c r="Z1098" s="473"/>
      <c r="AA1098" s="473"/>
      <c r="AB1098" s="473"/>
      <c r="AC1098" s="473"/>
      <c r="AD1098" s="473"/>
      <c r="AE1098" s="473"/>
      <c r="AF1098" s="473"/>
      <c r="AG1098" s="473"/>
      <c r="AH1098" s="473"/>
      <c r="AI1098" s="473"/>
      <c r="AJ1098" s="473"/>
      <c r="AK1098" s="473"/>
      <c r="AL1098" s="473"/>
      <c r="AM1098" s="473"/>
      <c r="AN1098" s="473"/>
      <c r="AO1098" s="473"/>
      <c r="AP1098" s="473"/>
      <c r="AQ1098" s="473"/>
      <c r="AR1098" s="473"/>
      <c r="AS1098" s="473"/>
      <c r="AT1098" s="473"/>
      <c r="AU1098" s="473"/>
      <c r="AV1098" s="473"/>
      <c r="AW1098" s="473"/>
      <c r="AX1098" s="473"/>
      <c r="AY1098" s="473"/>
      <c r="AZ1098" s="473"/>
      <c r="BA1098" s="473"/>
      <c r="BB1098" s="473"/>
      <c r="BC1098" s="473"/>
      <c r="BD1098" s="473"/>
      <c r="BE1098" s="473"/>
      <c r="BF1098" s="473"/>
      <c r="BG1098" s="473"/>
      <c r="BH1098" s="473"/>
      <c r="BI1098" s="473"/>
      <c r="BJ1098" s="473"/>
      <c r="BK1098" s="473"/>
      <c r="BL1098" s="473"/>
      <c r="BM1098" s="473"/>
      <c r="BN1098" s="473"/>
      <c r="BO1098" s="473"/>
      <c r="BP1098" s="473"/>
      <c r="BQ1098" s="473"/>
      <c r="BR1098" s="473"/>
      <c r="BS1098" s="473"/>
      <c r="BT1098" s="473"/>
      <c r="BU1098" s="473"/>
      <c r="BV1098" s="473"/>
      <c r="BW1098" s="473"/>
      <c r="BX1098" s="473"/>
      <c r="BY1098" s="473"/>
      <c r="BZ1098" s="473"/>
      <c r="CA1098" s="473"/>
      <c r="CB1098" s="473"/>
      <c r="CC1098" s="473"/>
      <c r="CD1098" s="473"/>
      <c r="CE1098" s="473"/>
      <c r="CF1098" s="473"/>
      <c r="CG1098" s="473"/>
      <c r="CH1098" s="473"/>
      <c r="CI1098" s="473"/>
      <c r="CJ1098" s="501"/>
      <c r="CK1098" s="473"/>
      <c r="CL1098" s="473"/>
      <c r="CM1098" s="473"/>
      <c r="CN1098" s="473"/>
      <c r="CO1098" s="473"/>
      <c r="CP1098" s="501"/>
      <c r="CQ1098" s="473"/>
      <c r="CR1098" s="473"/>
      <c r="CS1098" s="473"/>
      <c r="CT1098" s="473"/>
      <c r="CU1098" s="473"/>
      <c r="CV1098" s="501"/>
      <c r="CW1098" s="473"/>
      <c r="CX1098" s="473"/>
      <c r="CY1098" s="473"/>
      <c r="CZ1098" s="473"/>
      <c r="DA1098" s="473"/>
      <c r="DB1098" s="1527"/>
      <c r="DC1098" s="501"/>
      <c r="DD1098" s="501"/>
      <c r="DE1098" s="501"/>
      <c r="DF1098" s="501"/>
      <c r="DG1098" s="501"/>
      <c r="DH1098" s="501"/>
      <c r="DI1098" s="501"/>
      <c r="DJ1098" s="501"/>
      <c r="DK1098" s="501"/>
      <c r="DL1098" s="501"/>
      <c r="DM1098" s="501"/>
      <c r="DN1098" s="1545"/>
      <c r="DO1098" s="501"/>
      <c r="DP1098" s="501"/>
      <c r="DQ1098" s="501"/>
      <c r="DR1098" s="501"/>
      <c r="DS1098" s="501"/>
      <c r="DT1098" s="501"/>
      <c r="DU1098" s="501"/>
      <c r="DV1098" s="501"/>
      <c r="DW1098" s="501"/>
      <c r="DX1098" s="501"/>
      <c r="DY1098" s="501"/>
      <c r="DZ1098" s="1545"/>
      <c r="HR1098" s="517"/>
      <c r="HS1098" s="518"/>
      <c r="HT1098" s="518"/>
      <c r="HU1098" s="517"/>
      <c r="HV1098" s="517"/>
      <c r="HW1098" s="473"/>
      <c r="HX1098" s="346"/>
      <c r="HY1098" s="518"/>
      <c r="HZ1098" s="518"/>
      <c r="IA1098" s="346"/>
      <c r="IB1098" s="518"/>
      <c r="IC1098" s="518"/>
      <c r="ID1098" s="346"/>
      <c r="IE1098" s="346"/>
      <c r="IF1098" s="346"/>
      <c r="IG1098" s="346"/>
      <c r="IH1098" s="346"/>
      <c r="II1098" s="346"/>
      <c r="IJ1098" s="346"/>
      <c r="KI1098" s="302"/>
    </row>
    <row r="1099" spans="1:295" ht="15.5">
      <c r="A1099" s="302"/>
      <c r="B1099" s="302"/>
      <c r="C1099" s="302"/>
      <c r="D1099" s="497" t="str">
        <f>+FISC!D1691</f>
        <v>Other public sector debt</v>
      </c>
      <c r="E1099" s="473"/>
      <c r="F1099" s="473"/>
      <c r="G1099" s="473"/>
      <c r="H1099" s="473"/>
      <c r="I1099" s="473"/>
      <c r="J1099" s="473"/>
      <c r="K1099" s="473"/>
      <c r="L1099" s="473"/>
      <c r="M1099" s="473"/>
      <c r="N1099" s="473"/>
      <c r="O1099" s="473"/>
      <c r="P1099" s="473"/>
      <c r="Q1099" s="473"/>
      <c r="R1099" s="473"/>
      <c r="S1099" s="473"/>
      <c r="T1099" s="473"/>
      <c r="U1099" s="473"/>
      <c r="V1099" s="473"/>
      <c r="W1099" s="473"/>
      <c r="X1099" s="473"/>
      <c r="Y1099" s="473"/>
      <c r="Z1099" s="473"/>
      <c r="AA1099" s="473"/>
      <c r="AB1099" s="473"/>
      <c r="AC1099" s="473"/>
      <c r="AD1099" s="473"/>
      <c r="AE1099" s="473"/>
      <c r="AF1099" s="473"/>
      <c r="AG1099" s="473"/>
      <c r="AH1099" s="473"/>
      <c r="AI1099" s="473"/>
      <c r="AJ1099" s="473"/>
      <c r="AK1099" s="473"/>
      <c r="AL1099" s="473"/>
      <c r="AM1099" s="473"/>
      <c r="AN1099" s="473"/>
      <c r="AO1099" s="473"/>
      <c r="AP1099" s="473"/>
      <c r="AQ1099" s="473"/>
      <c r="AR1099" s="473"/>
      <c r="AS1099" s="473"/>
      <c r="AT1099" s="473"/>
      <c r="AU1099" s="473"/>
      <c r="AV1099" s="473"/>
      <c r="AW1099" s="473"/>
      <c r="AX1099" s="473"/>
      <c r="AY1099" s="473"/>
      <c r="AZ1099" s="473"/>
      <c r="BA1099" s="473"/>
      <c r="BB1099" s="473"/>
      <c r="BC1099" s="473"/>
      <c r="BD1099" s="473"/>
      <c r="BE1099" s="473"/>
      <c r="BF1099" s="473"/>
      <c r="BG1099" s="473"/>
      <c r="BH1099" s="473"/>
      <c r="BI1099" s="473"/>
      <c r="BJ1099" s="473"/>
      <c r="BK1099" s="473"/>
      <c r="BL1099" s="473"/>
      <c r="BM1099" s="473"/>
      <c r="BN1099" s="473"/>
      <c r="BO1099" s="473"/>
      <c r="BP1099" s="473"/>
      <c r="BQ1099" s="473"/>
      <c r="BR1099" s="473"/>
      <c r="BS1099" s="473"/>
      <c r="BT1099" s="473"/>
      <c r="BU1099" s="473"/>
      <c r="BV1099" s="473"/>
      <c r="BW1099" s="473"/>
      <c r="BX1099" s="473"/>
      <c r="BY1099" s="473"/>
      <c r="BZ1099" s="473"/>
      <c r="CA1099" s="473"/>
      <c r="CB1099" s="473"/>
      <c r="CC1099" s="473"/>
      <c r="CD1099" s="473"/>
      <c r="CE1099" s="473"/>
      <c r="CF1099" s="473"/>
      <c r="CG1099" s="473"/>
      <c r="CH1099" s="473"/>
      <c r="CI1099" s="473"/>
      <c r="CJ1099" s="501"/>
      <c r="CK1099" s="473"/>
      <c r="CL1099" s="473"/>
      <c r="CM1099" s="473"/>
      <c r="CN1099" s="473"/>
      <c r="CO1099" s="473"/>
      <c r="CP1099" s="501"/>
      <c r="CQ1099" s="473"/>
      <c r="CR1099" s="473"/>
      <c r="CS1099" s="473"/>
      <c r="CT1099" s="473"/>
      <c r="CU1099" s="473"/>
      <c r="CV1099" s="501"/>
      <c r="CW1099" s="473"/>
      <c r="CX1099" s="473"/>
      <c r="CY1099" s="473"/>
      <c r="CZ1099" s="473"/>
      <c r="DA1099" s="473"/>
      <c r="DB1099" s="1527"/>
      <c r="DC1099" s="501"/>
      <c r="DD1099" s="501"/>
      <c r="DE1099" s="501"/>
      <c r="DF1099" s="501"/>
      <c r="DG1099" s="501"/>
      <c r="DH1099" s="501"/>
      <c r="DI1099" s="501"/>
      <c r="DJ1099" s="501"/>
      <c r="DK1099" s="501"/>
      <c r="DL1099" s="501"/>
      <c r="DM1099" s="501"/>
      <c r="DN1099" s="1545"/>
      <c r="DO1099" s="501"/>
      <c r="DP1099" s="501"/>
      <c r="DQ1099" s="501"/>
      <c r="DR1099" s="501"/>
      <c r="DS1099" s="501"/>
      <c r="DT1099" s="501"/>
      <c r="DU1099" s="501"/>
      <c r="DV1099" s="501"/>
      <c r="DW1099" s="501"/>
      <c r="DX1099" s="501"/>
      <c r="DY1099" s="501"/>
      <c r="DZ1099" s="1545"/>
      <c r="HR1099" s="517" t="str">
        <f>+D1099</f>
        <v>Other public sector debt</v>
      </c>
      <c r="HS1099" s="518"/>
      <c r="HT1099" s="518"/>
      <c r="HU1099" s="517"/>
      <c r="HV1099" s="517"/>
      <c r="HW1099" s="473"/>
      <c r="HX1099" s="346"/>
      <c r="HY1099" s="518"/>
      <c r="HZ1099" s="518"/>
      <c r="IA1099" s="346"/>
      <c r="IB1099" s="518"/>
      <c r="IC1099" s="518"/>
      <c r="ID1099" s="346"/>
      <c r="IE1099" s="346"/>
      <c r="IF1099" s="346"/>
      <c r="IG1099" s="346"/>
      <c r="IH1099" s="346"/>
      <c r="II1099" s="346"/>
      <c r="IJ1099" s="346"/>
      <c r="KI1099" s="302"/>
    </row>
    <row r="1100" spans="1:295" ht="15.5">
      <c r="A1100" s="302"/>
      <c r="B1100" s="302"/>
      <c r="C1100" s="302"/>
      <c r="D1100" s="497"/>
      <c r="E1100" s="473"/>
      <c r="F1100" s="473"/>
      <c r="G1100" s="473"/>
      <c r="H1100" s="473"/>
      <c r="I1100" s="473"/>
      <c r="J1100" s="473"/>
      <c r="K1100" s="473"/>
      <c r="L1100" s="473"/>
      <c r="M1100" s="473"/>
      <c r="N1100" s="473"/>
      <c r="O1100" s="473"/>
      <c r="P1100" s="473"/>
      <c r="Q1100" s="473"/>
      <c r="R1100" s="473"/>
      <c r="S1100" s="473"/>
      <c r="T1100" s="473"/>
      <c r="U1100" s="473"/>
      <c r="V1100" s="473"/>
      <c r="W1100" s="473"/>
      <c r="X1100" s="473"/>
      <c r="Y1100" s="473"/>
      <c r="Z1100" s="473"/>
      <c r="AA1100" s="473"/>
      <c r="AB1100" s="473"/>
      <c r="AC1100" s="473"/>
      <c r="AD1100" s="473"/>
      <c r="AE1100" s="473"/>
      <c r="AF1100" s="473"/>
      <c r="AG1100" s="473"/>
      <c r="AH1100" s="473"/>
      <c r="AI1100" s="473"/>
      <c r="AJ1100" s="473"/>
      <c r="AK1100" s="473"/>
      <c r="AL1100" s="473"/>
      <c r="AM1100" s="473"/>
      <c r="AN1100" s="473"/>
      <c r="AO1100" s="473"/>
      <c r="AP1100" s="473"/>
      <c r="AQ1100" s="473"/>
      <c r="AR1100" s="473"/>
      <c r="AS1100" s="473"/>
      <c r="AT1100" s="473"/>
      <c r="AU1100" s="473"/>
      <c r="AV1100" s="473"/>
      <c r="AW1100" s="473"/>
      <c r="AX1100" s="473"/>
      <c r="AY1100" s="473"/>
      <c r="AZ1100" s="473"/>
      <c r="BA1100" s="473"/>
      <c r="BB1100" s="473"/>
      <c r="BC1100" s="473"/>
      <c r="BD1100" s="473"/>
      <c r="BE1100" s="473"/>
      <c r="BF1100" s="473"/>
      <c r="BG1100" s="473"/>
      <c r="BH1100" s="473"/>
      <c r="BI1100" s="473"/>
      <c r="BJ1100" s="473"/>
      <c r="BK1100" s="473"/>
      <c r="BL1100" s="473"/>
      <c r="BM1100" s="473"/>
      <c r="BN1100" s="473"/>
      <c r="BO1100" s="473"/>
      <c r="BP1100" s="473"/>
      <c r="BQ1100" s="473"/>
      <c r="BR1100" s="473"/>
      <c r="BS1100" s="473"/>
      <c r="BT1100" s="473"/>
      <c r="BU1100" s="473"/>
      <c r="BV1100" s="473"/>
      <c r="BW1100" s="473"/>
      <c r="BX1100" s="473"/>
      <c r="BY1100" s="473"/>
      <c r="BZ1100" s="473"/>
      <c r="CA1100" s="473"/>
      <c r="CB1100" s="473"/>
      <c r="CC1100" s="473"/>
      <c r="CD1100" s="473"/>
      <c r="CE1100" s="473"/>
      <c r="CF1100" s="473"/>
      <c r="CG1100" s="473"/>
      <c r="CH1100" s="473"/>
      <c r="CI1100" s="473"/>
      <c r="CJ1100" s="501"/>
      <c r="CK1100" s="473"/>
      <c r="CL1100" s="473"/>
      <c r="CM1100" s="473"/>
      <c r="CN1100" s="473"/>
      <c r="CO1100" s="473"/>
      <c r="CP1100" s="501"/>
      <c r="CQ1100" s="473"/>
      <c r="CR1100" s="473"/>
      <c r="CS1100" s="473"/>
      <c r="CT1100" s="473"/>
      <c r="CU1100" s="473"/>
      <c r="CV1100" s="501"/>
      <c r="CW1100" s="473"/>
      <c r="CX1100" s="473"/>
      <c r="CY1100" s="473"/>
      <c r="CZ1100" s="473"/>
      <c r="DA1100" s="473"/>
      <c r="DB1100" s="1527"/>
      <c r="DC1100" s="501"/>
      <c r="DD1100" s="501"/>
      <c r="DE1100" s="501"/>
      <c r="DF1100" s="501"/>
      <c r="DG1100" s="501"/>
      <c r="DH1100" s="501"/>
      <c r="DI1100" s="501"/>
      <c r="DJ1100" s="501"/>
      <c r="DK1100" s="501"/>
      <c r="DL1100" s="501"/>
      <c r="DM1100" s="501"/>
      <c r="DN1100" s="1545"/>
      <c r="DO1100" s="501"/>
      <c r="DP1100" s="501"/>
      <c r="DQ1100" s="501"/>
      <c r="DR1100" s="501"/>
      <c r="DS1100" s="501"/>
      <c r="DT1100" s="501"/>
      <c r="DU1100" s="501"/>
      <c r="DV1100" s="501"/>
      <c r="DW1100" s="501"/>
      <c r="DX1100" s="501"/>
      <c r="DY1100" s="501"/>
      <c r="DZ1100" s="1545"/>
      <c r="HR1100" s="517"/>
      <c r="HS1100" s="518"/>
      <c r="HT1100" s="518"/>
      <c r="HU1100" s="517"/>
      <c r="HV1100" s="517"/>
      <c r="HW1100" s="473"/>
      <c r="HX1100" s="346"/>
      <c r="HY1100" s="518"/>
      <c r="HZ1100" s="518"/>
      <c r="IA1100" s="346"/>
      <c r="IB1100" s="518"/>
      <c r="IC1100" s="518"/>
      <c r="ID1100" s="346"/>
      <c r="IE1100" s="346"/>
      <c r="IF1100" s="346"/>
      <c r="IG1100" s="346"/>
      <c r="IH1100" s="346"/>
      <c r="II1100" s="346"/>
      <c r="IJ1100" s="346"/>
      <c r="KI1100" s="302"/>
    </row>
    <row r="1101" spans="1:295" ht="15.5">
      <c r="A1101" s="302"/>
      <c r="B1101" s="302"/>
      <c r="C1101" s="302"/>
      <c r="D1101" s="497" t="str">
        <f>+FISC!D1693</f>
        <v>Central government debt including guarantees</v>
      </c>
      <c r="E1101" s="473"/>
      <c r="F1101" s="473"/>
      <c r="G1101" s="473"/>
      <c r="H1101" s="473"/>
      <c r="I1101" s="473"/>
      <c r="J1101" s="473"/>
      <c r="K1101" s="473"/>
      <c r="L1101" s="473"/>
      <c r="M1101" s="473"/>
      <c r="N1101" s="473"/>
      <c r="O1101" s="473"/>
      <c r="P1101" s="473"/>
      <c r="Q1101" s="473"/>
      <c r="R1101" s="473"/>
      <c r="S1101" s="473"/>
      <c r="T1101" s="473"/>
      <c r="U1101" s="473"/>
      <c r="V1101" s="473"/>
      <c r="W1101" s="473"/>
      <c r="X1101" s="473"/>
      <c r="Y1101" s="473"/>
      <c r="Z1101" s="473"/>
      <c r="AA1101" s="473"/>
      <c r="AB1101" s="473"/>
      <c r="AC1101" s="473"/>
      <c r="AD1101" s="473"/>
      <c r="AE1101" s="473"/>
      <c r="AF1101" s="473"/>
      <c r="AG1101" s="473"/>
      <c r="AH1101" s="473"/>
      <c r="AI1101" s="473"/>
      <c r="AJ1101" s="473"/>
      <c r="AK1101" s="473"/>
      <c r="AL1101" s="473"/>
      <c r="AM1101" s="473"/>
      <c r="AN1101" s="473"/>
      <c r="AO1101" s="473"/>
      <c r="AP1101" s="473"/>
      <c r="AQ1101" s="473"/>
      <c r="AR1101" s="473"/>
      <c r="AS1101" s="473"/>
      <c r="AT1101" s="473"/>
      <c r="AU1101" s="473"/>
      <c r="AV1101" s="473"/>
      <c r="AW1101" s="473"/>
      <c r="AX1101" s="473"/>
      <c r="AY1101" s="473"/>
      <c r="AZ1101" s="473"/>
      <c r="BA1101" s="473"/>
      <c r="BB1101" s="473"/>
      <c r="BC1101" s="473"/>
      <c r="BD1101" s="473"/>
      <c r="BE1101" s="473"/>
      <c r="BF1101" s="473"/>
      <c r="BG1101" s="473"/>
      <c r="BH1101" s="473"/>
      <c r="BI1101" s="473"/>
      <c r="BJ1101" s="473"/>
      <c r="BK1101" s="473"/>
      <c r="BL1101" s="473"/>
      <c r="BM1101" s="473"/>
      <c r="BN1101" s="473"/>
      <c r="BO1101" s="473"/>
      <c r="BP1101" s="473"/>
      <c r="BQ1101" s="473"/>
      <c r="BR1101" s="473"/>
      <c r="BS1101" s="473"/>
      <c r="BT1101" s="473"/>
      <c r="BU1101" s="473"/>
      <c r="BV1101" s="473"/>
      <c r="BW1101" s="473"/>
      <c r="BX1101" s="473"/>
      <c r="BY1101" s="473"/>
      <c r="BZ1101" s="473"/>
      <c r="CA1101" s="473"/>
      <c r="CB1101" s="473"/>
      <c r="CC1101" s="473"/>
      <c r="CD1101" s="473"/>
      <c r="CE1101" s="473"/>
      <c r="CF1101" s="473"/>
      <c r="CG1101" s="473"/>
      <c r="CH1101" s="473"/>
      <c r="CI1101" s="473"/>
      <c r="CJ1101" s="501"/>
      <c r="CK1101" s="473"/>
      <c r="CL1101" s="473"/>
      <c r="CM1101" s="473"/>
      <c r="CN1101" s="473"/>
      <c r="CO1101" s="473"/>
      <c r="CP1101" s="501"/>
      <c r="CQ1101" s="473"/>
      <c r="CR1101" s="473"/>
      <c r="CS1101" s="473"/>
      <c r="CT1101" s="473"/>
      <c r="CU1101" s="473"/>
      <c r="CV1101" s="501"/>
      <c r="CW1101" s="473"/>
      <c r="CX1101" s="473"/>
      <c r="CY1101" s="473"/>
      <c r="CZ1101" s="473"/>
      <c r="DA1101" s="473"/>
      <c r="DB1101" s="1527">
        <f>+DB1095+DB1097</f>
        <v>488.60315429480602</v>
      </c>
      <c r="DC1101" s="501"/>
      <c r="DD1101" s="501"/>
      <c r="DE1101" s="501"/>
      <c r="DF1101" s="501"/>
      <c r="DG1101" s="501"/>
      <c r="DH1101" s="501">
        <f>+DH1095+DH1097</f>
        <v>507.08594669032118</v>
      </c>
      <c r="DI1101" s="501"/>
      <c r="DJ1101" s="501"/>
      <c r="DK1101" s="501"/>
      <c r="DL1101" s="501"/>
      <c r="DM1101" s="501"/>
      <c r="DN1101" s="1545"/>
      <c r="DO1101" s="501"/>
      <c r="DP1101" s="501"/>
      <c r="DQ1101" s="501"/>
      <c r="DR1101" s="501"/>
      <c r="DS1101" s="501"/>
      <c r="DT1101" s="501"/>
      <c r="DU1101" s="501"/>
      <c r="DV1101" s="501"/>
      <c r="DW1101" s="501"/>
      <c r="DX1101" s="501"/>
      <c r="DY1101" s="501"/>
      <c r="DZ1101" s="1545"/>
      <c r="HR1101" s="517" t="str">
        <f>+D1101</f>
        <v>Central government debt including guarantees</v>
      </c>
      <c r="HS1101" s="518"/>
      <c r="HT1101" s="518"/>
      <c r="HU1101" s="517">
        <f>+HU1095+HU1097+HU1099</f>
        <v>488.60315429480602</v>
      </c>
      <c r="HV1101" s="517"/>
      <c r="HW1101" s="473"/>
      <c r="HX1101" s="346"/>
      <c r="HY1101" s="518"/>
      <c r="HZ1101" s="518"/>
      <c r="IA1101" s="346"/>
      <c r="IB1101" s="518"/>
      <c r="IC1101" s="518"/>
      <c r="ID1101" s="346"/>
      <c r="IE1101" s="346"/>
      <c r="IF1101" s="346"/>
      <c r="IG1101" s="346"/>
      <c r="IH1101" s="346"/>
      <c r="II1101" s="346"/>
      <c r="IJ1101" s="346"/>
      <c r="KI1101" s="302"/>
    </row>
    <row r="1102" spans="1:295" ht="15.5">
      <c r="A1102" s="302"/>
      <c r="B1102" s="302"/>
      <c r="C1102" s="302"/>
      <c r="D1102" s="497"/>
      <c r="E1102" s="473"/>
      <c r="F1102" s="473"/>
      <c r="G1102" s="473"/>
      <c r="H1102" s="473"/>
      <c r="I1102" s="473"/>
      <c r="J1102" s="473"/>
      <c r="K1102" s="473"/>
      <c r="L1102" s="473"/>
      <c r="M1102" s="473"/>
      <c r="N1102" s="473"/>
      <c r="O1102" s="473"/>
      <c r="P1102" s="473"/>
      <c r="Q1102" s="473"/>
      <c r="R1102" s="473"/>
      <c r="S1102" s="473"/>
      <c r="T1102" s="473"/>
      <c r="U1102" s="473"/>
      <c r="V1102" s="473"/>
      <c r="W1102" s="473"/>
      <c r="X1102" s="473"/>
      <c r="Y1102" s="473"/>
      <c r="Z1102" s="473"/>
      <c r="AA1102" s="473"/>
      <c r="AB1102" s="473"/>
      <c r="AC1102" s="473"/>
      <c r="AD1102" s="473"/>
      <c r="AE1102" s="473"/>
      <c r="AF1102" s="473"/>
      <c r="AG1102" s="473"/>
      <c r="AH1102" s="473" t="e">
        <f>AG1102*(1+AH597)+#REF!/1000000000+SUM(AH1111:AH1118)+AH1120</f>
        <v>#REF!</v>
      </c>
      <c r="AI1102" s="473" t="e">
        <f>(AH1102-AH1120)*(1+AI597)+#REF!/1000000000+SUM(AI1111:AI1118)+AI1120</f>
        <v>#REF!</v>
      </c>
      <c r="AJ1102" s="473" t="e">
        <f>(AI1102-AI1120)*(1+AJ597)+#REF!/1000000000+SUM(AJ1111:AJ1118)+AJ1120</f>
        <v>#REF!</v>
      </c>
      <c r="AK1102" s="473" t="e">
        <f>(AJ1102-AJ1120)*(1+AK597)+#REF!/1000000000+AK1120</f>
        <v>#REF!</v>
      </c>
      <c r="AL1102" s="473" t="e">
        <f>(AK1102-AK1120)*(1+AL597)+#REF!/1000000000-AL1120</f>
        <v>#REF!</v>
      </c>
      <c r="AM1102" s="473" t="e">
        <f>(AL1102-AL1120)*(1+AM597)+#REF!/1000000000-AM1120</f>
        <v>#REF!</v>
      </c>
      <c r="AN1102" s="473"/>
      <c r="AO1102" s="473"/>
      <c r="AP1102" s="473"/>
      <c r="AQ1102" s="473"/>
      <c r="AR1102" s="473"/>
      <c r="AS1102" s="473"/>
      <c r="AT1102" s="473"/>
      <c r="AU1102" s="473"/>
      <c r="AV1102" s="473"/>
      <c r="AW1102" s="473"/>
      <c r="AX1102" s="473"/>
      <c r="AY1102" s="473"/>
      <c r="AZ1102" s="473"/>
      <c r="BA1102" s="473"/>
      <c r="BB1102" s="473"/>
      <c r="BC1102" s="473"/>
      <c r="BD1102" s="473"/>
      <c r="BE1102" s="473"/>
      <c r="BF1102" s="473"/>
      <c r="BG1102" s="473"/>
      <c r="BH1102" s="473"/>
      <c r="BI1102" s="473"/>
      <c r="BJ1102" s="473"/>
      <c r="BK1102" s="473"/>
      <c r="BL1102" s="473"/>
      <c r="BM1102" s="473"/>
      <c r="BN1102" s="473"/>
      <c r="BO1102" s="473"/>
      <c r="BP1102" s="473"/>
      <c r="BQ1102" s="473"/>
      <c r="BR1102" s="473"/>
      <c r="BS1102" s="473"/>
      <c r="BT1102" s="473"/>
      <c r="BU1102" s="473"/>
      <c r="BV1102" s="473"/>
      <c r="BW1102" s="473"/>
      <c r="BX1102" s="473"/>
      <c r="BY1102" s="473"/>
      <c r="BZ1102" s="473"/>
      <c r="CA1102" s="473"/>
      <c r="CB1102" s="473"/>
      <c r="CC1102" s="473"/>
      <c r="CD1102" s="473"/>
      <c r="CE1102" s="473"/>
      <c r="CF1102" s="473"/>
      <c r="CG1102" s="473"/>
      <c r="CH1102" s="473"/>
      <c r="CI1102" s="473"/>
      <c r="CJ1102" s="501"/>
      <c r="CK1102" s="473"/>
      <c r="CL1102" s="473"/>
      <c r="CM1102" s="473"/>
      <c r="CN1102" s="473"/>
      <c r="CO1102" s="473"/>
      <c r="CP1102" s="501"/>
      <c r="CQ1102" s="473"/>
      <c r="CR1102" s="473"/>
      <c r="CS1102" s="473"/>
      <c r="CT1102" s="473"/>
      <c r="CU1102" s="473"/>
      <c r="CV1102" s="501"/>
      <c r="CW1102" s="473"/>
      <c r="CX1102" s="473"/>
      <c r="CY1102" s="473"/>
      <c r="CZ1102" s="473"/>
      <c r="DA1102" s="473"/>
      <c r="DB1102" s="1527"/>
      <c r="DC1102" s="501"/>
      <c r="DD1102" s="501"/>
      <c r="DE1102" s="501"/>
      <c r="DF1102" s="501"/>
      <c r="DG1102" s="501"/>
      <c r="DH1102" s="501"/>
      <c r="DI1102" s="501"/>
      <c r="DJ1102" s="501"/>
      <c r="DK1102" s="501"/>
      <c r="DL1102" s="501"/>
      <c r="DM1102" s="501"/>
      <c r="DN1102" s="1545"/>
      <c r="DO1102" s="501"/>
      <c r="DP1102" s="501"/>
      <c r="DQ1102" s="501"/>
      <c r="DR1102" s="501"/>
      <c r="DS1102" s="501"/>
      <c r="DT1102" s="501"/>
      <c r="DU1102" s="501"/>
      <c r="DV1102" s="501"/>
      <c r="DW1102" s="501"/>
      <c r="DX1102" s="501"/>
      <c r="DY1102" s="501"/>
      <c r="DZ1102" s="1545"/>
      <c r="HR1102" s="517"/>
      <c r="HS1102" s="518"/>
      <c r="HT1102" s="518"/>
      <c r="HU1102" s="517"/>
      <c r="HV1102" s="517"/>
      <c r="HW1102" s="473"/>
      <c r="HX1102" s="346"/>
      <c r="HY1102" s="518"/>
      <c r="HZ1102" s="518"/>
      <c r="IA1102" s="346"/>
      <c r="IB1102" s="518"/>
      <c r="IC1102" s="518"/>
      <c r="ID1102" s="346"/>
      <c r="IE1102" s="346"/>
      <c r="IF1102" s="346"/>
      <c r="IG1102" s="346"/>
      <c r="IH1102" s="346"/>
      <c r="II1102" s="346"/>
      <c r="IJ1102" s="346"/>
      <c r="KI1102" s="302"/>
    </row>
    <row r="1103" spans="1:295" ht="15.5">
      <c r="A1103" s="302"/>
      <c r="B1103" s="302"/>
      <c r="C1103" s="302"/>
      <c r="D1103" s="512" t="s">
        <v>723</v>
      </c>
      <c r="E1103" s="473"/>
      <c r="F1103" s="473"/>
      <c r="G1103" s="473"/>
      <c r="H1103" s="473"/>
      <c r="I1103" s="473"/>
      <c r="J1103" s="473"/>
      <c r="K1103" s="473"/>
      <c r="L1103" s="473"/>
      <c r="M1103" s="473"/>
      <c r="N1103" s="473"/>
      <c r="O1103" s="473"/>
      <c r="P1103" s="473"/>
      <c r="Q1103" s="473"/>
      <c r="R1103" s="473"/>
      <c r="S1103" s="473"/>
      <c r="T1103" s="473"/>
      <c r="U1103" s="473"/>
      <c r="V1103" s="473"/>
      <c r="W1103" s="473"/>
      <c r="X1103" s="473"/>
      <c r="Y1103" s="473"/>
      <c r="Z1103" s="473"/>
      <c r="AA1103" s="473"/>
      <c r="AB1103" s="473"/>
      <c r="AC1103" s="473"/>
      <c r="AD1103" s="473"/>
      <c r="AE1103" s="473"/>
      <c r="AF1103" s="473"/>
      <c r="AG1103" s="473"/>
      <c r="AH1103" s="473"/>
      <c r="AI1103" s="473"/>
      <c r="AJ1103" s="473"/>
      <c r="AK1103" s="473"/>
      <c r="AL1103" s="473"/>
      <c r="AM1103" s="473"/>
      <c r="AN1103" s="473"/>
      <c r="AO1103" s="473"/>
      <c r="AP1103" s="473"/>
      <c r="AQ1103" s="473"/>
      <c r="AR1103" s="473"/>
      <c r="AS1103" s="473"/>
      <c r="AT1103" s="473"/>
      <c r="AU1103" s="473"/>
      <c r="AV1103" s="473"/>
      <c r="AW1103" s="473"/>
      <c r="AX1103" s="473"/>
      <c r="AY1103" s="473"/>
      <c r="AZ1103" s="473"/>
      <c r="BA1103" s="473"/>
      <c r="BB1103" s="473"/>
      <c r="BC1103" s="473"/>
      <c r="BD1103" s="473"/>
      <c r="BE1103" s="473"/>
      <c r="BF1103" s="473"/>
      <c r="BG1103" s="473"/>
      <c r="BH1103" s="473"/>
      <c r="BI1103" s="473"/>
      <c r="BJ1103" s="473"/>
      <c r="BK1103" s="473"/>
      <c r="BL1103" s="473"/>
      <c r="BM1103" s="473"/>
      <c r="BN1103" s="473"/>
      <c r="BO1103" s="473"/>
      <c r="BP1103" s="473"/>
      <c r="BQ1103" s="473"/>
      <c r="BR1103" s="473"/>
      <c r="BS1103" s="473"/>
      <c r="BT1103" s="473"/>
      <c r="BU1103" s="473"/>
      <c r="BV1103" s="473"/>
      <c r="BW1103" s="473"/>
      <c r="BX1103" s="473"/>
      <c r="BY1103" s="473"/>
      <c r="BZ1103" s="473"/>
      <c r="CA1103" s="473"/>
      <c r="CB1103" s="473"/>
      <c r="CC1103" s="473"/>
      <c r="CD1103" s="473"/>
      <c r="CE1103" s="473"/>
      <c r="CF1103" s="473"/>
      <c r="CG1103" s="473"/>
      <c r="CH1103" s="473"/>
      <c r="CI1103" s="473"/>
      <c r="CJ1103" s="501"/>
      <c r="CK1103" s="473"/>
      <c r="CL1103" s="473"/>
      <c r="CM1103" s="473"/>
      <c r="CN1103" s="473"/>
      <c r="CO1103" s="473"/>
      <c r="CP1103" s="501"/>
      <c r="CQ1103" s="473"/>
      <c r="CR1103" s="473"/>
      <c r="CS1103" s="473"/>
      <c r="CT1103" s="473"/>
      <c r="CU1103" s="473"/>
      <c r="CV1103" s="501"/>
      <c r="CW1103" s="473"/>
      <c r="CX1103" s="473"/>
      <c r="CY1103" s="473"/>
      <c r="CZ1103" s="473"/>
      <c r="DA1103" s="473"/>
      <c r="DB1103" s="1527"/>
      <c r="DC1103" s="501"/>
      <c r="DD1103" s="501"/>
      <c r="DE1103" s="501"/>
      <c r="DF1103" s="501"/>
      <c r="DG1103" s="501"/>
      <c r="DH1103" s="501"/>
      <c r="DI1103" s="501"/>
      <c r="DJ1103" s="501"/>
      <c r="DK1103" s="501"/>
      <c r="DL1103" s="501"/>
      <c r="DM1103" s="501"/>
      <c r="DN1103" s="1545"/>
      <c r="DO1103" s="501"/>
      <c r="DP1103" s="501"/>
      <c r="DQ1103" s="501"/>
      <c r="DR1103" s="501"/>
      <c r="DS1103" s="501"/>
      <c r="DT1103" s="501"/>
      <c r="DU1103" s="501"/>
      <c r="DV1103" s="501"/>
      <c r="DW1103" s="501"/>
      <c r="DX1103" s="501"/>
      <c r="DY1103" s="501"/>
      <c r="DZ1103" s="1545"/>
      <c r="HR1103" s="550" t="str">
        <f>+D1103</f>
        <v>Source: Fiscal framework, DU</v>
      </c>
      <c r="HS1103" s="518"/>
      <c r="HT1103" s="518"/>
      <c r="HU1103" s="517"/>
      <c r="HV1103" s="517"/>
      <c r="HW1103" s="473"/>
      <c r="HX1103" s="346"/>
      <c r="HY1103" s="518"/>
      <c r="HZ1103" s="518"/>
      <c r="IA1103" s="346"/>
      <c r="IB1103" s="518"/>
      <c r="IC1103" s="518"/>
      <c r="ID1103" s="346"/>
      <c r="IE1103" s="346"/>
      <c r="IF1103" s="346"/>
      <c r="IG1103" s="346"/>
      <c r="IH1103" s="346"/>
      <c r="II1103" s="346"/>
      <c r="IJ1103" s="346"/>
      <c r="KI1103" s="302"/>
    </row>
    <row r="1104" spans="1:295" ht="16.5" customHeight="1">
      <c r="A1104" s="302"/>
      <c r="B1104" s="302"/>
      <c r="C1104" s="302"/>
      <c r="D1104" s="497"/>
      <c r="E1104" s="473"/>
      <c r="F1104" s="473"/>
      <c r="G1104" s="473"/>
      <c r="H1104" s="473"/>
      <c r="I1104" s="473"/>
      <c r="J1104" s="473"/>
      <c r="K1104" s="473"/>
      <c r="L1104" s="473"/>
      <c r="M1104" s="473"/>
      <c r="N1104" s="473"/>
      <c r="O1104" s="473"/>
      <c r="P1104" s="473"/>
      <c r="Q1104" s="473"/>
      <c r="R1104" s="473"/>
      <c r="S1104" s="473"/>
      <c r="T1104" s="473"/>
      <c r="U1104" s="473"/>
      <c r="V1104" s="473"/>
      <c r="W1104" s="473"/>
      <c r="X1104" s="473"/>
      <c r="Y1104" s="473"/>
      <c r="Z1104" s="473"/>
      <c r="AA1104" s="473"/>
      <c r="AB1104" s="473"/>
      <c r="AC1104" s="473"/>
      <c r="AD1104" s="473"/>
      <c r="AE1104" s="473"/>
      <c r="AF1104" s="473"/>
      <c r="AG1104" s="473"/>
      <c r="AH1104" s="473"/>
      <c r="AI1104" s="473"/>
      <c r="AJ1104" s="473"/>
      <c r="AK1104" s="473"/>
      <c r="AL1104" s="473"/>
      <c r="AM1104" s="473"/>
      <c r="AN1104" s="473"/>
      <c r="AO1104" s="473"/>
      <c r="AP1104" s="473"/>
      <c r="AQ1104" s="473"/>
      <c r="AR1104" s="473"/>
      <c r="AS1104" s="473"/>
      <c r="AT1104" s="473"/>
      <c r="AU1104" s="473"/>
      <c r="AV1104" s="473"/>
      <c r="AW1104" s="473"/>
      <c r="AX1104" s="473"/>
      <c r="AY1104" s="473"/>
      <c r="AZ1104" s="473"/>
      <c r="BA1104" s="473"/>
      <c r="BB1104" s="473"/>
      <c r="BC1104" s="473"/>
      <c r="BD1104" s="473"/>
      <c r="BE1104" s="473"/>
      <c r="BF1104" s="473"/>
      <c r="BG1104" s="473"/>
      <c r="BH1104" s="473"/>
      <c r="BI1104" s="473"/>
      <c r="BJ1104" s="473"/>
      <c r="BK1104" s="473"/>
      <c r="BL1104" s="473"/>
      <c r="BM1104" s="473"/>
      <c r="BN1104" s="473"/>
      <c r="BO1104" s="473"/>
      <c r="BP1104" s="473"/>
      <c r="BQ1104" s="473"/>
      <c r="BR1104" s="473"/>
      <c r="BS1104" s="473"/>
      <c r="BT1104" s="473"/>
      <c r="BU1104" s="473"/>
      <c r="BV1104" s="473"/>
      <c r="BW1104" s="473"/>
      <c r="BX1104" s="473"/>
      <c r="BY1104" s="473"/>
      <c r="BZ1104" s="473"/>
      <c r="CA1104" s="473"/>
      <c r="CB1104" s="473"/>
      <c r="CC1104" s="473"/>
      <c r="CD1104" s="473"/>
      <c r="CE1104" s="473"/>
      <c r="CF1104" s="473"/>
      <c r="CG1104" s="473"/>
      <c r="CH1104" s="473"/>
      <c r="CI1104" s="473"/>
      <c r="CJ1104" s="501"/>
      <c r="CK1104" s="473"/>
      <c r="CL1104" s="473"/>
      <c r="CM1104" s="473"/>
      <c r="CN1104" s="473"/>
      <c r="CO1104" s="473"/>
      <c r="CP1104" s="501"/>
      <c r="CQ1104" s="473"/>
      <c r="CR1104" s="473"/>
      <c r="CS1104" s="473"/>
      <c r="CT1104" s="473"/>
      <c r="CU1104" s="473"/>
      <c r="CV1104" s="501"/>
      <c r="CW1104" s="473"/>
      <c r="CX1104" s="473"/>
      <c r="CY1104" s="473"/>
      <c r="CZ1104" s="473"/>
      <c r="DA1104" s="473"/>
      <c r="DB1104" s="1527"/>
      <c r="DC1104" s="501"/>
      <c r="DD1104" s="501"/>
      <c r="DE1104" s="501"/>
      <c r="DF1104" s="501"/>
      <c r="DG1104" s="501"/>
      <c r="DH1104" s="501"/>
      <c r="DI1104" s="501"/>
      <c r="DJ1104" s="501"/>
      <c r="DK1104" s="501"/>
      <c r="DL1104" s="501"/>
      <c r="DM1104" s="501"/>
      <c r="DN1104" s="1545"/>
      <c r="DO1104" s="501"/>
      <c r="DP1104" s="501"/>
      <c r="DQ1104" s="501"/>
      <c r="DR1104" s="501"/>
      <c r="DS1104" s="501"/>
      <c r="DT1104" s="501"/>
      <c r="DU1104" s="501"/>
      <c r="DV1104" s="501"/>
      <c r="DW1104" s="501"/>
      <c r="DX1104" s="501"/>
      <c r="DY1104" s="501"/>
      <c r="DZ1104" s="1545"/>
      <c r="HR1104" s="517"/>
      <c r="HS1104" s="518"/>
      <c r="HT1104" s="518"/>
      <c r="HU1104" s="518"/>
      <c r="HV1104" s="473"/>
      <c r="HW1104" s="473"/>
      <c r="HX1104" s="346"/>
      <c r="HY1104" s="518"/>
      <c r="HZ1104" s="518"/>
      <c r="IA1104" s="346"/>
      <c r="IB1104" s="518"/>
      <c r="IC1104" s="518"/>
      <c r="ID1104" s="346"/>
      <c r="IE1104" s="346"/>
      <c r="IF1104" s="346"/>
      <c r="IG1104" s="346"/>
      <c r="IH1104" s="346"/>
      <c r="II1104" s="346"/>
      <c r="IJ1104" s="346"/>
      <c r="KI1104" s="302"/>
    </row>
    <row r="1105" spans="1:295" ht="15.5">
      <c r="A1105" s="302"/>
      <c r="B1105" s="302"/>
      <c r="C1105" s="302"/>
      <c r="D1105" s="512" t="s">
        <v>708</v>
      </c>
      <c r="E1105" s="473"/>
      <c r="F1105" s="473"/>
      <c r="G1105" s="473"/>
      <c r="H1105" s="473"/>
      <c r="I1105" s="473"/>
      <c r="J1105" s="473"/>
      <c r="K1105" s="473"/>
      <c r="L1105" s="473"/>
      <c r="M1105" s="473"/>
      <c r="N1105" s="473"/>
      <c r="O1105" s="473"/>
      <c r="P1105" s="473"/>
      <c r="Q1105" s="473"/>
      <c r="R1105" s="473"/>
      <c r="S1105" s="473"/>
      <c r="T1105" s="473"/>
      <c r="U1105" s="473"/>
      <c r="V1105" s="473"/>
      <c r="W1105" s="473"/>
      <c r="X1105" s="473"/>
      <c r="Y1105" s="473"/>
      <c r="Z1105" s="473"/>
      <c r="AA1105" s="473"/>
      <c r="AB1105" s="473"/>
      <c r="AC1105" s="473"/>
      <c r="AD1105" s="473"/>
      <c r="AE1105" s="473"/>
      <c r="AF1105" s="473"/>
      <c r="AG1105" s="473"/>
      <c r="AH1105" s="473"/>
      <c r="AI1105" s="473"/>
      <c r="AJ1105" s="473"/>
      <c r="AK1105" s="473"/>
      <c r="AL1105" s="473"/>
      <c r="AM1105" s="473"/>
      <c r="AN1105" s="473"/>
      <c r="AO1105" s="473"/>
      <c r="AP1105" s="473"/>
      <c r="AQ1105" s="473"/>
      <c r="AR1105" s="473"/>
      <c r="AS1105" s="473"/>
      <c r="AT1105" s="473"/>
      <c r="AU1105" s="473"/>
      <c r="AV1105" s="473"/>
      <c r="AW1105" s="473"/>
      <c r="AX1105" s="473"/>
      <c r="AY1105" s="473"/>
      <c r="AZ1105" s="473"/>
      <c r="BA1105" s="473"/>
      <c r="BB1105" s="473"/>
      <c r="BC1105" s="473"/>
      <c r="BD1105" s="473"/>
      <c r="BE1105" s="473"/>
      <c r="BF1105" s="473"/>
      <c r="BG1105" s="473"/>
      <c r="BH1105" s="473"/>
      <c r="BI1105" s="473"/>
      <c r="BJ1105" s="473"/>
      <c r="BK1105" s="473"/>
      <c r="BL1105" s="473"/>
      <c r="BM1105" s="473"/>
      <c r="BN1105" s="473"/>
      <c r="BO1105" s="473"/>
      <c r="BP1105" s="473"/>
      <c r="BQ1105" s="473"/>
      <c r="BR1105" s="473"/>
      <c r="BS1105" s="473"/>
      <c r="BT1105" s="473"/>
      <c r="BU1105" s="473"/>
      <c r="BV1105" s="473"/>
      <c r="BW1105" s="473"/>
      <c r="BX1105" s="473"/>
      <c r="BY1105" s="473"/>
      <c r="BZ1105" s="473"/>
      <c r="CA1105" s="473"/>
      <c r="CB1105" s="473"/>
      <c r="CC1105" s="473"/>
      <c r="CD1105" s="473"/>
      <c r="CE1105" s="473"/>
      <c r="CF1105" s="473"/>
      <c r="CG1105" s="473"/>
      <c r="CH1105" s="473"/>
      <c r="CI1105" s="473"/>
      <c r="CJ1105" s="501"/>
      <c r="CK1105" s="473"/>
      <c r="CL1105" s="473"/>
      <c r="CM1105" s="473"/>
      <c r="CN1105" s="473"/>
      <c r="CO1105" s="473"/>
      <c r="CP1105" s="501"/>
      <c r="CQ1105" s="473"/>
      <c r="CR1105" s="473"/>
      <c r="CS1105" s="473"/>
      <c r="CT1105" s="473"/>
      <c r="CU1105" s="473"/>
      <c r="CV1105" s="501"/>
      <c r="CW1105" s="473"/>
      <c r="CX1105" s="473"/>
      <c r="CY1105" s="473"/>
      <c r="CZ1105" s="473"/>
      <c r="DA1105" s="473"/>
      <c r="DB1105" s="1527"/>
      <c r="DC1105" s="501"/>
      <c r="DD1105" s="501"/>
      <c r="DE1105" s="501"/>
      <c r="DF1105" s="501"/>
      <c r="DG1105" s="501"/>
      <c r="DH1105" s="501"/>
      <c r="DI1105" s="501"/>
      <c r="DJ1105" s="501"/>
      <c r="DK1105" s="501"/>
      <c r="DL1105" s="501"/>
      <c r="DM1105" s="501"/>
      <c r="DN1105" s="1545"/>
      <c r="DO1105" s="501"/>
      <c r="DP1105" s="501"/>
      <c r="DQ1105" s="501"/>
      <c r="DR1105" s="501"/>
      <c r="DS1105" s="501"/>
      <c r="DT1105" s="501"/>
      <c r="DU1105" s="501"/>
      <c r="DV1105" s="501"/>
      <c r="DW1105" s="501"/>
      <c r="DX1105" s="501"/>
      <c r="DY1105" s="501"/>
      <c r="DZ1105" s="1545"/>
      <c r="HR1105" s="550" t="str">
        <f t="shared" ref="HR1105:HR1110" si="1762">+D1105</f>
        <v>Memorandum items flows from TOFE/Budget</v>
      </c>
      <c r="HS1105" s="518"/>
      <c r="HT1105" s="518"/>
      <c r="HU1105" s="518"/>
      <c r="HV1105" s="473"/>
      <c r="HW1105" s="473"/>
      <c r="HX1105" s="346"/>
      <c r="HY1105" s="518"/>
      <c r="HZ1105" s="518"/>
      <c r="IA1105" s="346"/>
      <c r="IB1105" s="518"/>
      <c r="IC1105" s="518"/>
      <c r="ID1105" s="346"/>
      <c r="IE1105" s="346"/>
      <c r="IF1105" s="346"/>
      <c r="IG1105" s="346"/>
      <c r="IH1105" s="346"/>
      <c r="II1105" s="346"/>
      <c r="IJ1105" s="346"/>
      <c r="KI1105" s="302"/>
    </row>
    <row r="1106" spans="1:295" ht="15.5">
      <c r="A1106" s="302"/>
      <c r="B1106" s="302"/>
      <c r="C1106" s="302"/>
      <c r="D1106" s="497" t="s">
        <v>695</v>
      </c>
      <c r="E1106" s="473"/>
      <c r="F1106" s="473"/>
      <c r="G1106" s="473"/>
      <c r="H1106" s="473"/>
      <c r="I1106" s="473"/>
      <c r="J1106" s="473"/>
      <c r="K1106" s="473"/>
      <c r="L1106" s="473"/>
      <c r="M1106" s="473"/>
      <c r="N1106" s="473"/>
      <c r="O1106" s="473"/>
      <c r="P1106" s="473"/>
      <c r="Q1106" s="473"/>
      <c r="R1106" s="473"/>
      <c r="S1106" s="473"/>
      <c r="T1106" s="473"/>
      <c r="U1106" s="473"/>
      <c r="V1106" s="473"/>
      <c r="W1106" s="473"/>
      <c r="X1106" s="473"/>
      <c r="Y1106" s="473"/>
      <c r="Z1106" s="473"/>
      <c r="AA1106" s="473"/>
      <c r="AB1106" s="473"/>
      <c r="AC1106" s="473"/>
      <c r="AD1106" s="473"/>
      <c r="AE1106" s="473"/>
      <c r="AF1106" s="473"/>
      <c r="AG1106" s="473"/>
      <c r="AH1106" s="473"/>
      <c r="AI1106" s="473"/>
      <c r="AJ1106" s="473"/>
      <c r="AK1106" s="473"/>
      <c r="AL1106" s="473"/>
      <c r="AM1106" s="473"/>
      <c r="AN1106" s="473"/>
      <c r="AO1106" s="473"/>
      <c r="AP1106" s="473"/>
      <c r="AQ1106" s="473"/>
      <c r="AR1106" s="473"/>
      <c r="AS1106" s="473"/>
      <c r="AT1106" s="473"/>
      <c r="AU1106" s="473"/>
      <c r="AV1106" s="473"/>
      <c r="AW1106" s="473"/>
      <c r="AX1106" s="473"/>
      <c r="AY1106" s="473"/>
      <c r="AZ1106" s="473"/>
      <c r="BA1106" s="473"/>
      <c r="BB1106" s="473"/>
      <c r="BC1106" s="473"/>
      <c r="BD1106" s="473"/>
      <c r="BE1106" s="473"/>
      <c r="BF1106" s="473"/>
      <c r="BG1106" s="473"/>
      <c r="BH1106" s="473"/>
      <c r="BI1106" s="473"/>
      <c r="BJ1106" s="473"/>
      <c r="BK1106" s="473"/>
      <c r="BL1106" s="473"/>
      <c r="BM1106" s="473"/>
      <c r="BN1106" s="473"/>
      <c r="BO1106" s="473"/>
      <c r="BP1106" s="473"/>
      <c r="BQ1106" s="473"/>
      <c r="BR1106" s="473"/>
      <c r="BS1106" s="473"/>
      <c r="BT1106" s="473"/>
      <c r="BU1106" s="473"/>
      <c r="BV1106" s="473"/>
      <c r="BW1106" s="473"/>
      <c r="BX1106" s="473"/>
      <c r="BY1106" s="473"/>
      <c r="BZ1106" s="473"/>
      <c r="CA1106" s="473"/>
      <c r="CB1106" s="473"/>
      <c r="CC1106" s="473"/>
      <c r="CD1106" s="473"/>
      <c r="CE1106" s="473"/>
      <c r="CF1106" s="473"/>
      <c r="CG1106" s="473"/>
      <c r="CH1106" s="473"/>
      <c r="CI1106" s="473"/>
      <c r="CJ1106" s="501"/>
      <c r="CK1106" s="473"/>
      <c r="CL1106" s="473"/>
      <c r="CM1106" s="473"/>
      <c r="CN1106" s="473"/>
      <c r="CO1106" s="473"/>
      <c r="CP1106" s="501"/>
      <c r="CQ1106" s="473"/>
      <c r="CR1106" s="473"/>
      <c r="CS1106" s="473"/>
      <c r="CT1106" s="473"/>
      <c r="CU1106" s="473"/>
      <c r="CV1106" s="501"/>
      <c r="CW1106" s="473"/>
      <c r="CX1106" s="473"/>
      <c r="CY1106" s="473"/>
      <c r="CZ1106" s="473"/>
      <c r="DA1106" s="473"/>
      <c r="DB1106" s="1527"/>
      <c r="DC1106" s="501"/>
      <c r="DD1106" s="501"/>
      <c r="DE1106" s="501"/>
      <c r="DF1106" s="501"/>
      <c r="DG1106" s="501"/>
      <c r="DH1106" s="501"/>
      <c r="DI1106" s="501"/>
      <c r="DJ1106" s="501"/>
      <c r="DK1106" s="501"/>
      <c r="DL1106" s="501"/>
      <c r="DM1106" s="501"/>
      <c r="DN1106" s="1545"/>
      <c r="DO1106" s="501"/>
      <c r="DP1106" s="501"/>
      <c r="DQ1106" s="501"/>
      <c r="DR1106" s="501"/>
      <c r="DS1106" s="501"/>
      <c r="DT1106" s="501"/>
      <c r="DU1106" s="501"/>
      <c r="DV1106" s="501"/>
      <c r="DW1106" s="501"/>
      <c r="DX1106" s="501"/>
      <c r="DY1106" s="501"/>
      <c r="DZ1106" s="1545"/>
      <c r="HR1106" s="546" t="str">
        <f t="shared" si="1762"/>
        <v>Net domestic financing Budget (TOFE)</v>
      </c>
      <c r="HS1106" s="518"/>
      <c r="HT1106" s="518"/>
      <c r="HU1106" s="518"/>
      <c r="HV1106" s="473">
        <f t="shared" ref="HV1106:ID1106" si="1763">+HV596</f>
        <v>-78.13615325913635</v>
      </c>
      <c r="HW1106" s="473">
        <f t="shared" si="1763"/>
        <v>125.22299616226169</v>
      </c>
      <c r="HX1106" s="346">
        <f t="shared" si="1763"/>
        <v>47.086842903125344</v>
      </c>
      <c r="HY1106" s="473">
        <f t="shared" si="1763"/>
        <v>-72.650068431331647</v>
      </c>
      <c r="HZ1106" s="473">
        <f t="shared" si="1763"/>
        <v>131.18312362037869</v>
      </c>
      <c r="IA1106" s="346">
        <f t="shared" si="1763"/>
        <v>58.533055189047047</v>
      </c>
      <c r="IB1106" s="473">
        <f t="shared" si="1763"/>
        <v>-76.513563812377328</v>
      </c>
      <c r="IC1106" s="473">
        <f t="shared" si="1763"/>
        <v>112.67301332015495</v>
      </c>
      <c r="ID1106" s="346">
        <f t="shared" si="1763"/>
        <v>42.957634732946076</v>
      </c>
      <c r="IE1106" s="346"/>
      <c r="IF1106" s="346"/>
      <c r="IG1106" s="346">
        <f>+IG596</f>
        <v>54.068706620315851</v>
      </c>
      <c r="IH1106" s="346"/>
      <c r="II1106" s="346"/>
      <c r="IJ1106" s="346">
        <f>+IJ596</f>
        <v>88.652325063023426</v>
      </c>
      <c r="KI1106" s="302"/>
    </row>
    <row r="1107" spans="1:295" ht="15.5">
      <c r="A1107" s="302"/>
      <c r="B1107" s="302"/>
      <c r="C1107" s="302"/>
      <c r="D1107" s="472" t="s">
        <v>697</v>
      </c>
      <c r="E1107" s="473"/>
      <c r="F1107" s="473"/>
      <c r="G1107" s="473"/>
      <c r="H1107" s="473"/>
      <c r="I1107" s="473"/>
      <c r="J1107" s="473"/>
      <c r="K1107" s="473"/>
      <c r="L1107" s="473"/>
      <c r="M1107" s="473"/>
      <c r="N1107" s="473"/>
      <c r="O1107" s="473"/>
      <c r="P1107" s="473"/>
      <c r="Q1107" s="473"/>
      <c r="R1107" s="473"/>
      <c r="S1107" s="473"/>
      <c r="T1107" s="473"/>
      <c r="U1107" s="473"/>
      <c r="V1107" s="473"/>
      <c r="W1107" s="473"/>
      <c r="X1107" s="473"/>
      <c r="Y1107" s="473"/>
      <c r="Z1107" s="473"/>
      <c r="AA1107" s="473"/>
      <c r="AB1107" s="473"/>
      <c r="AC1107" s="473"/>
      <c r="AD1107" s="473"/>
      <c r="AE1107" s="473"/>
      <c r="AF1107" s="473"/>
      <c r="AG1107" s="473"/>
      <c r="AH1107" s="473"/>
      <c r="AI1107" s="473"/>
      <c r="AJ1107" s="473"/>
      <c r="AK1107" s="473"/>
      <c r="AL1107" s="473"/>
      <c r="AM1107" s="473"/>
      <c r="AN1107" s="473"/>
      <c r="AO1107" s="473"/>
      <c r="AP1107" s="473"/>
      <c r="AQ1107" s="473"/>
      <c r="AR1107" s="473"/>
      <c r="AS1107" s="473"/>
      <c r="AT1107" s="473"/>
      <c r="AU1107" s="473"/>
      <c r="AV1107" s="473"/>
      <c r="AW1107" s="473"/>
      <c r="AX1107" s="473"/>
      <c r="AY1107" s="473"/>
      <c r="AZ1107" s="473"/>
      <c r="BA1107" s="473"/>
      <c r="BB1107" s="473"/>
      <c r="BC1107" s="473"/>
      <c r="BD1107" s="473"/>
      <c r="BE1107" s="473"/>
      <c r="BF1107" s="473"/>
      <c r="BG1107" s="473"/>
      <c r="BH1107" s="473"/>
      <c r="BI1107" s="473"/>
      <c r="BJ1107" s="473"/>
      <c r="BK1107" s="473"/>
      <c r="BL1107" s="473"/>
      <c r="BM1107" s="473"/>
      <c r="BN1107" s="473"/>
      <c r="BO1107" s="473"/>
      <c r="BP1107" s="473"/>
      <c r="BQ1107" s="473"/>
      <c r="BR1107" s="473"/>
      <c r="BS1107" s="473"/>
      <c r="BT1107" s="473"/>
      <c r="BU1107" s="473"/>
      <c r="BV1107" s="473"/>
      <c r="BW1107" s="473"/>
      <c r="BX1107" s="473"/>
      <c r="BY1107" s="473"/>
      <c r="BZ1107" s="473"/>
      <c r="CA1107" s="473"/>
      <c r="CB1107" s="473"/>
      <c r="CC1107" s="473"/>
      <c r="CD1107" s="473"/>
      <c r="CE1107" s="473"/>
      <c r="CF1107" s="473"/>
      <c r="CG1107" s="473"/>
      <c r="CH1107" s="473"/>
      <c r="CI1107" s="473"/>
      <c r="CJ1107" s="501"/>
      <c r="CK1107" s="473"/>
      <c r="CL1107" s="473"/>
      <c r="CM1107" s="473"/>
      <c r="CN1107" s="473"/>
      <c r="CO1107" s="473"/>
      <c r="CP1107" s="501"/>
      <c r="CQ1107" s="473"/>
      <c r="CR1107" s="473"/>
      <c r="CS1107" s="473"/>
      <c r="CT1107" s="473"/>
      <c r="CU1107" s="473"/>
      <c r="CV1107" s="501"/>
      <c r="CW1107" s="473"/>
      <c r="CX1107" s="473"/>
      <c r="CY1107" s="473"/>
      <c r="CZ1107" s="473"/>
      <c r="DA1107" s="473"/>
      <c r="DB1107" s="1527"/>
      <c r="DC1107" s="501"/>
      <c r="DD1107" s="501"/>
      <c r="DE1107" s="501"/>
      <c r="DF1107" s="501"/>
      <c r="DG1107" s="501"/>
      <c r="DH1107" s="501"/>
      <c r="DI1107" s="501"/>
      <c r="DJ1107" s="501"/>
      <c r="DK1107" s="501"/>
      <c r="DL1107" s="501"/>
      <c r="DM1107" s="501"/>
      <c r="DN1107" s="1545"/>
      <c r="DO1107" s="501"/>
      <c r="DP1107" s="501"/>
      <c r="DQ1107" s="501"/>
      <c r="DR1107" s="501"/>
      <c r="DS1107" s="501"/>
      <c r="DT1107" s="501"/>
      <c r="DU1107" s="501"/>
      <c r="DV1107" s="501"/>
      <c r="DW1107" s="501"/>
      <c r="DX1107" s="501"/>
      <c r="DY1107" s="501"/>
      <c r="DZ1107" s="1545"/>
      <c r="HR1107" s="517" t="str">
        <f t="shared" si="1762"/>
        <v>Net bank financing (TOFE)</v>
      </c>
      <c r="HS1107" s="518"/>
      <c r="HT1107" s="518"/>
      <c r="HU1107" s="518"/>
      <c r="HV1107" s="473">
        <f t="shared" ref="HV1107:ID1107" si="1764">+HV597</f>
        <v>-85.497536725731806</v>
      </c>
      <c r="HW1107" s="473">
        <f t="shared" si="1764"/>
        <v>84.867020229366716</v>
      </c>
      <c r="HX1107" s="346">
        <f t="shared" si="1764"/>
        <v>-0.63051649636508955</v>
      </c>
      <c r="HY1107" s="473">
        <f t="shared" si="1764"/>
        <v>-112.17075469062888</v>
      </c>
      <c r="HZ1107" s="473">
        <f t="shared" si="1764"/>
        <v>129.51397008959785</v>
      </c>
      <c r="IA1107" s="346">
        <f t="shared" si="1764"/>
        <v>17.343215398968965</v>
      </c>
      <c r="IB1107" s="473">
        <f t="shared" si="1764"/>
        <v>-83.333111696434202</v>
      </c>
      <c r="IC1107" s="473">
        <f t="shared" si="1764"/>
        <v>132.16387338195821</v>
      </c>
      <c r="ID1107" s="346">
        <f t="shared" si="1764"/>
        <v>48.83076168552401</v>
      </c>
      <c r="IE1107" s="346"/>
      <c r="IF1107" s="346"/>
      <c r="IG1107" s="346">
        <f>+IG597</f>
        <v>-12.837968470684132</v>
      </c>
      <c r="IH1107" s="346"/>
      <c r="II1107" s="346"/>
      <c r="IJ1107" s="346">
        <f>+IJ597</f>
        <v>88.652325063023426</v>
      </c>
      <c r="KI1107" s="302"/>
    </row>
    <row r="1108" spans="1:295" ht="15.5">
      <c r="A1108" s="302"/>
      <c r="B1108" s="302"/>
      <c r="C1108" s="302"/>
      <c r="D1108" s="472" t="s">
        <v>696</v>
      </c>
      <c r="E1108" s="473"/>
      <c r="F1108" s="473"/>
      <c r="G1108" s="473"/>
      <c r="H1108" s="473"/>
      <c r="I1108" s="473"/>
      <c r="J1108" s="473"/>
      <c r="K1108" s="473"/>
      <c r="L1108" s="473"/>
      <c r="M1108" s="473"/>
      <c r="N1108" s="473"/>
      <c r="O1108" s="473"/>
      <c r="P1108" s="473"/>
      <c r="Q1108" s="473"/>
      <c r="R1108" s="473"/>
      <c r="S1108" s="473"/>
      <c r="T1108" s="473"/>
      <c r="U1108" s="473"/>
      <c r="V1108" s="473"/>
      <c r="W1108" s="473"/>
      <c r="X1108" s="473"/>
      <c r="Y1108" s="473"/>
      <c r="Z1108" s="473"/>
      <c r="AA1108" s="473"/>
      <c r="AB1108" s="473"/>
      <c r="AC1108" s="473"/>
      <c r="AD1108" s="473"/>
      <c r="AE1108" s="473"/>
      <c r="AF1108" s="473"/>
      <c r="AG1108" s="473"/>
      <c r="AH1108" s="473"/>
      <c r="AI1108" s="473"/>
      <c r="AJ1108" s="473"/>
      <c r="AK1108" s="473"/>
      <c r="AL1108" s="473"/>
      <c r="AM1108" s="473"/>
      <c r="AN1108" s="473"/>
      <c r="AO1108" s="473"/>
      <c r="AP1108" s="473"/>
      <c r="AQ1108" s="473"/>
      <c r="AR1108" s="473"/>
      <c r="AS1108" s="473"/>
      <c r="AT1108" s="473"/>
      <c r="AU1108" s="473"/>
      <c r="AV1108" s="473"/>
      <c r="AW1108" s="473"/>
      <c r="AX1108" s="473"/>
      <c r="AY1108" s="473"/>
      <c r="AZ1108" s="473"/>
      <c r="BA1108" s="473"/>
      <c r="BB1108" s="473"/>
      <c r="BC1108" s="473"/>
      <c r="BD1108" s="473"/>
      <c r="BE1108" s="473"/>
      <c r="BF1108" s="473"/>
      <c r="BG1108" s="473"/>
      <c r="BH1108" s="473"/>
      <c r="BI1108" s="473"/>
      <c r="BJ1108" s="473"/>
      <c r="BK1108" s="473"/>
      <c r="BL1108" s="473"/>
      <c r="BM1108" s="473"/>
      <c r="BN1108" s="473"/>
      <c r="BO1108" s="473"/>
      <c r="BP1108" s="473"/>
      <c r="BQ1108" s="473"/>
      <c r="BR1108" s="473"/>
      <c r="BS1108" s="473"/>
      <c r="BT1108" s="473"/>
      <c r="BU1108" s="473"/>
      <c r="BV1108" s="473"/>
      <c r="BW1108" s="473"/>
      <c r="BX1108" s="473"/>
      <c r="BY1108" s="473"/>
      <c r="BZ1108" s="473"/>
      <c r="CA1108" s="473"/>
      <c r="CB1108" s="473"/>
      <c r="CC1108" s="473"/>
      <c r="CD1108" s="473"/>
      <c r="CE1108" s="473"/>
      <c r="CF1108" s="473"/>
      <c r="CG1108" s="473"/>
      <c r="CH1108" s="473"/>
      <c r="CI1108" s="473"/>
      <c r="CJ1108" s="501"/>
      <c r="CK1108" s="473"/>
      <c r="CL1108" s="473"/>
      <c r="CM1108" s="473"/>
      <c r="CN1108" s="473"/>
      <c r="CO1108" s="473"/>
      <c r="CP1108" s="501"/>
      <c r="CQ1108" s="473"/>
      <c r="CR1108" s="473"/>
      <c r="CS1108" s="473"/>
      <c r="CT1108" s="473"/>
      <c r="CU1108" s="473"/>
      <c r="CV1108" s="501"/>
      <c r="CW1108" s="473"/>
      <c r="CX1108" s="473"/>
      <c r="CY1108" s="473"/>
      <c r="CZ1108" s="473"/>
      <c r="DA1108" s="473"/>
      <c r="DB1108" s="1527"/>
      <c r="DC1108" s="501"/>
      <c r="DD1108" s="501"/>
      <c r="DE1108" s="501"/>
      <c r="DF1108" s="501"/>
      <c r="DG1108" s="501"/>
      <c r="DH1108" s="501"/>
      <c r="DI1108" s="501"/>
      <c r="DJ1108" s="501"/>
      <c r="DK1108" s="501"/>
      <c r="DL1108" s="501"/>
      <c r="DM1108" s="501"/>
      <c r="DN1108" s="1545"/>
      <c r="DO1108" s="501"/>
      <c r="DP1108" s="501"/>
      <c r="DQ1108" s="501"/>
      <c r="DR1108" s="501"/>
      <c r="DS1108" s="501"/>
      <c r="DT1108" s="501"/>
      <c r="DU1108" s="501"/>
      <c r="DV1108" s="501"/>
      <c r="DW1108" s="501"/>
      <c r="DX1108" s="501"/>
      <c r="DY1108" s="501"/>
      <c r="DZ1108" s="1545"/>
      <c r="HR1108" s="518" t="str">
        <f t="shared" si="1762"/>
        <v>Net use of govt deposits  with NBR  (TOFE)</v>
      </c>
      <c r="HS1108" s="518"/>
      <c r="HT1108" s="518"/>
      <c r="HU1108" s="518"/>
      <c r="HV1108" s="473">
        <f>+SUM(HV600:HV609)+IF(HV598&lt;0,HV598,0)</f>
        <v>-85.497536725731806</v>
      </c>
      <c r="HW1108" s="473">
        <f>+HX1108-HV1108</f>
        <v>97.564872111731802</v>
      </c>
      <c r="HX1108" s="346">
        <f>+SUM(HX600:HX609)</f>
        <v>12.067335386</v>
      </c>
      <c r="HY1108" s="473">
        <f>+HY600+HY608+HY609++IF(HY598&lt;0,HY598,0)</f>
        <v>-112.17075469062888</v>
      </c>
      <c r="HZ1108" s="473">
        <f>+IA1108-HY1108</f>
        <v>91.309492515628875</v>
      </c>
      <c r="IA1108" s="346">
        <f>+IA600+IA608+IA609</f>
        <v>-20.861262175</v>
      </c>
      <c r="IB1108" s="473">
        <f>+IB600+IB608+IB609++IF(IB598&lt;0,IB598,0)</f>
        <v>-33.1234926415</v>
      </c>
      <c r="IC1108" s="473">
        <f>+ID1108-IB1108</f>
        <v>25.0432657775</v>
      </c>
      <c r="ID1108" s="346">
        <f>+ID600+ID608+ID609</f>
        <v>-8.0802268640000001</v>
      </c>
      <c r="IE1108" s="346"/>
      <c r="IF1108" s="346"/>
      <c r="IG1108" s="346">
        <f>+IG600+IG608+IG609</f>
        <v>-6.40430922</v>
      </c>
      <c r="IH1108" s="346"/>
      <c r="II1108" s="346"/>
      <c r="IJ1108" s="346">
        <f>+IJ600+IJ608+IJ609</f>
        <v>-15.215586027000001</v>
      </c>
      <c r="KI1108" s="302"/>
    </row>
    <row r="1109" spans="1:295" ht="15.5">
      <c r="A1109" s="302"/>
      <c r="B1109" s="302"/>
      <c r="C1109" s="302"/>
      <c r="D1109" s="472" t="s">
        <v>698</v>
      </c>
      <c r="E1109" s="473"/>
      <c r="F1109" s="473"/>
      <c r="G1109" s="473"/>
      <c r="H1109" s="473"/>
      <c r="I1109" s="473"/>
      <c r="J1109" s="473"/>
      <c r="K1109" s="473"/>
      <c r="L1109" s="473"/>
      <c r="M1109" s="473"/>
      <c r="N1109" s="473"/>
      <c r="O1109" s="473"/>
      <c r="P1109" s="473"/>
      <c r="Q1109" s="473"/>
      <c r="R1109" s="473"/>
      <c r="S1109" s="473"/>
      <c r="T1109" s="473"/>
      <c r="U1109" s="473"/>
      <c r="V1109" s="473"/>
      <c r="W1109" s="473"/>
      <c r="X1109" s="473"/>
      <c r="Y1109" s="473"/>
      <c r="Z1109" s="473"/>
      <c r="AA1109" s="473"/>
      <c r="AB1109" s="473"/>
      <c r="AC1109" s="473"/>
      <c r="AD1109" s="473"/>
      <c r="AE1109" s="473"/>
      <c r="AF1109" s="473"/>
      <c r="AG1109" s="473"/>
      <c r="AH1109" s="473"/>
      <c r="AI1109" s="473"/>
      <c r="AJ1109" s="473"/>
      <c r="AK1109" s="473"/>
      <c r="AL1109" s="473"/>
      <c r="AM1109" s="473"/>
      <c r="AN1109" s="473"/>
      <c r="AO1109" s="473"/>
      <c r="AP1109" s="473"/>
      <c r="AQ1109" s="473"/>
      <c r="AR1109" s="473"/>
      <c r="AS1109" s="473"/>
      <c r="AT1109" s="473"/>
      <c r="AU1109" s="473"/>
      <c r="AV1109" s="473"/>
      <c r="AW1109" s="473"/>
      <c r="AX1109" s="473"/>
      <c r="AY1109" s="473"/>
      <c r="AZ1109" s="473"/>
      <c r="BA1109" s="473"/>
      <c r="BB1109" s="473"/>
      <c r="BC1109" s="473"/>
      <c r="BD1109" s="473"/>
      <c r="BE1109" s="473"/>
      <c r="BF1109" s="473"/>
      <c r="BG1109" s="473"/>
      <c r="BH1109" s="473"/>
      <c r="BI1109" s="473"/>
      <c r="BJ1109" s="473"/>
      <c r="BK1109" s="473"/>
      <c r="BL1109" s="473"/>
      <c r="BM1109" s="473"/>
      <c r="BN1109" s="473"/>
      <c r="BO1109" s="473"/>
      <c r="BP1109" s="473"/>
      <c r="BQ1109" s="473"/>
      <c r="BR1109" s="473"/>
      <c r="BS1109" s="473"/>
      <c r="BT1109" s="473"/>
      <c r="BU1109" s="473"/>
      <c r="BV1109" s="473"/>
      <c r="BW1109" s="473"/>
      <c r="BX1109" s="473"/>
      <c r="BY1109" s="473"/>
      <c r="BZ1109" s="473"/>
      <c r="CA1109" s="473"/>
      <c r="CB1109" s="473"/>
      <c r="CC1109" s="473"/>
      <c r="CD1109" s="473"/>
      <c r="CE1109" s="473"/>
      <c r="CF1109" s="473"/>
      <c r="CG1109" s="473"/>
      <c r="CH1109" s="473"/>
      <c r="CI1109" s="473"/>
      <c r="CJ1109" s="501"/>
      <c r="CK1109" s="473"/>
      <c r="CL1109" s="473"/>
      <c r="CM1109" s="473"/>
      <c r="CN1109" s="473"/>
      <c r="CO1109" s="473"/>
      <c r="CP1109" s="501"/>
      <c r="CQ1109" s="473"/>
      <c r="CR1109" s="473"/>
      <c r="CS1109" s="473"/>
      <c r="CT1109" s="473"/>
      <c r="CU1109" s="473"/>
      <c r="CV1109" s="501"/>
      <c r="CW1109" s="473"/>
      <c r="CX1109" s="473"/>
      <c r="CY1109" s="473"/>
      <c r="CZ1109" s="473"/>
      <c r="DA1109" s="473"/>
      <c r="DB1109" s="1527"/>
      <c r="DC1109" s="501"/>
      <c r="DD1109" s="501"/>
      <c r="DE1109" s="501"/>
      <c r="DF1109" s="501"/>
      <c r="DG1109" s="501"/>
      <c r="DH1109" s="501"/>
      <c r="DI1109" s="501"/>
      <c r="DJ1109" s="501"/>
      <c r="DK1109" s="501"/>
      <c r="DL1109" s="501"/>
      <c r="DM1109" s="501"/>
      <c r="DN1109" s="1545"/>
      <c r="DO1109" s="501"/>
      <c r="DP1109" s="501"/>
      <c r="DQ1109" s="501"/>
      <c r="DR1109" s="501"/>
      <c r="DS1109" s="501"/>
      <c r="DT1109" s="501"/>
      <c r="DU1109" s="501"/>
      <c r="DV1109" s="501"/>
      <c r="DW1109" s="501"/>
      <c r="DX1109" s="501"/>
      <c r="DY1109" s="501"/>
      <c r="DZ1109" s="1545"/>
      <c r="HR1109" s="518" t="str">
        <f t="shared" si="1762"/>
        <v>Net repayment (-)  of overdraft with NBR</v>
      </c>
      <c r="HS1109" s="518"/>
      <c r="HT1109" s="518"/>
      <c r="HU1109" s="518"/>
      <c r="HV1109" s="473">
        <v>0</v>
      </c>
      <c r="HW1109" s="473">
        <v>0</v>
      </c>
      <c r="HX1109" s="346">
        <v>0</v>
      </c>
      <c r="HY1109" s="473">
        <v>0</v>
      </c>
      <c r="HZ1109" s="473">
        <v>0</v>
      </c>
      <c r="IA1109" s="346">
        <v>0</v>
      </c>
      <c r="IB1109" s="473">
        <v>0</v>
      </c>
      <c r="IC1109" s="473">
        <v>0</v>
      </c>
      <c r="ID1109" s="346">
        <v>0</v>
      </c>
      <c r="IE1109" s="346"/>
      <c r="IF1109" s="346"/>
      <c r="IG1109" s="346">
        <v>0</v>
      </c>
      <c r="IH1109" s="346"/>
      <c r="II1109" s="346"/>
      <c r="IJ1109" s="346">
        <v>0</v>
      </c>
      <c r="KI1109" s="302"/>
    </row>
    <row r="1110" spans="1:295" ht="15.5">
      <c r="A1110" s="302"/>
      <c r="B1110" s="302"/>
      <c r="C1110" s="302"/>
      <c r="D1110" s="497" t="s">
        <v>699</v>
      </c>
      <c r="E1110" s="473"/>
      <c r="F1110" s="473"/>
      <c r="G1110" s="473"/>
      <c r="H1110" s="473"/>
      <c r="I1110" s="473"/>
      <c r="J1110" s="473"/>
      <c r="K1110" s="473"/>
      <c r="L1110" s="473"/>
      <c r="M1110" s="473"/>
      <c r="N1110" s="473"/>
      <c r="O1110" s="473"/>
      <c r="P1110" s="473"/>
      <c r="Q1110" s="473"/>
      <c r="R1110" s="473"/>
      <c r="S1110" s="473"/>
      <c r="T1110" s="473"/>
      <c r="U1110" s="473"/>
      <c r="V1110" s="473"/>
      <c r="W1110" s="473"/>
      <c r="X1110" s="473"/>
      <c r="Y1110" s="473"/>
      <c r="Z1110" s="473"/>
      <c r="AA1110" s="473"/>
      <c r="AB1110" s="473"/>
      <c r="AC1110" s="473"/>
      <c r="AD1110" s="473"/>
      <c r="AE1110" s="473"/>
      <c r="AF1110" s="473"/>
      <c r="AG1110" s="473"/>
      <c r="AH1110" s="473"/>
      <c r="AI1110" s="473"/>
      <c r="AJ1110" s="473"/>
      <c r="AK1110" s="473"/>
      <c r="AL1110" s="473"/>
      <c r="AM1110" s="473"/>
      <c r="AN1110" s="473"/>
      <c r="AO1110" s="473"/>
      <c r="AP1110" s="473"/>
      <c r="AQ1110" s="473"/>
      <c r="AR1110" s="473"/>
      <c r="AS1110" s="473"/>
      <c r="AT1110" s="473"/>
      <c r="AU1110" s="473"/>
      <c r="AV1110" s="473"/>
      <c r="AW1110" s="473"/>
      <c r="AX1110" s="473"/>
      <c r="AY1110" s="473"/>
      <c r="AZ1110" s="473"/>
      <c r="BA1110" s="473"/>
      <c r="BB1110" s="473"/>
      <c r="BC1110" s="473"/>
      <c r="BD1110" s="473"/>
      <c r="BE1110" s="473"/>
      <c r="BF1110" s="473"/>
      <c r="BG1110" s="473"/>
      <c r="BH1110" s="473"/>
      <c r="BI1110" s="473"/>
      <c r="BJ1110" s="473"/>
      <c r="BK1110" s="473"/>
      <c r="BL1110" s="473"/>
      <c r="BM1110" s="473"/>
      <c r="BN1110" s="473"/>
      <c r="BO1110" s="473"/>
      <c r="BP1110" s="473"/>
      <c r="BQ1110" s="473"/>
      <c r="BR1110" s="473"/>
      <c r="BS1110" s="473"/>
      <c r="BT1110" s="473"/>
      <c r="BU1110" s="473"/>
      <c r="BV1110" s="473"/>
      <c r="BW1110" s="473"/>
      <c r="BX1110" s="473"/>
      <c r="BY1110" s="473"/>
      <c r="BZ1110" s="473"/>
      <c r="CA1110" s="473"/>
      <c r="CB1110" s="473"/>
      <c r="CC1110" s="473"/>
      <c r="CD1110" s="473"/>
      <c r="CE1110" s="473"/>
      <c r="CF1110" s="473"/>
      <c r="CG1110" s="473"/>
      <c r="CH1110" s="473"/>
      <c r="CI1110" s="473"/>
      <c r="CJ1110" s="501"/>
      <c r="CK1110" s="473"/>
      <c r="CL1110" s="473"/>
      <c r="CM1110" s="473"/>
      <c r="CN1110" s="473"/>
      <c r="CO1110" s="473"/>
      <c r="CP1110" s="501"/>
      <c r="CQ1110" s="473"/>
      <c r="CR1110" s="473"/>
      <c r="CS1110" s="473"/>
      <c r="CT1110" s="473"/>
      <c r="CU1110" s="473"/>
      <c r="CV1110" s="501"/>
      <c r="CW1110" s="473"/>
      <c r="CX1110" s="473"/>
      <c r="CY1110" s="473"/>
      <c r="CZ1110" s="473"/>
      <c r="DA1110" s="473"/>
      <c r="DB1110" s="1527"/>
      <c r="DC1110" s="501"/>
      <c r="DD1110" s="501"/>
      <c r="DE1110" s="501"/>
      <c r="DF1110" s="501"/>
      <c r="DG1110" s="501"/>
      <c r="DH1110" s="501"/>
      <c r="DI1110" s="501"/>
      <c r="DJ1110" s="501"/>
      <c r="DK1110" s="501"/>
      <c r="DL1110" s="501"/>
      <c r="DM1110" s="501"/>
      <c r="DN1110" s="1545"/>
      <c r="DO1110" s="501"/>
      <c r="DP1110" s="501"/>
      <c r="DQ1110" s="501"/>
      <c r="DR1110" s="501"/>
      <c r="DS1110" s="501"/>
      <c r="DT1110" s="501"/>
      <c r="DU1110" s="501"/>
      <c r="DV1110" s="501"/>
      <c r="DW1110" s="501"/>
      <c r="DX1110" s="501"/>
      <c r="DY1110" s="501"/>
      <c r="DZ1110" s="1545"/>
      <c r="HR1110" s="518" t="str">
        <f t="shared" si="1762"/>
        <v>Net issuance securities to banks</v>
      </c>
      <c r="HS1110" s="518"/>
      <c r="HT1110" s="518"/>
      <c r="HU1110" s="518"/>
      <c r="HV1110" s="473">
        <f t="shared" ref="HV1110:IA1110" si="1765">+HV1107-HV1108-HV1109</f>
        <v>0</v>
      </c>
      <c r="HW1110" s="473">
        <f t="shared" si="1765"/>
        <v>-12.697851882365086</v>
      </c>
      <c r="HX1110" s="346">
        <f>+HV1110+HW1110</f>
        <v>-12.697851882365086</v>
      </c>
      <c r="HY1110" s="473">
        <f t="shared" si="1765"/>
        <v>0</v>
      </c>
      <c r="HZ1110" s="473">
        <f t="shared" si="1765"/>
        <v>38.204477573968973</v>
      </c>
      <c r="IA1110" s="346">
        <f t="shared" si="1765"/>
        <v>38.204477573968965</v>
      </c>
      <c r="IB1110" s="473">
        <f>+IB1107-IB1108-IB1109</f>
        <v>-50.209619054934201</v>
      </c>
      <c r="IC1110" s="473">
        <f>+IC1107-IC1108-IC1109</f>
        <v>107.12060760445821</v>
      </c>
      <c r="ID1110" s="346">
        <f>+ID1107-ID1108-ID1109</f>
        <v>56.910988549524006</v>
      </c>
      <c r="IE1110" s="346"/>
      <c r="IF1110" s="346"/>
      <c r="IG1110" s="346">
        <f>+IG1107-IG1108-IG1109</f>
        <v>-6.4336592506841317</v>
      </c>
      <c r="IH1110" s="346"/>
      <c r="II1110" s="346"/>
      <c r="IJ1110" s="346">
        <f>+IJ1107-IJ1108-IJ1109</f>
        <v>103.86791109002343</v>
      </c>
      <c r="KI1110" s="302"/>
    </row>
    <row r="1111" spans="1:295" ht="15.5">
      <c r="A1111" s="302"/>
      <c r="B1111" s="302"/>
      <c r="C1111" s="302"/>
      <c r="D1111" s="497"/>
      <c r="E1111" s="473"/>
      <c r="F1111" s="473"/>
      <c r="G1111" s="473"/>
      <c r="H1111" s="473"/>
      <c r="I1111" s="473"/>
      <c r="J1111" s="473"/>
      <c r="K1111" s="473"/>
      <c r="L1111" s="473"/>
      <c r="M1111" s="473"/>
      <c r="N1111" s="473"/>
      <c r="O1111" s="473"/>
      <c r="P1111" s="473"/>
      <c r="Q1111" s="473"/>
      <c r="R1111" s="473"/>
      <c r="S1111" s="473"/>
      <c r="T1111" s="473"/>
      <c r="U1111" s="473"/>
      <c r="V1111" s="473"/>
      <c r="W1111" s="473"/>
      <c r="X1111" s="473"/>
      <c r="Y1111" s="473"/>
      <c r="Z1111" s="473"/>
      <c r="AA1111" s="473"/>
      <c r="AB1111" s="473"/>
      <c r="AC1111" s="473"/>
      <c r="AD1111" s="473"/>
      <c r="AE1111" s="473"/>
      <c r="AF1111" s="473"/>
      <c r="AG1111" s="473"/>
      <c r="AH1111" s="473"/>
      <c r="AI1111" s="473"/>
      <c r="AJ1111" s="473"/>
      <c r="AK1111" s="473"/>
      <c r="AL1111" s="473"/>
      <c r="AM1111" s="473"/>
      <c r="AN1111" s="473"/>
      <c r="AO1111" s="473"/>
      <c r="AP1111" s="473"/>
      <c r="AQ1111" s="473"/>
      <c r="AR1111" s="473"/>
      <c r="AS1111" s="473"/>
      <c r="AT1111" s="473"/>
      <c r="AU1111" s="473"/>
      <c r="AV1111" s="473"/>
      <c r="AW1111" s="473"/>
      <c r="AX1111" s="473"/>
      <c r="AY1111" s="473"/>
      <c r="AZ1111" s="473"/>
      <c r="BA1111" s="473"/>
      <c r="BB1111" s="473"/>
      <c r="BC1111" s="473"/>
      <c r="BD1111" s="473"/>
      <c r="BE1111" s="473"/>
      <c r="BF1111" s="473"/>
      <c r="BG1111" s="473"/>
      <c r="BH1111" s="473"/>
      <c r="BI1111" s="473"/>
      <c r="BJ1111" s="473"/>
      <c r="BK1111" s="473"/>
      <c r="BL1111" s="473"/>
      <c r="BM1111" s="473"/>
      <c r="BN1111" s="473"/>
      <c r="BO1111" s="473"/>
      <c r="BP1111" s="473"/>
      <c r="BQ1111" s="473"/>
      <c r="BR1111" s="473"/>
      <c r="BS1111" s="473"/>
      <c r="BT1111" s="473"/>
      <c r="BU1111" s="473"/>
      <c r="BV1111" s="473"/>
      <c r="BW1111" s="473"/>
      <c r="BX1111" s="473"/>
      <c r="BY1111" s="473"/>
      <c r="BZ1111" s="473"/>
      <c r="CA1111" s="473"/>
      <c r="CB1111" s="473"/>
      <c r="CC1111" s="473"/>
      <c r="CD1111" s="473"/>
      <c r="CE1111" s="473"/>
      <c r="CF1111" s="473"/>
      <c r="CG1111" s="473"/>
      <c r="CH1111" s="473"/>
      <c r="CI1111" s="473"/>
      <c r="CJ1111" s="501"/>
      <c r="CK1111" s="473"/>
      <c r="CL1111" s="473"/>
      <c r="CM1111" s="473"/>
      <c r="CN1111" s="473"/>
      <c r="CO1111" s="473"/>
      <c r="CP1111" s="501"/>
      <c r="CQ1111" s="473"/>
      <c r="CR1111" s="473"/>
      <c r="CS1111" s="473"/>
      <c r="CT1111" s="473"/>
      <c r="CU1111" s="473"/>
      <c r="CV1111" s="501"/>
      <c r="CW1111" s="473"/>
      <c r="CX1111" s="473"/>
      <c r="CY1111" s="473"/>
      <c r="CZ1111" s="473"/>
      <c r="DA1111" s="473"/>
      <c r="DB1111" s="1527"/>
      <c r="DC1111" s="501"/>
      <c r="DD1111" s="501"/>
      <c r="DE1111" s="501"/>
      <c r="DF1111" s="501"/>
      <c r="DG1111" s="501"/>
      <c r="DH1111" s="501"/>
      <c r="DI1111" s="501"/>
      <c r="DJ1111" s="501"/>
      <c r="DK1111" s="501"/>
      <c r="DL1111" s="501"/>
      <c r="DM1111" s="501"/>
      <c r="DN1111" s="1545"/>
      <c r="DO1111" s="501"/>
      <c r="DP1111" s="501"/>
      <c r="DQ1111" s="501"/>
      <c r="DR1111" s="501"/>
      <c r="DS1111" s="501"/>
      <c r="DT1111" s="501"/>
      <c r="DU1111" s="501"/>
      <c r="DV1111" s="501"/>
      <c r="DW1111" s="501"/>
      <c r="DX1111" s="501"/>
      <c r="DY1111" s="501"/>
      <c r="DZ1111" s="1545"/>
      <c r="HR1111" s="649"/>
      <c r="HS1111" s="518"/>
      <c r="HT1111" s="518"/>
      <c r="HU1111" s="518"/>
      <c r="HV1111" s="473"/>
      <c r="HW1111" s="473"/>
      <c r="HX1111" s="346"/>
      <c r="HY1111" s="473"/>
      <c r="HZ1111" s="473"/>
      <c r="IA1111" s="346"/>
      <c r="IB1111" s="473"/>
      <c r="IC1111" s="473"/>
      <c r="ID1111" s="346"/>
      <c r="IE1111" s="346"/>
      <c r="IF1111" s="346"/>
      <c r="IG1111" s="346"/>
      <c r="IH1111" s="346"/>
      <c r="II1111" s="346"/>
      <c r="IJ1111" s="346"/>
      <c r="KI1111" s="302"/>
    </row>
    <row r="1112" spans="1:295" ht="15.5">
      <c r="A1112" s="302"/>
      <c r="B1112" s="302"/>
      <c r="C1112" s="302"/>
      <c r="D1112" s="497" t="s">
        <v>700</v>
      </c>
      <c r="E1112" s="473"/>
      <c r="F1112" s="473"/>
      <c r="G1112" s="473"/>
      <c r="H1112" s="473"/>
      <c r="I1112" s="473"/>
      <c r="J1112" s="473"/>
      <c r="K1112" s="473"/>
      <c r="L1112" s="473"/>
      <c r="M1112" s="473"/>
      <c r="N1112" s="473"/>
      <c r="O1112" s="473"/>
      <c r="P1112" s="473"/>
      <c r="Q1112" s="473"/>
      <c r="R1112" s="473"/>
      <c r="S1112" s="473"/>
      <c r="T1112" s="473"/>
      <c r="U1112" s="473"/>
      <c r="V1112" s="473"/>
      <c r="W1112" s="473"/>
      <c r="X1112" s="473"/>
      <c r="Y1112" s="473"/>
      <c r="Z1112" s="473"/>
      <c r="AA1112" s="473"/>
      <c r="AB1112" s="473"/>
      <c r="AC1112" s="473"/>
      <c r="AD1112" s="473"/>
      <c r="AE1112" s="473"/>
      <c r="AF1112" s="473"/>
      <c r="AG1112" s="473"/>
      <c r="AH1112" s="473"/>
      <c r="AI1112" s="473"/>
      <c r="AJ1112" s="473"/>
      <c r="AK1112" s="473"/>
      <c r="AL1112" s="473"/>
      <c r="AM1112" s="473"/>
      <c r="AN1112" s="473"/>
      <c r="AO1112" s="473"/>
      <c r="AP1112" s="473"/>
      <c r="AQ1112" s="473"/>
      <c r="AR1112" s="473"/>
      <c r="AS1112" s="473"/>
      <c r="AT1112" s="473"/>
      <c r="AU1112" s="473"/>
      <c r="AV1112" s="473"/>
      <c r="AW1112" s="473"/>
      <c r="AX1112" s="473"/>
      <c r="AY1112" s="473"/>
      <c r="AZ1112" s="473"/>
      <c r="BA1112" s="473"/>
      <c r="BB1112" s="473"/>
      <c r="BC1112" s="473"/>
      <c r="BD1112" s="473"/>
      <c r="BE1112" s="473"/>
      <c r="BF1112" s="473"/>
      <c r="BG1112" s="473"/>
      <c r="BH1112" s="473"/>
      <c r="BI1112" s="473"/>
      <c r="BJ1112" s="473"/>
      <c r="BK1112" s="473"/>
      <c r="BL1112" s="473"/>
      <c r="BM1112" s="473"/>
      <c r="BN1112" s="473"/>
      <c r="BO1112" s="473"/>
      <c r="BP1112" s="473"/>
      <c r="BQ1112" s="473"/>
      <c r="BR1112" s="473"/>
      <c r="BS1112" s="473"/>
      <c r="BT1112" s="473"/>
      <c r="BU1112" s="473"/>
      <c r="BV1112" s="473"/>
      <c r="BW1112" s="473"/>
      <c r="BX1112" s="473"/>
      <c r="BY1112" s="473"/>
      <c r="BZ1112" s="473"/>
      <c r="CA1112" s="473"/>
      <c r="CB1112" s="473"/>
      <c r="CC1112" s="473"/>
      <c r="CD1112" s="473"/>
      <c r="CE1112" s="473"/>
      <c r="CF1112" s="473"/>
      <c r="CG1112" s="473"/>
      <c r="CH1112" s="473"/>
      <c r="CI1112" s="473"/>
      <c r="CJ1112" s="473"/>
      <c r="CK1112" s="473"/>
      <c r="CL1112" s="473"/>
      <c r="CM1112" s="473"/>
      <c r="CN1112" s="473"/>
      <c r="CO1112" s="473"/>
      <c r="CP1112" s="473"/>
      <c r="CQ1112" s="473"/>
      <c r="CR1112" s="473"/>
      <c r="CS1112" s="473"/>
      <c r="CT1112" s="473"/>
      <c r="CU1112" s="473"/>
      <c r="CV1112" s="473"/>
      <c r="CW1112" s="473"/>
      <c r="CX1112" s="473"/>
      <c r="CY1112" s="473"/>
      <c r="CZ1112" s="473"/>
      <c r="DA1112" s="473"/>
      <c r="DB1112" s="1524"/>
      <c r="DC1112" s="501"/>
      <c r="DD1112" s="501"/>
      <c r="DE1112" s="501"/>
      <c r="DF1112" s="501"/>
      <c r="DG1112" s="501"/>
      <c r="DH1112" s="501"/>
      <c r="DI1112" s="501"/>
      <c r="DJ1112" s="501"/>
      <c r="DK1112" s="501"/>
      <c r="DL1112" s="501"/>
      <c r="DM1112" s="501"/>
      <c r="DN1112" s="1545"/>
      <c r="DO1112" s="501"/>
      <c r="DP1112" s="501"/>
      <c r="DQ1112" s="501"/>
      <c r="DR1112" s="501"/>
      <c r="DS1112" s="501"/>
      <c r="DT1112" s="501"/>
      <c r="DU1112" s="501"/>
      <c r="DV1112" s="501"/>
      <c r="DW1112" s="501"/>
      <c r="DX1112" s="501"/>
      <c r="DY1112" s="501"/>
      <c r="DZ1112" s="1545"/>
      <c r="HR1112" s="517" t="str">
        <f>+D1112</f>
        <v>Net nonbank financing  (TOFE)</v>
      </c>
      <c r="HS1112" s="518"/>
      <c r="HT1112" s="518"/>
      <c r="HU1112" s="518"/>
      <c r="HV1112" s="473">
        <f t="shared" ref="HV1112:ID1112" si="1766">+HV610</f>
        <v>7.3613834665954556</v>
      </c>
      <c r="HW1112" s="473">
        <f t="shared" si="1766"/>
        <v>40.355975932894978</v>
      </c>
      <c r="HX1112" s="346">
        <f t="shared" si="1766"/>
        <v>47.717359399490434</v>
      </c>
      <c r="HY1112" s="473">
        <f t="shared" si="1766"/>
        <v>39.520686259297236</v>
      </c>
      <c r="HZ1112" s="473">
        <f t="shared" si="1766"/>
        <v>1.6691535307808563</v>
      </c>
      <c r="IA1112" s="346">
        <f t="shared" si="1766"/>
        <v>41.189839790078089</v>
      </c>
      <c r="IB1112" s="473">
        <f t="shared" si="1766"/>
        <v>-24.621827508577802</v>
      </c>
      <c r="IC1112" s="473">
        <f t="shared" si="1766"/>
        <v>18.748700555999868</v>
      </c>
      <c r="ID1112" s="346">
        <f t="shared" si="1766"/>
        <v>-5.8731269525779339</v>
      </c>
      <c r="IE1112" s="346"/>
      <c r="IF1112" s="346"/>
      <c r="IG1112" s="346">
        <f>+IG610</f>
        <v>66.906675090999983</v>
      </c>
      <c r="IH1112" s="346"/>
      <c r="II1112" s="346"/>
      <c r="IJ1112" s="346">
        <f>+IJ610</f>
        <v>0</v>
      </c>
      <c r="KI1112" s="302"/>
    </row>
    <row r="1113" spans="1:295" ht="15.5">
      <c r="A1113" s="302"/>
      <c r="B1113" s="302"/>
      <c r="C1113" s="302"/>
      <c r="D1113" s="472" t="s">
        <v>701</v>
      </c>
      <c r="E1113" s="473"/>
      <c r="F1113" s="473"/>
      <c r="G1113" s="473"/>
      <c r="H1113" s="473"/>
      <c r="I1113" s="473"/>
      <c r="J1113" s="473"/>
      <c r="K1113" s="473"/>
      <c r="L1113" s="473"/>
      <c r="M1113" s="473"/>
      <c r="N1113" s="473"/>
      <c r="O1113" s="473"/>
      <c r="P1113" s="473"/>
      <c r="Q1113" s="473"/>
      <c r="R1113" s="473"/>
      <c r="S1113" s="473"/>
      <c r="T1113" s="473"/>
      <c r="U1113" s="473"/>
      <c r="V1113" s="473"/>
      <c r="W1113" s="473"/>
      <c r="X1113" s="473"/>
      <c r="Y1113" s="473"/>
      <c r="Z1113" s="473"/>
      <c r="AA1113" s="473"/>
      <c r="AB1113" s="473"/>
      <c r="AC1113" s="473"/>
      <c r="AD1113" s="473"/>
      <c r="AE1113" s="473"/>
      <c r="AF1113" s="473"/>
      <c r="AG1113" s="473"/>
      <c r="AH1113" s="473"/>
      <c r="AI1113" s="473"/>
      <c r="AJ1113" s="473"/>
      <c r="AK1113" s="473"/>
      <c r="AL1113" s="473"/>
      <c r="AM1113" s="473"/>
      <c r="AN1113" s="473"/>
      <c r="AO1113" s="473"/>
      <c r="AP1113" s="473"/>
      <c r="AQ1113" s="473"/>
      <c r="AR1113" s="473"/>
      <c r="AS1113" s="473"/>
      <c r="AT1113" s="473"/>
      <c r="AU1113" s="473"/>
      <c r="AV1113" s="473"/>
      <c r="AW1113" s="473"/>
      <c r="AX1113" s="473"/>
      <c r="AY1113" s="473"/>
      <c r="AZ1113" s="473"/>
      <c r="BA1113" s="473"/>
      <c r="BB1113" s="473"/>
      <c r="BC1113" s="473"/>
      <c r="BD1113" s="473"/>
      <c r="BE1113" s="473"/>
      <c r="BF1113" s="473"/>
      <c r="BG1113" s="473"/>
      <c r="BH1113" s="473"/>
      <c r="BI1113" s="473"/>
      <c r="BJ1113" s="473"/>
      <c r="BK1113" s="473"/>
      <c r="BL1113" s="473"/>
      <c r="BM1113" s="473"/>
      <c r="BN1113" s="473"/>
      <c r="BO1113" s="473"/>
      <c r="BP1113" s="473"/>
      <c r="BQ1113" s="473"/>
      <c r="BR1113" s="473"/>
      <c r="BS1113" s="473"/>
      <c r="BT1113" s="473"/>
      <c r="BU1113" s="473"/>
      <c r="BV1113" s="473"/>
      <c r="BW1113" s="473"/>
      <c r="BX1113" s="473"/>
      <c r="BY1113" s="473"/>
      <c r="BZ1113" s="473"/>
      <c r="CA1113" s="473"/>
      <c r="CB1113" s="473"/>
      <c r="CC1113" s="473"/>
      <c r="CD1113" s="473"/>
      <c r="CE1113" s="473"/>
      <c r="CF1113" s="473"/>
      <c r="CG1113" s="473"/>
      <c r="CH1113" s="473"/>
      <c r="CI1113" s="473"/>
      <c r="CJ1113" s="473"/>
      <c r="CK1113" s="473"/>
      <c r="CL1113" s="473"/>
      <c r="CM1113" s="473"/>
      <c r="CN1113" s="473"/>
      <c r="CO1113" s="473"/>
      <c r="CP1113" s="473"/>
      <c r="CQ1113" s="473"/>
      <c r="CR1113" s="473"/>
      <c r="CS1113" s="473"/>
      <c r="CT1113" s="473"/>
      <c r="CU1113" s="473"/>
      <c r="CV1113" s="473"/>
      <c r="CW1113" s="473"/>
      <c r="CX1113" s="473"/>
      <c r="CY1113" s="473"/>
      <c r="CZ1113" s="473"/>
      <c r="DA1113" s="473"/>
      <c r="DB1113" s="1524"/>
      <c r="DC1113" s="501"/>
      <c r="DD1113" s="501"/>
      <c r="DE1113" s="501"/>
      <c r="DF1113" s="501"/>
      <c r="DG1113" s="501"/>
      <c r="DH1113" s="501"/>
      <c r="DI1113" s="501"/>
      <c r="DJ1113" s="501"/>
      <c r="DK1113" s="501"/>
      <c r="DL1113" s="501"/>
      <c r="DM1113" s="501"/>
      <c r="DN1113" s="1545"/>
      <c r="DO1113" s="501"/>
      <c r="DP1113" s="501"/>
      <c r="DQ1113" s="501"/>
      <c r="DR1113" s="501"/>
      <c r="DS1113" s="501"/>
      <c r="DT1113" s="501"/>
      <c r="DU1113" s="501"/>
      <c r="DV1113" s="501"/>
      <c r="DW1113" s="501"/>
      <c r="DX1113" s="501"/>
      <c r="DY1113" s="501"/>
      <c r="DZ1113" s="1545"/>
      <c r="HR1113" s="518" t="str">
        <f>+D1113</f>
        <v>Non Bank Sector Debt Repayment (-) (CHECK which domdebt repaid)</v>
      </c>
      <c r="HS1113" s="518"/>
      <c r="HT1113" s="518"/>
      <c r="HU1113" s="518"/>
      <c r="HV1113" s="473">
        <f t="shared" ref="HV1113:ID1113" si="1767">+HV614</f>
        <v>-9.4413165334045495</v>
      </c>
      <c r="HW1113" s="473">
        <f t="shared" si="1767"/>
        <v>-2.098124067105005</v>
      </c>
      <c r="HX1113" s="346">
        <f t="shared" si="1767"/>
        <v>-11.539440600509554</v>
      </c>
      <c r="HY1113" s="473">
        <f t="shared" si="1767"/>
        <v>-5.0235576622806848</v>
      </c>
      <c r="HZ1113" s="473">
        <f t="shared" si="1767"/>
        <v>-6.7338464692191495</v>
      </c>
      <c r="IA1113" s="346">
        <f t="shared" si="1767"/>
        <v>-11.757404131499834</v>
      </c>
      <c r="IB1113" s="473">
        <f t="shared" si="1767"/>
        <v>-11.968683586999999</v>
      </c>
      <c r="IC1113" s="473">
        <f t="shared" si="1767"/>
        <v>-17.156799444000001</v>
      </c>
      <c r="ID1113" s="346">
        <f t="shared" si="1767"/>
        <v>-29.125483031000002</v>
      </c>
      <c r="IE1113" s="346"/>
      <c r="IF1113" s="346"/>
      <c r="IG1113" s="346">
        <f>+IG614</f>
        <v>-48.510824908999993</v>
      </c>
      <c r="IH1113" s="346"/>
      <c r="II1113" s="346"/>
      <c r="IJ1113" s="346">
        <f>+IJ614</f>
        <v>-49.792986081199999</v>
      </c>
      <c r="KI1113" s="302"/>
    </row>
    <row r="1114" spans="1:295" ht="15.5">
      <c r="A1114" s="302"/>
      <c r="B1114" s="302"/>
      <c r="C1114" s="302"/>
      <c r="D1114" s="497" t="s">
        <v>702</v>
      </c>
      <c r="E1114" s="473"/>
      <c r="F1114" s="473"/>
      <c r="G1114" s="473"/>
      <c r="H1114" s="473"/>
      <c r="I1114" s="473"/>
      <c r="J1114" s="473"/>
      <c r="K1114" s="473"/>
      <c r="L1114" s="473"/>
      <c r="M1114" s="473"/>
      <c r="N1114" s="473"/>
      <c r="O1114" s="473"/>
      <c r="P1114" s="473"/>
      <c r="Q1114" s="473"/>
      <c r="R1114" s="473"/>
      <c r="S1114" s="473"/>
      <c r="T1114" s="473"/>
      <c r="U1114" s="473"/>
      <c r="V1114" s="473"/>
      <c r="W1114" s="473"/>
      <c r="X1114" s="473"/>
      <c r="Y1114" s="473"/>
      <c r="Z1114" s="473"/>
      <c r="AA1114" s="473"/>
      <c r="AB1114" s="473"/>
      <c r="AC1114" s="473"/>
      <c r="AD1114" s="473"/>
      <c r="AE1114" s="473"/>
      <c r="AF1114" s="473"/>
      <c r="AG1114" s="473"/>
      <c r="AH1114" s="473"/>
      <c r="AI1114" s="473"/>
      <c r="AJ1114" s="473"/>
      <c r="AK1114" s="473"/>
      <c r="AL1114" s="473"/>
      <c r="AM1114" s="473"/>
      <c r="AN1114" s="473"/>
      <c r="AO1114" s="473"/>
      <c r="AP1114" s="473"/>
      <c r="AQ1114" s="473"/>
      <c r="AR1114" s="473"/>
      <c r="AS1114" s="473"/>
      <c r="AT1114" s="473"/>
      <c r="AU1114" s="473"/>
      <c r="AV1114" s="473"/>
      <c r="AW1114" s="473"/>
      <c r="AX1114" s="473"/>
      <c r="AY1114" s="473"/>
      <c r="AZ1114" s="473"/>
      <c r="BA1114" s="473"/>
      <c r="BB1114" s="473"/>
      <c r="BC1114" s="473"/>
      <c r="BD1114" s="473"/>
      <c r="BE1114" s="473"/>
      <c r="BF1114" s="473"/>
      <c r="BG1114" s="473"/>
      <c r="BH1114" s="473"/>
      <c r="BI1114" s="473"/>
      <c r="BJ1114" s="473"/>
      <c r="BK1114" s="473"/>
      <c r="BL1114" s="473"/>
      <c r="BM1114" s="473"/>
      <c r="BN1114" s="473"/>
      <c r="BO1114" s="473"/>
      <c r="BP1114" s="473"/>
      <c r="BQ1114" s="473"/>
      <c r="BR1114" s="473"/>
      <c r="BS1114" s="473"/>
      <c r="BT1114" s="473"/>
      <c r="BU1114" s="473"/>
      <c r="BV1114" s="473"/>
      <c r="BW1114" s="473"/>
      <c r="BX1114" s="473"/>
      <c r="BY1114" s="473"/>
      <c r="BZ1114" s="473"/>
      <c r="CA1114" s="473"/>
      <c r="CB1114" s="473"/>
      <c r="CC1114" s="473"/>
      <c r="CD1114" s="473"/>
      <c r="CE1114" s="473"/>
      <c r="CF1114" s="473"/>
      <c r="CG1114" s="473"/>
      <c r="CH1114" s="473"/>
      <c r="CI1114" s="473"/>
      <c r="CJ1114" s="473"/>
      <c r="CK1114" s="473"/>
      <c r="CL1114" s="473"/>
      <c r="CM1114" s="473"/>
      <c r="CN1114" s="473"/>
      <c r="CO1114" s="473"/>
      <c r="CP1114" s="473"/>
      <c r="CQ1114" s="473"/>
      <c r="CR1114" s="473"/>
      <c r="CS1114" s="473"/>
      <c r="CT1114" s="473"/>
      <c r="CU1114" s="473"/>
      <c r="CV1114" s="473"/>
      <c r="CW1114" s="473"/>
      <c r="CX1114" s="473"/>
      <c r="CY1114" s="473"/>
      <c r="CZ1114" s="473"/>
      <c r="DA1114" s="473"/>
      <c r="DB1114" s="1524"/>
      <c r="DC1114" s="501"/>
      <c r="DD1114" s="501"/>
      <c r="DE1114" s="501"/>
      <c r="DF1114" s="501"/>
      <c r="DG1114" s="501"/>
      <c r="DH1114" s="501"/>
      <c r="DI1114" s="501"/>
      <c r="DJ1114" s="501"/>
      <c r="DK1114" s="501"/>
      <c r="DL1114" s="501"/>
      <c r="DM1114" s="501"/>
      <c r="DN1114" s="1545"/>
      <c r="DO1114" s="501"/>
      <c r="DP1114" s="501"/>
      <c r="DQ1114" s="501"/>
      <c r="DR1114" s="501"/>
      <c r="DS1114" s="501"/>
      <c r="DT1114" s="501"/>
      <c r="DU1114" s="501"/>
      <c r="DV1114" s="501"/>
      <c r="DW1114" s="501"/>
      <c r="DX1114" s="501"/>
      <c r="DY1114" s="501"/>
      <c r="DZ1114" s="1545"/>
      <c r="HR1114" s="518" t="str">
        <f>+D1114</f>
        <v>Net  issuance securities non banks (CHECK  repayment excl securities)</v>
      </c>
      <c r="HS1114" s="518"/>
      <c r="HT1114" s="518"/>
      <c r="HU1114" s="518"/>
      <c r="HV1114" s="501">
        <f t="shared" ref="HV1114:IA1114" si="1768">+HV1112-HV1113</f>
        <v>16.802700000000005</v>
      </c>
      <c r="HW1114" s="501">
        <f t="shared" si="1768"/>
        <v>42.454099999999983</v>
      </c>
      <c r="HX1114" s="513">
        <f t="shared" si="1768"/>
        <v>59.256799999999984</v>
      </c>
      <c r="HY1114" s="501">
        <f t="shared" si="1768"/>
        <v>44.544243921577923</v>
      </c>
      <c r="HZ1114" s="501">
        <f t="shared" si="1768"/>
        <v>8.4030000000000058</v>
      </c>
      <c r="IA1114" s="513">
        <f t="shared" si="1768"/>
        <v>52.947243921577922</v>
      </c>
      <c r="IB1114" s="501">
        <f>+IB1112-IB1113</f>
        <v>-12.653143921577803</v>
      </c>
      <c r="IC1114" s="501">
        <f>+IC1112-IC1113</f>
        <v>35.905499999999869</v>
      </c>
      <c r="ID1114" s="513">
        <f>+ID1112-ID1113</f>
        <v>23.252356078422068</v>
      </c>
      <c r="IE1114" s="513"/>
      <c r="IF1114" s="513"/>
      <c r="IG1114" s="513">
        <f>+IG1112-IG1113</f>
        <v>115.41749999999998</v>
      </c>
      <c r="IH1114" s="513"/>
      <c r="II1114" s="513"/>
      <c r="IJ1114" s="513">
        <f>+IJ1112-IJ1113</f>
        <v>49.792986081199999</v>
      </c>
      <c r="KI1114" s="302"/>
    </row>
    <row r="1115" spans="1:295" ht="15.5">
      <c r="A1115" s="302"/>
      <c r="B1115" s="302"/>
      <c r="C1115" s="302"/>
      <c r="D1115" s="472"/>
      <c r="E1115" s="473"/>
      <c r="F1115" s="473"/>
      <c r="G1115" s="473"/>
      <c r="H1115" s="473"/>
      <c r="I1115" s="473"/>
      <c r="J1115" s="473"/>
      <c r="K1115" s="473"/>
      <c r="L1115" s="473"/>
      <c r="M1115" s="473"/>
      <c r="N1115" s="473"/>
      <c r="O1115" s="473"/>
      <c r="P1115" s="473"/>
      <c r="Q1115" s="473"/>
      <c r="R1115" s="473"/>
      <c r="S1115" s="473"/>
      <c r="T1115" s="473"/>
      <c r="U1115" s="473"/>
      <c r="V1115" s="473"/>
      <c r="W1115" s="473"/>
      <c r="X1115" s="473"/>
      <c r="Y1115" s="473"/>
      <c r="Z1115" s="473"/>
      <c r="AA1115" s="473"/>
      <c r="AB1115" s="473"/>
      <c r="AC1115" s="473"/>
      <c r="AD1115" s="473"/>
      <c r="AE1115" s="473"/>
      <c r="AF1115" s="473"/>
      <c r="AG1115" s="473"/>
      <c r="AH1115" s="473"/>
      <c r="AI1115" s="473"/>
      <c r="AJ1115" s="473"/>
      <c r="AK1115" s="473"/>
      <c r="AL1115" s="473"/>
      <c r="AM1115" s="473"/>
      <c r="AN1115" s="473"/>
      <c r="AO1115" s="473"/>
      <c r="AP1115" s="473"/>
      <c r="AQ1115" s="473"/>
      <c r="AR1115" s="473"/>
      <c r="AS1115" s="473"/>
      <c r="AT1115" s="473"/>
      <c r="AU1115" s="473"/>
      <c r="AV1115" s="473"/>
      <c r="AW1115" s="473"/>
      <c r="AX1115" s="473"/>
      <c r="AY1115" s="473"/>
      <c r="AZ1115" s="473"/>
      <c r="BA1115" s="473"/>
      <c r="BB1115" s="473"/>
      <c r="BC1115" s="473"/>
      <c r="BD1115" s="473"/>
      <c r="BE1115" s="473"/>
      <c r="BF1115" s="473"/>
      <c r="BG1115" s="473"/>
      <c r="BH1115" s="473"/>
      <c r="BI1115" s="473"/>
      <c r="BJ1115" s="473"/>
      <c r="BK1115" s="473"/>
      <c r="BL1115" s="473"/>
      <c r="BM1115" s="473"/>
      <c r="BN1115" s="473"/>
      <c r="BO1115" s="473"/>
      <c r="BP1115" s="473"/>
      <c r="BQ1115" s="473"/>
      <c r="BR1115" s="473"/>
      <c r="BS1115" s="473"/>
      <c r="BT1115" s="473"/>
      <c r="BU1115" s="473"/>
      <c r="BV1115" s="473"/>
      <c r="BW1115" s="473"/>
      <c r="BX1115" s="473"/>
      <c r="BY1115" s="473"/>
      <c r="BZ1115" s="473"/>
      <c r="CA1115" s="473"/>
      <c r="CB1115" s="473"/>
      <c r="CC1115" s="473"/>
      <c r="CD1115" s="473"/>
      <c r="CE1115" s="473"/>
      <c r="CF1115" s="473"/>
      <c r="CG1115" s="473"/>
      <c r="CH1115" s="473"/>
      <c r="CI1115" s="473"/>
      <c r="CJ1115" s="473"/>
      <c r="CK1115" s="473"/>
      <c r="CL1115" s="473"/>
      <c r="CM1115" s="473"/>
      <c r="CN1115" s="473"/>
      <c r="CO1115" s="473"/>
      <c r="CP1115" s="473"/>
      <c r="CQ1115" s="473"/>
      <c r="CR1115" s="473"/>
      <c r="CS1115" s="473"/>
      <c r="CT1115" s="473"/>
      <c r="CU1115" s="473"/>
      <c r="CV1115" s="473"/>
      <c r="CW1115" s="473"/>
      <c r="CX1115" s="473"/>
      <c r="CY1115" s="473"/>
      <c r="CZ1115" s="473"/>
      <c r="DA1115" s="473"/>
      <c r="DB1115" s="1524"/>
      <c r="DC1115" s="501"/>
      <c r="DD1115" s="501"/>
      <c r="DE1115" s="501"/>
      <c r="DF1115" s="501"/>
      <c r="DG1115" s="501"/>
      <c r="DH1115" s="501"/>
      <c r="DI1115" s="501"/>
      <c r="DJ1115" s="501"/>
      <c r="DK1115" s="501"/>
      <c r="DL1115" s="501"/>
      <c r="DM1115" s="501"/>
      <c r="DN1115" s="1545"/>
      <c r="DO1115" s="501"/>
      <c r="DP1115" s="501"/>
      <c r="DQ1115" s="501"/>
      <c r="DR1115" s="501"/>
      <c r="DS1115" s="501"/>
      <c r="DT1115" s="501"/>
      <c r="DU1115" s="501"/>
      <c r="DV1115" s="501"/>
      <c r="DW1115" s="501"/>
      <c r="DX1115" s="501"/>
      <c r="DY1115" s="501"/>
      <c r="DZ1115" s="1545"/>
      <c r="HR1115" s="649" t="s">
        <v>806</v>
      </c>
      <c r="HS1115" s="518"/>
      <c r="HT1115" s="518"/>
      <c r="HU1115" s="518"/>
      <c r="HV1115" s="650">
        <f>+HV1106-HV1107-HV1112</f>
        <v>0</v>
      </c>
      <c r="HW1115" s="650">
        <f>+HW1106-HW1107-HW1112</f>
        <v>0</v>
      </c>
      <c r="HX1115" s="650">
        <f>+HX615</f>
        <v>-30.894670162722505</v>
      </c>
      <c r="HY1115" s="473"/>
      <c r="HZ1115" s="473"/>
      <c r="IA1115" s="346"/>
      <c r="IB1115" s="473"/>
      <c r="IC1115" s="473"/>
      <c r="ID1115" s="346"/>
      <c r="IE1115" s="346"/>
      <c r="IF1115" s="346"/>
      <c r="IG1115" s="346"/>
      <c r="IH1115" s="346"/>
      <c r="II1115" s="346"/>
      <c r="IJ1115" s="346"/>
      <c r="KI1115" s="302"/>
    </row>
    <row r="1116" spans="1:295" ht="15.5">
      <c r="A1116" s="302"/>
      <c r="B1116" s="302"/>
      <c r="C1116" s="302"/>
      <c r="D1116" s="549" t="s">
        <v>720</v>
      </c>
      <c r="E1116" s="473"/>
      <c r="F1116" s="473"/>
      <c r="G1116" s="473"/>
      <c r="H1116" s="473"/>
      <c r="I1116" s="473"/>
      <c r="J1116" s="473"/>
      <c r="K1116" s="473"/>
      <c r="L1116" s="473"/>
      <c r="M1116" s="473"/>
      <c r="N1116" s="473"/>
      <c r="O1116" s="473"/>
      <c r="P1116" s="473"/>
      <c r="Q1116" s="473"/>
      <c r="R1116" s="473"/>
      <c r="S1116" s="473"/>
      <c r="T1116" s="473"/>
      <c r="U1116" s="473"/>
      <c r="V1116" s="473"/>
      <c r="W1116" s="473"/>
      <c r="X1116" s="473"/>
      <c r="Y1116" s="473"/>
      <c r="Z1116" s="473"/>
      <c r="AA1116" s="473"/>
      <c r="AB1116" s="473"/>
      <c r="AC1116" s="473"/>
      <c r="AD1116" s="473"/>
      <c r="AE1116" s="473"/>
      <c r="AF1116" s="473"/>
      <c r="AG1116" s="473"/>
      <c r="AH1116" s="473"/>
      <c r="AI1116" s="473"/>
      <c r="AJ1116" s="473"/>
      <c r="AK1116" s="473"/>
      <c r="AL1116" s="473"/>
      <c r="AM1116" s="473"/>
      <c r="AN1116" s="473"/>
      <c r="AO1116" s="473"/>
      <c r="AP1116" s="473"/>
      <c r="AQ1116" s="473"/>
      <c r="AR1116" s="473"/>
      <c r="AS1116" s="473"/>
      <c r="AT1116" s="473"/>
      <c r="AU1116" s="473"/>
      <c r="AV1116" s="473"/>
      <c r="AW1116" s="473"/>
      <c r="AX1116" s="473"/>
      <c r="AY1116" s="473"/>
      <c r="AZ1116" s="473"/>
      <c r="BA1116" s="473"/>
      <c r="BB1116" s="473"/>
      <c r="BC1116" s="473"/>
      <c r="BD1116" s="473"/>
      <c r="BE1116" s="473"/>
      <c r="BF1116" s="473"/>
      <c r="BG1116" s="473"/>
      <c r="BH1116" s="473"/>
      <c r="BI1116" s="473"/>
      <c r="BJ1116" s="473"/>
      <c r="BK1116" s="473"/>
      <c r="BL1116" s="473"/>
      <c r="BM1116" s="473"/>
      <c r="BN1116" s="473"/>
      <c r="BO1116" s="473"/>
      <c r="BP1116" s="473"/>
      <c r="BQ1116" s="473"/>
      <c r="BR1116" s="473"/>
      <c r="BS1116" s="473"/>
      <c r="BT1116" s="473"/>
      <c r="BU1116" s="473"/>
      <c r="BV1116" s="473"/>
      <c r="BW1116" s="473"/>
      <c r="BX1116" s="473"/>
      <c r="BY1116" s="473"/>
      <c r="BZ1116" s="473"/>
      <c r="CA1116" s="473"/>
      <c r="CB1116" s="473"/>
      <c r="CC1116" s="473"/>
      <c r="CD1116" s="473"/>
      <c r="CE1116" s="473"/>
      <c r="CF1116" s="473"/>
      <c r="CG1116" s="473"/>
      <c r="CH1116" s="473"/>
      <c r="CI1116" s="473"/>
      <c r="CJ1116" s="473"/>
      <c r="CK1116" s="473"/>
      <c r="CL1116" s="473"/>
      <c r="CM1116" s="473"/>
      <c r="CN1116" s="473"/>
      <c r="CO1116" s="473"/>
      <c r="CP1116" s="473"/>
      <c r="CQ1116" s="473"/>
      <c r="CR1116" s="473"/>
      <c r="CS1116" s="473"/>
      <c r="CT1116" s="473"/>
      <c r="CU1116" s="473"/>
      <c r="CV1116" s="473"/>
      <c r="CW1116" s="473"/>
      <c r="CX1116" s="473"/>
      <c r="CY1116" s="473"/>
      <c r="CZ1116" s="473"/>
      <c r="DA1116" s="473"/>
      <c r="DB1116" s="1524"/>
      <c r="DC1116" s="501"/>
      <c r="DD1116" s="501"/>
      <c r="DE1116" s="501"/>
      <c r="DF1116" s="501"/>
      <c r="DG1116" s="501"/>
      <c r="DH1116" s="501"/>
      <c r="DI1116" s="501"/>
      <c r="DJ1116" s="501"/>
      <c r="DK1116" s="501"/>
      <c r="DL1116" s="501"/>
      <c r="DM1116" s="501"/>
      <c r="DN1116" s="1545"/>
      <c r="DO1116" s="501"/>
      <c r="DP1116" s="501"/>
      <c r="DQ1116" s="501"/>
      <c r="DR1116" s="501"/>
      <c r="DS1116" s="501"/>
      <c r="DT1116" s="501"/>
      <c r="DU1116" s="501"/>
      <c r="DV1116" s="501"/>
      <c r="DW1116" s="501"/>
      <c r="DX1116" s="501"/>
      <c r="DY1116" s="501"/>
      <c r="DZ1116" s="1545"/>
      <c r="HR1116" s="546" t="str">
        <f>+D1116</f>
        <v>Total net issuance securities banks &amp; nonbanks</v>
      </c>
      <c r="HS1116" s="518"/>
      <c r="HT1116" s="518"/>
      <c r="HU1116" s="518"/>
      <c r="HV1116" s="548">
        <f t="shared" ref="HV1116:IA1116" si="1769">+HV1110+HV1114</f>
        <v>16.802700000000005</v>
      </c>
      <c r="HW1116" s="548">
        <f t="shared" si="1769"/>
        <v>29.756248117634897</v>
      </c>
      <c r="HX1116" s="514">
        <f t="shared" si="1769"/>
        <v>46.558948117634898</v>
      </c>
      <c r="HY1116" s="548">
        <f t="shared" si="1769"/>
        <v>44.544243921577923</v>
      </c>
      <c r="HZ1116" s="548">
        <f t="shared" si="1769"/>
        <v>46.607477573968978</v>
      </c>
      <c r="IA1116" s="514">
        <f t="shared" si="1769"/>
        <v>91.151721495546894</v>
      </c>
      <c r="IB1116" s="548">
        <f>+IB1110+IB1114</f>
        <v>-62.862762976512002</v>
      </c>
      <c r="IC1116" s="548">
        <f>+IC1110+IC1114</f>
        <v>143.02610760445808</v>
      </c>
      <c r="ID1116" s="514">
        <f>+ID1110+ID1114</f>
        <v>80.163344627946074</v>
      </c>
      <c r="IE1116" s="514"/>
      <c r="IF1116" s="514"/>
      <c r="IG1116" s="514">
        <f>+IG1110+IG1114</f>
        <v>108.98384074931585</v>
      </c>
      <c r="IH1116" s="514"/>
      <c r="II1116" s="514"/>
      <c r="IJ1116" s="514">
        <f>+IJ1110+IJ1114</f>
        <v>153.66089717122344</v>
      </c>
      <c r="KI1116" s="302"/>
    </row>
    <row r="1117" spans="1:295" ht="15.5">
      <c r="A1117" s="302"/>
      <c r="B1117" s="302"/>
      <c r="C1117" s="302"/>
      <c r="D1117" s="472" t="s">
        <v>724</v>
      </c>
      <c r="E1117" s="473"/>
      <c r="F1117" s="473"/>
      <c r="G1117" s="473"/>
      <c r="H1117" s="473"/>
      <c r="I1117" s="473"/>
      <c r="J1117" s="473"/>
      <c r="K1117" s="473"/>
      <c r="L1117" s="473"/>
      <c r="M1117" s="473"/>
      <c r="N1117" s="473"/>
      <c r="O1117" s="473"/>
      <c r="P1117" s="473"/>
      <c r="Q1117" s="473"/>
      <c r="R1117" s="473"/>
      <c r="S1117" s="473"/>
      <c r="T1117" s="473"/>
      <c r="U1117" s="473"/>
      <c r="V1117" s="473"/>
      <c r="W1117" s="473"/>
      <c r="X1117" s="473"/>
      <c r="Y1117" s="473"/>
      <c r="Z1117" s="473"/>
      <c r="AA1117" s="473"/>
      <c r="AB1117" s="473"/>
      <c r="AC1117" s="473"/>
      <c r="AD1117" s="473"/>
      <c r="AE1117" s="473"/>
      <c r="AF1117" s="473"/>
      <c r="AG1117" s="473"/>
      <c r="AH1117" s="473"/>
      <c r="AI1117" s="473"/>
      <c r="AJ1117" s="473"/>
      <c r="AK1117" s="473"/>
      <c r="AL1117" s="473"/>
      <c r="AM1117" s="473"/>
      <c r="AN1117" s="473"/>
      <c r="AO1117" s="473"/>
      <c r="AP1117" s="473"/>
      <c r="AQ1117" s="473"/>
      <c r="AR1117" s="473"/>
      <c r="AS1117" s="473"/>
      <c r="AT1117" s="473"/>
      <c r="AU1117" s="473"/>
      <c r="AV1117" s="473"/>
      <c r="AW1117" s="473"/>
      <c r="AX1117" s="473"/>
      <c r="AY1117" s="473"/>
      <c r="AZ1117" s="473"/>
      <c r="BA1117" s="473"/>
      <c r="BB1117" s="473"/>
      <c r="BC1117" s="473"/>
      <c r="BD1117" s="473"/>
      <c r="BE1117" s="473"/>
      <c r="BF1117" s="473"/>
      <c r="BG1117" s="473"/>
      <c r="BH1117" s="473"/>
      <c r="BI1117" s="473"/>
      <c r="BJ1117" s="473"/>
      <c r="BK1117" s="473"/>
      <c r="BL1117" s="473"/>
      <c r="BM1117" s="473"/>
      <c r="BN1117" s="473"/>
      <c r="BO1117" s="473"/>
      <c r="BP1117" s="473"/>
      <c r="BQ1117" s="473"/>
      <c r="BR1117" s="473"/>
      <c r="BS1117" s="473"/>
      <c r="BT1117" s="473"/>
      <c r="BU1117" s="473"/>
      <c r="BV1117" s="473"/>
      <c r="BW1117" s="473"/>
      <c r="BX1117" s="473"/>
      <c r="BY1117" s="473"/>
      <c r="BZ1117" s="473"/>
      <c r="CA1117" s="473"/>
      <c r="CB1117" s="473"/>
      <c r="CC1117" s="473"/>
      <c r="CD1117" s="473"/>
      <c r="CE1117" s="473"/>
      <c r="CF1117" s="473"/>
      <c r="CG1117" s="473"/>
      <c r="CH1117" s="473"/>
      <c r="CI1117" s="473"/>
      <c r="CJ1117" s="473"/>
      <c r="CK1117" s="473"/>
      <c r="CL1117" s="473"/>
      <c r="CM1117" s="473"/>
      <c r="CN1117" s="473"/>
      <c r="CO1117" s="473"/>
      <c r="CP1117" s="473"/>
      <c r="CQ1117" s="473"/>
      <c r="CR1117" s="473"/>
      <c r="CS1117" s="473"/>
      <c r="CT1117" s="473"/>
      <c r="CU1117" s="473"/>
      <c r="CV1117" s="473"/>
      <c r="CW1117" s="473"/>
      <c r="CX1117" s="473"/>
      <c r="CY1117" s="473"/>
      <c r="CZ1117" s="473"/>
      <c r="DA1117" s="473"/>
      <c r="DB1117" s="1524"/>
      <c r="DC1117" s="501"/>
      <c r="DD1117" s="501"/>
      <c r="DE1117" s="501"/>
      <c r="DF1117" s="501"/>
      <c r="DG1117" s="501"/>
      <c r="DH1117" s="501"/>
      <c r="DI1117" s="501"/>
      <c r="DJ1117" s="501"/>
      <c r="DK1117" s="501"/>
      <c r="DL1117" s="501"/>
      <c r="DM1117" s="501"/>
      <c r="DN1117" s="1545"/>
      <c r="DO1117" s="501"/>
      <c r="DP1117" s="501"/>
      <c r="DQ1117" s="501"/>
      <c r="DR1117" s="501"/>
      <c r="DS1117" s="501"/>
      <c r="DT1117" s="501"/>
      <c r="DU1117" s="501"/>
      <c r="DV1117" s="501"/>
      <c r="DW1117" s="501"/>
      <c r="DX1117" s="501"/>
      <c r="DY1117" s="501"/>
      <c r="DZ1117" s="1545"/>
      <c r="HR1117" s="518" t="str">
        <f>+D1117</f>
        <v>Financing gap/errors&amp; omissions in TOFE  (after correction)</v>
      </c>
      <c r="HS1117" s="518"/>
      <c r="HT1117" s="518"/>
      <c r="HU1117" s="518"/>
      <c r="HV1117" s="473"/>
      <c r="HW1117" s="473"/>
      <c r="HX1117" s="346">
        <f>+HX1115</f>
        <v>-30.894670162722505</v>
      </c>
      <c r="HY1117" s="518"/>
      <c r="HZ1117" s="518"/>
      <c r="IA1117" s="346"/>
      <c r="IB1117" s="518"/>
      <c r="IC1117" s="518"/>
      <c r="ID1117" s="346"/>
      <c r="IE1117" s="346"/>
      <c r="IF1117" s="346"/>
      <c r="IG1117" s="346"/>
      <c r="IH1117" s="346"/>
      <c r="II1117" s="346"/>
      <c r="IJ1117" s="346"/>
      <c r="KI1117" s="302"/>
    </row>
    <row r="1118" spans="1:295" ht="15.5">
      <c r="A1118" s="302"/>
      <c r="B1118" s="302"/>
      <c r="C1118" s="302"/>
      <c r="D1118" s="472"/>
      <c r="E1118" s="473"/>
      <c r="F1118" s="473"/>
      <c r="G1118" s="473"/>
      <c r="H1118" s="473"/>
      <c r="I1118" s="473"/>
      <c r="J1118" s="473"/>
      <c r="K1118" s="473"/>
      <c r="L1118" s="473"/>
      <c r="M1118" s="473"/>
      <c r="N1118" s="473"/>
      <c r="O1118" s="473"/>
      <c r="P1118" s="473"/>
      <c r="Q1118" s="473"/>
      <c r="R1118" s="473"/>
      <c r="S1118" s="473"/>
      <c r="T1118" s="473"/>
      <c r="U1118" s="473"/>
      <c r="V1118" s="473"/>
      <c r="W1118" s="473"/>
      <c r="X1118" s="473"/>
      <c r="Y1118" s="473"/>
      <c r="Z1118" s="473"/>
      <c r="AA1118" s="473"/>
      <c r="AB1118" s="473"/>
      <c r="AC1118" s="473"/>
      <c r="AD1118" s="473"/>
      <c r="AE1118" s="473"/>
      <c r="AF1118" s="473"/>
      <c r="AG1118" s="473"/>
      <c r="AH1118" s="473"/>
      <c r="AI1118" s="473"/>
      <c r="AJ1118" s="473"/>
      <c r="AK1118" s="473"/>
      <c r="AL1118" s="473"/>
      <c r="AM1118" s="473"/>
      <c r="AN1118" s="473"/>
      <c r="AO1118" s="473"/>
      <c r="AP1118" s="473"/>
      <c r="AQ1118" s="473"/>
      <c r="AR1118" s="473"/>
      <c r="AS1118" s="473"/>
      <c r="AT1118" s="473"/>
      <c r="AU1118" s="473"/>
      <c r="AV1118" s="473"/>
      <c r="AW1118" s="473"/>
      <c r="AX1118" s="473"/>
      <c r="AY1118" s="473"/>
      <c r="AZ1118" s="473"/>
      <c r="BA1118" s="473"/>
      <c r="BB1118" s="473"/>
      <c r="BC1118" s="473"/>
      <c r="BD1118" s="473"/>
      <c r="BE1118" s="473"/>
      <c r="BF1118" s="473"/>
      <c r="BG1118" s="473"/>
      <c r="BH1118" s="473"/>
      <c r="BI1118" s="473"/>
      <c r="BJ1118" s="473"/>
      <c r="BK1118" s="473"/>
      <c r="BL1118" s="473"/>
      <c r="BM1118" s="473"/>
      <c r="BN1118" s="473"/>
      <c r="BO1118" s="473"/>
      <c r="BP1118" s="473"/>
      <c r="BQ1118" s="473"/>
      <c r="BR1118" s="473"/>
      <c r="BS1118" s="473"/>
      <c r="BT1118" s="473"/>
      <c r="BU1118" s="473"/>
      <c r="BV1118" s="473"/>
      <c r="BW1118" s="473"/>
      <c r="BX1118" s="473"/>
      <c r="BY1118" s="473"/>
      <c r="BZ1118" s="473"/>
      <c r="CA1118" s="473"/>
      <c r="CB1118" s="473"/>
      <c r="CC1118" s="473"/>
      <c r="CD1118" s="473"/>
      <c r="CE1118" s="473"/>
      <c r="CF1118" s="473"/>
      <c r="CG1118" s="473"/>
      <c r="CH1118" s="473"/>
      <c r="CI1118" s="473"/>
      <c r="CJ1118" s="473"/>
      <c r="CK1118" s="473"/>
      <c r="CL1118" s="473"/>
      <c r="CM1118" s="473"/>
      <c r="CN1118" s="473"/>
      <c r="CO1118" s="473"/>
      <c r="CP1118" s="473"/>
      <c r="CQ1118" s="473"/>
      <c r="CR1118" s="473"/>
      <c r="CS1118" s="473"/>
      <c r="CT1118" s="473"/>
      <c r="CU1118" s="473"/>
      <c r="CV1118" s="473"/>
      <c r="CW1118" s="473"/>
      <c r="CX1118" s="473"/>
      <c r="CY1118" s="473"/>
      <c r="CZ1118" s="473"/>
      <c r="DA1118" s="473"/>
      <c r="DB1118" s="1524"/>
      <c r="DC1118" s="501"/>
      <c r="DD1118" s="501"/>
      <c r="DE1118" s="501"/>
      <c r="DF1118" s="501"/>
      <c r="DG1118" s="501"/>
      <c r="DH1118" s="501"/>
      <c r="DI1118" s="501"/>
      <c r="DJ1118" s="501"/>
      <c r="DK1118" s="501"/>
      <c r="DL1118" s="501"/>
      <c r="DM1118" s="501"/>
      <c r="DN1118" s="1545"/>
      <c r="DO1118" s="501"/>
      <c r="DP1118" s="501"/>
      <c r="DQ1118" s="501"/>
      <c r="DR1118" s="501"/>
      <c r="DS1118" s="501"/>
      <c r="DT1118" s="501"/>
      <c r="DU1118" s="501"/>
      <c r="DV1118" s="501"/>
      <c r="DW1118" s="501"/>
      <c r="DX1118" s="501"/>
      <c r="DY1118" s="501"/>
      <c r="DZ1118" s="1545"/>
      <c r="HR1118" s="651" t="s">
        <v>808</v>
      </c>
      <c r="HS1118" s="518"/>
      <c r="HT1118" s="518"/>
      <c r="HU1118" s="518"/>
      <c r="HV1118" s="473"/>
      <c r="HW1118" s="473"/>
      <c r="HX1118" s="346"/>
      <c r="HY1118" s="651">
        <f>+HW1116+HY1116</f>
        <v>74.300492039212827</v>
      </c>
      <c r="HZ1118" s="518"/>
      <c r="IA1118" s="346"/>
      <c r="IB1118" s="651">
        <f>+HZ1116+IB1116</f>
        <v>-16.255285402543024</v>
      </c>
      <c r="IC1118" s="518"/>
      <c r="ID1118" s="346"/>
      <c r="IE1118" s="346"/>
      <c r="IF1118" s="346"/>
      <c r="IG1118" s="346"/>
      <c r="IH1118" s="346"/>
      <c r="II1118" s="346"/>
      <c r="IJ1118" s="346"/>
      <c r="KI1118" s="302"/>
    </row>
    <row r="1119" spans="1:295" ht="15.5">
      <c r="A1119" s="302"/>
      <c r="B1119" s="302"/>
      <c r="C1119" s="302"/>
      <c r="D1119" s="497" t="s">
        <v>707</v>
      </c>
      <c r="E1119" s="473"/>
      <c r="F1119" s="473"/>
      <c r="G1119" s="473"/>
      <c r="H1119" s="473"/>
      <c r="I1119" s="473"/>
      <c r="J1119" s="473"/>
      <c r="K1119" s="473"/>
      <c r="L1119" s="473"/>
      <c r="M1119" s="473"/>
      <c r="N1119" s="473"/>
      <c r="O1119" s="473"/>
      <c r="P1119" s="473"/>
      <c r="Q1119" s="473"/>
      <c r="R1119" s="473"/>
      <c r="S1119" s="473"/>
      <c r="T1119" s="473"/>
      <c r="U1119" s="473"/>
      <c r="V1119" s="473"/>
      <c r="W1119" s="473"/>
      <c r="X1119" s="473"/>
      <c r="Y1119" s="473"/>
      <c r="Z1119" s="473"/>
      <c r="AA1119" s="473"/>
      <c r="AB1119" s="473"/>
      <c r="AC1119" s="473"/>
      <c r="AD1119" s="473"/>
      <c r="AE1119" s="473"/>
      <c r="AF1119" s="473"/>
      <c r="AG1119" s="473"/>
      <c r="AH1119" s="473"/>
      <c r="AI1119" s="473"/>
      <c r="AJ1119" s="473"/>
      <c r="AK1119" s="473"/>
      <c r="AL1119" s="473"/>
      <c r="AM1119" s="473"/>
      <c r="AN1119" s="473"/>
      <c r="AO1119" s="473"/>
      <c r="AP1119" s="473"/>
      <c r="AQ1119" s="473"/>
      <c r="AR1119" s="473"/>
      <c r="AS1119" s="473"/>
      <c r="AT1119" s="473"/>
      <c r="AU1119" s="473"/>
      <c r="AV1119" s="473"/>
      <c r="AW1119" s="473"/>
      <c r="AX1119" s="473"/>
      <c r="AY1119" s="473"/>
      <c r="AZ1119" s="473"/>
      <c r="BA1119" s="473"/>
      <c r="BB1119" s="473"/>
      <c r="BC1119" s="473"/>
      <c r="BD1119" s="473"/>
      <c r="BE1119" s="473"/>
      <c r="BF1119" s="473"/>
      <c r="BG1119" s="473"/>
      <c r="BH1119" s="473"/>
      <c r="BI1119" s="473"/>
      <c r="BJ1119" s="473"/>
      <c r="BK1119" s="473"/>
      <c r="BL1119" s="473"/>
      <c r="BM1119" s="473"/>
      <c r="BN1119" s="473"/>
      <c r="BO1119" s="473"/>
      <c r="BP1119" s="473"/>
      <c r="BQ1119" s="473"/>
      <c r="BR1119" s="473"/>
      <c r="BS1119" s="473"/>
      <c r="BT1119" s="473"/>
      <c r="BU1119" s="473"/>
      <c r="BV1119" s="473"/>
      <c r="BW1119" s="473"/>
      <c r="BX1119" s="473"/>
      <c r="BY1119" s="473"/>
      <c r="BZ1119" s="473"/>
      <c r="CA1119" s="473"/>
      <c r="CB1119" s="473"/>
      <c r="CC1119" s="473"/>
      <c r="CD1119" s="473"/>
      <c r="CE1119" s="473"/>
      <c r="CF1119" s="473"/>
      <c r="CG1119" s="473"/>
      <c r="CH1119" s="473"/>
      <c r="CI1119" s="473"/>
      <c r="CJ1119" s="473"/>
      <c r="CK1119" s="473"/>
      <c r="CL1119" s="473"/>
      <c r="CM1119" s="473"/>
      <c r="CN1119" s="473"/>
      <c r="CO1119" s="473"/>
      <c r="CP1119" s="473"/>
      <c r="CQ1119" s="473"/>
      <c r="CR1119" s="473"/>
      <c r="CS1119" s="473"/>
      <c r="CT1119" s="473"/>
      <c r="CU1119" s="473"/>
      <c r="CV1119" s="473"/>
      <c r="CW1119" s="473"/>
      <c r="CX1119" s="473"/>
      <c r="CY1119" s="473"/>
      <c r="CZ1119" s="473"/>
      <c r="DA1119" s="473"/>
      <c r="DB1119" s="1524"/>
      <c r="DC1119" s="501"/>
      <c r="DD1119" s="501"/>
      <c r="DE1119" s="501"/>
      <c r="DF1119" s="501"/>
      <c r="DG1119" s="501"/>
      <c r="DH1119" s="501"/>
      <c r="DI1119" s="501"/>
      <c r="DJ1119" s="501"/>
      <c r="DK1119" s="501"/>
      <c r="DL1119" s="501"/>
      <c r="DM1119" s="501"/>
      <c r="DN1119" s="1545"/>
      <c r="DO1119" s="501"/>
      <c r="DP1119" s="501"/>
      <c r="DQ1119" s="501"/>
      <c r="DR1119" s="501"/>
      <c r="DS1119" s="501"/>
      <c r="DT1119" s="501"/>
      <c r="DU1119" s="501"/>
      <c r="DV1119" s="501"/>
      <c r="DW1119" s="501"/>
      <c r="DX1119" s="501"/>
      <c r="DY1119" s="501"/>
      <c r="DZ1119" s="1545"/>
      <c r="HR1119" s="546" t="str">
        <f>+D1119</f>
        <v>Total net issuance securities (non)banks if gap financed domestically</v>
      </c>
      <c r="HS1119" s="518"/>
      <c r="HT1119" s="518"/>
      <c r="HU1119" s="518"/>
      <c r="HV1119" s="473"/>
      <c r="HW1119" s="473"/>
      <c r="HX1119" s="514">
        <f>+HX1116</f>
        <v>46.558948117634898</v>
      </c>
      <c r="HY1119" s="518"/>
      <c r="HZ1119" s="518"/>
      <c r="IA1119" s="514">
        <f>+IA1116</f>
        <v>91.151721495546894</v>
      </c>
      <c r="IB1119" s="518"/>
      <c r="IC1119" s="518"/>
      <c r="ID1119" s="514">
        <f>+ID1116</f>
        <v>80.163344627946074</v>
      </c>
      <c r="IE1119" s="514"/>
      <c r="IF1119" s="514"/>
      <c r="IG1119" s="514">
        <f>+IG1116</f>
        <v>108.98384074931585</v>
      </c>
      <c r="IH1119" s="514"/>
      <c r="II1119" s="514"/>
      <c r="IJ1119" s="514">
        <f>+IJ1116</f>
        <v>153.66089717122344</v>
      </c>
      <c r="KI1119" s="302"/>
    </row>
    <row r="1120" spans="1:295" ht="15.5">
      <c r="A1120" s="302"/>
      <c r="B1120" s="302"/>
      <c r="C1120" s="302"/>
      <c r="D1120" s="497"/>
      <c r="E1120" s="473"/>
      <c r="F1120" s="473"/>
      <c r="G1120" s="473"/>
      <c r="H1120" s="473"/>
      <c r="I1120" s="473"/>
      <c r="J1120" s="473"/>
      <c r="K1120" s="473"/>
      <c r="L1120" s="473"/>
      <c r="M1120" s="473"/>
      <c r="N1120" s="473"/>
      <c r="O1120" s="473"/>
      <c r="P1120" s="473"/>
      <c r="Q1120" s="473"/>
      <c r="R1120" s="473"/>
      <c r="S1120" s="473"/>
      <c r="T1120" s="473"/>
      <c r="U1120" s="473"/>
      <c r="V1120" s="473"/>
      <c r="W1120" s="473"/>
      <c r="X1120" s="473"/>
      <c r="Y1120" s="473"/>
      <c r="Z1120" s="473"/>
      <c r="AA1120" s="473"/>
      <c r="AB1120" s="473"/>
      <c r="AC1120" s="473"/>
      <c r="AD1120" s="473"/>
      <c r="AE1120" s="473"/>
      <c r="AF1120" s="473"/>
      <c r="AG1120" s="473"/>
      <c r="AH1120" s="346">
        <f t="shared" ref="AH1120:AM1120" si="1770">AH599</f>
        <v>0</v>
      </c>
      <c r="AI1120" s="346">
        <f t="shared" si="1770"/>
        <v>0</v>
      </c>
      <c r="AJ1120" s="346">
        <f t="shared" si="1770"/>
        <v>0</v>
      </c>
      <c r="AK1120" s="346">
        <f t="shared" si="1770"/>
        <v>0</v>
      </c>
      <c r="AL1120" s="346">
        <f t="shared" si="1770"/>
        <v>0</v>
      </c>
      <c r="AM1120" s="346">
        <f t="shared" si="1770"/>
        <v>0</v>
      </c>
      <c r="AN1120" s="473">
        <f>AH1120+AH1132+AH1148+AH1148+AH1161</f>
        <v>-1.2490352790000001</v>
      </c>
      <c r="AO1120" s="473">
        <f>AI1120+AI1132+AI1148+AI1148+AI1161</f>
        <v>-0.34519844199999994</v>
      </c>
      <c r="AP1120" s="473">
        <f t="shared" ref="AP1120:AS1120" si="1771">AJ1120+AJ1132+AJ1148+AJ1148+AJ1161</f>
        <v>-2.2180198629999999</v>
      </c>
      <c r="AQ1120" s="473">
        <f t="shared" si="1771"/>
        <v>1.3934488390000002</v>
      </c>
      <c r="AR1120" s="473">
        <f t="shared" si="1771"/>
        <v>-0.54003373800000021</v>
      </c>
      <c r="AS1120" s="473">
        <f t="shared" si="1771"/>
        <v>0.81257999999999997</v>
      </c>
      <c r="AT1120" s="473"/>
      <c r="AU1120" s="473"/>
      <c r="AV1120" s="473"/>
      <c r="AW1120" s="473"/>
      <c r="AX1120" s="473"/>
      <c r="AY1120" s="473"/>
      <c r="AZ1120" s="473"/>
      <c r="BA1120" s="473"/>
      <c r="BB1120" s="473"/>
      <c r="BC1120" s="473"/>
      <c r="BD1120" s="473"/>
      <c r="BE1120" s="473"/>
      <c r="BF1120" s="473"/>
      <c r="BG1120" s="473"/>
      <c r="BH1120" s="473"/>
      <c r="BI1120" s="473"/>
      <c r="BJ1120" s="473"/>
      <c r="BK1120" s="473"/>
      <c r="BL1120" s="473"/>
      <c r="BM1120" s="473"/>
      <c r="BN1120" s="473"/>
      <c r="BO1120" s="473"/>
      <c r="BP1120" s="473"/>
      <c r="BQ1120" s="473"/>
      <c r="BR1120" s="473"/>
      <c r="BS1120" s="473"/>
      <c r="BT1120" s="473"/>
      <c r="BU1120" s="473"/>
      <c r="BV1120" s="473"/>
      <c r="BW1120" s="473"/>
      <c r="BX1120" s="473"/>
      <c r="BY1120" s="473"/>
      <c r="BZ1120" s="473"/>
      <c r="CA1120" s="473"/>
      <c r="CB1120" s="473"/>
      <c r="CC1120" s="473"/>
      <c r="CD1120" s="473"/>
      <c r="CE1120" s="473"/>
      <c r="CF1120" s="473"/>
      <c r="CG1120" s="473"/>
      <c r="CH1120" s="473"/>
      <c r="CI1120" s="473"/>
      <c r="CJ1120" s="473"/>
      <c r="CK1120" s="473"/>
      <c r="CL1120" s="473"/>
      <c r="CM1120" s="473"/>
      <c r="CN1120" s="473"/>
      <c r="CO1120" s="473"/>
      <c r="CP1120" s="473"/>
      <c r="CQ1120" s="473"/>
      <c r="CR1120" s="473"/>
      <c r="CS1120" s="473"/>
      <c r="CT1120" s="473"/>
      <c r="CU1120" s="473"/>
      <c r="CV1120" s="473"/>
      <c r="CW1120" s="473"/>
      <c r="CX1120" s="473"/>
      <c r="CY1120" s="473"/>
      <c r="CZ1120" s="473"/>
      <c r="DA1120" s="473"/>
      <c r="DB1120" s="1524"/>
      <c r="DC1120" s="501"/>
      <c r="DD1120" s="501"/>
      <c r="DE1120" s="501"/>
      <c r="DF1120" s="501"/>
      <c r="DG1120" s="501"/>
      <c r="DH1120" s="501"/>
      <c r="DI1120" s="501"/>
      <c r="DJ1120" s="501"/>
      <c r="DK1120" s="501"/>
      <c r="DL1120" s="501"/>
      <c r="DM1120" s="501"/>
      <c r="DN1120" s="1545"/>
      <c r="DO1120" s="501"/>
      <c r="DP1120" s="501"/>
      <c r="DQ1120" s="501"/>
      <c r="DR1120" s="501"/>
      <c r="DS1120" s="501"/>
      <c r="DT1120" s="501"/>
      <c r="DU1120" s="501"/>
      <c r="DV1120" s="501"/>
      <c r="DW1120" s="501"/>
      <c r="DX1120" s="501"/>
      <c r="DY1120" s="501"/>
      <c r="DZ1120" s="1545"/>
      <c r="HR1120" s="518"/>
      <c r="HS1120" s="518"/>
      <c r="HT1120" s="518"/>
      <c r="HU1120" s="518"/>
      <c r="HV1120" s="473"/>
      <c r="HW1120" s="473"/>
      <c r="HX1120" s="346"/>
      <c r="HY1120" s="518"/>
      <c r="HZ1120" s="518"/>
      <c r="IA1120" s="346"/>
      <c r="IB1120" s="518"/>
      <c r="IC1120" s="518"/>
      <c r="ID1120" s="346"/>
      <c r="IE1120" s="346"/>
      <c r="IF1120" s="346"/>
      <c r="IG1120" s="346"/>
      <c r="IH1120" s="346"/>
      <c r="II1120" s="346"/>
      <c r="IJ1120" s="346"/>
      <c r="KI1120" s="302"/>
    </row>
    <row r="1121" spans="1:295" ht="15.5">
      <c r="A1121" s="302"/>
      <c r="B1121" s="302"/>
      <c r="C1121" s="302"/>
      <c r="D1121" s="472" t="s">
        <v>703</v>
      </c>
      <c r="E1121" s="473"/>
      <c r="F1121" s="473"/>
      <c r="G1121" s="473"/>
      <c r="H1121" s="473"/>
      <c r="I1121" s="473"/>
      <c r="J1121" s="473"/>
      <c r="K1121" s="473"/>
      <c r="L1121" s="473"/>
      <c r="M1121" s="473"/>
      <c r="N1121" s="473"/>
      <c r="O1121" s="473"/>
      <c r="P1121" s="473"/>
      <c r="Q1121" s="473"/>
      <c r="R1121" s="473"/>
      <c r="S1121" s="473"/>
      <c r="T1121" s="473"/>
      <c r="U1121" s="473"/>
      <c r="V1121" s="473"/>
      <c r="W1121" s="473"/>
      <c r="X1121" s="473"/>
      <c r="Y1121" s="473"/>
      <c r="Z1121" s="473"/>
      <c r="AA1121" s="473"/>
      <c r="AB1121" s="473"/>
      <c r="AC1121" s="473"/>
      <c r="AD1121" s="473"/>
      <c r="AE1121" s="473"/>
      <c r="AF1121" s="473"/>
      <c r="AG1121" s="473"/>
      <c r="AH1121" s="473"/>
      <c r="AI1121" s="473"/>
      <c r="AJ1121" s="473"/>
      <c r="AK1121" s="473"/>
      <c r="AL1121" s="473"/>
      <c r="AM1121" s="473"/>
      <c r="AN1121" s="473"/>
      <c r="AO1121" s="473"/>
      <c r="AP1121" s="473"/>
      <c r="AQ1121" s="473"/>
      <c r="AR1121" s="473"/>
      <c r="AS1121" s="473"/>
      <c r="AT1121" s="473"/>
      <c r="AU1121" s="473"/>
      <c r="AV1121" s="473"/>
      <c r="AW1121" s="473"/>
      <c r="AX1121" s="473"/>
      <c r="AY1121" s="473"/>
      <c r="AZ1121" s="473"/>
      <c r="BA1121" s="473"/>
      <c r="BB1121" s="473"/>
      <c r="BC1121" s="473"/>
      <c r="BD1121" s="473"/>
      <c r="BE1121" s="473"/>
      <c r="BF1121" s="473"/>
      <c r="BG1121" s="473"/>
      <c r="BH1121" s="473"/>
      <c r="BI1121" s="473"/>
      <c r="BJ1121" s="473"/>
      <c r="BK1121" s="473"/>
      <c r="BL1121" s="473"/>
      <c r="BM1121" s="473"/>
      <c r="BN1121" s="473"/>
      <c r="BO1121" s="473"/>
      <c r="BP1121" s="473"/>
      <c r="BQ1121" s="473"/>
      <c r="BR1121" s="473"/>
      <c r="BS1121" s="473"/>
      <c r="BT1121" s="473"/>
      <c r="BU1121" s="473"/>
      <c r="BV1121" s="473"/>
      <c r="BW1121" s="473"/>
      <c r="BX1121" s="473"/>
      <c r="BY1121" s="473"/>
      <c r="BZ1121" s="473"/>
      <c r="CA1121" s="473"/>
      <c r="CB1121" s="473"/>
      <c r="CC1121" s="473"/>
      <c r="CD1121" s="473"/>
      <c r="CE1121" s="473"/>
      <c r="CF1121" s="473"/>
      <c r="CG1121" s="473"/>
      <c r="CH1121" s="473"/>
      <c r="CI1121" s="473"/>
      <c r="CJ1121" s="473"/>
      <c r="CK1121" s="473"/>
      <c r="CL1121" s="473"/>
      <c r="CM1121" s="473"/>
      <c r="CN1121" s="473"/>
      <c r="CO1121" s="473"/>
      <c r="CP1121" s="473"/>
      <c r="CQ1121" s="473"/>
      <c r="CR1121" s="473"/>
      <c r="CS1121" s="473"/>
      <c r="CT1121" s="473"/>
      <c r="CU1121" s="473"/>
      <c r="CV1121" s="473"/>
      <c r="CW1121" s="473"/>
      <c r="CX1121" s="473"/>
      <c r="CY1121" s="473"/>
      <c r="CZ1121" s="473"/>
      <c r="DA1121" s="473"/>
      <c r="DB1121" s="1524"/>
      <c r="DC1121" s="501"/>
      <c r="DD1121" s="501"/>
      <c r="DE1121" s="501"/>
      <c r="DF1121" s="501"/>
      <c r="DG1121" s="501"/>
      <c r="DH1121" s="501"/>
      <c r="DI1121" s="501"/>
      <c r="DJ1121" s="501"/>
      <c r="DK1121" s="501"/>
      <c r="DL1121" s="501"/>
      <c r="DM1121" s="501"/>
      <c r="DN1121" s="1545"/>
      <c r="DO1121" s="501"/>
      <c r="DP1121" s="501"/>
      <c r="DQ1121" s="501"/>
      <c r="DR1121" s="501"/>
      <c r="DS1121" s="501"/>
      <c r="DT1121" s="501"/>
      <c r="DU1121" s="501"/>
      <c r="DV1121" s="501"/>
      <c r="DW1121" s="501"/>
      <c r="DX1121" s="501"/>
      <c r="DY1121" s="501"/>
      <c r="DZ1121" s="1545"/>
      <c r="HR1121" s="518" t="str">
        <f>+D1121</f>
        <v>NB Net issuance need Finance Law (incl. errors&amp;omissions)</v>
      </c>
      <c r="HS1121" s="518"/>
      <c r="HT1121" s="518"/>
      <c r="HU1121" s="518"/>
      <c r="HV1121" s="473"/>
      <c r="HW1121" s="473"/>
      <c r="HX1121" s="346">
        <v>60</v>
      </c>
      <c r="HY1121" s="518"/>
      <c r="HZ1121" s="518"/>
      <c r="IA1121" s="346"/>
      <c r="IB1121" s="518"/>
      <c r="IC1121" s="518"/>
      <c r="ID1121" s="346"/>
      <c r="IE1121" s="346"/>
      <c r="IF1121" s="346"/>
      <c r="IG1121" s="346"/>
      <c r="IH1121" s="346"/>
      <c r="II1121" s="346"/>
      <c r="IJ1121" s="346"/>
      <c r="KI1121" s="302"/>
    </row>
    <row r="1122" spans="1:295" ht="15.5">
      <c r="A1122" s="302"/>
      <c r="B1122" s="302"/>
      <c r="C1122" s="302"/>
      <c r="D1122" s="472" t="s">
        <v>704</v>
      </c>
      <c r="E1122" s="473"/>
      <c r="F1122" s="473"/>
      <c r="G1122" s="473"/>
      <c r="H1122" s="473"/>
      <c r="I1122" s="473"/>
      <c r="J1122" s="473"/>
      <c r="K1122" s="473"/>
      <c r="L1122" s="473"/>
      <c r="M1122" s="473"/>
      <c r="N1122" s="473"/>
      <c r="O1122" s="473"/>
      <c r="P1122" s="473"/>
      <c r="Q1122" s="473"/>
      <c r="R1122" s="473"/>
      <c r="S1122" s="473"/>
      <c r="T1122" s="473"/>
      <c r="U1122" s="473"/>
      <c r="V1122" s="473"/>
      <c r="W1122" s="473"/>
      <c r="X1122" s="473"/>
      <c r="Y1122" s="473"/>
      <c r="Z1122" s="473"/>
      <c r="AA1122" s="473"/>
      <c r="AB1122" s="473"/>
      <c r="AC1122" s="473"/>
      <c r="AD1122" s="473"/>
      <c r="AE1122" s="473"/>
      <c r="AF1122" s="473"/>
      <c r="AG1122" s="473"/>
      <c r="AH1122" s="473"/>
      <c r="AI1122" s="473"/>
      <c r="AJ1122" s="473"/>
      <c r="AK1122" s="473"/>
      <c r="AL1122" s="473"/>
      <c r="AM1122" s="473"/>
      <c r="AN1122" s="473"/>
      <c r="AO1122" s="473"/>
      <c r="AP1122" s="473"/>
      <c r="AQ1122" s="473"/>
      <c r="AR1122" s="473"/>
      <c r="AS1122" s="473"/>
      <c r="AT1122" s="473"/>
      <c r="AU1122" s="473"/>
      <c r="AV1122" s="473"/>
      <c r="AW1122" s="473"/>
      <c r="AX1122" s="473"/>
      <c r="AY1122" s="473"/>
      <c r="AZ1122" s="473"/>
      <c r="BA1122" s="473"/>
      <c r="BB1122" s="473"/>
      <c r="BC1122" s="473"/>
      <c r="BD1122" s="473"/>
      <c r="BE1122" s="473"/>
      <c r="BF1122" s="473"/>
      <c r="BG1122" s="473"/>
      <c r="BH1122" s="473"/>
      <c r="BI1122" s="473"/>
      <c r="BJ1122" s="473"/>
      <c r="BK1122" s="473"/>
      <c r="BL1122" s="473"/>
      <c r="BM1122" s="473"/>
      <c r="BN1122" s="473"/>
      <c r="BO1122" s="473"/>
      <c r="BP1122" s="473"/>
      <c r="BQ1122" s="473"/>
      <c r="BR1122" s="473"/>
      <c r="BS1122" s="473"/>
      <c r="BT1122" s="473"/>
      <c r="BU1122" s="473"/>
      <c r="BV1122" s="473"/>
      <c r="BW1122" s="473"/>
      <c r="BX1122" s="473"/>
      <c r="BY1122" s="473"/>
      <c r="BZ1122" s="473"/>
      <c r="CA1122" s="473"/>
      <c r="CB1122" s="473"/>
      <c r="CC1122" s="473"/>
      <c r="CD1122" s="473"/>
      <c r="CE1122" s="473"/>
      <c r="CF1122" s="473"/>
      <c r="CG1122" s="473"/>
      <c r="CH1122" s="473"/>
      <c r="CI1122" s="473"/>
      <c r="CJ1122" s="473"/>
      <c r="CK1122" s="473"/>
      <c r="CL1122" s="473"/>
      <c r="CM1122" s="473"/>
      <c r="CN1122" s="473"/>
      <c r="CO1122" s="473"/>
      <c r="CP1122" s="473"/>
      <c r="CQ1122" s="473"/>
      <c r="CR1122" s="473"/>
      <c r="CS1122" s="473"/>
      <c r="CT1122" s="473"/>
      <c r="CU1122" s="473"/>
      <c r="CV1122" s="473"/>
      <c r="CW1122" s="473"/>
      <c r="CX1122" s="473"/>
      <c r="CY1122" s="473"/>
      <c r="CZ1122" s="473"/>
      <c r="DA1122" s="473"/>
      <c r="DB1122" s="1524"/>
      <c r="DC1122" s="501"/>
      <c r="DD1122" s="501"/>
      <c r="DE1122" s="501"/>
      <c r="DF1122" s="501"/>
      <c r="DG1122" s="501"/>
      <c r="DH1122" s="501"/>
      <c r="DI1122" s="501"/>
      <c r="DJ1122" s="501"/>
      <c r="DK1122" s="501"/>
      <c r="DL1122" s="501"/>
      <c r="DM1122" s="501"/>
      <c r="DN1122" s="1545"/>
      <c r="DO1122" s="501"/>
      <c r="DP1122" s="501"/>
      <c r="DQ1122" s="501"/>
      <c r="DR1122" s="501"/>
      <c r="DS1122" s="501"/>
      <c r="DT1122" s="501"/>
      <c r="DU1122" s="501"/>
      <c r="DV1122" s="501"/>
      <c r="DW1122" s="501"/>
      <c r="DX1122" s="501"/>
      <c r="DY1122" s="501"/>
      <c r="DZ1122" s="1545"/>
      <c r="HR1122" s="518" t="str">
        <f>+D1122</f>
        <v xml:space="preserve">        Overestimate of use of deposits in Fnance Law</v>
      </c>
      <c r="HS1122" s="518"/>
      <c r="HT1122" s="518"/>
      <c r="HU1122" s="518"/>
      <c r="HV1122" s="473"/>
      <c r="HW1122" s="473"/>
      <c r="HX1122" s="346">
        <f>64-HX1108</f>
        <v>51.932664614000004</v>
      </c>
      <c r="HY1122" s="518"/>
      <c r="HZ1122" s="518"/>
      <c r="IA1122" s="346"/>
      <c r="IB1122" s="518"/>
      <c r="IC1122" s="518"/>
      <c r="ID1122" s="346"/>
      <c r="IE1122" s="346"/>
      <c r="IF1122" s="346"/>
      <c r="IG1122" s="346"/>
      <c r="IH1122" s="346"/>
      <c r="II1122" s="346"/>
      <c r="IJ1122" s="346"/>
      <c r="KI1122" s="302"/>
    </row>
    <row r="1123" spans="1:295" ht="15.5">
      <c r="A1123" s="302"/>
      <c r="B1123" s="302"/>
      <c r="C1123" s="302"/>
      <c r="D1123" s="472" t="s">
        <v>705</v>
      </c>
      <c r="E1123" s="473"/>
      <c r="F1123" s="473"/>
      <c r="G1123" s="473"/>
      <c r="H1123" s="473"/>
      <c r="I1123" s="473"/>
      <c r="J1123" s="473"/>
      <c r="K1123" s="473"/>
      <c r="L1123" s="473"/>
      <c r="M1123" s="473"/>
      <c r="N1123" s="473"/>
      <c r="O1123" s="473"/>
      <c r="P1123" s="473"/>
      <c r="Q1123" s="473"/>
      <c r="R1123" s="473"/>
      <c r="S1123" s="473"/>
      <c r="T1123" s="473"/>
      <c r="U1123" s="473"/>
      <c r="V1123" s="473"/>
      <c r="W1123" s="473"/>
      <c r="X1123" s="473"/>
      <c r="Y1123" s="473"/>
      <c r="Z1123" s="473"/>
      <c r="AA1123" s="473"/>
      <c r="AB1123" s="473"/>
      <c r="AC1123" s="473"/>
      <c r="AD1123" s="473"/>
      <c r="AE1123" s="473"/>
      <c r="AF1123" s="473"/>
      <c r="AG1123" s="473"/>
      <c r="AH1123" s="473"/>
      <c r="AI1123" s="473"/>
      <c r="AJ1123" s="473"/>
      <c r="AK1123" s="473"/>
      <c r="AL1123" s="473"/>
      <c r="AM1123" s="473"/>
      <c r="AN1123" s="473"/>
      <c r="AO1123" s="473"/>
      <c r="AP1123" s="473"/>
      <c r="AQ1123" s="473"/>
      <c r="AR1123" s="473"/>
      <c r="AS1123" s="473"/>
      <c r="AT1123" s="473"/>
      <c r="AU1123" s="473"/>
      <c r="AV1123" s="473"/>
      <c r="AW1123" s="473"/>
      <c r="AX1123" s="473"/>
      <c r="AY1123" s="473"/>
      <c r="AZ1123" s="473"/>
      <c r="BA1123" s="473"/>
      <c r="BB1123" s="473"/>
      <c r="BC1123" s="473"/>
      <c r="BD1123" s="473"/>
      <c r="BE1123" s="473"/>
      <c r="BF1123" s="473"/>
      <c r="BG1123" s="473"/>
      <c r="BH1123" s="473"/>
      <c r="BI1123" s="473"/>
      <c r="BJ1123" s="473"/>
      <c r="BK1123" s="473"/>
      <c r="BL1123" s="473"/>
      <c r="BM1123" s="473"/>
      <c r="BN1123" s="473"/>
      <c r="BO1123" s="473"/>
      <c r="BP1123" s="473"/>
      <c r="BQ1123" s="473"/>
      <c r="BR1123" s="473"/>
      <c r="BS1123" s="473"/>
      <c r="BT1123" s="473"/>
      <c r="BU1123" s="473"/>
      <c r="BV1123" s="473"/>
      <c r="BW1123" s="473"/>
      <c r="BX1123" s="473"/>
      <c r="BY1123" s="473"/>
      <c r="BZ1123" s="473"/>
      <c r="CA1123" s="473"/>
      <c r="CB1123" s="473"/>
      <c r="CC1123" s="473"/>
      <c r="CD1123" s="473"/>
      <c r="CE1123" s="473"/>
      <c r="CF1123" s="473"/>
      <c r="CG1123" s="473"/>
      <c r="CH1123" s="473"/>
      <c r="CI1123" s="473"/>
      <c r="CJ1123" s="473"/>
      <c r="CK1123" s="473"/>
      <c r="CL1123" s="473"/>
      <c r="CM1123" s="473"/>
      <c r="CN1123" s="473"/>
      <c r="CO1123" s="473"/>
      <c r="CP1123" s="473"/>
      <c r="CQ1123" s="473"/>
      <c r="CR1123" s="473"/>
      <c r="CS1123" s="473"/>
      <c r="CT1123" s="473"/>
      <c r="CU1123" s="473"/>
      <c r="CV1123" s="473"/>
      <c r="CW1123" s="473"/>
      <c r="CX1123" s="473"/>
      <c r="CY1123" s="473"/>
      <c r="CZ1123" s="473"/>
      <c r="DA1123" s="473"/>
      <c r="DB1123" s="1524"/>
      <c r="DC1123" s="501"/>
      <c r="DD1123" s="501"/>
      <c r="DE1123" s="501"/>
      <c r="DF1123" s="501"/>
      <c r="DG1123" s="501"/>
      <c r="DH1123" s="501"/>
      <c r="DI1123" s="501"/>
      <c r="DJ1123" s="501"/>
      <c r="DK1123" s="501"/>
      <c r="DL1123" s="501"/>
      <c r="DM1123" s="501"/>
      <c r="DN1123" s="1545"/>
      <c r="DO1123" s="501"/>
      <c r="DP1123" s="501"/>
      <c r="DQ1123" s="501"/>
      <c r="DR1123" s="501"/>
      <c r="DS1123" s="501"/>
      <c r="DT1123" s="501"/>
      <c r="DU1123" s="501"/>
      <c r="DV1123" s="501"/>
      <c r="DW1123" s="501"/>
      <c r="DX1123" s="501"/>
      <c r="DY1123" s="501"/>
      <c r="DZ1123" s="1545"/>
      <c r="HR1123" s="518" t="str">
        <f>+D1123</f>
        <v xml:space="preserve">        Difference TOFE and Finance law net issuance</v>
      </c>
      <c r="HS1123" s="518"/>
      <c r="HT1123" s="518"/>
      <c r="HU1123" s="518"/>
      <c r="HV1123" s="473"/>
      <c r="HW1123" s="473"/>
      <c r="HX1123" s="346">
        <f>+HX1116-HX1121</f>
        <v>-13.441051882365102</v>
      </c>
      <c r="HY1123" s="518"/>
      <c r="HZ1123" s="518"/>
      <c r="IA1123" s="346"/>
      <c r="IB1123" s="518"/>
      <c r="IC1123" s="518"/>
      <c r="ID1123" s="346"/>
      <c r="IE1123" s="346"/>
      <c r="IF1123" s="346"/>
      <c r="IG1123" s="346"/>
      <c r="IH1123" s="346"/>
      <c r="II1123" s="346"/>
      <c r="IJ1123" s="346"/>
      <c r="KI1123" s="302"/>
    </row>
    <row r="1124" spans="1:295" ht="15.5">
      <c r="A1124" s="302"/>
      <c r="B1124" s="302"/>
      <c r="C1124" s="302"/>
      <c r="D1124" s="472" t="s">
        <v>706</v>
      </c>
      <c r="E1124" s="473"/>
      <c r="F1124" s="473"/>
      <c r="G1124" s="473"/>
      <c r="H1124" s="473"/>
      <c r="I1124" s="473"/>
      <c r="J1124" s="473"/>
      <c r="K1124" s="473"/>
      <c r="L1124" s="473"/>
      <c r="M1124" s="473"/>
      <c r="N1124" s="473"/>
      <c r="O1124" s="473"/>
      <c r="P1124" s="473"/>
      <c r="Q1124" s="473"/>
      <c r="R1124" s="473"/>
      <c r="S1124" s="473"/>
      <c r="T1124" s="473"/>
      <c r="U1124" s="473"/>
      <c r="V1124" s="473"/>
      <c r="W1124" s="473"/>
      <c r="X1124" s="473"/>
      <c r="Y1124" s="473"/>
      <c r="Z1124" s="473"/>
      <c r="AA1124" s="473"/>
      <c r="AB1124" s="473"/>
      <c r="AC1124" s="473"/>
      <c r="AD1124" s="473"/>
      <c r="AE1124" s="473"/>
      <c r="AF1124" s="473"/>
      <c r="AG1124" s="473"/>
      <c r="AH1124" s="473"/>
      <c r="AI1124" s="473"/>
      <c r="AJ1124" s="473"/>
      <c r="AK1124" s="473"/>
      <c r="AL1124" s="473"/>
      <c r="AM1124" s="473"/>
      <c r="AN1124" s="473"/>
      <c r="AO1124" s="473"/>
      <c r="AP1124" s="473"/>
      <c r="AQ1124" s="473"/>
      <c r="AR1124" s="473"/>
      <c r="AS1124" s="473"/>
      <c r="AT1124" s="473"/>
      <c r="AU1124" s="473"/>
      <c r="AV1124" s="473"/>
      <c r="AW1124" s="473"/>
      <c r="AX1124" s="473"/>
      <c r="AY1124" s="473"/>
      <c r="AZ1124" s="473"/>
      <c r="BA1124" s="473"/>
      <c r="BB1124" s="473"/>
      <c r="BC1124" s="473"/>
      <c r="BD1124" s="473"/>
      <c r="BE1124" s="473"/>
      <c r="BF1124" s="473"/>
      <c r="BG1124" s="473"/>
      <c r="BH1124" s="473"/>
      <c r="BI1124" s="473"/>
      <c r="BJ1124" s="473"/>
      <c r="BK1124" s="473"/>
      <c r="BL1124" s="473"/>
      <c r="BM1124" s="473"/>
      <c r="BN1124" s="473"/>
      <c r="BO1124" s="473"/>
      <c r="BP1124" s="473"/>
      <c r="BQ1124" s="473"/>
      <c r="BR1124" s="473"/>
      <c r="BS1124" s="473"/>
      <c r="BT1124" s="473"/>
      <c r="BU1124" s="473"/>
      <c r="BV1124" s="473"/>
      <c r="BW1124" s="473"/>
      <c r="BX1124" s="473"/>
      <c r="BY1124" s="473"/>
      <c r="BZ1124" s="473"/>
      <c r="CA1124" s="473"/>
      <c r="CB1124" s="473"/>
      <c r="CC1124" s="473"/>
      <c r="CD1124" s="473"/>
      <c r="CE1124" s="473"/>
      <c r="CF1124" s="473"/>
      <c r="CG1124" s="473"/>
      <c r="CH1124" s="473"/>
      <c r="CI1124" s="473"/>
      <c r="CJ1124" s="473"/>
      <c r="CK1124" s="473"/>
      <c r="CL1124" s="473"/>
      <c r="CM1124" s="473"/>
      <c r="CN1124" s="473"/>
      <c r="CO1124" s="473"/>
      <c r="CP1124" s="473"/>
      <c r="CQ1124" s="473"/>
      <c r="CR1124" s="473"/>
      <c r="CS1124" s="473"/>
      <c r="CT1124" s="473"/>
      <c r="CU1124" s="473"/>
      <c r="CV1124" s="473"/>
      <c r="CW1124" s="473"/>
      <c r="CX1124" s="473"/>
      <c r="CY1124" s="473"/>
      <c r="CZ1124" s="473"/>
      <c r="DA1124" s="473"/>
      <c r="DB1124" s="1524"/>
      <c r="DC1124" s="501"/>
      <c r="DD1124" s="501"/>
      <c r="DE1124" s="501"/>
      <c r="DF1124" s="501"/>
      <c r="DG1124" s="501"/>
      <c r="DH1124" s="501"/>
      <c r="DI1124" s="501"/>
      <c r="DJ1124" s="501"/>
      <c r="DK1124" s="501"/>
      <c r="DL1124" s="501"/>
      <c r="DM1124" s="501"/>
      <c r="DN1124" s="1545"/>
      <c r="DO1124" s="501"/>
      <c r="DP1124" s="501"/>
      <c r="DQ1124" s="501"/>
      <c r="DR1124" s="501"/>
      <c r="DS1124" s="501"/>
      <c r="DT1124" s="501"/>
      <c r="DU1124" s="501"/>
      <c r="DV1124" s="501"/>
      <c r="DW1124" s="501"/>
      <c r="DX1124" s="501"/>
      <c r="DY1124" s="501"/>
      <c r="DZ1124" s="1545"/>
      <c r="HR1124" s="518" t="str">
        <f>+D1124</f>
        <v xml:space="preserve">        Errors&amp;omisions in Finance Law and PSI 3d review TOFE</v>
      </c>
      <c r="HS1124" s="518"/>
      <c r="HT1124" s="518"/>
      <c r="HU1124" s="518"/>
      <c r="HV1124" s="473"/>
      <c r="HW1124" s="473"/>
      <c r="HX1124" s="346">
        <f>+HX1123-HX1122</f>
        <v>-65.373716496365105</v>
      </c>
      <c r="HY1124" s="518"/>
      <c r="HZ1124" s="518"/>
      <c r="IA1124" s="346"/>
      <c r="IB1124" s="518"/>
      <c r="IC1124" s="518"/>
      <c r="ID1124" s="346"/>
      <c r="IE1124" s="346"/>
      <c r="IF1124" s="346"/>
      <c r="IG1124" s="346"/>
      <c r="IH1124" s="346"/>
      <c r="II1124" s="346"/>
      <c r="IJ1124" s="346"/>
      <c r="KI1124" s="302"/>
    </row>
    <row r="1125" spans="1:295" ht="15.5">
      <c r="A1125" s="302"/>
      <c r="B1125" s="302"/>
      <c r="C1125" s="302"/>
      <c r="D1125" s="472"/>
      <c r="E1125" s="473"/>
      <c r="F1125" s="473"/>
      <c r="G1125" s="473"/>
      <c r="H1125" s="473"/>
      <c r="I1125" s="473"/>
      <c r="J1125" s="473"/>
      <c r="K1125" s="473"/>
      <c r="L1125" s="473"/>
      <c r="M1125" s="473"/>
      <c r="N1125" s="473"/>
      <c r="O1125" s="473"/>
      <c r="P1125" s="473"/>
      <c r="Q1125" s="473"/>
      <c r="R1125" s="473"/>
      <c r="S1125" s="473"/>
      <c r="T1125" s="473"/>
      <c r="U1125" s="473"/>
      <c r="V1125" s="473"/>
      <c r="W1125" s="473"/>
      <c r="X1125" s="473"/>
      <c r="Y1125" s="473"/>
      <c r="Z1125" s="473"/>
      <c r="AA1125" s="473"/>
      <c r="AB1125" s="473"/>
      <c r="AC1125" s="473"/>
      <c r="AD1125" s="473"/>
      <c r="AE1125" s="473"/>
      <c r="AF1125" s="473"/>
      <c r="AG1125" s="473"/>
      <c r="AH1125" s="473"/>
      <c r="AI1125" s="473"/>
      <c r="AJ1125" s="473"/>
      <c r="AK1125" s="473"/>
      <c r="AL1125" s="473"/>
      <c r="AM1125" s="473"/>
      <c r="AN1125" s="473"/>
      <c r="AO1125" s="473"/>
      <c r="AP1125" s="473"/>
      <c r="AQ1125" s="473"/>
      <c r="AR1125" s="473"/>
      <c r="AS1125" s="473"/>
      <c r="AT1125" s="473"/>
      <c r="AU1125" s="473"/>
      <c r="AV1125" s="473"/>
      <c r="AW1125" s="473"/>
      <c r="AX1125" s="473"/>
      <c r="AY1125" s="473"/>
      <c r="AZ1125" s="473"/>
      <c r="BA1125" s="473"/>
      <c r="BB1125" s="473"/>
      <c r="BC1125" s="473"/>
      <c r="BD1125" s="473"/>
      <c r="BE1125" s="473"/>
      <c r="BF1125" s="473"/>
      <c r="BG1125" s="473"/>
      <c r="BH1125" s="473"/>
      <c r="BI1125" s="473"/>
      <c r="BJ1125" s="473"/>
      <c r="BK1125" s="473"/>
      <c r="BL1125" s="473"/>
      <c r="BM1125" s="473"/>
      <c r="BN1125" s="473"/>
      <c r="BO1125" s="473"/>
      <c r="BP1125" s="473"/>
      <c r="BQ1125" s="473"/>
      <c r="BR1125" s="473"/>
      <c r="BS1125" s="473"/>
      <c r="BT1125" s="473"/>
      <c r="BU1125" s="473"/>
      <c r="BV1125" s="473"/>
      <c r="BW1125" s="473"/>
      <c r="BX1125" s="473"/>
      <c r="BY1125" s="473"/>
      <c r="BZ1125" s="473"/>
      <c r="CA1125" s="473"/>
      <c r="CB1125" s="473"/>
      <c r="CC1125" s="473"/>
      <c r="CD1125" s="473"/>
      <c r="CE1125" s="473"/>
      <c r="CF1125" s="473"/>
      <c r="CG1125" s="473"/>
      <c r="CH1125" s="473"/>
      <c r="CI1125" s="473"/>
      <c r="CJ1125" s="473"/>
      <c r="CK1125" s="473"/>
      <c r="CL1125" s="473"/>
      <c r="CM1125" s="473"/>
      <c r="CN1125" s="473"/>
      <c r="CO1125" s="473"/>
      <c r="CP1125" s="473"/>
      <c r="CQ1125" s="473"/>
      <c r="CR1125" s="473"/>
      <c r="CS1125" s="473"/>
      <c r="CT1125" s="473"/>
      <c r="CU1125" s="473"/>
      <c r="CV1125" s="473"/>
      <c r="CW1125" s="473"/>
      <c r="CX1125" s="473"/>
      <c r="CY1125" s="473"/>
      <c r="CZ1125" s="473"/>
      <c r="DA1125" s="473"/>
      <c r="DB1125" s="1524"/>
      <c r="DC1125" s="501"/>
      <c r="DD1125" s="501"/>
      <c r="DE1125" s="501"/>
      <c r="DF1125" s="501"/>
      <c r="DG1125" s="501"/>
      <c r="DH1125" s="501"/>
      <c r="DI1125" s="501"/>
      <c r="DJ1125" s="501"/>
      <c r="DK1125" s="501"/>
      <c r="DL1125" s="501"/>
      <c r="DM1125" s="501"/>
      <c r="DN1125" s="1545"/>
      <c r="DO1125" s="501"/>
      <c r="DP1125" s="501"/>
      <c r="DQ1125" s="501"/>
      <c r="DR1125" s="501"/>
      <c r="DS1125" s="501"/>
      <c r="DT1125" s="501"/>
      <c r="DU1125" s="501"/>
      <c r="DV1125" s="501"/>
      <c r="DW1125" s="501"/>
      <c r="DX1125" s="501"/>
      <c r="DY1125" s="501"/>
      <c r="DZ1125" s="1545"/>
      <c r="HR1125" s="518"/>
      <c r="HS1125" s="518"/>
      <c r="HT1125" s="518"/>
      <c r="HU1125" s="518"/>
      <c r="HV1125" s="473"/>
      <c r="HW1125" s="473"/>
      <c r="HX1125" s="346"/>
      <c r="HY1125" s="518"/>
      <c r="HZ1125" s="518"/>
      <c r="IA1125" s="346"/>
      <c r="IB1125" s="518"/>
      <c r="IC1125" s="518"/>
      <c r="ID1125" s="346"/>
      <c r="IE1125" s="346"/>
      <c r="IF1125" s="346"/>
      <c r="IG1125" s="346"/>
      <c r="IH1125" s="346"/>
      <c r="II1125" s="346"/>
      <c r="IJ1125" s="346"/>
      <c r="KI1125" s="302"/>
    </row>
    <row r="1126" spans="1:295" ht="15.5">
      <c r="A1126" s="302"/>
      <c r="B1126" s="302"/>
      <c r="C1126" s="302"/>
      <c r="D1126" s="547" t="s">
        <v>739</v>
      </c>
      <c r="E1126" s="473"/>
      <c r="F1126" s="473"/>
      <c r="G1126" s="473"/>
      <c r="H1126" s="473"/>
      <c r="I1126" s="473"/>
      <c r="J1126" s="473"/>
      <c r="K1126" s="473"/>
      <c r="L1126" s="473"/>
      <c r="M1126" s="473"/>
      <c r="N1126" s="473"/>
      <c r="O1126" s="473"/>
      <c r="P1126" s="473"/>
      <c r="Q1126" s="473"/>
      <c r="R1126" s="473"/>
      <c r="S1126" s="473"/>
      <c r="T1126" s="473"/>
      <c r="U1126" s="473"/>
      <c r="V1126" s="473"/>
      <c r="W1126" s="473"/>
      <c r="X1126" s="473"/>
      <c r="Y1126" s="473"/>
      <c r="Z1126" s="473"/>
      <c r="AA1126" s="473"/>
      <c r="AB1126" s="473"/>
      <c r="AC1126" s="473"/>
      <c r="AD1126" s="473"/>
      <c r="AE1126" s="473"/>
      <c r="AF1126" s="473"/>
      <c r="AG1126" s="473"/>
      <c r="AH1126" s="473"/>
      <c r="AI1126" s="473"/>
      <c r="AJ1126" s="473"/>
      <c r="AK1126" s="473"/>
      <c r="AL1126" s="473"/>
      <c r="AM1126" s="473"/>
      <c r="AN1126" s="473"/>
      <c r="AO1126" s="473"/>
      <c r="AP1126" s="473"/>
      <c r="AQ1126" s="473"/>
      <c r="AR1126" s="473"/>
      <c r="AS1126" s="473"/>
      <c r="AT1126" s="473"/>
      <c r="AU1126" s="473"/>
      <c r="AV1126" s="473"/>
      <c r="AW1126" s="473"/>
      <c r="AX1126" s="473"/>
      <c r="AY1126" s="473"/>
      <c r="AZ1126" s="473"/>
      <c r="BA1126" s="473"/>
      <c r="BB1126" s="473"/>
      <c r="BC1126" s="473"/>
      <c r="BD1126" s="473"/>
      <c r="BE1126" s="473"/>
      <c r="BF1126" s="473"/>
      <c r="BG1126" s="473"/>
      <c r="BH1126" s="473"/>
      <c r="BI1126" s="473"/>
      <c r="BJ1126" s="473"/>
      <c r="BK1126" s="473"/>
      <c r="BL1126" s="473"/>
      <c r="BM1126" s="473"/>
      <c r="BN1126" s="473"/>
      <c r="BO1126" s="473"/>
      <c r="BP1126" s="473"/>
      <c r="BQ1126" s="473"/>
      <c r="BR1126" s="473"/>
      <c r="BS1126" s="473"/>
      <c r="BT1126" s="473"/>
      <c r="BU1126" s="473"/>
      <c r="BV1126" s="473"/>
      <c r="BW1126" s="473"/>
      <c r="BX1126" s="473"/>
      <c r="BY1126" s="473"/>
      <c r="BZ1126" s="473"/>
      <c r="CA1126" s="473"/>
      <c r="CB1126" s="473"/>
      <c r="CC1126" s="473"/>
      <c r="CD1126" s="473"/>
      <c r="CE1126" s="473"/>
      <c r="CF1126" s="473"/>
      <c r="CG1126" s="473"/>
      <c r="CH1126" s="473"/>
      <c r="CI1126" s="473"/>
      <c r="CJ1126" s="473"/>
      <c r="CK1126" s="473"/>
      <c r="CL1126" s="473"/>
      <c r="CM1126" s="473"/>
      <c r="CN1126" s="473"/>
      <c r="CO1126" s="473"/>
      <c r="CP1126" s="473"/>
      <c r="CQ1126" s="473"/>
      <c r="CR1126" s="473"/>
      <c r="CS1126" s="473"/>
      <c r="CT1126" s="473"/>
      <c r="CU1126" s="473"/>
      <c r="CV1126" s="473"/>
      <c r="CW1126" s="473"/>
      <c r="CX1126" s="473"/>
      <c r="CY1126" s="473"/>
      <c r="CZ1126" s="473"/>
      <c r="DA1126" s="473"/>
      <c r="DB1126" s="1524"/>
      <c r="DC1126" s="501"/>
      <c r="DD1126" s="501"/>
      <c r="DE1126" s="501"/>
      <c r="DF1126" s="501"/>
      <c r="DG1126" s="501"/>
      <c r="DH1126" s="501"/>
      <c r="DI1126" s="501"/>
      <c r="DJ1126" s="501"/>
      <c r="DK1126" s="501"/>
      <c r="DL1126" s="501"/>
      <c r="DM1126" s="501"/>
      <c r="DN1126" s="1545"/>
      <c r="DO1126" s="501"/>
      <c r="DP1126" s="501"/>
      <c r="DQ1126" s="501"/>
      <c r="DR1126" s="501"/>
      <c r="DS1126" s="501"/>
      <c r="DT1126" s="501"/>
      <c r="DU1126" s="501"/>
      <c r="DV1126" s="501"/>
      <c r="DW1126" s="501"/>
      <c r="DX1126" s="501"/>
      <c r="DY1126" s="501"/>
      <c r="DZ1126" s="1545"/>
      <c r="HR1126" s="547" t="str">
        <f>+D1126</f>
        <v>Memorandum</v>
      </c>
      <c r="HS1126" s="518"/>
      <c r="HT1126" s="518"/>
      <c r="HU1126" s="518"/>
      <c r="HV1126" s="473"/>
      <c r="HW1126" s="473"/>
      <c r="HX1126" s="346"/>
      <c r="HY1126" s="518"/>
      <c r="HZ1126" s="518"/>
      <c r="IA1126" s="346"/>
      <c r="IB1126" s="518"/>
      <c r="IC1126" s="518"/>
      <c r="ID1126" s="346"/>
      <c r="IE1126" s="346"/>
      <c r="IF1126" s="346"/>
      <c r="IG1126" s="346"/>
      <c r="IH1126" s="346"/>
      <c r="II1126" s="346"/>
      <c r="IJ1126" s="346"/>
      <c r="KI1126" s="302"/>
    </row>
    <row r="1127" spans="1:295" ht="15.5">
      <c r="A1127" s="302"/>
      <c r="B1127" s="302"/>
      <c r="C1127" s="302"/>
      <c r="D1127" s="472" t="s">
        <v>740</v>
      </c>
      <c r="E1127" s="473"/>
      <c r="F1127" s="473"/>
      <c r="G1127" s="473"/>
      <c r="H1127" s="473"/>
      <c r="I1127" s="473"/>
      <c r="J1127" s="473"/>
      <c r="K1127" s="473"/>
      <c r="L1127" s="473"/>
      <c r="M1127" s="473"/>
      <c r="N1127" s="473"/>
      <c r="O1127" s="473"/>
      <c r="P1127" s="473"/>
      <c r="Q1127" s="473"/>
      <c r="R1127" s="473"/>
      <c r="S1127" s="473"/>
      <c r="T1127" s="473"/>
      <c r="U1127" s="473"/>
      <c r="V1127" s="473"/>
      <c r="W1127" s="473"/>
      <c r="X1127" s="473"/>
      <c r="Y1127" s="473"/>
      <c r="Z1127" s="473"/>
      <c r="AA1127" s="473"/>
      <c r="AB1127" s="473"/>
      <c r="AC1127" s="473"/>
      <c r="AD1127" s="473"/>
      <c r="AE1127" s="473"/>
      <c r="AF1127" s="473"/>
      <c r="AG1127" s="473"/>
      <c r="AH1127" s="473"/>
      <c r="AI1127" s="473"/>
      <c r="AJ1127" s="473"/>
      <c r="AK1127" s="473"/>
      <c r="AL1127" s="473"/>
      <c r="AM1127" s="473"/>
      <c r="AN1127" s="473"/>
      <c r="AO1127" s="473"/>
      <c r="AP1127" s="473"/>
      <c r="AQ1127" s="473"/>
      <c r="AR1127" s="473"/>
      <c r="AS1127" s="473"/>
      <c r="AT1127" s="473"/>
      <c r="AU1127" s="473"/>
      <c r="AV1127" s="473"/>
      <c r="AW1127" s="473"/>
      <c r="AX1127" s="473"/>
      <c r="AY1127" s="473"/>
      <c r="AZ1127" s="473"/>
      <c r="BA1127" s="473"/>
      <c r="BB1127" s="473"/>
      <c r="BC1127" s="473"/>
      <c r="BD1127" s="473"/>
      <c r="BE1127" s="473"/>
      <c r="BF1127" s="473"/>
      <c r="BG1127" s="473"/>
      <c r="BH1127" s="473"/>
      <c r="BI1127" s="473"/>
      <c r="BJ1127" s="473"/>
      <c r="BK1127" s="473"/>
      <c r="BL1127" s="473"/>
      <c r="BM1127" s="473"/>
      <c r="BN1127" s="473"/>
      <c r="BO1127" s="473"/>
      <c r="BP1127" s="473"/>
      <c r="BQ1127" s="473"/>
      <c r="BR1127" s="473"/>
      <c r="BS1127" s="473"/>
      <c r="BT1127" s="473"/>
      <c r="BU1127" s="473"/>
      <c r="BV1127" s="473"/>
      <c r="BW1127" s="473"/>
      <c r="BX1127" s="473"/>
      <c r="BY1127" s="473"/>
      <c r="BZ1127" s="473"/>
      <c r="CA1127" s="473"/>
      <c r="CB1127" s="473"/>
      <c r="CC1127" s="473"/>
      <c r="CD1127" s="473"/>
      <c r="CE1127" s="473"/>
      <c r="CF1127" s="473"/>
      <c r="CG1127" s="473"/>
      <c r="CH1127" s="473"/>
      <c r="CI1127" s="473"/>
      <c r="CJ1127" s="473"/>
      <c r="CK1127" s="473"/>
      <c r="CL1127" s="473"/>
      <c r="CM1127" s="473"/>
      <c r="CN1127" s="473"/>
      <c r="CO1127" s="473"/>
      <c r="CP1127" s="473"/>
      <c r="CQ1127" s="473"/>
      <c r="CR1127" s="473"/>
      <c r="CS1127" s="473"/>
      <c r="CT1127" s="473"/>
      <c r="CU1127" s="473"/>
      <c r="CV1127" s="473"/>
      <c r="CW1127" s="473"/>
      <c r="CX1127" s="473"/>
      <c r="CY1127" s="473"/>
      <c r="CZ1127" s="473"/>
      <c r="DA1127" s="473"/>
      <c r="DB1127" s="1524"/>
      <c r="DC1127" s="501"/>
      <c r="DD1127" s="501"/>
      <c r="DE1127" s="501"/>
      <c r="DF1127" s="501"/>
      <c r="DG1127" s="501"/>
      <c r="DH1127" s="501"/>
      <c r="DI1127" s="501"/>
      <c r="DJ1127" s="501"/>
      <c r="DK1127" s="501"/>
      <c r="DL1127" s="501"/>
      <c r="DM1127" s="501"/>
      <c r="DN1127" s="1545"/>
      <c r="DO1127" s="501"/>
      <c r="DP1127" s="501"/>
      <c r="DQ1127" s="501"/>
      <c r="DR1127" s="501"/>
      <c r="DS1127" s="501"/>
      <c r="DT1127" s="501"/>
      <c r="DU1127" s="501"/>
      <c r="DV1127" s="501"/>
      <c r="DW1127" s="501"/>
      <c r="DX1127" s="501"/>
      <c r="DY1127" s="501"/>
      <c r="DZ1127" s="1545"/>
      <c r="HR1127" s="518" t="str">
        <f>+D1127</f>
        <v>Average interest rate on dometic debt (FY average)</v>
      </c>
      <c r="HS1127" s="518"/>
      <c r="HT1127" s="518"/>
      <c r="HU1127" s="553">
        <f>+HU515/DB1096</f>
        <v>4.6313692752810248E-2</v>
      </c>
      <c r="HV1127" s="473"/>
      <c r="HW1127" s="473"/>
      <c r="HX1127" s="346">
        <f>+HX515</f>
        <v>25.351373894877149</v>
      </c>
      <c r="HY1127" s="518"/>
      <c r="HZ1127" s="518"/>
      <c r="IA1127" s="346"/>
      <c r="IB1127" s="518"/>
      <c r="IC1127" s="518"/>
      <c r="ID1127" s="346"/>
      <c r="IE1127" s="346"/>
      <c r="IF1127" s="346"/>
      <c r="IG1127" s="346"/>
      <c r="IH1127" s="346"/>
      <c r="II1127" s="346"/>
      <c r="IJ1127" s="346"/>
      <c r="KI1127" s="302"/>
    </row>
    <row r="1128" spans="1:295" ht="15.5">
      <c r="A1128" s="302"/>
      <c r="B1128" s="302"/>
      <c r="C1128" s="302"/>
      <c r="D1128" s="472"/>
      <c r="E1128" s="473"/>
      <c r="F1128" s="473"/>
      <c r="G1128" s="473"/>
      <c r="H1128" s="473"/>
      <c r="I1128" s="473"/>
      <c r="J1128" s="473"/>
      <c r="K1128" s="473"/>
      <c r="L1128" s="473"/>
      <c r="M1128" s="473"/>
      <c r="N1128" s="473"/>
      <c r="O1128" s="473"/>
      <c r="P1128" s="473"/>
      <c r="Q1128" s="473"/>
      <c r="R1128" s="473"/>
      <c r="S1128" s="473"/>
      <c r="T1128" s="473"/>
      <c r="U1128" s="473"/>
      <c r="V1128" s="473"/>
      <c r="W1128" s="473"/>
      <c r="X1128" s="473"/>
      <c r="Y1128" s="473"/>
      <c r="Z1128" s="473"/>
      <c r="AA1128" s="473"/>
      <c r="AB1128" s="473"/>
      <c r="AC1128" s="473"/>
      <c r="AD1128" s="473"/>
      <c r="AE1128" s="473"/>
      <c r="AF1128" s="473"/>
      <c r="AG1128" s="473"/>
      <c r="AH1128" s="473"/>
      <c r="AI1128" s="473"/>
      <c r="AJ1128" s="473"/>
      <c r="AK1128" s="473"/>
      <c r="AL1128" s="473"/>
      <c r="AM1128" s="473"/>
      <c r="AN1128" s="473"/>
      <c r="AO1128" s="473"/>
      <c r="AP1128" s="473"/>
      <c r="AQ1128" s="473"/>
      <c r="AR1128" s="473"/>
      <c r="AS1128" s="473"/>
      <c r="AT1128" s="473"/>
      <c r="AU1128" s="473"/>
      <c r="AV1128" s="473"/>
      <c r="AW1128" s="473"/>
      <c r="AX1128" s="473"/>
      <c r="AY1128" s="473"/>
      <c r="AZ1128" s="473"/>
      <c r="BA1128" s="473"/>
      <c r="BB1128" s="473"/>
      <c r="BC1128" s="473"/>
      <c r="BD1128" s="473"/>
      <c r="BE1128" s="473"/>
      <c r="BF1128" s="473"/>
      <c r="BG1128" s="473"/>
      <c r="BH1128" s="473"/>
      <c r="BI1128" s="473"/>
      <c r="BJ1128" s="473"/>
      <c r="BK1128" s="473"/>
      <c r="BL1128" s="473"/>
      <c r="BM1128" s="473"/>
      <c r="BN1128" s="473"/>
      <c r="BO1128" s="473"/>
      <c r="BP1128" s="473"/>
      <c r="BQ1128" s="473"/>
      <c r="BR1128" s="473"/>
      <c r="BS1128" s="473"/>
      <c r="BT1128" s="473"/>
      <c r="BU1128" s="473"/>
      <c r="BV1128" s="473"/>
      <c r="BW1128" s="473"/>
      <c r="BX1128" s="473"/>
      <c r="BY1128" s="473"/>
      <c r="BZ1128" s="473"/>
      <c r="CA1128" s="473"/>
      <c r="CB1128" s="473"/>
      <c r="CC1128" s="473"/>
      <c r="CD1128" s="473"/>
      <c r="CE1128" s="473"/>
      <c r="CF1128" s="473"/>
      <c r="CG1128" s="473"/>
      <c r="CH1128" s="473"/>
      <c r="CI1128" s="473"/>
      <c r="CJ1128" s="473"/>
      <c r="CK1128" s="473"/>
      <c r="CL1128" s="473"/>
      <c r="CM1128" s="473"/>
      <c r="CN1128" s="473"/>
      <c r="CO1128" s="473"/>
      <c r="CP1128" s="473"/>
      <c r="CQ1128" s="473"/>
      <c r="CR1128" s="473"/>
      <c r="CS1128" s="473"/>
      <c r="CT1128" s="473"/>
      <c r="CU1128" s="473"/>
      <c r="CV1128" s="473"/>
      <c r="CW1128" s="473"/>
      <c r="CX1128" s="473"/>
      <c r="CY1128" s="473"/>
      <c r="CZ1128" s="473"/>
      <c r="DA1128" s="473"/>
      <c r="DB1128" s="1524"/>
      <c r="DC1128" s="501"/>
      <c r="DD1128" s="501"/>
      <c r="DE1128" s="501"/>
      <c r="DF1128" s="501"/>
      <c r="DG1128" s="501"/>
      <c r="DH1128" s="501"/>
      <c r="DI1128" s="501"/>
      <c r="DJ1128" s="501"/>
      <c r="DK1128" s="501"/>
      <c r="DL1128" s="501"/>
      <c r="DM1128" s="501"/>
      <c r="DN1128" s="1545"/>
      <c r="DO1128" s="501"/>
      <c r="DP1128" s="501"/>
      <c r="DQ1128" s="501"/>
      <c r="DR1128" s="501"/>
      <c r="DS1128" s="501"/>
      <c r="DT1128" s="501"/>
      <c r="DU1128" s="501"/>
      <c r="DV1128" s="501"/>
      <c r="DW1128" s="501"/>
      <c r="DX1128" s="501"/>
      <c r="DY1128" s="501"/>
      <c r="DZ1128" s="1545"/>
      <c r="HR1128" s="518"/>
      <c r="HS1128" s="518"/>
      <c r="HT1128" s="518"/>
      <c r="HU1128" s="518"/>
      <c r="HV1128" s="473"/>
      <c r="HW1128" s="473"/>
      <c r="HX1128" s="346"/>
      <c r="HY1128" s="518"/>
      <c r="HZ1128" s="518"/>
      <c r="IA1128" s="346"/>
      <c r="IB1128" s="518"/>
      <c r="IC1128" s="518"/>
      <c r="ID1128" s="346"/>
      <c r="IE1128" s="346"/>
      <c r="IF1128" s="346"/>
      <c r="IG1128" s="346"/>
      <c r="IH1128" s="346"/>
      <c r="II1128" s="346"/>
      <c r="IJ1128" s="346"/>
      <c r="KI1128" s="302"/>
    </row>
    <row r="1129" spans="1:295">
      <c r="A1129" s="302"/>
      <c r="B1129" s="302"/>
      <c r="C1129" s="302"/>
      <c r="D1129" s="117" t="s">
        <v>737</v>
      </c>
      <c r="HR1129" s="117" t="s">
        <v>738</v>
      </c>
      <c r="KI1129" s="302"/>
    </row>
    <row r="1130" spans="1:295">
      <c r="D1130" s="1050" t="s">
        <v>1263</v>
      </c>
      <c r="AH1130" s="302">
        <f t="shared" ref="AH1130:AM1130" si="1772">AH637+AH1132</f>
        <v>-3.9935600000000004</v>
      </c>
      <c r="AI1130" s="302">
        <f t="shared" si="1772"/>
        <v>-1.0940399999999999</v>
      </c>
      <c r="AJ1130" s="302">
        <f t="shared" si="1772"/>
        <v>-2.88862</v>
      </c>
      <c r="AK1130" s="302">
        <f t="shared" si="1772"/>
        <v>-0.54108000000000001</v>
      </c>
      <c r="AL1130" s="302">
        <f t="shared" si="1772"/>
        <v>-1.1647100000000001</v>
      </c>
      <c r="AM1130" s="302">
        <f t="shared" si="1772"/>
        <v>-0.27212000000000003</v>
      </c>
      <c r="EY1130" s="1770" t="s">
        <v>3283</v>
      </c>
    </row>
    <row r="1131" spans="1:295">
      <c r="D1131" s="1866" t="s">
        <v>3353</v>
      </c>
      <c r="E1131" s="375">
        <v>39083</v>
      </c>
      <c r="F1131" s="375">
        <v>39114</v>
      </c>
      <c r="G1131" s="375">
        <v>39142</v>
      </c>
      <c r="H1131" s="375">
        <v>39173</v>
      </c>
      <c r="I1131" s="375">
        <v>39203</v>
      </c>
      <c r="J1131" s="375">
        <v>39234</v>
      </c>
      <c r="K1131" s="375">
        <v>39264</v>
      </c>
      <c r="L1131" s="375">
        <v>39295</v>
      </c>
      <c r="M1131" s="375">
        <v>39326</v>
      </c>
      <c r="N1131" s="375">
        <v>39356</v>
      </c>
      <c r="O1131" s="375">
        <v>39387</v>
      </c>
      <c r="P1131" s="375">
        <v>39417</v>
      </c>
      <c r="Q1131" s="375">
        <v>39448</v>
      </c>
      <c r="R1131" s="375">
        <v>39479</v>
      </c>
      <c r="S1131" s="375">
        <v>39508</v>
      </c>
      <c r="T1131" s="375">
        <v>39539</v>
      </c>
      <c r="U1131" s="375">
        <v>39569</v>
      </c>
      <c r="V1131" s="375">
        <v>39600</v>
      </c>
      <c r="W1131" s="375">
        <v>39630</v>
      </c>
      <c r="X1131" s="375">
        <v>39661</v>
      </c>
      <c r="Y1131" s="375">
        <v>39692</v>
      </c>
      <c r="Z1131" s="375">
        <v>39722</v>
      </c>
      <c r="AA1131" s="375">
        <v>39753</v>
      </c>
      <c r="AB1131" s="375">
        <v>39783</v>
      </c>
      <c r="AC1131" s="375">
        <v>39814</v>
      </c>
      <c r="AD1131" s="375">
        <v>39845</v>
      </c>
      <c r="AE1131" s="375">
        <v>39873</v>
      </c>
      <c r="AF1131" s="375">
        <v>39904</v>
      </c>
      <c r="AG1131" s="375">
        <v>39934</v>
      </c>
      <c r="AH1131" s="375">
        <v>39965</v>
      </c>
      <c r="AI1131" s="375">
        <v>39995</v>
      </c>
      <c r="AJ1131" s="375">
        <v>40026</v>
      </c>
      <c r="AK1131" s="375">
        <v>40057</v>
      </c>
      <c r="AL1131" s="375">
        <v>40087</v>
      </c>
      <c r="AM1131" s="375">
        <v>40118</v>
      </c>
      <c r="AN1131" s="375">
        <v>40148</v>
      </c>
      <c r="AO1131" s="375">
        <v>40179</v>
      </c>
      <c r="AP1131" s="375">
        <v>40210</v>
      </c>
      <c r="AQ1131" s="375">
        <v>40238</v>
      </c>
      <c r="AR1131" s="375">
        <v>40269</v>
      </c>
      <c r="AS1131" s="375">
        <v>40299</v>
      </c>
      <c r="AT1131" s="375">
        <v>40330</v>
      </c>
      <c r="AU1131" s="375">
        <v>40360</v>
      </c>
      <c r="AV1131" s="375">
        <v>40391</v>
      </c>
      <c r="AW1131" s="375">
        <v>40422</v>
      </c>
      <c r="AX1131" s="375">
        <v>40452</v>
      </c>
      <c r="AY1131" s="375">
        <v>40483</v>
      </c>
      <c r="AZ1131" s="375">
        <v>40513</v>
      </c>
      <c r="BA1131" s="375">
        <v>40544</v>
      </c>
      <c r="BB1131" s="375">
        <v>40575</v>
      </c>
      <c r="BC1131" s="375">
        <v>40603</v>
      </c>
      <c r="BD1131" s="375">
        <v>40634</v>
      </c>
      <c r="BE1131" s="375">
        <v>40664</v>
      </c>
      <c r="BF1131" s="375">
        <v>40695</v>
      </c>
      <c r="BG1131" s="375">
        <v>40725</v>
      </c>
      <c r="BH1131" s="375">
        <v>40756</v>
      </c>
      <c r="BI1131" s="375">
        <v>40787</v>
      </c>
      <c r="BJ1131" s="375">
        <v>40817</v>
      </c>
      <c r="BK1131" s="375">
        <v>40848</v>
      </c>
      <c r="BL1131" s="375">
        <v>40878</v>
      </c>
      <c r="BM1131" s="375">
        <v>40909</v>
      </c>
      <c r="BN1131" s="375">
        <v>40940</v>
      </c>
      <c r="BO1131" s="375">
        <v>40969</v>
      </c>
      <c r="BP1131" s="375">
        <v>41000</v>
      </c>
      <c r="BQ1131" s="375">
        <v>41030</v>
      </c>
      <c r="BR1131" s="375">
        <v>41061</v>
      </c>
      <c r="BS1131" s="375">
        <v>41091</v>
      </c>
      <c r="BT1131" s="375">
        <v>41122</v>
      </c>
      <c r="BU1131" s="375">
        <v>41153</v>
      </c>
      <c r="BV1131" s="375">
        <v>41183</v>
      </c>
      <c r="BW1131" s="375">
        <v>41214</v>
      </c>
      <c r="BX1131" s="375">
        <v>41244</v>
      </c>
      <c r="BY1131" s="375">
        <v>41275</v>
      </c>
      <c r="BZ1131" s="375">
        <v>41306</v>
      </c>
      <c r="CA1131" s="375">
        <v>41334</v>
      </c>
      <c r="CB1131" s="375">
        <v>41365</v>
      </c>
      <c r="CC1131" s="375">
        <v>41395</v>
      </c>
      <c r="CD1131" s="375">
        <v>41426</v>
      </c>
      <c r="CE1131" s="375">
        <v>41456</v>
      </c>
      <c r="CF1131" s="375">
        <v>41487</v>
      </c>
      <c r="CG1131" s="375">
        <v>41518</v>
      </c>
      <c r="CH1131" s="375">
        <v>41548</v>
      </c>
      <c r="CI1131" s="375">
        <v>41579</v>
      </c>
      <c r="CJ1131" s="375">
        <v>41609</v>
      </c>
      <c r="CK1131" s="375">
        <v>41640</v>
      </c>
      <c r="CL1131" s="375">
        <v>41671</v>
      </c>
      <c r="CM1131" s="375">
        <v>41699</v>
      </c>
      <c r="CN1131" s="375">
        <v>41730</v>
      </c>
      <c r="CO1131" s="375">
        <v>41760</v>
      </c>
      <c r="CP1131" s="375">
        <v>41791</v>
      </c>
      <c r="CQ1131" s="375">
        <v>41821</v>
      </c>
      <c r="CR1131" s="375">
        <v>41852</v>
      </c>
      <c r="CS1131" s="375">
        <v>41883</v>
      </c>
      <c r="CT1131" s="375">
        <v>41913</v>
      </c>
      <c r="CU1131" s="375">
        <v>41944</v>
      </c>
      <c r="CV1131" s="375">
        <v>41974</v>
      </c>
      <c r="CW1131" s="375">
        <v>42005</v>
      </c>
      <c r="CX1131" s="375">
        <v>42036</v>
      </c>
      <c r="CY1131" s="375">
        <v>42064</v>
      </c>
      <c r="CZ1131" s="375">
        <v>42095</v>
      </c>
      <c r="DA1131" s="375">
        <v>42125</v>
      </c>
      <c r="DB1131" s="1515">
        <v>42156</v>
      </c>
      <c r="DC1131" s="375">
        <v>42186</v>
      </c>
      <c r="DD1131" s="375">
        <v>42217</v>
      </c>
      <c r="DE1131" s="375">
        <v>42248</v>
      </c>
      <c r="DF1131" s="375">
        <v>42278</v>
      </c>
      <c r="DG1131" s="375">
        <v>42309</v>
      </c>
      <c r="DH1131" s="375">
        <v>42339</v>
      </c>
      <c r="DI1131" s="375">
        <v>42370</v>
      </c>
      <c r="DJ1131" s="375">
        <v>42401</v>
      </c>
      <c r="DK1131" s="375">
        <v>42430</v>
      </c>
      <c r="DL1131" s="375">
        <v>42461</v>
      </c>
      <c r="DM1131" s="375">
        <v>42491</v>
      </c>
      <c r="DN1131" s="1492">
        <v>42522</v>
      </c>
      <c r="DO1131" s="375">
        <v>42552</v>
      </c>
      <c r="DP1131" s="375">
        <v>42583</v>
      </c>
      <c r="DQ1131" s="375">
        <v>42615</v>
      </c>
      <c r="DR1131" s="375">
        <v>42646</v>
      </c>
      <c r="DS1131" s="375">
        <v>42678</v>
      </c>
      <c r="DT1131" s="375">
        <v>42709</v>
      </c>
      <c r="DU1131" s="375">
        <v>42736</v>
      </c>
      <c r="DV1131" s="375">
        <v>42767</v>
      </c>
      <c r="DW1131" s="375">
        <v>42795</v>
      </c>
      <c r="DX1131" s="375">
        <v>42826</v>
      </c>
      <c r="DY1131" s="375">
        <v>42856</v>
      </c>
      <c r="DZ1131" s="1492">
        <v>42887</v>
      </c>
      <c r="EA1131" s="375">
        <v>42917</v>
      </c>
      <c r="EB1131" s="375">
        <v>42948</v>
      </c>
      <c r="EC1131" s="375">
        <v>42979</v>
      </c>
      <c r="ED1131" s="375">
        <v>43009</v>
      </c>
      <c r="EE1131" s="375">
        <v>43040</v>
      </c>
      <c r="EF1131" s="375">
        <v>43070</v>
      </c>
      <c r="EG1131" s="375">
        <v>43101</v>
      </c>
      <c r="EH1131" s="375">
        <v>43132</v>
      </c>
      <c r="EI1131" s="375">
        <v>43160</v>
      </c>
      <c r="EJ1131" s="375">
        <v>43191</v>
      </c>
      <c r="EK1131" s="375">
        <v>43221</v>
      </c>
      <c r="EL1131" s="1492">
        <v>43252</v>
      </c>
      <c r="EM1131" s="375">
        <v>43282</v>
      </c>
      <c r="EN1131" s="375">
        <v>43313</v>
      </c>
      <c r="EO1131" s="375">
        <v>43344</v>
      </c>
      <c r="EP1131" s="375">
        <v>43374</v>
      </c>
      <c r="EQ1131" s="375">
        <v>43405</v>
      </c>
      <c r="ER1131" s="375">
        <v>43435</v>
      </c>
      <c r="ES1131" s="375">
        <v>43466</v>
      </c>
      <c r="ET1131" s="375">
        <v>43497</v>
      </c>
      <c r="EU1131" s="375">
        <v>43525</v>
      </c>
      <c r="EV1131" s="375">
        <v>43556</v>
      </c>
      <c r="EW1131" s="375">
        <v>43586</v>
      </c>
      <c r="EX1131" s="1492">
        <v>43617</v>
      </c>
      <c r="EY1131" s="375">
        <v>43647</v>
      </c>
      <c r="EZ1131" s="375">
        <v>43678</v>
      </c>
      <c r="FA1131" s="375">
        <v>43709</v>
      </c>
      <c r="FB1131" s="375">
        <v>43739</v>
      </c>
      <c r="FC1131" s="375">
        <v>43770</v>
      </c>
      <c r="FD1131" s="375">
        <v>43800</v>
      </c>
      <c r="FE1131" s="375">
        <v>43831</v>
      </c>
      <c r="FF1131" s="375">
        <v>43862</v>
      </c>
      <c r="FG1131" s="375">
        <v>43891</v>
      </c>
      <c r="FH1131" s="375">
        <v>43922</v>
      </c>
      <c r="FI1131" s="375">
        <v>43952</v>
      </c>
      <c r="FJ1131" s="375">
        <v>43983</v>
      </c>
      <c r="FK1131" s="375">
        <v>44013</v>
      </c>
      <c r="FL1131" s="375">
        <v>44044</v>
      </c>
      <c r="FM1131" s="375">
        <v>44075</v>
      </c>
      <c r="FN1131" s="375">
        <v>44105</v>
      </c>
      <c r="FO1131" s="375">
        <v>44136</v>
      </c>
      <c r="FP1131" s="375">
        <v>44166</v>
      </c>
      <c r="FQ1131" s="375">
        <v>44197</v>
      </c>
      <c r="FR1131" s="375">
        <v>44228</v>
      </c>
      <c r="FS1131" s="375">
        <v>44256</v>
      </c>
      <c r="FT1131" s="375">
        <v>44287</v>
      </c>
      <c r="FU1131" s="375">
        <v>44317</v>
      </c>
      <c r="FV1131" s="375">
        <v>44348</v>
      </c>
      <c r="FW1131" s="375">
        <v>44378</v>
      </c>
      <c r="FX1131" s="375">
        <v>44409</v>
      </c>
      <c r="FY1131" s="375">
        <v>44440</v>
      </c>
      <c r="FZ1131" s="375">
        <v>44470</v>
      </c>
      <c r="GA1131" s="375">
        <v>44501</v>
      </c>
      <c r="GB1131" s="375">
        <v>44531</v>
      </c>
      <c r="GC1131" s="375">
        <v>44562</v>
      </c>
      <c r="GD1131" s="375">
        <v>44593</v>
      </c>
      <c r="GE1131" s="375">
        <v>44621</v>
      </c>
      <c r="GF1131" s="375">
        <v>44652</v>
      </c>
      <c r="GG1131" s="375">
        <v>44682</v>
      </c>
      <c r="GH1131" s="375">
        <v>44713</v>
      </c>
      <c r="GI1131" s="375">
        <v>44743</v>
      </c>
      <c r="GJ1131" s="375">
        <v>44774</v>
      </c>
      <c r="GK1131" s="375">
        <v>44805</v>
      </c>
      <c r="GL1131" s="375">
        <v>44835</v>
      </c>
      <c r="GM1131" s="375">
        <v>44866</v>
      </c>
      <c r="GN1131" s="375">
        <v>44896</v>
      </c>
      <c r="GO1131" s="375">
        <v>44927</v>
      </c>
      <c r="GP1131" s="375">
        <v>44958</v>
      </c>
      <c r="GQ1131" s="375">
        <v>44986</v>
      </c>
      <c r="GR1131" s="375">
        <v>45017</v>
      </c>
      <c r="GS1131" s="375">
        <v>45047</v>
      </c>
      <c r="GT1131" s="375">
        <v>45078</v>
      </c>
      <c r="GU1131" s="375">
        <v>45108</v>
      </c>
      <c r="GV1131" s="375">
        <v>45139</v>
      </c>
      <c r="GW1131" s="375">
        <v>45170</v>
      </c>
      <c r="GX1131" s="375">
        <v>45200</v>
      </c>
      <c r="GY1131" s="375">
        <v>45231</v>
      </c>
      <c r="GZ1131" s="375">
        <v>45261</v>
      </c>
      <c r="HA1131" s="375">
        <v>45292</v>
      </c>
      <c r="HB1131" s="375">
        <v>45323</v>
      </c>
      <c r="HC1131" s="375">
        <v>45352</v>
      </c>
      <c r="HD1131" s="375">
        <v>45383</v>
      </c>
      <c r="HE1131" s="375">
        <v>45413</v>
      </c>
      <c r="HF1131" s="375">
        <v>45444</v>
      </c>
      <c r="HG1131" s="375">
        <v>45474</v>
      </c>
      <c r="HH1131" s="375">
        <v>45505</v>
      </c>
      <c r="HI1131" s="375">
        <v>45536</v>
      </c>
      <c r="HJ1131" s="375">
        <v>45566</v>
      </c>
      <c r="HK1131" s="375">
        <v>45597</v>
      </c>
      <c r="HL1131" s="375">
        <v>45627</v>
      </c>
    </row>
    <row r="1132" spans="1:295" ht="17.25" customHeight="1">
      <c r="D1132" s="1233" t="s">
        <v>137</v>
      </c>
      <c r="E1132" s="302">
        <f t="shared" ref="E1132:AG1132" si="1773">E467</f>
        <v>16.5383</v>
      </c>
      <c r="F1132" s="302">
        <f t="shared" si="1773"/>
        <v>15.875399999999999</v>
      </c>
      <c r="G1132" s="302">
        <f t="shared" si="1773"/>
        <v>24.213000000000001</v>
      </c>
      <c r="H1132" s="302">
        <f t="shared" si="1773"/>
        <v>20.4634</v>
      </c>
      <c r="I1132" s="302">
        <f t="shared" si="1773"/>
        <v>20.900200000000002</v>
      </c>
      <c r="J1132" s="302">
        <f t="shared" si="1773"/>
        <v>26.330902116000001</v>
      </c>
      <c r="K1132" s="302">
        <f t="shared" si="1773"/>
        <v>18.669034962999998</v>
      </c>
      <c r="L1132" s="302">
        <f t="shared" si="1773"/>
        <v>20.163478661999999</v>
      </c>
      <c r="M1132" s="302">
        <f t="shared" si="1773"/>
        <v>23.201122285</v>
      </c>
      <c r="N1132" s="302">
        <f t="shared" si="1773"/>
        <v>19.877401225</v>
      </c>
      <c r="O1132" s="302">
        <f t="shared" si="1773"/>
        <v>21.377868437</v>
      </c>
      <c r="P1132" s="302">
        <f t="shared" si="1773"/>
        <v>25.326898893999999</v>
      </c>
      <c r="Q1132" s="302">
        <f t="shared" si="1773"/>
        <v>22.179866305999997</v>
      </c>
      <c r="R1132" s="302">
        <f t="shared" si="1773"/>
        <v>21.164371927000001</v>
      </c>
      <c r="S1132" s="302">
        <f t="shared" si="1773"/>
        <v>27.234012576000001</v>
      </c>
      <c r="T1132" s="302">
        <f t="shared" si="1773"/>
        <v>25.754677922000003</v>
      </c>
      <c r="U1132" s="302">
        <f t="shared" si="1773"/>
        <v>24.531161763</v>
      </c>
      <c r="V1132" s="302">
        <f t="shared" si="1773"/>
        <v>40.780660499</v>
      </c>
      <c r="W1132" s="302">
        <f t="shared" si="1773"/>
        <v>25.122907194</v>
      </c>
      <c r="X1132" s="302">
        <f t="shared" si="1773"/>
        <v>26.188947629999998</v>
      </c>
      <c r="Y1132" s="302">
        <f t="shared" si="1773"/>
        <v>36.555613293</v>
      </c>
      <c r="Z1132" s="302">
        <f t="shared" si="1773"/>
        <v>30.925497113999999</v>
      </c>
      <c r="AA1132" s="302">
        <f t="shared" si="1773"/>
        <v>27.185696262999997</v>
      </c>
      <c r="AB1132" s="302">
        <f t="shared" si="1773"/>
        <v>73.355484633000003</v>
      </c>
      <c r="AC1132" s="302">
        <f t="shared" si="1773"/>
        <v>29.319654589999999</v>
      </c>
      <c r="AD1132" s="302">
        <f t="shared" si="1773"/>
        <v>29.951000631000003</v>
      </c>
      <c r="AE1132" s="302">
        <f t="shared" si="1773"/>
        <v>34.806349091999998</v>
      </c>
      <c r="AF1132" s="302">
        <f t="shared" si="1773"/>
        <v>29.167745937999999</v>
      </c>
      <c r="AG1132" s="302">
        <f t="shared" si="1773"/>
        <v>29.712147304000002</v>
      </c>
      <c r="AH1132" s="346">
        <f t="shared" ref="AH1132:AM1132" si="1774">AH610</f>
        <v>-3.9935600000000004</v>
      </c>
      <c r="AI1132" s="346">
        <f t="shared" si="1774"/>
        <v>-1.0940399999999999</v>
      </c>
      <c r="AJ1132" s="346">
        <f t="shared" si="1774"/>
        <v>-2.88862</v>
      </c>
      <c r="AK1132" s="346">
        <f t="shared" si="1774"/>
        <v>-0.54108000000000001</v>
      </c>
      <c r="AL1132" s="346">
        <f t="shared" si="1774"/>
        <v>-1.1647100000000001</v>
      </c>
      <c r="AM1132" s="346">
        <f t="shared" si="1774"/>
        <v>-0.27212000000000003</v>
      </c>
      <c r="AN1132" s="302">
        <f t="shared" ref="AN1132:BS1132" si="1775">AN467</f>
        <v>38.3446</v>
      </c>
      <c r="AO1132" s="302">
        <f t="shared" si="1775"/>
        <v>29.764936359</v>
      </c>
      <c r="AP1132" s="302">
        <f t="shared" si="1775"/>
        <v>28.208919395999999</v>
      </c>
      <c r="AQ1132" s="302">
        <f t="shared" si="1775"/>
        <v>46.601846963</v>
      </c>
      <c r="AR1132" s="302">
        <f t="shared" si="1775"/>
        <v>30.875261329000001</v>
      </c>
      <c r="AS1132" s="302">
        <f t="shared" si="1775"/>
        <v>31.183278000000001</v>
      </c>
      <c r="AT1132" s="302">
        <f t="shared" si="1775"/>
        <v>37.676075787000002</v>
      </c>
      <c r="AU1132" s="302">
        <f t="shared" si="1775"/>
        <v>31.866403909999999</v>
      </c>
      <c r="AV1132" s="302">
        <f t="shared" si="1775"/>
        <v>36.252635124999998</v>
      </c>
      <c r="AW1132" s="302">
        <f t="shared" si="1775"/>
        <v>40.302209705000003</v>
      </c>
      <c r="AX1132" s="302">
        <f t="shared" si="1775"/>
        <v>34.389034735999999</v>
      </c>
      <c r="AY1132" s="302">
        <f t="shared" si="1775"/>
        <v>37.329067059000003</v>
      </c>
      <c r="AZ1132" s="302">
        <f t="shared" si="1775"/>
        <v>46.461917195000005</v>
      </c>
      <c r="BA1132" s="302">
        <f t="shared" si="1775"/>
        <v>40.372282581</v>
      </c>
      <c r="BB1132" s="302">
        <f t="shared" si="1775"/>
        <v>32.462750329000002</v>
      </c>
      <c r="BC1132" s="302">
        <f t="shared" si="1775"/>
        <v>51.692223890000001</v>
      </c>
      <c r="BD1132" s="302">
        <f t="shared" si="1775"/>
        <v>37.733015287000001</v>
      </c>
      <c r="BE1132" s="302">
        <f t="shared" si="1775"/>
        <v>42.271061997000004</v>
      </c>
      <c r="BF1132" s="302">
        <f t="shared" si="1775"/>
        <v>52.966000926999996</v>
      </c>
      <c r="BG1132" s="302">
        <f t="shared" si="1775"/>
        <v>36.168595312799994</v>
      </c>
      <c r="BH1132" s="302">
        <f t="shared" si="1775"/>
        <v>43.234283078200001</v>
      </c>
      <c r="BI1132" s="302">
        <f t="shared" si="1775"/>
        <v>65.594706880900006</v>
      </c>
      <c r="BJ1132" s="302">
        <f t="shared" si="1775"/>
        <v>41.211862676999999</v>
      </c>
      <c r="BK1132" s="302">
        <f t="shared" si="1775"/>
        <v>43.569539720999998</v>
      </c>
      <c r="BL1132" s="302">
        <f t="shared" si="1775"/>
        <v>54.424474300999997</v>
      </c>
      <c r="BM1132" s="302">
        <f t="shared" si="1775"/>
        <v>44.105241053999997</v>
      </c>
      <c r="BN1132" s="302">
        <f t="shared" si="1775"/>
        <v>44.312992412999996</v>
      </c>
      <c r="BO1132" s="302">
        <f t="shared" si="1775"/>
        <v>60.043170514999993</v>
      </c>
      <c r="BP1132" s="302">
        <f t="shared" si="1775"/>
        <v>44.577221414999997</v>
      </c>
      <c r="BQ1132" s="302">
        <f t="shared" si="1775"/>
        <v>56.649560364000003</v>
      </c>
      <c r="BR1132" s="302">
        <f t="shared" si="1775"/>
        <v>57.936586860999995</v>
      </c>
      <c r="BS1132" s="302">
        <f t="shared" si="1775"/>
        <v>50.174999999999997</v>
      </c>
      <c r="BT1132" s="302">
        <f t="shared" ref="BT1132:CY1132" si="1776">BT467</f>
        <v>51.167600000000007</v>
      </c>
      <c r="BU1132" s="302">
        <f t="shared" si="1776"/>
        <v>58.022500000000001</v>
      </c>
      <c r="BV1132" s="302">
        <f t="shared" si="1776"/>
        <v>67.65402367063237</v>
      </c>
      <c r="BW1132" s="302">
        <f t="shared" si="1776"/>
        <v>49.19572033965882</v>
      </c>
      <c r="BX1132" s="302">
        <f t="shared" si="1776"/>
        <v>69.986593628505176</v>
      </c>
      <c r="BY1132" s="302">
        <f t="shared" si="1776"/>
        <v>53.009075458916328</v>
      </c>
      <c r="BZ1132" s="302">
        <f t="shared" si="1776"/>
        <v>52.648868041803432</v>
      </c>
      <c r="CA1132" s="302">
        <f t="shared" si="1776"/>
        <v>88.217625266590289</v>
      </c>
      <c r="CB1132" s="302">
        <f t="shared" si="1776"/>
        <v>53.706899125880469</v>
      </c>
      <c r="CC1132" s="302">
        <f t="shared" si="1776"/>
        <v>55.896236535222947</v>
      </c>
      <c r="CD1132" s="302">
        <f t="shared" si="1776"/>
        <v>85.3276152868808</v>
      </c>
      <c r="CE1132" s="302">
        <f t="shared" si="1776"/>
        <v>60.830473264697275</v>
      </c>
      <c r="CF1132" s="302">
        <f t="shared" si="1776"/>
        <v>61.031943501572783</v>
      </c>
      <c r="CG1132" s="302">
        <f t="shared" si="1776"/>
        <v>68.846531850293431</v>
      </c>
      <c r="CH1132" s="302">
        <f t="shared" si="1776"/>
        <v>82.132439465750224</v>
      </c>
      <c r="CI1132" s="302">
        <f t="shared" si="1776"/>
        <v>58.711358355824714</v>
      </c>
      <c r="CJ1132" s="302">
        <f t="shared" si="1776"/>
        <v>86.316598820932796</v>
      </c>
      <c r="CK1132" s="302">
        <f t="shared" si="1776"/>
        <v>63.573570289825042</v>
      </c>
      <c r="CL1132" s="302">
        <f t="shared" si="1776"/>
        <v>63.250821485083073</v>
      </c>
      <c r="CM1132" s="302">
        <f t="shared" si="1776"/>
        <v>87.988916234456212</v>
      </c>
      <c r="CN1132" s="302">
        <f t="shared" si="1776"/>
        <v>60.020681533917354</v>
      </c>
      <c r="CO1132" s="302">
        <f t="shared" si="1776"/>
        <v>67.4479192841996</v>
      </c>
      <c r="CP1132" s="302">
        <f t="shared" si="1776"/>
        <v>113.71838556811986</v>
      </c>
      <c r="CQ1132" s="302">
        <f t="shared" si="1776"/>
        <v>62.99602087442333</v>
      </c>
      <c r="CR1132" s="302">
        <f t="shared" si="1776"/>
        <v>65.33411370871147</v>
      </c>
      <c r="CS1132" s="302">
        <f t="shared" si="1776"/>
        <v>85.09322572872253</v>
      </c>
      <c r="CT1132" s="302">
        <f t="shared" si="1776"/>
        <v>73.128496958839094</v>
      </c>
      <c r="CU1132" s="302">
        <f t="shared" si="1776"/>
        <v>59.68849108714916</v>
      </c>
      <c r="CV1132" s="302">
        <f t="shared" si="1776"/>
        <v>100.91502671808088</v>
      </c>
      <c r="CW1132" s="302">
        <f t="shared" si="1776"/>
        <v>77.224288986288784</v>
      </c>
      <c r="CX1132" s="302">
        <f t="shared" si="1776"/>
        <v>67.356111067263086</v>
      </c>
      <c r="CY1132" s="302">
        <f t="shared" si="1776"/>
        <v>130.42693883624963</v>
      </c>
      <c r="CZ1132" s="302">
        <f t="shared" ref="CZ1132:EE1132" si="1777">CZ467</f>
        <v>74.547620854688546</v>
      </c>
      <c r="DA1132" s="302">
        <f t="shared" si="1777"/>
        <v>72.176649194101984</v>
      </c>
      <c r="DB1132" s="706">
        <f t="shared" si="1777"/>
        <v>120.53557247413953</v>
      </c>
      <c r="DC1132" s="302">
        <f t="shared" si="1777"/>
        <v>69.969657837377568</v>
      </c>
      <c r="DD1132" s="302">
        <f t="shared" si="1777"/>
        <v>70.520117501935545</v>
      </c>
      <c r="DE1132" s="302">
        <f t="shared" si="1777"/>
        <v>100.36251626075773</v>
      </c>
      <c r="DF1132" s="302">
        <f t="shared" si="1777"/>
        <v>103.73904475448388</v>
      </c>
      <c r="DG1132" s="302">
        <f t="shared" si="1777"/>
        <v>73.21240330954916</v>
      </c>
      <c r="DH1132" s="302">
        <f t="shared" si="1777"/>
        <v>123.33693109280016</v>
      </c>
      <c r="DI1132" s="302">
        <f t="shared" si="1777"/>
        <v>81.877273234539956</v>
      </c>
      <c r="DJ1132" s="302">
        <f t="shared" si="1777"/>
        <v>77.898367868847657</v>
      </c>
      <c r="DK1132" s="302">
        <f t="shared" si="1777"/>
        <v>153.15534799923705</v>
      </c>
      <c r="DL1132" s="302">
        <f t="shared" si="1777"/>
        <v>84.043924930191565</v>
      </c>
      <c r="DM1132" s="302">
        <f t="shared" si="1777"/>
        <v>84.109653331394</v>
      </c>
      <c r="DN1132" s="303">
        <f t="shared" si="1777"/>
        <v>145.68495997744139</v>
      </c>
      <c r="DO1132" s="302">
        <f t="shared" si="1777"/>
        <v>73.140603806900003</v>
      </c>
      <c r="DP1132" s="302">
        <f t="shared" si="1777"/>
        <v>86.861250846389311</v>
      </c>
      <c r="DQ1132" s="302">
        <f t="shared" si="1777"/>
        <v>130.47794778686352</v>
      </c>
      <c r="DR1132" s="302">
        <f t="shared" si="1777"/>
        <v>83.652961651550584</v>
      </c>
      <c r="DS1132" s="302">
        <f t="shared" si="1777"/>
        <v>81.852966924754</v>
      </c>
      <c r="DT1132" s="302">
        <f t="shared" si="1777"/>
        <v>143.06961867779248</v>
      </c>
      <c r="DU1132" s="302">
        <f t="shared" si="1777"/>
        <v>92.046680937100007</v>
      </c>
      <c r="DV1132" s="302">
        <f t="shared" si="1777"/>
        <v>84.347827259100001</v>
      </c>
      <c r="DW1132" s="302">
        <f t="shared" si="1777"/>
        <v>166.17585228051001</v>
      </c>
      <c r="DX1132" s="302">
        <f t="shared" si="1777"/>
        <v>84.479418736573706</v>
      </c>
      <c r="DY1132" s="302">
        <f t="shared" si="1777"/>
        <v>93.639730609131149</v>
      </c>
      <c r="DZ1132" s="303">
        <f t="shared" si="1777"/>
        <v>165.83498602877279</v>
      </c>
      <c r="EA1132" s="302">
        <f t="shared" si="1777"/>
        <v>84.42665940725</v>
      </c>
      <c r="EB1132" s="302">
        <f t="shared" si="1777"/>
        <v>91.595317038540003</v>
      </c>
      <c r="EC1132" s="302">
        <f t="shared" si="1777"/>
        <v>132.59308562506999</v>
      </c>
      <c r="ED1132" s="302">
        <f t="shared" si="1777"/>
        <v>118.61365179852001</v>
      </c>
      <c r="EE1132" s="302">
        <f t="shared" si="1777"/>
        <v>95.329697156160023</v>
      </c>
      <c r="EF1132" s="302">
        <f t="shared" ref="EF1132:EX1132" si="1778">EF467</f>
        <v>168.12899740813</v>
      </c>
      <c r="EG1132" s="302">
        <f t="shared" si="1778"/>
        <v>110.41909254415485</v>
      </c>
      <c r="EH1132" s="302">
        <f t="shared" si="1778"/>
        <v>92.10074432580592</v>
      </c>
      <c r="EI1132" s="302">
        <f t="shared" si="1778"/>
        <v>156.74271473613521</v>
      </c>
      <c r="EJ1132" s="302">
        <f t="shared" si="1778"/>
        <v>139.61645574662168</v>
      </c>
      <c r="EK1132" s="302">
        <f t="shared" si="1778"/>
        <v>108.02250834709999</v>
      </c>
      <c r="EL1132" s="303">
        <f t="shared" si="1778"/>
        <v>163.91483178884849</v>
      </c>
      <c r="EM1132" s="302">
        <f t="shared" si="1778"/>
        <v>96.461733106839986</v>
      </c>
      <c r="EN1132" s="302">
        <f t="shared" si="1778"/>
        <v>143.99252942015139</v>
      </c>
      <c r="EO1132" s="302">
        <f t="shared" si="1778"/>
        <v>162.91456711812162</v>
      </c>
      <c r="EP1132" s="302">
        <f t="shared" si="1778"/>
        <v>120.15569216778867</v>
      </c>
      <c r="EQ1132" s="302">
        <f t="shared" si="1778"/>
        <v>108.79119388814573</v>
      </c>
      <c r="ER1132" s="302">
        <f t="shared" si="1778"/>
        <v>173.55865562299408</v>
      </c>
      <c r="ES1132" s="302">
        <f t="shared" si="1778"/>
        <v>127.65571758657266</v>
      </c>
      <c r="ET1132" s="302">
        <f t="shared" si="1778"/>
        <v>111.89629203954993</v>
      </c>
      <c r="EU1132" s="302">
        <f t="shared" si="1778"/>
        <v>172.35880719432004</v>
      </c>
      <c r="EV1132" s="302">
        <f t="shared" si="1778"/>
        <v>144.52483863533132</v>
      </c>
      <c r="EW1132" s="302">
        <f t="shared" si="1778"/>
        <v>121.20207718578003</v>
      </c>
      <c r="EX1132" s="1772">
        <f t="shared" si="1778"/>
        <v>186.6909368123282</v>
      </c>
      <c r="EY1132" s="710">
        <f>+EY1133+EY1137</f>
        <v>114.83453981326105</v>
      </c>
      <c r="EZ1132" s="710">
        <f t="shared" ref="EZ1132:FJ1132" si="1779">+EZ1133+EZ1137</f>
        <v>135.89083276388661</v>
      </c>
      <c r="FA1132" s="710">
        <f t="shared" si="1779"/>
        <v>181.00530881649536</v>
      </c>
      <c r="FB1132" s="710">
        <f t="shared" si="1779"/>
        <v>150.22595077333781</v>
      </c>
      <c r="FC1132" s="710">
        <f t="shared" si="1779"/>
        <v>118.49983769200622</v>
      </c>
      <c r="FD1132" s="710">
        <f t="shared" si="1779"/>
        <v>206.81511039105527</v>
      </c>
      <c r="FE1132" s="710">
        <f t="shared" si="1779"/>
        <v>143.91481310327757</v>
      </c>
      <c r="FF1132" s="710">
        <f t="shared" si="1779"/>
        <v>125.7204539593159</v>
      </c>
      <c r="FG1132" s="710">
        <f t="shared" si="1779"/>
        <v>136.3822235616409</v>
      </c>
      <c r="FH1132" s="710">
        <f t="shared" si="1779"/>
        <v>130.33241711857522</v>
      </c>
      <c r="FI1132" s="710">
        <f t="shared" si="1779"/>
        <v>130.52670572151669</v>
      </c>
      <c r="FJ1132" s="710">
        <f t="shared" si="1779"/>
        <v>181.25506548105636</v>
      </c>
      <c r="FK1132" s="710">
        <f>+FK1133+FK1137</f>
        <v>108.04401170772846</v>
      </c>
      <c r="FL1132" s="710">
        <f>+FL1133+FL1137</f>
        <v>115.5122616840826</v>
      </c>
      <c r="FM1132" s="710">
        <f>+FM1133+FM1137</f>
        <v>242.00106507163224</v>
      </c>
      <c r="FN1132" s="710">
        <f>+FN1133+FN1137</f>
        <v>146.49019885863285</v>
      </c>
      <c r="FO1132" s="710">
        <f>+FO1133+FO1137</f>
        <v>130.34010788875798</v>
      </c>
      <c r="FP1132" s="710">
        <f t="shared" ref="FP1132:GC1132" si="1780">+FP1133+FP1137</f>
        <v>229.21175132026082</v>
      </c>
      <c r="FQ1132" s="710">
        <f t="shared" si="1780"/>
        <v>128.38441582674608</v>
      </c>
      <c r="FR1132" s="710">
        <f t="shared" si="1780"/>
        <v>131.15449564820028</v>
      </c>
      <c r="FS1132" s="710">
        <f t="shared" si="1780"/>
        <v>186.39580454656883</v>
      </c>
      <c r="FT1132" s="710">
        <f t="shared" si="1780"/>
        <v>209.20803858733967</v>
      </c>
      <c r="FU1132" s="710">
        <f t="shared" si="1780"/>
        <v>138.95483420876826</v>
      </c>
      <c r="FV1132" s="710">
        <f t="shared" si="1780"/>
        <v>241.40604393828752</v>
      </c>
      <c r="FW1132" s="710">
        <f t="shared" si="1780"/>
        <v>118.51334477202276</v>
      </c>
      <c r="FX1132" s="710">
        <f t="shared" si="1780"/>
        <v>131.83633357350092</v>
      </c>
      <c r="FY1132" s="710">
        <f t="shared" si="1780"/>
        <v>233.43396563045468</v>
      </c>
      <c r="FZ1132" s="710">
        <f t="shared" si="1780"/>
        <v>156.87826750939308</v>
      </c>
      <c r="GA1132" s="710">
        <f t="shared" si="1780"/>
        <v>193.74626873995763</v>
      </c>
      <c r="GB1132" s="710">
        <f t="shared" si="1780"/>
        <v>216.75496338215197</v>
      </c>
      <c r="GC1132" s="710">
        <f t="shared" si="1780"/>
        <v>172.64182064039827</v>
      </c>
      <c r="GD1132" s="710">
        <f t="shared" ref="GD1132:HL1132" si="1781">+GD1133+GD1137</f>
        <v>180.93304580934625</v>
      </c>
      <c r="GE1132" s="710">
        <f t="shared" si="1781"/>
        <v>255.44985347992309</v>
      </c>
      <c r="GF1132" s="710">
        <f t="shared" si="1781"/>
        <v>171.96504826792489</v>
      </c>
      <c r="GG1132" s="710">
        <f t="shared" si="1781"/>
        <v>155.91083399701131</v>
      </c>
      <c r="GH1132" s="710">
        <f t="shared" si="1781"/>
        <v>289.93490010773718</v>
      </c>
      <c r="GI1132" s="710">
        <f t="shared" si="1781"/>
        <v>158.55245324092289</v>
      </c>
      <c r="GJ1132" s="710">
        <f t="shared" si="1781"/>
        <v>182.76575166281685</v>
      </c>
      <c r="GK1132" s="710">
        <f t="shared" si="1781"/>
        <v>274.8659568306465</v>
      </c>
      <c r="GL1132" s="710">
        <f t="shared" si="1781"/>
        <v>160.52978290108288</v>
      </c>
      <c r="GM1132" s="710">
        <f t="shared" si="1781"/>
        <v>184.34316197941709</v>
      </c>
      <c r="GN1132" s="710">
        <f t="shared" si="1781"/>
        <v>296.15332979956747</v>
      </c>
      <c r="GO1132" s="710">
        <f t="shared" si="1781"/>
        <v>217.32554338048604</v>
      </c>
      <c r="GP1132" s="710">
        <f t="shared" si="1781"/>
        <v>161.52000874053408</v>
      </c>
      <c r="GQ1132" s="710">
        <f t="shared" si="1781"/>
        <v>325.50796758063331</v>
      </c>
      <c r="GR1132" s="710">
        <f t="shared" si="1781"/>
        <v>198.26429225778665</v>
      </c>
      <c r="GS1132" s="710">
        <f t="shared" si="1781"/>
        <v>186.54049343962666</v>
      </c>
      <c r="GT1132" s="710">
        <f t="shared" si="1781"/>
        <v>341.8911958978656</v>
      </c>
      <c r="GU1132" s="710">
        <f t="shared" si="1781"/>
        <v>195.61232729899717</v>
      </c>
      <c r="GV1132" s="710">
        <f t="shared" si="1781"/>
        <v>203.39016071474151</v>
      </c>
      <c r="GW1132" s="710">
        <f t="shared" si="1781"/>
        <v>327.13864419596968</v>
      </c>
      <c r="GX1132" s="710">
        <f t="shared" si="1781"/>
        <v>204.28353291972002</v>
      </c>
      <c r="GY1132" s="710">
        <f t="shared" si="1781"/>
        <v>192.78545741910949</v>
      </c>
      <c r="GZ1132" s="710">
        <f t="shared" si="1781"/>
        <v>345.98216238378154</v>
      </c>
      <c r="HA1132" s="710">
        <f t="shared" si="1781"/>
        <v>228.43195499462252</v>
      </c>
      <c r="HB1132" s="710">
        <f t="shared" si="1781"/>
        <v>201.98994421198702</v>
      </c>
      <c r="HC1132" s="710">
        <f t="shared" si="1781"/>
        <v>254.79979681728696</v>
      </c>
      <c r="HD1132" s="710">
        <f t="shared" si="1781"/>
        <v>299.89763624580621</v>
      </c>
      <c r="HE1132" s="710">
        <f t="shared" si="1781"/>
        <v>233.71363742675459</v>
      </c>
      <c r="HF1132" s="710">
        <f t="shared" si="1781"/>
        <v>365.31169751063487</v>
      </c>
      <c r="HG1132" s="710">
        <f t="shared" si="1781"/>
        <v>305.47415456764503</v>
      </c>
      <c r="HH1132" s="710">
        <f t="shared" si="1781"/>
        <v>229.8162159481781</v>
      </c>
      <c r="HI1132" s="710">
        <f t="shared" si="1781"/>
        <v>368.43704767201888</v>
      </c>
      <c r="HJ1132" s="710">
        <f t="shared" si="1781"/>
        <v>249.13960393015643</v>
      </c>
      <c r="HK1132" s="710">
        <f t="shared" si="1781"/>
        <v>226.37078091700525</v>
      </c>
      <c r="HL1132" s="710">
        <f t="shared" si="1781"/>
        <v>403.83958512399681</v>
      </c>
    </row>
    <row r="1133" spans="1:295" ht="17.25" customHeight="1">
      <c r="D1133" s="1234" t="s">
        <v>3284</v>
      </c>
      <c r="E1133" s="302">
        <f t="shared" ref="E1133:AG1133" si="1782">E468</f>
        <v>15.9003</v>
      </c>
      <c r="F1133" s="302">
        <f t="shared" si="1782"/>
        <v>15.1754</v>
      </c>
      <c r="G1133" s="302">
        <f t="shared" si="1782"/>
        <v>22.451000000000001</v>
      </c>
      <c r="H1133" s="302">
        <f t="shared" si="1782"/>
        <v>19.007999999999999</v>
      </c>
      <c r="I1133" s="302">
        <f t="shared" si="1782"/>
        <v>18.420400000000001</v>
      </c>
      <c r="J1133" s="302">
        <f t="shared" si="1782"/>
        <v>25.304200000000002</v>
      </c>
      <c r="K1133" s="302">
        <f t="shared" si="1782"/>
        <v>17.343899999999998</v>
      </c>
      <c r="L1133" s="302">
        <f t="shared" si="1782"/>
        <v>18.981099999999998</v>
      </c>
      <c r="M1133" s="302">
        <f t="shared" si="1782"/>
        <v>22.213000000000001</v>
      </c>
      <c r="N1133" s="302">
        <f t="shared" si="1782"/>
        <v>18.811399999999999</v>
      </c>
      <c r="O1133" s="302">
        <f t="shared" si="1782"/>
        <v>20.230499999999999</v>
      </c>
      <c r="P1133" s="302">
        <f t="shared" si="1782"/>
        <v>23.9694</v>
      </c>
      <c r="Q1133" s="302">
        <f t="shared" si="1782"/>
        <v>21.110899999999997</v>
      </c>
      <c r="R1133" s="302">
        <f t="shared" si="1782"/>
        <v>20.690200000000001</v>
      </c>
      <c r="S1133" s="302">
        <f t="shared" si="1782"/>
        <v>26.64</v>
      </c>
      <c r="T1133" s="302">
        <f t="shared" si="1782"/>
        <v>23.484750000000002</v>
      </c>
      <c r="U1133" s="302">
        <f t="shared" si="1782"/>
        <v>23.641500000000001</v>
      </c>
      <c r="V1133" s="302">
        <f t="shared" si="1782"/>
        <v>35.311700000000002</v>
      </c>
      <c r="W1133" s="302">
        <f t="shared" si="1782"/>
        <v>24.373000000000001</v>
      </c>
      <c r="X1133" s="302">
        <f t="shared" si="1782"/>
        <v>24.683499999999999</v>
      </c>
      <c r="Y1133" s="302">
        <f t="shared" si="1782"/>
        <v>35.0578</v>
      </c>
      <c r="Z1133" s="302">
        <f t="shared" si="1782"/>
        <v>29.308399999999999</v>
      </c>
      <c r="AA1133" s="302">
        <f t="shared" si="1782"/>
        <v>25.883399999999998</v>
      </c>
      <c r="AB1133" s="302">
        <f t="shared" si="1782"/>
        <v>38.509300000000003</v>
      </c>
      <c r="AC1133" s="302">
        <f t="shared" si="1782"/>
        <v>28.049999999999997</v>
      </c>
      <c r="AD1133" s="302">
        <f t="shared" si="1782"/>
        <v>28.991200000000003</v>
      </c>
      <c r="AE1133" s="302">
        <f t="shared" si="1782"/>
        <v>34.087299999999999</v>
      </c>
      <c r="AF1133" s="302">
        <f t="shared" si="1782"/>
        <v>27.322800000000001</v>
      </c>
      <c r="AG1133" s="302">
        <f t="shared" si="1782"/>
        <v>27.106300000000001</v>
      </c>
      <c r="AH1133" s="302">
        <f t="shared" ref="AH1133:AM1133" si="1783">AH468</f>
        <v>37.998499999999993</v>
      </c>
      <c r="AI1133" s="302">
        <f t="shared" si="1783"/>
        <v>26.509099999999997</v>
      </c>
      <c r="AJ1133" s="302">
        <f t="shared" si="1783"/>
        <v>27.122990000000001</v>
      </c>
      <c r="AK1133" s="302">
        <f t="shared" si="1783"/>
        <v>32.590400000000002</v>
      </c>
      <c r="AL1133" s="302">
        <f t="shared" si="1783"/>
        <v>26.6496</v>
      </c>
      <c r="AM1133" s="302">
        <f t="shared" si="1783"/>
        <v>29.381499999999996</v>
      </c>
      <c r="AN1133" s="302">
        <f t="shared" ref="AN1133:BS1133" si="1784">AN468</f>
        <v>37.007300000000001</v>
      </c>
      <c r="AO1133" s="302">
        <f t="shared" si="1784"/>
        <v>29.107900000000001</v>
      </c>
      <c r="AP1133" s="302">
        <f t="shared" si="1784"/>
        <v>27.5167</v>
      </c>
      <c r="AQ1133" s="302">
        <f t="shared" si="1784"/>
        <v>44.653700000000001</v>
      </c>
      <c r="AR1133" s="302">
        <f t="shared" si="1784"/>
        <v>29.591200000000001</v>
      </c>
      <c r="AS1133" s="302">
        <f t="shared" si="1784"/>
        <v>28.273</v>
      </c>
      <c r="AT1133" s="302">
        <f t="shared" si="1784"/>
        <v>36.551200000000001</v>
      </c>
      <c r="AU1133" s="302">
        <f t="shared" si="1784"/>
        <v>31.125599999999999</v>
      </c>
      <c r="AV1133" s="302">
        <f t="shared" si="1784"/>
        <v>33.959099999999999</v>
      </c>
      <c r="AW1133" s="302">
        <f t="shared" si="1784"/>
        <v>38.682940000000002</v>
      </c>
      <c r="AX1133" s="302">
        <f t="shared" si="1784"/>
        <v>32.815300000000001</v>
      </c>
      <c r="AY1133" s="302">
        <f t="shared" si="1784"/>
        <v>35.209800000000001</v>
      </c>
      <c r="AZ1133" s="302">
        <f t="shared" si="1784"/>
        <v>45.302300000000002</v>
      </c>
      <c r="BA1133" s="302">
        <f t="shared" si="1784"/>
        <v>38.839300000000001</v>
      </c>
      <c r="BB1133" s="302">
        <f t="shared" si="1784"/>
        <v>31.636660000000003</v>
      </c>
      <c r="BC1133" s="302">
        <f t="shared" si="1784"/>
        <v>49.993160000000003</v>
      </c>
      <c r="BD1133" s="302">
        <f t="shared" si="1784"/>
        <v>36.662460000000003</v>
      </c>
      <c r="BE1133" s="302">
        <f t="shared" si="1784"/>
        <v>40.415650000000007</v>
      </c>
      <c r="BF1133" s="302">
        <f t="shared" si="1784"/>
        <v>48.833599999999997</v>
      </c>
      <c r="BG1133" s="302">
        <f t="shared" si="1784"/>
        <v>35.186429093799994</v>
      </c>
      <c r="BH1133" s="302">
        <f t="shared" si="1784"/>
        <v>41.686628809200002</v>
      </c>
      <c r="BI1133" s="302">
        <f t="shared" si="1784"/>
        <v>46.983398117900009</v>
      </c>
      <c r="BJ1133" s="302">
        <f t="shared" si="1784"/>
        <v>39.902200000000001</v>
      </c>
      <c r="BK1133" s="302">
        <f t="shared" si="1784"/>
        <v>42.28022</v>
      </c>
      <c r="BL1133" s="302">
        <f t="shared" si="1784"/>
        <v>52.609954999999999</v>
      </c>
      <c r="BM1133" s="302">
        <f t="shared" si="1784"/>
        <v>43.249299999999998</v>
      </c>
      <c r="BN1133" s="302">
        <f t="shared" si="1784"/>
        <v>43.165999999999997</v>
      </c>
      <c r="BO1133" s="302">
        <f t="shared" si="1784"/>
        <v>58.716899999999995</v>
      </c>
      <c r="BP1133" s="302">
        <f t="shared" si="1784"/>
        <v>43.5837</v>
      </c>
      <c r="BQ1133" s="302">
        <f t="shared" si="1784"/>
        <v>53.3812</v>
      </c>
      <c r="BR1133" s="302">
        <f t="shared" si="1784"/>
        <v>56.333399999999997</v>
      </c>
      <c r="BS1133" s="302">
        <f t="shared" si="1784"/>
        <v>45.601099999999995</v>
      </c>
      <c r="BT1133" s="302">
        <f t="shared" ref="BT1133:CY1133" si="1785">BT468</f>
        <v>49.536300000000004</v>
      </c>
      <c r="BU1133" s="302">
        <f t="shared" si="1785"/>
        <v>55.069699999999997</v>
      </c>
      <c r="BV1133" s="302">
        <f t="shared" si="1785"/>
        <v>50.460338782147375</v>
      </c>
      <c r="BW1133" s="302">
        <f t="shared" si="1785"/>
        <v>47.73854370565882</v>
      </c>
      <c r="BX1133" s="302">
        <f t="shared" si="1785"/>
        <v>55.734871901255175</v>
      </c>
      <c r="BY1133" s="302">
        <f t="shared" si="1785"/>
        <v>50.75937849946633</v>
      </c>
      <c r="BZ1133" s="302">
        <f t="shared" si="1785"/>
        <v>50.630494762198431</v>
      </c>
      <c r="CA1133" s="302">
        <f t="shared" si="1785"/>
        <v>70.645197296430297</v>
      </c>
      <c r="CB1133" s="302">
        <f t="shared" si="1785"/>
        <v>50.480923714506467</v>
      </c>
      <c r="CC1133" s="302">
        <f t="shared" si="1785"/>
        <v>51.997049962222945</v>
      </c>
      <c r="CD1133" s="302">
        <f t="shared" si="1785"/>
        <v>72.8713855213188</v>
      </c>
      <c r="CE1133" s="302">
        <f t="shared" si="1785"/>
        <v>50.358473264697274</v>
      </c>
      <c r="CF1133" s="302">
        <f t="shared" si="1785"/>
        <v>56.400872537300785</v>
      </c>
      <c r="CG1133" s="302">
        <f t="shared" si="1785"/>
        <v>67.762531850293428</v>
      </c>
      <c r="CH1133" s="302">
        <f t="shared" si="1785"/>
        <v>56.569088801345231</v>
      </c>
      <c r="CI1133" s="302">
        <f t="shared" si="1785"/>
        <v>56.830358355824714</v>
      </c>
      <c r="CJ1133" s="302">
        <f t="shared" si="1785"/>
        <v>71.728807105693789</v>
      </c>
      <c r="CK1133" s="302">
        <f t="shared" si="1785"/>
        <v>62.628570289825042</v>
      </c>
      <c r="CL1133" s="302">
        <f t="shared" si="1785"/>
        <v>58.387859632163071</v>
      </c>
      <c r="CM1133" s="302">
        <f t="shared" si="1785"/>
        <v>67.667474816064214</v>
      </c>
      <c r="CN1133" s="302">
        <f t="shared" si="1785"/>
        <v>58.232361492253354</v>
      </c>
      <c r="CO1133" s="302">
        <f t="shared" si="1785"/>
        <v>64.576853616357624</v>
      </c>
      <c r="CP1133" s="302">
        <f t="shared" si="1785"/>
        <v>92.282024141505644</v>
      </c>
      <c r="CQ1133" s="302">
        <f t="shared" si="1785"/>
        <v>62.205020874423333</v>
      </c>
      <c r="CR1133" s="302">
        <f t="shared" si="1785"/>
        <v>61.577752156755217</v>
      </c>
      <c r="CS1133" s="302">
        <f t="shared" si="1785"/>
        <v>81.209225728722529</v>
      </c>
      <c r="CT1133" s="302">
        <f t="shared" si="1785"/>
        <v>60.439698774882224</v>
      </c>
      <c r="CU1133" s="302">
        <f t="shared" si="1785"/>
        <v>58.213373962794371</v>
      </c>
      <c r="CV1133" s="302">
        <f t="shared" si="1785"/>
        <v>82.503151977615133</v>
      </c>
      <c r="CW1133" s="302">
        <f t="shared" si="1785"/>
        <v>65.856604348482591</v>
      </c>
      <c r="CX1133" s="302">
        <f t="shared" si="1785"/>
        <v>58.716004557468082</v>
      </c>
      <c r="CY1133" s="302">
        <f t="shared" si="1785"/>
        <v>87.614972142911796</v>
      </c>
      <c r="CZ1133" s="302">
        <f t="shared" ref="CZ1133:EE1133" si="1786">CZ468</f>
        <v>72.883829422090102</v>
      </c>
      <c r="DA1133" s="302">
        <f t="shared" si="1786"/>
        <v>68.82082806760269</v>
      </c>
      <c r="DB1133" s="706">
        <f t="shared" si="1786"/>
        <v>98.309068731851184</v>
      </c>
      <c r="DC1133" s="302">
        <f t="shared" si="1786"/>
        <v>66.733951547846715</v>
      </c>
      <c r="DD1133" s="302">
        <f t="shared" si="1786"/>
        <v>68.245586880935548</v>
      </c>
      <c r="DE1133" s="302">
        <f t="shared" si="1786"/>
        <v>86.824346869568402</v>
      </c>
      <c r="DF1133" s="302">
        <f t="shared" si="1786"/>
        <v>77.768789279906329</v>
      </c>
      <c r="DG1133" s="302">
        <f t="shared" si="1786"/>
        <v>70.290688721549159</v>
      </c>
      <c r="DH1133" s="302">
        <f t="shared" si="1786"/>
        <v>94.437271875493849</v>
      </c>
      <c r="DI1133" s="302">
        <f t="shared" si="1786"/>
        <v>76.99888641831906</v>
      </c>
      <c r="DJ1133" s="302">
        <f t="shared" si="1786"/>
        <v>72.781232871814325</v>
      </c>
      <c r="DK1133" s="302">
        <f t="shared" si="1786"/>
        <v>113.69690742097913</v>
      </c>
      <c r="DL1133" s="302">
        <f t="shared" si="1786"/>
        <v>78.44569215335008</v>
      </c>
      <c r="DM1133" s="302">
        <f t="shared" si="1786"/>
        <v>78.436310386163555</v>
      </c>
      <c r="DN1133" s="303">
        <f t="shared" si="1786"/>
        <v>115.65428540618294</v>
      </c>
      <c r="DO1133" s="302">
        <f t="shared" si="1786"/>
        <v>70.001377174548537</v>
      </c>
      <c r="DP1133" s="302">
        <f t="shared" si="1786"/>
        <v>82.550819978066912</v>
      </c>
      <c r="DQ1133" s="302">
        <f t="shared" si="1786"/>
        <v>96.339551639584585</v>
      </c>
      <c r="DR1133" s="302">
        <f t="shared" si="1786"/>
        <v>75.236561436798738</v>
      </c>
      <c r="DS1133" s="302">
        <f t="shared" si="1786"/>
        <v>77.488918952174245</v>
      </c>
      <c r="DT1133" s="302">
        <f t="shared" si="1786"/>
        <v>106.98901336147306</v>
      </c>
      <c r="DU1133" s="302">
        <f t="shared" si="1786"/>
        <v>87.321007018100005</v>
      </c>
      <c r="DV1133" s="302">
        <f t="shared" si="1786"/>
        <v>80.3658217081</v>
      </c>
      <c r="DW1133" s="302">
        <f t="shared" si="1786"/>
        <v>130.80228913051002</v>
      </c>
      <c r="DX1133" s="302">
        <f t="shared" si="1786"/>
        <v>79.869756277899995</v>
      </c>
      <c r="DY1133" s="302">
        <f t="shared" si="1786"/>
        <v>89.324089658700018</v>
      </c>
      <c r="DZ1133" s="303">
        <f t="shared" si="1786"/>
        <v>127.8539387389</v>
      </c>
      <c r="EA1133" s="302">
        <f t="shared" si="1786"/>
        <v>80.651868990290183</v>
      </c>
      <c r="EB1133" s="302">
        <f t="shared" si="1786"/>
        <v>87.744692091378823</v>
      </c>
      <c r="EC1133" s="302">
        <f t="shared" si="1786"/>
        <v>108.64829614084678</v>
      </c>
      <c r="ED1133" s="302">
        <f t="shared" si="1786"/>
        <v>93.959872045710185</v>
      </c>
      <c r="EE1133" s="302">
        <f t="shared" si="1786"/>
        <v>90.263999976638843</v>
      </c>
      <c r="EF1133" s="302">
        <f t="shared" ref="EF1133:EX1133" si="1787">EF468</f>
        <v>123.14485494378681</v>
      </c>
      <c r="EG1133" s="302">
        <f t="shared" si="1787"/>
        <v>103.31933546870459</v>
      </c>
      <c r="EH1133" s="302">
        <f t="shared" si="1787"/>
        <v>87.46300630727464</v>
      </c>
      <c r="EI1133" s="302">
        <f t="shared" si="1787"/>
        <v>137.8075590158904</v>
      </c>
      <c r="EJ1133" s="302">
        <f t="shared" si="1787"/>
        <v>107.06704100578096</v>
      </c>
      <c r="EK1133" s="302">
        <f t="shared" si="1787"/>
        <v>94.590637116626951</v>
      </c>
      <c r="EL1133" s="303">
        <f t="shared" si="1787"/>
        <v>138.22246798691367</v>
      </c>
      <c r="EM1133" s="302">
        <f t="shared" si="1787"/>
        <v>90.501668647839992</v>
      </c>
      <c r="EN1133" s="302">
        <f t="shared" si="1787"/>
        <v>104.63578741077001</v>
      </c>
      <c r="EO1133" s="302">
        <f t="shared" si="1787"/>
        <v>117.59219140776001</v>
      </c>
      <c r="EP1133" s="302">
        <f t="shared" si="1787"/>
        <v>103.03049675657665</v>
      </c>
      <c r="EQ1133" s="302">
        <f t="shared" si="1787"/>
        <v>100.61915029283668</v>
      </c>
      <c r="ER1133" s="302">
        <f t="shared" si="1787"/>
        <v>139.80340133454672</v>
      </c>
      <c r="ES1133" s="302">
        <f t="shared" si="1787"/>
        <v>118.55254429557266</v>
      </c>
      <c r="ET1133" s="302">
        <f t="shared" si="1787"/>
        <v>107.28935970444994</v>
      </c>
      <c r="EU1133" s="302">
        <f t="shared" si="1787"/>
        <v>129.97993856532003</v>
      </c>
      <c r="EV1133" s="302">
        <f t="shared" si="1787"/>
        <v>129.57661591749442</v>
      </c>
      <c r="EW1133" s="302">
        <f t="shared" si="1787"/>
        <v>115.44832913078002</v>
      </c>
      <c r="EX1133" s="303">
        <f t="shared" si="1787"/>
        <v>161.76129901532821</v>
      </c>
      <c r="EY1133" s="1771">
        <f t="shared" ref="EY1133:GD1133" si="1788">+EY667</f>
        <v>105.65950605125064</v>
      </c>
      <c r="EZ1133" s="1771">
        <f t="shared" si="1788"/>
        <v>114.2113842418846</v>
      </c>
      <c r="FA1133" s="1771">
        <f t="shared" si="1788"/>
        <v>132.89683536742749</v>
      </c>
      <c r="FB1133" s="1771">
        <f t="shared" si="1788"/>
        <v>108.92264112604063</v>
      </c>
      <c r="FC1133" s="1771">
        <f t="shared" si="1788"/>
        <v>106.68326342096984</v>
      </c>
      <c r="FD1133" s="1771">
        <f t="shared" si="1788"/>
        <v>165.17336859615594</v>
      </c>
      <c r="FE1133" s="1771">
        <f t="shared" si="1788"/>
        <v>129.17978821231756</v>
      </c>
      <c r="FF1133" s="1771">
        <f t="shared" si="1788"/>
        <v>116.33520310306274</v>
      </c>
      <c r="FG1133" s="1771">
        <f t="shared" si="1788"/>
        <v>123.84354192911091</v>
      </c>
      <c r="FH1133" s="1771">
        <f t="shared" si="1788"/>
        <v>111.61971296276113</v>
      </c>
      <c r="FI1133" s="1771">
        <f t="shared" si="1788"/>
        <v>92.550406284305652</v>
      </c>
      <c r="FJ1133" s="1771">
        <f t="shared" si="1788"/>
        <v>168.5330629930489</v>
      </c>
      <c r="FK1133" s="1771">
        <f t="shared" si="1788"/>
        <v>99.945885748172259</v>
      </c>
      <c r="FL1133" s="1771">
        <f t="shared" si="1788"/>
        <v>106.90137584125107</v>
      </c>
      <c r="FM1133" s="1771">
        <f t="shared" si="1788"/>
        <v>155.09121168506633</v>
      </c>
      <c r="FN1133" s="1771">
        <f t="shared" si="1788"/>
        <v>118.94741214038808</v>
      </c>
      <c r="FO1133" s="1771">
        <f t="shared" si="1788"/>
        <v>119.17105225139113</v>
      </c>
      <c r="FP1133" s="1771">
        <f t="shared" si="1788"/>
        <v>161.98099204682552</v>
      </c>
      <c r="FQ1133" s="1771">
        <f t="shared" si="1788"/>
        <v>118.21035142438593</v>
      </c>
      <c r="FR1133" s="1771">
        <f t="shared" si="1788"/>
        <v>121.65400060516743</v>
      </c>
      <c r="FS1133" s="1771">
        <f t="shared" si="1788"/>
        <v>169.64471663081804</v>
      </c>
      <c r="FT1133" s="1771">
        <f t="shared" si="1788"/>
        <v>131.6406722489491</v>
      </c>
      <c r="FU1133" s="1771">
        <f t="shared" si="1788"/>
        <v>129.16985994808741</v>
      </c>
      <c r="FV1133" s="1771">
        <f t="shared" si="1788"/>
        <v>189.33175192633266</v>
      </c>
      <c r="FW1133" s="1771">
        <f t="shared" si="1788"/>
        <v>110.1156569781196</v>
      </c>
      <c r="FX1133" s="1771">
        <f t="shared" si="1788"/>
        <v>123.39516343103196</v>
      </c>
      <c r="FY1133" s="1771">
        <f t="shared" si="1788"/>
        <v>167.87899487170446</v>
      </c>
      <c r="FZ1133" s="1771">
        <f t="shared" si="1788"/>
        <v>129.13909366182429</v>
      </c>
      <c r="GA1133" s="1771">
        <f t="shared" si="1788"/>
        <v>135.90353463757307</v>
      </c>
      <c r="GB1133" s="1771">
        <f t="shared" si="1788"/>
        <v>186.33327966820102</v>
      </c>
      <c r="GC1133" s="1771">
        <f t="shared" si="1788"/>
        <v>146.46208294654627</v>
      </c>
      <c r="GD1133" s="1771">
        <f t="shared" si="1788"/>
        <v>134.54808684712521</v>
      </c>
      <c r="GE1133" s="1771">
        <f t="shared" ref="GE1133:HL1133" si="1789">+GE667</f>
        <v>232.31337755216748</v>
      </c>
      <c r="GF1133" s="1771">
        <f t="shared" si="1789"/>
        <v>142.49260437009488</v>
      </c>
      <c r="GG1133" s="1771">
        <f t="shared" si="1789"/>
        <v>145.4445077296626</v>
      </c>
      <c r="GH1133" s="1771">
        <f t="shared" si="1789"/>
        <v>222.74720845481093</v>
      </c>
      <c r="GI1133" s="1771">
        <f t="shared" si="1789"/>
        <v>145.96192723773103</v>
      </c>
      <c r="GJ1133" s="1771">
        <f t="shared" si="1789"/>
        <v>170.08469428493055</v>
      </c>
      <c r="GK1133" s="1771">
        <f t="shared" si="1789"/>
        <v>214.70250271454984</v>
      </c>
      <c r="GL1133" s="1771">
        <f t="shared" si="1789"/>
        <v>143.56997105973568</v>
      </c>
      <c r="GM1133" s="1771">
        <f t="shared" si="1789"/>
        <v>167.57943580356664</v>
      </c>
      <c r="GN1133" s="1771">
        <f t="shared" si="1789"/>
        <v>228.35396693025771</v>
      </c>
      <c r="GO1133" s="1771">
        <f t="shared" si="1789"/>
        <v>198.1196480416676</v>
      </c>
      <c r="GP1133" s="1771">
        <f t="shared" si="1789"/>
        <v>145.38917010292781</v>
      </c>
      <c r="GQ1133" s="1771">
        <f t="shared" si="1789"/>
        <v>258.82715269015318</v>
      </c>
      <c r="GR1133" s="1771">
        <f t="shared" si="1789"/>
        <v>183.31387861149</v>
      </c>
      <c r="GS1133" s="1771">
        <f t="shared" si="1789"/>
        <v>170.87591844504999</v>
      </c>
      <c r="GT1133" s="1771">
        <f t="shared" si="1789"/>
        <v>260.59353089068003</v>
      </c>
      <c r="GU1133" s="1771">
        <f t="shared" si="1789"/>
        <v>182.39831541385061</v>
      </c>
      <c r="GV1133" s="1771">
        <f t="shared" si="1789"/>
        <v>182.99428996030898</v>
      </c>
      <c r="GW1133" s="1771">
        <f t="shared" si="1789"/>
        <v>219.72430971012875</v>
      </c>
      <c r="GX1133" s="1771">
        <f t="shared" si="1789"/>
        <v>192.38625173155</v>
      </c>
      <c r="GY1133" s="1771">
        <f t="shared" si="1789"/>
        <v>179.27714057267949</v>
      </c>
      <c r="GZ1133" s="1771">
        <f t="shared" si="1789"/>
        <v>251.60134103664996</v>
      </c>
      <c r="HA1133" s="1771">
        <f t="shared" si="1789"/>
        <v>215.97574927790251</v>
      </c>
      <c r="HB1133" s="1771">
        <f t="shared" si="1789"/>
        <v>182.54097471448733</v>
      </c>
      <c r="HC1133" s="1771">
        <f t="shared" si="1789"/>
        <v>203.28094409923906</v>
      </c>
      <c r="HD1133" s="1771">
        <f t="shared" si="1789"/>
        <v>252.7943804628523</v>
      </c>
      <c r="HE1133" s="1771">
        <f t="shared" si="1789"/>
        <v>208.25516269036228</v>
      </c>
      <c r="HF1133" s="1771">
        <f t="shared" si="1789"/>
        <v>322.09266473531591</v>
      </c>
      <c r="HG1133" s="1771">
        <f t="shared" si="1789"/>
        <v>215.27946752881914</v>
      </c>
      <c r="HH1133" s="1771">
        <f t="shared" si="1789"/>
        <v>217.29744008829482</v>
      </c>
      <c r="HI1133" s="1771">
        <f t="shared" si="1789"/>
        <v>276.21890481851608</v>
      </c>
      <c r="HJ1133" s="1771">
        <f t="shared" si="1789"/>
        <v>236.30508696925642</v>
      </c>
      <c r="HK1133" s="1771">
        <f t="shared" si="1789"/>
        <v>215.34337875072524</v>
      </c>
      <c r="HL1133" s="1771">
        <f t="shared" si="1789"/>
        <v>313.69009155564981</v>
      </c>
    </row>
    <row r="1134" spans="1:295" ht="17.25" customHeight="1">
      <c r="D1134" s="1235" t="s">
        <v>1257</v>
      </c>
      <c r="E1134" s="302">
        <f t="shared" ref="E1134:AJ1134" si="1790">E470</f>
        <v>4.2294</v>
      </c>
      <c r="F1134" s="302">
        <f t="shared" si="1790"/>
        <v>4.8996000000000004</v>
      </c>
      <c r="G1134" s="302">
        <f t="shared" si="1790"/>
        <v>9.74</v>
      </c>
      <c r="H1134" s="302">
        <f t="shared" si="1790"/>
        <v>6.2172999999999998</v>
      </c>
      <c r="I1134" s="302">
        <f t="shared" si="1790"/>
        <v>6.1355000000000004</v>
      </c>
      <c r="J1134" s="302">
        <f t="shared" si="1790"/>
        <v>12.2303</v>
      </c>
      <c r="K1134" s="302">
        <f t="shared" si="1790"/>
        <v>5.4071999999999996</v>
      </c>
      <c r="L1134" s="302">
        <f t="shared" si="1790"/>
        <v>5.3875000000000002</v>
      </c>
      <c r="M1134" s="302">
        <f t="shared" si="1790"/>
        <v>9.8819999999999997</v>
      </c>
      <c r="N1134" s="302">
        <f t="shared" si="1790"/>
        <v>6.0981000000000005</v>
      </c>
      <c r="O1134" s="302">
        <f t="shared" si="1790"/>
        <v>5.7516000000000007</v>
      </c>
      <c r="P1134" s="302">
        <f t="shared" si="1790"/>
        <v>9.8281999999999989</v>
      </c>
      <c r="Q1134" s="302">
        <f t="shared" si="1790"/>
        <v>6.77</v>
      </c>
      <c r="R1134" s="302">
        <f t="shared" si="1790"/>
        <v>6.431</v>
      </c>
      <c r="S1134" s="302">
        <f t="shared" si="1790"/>
        <v>11.5298</v>
      </c>
      <c r="T1134" s="302">
        <f t="shared" si="1790"/>
        <v>9.7888500000000001</v>
      </c>
      <c r="U1134" s="302">
        <f t="shared" si="1790"/>
        <v>7.5178000000000003</v>
      </c>
      <c r="V1134" s="302">
        <f t="shared" si="1790"/>
        <v>18.883900000000001</v>
      </c>
      <c r="W1134" s="302">
        <f t="shared" si="1790"/>
        <v>7.5696000000000003</v>
      </c>
      <c r="X1134" s="302">
        <f t="shared" si="1790"/>
        <v>7.1867999999999999</v>
      </c>
      <c r="Y1134" s="302">
        <f t="shared" si="1790"/>
        <v>15.0951</v>
      </c>
      <c r="Z1134" s="302">
        <f t="shared" si="1790"/>
        <v>9.2165999999999997</v>
      </c>
      <c r="AA1134" s="302">
        <f t="shared" si="1790"/>
        <v>6.8547000000000002</v>
      </c>
      <c r="AB1134" s="302">
        <f t="shared" si="1790"/>
        <v>16.229099999999999</v>
      </c>
      <c r="AC1134" s="302">
        <f t="shared" si="1790"/>
        <v>8.3041</v>
      </c>
      <c r="AD1134" s="302">
        <f t="shared" si="1790"/>
        <v>8.0401000000000007</v>
      </c>
      <c r="AE1134" s="302">
        <f t="shared" si="1790"/>
        <v>15.087200000000001</v>
      </c>
      <c r="AF1134" s="302">
        <f t="shared" si="1790"/>
        <v>8.5241000000000007</v>
      </c>
      <c r="AG1134" s="302">
        <f t="shared" si="1790"/>
        <v>9.5237999999999996</v>
      </c>
      <c r="AH1134" s="302">
        <f t="shared" si="1790"/>
        <v>18.486799999999999</v>
      </c>
      <c r="AI1134" s="302">
        <f t="shared" si="1790"/>
        <v>8.4802</v>
      </c>
      <c r="AJ1134" s="302">
        <f t="shared" si="1790"/>
        <v>8.6162900000000011</v>
      </c>
      <c r="AK1134" s="302">
        <f t="shared" ref="AK1134:BP1134" si="1791">AK470</f>
        <v>15.2136</v>
      </c>
      <c r="AL1134" s="302">
        <f t="shared" si="1791"/>
        <v>8.3623999999999992</v>
      </c>
      <c r="AM1134" s="302">
        <f t="shared" si="1791"/>
        <v>9.8104999999999993</v>
      </c>
      <c r="AN1134" s="302">
        <f t="shared" si="1791"/>
        <v>18.0078</v>
      </c>
      <c r="AO1134" s="302">
        <f t="shared" si="1791"/>
        <v>9.7523999999999997</v>
      </c>
      <c r="AP1134" s="302">
        <f t="shared" si="1791"/>
        <v>9.7409999999999997</v>
      </c>
      <c r="AQ1134" s="302">
        <f t="shared" si="1791"/>
        <v>23.587599999999998</v>
      </c>
      <c r="AR1134" s="302">
        <f t="shared" si="1791"/>
        <v>10.6571</v>
      </c>
      <c r="AS1134" s="302">
        <f t="shared" si="1791"/>
        <v>10.450200000000001</v>
      </c>
      <c r="AT1134" s="302">
        <f t="shared" si="1791"/>
        <v>16.0748</v>
      </c>
      <c r="AU1134" s="302">
        <f t="shared" si="1791"/>
        <v>10.8079</v>
      </c>
      <c r="AV1134" s="302">
        <f t="shared" si="1791"/>
        <v>12.0541</v>
      </c>
      <c r="AW1134" s="302">
        <f t="shared" si="1791"/>
        <v>16.495439999999999</v>
      </c>
      <c r="AX1134" s="302">
        <f t="shared" si="1791"/>
        <v>11.353399999999999</v>
      </c>
      <c r="AY1134" s="302">
        <f t="shared" si="1791"/>
        <v>11.4215</v>
      </c>
      <c r="AZ1134" s="302">
        <f t="shared" si="1791"/>
        <v>19.632000000000001</v>
      </c>
      <c r="BA1134" s="302">
        <f t="shared" si="1791"/>
        <v>12.880600000000001</v>
      </c>
      <c r="BB1134" s="302">
        <f t="shared" si="1791"/>
        <v>10.114100000000001</v>
      </c>
      <c r="BC1134" s="302">
        <f t="shared" si="1791"/>
        <v>25.939799999999998</v>
      </c>
      <c r="BD1134" s="302">
        <f t="shared" si="1791"/>
        <v>13.154260000000001</v>
      </c>
      <c r="BE1134" s="302">
        <f t="shared" si="1791"/>
        <v>15.050450000000001</v>
      </c>
      <c r="BF1134" s="302">
        <f t="shared" si="1791"/>
        <v>21.799799999999998</v>
      </c>
      <c r="BG1134" s="302">
        <f t="shared" si="1791"/>
        <v>11.609183778999999</v>
      </c>
      <c r="BH1134" s="302">
        <f t="shared" si="1791"/>
        <v>13.511276782000003</v>
      </c>
      <c r="BI1134" s="302">
        <f t="shared" si="1791"/>
        <v>20.077570490000003</v>
      </c>
      <c r="BJ1134" s="302">
        <f t="shared" si="1791"/>
        <v>15.582799999999999</v>
      </c>
      <c r="BK1134" s="302">
        <f t="shared" si="1791"/>
        <v>15.340540000000001</v>
      </c>
      <c r="BL1134" s="302">
        <f t="shared" si="1791"/>
        <v>23.56427</v>
      </c>
      <c r="BM1134" s="302">
        <f t="shared" si="1791"/>
        <v>15.8581</v>
      </c>
      <c r="BN1134" s="302">
        <f t="shared" si="1791"/>
        <v>15.1586</v>
      </c>
      <c r="BO1134" s="302">
        <f t="shared" si="1791"/>
        <v>30.055299999999999</v>
      </c>
      <c r="BP1134" s="302">
        <f t="shared" si="1791"/>
        <v>17.537200000000002</v>
      </c>
      <c r="BQ1134" s="302">
        <f t="shared" ref="BQ1134:CV1134" si="1792">BQ470</f>
        <v>24.180400000000002</v>
      </c>
      <c r="BR1134" s="302">
        <f t="shared" si="1792"/>
        <v>25.996700000000001</v>
      </c>
      <c r="BS1134" s="302">
        <f t="shared" si="1792"/>
        <v>14.869200000000001</v>
      </c>
      <c r="BT1134" s="302">
        <f t="shared" si="1792"/>
        <v>17.380200000000002</v>
      </c>
      <c r="BU1134" s="302">
        <f t="shared" si="1792"/>
        <v>23.817799999999998</v>
      </c>
      <c r="BV1134" s="302">
        <f t="shared" si="1792"/>
        <v>20.085137107999998</v>
      </c>
      <c r="BW1134" s="302">
        <f t="shared" si="1792"/>
        <v>19.032810089000002</v>
      </c>
      <c r="BX1134" s="302">
        <f t="shared" si="1792"/>
        <v>25.844017297000001</v>
      </c>
      <c r="BY1134" s="302">
        <f t="shared" si="1792"/>
        <v>18.816471498000002</v>
      </c>
      <c r="BZ1134" s="302">
        <f t="shared" si="1792"/>
        <v>22.563897915999998</v>
      </c>
      <c r="CA1134" s="302">
        <f t="shared" si="1792"/>
        <v>40.967232714000005</v>
      </c>
      <c r="CB1134" s="302">
        <f t="shared" si="1792"/>
        <v>21.093378254000001</v>
      </c>
      <c r="CC1134" s="302">
        <f t="shared" si="1792"/>
        <v>21.295209594000003</v>
      </c>
      <c r="CD1134" s="302">
        <f t="shared" si="1792"/>
        <v>36.377935814000004</v>
      </c>
      <c r="CE1134" s="302">
        <f t="shared" si="1792"/>
        <v>19.243223158000003</v>
      </c>
      <c r="CF1134" s="302">
        <f t="shared" si="1792"/>
        <v>21.131821452999997</v>
      </c>
      <c r="CG1134" s="302">
        <f t="shared" si="1792"/>
        <v>30.692373311000001</v>
      </c>
      <c r="CH1134" s="302">
        <f t="shared" si="1792"/>
        <v>21.529209563000002</v>
      </c>
      <c r="CI1134" s="302">
        <f t="shared" si="1792"/>
        <v>20.612307720999997</v>
      </c>
      <c r="CJ1134" s="302">
        <f t="shared" si="1792"/>
        <v>36.108084553999994</v>
      </c>
      <c r="CK1134" s="302">
        <f t="shared" si="1792"/>
        <v>22.963157741</v>
      </c>
      <c r="CL1134" s="302">
        <f t="shared" si="1792"/>
        <v>22.570024158000003</v>
      </c>
      <c r="CM1134" s="302">
        <f t="shared" si="1792"/>
        <v>30.981665009</v>
      </c>
      <c r="CN1134" s="302">
        <f t="shared" si="1792"/>
        <v>22.71248851</v>
      </c>
      <c r="CO1134" s="302">
        <f t="shared" si="1792"/>
        <v>22.337369929999998</v>
      </c>
      <c r="CP1134" s="302">
        <f t="shared" si="1792"/>
        <v>40.750513335999997</v>
      </c>
      <c r="CQ1134" s="302">
        <f t="shared" si="1792"/>
        <v>23.704446707999999</v>
      </c>
      <c r="CR1134" s="302">
        <f t="shared" si="1792"/>
        <v>22.889832446</v>
      </c>
      <c r="CS1134" s="302">
        <f t="shared" si="1792"/>
        <v>35.721352616000004</v>
      </c>
      <c r="CT1134" s="302">
        <f t="shared" si="1792"/>
        <v>23.028986442000001</v>
      </c>
      <c r="CU1134" s="302">
        <f t="shared" si="1792"/>
        <v>20.431042698000002</v>
      </c>
      <c r="CV1134" s="302">
        <f t="shared" si="1792"/>
        <v>40.577117606999998</v>
      </c>
      <c r="CW1134" s="302">
        <f t="shared" ref="CW1134:EB1134" si="1793">CW470</f>
        <v>26.016992691999999</v>
      </c>
      <c r="CX1134" s="302">
        <f t="shared" si="1793"/>
        <v>21.560036044</v>
      </c>
      <c r="CY1134" s="302">
        <f t="shared" si="1793"/>
        <v>47.081547169000004</v>
      </c>
      <c r="CZ1134" s="302">
        <f t="shared" si="1793"/>
        <v>31.579407516</v>
      </c>
      <c r="DA1134" s="302">
        <f t="shared" si="1793"/>
        <v>26.762229838000003</v>
      </c>
      <c r="DB1134" s="706">
        <f t="shared" si="1793"/>
        <v>43.318694478999994</v>
      </c>
      <c r="DC1134" s="302">
        <f t="shared" si="1793"/>
        <v>25.271828125440468</v>
      </c>
      <c r="DD1134" s="302">
        <f t="shared" si="1793"/>
        <v>23.721978949147022</v>
      </c>
      <c r="DE1134" s="302">
        <f t="shared" si="1793"/>
        <v>36.863292639738098</v>
      </c>
      <c r="DF1134" s="302">
        <f t="shared" si="1793"/>
        <v>28.363050243635684</v>
      </c>
      <c r="DG1134" s="302">
        <f t="shared" si="1793"/>
        <v>24.900331481291762</v>
      </c>
      <c r="DH1134" s="302">
        <f t="shared" si="1793"/>
        <v>38.609710525357727</v>
      </c>
      <c r="DI1134" s="302">
        <f t="shared" si="1793"/>
        <v>29.966839983691674</v>
      </c>
      <c r="DJ1134" s="302">
        <f t="shared" si="1793"/>
        <v>26.983938657461596</v>
      </c>
      <c r="DK1134" s="302">
        <f t="shared" si="1793"/>
        <v>62.540453699076309</v>
      </c>
      <c r="DL1134" s="302">
        <f t="shared" si="1793"/>
        <v>29.754172011383083</v>
      </c>
      <c r="DM1134" s="302">
        <f t="shared" si="1793"/>
        <v>29.443865395332711</v>
      </c>
      <c r="DN1134" s="303">
        <f t="shared" si="1793"/>
        <v>49.739442979696335</v>
      </c>
      <c r="DO1134" s="302">
        <f t="shared" si="1793"/>
        <v>23.913280308648531</v>
      </c>
      <c r="DP1134" s="302">
        <f t="shared" si="1793"/>
        <v>32.404885582766894</v>
      </c>
      <c r="DQ1134" s="302">
        <f t="shared" si="1793"/>
        <v>42.25815268258458</v>
      </c>
      <c r="DR1134" s="302">
        <f t="shared" si="1793"/>
        <v>29.557968987098729</v>
      </c>
      <c r="DS1134" s="302">
        <f t="shared" si="1793"/>
        <v>28.769558111274247</v>
      </c>
      <c r="DT1134" s="302">
        <f t="shared" si="1793"/>
        <v>50.827558140653061</v>
      </c>
      <c r="DU1134" s="302">
        <f t="shared" si="1793"/>
        <v>34.254071183999997</v>
      </c>
      <c r="DV1134" s="302">
        <f t="shared" si="1793"/>
        <v>29.742180941000001</v>
      </c>
      <c r="DW1134" s="302">
        <f t="shared" si="1793"/>
        <v>73.297094385510007</v>
      </c>
      <c r="DX1134" s="302">
        <f t="shared" si="1793"/>
        <v>30.260020454999996</v>
      </c>
      <c r="DY1134" s="302">
        <f t="shared" si="1793"/>
        <v>34.802364183000002</v>
      </c>
      <c r="DZ1134" s="303">
        <f t="shared" si="1793"/>
        <v>58.296360038000003</v>
      </c>
      <c r="EA1134" s="302">
        <f t="shared" si="1793"/>
        <v>28.710028807590181</v>
      </c>
      <c r="EB1134" s="302">
        <f t="shared" si="1793"/>
        <v>34.816374093478835</v>
      </c>
      <c r="EC1134" s="302">
        <f t="shared" ref="EC1134:EX1134" si="1794">EC470</f>
        <v>46.624297544656798</v>
      </c>
      <c r="ED1134" s="302">
        <f t="shared" si="1794"/>
        <v>36.344994823510177</v>
      </c>
      <c r="EE1134" s="302">
        <f t="shared" si="1794"/>
        <v>34.72785934047883</v>
      </c>
      <c r="EF1134" s="302">
        <f t="shared" si="1794"/>
        <v>55.515725913656809</v>
      </c>
      <c r="EG1134" s="302">
        <f t="shared" si="1794"/>
        <v>43.895696367254587</v>
      </c>
      <c r="EH1134" s="302">
        <f t="shared" si="1794"/>
        <v>32.119409716304652</v>
      </c>
      <c r="EI1134" s="302">
        <f t="shared" si="1794"/>
        <v>75.969855363630415</v>
      </c>
      <c r="EJ1134" s="302">
        <f t="shared" si="1794"/>
        <v>49.582225284816928</v>
      </c>
      <c r="EK1134" s="302">
        <f t="shared" si="1794"/>
        <v>35.121721916539627</v>
      </c>
      <c r="EL1134" s="303">
        <f t="shared" si="1794"/>
        <v>65.26671222178615</v>
      </c>
      <c r="EM1134" s="302">
        <f t="shared" si="1794"/>
        <v>33.385846521520001</v>
      </c>
      <c r="EN1134" s="302">
        <f t="shared" si="1794"/>
        <v>39.191629906970007</v>
      </c>
      <c r="EO1134" s="302">
        <f t="shared" si="1794"/>
        <v>53.6930349298</v>
      </c>
      <c r="EP1134" s="302">
        <f t="shared" si="1794"/>
        <v>44.207083992279998</v>
      </c>
      <c r="EQ1134" s="302">
        <f t="shared" si="1794"/>
        <v>37.827719683780003</v>
      </c>
      <c r="ER1134" s="302">
        <f t="shared" si="1794"/>
        <v>65.417052105490043</v>
      </c>
      <c r="ES1134" s="302">
        <f t="shared" si="1794"/>
        <v>51.40271640221988</v>
      </c>
      <c r="ET1134" s="302">
        <f t="shared" si="1794"/>
        <v>40.540910135739999</v>
      </c>
      <c r="EU1134" s="302">
        <f t="shared" si="1794"/>
        <v>65.299393199640008</v>
      </c>
      <c r="EV1134" s="302">
        <f t="shared" si="1794"/>
        <v>60.447716026999998</v>
      </c>
      <c r="EW1134" s="302">
        <f t="shared" si="1794"/>
        <v>46.362133108500011</v>
      </c>
      <c r="EX1134" s="303">
        <f t="shared" si="1794"/>
        <v>79.308169455000041</v>
      </c>
      <c r="EY1134" s="681">
        <f t="shared" ref="EY1134:GD1134" si="1795">+EY668+EY673+EY674</f>
        <v>40.998102563960643</v>
      </c>
      <c r="EZ1134" s="681">
        <f t="shared" si="1795"/>
        <v>40.359256791960632</v>
      </c>
      <c r="FA1134" s="681">
        <f t="shared" si="1795"/>
        <v>62.714618937960644</v>
      </c>
      <c r="FB1134" s="681">
        <f t="shared" si="1795"/>
        <v>40.322914575960638</v>
      </c>
      <c r="FC1134" s="681">
        <f t="shared" si="1795"/>
        <v>35.474248270960636</v>
      </c>
      <c r="FD1134" s="681">
        <f t="shared" si="1795"/>
        <v>74.629290928196767</v>
      </c>
      <c r="FE1134" s="681">
        <f t="shared" si="1795"/>
        <v>52.874494495057547</v>
      </c>
      <c r="FF1134" s="681">
        <f t="shared" si="1795"/>
        <v>48.043972393756093</v>
      </c>
      <c r="FG1134" s="681">
        <f t="shared" si="1795"/>
        <v>52.8834113321209</v>
      </c>
      <c r="FH1134" s="681">
        <f t="shared" si="1795"/>
        <v>67.083237399265229</v>
      </c>
      <c r="FI1134" s="681">
        <f t="shared" si="1795"/>
        <v>44.103048887982951</v>
      </c>
      <c r="FJ1134" s="681">
        <f t="shared" si="1795"/>
        <v>86.63182540869299</v>
      </c>
      <c r="FK1134" s="681">
        <f t="shared" si="1795"/>
        <v>36.480909883157153</v>
      </c>
      <c r="FL1134" s="681">
        <f t="shared" si="1795"/>
        <v>36.197943323535597</v>
      </c>
      <c r="FM1134" s="681">
        <f t="shared" si="1795"/>
        <v>72.634704752297253</v>
      </c>
      <c r="FN1134" s="681">
        <f t="shared" si="1795"/>
        <v>43.473459922232095</v>
      </c>
      <c r="FO1134" s="681">
        <f t="shared" si="1795"/>
        <v>46.615781270947025</v>
      </c>
      <c r="FP1134" s="681">
        <f t="shared" si="1795"/>
        <v>81.259749145776112</v>
      </c>
      <c r="FQ1134" s="681">
        <f t="shared" si="1795"/>
        <v>50.313151113014023</v>
      </c>
      <c r="FR1134" s="681">
        <f t="shared" si="1795"/>
        <v>53.861909335116664</v>
      </c>
      <c r="FS1134" s="681">
        <f t="shared" si="1795"/>
        <v>94.205909172069781</v>
      </c>
      <c r="FT1134" s="681">
        <f t="shared" si="1795"/>
        <v>56.567175716620831</v>
      </c>
      <c r="FU1134" s="681">
        <f t="shared" si="1795"/>
        <v>53.276918327628884</v>
      </c>
      <c r="FV1134" s="681">
        <f t="shared" si="1795"/>
        <v>97.108670627380519</v>
      </c>
      <c r="FW1134" s="681">
        <f t="shared" si="1795"/>
        <v>43.178445719553409</v>
      </c>
      <c r="FX1134" s="681">
        <f t="shared" si="1795"/>
        <v>52.308287017607505</v>
      </c>
      <c r="FY1134" s="681">
        <f t="shared" si="1795"/>
        <v>86.106966377884135</v>
      </c>
      <c r="FZ1134" s="681">
        <f t="shared" si="1795"/>
        <v>51.203371626966955</v>
      </c>
      <c r="GA1134" s="681">
        <f t="shared" si="1795"/>
        <v>53.96826325923351</v>
      </c>
      <c r="GB1134" s="681">
        <f t="shared" si="1795"/>
        <v>93.928533551958907</v>
      </c>
      <c r="GC1134" s="681">
        <f t="shared" si="1795"/>
        <v>62.966492565953338</v>
      </c>
      <c r="GD1134" s="681">
        <f t="shared" si="1795"/>
        <v>57.649637922096062</v>
      </c>
      <c r="GE1134" s="681">
        <f t="shared" ref="GE1134:HL1134" si="1796">+GE668+GE673+GE674</f>
        <v>137.66919661280301</v>
      </c>
      <c r="GF1134" s="681">
        <f t="shared" si="1796"/>
        <v>56.108142905701492</v>
      </c>
      <c r="GG1134" s="681">
        <f t="shared" si="1796"/>
        <v>59.900862311816624</v>
      </c>
      <c r="GH1134" s="681">
        <f t="shared" si="1796"/>
        <v>115.67576002130728</v>
      </c>
      <c r="GI1134" s="681">
        <f t="shared" si="1796"/>
        <v>53.739588532850107</v>
      </c>
      <c r="GJ1134" s="681">
        <f t="shared" si="1796"/>
        <v>59.695303035705571</v>
      </c>
      <c r="GK1134" s="681">
        <f t="shared" si="1796"/>
        <v>106.82670777051501</v>
      </c>
      <c r="GL1134" s="681">
        <f t="shared" si="1796"/>
        <v>50.863954526469279</v>
      </c>
      <c r="GM1134" s="681">
        <f t="shared" si="1796"/>
        <v>70.076813582664428</v>
      </c>
      <c r="GN1134" s="681">
        <f t="shared" si="1796"/>
        <v>120.1372434062649</v>
      </c>
      <c r="GO1134" s="681">
        <f t="shared" si="1796"/>
        <v>87.293298755684503</v>
      </c>
      <c r="GP1134" s="681">
        <f t="shared" si="1796"/>
        <v>48.666573154658266</v>
      </c>
      <c r="GQ1134" s="681">
        <f t="shared" si="1796"/>
        <v>148.76221500328842</v>
      </c>
      <c r="GR1134" s="681">
        <f t="shared" si="1796"/>
        <v>88.37140703499999</v>
      </c>
      <c r="GS1134" s="681">
        <f t="shared" si="1796"/>
        <v>67.50632946399999</v>
      </c>
      <c r="GT1134" s="681">
        <f t="shared" si="1796"/>
        <v>143.37873628200001</v>
      </c>
      <c r="GU1134" s="681">
        <f t="shared" si="1796"/>
        <v>72.700919720999991</v>
      </c>
      <c r="GV1134" s="681">
        <f t="shared" si="1796"/>
        <v>71.821319189999983</v>
      </c>
      <c r="GW1134" s="681">
        <f t="shared" si="1796"/>
        <v>111.78708360900001</v>
      </c>
      <c r="GX1134" s="681">
        <f t="shared" si="1796"/>
        <v>82.820763460999999</v>
      </c>
      <c r="GY1134" s="681">
        <f t="shared" si="1796"/>
        <v>74.497666730999995</v>
      </c>
      <c r="GZ1134" s="681">
        <f t="shared" si="1796"/>
        <v>141.11318296899998</v>
      </c>
      <c r="HA1134" s="681">
        <f t="shared" si="1796"/>
        <v>90.766045083999998</v>
      </c>
      <c r="HB1134" s="681">
        <f t="shared" si="1796"/>
        <v>77.93863099596733</v>
      </c>
      <c r="HC1134" s="681">
        <f t="shared" si="1796"/>
        <v>94.083043559999993</v>
      </c>
      <c r="HD1134" s="681">
        <f t="shared" si="1796"/>
        <v>133.0008584796123</v>
      </c>
      <c r="HE1134" s="681">
        <f t="shared" si="1796"/>
        <v>87.666727071487273</v>
      </c>
      <c r="HF1134" s="681">
        <f t="shared" si="1796"/>
        <v>170.87723149339396</v>
      </c>
      <c r="HG1134" s="681">
        <f t="shared" si="1796"/>
        <v>76.597643702000013</v>
      </c>
      <c r="HH1134" s="681">
        <f t="shared" si="1796"/>
        <v>84.159837448999994</v>
      </c>
      <c r="HI1134" s="681">
        <f t="shared" si="1796"/>
        <v>145.350984883</v>
      </c>
      <c r="HJ1134" s="681">
        <f t="shared" si="1796"/>
        <v>90.499757433466428</v>
      </c>
      <c r="HK1134" s="681">
        <f t="shared" si="1796"/>
        <v>90.316420529759085</v>
      </c>
      <c r="HL1134" s="681">
        <f t="shared" si="1796"/>
        <v>174.22320015824451</v>
      </c>
    </row>
    <row r="1135" spans="1:295" ht="17.25" customHeight="1">
      <c r="D1135" s="1235" t="s">
        <v>1258</v>
      </c>
      <c r="E1135" s="302">
        <f t="shared" ref="E1135:AJ1135" si="1797">E473</f>
        <v>9.4116</v>
      </c>
      <c r="F1135" s="302">
        <f t="shared" si="1797"/>
        <v>8.2608999999999995</v>
      </c>
      <c r="G1135" s="302">
        <f t="shared" si="1797"/>
        <v>10.0154</v>
      </c>
      <c r="H1135" s="302">
        <f t="shared" si="1797"/>
        <v>9.7668999999999997</v>
      </c>
      <c r="I1135" s="302">
        <f t="shared" si="1797"/>
        <v>9.5553999999999988</v>
      </c>
      <c r="J1135" s="302">
        <f t="shared" si="1797"/>
        <v>10.387</v>
      </c>
      <c r="K1135" s="302">
        <f t="shared" si="1797"/>
        <v>9.6048999999999989</v>
      </c>
      <c r="L1135" s="302">
        <f t="shared" si="1797"/>
        <v>10.3903</v>
      </c>
      <c r="M1135" s="302">
        <f t="shared" si="1797"/>
        <v>9.9152000000000005</v>
      </c>
      <c r="N1135" s="302">
        <f t="shared" si="1797"/>
        <v>10.2142</v>
      </c>
      <c r="O1135" s="302">
        <f t="shared" si="1797"/>
        <v>11.895299999999999</v>
      </c>
      <c r="P1135" s="302">
        <f t="shared" si="1797"/>
        <v>11.5648</v>
      </c>
      <c r="Q1135" s="302">
        <f t="shared" si="1797"/>
        <v>11.690299999999999</v>
      </c>
      <c r="R1135" s="302">
        <f t="shared" si="1797"/>
        <v>11.6149</v>
      </c>
      <c r="S1135" s="302">
        <f t="shared" si="1797"/>
        <v>11.647500000000001</v>
      </c>
      <c r="T1135" s="302">
        <f t="shared" si="1797"/>
        <v>10.822700000000001</v>
      </c>
      <c r="U1135" s="302">
        <f t="shared" si="1797"/>
        <v>12.672799999999999</v>
      </c>
      <c r="V1135" s="302">
        <f t="shared" si="1797"/>
        <v>12.947899999999999</v>
      </c>
      <c r="W1135" s="302">
        <f t="shared" si="1797"/>
        <v>13.3018</v>
      </c>
      <c r="X1135" s="302">
        <f t="shared" si="1797"/>
        <v>13.8018</v>
      </c>
      <c r="Y1135" s="302">
        <f t="shared" si="1797"/>
        <v>15.9435</v>
      </c>
      <c r="Z1135" s="302">
        <f t="shared" si="1797"/>
        <v>15.8424</v>
      </c>
      <c r="AA1135" s="302">
        <f t="shared" si="1797"/>
        <v>14.826799999999999</v>
      </c>
      <c r="AB1135" s="302">
        <f t="shared" si="1797"/>
        <v>16.5852</v>
      </c>
      <c r="AC1135" s="302">
        <f t="shared" si="1797"/>
        <v>15.978399999999999</v>
      </c>
      <c r="AD1135" s="302">
        <f t="shared" si="1797"/>
        <v>16.263300000000001</v>
      </c>
      <c r="AE1135" s="302">
        <f t="shared" si="1797"/>
        <v>13.9215</v>
      </c>
      <c r="AF1135" s="302">
        <f t="shared" si="1797"/>
        <v>14.3789</v>
      </c>
      <c r="AG1135" s="302">
        <f t="shared" si="1797"/>
        <v>13.683200000000001</v>
      </c>
      <c r="AH1135" s="302">
        <f t="shared" si="1797"/>
        <v>14.745899999999999</v>
      </c>
      <c r="AI1135" s="302">
        <f t="shared" si="1797"/>
        <v>15.043299999999999</v>
      </c>
      <c r="AJ1135" s="302">
        <f t="shared" si="1797"/>
        <v>15.857299999999999</v>
      </c>
      <c r="AK1135" s="302">
        <f t="shared" ref="AK1135:BP1135" si="1798">AK473</f>
        <v>15.3857</v>
      </c>
      <c r="AL1135" s="302">
        <f t="shared" si="1798"/>
        <v>15.346200000000001</v>
      </c>
      <c r="AM1135" s="302">
        <f t="shared" si="1798"/>
        <v>16.407499999999999</v>
      </c>
      <c r="AN1135" s="302">
        <f t="shared" si="1798"/>
        <v>16.686499999999999</v>
      </c>
      <c r="AO1135" s="302">
        <f t="shared" si="1798"/>
        <v>16.5548</v>
      </c>
      <c r="AP1135" s="302">
        <f t="shared" si="1798"/>
        <v>15.553700000000001</v>
      </c>
      <c r="AQ1135" s="302">
        <f t="shared" si="1798"/>
        <v>17.471700000000002</v>
      </c>
      <c r="AR1135" s="302">
        <f t="shared" si="1798"/>
        <v>16.3583</v>
      </c>
      <c r="AS1135" s="302">
        <f t="shared" si="1798"/>
        <v>15.6881</v>
      </c>
      <c r="AT1135" s="302">
        <f t="shared" si="1798"/>
        <v>17.7105</v>
      </c>
      <c r="AU1135" s="302">
        <f t="shared" si="1798"/>
        <v>17.6343</v>
      </c>
      <c r="AV1135" s="302">
        <f t="shared" si="1798"/>
        <v>19.058599999999998</v>
      </c>
      <c r="AW1135" s="302">
        <f t="shared" si="1798"/>
        <v>18.961500000000001</v>
      </c>
      <c r="AX1135" s="302">
        <f t="shared" si="1798"/>
        <v>19.161000000000001</v>
      </c>
      <c r="AY1135" s="302">
        <f t="shared" si="1798"/>
        <v>20.3108</v>
      </c>
      <c r="AZ1135" s="302">
        <f t="shared" si="1798"/>
        <v>22.339200000000002</v>
      </c>
      <c r="BA1135" s="302">
        <f t="shared" si="1798"/>
        <v>21.822200000000002</v>
      </c>
      <c r="BB1135" s="302">
        <f t="shared" si="1798"/>
        <v>19.162560000000003</v>
      </c>
      <c r="BC1135" s="302">
        <f t="shared" si="1798"/>
        <v>19.557560000000002</v>
      </c>
      <c r="BD1135" s="302">
        <f t="shared" si="1798"/>
        <v>20.508900000000001</v>
      </c>
      <c r="BE1135" s="302">
        <f t="shared" si="1798"/>
        <v>22.770299999999999</v>
      </c>
      <c r="BF1135" s="302">
        <f t="shared" si="1798"/>
        <v>23.7254</v>
      </c>
      <c r="BG1135" s="302">
        <f t="shared" si="1798"/>
        <v>20.966528663800002</v>
      </c>
      <c r="BH1135" s="302">
        <f t="shared" si="1798"/>
        <v>23.6671240272</v>
      </c>
      <c r="BI1135" s="302">
        <f t="shared" si="1798"/>
        <v>23.953027627900003</v>
      </c>
      <c r="BJ1135" s="302">
        <f t="shared" si="1798"/>
        <v>21.652000000000001</v>
      </c>
      <c r="BK1135" s="302">
        <f t="shared" si="1798"/>
        <v>23.069839999999999</v>
      </c>
      <c r="BL1135" s="302">
        <f t="shared" si="1798"/>
        <v>24.892345000000002</v>
      </c>
      <c r="BM1135" s="302">
        <f t="shared" si="1798"/>
        <v>23.2239</v>
      </c>
      <c r="BN1135" s="302">
        <f t="shared" si="1798"/>
        <v>24.133299999999998</v>
      </c>
      <c r="BO1135" s="302">
        <f t="shared" si="1798"/>
        <v>24.619499999999999</v>
      </c>
      <c r="BP1135" s="302">
        <f t="shared" si="1798"/>
        <v>21.920300000000001</v>
      </c>
      <c r="BQ1135" s="302">
        <f t="shared" ref="BQ1135:CV1135" si="1799">BQ473</f>
        <v>24.101099999999999</v>
      </c>
      <c r="BR1135" s="302">
        <f t="shared" si="1799"/>
        <v>26.454900000000002</v>
      </c>
      <c r="BS1135" s="302">
        <f t="shared" si="1799"/>
        <v>25.064599999999999</v>
      </c>
      <c r="BT1135" s="302">
        <f t="shared" si="1799"/>
        <v>25.4953</v>
      </c>
      <c r="BU1135" s="302">
        <f t="shared" si="1799"/>
        <v>26.915500000000002</v>
      </c>
      <c r="BV1135" s="302">
        <f t="shared" si="1799"/>
        <v>26.531306822147378</v>
      </c>
      <c r="BW1135" s="302">
        <f t="shared" si="1799"/>
        <v>24.98555869265882</v>
      </c>
      <c r="BX1135" s="302">
        <f t="shared" si="1799"/>
        <v>26.125447644255175</v>
      </c>
      <c r="BY1135" s="302">
        <f t="shared" si="1799"/>
        <v>27.888198336466331</v>
      </c>
      <c r="BZ1135" s="302">
        <f t="shared" si="1799"/>
        <v>24.784347504198433</v>
      </c>
      <c r="CA1135" s="302">
        <f t="shared" si="1799"/>
        <v>26.467188712430286</v>
      </c>
      <c r="CB1135" s="302">
        <f t="shared" si="1799"/>
        <v>26.181016224506465</v>
      </c>
      <c r="CC1135" s="302">
        <f t="shared" si="1799"/>
        <v>27.027884673222939</v>
      </c>
      <c r="CD1135" s="302">
        <f t="shared" si="1799"/>
        <v>32.036213115318802</v>
      </c>
      <c r="CE1135" s="302">
        <f t="shared" si="1799"/>
        <v>27.175925627697268</v>
      </c>
      <c r="CF1135" s="302">
        <f t="shared" si="1799"/>
        <v>31.448783389300786</v>
      </c>
      <c r="CG1135" s="302">
        <f t="shared" si="1799"/>
        <v>32.695062422293432</v>
      </c>
      <c r="CH1135" s="302">
        <f t="shared" si="1799"/>
        <v>30.093787589345226</v>
      </c>
      <c r="CI1135" s="302">
        <f t="shared" si="1799"/>
        <v>31.622931282824723</v>
      </c>
      <c r="CJ1135" s="302">
        <f t="shared" si="1799"/>
        <v>30.767406408693802</v>
      </c>
      <c r="CK1135" s="302">
        <f t="shared" si="1799"/>
        <v>34.382431935825046</v>
      </c>
      <c r="CL1135" s="302">
        <f t="shared" si="1799"/>
        <v>31.154646210163069</v>
      </c>
      <c r="CM1135" s="302">
        <f t="shared" si="1799"/>
        <v>31.832167890064213</v>
      </c>
      <c r="CN1135" s="302">
        <f t="shared" si="1799"/>
        <v>30.847774212253356</v>
      </c>
      <c r="CO1135" s="302">
        <f t="shared" si="1799"/>
        <v>37.059071629357625</v>
      </c>
      <c r="CP1135" s="302">
        <f t="shared" si="1799"/>
        <v>44.856672864505647</v>
      </c>
      <c r="CQ1135" s="302">
        <f t="shared" si="1799"/>
        <v>34.044234721423337</v>
      </c>
      <c r="CR1135" s="302">
        <f t="shared" si="1799"/>
        <v>34.29596958275522</v>
      </c>
      <c r="CS1135" s="302">
        <f t="shared" si="1799"/>
        <v>40.407163301722527</v>
      </c>
      <c r="CT1135" s="302">
        <f t="shared" si="1799"/>
        <v>32.822443309882217</v>
      </c>
      <c r="CU1135" s="302">
        <f t="shared" si="1799"/>
        <v>32.604727360794364</v>
      </c>
      <c r="CV1135" s="302">
        <f t="shared" si="1799"/>
        <v>36.848967973615132</v>
      </c>
      <c r="CW1135" s="302">
        <f t="shared" ref="CW1135:EB1135" si="1800">CW473</f>
        <v>34.063865863482597</v>
      </c>
      <c r="CX1135" s="302">
        <f t="shared" si="1800"/>
        <v>31.988126682468085</v>
      </c>
      <c r="CY1135" s="302">
        <f t="shared" si="1800"/>
        <v>35.181410989911789</v>
      </c>
      <c r="CZ1135" s="302">
        <f t="shared" si="1800"/>
        <v>35.864216277090101</v>
      </c>
      <c r="DA1135" s="302">
        <f t="shared" si="1800"/>
        <v>35.710730559602688</v>
      </c>
      <c r="DB1135" s="706">
        <f t="shared" si="1800"/>
        <v>48.394044200851191</v>
      </c>
      <c r="DC1135" s="302">
        <f t="shared" si="1800"/>
        <v>36.017546511268577</v>
      </c>
      <c r="DD1135" s="302">
        <f t="shared" si="1800"/>
        <v>38.71828427882236</v>
      </c>
      <c r="DE1135" s="302">
        <f t="shared" si="1800"/>
        <v>43.069802325784131</v>
      </c>
      <c r="DF1135" s="302">
        <f t="shared" si="1800"/>
        <v>41.524162978379593</v>
      </c>
      <c r="DG1135" s="302">
        <f t="shared" si="1800"/>
        <v>38.419026093744549</v>
      </c>
      <c r="DH1135" s="302">
        <f t="shared" si="1800"/>
        <v>47.647654626847959</v>
      </c>
      <c r="DI1135" s="302">
        <f t="shared" si="1800"/>
        <v>40.436518023905741</v>
      </c>
      <c r="DJ1135" s="302">
        <f t="shared" si="1800"/>
        <v>39.103427348713439</v>
      </c>
      <c r="DK1135" s="302">
        <f t="shared" si="1800"/>
        <v>44.097411509082349</v>
      </c>
      <c r="DL1135" s="302">
        <f t="shared" si="1800"/>
        <v>41.603929950538571</v>
      </c>
      <c r="DM1135" s="302">
        <f t="shared" si="1800"/>
        <v>41.569464513546087</v>
      </c>
      <c r="DN1135" s="303">
        <f t="shared" si="1800"/>
        <v>58.062729940586692</v>
      </c>
      <c r="DO1135" s="302">
        <f t="shared" si="1800"/>
        <v>39.527052364900001</v>
      </c>
      <c r="DP1135" s="302">
        <f t="shared" si="1800"/>
        <v>42.818899499300009</v>
      </c>
      <c r="DQ1135" s="302">
        <f t="shared" si="1800"/>
        <v>46.790589943999997</v>
      </c>
      <c r="DR1135" s="302">
        <f t="shared" si="1800"/>
        <v>39.023771138699999</v>
      </c>
      <c r="DS1135" s="302">
        <f t="shared" si="1800"/>
        <v>41.684953767900005</v>
      </c>
      <c r="DT1135" s="302">
        <f t="shared" si="1800"/>
        <v>48.221292091819997</v>
      </c>
      <c r="DU1135" s="302">
        <f t="shared" si="1800"/>
        <v>45.778980718100001</v>
      </c>
      <c r="DV1135" s="302">
        <f t="shared" si="1800"/>
        <v>43.676228391100004</v>
      </c>
      <c r="DW1135" s="302">
        <f t="shared" si="1800"/>
        <v>48.967417331000007</v>
      </c>
      <c r="DX1135" s="302">
        <f t="shared" si="1800"/>
        <v>42.485499302900003</v>
      </c>
      <c r="DY1135" s="302">
        <f t="shared" si="1800"/>
        <v>45.112971943700011</v>
      </c>
      <c r="DZ1135" s="303">
        <f t="shared" si="1800"/>
        <v>60.468120292899989</v>
      </c>
      <c r="EA1135" s="302">
        <f t="shared" si="1800"/>
        <v>44.797875797699994</v>
      </c>
      <c r="EB1135" s="302">
        <f t="shared" si="1800"/>
        <v>45.5477164399</v>
      </c>
      <c r="EC1135" s="302">
        <f t="shared" ref="EC1135:EX1135" si="1801">EC473</f>
        <v>53.77540983518999</v>
      </c>
      <c r="ED1135" s="302">
        <f t="shared" si="1801"/>
        <v>48.820116958200003</v>
      </c>
      <c r="EE1135" s="302">
        <f t="shared" si="1801"/>
        <v>47.771835361160008</v>
      </c>
      <c r="EF1135" s="302">
        <f t="shared" si="1801"/>
        <v>58.566249298130003</v>
      </c>
      <c r="EG1135" s="302">
        <f t="shared" si="1801"/>
        <v>50.211513377449997</v>
      </c>
      <c r="EH1135" s="302">
        <f t="shared" si="1801"/>
        <v>48.096043656969997</v>
      </c>
      <c r="EI1135" s="302">
        <f t="shared" si="1801"/>
        <v>53.197381827259996</v>
      </c>
      <c r="EJ1135" s="302">
        <f t="shared" si="1801"/>
        <v>50.165768678964042</v>
      </c>
      <c r="EK1135" s="302">
        <f t="shared" si="1801"/>
        <v>50.777974140087323</v>
      </c>
      <c r="EL1135" s="303">
        <f t="shared" si="1801"/>
        <v>64.329564190127527</v>
      </c>
      <c r="EM1135" s="302">
        <f t="shared" si="1801"/>
        <v>49.047515527320002</v>
      </c>
      <c r="EN1135" s="302">
        <f t="shared" si="1801"/>
        <v>55.9534801808</v>
      </c>
      <c r="EO1135" s="302">
        <f t="shared" si="1801"/>
        <v>56.180142703960001</v>
      </c>
      <c r="EP1135" s="302">
        <f t="shared" si="1801"/>
        <v>50.583445224296661</v>
      </c>
      <c r="EQ1135" s="302">
        <f t="shared" si="1801"/>
        <v>53.589851192056663</v>
      </c>
      <c r="ER1135" s="302">
        <f t="shared" si="1801"/>
        <v>63.491690591056667</v>
      </c>
      <c r="ES1135" s="302">
        <f t="shared" si="1801"/>
        <v>57.058484830496539</v>
      </c>
      <c r="ET1135" s="302">
        <f t="shared" si="1801"/>
        <v>57.352404683147306</v>
      </c>
      <c r="EU1135" s="302">
        <f t="shared" si="1801"/>
        <v>55.750775766247251</v>
      </c>
      <c r="EV1135" s="302">
        <f t="shared" si="1801"/>
        <v>58.656694224941994</v>
      </c>
      <c r="EW1135" s="302">
        <f t="shared" si="1801"/>
        <v>59.182104264638305</v>
      </c>
      <c r="EX1135" s="303">
        <f t="shared" si="1801"/>
        <v>73.132967703428662</v>
      </c>
      <c r="EY1135" s="681">
        <f t="shared" ref="EY1135:GD1135" si="1802">+EY681</f>
        <v>54.263382039290008</v>
      </c>
      <c r="EZ1135" s="681">
        <f t="shared" si="1802"/>
        <v>61.952180569923961</v>
      </c>
      <c r="FA1135" s="681">
        <f t="shared" si="1802"/>
        <v>61.400699289466829</v>
      </c>
      <c r="FB1135" s="681">
        <f t="shared" si="1802"/>
        <v>58.598301699079997</v>
      </c>
      <c r="FC1135" s="681">
        <f t="shared" si="1802"/>
        <v>60.445300122399203</v>
      </c>
      <c r="FD1135" s="681">
        <f t="shared" si="1802"/>
        <v>78.471032264479192</v>
      </c>
      <c r="FE1135" s="681">
        <f t="shared" si="1802"/>
        <v>66.07755830056</v>
      </c>
      <c r="FF1135" s="681">
        <f t="shared" si="1802"/>
        <v>58.48371647499664</v>
      </c>
      <c r="FG1135" s="681">
        <f t="shared" si="1802"/>
        <v>60.428050559280003</v>
      </c>
      <c r="FH1135" s="681">
        <f t="shared" si="1802"/>
        <v>38.734274717475898</v>
      </c>
      <c r="FI1135" s="681">
        <f t="shared" si="1802"/>
        <v>40.964304717332695</v>
      </c>
      <c r="FJ1135" s="681">
        <f t="shared" si="1802"/>
        <v>72.390007426795904</v>
      </c>
      <c r="FK1135" s="681">
        <f t="shared" si="1802"/>
        <v>54.168901728150594</v>
      </c>
      <c r="FL1135" s="681">
        <f t="shared" si="1802"/>
        <v>60.051041430954385</v>
      </c>
      <c r="FM1135" s="681">
        <f t="shared" si="1802"/>
        <v>71.479806972853822</v>
      </c>
      <c r="FN1135" s="681">
        <f t="shared" si="1802"/>
        <v>63.371288552983501</v>
      </c>
      <c r="FO1135" s="681">
        <f t="shared" si="1802"/>
        <v>61.997095310571702</v>
      </c>
      <c r="FP1135" s="681">
        <f t="shared" si="1802"/>
        <v>69.343101686268739</v>
      </c>
      <c r="FQ1135" s="681">
        <f t="shared" si="1802"/>
        <v>60.057290794969944</v>
      </c>
      <c r="FR1135" s="681">
        <f t="shared" si="1802"/>
        <v>58.694828293877428</v>
      </c>
      <c r="FS1135" s="681">
        <f t="shared" si="1802"/>
        <v>64.712181678315659</v>
      </c>
      <c r="FT1135" s="681">
        <f t="shared" si="1802"/>
        <v>64.673643356741692</v>
      </c>
      <c r="FU1135" s="681">
        <f t="shared" si="1802"/>
        <v>66.447717415473193</v>
      </c>
      <c r="FV1135" s="681">
        <f t="shared" si="1802"/>
        <v>80.95332279998722</v>
      </c>
      <c r="FW1135" s="681">
        <f t="shared" si="1802"/>
        <v>57.455082833334053</v>
      </c>
      <c r="FX1135" s="681">
        <f t="shared" si="1802"/>
        <v>61.040984403823927</v>
      </c>
      <c r="FY1135" s="681">
        <f t="shared" si="1802"/>
        <v>71.34859550482399</v>
      </c>
      <c r="FZ1135" s="681">
        <f t="shared" si="1802"/>
        <v>67.735260111406518</v>
      </c>
      <c r="GA1135" s="681">
        <f t="shared" si="1802"/>
        <v>71.406121894751934</v>
      </c>
      <c r="GB1135" s="681">
        <f t="shared" si="1802"/>
        <v>79.97994653947751</v>
      </c>
      <c r="GC1135" s="681">
        <f t="shared" si="1802"/>
        <v>74.128009737574985</v>
      </c>
      <c r="GD1135" s="681">
        <f t="shared" si="1802"/>
        <v>66.461552756245538</v>
      </c>
      <c r="GE1135" s="681">
        <f t="shared" ref="GE1135:HL1135" si="1803">+GE681</f>
        <v>83.517696730099829</v>
      </c>
      <c r="GF1135" s="681">
        <f t="shared" si="1803"/>
        <v>75.203753604971894</v>
      </c>
      <c r="GG1135" s="681">
        <f t="shared" si="1803"/>
        <v>73.101989073323665</v>
      </c>
      <c r="GH1135" s="681">
        <f t="shared" si="1803"/>
        <v>91.710698926614242</v>
      </c>
      <c r="GI1135" s="681">
        <f t="shared" si="1803"/>
        <v>75.83596751694094</v>
      </c>
      <c r="GJ1135" s="681">
        <f t="shared" si="1803"/>
        <v>91.518969854744995</v>
      </c>
      <c r="GK1135" s="681">
        <f t="shared" si="1803"/>
        <v>89.953357421414836</v>
      </c>
      <c r="GL1135" s="681">
        <f t="shared" si="1803"/>
        <v>76.794259471496403</v>
      </c>
      <c r="GM1135" s="681">
        <f t="shared" si="1803"/>
        <v>79.812763006002214</v>
      </c>
      <c r="GN1135" s="681">
        <f t="shared" si="1803"/>
        <v>90.371227122600786</v>
      </c>
      <c r="GO1135" s="681">
        <f t="shared" si="1803"/>
        <v>93.541868119232603</v>
      </c>
      <c r="GP1135" s="681">
        <f t="shared" si="1803"/>
        <v>78.785211588544087</v>
      </c>
      <c r="GQ1135" s="681">
        <f t="shared" si="1803"/>
        <v>91.676332418468078</v>
      </c>
      <c r="GR1135" s="681">
        <f t="shared" si="1803"/>
        <v>80.289282286640002</v>
      </c>
      <c r="GS1135" s="681">
        <f t="shared" si="1803"/>
        <v>83.865236796749997</v>
      </c>
      <c r="GT1135" s="681">
        <f t="shared" si="1803"/>
        <v>97.978523219140015</v>
      </c>
      <c r="GU1135" s="681">
        <f t="shared" si="1803"/>
        <v>93.588156971670628</v>
      </c>
      <c r="GV1135" s="681">
        <f t="shared" si="1803"/>
        <v>95.09266117670154</v>
      </c>
      <c r="GW1135" s="681">
        <f t="shared" si="1803"/>
        <v>92.184935714847882</v>
      </c>
      <c r="GX1135" s="681">
        <f t="shared" si="1803"/>
        <v>95.011488550449997</v>
      </c>
      <c r="GY1135" s="681">
        <f t="shared" si="1803"/>
        <v>90.740672627979492</v>
      </c>
      <c r="GZ1135" s="681">
        <f t="shared" si="1803"/>
        <v>94.519543153649991</v>
      </c>
      <c r="HA1135" s="681">
        <f t="shared" si="1803"/>
        <v>108.52683890841251</v>
      </c>
      <c r="HB1135" s="681">
        <f t="shared" si="1803"/>
        <v>90.239175114779997</v>
      </c>
      <c r="HC1135" s="681">
        <f t="shared" si="1803"/>
        <v>93.516958395113221</v>
      </c>
      <c r="HD1135" s="681">
        <f t="shared" si="1803"/>
        <v>103.89674737625</v>
      </c>
      <c r="HE1135" s="681">
        <f t="shared" si="1803"/>
        <v>102.254227319295</v>
      </c>
      <c r="HF1135" s="681">
        <f t="shared" si="1803"/>
        <v>130.19032642524189</v>
      </c>
      <c r="HG1135" s="681">
        <f t="shared" si="1803"/>
        <v>119.87130082016913</v>
      </c>
      <c r="HH1135" s="681">
        <f t="shared" si="1803"/>
        <v>111.53782990078483</v>
      </c>
      <c r="HI1135" s="681">
        <f t="shared" si="1803"/>
        <v>112.14483491384611</v>
      </c>
      <c r="HJ1135" s="681">
        <f t="shared" si="1803"/>
        <v>124.95749331484998</v>
      </c>
      <c r="HK1135" s="681">
        <f t="shared" si="1803"/>
        <v>105.55191559369999</v>
      </c>
      <c r="HL1135" s="681">
        <f t="shared" si="1803"/>
        <v>113.80492420212138</v>
      </c>
    </row>
    <row r="1136" spans="1:295" ht="17.25" customHeight="1">
      <c r="D1136" s="1235" t="s">
        <v>1259</v>
      </c>
      <c r="E1136" s="302">
        <f t="shared" ref="E1136:AJ1136" si="1804">E480</f>
        <v>2.2593000000000001</v>
      </c>
      <c r="F1136" s="302">
        <f t="shared" si="1804"/>
        <v>2.0148999999999999</v>
      </c>
      <c r="G1136" s="302">
        <f t="shared" si="1804"/>
        <v>2.6955999999999998</v>
      </c>
      <c r="H1136" s="302">
        <f t="shared" si="1804"/>
        <v>3.0237999999999996</v>
      </c>
      <c r="I1136" s="302">
        <f t="shared" si="1804"/>
        <v>2.7294999999999998</v>
      </c>
      <c r="J1136" s="302">
        <f t="shared" si="1804"/>
        <v>2.6869000000000001</v>
      </c>
      <c r="K1136" s="302">
        <f t="shared" si="1804"/>
        <v>2.3318000000000003</v>
      </c>
      <c r="L1136" s="302">
        <f t="shared" si="1804"/>
        <v>3.2033</v>
      </c>
      <c r="M1136" s="302">
        <f t="shared" si="1804"/>
        <v>2.4158000000000004</v>
      </c>
      <c r="N1136" s="302">
        <f t="shared" si="1804"/>
        <v>2.4990999999999999</v>
      </c>
      <c r="O1136" s="302">
        <f t="shared" si="1804"/>
        <v>2.5836000000000001</v>
      </c>
      <c r="P1136" s="302">
        <f t="shared" si="1804"/>
        <v>2.5763999999999996</v>
      </c>
      <c r="Q1136" s="302">
        <f t="shared" si="1804"/>
        <v>2.6505999999999998</v>
      </c>
      <c r="R1136" s="302">
        <f t="shared" si="1804"/>
        <v>2.6443000000000003</v>
      </c>
      <c r="S1136" s="302">
        <f t="shared" si="1804"/>
        <v>3.4626999999999999</v>
      </c>
      <c r="T1136" s="302">
        <f t="shared" si="1804"/>
        <v>2.8732000000000002</v>
      </c>
      <c r="U1136" s="302">
        <f t="shared" si="1804"/>
        <v>3.4509000000000003</v>
      </c>
      <c r="V1136" s="302">
        <f t="shared" si="1804"/>
        <v>3.4799000000000002</v>
      </c>
      <c r="W1136" s="302">
        <f t="shared" si="1804"/>
        <v>3.5015999999999998</v>
      </c>
      <c r="X1136" s="302">
        <f t="shared" si="1804"/>
        <v>3.6949000000000001</v>
      </c>
      <c r="Y1136" s="302">
        <f t="shared" si="1804"/>
        <v>4.0191999999999997</v>
      </c>
      <c r="Z1136" s="302">
        <f t="shared" si="1804"/>
        <v>4.2493999999999996</v>
      </c>
      <c r="AA1136" s="302">
        <f t="shared" si="1804"/>
        <v>4.2018999999999993</v>
      </c>
      <c r="AB1136" s="302">
        <f t="shared" si="1804"/>
        <v>5.6950000000000003</v>
      </c>
      <c r="AC1136" s="302">
        <f t="shared" si="1804"/>
        <v>3.7675000000000001</v>
      </c>
      <c r="AD1136" s="302">
        <f t="shared" si="1804"/>
        <v>4.6877999999999993</v>
      </c>
      <c r="AE1136" s="302">
        <f t="shared" si="1804"/>
        <v>5.0786000000000007</v>
      </c>
      <c r="AF1136" s="302">
        <f t="shared" si="1804"/>
        <v>4.4198000000000004</v>
      </c>
      <c r="AG1136" s="302">
        <f t="shared" si="1804"/>
        <v>3.8992999999999998</v>
      </c>
      <c r="AH1136" s="302">
        <f t="shared" si="1804"/>
        <v>4.7658000000000005</v>
      </c>
      <c r="AI1136" s="302">
        <f t="shared" si="1804"/>
        <v>2.9855999999999998</v>
      </c>
      <c r="AJ1136" s="302">
        <f t="shared" si="1804"/>
        <v>2.6494</v>
      </c>
      <c r="AK1136" s="302">
        <f t="shared" ref="AK1136:BP1136" si="1805">AK480</f>
        <v>1.9910999999999999</v>
      </c>
      <c r="AL1136" s="302">
        <f t="shared" si="1805"/>
        <v>2.9409999999999998</v>
      </c>
      <c r="AM1136" s="302">
        <f t="shared" si="1805"/>
        <v>3.1635</v>
      </c>
      <c r="AN1136" s="302">
        <f t="shared" si="1805"/>
        <v>2.3130000000000002</v>
      </c>
      <c r="AO1136" s="302">
        <f t="shared" si="1805"/>
        <v>2.8007</v>
      </c>
      <c r="AP1136" s="302">
        <f t="shared" si="1805"/>
        <v>2.222</v>
      </c>
      <c r="AQ1136" s="302">
        <f t="shared" si="1805"/>
        <v>3.5944000000000003</v>
      </c>
      <c r="AR1136" s="302">
        <f t="shared" si="1805"/>
        <v>2.5757999999999996</v>
      </c>
      <c r="AS1136" s="302">
        <f t="shared" si="1805"/>
        <v>2.1346999999999996</v>
      </c>
      <c r="AT1136" s="302">
        <f t="shared" si="1805"/>
        <v>2.7659000000000002</v>
      </c>
      <c r="AU1136" s="302">
        <f t="shared" si="1805"/>
        <v>2.6834000000000002</v>
      </c>
      <c r="AV1136" s="302">
        <f t="shared" si="1805"/>
        <v>2.8464</v>
      </c>
      <c r="AW1136" s="302">
        <f t="shared" si="1805"/>
        <v>3.226</v>
      </c>
      <c r="AX1136" s="302">
        <f t="shared" si="1805"/>
        <v>2.3008999999999999</v>
      </c>
      <c r="AY1136" s="302">
        <f t="shared" si="1805"/>
        <v>3.4775</v>
      </c>
      <c r="AZ1136" s="302">
        <f t="shared" si="1805"/>
        <v>3.3310999999999997</v>
      </c>
      <c r="BA1136" s="302">
        <f t="shared" si="1805"/>
        <v>4.1364999999999998</v>
      </c>
      <c r="BB1136" s="302">
        <f t="shared" si="1805"/>
        <v>2.36</v>
      </c>
      <c r="BC1136" s="302">
        <f t="shared" si="1805"/>
        <v>4.4958</v>
      </c>
      <c r="BD1136" s="302">
        <f t="shared" si="1805"/>
        <v>2.9993000000000003</v>
      </c>
      <c r="BE1136" s="302">
        <f t="shared" si="1805"/>
        <v>2.5949</v>
      </c>
      <c r="BF1136" s="302">
        <f t="shared" si="1805"/>
        <v>3.3083999999999998</v>
      </c>
      <c r="BG1136" s="302">
        <f t="shared" si="1805"/>
        <v>2.6107166510000002</v>
      </c>
      <c r="BH1136" s="302">
        <f t="shared" si="1805"/>
        <v>4.5082279999999999</v>
      </c>
      <c r="BI1136" s="302">
        <f t="shared" si="1805"/>
        <v>2.9528000000000003</v>
      </c>
      <c r="BJ1136" s="302">
        <f t="shared" si="1805"/>
        <v>2.6674000000000002</v>
      </c>
      <c r="BK1136" s="302">
        <f t="shared" si="1805"/>
        <v>3.8698399999999999</v>
      </c>
      <c r="BL1136" s="302">
        <f t="shared" si="1805"/>
        <v>4.15334</v>
      </c>
      <c r="BM1136" s="302">
        <f t="shared" si="1805"/>
        <v>4.1672999999999991</v>
      </c>
      <c r="BN1136" s="302">
        <f t="shared" si="1805"/>
        <v>3.8741000000000003</v>
      </c>
      <c r="BO1136" s="302">
        <f t="shared" si="1805"/>
        <v>4.0420999999999996</v>
      </c>
      <c r="BP1136" s="302">
        <f t="shared" si="1805"/>
        <v>4.1261999999999999</v>
      </c>
      <c r="BQ1136" s="302">
        <f t="shared" ref="BQ1136:CV1136" si="1806">BQ480</f>
        <v>5.0997000000000003</v>
      </c>
      <c r="BR1136" s="302">
        <f t="shared" si="1806"/>
        <v>3.8818000000000001</v>
      </c>
      <c r="BS1136" s="302">
        <f t="shared" si="1806"/>
        <v>5.6673</v>
      </c>
      <c r="BT1136" s="302">
        <f t="shared" si="1806"/>
        <v>6.6608000000000001</v>
      </c>
      <c r="BU1136" s="302">
        <f t="shared" si="1806"/>
        <v>4.3363999999999994</v>
      </c>
      <c r="BV1136" s="302">
        <f t="shared" si="1806"/>
        <v>3.843894852</v>
      </c>
      <c r="BW1136" s="302">
        <f t="shared" si="1806"/>
        <v>3.7201749240000002</v>
      </c>
      <c r="BX1136" s="302">
        <f t="shared" si="1806"/>
        <v>3.76540696</v>
      </c>
      <c r="BY1136" s="302">
        <f t="shared" si="1806"/>
        <v>4.0547086649999997</v>
      </c>
      <c r="BZ1136" s="302">
        <f t="shared" si="1806"/>
        <v>3.2822493419999996</v>
      </c>
      <c r="CA1136" s="302">
        <f t="shared" si="1806"/>
        <v>3.21077587</v>
      </c>
      <c r="CB1136" s="302">
        <f t="shared" si="1806"/>
        <v>3.2065292360000002</v>
      </c>
      <c r="CC1136" s="302">
        <f t="shared" si="1806"/>
        <v>3.6739556950000001</v>
      </c>
      <c r="CD1136" s="302">
        <f t="shared" si="1806"/>
        <v>4.4572365920000001</v>
      </c>
      <c r="CE1136" s="302">
        <f t="shared" si="1806"/>
        <v>3.9393244790000002</v>
      </c>
      <c r="CF1136" s="302">
        <f t="shared" si="1806"/>
        <v>3.8202676950000001</v>
      </c>
      <c r="CG1136" s="302">
        <f t="shared" si="1806"/>
        <v>4.3750961170000009</v>
      </c>
      <c r="CH1136" s="302">
        <f t="shared" si="1806"/>
        <v>4.9460916490000004</v>
      </c>
      <c r="CI1136" s="302">
        <f t="shared" si="1806"/>
        <v>4.5951193520000002</v>
      </c>
      <c r="CJ1136" s="302">
        <f t="shared" si="1806"/>
        <v>4.8533161430000007</v>
      </c>
      <c r="CK1136" s="302">
        <f t="shared" si="1806"/>
        <v>5.2829806130000003</v>
      </c>
      <c r="CL1136" s="302">
        <f t="shared" si="1806"/>
        <v>4.6631892639999997</v>
      </c>
      <c r="CM1136" s="302">
        <f t="shared" si="1806"/>
        <v>4.853641917</v>
      </c>
      <c r="CN1136" s="302">
        <f t="shared" si="1806"/>
        <v>4.6720987699999998</v>
      </c>
      <c r="CO1136" s="302">
        <f t="shared" si="1806"/>
        <v>5.1804120569999998</v>
      </c>
      <c r="CP1136" s="302">
        <f t="shared" si="1806"/>
        <v>6.6748379409999998</v>
      </c>
      <c r="CQ1136" s="302">
        <f t="shared" si="1806"/>
        <v>4.4563394450000002</v>
      </c>
      <c r="CR1136" s="302">
        <f t="shared" si="1806"/>
        <v>4.3919501279999995</v>
      </c>
      <c r="CS1136" s="302">
        <f t="shared" si="1806"/>
        <v>5.0807098110000002</v>
      </c>
      <c r="CT1136" s="302">
        <f t="shared" si="1806"/>
        <v>4.5882690229999996</v>
      </c>
      <c r="CU1136" s="302">
        <f t="shared" si="1806"/>
        <v>5.1776039040000006</v>
      </c>
      <c r="CV1136" s="302">
        <f t="shared" si="1806"/>
        <v>5.0770663970000003</v>
      </c>
      <c r="CW1136" s="302">
        <f t="shared" ref="CW1136:EB1136" si="1807">CW480</f>
        <v>5.7757457929999996</v>
      </c>
      <c r="CX1136" s="302">
        <f t="shared" si="1807"/>
        <v>5.1678418309999996</v>
      </c>
      <c r="CY1136" s="302">
        <f t="shared" si="1807"/>
        <v>5.3520139840000001</v>
      </c>
      <c r="CZ1136" s="302">
        <f t="shared" si="1807"/>
        <v>5.4402056289999994</v>
      </c>
      <c r="DA1136" s="302">
        <f t="shared" si="1807"/>
        <v>6.3478676700000003</v>
      </c>
      <c r="DB1136" s="706">
        <f t="shared" si="1807"/>
        <v>6.5963300519999999</v>
      </c>
      <c r="DC1136" s="302">
        <f t="shared" si="1807"/>
        <v>5.4445769111376707</v>
      </c>
      <c r="DD1136" s="302">
        <f t="shared" si="1807"/>
        <v>5.805323652966166</v>
      </c>
      <c r="DE1136" s="302">
        <f t="shared" si="1807"/>
        <v>6.8912519040461664</v>
      </c>
      <c r="DF1136" s="302">
        <f t="shared" si="1807"/>
        <v>7.8815760578910536</v>
      </c>
      <c r="DG1136" s="302">
        <f t="shared" si="1807"/>
        <v>6.9713311465128545</v>
      </c>
      <c r="DH1136" s="302">
        <f t="shared" si="1807"/>
        <v>8.1799067232881555</v>
      </c>
      <c r="DI1136" s="302">
        <f t="shared" si="1807"/>
        <v>6.5955284107216379</v>
      </c>
      <c r="DJ1136" s="302">
        <f t="shared" si="1807"/>
        <v>6.6938668656392997</v>
      </c>
      <c r="DK1136" s="302">
        <f t="shared" si="1807"/>
        <v>7.0590422128204722</v>
      </c>
      <c r="DL1136" s="302">
        <f t="shared" si="1807"/>
        <v>7.087590191428438</v>
      </c>
      <c r="DM1136" s="302">
        <f t="shared" si="1807"/>
        <v>7.4229804772847547</v>
      </c>
      <c r="DN1136" s="303">
        <f t="shared" si="1807"/>
        <v>7.8521124858999043</v>
      </c>
      <c r="DO1136" s="302">
        <f t="shared" si="1807"/>
        <v>6.5610445010000005</v>
      </c>
      <c r="DP1136" s="302">
        <f t="shared" si="1807"/>
        <v>7.3270348959999998</v>
      </c>
      <c r="DQ1136" s="302">
        <f t="shared" si="1807"/>
        <v>7.2908090130000005</v>
      </c>
      <c r="DR1136" s="302">
        <f t="shared" si="1807"/>
        <v>6.6548213110000001</v>
      </c>
      <c r="DS1136" s="302">
        <f t="shared" si="1807"/>
        <v>7.0344070729999997</v>
      </c>
      <c r="DT1136" s="302">
        <f t="shared" si="1807"/>
        <v>7.9401631290000001</v>
      </c>
      <c r="DU1136" s="302">
        <f t="shared" si="1807"/>
        <v>7.2879551160000009</v>
      </c>
      <c r="DV1136" s="302">
        <f t="shared" si="1807"/>
        <v>6.9474123759999991</v>
      </c>
      <c r="DW1136" s="302">
        <f t="shared" si="1807"/>
        <v>8.5377774140000007</v>
      </c>
      <c r="DX1136" s="302">
        <f t="shared" si="1807"/>
        <v>7.1242365200000002</v>
      </c>
      <c r="DY1136" s="302">
        <f t="shared" si="1807"/>
        <v>9.4087535320000004</v>
      </c>
      <c r="DZ1136" s="303">
        <f t="shared" si="1807"/>
        <v>9.0894584079999987</v>
      </c>
      <c r="EA1136" s="302">
        <f t="shared" si="1807"/>
        <v>7.1439643850000003</v>
      </c>
      <c r="EB1136" s="302">
        <f t="shared" si="1807"/>
        <v>7.3806015580000004</v>
      </c>
      <c r="EC1136" s="302">
        <f t="shared" ref="EC1136:EX1136" si="1808">EC480</f>
        <v>8.2485887610000006</v>
      </c>
      <c r="ED1136" s="302">
        <f t="shared" si="1808"/>
        <v>8.7947602640000007</v>
      </c>
      <c r="EE1136" s="302">
        <f t="shared" si="1808"/>
        <v>7.7643052749999999</v>
      </c>
      <c r="EF1136" s="302">
        <f t="shared" si="1808"/>
        <v>9.0628797320000007</v>
      </c>
      <c r="EG1136" s="302">
        <f t="shared" si="1808"/>
        <v>9.2121257239999998</v>
      </c>
      <c r="EH1136" s="302">
        <f t="shared" si="1808"/>
        <v>7.2475529339999998</v>
      </c>
      <c r="EI1136" s="302">
        <f t="shared" si="1808"/>
        <v>8.6403218250000009</v>
      </c>
      <c r="EJ1136" s="302">
        <f t="shared" si="1808"/>
        <v>7.3190470420000002</v>
      </c>
      <c r="EK1136" s="302">
        <f t="shared" si="1808"/>
        <v>8.6909410600000001</v>
      </c>
      <c r="EL1136" s="303">
        <f t="shared" si="1808"/>
        <v>8.626191575</v>
      </c>
      <c r="EM1136" s="302">
        <f t="shared" si="1808"/>
        <v>8.0683065989999996</v>
      </c>
      <c r="EN1136" s="302">
        <f t="shared" si="1808"/>
        <v>9.4906773229999999</v>
      </c>
      <c r="EO1136" s="302">
        <f t="shared" si="1808"/>
        <v>7.7190137739999996</v>
      </c>
      <c r="EP1136" s="302">
        <f t="shared" si="1808"/>
        <v>8.2399675400000003</v>
      </c>
      <c r="EQ1136" s="302">
        <f t="shared" si="1808"/>
        <v>9.2015794169999996</v>
      </c>
      <c r="ER1136" s="302">
        <f t="shared" si="1808"/>
        <v>10.894658637999999</v>
      </c>
      <c r="ES1136" s="302">
        <f t="shared" si="1808"/>
        <v>10.091343062856238</v>
      </c>
      <c r="ET1136" s="302">
        <f t="shared" si="1808"/>
        <v>9.3960448855626328</v>
      </c>
      <c r="EU1136" s="302">
        <f t="shared" si="1808"/>
        <v>8.9297695994327615</v>
      </c>
      <c r="EV1136" s="302">
        <f t="shared" si="1808"/>
        <v>10.472205665552421</v>
      </c>
      <c r="EW1136" s="302">
        <f t="shared" si="1808"/>
        <v>9.9040917576417105</v>
      </c>
      <c r="EX1136" s="303">
        <f t="shared" si="1808"/>
        <v>9.3201618568994924</v>
      </c>
      <c r="EY1136" s="681">
        <f t="shared" ref="EY1136:GD1136" si="1809">+EY697</f>
        <v>10.398021448</v>
      </c>
      <c r="EZ1136" s="681">
        <f t="shared" si="1809"/>
        <v>11.89994688</v>
      </c>
      <c r="FA1136" s="681">
        <f t="shared" si="1809"/>
        <v>8.7815171400000001</v>
      </c>
      <c r="FB1136" s="681">
        <f t="shared" si="1809"/>
        <v>10.001424850999999</v>
      </c>
      <c r="FC1136" s="681">
        <f t="shared" si="1809"/>
        <v>10.763715027610001</v>
      </c>
      <c r="FD1136" s="681">
        <f t="shared" si="1809"/>
        <v>12.073045403479998</v>
      </c>
      <c r="FE1136" s="681">
        <f t="shared" si="1809"/>
        <v>10.227735416700002</v>
      </c>
      <c r="FF1136" s="681">
        <f t="shared" si="1809"/>
        <v>9.8075142343100001</v>
      </c>
      <c r="FG1136" s="681">
        <f t="shared" si="1809"/>
        <v>10.532080037709999</v>
      </c>
      <c r="FH1136" s="681">
        <f t="shared" si="1809"/>
        <v>5.8022008460200007</v>
      </c>
      <c r="FI1136" s="681">
        <f t="shared" si="1809"/>
        <v>7.48305267899</v>
      </c>
      <c r="FJ1136" s="681">
        <f t="shared" si="1809"/>
        <v>9.5112301575600018</v>
      </c>
      <c r="FK1136" s="681">
        <f t="shared" si="1809"/>
        <v>9.296074136864517</v>
      </c>
      <c r="FL1136" s="681">
        <f t="shared" si="1809"/>
        <v>10.65239108676109</v>
      </c>
      <c r="FM1136" s="681">
        <f t="shared" si="1809"/>
        <v>10.976699959915249</v>
      </c>
      <c r="FN1136" s="681">
        <f t="shared" si="1809"/>
        <v>12.10266366517248</v>
      </c>
      <c r="FO1136" s="681">
        <f t="shared" si="1809"/>
        <v>10.558175669872419</v>
      </c>
      <c r="FP1136" s="681">
        <f t="shared" si="1809"/>
        <v>11.37814121478068</v>
      </c>
      <c r="FQ1136" s="681">
        <f t="shared" si="1809"/>
        <v>7.8399095164019643</v>
      </c>
      <c r="FR1136" s="681">
        <f t="shared" si="1809"/>
        <v>9.0972629761733455</v>
      </c>
      <c r="FS1136" s="681">
        <f t="shared" si="1809"/>
        <v>10.726625780432572</v>
      </c>
      <c r="FT1136" s="681">
        <f t="shared" si="1809"/>
        <v>10.399853175586575</v>
      </c>
      <c r="FU1136" s="681">
        <f t="shared" si="1809"/>
        <v>9.4452242049853279</v>
      </c>
      <c r="FV1136" s="681">
        <f t="shared" si="1809"/>
        <v>11.269758498964924</v>
      </c>
      <c r="FW1136" s="681">
        <f t="shared" si="1809"/>
        <v>9.4821284252321298</v>
      </c>
      <c r="FX1136" s="681">
        <f t="shared" si="1809"/>
        <v>10.045892009600527</v>
      </c>
      <c r="FY1136" s="681">
        <f t="shared" si="1809"/>
        <v>10.423432988996325</v>
      </c>
      <c r="FZ1136" s="681">
        <f t="shared" si="1809"/>
        <v>10.200461923450804</v>
      </c>
      <c r="GA1136" s="681">
        <f t="shared" si="1809"/>
        <v>10.529149483587618</v>
      </c>
      <c r="GB1136" s="681">
        <f t="shared" si="1809"/>
        <v>12.424799576764602</v>
      </c>
      <c r="GC1136" s="681">
        <f t="shared" si="1809"/>
        <v>9.3675806430179698</v>
      </c>
      <c r="GD1136" s="681">
        <f t="shared" si="1809"/>
        <v>10.436896168783601</v>
      </c>
      <c r="GE1136" s="681">
        <f t="shared" ref="GE1136:HL1136" si="1810">+GE697</f>
        <v>11.12648420926465</v>
      </c>
      <c r="GF1136" s="681">
        <f t="shared" si="1810"/>
        <v>11.180707859421489</v>
      </c>
      <c r="GG1136" s="681">
        <f t="shared" si="1810"/>
        <v>12.441656344522334</v>
      </c>
      <c r="GH1136" s="681">
        <f t="shared" si="1810"/>
        <v>15.360749506889384</v>
      </c>
      <c r="GI1136" s="681">
        <f t="shared" si="1810"/>
        <v>16.38637118794</v>
      </c>
      <c r="GJ1136" s="681">
        <f t="shared" si="1810"/>
        <v>18.870421394480001</v>
      </c>
      <c r="GK1136" s="681">
        <f t="shared" si="1810"/>
        <v>17.922437522620001</v>
      </c>
      <c r="GL1136" s="681">
        <f t="shared" si="1810"/>
        <v>15.91175706177</v>
      </c>
      <c r="GM1136" s="681">
        <f t="shared" si="1810"/>
        <v>17.6898592149</v>
      </c>
      <c r="GN1136" s="681">
        <f t="shared" si="1810"/>
        <v>17.845496401392008</v>
      </c>
      <c r="GO1136" s="681">
        <f t="shared" si="1810"/>
        <v>17.28448116675051</v>
      </c>
      <c r="GP1136" s="681">
        <f t="shared" si="1810"/>
        <v>17.937385359725457</v>
      </c>
      <c r="GQ1136" s="681">
        <f t="shared" si="1810"/>
        <v>18.388605268396716</v>
      </c>
      <c r="GR1136" s="681">
        <f t="shared" si="1810"/>
        <v>14.653189289850001</v>
      </c>
      <c r="GS1136" s="681">
        <f t="shared" si="1810"/>
        <v>19.5043521843</v>
      </c>
      <c r="GT1136" s="681">
        <f t="shared" si="1810"/>
        <v>19.236271389540001</v>
      </c>
      <c r="GU1136" s="681">
        <f t="shared" si="1810"/>
        <v>16.109238721179999</v>
      </c>
      <c r="GV1136" s="681">
        <f t="shared" si="1810"/>
        <v>16.080309593607428</v>
      </c>
      <c r="GW1136" s="681">
        <f t="shared" si="1810"/>
        <v>15.752290386280876</v>
      </c>
      <c r="GX1136" s="681">
        <f t="shared" si="1810"/>
        <v>14.5539997201</v>
      </c>
      <c r="GY1136" s="681">
        <f t="shared" si="1810"/>
        <v>14.038801213699999</v>
      </c>
      <c r="GZ1136" s="681">
        <f t="shared" si="1810"/>
        <v>15.968614914</v>
      </c>
      <c r="HA1136" s="681">
        <f t="shared" si="1810"/>
        <v>16.682865285489999</v>
      </c>
      <c r="HB1136" s="681">
        <f t="shared" si="1810"/>
        <v>14.36316860374</v>
      </c>
      <c r="HC1136" s="681">
        <f t="shared" si="1810"/>
        <v>15.680942144125849</v>
      </c>
      <c r="HD1136" s="681">
        <f t="shared" si="1810"/>
        <v>15.896774606989998</v>
      </c>
      <c r="HE1136" s="681">
        <f t="shared" si="1810"/>
        <v>18.334208299580002</v>
      </c>
      <c r="HF1136" s="681">
        <f t="shared" si="1810"/>
        <v>21.025106816680001</v>
      </c>
      <c r="HG1136" s="681">
        <f t="shared" si="1810"/>
        <v>18.810523006650005</v>
      </c>
      <c r="HH1136" s="681">
        <f t="shared" si="1810"/>
        <v>21.599772738509998</v>
      </c>
      <c r="HI1136" s="681">
        <f t="shared" si="1810"/>
        <v>18.723085021669998</v>
      </c>
      <c r="HJ1136" s="681">
        <f t="shared" si="1810"/>
        <v>20.84783622094</v>
      </c>
      <c r="HK1136" s="681">
        <f t="shared" si="1810"/>
        <v>19.475042627266152</v>
      </c>
      <c r="HL1136" s="681">
        <f t="shared" si="1810"/>
        <v>25.6619671952839</v>
      </c>
    </row>
    <row r="1137" spans="4:220" ht="17.25" customHeight="1">
      <c r="D1137" s="1234" t="s">
        <v>145</v>
      </c>
      <c r="E1137" s="302">
        <f t="shared" ref="E1137:AJ1137" si="1811">E485</f>
        <v>0.63800000000000001</v>
      </c>
      <c r="F1137" s="302">
        <f t="shared" si="1811"/>
        <v>0.7</v>
      </c>
      <c r="G1137" s="302">
        <f t="shared" si="1811"/>
        <v>1.762</v>
      </c>
      <c r="H1137" s="302">
        <f t="shared" si="1811"/>
        <v>1.4554</v>
      </c>
      <c r="I1137" s="302">
        <f t="shared" si="1811"/>
        <v>2.4798</v>
      </c>
      <c r="J1137" s="302">
        <f t="shared" si="1811"/>
        <v>1.0267021159999998</v>
      </c>
      <c r="K1137" s="302">
        <f t="shared" si="1811"/>
        <v>1.325134963</v>
      </c>
      <c r="L1137" s="302">
        <f t="shared" si="1811"/>
        <v>1.1823786620000001</v>
      </c>
      <c r="M1137" s="302">
        <f t="shared" si="1811"/>
        <v>0.98812228499999999</v>
      </c>
      <c r="N1137" s="302">
        <f t="shared" si="1811"/>
        <v>1.0660012249999999</v>
      </c>
      <c r="O1137" s="302">
        <f t="shared" si="1811"/>
        <v>1.1473684370000001</v>
      </c>
      <c r="P1137" s="302">
        <f t="shared" si="1811"/>
        <v>1.3574988940000001</v>
      </c>
      <c r="Q1137" s="302">
        <f t="shared" si="1811"/>
        <v>1.0689663060000001</v>
      </c>
      <c r="R1137" s="302">
        <f t="shared" si="1811"/>
        <v>0.47417192699999999</v>
      </c>
      <c r="S1137" s="302">
        <f t="shared" si="1811"/>
        <v>0.59401257600000001</v>
      </c>
      <c r="T1137" s="302">
        <f t="shared" si="1811"/>
        <v>2.2699279219999999</v>
      </c>
      <c r="U1137" s="302">
        <f t="shared" si="1811"/>
        <v>0.88966176299999999</v>
      </c>
      <c r="V1137" s="302">
        <f t="shared" si="1811"/>
        <v>5.4689604989999996</v>
      </c>
      <c r="W1137" s="302">
        <f t="shared" si="1811"/>
        <v>0.74990719400000005</v>
      </c>
      <c r="X1137" s="302">
        <f t="shared" si="1811"/>
        <v>1.5054476299999999</v>
      </c>
      <c r="Y1137" s="302">
        <f t="shared" si="1811"/>
        <v>1.4978132929999999</v>
      </c>
      <c r="Z1137" s="302">
        <f t="shared" si="1811"/>
        <v>1.6170971139999999</v>
      </c>
      <c r="AA1137" s="302">
        <f t="shared" si="1811"/>
        <v>1.3022962629999999</v>
      </c>
      <c r="AB1137" s="302">
        <f t="shared" si="1811"/>
        <v>34.846184633</v>
      </c>
      <c r="AC1137" s="302">
        <f t="shared" si="1811"/>
        <v>1.26965459</v>
      </c>
      <c r="AD1137" s="302">
        <f t="shared" si="1811"/>
        <v>0.9598006309999999</v>
      </c>
      <c r="AE1137" s="302">
        <f t="shared" si="1811"/>
        <v>0.719049092</v>
      </c>
      <c r="AF1137" s="302">
        <f t="shared" si="1811"/>
        <v>1.8449459380000002</v>
      </c>
      <c r="AG1137" s="302">
        <f t="shared" si="1811"/>
        <v>2.6058473040000001</v>
      </c>
      <c r="AH1137" s="302">
        <f t="shared" si="1811"/>
        <v>2.7445247210000003</v>
      </c>
      <c r="AI1137" s="302">
        <f t="shared" si="1811"/>
        <v>0.74884155799999996</v>
      </c>
      <c r="AJ1137" s="302">
        <f t="shared" si="1811"/>
        <v>0.67060013699999999</v>
      </c>
      <c r="AK1137" s="302">
        <f t="shared" ref="AK1137:BP1137" si="1812">AK485</f>
        <v>1.9345288390000002</v>
      </c>
      <c r="AL1137" s="302">
        <f t="shared" si="1812"/>
        <v>0.62467626199999993</v>
      </c>
      <c r="AM1137" s="302">
        <f t="shared" si="1812"/>
        <v>1.0847</v>
      </c>
      <c r="AN1137" s="302">
        <f t="shared" si="1812"/>
        <v>1.3372999999999999</v>
      </c>
      <c r="AO1137" s="302">
        <f t="shared" si="1812"/>
        <v>0.6570363589999999</v>
      </c>
      <c r="AP1137" s="302">
        <f t="shared" si="1812"/>
        <v>0.69221939599999993</v>
      </c>
      <c r="AQ1137" s="302">
        <f t="shared" si="1812"/>
        <v>1.9481469629999999</v>
      </c>
      <c r="AR1137" s="302">
        <f t="shared" si="1812"/>
        <v>1.2840613289999998</v>
      </c>
      <c r="AS1137" s="302">
        <f t="shared" si="1812"/>
        <v>2.9102779999999999</v>
      </c>
      <c r="AT1137" s="302">
        <f t="shared" si="1812"/>
        <v>1.1248757869999999</v>
      </c>
      <c r="AU1137" s="302">
        <f t="shared" si="1812"/>
        <v>0.74080391000000001</v>
      </c>
      <c r="AV1137" s="302">
        <f t="shared" si="1812"/>
        <v>2.293535125</v>
      </c>
      <c r="AW1137" s="302">
        <f t="shared" si="1812"/>
        <v>1.619269705</v>
      </c>
      <c r="AX1137" s="302">
        <f t="shared" si="1812"/>
        <v>1.573734736</v>
      </c>
      <c r="AY1137" s="302">
        <f t="shared" si="1812"/>
        <v>2.1192670589999998</v>
      </c>
      <c r="AZ1137" s="302">
        <f t="shared" si="1812"/>
        <v>1.159617195</v>
      </c>
      <c r="BA1137" s="302">
        <f t="shared" si="1812"/>
        <v>1.532982581</v>
      </c>
      <c r="BB1137" s="302">
        <f t="shared" si="1812"/>
        <v>0.82609032900000001</v>
      </c>
      <c r="BC1137" s="302">
        <f t="shared" si="1812"/>
        <v>1.6990638899999999</v>
      </c>
      <c r="BD1137" s="302">
        <f t="shared" si="1812"/>
        <v>1.0705552869999999</v>
      </c>
      <c r="BE1137" s="302">
        <f t="shared" si="1812"/>
        <v>1.855411997</v>
      </c>
      <c r="BF1137" s="302">
        <f t="shared" si="1812"/>
        <v>4.1324009269999999</v>
      </c>
      <c r="BG1137" s="302">
        <f t="shared" si="1812"/>
        <v>0.98216621900000001</v>
      </c>
      <c r="BH1137" s="302">
        <f t="shared" si="1812"/>
        <v>1.5476542690000001</v>
      </c>
      <c r="BI1137" s="302">
        <f t="shared" si="1812"/>
        <v>18.611308763</v>
      </c>
      <c r="BJ1137" s="302">
        <f t="shared" si="1812"/>
        <v>1.3096626769999999</v>
      </c>
      <c r="BK1137" s="302">
        <f t="shared" si="1812"/>
        <v>1.289319721</v>
      </c>
      <c r="BL1137" s="302">
        <f t="shared" si="1812"/>
        <v>1.814519301</v>
      </c>
      <c r="BM1137" s="302">
        <f t="shared" si="1812"/>
        <v>0.85594105399999998</v>
      </c>
      <c r="BN1137" s="302">
        <f t="shared" si="1812"/>
        <v>1.146992413</v>
      </c>
      <c r="BO1137" s="302">
        <f t="shared" si="1812"/>
        <v>1.326270515</v>
      </c>
      <c r="BP1137" s="302">
        <f t="shared" si="1812"/>
        <v>0.99352141500000002</v>
      </c>
      <c r="BQ1137" s="302">
        <f t="shared" ref="BQ1137:CV1137" si="1813">BQ485</f>
        <v>3.2683603640000003</v>
      </c>
      <c r="BR1137" s="302">
        <f t="shared" si="1813"/>
        <v>1.603186861</v>
      </c>
      <c r="BS1137" s="302">
        <f t="shared" si="1813"/>
        <v>4.5739000000000001</v>
      </c>
      <c r="BT1137" s="302">
        <f t="shared" si="1813"/>
        <v>1.6313</v>
      </c>
      <c r="BU1137" s="302">
        <f t="shared" si="1813"/>
        <v>2.9528000000000003</v>
      </c>
      <c r="BV1137" s="302">
        <f t="shared" si="1813"/>
        <v>17.193684888484999</v>
      </c>
      <c r="BW1137" s="302">
        <f t="shared" si="1813"/>
        <v>1.4571766340000001</v>
      </c>
      <c r="BX1137" s="302">
        <f t="shared" si="1813"/>
        <v>14.251721727249999</v>
      </c>
      <c r="BY1137" s="302">
        <f t="shared" si="1813"/>
        <v>2.24969695945</v>
      </c>
      <c r="BZ1137" s="302">
        <f t="shared" si="1813"/>
        <v>2.018373279605</v>
      </c>
      <c r="CA1137" s="302">
        <f t="shared" si="1813"/>
        <v>17.57242797016</v>
      </c>
      <c r="CB1137" s="302">
        <f t="shared" si="1813"/>
        <v>3.2259754113740002</v>
      </c>
      <c r="CC1137" s="302">
        <f t="shared" si="1813"/>
        <v>3.8991865730000002</v>
      </c>
      <c r="CD1137" s="302">
        <f t="shared" si="1813"/>
        <v>12.456229765562</v>
      </c>
      <c r="CE1137" s="302">
        <f t="shared" si="1813"/>
        <v>10.472000000000001</v>
      </c>
      <c r="CF1137" s="302">
        <f t="shared" si="1813"/>
        <v>4.6310709642720003</v>
      </c>
      <c r="CG1137" s="302">
        <f t="shared" si="1813"/>
        <v>1.0840000000000001</v>
      </c>
      <c r="CH1137" s="302">
        <f t="shared" si="1813"/>
        <v>25.563350664405</v>
      </c>
      <c r="CI1137" s="302">
        <f t="shared" si="1813"/>
        <v>1.881</v>
      </c>
      <c r="CJ1137" s="302">
        <f t="shared" si="1813"/>
        <v>14.587791715239</v>
      </c>
      <c r="CK1137" s="302">
        <f t="shared" si="1813"/>
        <v>0.94499999999999995</v>
      </c>
      <c r="CL1137" s="302">
        <f t="shared" si="1813"/>
        <v>4.8629618529199998</v>
      </c>
      <c r="CM1137" s="302">
        <f t="shared" si="1813"/>
        <v>20.321441418391998</v>
      </c>
      <c r="CN1137" s="302">
        <f t="shared" si="1813"/>
        <v>1.7883200416640002</v>
      </c>
      <c r="CO1137" s="302">
        <f t="shared" si="1813"/>
        <v>2.8710656678419699</v>
      </c>
      <c r="CP1137" s="302">
        <f t="shared" si="1813"/>
        <v>21.436361426614216</v>
      </c>
      <c r="CQ1137" s="302">
        <f t="shared" si="1813"/>
        <v>0.79100000000000015</v>
      </c>
      <c r="CR1137" s="302">
        <f t="shared" si="1813"/>
        <v>3.7563615519562497</v>
      </c>
      <c r="CS1137" s="302">
        <f t="shared" si="1813"/>
        <v>3.8839999999999999</v>
      </c>
      <c r="CT1137" s="302">
        <f t="shared" si="1813"/>
        <v>12.68879818395687</v>
      </c>
      <c r="CU1137" s="302">
        <f t="shared" si="1813"/>
        <v>1.4751171243547898</v>
      </c>
      <c r="CV1137" s="302">
        <f t="shared" si="1813"/>
        <v>18.411874740465748</v>
      </c>
      <c r="CW1137" s="302">
        <f t="shared" ref="CW1137:EB1137" si="1814">CW485</f>
        <v>11.367684637806196</v>
      </c>
      <c r="CX1137" s="302">
        <f t="shared" si="1814"/>
        <v>8.6401065097950003</v>
      </c>
      <c r="CY1137" s="302">
        <f t="shared" si="1814"/>
        <v>42.811966693337851</v>
      </c>
      <c r="CZ1137" s="302">
        <f t="shared" si="1814"/>
        <v>1.6637914325984489</v>
      </c>
      <c r="DA1137" s="302">
        <f t="shared" si="1814"/>
        <v>3.3558211264992943</v>
      </c>
      <c r="DB1137" s="706">
        <f t="shared" si="1814"/>
        <v>22.226503742288347</v>
      </c>
      <c r="DC1137" s="302">
        <f t="shared" si="1814"/>
        <v>3.2357062895308539</v>
      </c>
      <c r="DD1137" s="302">
        <f t="shared" si="1814"/>
        <v>2.2745306210000003</v>
      </c>
      <c r="DE1137" s="302">
        <f t="shared" si="1814"/>
        <v>13.538169391189321</v>
      </c>
      <c r="DF1137" s="302">
        <f t="shared" si="1814"/>
        <v>25.970255474577556</v>
      </c>
      <c r="DG1137" s="302">
        <f t="shared" si="1814"/>
        <v>2.9217145879999999</v>
      </c>
      <c r="DH1137" s="302">
        <f t="shared" si="1814"/>
        <v>28.899659217306308</v>
      </c>
      <c r="DI1137" s="302">
        <f t="shared" si="1814"/>
        <v>4.8783868162208952</v>
      </c>
      <c r="DJ1137" s="302">
        <f t="shared" si="1814"/>
        <v>5.1171349970333333</v>
      </c>
      <c r="DK1137" s="302">
        <f t="shared" si="1814"/>
        <v>39.458440578257921</v>
      </c>
      <c r="DL1137" s="302">
        <f t="shared" si="1814"/>
        <v>5.5982327768414777</v>
      </c>
      <c r="DM1137" s="302">
        <f t="shared" si="1814"/>
        <v>5.6733429452304431</v>
      </c>
      <c r="DN1137" s="303">
        <f t="shared" si="1814"/>
        <v>30.030674571258459</v>
      </c>
      <c r="DO1137" s="302">
        <f t="shared" si="1814"/>
        <v>3.139226632351471</v>
      </c>
      <c r="DP1137" s="302">
        <f t="shared" si="1814"/>
        <v>4.3104308683223937</v>
      </c>
      <c r="DQ1137" s="302">
        <f t="shared" si="1814"/>
        <v>34.138396147278925</v>
      </c>
      <c r="DR1137" s="302">
        <f t="shared" si="1814"/>
        <v>8.4164002147518424</v>
      </c>
      <c r="DS1137" s="302">
        <f t="shared" si="1814"/>
        <v>4.3640479725797494</v>
      </c>
      <c r="DT1137" s="302">
        <f t="shared" si="1814"/>
        <v>36.080605316319414</v>
      </c>
      <c r="DU1137" s="302">
        <f t="shared" si="1814"/>
        <v>4.7256739190000001</v>
      </c>
      <c r="DV1137" s="302">
        <f t="shared" si="1814"/>
        <v>3.9820055510000003</v>
      </c>
      <c r="DW1137" s="302">
        <f t="shared" si="1814"/>
        <v>35.373563149999995</v>
      </c>
      <c r="DX1137" s="302">
        <f t="shared" si="1814"/>
        <v>4.6096624586737072</v>
      </c>
      <c r="DY1137" s="302">
        <f t="shared" si="1814"/>
        <v>4.3156409504311304</v>
      </c>
      <c r="DZ1137" s="303">
        <f t="shared" si="1814"/>
        <v>37.981047289872791</v>
      </c>
      <c r="EA1137" s="302">
        <f t="shared" si="1814"/>
        <v>3.7747904169598194</v>
      </c>
      <c r="EB1137" s="302">
        <f t="shared" si="1814"/>
        <v>3.850624947161176</v>
      </c>
      <c r="EC1137" s="302">
        <f t="shared" ref="EC1137:EX1137" si="1815">EC485</f>
        <v>23.944789484223197</v>
      </c>
      <c r="ED1137" s="302">
        <f t="shared" si="1815"/>
        <v>24.653779752809818</v>
      </c>
      <c r="EE1137" s="302">
        <f t="shared" si="1815"/>
        <v>5.0656971795211758</v>
      </c>
      <c r="EF1137" s="302">
        <f t="shared" si="1815"/>
        <v>44.984142464343194</v>
      </c>
      <c r="EG1137" s="302">
        <f t="shared" si="1815"/>
        <v>7.0997570754502544</v>
      </c>
      <c r="EH1137" s="302">
        <f t="shared" si="1815"/>
        <v>4.6377380185312855</v>
      </c>
      <c r="EI1137" s="302">
        <f t="shared" si="1815"/>
        <v>18.935155720244818</v>
      </c>
      <c r="EJ1137" s="302">
        <f t="shared" si="1815"/>
        <v>32.54941474084071</v>
      </c>
      <c r="EK1137" s="302">
        <f t="shared" si="1815"/>
        <v>13.431871230473039</v>
      </c>
      <c r="EL1137" s="303">
        <f t="shared" si="1815"/>
        <v>25.692363801934825</v>
      </c>
      <c r="EM1137" s="302">
        <f t="shared" si="1815"/>
        <v>5.9600644590000007</v>
      </c>
      <c r="EN1137" s="302">
        <f t="shared" si="1815"/>
        <v>39.356742009381385</v>
      </c>
      <c r="EO1137" s="302">
        <f t="shared" si="1815"/>
        <v>45.322375710361626</v>
      </c>
      <c r="EP1137" s="302">
        <f t="shared" si="1815"/>
        <v>17.125195411212015</v>
      </c>
      <c r="EQ1137" s="302">
        <f t="shared" si="1815"/>
        <v>8.1720435953090487</v>
      </c>
      <c r="ER1137" s="302">
        <f t="shared" si="1815"/>
        <v>33.755254288447368</v>
      </c>
      <c r="ES1137" s="302">
        <f t="shared" si="1815"/>
        <v>9.1031732910000009</v>
      </c>
      <c r="ET1137" s="302">
        <f t="shared" si="1815"/>
        <v>4.6069323351000007</v>
      </c>
      <c r="EU1137" s="302">
        <f t="shared" si="1815"/>
        <v>42.378868628999996</v>
      </c>
      <c r="EV1137" s="302">
        <f t="shared" si="1815"/>
        <v>14.948222717836888</v>
      </c>
      <c r="EW1137" s="302">
        <f t="shared" si="1815"/>
        <v>5.753748055</v>
      </c>
      <c r="EX1137" s="303">
        <f t="shared" si="1815"/>
        <v>24.929637796999998</v>
      </c>
      <c r="EY1137" s="681">
        <f t="shared" ref="EY1137:GD1137" si="1816">+EY707+EY730</f>
        <v>9.1750337620104041</v>
      </c>
      <c r="EZ1137" s="681">
        <f t="shared" si="1816"/>
        <v>21.679448522001998</v>
      </c>
      <c r="FA1137" s="681">
        <f t="shared" si="1816"/>
        <v>48.108473449067887</v>
      </c>
      <c r="FB1137" s="681">
        <f t="shared" si="1816"/>
        <v>41.303309647297183</v>
      </c>
      <c r="FC1137" s="681">
        <f t="shared" si="1816"/>
        <v>11.81657427103638</v>
      </c>
      <c r="FD1137" s="681">
        <f t="shared" si="1816"/>
        <v>41.641741794899325</v>
      </c>
      <c r="FE1137" s="681">
        <f t="shared" si="1816"/>
        <v>14.735024890960016</v>
      </c>
      <c r="FF1137" s="681">
        <f t="shared" si="1816"/>
        <v>9.3852508562531689</v>
      </c>
      <c r="FG1137" s="681">
        <f t="shared" si="1816"/>
        <v>12.538681632529986</v>
      </c>
      <c r="FH1137" s="681">
        <f t="shared" si="1816"/>
        <v>18.712704155814109</v>
      </c>
      <c r="FI1137" s="681">
        <f t="shared" si="1816"/>
        <v>37.976299437211026</v>
      </c>
      <c r="FJ1137" s="681">
        <f t="shared" si="1816"/>
        <v>12.722002488007465</v>
      </c>
      <c r="FK1137" s="681">
        <f t="shared" si="1816"/>
        <v>8.0981259595561923</v>
      </c>
      <c r="FL1137" s="681">
        <f t="shared" si="1816"/>
        <v>8.6108858428315358</v>
      </c>
      <c r="FM1137" s="681">
        <f t="shared" si="1816"/>
        <v>86.909853386565914</v>
      </c>
      <c r="FN1137" s="681">
        <f t="shared" si="1816"/>
        <v>27.54278671824477</v>
      </c>
      <c r="FO1137" s="681">
        <f t="shared" si="1816"/>
        <v>11.169055637366844</v>
      </c>
      <c r="FP1137" s="681">
        <f t="shared" si="1816"/>
        <v>67.230759273435282</v>
      </c>
      <c r="FQ1137" s="681">
        <f t="shared" si="1816"/>
        <v>10.174064402360132</v>
      </c>
      <c r="FR1137" s="681">
        <f t="shared" si="1816"/>
        <v>9.5004950430328599</v>
      </c>
      <c r="FS1137" s="681">
        <f t="shared" si="1816"/>
        <v>16.75108791575078</v>
      </c>
      <c r="FT1137" s="681">
        <f t="shared" si="1816"/>
        <v>77.567366338390585</v>
      </c>
      <c r="FU1137" s="681">
        <f t="shared" si="1816"/>
        <v>9.7849742606808618</v>
      </c>
      <c r="FV1137" s="681">
        <f t="shared" si="1816"/>
        <v>52.07429201195486</v>
      </c>
      <c r="FW1137" s="681">
        <f t="shared" si="1816"/>
        <v>8.3976877939031542</v>
      </c>
      <c r="FX1137" s="681">
        <f t="shared" si="1816"/>
        <v>8.441170142468966</v>
      </c>
      <c r="FY1137" s="681">
        <f t="shared" si="1816"/>
        <v>65.554970758750216</v>
      </c>
      <c r="FZ1137" s="681">
        <f t="shared" si="1816"/>
        <v>27.739173847568807</v>
      </c>
      <c r="GA1137" s="681">
        <f t="shared" si="1816"/>
        <v>57.842734102384561</v>
      </c>
      <c r="GB1137" s="681">
        <f t="shared" si="1816"/>
        <v>30.421683713950962</v>
      </c>
      <c r="GC1137" s="681">
        <f t="shared" si="1816"/>
        <v>26.179737693851997</v>
      </c>
      <c r="GD1137" s="681">
        <f t="shared" si="1816"/>
        <v>46.384958962221042</v>
      </c>
      <c r="GE1137" s="681">
        <f t="shared" ref="GE1137:HL1137" si="1817">+GE707+GE730</f>
        <v>23.136475927755605</v>
      </c>
      <c r="GF1137" s="681">
        <f t="shared" si="1817"/>
        <v>29.472443897830001</v>
      </c>
      <c r="GG1137" s="681">
        <f t="shared" si="1817"/>
        <v>10.466326267348695</v>
      </c>
      <c r="GH1137" s="681">
        <f t="shared" si="1817"/>
        <v>67.187691652926262</v>
      </c>
      <c r="GI1137" s="681">
        <f t="shared" si="1817"/>
        <v>12.590526003191858</v>
      </c>
      <c r="GJ1137" s="681">
        <f t="shared" si="1817"/>
        <v>12.681057377886301</v>
      </c>
      <c r="GK1137" s="681">
        <f t="shared" si="1817"/>
        <v>60.163454116096645</v>
      </c>
      <c r="GL1137" s="681">
        <f t="shared" si="1817"/>
        <v>16.959811841347207</v>
      </c>
      <c r="GM1137" s="681">
        <f t="shared" si="1817"/>
        <v>16.763726175850447</v>
      </c>
      <c r="GN1137" s="681">
        <f t="shared" si="1817"/>
        <v>67.799362869309789</v>
      </c>
      <c r="GO1137" s="681">
        <f t="shared" si="1817"/>
        <v>19.205895338818436</v>
      </c>
      <c r="GP1137" s="681">
        <f t="shared" si="1817"/>
        <v>16.130838637606274</v>
      </c>
      <c r="GQ1137" s="681">
        <f t="shared" si="1817"/>
        <v>66.680814890480107</v>
      </c>
      <c r="GR1137" s="681">
        <f t="shared" si="1817"/>
        <v>14.950413646296663</v>
      </c>
      <c r="GS1137" s="681">
        <f t="shared" si="1817"/>
        <v>15.664574994576665</v>
      </c>
      <c r="GT1137" s="681">
        <f t="shared" si="1817"/>
        <v>81.297665007185543</v>
      </c>
      <c r="GU1137" s="681">
        <f t="shared" si="1817"/>
        <v>13.214011885146572</v>
      </c>
      <c r="GV1137" s="681">
        <f t="shared" si="1817"/>
        <v>20.395870754432522</v>
      </c>
      <c r="GW1137" s="681">
        <f t="shared" si="1817"/>
        <v>107.41433448584093</v>
      </c>
      <c r="GX1137" s="681">
        <f t="shared" si="1817"/>
        <v>11.89728118817</v>
      </c>
      <c r="GY1137" s="681">
        <f t="shared" si="1817"/>
        <v>13.508316846430001</v>
      </c>
      <c r="GZ1137" s="681">
        <f t="shared" si="1817"/>
        <v>94.380821347131615</v>
      </c>
      <c r="HA1137" s="681">
        <f t="shared" si="1817"/>
        <v>12.45620571672</v>
      </c>
      <c r="HB1137" s="681">
        <f t="shared" si="1817"/>
        <v>19.448969497499679</v>
      </c>
      <c r="HC1137" s="681">
        <f t="shared" si="1817"/>
        <v>51.51885271804791</v>
      </c>
      <c r="HD1137" s="681">
        <f t="shared" si="1817"/>
        <v>47.103255782953894</v>
      </c>
      <c r="HE1137" s="681">
        <f t="shared" si="1817"/>
        <v>25.458474736392294</v>
      </c>
      <c r="HF1137" s="681">
        <f t="shared" si="1817"/>
        <v>43.219032775318965</v>
      </c>
      <c r="HG1137" s="681">
        <f t="shared" si="1817"/>
        <v>90.19468703882589</v>
      </c>
      <c r="HH1137" s="681">
        <f t="shared" si="1817"/>
        <v>12.518775859883274</v>
      </c>
      <c r="HI1137" s="681">
        <f t="shared" si="1817"/>
        <v>92.218142853502783</v>
      </c>
      <c r="HJ1137" s="681">
        <f t="shared" si="1817"/>
        <v>12.8345169609</v>
      </c>
      <c r="HK1137" s="681">
        <f t="shared" si="1817"/>
        <v>11.02740216628</v>
      </c>
      <c r="HL1137" s="681">
        <f t="shared" si="1817"/>
        <v>90.149493568346998</v>
      </c>
    </row>
    <row r="1138" spans="4:220" ht="17.25" customHeight="1">
      <c r="D1138" s="1236" t="s">
        <v>1260</v>
      </c>
      <c r="E1138" s="302">
        <f t="shared" ref="E1138:AJ1138" si="1818">E491</f>
        <v>1.029621313</v>
      </c>
      <c r="F1138" s="302">
        <f t="shared" si="1818"/>
        <v>2.941942955</v>
      </c>
      <c r="G1138" s="302">
        <f t="shared" si="1818"/>
        <v>20.246580340000001</v>
      </c>
      <c r="H1138" s="302">
        <f t="shared" si="1818"/>
        <v>3.9784480960000002</v>
      </c>
      <c r="I1138" s="302">
        <f t="shared" si="1818"/>
        <v>30.615913346000003</v>
      </c>
      <c r="J1138" s="302">
        <f t="shared" si="1818"/>
        <v>70.885551095000011</v>
      </c>
      <c r="K1138" s="302">
        <f t="shared" si="1818"/>
        <v>1.117198742</v>
      </c>
      <c r="L1138" s="302">
        <f t="shared" si="1818"/>
        <v>8.6625460630000006</v>
      </c>
      <c r="M1138" s="302">
        <f t="shared" si="1818"/>
        <v>21.153440543999999</v>
      </c>
      <c r="N1138" s="302">
        <f t="shared" si="1818"/>
        <v>10.274025655999999</v>
      </c>
      <c r="O1138" s="302">
        <f t="shared" si="1818"/>
        <v>2.0354303389999999</v>
      </c>
      <c r="P1138" s="302">
        <f t="shared" si="1818"/>
        <v>34.352027606</v>
      </c>
      <c r="Q1138" s="302">
        <f t="shared" si="1818"/>
        <v>7.0713269639999998</v>
      </c>
      <c r="R1138" s="302">
        <f t="shared" si="1818"/>
        <v>0</v>
      </c>
      <c r="S1138" s="302">
        <f t="shared" si="1818"/>
        <v>61.582229455999993</v>
      </c>
      <c r="T1138" s="302">
        <f t="shared" si="1818"/>
        <v>0.24031845799999998</v>
      </c>
      <c r="U1138" s="302">
        <f t="shared" si="1818"/>
        <v>36.651045891000003</v>
      </c>
      <c r="V1138" s="302">
        <f t="shared" si="1818"/>
        <v>51.632170015</v>
      </c>
      <c r="W1138" s="302">
        <f t="shared" si="1818"/>
        <v>1.813009278</v>
      </c>
      <c r="X1138" s="302">
        <f t="shared" si="1818"/>
        <v>8.8946221609999991</v>
      </c>
      <c r="Y1138" s="302">
        <f t="shared" si="1818"/>
        <v>31.20712941</v>
      </c>
      <c r="Z1138" s="302">
        <f t="shared" si="1818"/>
        <v>18.851372507000001</v>
      </c>
      <c r="AA1138" s="302">
        <f t="shared" si="1818"/>
        <v>2.7449506380000002</v>
      </c>
      <c r="AB1138" s="302">
        <f t="shared" si="1818"/>
        <v>59.087205908999991</v>
      </c>
      <c r="AC1138" s="302">
        <f t="shared" si="1818"/>
        <v>0</v>
      </c>
      <c r="AD1138" s="302">
        <f t="shared" si="1818"/>
        <v>7.5460620000000009</v>
      </c>
      <c r="AE1138" s="302">
        <f t="shared" si="1818"/>
        <v>31.075787542999997</v>
      </c>
      <c r="AF1138" s="302">
        <f t="shared" si="1818"/>
        <v>51.132849105999995</v>
      </c>
      <c r="AG1138" s="302">
        <f t="shared" si="1818"/>
        <v>1.922652555</v>
      </c>
      <c r="AH1138" s="302">
        <f t="shared" si="1818"/>
        <v>51.792859448000002</v>
      </c>
      <c r="AI1138" s="302">
        <f t="shared" si="1818"/>
        <v>13.403235237000001</v>
      </c>
      <c r="AJ1138" s="302">
        <f t="shared" si="1818"/>
        <v>3.5717679769999999</v>
      </c>
      <c r="AK1138" s="302">
        <f t="shared" ref="AK1138:BP1138" si="1819">AK491</f>
        <v>76.057301081000006</v>
      </c>
      <c r="AL1138" s="302">
        <f t="shared" si="1819"/>
        <v>53.195301256</v>
      </c>
      <c r="AM1138" s="302">
        <f t="shared" si="1819"/>
        <v>7.5764551739999995</v>
      </c>
      <c r="AN1138" s="302">
        <f t="shared" si="1819"/>
        <v>50.122866396999989</v>
      </c>
      <c r="AO1138" s="302">
        <f t="shared" si="1819"/>
        <v>21.649201587</v>
      </c>
      <c r="AP1138" s="302">
        <f t="shared" si="1819"/>
        <v>0</v>
      </c>
      <c r="AQ1138" s="302">
        <f t="shared" si="1819"/>
        <v>35.321344279999998</v>
      </c>
      <c r="AR1138" s="302">
        <f t="shared" si="1819"/>
        <v>12.581843562</v>
      </c>
      <c r="AS1138" s="302">
        <f t="shared" si="1819"/>
        <v>9.056692696999999</v>
      </c>
      <c r="AT1138" s="302">
        <f t="shared" si="1819"/>
        <v>124.565289525</v>
      </c>
      <c r="AU1138" s="302">
        <f t="shared" si="1819"/>
        <v>6.1597314819999998</v>
      </c>
      <c r="AV1138" s="302">
        <f t="shared" si="1819"/>
        <v>4.7773699999999995</v>
      </c>
      <c r="AW1138" s="302">
        <f t="shared" si="1819"/>
        <v>92.922261999999989</v>
      </c>
      <c r="AX1138" s="302">
        <f t="shared" si="1819"/>
        <v>26.394771204000001</v>
      </c>
      <c r="AY1138" s="302">
        <f t="shared" si="1819"/>
        <v>6.9810858910000002</v>
      </c>
      <c r="AZ1138" s="302">
        <f t="shared" si="1819"/>
        <v>104.142312999</v>
      </c>
      <c r="BA1138" s="302">
        <f t="shared" si="1819"/>
        <v>0.531323502</v>
      </c>
      <c r="BB1138" s="302">
        <f t="shared" si="1819"/>
        <v>5.2342624570000007</v>
      </c>
      <c r="BC1138" s="302">
        <f t="shared" si="1819"/>
        <v>26.460102192000001</v>
      </c>
      <c r="BD1138" s="302">
        <f t="shared" si="1819"/>
        <v>67.936107326759995</v>
      </c>
      <c r="BE1138" s="302">
        <f t="shared" si="1819"/>
        <v>1.03516734123</v>
      </c>
      <c r="BF1138" s="302">
        <f t="shared" si="1819"/>
        <v>37.818550885999997</v>
      </c>
      <c r="BG1138" s="302">
        <f t="shared" si="1819"/>
        <v>41.011713339000003</v>
      </c>
      <c r="BH1138" s="302">
        <f t="shared" si="1819"/>
        <v>37.631219074000001</v>
      </c>
      <c r="BI1138" s="302">
        <f t="shared" si="1819"/>
        <v>58.204305503</v>
      </c>
      <c r="BJ1138" s="302">
        <f t="shared" si="1819"/>
        <v>76.582871436000005</v>
      </c>
      <c r="BK1138" s="302">
        <f t="shared" si="1819"/>
        <v>4.6969805640000004</v>
      </c>
      <c r="BL1138" s="302">
        <f t="shared" si="1819"/>
        <v>100.61895018300001</v>
      </c>
      <c r="BM1138" s="302">
        <f t="shared" si="1819"/>
        <v>2.2913186510000001</v>
      </c>
      <c r="BN1138" s="302">
        <f t="shared" si="1819"/>
        <v>4.1133515819999991</v>
      </c>
      <c r="BO1138" s="302">
        <f t="shared" si="1819"/>
        <v>39.880174020999995</v>
      </c>
      <c r="BP1138" s="302">
        <f t="shared" si="1819"/>
        <v>0.244489505</v>
      </c>
      <c r="BQ1138" s="302">
        <f t="shared" ref="BQ1138:CV1138" si="1820">BQ491</f>
        <v>0.210040425</v>
      </c>
      <c r="BR1138" s="302">
        <f t="shared" si="1820"/>
        <v>99.473223590625764</v>
      </c>
      <c r="BS1138" s="302">
        <f t="shared" si="1820"/>
        <v>41.339599451901627</v>
      </c>
      <c r="BT1138" s="302">
        <f t="shared" si="1820"/>
        <v>14.863909459931111</v>
      </c>
      <c r="BU1138" s="302">
        <f t="shared" si="1820"/>
        <v>22.945002676272118</v>
      </c>
      <c r="BV1138" s="302">
        <f t="shared" si="1820"/>
        <v>48.35237651825814</v>
      </c>
      <c r="BW1138" s="302">
        <f t="shared" si="1820"/>
        <v>41.538890177774903</v>
      </c>
      <c r="BX1138" s="302">
        <f t="shared" si="1820"/>
        <v>32.074274932185176</v>
      </c>
      <c r="BY1138" s="302">
        <f t="shared" si="1820"/>
        <v>5.3243199074185432E-4</v>
      </c>
      <c r="BZ1138" s="302">
        <f t="shared" si="1820"/>
        <v>4.0420954691215796</v>
      </c>
      <c r="CA1138" s="302">
        <f t="shared" si="1820"/>
        <v>21.91745053152469</v>
      </c>
      <c r="CB1138" s="302">
        <f t="shared" si="1820"/>
        <v>37.905873518997652</v>
      </c>
      <c r="CC1138" s="302">
        <f t="shared" si="1820"/>
        <v>50.3250031442698</v>
      </c>
      <c r="CD1138" s="302">
        <f t="shared" si="1820"/>
        <v>43.125115180714218</v>
      </c>
      <c r="CE1138" s="302">
        <f t="shared" si="1820"/>
        <v>31.718805555905767</v>
      </c>
      <c r="CF1138" s="302">
        <f t="shared" si="1820"/>
        <v>38.907002073399845</v>
      </c>
      <c r="CG1138" s="302">
        <f t="shared" si="1820"/>
        <v>76.363794870817969</v>
      </c>
      <c r="CH1138" s="302">
        <f t="shared" si="1820"/>
        <v>48.656347242813837</v>
      </c>
      <c r="CI1138" s="302">
        <f t="shared" si="1820"/>
        <v>36.239050340761018</v>
      </c>
      <c r="CJ1138" s="302">
        <f t="shared" si="1820"/>
        <v>63.172935479123936</v>
      </c>
      <c r="CK1138" s="302">
        <f t="shared" si="1820"/>
        <v>22.819864211262146</v>
      </c>
      <c r="CL1138" s="302">
        <f t="shared" si="1820"/>
        <v>15.431886799263191</v>
      </c>
      <c r="CM1138" s="302">
        <f t="shared" si="1820"/>
        <v>15.611922068671143</v>
      </c>
      <c r="CN1138" s="302">
        <f t="shared" si="1820"/>
        <v>60.514631686105645</v>
      </c>
      <c r="CO1138" s="302">
        <f t="shared" si="1820"/>
        <v>36.823808733527677</v>
      </c>
      <c r="CP1138" s="302">
        <f t="shared" si="1820"/>
        <v>31.826695276293563</v>
      </c>
      <c r="CQ1138" s="302">
        <f t="shared" si="1820"/>
        <v>34.448433302576923</v>
      </c>
      <c r="CR1138" s="302">
        <f t="shared" si="1820"/>
        <v>20.63533699242986</v>
      </c>
      <c r="CS1138" s="302">
        <f t="shared" si="1820"/>
        <v>32.087946900292721</v>
      </c>
      <c r="CT1138" s="302">
        <f t="shared" si="1820"/>
        <v>27.612034403931105</v>
      </c>
      <c r="CU1138" s="302">
        <f t="shared" si="1820"/>
        <v>37.436683176818306</v>
      </c>
      <c r="CV1138" s="302">
        <f t="shared" si="1820"/>
        <v>88.698945014422492</v>
      </c>
      <c r="CW1138" s="302">
        <f t="shared" ref="CW1138:EB1138" si="1821">CW491</f>
        <v>27.162065658790688</v>
      </c>
      <c r="CX1138" s="302">
        <f t="shared" si="1821"/>
        <v>20.746947771968355</v>
      </c>
      <c r="CY1138" s="302">
        <f t="shared" si="1821"/>
        <v>35.869115706465713</v>
      </c>
      <c r="CZ1138" s="302">
        <f t="shared" si="1821"/>
        <v>17.985062782443695</v>
      </c>
      <c r="DA1138" s="302">
        <f t="shared" si="1821"/>
        <v>51.934945825248548</v>
      </c>
      <c r="DB1138" s="706">
        <f t="shared" si="1821"/>
        <v>21.276310773073181</v>
      </c>
      <c r="DC1138" s="302">
        <f t="shared" si="1821"/>
        <v>31.893560092813239</v>
      </c>
      <c r="DD1138" s="302">
        <f t="shared" si="1821"/>
        <v>25.169632982027082</v>
      </c>
      <c r="DE1138" s="302">
        <f t="shared" si="1821"/>
        <v>37.819658055842872</v>
      </c>
      <c r="DF1138" s="302">
        <f t="shared" si="1821"/>
        <v>3.04173503264987</v>
      </c>
      <c r="DG1138" s="302">
        <f t="shared" si="1821"/>
        <v>62.005850648357672</v>
      </c>
      <c r="DH1138" s="302">
        <f t="shared" si="1821"/>
        <v>39.696676979289592</v>
      </c>
      <c r="DI1138" s="302">
        <f t="shared" si="1821"/>
        <v>9.9860504808621329</v>
      </c>
      <c r="DJ1138" s="302">
        <f t="shared" si="1821"/>
        <v>14.546578813522158</v>
      </c>
      <c r="DK1138" s="302">
        <f t="shared" si="1821"/>
        <v>15.414975497675133</v>
      </c>
      <c r="DL1138" s="302">
        <f t="shared" si="1821"/>
        <v>65.233465502126222</v>
      </c>
      <c r="DM1138" s="302">
        <f t="shared" si="1821"/>
        <v>19.536411074481041</v>
      </c>
      <c r="DN1138" s="303">
        <f t="shared" si="1821"/>
        <v>49.4024151180801</v>
      </c>
      <c r="DO1138" s="302">
        <f t="shared" si="1821"/>
        <v>25.855145215194501</v>
      </c>
      <c r="DP1138" s="302">
        <f t="shared" si="1821"/>
        <v>8.1567739219616744</v>
      </c>
      <c r="DQ1138" s="302">
        <f t="shared" si="1821"/>
        <v>20.22672553938693</v>
      </c>
      <c r="DR1138" s="302">
        <f t="shared" si="1821"/>
        <v>3.3272886219530426</v>
      </c>
      <c r="DS1138" s="302">
        <f t="shared" si="1821"/>
        <v>16.246436408114487</v>
      </c>
      <c r="DT1138" s="302">
        <f t="shared" si="1821"/>
        <v>48.103489986870606</v>
      </c>
      <c r="DU1138" s="302">
        <f t="shared" si="1821"/>
        <v>31.798469715153331</v>
      </c>
      <c r="DV1138" s="302">
        <f t="shared" si="1821"/>
        <v>5.8007764595570457E-2</v>
      </c>
      <c r="DW1138" s="302">
        <f t="shared" si="1821"/>
        <v>10.541360405145587</v>
      </c>
      <c r="DX1138" s="302">
        <f t="shared" si="1821"/>
        <v>24.35812990611122</v>
      </c>
      <c r="DY1138" s="302">
        <f t="shared" si="1821"/>
        <v>4.4983689553372501E-2</v>
      </c>
      <c r="DZ1138" s="303">
        <f t="shared" si="1821"/>
        <v>52.957257360683563</v>
      </c>
      <c r="EA1138" s="302">
        <f t="shared" si="1821"/>
        <v>34.374027905691761</v>
      </c>
      <c r="EB1138" s="302">
        <f t="shared" si="1821"/>
        <v>19.935162580397741</v>
      </c>
      <c r="EC1138" s="302">
        <f t="shared" ref="EC1138:EX1138" si="1822">EC491</f>
        <v>25.342666027910504</v>
      </c>
      <c r="ED1138" s="302">
        <f t="shared" si="1822"/>
        <v>23.320952846096386</v>
      </c>
      <c r="EE1138" s="302">
        <f t="shared" si="1822"/>
        <v>28.187374512950328</v>
      </c>
      <c r="EF1138" s="302">
        <f t="shared" si="1822"/>
        <v>63.627387196566247</v>
      </c>
      <c r="EG1138" s="302">
        <f t="shared" si="1822"/>
        <v>47.164699144030145</v>
      </c>
      <c r="EH1138" s="302">
        <f t="shared" si="1822"/>
        <v>16.050513299767147</v>
      </c>
      <c r="EI1138" s="302">
        <f t="shared" si="1822"/>
        <v>37.388787343395528</v>
      </c>
      <c r="EJ1138" s="302">
        <f t="shared" si="1822"/>
        <v>24.48871988855079</v>
      </c>
      <c r="EK1138" s="302">
        <f t="shared" si="1822"/>
        <v>8.1360103973705851</v>
      </c>
      <c r="EL1138" s="303">
        <f t="shared" si="1822"/>
        <v>30.89065158657996</v>
      </c>
      <c r="EM1138" s="302">
        <f t="shared" si="1822"/>
        <v>23.923055191511228</v>
      </c>
      <c r="EN1138" s="302">
        <f t="shared" si="1822"/>
        <v>33.012554116012367</v>
      </c>
      <c r="EO1138" s="302">
        <f t="shared" si="1822"/>
        <v>32.159939741700256</v>
      </c>
      <c r="EP1138" s="302">
        <f t="shared" si="1822"/>
        <v>25.713574178749187</v>
      </c>
      <c r="EQ1138" s="302">
        <f t="shared" si="1822"/>
        <v>8.589162902411001</v>
      </c>
      <c r="ER1138" s="302">
        <f t="shared" si="1822"/>
        <v>111.15390138590101</v>
      </c>
      <c r="ES1138" s="302">
        <f t="shared" si="1822"/>
        <v>25.804821157746737</v>
      </c>
      <c r="ET1138" s="302">
        <f t="shared" si="1822"/>
        <v>40.261564226468217</v>
      </c>
      <c r="EU1138" s="302">
        <f t="shared" si="1822"/>
        <v>26.416724477371513</v>
      </c>
      <c r="EV1138" s="302">
        <f t="shared" si="1822"/>
        <v>31.930541911652508</v>
      </c>
      <c r="EW1138" s="302">
        <f t="shared" si="1822"/>
        <v>9.2735813359162655</v>
      </c>
      <c r="EX1138" s="303">
        <f t="shared" si="1822"/>
        <v>26.53420387887488</v>
      </c>
      <c r="EY1138" s="1771">
        <f t="shared" ref="EY1138:GD1138" si="1823">+EY717</f>
        <v>32.241833855093404</v>
      </c>
      <c r="EZ1138" s="1771">
        <f t="shared" si="1823"/>
        <v>19.120340874614172</v>
      </c>
      <c r="FA1138" s="1771">
        <f t="shared" si="1823"/>
        <v>42.084767594036236</v>
      </c>
      <c r="FB1138" s="1771">
        <f t="shared" si="1823"/>
        <v>17.141012261463228</v>
      </c>
      <c r="FC1138" s="1771">
        <f t="shared" si="1823"/>
        <v>28.591621457094867</v>
      </c>
      <c r="FD1138" s="1771">
        <f t="shared" si="1823"/>
        <v>81.29019426761478</v>
      </c>
      <c r="FE1138" s="1771">
        <f t="shared" si="1823"/>
        <v>18.57477772208745</v>
      </c>
      <c r="FF1138" s="1771">
        <f t="shared" si="1823"/>
        <v>40.829624657206764</v>
      </c>
      <c r="FG1138" s="1771">
        <f t="shared" si="1823"/>
        <v>23.485399915408056</v>
      </c>
      <c r="FH1138" s="1771">
        <f t="shared" si="1823"/>
        <v>43.434433253070914</v>
      </c>
      <c r="FI1138" s="1771">
        <f t="shared" si="1823"/>
        <v>25.711020665681996</v>
      </c>
      <c r="FJ1138" s="1771">
        <f t="shared" si="1823"/>
        <v>65.053378120495665</v>
      </c>
      <c r="FK1138" s="1771">
        <f t="shared" si="1823"/>
        <v>18.016468952481294</v>
      </c>
      <c r="FL1138" s="1771">
        <f t="shared" si="1823"/>
        <v>22.038160849417618</v>
      </c>
      <c r="FM1138" s="1771">
        <f t="shared" si="1823"/>
        <v>85.114840036842878</v>
      </c>
      <c r="FN1138" s="1771">
        <f t="shared" si="1823"/>
        <v>55.795753342564119</v>
      </c>
      <c r="FO1138" s="1771">
        <f t="shared" si="1823"/>
        <v>24.596989962932081</v>
      </c>
      <c r="FP1138" s="1771">
        <f t="shared" si="1823"/>
        <v>52.943284085381222</v>
      </c>
      <c r="FQ1138" s="1771">
        <f t="shared" si="1823"/>
        <v>26.0973223375467</v>
      </c>
      <c r="FR1138" s="1771">
        <f t="shared" si="1823"/>
        <v>26.0973223375467</v>
      </c>
      <c r="FS1138" s="1771">
        <f t="shared" si="1823"/>
        <v>101.97518335178538</v>
      </c>
      <c r="FT1138" s="1771">
        <f t="shared" si="1823"/>
        <v>40.092255082663847</v>
      </c>
      <c r="FU1138" s="1771">
        <f t="shared" si="1823"/>
        <v>26.540783368213397</v>
      </c>
      <c r="FV1138" s="1771">
        <f t="shared" si="1823"/>
        <v>81.779804093706915</v>
      </c>
      <c r="FW1138" s="1771">
        <f t="shared" si="1823"/>
        <v>25.536817192198459</v>
      </c>
      <c r="FX1138" s="1771">
        <f t="shared" si="1823"/>
        <v>68.769149023021257</v>
      </c>
      <c r="FY1138" s="1771">
        <f t="shared" si="1823"/>
        <v>34.1409768277097</v>
      </c>
      <c r="FZ1138" s="1771">
        <f t="shared" si="1823"/>
        <v>51.587092125766084</v>
      </c>
      <c r="GA1138" s="1771">
        <f t="shared" si="1823"/>
        <v>54.156510223755291</v>
      </c>
      <c r="GB1138" s="1771">
        <f t="shared" si="1823"/>
        <v>64.522391058925933</v>
      </c>
      <c r="GC1138" s="1771">
        <f t="shared" si="1823"/>
        <v>51.379938509455535</v>
      </c>
      <c r="GD1138" s="1771">
        <f t="shared" si="1823"/>
        <v>32.894609653005027</v>
      </c>
      <c r="GE1138" s="1771">
        <f t="shared" ref="GE1138:HL1138" si="1824">+GE717</f>
        <v>127.61318963777623</v>
      </c>
      <c r="GF1138" s="1771">
        <f t="shared" si="1824"/>
        <v>64.638842304396093</v>
      </c>
      <c r="GG1138" s="1771">
        <f t="shared" si="1824"/>
        <v>211.40135803759989</v>
      </c>
      <c r="GH1138" s="1771">
        <f t="shared" si="1824"/>
        <v>37.543484832671957</v>
      </c>
      <c r="GI1138" s="1771">
        <f t="shared" si="1824"/>
        <v>62.74872643707684</v>
      </c>
      <c r="GJ1138" s="1771">
        <f t="shared" si="1824"/>
        <v>33.996989547576973</v>
      </c>
      <c r="GK1138" s="1771">
        <f t="shared" si="1824"/>
        <v>31.0326441574929</v>
      </c>
      <c r="GL1138" s="1771">
        <f t="shared" si="1824"/>
        <v>54.975020401665994</v>
      </c>
      <c r="GM1138" s="1771">
        <f t="shared" si="1824"/>
        <v>31.0326441574929</v>
      </c>
      <c r="GN1138" s="1771">
        <f t="shared" si="1824"/>
        <v>58.862560093245818</v>
      </c>
      <c r="GO1138" s="1771">
        <f t="shared" si="1824"/>
        <v>36.823556696673975</v>
      </c>
      <c r="GP1138" s="1771">
        <f t="shared" si="1824"/>
        <v>35.848173299673974</v>
      </c>
      <c r="GQ1138" s="1771">
        <f t="shared" si="1824"/>
        <v>35.848173299673974</v>
      </c>
      <c r="GR1138" s="1771">
        <f t="shared" si="1824"/>
        <v>211.7847689805443</v>
      </c>
      <c r="GS1138" s="1771">
        <f t="shared" si="1824"/>
        <v>47.861229932689682</v>
      </c>
      <c r="GT1138" s="1771">
        <f t="shared" si="1824"/>
        <v>70.492758751144535</v>
      </c>
      <c r="GU1138" s="1771">
        <f t="shared" si="1824"/>
        <v>34.381813544500368</v>
      </c>
      <c r="GV1138" s="1771">
        <f t="shared" si="1824"/>
        <v>9.7639445017651276</v>
      </c>
      <c r="GW1138" s="1771">
        <f t="shared" si="1824"/>
        <v>127.49641382185916</v>
      </c>
      <c r="GX1138" s="1771">
        <f t="shared" si="1824"/>
        <v>14.899181219072448</v>
      </c>
      <c r="GY1138" s="1771">
        <f t="shared" si="1824"/>
        <v>22.534442006360759</v>
      </c>
      <c r="GZ1138" s="1771">
        <f t="shared" si="1824"/>
        <v>125.2904778409454</v>
      </c>
      <c r="HA1138" s="1771">
        <f t="shared" si="1824"/>
        <v>14.411668654781918</v>
      </c>
      <c r="HB1138" s="1771">
        <f t="shared" si="1824"/>
        <v>0</v>
      </c>
      <c r="HC1138" s="1771">
        <f t="shared" si="1824"/>
        <v>135.58406579948007</v>
      </c>
      <c r="HD1138" s="1771">
        <f t="shared" si="1824"/>
        <v>29.529508718633497</v>
      </c>
      <c r="HE1138" s="1771">
        <f t="shared" si="1824"/>
        <v>91.100709918904002</v>
      </c>
      <c r="HF1138" s="1771">
        <f t="shared" si="1824"/>
        <v>152.79918350532938</v>
      </c>
      <c r="HG1138" s="1771">
        <f t="shared" si="1824"/>
        <v>36.550565428489207</v>
      </c>
      <c r="HH1138" s="1771">
        <f t="shared" si="1824"/>
        <v>0</v>
      </c>
      <c r="HI1138" s="1771">
        <f t="shared" si="1824"/>
        <v>121.5161496827613</v>
      </c>
      <c r="HJ1138" s="1771">
        <f t="shared" si="1824"/>
        <v>34.237850121589396</v>
      </c>
      <c r="HK1138" s="1771">
        <f t="shared" si="1824"/>
        <v>6.9469754804080805</v>
      </c>
      <c r="HL1138" s="1771">
        <f t="shared" si="1824"/>
        <v>163.71812133269415</v>
      </c>
    </row>
    <row r="1139" spans="4:220" ht="17.25" customHeight="1">
      <c r="D1139" s="1235" t="s">
        <v>1261</v>
      </c>
      <c r="E1139" s="302">
        <f t="shared" ref="E1139:AJ1139" si="1825">E492</f>
        <v>1.029621313</v>
      </c>
      <c r="F1139" s="302">
        <f t="shared" si="1825"/>
        <v>2.941942955</v>
      </c>
      <c r="G1139" s="302">
        <f t="shared" si="1825"/>
        <v>1.1505803399999999</v>
      </c>
      <c r="H1139" s="302">
        <f t="shared" si="1825"/>
        <v>3.9784480960000002</v>
      </c>
      <c r="I1139" s="302">
        <f t="shared" si="1825"/>
        <v>30.615913346000003</v>
      </c>
      <c r="J1139" s="302">
        <f t="shared" si="1825"/>
        <v>51.965551095000002</v>
      </c>
      <c r="K1139" s="302">
        <f t="shared" si="1825"/>
        <v>1.117198742</v>
      </c>
      <c r="L1139" s="302">
        <f t="shared" si="1825"/>
        <v>8.6625460630000006</v>
      </c>
      <c r="M1139" s="302">
        <f t="shared" si="1825"/>
        <v>0.825440544</v>
      </c>
      <c r="N1139" s="302">
        <f t="shared" si="1825"/>
        <v>10.274025655999999</v>
      </c>
      <c r="O1139" s="302">
        <f t="shared" si="1825"/>
        <v>2.0354303389999999</v>
      </c>
      <c r="P1139" s="302">
        <f t="shared" si="1825"/>
        <v>18.696027606000001</v>
      </c>
      <c r="Q1139" s="302">
        <f t="shared" si="1825"/>
        <v>7.0713269639999998</v>
      </c>
      <c r="R1139" s="302">
        <f t="shared" si="1825"/>
        <v>0</v>
      </c>
      <c r="S1139" s="302">
        <f t="shared" si="1825"/>
        <v>47.972159455999993</v>
      </c>
      <c r="T1139" s="302">
        <f t="shared" si="1825"/>
        <v>0.24031845799999998</v>
      </c>
      <c r="U1139" s="302">
        <f t="shared" si="1825"/>
        <v>36.651045891000003</v>
      </c>
      <c r="V1139" s="302">
        <f t="shared" si="1825"/>
        <v>30.353750014999999</v>
      </c>
      <c r="W1139" s="302">
        <f t="shared" si="1825"/>
        <v>1.813009278</v>
      </c>
      <c r="X1139" s="302">
        <f t="shared" si="1825"/>
        <v>8.8946221609999991</v>
      </c>
      <c r="Y1139" s="302">
        <f t="shared" si="1825"/>
        <v>10.554829409999998</v>
      </c>
      <c r="Z1139" s="302">
        <f t="shared" si="1825"/>
        <v>18.851372507000001</v>
      </c>
      <c r="AA1139" s="302">
        <f t="shared" si="1825"/>
        <v>2.7449506380000002</v>
      </c>
      <c r="AB1139" s="302">
        <f t="shared" si="1825"/>
        <v>20.533005909</v>
      </c>
      <c r="AC1139" s="302">
        <f t="shared" si="1825"/>
        <v>0</v>
      </c>
      <c r="AD1139" s="302">
        <f t="shared" si="1825"/>
        <v>7.5460620000000009</v>
      </c>
      <c r="AE1139" s="302">
        <f t="shared" si="1825"/>
        <v>3.8527875429999998</v>
      </c>
      <c r="AF1139" s="302">
        <f t="shared" si="1825"/>
        <v>51.132849105999995</v>
      </c>
      <c r="AG1139" s="302">
        <f t="shared" si="1825"/>
        <v>1.922652555</v>
      </c>
      <c r="AH1139" s="302">
        <f t="shared" si="1825"/>
        <v>37.021962551999998</v>
      </c>
      <c r="AI1139" s="302">
        <f t="shared" si="1825"/>
        <v>13.403235237000001</v>
      </c>
      <c r="AJ1139" s="302">
        <f t="shared" si="1825"/>
        <v>3.5717679769999999</v>
      </c>
      <c r="AK1139" s="302">
        <f t="shared" ref="AK1139:BP1139" si="1826">AK492</f>
        <v>44.113459689999999</v>
      </c>
      <c r="AL1139" s="302">
        <f t="shared" si="1826"/>
        <v>53.195301256</v>
      </c>
      <c r="AM1139" s="302">
        <f t="shared" si="1826"/>
        <v>7.5764551739999995</v>
      </c>
      <c r="AN1139" s="302">
        <f t="shared" si="1826"/>
        <v>10.268108200999999</v>
      </c>
      <c r="AO1139" s="302">
        <f t="shared" si="1826"/>
        <v>21.649201587</v>
      </c>
      <c r="AP1139" s="302">
        <f t="shared" si="1826"/>
        <v>0</v>
      </c>
      <c r="AQ1139" s="302">
        <f t="shared" si="1826"/>
        <v>8.0213442799999992</v>
      </c>
      <c r="AR1139" s="302">
        <f t="shared" si="1826"/>
        <v>12.581843562</v>
      </c>
      <c r="AS1139" s="302">
        <f t="shared" si="1826"/>
        <v>9.056692696999999</v>
      </c>
      <c r="AT1139" s="302">
        <f t="shared" si="1826"/>
        <v>97.265289525</v>
      </c>
      <c r="AU1139" s="302">
        <f t="shared" si="1826"/>
        <v>6.1597314819999998</v>
      </c>
      <c r="AV1139" s="302">
        <f t="shared" si="1826"/>
        <v>4.7773699999999995</v>
      </c>
      <c r="AW1139" s="302">
        <f t="shared" si="1826"/>
        <v>58.822261999999988</v>
      </c>
      <c r="AX1139" s="302">
        <f t="shared" si="1826"/>
        <v>26.394771204000001</v>
      </c>
      <c r="AY1139" s="302">
        <f t="shared" si="1826"/>
        <v>6.9810858910000002</v>
      </c>
      <c r="AZ1139" s="302">
        <f t="shared" si="1826"/>
        <v>24.142312999000001</v>
      </c>
      <c r="BA1139" s="302">
        <f t="shared" si="1826"/>
        <v>0.531323502</v>
      </c>
      <c r="BB1139" s="302">
        <f t="shared" si="1826"/>
        <v>5.2342624570000007</v>
      </c>
      <c r="BC1139" s="302">
        <f t="shared" si="1826"/>
        <v>1.0111021920000001</v>
      </c>
      <c r="BD1139" s="302">
        <f t="shared" si="1826"/>
        <v>67.936107326759995</v>
      </c>
      <c r="BE1139" s="302">
        <f t="shared" si="1826"/>
        <v>1.03516734123</v>
      </c>
      <c r="BF1139" s="302">
        <f t="shared" si="1826"/>
        <v>13.367550886</v>
      </c>
      <c r="BG1139" s="302">
        <f t="shared" si="1826"/>
        <v>41.011713339000003</v>
      </c>
      <c r="BH1139" s="302">
        <f t="shared" si="1826"/>
        <v>37.631219074000001</v>
      </c>
      <c r="BI1139" s="302">
        <f t="shared" si="1826"/>
        <v>29.764305502999996</v>
      </c>
      <c r="BJ1139" s="302">
        <f t="shared" si="1826"/>
        <v>25.662271436000001</v>
      </c>
      <c r="BK1139" s="302">
        <f t="shared" si="1826"/>
        <v>4.6969805640000004</v>
      </c>
      <c r="BL1139" s="302">
        <f t="shared" si="1826"/>
        <v>72.178950183000012</v>
      </c>
      <c r="BM1139" s="302">
        <f t="shared" si="1826"/>
        <v>2.2913186510000001</v>
      </c>
      <c r="BN1139" s="302">
        <f t="shared" si="1826"/>
        <v>4.1133515819999991</v>
      </c>
      <c r="BO1139" s="302">
        <f t="shared" si="1826"/>
        <v>11.480174020999998</v>
      </c>
      <c r="BP1139" s="302">
        <f t="shared" si="1826"/>
        <v>0.244489505</v>
      </c>
      <c r="BQ1139" s="302">
        <f t="shared" ref="BQ1139:CV1139" si="1827">BQ492</f>
        <v>0.210040425</v>
      </c>
      <c r="BR1139" s="302">
        <f t="shared" si="1827"/>
        <v>36.401174263000001</v>
      </c>
      <c r="BS1139" s="302">
        <f t="shared" si="1827"/>
        <v>29.136299999999999</v>
      </c>
      <c r="BT1139" s="302">
        <f t="shared" si="1827"/>
        <v>5.0500000000000003E-2</v>
      </c>
      <c r="BU1139" s="302">
        <f t="shared" si="1827"/>
        <v>16.354800000000001</v>
      </c>
      <c r="BV1139" s="302">
        <f t="shared" si="1827"/>
        <v>40.385982536352834</v>
      </c>
      <c r="BW1139" s="302">
        <f t="shared" si="1827"/>
        <v>0</v>
      </c>
      <c r="BX1139" s="302">
        <f t="shared" si="1827"/>
        <v>3.0729541479283036</v>
      </c>
      <c r="BY1139" s="302">
        <f t="shared" si="1827"/>
        <v>5.260235500000876E-4</v>
      </c>
      <c r="BZ1139" s="302">
        <f t="shared" si="1827"/>
        <v>9.1826426500000002E-2</v>
      </c>
      <c r="CA1139" s="302">
        <f t="shared" si="1827"/>
        <v>12.982690138090351</v>
      </c>
      <c r="CB1139" s="302">
        <f t="shared" si="1827"/>
        <v>31.033814600552404</v>
      </c>
      <c r="CC1139" s="302">
        <f t="shared" si="1827"/>
        <v>17.757997552074478</v>
      </c>
      <c r="CD1139" s="302">
        <f t="shared" si="1827"/>
        <v>32.66273206789338</v>
      </c>
      <c r="CE1139" s="302">
        <f t="shared" si="1827"/>
        <v>11.074034852134075</v>
      </c>
      <c r="CF1139" s="302">
        <f t="shared" si="1827"/>
        <v>32.700150377666034</v>
      </c>
      <c r="CG1139" s="302">
        <f t="shared" si="1827"/>
        <v>42.709039008523469</v>
      </c>
      <c r="CH1139" s="302">
        <f t="shared" si="1827"/>
        <v>8.4914818258642306</v>
      </c>
      <c r="CI1139" s="302">
        <f t="shared" si="1827"/>
        <v>2.9367541546255658</v>
      </c>
      <c r="CJ1139" s="302">
        <f t="shared" si="1827"/>
        <v>39.867508568122986</v>
      </c>
      <c r="CK1139" s="302">
        <f t="shared" si="1827"/>
        <v>0.4505358125808413</v>
      </c>
      <c r="CL1139" s="302">
        <f t="shared" si="1827"/>
        <v>6.1572929790496084E-2</v>
      </c>
      <c r="CM1139" s="302">
        <f t="shared" si="1827"/>
        <v>0.3515643368251512</v>
      </c>
      <c r="CN1139" s="302">
        <f t="shared" si="1827"/>
        <v>5.4330064326454339</v>
      </c>
      <c r="CO1139" s="302">
        <f t="shared" si="1827"/>
        <v>20.722085809617504</v>
      </c>
      <c r="CP1139" s="302">
        <f t="shared" si="1827"/>
        <v>10.027234982980973</v>
      </c>
      <c r="CQ1139" s="302">
        <f t="shared" si="1827"/>
        <v>17.574926579780833</v>
      </c>
      <c r="CR1139" s="302">
        <f t="shared" si="1827"/>
        <v>6.1004475483840262E-2</v>
      </c>
      <c r="CS1139" s="302">
        <f t="shared" si="1827"/>
        <v>18.410786140034833</v>
      </c>
      <c r="CT1139" s="302">
        <f t="shared" si="1827"/>
        <v>4.6459715500613363</v>
      </c>
      <c r="CU1139" s="302">
        <f t="shared" si="1827"/>
        <v>11.644424817805959</v>
      </c>
      <c r="CV1139" s="302">
        <f t="shared" si="1827"/>
        <v>63.104221270265896</v>
      </c>
      <c r="CW1139" s="302">
        <f t="shared" ref="CW1139:EB1139" si="1828">CW492</f>
        <v>8.3267635304785639</v>
      </c>
      <c r="CX1139" s="302">
        <f t="shared" si="1828"/>
        <v>5.3526167373176385E-2</v>
      </c>
      <c r="CY1139" s="302">
        <f t="shared" si="1828"/>
        <v>17.62001316069103</v>
      </c>
      <c r="CZ1139" s="302">
        <f t="shared" si="1828"/>
        <v>5.4375696773941051</v>
      </c>
      <c r="DA1139" s="302">
        <f t="shared" si="1828"/>
        <v>27.297930233327257</v>
      </c>
      <c r="DB1139" s="706">
        <f t="shared" si="1828"/>
        <v>0.68299319136206749</v>
      </c>
      <c r="DC1139" s="302">
        <f t="shared" si="1828"/>
        <v>18.500350525863201</v>
      </c>
      <c r="DD1139" s="302">
        <f t="shared" si="1828"/>
        <v>6.1547591233999999</v>
      </c>
      <c r="DE1139" s="302">
        <f t="shared" si="1828"/>
        <v>21.85774148142</v>
      </c>
      <c r="DF1139" s="302">
        <f t="shared" si="1828"/>
        <v>0.27488678799999999</v>
      </c>
      <c r="DG1139" s="302">
        <f t="shared" si="1828"/>
        <v>33.148919335843495</v>
      </c>
      <c r="DH1139" s="302">
        <f t="shared" si="1828"/>
        <v>22.95045653645364</v>
      </c>
      <c r="DI1139" s="302">
        <f t="shared" si="1828"/>
        <v>0.45384504142463566</v>
      </c>
      <c r="DJ1139" s="302">
        <f t="shared" si="1828"/>
        <v>3.0471868759055294</v>
      </c>
      <c r="DK1139" s="302">
        <f t="shared" si="1828"/>
        <v>0.34657287472925635</v>
      </c>
      <c r="DL1139" s="302">
        <f t="shared" si="1828"/>
        <v>54.368579620764223</v>
      </c>
      <c r="DM1139" s="302">
        <f t="shared" si="1828"/>
        <v>0.23876751243749914</v>
      </c>
      <c r="DN1139" s="303">
        <f t="shared" si="1828"/>
        <v>43.464944561485638</v>
      </c>
      <c r="DO1139" s="302">
        <f t="shared" si="1828"/>
        <v>21.286172955145268</v>
      </c>
      <c r="DP1139" s="302">
        <f t="shared" si="1828"/>
        <v>6.15912446300276</v>
      </c>
      <c r="DQ1139" s="302">
        <f t="shared" si="1828"/>
        <v>0.36889618367652649</v>
      </c>
      <c r="DR1139" s="302">
        <f t="shared" si="1828"/>
        <v>0.3018041686636207</v>
      </c>
      <c r="DS1139" s="302">
        <f t="shared" si="1828"/>
        <v>16.246436408114487</v>
      </c>
      <c r="DT1139" s="302">
        <f t="shared" si="1828"/>
        <v>48.103489986870606</v>
      </c>
      <c r="DU1139" s="302">
        <f t="shared" si="1828"/>
        <v>15.925133723153333</v>
      </c>
      <c r="DV1139" s="302">
        <f t="shared" si="1828"/>
        <v>5.8007764595570457E-2</v>
      </c>
      <c r="DW1139" s="302">
        <f t="shared" si="1828"/>
        <v>10.541360405145587</v>
      </c>
      <c r="DX1139" s="302">
        <f t="shared" si="1828"/>
        <v>12.189416837913845</v>
      </c>
      <c r="DY1139" s="302">
        <f t="shared" si="1828"/>
        <v>4.4983689553372501E-2</v>
      </c>
      <c r="DZ1139" s="303">
        <f t="shared" si="1828"/>
        <v>52.957257360683563</v>
      </c>
      <c r="EA1139" s="302">
        <f t="shared" si="1828"/>
        <v>22.330994918999998</v>
      </c>
      <c r="EB1139" s="302">
        <f t="shared" si="1828"/>
        <v>8.3537451970000003</v>
      </c>
      <c r="EC1139" s="302">
        <f t="shared" ref="EC1139:EX1139" si="1829">EC492</f>
        <v>6.3896163980000003</v>
      </c>
      <c r="ED1139" s="302">
        <f t="shared" si="1829"/>
        <v>14.108040666624467</v>
      </c>
      <c r="EE1139" s="302">
        <f t="shared" si="1829"/>
        <v>9.5209014795940092</v>
      </c>
      <c r="EF1139" s="302">
        <f t="shared" si="1829"/>
        <v>48.929272409394486</v>
      </c>
      <c r="EG1139" s="302">
        <f t="shared" si="1829"/>
        <v>39.430327586326584</v>
      </c>
      <c r="EH1139" s="302">
        <f t="shared" si="1829"/>
        <v>3.5058122900716104</v>
      </c>
      <c r="EI1139" s="302">
        <f t="shared" si="1829"/>
        <v>15.89035991079462</v>
      </c>
      <c r="EJ1139" s="302">
        <f t="shared" si="1829"/>
        <v>20.966980069027823</v>
      </c>
      <c r="EK1139" s="302">
        <f t="shared" si="1829"/>
        <v>5.0993692085567657E-2</v>
      </c>
      <c r="EL1139" s="303">
        <f t="shared" si="1829"/>
        <v>0.7199081113879362</v>
      </c>
      <c r="EM1139" s="302">
        <f t="shared" si="1829"/>
        <v>8.246678119256373</v>
      </c>
      <c r="EN1139" s="302">
        <f t="shared" si="1829"/>
        <v>16.731777538332228</v>
      </c>
      <c r="EO1139" s="302">
        <f t="shared" si="1829"/>
        <v>0.2027860917652563</v>
      </c>
      <c r="EP1139" s="302">
        <f t="shared" si="1829"/>
        <v>2.364907381854027E-2</v>
      </c>
      <c r="EQ1139" s="302">
        <f t="shared" si="1829"/>
        <v>2.350520414</v>
      </c>
      <c r="ER1139" s="302">
        <f t="shared" si="1829"/>
        <v>79.196747735965999</v>
      </c>
      <c r="ES1139" s="302">
        <f t="shared" si="1829"/>
        <v>14.032465188655175</v>
      </c>
      <c r="ET1139" s="302">
        <f t="shared" si="1829"/>
        <v>25.71504433300705</v>
      </c>
      <c r="EU1139" s="302">
        <f t="shared" si="1829"/>
        <v>9.7848614553610838E-2</v>
      </c>
      <c r="EV1139" s="302">
        <f t="shared" si="1829"/>
        <v>14.885247384866869</v>
      </c>
      <c r="EW1139" s="302">
        <f t="shared" si="1829"/>
        <v>0</v>
      </c>
      <c r="EX1139" s="303">
        <f t="shared" si="1829"/>
        <v>0.21532801592438158</v>
      </c>
      <c r="EY1139" s="681">
        <f t="shared" ref="EY1139:GD1139" si="1830">+EY719+EY723+EY727</f>
        <v>18.885914780479233</v>
      </c>
      <c r="EZ1139" s="681">
        <f t="shared" si="1830"/>
        <v>0</v>
      </c>
      <c r="FA1139" s="681">
        <f t="shared" si="1830"/>
        <v>9.608507644444737</v>
      </c>
      <c r="FB1139" s="681">
        <f t="shared" si="1830"/>
        <v>0</v>
      </c>
      <c r="FC1139" s="681">
        <f t="shared" si="1830"/>
        <v>9.2111639751582803</v>
      </c>
      <c r="FD1139" s="681">
        <f t="shared" si="1830"/>
        <v>52.863934318023269</v>
      </c>
      <c r="FE1139" s="681">
        <f t="shared" si="1830"/>
        <v>0</v>
      </c>
      <c r="FF1139" s="681">
        <f t="shared" si="1830"/>
        <v>17.942072601710958</v>
      </c>
      <c r="FG1139" s="681">
        <f t="shared" si="1830"/>
        <v>0</v>
      </c>
      <c r="FH1139" s="681">
        <f t="shared" si="1830"/>
        <v>26.339455367801001</v>
      </c>
      <c r="FI1139" s="681">
        <f t="shared" si="1830"/>
        <v>0</v>
      </c>
      <c r="FJ1139" s="681">
        <f t="shared" si="1830"/>
        <v>42.879513273999997</v>
      </c>
      <c r="FK1139" s="681">
        <f t="shared" si="1830"/>
        <v>0</v>
      </c>
      <c r="FL1139" s="681">
        <f t="shared" si="1830"/>
        <v>0</v>
      </c>
      <c r="FM1139" s="681">
        <f t="shared" si="1830"/>
        <v>55.78206542418198</v>
      </c>
      <c r="FN1139" s="681">
        <f t="shared" si="1830"/>
        <v>35.485712861354926</v>
      </c>
      <c r="FO1139" s="681">
        <f t="shared" si="1830"/>
        <v>0</v>
      </c>
      <c r="FP1139" s="681">
        <f t="shared" si="1830"/>
        <v>28.462910114962668</v>
      </c>
      <c r="FQ1139" s="681">
        <f t="shared" si="1830"/>
        <v>0</v>
      </c>
      <c r="FR1139" s="681">
        <f t="shared" si="1830"/>
        <v>0</v>
      </c>
      <c r="FS1139" s="681">
        <f t="shared" si="1830"/>
        <v>74.49219628223868</v>
      </c>
      <c r="FT1139" s="681">
        <f t="shared" si="1830"/>
        <v>15.214705663450417</v>
      </c>
      <c r="FU1139" s="681">
        <f t="shared" si="1830"/>
        <v>0</v>
      </c>
      <c r="FV1139" s="681">
        <f t="shared" si="1830"/>
        <v>56.902254674493491</v>
      </c>
      <c r="FW1139" s="681">
        <f t="shared" si="1830"/>
        <v>1.2382475E-2</v>
      </c>
      <c r="FX1139" s="681">
        <f t="shared" si="1830"/>
        <v>43.244714305822797</v>
      </c>
      <c r="FY1139" s="681">
        <f t="shared" si="1830"/>
        <v>8.6165421105112401</v>
      </c>
      <c r="FZ1139" s="681">
        <f t="shared" si="1830"/>
        <v>17.063186750203002</v>
      </c>
      <c r="GA1139" s="681">
        <f t="shared" si="1830"/>
        <v>19.632604848192209</v>
      </c>
      <c r="GB1139" s="681">
        <f t="shared" si="1830"/>
        <v>29.998485683362848</v>
      </c>
      <c r="GC1139" s="681">
        <f t="shared" si="1830"/>
        <v>18.56186430122964</v>
      </c>
      <c r="GD1139" s="681">
        <f t="shared" si="1830"/>
        <v>7.6535444779132003E-2</v>
      </c>
      <c r="GE1139" s="681">
        <f t="shared" ref="GE1139:HL1139" si="1831">+GE719+GE723+GE727</f>
        <v>94.795115429550336</v>
      </c>
      <c r="GF1139" s="681">
        <f t="shared" si="1831"/>
        <v>31.820768096170202</v>
      </c>
      <c r="GG1139" s="681">
        <f t="shared" si="1831"/>
        <v>178.58328382937401</v>
      </c>
      <c r="GH1139" s="681">
        <f t="shared" si="1831"/>
        <v>4.7254106244460603</v>
      </c>
      <c r="GI1139" s="681">
        <f t="shared" si="1831"/>
        <v>31.716082279583937</v>
      </c>
      <c r="GJ1139" s="681">
        <f t="shared" si="1831"/>
        <v>2.9643453900840777</v>
      </c>
      <c r="GK1139" s="681">
        <f t="shared" si="1831"/>
        <v>0</v>
      </c>
      <c r="GL1139" s="681">
        <f t="shared" si="1831"/>
        <v>23.942376244173094</v>
      </c>
      <c r="GM1139" s="681">
        <f t="shared" si="1831"/>
        <v>0</v>
      </c>
      <c r="GN1139" s="681">
        <f t="shared" si="1831"/>
        <v>27.829915935752915</v>
      </c>
      <c r="GO1139" s="681">
        <f t="shared" si="1831"/>
        <v>0.9753833970000001</v>
      </c>
      <c r="GP1139" s="681">
        <f t="shared" si="1831"/>
        <v>0</v>
      </c>
      <c r="GQ1139" s="681">
        <f t="shared" si="1831"/>
        <v>0</v>
      </c>
      <c r="GR1139" s="681">
        <f t="shared" si="1831"/>
        <v>175.93659568087031</v>
      </c>
      <c r="GS1139" s="681">
        <f t="shared" si="1831"/>
        <v>12.013056633015713</v>
      </c>
      <c r="GT1139" s="681">
        <f t="shared" si="1831"/>
        <v>34.644585451470562</v>
      </c>
      <c r="GU1139" s="681">
        <f t="shared" si="1831"/>
        <v>34.381813544500368</v>
      </c>
      <c r="GV1139" s="681">
        <f t="shared" si="1831"/>
        <v>9.7639445017651276</v>
      </c>
      <c r="GW1139" s="681">
        <f t="shared" si="1831"/>
        <v>10.054948469184707</v>
      </c>
      <c r="GX1139" s="681">
        <f t="shared" si="1831"/>
        <v>14.899181219072448</v>
      </c>
      <c r="GY1139" s="681">
        <f t="shared" si="1831"/>
        <v>22.534442006360759</v>
      </c>
      <c r="GZ1139" s="681">
        <f t="shared" si="1831"/>
        <v>7.8490124882709535</v>
      </c>
      <c r="HA1139" s="681">
        <f t="shared" si="1831"/>
        <v>14.411668654781918</v>
      </c>
      <c r="HB1139" s="681">
        <f t="shared" si="1831"/>
        <v>0</v>
      </c>
      <c r="HC1139" s="681">
        <f t="shared" si="1831"/>
        <v>0.98520657938470313</v>
      </c>
      <c r="HD1139" s="681">
        <f t="shared" si="1831"/>
        <v>29.529508718633497</v>
      </c>
      <c r="HE1139" s="681">
        <f t="shared" si="1831"/>
        <v>91.100709918904002</v>
      </c>
      <c r="HF1139" s="681">
        <f t="shared" si="1831"/>
        <v>18.200324285234</v>
      </c>
      <c r="HG1139" s="681">
        <f t="shared" si="1831"/>
        <v>36.550565428489207</v>
      </c>
      <c r="HH1139" s="681">
        <f t="shared" si="1831"/>
        <v>0</v>
      </c>
      <c r="HI1139" s="681">
        <f t="shared" si="1831"/>
        <v>0</v>
      </c>
      <c r="HJ1139" s="681">
        <f t="shared" si="1831"/>
        <v>34.237850121589396</v>
      </c>
      <c r="HK1139" s="681">
        <f t="shared" si="1831"/>
        <v>6.9469754804080805</v>
      </c>
      <c r="HL1139" s="681">
        <f t="shared" si="1831"/>
        <v>42.201971649932865</v>
      </c>
    </row>
    <row r="1140" spans="4:220" ht="17.25" customHeight="1">
      <c r="D1140" s="1235" t="s">
        <v>1262</v>
      </c>
      <c r="E1140" s="302">
        <f t="shared" ref="E1140:AJ1140" si="1832">E497</f>
        <v>0</v>
      </c>
      <c r="F1140" s="302">
        <f t="shared" si="1832"/>
        <v>0</v>
      </c>
      <c r="G1140" s="302">
        <f t="shared" si="1832"/>
        <v>19.096</v>
      </c>
      <c r="H1140" s="302">
        <f t="shared" si="1832"/>
        <v>0</v>
      </c>
      <c r="I1140" s="302">
        <f t="shared" si="1832"/>
        <v>0</v>
      </c>
      <c r="J1140" s="302">
        <f t="shared" si="1832"/>
        <v>18.920000000000002</v>
      </c>
      <c r="K1140" s="302">
        <f t="shared" si="1832"/>
        <v>0</v>
      </c>
      <c r="L1140" s="302">
        <f t="shared" si="1832"/>
        <v>0</v>
      </c>
      <c r="M1140" s="302">
        <f t="shared" si="1832"/>
        <v>20.327999999999999</v>
      </c>
      <c r="N1140" s="302">
        <f t="shared" si="1832"/>
        <v>0</v>
      </c>
      <c r="O1140" s="302">
        <f t="shared" si="1832"/>
        <v>0</v>
      </c>
      <c r="P1140" s="302">
        <f t="shared" si="1832"/>
        <v>15.656000000000001</v>
      </c>
      <c r="Q1140" s="302">
        <f t="shared" si="1832"/>
        <v>0</v>
      </c>
      <c r="R1140" s="302">
        <f t="shared" si="1832"/>
        <v>0</v>
      </c>
      <c r="S1140" s="302">
        <f t="shared" si="1832"/>
        <v>13.61007</v>
      </c>
      <c r="T1140" s="302">
        <f t="shared" si="1832"/>
        <v>0</v>
      </c>
      <c r="U1140" s="302">
        <f t="shared" si="1832"/>
        <v>0</v>
      </c>
      <c r="V1140" s="302">
        <f t="shared" si="1832"/>
        <v>21.278419999999997</v>
      </c>
      <c r="W1140" s="302">
        <f t="shared" si="1832"/>
        <v>0</v>
      </c>
      <c r="X1140" s="302">
        <f t="shared" si="1832"/>
        <v>0</v>
      </c>
      <c r="Y1140" s="302">
        <f t="shared" si="1832"/>
        <v>20.6523</v>
      </c>
      <c r="Z1140" s="302">
        <f t="shared" si="1832"/>
        <v>0</v>
      </c>
      <c r="AA1140" s="302">
        <f t="shared" si="1832"/>
        <v>0</v>
      </c>
      <c r="AB1140" s="302">
        <f t="shared" si="1832"/>
        <v>38.554199999999994</v>
      </c>
      <c r="AC1140" s="302">
        <f t="shared" si="1832"/>
        <v>0</v>
      </c>
      <c r="AD1140" s="302">
        <f t="shared" si="1832"/>
        <v>0</v>
      </c>
      <c r="AE1140" s="302">
        <f t="shared" si="1832"/>
        <v>27.222999999999999</v>
      </c>
      <c r="AF1140" s="302">
        <f t="shared" si="1832"/>
        <v>0</v>
      </c>
      <c r="AG1140" s="302">
        <f t="shared" si="1832"/>
        <v>0</v>
      </c>
      <c r="AH1140" s="302">
        <f t="shared" si="1832"/>
        <v>14.770896896000002</v>
      </c>
      <c r="AI1140" s="302">
        <f t="shared" si="1832"/>
        <v>0</v>
      </c>
      <c r="AJ1140" s="302">
        <f t="shared" si="1832"/>
        <v>0</v>
      </c>
      <c r="AK1140" s="302">
        <f t="shared" ref="AK1140:BP1140" si="1833">AK497</f>
        <v>31.943841391000003</v>
      </c>
      <c r="AL1140" s="302">
        <f t="shared" si="1833"/>
        <v>0</v>
      </c>
      <c r="AM1140" s="302">
        <f t="shared" si="1833"/>
        <v>0</v>
      </c>
      <c r="AN1140" s="302">
        <f t="shared" si="1833"/>
        <v>39.854758195999992</v>
      </c>
      <c r="AO1140" s="302">
        <f t="shared" si="1833"/>
        <v>0</v>
      </c>
      <c r="AP1140" s="302">
        <f t="shared" si="1833"/>
        <v>0</v>
      </c>
      <c r="AQ1140" s="302">
        <f t="shared" si="1833"/>
        <v>27.3</v>
      </c>
      <c r="AR1140" s="302">
        <f t="shared" si="1833"/>
        <v>0</v>
      </c>
      <c r="AS1140" s="302">
        <f t="shared" si="1833"/>
        <v>0</v>
      </c>
      <c r="AT1140" s="302">
        <f t="shared" si="1833"/>
        <v>27.3</v>
      </c>
      <c r="AU1140" s="302">
        <f t="shared" si="1833"/>
        <v>0</v>
      </c>
      <c r="AV1140" s="302">
        <f t="shared" si="1833"/>
        <v>0</v>
      </c>
      <c r="AW1140" s="302">
        <f t="shared" si="1833"/>
        <v>34.1</v>
      </c>
      <c r="AX1140" s="302">
        <f t="shared" si="1833"/>
        <v>0</v>
      </c>
      <c r="AY1140" s="302">
        <f t="shared" si="1833"/>
        <v>0</v>
      </c>
      <c r="AZ1140" s="302">
        <f t="shared" si="1833"/>
        <v>80</v>
      </c>
      <c r="BA1140" s="302">
        <f t="shared" si="1833"/>
        <v>0</v>
      </c>
      <c r="BB1140" s="302">
        <f t="shared" si="1833"/>
        <v>0</v>
      </c>
      <c r="BC1140" s="302">
        <f t="shared" si="1833"/>
        <v>25.449000000000002</v>
      </c>
      <c r="BD1140" s="302">
        <f t="shared" si="1833"/>
        <v>0</v>
      </c>
      <c r="BE1140" s="302">
        <f t="shared" si="1833"/>
        <v>0</v>
      </c>
      <c r="BF1140" s="302">
        <f t="shared" si="1833"/>
        <v>24.451000000000001</v>
      </c>
      <c r="BG1140" s="302">
        <f t="shared" si="1833"/>
        <v>0</v>
      </c>
      <c r="BH1140" s="302">
        <f t="shared" si="1833"/>
        <v>0</v>
      </c>
      <c r="BI1140" s="302">
        <f t="shared" si="1833"/>
        <v>28.44</v>
      </c>
      <c r="BJ1140" s="302">
        <f t="shared" si="1833"/>
        <v>50.9206</v>
      </c>
      <c r="BK1140" s="302">
        <f t="shared" si="1833"/>
        <v>0</v>
      </c>
      <c r="BL1140" s="302">
        <f t="shared" si="1833"/>
        <v>28.44</v>
      </c>
      <c r="BM1140" s="302">
        <f t="shared" si="1833"/>
        <v>0</v>
      </c>
      <c r="BN1140" s="302">
        <f t="shared" si="1833"/>
        <v>0</v>
      </c>
      <c r="BO1140" s="302">
        <f t="shared" si="1833"/>
        <v>28.4</v>
      </c>
      <c r="BP1140" s="302">
        <f t="shared" si="1833"/>
        <v>0</v>
      </c>
      <c r="BQ1140" s="302">
        <f t="shared" ref="BQ1140:CV1140" si="1834">BQ497</f>
        <v>0</v>
      </c>
      <c r="BR1140" s="302">
        <f t="shared" si="1834"/>
        <v>63.072049327625756</v>
      </c>
      <c r="BS1140" s="302">
        <f t="shared" si="1834"/>
        <v>12.203299451901628</v>
      </c>
      <c r="BT1140" s="302">
        <f t="shared" si="1834"/>
        <v>14.813409459931112</v>
      </c>
      <c r="BU1140" s="302">
        <f t="shared" si="1834"/>
        <v>6.5902026762721153</v>
      </c>
      <c r="BV1140" s="302">
        <f t="shared" si="1834"/>
        <v>7.9663939819053082</v>
      </c>
      <c r="BW1140" s="302">
        <f t="shared" si="1834"/>
        <v>41.538890177774903</v>
      </c>
      <c r="BX1140" s="302">
        <f t="shared" si="1834"/>
        <v>29.001320784256873</v>
      </c>
      <c r="BY1140" s="302">
        <f t="shared" si="1834"/>
        <v>6.4084407417666696E-6</v>
      </c>
      <c r="BZ1140" s="302">
        <f t="shared" si="1834"/>
        <v>3.9502690426215792</v>
      </c>
      <c r="CA1140" s="302">
        <f t="shared" si="1834"/>
        <v>8.9347603934343383</v>
      </c>
      <c r="CB1140" s="302">
        <f t="shared" si="1834"/>
        <v>6.8720589184452443</v>
      </c>
      <c r="CC1140" s="302">
        <f t="shared" si="1834"/>
        <v>32.567005592195322</v>
      </c>
      <c r="CD1140" s="302">
        <f t="shared" si="1834"/>
        <v>10.462383112820836</v>
      </c>
      <c r="CE1140" s="302">
        <f t="shared" si="1834"/>
        <v>20.644770703771695</v>
      </c>
      <c r="CF1140" s="302">
        <f t="shared" si="1834"/>
        <v>6.2068516957338105</v>
      </c>
      <c r="CG1140" s="302">
        <f t="shared" si="1834"/>
        <v>33.654755862294493</v>
      </c>
      <c r="CH1140" s="302">
        <f t="shared" si="1834"/>
        <v>40.164865416949603</v>
      </c>
      <c r="CI1140" s="302">
        <f t="shared" si="1834"/>
        <v>33.30229618613545</v>
      </c>
      <c r="CJ1140" s="302">
        <f t="shared" si="1834"/>
        <v>23.305426911000946</v>
      </c>
      <c r="CK1140" s="302">
        <f t="shared" si="1834"/>
        <v>22.369328398681304</v>
      </c>
      <c r="CL1140" s="302">
        <f t="shared" si="1834"/>
        <v>15.370313869472696</v>
      </c>
      <c r="CM1140" s="302">
        <f t="shared" si="1834"/>
        <v>15.260357731845993</v>
      </c>
      <c r="CN1140" s="302">
        <f t="shared" si="1834"/>
        <v>55.08162525346021</v>
      </c>
      <c r="CO1140" s="302">
        <f t="shared" si="1834"/>
        <v>16.101722923910174</v>
      </c>
      <c r="CP1140" s="302">
        <f t="shared" si="1834"/>
        <v>21.799460293312592</v>
      </c>
      <c r="CQ1140" s="302">
        <f t="shared" si="1834"/>
        <v>16.87350672279609</v>
      </c>
      <c r="CR1140" s="302">
        <f t="shared" si="1834"/>
        <v>20.574332516946019</v>
      </c>
      <c r="CS1140" s="302">
        <f t="shared" si="1834"/>
        <v>13.677160760257889</v>
      </c>
      <c r="CT1140" s="302">
        <f t="shared" si="1834"/>
        <v>22.966062853869769</v>
      </c>
      <c r="CU1140" s="302">
        <f t="shared" si="1834"/>
        <v>25.792258359012344</v>
      </c>
      <c r="CV1140" s="302">
        <f t="shared" si="1834"/>
        <v>25.594723744156603</v>
      </c>
      <c r="CW1140" s="302">
        <f t="shared" ref="CW1140:EB1140" si="1835">CW497</f>
        <v>18.835302128312126</v>
      </c>
      <c r="CX1140" s="302">
        <f t="shared" si="1835"/>
        <v>20.69342160459518</v>
      </c>
      <c r="CY1140" s="302">
        <f t="shared" si="1835"/>
        <v>18.249102545774683</v>
      </c>
      <c r="CZ1140" s="302">
        <f t="shared" si="1835"/>
        <v>12.54749310504959</v>
      </c>
      <c r="DA1140" s="302">
        <f t="shared" si="1835"/>
        <v>24.637015591921291</v>
      </c>
      <c r="DB1140" s="706">
        <f t="shared" si="1835"/>
        <v>20.593317581711112</v>
      </c>
      <c r="DC1140" s="302">
        <f t="shared" si="1835"/>
        <v>13.393209566950036</v>
      </c>
      <c r="DD1140" s="302">
        <f t="shared" si="1835"/>
        <v>19.014873858627084</v>
      </c>
      <c r="DE1140" s="302">
        <f t="shared" si="1835"/>
        <v>15.961916574422874</v>
      </c>
      <c r="DF1140" s="302">
        <f t="shared" si="1835"/>
        <v>2.7668482446498701</v>
      </c>
      <c r="DG1140" s="302">
        <f t="shared" si="1835"/>
        <v>28.856931312514178</v>
      </c>
      <c r="DH1140" s="302">
        <f t="shared" si="1835"/>
        <v>16.746220442835956</v>
      </c>
      <c r="DI1140" s="302">
        <f t="shared" si="1835"/>
        <v>9.5322054394374973</v>
      </c>
      <c r="DJ1140" s="302">
        <f t="shared" si="1835"/>
        <v>11.499391937616629</v>
      </c>
      <c r="DK1140" s="302">
        <f t="shared" si="1835"/>
        <v>15.068402622945877</v>
      </c>
      <c r="DL1140" s="302">
        <f t="shared" si="1835"/>
        <v>10.864885881361992</v>
      </c>
      <c r="DM1140" s="302">
        <f t="shared" si="1835"/>
        <v>19.297643562043543</v>
      </c>
      <c r="DN1140" s="303">
        <f t="shared" si="1835"/>
        <v>5.9374705565944614</v>
      </c>
      <c r="DO1140" s="302">
        <f t="shared" si="1835"/>
        <v>4.5689722600492333</v>
      </c>
      <c r="DP1140" s="302">
        <f t="shared" si="1835"/>
        <v>1.9976494589589138</v>
      </c>
      <c r="DQ1140" s="302">
        <f t="shared" si="1835"/>
        <v>19.857829355710404</v>
      </c>
      <c r="DR1140" s="302">
        <f t="shared" si="1835"/>
        <v>3.0254844532894221</v>
      </c>
      <c r="DS1140" s="302">
        <f t="shared" si="1835"/>
        <v>0</v>
      </c>
      <c r="DT1140" s="302">
        <f t="shared" si="1835"/>
        <v>0</v>
      </c>
      <c r="DU1140" s="302">
        <f t="shared" si="1835"/>
        <v>15.873335991999999</v>
      </c>
      <c r="DV1140" s="302">
        <f t="shared" si="1835"/>
        <v>0</v>
      </c>
      <c r="DW1140" s="302">
        <f t="shared" si="1835"/>
        <v>0</v>
      </c>
      <c r="DX1140" s="302">
        <f t="shared" si="1835"/>
        <v>12.168713068197375</v>
      </c>
      <c r="DY1140" s="302">
        <f t="shared" si="1835"/>
        <v>0</v>
      </c>
      <c r="DZ1140" s="303">
        <f t="shared" si="1835"/>
        <v>0</v>
      </c>
      <c r="EA1140" s="302">
        <f t="shared" si="1835"/>
        <v>12.04303298669176</v>
      </c>
      <c r="EB1140" s="302">
        <f t="shared" si="1835"/>
        <v>11.58141738339774</v>
      </c>
      <c r="EC1140" s="302">
        <f t="shared" ref="EC1140:EX1140" si="1836">EC497</f>
        <v>18.953049629910502</v>
      </c>
      <c r="ED1140" s="302">
        <f t="shared" si="1836"/>
        <v>9.2129121794719193</v>
      </c>
      <c r="EE1140" s="302">
        <f t="shared" si="1836"/>
        <v>18.666473033356318</v>
      </c>
      <c r="EF1140" s="302">
        <f t="shared" si="1836"/>
        <v>14.698114787171765</v>
      </c>
      <c r="EG1140" s="302">
        <f t="shared" si="1836"/>
        <v>7.7343715577035592</v>
      </c>
      <c r="EH1140" s="302">
        <f t="shared" si="1836"/>
        <v>12.544701009695537</v>
      </c>
      <c r="EI1140" s="302">
        <f t="shared" si="1836"/>
        <v>21.498427432600909</v>
      </c>
      <c r="EJ1140" s="302">
        <f t="shared" si="1836"/>
        <v>3.5217398195229666</v>
      </c>
      <c r="EK1140" s="302">
        <f t="shared" si="1836"/>
        <v>8.0850167052850175</v>
      </c>
      <c r="EL1140" s="303">
        <f t="shared" si="1836"/>
        <v>30.170743475192022</v>
      </c>
      <c r="EM1140" s="302">
        <f t="shared" si="1836"/>
        <v>15.676377072254855</v>
      </c>
      <c r="EN1140" s="302">
        <f t="shared" si="1836"/>
        <v>16.280776577680143</v>
      </c>
      <c r="EO1140" s="302">
        <f t="shared" si="1836"/>
        <v>31.957153649935002</v>
      </c>
      <c r="EP1140" s="302">
        <f t="shared" si="1836"/>
        <v>25.689925104930648</v>
      </c>
      <c r="EQ1140" s="302">
        <f t="shared" si="1836"/>
        <v>6.238642488411001</v>
      </c>
      <c r="ER1140" s="302">
        <f t="shared" si="1836"/>
        <v>31.957153649935002</v>
      </c>
      <c r="ES1140" s="302">
        <f t="shared" si="1836"/>
        <v>11.77235596909156</v>
      </c>
      <c r="ET1140" s="302">
        <f t="shared" si="1836"/>
        <v>14.546519893461165</v>
      </c>
      <c r="EU1140" s="302">
        <f t="shared" si="1836"/>
        <v>26.318875862817901</v>
      </c>
      <c r="EV1140" s="302">
        <f t="shared" si="1836"/>
        <v>17.045294526785639</v>
      </c>
      <c r="EW1140" s="302">
        <f t="shared" si="1836"/>
        <v>9.2735813359162655</v>
      </c>
      <c r="EX1140" s="303">
        <f t="shared" si="1836"/>
        <v>26.318875862950499</v>
      </c>
      <c r="EY1140" s="681">
        <f t="shared" ref="EY1140:GD1140" si="1837">+EY721+EY724+EY728</f>
        <v>13.355919074614171</v>
      </c>
      <c r="EZ1140" s="681">
        <f t="shared" si="1837"/>
        <v>19.120340874614172</v>
      </c>
      <c r="FA1140" s="681">
        <f t="shared" si="1837"/>
        <v>32.476259949591501</v>
      </c>
      <c r="FB1140" s="681">
        <f t="shared" si="1837"/>
        <v>17.141012261463228</v>
      </c>
      <c r="FC1140" s="681">
        <f t="shared" si="1837"/>
        <v>19.380457481936588</v>
      </c>
      <c r="FD1140" s="681">
        <f t="shared" si="1837"/>
        <v>28.4262599495915</v>
      </c>
      <c r="FE1140" s="681">
        <f t="shared" si="1837"/>
        <v>18.57477772208745</v>
      </c>
      <c r="FF1140" s="681">
        <f t="shared" si="1837"/>
        <v>22.887552055495807</v>
      </c>
      <c r="FG1140" s="681">
        <f t="shared" si="1837"/>
        <v>23.485399915408056</v>
      </c>
      <c r="FH1140" s="681">
        <f t="shared" si="1837"/>
        <v>17.094977885269913</v>
      </c>
      <c r="FI1140" s="681">
        <f t="shared" si="1837"/>
        <v>25.711020665681996</v>
      </c>
      <c r="FJ1140" s="681">
        <f t="shared" si="1837"/>
        <v>22.173864846495658</v>
      </c>
      <c r="FK1140" s="681">
        <f t="shared" si="1837"/>
        <v>18.016468952481294</v>
      </c>
      <c r="FL1140" s="681">
        <f t="shared" si="1837"/>
        <v>22.038160849417618</v>
      </c>
      <c r="FM1140" s="681">
        <f t="shared" si="1837"/>
        <v>29.332774612660895</v>
      </c>
      <c r="FN1140" s="681">
        <f t="shared" si="1837"/>
        <v>20.310040481209192</v>
      </c>
      <c r="FO1140" s="681">
        <f t="shared" si="1837"/>
        <v>24.596989962932081</v>
      </c>
      <c r="FP1140" s="681">
        <f t="shared" si="1837"/>
        <v>24.480373970418551</v>
      </c>
      <c r="FQ1140" s="681">
        <f t="shared" si="1837"/>
        <v>26.0973223375467</v>
      </c>
      <c r="FR1140" s="681">
        <f t="shared" si="1837"/>
        <v>26.0973223375467</v>
      </c>
      <c r="FS1140" s="681">
        <f t="shared" si="1837"/>
        <v>27.482987069546699</v>
      </c>
      <c r="FT1140" s="681">
        <f t="shared" si="1837"/>
        <v>24.877549419213427</v>
      </c>
      <c r="FU1140" s="681">
        <f t="shared" si="1837"/>
        <v>26.540783368213397</v>
      </c>
      <c r="FV1140" s="681">
        <f t="shared" si="1837"/>
        <v>24.877549419213427</v>
      </c>
      <c r="FW1140" s="681">
        <f t="shared" si="1837"/>
        <v>25.52443471719846</v>
      </c>
      <c r="FX1140" s="681">
        <f t="shared" si="1837"/>
        <v>25.52443471719846</v>
      </c>
      <c r="FY1140" s="681">
        <f t="shared" si="1837"/>
        <v>25.52443471719846</v>
      </c>
      <c r="FZ1140" s="681">
        <f t="shared" si="1837"/>
        <v>34.523905375563082</v>
      </c>
      <c r="GA1140" s="681">
        <f t="shared" si="1837"/>
        <v>34.523905375563082</v>
      </c>
      <c r="GB1140" s="681">
        <f t="shared" si="1837"/>
        <v>34.523905375563082</v>
      </c>
      <c r="GC1140" s="681">
        <f t="shared" si="1837"/>
        <v>32.818074208225894</v>
      </c>
      <c r="GD1140" s="681">
        <f t="shared" si="1837"/>
        <v>32.818074208225894</v>
      </c>
      <c r="GE1140" s="681">
        <f t="shared" ref="GE1140:HL1140" si="1838">+GE721+GE724+GE728</f>
        <v>32.818074208225894</v>
      </c>
      <c r="GF1140" s="681">
        <f t="shared" si="1838"/>
        <v>32.818074208225894</v>
      </c>
      <c r="GG1140" s="681">
        <f t="shared" si="1838"/>
        <v>32.818074208225894</v>
      </c>
      <c r="GH1140" s="681">
        <f t="shared" si="1838"/>
        <v>32.818074208225894</v>
      </c>
      <c r="GI1140" s="681">
        <f t="shared" si="1838"/>
        <v>31.0326441574929</v>
      </c>
      <c r="GJ1140" s="681">
        <f t="shared" si="1838"/>
        <v>31.0326441574929</v>
      </c>
      <c r="GK1140" s="681">
        <f t="shared" si="1838"/>
        <v>31.0326441574929</v>
      </c>
      <c r="GL1140" s="681">
        <f t="shared" si="1838"/>
        <v>31.0326441574929</v>
      </c>
      <c r="GM1140" s="681">
        <f t="shared" si="1838"/>
        <v>31.0326441574929</v>
      </c>
      <c r="GN1140" s="681">
        <f t="shared" si="1838"/>
        <v>31.0326441574929</v>
      </c>
      <c r="GO1140" s="681">
        <f t="shared" si="1838"/>
        <v>35.848173299673974</v>
      </c>
      <c r="GP1140" s="681">
        <f t="shared" si="1838"/>
        <v>35.848173299673974</v>
      </c>
      <c r="GQ1140" s="681">
        <f t="shared" si="1838"/>
        <v>35.848173299673974</v>
      </c>
      <c r="GR1140" s="681">
        <f t="shared" si="1838"/>
        <v>35.848173299673974</v>
      </c>
      <c r="GS1140" s="681">
        <f t="shared" si="1838"/>
        <v>35.848173299673974</v>
      </c>
      <c r="GT1140" s="681">
        <f t="shared" si="1838"/>
        <v>35.848173299673974</v>
      </c>
      <c r="GU1140" s="681">
        <f t="shared" si="1838"/>
        <v>0</v>
      </c>
      <c r="GV1140" s="681">
        <f t="shared" si="1838"/>
        <v>0</v>
      </c>
      <c r="GW1140" s="681">
        <f t="shared" si="1838"/>
        <v>117.44146535267444</v>
      </c>
      <c r="GX1140" s="681">
        <f t="shared" si="1838"/>
        <v>0</v>
      </c>
      <c r="GY1140" s="681">
        <f t="shared" si="1838"/>
        <v>0</v>
      </c>
      <c r="GZ1140" s="681">
        <f t="shared" si="1838"/>
        <v>117.44146535267444</v>
      </c>
      <c r="HA1140" s="681">
        <f t="shared" si="1838"/>
        <v>0</v>
      </c>
      <c r="HB1140" s="681">
        <f t="shared" si="1838"/>
        <v>0</v>
      </c>
      <c r="HC1140" s="681">
        <f t="shared" si="1838"/>
        <v>134.59885922009536</v>
      </c>
      <c r="HD1140" s="681">
        <f t="shared" si="1838"/>
        <v>0</v>
      </c>
      <c r="HE1140" s="681">
        <f t="shared" si="1838"/>
        <v>0</v>
      </c>
      <c r="HF1140" s="681">
        <f t="shared" si="1838"/>
        <v>134.59885922009536</v>
      </c>
      <c r="HG1140" s="681">
        <f t="shared" si="1838"/>
        <v>0</v>
      </c>
      <c r="HH1140" s="681">
        <f t="shared" si="1838"/>
        <v>0</v>
      </c>
      <c r="HI1140" s="681">
        <f t="shared" si="1838"/>
        <v>121.5161496827613</v>
      </c>
      <c r="HJ1140" s="681">
        <f t="shared" si="1838"/>
        <v>0</v>
      </c>
      <c r="HK1140" s="681">
        <f t="shared" si="1838"/>
        <v>0</v>
      </c>
      <c r="HL1140" s="681">
        <f t="shared" si="1838"/>
        <v>121.5161496827613</v>
      </c>
    </row>
    <row r="1141" spans="4:220" ht="17.25" customHeight="1">
      <c r="D1141" s="1237" t="s">
        <v>3356</v>
      </c>
      <c r="E1141" s="302">
        <f t="shared" ref="E1141:AJ1141" si="1839">E503</f>
        <v>31.113846187904123</v>
      </c>
      <c r="F1141" s="302">
        <f t="shared" si="1839"/>
        <v>33.929240033719999</v>
      </c>
      <c r="G1141" s="302">
        <f t="shared" si="1839"/>
        <v>51.190462517032501</v>
      </c>
      <c r="H1141" s="302">
        <f t="shared" si="1839"/>
        <v>40.268011869128273</v>
      </c>
      <c r="I1141" s="302">
        <f t="shared" si="1839"/>
        <v>24.212936727898001</v>
      </c>
      <c r="J1141" s="302">
        <f t="shared" si="1839"/>
        <v>45.179957022725901</v>
      </c>
      <c r="K1141" s="302">
        <f t="shared" si="1839"/>
        <v>55.8103188453263</v>
      </c>
      <c r="L1141" s="302">
        <f t="shared" si="1839"/>
        <v>32.404558326849603</v>
      </c>
      <c r="M1141" s="302">
        <f t="shared" si="1839"/>
        <v>56.868435660884003</v>
      </c>
      <c r="N1141" s="302">
        <f t="shared" si="1839"/>
        <v>40.114778642740006</v>
      </c>
      <c r="O1141" s="302">
        <f t="shared" si="1839"/>
        <v>31.185432896099996</v>
      </c>
      <c r="P1141" s="302">
        <f t="shared" si="1839"/>
        <v>48.464992930080001</v>
      </c>
      <c r="Q1141" s="302">
        <f t="shared" si="1839"/>
        <v>37.599948009391603</v>
      </c>
      <c r="R1141" s="302">
        <f t="shared" si="1839"/>
        <v>34.876504099342704</v>
      </c>
      <c r="S1141" s="302">
        <f t="shared" si="1839"/>
        <v>54.602413516725001</v>
      </c>
      <c r="T1141" s="302">
        <f t="shared" si="1839"/>
        <v>61.171064788264005</v>
      </c>
      <c r="U1141" s="302">
        <f t="shared" si="1839"/>
        <v>33.091063065655497</v>
      </c>
      <c r="V1141" s="302">
        <f t="shared" si="1839"/>
        <v>49.348105392392</v>
      </c>
      <c r="W1141" s="302">
        <f t="shared" si="1839"/>
        <v>60.218298840349995</v>
      </c>
      <c r="X1141" s="302">
        <f t="shared" si="1839"/>
        <v>44.479926035408006</v>
      </c>
      <c r="Y1141" s="302">
        <f t="shared" si="1839"/>
        <v>71.80984676760481</v>
      </c>
      <c r="Z1141" s="302">
        <f t="shared" si="1839"/>
        <v>88.118180455573395</v>
      </c>
      <c r="AA1141" s="302">
        <f t="shared" si="1839"/>
        <v>30.6191103237894</v>
      </c>
      <c r="AB1141" s="302">
        <f t="shared" si="1839"/>
        <v>83.810174073706989</v>
      </c>
      <c r="AC1141" s="302">
        <f t="shared" si="1839"/>
        <v>49.265808352000001</v>
      </c>
      <c r="AD1141" s="302">
        <f t="shared" si="1839"/>
        <v>36.787428904000002</v>
      </c>
      <c r="AE1141" s="302">
        <f t="shared" si="1839"/>
        <v>100.839280293</v>
      </c>
      <c r="AF1141" s="302">
        <f t="shared" si="1839"/>
        <v>61.970627678999996</v>
      </c>
      <c r="AG1141" s="302">
        <f t="shared" si="1839"/>
        <v>42.037399139999998</v>
      </c>
      <c r="AH1141" s="302">
        <f t="shared" si="1839"/>
        <v>58.600805208000011</v>
      </c>
      <c r="AI1141" s="302">
        <f t="shared" si="1839"/>
        <v>46.727141095</v>
      </c>
      <c r="AJ1141" s="302">
        <f t="shared" si="1839"/>
        <v>45.196983449999998</v>
      </c>
      <c r="AK1141" s="302">
        <f t="shared" ref="AK1141:BP1141" si="1840">AK503</f>
        <v>100.94934549200002</v>
      </c>
      <c r="AL1141" s="302">
        <f t="shared" si="1840"/>
        <v>73.751512684999994</v>
      </c>
      <c r="AM1141" s="302">
        <f t="shared" si="1840"/>
        <v>52.546027526000003</v>
      </c>
      <c r="AN1141" s="302">
        <f t="shared" si="1840"/>
        <v>85.616203753999997</v>
      </c>
      <c r="AO1141" s="302">
        <f t="shared" si="1840"/>
        <v>66.299067429259992</v>
      </c>
      <c r="AP1141" s="302">
        <f t="shared" si="1840"/>
        <v>40.593019098060005</v>
      </c>
      <c r="AQ1141" s="302">
        <f t="shared" si="1840"/>
        <v>84.816624014327218</v>
      </c>
      <c r="AR1141" s="302">
        <f t="shared" si="1840"/>
        <v>67.161112869120004</v>
      </c>
      <c r="AS1141" s="302">
        <f t="shared" si="1840"/>
        <v>65.593571150347984</v>
      </c>
      <c r="AT1141" s="302">
        <f t="shared" si="1840"/>
        <v>76.930057421065598</v>
      </c>
      <c r="AU1141" s="302">
        <f t="shared" si="1840"/>
        <v>52.346549717240002</v>
      </c>
      <c r="AV1141" s="302">
        <f t="shared" si="1840"/>
        <v>75.539561062880011</v>
      </c>
      <c r="AW1141" s="302">
        <f t="shared" si="1840"/>
        <v>99.261310907549984</v>
      </c>
      <c r="AX1141" s="302">
        <f t="shared" si="1840"/>
        <v>76.398074650079991</v>
      </c>
      <c r="AY1141" s="302">
        <f t="shared" si="1840"/>
        <v>56.413795972900793</v>
      </c>
      <c r="AZ1141" s="302">
        <f t="shared" si="1840"/>
        <v>118.0142915183675</v>
      </c>
      <c r="BA1141" s="302">
        <f t="shared" si="1840"/>
        <v>64.438460127999988</v>
      </c>
      <c r="BB1141" s="302">
        <f t="shared" si="1840"/>
        <v>45.758440004000001</v>
      </c>
      <c r="BC1141" s="302">
        <f t="shared" si="1840"/>
        <v>132.03570007300002</v>
      </c>
      <c r="BD1141" s="302">
        <f t="shared" si="1840"/>
        <v>86.553274928000008</v>
      </c>
      <c r="BE1141" s="302">
        <f t="shared" si="1840"/>
        <v>94.541698818</v>
      </c>
      <c r="BF1141" s="302">
        <f t="shared" si="1840"/>
        <v>83.437803747000004</v>
      </c>
      <c r="BG1141" s="302">
        <f t="shared" si="1840"/>
        <v>50.160957434999993</v>
      </c>
      <c r="BH1141" s="302">
        <f t="shared" si="1840"/>
        <v>85.418576400999996</v>
      </c>
      <c r="BI1141" s="302">
        <f t="shared" si="1840"/>
        <v>80.972930940999987</v>
      </c>
      <c r="BJ1141" s="302">
        <f t="shared" si="1840"/>
        <v>92.236027882819997</v>
      </c>
      <c r="BK1141" s="302">
        <f t="shared" si="1840"/>
        <v>67.167033942000018</v>
      </c>
      <c r="BL1141" s="302">
        <f t="shared" si="1840"/>
        <v>120.089135438</v>
      </c>
      <c r="BM1141" s="302">
        <f t="shared" si="1840"/>
        <v>85.731333924890009</v>
      </c>
      <c r="BN1141" s="302">
        <f t="shared" si="1840"/>
        <v>59.496136133479993</v>
      </c>
      <c r="BO1141" s="302">
        <f t="shared" si="1840"/>
        <v>131.36413443499998</v>
      </c>
      <c r="BP1141" s="302">
        <f t="shared" si="1840"/>
        <v>111.25802000000002</v>
      </c>
      <c r="BQ1141" s="302">
        <f t="shared" ref="BQ1141:CV1141" si="1841">BQ503</f>
        <v>111.82221942385</v>
      </c>
      <c r="BR1141" s="302">
        <f t="shared" si="1841"/>
        <v>114.05307858658</v>
      </c>
      <c r="BS1141" s="302">
        <f t="shared" si="1841"/>
        <v>73.728099999999984</v>
      </c>
      <c r="BT1141" s="302">
        <f t="shared" si="1841"/>
        <v>68.467799999999997</v>
      </c>
      <c r="BU1141" s="302">
        <f t="shared" si="1841"/>
        <v>136.54740000000001</v>
      </c>
      <c r="BV1141" s="302">
        <f t="shared" si="1841"/>
        <v>121.91829581300001</v>
      </c>
      <c r="BW1141" s="302">
        <f t="shared" si="1841"/>
        <v>72.599040844000001</v>
      </c>
      <c r="BX1141" s="302">
        <f t="shared" si="1841"/>
        <v>41.273675468</v>
      </c>
      <c r="BY1141" s="302">
        <f t="shared" si="1841"/>
        <v>80.05536907403436</v>
      </c>
      <c r="BZ1141" s="302">
        <f t="shared" si="1841"/>
        <v>80.258989039645556</v>
      </c>
      <c r="CA1141" s="302">
        <f t="shared" si="1841"/>
        <v>59.303305091246877</v>
      </c>
      <c r="CB1141" s="302">
        <f t="shared" si="1841"/>
        <v>127.34907455078395</v>
      </c>
      <c r="CC1141" s="302">
        <f t="shared" si="1841"/>
        <v>202.61559797621354</v>
      </c>
      <c r="CD1141" s="302">
        <f t="shared" si="1841"/>
        <v>62.595220320441499</v>
      </c>
      <c r="CE1141" s="302">
        <f t="shared" si="1841"/>
        <v>75.398048042979383</v>
      </c>
      <c r="CF1141" s="302">
        <f t="shared" si="1841"/>
        <v>116.41391544855834</v>
      </c>
      <c r="CG1141" s="302">
        <f t="shared" si="1841"/>
        <v>108.061891988951</v>
      </c>
      <c r="CH1141" s="302">
        <f t="shared" si="1841"/>
        <v>184.53382344332474</v>
      </c>
      <c r="CI1141" s="302">
        <f t="shared" si="1841"/>
        <v>114.23956239609714</v>
      </c>
      <c r="CJ1141" s="302">
        <f t="shared" si="1841"/>
        <v>88.621054460907445</v>
      </c>
      <c r="CK1141" s="302">
        <f t="shared" si="1841"/>
        <v>156.07666278087683</v>
      </c>
      <c r="CL1141" s="302">
        <f t="shared" si="1841"/>
        <v>98.019819600030885</v>
      </c>
      <c r="CM1141" s="302">
        <f t="shared" si="1841"/>
        <v>114.94251640501365</v>
      </c>
      <c r="CN1141" s="302">
        <f t="shared" si="1841"/>
        <v>195.03469061557522</v>
      </c>
      <c r="CO1141" s="302">
        <f t="shared" si="1841"/>
        <v>164.44063315294568</v>
      </c>
      <c r="CP1141" s="302">
        <f t="shared" si="1841"/>
        <v>125.67780354697906</v>
      </c>
      <c r="CQ1141" s="302">
        <f t="shared" si="1841"/>
        <v>129.35975012920775</v>
      </c>
      <c r="CR1141" s="302">
        <f t="shared" si="1841"/>
        <v>122.08768675311194</v>
      </c>
      <c r="CS1141" s="302">
        <f t="shared" si="1841"/>
        <v>153.64729846200487</v>
      </c>
      <c r="CT1141" s="302">
        <f t="shared" si="1841"/>
        <v>138.7763964415644</v>
      </c>
      <c r="CU1141" s="302">
        <f t="shared" si="1841"/>
        <v>122.09486237889624</v>
      </c>
      <c r="CV1141" s="302">
        <f t="shared" si="1841"/>
        <v>122.83016278247229</v>
      </c>
      <c r="CW1141" s="302">
        <f t="shared" ref="CW1141:EB1141" si="1842">CW503</f>
        <v>143.17180662702862</v>
      </c>
      <c r="CX1141" s="302">
        <f t="shared" si="1842"/>
        <v>115.5815087056594</v>
      </c>
      <c r="CY1141" s="302">
        <f t="shared" si="1842"/>
        <v>165.38609906588039</v>
      </c>
      <c r="CZ1141" s="302">
        <f t="shared" si="1842"/>
        <v>196.19077385458357</v>
      </c>
      <c r="DA1141" s="302">
        <f t="shared" si="1842"/>
        <v>158.79279628529045</v>
      </c>
      <c r="DB1141" s="706">
        <f t="shared" si="1842"/>
        <v>106.20265475848933</v>
      </c>
      <c r="DC1141" s="302">
        <f t="shared" si="1842"/>
        <v>125.90392073118774</v>
      </c>
      <c r="DD1141" s="302">
        <f t="shared" si="1842"/>
        <v>137.78028152460263</v>
      </c>
      <c r="DE1141" s="302">
        <f t="shared" si="1842"/>
        <v>140.25951327044987</v>
      </c>
      <c r="DF1141" s="302">
        <f t="shared" si="1842"/>
        <v>181.03113457810599</v>
      </c>
      <c r="DG1141" s="302">
        <f t="shared" si="1842"/>
        <v>133.59107503725619</v>
      </c>
      <c r="DH1141" s="302">
        <f t="shared" si="1842"/>
        <v>124.99797351772597</v>
      </c>
      <c r="DI1141" s="302">
        <f t="shared" si="1842"/>
        <v>200.57786962964295</v>
      </c>
      <c r="DJ1141" s="302">
        <f t="shared" si="1842"/>
        <v>120.35295229431404</v>
      </c>
      <c r="DK1141" s="302">
        <f t="shared" si="1842"/>
        <v>137.93984202643321</v>
      </c>
      <c r="DL1141" s="302">
        <f t="shared" si="1842"/>
        <v>193.9107170616918</v>
      </c>
      <c r="DM1141" s="302">
        <f t="shared" si="1842"/>
        <v>156.46417928102301</v>
      </c>
      <c r="DN1141" s="303">
        <f t="shared" si="1842"/>
        <v>101.83002426994162</v>
      </c>
      <c r="DO1141" s="302">
        <f t="shared" si="1842"/>
        <v>131.46487819369986</v>
      </c>
      <c r="DP1141" s="302">
        <f t="shared" si="1842"/>
        <v>158.15634457587427</v>
      </c>
      <c r="DQ1141" s="302">
        <f t="shared" si="1842"/>
        <v>132.709202966487</v>
      </c>
      <c r="DR1141" s="302">
        <f t="shared" si="1842"/>
        <v>183.79972800606998</v>
      </c>
      <c r="DS1141" s="302">
        <f t="shared" si="1842"/>
        <v>136.22093061931383</v>
      </c>
      <c r="DT1141" s="302">
        <f t="shared" si="1842"/>
        <v>117.4384778483159</v>
      </c>
      <c r="DU1141" s="302">
        <f t="shared" si="1842"/>
        <v>216.95460047101957</v>
      </c>
      <c r="DV1141" s="302">
        <f t="shared" si="1842"/>
        <v>121.4618064237073</v>
      </c>
      <c r="DW1141" s="302">
        <f t="shared" si="1842"/>
        <v>116.25564582039055</v>
      </c>
      <c r="DX1141" s="302">
        <f t="shared" si="1842"/>
        <v>230.83955515590986</v>
      </c>
      <c r="DY1141" s="302">
        <f t="shared" si="1842"/>
        <v>171.53838969519907</v>
      </c>
      <c r="DZ1141" s="303">
        <f t="shared" si="1842"/>
        <v>151.24317908213447</v>
      </c>
      <c r="EA1141" s="302">
        <f t="shared" si="1842"/>
        <v>168.05316746412961</v>
      </c>
      <c r="EB1141" s="302">
        <f t="shared" si="1842"/>
        <v>190.28026169930234</v>
      </c>
      <c r="EC1141" s="302">
        <f t="shared" ref="EC1141:EX1141" si="1843">EC503</f>
        <v>200.74987264138497</v>
      </c>
      <c r="ED1141" s="302">
        <f t="shared" si="1843"/>
        <v>201.97593683856834</v>
      </c>
      <c r="EE1141" s="302">
        <f t="shared" si="1843"/>
        <v>170.27168308078461</v>
      </c>
      <c r="EF1141" s="302">
        <f t="shared" si="1843"/>
        <v>161.04237998171689</v>
      </c>
      <c r="EG1141" s="302">
        <f t="shared" si="1843"/>
        <v>211.65316868545517</v>
      </c>
      <c r="EH1141" s="302">
        <f t="shared" si="1843"/>
        <v>144.19403532654613</v>
      </c>
      <c r="EI1141" s="302">
        <f t="shared" si="1843"/>
        <v>200.39890556280127</v>
      </c>
      <c r="EJ1141" s="302">
        <f t="shared" si="1843"/>
        <v>180.82204485402741</v>
      </c>
      <c r="EK1141" s="302">
        <f t="shared" si="1843"/>
        <v>191.50924666579277</v>
      </c>
      <c r="EL1141" s="303">
        <f t="shared" si="1843"/>
        <v>141.02253382497364</v>
      </c>
      <c r="EM1141" s="302">
        <f t="shared" si="1843"/>
        <v>167.75508204563778</v>
      </c>
      <c r="EN1141" s="302">
        <f t="shared" si="1843"/>
        <v>185.82456451754086</v>
      </c>
      <c r="EO1141" s="302">
        <f t="shared" si="1843"/>
        <v>203.14002864147531</v>
      </c>
      <c r="EP1141" s="302">
        <f t="shared" si="1843"/>
        <v>234.80290297242672</v>
      </c>
      <c r="EQ1141" s="302">
        <f t="shared" si="1843"/>
        <v>201.54039909714893</v>
      </c>
      <c r="ER1141" s="302">
        <f t="shared" si="1843"/>
        <v>231.29813989039039</v>
      </c>
      <c r="ES1141" s="302">
        <f t="shared" si="1843"/>
        <v>201.85594968623349</v>
      </c>
      <c r="ET1141" s="302">
        <f t="shared" si="1843"/>
        <v>182.42216238521141</v>
      </c>
      <c r="EU1141" s="302">
        <f t="shared" si="1843"/>
        <v>256.93009212244777</v>
      </c>
      <c r="EV1141" s="302">
        <f t="shared" si="1843"/>
        <v>282.5670358596937</v>
      </c>
      <c r="EW1141" s="302">
        <f t="shared" si="1843"/>
        <v>246.7077685166656</v>
      </c>
      <c r="EX1141" s="303">
        <f t="shared" si="1843"/>
        <v>216.79376871111833</v>
      </c>
      <c r="EY1141" s="1771">
        <f>+EY1142+EY1149+EY1152</f>
        <v>209.25548368431109</v>
      </c>
      <c r="EZ1141" s="1771">
        <f t="shared" ref="EZ1141:FJ1141" si="1844">+EZ1142+EZ1149+EZ1152</f>
        <v>238.79553792222859</v>
      </c>
      <c r="FA1141" s="1771">
        <f t="shared" si="1844"/>
        <v>241.18818408051561</v>
      </c>
      <c r="FB1141" s="1771">
        <f t="shared" si="1844"/>
        <v>312.83020261030657</v>
      </c>
      <c r="FC1141" s="1771">
        <f t="shared" si="1844"/>
        <v>254.70770774415399</v>
      </c>
      <c r="FD1141" s="1771">
        <f t="shared" si="1844"/>
        <v>250.59261100031927</v>
      </c>
      <c r="FE1141" s="1771">
        <f t="shared" si="1844"/>
        <v>230.87779367421945</v>
      </c>
      <c r="FF1141" s="1771">
        <f t="shared" si="1844"/>
        <v>253.87378064570348</v>
      </c>
      <c r="FG1141" s="1771">
        <f t="shared" si="1844"/>
        <v>245.22604881429191</v>
      </c>
      <c r="FH1141" s="1771">
        <f t="shared" si="1844"/>
        <v>232.12207433915793</v>
      </c>
      <c r="FI1141" s="1771">
        <f t="shared" si="1844"/>
        <v>370.10029672032954</v>
      </c>
      <c r="FJ1141" s="1771">
        <f t="shared" si="1844"/>
        <v>208.3073173908881</v>
      </c>
      <c r="FK1141" s="1771">
        <f>+FK1142+FK1149+FK1152</f>
        <v>397.23272991373472</v>
      </c>
      <c r="FL1141" s="1771">
        <f>+FL1142+FL1149+FL1152</f>
        <v>248.74118937262415</v>
      </c>
      <c r="FM1141" s="1771">
        <f>+FM1142+FM1149+FM1152</f>
        <v>292.60000051397378</v>
      </c>
      <c r="FN1141" s="1771">
        <f>+FN1142+FN1149+FN1152</f>
        <v>218.12403417570252</v>
      </c>
      <c r="FO1141" s="1771">
        <f>+FO1142+FO1149+FO1152</f>
        <v>283.42838489392614</v>
      </c>
      <c r="FP1141" s="1771">
        <f t="shared" ref="FP1141:GC1141" si="1845">+FP1142+FP1149+FP1152</f>
        <v>297.36668471871013</v>
      </c>
      <c r="FQ1141" s="1771">
        <f t="shared" si="1845"/>
        <v>244.04535056068906</v>
      </c>
      <c r="FR1141" s="1771">
        <f t="shared" si="1845"/>
        <v>252.4790197293616</v>
      </c>
      <c r="FS1141" s="1771">
        <f t="shared" si="1845"/>
        <v>288.27962118586811</v>
      </c>
      <c r="FT1141" s="1771">
        <f t="shared" si="1845"/>
        <v>265.27295621908445</v>
      </c>
      <c r="FU1141" s="1771">
        <f t="shared" si="1845"/>
        <v>396.84272248149836</v>
      </c>
      <c r="FV1141" s="1771">
        <f t="shared" si="1845"/>
        <v>226.31678849544107</v>
      </c>
      <c r="FW1141" s="1771">
        <f t="shared" si="1845"/>
        <v>233.13542681128521</v>
      </c>
      <c r="FX1141" s="1771">
        <f t="shared" si="1845"/>
        <v>255.73201777823928</v>
      </c>
      <c r="FY1141" s="1771">
        <f t="shared" si="1845"/>
        <v>421.30063677666089</v>
      </c>
      <c r="FZ1141" s="1771">
        <f t="shared" si="1845"/>
        <v>363.93130268293089</v>
      </c>
      <c r="GA1141" s="1771">
        <f t="shared" si="1845"/>
        <v>301.46170298671109</v>
      </c>
      <c r="GB1141" s="1771">
        <f t="shared" si="1845"/>
        <v>374.94882166225585</v>
      </c>
      <c r="GC1141" s="1771">
        <f t="shared" si="1845"/>
        <v>340.90402893742993</v>
      </c>
      <c r="GD1141" s="1771">
        <f t="shared" ref="GD1141:HL1141" si="1846">+GD1142+GD1149+GD1152</f>
        <v>381.09832936553221</v>
      </c>
      <c r="GE1141" s="1771">
        <f t="shared" si="1846"/>
        <v>354.39571075588299</v>
      </c>
      <c r="GF1141" s="1771">
        <f t="shared" si="1846"/>
        <v>378.68823188948232</v>
      </c>
      <c r="GG1141" s="1771">
        <f t="shared" si="1846"/>
        <v>400.55134683252555</v>
      </c>
      <c r="GH1141" s="1771">
        <f t="shared" si="1846"/>
        <v>411.86235260268154</v>
      </c>
      <c r="GI1141" s="1771">
        <f t="shared" si="1846"/>
        <v>347.22771374715586</v>
      </c>
      <c r="GJ1141" s="1771">
        <f t="shared" si="1846"/>
        <v>424.3389480035874</v>
      </c>
      <c r="GK1141" s="1771">
        <f t="shared" si="1846"/>
        <v>462.96105748434195</v>
      </c>
      <c r="GL1141" s="1771">
        <f t="shared" si="1846"/>
        <v>306.77456261505847</v>
      </c>
      <c r="GM1141" s="1771">
        <f t="shared" si="1846"/>
        <v>306.39009962445346</v>
      </c>
      <c r="GN1141" s="1771">
        <f t="shared" si="1846"/>
        <v>267.87119085327851</v>
      </c>
      <c r="GO1141" s="1771">
        <f t="shared" si="1846"/>
        <v>392.90253617347912</v>
      </c>
      <c r="GP1141" s="1771">
        <f t="shared" si="1846"/>
        <v>304.73336471195034</v>
      </c>
      <c r="GQ1141" s="1771">
        <f t="shared" si="1846"/>
        <v>376.33185980428374</v>
      </c>
      <c r="GR1141" s="1771">
        <f t="shared" si="1846"/>
        <v>506.42397702367458</v>
      </c>
      <c r="GS1141" s="1771">
        <f t="shared" si="1846"/>
        <v>518.36497319524938</v>
      </c>
      <c r="GT1141" s="1771">
        <f t="shared" si="1846"/>
        <v>302.23373060331801</v>
      </c>
      <c r="GU1141" s="1771">
        <f t="shared" si="1846"/>
        <v>246.84728095705142</v>
      </c>
      <c r="GV1141" s="1771">
        <f t="shared" si="1846"/>
        <v>360.0972666968072</v>
      </c>
      <c r="GW1141" s="1771">
        <f t="shared" si="1846"/>
        <v>491.04957474290086</v>
      </c>
      <c r="GX1141" s="1771">
        <f t="shared" si="1846"/>
        <v>294.30543426595113</v>
      </c>
      <c r="GY1141" s="1771">
        <f t="shared" si="1846"/>
        <v>358.46732011758741</v>
      </c>
      <c r="GZ1141" s="1771">
        <f t="shared" si="1846"/>
        <v>489.80652300365909</v>
      </c>
      <c r="HA1141" s="1771">
        <f t="shared" si="1846"/>
        <v>400.94851965785159</v>
      </c>
      <c r="HB1141" s="1771">
        <f t="shared" si="1846"/>
        <v>445.93079587700214</v>
      </c>
      <c r="HC1141" s="1771">
        <f t="shared" si="1846"/>
        <v>495.24370619615081</v>
      </c>
      <c r="HD1141" s="1771">
        <f t="shared" si="1846"/>
        <v>364.79517110260872</v>
      </c>
      <c r="HE1141" s="1771">
        <f t="shared" si="1846"/>
        <v>457.63588137778663</v>
      </c>
      <c r="HF1141" s="1771">
        <f t="shared" si="1846"/>
        <v>634.17832964639206</v>
      </c>
      <c r="HG1141" s="1771">
        <f t="shared" si="1846"/>
        <v>468.68156180957794</v>
      </c>
      <c r="HH1141" s="1771">
        <f t="shared" si="1846"/>
        <v>397.66270017632479</v>
      </c>
      <c r="HI1141" s="1771">
        <f t="shared" si="1846"/>
        <v>513.28238682673862</v>
      </c>
      <c r="HJ1141" s="1771">
        <f t="shared" si="1846"/>
        <v>344.51876852778241</v>
      </c>
      <c r="HK1141" s="1771">
        <f t="shared" si="1846"/>
        <v>409.31512415815308</v>
      </c>
      <c r="HL1141" s="1771">
        <f t="shared" si="1846"/>
        <v>590.15378771190035</v>
      </c>
    </row>
    <row r="1142" spans="4:220" ht="17.25" customHeight="1">
      <c r="D1142" s="1233" t="s">
        <v>3285</v>
      </c>
      <c r="E1142" s="302">
        <f t="shared" ref="E1142:AJ1142" si="1847">E505</f>
        <v>23.049126187904125</v>
      </c>
      <c r="F1142" s="302">
        <f t="shared" si="1847"/>
        <v>27.275290033720001</v>
      </c>
      <c r="G1142" s="302">
        <f t="shared" si="1847"/>
        <v>19.999892517032499</v>
      </c>
      <c r="H1142" s="302">
        <f t="shared" si="1847"/>
        <v>31.891371869128271</v>
      </c>
      <c r="I1142" s="302">
        <f t="shared" si="1847"/>
        <v>20.123406727898001</v>
      </c>
      <c r="J1142" s="302">
        <f t="shared" si="1847"/>
        <v>14.928457022725899</v>
      </c>
      <c r="K1142" s="302">
        <f t="shared" si="1847"/>
        <v>41.172398845326299</v>
      </c>
      <c r="L1142" s="302">
        <f t="shared" si="1847"/>
        <v>28.417058326849602</v>
      </c>
      <c r="M1142" s="302">
        <f t="shared" si="1847"/>
        <v>21.096905660884005</v>
      </c>
      <c r="N1142" s="302">
        <f t="shared" si="1847"/>
        <v>31.08143864274</v>
      </c>
      <c r="O1142" s="302">
        <f t="shared" si="1847"/>
        <v>40.3587728961</v>
      </c>
      <c r="P1142" s="302">
        <f t="shared" si="1847"/>
        <v>13.24238293008</v>
      </c>
      <c r="Q1142" s="302">
        <f t="shared" si="1847"/>
        <v>30.5934780093916</v>
      </c>
      <c r="R1142" s="302">
        <f t="shared" si="1847"/>
        <v>26.812794099342703</v>
      </c>
      <c r="S1142" s="302">
        <f t="shared" si="1847"/>
        <v>25.449283516725</v>
      </c>
      <c r="T1142" s="302">
        <f t="shared" si="1847"/>
        <v>42.512664788264004</v>
      </c>
      <c r="U1142" s="302">
        <f t="shared" si="1847"/>
        <v>27.189123065655501</v>
      </c>
      <c r="V1142" s="302">
        <f t="shared" si="1847"/>
        <v>21.386345392392002</v>
      </c>
      <c r="W1142" s="302">
        <f t="shared" si="1847"/>
        <v>47.767398840349998</v>
      </c>
      <c r="X1142" s="302">
        <f t="shared" si="1847"/>
        <v>30.550656035408004</v>
      </c>
      <c r="Y1142" s="302">
        <f t="shared" si="1847"/>
        <v>23.123316767604802</v>
      </c>
      <c r="Z1142" s="302">
        <f t="shared" si="1847"/>
        <v>55.261770455573398</v>
      </c>
      <c r="AA1142" s="302">
        <f t="shared" si="1847"/>
        <v>23.605660323789401</v>
      </c>
      <c r="AB1142" s="302">
        <f t="shared" si="1847"/>
        <v>14.248494073706999</v>
      </c>
      <c r="AC1142" s="302">
        <f t="shared" si="1847"/>
        <v>39.830018351999996</v>
      </c>
      <c r="AD1142" s="302">
        <f t="shared" si="1847"/>
        <v>26.946588904000002</v>
      </c>
      <c r="AE1142" s="302">
        <f t="shared" si="1847"/>
        <v>42.166690292999995</v>
      </c>
      <c r="AF1142" s="302">
        <f t="shared" si="1847"/>
        <v>46.080097678999998</v>
      </c>
      <c r="AG1142" s="302">
        <f t="shared" si="1847"/>
        <v>27.68391914</v>
      </c>
      <c r="AH1142" s="302">
        <f t="shared" si="1847"/>
        <v>24.199724196000002</v>
      </c>
      <c r="AI1142" s="302">
        <f t="shared" si="1847"/>
        <v>38.809691094999998</v>
      </c>
      <c r="AJ1142" s="302">
        <f t="shared" si="1847"/>
        <v>35.037253449999994</v>
      </c>
      <c r="AK1142" s="302">
        <f t="shared" ref="AK1142:BP1142" si="1848">AK505</f>
        <v>33.525973547</v>
      </c>
      <c r="AL1142" s="302">
        <f t="shared" si="1848"/>
        <v>51.814672684999998</v>
      </c>
      <c r="AM1142" s="302">
        <f t="shared" si="1848"/>
        <v>31.345127525999999</v>
      </c>
      <c r="AN1142" s="302">
        <f t="shared" si="1848"/>
        <v>26.933146282999999</v>
      </c>
      <c r="AO1142" s="302">
        <f t="shared" si="1848"/>
        <v>51.332787429259994</v>
      </c>
      <c r="AP1142" s="302">
        <f t="shared" si="1848"/>
        <v>26.07999909806</v>
      </c>
      <c r="AQ1142" s="302">
        <f t="shared" si="1848"/>
        <v>41.740248412327226</v>
      </c>
      <c r="AR1142" s="302">
        <f t="shared" si="1848"/>
        <v>43.27045286912</v>
      </c>
      <c r="AS1142" s="302">
        <f t="shared" si="1848"/>
        <v>48.382281150347993</v>
      </c>
      <c r="AT1142" s="302">
        <f t="shared" si="1848"/>
        <v>31.764888093065601</v>
      </c>
      <c r="AU1142" s="302">
        <f t="shared" si="1848"/>
        <v>34.288099717240001</v>
      </c>
      <c r="AV1142" s="302">
        <f t="shared" si="1848"/>
        <v>50.097461062880001</v>
      </c>
      <c r="AW1142" s="302">
        <f t="shared" si="1848"/>
        <v>40.327094347550002</v>
      </c>
      <c r="AX1142" s="302">
        <f t="shared" si="1848"/>
        <v>52.639374650080001</v>
      </c>
      <c r="AY1142" s="302">
        <f t="shared" si="1848"/>
        <v>43.554295972900796</v>
      </c>
      <c r="AZ1142" s="302">
        <f t="shared" si="1848"/>
        <v>37.488739377367494</v>
      </c>
      <c r="BA1142" s="302">
        <f t="shared" si="1848"/>
        <v>56.695010128</v>
      </c>
      <c r="BB1142" s="302">
        <f t="shared" si="1848"/>
        <v>32.663080004000001</v>
      </c>
      <c r="BC1142" s="302">
        <f t="shared" si="1848"/>
        <v>32.521742717999999</v>
      </c>
      <c r="BD1142" s="302">
        <f t="shared" si="1848"/>
        <v>61.918554928000006</v>
      </c>
      <c r="BE1142" s="302">
        <f t="shared" si="1848"/>
        <v>61.159198818</v>
      </c>
      <c r="BF1142" s="302">
        <f t="shared" si="1848"/>
        <v>25.041280118</v>
      </c>
      <c r="BG1142" s="302">
        <f t="shared" si="1848"/>
        <v>41.716657434999995</v>
      </c>
      <c r="BH1142" s="302">
        <f t="shared" si="1848"/>
        <v>63.464046401000004</v>
      </c>
      <c r="BI1142" s="302">
        <f t="shared" si="1848"/>
        <v>38.801061231999995</v>
      </c>
      <c r="BJ1142" s="302">
        <f t="shared" si="1848"/>
        <v>68.23604685382</v>
      </c>
      <c r="BK1142" s="302">
        <f t="shared" si="1848"/>
        <v>47.743873942000008</v>
      </c>
      <c r="BL1142" s="302">
        <f t="shared" si="1848"/>
        <v>38.517362037000005</v>
      </c>
      <c r="BM1142" s="302">
        <f t="shared" si="1848"/>
        <v>62.76197392489</v>
      </c>
      <c r="BN1142" s="302">
        <f t="shared" si="1848"/>
        <v>44.670436133479996</v>
      </c>
      <c r="BO1142" s="302">
        <f t="shared" si="1848"/>
        <v>43.792253893999998</v>
      </c>
      <c r="BP1142" s="302">
        <f t="shared" si="1848"/>
        <v>75.347840000000005</v>
      </c>
      <c r="BQ1142" s="302">
        <f t="shared" ref="BQ1142:CV1142" si="1849">BQ505</f>
        <v>62.355729423849994</v>
      </c>
      <c r="BR1142" s="302">
        <f t="shared" si="1849"/>
        <v>27.30003376258</v>
      </c>
      <c r="BS1142" s="302">
        <f t="shared" si="1849"/>
        <v>60.656699999999994</v>
      </c>
      <c r="BT1142" s="302">
        <f t="shared" si="1849"/>
        <v>53.924499999999995</v>
      </c>
      <c r="BU1142" s="302">
        <f t="shared" si="1849"/>
        <v>38.252100000000006</v>
      </c>
      <c r="BV1142" s="302">
        <f t="shared" si="1849"/>
        <v>79.040957728000009</v>
      </c>
      <c r="BW1142" s="302">
        <f t="shared" si="1849"/>
        <v>50.433012564999999</v>
      </c>
      <c r="BX1142" s="302">
        <f t="shared" si="1849"/>
        <v>37.282628350000003</v>
      </c>
      <c r="BY1142" s="302">
        <f t="shared" si="1849"/>
        <v>59.44014836103436</v>
      </c>
      <c r="BZ1142" s="302">
        <f t="shared" si="1849"/>
        <v>60.16820487764555</v>
      </c>
      <c r="CA1142" s="302">
        <f t="shared" si="1849"/>
        <v>43.445561018246877</v>
      </c>
      <c r="CB1142" s="302">
        <f t="shared" si="1849"/>
        <v>79.086111894783954</v>
      </c>
      <c r="CC1142" s="302">
        <f t="shared" si="1849"/>
        <v>63.566453566213539</v>
      </c>
      <c r="CD1142" s="302">
        <f t="shared" si="1849"/>
        <v>33.973535486441499</v>
      </c>
      <c r="CE1142" s="302">
        <f t="shared" si="1849"/>
        <v>65.89267279420767</v>
      </c>
      <c r="CF1142" s="302">
        <f t="shared" si="1849"/>
        <v>57.698124104824529</v>
      </c>
      <c r="CG1142" s="302">
        <f t="shared" si="1849"/>
        <v>49.971496275656513</v>
      </c>
      <c r="CH1142" s="302">
        <f t="shared" si="1849"/>
        <v>98.422676236375139</v>
      </c>
      <c r="CI1142" s="302">
        <f t="shared" si="1849"/>
        <v>49.352782366961684</v>
      </c>
      <c r="CJ1142" s="302">
        <f t="shared" si="1849"/>
        <v>43.202628906906497</v>
      </c>
      <c r="CK1142" s="302">
        <f t="shared" si="1849"/>
        <v>89.589499932908524</v>
      </c>
      <c r="CL1142" s="302">
        <f t="shared" si="1849"/>
        <v>55.132372310596182</v>
      </c>
      <c r="CM1142" s="302">
        <f t="shared" si="1849"/>
        <v>49.958458260097075</v>
      </c>
      <c r="CN1142" s="302">
        <f t="shared" si="1849"/>
        <v>105.69323725464999</v>
      </c>
      <c r="CO1142" s="302">
        <f t="shared" si="1849"/>
        <v>72.35638998306149</v>
      </c>
      <c r="CP1142" s="302">
        <f t="shared" si="1849"/>
        <v>42.576317655317467</v>
      </c>
      <c r="CQ1142" s="302">
        <f t="shared" si="1849"/>
        <v>84.6445758897041</v>
      </c>
      <c r="CR1142" s="302">
        <f t="shared" si="1849"/>
        <v>60.559389158457925</v>
      </c>
      <c r="CS1142" s="302">
        <f t="shared" si="1849"/>
        <v>68.815025306874986</v>
      </c>
      <c r="CT1142" s="302">
        <f t="shared" si="1849"/>
        <v>86.102977654121617</v>
      </c>
      <c r="CU1142" s="302">
        <f t="shared" si="1849"/>
        <v>61.145606517232892</v>
      </c>
      <c r="CV1142" s="302">
        <f t="shared" si="1849"/>
        <v>65.339231641405675</v>
      </c>
      <c r="CW1142" s="302">
        <f t="shared" ref="CW1142:EB1142" si="1850">CW505</f>
        <v>79.098195164108489</v>
      </c>
      <c r="CX1142" s="302">
        <f t="shared" si="1850"/>
        <v>58.352478099715235</v>
      </c>
      <c r="CY1142" s="302">
        <f t="shared" si="1850"/>
        <v>86.142963752456694</v>
      </c>
      <c r="CZ1142" s="302">
        <f t="shared" si="1850"/>
        <v>100.77455196925499</v>
      </c>
      <c r="DA1142" s="302">
        <f t="shared" si="1850"/>
        <v>78.566557604053159</v>
      </c>
      <c r="DB1142" s="706">
        <f t="shared" si="1850"/>
        <v>36.16869034069822</v>
      </c>
      <c r="DC1142" s="302">
        <f t="shared" si="1850"/>
        <v>90.299541103874702</v>
      </c>
      <c r="DD1142" s="302">
        <f t="shared" si="1850"/>
        <v>70.901540649245547</v>
      </c>
      <c r="DE1142" s="302">
        <f t="shared" si="1850"/>
        <v>63.539698355399999</v>
      </c>
      <c r="DF1142" s="302">
        <f t="shared" si="1850"/>
        <v>118.66696784858111</v>
      </c>
      <c r="DG1142" s="302">
        <f t="shared" si="1850"/>
        <v>66.753478653000002</v>
      </c>
      <c r="DH1142" s="302">
        <f t="shared" si="1850"/>
        <v>68.00374049700001</v>
      </c>
      <c r="DI1142" s="302">
        <f t="shared" si="1850"/>
        <v>106.18571900198846</v>
      </c>
      <c r="DJ1142" s="302">
        <f t="shared" si="1850"/>
        <v>54.857941337869406</v>
      </c>
      <c r="DK1142" s="302">
        <f t="shared" si="1850"/>
        <v>81.728672669081334</v>
      </c>
      <c r="DL1142" s="302">
        <f t="shared" si="1850"/>
        <v>109.20853714678179</v>
      </c>
      <c r="DM1142" s="302">
        <f t="shared" si="1850"/>
        <v>64.938635477458448</v>
      </c>
      <c r="DN1142" s="303">
        <f t="shared" si="1850"/>
        <v>52.447596811461146</v>
      </c>
      <c r="DO1142" s="302">
        <f t="shared" si="1850"/>
        <v>94.189350121126623</v>
      </c>
      <c r="DP1142" s="302">
        <f t="shared" si="1850"/>
        <v>109.63174863150537</v>
      </c>
      <c r="DQ1142" s="302">
        <f t="shared" si="1850"/>
        <v>66.574285182477595</v>
      </c>
      <c r="DR1142" s="302">
        <f t="shared" si="1850"/>
        <v>126.42570926667855</v>
      </c>
      <c r="DS1142" s="302">
        <f t="shared" si="1850"/>
        <v>77.289427144100856</v>
      </c>
      <c r="DT1142" s="302">
        <f t="shared" si="1850"/>
        <v>76.312393625084894</v>
      </c>
      <c r="DU1142" s="302">
        <f t="shared" si="1850"/>
        <v>117.72280777697755</v>
      </c>
      <c r="DV1142" s="302">
        <f t="shared" si="1850"/>
        <v>74.308076798532298</v>
      </c>
      <c r="DW1142" s="302">
        <f t="shared" si="1850"/>
        <v>65.447324410023555</v>
      </c>
      <c r="DX1142" s="302">
        <f t="shared" si="1850"/>
        <v>134.19765430378447</v>
      </c>
      <c r="DY1142" s="302">
        <f t="shared" si="1850"/>
        <v>88.376194413126086</v>
      </c>
      <c r="DZ1142" s="303">
        <f t="shared" si="1850"/>
        <v>104.55258663266946</v>
      </c>
      <c r="EA1142" s="302">
        <f t="shared" si="1850"/>
        <v>128.50705953561484</v>
      </c>
      <c r="EB1142" s="302">
        <f t="shared" si="1850"/>
        <v>93.31134000410762</v>
      </c>
      <c r="EC1142" s="302">
        <f t="shared" ref="EC1142:EX1142" si="1851">EC505</f>
        <v>105.63918444513648</v>
      </c>
      <c r="ED1142" s="302">
        <f t="shared" si="1851"/>
        <v>125.88552663144944</v>
      </c>
      <c r="EE1142" s="302">
        <f t="shared" si="1851"/>
        <v>94.30247158778829</v>
      </c>
      <c r="EF1142" s="302">
        <f t="shared" si="1851"/>
        <v>87.742178803600126</v>
      </c>
      <c r="EG1142" s="302">
        <f t="shared" si="1851"/>
        <v>89.742119457839593</v>
      </c>
      <c r="EH1142" s="302">
        <f t="shared" si="1851"/>
        <v>84.076770888538576</v>
      </c>
      <c r="EI1142" s="302">
        <f t="shared" si="1851"/>
        <v>110.26350992984338</v>
      </c>
      <c r="EJ1142" s="302">
        <f t="shared" si="1851"/>
        <v>105.77374617110647</v>
      </c>
      <c r="EK1142" s="302">
        <f t="shared" si="1851"/>
        <v>110.48133591043576</v>
      </c>
      <c r="EL1142" s="303">
        <f t="shared" si="1851"/>
        <v>63.985476649862626</v>
      </c>
      <c r="EM1142" s="302">
        <f t="shared" si="1851"/>
        <v>95.377083666542944</v>
      </c>
      <c r="EN1142" s="302">
        <f t="shared" si="1851"/>
        <v>118.41943667618474</v>
      </c>
      <c r="EO1142" s="302">
        <f t="shared" si="1851"/>
        <v>97.657939000260299</v>
      </c>
      <c r="EP1142" s="302">
        <f t="shared" si="1851"/>
        <v>140.67169559236007</v>
      </c>
      <c r="EQ1142" s="302">
        <f t="shared" si="1851"/>
        <v>114.20902141866392</v>
      </c>
      <c r="ER1142" s="302">
        <f t="shared" si="1851"/>
        <v>107.69590807075841</v>
      </c>
      <c r="ES1142" s="302">
        <f t="shared" si="1851"/>
        <v>89.455681673513922</v>
      </c>
      <c r="ET1142" s="302">
        <f t="shared" si="1851"/>
        <v>83.963914865321243</v>
      </c>
      <c r="EU1142" s="302">
        <f t="shared" si="1851"/>
        <v>142.20660928461487</v>
      </c>
      <c r="EV1142" s="302">
        <f t="shared" si="1851"/>
        <v>146.35231885812709</v>
      </c>
      <c r="EW1142" s="302">
        <f t="shared" si="1851"/>
        <v>116.38640748158832</v>
      </c>
      <c r="EX1142" s="303">
        <f t="shared" si="1851"/>
        <v>91.209074666272826</v>
      </c>
      <c r="EY1142" s="681">
        <f>+SUM(EY1143:EY1148)</f>
        <v>135.54473385247792</v>
      </c>
      <c r="EZ1142" s="681">
        <f t="shared" ref="EZ1142:FJ1142" si="1852">+SUM(EZ1143:EZ1148)</f>
        <v>150.91730850391741</v>
      </c>
      <c r="FA1142" s="681">
        <f t="shared" si="1852"/>
        <v>150.34048970330511</v>
      </c>
      <c r="FB1142" s="681">
        <f t="shared" si="1852"/>
        <v>152.86264558400836</v>
      </c>
      <c r="FC1142" s="681">
        <f t="shared" si="1852"/>
        <v>167.4926629546834</v>
      </c>
      <c r="FD1142" s="681">
        <f t="shared" si="1852"/>
        <v>153.30630701289576</v>
      </c>
      <c r="FE1142" s="681">
        <f t="shared" si="1852"/>
        <v>141.90985569054115</v>
      </c>
      <c r="FF1142" s="681">
        <f t="shared" si="1852"/>
        <v>166.06225588561682</v>
      </c>
      <c r="FG1142" s="681">
        <f t="shared" si="1852"/>
        <v>169.20589458029303</v>
      </c>
      <c r="FH1142" s="681">
        <f t="shared" si="1852"/>
        <v>147.73294296268551</v>
      </c>
      <c r="FI1142" s="681">
        <f t="shared" si="1852"/>
        <v>252.83473571944506</v>
      </c>
      <c r="FJ1142" s="681">
        <f t="shared" si="1852"/>
        <v>112.92171774518995</v>
      </c>
      <c r="FK1142" s="681">
        <f>+SUM(FK1143:FK1148)</f>
        <v>157.75240355921738</v>
      </c>
      <c r="FL1142" s="681">
        <f>+SUM(FL1143:FL1148)</f>
        <v>137.53050191946053</v>
      </c>
      <c r="FM1142" s="681">
        <f>+SUM(FM1143:FM1148)</f>
        <v>157.37043582736891</v>
      </c>
      <c r="FN1142" s="681">
        <f>+SUM(FN1143:FN1148)</f>
        <v>126.09980621064334</v>
      </c>
      <c r="FO1142" s="681">
        <f>+SUM(FO1143:FO1148)</f>
        <v>179.79733600324207</v>
      </c>
      <c r="FP1142" s="681">
        <f t="shared" ref="FP1142:GC1142" si="1853">+SUM(FP1143:FP1148)</f>
        <v>140.39801505689357</v>
      </c>
      <c r="FQ1142" s="681">
        <f t="shared" si="1853"/>
        <v>103.17825960793735</v>
      </c>
      <c r="FR1142" s="681">
        <f t="shared" si="1853"/>
        <v>143.79339384842092</v>
      </c>
      <c r="FS1142" s="681">
        <f t="shared" si="1853"/>
        <v>173.32092754948144</v>
      </c>
      <c r="FT1142" s="681">
        <f t="shared" si="1853"/>
        <v>153.52009806761802</v>
      </c>
      <c r="FU1142" s="681">
        <f t="shared" si="1853"/>
        <v>268.87385114420397</v>
      </c>
      <c r="FV1142" s="681">
        <f t="shared" si="1853"/>
        <v>110.37851248181765</v>
      </c>
      <c r="FW1142" s="681">
        <f t="shared" si="1853"/>
        <v>133.52336960783578</v>
      </c>
      <c r="FX1142" s="681">
        <f t="shared" si="1853"/>
        <v>169.18651884646383</v>
      </c>
      <c r="FY1142" s="681">
        <f t="shared" si="1853"/>
        <v>274.21532399699345</v>
      </c>
      <c r="FZ1142" s="681">
        <f t="shared" si="1853"/>
        <v>164.70930192836784</v>
      </c>
      <c r="GA1142" s="681">
        <f t="shared" si="1853"/>
        <v>168.90411834914801</v>
      </c>
      <c r="GB1142" s="681">
        <f t="shared" si="1853"/>
        <v>150.73388839669275</v>
      </c>
      <c r="GC1142" s="681">
        <f t="shared" si="1853"/>
        <v>184.17640209156704</v>
      </c>
      <c r="GD1142" s="681">
        <f t="shared" ref="GD1142:HL1142" si="1854">+SUM(GD1143:GD1148)</f>
        <v>236.49678974170246</v>
      </c>
      <c r="GE1142" s="681">
        <f t="shared" si="1854"/>
        <v>201.34423077415104</v>
      </c>
      <c r="GF1142" s="681">
        <f t="shared" si="1854"/>
        <v>220.4518471146034</v>
      </c>
      <c r="GG1142" s="681">
        <f t="shared" si="1854"/>
        <v>251.14088779530667</v>
      </c>
      <c r="GH1142" s="681">
        <f t="shared" si="1854"/>
        <v>170.69527761045563</v>
      </c>
      <c r="GI1142" s="681">
        <f t="shared" si="1854"/>
        <v>237.60604713024301</v>
      </c>
      <c r="GJ1142" s="681">
        <f t="shared" si="1854"/>
        <v>267.32260043740104</v>
      </c>
      <c r="GK1142" s="681">
        <f t="shared" si="1854"/>
        <v>217.70995649364818</v>
      </c>
      <c r="GL1142" s="681">
        <f t="shared" si="1854"/>
        <v>190.97085596622611</v>
      </c>
      <c r="GM1142" s="681">
        <f t="shared" si="1854"/>
        <v>201.1868730134554</v>
      </c>
      <c r="GN1142" s="681">
        <f t="shared" si="1854"/>
        <v>139.05863346802752</v>
      </c>
      <c r="GO1142" s="681">
        <f t="shared" si="1854"/>
        <v>205.05947580897342</v>
      </c>
      <c r="GP1142" s="681">
        <f t="shared" si="1854"/>
        <v>192.60523196456603</v>
      </c>
      <c r="GQ1142" s="681">
        <f t="shared" si="1854"/>
        <v>184.57717445045492</v>
      </c>
      <c r="GR1142" s="681">
        <f t="shared" si="1854"/>
        <v>256.97335535050195</v>
      </c>
      <c r="GS1142" s="681">
        <f t="shared" si="1854"/>
        <v>364.86115509489792</v>
      </c>
      <c r="GT1142" s="681">
        <f t="shared" si="1854"/>
        <v>162.75736538793811</v>
      </c>
      <c r="GU1142" s="681">
        <f t="shared" si="1854"/>
        <v>160.94545721182041</v>
      </c>
      <c r="GV1142" s="681">
        <f t="shared" si="1854"/>
        <v>240.05280826320021</v>
      </c>
      <c r="GW1142" s="681">
        <f t="shared" si="1854"/>
        <v>253.20375232729748</v>
      </c>
      <c r="GX1142" s="681">
        <f t="shared" si="1854"/>
        <v>203.43764552794912</v>
      </c>
      <c r="GY1142" s="681">
        <f t="shared" si="1854"/>
        <v>237.04916370825441</v>
      </c>
      <c r="GZ1142" s="681">
        <f t="shared" si="1854"/>
        <v>212.85588555515065</v>
      </c>
      <c r="HA1142" s="681">
        <f t="shared" si="1854"/>
        <v>239.16543991658963</v>
      </c>
      <c r="HB1142" s="681">
        <f t="shared" si="1854"/>
        <v>286.78923226645117</v>
      </c>
      <c r="HC1142" s="681">
        <f t="shared" si="1854"/>
        <v>186.34661241611843</v>
      </c>
      <c r="HD1142" s="681">
        <f t="shared" si="1854"/>
        <v>233.10675248027474</v>
      </c>
      <c r="HE1142" s="681">
        <f t="shared" si="1854"/>
        <v>340.09871413852062</v>
      </c>
      <c r="HF1142" s="681">
        <f t="shared" si="1854"/>
        <v>331.93334950736084</v>
      </c>
      <c r="HG1142" s="681">
        <f t="shared" si="1854"/>
        <v>297.24419905679099</v>
      </c>
      <c r="HH1142" s="681">
        <f t="shared" si="1854"/>
        <v>275.66094880034274</v>
      </c>
      <c r="HI1142" s="681">
        <f t="shared" si="1854"/>
        <v>243.6708339262203</v>
      </c>
      <c r="HJ1142" s="681">
        <f t="shared" si="1854"/>
        <v>259.21828540235543</v>
      </c>
      <c r="HK1142" s="681">
        <f t="shared" si="1854"/>
        <v>293.68639203571104</v>
      </c>
      <c r="HL1142" s="681">
        <f t="shared" si="1854"/>
        <v>230.94737942486597</v>
      </c>
    </row>
    <row r="1143" spans="4:220" ht="17.25" customHeight="1">
      <c r="D1143" s="1235" t="s">
        <v>3336</v>
      </c>
      <c r="E1143" s="302">
        <f t="shared" ref="E1143:AJ1143" si="1855">E506</f>
        <v>6.2484899999999994</v>
      </c>
      <c r="F1143" s="302">
        <f t="shared" si="1855"/>
        <v>5.72309</v>
      </c>
      <c r="G1143" s="302">
        <f t="shared" si="1855"/>
        <v>6.6961300000000001</v>
      </c>
      <c r="H1143" s="302">
        <f t="shared" si="1855"/>
        <v>6.07179</v>
      </c>
      <c r="I1143" s="302">
        <f t="shared" si="1855"/>
        <v>6.3827499999999997</v>
      </c>
      <c r="J1143" s="302">
        <f t="shared" si="1855"/>
        <v>6.0388599999999997</v>
      </c>
      <c r="K1143" s="302">
        <f t="shared" si="1855"/>
        <v>6.8839899999999998</v>
      </c>
      <c r="L1143" s="302">
        <f t="shared" si="1855"/>
        <v>5.3283999999999994</v>
      </c>
      <c r="M1143" s="302">
        <f t="shared" si="1855"/>
        <v>5.7440800000000003</v>
      </c>
      <c r="N1143" s="302">
        <f t="shared" si="1855"/>
        <v>6.1915500000000003</v>
      </c>
      <c r="O1143" s="302">
        <f t="shared" si="1855"/>
        <v>5.8365200000000002</v>
      </c>
      <c r="P1143" s="302">
        <f t="shared" si="1855"/>
        <v>6.2152700000000003</v>
      </c>
      <c r="Q1143" s="302">
        <f t="shared" si="1855"/>
        <v>6.89907</v>
      </c>
      <c r="R1143" s="302">
        <f t="shared" si="1855"/>
        <v>6.1118800000000011</v>
      </c>
      <c r="S1143" s="302">
        <f t="shared" si="1855"/>
        <v>6.6240300000000003</v>
      </c>
      <c r="T1143" s="302">
        <f t="shared" si="1855"/>
        <v>7.1555400000000011</v>
      </c>
      <c r="U1143" s="302">
        <f t="shared" si="1855"/>
        <v>6.5731899999999985</v>
      </c>
      <c r="V1143" s="302">
        <f t="shared" si="1855"/>
        <v>6.7067399999999999</v>
      </c>
      <c r="W1143" s="302">
        <f t="shared" si="1855"/>
        <v>8.3597400000000004</v>
      </c>
      <c r="X1143" s="302">
        <f t="shared" si="1855"/>
        <v>6.8121499999999999</v>
      </c>
      <c r="Y1143" s="302">
        <f t="shared" si="1855"/>
        <v>7.1522299999999994</v>
      </c>
      <c r="Z1143" s="302">
        <f t="shared" si="1855"/>
        <v>9.0993300000000001</v>
      </c>
      <c r="AA1143" s="302">
        <f t="shared" si="1855"/>
        <v>6.3681800000000006</v>
      </c>
      <c r="AB1143" s="302">
        <f t="shared" si="1855"/>
        <v>6.3164899999999999</v>
      </c>
      <c r="AC1143" s="302">
        <f t="shared" si="1855"/>
        <v>9.4264700000000001</v>
      </c>
      <c r="AD1143" s="302">
        <f t="shared" si="1855"/>
        <v>6.1405799999999999</v>
      </c>
      <c r="AE1143" s="302">
        <f t="shared" si="1855"/>
        <v>7.35107</v>
      </c>
      <c r="AF1143" s="302">
        <f t="shared" si="1855"/>
        <v>9.9298899999999986</v>
      </c>
      <c r="AG1143" s="302">
        <f t="shared" si="1855"/>
        <v>6.8457400000000002</v>
      </c>
      <c r="AH1143" s="302">
        <f t="shared" si="1855"/>
        <v>7.0570699999999995</v>
      </c>
      <c r="AI1143" s="302">
        <f t="shared" si="1855"/>
        <v>10.289020000000001</v>
      </c>
      <c r="AJ1143" s="302">
        <f t="shared" si="1855"/>
        <v>7.6297700000000006</v>
      </c>
      <c r="AK1143" s="302">
        <f t="shared" ref="AK1143:BP1143" si="1856">AK506</f>
        <v>7.1329599999999989</v>
      </c>
      <c r="AL1143" s="302">
        <f t="shared" si="1856"/>
        <v>11.07531</v>
      </c>
      <c r="AM1143" s="302">
        <f t="shared" si="1856"/>
        <v>7.2418999999999993</v>
      </c>
      <c r="AN1143" s="302">
        <f t="shared" si="1856"/>
        <v>7.2824999999999998</v>
      </c>
      <c r="AO1143" s="302">
        <f t="shared" si="1856"/>
        <v>10.797610000000001</v>
      </c>
      <c r="AP1143" s="302">
        <f t="shared" si="1856"/>
        <v>5.5590600000000006</v>
      </c>
      <c r="AQ1143" s="302">
        <f t="shared" si="1856"/>
        <v>10.201690000000001</v>
      </c>
      <c r="AR1143" s="302">
        <f t="shared" si="1856"/>
        <v>11.001030000000002</v>
      </c>
      <c r="AS1143" s="302">
        <f t="shared" si="1856"/>
        <v>8.2224000000000004</v>
      </c>
      <c r="AT1143" s="302">
        <f t="shared" si="1856"/>
        <v>10.4077</v>
      </c>
      <c r="AU1143" s="302">
        <f t="shared" si="1856"/>
        <v>10.117940000000001</v>
      </c>
      <c r="AV1143" s="302">
        <f t="shared" si="1856"/>
        <v>9.8346</v>
      </c>
      <c r="AW1143" s="302">
        <f t="shared" si="1856"/>
        <v>8.91662</v>
      </c>
      <c r="AX1143" s="302">
        <f t="shared" si="1856"/>
        <v>12.67665</v>
      </c>
      <c r="AY1143" s="302">
        <f t="shared" si="1856"/>
        <v>9.3612900000000003</v>
      </c>
      <c r="AZ1143" s="302">
        <f t="shared" si="1856"/>
        <v>9.277709999999999</v>
      </c>
      <c r="BA1143" s="302">
        <f t="shared" si="1856"/>
        <v>12.66601</v>
      </c>
      <c r="BB1143" s="302">
        <f t="shared" si="1856"/>
        <v>6.5997700000000004</v>
      </c>
      <c r="BC1143" s="302">
        <f t="shared" si="1856"/>
        <v>9.9224599999999992</v>
      </c>
      <c r="BD1143" s="302">
        <f t="shared" si="1856"/>
        <v>14.683309999999999</v>
      </c>
      <c r="BE1143" s="302">
        <f t="shared" si="1856"/>
        <v>10.44257</v>
      </c>
      <c r="BF1143" s="302">
        <f t="shared" si="1856"/>
        <v>7.3478699999999995</v>
      </c>
      <c r="BG1143" s="302">
        <f t="shared" si="1856"/>
        <v>12.509899999999998</v>
      </c>
      <c r="BH1143" s="302">
        <f t="shared" si="1856"/>
        <v>11.53684</v>
      </c>
      <c r="BI1143" s="302">
        <f t="shared" si="1856"/>
        <v>9.9591900000000013</v>
      </c>
      <c r="BJ1143" s="302">
        <f t="shared" si="1856"/>
        <v>15.622459999999998</v>
      </c>
      <c r="BK1143" s="302">
        <f t="shared" si="1856"/>
        <v>9.7316900000000004</v>
      </c>
      <c r="BL1143" s="302">
        <f t="shared" si="1856"/>
        <v>9.3626900000000006</v>
      </c>
      <c r="BM1143" s="302">
        <f t="shared" si="1856"/>
        <v>14.39517</v>
      </c>
      <c r="BN1143" s="302">
        <f t="shared" si="1856"/>
        <v>7.7335000000000003</v>
      </c>
      <c r="BO1143" s="302">
        <f t="shared" si="1856"/>
        <v>10.747590000000001</v>
      </c>
      <c r="BP1143" s="302">
        <f t="shared" si="1856"/>
        <v>18.464380000000002</v>
      </c>
      <c r="BQ1143" s="302">
        <f t="shared" ref="BQ1143:CV1143" si="1857">BQ506</f>
        <v>13.489240000000001</v>
      </c>
      <c r="BR1143" s="302">
        <f t="shared" si="1857"/>
        <v>11.13809</v>
      </c>
      <c r="BS1143" s="302">
        <f t="shared" si="1857"/>
        <v>13.257299999999999</v>
      </c>
      <c r="BT1143" s="302">
        <f t="shared" si="1857"/>
        <v>15.1424</v>
      </c>
      <c r="BU1143" s="302">
        <f t="shared" si="1857"/>
        <v>10.477799999999998</v>
      </c>
      <c r="BV1143" s="302">
        <f t="shared" si="1857"/>
        <v>19.144608862999998</v>
      </c>
      <c r="BW1143" s="302">
        <f t="shared" si="1857"/>
        <v>12.38366167</v>
      </c>
      <c r="BX1143" s="302">
        <f t="shared" si="1857"/>
        <v>12.345760840000001</v>
      </c>
      <c r="BY1143" s="302">
        <f t="shared" si="1857"/>
        <v>12.281595282</v>
      </c>
      <c r="BZ1143" s="302">
        <f t="shared" si="1857"/>
        <v>14.947415005</v>
      </c>
      <c r="CA1143" s="302">
        <f t="shared" si="1857"/>
        <v>14.463020575</v>
      </c>
      <c r="CB1143" s="302">
        <f t="shared" si="1857"/>
        <v>17.263546629</v>
      </c>
      <c r="CC1143" s="302">
        <f t="shared" si="1857"/>
        <v>14.468678076</v>
      </c>
      <c r="CD1143" s="302">
        <f t="shared" si="1857"/>
        <v>12.723720517</v>
      </c>
      <c r="CE1143" s="302">
        <f t="shared" si="1857"/>
        <v>16.994601701000001</v>
      </c>
      <c r="CF1143" s="302">
        <f t="shared" si="1857"/>
        <v>15.296408276999999</v>
      </c>
      <c r="CG1143" s="302">
        <f t="shared" si="1857"/>
        <v>12.785106967999999</v>
      </c>
      <c r="CH1143" s="302">
        <f t="shared" si="1857"/>
        <v>21.522832184999999</v>
      </c>
      <c r="CI1143" s="302">
        <f t="shared" si="1857"/>
        <v>13.74655516</v>
      </c>
      <c r="CJ1143" s="302">
        <f t="shared" si="1857"/>
        <v>12.527354783</v>
      </c>
      <c r="CK1143" s="302">
        <f t="shared" si="1857"/>
        <v>17.305775839999999</v>
      </c>
      <c r="CL1143" s="302">
        <f t="shared" si="1857"/>
        <v>15.261176783</v>
      </c>
      <c r="CM1143" s="302">
        <f t="shared" si="1857"/>
        <v>14.226565817999999</v>
      </c>
      <c r="CN1143" s="302">
        <f t="shared" si="1857"/>
        <v>20.575106379000001</v>
      </c>
      <c r="CO1143" s="302">
        <f t="shared" si="1857"/>
        <v>14.207658584000001</v>
      </c>
      <c r="CP1143" s="302">
        <f t="shared" si="1857"/>
        <v>13.422926986</v>
      </c>
      <c r="CQ1143" s="302">
        <f t="shared" si="1857"/>
        <v>24.384377145999999</v>
      </c>
      <c r="CR1143" s="302">
        <f t="shared" si="1857"/>
        <v>14.475676630000001</v>
      </c>
      <c r="CS1143" s="302">
        <f t="shared" si="1857"/>
        <v>13.475882387</v>
      </c>
      <c r="CT1143" s="302">
        <f t="shared" si="1857"/>
        <v>21.792291245000001</v>
      </c>
      <c r="CU1143" s="302">
        <f t="shared" si="1857"/>
        <v>14.063459443999999</v>
      </c>
      <c r="CV1143" s="302">
        <f t="shared" si="1857"/>
        <v>13.595746498</v>
      </c>
      <c r="CW1143" s="302">
        <f t="shared" ref="CW1143:EB1143" si="1858">CW506</f>
        <v>22.064813458</v>
      </c>
      <c r="CX1143" s="302">
        <f t="shared" si="1858"/>
        <v>11.475777178</v>
      </c>
      <c r="CY1143" s="302">
        <f t="shared" si="1858"/>
        <v>18.702557545000001</v>
      </c>
      <c r="CZ1143" s="302">
        <f t="shared" si="1858"/>
        <v>20.166489068000001</v>
      </c>
      <c r="DA1143" s="302">
        <f t="shared" si="1858"/>
        <v>15.465617441999999</v>
      </c>
      <c r="DB1143" s="706">
        <f t="shared" si="1858"/>
        <v>14.104508206</v>
      </c>
      <c r="DC1143" s="302">
        <f t="shared" si="1858"/>
        <v>25.760848382999999</v>
      </c>
      <c r="DD1143" s="302">
        <f t="shared" si="1858"/>
        <v>16.630622875</v>
      </c>
      <c r="DE1143" s="302">
        <f t="shared" si="1858"/>
        <v>15.729075969</v>
      </c>
      <c r="DF1143" s="302">
        <f t="shared" si="1858"/>
        <v>25.341055635</v>
      </c>
      <c r="DG1143" s="302">
        <f t="shared" si="1858"/>
        <v>15.952211698999999</v>
      </c>
      <c r="DH1143" s="302">
        <f t="shared" si="1858"/>
        <v>15.896342681</v>
      </c>
      <c r="DI1143" s="302">
        <f t="shared" si="1858"/>
        <v>27.269807771</v>
      </c>
      <c r="DJ1143" s="302">
        <f t="shared" si="1858"/>
        <v>14.262571819</v>
      </c>
      <c r="DK1143" s="302">
        <f t="shared" si="1858"/>
        <v>20.399614275000001</v>
      </c>
      <c r="DL1143" s="302">
        <f t="shared" si="1858"/>
        <v>26.154303194000001</v>
      </c>
      <c r="DM1143" s="302">
        <f t="shared" si="1858"/>
        <v>17.351693442999998</v>
      </c>
      <c r="DN1143" s="303">
        <f t="shared" si="1858"/>
        <v>21.587089448</v>
      </c>
      <c r="DO1143" s="302">
        <f t="shared" si="1858"/>
        <v>30.792339913999999</v>
      </c>
      <c r="DP1143" s="302">
        <f t="shared" si="1858"/>
        <v>25.930212775000001</v>
      </c>
      <c r="DQ1143" s="302">
        <f t="shared" si="1858"/>
        <v>17.198660204999999</v>
      </c>
      <c r="DR1143" s="302">
        <f t="shared" si="1858"/>
        <v>31.218526591</v>
      </c>
      <c r="DS1143" s="302">
        <f t="shared" si="1858"/>
        <v>22.623937429000001</v>
      </c>
      <c r="DT1143" s="302">
        <f t="shared" si="1858"/>
        <v>20.321524653000001</v>
      </c>
      <c r="DU1143" s="302">
        <f t="shared" si="1858"/>
        <v>32.600142276</v>
      </c>
      <c r="DV1143" s="302">
        <f t="shared" si="1858"/>
        <v>20.681147721999999</v>
      </c>
      <c r="DW1143" s="302">
        <f t="shared" si="1858"/>
        <v>14.811887330999999</v>
      </c>
      <c r="DX1143" s="302">
        <f t="shared" si="1858"/>
        <v>36.372824244999997</v>
      </c>
      <c r="DY1143" s="302">
        <f t="shared" si="1858"/>
        <v>26.777018936000001</v>
      </c>
      <c r="DZ1143" s="303">
        <f t="shared" si="1858"/>
        <v>38.763488469999999</v>
      </c>
      <c r="EA1143" s="302">
        <f t="shared" si="1858"/>
        <v>38.763488469999999</v>
      </c>
      <c r="EB1143" s="302">
        <f t="shared" si="1858"/>
        <v>22.126329033000001</v>
      </c>
      <c r="EC1143" s="302">
        <f t="shared" ref="EC1143:EX1143" si="1859">EC506</f>
        <v>23.992127427</v>
      </c>
      <c r="ED1143" s="302">
        <f t="shared" si="1859"/>
        <v>31.381220567</v>
      </c>
      <c r="EE1143" s="302">
        <f t="shared" si="1859"/>
        <v>20.59107835</v>
      </c>
      <c r="EF1143" s="302">
        <f t="shared" si="1859"/>
        <v>22.203756637000001</v>
      </c>
      <c r="EG1143" s="302">
        <f t="shared" si="1859"/>
        <v>35.831669345000002</v>
      </c>
      <c r="EH1143" s="302">
        <f t="shared" si="1859"/>
        <v>18.217909506000002</v>
      </c>
      <c r="EI1143" s="302">
        <f t="shared" si="1859"/>
        <v>29.443757700999999</v>
      </c>
      <c r="EJ1143" s="302">
        <f t="shared" si="1859"/>
        <v>28.913823983</v>
      </c>
      <c r="EK1143" s="302">
        <f t="shared" si="1859"/>
        <v>29.702432408</v>
      </c>
      <c r="EL1143" s="303">
        <f t="shared" si="1859"/>
        <v>23.122873592000001</v>
      </c>
      <c r="EM1143" s="302">
        <f t="shared" si="1859"/>
        <v>36.880675347</v>
      </c>
      <c r="EN1143" s="302">
        <f t="shared" si="1859"/>
        <v>23.217829071000001</v>
      </c>
      <c r="EO1143" s="302">
        <f t="shared" si="1859"/>
        <v>25.954929501999999</v>
      </c>
      <c r="EP1143" s="302">
        <f t="shared" si="1859"/>
        <v>35.318556829999999</v>
      </c>
      <c r="EQ1143" s="302">
        <f t="shared" si="1859"/>
        <v>23.391870655000002</v>
      </c>
      <c r="ER1143" s="302">
        <f t="shared" si="1859"/>
        <v>23.821014502000001</v>
      </c>
      <c r="ES1143" s="302">
        <f t="shared" si="1859"/>
        <v>24.216932529000001</v>
      </c>
      <c r="ET1143" s="302">
        <f t="shared" si="1859"/>
        <v>30.592745741000002</v>
      </c>
      <c r="EU1143" s="302">
        <f t="shared" si="1859"/>
        <v>32.861703890999998</v>
      </c>
      <c r="EV1143" s="302">
        <f t="shared" si="1859"/>
        <v>44.669000662000002</v>
      </c>
      <c r="EW1143" s="302">
        <f t="shared" si="1859"/>
        <v>40.584315027999999</v>
      </c>
      <c r="EX1143" s="303">
        <f t="shared" si="1859"/>
        <v>24.641690694000001</v>
      </c>
      <c r="EY1143" s="681">
        <f t="shared" ref="EY1143:GD1143" si="1860">+EY755+EY798+EY802</f>
        <v>24.239414982</v>
      </c>
      <c r="EZ1143" s="681">
        <f t="shared" si="1860"/>
        <v>22.120656127</v>
      </c>
      <c r="FA1143" s="681">
        <f t="shared" si="1860"/>
        <v>24.752837227000001</v>
      </c>
      <c r="FB1143" s="681">
        <f t="shared" si="1860"/>
        <v>21.791038657000001</v>
      </c>
      <c r="FC1143" s="681">
        <f t="shared" si="1860"/>
        <v>20.659359716000001</v>
      </c>
      <c r="FD1143" s="681">
        <f t="shared" si="1860"/>
        <v>20.369496972</v>
      </c>
      <c r="FE1143" s="681">
        <f t="shared" si="1860"/>
        <v>23.644461118999999</v>
      </c>
      <c r="FF1143" s="681">
        <f t="shared" si="1860"/>
        <v>23.365711551</v>
      </c>
      <c r="FG1143" s="681">
        <f t="shared" si="1860"/>
        <v>23.756543451999999</v>
      </c>
      <c r="FH1143" s="681">
        <f t="shared" si="1860"/>
        <v>21.769161843999999</v>
      </c>
      <c r="FI1143" s="681">
        <f t="shared" si="1860"/>
        <v>20.625322347000001</v>
      </c>
      <c r="FJ1143" s="681">
        <f t="shared" si="1860"/>
        <v>19.233060912999999</v>
      </c>
      <c r="FK1143" s="681">
        <f t="shared" si="1860"/>
        <v>48.474923009000001</v>
      </c>
      <c r="FL1143" s="681">
        <f t="shared" si="1860"/>
        <v>34.638770602000001</v>
      </c>
      <c r="FM1143" s="681">
        <f t="shared" si="1860"/>
        <v>52.859894369999999</v>
      </c>
      <c r="FN1143" s="681">
        <f t="shared" si="1860"/>
        <v>40.602018905999998</v>
      </c>
      <c r="FO1143" s="681">
        <f t="shared" si="1860"/>
        <v>47.848225710000001</v>
      </c>
      <c r="FP1143" s="681">
        <f t="shared" si="1860"/>
        <v>45.427531963999996</v>
      </c>
      <c r="FQ1143" s="681">
        <f t="shared" si="1860"/>
        <v>38.283372790999998</v>
      </c>
      <c r="FR1143" s="681">
        <f t="shared" si="1860"/>
        <v>49.581559788</v>
      </c>
      <c r="FS1143" s="681">
        <f t="shared" si="1860"/>
        <v>48.402350357000003</v>
      </c>
      <c r="FT1143" s="681">
        <f t="shared" si="1860"/>
        <v>51.334256690999993</v>
      </c>
      <c r="FU1143" s="681">
        <f t="shared" si="1860"/>
        <v>47.288199192999997</v>
      </c>
      <c r="FV1143" s="681">
        <f t="shared" si="1860"/>
        <v>46.730121388000001</v>
      </c>
      <c r="FW1143" s="681">
        <f t="shared" si="1860"/>
        <v>51.48016105</v>
      </c>
      <c r="FX1143" s="681">
        <f t="shared" si="1860"/>
        <v>51.430122486999998</v>
      </c>
      <c r="FY1143" s="681">
        <f t="shared" si="1860"/>
        <v>52.852836021000002</v>
      </c>
      <c r="FZ1143" s="681">
        <f t="shared" si="1860"/>
        <v>48.916763015000001</v>
      </c>
      <c r="GA1143" s="681">
        <f t="shared" si="1860"/>
        <v>47.611591032999996</v>
      </c>
      <c r="GB1143" s="681">
        <f t="shared" si="1860"/>
        <v>50.604116184999995</v>
      </c>
      <c r="GC1143" s="681">
        <f t="shared" si="1860"/>
        <v>55.299476167999998</v>
      </c>
      <c r="GD1143" s="681">
        <f t="shared" si="1860"/>
        <v>49.945734616999999</v>
      </c>
      <c r="GE1143" s="681">
        <f t="shared" ref="GE1143:HL1143" si="1861">+GE755+GE798+GE802</f>
        <v>59.567180657999998</v>
      </c>
      <c r="GF1143" s="681">
        <f t="shared" si="1861"/>
        <v>64.561499565333321</v>
      </c>
      <c r="GG1143" s="681">
        <f t="shared" si="1861"/>
        <v>59.909863395333332</v>
      </c>
      <c r="GH1143" s="681">
        <f t="shared" si="1861"/>
        <v>56.804002063905827</v>
      </c>
      <c r="GI1143" s="681">
        <f t="shared" si="1861"/>
        <v>55.539668570643485</v>
      </c>
      <c r="GJ1143" s="681">
        <f t="shared" si="1861"/>
        <v>68.935083915696794</v>
      </c>
      <c r="GK1143" s="681">
        <f t="shared" si="1861"/>
        <v>71.700554839659716</v>
      </c>
      <c r="GL1143" s="681">
        <f t="shared" si="1861"/>
        <v>56.594202324866927</v>
      </c>
      <c r="GM1143" s="681">
        <f t="shared" si="1861"/>
        <v>71.353023190265077</v>
      </c>
      <c r="GN1143" s="681">
        <f t="shared" si="1861"/>
        <v>63.875749657492769</v>
      </c>
      <c r="GO1143" s="681">
        <f t="shared" si="1861"/>
        <v>57.261289561060877</v>
      </c>
      <c r="GP1143" s="681">
        <f t="shared" si="1861"/>
        <v>54.946073896420714</v>
      </c>
      <c r="GQ1143" s="681">
        <f t="shared" si="1861"/>
        <v>59.278123788778551</v>
      </c>
      <c r="GR1143" s="681">
        <f t="shared" si="1861"/>
        <v>91.92857583279698</v>
      </c>
      <c r="GS1143" s="681">
        <f t="shared" si="1861"/>
        <v>89.504510851999498</v>
      </c>
      <c r="GT1143" s="681">
        <f t="shared" si="1861"/>
        <v>89.368194723845761</v>
      </c>
      <c r="GU1143" s="681">
        <f t="shared" si="1861"/>
        <v>80.609756859000001</v>
      </c>
      <c r="GV1143" s="681">
        <f t="shared" si="1861"/>
        <v>82.821757278000007</v>
      </c>
      <c r="GW1143" s="681">
        <f t="shared" si="1861"/>
        <v>81.451556471999993</v>
      </c>
      <c r="GX1143" s="681">
        <f t="shared" si="1861"/>
        <v>84.851173017000008</v>
      </c>
      <c r="GY1143" s="681">
        <f t="shared" si="1861"/>
        <v>87.735269394999989</v>
      </c>
      <c r="GZ1143" s="681">
        <f t="shared" si="1861"/>
        <v>84.793627095999994</v>
      </c>
      <c r="HA1143" s="681">
        <f t="shared" si="1861"/>
        <v>80.273048750000001</v>
      </c>
      <c r="HB1143" s="681">
        <f t="shared" si="1861"/>
        <v>76.059346875000003</v>
      </c>
      <c r="HC1143" s="681">
        <f t="shared" si="1861"/>
        <v>74.154089608999996</v>
      </c>
      <c r="HD1143" s="681">
        <f t="shared" si="1861"/>
        <v>91.751661068000004</v>
      </c>
      <c r="HE1143" s="681">
        <f t="shared" si="1861"/>
        <v>89.386927126000003</v>
      </c>
      <c r="HF1143" s="681">
        <f t="shared" si="1861"/>
        <v>90.512721568999993</v>
      </c>
      <c r="HG1143" s="681">
        <f t="shared" si="1861"/>
        <v>93.377831471000007</v>
      </c>
      <c r="HH1143" s="681">
        <f t="shared" si="1861"/>
        <v>109.25797853400002</v>
      </c>
      <c r="HI1143" s="681">
        <f t="shared" si="1861"/>
        <v>86.555946626999997</v>
      </c>
      <c r="HJ1143" s="681">
        <f t="shared" si="1861"/>
        <v>88.397062210000001</v>
      </c>
      <c r="HK1143" s="681">
        <f t="shared" si="1861"/>
        <v>80.610600986999998</v>
      </c>
      <c r="HL1143" s="681">
        <f t="shared" si="1861"/>
        <v>119.02268733299999</v>
      </c>
    </row>
    <row r="1144" spans="4:220" ht="17.25" customHeight="1">
      <c r="D1144" s="1235" t="s">
        <v>84</v>
      </c>
      <c r="E1144" s="302">
        <f t="shared" ref="E1144:AJ1144" si="1862">E510</f>
        <v>5.6357299999999997</v>
      </c>
      <c r="F1144" s="302">
        <f t="shared" si="1862"/>
        <v>7.29861</v>
      </c>
      <c r="G1144" s="302">
        <f t="shared" si="1862"/>
        <v>4.0281000000000002</v>
      </c>
      <c r="H1144" s="302">
        <f t="shared" si="1862"/>
        <v>7.35867</v>
      </c>
      <c r="I1144" s="302">
        <f t="shared" si="1862"/>
        <v>3.9830900000000002</v>
      </c>
      <c r="J1144" s="302">
        <f t="shared" si="1862"/>
        <v>2.4160500000000003</v>
      </c>
      <c r="K1144" s="302">
        <f t="shared" si="1862"/>
        <v>10.281829999999999</v>
      </c>
      <c r="L1144" s="302">
        <f t="shared" si="1862"/>
        <v>6.2792599999999998</v>
      </c>
      <c r="M1144" s="302">
        <f t="shared" si="1862"/>
        <v>5.4855700000000001</v>
      </c>
      <c r="N1144" s="302">
        <f t="shared" si="1862"/>
        <v>5.4785300000000001</v>
      </c>
      <c r="O1144" s="302">
        <f t="shared" si="1862"/>
        <v>16.68282</v>
      </c>
      <c r="P1144" s="302">
        <f t="shared" si="1862"/>
        <v>2.5840000000000001</v>
      </c>
      <c r="Q1144" s="302">
        <f t="shared" si="1862"/>
        <v>6.1954899999999995</v>
      </c>
      <c r="R1144" s="302">
        <f t="shared" si="1862"/>
        <v>5.7633900000000002</v>
      </c>
      <c r="S1144" s="302">
        <f t="shared" si="1862"/>
        <v>5.7297799999999999</v>
      </c>
      <c r="T1144" s="302">
        <f t="shared" si="1862"/>
        <v>7.7635500000000013</v>
      </c>
      <c r="U1144" s="302">
        <f t="shared" si="1862"/>
        <v>5.2256999999999998</v>
      </c>
      <c r="V1144" s="302">
        <f t="shared" si="1862"/>
        <v>4.4461499999999994</v>
      </c>
      <c r="W1144" s="302">
        <f t="shared" si="1862"/>
        <v>11.737629999999998</v>
      </c>
      <c r="X1144" s="302">
        <f t="shared" si="1862"/>
        <v>4.6911199999999997</v>
      </c>
      <c r="Y1144" s="302">
        <f t="shared" si="1862"/>
        <v>5.3663699999999999</v>
      </c>
      <c r="Z1144" s="302">
        <f t="shared" si="1862"/>
        <v>14.14696</v>
      </c>
      <c r="AA1144" s="302">
        <f t="shared" si="1862"/>
        <v>6.8656199999999998</v>
      </c>
      <c r="AB1144" s="302">
        <f t="shared" si="1862"/>
        <v>2.3950900000000002</v>
      </c>
      <c r="AC1144" s="302">
        <f t="shared" si="1862"/>
        <v>11.639849999999999</v>
      </c>
      <c r="AD1144" s="302">
        <f t="shared" si="1862"/>
        <v>7.2937399999999997</v>
      </c>
      <c r="AE1144" s="302">
        <f t="shared" si="1862"/>
        <v>8.51633</v>
      </c>
      <c r="AF1144" s="302">
        <f t="shared" si="1862"/>
        <v>11.4025</v>
      </c>
      <c r="AG1144" s="302">
        <f t="shared" si="1862"/>
        <v>9.9958399999999994</v>
      </c>
      <c r="AH1144" s="302">
        <f t="shared" si="1862"/>
        <v>9.8377599999999994</v>
      </c>
      <c r="AI1144" s="302">
        <f t="shared" si="1862"/>
        <v>9.0902000000000012</v>
      </c>
      <c r="AJ1144" s="302">
        <f t="shared" si="1862"/>
        <v>8.8153100000000002</v>
      </c>
      <c r="AK1144" s="302">
        <f t="shared" ref="AK1144:BP1144" si="1863">AK510</f>
        <v>4.5741400000000008</v>
      </c>
      <c r="AL1144" s="302">
        <f t="shared" si="1863"/>
        <v>9.3064400000000003</v>
      </c>
      <c r="AM1144" s="302">
        <f t="shared" si="1863"/>
        <v>8.2408999999999999</v>
      </c>
      <c r="AN1144" s="302">
        <f t="shared" si="1863"/>
        <v>6.0934900000000001</v>
      </c>
      <c r="AO1144" s="302">
        <f t="shared" si="1863"/>
        <v>10.967409999999999</v>
      </c>
      <c r="AP1144" s="302">
        <f t="shared" si="1863"/>
        <v>7.2308899999999996</v>
      </c>
      <c r="AQ1144" s="302">
        <f t="shared" si="1863"/>
        <v>12.15211</v>
      </c>
      <c r="AR1144" s="302">
        <f t="shared" si="1863"/>
        <v>9.3626100000000001</v>
      </c>
      <c r="AS1144" s="302">
        <f t="shared" si="1863"/>
        <v>16.880669999999999</v>
      </c>
      <c r="AT1144" s="302">
        <f t="shared" si="1863"/>
        <v>4.4855200000000002</v>
      </c>
      <c r="AU1144" s="302">
        <f t="shared" si="1863"/>
        <v>5.7478500000000006</v>
      </c>
      <c r="AV1144" s="302">
        <f t="shared" si="1863"/>
        <v>10.29313</v>
      </c>
      <c r="AW1144" s="302">
        <f t="shared" si="1863"/>
        <v>8.5791599999999999</v>
      </c>
      <c r="AX1144" s="302">
        <f t="shared" si="1863"/>
        <v>13.0532</v>
      </c>
      <c r="AY1144" s="302">
        <f t="shared" si="1863"/>
        <v>11.61861</v>
      </c>
      <c r="AZ1144" s="302">
        <f t="shared" si="1863"/>
        <v>8.2889799999999987</v>
      </c>
      <c r="BA1144" s="302">
        <f t="shared" si="1863"/>
        <v>10.8988</v>
      </c>
      <c r="BB1144" s="302">
        <f t="shared" si="1863"/>
        <v>8.1732899999999997</v>
      </c>
      <c r="BC1144" s="302">
        <f t="shared" si="1863"/>
        <v>6.3601599999999996</v>
      </c>
      <c r="BD1144" s="302">
        <f t="shared" si="1863"/>
        <v>17.488209999999999</v>
      </c>
      <c r="BE1144" s="302">
        <f t="shared" si="1863"/>
        <v>18.1113</v>
      </c>
      <c r="BF1144" s="302">
        <f t="shared" si="1863"/>
        <v>6.6344399999999997</v>
      </c>
      <c r="BG1144" s="302">
        <f t="shared" si="1863"/>
        <v>8.7004999999999999</v>
      </c>
      <c r="BH1144" s="302">
        <f t="shared" si="1863"/>
        <v>15.98391</v>
      </c>
      <c r="BI1144" s="302">
        <f t="shared" si="1863"/>
        <v>10.69234</v>
      </c>
      <c r="BJ1144" s="302">
        <f t="shared" si="1863"/>
        <v>16.578340000000001</v>
      </c>
      <c r="BK1144" s="302">
        <f t="shared" si="1863"/>
        <v>9.3813700000000004</v>
      </c>
      <c r="BL1144" s="302">
        <f t="shared" si="1863"/>
        <v>7.8756599999999999</v>
      </c>
      <c r="BM1144" s="302">
        <f t="shared" si="1863"/>
        <v>13.461139999999999</v>
      </c>
      <c r="BN1144" s="302">
        <f t="shared" si="1863"/>
        <v>10.60441</v>
      </c>
      <c r="BO1144" s="302">
        <f t="shared" si="1863"/>
        <v>8.1162600000000005</v>
      </c>
      <c r="BP1144" s="302">
        <f t="shared" si="1863"/>
        <v>20.40185</v>
      </c>
      <c r="BQ1144" s="302">
        <f t="shared" ref="BQ1144:CV1144" si="1864">BQ510</f>
        <v>21.77994</v>
      </c>
      <c r="BR1144" s="302">
        <f t="shared" si="1864"/>
        <v>8.4724799999999991</v>
      </c>
      <c r="BS1144" s="302">
        <f t="shared" si="1864"/>
        <v>12.441599999999999</v>
      </c>
      <c r="BT1144" s="302">
        <f t="shared" si="1864"/>
        <v>8.3486000000000011</v>
      </c>
      <c r="BU1144" s="302">
        <f t="shared" si="1864"/>
        <v>5.9755000000000003</v>
      </c>
      <c r="BV1144" s="302">
        <f t="shared" si="1864"/>
        <v>17.443907538000001</v>
      </c>
      <c r="BW1144" s="302">
        <f t="shared" si="1864"/>
        <v>10.159151058000001</v>
      </c>
      <c r="BX1144" s="302">
        <f t="shared" si="1864"/>
        <v>6.9713928459999996</v>
      </c>
      <c r="BY1144" s="302">
        <f t="shared" si="1864"/>
        <v>13.47067966</v>
      </c>
      <c r="BZ1144" s="302">
        <f t="shared" si="1864"/>
        <v>15.015137985000001</v>
      </c>
      <c r="CA1144" s="302">
        <f t="shared" si="1864"/>
        <v>9.8163805380000007</v>
      </c>
      <c r="CB1144" s="302">
        <f t="shared" si="1864"/>
        <v>15.291779931000001</v>
      </c>
      <c r="CC1144" s="302">
        <f t="shared" si="1864"/>
        <v>18.609652870000001</v>
      </c>
      <c r="CD1144" s="302">
        <f t="shared" si="1864"/>
        <v>11.053052539999999</v>
      </c>
      <c r="CE1144" s="302">
        <f t="shared" si="1864"/>
        <v>11.973839774</v>
      </c>
      <c r="CF1144" s="302">
        <f t="shared" si="1864"/>
        <v>8.460472008</v>
      </c>
      <c r="CG1144" s="302">
        <f t="shared" si="1864"/>
        <v>10.756931573999999</v>
      </c>
      <c r="CH1144" s="302">
        <f t="shared" si="1864"/>
        <v>15.969647987</v>
      </c>
      <c r="CI1144" s="302">
        <f t="shared" si="1864"/>
        <v>9.6369806679999996</v>
      </c>
      <c r="CJ1144" s="302">
        <f t="shared" si="1864"/>
        <v>7.5783808190000004</v>
      </c>
      <c r="CK1144" s="302">
        <f t="shared" si="1864"/>
        <v>18.50854756</v>
      </c>
      <c r="CL1144" s="302">
        <f t="shared" si="1864"/>
        <v>9.8280426120000008</v>
      </c>
      <c r="CM1144" s="302">
        <f t="shared" si="1864"/>
        <v>10.716758257</v>
      </c>
      <c r="CN1144" s="302">
        <f t="shared" si="1864"/>
        <v>16.706219817000001</v>
      </c>
      <c r="CO1144" s="302">
        <f t="shared" si="1864"/>
        <v>15.358612858000001</v>
      </c>
      <c r="CP1144" s="302">
        <f t="shared" si="1864"/>
        <v>7.0216506660000002</v>
      </c>
      <c r="CQ1144" s="302">
        <f t="shared" si="1864"/>
        <v>16.388526584000001</v>
      </c>
      <c r="CR1144" s="302">
        <f t="shared" si="1864"/>
        <v>13.251808939</v>
      </c>
      <c r="CS1144" s="302">
        <f t="shared" si="1864"/>
        <v>14.393685036999999</v>
      </c>
      <c r="CT1144" s="302">
        <f t="shared" si="1864"/>
        <v>18.078245930000001</v>
      </c>
      <c r="CU1144" s="302">
        <f t="shared" si="1864"/>
        <v>13.379108058</v>
      </c>
      <c r="CV1144" s="302">
        <f t="shared" si="1864"/>
        <v>24.687432243</v>
      </c>
      <c r="CW1144" s="302">
        <f t="shared" ref="CW1144:EB1144" si="1865">CW510</f>
        <v>23.120048399000002</v>
      </c>
      <c r="CX1144" s="302">
        <f t="shared" si="1865"/>
        <v>11.707696149</v>
      </c>
      <c r="CY1144" s="302">
        <f t="shared" si="1865"/>
        <v>20.064160621999999</v>
      </c>
      <c r="CZ1144" s="302">
        <f t="shared" si="1865"/>
        <v>13.566068809000001</v>
      </c>
      <c r="DA1144" s="302">
        <f t="shared" si="1865"/>
        <v>15.207758555</v>
      </c>
      <c r="DB1144" s="706">
        <f t="shared" si="1865"/>
        <v>6.012899032</v>
      </c>
      <c r="DC1144" s="302">
        <f t="shared" si="1865"/>
        <v>15.315699127</v>
      </c>
      <c r="DD1144" s="302">
        <f t="shared" si="1865"/>
        <v>19.601054483999999</v>
      </c>
      <c r="DE1144" s="302">
        <f t="shared" si="1865"/>
        <v>12.228546647</v>
      </c>
      <c r="DF1144" s="302">
        <f t="shared" si="1865"/>
        <v>23.176438959999999</v>
      </c>
      <c r="DG1144" s="302">
        <f t="shared" si="1865"/>
        <v>11.650523166999999</v>
      </c>
      <c r="DH1144" s="302">
        <f t="shared" si="1865"/>
        <v>17.726570696</v>
      </c>
      <c r="DI1144" s="302">
        <f t="shared" si="1865"/>
        <v>19.911141094000001</v>
      </c>
      <c r="DJ1144" s="302">
        <f t="shared" si="1865"/>
        <v>10.867269656</v>
      </c>
      <c r="DK1144" s="302">
        <f t="shared" si="1865"/>
        <v>16.740908356999999</v>
      </c>
      <c r="DL1144" s="302">
        <f t="shared" si="1865"/>
        <v>12.706009720999999</v>
      </c>
      <c r="DM1144" s="302">
        <f t="shared" si="1865"/>
        <v>12.952371539</v>
      </c>
      <c r="DN1144" s="303">
        <f t="shared" si="1865"/>
        <v>7.7448793619999998</v>
      </c>
      <c r="DO1144" s="302">
        <f t="shared" si="1865"/>
        <v>19.603173823999999</v>
      </c>
      <c r="DP1144" s="302">
        <f t="shared" si="1865"/>
        <v>23.254240544000002</v>
      </c>
      <c r="DQ1144" s="302">
        <f t="shared" si="1865"/>
        <v>12.083861908999999</v>
      </c>
      <c r="DR1144" s="302">
        <f t="shared" si="1865"/>
        <v>25.767375555000001</v>
      </c>
      <c r="DS1144" s="302">
        <f t="shared" si="1865"/>
        <v>9.8346446059999995</v>
      </c>
      <c r="DT1144" s="302">
        <f t="shared" si="1865"/>
        <v>8.6299415439999994</v>
      </c>
      <c r="DU1144" s="302">
        <f t="shared" si="1865"/>
        <v>25.084539389</v>
      </c>
      <c r="DV1144" s="302">
        <f t="shared" si="1865"/>
        <v>12.670331827</v>
      </c>
      <c r="DW1144" s="302">
        <f t="shared" si="1865"/>
        <v>11.810988330000001</v>
      </c>
      <c r="DX1144" s="302">
        <f t="shared" si="1865"/>
        <v>21.695334284000001</v>
      </c>
      <c r="DY1144" s="302">
        <f t="shared" si="1865"/>
        <v>18.773221575000001</v>
      </c>
      <c r="DZ1144" s="303">
        <f t="shared" si="1865"/>
        <v>29.944219717999999</v>
      </c>
      <c r="EA1144" s="302">
        <f t="shared" si="1865"/>
        <v>29.944219717999999</v>
      </c>
      <c r="EB1144" s="302">
        <f t="shared" si="1865"/>
        <v>16.777167303999999</v>
      </c>
      <c r="EC1144" s="302">
        <f t="shared" ref="EC1144:EX1144" si="1866">EC510</f>
        <v>20.330724265000001</v>
      </c>
      <c r="ED1144" s="302">
        <f t="shared" si="1866"/>
        <v>15.904849377</v>
      </c>
      <c r="EE1144" s="302">
        <f t="shared" si="1866"/>
        <v>17.680046376</v>
      </c>
      <c r="EF1144" s="302">
        <f t="shared" si="1866"/>
        <v>17.112941378999999</v>
      </c>
      <c r="EG1144" s="302">
        <f t="shared" si="1866"/>
        <v>15.585146095000001</v>
      </c>
      <c r="EH1144" s="302">
        <f t="shared" si="1866"/>
        <v>13.420272141</v>
      </c>
      <c r="EI1144" s="302">
        <f t="shared" si="1866"/>
        <v>18.415957964</v>
      </c>
      <c r="EJ1144" s="302">
        <f t="shared" si="1866"/>
        <v>24.476168367</v>
      </c>
      <c r="EK1144" s="302">
        <f t="shared" si="1866"/>
        <v>21.665859222000002</v>
      </c>
      <c r="EL1144" s="303">
        <f t="shared" si="1866"/>
        <v>4.9673091940000003</v>
      </c>
      <c r="EM1144" s="302">
        <f t="shared" si="1866"/>
        <v>28.141431067999999</v>
      </c>
      <c r="EN1144" s="302">
        <f t="shared" si="1866"/>
        <v>15.436150675</v>
      </c>
      <c r="EO1144" s="302">
        <f t="shared" si="1866"/>
        <v>16.633843982999998</v>
      </c>
      <c r="EP1144" s="302">
        <f t="shared" si="1866"/>
        <v>20.538649782</v>
      </c>
      <c r="EQ1144" s="302">
        <f t="shared" si="1866"/>
        <v>21.425074646999999</v>
      </c>
      <c r="ER1144" s="302">
        <f t="shared" si="1866"/>
        <v>16.093008045000001</v>
      </c>
      <c r="ES1144" s="302">
        <f t="shared" si="1866"/>
        <v>20.661565843000002</v>
      </c>
      <c r="ET1144" s="302">
        <f t="shared" si="1866"/>
        <v>13.080870481</v>
      </c>
      <c r="EU1144" s="302">
        <f t="shared" si="1866"/>
        <v>23.831020044999999</v>
      </c>
      <c r="EV1144" s="302">
        <f t="shared" si="1866"/>
        <v>19.384197674999999</v>
      </c>
      <c r="EW1144" s="302">
        <f t="shared" si="1866"/>
        <v>24.3705575</v>
      </c>
      <c r="EX1144" s="303">
        <f t="shared" si="1866"/>
        <v>10.255814616</v>
      </c>
      <c r="EY1144" s="681">
        <f t="shared" ref="EY1144:GD1144" si="1867">+EY757+EY797+EY801-EY798-EY802</f>
        <v>34.066597782166703</v>
      </c>
      <c r="EZ1144" s="681">
        <f t="shared" si="1867"/>
        <v>32.383621068166704</v>
      </c>
      <c r="FA1144" s="681">
        <f t="shared" si="1867"/>
        <v>45.417365403166706</v>
      </c>
      <c r="FB1144" s="681">
        <f t="shared" si="1867"/>
        <v>27.211199387166602</v>
      </c>
      <c r="FC1144" s="681">
        <f t="shared" si="1867"/>
        <v>47.7747409241667</v>
      </c>
      <c r="FD1144" s="681">
        <f t="shared" si="1867"/>
        <v>36.368678084166703</v>
      </c>
      <c r="FE1144" s="681">
        <f t="shared" si="1867"/>
        <v>53.806526589999997</v>
      </c>
      <c r="FF1144" s="681">
        <f t="shared" si="1867"/>
        <v>52.605987659</v>
      </c>
      <c r="FG1144" s="681">
        <f t="shared" si="1867"/>
        <v>69.132440504000002</v>
      </c>
      <c r="FH1144" s="681">
        <f t="shared" si="1867"/>
        <v>55.429907583999999</v>
      </c>
      <c r="FI1144" s="681">
        <f t="shared" si="1867"/>
        <v>65.508302673000003</v>
      </c>
      <c r="FJ1144" s="681">
        <f t="shared" si="1867"/>
        <v>52.641321752000003</v>
      </c>
      <c r="FK1144" s="681">
        <f t="shared" si="1867"/>
        <v>58.648945019999999</v>
      </c>
      <c r="FL1144" s="681">
        <f t="shared" si="1867"/>
        <v>59.259153577999996</v>
      </c>
      <c r="FM1144" s="681">
        <f t="shared" si="1867"/>
        <v>56.398161017999996</v>
      </c>
      <c r="FN1144" s="681">
        <f t="shared" si="1867"/>
        <v>39.743645528999991</v>
      </c>
      <c r="FO1144" s="681">
        <f t="shared" si="1867"/>
        <v>38.232049008000004</v>
      </c>
      <c r="FP1144" s="681">
        <f t="shared" si="1867"/>
        <v>62.427462919999996</v>
      </c>
      <c r="FQ1144" s="681">
        <f t="shared" si="1867"/>
        <v>27.213639764</v>
      </c>
      <c r="FR1144" s="681">
        <f t="shared" si="1867"/>
        <v>39.369033645000002</v>
      </c>
      <c r="FS1144" s="681">
        <f t="shared" si="1867"/>
        <v>61.480443279000013</v>
      </c>
      <c r="FT1144" s="681">
        <f t="shared" si="1867"/>
        <v>54.465626276000009</v>
      </c>
      <c r="FU1144" s="681">
        <f t="shared" si="1867"/>
        <v>138.54028649700001</v>
      </c>
      <c r="FV1144" s="681">
        <f t="shared" si="1867"/>
        <v>50.620148627999995</v>
      </c>
      <c r="FW1144" s="681">
        <f t="shared" si="1867"/>
        <v>40.992426076000008</v>
      </c>
      <c r="FX1144" s="681">
        <f t="shared" si="1867"/>
        <v>46.246112111000002</v>
      </c>
      <c r="FY1144" s="681">
        <f t="shared" si="1867"/>
        <v>66.588690732000003</v>
      </c>
      <c r="FZ1144" s="681">
        <f t="shared" si="1867"/>
        <v>75.279941060999988</v>
      </c>
      <c r="GA1144" s="681">
        <f t="shared" si="1867"/>
        <v>51.105489466999984</v>
      </c>
      <c r="GB1144" s="681">
        <f t="shared" si="1867"/>
        <v>71.157467985000011</v>
      </c>
      <c r="GC1144" s="681">
        <f t="shared" si="1867"/>
        <v>83.424946897000012</v>
      </c>
      <c r="GD1144" s="681">
        <f t="shared" si="1867"/>
        <v>83.106449327999997</v>
      </c>
      <c r="GE1144" s="681">
        <f t="shared" ref="GE1144:HL1144" si="1868">+GE757+GE797+GE801-GE798-GE802</f>
        <v>94.585057272</v>
      </c>
      <c r="GF1144" s="681">
        <f t="shared" si="1868"/>
        <v>90.585788699999995</v>
      </c>
      <c r="GG1144" s="681">
        <f t="shared" si="1868"/>
        <v>92.294289832999993</v>
      </c>
      <c r="GH1144" s="681">
        <f t="shared" si="1868"/>
        <v>75.034616677659997</v>
      </c>
      <c r="GI1144" s="681">
        <f t="shared" si="1868"/>
        <v>109.38460215052824</v>
      </c>
      <c r="GJ1144" s="681">
        <f t="shared" si="1868"/>
        <v>89.656520985411689</v>
      </c>
      <c r="GK1144" s="681">
        <f t="shared" si="1868"/>
        <v>80.198796109735696</v>
      </c>
      <c r="GL1144" s="681">
        <f t="shared" si="1868"/>
        <v>103.48856220203983</v>
      </c>
      <c r="GM1144" s="681">
        <f t="shared" si="1868"/>
        <v>62.881694246857016</v>
      </c>
      <c r="GN1144" s="681">
        <f t="shared" si="1868"/>
        <v>44.938188700885767</v>
      </c>
      <c r="GO1144" s="681">
        <f t="shared" si="1868"/>
        <v>85.039949990146198</v>
      </c>
      <c r="GP1144" s="681">
        <f t="shared" si="1868"/>
        <v>51.699817332186718</v>
      </c>
      <c r="GQ1144" s="681">
        <f t="shared" si="1868"/>
        <v>69.861180772549915</v>
      </c>
      <c r="GR1144" s="681">
        <f t="shared" si="1868"/>
        <v>111.0419531133813</v>
      </c>
      <c r="GS1144" s="681">
        <f t="shared" si="1868"/>
        <v>163.52111456890958</v>
      </c>
      <c r="GT1144" s="681">
        <f t="shared" si="1868"/>
        <v>42.51049257207324</v>
      </c>
      <c r="GU1144" s="681">
        <f t="shared" si="1868"/>
        <v>47.334674227999997</v>
      </c>
      <c r="GV1144" s="681">
        <f t="shared" si="1868"/>
        <v>43.611784331999999</v>
      </c>
      <c r="GW1144" s="681">
        <f t="shared" si="1868"/>
        <v>114.07390251600002</v>
      </c>
      <c r="GX1144" s="681">
        <f t="shared" si="1868"/>
        <v>66.379640262000009</v>
      </c>
      <c r="GY1144" s="681">
        <f t="shared" si="1868"/>
        <v>47.859386632999978</v>
      </c>
      <c r="GZ1144" s="681">
        <f t="shared" si="1868"/>
        <v>70.514126333999997</v>
      </c>
      <c r="HA1144" s="681">
        <f t="shared" si="1868"/>
        <v>91.356513803000013</v>
      </c>
      <c r="HB1144" s="681">
        <f t="shared" si="1868"/>
        <v>87.745658628000015</v>
      </c>
      <c r="HC1144" s="681">
        <f t="shared" si="1868"/>
        <v>52.424140885999996</v>
      </c>
      <c r="HD1144" s="681">
        <f t="shared" si="1868"/>
        <v>85.149932067000009</v>
      </c>
      <c r="HE1144" s="681">
        <f t="shared" si="1868"/>
        <v>133.13628289900001</v>
      </c>
      <c r="HF1144" s="681">
        <f t="shared" si="1868"/>
        <v>167.80383534300012</v>
      </c>
      <c r="HG1144" s="681">
        <f t="shared" si="1868"/>
        <v>136.61704561799999</v>
      </c>
      <c r="HH1144" s="681">
        <f t="shared" si="1868"/>
        <v>53.823827985000015</v>
      </c>
      <c r="HI1144" s="681">
        <f t="shared" si="1868"/>
        <v>73.012738880000001</v>
      </c>
      <c r="HJ1144" s="681">
        <f t="shared" si="1868"/>
        <v>120.41223567600001</v>
      </c>
      <c r="HK1144" s="681">
        <f t="shared" si="1868"/>
        <v>108.5877378</v>
      </c>
      <c r="HL1144" s="681">
        <f t="shared" si="1868"/>
        <v>48.059140218999993</v>
      </c>
    </row>
    <row r="1145" spans="4:220" ht="17.25" customHeight="1">
      <c r="D1145" s="1769" t="s">
        <v>3281</v>
      </c>
      <c r="E1145" s="681">
        <f t="shared" ref="E1145:AJ1145" si="1869">E515</f>
        <v>2.9690000000000001E-2</v>
      </c>
      <c r="F1145" s="681">
        <f t="shared" si="1869"/>
        <v>0.14680000000000001</v>
      </c>
      <c r="G1145" s="681">
        <f t="shared" si="1869"/>
        <v>0.58828440199999998</v>
      </c>
      <c r="H1145" s="681">
        <f t="shared" si="1869"/>
        <v>0.25210000000000005</v>
      </c>
      <c r="I1145" s="681">
        <f t="shared" si="1869"/>
        <v>9.2200000000000004E-2</v>
      </c>
      <c r="J1145" s="681">
        <f t="shared" si="1869"/>
        <v>0.42216999999999999</v>
      </c>
      <c r="K1145" s="681">
        <f t="shared" si="1869"/>
        <v>1.2952300000000001</v>
      </c>
      <c r="L1145" s="681">
        <f t="shared" si="1869"/>
        <v>0.12190000000000001</v>
      </c>
      <c r="M1145" s="681">
        <f t="shared" si="1869"/>
        <v>0.21049999999999999</v>
      </c>
      <c r="N1145" s="681">
        <f t="shared" si="1869"/>
        <v>2.3719038439999998</v>
      </c>
      <c r="O1145" s="681">
        <f t="shared" si="1869"/>
        <v>2.3870999999999998</v>
      </c>
      <c r="P1145" s="681">
        <f t="shared" si="1869"/>
        <v>0.79638999999999993</v>
      </c>
      <c r="Q1145" s="681">
        <f t="shared" si="1869"/>
        <v>6.4399999999999999E-2</v>
      </c>
      <c r="R1145" s="681">
        <f t="shared" si="1869"/>
        <v>0</v>
      </c>
      <c r="S1145" s="681">
        <f t="shared" si="1869"/>
        <v>1.5885</v>
      </c>
      <c r="T1145" s="681">
        <f t="shared" si="1869"/>
        <v>0.15829390599999998</v>
      </c>
      <c r="U1145" s="681">
        <f t="shared" si="1869"/>
        <v>0.49757000000000001</v>
      </c>
      <c r="V1145" s="681">
        <f t="shared" si="1869"/>
        <v>1.629842891</v>
      </c>
      <c r="W1145" s="681">
        <f t="shared" si="1869"/>
        <v>0.27794000000000002</v>
      </c>
      <c r="X1145" s="681">
        <f t="shared" si="1869"/>
        <v>1.74481</v>
      </c>
      <c r="Y1145" s="681">
        <f t="shared" si="1869"/>
        <v>0.23041</v>
      </c>
      <c r="Z1145" s="681">
        <f t="shared" si="1869"/>
        <v>7.6219999999999996E-2</v>
      </c>
      <c r="AA1145" s="681">
        <f t="shared" si="1869"/>
        <v>1.6877500000000001</v>
      </c>
      <c r="AB1145" s="681">
        <f t="shared" si="1869"/>
        <v>0.89905999999999997</v>
      </c>
      <c r="AC1145" s="681">
        <f t="shared" si="1869"/>
        <v>0</v>
      </c>
      <c r="AD1145" s="681">
        <f t="shared" si="1869"/>
        <v>0</v>
      </c>
      <c r="AE1145" s="681">
        <f t="shared" si="1869"/>
        <v>1.09131</v>
      </c>
      <c r="AF1145" s="681">
        <f t="shared" si="1869"/>
        <v>3.7630000000000004E-2</v>
      </c>
      <c r="AG1145" s="681">
        <f t="shared" si="1869"/>
        <v>0</v>
      </c>
      <c r="AH1145" s="681">
        <f t="shared" si="1869"/>
        <v>1.3945999999999998</v>
      </c>
      <c r="AI1145" s="681">
        <f t="shared" si="1869"/>
        <v>0.47020999999999996</v>
      </c>
      <c r="AJ1145" s="681">
        <f t="shared" si="1869"/>
        <v>1.27372</v>
      </c>
      <c r="AK1145" s="681">
        <f t="shared" ref="AK1145:BP1145" si="1870">AK515</f>
        <v>0.77052999999999994</v>
      </c>
      <c r="AL1145" s="681">
        <f t="shared" si="1870"/>
        <v>0.81901000000000002</v>
      </c>
      <c r="AM1145" s="681">
        <f t="shared" si="1870"/>
        <v>1.2096099999999999</v>
      </c>
      <c r="AN1145" s="681">
        <f t="shared" si="1870"/>
        <v>0.28293000000000001</v>
      </c>
      <c r="AO1145" s="681">
        <f t="shared" si="1870"/>
        <v>0.2</v>
      </c>
      <c r="AP1145" s="681">
        <f t="shared" si="1870"/>
        <v>0.38771</v>
      </c>
      <c r="AQ1145" s="681">
        <f t="shared" si="1870"/>
        <v>1.8365499999999999</v>
      </c>
      <c r="AR1145" s="681">
        <f t="shared" si="1870"/>
        <v>0.28073999999999999</v>
      </c>
      <c r="AS1145" s="681">
        <f t="shared" si="1870"/>
        <v>0.17144000000000001</v>
      </c>
      <c r="AT1145" s="681">
        <f t="shared" si="1870"/>
        <v>1.83338</v>
      </c>
      <c r="AU1145" s="681">
        <f t="shared" si="1870"/>
        <v>0.47499000000000002</v>
      </c>
      <c r="AV1145" s="681">
        <f t="shared" si="1870"/>
        <v>1.2760499999999999</v>
      </c>
      <c r="AW1145" s="681">
        <f t="shared" si="1870"/>
        <v>1.0518800000000001</v>
      </c>
      <c r="AX1145" s="681">
        <f t="shared" si="1870"/>
        <v>0.2051</v>
      </c>
      <c r="AY1145" s="681">
        <f t="shared" si="1870"/>
        <v>1.22367</v>
      </c>
      <c r="AZ1145" s="681">
        <f t="shared" si="1870"/>
        <v>1.1745000000000001</v>
      </c>
      <c r="BA1145" s="681">
        <f t="shared" si="1870"/>
        <v>0.29500999999999999</v>
      </c>
      <c r="BB1145" s="681">
        <f t="shared" si="1870"/>
        <v>0.60347000000000006</v>
      </c>
      <c r="BC1145" s="681">
        <f t="shared" si="1870"/>
        <v>0.94487999999999994</v>
      </c>
      <c r="BD1145" s="681">
        <f t="shared" si="1870"/>
        <v>1.4343699999999999</v>
      </c>
      <c r="BE1145" s="681">
        <f t="shared" si="1870"/>
        <v>0.26206000000000002</v>
      </c>
      <c r="BF1145" s="681">
        <f t="shared" si="1870"/>
        <v>1.9930999999999999</v>
      </c>
      <c r="BG1145" s="681">
        <f t="shared" si="1870"/>
        <v>0.615281148</v>
      </c>
      <c r="BH1145" s="681">
        <f t="shared" si="1870"/>
        <v>0.56509976700000009</v>
      </c>
      <c r="BI1145" s="681">
        <f t="shared" si="1870"/>
        <v>2.1105200669999999</v>
      </c>
      <c r="BJ1145" s="681">
        <f t="shared" si="1870"/>
        <v>0.404843642</v>
      </c>
      <c r="BK1145" s="681">
        <f t="shared" si="1870"/>
        <v>0.58462094600000003</v>
      </c>
      <c r="BL1145" s="681">
        <f t="shared" si="1870"/>
        <v>2.6412371509999999</v>
      </c>
      <c r="BM1145" s="681">
        <f t="shared" si="1870"/>
        <v>0.82026999999999994</v>
      </c>
      <c r="BN1145" s="681">
        <f t="shared" si="1870"/>
        <v>1.2502800000000001</v>
      </c>
      <c r="BO1145" s="681">
        <f t="shared" si="1870"/>
        <v>1.8665499999999999</v>
      </c>
      <c r="BP1145" s="681">
        <f t="shared" si="1870"/>
        <v>6.445999999999999E-2</v>
      </c>
      <c r="BQ1145" s="681">
        <f t="shared" ref="BQ1145:CV1145" si="1871">BQ515</f>
        <v>0.30124000000000001</v>
      </c>
      <c r="BR1145" s="681">
        <f t="shared" si="1871"/>
        <v>1.6529700000000001</v>
      </c>
      <c r="BS1145" s="681">
        <f t="shared" si="1871"/>
        <v>0.72970000000000002</v>
      </c>
      <c r="BT1145" s="681">
        <f t="shared" si="1871"/>
        <v>0.69099999999999995</v>
      </c>
      <c r="BU1145" s="681">
        <f t="shared" si="1871"/>
        <v>1.8905999999999998</v>
      </c>
      <c r="BV1145" s="681">
        <f t="shared" si="1871"/>
        <v>0</v>
      </c>
      <c r="BW1145" s="681">
        <f t="shared" si="1871"/>
        <v>0</v>
      </c>
      <c r="BX1145" s="681">
        <f t="shared" si="1871"/>
        <v>0</v>
      </c>
      <c r="BY1145" s="681">
        <f t="shared" si="1871"/>
        <v>0</v>
      </c>
      <c r="BZ1145" s="681">
        <f t="shared" si="1871"/>
        <v>0</v>
      </c>
      <c r="CA1145" s="681">
        <f t="shared" si="1871"/>
        <v>0</v>
      </c>
      <c r="CB1145" s="681">
        <f t="shared" si="1871"/>
        <v>0</v>
      </c>
      <c r="CC1145" s="681">
        <f t="shared" si="1871"/>
        <v>0</v>
      </c>
      <c r="CD1145" s="681">
        <f t="shared" si="1871"/>
        <v>0</v>
      </c>
      <c r="CE1145" s="681">
        <f t="shared" si="1871"/>
        <v>0.91287137277799746</v>
      </c>
      <c r="CF1145" s="681">
        <f t="shared" si="1871"/>
        <v>2.6440019562175725</v>
      </c>
      <c r="CG1145" s="681">
        <f t="shared" si="1871"/>
        <v>1.8202696501794504</v>
      </c>
      <c r="CH1145" s="681">
        <f t="shared" si="1871"/>
        <v>1.0035432534759998</v>
      </c>
      <c r="CI1145" s="681">
        <f t="shared" si="1871"/>
        <v>2.0724815196329991</v>
      </c>
      <c r="CJ1145" s="681">
        <f t="shared" si="1871"/>
        <v>1.4396311112401539</v>
      </c>
      <c r="CK1145" s="681">
        <f t="shared" si="1871"/>
        <v>1.112374852024002</v>
      </c>
      <c r="CL1145" s="681">
        <f t="shared" si="1871"/>
        <v>0.9939060787571673</v>
      </c>
      <c r="CM1145" s="681">
        <f t="shared" si="1871"/>
        <v>1.7816367285922678</v>
      </c>
      <c r="CN1145" s="681">
        <f t="shared" si="1871"/>
        <v>1.1560964636119997</v>
      </c>
      <c r="CO1145" s="681">
        <f t="shared" si="1871"/>
        <v>1.1988465443248493</v>
      </c>
      <c r="CP1145" s="681">
        <f t="shared" si="1871"/>
        <v>1.9066930600305543</v>
      </c>
      <c r="CQ1145" s="681">
        <f t="shared" si="1871"/>
        <v>0.89509302121562162</v>
      </c>
      <c r="CR1145" s="681">
        <f t="shared" si="1871"/>
        <v>2.3775702459999999</v>
      </c>
      <c r="CS1145" s="681">
        <f t="shared" si="1871"/>
        <v>0.90787249299999995</v>
      </c>
      <c r="CT1145" s="681">
        <f t="shared" si="1871"/>
        <v>0.99845654799999994</v>
      </c>
      <c r="CU1145" s="681">
        <f t="shared" si="1871"/>
        <v>2.4439537179999999</v>
      </c>
      <c r="CV1145" s="681">
        <f t="shared" si="1871"/>
        <v>0.69764231200000004</v>
      </c>
      <c r="CW1145" s="681">
        <f t="shared" ref="CW1145:EB1145" si="1872">CW515</f>
        <v>0.98295110763615112</v>
      </c>
      <c r="CX1145" s="681">
        <f t="shared" si="1872"/>
        <v>2.26856999</v>
      </c>
      <c r="CY1145" s="681">
        <f t="shared" si="1872"/>
        <v>1.368852736</v>
      </c>
      <c r="CZ1145" s="681">
        <f t="shared" si="1872"/>
        <v>0.9260694413638757</v>
      </c>
      <c r="DA1145" s="681">
        <f t="shared" si="1872"/>
        <v>2.7193807799999998</v>
      </c>
      <c r="DB1145" s="681">
        <f t="shared" si="1872"/>
        <v>1.6617217120000001</v>
      </c>
      <c r="DC1145" s="681">
        <f t="shared" si="1872"/>
        <v>1.013739671850697</v>
      </c>
      <c r="DD1145" s="681">
        <f t="shared" si="1872"/>
        <v>3.8155369459999999</v>
      </c>
      <c r="DE1145" s="681">
        <f t="shared" si="1872"/>
        <v>1.2336428793999998</v>
      </c>
      <c r="DF1145" s="681">
        <f t="shared" si="1872"/>
        <v>1.327297921581104</v>
      </c>
      <c r="DG1145" s="681">
        <f t="shared" si="1872"/>
        <v>4.0140894349999998</v>
      </c>
      <c r="DH1145" s="681">
        <f t="shared" si="1872"/>
        <v>1.0529086349999999</v>
      </c>
      <c r="DI1145" s="681">
        <f t="shared" si="1872"/>
        <v>1.1573102669999999</v>
      </c>
      <c r="DJ1145" s="681">
        <f t="shared" si="1872"/>
        <v>4.0698216370000004</v>
      </c>
      <c r="DK1145" s="681">
        <f t="shared" si="1872"/>
        <v>1.0609657140000008</v>
      </c>
      <c r="DL1145" s="681">
        <f t="shared" si="1872"/>
        <v>1.0815417723131717</v>
      </c>
      <c r="DM1145" s="681">
        <f t="shared" si="1872"/>
        <v>4.1636333206521741</v>
      </c>
      <c r="DN1145" s="681">
        <f t="shared" si="1872"/>
        <v>1.3608856950800003</v>
      </c>
      <c r="DO1145" s="681">
        <f t="shared" si="1872"/>
        <v>1.2351774840365648</v>
      </c>
      <c r="DP1145" s="681">
        <f t="shared" si="1872"/>
        <v>6.1734157689873967</v>
      </c>
      <c r="DQ1145" s="681">
        <f t="shared" si="1872"/>
        <v>2.029494319699999</v>
      </c>
      <c r="DR1145" s="681">
        <f t="shared" si="1872"/>
        <v>1.2692359781160756</v>
      </c>
      <c r="DS1145" s="681">
        <f t="shared" si="1872"/>
        <v>5.1450937291111103</v>
      </c>
      <c r="DT1145" s="681">
        <f t="shared" si="1872"/>
        <v>3.2687679459695027</v>
      </c>
      <c r="DU1145" s="681">
        <f t="shared" si="1872"/>
        <v>1.6967300333154924</v>
      </c>
      <c r="DV1145" s="681">
        <f t="shared" si="1872"/>
        <v>6.8498788734528917</v>
      </c>
      <c r="DW1145" s="681">
        <f t="shared" si="1872"/>
        <v>2.044152556342</v>
      </c>
      <c r="DX1145" s="681">
        <f t="shared" si="1872"/>
        <v>1.7110111851588521</v>
      </c>
      <c r="DY1145" s="681">
        <f t="shared" si="1872"/>
        <v>6.1522524299347809</v>
      </c>
      <c r="DZ1145" s="681">
        <f t="shared" si="1872"/>
        <v>3.0128467449470024</v>
      </c>
      <c r="EA1145" s="681">
        <f t="shared" si="1872"/>
        <v>2.1337011621431112</v>
      </c>
      <c r="EB1145" s="681">
        <f t="shared" si="1872"/>
        <v>7.0659748616649996</v>
      </c>
      <c r="EC1145" s="681">
        <f t="shared" ref="EC1145:EX1145" si="1873">EC515</f>
        <v>3.1904143020000002</v>
      </c>
      <c r="ED1145" s="681">
        <f t="shared" si="1873"/>
        <v>2.0750919090000002</v>
      </c>
      <c r="EE1145" s="681">
        <f t="shared" si="1873"/>
        <v>7.6867913659999996</v>
      </c>
      <c r="EF1145" s="681">
        <f t="shared" si="1873"/>
        <v>2.497102579410345</v>
      </c>
      <c r="EG1145" s="681">
        <f t="shared" si="1873"/>
        <v>2.2924976775182282</v>
      </c>
      <c r="EH1145" s="681">
        <f t="shared" si="1873"/>
        <v>7.962119747296958</v>
      </c>
      <c r="EI1145" s="681">
        <f t="shared" si="1873"/>
        <v>3.3006868052530733</v>
      </c>
      <c r="EJ1145" s="681">
        <f t="shared" si="1873"/>
        <v>1.9681334131410042</v>
      </c>
      <c r="EK1145" s="681">
        <f t="shared" si="1873"/>
        <v>7.9209123550308345</v>
      </c>
      <c r="EL1145" s="681">
        <f t="shared" si="1873"/>
        <v>3.282589705546533</v>
      </c>
      <c r="EM1145" s="681">
        <f t="shared" si="1873"/>
        <v>2.228758729166457</v>
      </c>
      <c r="EN1145" s="681">
        <f t="shared" si="1873"/>
        <v>7.9635574682075188</v>
      </c>
      <c r="EO1145" s="681">
        <f t="shared" si="1873"/>
        <v>2.6397766795801307</v>
      </c>
      <c r="EP1145" s="681">
        <f t="shared" si="1873"/>
        <v>2.0865679931982122</v>
      </c>
      <c r="EQ1145" s="681">
        <f t="shared" si="1873"/>
        <v>2.2005343650000002</v>
      </c>
      <c r="ER1145" s="681">
        <f t="shared" si="1873"/>
        <v>10.34234914812088</v>
      </c>
      <c r="ES1145" s="681">
        <f t="shared" si="1873"/>
        <v>2.8476184939999998</v>
      </c>
      <c r="ET1145" s="681">
        <f t="shared" si="1873"/>
        <v>8.8725304500000011</v>
      </c>
      <c r="EU1145" s="681">
        <f t="shared" si="1873"/>
        <v>2.0579719870000002</v>
      </c>
      <c r="EV1145" s="681">
        <f t="shared" si="1873"/>
        <v>1.4585385360000001</v>
      </c>
      <c r="EW1145" s="681">
        <f t="shared" si="1873"/>
        <v>10.389073190000001</v>
      </c>
      <c r="EX1145" s="681">
        <f t="shared" si="1873"/>
        <v>1.695973894</v>
      </c>
      <c r="EY1145" s="1860">
        <f t="shared" ref="EY1145:GD1145" si="1874">+EY788</f>
        <v>1.9953984659999999</v>
      </c>
      <c r="EZ1145" s="681">
        <f t="shared" si="1874"/>
        <v>12.017003176999999</v>
      </c>
      <c r="FA1145" s="681">
        <f t="shared" si="1874"/>
        <v>1.34400919</v>
      </c>
      <c r="FB1145" s="681">
        <f t="shared" si="1874"/>
        <v>4.4300871810000002</v>
      </c>
      <c r="FC1145" s="681">
        <f t="shared" si="1874"/>
        <v>13.811664832</v>
      </c>
      <c r="FD1145" s="681">
        <f t="shared" si="1874"/>
        <v>5.4821694860000001</v>
      </c>
      <c r="FE1145" s="681">
        <f t="shared" si="1874"/>
        <v>3.1499937920000001</v>
      </c>
      <c r="FF1145" s="681">
        <f t="shared" si="1874"/>
        <v>12.751089638</v>
      </c>
      <c r="FG1145" s="681">
        <f t="shared" si="1874"/>
        <v>3.8314582430000002</v>
      </c>
      <c r="FH1145" s="681">
        <f t="shared" si="1874"/>
        <v>6.4921787229999994</v>
      </c>
      <c r="FI1145" s="681">
        <f t="shared" si="1874"/>
        <v>6.2867501839999997</v>
      </c>
      <c r="FJ1145" s="681">
        <f t="shared" si="1874"/>
        <v>6.7099874919999998</v>
      </c>
      <c r="FK1145" s="681">
        <f t="shared" si="1874"/>
        <v>4.4636755949999998</v>
      </c>
      <c r="FL1145" s="681">
        <f t="shared" si="1874"/>
        <v>16.899956773</v>
      </c>
      <c r="FM1145" s="681">
        <f t="shared" si="1874"/>
        <v>5.819656954</v>
      </c>
      <c r="FN1145" s="681">
        <f t="shared" si="1874"/>
        <v>2.1485233610000001</v>
      </c>
      <c r="FO1145" s="681">
        <f t="shared" si="1874"/>
        <v>17.866421719999998</v>
      </c>
      <c r="FP1145" s="681">
        <f t="shared" si="1874"/>
        <v>3.8656419530000004</v>
      </c>
      <c r="FQ1145" s="681">
        <f t="shared" si="1874"/>
        <v>4.7048165869999998</v>
      </c>
      <c r="FR1145" s="681">
        <f t="shared" si="1874"/>
        <v>21.759187754999658</v>
      </c>
      <c r="FS1145" s="681">
        <f t="shared" si="1874"/>
        <v>6.0728433150000001</v>
      </c>
      <c r="FT1145" s="681">
        <f t="shared" si="1874"/>
        <v>3.2050342299999999</v>
      </c>
      <c r="FU1145" s="681">
        <f t="shared" si="1874"/>
        <v>21.412382133999998</v>
      </c>
      <c r="FV1145" s="681">
        <f t="shared" si="1874"/>
        <v>5.2907410247056772</v>
      </c>
      <c r="FW1145" s="681">
        <f t="shared" si="1874"/>
        <v>7.2843680590000002</v>
      </c>
      <c r="FX1145" s="681">
        <f t="shared" si="1874"/>
        <v>28.532119584</v>
      </c>
      <c r="FY1145" s="681">
        <f t="shared" si="1874"/>
        <v>4.7649259050000001</v>
      </c>
      <c r="FZ1145" s="681">
        <f t="shared" si="1874"/>
        <v>3.1639988880000001</v>
      </c>
      <c r="GA1145" s="681">
        <f t="shared" si="1874"/>
        <v>24.844301186999999</v>
      </c>
      <c r="GB1145" s="681">
        <f t="shared" si="1874"/>
        <v>5.7843948059999999</v>
      </c>
      <c r="GC1145" s="681">
        <f t="shared" si="1874"/>
        <v>4.7383394899999995</v>
      </c>
      <c r="GD1145" s="681">
        <f t="shared" si="1874"/>
        <v>29.999293304000002</v>
      </c>
      <c r="GE1145" s="681">
        <f t="shared" ref="GE1145:HL1145" si="1875">+GE788</f>
        <v>4.5391355600000001</v>
      </c>
      <c r="GF1145" s="681">
        <f t="shared" si="1875"/>
        <v>1.7747785490000001</v>
      </c>
      <c r="GG1145" s="681">
        <f t="shared" si="1875"/>
        <v>30.590790138000003</v>
      </c>
      <c r="GH1145" s="681">
        <f t="shared" si="1875"/>
        <v>4.3509939009999998</v>
      </c>
      <c r="GI1145" s="681">
        <f t="shared" si="1875"/>
        <v>6.680501349</v>
      </c>
      <c r="GJ1145" s="681">
        <f t="shared" si="1875"/>
        <v>36.359391498000001</v>
      </c>
      <c r="GK1145" s="681">
        <f t="shared" si="1875"/>
        <v>7.5202888159999999</v>
      </c>
      <c r="GL1145" s="681">
        <f t="shared" si="1875"/>
        <v>2.5441111159999998</v>
      </c>
      <c r="GM1145" s="681">
        <f t="shared" si="1875"/>
        <v>36.181439558999998</v>
      </c>
      <c r="GN1145" s="681">
        <f t="shared" si="1875"/>
        <v>4.6916540769999999</v>
      </c>
      <c r="GO1145" s="681">
        <f t="shared" si="1875"/>
        <v>7.8868416830000001</v>
      </c>
      <c r="GP1145" s="681">
        <f t="shared" si="1875"/>
        <v>40.304743088999999</v>
      </c>
      <c r="GQ1145" s="681">
        <f t="shared" si="1875"/>
        <v>9.7221642589999995</v>
      </c>
      <c r="GR1145" s="681">
        <f t="shared" si="1875"/>
        <v>2.3315845300000002</v>
      </c>
      <c r="GS1145" s="681">
        <f t="shared" si="1875"/>
        <v>43.003715217</v>
      </c>
      <c r="GT1145" s="681">
        <f t="shared" si="1875"/>
        <v>5.4273588840000002</v>
      </c>
      <c r="GU1145" s="681">
        <f t="shared" si="1875"/>
        <v>8.2993290270000006</v>
      </c>
      <c r="GV1145" s="681">
        <f t="shared" si="1875"/>
        <v>41.580799589000002</v>
      </c>
      <c r="GW1145" s="681">
        <f t="shared" si="1875"/>
        <v>5.8754405619999996</v>
      </c>
      <c r="GX1145" s="681">
        <f t="shared" si="1875"/>
        <v>3.498546213</v>
      </c>
      <c r="GY1145" s="681">
        <f t="shared" si="1875"/>
        <v>44.205506296999999</v>
      </c>
      <c r="GZ1145" s="681">
        <f t="shared" si="1875"/>
        <v>10.491441803000001</v>
      </c>
      <c r="HA1145" s="681">
        <f t="shared" si="1875"/>
        <v>12.977892861000001</v>
      </c>
      <c r="HB1145" s="681">
        <f t="shared" si="1875"/>
        <v>45.146402455999997</v>
      </c>
      <c r="HC1145" s="681">
        <f t="shared" si="1875"/>
        <v>6.0679579840000004</v>
      </c>
      <c r="HD1145" s="681">
        <f t="shared" si="1875"/>
        <v>3.8733084139999998</v>
      </c>
      <c r="HE1145" s="681">
        <f t="shared" si="1875"/>
        <v>45.152003563000001</v>
      </c>
      <c r="HF1145" s="681">
        <f t="shared" si="1875"/>
        <v>7.3001792999999999</v>
      </c>
      <c r="HG1145" s="681">
        <f t="shared" si="1875"/>
        <v>11.46624254676923</v>
      </c>
      <c r="HH1145" s="681">
        <f t="shared" si="1875"/>
        <v>49.45828416803846</v>
      </c>
      <c r="HI1145" s="681">
        <f t="shared" si="1875"/>
        <v>5.7053801273076896</v>
      </c>
      <c r="HJ1145" s="681">
        <f t="shared" si="1875"/>
        <v>3.9694958993846128</v>
      </c>
      <c r="HK1145" s="681">
        <f t="shared" si="1875"/>
        <v>46.305216535</v>
      </c>
      <c r="HL1145" s="681">
        <f t="shared" si="1875"/>
        <v>8.4563577305384605</v>
      </c>
    </row>
    <row r="1146" spans="4:220" ht="17.25" customHeight="1" thickBot="1">
      <c r="D1146" s="1769" t="s">
        <v>3282</v>
      </c>
      <c r="E1146" s="681">
        <f t="shared" ref="E1146:AJ1146" si="1876">+E518</f>
        <v>0.15573618790412799</v>
      </c>
      <c r="F1146" s="681">
        <f t="shared" si="1876"/>
        <v>0.30486003372000003</v>
      </c>
      <c r="G1146" s="681">
        <f t="shared" si="1876"/>
        <v>6.9508115032499998E-2</v>
      </c>
      <c r="H1146" s="681">
        <f t="shared" si="1876"/>
        <v>0.54656186912827198</v>
      </c>
      <c r="I1146" s="681">
        <f t="shared" si="1876"/>
        <v>8.9836727898000013E-2</v>
      </c>
      <c r="J1146" s="681">
        <f t="shared" si="1876"/>
        <v>0.56584702272589993</v>
      </c>
      <c r="K1146" s="681">
        <f t="shared" si="1876"/>
        <v>0.24058884532630001</v>
      </c>
      <c r="L1146" s="681">
        <f t="shared" si="1876"/>
        <v>0.1564783268496</v>
      </c>
      <c r="M1146" s="681">
        <f t="shared" si="1876"/>
        <v>6.3085660884E-2</v>
      </c>
      <c r="N1146" s="681">
        <f t="shared" si="1876"/>
        <v>5.7374798740000003E-2</v>
      </c>
      <c r="O1146" s="681">
        <f t="shared" si="1876"/>
        <v>5.1228961000000005E-3</v>
      </c>
      <c r="P1146" s="681">
        <f t="shared" si="1876"/>
        <v>1.153293008E-2</v>
      </c>
      <c r="Q1146" s="681">
        <f t="shared" si="1876"/>
        <v>0.31759800939159993</v>
      </c>
      <c r="R1146" s="681">
        <f t="shared" si="1876"/>
        <v>1.9064099342700001E-2</v>
      </c>
      <c r="S1146" s="681">
        <f t="shared" si="1876"/>
        <v>0.21270351672499999</v>
      </c>
      <c r="T1146" s="681">
        <f t="shared" si="1876"/>
        <v>0.60981088226400004</v>
      </c>
      <c r="U1146" s="681">
        <f t="shared" si="1876"/>
        <v>0.36712306565550001</v>
      </c>
      <c r="V1146" s="681">
        <f t="shared" si="1876"/>
        <v>0.41081250139199998</v>
      </c>
      <c r="W1146" s="681">
        <f t="shared" si="1876"/>
        <v>0.28025884034999998</v>
      </c>
      <c r="X1146" s="681">
        <f t="shared" si="1876"/>
        <v>8.2160354080000001E-3</v>
      </c>
      <c r="Y1146" s="681">
        <f t="shared" si="1876"/>
        <v>0.25498676760479999</v>
      </c>
      <c r="Z1146" s="681">
        <f t="shared" si="1876"/>
        <v>0.62958045557340014</v>
      </c>
      <c r="AA1146" s="681">
        <f t="shared" si="1876"/>
        <v>8.1860323789399989E-2</v>
      </c>
      <c r="AB1146" s="681">
        <f t="shared" si="1876"/>
        <v>0.56546407370700003</v>
      </c>
      <c r="AC1146" s="681">
        <f t="shared" si="1876"/>
        <v>0.32803835200000003</v>
      </c>
      <c r="AD1146" s="681">
        <f t="shared" si="1876"/>
        <v>4.8028904000000004E-2</v>
      </c>
      <c r="AE1146" s="681">
        <f t="shared" si="1876"/>
        <v>0.28850029300000002</v>
      </c>
      <c r="AF1146" s="681">
        <f t="shared" si="1876"/>
        <v>0.63411767899999993</v>
      </c>
      <c r="AG1146" s="681">
        <f t="shared" si="1876"/>
        <v>8.9409139999999998E-2</v>
      </c>
      <c r="AH1146" s="681">
        <f t="shared" si="1876"/>
        <v>0.73523419600000006</v>
      </c>
      <c r="AI1146" s="681">
        <f t="shared" si="1876"/>
        <v>0.32633109500000002</v>
      </c>
      <c r="AJ1146" s="681">
        <f t="shared" si="1876"/>
        <v>4.1893449999999999E-2</v>
      </c>
      <c r="AK1146" s="681">
        <f t="shared" ref="AK1146:BP1146" si="1877">+AK518</f>
        <v>0.31604354700000004</v>
      </c>
      <c r="AL1146" s="681">
        <f t="shared" si="1877"/>
        <v>0.904692685</v>
      </c>
      <c r="AM1146" s="681">
        <f t="shared" si="1877"/>
        <v>0.20418752599999998</v>
      </c>
      <c r="AN1146" s="681">
        <f t="shared" si="1877"/>
        <v>0.14614628299999999</v>
      </c>
      <c r="AO1146" s="681">
        <f t="shared" si="1877"/>
        <v>0.40318742926000001</v>
      </c>
      <c r="AP1146" s="681">
        <f t="shared" si="1877"/>
        <v>6.0189098059999994E-2</v>
      </c>
      <c r="AQ1146" s="681">
        <f t="shared" si="1877"/>
        <v>0.35015841232722006</v>
      </c>
      <c r="AR1146" s="681">
        <f t="shared" si="1877"/>
        <v>0.83703286911999997</v>
      </c>
      <c r="AS1146" s="681">
        <f t="shared" si="1877"/>
        <v>0.14510115034800003</v>
      </c>
      <c r="AT1146" s="681">
        <f t="shared" si="1877"/>
        <v>0.50910809306560001</v>
      </c>
      <c r="AU1146" s="681">
        <f t="shared" si="1877"/>
        <v>0.40100971724000001</v>
      </c>
      <c r="AV1146" s="681">
        <f t="shared" si="1877"/>
        <v>5.8221062880000007E-2</v>
      </c>
      <c r="AW1146" s="681">
        <f t="shared" si="1877"/>
        <v>0.38420434755000005</v>
      </c>
      <c r="AX1146" s="681">
        <f t="shared" si="1877"/>
        <v>0.82852465007999987</v>
      </c>
      <c r="AY1146" s="681">
        <f t="shared" si="1877"/>
        <v>0.14268597290079998</v>
      </c>
      <c r="AZ1146" s="681">
        <f t="shared" si="1877"/>
        <v>0.43981937736750004</v>
      </c>
      <c r="BA1146" s="681">
        <f t="shared" si="1877"/>
        <v>0.43558012800000001</v>
      </c>
      <c r="BB1146" s="681">
        <f t="shared" si="1877"/>
        <v>1.0110004000000001E-2</v>
      </c>
      <c r="BC1146" s="681">
        <f t="shared" si="1877"/>
        <v>0.92716271800000005</v>
      </c>
      <c r="BD1146" s="681">
        <f t="shared" si="1877"/>
        <v>0.33331492800000001</v>
      </c>
      <c r="BE1146" s="681">
        <f t="shared" si="1877"/>
        <v>0.16448881800000001</v>
      </c>
      <c r="BF1146" s="681">
        <f t="shared" si="1877"/>
        <v>0.46239011799999996</v>
      </c>
      <c r="BG1146" s="681">
        <f t="shared" si="1877"/>
        <v>0.34486628699999999</v>
      </c>
      <c r="BH1146" s="681">
        <f t="shared" si="1877"/>
        <v>9.8366340000000003E-3</v>
      </c>
      <c r="BI1146" s="681">
        <f t="shared" si="1877"/>
        <v>1.212131165</v>
      </c>
      <c r="BJ1146" s="681">
        <f t="shared" si="1877"/>
        <v>0.33043321182000002</v>
      </c>
      <c r="BK1146" s="681">
        <f t="shared" si="1877"/>
        <v>0.32499299599999998</v>
      </c>
      <c r="BL1146" s="681">
        <f t="shared" si="1877"/>
        <v>0.34056488600000001</v>
      </c>
      <c r="BM1146" s="681">
        <f t="shared" si="1877"/>
        <v>0.39396392488999998</v>
      </c>
      <c r="BN1146" s="681">
        <f t="shared" si="1877"/>
        <v>7.265613348000001E-2</v>
      </c>
      <c r="BO1146" s="681">
        <f t="shared" si="1877"/>
        <v>1.2065038939999999</v>
      </c>
      <c r="BP1146" s="681">
        <f t="shared" si="1877"/>
        <v>0.31302999999999997</v>
      </c>
      <c r="BQ1146" s="681">
        <f t="shared" ref="BQ1146:CV1146" si="1878">+BQ518</f>
        <v>0.34902942385000002</v>
      </c>
      <c r="BR1146" s="681">
        <f t="shared" si="1878"/>
        <v>0.31419376257999998</v>
      </c>
      <c r="BS1146" s="681">
        <f t="shared" si="1878"/>
        <v>0.43530000000000002</v>
      </c>
      <c r="BT1146" s="681">
        <f t="shared" si="1878"/>
        <v>0.11749999999999999</v>
      </c>
      <c r="BU1146" s="681">
        <f t="shared" si="1878"/>
        <v>0.94889999999999997</v>
      </c>
      <c r="BV1146" s="681">
        <f t="shared" si="1878"/>
        <v>0</v>
      </c>
      <c r="BW1146" s="681">
        <f t="shared" si="1878"/>
        <v>0</v>
      </c>
      <c r="BX1146" s="681">
        <f t="shared" si="1878"/>
        <v>0</v>
      </c>
      <c r="BY1146" s="681">
        <f t="shared" si="1878"/>
        <v>0.58962372103436689</v>
      </c>
      <c r="BZ1146" s="681">
        <f t="shared" si="1878"/>
        <v>0.26209405264554808</v>
      </c>
      <c r="CA1146" s="681">
        <f t="shared" si="1878"/>
        <v>1.5240433492468854</v>
      </c>
      <c r="CB1146" s="681">
        <f t="shared" si="1878"/>
        <v>0.94911435578394543</v>
      </c>
      <c r="CC1146" s="681">
        <f t="shared" si="1878"/>
        <v>0.83735857921354295</v>
      </c>
      <c r="CD1146" s="681">
        <f t="shared" si="1878"/>
        <v>0.3171077764414989</v>
      </c>
      <c r="CE1146" s="681">
        <f t="shared" si="1878"/>
        <v>0.6969246684296645</v>
      </c>
      <c r="CF1146" s="681">
        <f t="shared" si="1878"/>
        <v>0.20840830560696241</v>
      </c>
      <c r="CG1146" s="681">
        <f t="shared" si="1878"/>
        <v>0.97392462447706141</v>
      </c>
      <c r="CH1146" s="681">
        <f t="shared" si="1878"/>
        <v>9.8554909258991508</v>
      </c>
      <c r="CI1146" s="681">
        <f t="shared" si="1878"/>
        <v>0.32145879232868413</v>
      </c>
      <c r="CJ1146" s="681">
        <f t="shared" si="1878"/>
        <v>0.19237510966634239</v>
      </c>
      <c r="CK1146" s="681">
        <f t="shared" si="1878"/>
        <v>0.71346271088450908</v>
      </c>
      <c r="CL1146" s="681">
        <f t="shared" si="1878"/>
        <v>0.21600343383900905</v>
      </c>
      <c r="CM1146" s="681">
        <f t="shared" si="1878"/>
        <v>1.1769884505048114</v>
      </c>
      <c r="CN1146" s="681">
        <f t="shared" si="1878"/>
        <v>10.349296616037982</v>
      </c>
      <c r="CO1146" s="681">
        <f t="shared" si="1878"/>
        <v>0.49532113773663172</v>
      </c>
      <c r="CP1146" s="681">
        <f t="shared" si="1878"/>
        <v>0.33179743428691255</v>
      </c>
      <c r="CQ1146" s="681">
        <f t="shared" si="1878"/>
        <v>0.79099153748848061</v>
      </c>
      <c r="CR1146" s="681">
        <f t="shared" si="1878"/>
        <v>0.11403729645791975</v>
      </c>
      <c r="CS1146" s="681">
        <f t="shared" si="1878"/>
        <v>1.4733748898749943</v>
      </c>
      <c r="CT1146" s="681">
        <f t="shared" si="1878"/>
        <v>10.366451704121625</v>
      </c>
      <c r="CU1146" s="681">
        <f t="shared" si="1878"/>
        <v>0.50758294923288882</v>
      </c>
      <c r="CV1146" s="681">
        <f t="shared" si="1878"/>
        <v>0.35534728540567539</v>
      </c>
      <c r="CW1146" s="681">
        <f t="shared" ref="CW1146:EB1146" si="1879">+CW518</f>
        <v>0.24830707547233477</v>
      </c>
      <c r="CX1146" s="681">
        <f t="shared" si="1879"/>
        <v>0.74359800471522997</v>
      </c>
      <c r="CY1146" s="681">
        <f t="shared" si="1879"/>
        <v>1.1104098504566957</v>
      </c>
      <c r="CZ1146" s="681">
        <f t="shared" si="1879"/>
        <v>11.084422587891101</v>
      </c>
      <c r="DA1146" s="681">
        <f t="shared" si="1879"/>
        <v>0.40285186905315495</v>
      </c>
      <c r="DB1146" s="681">
        <f t="shared" si="1879"/>
        <v>0.41327722969822789</v>
      </c>
      <c r="DC1146" s="681">
        <f t="shared" si="1879"/>
        <v>0.30581300002400003</v>
      </c>
      <c r="DD1146" s="681">
        <f t="shared" si="1879"/>
        <v>1.3218321449999999</v>
      </c>
      <c r="DE1146" s="681">
        <f t="shared" si="1879"/>
        <v>1.7112772300000001</v>
      </c>
      <c r="DF1146" s="681">
        <f t="shared" si="1879"/>
        <v>10.920185254000002</v>
      </c>
      <c r="DG1146" s="681">
        <f t="shared" si="1879"/>
        <v>0.41516584300000003</v>
      </c>
      <c r="DH1146" s="681">
        <f t="shared" si="1879"/>
        <v>0.48394333900000003</v>
      </c>
      <c r="DI1146" s="681">
        <f t="shared" si="1879"/>
        <v>1.017606302988461</v>
      </c>
      <c r="DJ1146" s="681">
        <f t="shared" si="1879"/>
        <v>1.3759804558694047</v>
      </c>
      <c r="DK1146" s="681">
        <f t="shared" si="1879"/>
        <v>1.4788225950813481</v>
      </c>
      <c r="DL1146" s="681">
        <f t="shared" si="1879"/>
        <v>11.335465838468624</v>
      </c>
      <c r="DM1146" s="681">
        <f t="shared" si="1879"/>
        <v>0.57451591380627609</v>
      </c>
      <c r="DN1146" s="681">
        <f t="shared" si="1879"/>
        <v>0.40663164738113922</v>
      </c>
      <c r="DO1146" s="681">
        <f t="shared" si="1879"/>
        <v>0.32722966209005344</v>
      </c>
      <c r="DP1146" s="681">
        <f t="shared" si="1879"/>
        <v>1.9954767715179773</v>
      </c>
      <c r="DQ1146" s="681">
        <f t="shared" si="1879"/>
        <v>2.9979238477775936</v>
      </c>
      <c r="DR1146" s="681">
        <f t="shared" si="1879"/>
        <v>11.535534062562478</v>
      </c>
      <c r="DS1146" s="681">
        <f t="shared" si="1879"/>
        <v>1.269771634989743</v>
      </c>
      <c r="DT1146" s="681">
        <f t="shared" si="1879"/>
        <v>0.36580835911539161</v>
      </c>
      <c r="DU1146" s="681">
        <f t="shared" si="1879"/>
        <v>1.2244464356620535</v>
      </c>
      <c r="DV1146" s="681">
        <f t="shared" si="1879"/>
        <v>1.4120260280794017</v>
      </c>
      <c r="DW1146" s="681">
        <f t="shared" si="1879"/>
        <v>3.1098523726815488</v>
      </c>
      <c r="DX1146" s="681">
        <f t="shared" si="1879"/>
        <v>11.528777302292301</v>
      </c>
      <c r="DY1146" s="681">
        <f t="shared" si="1879"/>
        <v>0.82126644185797826</v>
      </c>
      <c r="DZ1146" s="681">
        <f t="shared" si="1879"/>
        <v>0.35050648456913208</v>
      </c>
      <c r="EA1146" s="681">
        <f t="shared" si="1879"/>
        <v>1.3678306704717365</v>
      </c>
      <c r="EB1146" s="681">
        <f t="shared" si="1879"/>
        <v>2.772290399442614</v>
      </c>
      <c r="EC1146" s="681">
        <f t="shared" ref="EC1146:EX1146" si="1880">+EC518</f>
        <v>3.5298521251364812</v>
      </c>
      <c r="ED1146" s="681">
        <f t="shared" si="1880"/>
        <v>12.121851679449437</v>
      </c>
      <c r="EE1146" s="681">
        <f t="shared" si="1880"/>
        <v>0.77899620178828854</v>
      </c>
      <c r="EF1146" s="681">
        <f t="shared" si="1880"/>
        <v>0.43908386018975831</v>
      </c>
      <c r="EG1146" s="681">
        <f t="shared" si="1880"/>
        <v>1.1161334320857534</v>
      </c>
      <c r="EH1146" s="681">
        <f t="shared" si="1880"/>
        <v>3.0604763937396848</v>
      </c>
      <c r="EI1146" s="681">
        <f t="shared" si="1880"/>
        <v>2.0036299772964439</v>
      </c>
      <c r="EJ1146" s="681">
        <f t="shared" si="1880"/>
        <v>13.871885997789011</v>
      </c>
      <c r="EK1146" s="681">
        <f t="shared" si="1880"/>
        <v>0.75602008683280353</v>
      </c>
      <c r="EL1146" s="681">
        <f t="shared" si="1880"/>
        <v>1.0089266132560877</v>
      </c>
      <c r="EM1146" s="681">
        <f t="shared" si="1880"/>
        <v>1.6198623873765028</v>
      </c>
      <c r="EN1146" s="681">
        <f t="shared" si="1880"/>
        <v>2.7373024249772246</v>
      </c>
      <c r="EO1146" s="681">
        <f t="shared" si="1880"/>
        <v>2.0123866936801722</v>
      </c>
      <c r="EP1146" s="681">
        <f t="shared" si="1880"/>
        <v>14.22283591316187</v>
      </c>
      <c r="EQ1146" s="681">
        <f t="shared" si="1880"/>
        <v>1.4073944976639343</v>
      </c>
      <c r="ER1146" s="681">
        <f t="shared" si="1880"/>
        <v>1.0850148726375077</v>
      </c>
      <c r="ES1146" s="681">
        <f t="shared" si="1880"/>
        <v>1.7520355385139252</v>
      </c>
      <c r="ET1146" s="681">
        <f t="shared" si="1880"/>
        <v>2.54408384332124</v>
      </c>
      <c r="EU1146" s="681">
        <f t="shared" si="1880"/>
        <v>4.4114107411148815</v>
      </c>
      <c r="EV1146" s="681">
        <f t="shared" si="1880"/>
        <v>12.708406492627095</v>
      </c>
      <c r="EW1146" s="681">
        <f t="shared" si="1880"/>
        <v>2.0007631160883328</v>
      </c>
      <c r="EX1146" s="681">
        <f t="shared" si="1880"/>
        <v>1.3867201917728373</v>
      </c>
      <c r="EY1146" s="1860">
        <f t="shared" ref="EY1146:GD1146" si="1881">+EY781</f>
        <v>2.2628124293112153</v>
      </c>
      <c r="EZ1146" s="681">
        <f t="shared" si="1881"/>
        <v>3.0044166297506907</v>
      </c>
      <c r="FA1146" s="681">
        <f t="shared" si="1881"/>
        <v>4.6224758041384097</v>
      </c>
      <c r="FB1146" s="681">
        <f t="shared" si="1881"/>
        <v>15.064061914841748</v>
      </c>
      <c r="FC1146" s="681">
        <f t="shared" si="1881"/>
        <v>2.678425054516711</v>
      </c>
      <c r="FD1146" s="681">
        <f t="shared" si="1881"/>
        <v>0.80721773972904587</v>
      </c>
      <c r="FE1146" s="681">
        <f t="shared" si="1881"/>
        <v>3.5610480045411377</v>
      </c>
      <c r="FF1146" s="681">
        <f t="shared" si="1881"/>
        <v>3.2167937696168343</v>
      </c>
      <c r="FG1146" s="681">
        <f t="shared" si="1881"/>
        <v>5.2020126962930346</v>
      </c>
      <c r="FH1146" s="681">
        <f t="shared" si="1881"/>
        <v>14.917319584685547</v>
      </c>
      <c r="FI1146" s="681">
        <f t="shared" si="1881"/>
        <v>3.1411812884450443</v>
      </c>
      <c r="FJ1146" s="681">
        <f t="shared" si="1881"/>
        <v>2.3392490061899642</v>
      </c>
      <c r="FK1146" s="681">
        <f t="shared" si="1881"/>
        <v>2.1311138522174171</v>
      </c>
      <c r="FL1146" s="681">
        <f t="shared" si="1881"/>
        <v>3.6659391624605435</v>
      </c>
      <c r="FM1146" s="681">
        <f t="shared" si="1881"/>
        <v>6.6097783233688849</v>
      </c>
      <c r="FN1146" s="681">
        <f t="shared" si="1881"/>
        <v>14.472022977643345</v>
      </c>
      <c r="FO1146" s="681">
        <f t="shared" si="1881"/>
        <v>3.8616398652420614</v>
      </c>
      <c r="FP1146" s="681">
        <f t="shared" si="1881"/>
        <v>2.0407557288935885</v>
      </c>
      <c r="FQ1146" s="681">
        <f t="shared" si="1881"/>
        <v>3.018595064937359</v>
      </c>
      <c r="FR1146" s="681">
        <f t="shared" si="1881"/>
        <v>4.1255898384212824</v>
      </c>
      <c r="FS1146" s="681">
        <f t="shared" si="1881"/>
        <v>7.0408369434813904</v>
      </c>
      <c r="FT1146" s="681">
        <f t="shared" si="1881"/>
        <v>14.877754502618028</v>
      </c>
      <c r="FU1146" s="681">
        <f t="shared" si="1881"/>
        <v>3.4291717512039499</v>
      </c>
      <c r="FV1146" s="681">
        <f t="shared" si="1881"/>
        <v>1.9037964901119899</v>
      </c>
      <c r="FW1146" s="681">
        <f t="shared" si="1881"/>
        <v>3.0111710048357687</v>
      </c>
      <c r="FX1146" s="681">
        <f t="shared" si="1881"/>
        <v>10.635850491463801</v>
      </c>
      <c r="FY1146" s="681">
        <f t="shared" si="1881"/>
        <v>6.8643131069934498</v>
      </c>
      <c r="FZ1146" s="681">
        <f t="shared" si="1881"/>
        <v>1.3540609383678777</v>
      </c>
      <c r="GA1146" s="681">
        <f t="shared" si="1881"/>
        <v>4.381167408148027</v>
      </c>
      <c r="GB1146" s="681">
        <f t="shared" si="1881"/>
        <v>1.55055324269274</v>
      </c>
      <c r="GC1146" s="681">
        <f t="shared" si="1881"/>
        <v>4.1413609305670294</v>
      </c>
      <c r="GD1146" s="681">
        <f t="shared" si="1881"/>
        <v>21.884791707702441</v>
      </c>
      <c r="GE1146" s="681">
        <f t="shared" ref="GE1146:HL1146" si="1882">+GE781</f>
        <v>7.526577834151027</v>
      </c>
      <c r="GF1146" s="681">
        <f t="shared" si="1882"/>
        <v>3.4334906522701032</v>
      </c>
      <c r="GG1146" s="681">
        <f t="shared" si="1882"/>
        <v>4.0878705869733327</v>
      </c>
      <c r="GH1146" s="681">
        <f t="shared" si="1882"/>
        <v>1.0963131248898048</v>
      </c>
      <c r="GI1146" s="681">
        <f t="shared" si="1882"/>
        <v>3.3092056958089713</v>
      </c>
      <c r="GJ1146" s="681">
        <f t="shared" si="1882"/>
        <v>22.650780052458025</v>
      </c>
      <c r="GK1146" s="681">
        <f t="shared" si="1882"/>
        <v>7.5170681773496026</v>
      </c>
      <c r="GL1146" s="681">
        <f t="shared" si="1882"/>
        <v>2.3543160589860102</v>
      </c>
      <c r="GM1146" s="681">
        <f t="shared" si="1882"/>
        <v>6.4630748740000126</v>
      </c>
      <c r="GN1146" s="681">
        <f t="shared" si="1882"/>
        <v>1.0409838473156541</v>
      </c>
      <c r="GO1146" s="681">
        <f t="shared" si="1882"/>
        <v>4.8511278593136762</v>
      </c>
      <c r="GP1146" s="681">
        <f t="shared" si="1882"/>
        <v>24.788084443489012</v>
      </c>
      <c r="GQ1146" s="681">
        <f t="shared" si="1882"/>
        <v>7.2483733268749315</v>
      </c>
      <c r="GR1146" s="681">
        <f t="shared" si="1882"/>
        <v>7.5574463796020108</v>
      </c>
      <c r="GS1146" s="681">
        <f t="shared" si="1882"/>
        <v>11.596701611589399</v>
      </c>
      <c r="GT1146" s="681">
        <f t="shared" si="1882"/>
        <v>1.4719005173140647</v>
      </c>
      <c r="GU1146" s="681">
        <f t="shared" si="1882"/>
        <v>6.7227833908204371</v>
      </c>
      <c r="GV1146" s="681">
        <f t="shared" si="1882"/>
        <v>28.717426718200194</v>
      </c>
      <c r="GW1146" s="681">
        <f t="shared" si="1882"/>
        <v>9.5612216072974459</v>
      </c>
      <c r="GX1146" s="681">
        <f t="shared" si="1882"/>
        <v>5.5347149109490976</v>
      </c>
      <c r="GY1146" s="681">
        <f t="shared" si="1882"/>
        <v>17.935308096254452</v>
      </c>
      <c r="GZ1146" s="681">
        <f t="shared" si="1882"/>
        <v>9.6507458941506616</v>
      </c>
      <c r="HA1146" s="681">
        <f t="shared" si="1882"/>
        <v>7.4258548075896105</v>
      </c>
      <c r="HB1146" s="681">
        <f t="shared" si="1882"/>
        <v>33.340351213451157</v>
      </c>
      <c r="HC1146" s="681">
        <f t="shared" si="1882"/>
        <v>10.396354616118439</v>
      </c>
      <c r="HD1146" s="681">
        <f t="shared" si="1882"/>
        <v>6.8946206912747234</v>
      </c>
      <c r="HE1146" s="681">
        <f t="shared" si="1882"/>
        <v>20.578426141520598</v>
      </c>
      <c r="HF1146" s="681">
        <f t="shared" si="1882"/>
        <v>26.494068693360703</v>
      </c>
      <c r="HG1146" s="681">
        <f t="shared" si="1882"/>
        <v>10.205643385021778</v>
      </c>
      <c r="HH1146" s="681">
        <f t="shared" si="1882"/>
        <v>34.923771469304235</v>
      </c>
      <c r="HI1146" s="681">
        <f t="shared" si="1882"/>
        <v>11.380694865912622</v>
      </c>
      <c r="HJ1146" s="681">
        <f t="shared" si="1882"/>
        <v>8.9568610229708039</v>
      </c>
      <c r="HK1146" s="681">
        <f t="shared" si="1882"/>
        <v>22.883165412710976</v>
      </c>
      <c r="HL1146" s="681">
        <f t="shared" si="1882"/>
        <v>10.657852581327523</v>
      </c>
    </row>
    <row r="1147" spans="4:220" ht="17.25" customHeight="1" thickBot="1">
      <c r="D1147" s="1235" t="s">
        <v>3346</v>
      </c>
      <c r="E1147" s="302">
        <f t="shared" ref="E1147:AG1147" si="1883">E521</f>
        <v>7.2667200000000003</v>
      </c>
      <c r="F1147" s="302">
        <f t="shared" si="1883"/>
        <v>9.002600000000001</v>
      </c>
      <c r="G1147" s="302">
        <f t="shared" si="1883"/>
        <v>5.7828100000000004</v>
      </c>
      <c r="H1147" s="302">
        <f t="shared" si="1883"/>
        <v>13.70635</v>
      </c>
      <c r="I1147" s="302">
        <f t="shared" si="1883"/>
        <v>7.0205299999999999</v>
      </c>
      <c r="J1147" s="302">
        <f t="shared" si="1883"/>
        <v>3.4770300000000001</v>
      </c>
      <c r="K1147" s="302">
        <f t="shared" si="1883"/>
        <v>14.639100000000001</v>
      </c>
      <c r="L1147" s="302">
        <f t="shared" si="1883"/>
        <v>10.878540000000001</v>
      </c>
      <c r="M1147" s="302">
        <f t="shared" si="1883"/>
        <v>5.5077700000000007</v>
      </c>
      <c r="N1147" s="302">
        <f t="shared" si="1883"/>
        <v>12.809950000000001</v>
      </c>
      <c r="O1147" s="302">
        <f t="shared" si="1883"/>
        <v>11.06955</v>
      </c>
      <c r="P1147" s="302">
        <f t="shared" si="1883"/>
        <v>2.673</v>
      </c>
      <c r="Q1147" s="302">
        <f t="shared" si="1883"/>
        <v>12.96987</v>
      </c>
      <c r="R1147" s="302">
        <f t="shared" si="1883"/>
        <v>9.0474599999999992</v>
      </c>
      <c r="S1147" s="302">
        <f t="shared" si="1883"/>
        <v>8.67164</v>
      </c>
      <c r="T1147" s="302">
        <f t="shared" si="1883"/>
        <v>18.97531</v>
      </c>
      <c r="U1147" s="302">
        <f t="shared" si="1883"/>
        <v>9.039299999999999</v>
      </c>
      <c r="V1147" s="302">
        <f t="shared" si="1883"/>
        <v>5.5130299999999997</v>
      </c>
      <c r="W1147" s="302">
        <f t="shared" si="1883"/>
        <v>17.475630000000002</v>
      </c>
      <c r="X1147" s="302">
        <f t="shared" si="1883"/>
        <v>12.424200000000001</v>
      </c>
      <c r="Y1147" s="302">
        <f t="shared" si="1883"/>
        <v>6.6095899999999999</v>
      </c>
      <c r="Z1147" s="302">
        <f t="shared" si="1883"/>
        <v>23.312009999999997</v>
      </c>
      <c r="AA1147" s="302">
        <f t="shared" si="1883"/>
        <v>3.9148200000000002</v>
      </c>
      <c r="AB1147" s="302">
        <f t="shared" si="1883"/>
        <v>2.4929399999999999</v>
      </c>
      <c r="AC1147" s="302">
        <f t="shared" si="1883"/>
        <v>15.508569999999999</v>
      </c>
      <c r="AD1147" s="302">
        <f t="shared" si="1883"/>
        <v>10.249450000000001</v>
      </c>
      <c r="AE1147" s="302">
        <f t="shared" si="1883"/>
        <v>16.095500000000001</v>
      </c>
      <c r="AF1147" s="302">
        <f t="shared" si="1883"/>
        <v>18.675650000000001</v>
      </c>
      <c r="AG1147" s="302">
        <f t="shared" si="1883"/>
        <v>9.8673899999999986</v>
      </c>
      <c r="AH1147" s="302">
        <f t="shared" ref="AH1147:AM1147" si="1884">AH611+AH1148</f>
        <v>0</v>
      </c>
      <c r="AI1147" s="302">
        <f t="shared" si="1884"/>
        <v>1.5</v>
      </c>
      <c r="AJ1147" s="302">
        <f t="shared" si="1884"/>
        <v>0</v>
      </c>
      <c r="AK1147" s="302">
        <f t="shared" si="1884"/>
        <v>0</v>
      </c>
      <c r="AL1147" s="302">
        <f t="shared" si="1884"/>
        <v>0</v>
      </c>
      <c r="AM1147" s="302">
        <f t="shared" si="1884"/>
        <v>0</v>
      </c>
      <c r="AN1147" s="302">
        <f>AN521</f>
        <v>10.116910000000001</v>
      </c>
      <c r="AQ1147" s="302">
        <f t="shared" ref="AQ1147:BV1147" si="1885">AQ521</f>
        <v>16.22268</v>
      </c>
      <c r="AR1147" s="302">
        <f t="shared" si="1885"/>
        <v>20.38944</v>
      </c>
      <c r="AS1147" s="302">
        <f t="shared" si="1885"/>
        <v>17.304639999999999</v>
      </c>
      <c r="AT1147" s="302">
        <f t="shared" si="1885"/>
        <v>10.74906</v>
      </c>
      <c r="AU1147" s="302">
        <f t="shared" si="1885"/>
        <v>13.429770000000001</v>
      </c>
      <c r="AV1147" s="302">
        <f t="shared" si="1885"/>
        <v>18.046759999999999</v>
      </c>
      <c r="AW1147" s="302">
        <f t="shared" si="1885"/>
        <v>17.893750000000001</v>
      </c>
      <c r="AX1147" s="302">
        <f t="shared" si="1885"/>
        <v>17.889749999999999</v>
      </c>
      <c r="AY1147" s="302">
        <f t="shared" si="1885"/>
        <v>16.191219999999998</v>
      </c>
      <c r="AZ1147" s="302">
        <f t="shared" si="1885"/>
        <v>12.667129999999998</v>
      </c>
      <c r="BA1147" s="302">
        <f t="shared" si="1885"/>
        <v>25.683130000000002</v>
      </c>
      <c r="BB1147" s="302">
        <f t="shared" si="1885"/>
        <v>11.817030000000001</v>
      </c>
      <c r="BC1147" s="302">
        <f t="shared" si="1885"/>
        <v>12.446290000000001</v>
      </c>
      <c r="BD1147" s="302">
        <f t="shared" si="1885"/>
        <v>21.963950000000001</v>
      </c>
      <c r="BE1147" s="302">
        <f t="shared" si="1885"/>
        <v>21.648959999999999</v>
      </c>
      <c r="BF1147" s="302">
        <f t="shared" si="1885"/>
        <v>8.2083700000000004</v>
      </c>
      <c r="BG1147" s="302">
        <f t="shared" si="1885"/>
        <v>12.592700000000001</v>
      </c>
      <c r="BH1147" s="302">
        <f t="shared" si="1885"/>
        <v>29.238289999999999</v>
      </c>
      <c r="BI1147" s="302">
        <f t="shared" si="1885"/>
        <v>12.18008</v>
      </c>
      <c r="BJ1147" s="302">
        <f t="shared" si="1885"/>
        <v>29.9862</v>
      </c>
      <c r="BK1147" s="302">
        <f t="shared" si="1885"/>
        <v>20.255710000000001</v>
      </c>
      <c r="BL1147" s="302">
        <f t="shared" si="1885"/>
        <v>14.2812</v>
      </c>
      <c r="BM1147" s="302">
        <f t="shared" si="1885"/>
        <v>25.0715</v>
      </c>
      <c r="BN1147" s="302">
        <f t="shared" si="1885"/>
        <v>15.22199</v>
      </c>
      <c r="BO1147" s="302">
        <f t="shared" si="1885"/>
        <v>13.509270000000001</v>
      </c>
      <c r="BP1147" s="302">
        <f t="shared" si="1885"/>
        <v>29.841750000000001</v>
      </c>
      <c r="BQ1147" s="302">
        <f t="shared" si="1885"/>
        <v>19.000599999999999</v>
      </c>
      <c r="BR1147" s="302">
        <f t="shared" si="1885"/>
        <v>4.2215699999999998</v>
      </c>
      <c r="BS1147" s="302">
        <f t="shared" si="1885"/>
        <v>28.763500000000001</v>
      </c>
      <c r="BT1147" s="302">
        <f t="shared" si="1885"/>
        <v>22.3185</v>
      </c>
      <c r="BU1147" s="302">
        <f t="shared" si="1885"/>
        <v>13.969700000000001</v>
      </c>
      <c r="BV1147" s="302">
        <f t="shared" si="1885"/>
        <v>33.816107766000002</v>
      </c>
      <c r="BW1147" s="302">
        <f t="shared" ref="BW1147:DB1147" si="1886">BW521</f>
        <v>22.982548066</v>
      </c>
      <c r="BX1147" s="302">
        <f t="shared" si="1886"/>
        <v>12.194446618000001</v>
      </c>
      <c r="BY1147" s="302">
        <f t="shared" si="1886"/>
        <v>23.322773112</v>
      </c>
      <c r="BZ1147" s="302">
        <f t="shared" si="1886"/>
        <v>23.478185815</v>
      </c>
      <c r="CA1147" s="302">
        <f t="shared" si="1886"/>
        <v>12.794870319999999</v>
      </c>
      <c r="CB1147" s="302">
        <f t="shared" si="1886"/>
        <v>35.783130337000003</v>
      </c>
      <c r="CC1147" s="302">
        <f t="shared" si="1886"/>
        <v>19.252583978000001</v>
      </c>
      <c r="CD1147" s="302">
        <f t="shared" si="1886"/>
        <v>7.857864578</v>
      </c>
      <c r="CE1147" s="302">
        <f t="shared" si="1886"/>
        <v>31.192567466</v>
      </c>
      <c r="CF1147" s="302">
        <f t="shared" si="1886"/>
        <v>28.036041021999999</v>
      </c>
      <c r="CG1147" s="302">
        <f t="shared" si="1886"/>
        <v>19.255505343999999</v>
      </c>
      <c r="CH1147" s="302">
        <f t="shared" si="1886"/>
        <v>41.869910961000002</v>
      </c>
      <c r="CI1147" s="302">
        <f t="shared" si="1886"/>
        <v>18.912014732999999</v>
      </c>
      <c r="CJ1147" s="302">
        <f t="shared" si="1886"/>
        <v>11.869387855999999</v>
      </c>
      <c r="CK1147" s="302">
        <f t="shared" si="1886"/>
        <v>32.160711262</v>
      </c>
      <c r="CL1147" s="302">
        <f t="shared" si="1886"/>
        <v>19.504065296</v>
      </c>
      <c r="CM1147" s="302">
        <f t="shared" si="1886"/>
        <v>18.083639073000001</v>
      </c>
      <c r="CN1147" s="302">
        <f t="shared" si="1886"/>
        <v>20.865577895000001</v>
      </c>
      <c r="CO1147" s="302">
        <f t="shared" si="1886"/>
        <v>30.707759768999999</v>
      </c>
      <c r="CP1147" s="302">
        <f t="shared" si="1886"/>
        <v>14.319031366999999</v>
      </c>
      <c r="CQ1147" s="302">
        <f t="shared" si="1886"/>
        <v>34.06160981</v>
      </c>
      <c r="CR1147" s="302">
        <f t="shared" si="1886"/>
        <v>22.177663803000002</v>
      </c>
      <c r="CS1147" s="302">
        <f t="shared" si="1886"/>
        <v>20.930272569</v>
      </c>
      <c r="CT1147" s="302">
        <f t="shared" si="1886"/>
        <v>30.547470727</v>
      </c>
      <c r="CU1147" s="302">
        <f t="shared" si="1886"/>
        <v>17.438616502999999</v>
      </c>
      <c r="CV1147" s="302">
        <f t="shared" si="1886"/>
        <v>15.206777966000001</v>
      </c>
      <c r="CW1147" s="302">
        <f t="shared" si="1886"/>
        <v>26.679335974000001</v>
      </c>
      <c r="CX1147" s="302">
        <f t="shared" si="1886"/>
        <v>15.634970797999999</v>
      </c>
      <c r="CY1147" s="302">
        <f t="shared" si="1886"/>
        <v>18.597033776</v>
      </c>
      <c r="CZ1147" s="302">
        <f t="shared" si="1886"/>
        <v>26.65231503</v>
      </c>
      <c r="DA1147" s="302">
        <f t="shared" si="1886"/>
        <v>26.733774095000001</v>
      </c>
      <c r="DB1147" s="706">
        <f t="shared" si="1886"/>
        <v>10.103397703000001</v>
      </c>
      <c r="DC1147" s="302">
        <f t="shared" ref="DC1147:EH1147" si="1887">DC521</f>
        <v>27.871774482000003</v>
      </c>
      <c r="DD1147" s="302">
        <f t="shared" si="1887"/>
        <v>23.774013855245538</v>
      </c>
      <c r="DE1147" s="302">
        <f t="shared" si="1887"/>
        <v>17.090073959999998</v>
      </c>
      <c r="DF1147" s="302">
        <f t="shared" si="1887"/>
        <v>36.413362028000002</v>
      </c>
      <c r="DG1147" s="302">
        <f t="shared" si="1887"/>
        <v>25.629953723999996</v>
      </c>
      <c r="DH1147" s="302">
        <f t="shared" si="1887"/>
        <v>27.763238888</v>
      </c>
      <c r="DI1147" s="302">
        <f t="shared" si="1887"/>
        <v>29.521204540999999</v>
      </c>
      <c r="DJ1147" s="302">
        <f t="shared" si="1887"/>
        <v>18.723542954999999</v>
      </c>
      <c r="DK1147" s="302">
        <f t="shared" si="1887"/>
        <v>31.609312495000001</v>
      </c>
      <c r="DL1147" s="302">
        <f t="shared" si="1887"/>
        <v>38.456853346999999</v>
      </c>
      <c r="DM1147" s="302">
        <f t="shared" si="1887"/>
        <v>18.475441296</v>
      </c>
      <c r="DN1147" s="303">
        <f t="shared" si="1887"/>
        <v>13.336047895000004</v>
      </c>
      <c r="DO1147" s="302">
        <f t="shared" si="1887"/>
        <v>24.401042397000001</v>
      </c>
      <c r="DP1147" s="302">
        <f t="shared" si="1887"/>
        <v>27.819948847999999</v>
      </c>
      <c r="DQ1147" s="302">
        <f t="shared" si="1887"/>
        <v>23.270685218000001</v>
      </c>
      <c r="DR1147" s="302">
        <f t="shared" si="1887"/>
        <v>38.605493967999998</v>
      </c>
      <c r="DS1147" s="302">
        <f t="shared" si="1887"/>
        <v>24.668040945999998</v>
      </c>
      <c r="DT1147" s="302">
        <f t="shared" si="1887"/>
        <v>23.407676574</v>
      </c>
      <c r="DU1147" s="302">
        <f t="shared" si="1887"/>
        <v>42.084308273999994</v>
      </c>
      <c r="DV1147" s="302">
        <f t="shared" si="1887"/>
        <v>24.311026305999999</v>
      </c>
      <c r="DW1147" s="302">
        <f t="shared" si="1887"/>
        <v>28.427429018999998</v>
      </c>
      <c r="DX1147" s="302">
        <f t="shared" si="1887"/>
        <v>47.781328583333334</v>
      </c>
      <c r="DY1147" s="302">
        <f t="shared" si="1887"/>
        <v>24.606105977333328</v>
      </c>
      <c r="DZ1147" s="303">
        <f t="shared" si="1887"/>
        <v>31.520329049153332</v>
      </c>
      <c r="EA1147" s="302">
        <f t="shared" si="1887"/>
        <v>30.424938833999999</v>
      </c>
      <c r="EB1147" s="302">
        <f t="shared" si="1887"/>
        <v>31.644467306999999</v>
      </c>
      <c r="EC1147" s="302">
        <f t="shared" si="1887"/>
        <v>28.742059455</v>
      </c>
      <c r="ED1147" s="302">
        <f t="shared" si="1887"/>
        <v>31.123278899999999</v>
      </c>
      <c r="EE1147" s="302">
        <f t="shared" si="1887"/>
        <v>33.251128881999996</v>
      </c>
      <c r="EF1147" s="302">
        <f t="shared" si="1887"/>
        <v>33.777009689000003</v>
      </c>
      <c r="EG1147" s="302">
        <f t="shared" si="1887"/>
        <v>26.185664580235613</v>
      </c>
      <c r="EH1147" s="302">
        <f t="shared" si="1887"/>
        <v>33.78208602950194</v>
      </c>
      <c r="EI1147" s="302">
        <f t="shared" ref="EI1147:EX1147" si="1888">EI521</f>
        <v>45.51395712029386</v>
      </c>
      <c r="EJ1147" s="302">
        <f t="shared" si="1888"/>
        <v>25.110562395176451</v>
      </c>
      <c r="EK1147" s="302">
        <f t="shared" si="1888"/>
        <v>35.818451724572107</v>
      </c>
      <c r="EL1147" s="303">
        <f t="shared" si="1888"/>
        <v>27.723870851060006</v>
      </c>
      <c r="EM1147" s="302">
        <f t="shared" si="1888"/>
        <v>20.833559621999999</v>
      </c>
      <c r="EN1147" s="302">
        <f t="shared" si="1888"/>
        <v>35.324157685000003</v>
      </c>
      <c r="EO1147" s="302">
        <f t="shared" si="1888"/>
        <v>36.623113132</v>
      </c>
      <c r="EP1147" s="302">
        <f t="shared" si="1888"/>
        <v>42.792422794000004</v>
      </c>
      <c r="EQ1147" s="302">
        <f t="shared" si="1888"/>
        <v>48.788264975999994</v>
      </c>
      <c r="ER1147" s="302">
        <f t="shared" si="1888"/>
        <v>40.30012699200001</v>
      </c>
      <c r="ES1147" s="302">
        <f t="shared" si="1888"/>
        <v>28.252861577000001</v>
      </c>
      <c r="ET1147" s="302">
        <f t="shared" si="1888"/>
        <v>23.152575327999998</v>
      </c>
      <c r="EU1147" s="302">
        <f t="shared" si="1888"/>
        <v>44.464060891999992</v>
      </c>
      <c r="EV1147" s="302">
        <f t="shared" si="1888"/>
        <v>35.180262630999998</v>
      </c>
      <c r="EW1147" s="302">
        <f t="shared" si="1888"/>
        <v>20.340440015999999</v>
      </c>
      <c r="EX1147" s="302">
        <f t="shared" si="1888"/>
        <v>31.179151675</v>
      </c>
      <c r="EY1147" s="1861">
        <f t="shared" ref="EY1147:GD1147" si="1889">+EY789+EY811+(EY795-EY796-EY800)</f>
        <v>53.359172627</v>
      </c>
      <c r="EZ1147" s="681">
        <f t="shared" si="1889"/>
        <v>61.412165680000001</v>
      </c>
      <c r="FA1147" s="681">
        <f t="shared" si="1889"/>
        <v>66.396327403000001</v>
      </c>
      <c r="FB1147" s="681">
        <f t="shared" si="1889"/>
        <v>72.31552149800001</v>
      </c>
      <c r="FC1147" s="681">
        <f t="shared" si="1889"/>
        <v>62.202611277000003</v>
      </c>
      <c r="FD1147" s="681">
        <f t="shared" si="1889"/>
        <v>80.752818049000012</v>
      </c>
      <c r="FE1147" s="681">
        <f t="shared" si="1889"/>
        <v>53.387960757000002</v>
      </c>
      <c r="FF1147" s="681">
        <f t="shared" si="1889"/>
        <v>57.332262823999997</v>
      </c>
      <c r="FG1147" s="681">
        <f t="shared" si="1889"/>
        <v>52.974043831000003</v>
      </c>
      <c r="FH1147" s="681">
        <f t="shared" si="1889"/>
        <v>43.094727767999998</v>
      </c>
      <c r="FI1147" s="681">
        <f t="shared" si="1889"/>
        <v>145.23786412300001</v>
      </c>
      <c r="FJ1147" s="681">
        <f t="shared" si="1889"/>
        <v>30.523577695</v>
      </c>
      <c r="FK1147" s="681">
        <f t="shared" si="1889"/>
        <v>31.274078857999999</v>
      </c>
      <c r="FL1147" s="681">
        <f t="shared" si="1889"/>
        <v>13.008727122</v>
      </c>
      <c r="FM1147" s="681">
        <f t="shared" si="1889"/>
        <v>20.690044580999999</v>
      </c>
      <c r="FN1147" s="681">
        <f t="shared" si="1889"/>
        <v>20.684093917999999</v>
      </c>
      <c r="FO1147" s="681">
        <f t="shared" si="1889"/>
        <v>61.666165581000001</v>
      </c>
      <c r="FP1147" s="681">
        <f t="shared" si="1889"/>
        <v>17.208988356999999</v>
      </c>
      <c r="FQ1147" s="681">
        <f t="shared" si="1889"/>
        <v>16.124009642000001</v>
      </c>
      <c r="FR1147" s="681">
        <f t="shared" si="1889"/>
        <v>22.305093095999993</v>
      </c>
      <c r="FS1147" s="681">
        <f t="shared" si="1889"/>
        <v>46.096446168</v>
      </c>
      <c r="FT1147" s="681">
        <f t="shared" si="1889"/>
        <v>16.759072537000002</v>
      </c>
      <c r="FU1147" s="681">
        <f t="shared" si="1889"/>
        <v>34.344917567000003</v>
      </c>
      <c r="FV1147" s="681">
        <f t="shared" si="1889"/>
        <v>1.0347061179999839</v>
      </c>
      <c r="FW1147" s="681">
        <f t="shared" si="1889"/>
        <v>21.328201296</v>
      </c>
      <c r="FX1147" s="681">
        <f t="shared" si="1889"/>
        <v>24.054268389999994</v>
      </c>
      <c r="FY1147" s="681">
        <f t="shared" si="1889"/>
        <v>135.002501354</v>
      </c>
      <c r="FZ1147" s="681">
        <f t="shared" si="1889"/>
        <v>15.726476988</v>
      </c>
      <c r="GA1147" s="681">
        <f t="shared" si="1889"/>
        <v>19.275944044999999</v>
      </c>
      <c r="GB1147" s="681">
        <f t="shared" si="1889"/>
        <v>15.506280605999994</v>
      </c>
      <c r="GC1147" s="681">
        <f t="shared" si="1889"/>
        <v>27.202270326000008</v>
      </c>
      <c r="GD1147" s="681">
        <f t="shared" si="1889"/>
        <v>30.444891468000005</v>
      </c>
      <c r="GE1147" s="681">
        <f t="shared" ref="GE1147:HL1147" si="1890">+GE789+GE811+(GE795-GE796-GE800)</f>
        <v>21.584111000000007</v>
      </c>
      <c r="GF1147" s="681">
        <f t="shared" si="1890"/>
        <v>52.192523191999989</v>
      </c>
      <c r="GG1147" s="681">
        <f t="shared" si="1890"/>
        <v>49.117638471000014</v>
      </c>
      <c r="GH1147" s="681">
        <f t="shared" si="1890"/>
        <v>27.404717564999999</v>
      </c>
      <c r="GI1147" s="681">
        <f t="shared" si="1890"/>
        <v>50.456663452943175</v>
      </c>
      <c r="GJ1147" s="681">
        <f t="shared" si="1890"/>
        <v>21.793321628109375</v>
      </c>
      <c r="GK1147" s="681">
        <f t="shared" si="1890"/>
        <v>28.336156819947426</v>
      </c>
      <c r="GL1147" s="681">
        <f t="shared" si="1890"/>
        <v>24.989664264333328</v>
      </c>
      <c r="GM1147" s="681">
        <f t="shared" si="1890"/>
        <v>23.307641143333328</v>
      </c>
      <c r="GN1147" s="681">
        <f t="shared" si="1890"/>
        <v>23.412057185333328</v>
      </c>
      <c r="GO1147" s="681">
        <f t="shared" si="1890"/>
        <v>33.512046633717304</v>
      </c>
      <c r="GP1147" s="681">
        <f t="shared" si="1890"/>
        <v>13.318761707259062</v>
      </c>
      <c r="GQ1147" s="681">
        <f t="shared" si="1890"/>
        <v>34.996471439897427</v>
      </c>
      <c r="GR1147" s="681">
        <f t="shared" si="1890"/>
        <v>23.75233430745865</v>
      </c>
      <c r="GS1147" s="681">
        <f t="shared" si="1890"/>
        <v>49.159395690952877</v>
      </c>
      <c r="GT1147" s="681">
        <f t="shared" si="1890"/>
        <v>17.943429473714666</v>
      </c>
      <c r="GU1147" s="681">
        <f t="shared" si="1890"/>
        <v>10.036320554</v>
      </c>
      <c r="GV1147" s="681">
        <f t="shared" si="1890"/>
        <v>25.376805767</v>
      </c>
      <c r="GW1147" s="681">
        <f t="shared" si="1890"/>
        <v>24.958470633000001</v>
      </c>
      <c r="GX1147" s="681">
        <f t="shared" si="1890"/>
        <v>32.437808001000001</v>
      </c>
      <c r="GY1147" s="681">
        <f t="shared" si="1890"/>
        <v>30.989661767999998</v>
      </c>
      <c r="GZ1147" s="681">
        <f t="shared" si="1890"/>
        <v>30.732136462</v>
      </c>
      <c r="HA1147" s="681">
        <f t="shared" si="1890"/>
        <v>38.319625827000003</v>
      </c>
      <c r="HB1147" s="681">
        <f t="shared" si="1890"/>
        <v>35.272989283999998</v>
      </c>
      <c r="HC1147" s="681">
        <f t="shared" si="1890"/>
        <v>36.164066286000001</v>
      </c>
      <c r="HD1147" s="681">
        <f t="shared" si="1890"/>
        <v>27.194111143999997</v>
      </c>
      <c r="HE1147" s="681">
        <f t="shared" si="1890"/>
        <v>30.150827838000001</v>
      </c>
      <c r="HF1147" s="681">
        <f t="shared" si="1890"/>
        <v>34.719258195000002</v>
      </c>
      <c r="HG1147" s="681">
        <f t="shared" si="1890"/>
        <v>31.507047246999999</v>
      </c>
      <c r="HH1147" s="681">
        <f t="shared" si="1890"/>
        <v>19.406378098000001</v>
      </c>
      <c r="HI1147" s="681">
        <f t="shared" si="1890"/>
        <v>45.854636221</v>
      </c>
      <c r="HJ1147" s="681">
        <f t="shared" si="1890"/>
        <v>15.325714327</v>
      </c>
      <c r="HK1147" s="681">
        <f t="shared" si="1890"/>
        <v>30.971560944000014</v>
      </c>
      <c r="HL1147" s="681">
        <f t="shared" si="1890"/>
        <v>42.461506708999991</v>
      </c>
    </row>
    <row r="1148" spans="4:220" ht="17.25" customHeight="1">
      <c r="D1148" s="1769" t="s">
        <v>3354</v>
      </c>
      <c r="E1148" s="681">
        <f t="shared" ref="E1148:X1148" si="1891">+E529</f>
        <v>3.7127600000000003</v>
      </c>
      <c r="F1148" s="681">
        <f t="shared" si="1891"/>
        <v>4.7993300000000003</v>
      </c>
      <c r="G1148" s="681">
        <f t="shared" si="1891"/>
        <v>2.8350599999999999</v>
      </c>
      <c r="H1148" s="681">
        <f t="shared" si="1891"/>
        <v>3.9559000000000002</v>
      </c>
      <c r="I1148" s="681">
        <f t="shared" si="1891"/>
        <v>2.5550000000000002</v>
      </c>
      <c r="J1148" s="681">
        <f t="shared" si="1891"/>
        <v>2.0085000000000002</v>
      </c>
      <c r="K1148" s="681">
        <f t="shared" si="1891"/>
        <v>7.8316600000000003</v>
      </c>
      <c r="L1148" s="681">
        <f t="shared" si="1891"/>
        <v>5.6524799999999997</v>
      </c>
      <c r="M1148" s="681">
        <f t="shared" si="1891"/>
        <v>4.0859000000000005</v>
      </c>
      <c r="N1148" s="681">
        <f t="shared" si="1891"/>
        <v>4.1721300000000001</v>
      </c>
      <c r="O1148" s="681">
        <f t="shared" si="1891"/>
        <v>4.3776599999999997</v>
      </c>
      <c r="P1148" s="681">
        <f t="shared" si="1891"/>
        <v>0.9621900000000001</v>
      </c>
      <c r="Q1148" s="681">
        <f t="shared" si="1891"/>
        <v>4.1470500000000001</v>
      </c>
      <c r="R1148" s="681">
        <f t="shared" si="1891"/>
        <v>5.8710000000000004</v>
      </c>
      <c r="S1148" s="681">
        <f t="shared" si="1891"/>
        <v>2.62263</v>
      </c>
      <c r="T1148" s="681">
        <f t="shared" si="1891"/>
        <v>7.8501599999999998</v>
      </c>
      <c r="U1148" s="681">
        <f t="shared" si="1891"/>
        <v>5.4862400000000004</v>
      </c>
      <c r="V1148" s="681">
        <f t="shared" si="1891"/>
        <v>2.67977</v>
      </c>
      <c r="W1148" s="681">
        <f t="shared" si="1891"/>
        <v>9.6362000000000005</v>
      </c>
      <c r="X1148" s="681">
        <f t="shared" si="1891"/>
        <v>4.8701600000000003</v>
      </c>
      <c r="Y1148" s="681"/>
      <c r="Z1148" s="681"/>
      <c r="AA1148" s="681"/>
      <c r="AB1148" s="681"/>
      <c r="AC1148" s="681"/>
      <c r="AD1148" s="681"/>
      <c r="AE1148" s="681"/>
      <c r="AF1148" s="681"/>
      <c r="AG1148" s="681"/>
      <c r="AH1148" s="346">
        <f t="shared" ref="AH1148:AM1148" si="1892">AH613</f>
        <v>0</v>
      </c>
      <c r="AI1148" s="346">
        <f t="shared" si="1892"/>
        <v>0</v>
      </c>
      <c r="AJ1148" s="346">
        <f t="shared" si="1892"/>
        <v>0</v>
      </c>
      <c r="AK1148" s="346">
        <f t="shared" si="1892"/>
        <v>0</v>
      </c>
      <c r="AL1148" s="346">
        <f t="shared" si="1892"/>
        <v>0</v>
      </c>
      <c r="AM1148" s="346">
        <f t="shared" si="1892"/>
        <v>0</v>
      </c>
      <c r="AN1148" s="681">
        <f t="shared" ref="AN1148:BS1148" si="1893">+AN529</f>
        <v>3.0111699999999995</v>
      </c>
      <c r="AO1148" s="681">
        <f t="shared" si="1893"/>
        <v>9.3814400000000013</v>
      </c>
      <c r="AP1148" s="681">
        <f t="shared" si="1893"/>
        <v>3.6834099999999999</v>
      </c>
      <c r="AQ1148" s="681">
        <f t="shared" si="1893"/>
        <v>0.97705999999999993</v>
      </c>
      <c r="AR1148" s="681">
        <f t="shared" si="1893"/>
        <v>1.3996</v>
      </c>
      <c r="AS1148" s="681">
        <f t="shared" si="1893"/>
        <v>5.6580300000000001</v>
      </c>
      <c r="AT1148" s="681">
        <f t="shared" si="1893"/>
        <v>3.7801199999999997</v>
      </c>
      <c r="AU1148" s="681">
        <f t="shared" si="1893"/>
        <v>4.1165399999999996</v>
      </c>
      <c r="AV1148" s="681">
        <f t="shared" si="1893"/>
        <v>10.588700000000001</v>
      </c>
      <c r="AW1148" s="681">
        <f t="shared" si="1893"/>
        <v>3.5014799999999999</v>
      </c>
      <c r="AX1148" s="681">
        <f t="shared" si="1893"/>
        <v>7.9861499999999994</v>
      </c>
      <c r="AY1148" s="681">
        <f t="shared" si="1893"/>
        <v>5.0168200000000001</v>
      </c>
      <c r="AZ1148" s="681">
        <f t="shared" si="1893"/>
        <v>5.6406000000000001</v>
      </c>
      <c r="BA1148" s="681">
        <f t="shared" si="1893"/>
        <v>6.7164799999999998</v>
      </c>
      <c r="BB1148" s="681">
        <f t="shared" si="1893"/>
        <v>5.4594100000000001</v>
      </c>
      <c r="BC1148" s="681">
        <f t="shared" si="1893"/>
        <v>1.92079</v>
      </c>
      <c r="BD1148" s="681">
        <f t="shared" si="1893"/>
        <v>6.0153999999999996</v>
      </c>
      <c r="BE1148" s="681">
        <f t="shared" si="1893"/>
        <v>10.529819999999999</v>
      </c>
      <c r="BF1148" s="681">
        <f t="shared" si="1893"/>
        <v>0.39511000000000002</v>
      </c>
      <c r="BG1148" s="681">
        <f t="shared" si="1893"/>
        <v>6.9534099999999999</v>
      </c>
      <c r="BH1148" s="681">
        <f t="shared" si="1893"/>
        <v>6.1300699999999999</v>
      </c>
      <c r="BI1148" s="681">
        <f t="shared" si="1893"/>
        <v>2.6468000000000003</v>
      </c>
      <c r="BJ1148" s="681">
        <f t="shared" si="1893"/>
        <v>5.3137700000000008</v>
      </c>
      <c r="BK1148" s="681">
        <f t="shared" si="1893"/>
        <v>7.46549</v>
      </c>
      <c r="BL1148" s="681">
        <f t="shared" si="1893"/>
        <v>4.0160100000000005</v>
      </c>
      <c r="BM1148" s="681">
        <f t="shared" si="1893"/>
        <v>8.6199300000000001</v>
      </c>
      <c r="BN1148" s="681">
        <f t="shared" si="1893"/>
        <v>9.7876000000000012</v>
      </c>
      <c r="BO1148" s="681">
        <f t="shared" si="1893"/>
        <v>8.3460800000000006</v>
      </c>
      <c r="BP1148" s="681">
        <f t="shared" si="1893"/>
        <v>6.2623699999999998</v>
      </c>
      <c r="BQ1148" s="681">
        <f t="shared" si="1893"/>
        <v>7.4356800000000005</v>
      </c>
      <c r="BR1148" s="681">
        <f t="shared" si="1893"/>
        <v>1.5007300000000001</v>
      </c>
      <c r="BS1148" s="681">
        <f t="shared" si="1893"/>
        <v>5.0293000000000001</v>
      </c>
      <c r="BT1148" s="681">
        <f t="shared" ref="BT1148:CY1148" si="1894">+BT529</f>
        <v>7.3064999999999998</v>
      </c>
      <c r="BU1148" s="681">
        <f t="shared" si="1894"/>
        <v>4.9896000000000003</v>
      </c>
      <c r="BV1148" s="681">
        <f t="shared" si="1894"/>
        <v>8.6363335610000007</v>
      </c>
      <c r="BW1148" s="681">
        <f t="shared" si="1894"/>
        <v>4.9076517710000003</v>
      </c>
      <c r="BX1148" s="681">
        <f t="shared" si="1894"/>
        <v>5.7710280459999996</v>
      </c>
      <c r="BY1148" s="681">
        <f t="shared" si="1894"/>
        <v>9.7754765859999999</v>
      </c>
      <c r="BZ1148" s="681">
        <f t="shared" si="1894"/>
        <v>6.4653720200000002</v>
      </c>
      <c r="CA1148" s="681">
        <f t="shared" si="1894"/>
        <v>4.8472462360000002</v>
      </c>
      <c r="CB1148" s="681">
        <f t="shared" si="1894"/>
        <v>9.7985406420000007</v>
      </c>
      <c r="CC1148" s="681">
        <f t="shared" si="1894"/>
        <v>10.398180063</v>
      </c>
      <c r="CD1148" s="681">
        <f t="shared" si="1894"/>
        <v>2.0217900750000002</v>
      </c>
      <c r="CE1148" s="681">
        <f t="shared" si="1894"/>
        <v>4.1218678119999996</v>
      </c>
      <c r="CF1148" s="681">
        <f t="shared" si="1894"/>
        <v>3.0527925360000001</v>
      </c>
      <c r="CG1148" s="681">
        <f t="shared" si="1894"/>
        <v>4.3797581149999996</v>
      </c>
      <c r="CH1148" s="681">
        <f t="shared" si="1894"/>
        <v>8.201250924</v>
      </c>
      <c r="CI1148" s="681">
        <f t="shared" si="1894"/>
        <v>4.6632914940000001</v>
      </c>
      <c r="CJ1148" s="681">
        <f t="shared" si="1894"/>
        <v>9.5954992279999995</v>
      </c>
      <c r="CK1148" s="681">
        <f t="shared" si="1894"/>
        <v>19.788627708</v>
      </c>
      <c r="CL1148" s="681">
        <f t="shared" si="1894"/>
        <v>9.3291781070000006</v>
      </c>
      <c r="CM1148" s="681">
        <f t="shared" si="1894"/>
        <v>3.9728699330000001</v>
      </c>
      <c r="CN1148" s="681">
        <f t="shared" si="1894"/>
        <v>36.040940083999999</v>
      </c>
      <c r="CO1148" s="681">
        <f t="shared" si="1894"/>
        <v>10.388191089999999</v>
      </c>
      <c r="CP1148" s="681">
        <f t="shared" si="1894"/>
        <v>5.5742181420000003</v>
      </c>
      <c r="CQ1148" s="681">
        <f t="shared" si="1894"/>
        <v>8.1239777909999997</v>
      </c>
      <c r="CR1148" s="681">
        <f t="shared" si="1894"/>
        <v>8.1626322439999992</v>
      </c>
      <c r="CS1148" s="681">
        <f t="shared" si="1894"/>
        <v>17.633937930999998</v>
      </c>
      <c r="CT1148" s="681">
        <f t="shared" si="1894"/>
        <v>4.3200614999999996</v>
      </c>
      <c r="CU1148" s="681">
        <f t="shared" si="1894"/>
        <v>13.312885845</v>
      </c>
      <c r="CV1148" s="681">
        <f t="shared" si="1894"/>
        <v>10.796285336999999</v>
      </c>
      <c r="CW1148" s="681">
        <f t="shared" si="1894"/>
        <v>6.00273915</v>
      </c>
      <c r="CX1148" s="681">
        <f t="shared" si="1894"/>
        <v>16.521865980000001</v>
      </c>
      <c r="CY1148" s="681">
        <f t="shared" si="1894"/>
        <v>26.299949223000002</v>
      </c>
      <c r="CZ1148" s="681">
        <f t="shared" ref="CZ1148:EE1148" si="1895">+CZ529</f>
        <v>28.379187033000001</v>
      </c>
      <c r="DA1148" s="681">
        <f t="shared" si="1895"/>
        <v>18.037174863000001</v>
      </c>
      <c r="DB1148" s="681">
        <f t="shared" si="1895"/>
        <v>3.872886458</v>
      </c>
      <c r="DC1148" s="681">
        <f t="shared" si="1895"/>
        <v>20.031666440000002</v>
      </c>
      <c r="DD1148" s="681">
        <f t="shared" si="1895"/>
        <v>5.7584803439999996</v>
      </c>
      <c r="DE1148" s="681">
        <f t="shared" si="1895"/>
        <v>15.547081669999999</v>
      </c>
      <c r="DF1148" s="681">
        <f t="shared" si="1895"/>
        <v>21.488628049999999</v>
      </c>
      <c r="DG1148" s="681">
        <f t="shared" si="1895"/>
        <v>9.0915347850000003</v>
      </c>
      <c r="DH1148" s="681">
        <f t="shared" si="1895"/>
        <v>5.0807362579999999</v>
      </c>
      <c r="DI1148" s="681">
        <f t="shared" si="1895"/>
        <v>27.308649026000001</v>
      </c>
      <c r="DJ1148" s="681">
        <f t="shared" si="1895"/>
        <v>5.5587548150000003</v>
      </c>
      <c r="DK1148" s="681">
        <f t="shared" si="1895"/>
        <v>10.439049232999999</v>
      </c>
      <c r="DL1148" s="681">
        <f t="shared" si="1895"/>
        <v>19.474363273999998</v>
      </c>
      <c r="DM1148" s="681">
        <f t="shared" si="1895"/>
        <v>11.420979965000001</v>
      </c>
      <c r="DN1148" s="681">
        <f t="shared" si="1895"/>
        <v>8.0120627639999995</v>
      </c>
      <c r="DO1148" s="681">
        <f t="shared" si="1895"/>
        <v>17.830386840000003</v>
      </c>
      <c r="DP1148" s="681">
        <f t="shared" si="1895"/>
        <v>24.458453924000001</v>
      </c>
      <c r="DQ1148" s="681">
        <f t="shared" si="1895"/>
        <v>8.9936596830000006</v>
      </c>
      <c r="DR1148" s="681">
        <f t="shared" si="1895"/>
        <v>18.029543111999999</v>
      </c>
      <c r="DS1148" s="681">
        <f t="shared" si="1895"/>
        <v>13.747938799</v>
      </c>
      <c r="DT1148" s="681">
        <f t="shared" si="1895"/>
        <v>20.318674549000001</v>
      </c>
      <c r="DU1148" s="681">
        <f t="shared" si="1895"/>
        <v>15.032641369</v>
      </c>
      <c r="DV1148" s="681">
        <f t="shared" si="1895"/>
        <v>8.3836660419999998</v>
      </c>
      <c r="DW1148" s="681">
        <f t="shared" si="1895"/>
        <v>5.2430148010000002</v>
      </c>
      <c r="DX1148" s="681">
        <f t="shared" si="1895"/>
        <v>15.108378704</v>
      </c>
      <c r="DY1148" s="681">
        <f t="shared" si="1895"/>
        <v>11.246329053</v>
      </c>
      <c r="DZ1148" s="681">
        <f t="shared" si="1895"/>
        <v>0.96119616600000002</v>
      </c>
      <c r="EA1148" s="681">
        <f t="shared" si="1895"/>
        <v>25.872880680999998</v>
      </c>
      <c r="EB1148" s="681">
        <f t="shared" si="1895"/>
        <v>12.925111098999999</v>
      </c>
      <c r="EC1148" s="681">
        <f t="shared" si="1895"/>
        <v>25.854006870999999</v>
      </c>
      <c r="ED1148" s="681">
        <f t="shared" si="1895"/>
        <v>33.279234199000001</v>
      </c>
      <c r="EE1148" s="681">
        <f t="shared" si="1895"/>
        <v>14.314430412</v>
      </c>
      <c r="EF1148" s="681">
        <f t="shared" ref="EF1148:EX1148" si="1896">+EF529</f>
        <v>11.712284659</v>
      </c>
      <c r="EG1148" s="681">
        <f t="shared" si="1896"/>
        <v>8.7310083279999997</v>
      </c>
      <c r="EH1148" s="681">
        <f t="shared" si="1896"/>
        <v>7.6339070709999994</v>
      </c>
      <c r="EI1148" s="681">
        <f t="shared" si="1896"/>
        <v>11.585520362</v>
      </c>
      <c r="EJ1148" s="681">
        <f t="shared" si="1896"/>
        <v>11.433172015</v>
      </c>
      <c r="EK1148" s="681">
        <f t="shared" si="1896"/>
        <v>14.617660114</v>
      </c>
      <c r="EL1148" s="681">
        <f t="shared" si="1896"/>
        <v>3.8799066939999998</v>
      </c>
      <c r="EM1148" s="681">
        <f t="shared" si="1896"/>
        <v>5.6727965129999998</v>
      </c>
      <c r="EN1148" s="681">
        <f t="shared" si="1896"/>
        <v>33.740439351999996</v>
      </c>
      <c r="EO1148" s="681">
        <f t="shared" si="1896"/>
        <v>13.793889010000001</v>
      </c>
      <c r="EP1148" s="681">
        <f t="shared" si="1896"/>
        <v>25.71266228</v>
      </c>
      <c r="EQ1148" s="681">
        <f t="shared" si="1896"/>
        <v>16.995882278</v>
      </c>
      <c r="ER1148" s="681">
        <f t="shared" si="1896"/>
        <v>16.054394510999998</v>
      </c>
      <c r="ES1148" s="681">
        <f t="shared" si="1896"/>
        <v>11.724667692000001</v>
      </c>
      <c r="ET1148" s="681">
        <f t="shared" si="1896"/>
        <v>5.7211090220000003</v>
      </c>
      <c r="EU1148" s="681">
        <f t="shared" si="1896"/>
        <v>34.580441728500006</v>
      </c>
      <c r="EV1148" s="681">
        <f t="shared" si="1896"/>
        <v>32.951912861500006</v>
      </c>
      <c r="EW1148" s="681">
        <f t="shared" si="1896"/>
        <v>18.7012586315</v>
      </c>
      <c r="EX1148" s="681">
        <f t="shared" si="1896"/>
        <v>22.049723595500001</v>
      </c>
      <c r="EY1148" s="1860">
        <f t="shared" ref="EY1148:GD1148" si="1897">+EY813</f>
        <v>19.621337566000001</v>
      </c>
      <c r="EZ1148" s="681">
        <f t="shared" si="1897"/>
        <v>19.979445821999999</v>
      </c>
      <c r="FA1148" s="681">
        <f t="shared" si="1897"/>
        <v>7.807474676</v>
      </c>
      <c r="FB1148" s="681">
        <f t="shared" si="1897"/>
        <v>12.050736946000001</v>
      </c>
      <c r="FC1148" s="681">
        <f t="shared" si="1897"/>
        <v>20.365861151000001</v>
      </c>
      <c r="FD1148" s="681">
        <f t="shared" si="1897"/>
        <v>9.5259266819999997</v>
      </c>
      <c r="FE1148" s="681">
        <f t="shared" si="1897"/>
        <v>4.359865428</v>
      </c>
      <c r="FF1148" s="681">
        <f t="shared" si="1897"/>
        <v>16.790410443999999</v>
      </c>
      <c r="FG1148" s="681">
        <f t="shared" si="1897"/>
        <v>14.309395854</v>
      </c>
      <c r="FH1148" s="681">
        <f t="shared" si="1897"/>
        <v>6.0296474590000004</v>
      </c>
      <c r="FI1148" s="681">
        <f t="shared" si="1897"/>
        <v>12.035315104</v>
      </c>
      <c r="FJ1148" s="681">
        <f t="shared" si="1897"/>
        <v>1.4745208869999999</v>
      </c>
      <c r="FK1148" s="681">
        <f t="shared" si="1897"/>
        <v>12.759667224999999</v>
      </c>
      <c r="FL1148" s="681">
        <f t="shared" si="1897"/>
        <v>10.057954682</v>
      </c>
      <c r="FM1148" s="681">
        <f t="shared" si="1897"/>
        <v>14.992900581000001</v>
      </c>
      <c r="FN1148" s="681">
        <f t="shared" si="1897"/>
        <v>8.449501519</v>
      </c>
      <c r="FO1148" s="681">
        <f t="shared" si="1897"/>
        <v>10.322834118999999</v>
      </c>
      <c r="FP1148" s="681">
        <f t="shared" si="1897"/>
        <v>9.4276341339999998</v>
      </c>
      <c r="FQ1148" s="681">
        <f t="shared" si="1897"/>
        <v>13.833825759</v>
      </c>
      <c r="FR1148" s="681">
        <f t="shared" si="1897"/>
        <v>6.652929726</v>
      </c>
      <c r="FS1148" s="681">
        <f t="shared" si="1897"/>
        <v>4.2280074870000002</v>
      </c>
      <c r="FT1148" s="681">
        <f t="shared" si="1897"/>
        <v>12.878353831</v>
      </c>
      <c r="FU1148" s="681">
        <f t="shared" si="1897"/>
        <v>23.858894002</v>
      </c>
      <c r="FV1148" s="681">
        <f t="shared" si="1897"/>
        <v>4.7989988329999997</v>
      </c>
      <c r="FW1148" s="681">
        <f t="shared" si="1897"/>
        <v>9.4270421219999996</v>
      </c>
      <c r="FX1148" s="681">
        <f t="shared" si="1897"/>
        <v>8.2880457829999994</v>
      </c>
      <c r="FY1148" s="681">
        <f t="shared" si="1897"/>
        <v>8.142056878</v>
      </c>
      <c r="FZ1148" s="681">
        <f t="shared" si="1897"/>
        <v>20.268061037999999</v>
      </c>
      <c r="GA1148" s="681">
        <f t="shared" si="1897"/>
        <v>21.685625209000001</v>
      </c>
      <c r="GB1148" s="681">
        <f t="shared" si="1897"/>
        <v>6.1310755720000003</v>
      </c>
      <c r="GC1148" s="681">
        <f t="shared" si="1897"/>
        <v>9.3700082800000004</v>
      </c>
      <c r="GD1148" s="681">
        <f t="shared" si="1897"/>
        <v>21.115629317</v>
      </c>
      <c r="GE1148" s="681">
        <f t="shared" ref="GE1148:HL1148" si="1898">+GE813</f>
        <v>13.54216845</v>
      </c>
      <c r="GF1148" s="681">
        <f t="shared" si="1898"/>
        <v>7.9037664559999996</v>
      </c>
      <c r="GG1148" s="681">
        <f t="shared" si="1898"/>
        <v>15.140435371000001</v>
      </c>
      <c r="GH1148" s="681">
        <f t="shared" si="1898"/>
        <v>6.0046342780000002</v>
      </c>
      <c r="GI1148" s="681">
        <f t="shared" si="1898"/>
        <v>12.235405911319145</v>
      </c>
      <c r="GJ1148" s="681">
        <f t="shared" si="1898"/>
        <v>27.927502357725132</v>
      </c>
      <c r="GK1148" s="681">
        <f t="shared" si="1898"/>
        <v>22.437091730955725</v>
      </c>
      <c r="GL1148" s="681">
        <f t="shared" si="1898"/>
        <v>1</v>
      </c>
      <c r="GM1148" s="681">
        <f t="shared" si="1898"/>
        <v>1</v>
      </c>
      <c r="GN1148" s="681">
        <f t="shared" si="1898"/>
        <v>1.0999999999999943</v>
      </c>
      <c r="GO1148" s="681">
        <f t="shared" si="1898"/>
        <v>16.508220081735399</v>
      </c>
      <c r="GP1148" s="681">
        <f t="shared" si="1898"/>
        <v>7.5477514962105259</v>
      </c>
      <c r="GQ1148" s="681">
        <f t="shared" si="1898"/>
        <v>3.4708608633540838</v>
      </c>
      <c r="GR1148" s="681">
        <f t="shared" si="1898"/>
        <v>20.36146118726305</v>
      </c>
      <c r="GS1148" s="681">
        <f t="shared" si="1898"/>
        <v>8.0757171544465809</v>
      </c>
      <c r="GT1148" s="681">
        <f t="shared" si="1898"/>
        <v>6.0359892169903651</v>
      </c>
      <c r="GU1148" s="681">
        <f t="shared" si="1898"/>
        <v>7.9425931529999998</v>
      </c>
      <c r="GV1148" s="681">
        <f t="shared" si="1898"/>
        <v>17.944234579</v>
      </c>
      <c r="GW1148" s="681">
        <f t="shared" si="1898"/>
        <v>17.283160537000001</v>
      </c>
      <c r="GX1148" s="681">
        <f t="shared" si="1898"/>
        <v>10.735763124</v>
      </c>
      <c r="GY1148" s="681">
        <f t="shared" si="1898"/>
        <v>8.324031519</v>
      </c>
      <c r="GZ1148" s="681">
        <f t="shared" si="1898"/>
        <v>6.673807966</v>
      </c>
      <c r="HA1148" s="681">
        <f t="shared" si="1898"/>
        <v>8.8125038680000003</v>
      </c>
      <c r="HB1148" s="681">
        <f t="shared" si="1898"/>
        <v>9.2244838100000006</v>
      </c>
      <c r="HC1148" s="681">
        <f t="shared" si="1898"/>
        <v>7.1400030350000003</v>
      </c>
      <c r="HD1148" s="681">
        <f t="shared" si="1898"/>
        <v>18.243119096000001</v>
      </c>
      <c r="HE1148" s="681">
        <f t="shared" si="1898"/>
        <v>21.694246570999997</v>
      </c>
      <c r="HF1148" s="681">
        <f t="shared" si="1898"/>
        <v>5.1032864070000006</v>
      </c>
      <c r="HG1148" s="681">
        <f t="shared" si="1898"/>
        <v>14.070388789000001</v>
      </c>
      <c r="HH1148" s="681">
        <f t="shared" si="1898"/>
        <v>8.7907085459999994</v>
      </c>
      <c r="HI1148" s="681">
        <f t="shared" si="1898"/>
        <v>21.161437204999999</v>
      </c>
      <c r="HJ1148" s="681">
        <f t="shared" si="1898"/>
        <v>22.156916267</v>
      </c>
      <c r="HK1148" s="681">
        <f t="shared" si="1898"/>
        <v>4.3281103570000017</v>
      </c>
      <c r="HL1148" s="681">
        <f t="shared" si="1898"/>
        <v>2.2898348520000003</v>
      </c>
    </row>
    <row r="1149" spans="4:220" ht="17.25" customHeight="1">
      <c r="D1149" s="1233" t="s">
        <v>165</v>
      </c>
      <c r="E1149" s="302">
        <f t="shared" ref="E1149:AJ1149" si="1899">E536</f>
        <v>3.5838200000000002</v>
      </c>
      <c r="F1149" s="302">
        <f t="shared" si="1899"/>
        <v>6.07545</v>
      </c>
      <c r="G1149" s="302">
        <f t="shared" si="1899"/>
        <v>31.038969999999999</v>
      </c>
      <c r="H1149" s="302">
        <f t="shared" si="1899"/>
        <v>7.6555400000000002</v>
      </c>
      <c r="I1149" s="302">
        <f t="shared" si="1899"/>
        <v>2.6138300000000001</v>
      </c>
      <c r="J1149" s="302">
        <f t="shared" si="1899"/>
        <v>29.6614</v>
      </c>
      <c r="K1149" s="302">
        <f t="shared" si="1899"/>
        <v>14.90522</v>
      </c>
      <c r="L1149" s="302">
        <f t="shared" si="1899"/>
        <v>4.9962</v>
      </c>
      <c r="M1149" s="302">
        <f t="shared" si="1899"/>
        <v>35.02093</v>
      </c>
      <c r="N1149" s="302">
        <f t="shared" si="1899"/>
        <v>4.1402399999999995</v>
      </c>
      <c r="O1149" s="302">
        <f t="shared" si="1899"/>
        <v>12.62506</v>
      </c>
      <c r="P1149" s="302">
        <f t="shared" si="1899"/>
        <v>33.861910000000002</v>
      </c>
      <c r="Q1149" s="302">
        <f t="shared" si="1899"/>
        <v>6.6938699999999995</v>
      </c>
      <c r="R1149" s="302">
        <f t="shared" si="1899"/>
        <v>6.6217100000000002</v>
      </c>
      <c r="S1149" s="302">
        <f t="shared" si="1899"/>
        <v>28.064729999999997</v>
      </c>
      <c r="T1149" s="302">
        <f t="shared" si="1899"/>
        <v>13.2995</v>
      </c>
      <c r="U1149" s="302">
        <f t="shared" si="1899"/>
        <v>5.5477400000000001</v>
      </c>
      <c r="V1149" s="302">
        <f t="shared" si="1899"/>
        <v>35.823459999999997</v>
      </c>
      <c r="W1149" s="302">
        <f t="shared" si="1899"/>
        <v>11.525399999999999</v>
      </c>
      <c r="X1149" s="302">
        <f t="shared" si="1899"/>
        <v>11.975370000000002</v>
      </c>
      <c r="Y1149" s="302">
        <f t="shared" si="1899"/>
        <v>44.228030000000004</v>
      </c>
      <c r="Z1149" s="302">
        <f t="shared" si="1899"/>
        <v>28.940909999999999</v>
      </c>
      <c r="AA1149" s="302">
        <f t="shared" si="1899"/>
        <v>6.9695499999999999</v>
      </c>
      <c r="AB1149" s="302">
        <f t="shared" si="1899"/>
        <v>68.065079999999995</v>
      </c>
      <c r="AC1149" s="302">
        <f t="shared" si="1899"/>
        <v>8.5546699999999998</v>
      </c>
      <c r="AD1149" s="302">
        <f t="shared" si="1899"/>
        <v>8.9667000000000012</v>
      </c>
      <c r="AE1149" s="302">
        <f t="shared" si="1899"/>
        <v>56.542300000000004</v>
      </c>
      <c r="AF1149" s="302">
        <f t="shared" si="1899"/>
        <v>12.328989999999999</v>
      </c>
      <c r="AG1149" s="302">
        <f t="shared" si="1899"/>
        <v>14.137729999999999</v>
      </c>
      <c r="AH1149" s="302">
        <f t="shared" si="1899"/>
        <v>33.673471012000007</v>
      </c>
      <c r="AI1149" s="302">
        <f t="shared" si="1899"/>
        <v>6.9567500000000004</v>
      </c>
      <c r="AJ1149" s="302">
        <f t="shared" si="1899"/>
        <v>7.8944300000000007</v>
      </c>
      <c r="AK1149" s="302">
        <f t="shared" ref="AK1149:BP1149" si="1900">AK536</f>
        <v>48.635571945000009</v>
      </c>
      <c r="AL1149" s="302">
        <f t="shared" si="1900"/>
        <v>20.7941</v>
      </c>
      <c r="AM1149" s="302">
        <f t="shared" si="1900"/>
        <v>21.200900000000001</v>
      </c>
      <c r="AN1149" s="302">
        <f t="shared" si="1900"/>
        <v>55.547347470999995</v>
      </c>
      <c r="AO1149" s="302">
        <f t="shared" si="1900"/>
        <v>15.105780000000001</v>
      </c>
      <c r="AP1149" s="302">
        <f t="shared" si="1900"/>
        <v>13.18632</v>
      </c>
      <c r="AQ1149" s="302">
        <f t="shared" si="1900"/>
        <v>39.436275601999995</v>
      </c>
      <c r="AR1149" s="302">
        <f t="shared" si="1900"/>
        <v>21.793560000000003</v>
      </c>
      <c r="AS1149" s="302">
        <f t="shared" si="1900"/>
        <v>18.903689999999997</v>
      </c>
      <c r="AT1149" s="302">
        <f t="shared" si="1900"/>
        <v>46.176469328000003</v>
      </c>
      <c r="AU1149" s="302">
        <f t="shared" si="1900"/>
        <v>14.740819999999999</v>
      </c>
      <c r="AV1149" s="302">
        <f t="shared" si="1900"/>
        <v>13.9329</v>
      </c>
      <c r="AW1149" s="302">
        <f t="shared" si="1900"/>
        <v>54.321416559999996</v>
      </c>
      <c r="AX1149" s="302">
        <f t="shared" si="1900"/>
        <v>20.9</v>
      </c>
      <c r="AY1149" s="302">
        <f t="shared" si="1900"/>
        <v>15.603999999999999</v>
      </c>
      <c r="AZ1149" s="302">
        <f t="shared" si="1900"/>
        <v>75.994112141000002</v>
      </c>
      <c r="BA1149" s="302">
        <f t="shared" si="1900"/>
        <v>22.111249999999998</v>
      </c>
      <c r="BB1149" s="302">
        <f t="shared" si="1900"/>
        <v>11.667159999999999</v>
      </c>
      <c r="BC1149" s="302">
        <f t="shared" si="1900"/>
        <v>95.749857354999989</v>
      </c>
      <c r="BD1149" s="302">
        <f t="shared" si="1900"/>
        <v>22.31202</v>
      </c>
      <c r="BE1149" s="302">
        <f t="shared" si="1900"/>
        <v>33.052900000000001</v>
      </c>
      <c r="BF1149" s="302">
        <f t="shared" si="1900"/>
        <v>57.496123629000003</v>
      </c>
      <c r="BG1149" s="302">
        <f t="shared" si="1900"/>
        <v>6.3758999999999997</v>
      </c>
      <c r="BH1149" s="302">
        <f t="shared" si="1900"/>
        <v>19.89939</v>
      </c>
      <c r="BI1149" s="302">
        <f t="shared" si="1900"/>
        <v>57.363894709</v>
      </c>
      <c r="BJ1149" s="302">
        <f t="shared" si="1900"/>
        <v>33.236025999999995</v>
      </c>
      <c r="BK1149" s="302">
        <f t="shared" si="1900"/>
        <v>17.411060000000003</v>
      </c>
      <c r="BL1149" s="302">
        <f t="shared" si="1900"/>
        <v>79.907373401000001</v>
      </c>
      <c r="BM1149" s="302">
        <f t="shared" si="1900"/>
        <v>21.286360000000002</v>
      </c>
      <c r="BN1149" s="302">
        <f t="shared" si="1900"/>
        <v>12.03393</v>
      </c>
      <c r="BO1149" s="302">
        <f t="shared" si="1900"/>
        <v>83.532420236999997</v>
      </c>
      <c r="BP1149" s="302">
        <f t="shared" si="1900"/>
        <v>31.707180000000001</v>
      </c>
      <c r="BQ1149" s="302">
        <f t="shared" ref="BQ1149:CV1149" si="1901">BQ536</f>
        <v>46.85219</v>
      </c>
      <c r="BR1149" s="302">
        <f t="shared" si="1901"/>
        <v>85.686844824000005</v>
      </c>
      <c r="BS1149" s="302">
        <f t="shared" si="1901"/>
        <v>8.992799999999999</v>
      </c>
      <c r="BT1149" s="302">
        <f t="shared" si="1901"/>
        <v>14.1875</v>
      </c>
      <c r="BU1149" s="302">
        <f t="shared" si="1901"/>
        <v>96.263000000000005</v>
      </c>
      <c r="BV1149" s="302">
        <f t="shared" si="1901"/>
        <v>38.280104581000003</v>
      </c>
      <c r="BW1149" s="302">
        <f t="shared" si="1901"/>
        <v>19.21824221</v>
      </c>
      <c r="BX1149" s="302">
        <f t="shared" si="1901"/>
        <v>3.4928711909999999</v>
      </c>
      <c r="BY1149" s="302">
        <f t="shared" si="1901"/>
        <v>16.503664744000002</v>
      </c>
      <c r="BZ1149" s="302">
        <f t="shared" si="1901"/>
        <v>16.912173433</v>
      </c>
      <c r="CA1149" s="302">
        <f t="shared" si="1901"/>
        <v>14.65821757</v>
      </c>
      <c r="CB1149" s="302">
        <f t="shared" si="1901"/>
        <v>45.488008786000002</v>
      </c>
      <c r="CC1149" s="302">
        <f t="shared" si="1901"/>
        <v>30.685310925</v>
      </c>
      <c r="CD1149" s="302">
        <f t="shared" si="1901"/>
        <v>20.505813729</v>
      </c>
      <c r="CE1149" s="302">
        <f t="shared" si="1901"/>
        <v>41.2617130557717</v>
      </c>
      <c r="CF1149" s="302">
        <f t="shared" si="1901"/>
        <v>37.17538064973381</v>
      </c>
      <c r="CG1149" s="302">
        <f t="shared" si="1901"/>
        <v>53.445989574294494</v>
      </c>
      <c r="CH1149" s="302">
        <f t="shared" si="1901"/>
        <v>82.420480696949596</v>
      </c>
      <c r="CI1149" s="302">
        <f t="shared" si="1901"/>
        <v>60.886008184135449</v>
      </c>
      <c r="CJ1149" s="302">
        <f t="shared" si="1901"/>
        <v>42.579808483000946</v>
      </c>
      <c r="CK1149" s="302">
        <f t="shared" si="1901"/>
        <v>56.982814007968308</v>
      </c>
      <c r="CL1149" s="302">
        <f t="shared" si="1901"/>
        <v>40.9527558704347</v>
      </c>
      <c r="CM1149" s="302">
        <f t="shared" si="1901"/>
        <v>51.482509808918991</v>
      </c>
      <c r="CN1149" s="302">
        <f t="shared" si="1901"/>
        <v>88.999417981925205</v>
      </c>
      <c r="CO1149" s="302">
        <f t="shared" si="1901"/>
        <v>88.940306068884169</v>
      </c>
      <c r="CP1149" s="302">
        <f t="shared" si="1901"/>
        <v>67.403896435661594</v>
      </c>
      <c r="CQ1149" s="302">
        <f t="shared" si="1901"/>
        <v>41.366723220573093</v>
      </c>
      <c r="CR1149" s="302">
        <f t="shared" si="1901"/>
        <v>55.946810373654017</v>
      </c>
      <c r="CS1149" s="302">
        <f t="shared" si="1901"/>
        <v>54.704821243129892</v>
      </c>
      <c r="CT1149" s="302">
        <f t="shared" si="1901"/>
        <v>50.93435579744277</v>
      </c>
      <c r="CU1149" s="302">
        <f t="shared" si="1901"/>
        <v>56.903799219663341</v>
      </c>
      <c r="CV1149" s="302">
        <f t="shared" si="1901"/>
        <v>54.665931141066608</v>
      </c>
      <c r="CW1149" s="302">
        <f t="shared" ref="CW1149:EB1149" si="1902">CW536</f>
        <v>60.370438979920124</v>
      </c>
      <c r="CX1149" s="302">
        <f t="shared" si="1902"/>
        <v>50.503025629944176</v>
      </c>
      <c r="CY1149" s="302">
        <f t="shared" si="1902"/>
        <v>72.544012313423679</v>
      </c>
      <c r="CZ1149" s="302">
        <f t="shared" si="1902"/>
        <v>95.416221885328582</v>
      </c>
      <c r="DA1149" s="302">
        <f t="shared" si="1902"/>
        <v>76.826238681237285</v>
      </c>
      <c r="DB1149" s="706">
        <f t="shared" si="1902"/>
        <v>66.733964417791114</v>
      </c>
      <c r="DC1149" s="302">
        <f t="shared" si="1902"/>
        <v>30.304379627313036</v>
      </c>
      <c r="DD1149" s="302">
        <f t="shared" si="1902"/>
        <v>53.531147042357084</v>
      </c>
      <c r="DE1149" s="302">
        <f t="shared" si="1902"/>
        <v>67.80062375004988</v>
      </c>
      <c r="DF1149" s="302">
        <f t="shared" si="1902"/>
        <v>58.827480114524867</v>
      </c>
      <c r="DG1149" s="302">
        <f t="shared" si="1902"/>
        <v>62.464975040256178</v>
      </c>
      <c r="DH1149" s="302">
        <f t="shared" si="1902"/>
        <v>53.48018039772596</v>
      </c>
      <c r="DI1149" s="302">
        <f t="shared" si="1902"/>
        <v>73.239507156654497</v>
      </c>
      <c r="DJ1149" s="302">
        <f t="shared" si="1902"/>
        <v>54.257318128444631</v>
      </c>
      <c r="DK1149" s="302">
        <f t="shared" si="1902"/>
        <v>53.398547032351878</v>
      </c>
      <c r="DL1149" s="302">
        <f t="shared" si="1902"/>
        <v>81.658737127909987</v>
      </c>
      <c r="DM1149" s="302">
        <f t="shared" si="1902"/>
        <v>88.650543803564545</v>
      </c>
      <c r="DN1149" s="303">
        <f t="shared" si="1902"/>
        <v>41.07209342548046</v>
      </c>
      <c r="DO1149" s="302">
        <f t="shared" si="1902"/>
        <v>32.377517218573232</v>
      </c>
      <c r="DP1149" s="302">
        <f t="shared" si="1902"/>
        <v>41.617956931368916</v>
      </c>
      <c r="DQ1149" s="302">
        <f t="shared" si="1902"/>
        <v>59.315382764009399</v>
      </c>
      <c r="DR1149" s="302">
        <f t="shared" si="1902"/>
        <v>45.921103915391427</v>
      </c>
      <c r="DS1149" s="302">
        <f t="shared" si="1902"/>
        <v>51.287430824213004</v>
      </c>
      <c r="DT1149" s="302">
        <f t="shared" si="1902"/>
        <v>35.131086007230998</v>
      </c>
      <c r="DU1149" s="302">
        <f t="shared" si="1902"/>
        <v>82.347461141042004</v>
      </c>
      <c r="DV1149" s="302">
        <f t="shared" si="1902"/>
        <v>40.334194605175</v>
      </c>
      <c r="DW1149" s="302">
        <f t="shared" si="1902"/>
        <v>39.291815424366995</v>
      </c>
      <c r="DX1149" s="302">
        <f t="shared" si="1902"/>
        <v>94.041156862125376</v>
      </c>
      <c r="DY1149" s="302">
        <f t="shared" si="1902"/>
        <v>68.390384381072991</v>
      </c>
      <c r="DZ1149" s="303">
        <f t="shared" si="1902"/>
        <v>29.162769265465002</v>
      </c>
      <c r="EA1149" s="302">
        <f t="shared" si="1902"/>
        <v>29.74610792851476</v>
      </c>
      <c r="EB1149" s="302">
        <f t="shared" si="1902"/>
        <v>83.392773223194737</v>
      </c>
      <c r="EC1149" s="302">
        <f t="shared" ref="EC1149:EX1149" si="1903">EC536</f>
        <v>66.037125114248497</v>
      </c>
      <c r="ED1149" s="302">
        <f t="shared" si="1903"/>
        <v>68.424265438118923</v>
      </c>
      <c r="EE1149" s="302">
        <f t="shared" si="1903"/>
        <v>65.760395582996324</v>
      </c>
      <c r="EF1149" s="302">
        <f t="shared" si="1903"/>
        <v>51.027153608116762</v>
      </c>
      <c r="EG1149" s="302">
        <f t="shared" si="1903"/>
        <v>111.22428842761556</v>
      </c>
      <c r="EH1149" s="302">
        <f t="shared" si="1903"/>
        <v>51.651596861007533</v>
      </c>
      <c r="EI1149" s="302">
        <f t="shared" si="1903"/>
        <v>70.456190406957916</v>
      </c>
      <c r="EJ1149" s="302">
        <f t="shared" si="1903"/>
        <v>58.932149240920964</v>
      </c>
      <c r="EK1149" s="302">
        <f t="shared" si="1903"/>
        <v>67.698260944357017</v>
      </c>
      <c r="EL1149" s="303">
        <f t="shared" si="1903"/>
        <v>77.869593611111014</v>
      </c>
      <c r="EM1149" s="302">
        <f t="shared" si="1903"/>
        <v>54.082909447094849</v>
      </c>
      <c r="EN1149" s="302">
        <f t="shared" si="1903"/>
        <v>50.661687483356147</v>
      </c>
      <c r="EO1149" s="302">
        <f t="shared" si="1903"/>
        <v>81.447976323215002</v>
      </c>
      <c r="EP1149" s="302">
        <f t="shared" si="1903"/>
        <v>82.399344601066645</v>
      </c>
      <c r="EQ1149" s="302">
        <f t="shared" si="1903"/>
        <v>68.17074526548501</v>
      </c>
      <c r="ER1149" s="302">
        <f t="shared" si="1903"/>
        <v>117.32610859963199</v>
      </c>
      <c r="ES1149" s="302">
        <f t="shared" si="1903"/>
        <v>90.763613404719564</v>
      </c>
      <c r="ET1149" s="302">
        <f t="shared" si="1903"/>
        <v>89.471924874890163</v>
      </c>
      <c r="EU1149" s="302">
        <f t="shared" si="1903"/>
        <v>91.14898913683291</v>
      </c>
      <c r="EV1149" s="302">
        <f t="shared" si="1903"/>
        <v>124.33965920356664</v>
      </c>
      <c r="EW1149" s="302">
        <f t="shared" si="1903"/>
        <v>116.55099780207726</v>
      </c>
      <c r="EX1149" s="302">
        <f t="shared" si="1903"/>
        <v>105.34528936984552</v>
      </c>
      <c r="EY1149" s="1862">
        <f>+EY1150+EY1151</f>
        <v>70.748007073833179</v>
      </c>
      <c r="EZ1149" s="1771">
        <f t="shared" ref="EZ1149:FJ1149" si="1904">+EZ1150+EZ1151</f>
        <v>86.413824742311178</v>
      </c>
      <c r="FA1149" s="1771">
        <f t="shared" si="1904"/>
        <v>90.847694377210502</v>
      </c>
      <c r="FB1149" s="1771">
        <f t="shared" si="1904"/>
        <v>77.065584289298229</v>
      </c>
      <c r="FC1149" s="1771">
        <f t="shared" si="1904"/>
        <v>85.662440113470595</v>
      </c>
      <c r="FD1149" s="1771">
        <f t="shared" si="1904"/>
        <v>97.286303987423508</v>
      </c>
      <c r="FE1149" s="1771">
        <f t="shared" si="1904"/>
        <v>77.102056569678282</v>
      </c>
      <c r="FF1149" s="1771">
        <f t="shared" si="1904"/>
        <v>86.003314120086642</v>
      </c>
      <c r="FG1149" s="1771">
        <f t="shared" si="1904"/>
        <v>75.966626252998893</v>
      </c>
      <c r="FH1149" s="1771">
        <f t="shared" si="1904"/>
        <v>84.38913137647242</v>
      </c>
      <c r="FI1149" s="1771">
        <f t="shared" si="1904"/>
        <v>117.2655610008845</v>
      </c>
      <c r="FJ1149" s="1771">
        <f t="shared" si="1904"/>
        <v>84.347380595698155</v>
      </c>
      <c r="FK1149" s="1771">
        <f>+FK1150+FK1151</f>
        <v>239.4803263545173</v>
      </c>
      <c r="FL1149" s="1771">
        <f>+FL1150+FL1151</f>
        <v>111.21068745316362</v>
      </c>
      <c r="FM1149" s="1771">
        <f>+FM1150+FM1151</f>
        <v>87.514069921604886</v>
      </c>
      <c r="FN1149" s="1771">
        <f>+FN1150+FN1151</f>
        <v>87.920894633059191</v>
      </c>
      <c r="FO1149" s="1771">
        <f>+FO1150+FO1151</f>
        <v>102.56270995568408</v>
      </c>
      <c r="FP1149" s="1771">
        <f t="shared" ref="FP1149:GC1149" si="1905">+FP1150+FP1151</f>
        <v>149.80864322581655</v>
      </c>
      <c r="FQ1149" s="1771">
        <f t="shared" si="1905"/>
        <v>135.5862509527517</v>
      </c>
      <c r="FR1149" s="1771">
        <f t="shared" si="1905"/>
        <v>102.98562619294069</v>
      </c>
      <c r="FS1149" s="1771">
        <f t="shared" si="1905"/>
        <v>111.44906702538668</v>
      </c>
      <c r="FT1149" s="1771">
        <f t="shared" si="1905"/>
        <v>108.33448425246642</v>
      </c>
      <c r="FU1149" s="1771">
        <f t="shared" si="1905"/>
        <v>122.80417138129438</v>
      </c>
      <c r="FV1149" s="1771">
        <f t="shared" si="1905"/>
        <v>85.292254696623431</v>
      </c>
      <c r="FW1149" s="1771">
        <f t="shared" si="1905"/>
        <v>97.284557203449452</v>
      </c>
      <c r="FX1149" s="1771">
        <f t="shared" si="1905"/>
        <v>86.545498931775455</v>
      </c>
      <c r="FY1149" s="1771">
        <f t="shared" si="1905"/>
        <v>134.15271811866745</v>
      </c>
      <c r="FZ1149" s="1771">
        <f t="shared" si="1905"/>
        <v>198.51702575456306</v>
      </c>
      <c r="GA1149" s="1771">
        <f t="shared" si="1905"/>
        <v>120.82398325756307</v>
      </c>
      <c r="GB1149" s="1771">
        <f t="shared" si="1905"/>
        <v>211.41021791956308</v>
      </c>
      <c r="GC1149" s="1771">
        <f t="shared" si="1905"/>
        <v>155.72762684586289</v>
      </c>
      <c r="GD1149" s="1771">
        <f t="shared" ref="GD1149:HL1149" si="1906">+GD1150+GD1151</f>
        <v>133.19688089182969</v>
      </c>
      <c r="GE1149" s="1771">
        <f t="shared" si="1906"/>
        <v>145.75891500373197</v>
      </c>
      <c r="GF1149" s="1771">
        <f t="shared" si="1906"/>
        <v>140.69325856387889</v>
      </c>
      <c r="GG1149" s="1771">
        <f t="shared" si="1906"/>
        <v>135.1829563492189</v>
      </c>
      <c r="GH1149" s="1771">
        <f t="shared" si="1906"/>
        <v>176.20777902122589</v>
      </c>
      <c r="GI1149" s="1771">
        <f t="shared" si="1906"/>
        <v>103.52234494928284</v>
      </c>
      <c r="GJ1149" s="1771">
        <f t="shared" si="1906"/>
        <v>156.2525454991864</v>
      </c>
      <c r="GK1149" s="1771">
        <f t="shared" si="1906"/>
        <v>173.30683472835381</v>
      </c>
      <c r="GL1149" s="1771">
        <f t="shared" si="1906"/>
        <v>115.80370664883236</v>
      </c>
      <c r="GM1149" s="1771">
        <f t="shared" si="1906"/>
        <v>104.631101610998</v>
      </c>
      <c r="GN1149" s="1771">
        <f t="shared" si="1906"/>
        <v>108.51229027625101</v>
      </c>
      <c r="GO1149" s="1771">
        <f t="shared" si="1906"/>
        <v>187.27093536450565</v>
      </c>
      <c r="GP1149" s="1771">
        <f t="shared" si="1906"/>
        <v>112.12813274738431</v>
      </c>
      <c r="GQ1149" s="1771">
        <f t="shared" si="1906"/>
        <v>171.29445832482878</v>
      </c>
      <c r="GR1149" s="1771">
        <f t="shared" si="1906"/>
        <v>248.95062167517261</v>
      </c>
      <c r="GS1149" s="1771">
        <f t="shared" si="1906"/>
        <v>152.9388408003515</v>
      </c>
      <c r="GT1149" s="1771">
        <f t="shared" si="1906"/>
        <v>119.81831002037995</v>
      </c>
      <c r="GU1149" s="1771">
        <f t="shared" si="1906"/>
        <v>82.214986475231001</v>
      </c>
      <c r="GV1149" s="1771">
        <f t="shared" si="1906"/>
        <v>114.856911052607</v>
      </c>
      <c r="GW1149" s="1771">
        <f t="shared" si="1906"/>
        <v>226.95457457260343</v>
      </c>
      <c r="GX1149" s="1771">
        <f t="shared" si="1906"/>
        <v>87.765140174001999</v>
      </c>
      <c r="GY1149" s="1771">
        <f t="shared" si="1906"/>
        <v>112.215367746333</v>
      </c>
      <c r="GZ1149" s="1771">
        <f t="shared" si="1906"/>
        <v>252.06257273250844</v>
      </c>
      <c r="HA1149" s="1771">
        <f t="shared" si="1906"/>
        <v>157.725643837262</v>
      </c>
      <c r="HB1149" s="1771">
        <f t="shared" si="1906"/>
        <v>145.43011420955099</v>
      </c>
      <c r="HC1149" s="1771">
        <f t="shared" si="1906"/>
        <v>287.82578268103236</v>
      </c>
      <c r="HD1149" s="1771">
        <f t="shared" si="1906"/>
        <v>130.63566800433401</v>
      </c>
      <c r="HE1149" s="1771">
        <f t="shared" si="1906"/>
        <v>115.80959633826602</v>
      </c>
      <c r="HF1149" s="1771">
        <f t="shared" si="1906"/>
        <v>289.4187881800313</v>
      </c>
      <c r="HG1149" s="1771">
        <f t="shared" si="1906"/>
        <v>114.389589797787</v>
      </c>
      <c r="HH1149" s="1771">
        <f t="shared" si="1906"/>
        <v>118.32818794598202</v>
      </c>
      <c r="HI1149" s="1771">
        <f t="shared" si="1906"/>
        <v>222.1362372660993</v>
      </c>
      <c r="HJ1149" s="1771">
        <f t="shared" si="1906"/>
        <v>98.71181906618898</v>
      </c>
      <c r="HK1149" s="1771">
        <f t="shared" si="1906"/>
        <v>113.785145585442</v>
      </c>
      <c r="HL1149" s="1771">
        <f t="shared" si="1906"/>
        <v>344.42957175903439</v>
      </c>
    </row>
    <row r="1150" spans="4:220" ht="17.25" customHeight="1">
      <c r="D1150" s="1235" t="s">
        <v>3335</v>
      </c>
      <c r="E1150" s="681">
        <f t="shared" ref="E1150:AJ1150" si="1907">+E537</f>
        <v>3.5838200000000002</v>
      </c>
      <c r="F1150" s="681">
        <f t="shared" si="1907"/>
        <v>6.07545</v>
      </c>
      <c r="G1150" s="681">
        <f t="shared" si="1907"/>
        <v>1.63897</v>
      </c>
      <c r="H1150" s="681">
        <f t="shared" si="1907"/>
        <v>7.6555400000000002</v>
      </c>
      <c r="I1150" s="681">
        <f t="shared" si="1907"/>
        <v>2.6138300000000001</v>
      </c>
      <c r="J1150" s="681">
        <f t="shared" si="1907"/>
        <v>0.3614</v>
      </c>
      <c r="K1150" s="681">
        <f t="shared" si="1907"/>
        <v>14.90522</v>
      </c>
      <c r="L1150" s="681">
        <f t="shared" si="1907"/>
        <v>4.9962</v>
      </c>
      <c r="M1150" s="681">
        <f t="shared" si="1907"/>
        <v>3.62093</v>
      </c>
      <c r="N1150" s="681">
        <f t="shared" si="1907"/>
        <v>4.1402399999999995</v>
      </c>
      <c r="O1150" s="681">
        <f t="shared" si="1907"/>
        <v>12.62506</v>
      </c>
      <c r="P1150" s="681">
        <f t="shared" si="1907"/>
        <v>1.46191</v>
      </c>
      <c r="Q1150" s="681">
        <f t="shared" si="1907"/>
        <v>6.6938699999999995</v>
      </c>
      <c r="R1150" s="681">
        <f t="shared" si="1907"/>
        <v>6.6217100000000002</v>
      </c>
      <c r="S1150" s="681">
        <f t="shared" si="1907"/>
        <v>6.8226599999999999</v>
      </c>
      <c r="T1150" s="681">
        <f t="shared" si="1907"/>
        <v>13.2995</v>
      </c>
      <c r="U1150" s="681">
        <f t="shared" si="1907"/>
        <v>5.5477400000000001</v>
      </c>
      <c r="V1150" s="681">
        <f t="shared" si="1907"/>
        <v>6.59504</v>
      </c>
      <c r="W1150" s="681">
        <f t="shared" si="1907"/>
        <v>11.525399999999999</v>
      </c>
      <c r="X1150" s="681">
        <f t="shared" si="1907"/>
        <v>11.975370000000002</v>
      </c>
      <c r="Y1150" s="681">
        <f t="shared" si="1907"/>
        <v>13.84273</v>
      </c>
      <c r="Z1150" s="681">
        <f t="shared" si="1907"/>
        <v>28.940909999999999</v>
      </c>
      <c r="AA1150" s="681">
        <f t="shared" si="1907"/>
        <v>6.9695499999999999</v>
      </c>
      <c r="AB1150" s="681">
        <f t="shared" si="1907"/>
        <v>0.37818000000000002</v>
      </c>
      <c r="AC1150" s="681">
        <f t="shared" si="1907"/>
        <v>8.5546699999999998</v>
      </c>
      <c r="AD1150" s="681">
        <f t="shared" si="1907"/>
        <v>8.9667000000000012</v>
      </c>
      <c r="AE1150" s="681">
        <f t="shared" si="1907"/>
        <v>17.100999999999999</v>
      </c>
      <c r="AF1150" s="681">
        <f t="shared" si="1907"/>
        <v>12.328989999999999</v>
      </c>
      <c r="AG1150" s="681">
        <f t="shared" si="1907"/>
        <v>14.137729999999999</v>
      </c>
      <c r="AH1150" s="681">
        <f t="shared" si="1907"/>
        <v>4.8818999999999999</v>
      </c>
      <c r="AI1150" s="681">
        <f t="shared" si="1907"/>
        <v>6.9567500000000004</v>
      </c>
      <c r="AJ1150" s="681">
        <f t="shared" si="1907"/>
        <v>7.8944300000000007</v>
      </c>
      <c r="AK1150" s="681">
        <f t="shared" ref="AK1150:BP1150" si="1908">+AK537</f>
        <v>9.3212900000000012</v>
      </c>
      <c r="AL1150" s="681">
        <f t="shared" si="1908"/>
        <v>20.7941</v>
      </c>
      <c r="AM1150" s="681">
        <f t="shared" si="1908"/>
        <v>21.200900000000001</v>
      </c>
      <c r="AN1150" s="681">
        <f t="shared" si="1908"/>
        <v>7.2271099999999997</v>
      </c>
      <c r="AO1150" s="681">
        <f t="shared" si="1908"/>
        <v>15.105780000000001</v>
      </c>
      <c r="AP1150" s="681">
        <f t="shared" si="1908"/>
        <v>13.18632</v>
      </c>
      <c r="AQ1150" s="681">
        <f t="shared" si="1908"/>
        <v>6.8012499999999996</v>
      </c>
      <c r="AR1150" s="681">
        <f t="shared" si="1908"/>
        <v>21.793560000000003</v>
      </c>
      <c r="AS1150" s="681">
        <f t="shared" si="1908"/>
        <v>18.903689999999997</v>
      </c>
      <c r="AT1150" s="681">
        <f t="shared" si="1908"/>
        <v>9.5749200000000005</v>
      </c>
      <c r="AU1150" s="681">
        <f t="shared" si="1908"/>
        <v>14.740819999999999</v>
      </c>
      <c r="AV1150" s="681">
        <f t="shared" si="1908"/>
        <v>13.9329</v>
      </c>
      <c r="AW1150" s="681">
        <f t="shared" si="1908"/>
        <v>13.756959999999999</v>
      </c>
      <c r="AX1150" s="681">
        <f t="shared" si="1908"/>
        <v>20.9</v>
      </c>
      <c r="AY1150" s="681">
        <f t="shared" si="1908"/>
        <v>15.603999999999999</v>
      </c>
      <c r="AZ1150" s="681">
        <f t="shared" si="1908"/>
        <v>28.117650000000001</v>
      </c>
      <c r="BA1150" s="681">
        <f t="shared" si="1908"/>
        <v>22.111249999999998</v>
      </c>
      <c r="BB1150" s="681">
        <f t="shared" si="1908"/>
        <v>11.667159999999999</v>
      </c>
      <c r="BC1150" s="681">
        <f t="shared" si="1908"/>
        <v>16.764089999999999</v>
      </c>
      <c r="BD1150" s="681">
        <f t="shared" si="1908"/>
        <v>22.31202</v>
      </c>
      <c r="BE1150" s="681">
        <f t="shared" si="1908"/>
        <v>33.052900000000001</v>
      </c>
      <c r="BF1150" s="681">
        <f t="shared" si="1908"/>
        <v>5.1906800000000004</v>
      </c>
      <c r="BG1150" s="681">
        <f t="shared" si="1908"/>
        <v>6.3758999999999997</v>
      </c>
      <c r="BH1150" s="681">
        <f t="shared" si="1908"/>
        <v>19.89939</v>
      </c>
      <c r="BI1150" s="681">
        <f t="shared" si="1908"/>
        <v>19.567900000000002</v>
      </c>
      <c r="BJ1150" s="681">
        <f t="shared" si="1908"/>
        <v>33.236025999999995</v>
      </c>
      <c r="BK1150" s="681">
        <f t="shared" si="1908"/>
        <v>17.411060000000003</v>
      </c>
      <c r="BL1150" s="681">
        <f t="shared" si="1908"/>
        <v>7.0269899999999996</v>
      </c>
      <c r="BM1150" s="681">
        <f t="shared" si="1908"/>
        <v>21.286360000000002</v>
      </c>
      <c r="BN1150" s="681">
        <f t="shared" si="1908"/>
        <v>12.03393</v>
      </c>
      <c r="BO1150" s="681">
        <f t="shared" si="1908"/>
        <v>9.0892599999999995</v>
      </c>
      <c r="BP1150" s="681">
        <f t="shared" si="1908"/>
        <v>31.707180000000001</v>
      </c>
      <c r="BQ1150" s="681">
        <f t="shared" ref="BQ1150:CV1150" si="1909">+BQ537</f>
        <v>46.85219</v>
      </c>
      <c r="BR1150" s="681">
        <f t="shared" si="1909"/>
        <v>6.1012599999999999</v>
      </c>
      <c r="BS1150" s="681">
        <f t="shared" si="1909"/>
        <v>8.992799999999999</v>
      </c>
      <c r="BT1150" s="681">
        <f t="shared" si="1909"/>
        <v>14.1875</v>
      </c>
      <c r="BU1150" s="681">
        <f t="shared" si="1909"/>
        <v>10.728399999999999</v>
      </c>
      <c r="BV1150" s="681">
        <f t="shared" si="1909"/>
        <v>38.280104581000003</v>
      </c>
      <c r="BW1150" s="681">
        <f t="shared" si="1909"/>
        <v>19.21824221</v>
      </c>
      <c r="BX1150" s="681">
        <f t="shared" si="1909"/>
        <v>3.4928711909999999</v>
      </c>
      <c r="BY1150" s="681">
        <f t="shared" si="1909"/>
        <v>16.503664744000002</v>
      </c>
      <c r="BZ1150" s="681">
        <f t="shared" si="1909"/>
        <v>16.912173433</v>
      </c>
      <c r="CA1150" s="681">
        <f t="shared" si="1909"/>
        <v>14.65821757</v>
      </c>
      <c r="CB1150" s="681">
        <f t="shared" si="1909"/>
        <v>45.488008786000002</v>
      </c>
      <c r="CC1150" s="681">
        <f t="shared" si="1909"/>
        <v>30.685310925</v>
      </c>
      <c r="CD1150" s="681">
        <f t="shared" si="1909"/>
        <v>20.505813729</v>
      </c>
      <c r="CE1150" s="681">
        <f t="shared" si="1909"/>
        <v>7.8191067849999998</v>
      </c>
      <c r="CF1150" s="681">
        <f t="shared" si="1909"/>
        <v>27.064540614999999</v>
      </c>
      <c r="CG1150" s="681">
        <f t="shared" si="1909"/>
        <v>13.416189154</v>
      </c>
      <c r="CH1150" s="681">
        <f t="shared" si="1909"/>
        <v>30.291457128000001</v>
      </c>
      <c r="CI1150" s="681">
        <f t="shared" si="1909"/>
        <v>23.947314263999999</v>
      </c>
      <c r="CJ1150" s="681">
        <f t="shared" si="1909"/>
        <v>12.362992740999999</v>
      </c>
      <c r="CK1150" s="681">
        <f t="shared" si="1909"/>
        <v>21.517392606000001</v>
      </c>
      <c r="CL1150" s="681">
        <f t="shared" si="1909"/>
        <v>23.682749282</v>
      </c>
      <c r="CM1150" s="681">
        <f t="shared" si="1909"/>
        <v>32.481324956000002</v>
      </c>
      <c r="CN1150" s="681">
        <f t="shared" si="1909"/>
        <v>26.759737409</v>
      </c>
      <c r="CO1150" s="681">
        <f t="shared" si="1909"/>
        <v>64.034057740999998</v>
      </c>
      <c r="CP1150" s="681">
        <f t="shared" si="1909"/>
        <v>36.776276578000001</v>
      </c>
      <c r="CQ1150" s="681">
        <f t="shared" si="1909"/>
        <v>18.732472962999999</v>
      </c>
      <c r="CR1150" s="681">
        <f t="shared" si="1909"/>
        <v>31.425210746000001</v>
      </c>
      <c r="CS1150" s="681">
        <f t="shared" si="1909"/>
        <v>28.036566303000001</v>
      </c>
      <c r="CT1150" s="681">
        <f t="shared" si="1909"/>
        <v>20.871269851000001</v>
      </c>
      <c r="CU1150" s="681">
        <f t="shared" si="1909"/>
        <v>19.008571825000001</v>
      </c>
      <c r="CV1150" s="681">
        <f t="shared" si="1909"/>
        <v>17.450130183999999</v>
      </c>
      <c r="CW1150" s="681">
        <f t="shared" ref="CW1150:EB1150" si="1910">+CW537</f>
        <v>33.116301632999999</v>
      </c>
      <c r="CX1150" s="681">
        <f t="shared" si="1910"/>
        <v>26.094432314999999</v>
      </c>
      <c r="CY1150" s="681">
        <f t="shared" si="1910"/>
        <v>44.998493394999997</v>
      </c>
      <c r="CZ1150" s="681">
        <f t="shared" si="1910"/>
        <v>78.902201219999995</v>
      </c>
      <c r="DA1150" s="681">
        <f t="shared" si="1910"/>
        <v>45.806131833999999</v>
      </c>
      <c r="DB1150" s="681">
        <f t="shared" si="1910"/>
        <v>32.207662052000003</v>
      </c>
      <c r="DC1150" s="681">
        <f t="shared" si="1910"/>
        <v>16.489001077000001</v>
      </c>
      <c r="DD1150" s="681">
        <f t="shared" si="1910"/>
        <v>30.797304453999999</v>
      </c>
      <c r="DE1150" s="681">
        <f t="shared" si="1910"/>
        <v>40.144479420000003</v>
      </c>
      <c r="DF1150" s="681">
        <f t="shared" si="1910"/>
        <v>47.547703896999998</v>
      </c>
      <c r="DG1150" s="681">
        <f t="shared" si="1910"/>
        <v>28.742775963</v>
      </c>
      <c r="DH1150" s="681">
        <f t="shared" si="1910"/>
        <v>14.383686656</v>
      </c>
      <c r="DI1150" s="681">
        <f t="shared" si="1910"/>
        <v>57.002527604999997</v>
      </c>
      <c r="DJ1150" s="681">
        <f t="shared" si="1910"/>
        <v>37.214416708000002</v>
      </c>
      <c r="DK1150" s="681">
        <f t="shared" si="1910"/>
        <v>24.533894926999999</v>
      </c>
      <c r="DL1150" s="681">
        <f t="shared" si="1910"/>
        <v>57.665731115</v>
      </c>
      <c r="DM1150" s="681">
        <f t="shared" si="1910"/>
        <v>62.479018287999999</v>
      </c>
      <c r="DN1150" s="681">
        <f t="shared" si="1910"/>
        <v>29.876977194999998</v>
      </c>
      <c r="DO1150" s="681">
        <f t="shared" si="1910"/>
        <v>24.510819567999999</v>
      </c>
      <c r="DP1150" s="681">
        <f t="shared" si="1910"/>
        <v>31.191320255000001</v>
      </c>
      <c r="DQ1150" s="681">
        <f t="shared" si="1910"/>
        <v>19.781208627000002</v>
      </c>
      <c r="DR1150" s="681">
        <f t="shared" si="1910"/>
        <v>36.670557473000002</v>
      </c>
      <c r="DS1150" s="681">
        <f t="shared" si="1910"/>
        <v>39.918205536999999</v>
      </c>
      <c r="DT1150" s="681">
        <f t="shared" si="1910"/>
        <v>14.805941098</v>
      </c>
      <c r="DU1150" s="681">
        <f t="shared" si="1910"/>
        <v>55.250912331000002</v>
      </c>
      <c r="DV1150" s="681">
        <f t="shared" si="1910"/>
        <v>37.215884711999998</v>
      </c>
      <c r="DW1150" s="681">
        <f t="shared" si="1910"/>
        <v>17.677582613999999</v>
      </c>
      <c r="DX1150" s="681">
        <f t="shared" si="1910"/>
        <v>60.345860789</v>
      </c>
      <c r="DY1150" s="681">
        <f t="shared" si="1910"/>
        <v>55.610312768999997</v>
      </c>
      <c r="DZ1150" s="681">
        <f t="shared" si="1910"/>
        <v>7.9984918089999999</v>
      </c>
      <c r="EA1150" s="681">
        <f t="shared" si="1910"/>
        <v>7.9984918089999999</v>
      </c>
      <c r="EB1150" s="681">
        <f t="shared" si="1910"/>
        <v>57.63256397</v>
      </c>
      <c r="EC1150" s="681">
        <f t="shared" ref="EC1150:EX1150" si="1911">+EC537</f>
        <v>42.977248097999997</v>
      </c>
      <c r="ED1150" s="681">
        <f t="shared" si="1911"/>
        <v>44.711899309000003</v>
      </c>
      <c r="EE1150" s="681">
        <f t="shared" si="1911"/>
        <v>39.024985354999998</v>
      </c>
      <c r="EF1150" s="681">
        <f t="shared" si="1911"/>
        <v>19.645622919000001</v>
      </c>
      <c r="EG1150" s="681">
        <f t="shared" si="1911"/>
        <v>83.314393476999996</v>
      </c>
      <c r="EH1150" s="681">
        <f t="shared" si="1911"/>
        <v>34.696378115999998</v>
      </c>
      <c r="EI1150" s="681">
        <f t="shared" si="1911"/>
        <v>30.38618468</v>
      </c>
      <c r="EJ1150" s="681">
        <f t="shared" si="1911"/>
        <v>43.270346683</v>
      </c>
      <c r="EK1150" s="681">
        <f t="shared" si="1911"/>
        <v>40.489700677000002</v>
      </c>
      <c r="EL1150" s="681">
        <f t="shared" si="1911"/>
        <v>19.011669787999999</v>
      </c>
      <c r="EM1150" s="681">
        <f t="shared" si="1911"/>
        <v>27.928875783999999</v>
      </c>
      <c r="EN1150" s="681">
        <f t="shared" si="1911"/>
        <v>32.216142105000003</v>
      </c>
      <c r="EO1150" s="681">
        <f t="shared" si="1911"/>
        <v>34.432715870000003</v>
      </c>
      <c r="EP1150" s="681">
        <f t="shared" si="1911"/>
        <v>53.201433113</v>
      </c>
      <c r="EQ1150" s="681">
        <f t="shared" si="1911"/>
        <v>46.650960023000003</v>
      </c>
      <c r="ER1150" s="681">
        <f t="shared" si="1911"/>
        <v>58.397181713999998</v>
      </c>
      <c r="ES1150" s="681">
        <f t="shared" si="1911"/>
        <v>55.415338763999998</v>
      </c>
      <c r="ET1150" s="681">
        <f t="shared" si="1911"/>
        <v>58.919306761999998</v>
      </c>
      <c r="EU1150" s="681">
        <f t="shared" si="1911"/>
        <v>47.107478352999998</v>
      </c>
      <c r="EV1150" s="681">
        <f t="shared" si="1911"/>
        <v>92.436332003000004</v>
      </c>
      <c r="EW1150" s="681">
        <f t="shared" si="1911"/>
        <v>87.662794950000006</v>
      </c>
      <c r="EX1150" s="681">
        <f t="shared" si="1911"/>
        <v>29.336689837000002</v>
      </c>
      <c r="EY1150" s="1860">
        <f t="shared" ref="EY1150:GD1150" si="1912">+EY822+EY799+EY804</f>
        <v>37.467885670999998</v>
      </c>
      <c r="EZ1150" s="681">
        <f t="shared" si="1912"/>
        <v>39.451502786000006</v>
      </c>
      <c r="FA1150" s="681">
        <f t="shared" si="1912"/>
        <v>48.433684837999998</v>
      </c>
      <c r="FB1150" s="681">
        <f t="shared" si="1912"/>
        <v>42.281539246999998</v>
      </c>
      <c r="FC1150" s="681">
        <f t="shared" si="1912"/>
        <v>41.602428701999997</v>
      </c>
      <c r="FD1150" s="681">
        <f t="shared" si="1912"/>
        <v>31.945720539</v>
      </c>
      <c r="FE1150" s="681">
        <f t="shared" si="1912"/>
        <v>35.485007250999999</v>
      </c>
      <c r="FF1150" s="681">
        <f t="shared" si="1912"/>
        <v>40.073490468000003</v>
      </c>
      <c r="FG1150" s="681">
        <f t="shared" si="1912"/>
        <v>29.438954741</v>
      </c>
      <c r="FH1150" s="681">
        <f t="shared" si="1912"/>
        <v>39.993022592000003</v>
      </c>
      <c r="FI1150" s="681">
        <f t="shared" si="1912"/>
        <v>64.253409435999998</v>
      </c>
      <c r="FJ1150" s="681">
        <f t="shared" si="1912"/>
        <v>34.872384849999996</v>
      </c>
      <c r="FK1150" s="681">
        <f t="shared" si="1912"/>
        <v>103.887994263</v>
      </c>
      <c r="FL1150" s="681">
        <f t="shared" si="1912"/>
        <v>44.912737849999999</v>
      </c>
      <c r="FM1150" s="681">
        <f t="shared" si="1912"/>
        <v>39.413129310999992</v>
      </c>
      <c r="FN1150" s="681">
        <f t="shared" si="1912"/>
        <v>54.679177471999999</v>
      </c>
      <c r="FO1150" s="681">
        <f t="shared" si="1912"/>
        <v>52.468464892999997</v>
      </c>
      <c r="FP1150" s="681">
        <f t="shared" si="1912"/>
        <v>97.612296991999997</v>
      </c>
      <c r="FQ1150" s="681">
        <f t="shared" si="1912"/>
        <v>93.464730668999991</v>
      </c>
      <c r="FR1150" s="681">
        <f t="shared" si="1912"/>
        <v>63.137831117999994</v>
      </c>
      <c r="FS1150" s="681">
        <f t="shared" si="1912"/>
        <v>48.214813391500009</v>
      </c>
      <c r="FT1150" s="681">
        <f t="shared" si="1912"/>
        <v>57.370841505000001</v>
      </c>
      <c r="FU1150" s="681">
        <f t="shared" si="1912"/>
        <v>87.284378714499979</v>
      </c>
      <c r="FV1150" s="681">
        <f t="shared" si="1912"/>
        <v>17.184429237</v>
      </c>
      <c r="FW1150" s="681">
        <f t="shared" si="1912"/>
        <v>39.784564220999997</v>
      </c>
      <c r="FX1150" s="681">
        <f t="shared" si="1912"/>
        <v>39.578127835000004</v>
      </c>
      <c r="FY1150" s="681">
        <f t="shared" si="1912"/>
        <v>74.930301024000002</v>
      </c>
      <c r="FZ1150" s="681">
        <f t="shared" si="1912"/>
        <v>98.968356151999998</v>
      </c>
      <c r="GA1150" s="681">
        <f t="shared" si="1912"/>
        <v>55.285169787999997</v>
      </c>
      <c r="GB1150" s="681">
        <f t="shared" si="1912"/>
        <v>132.681534059</v>
      </c>
      <c r="GC1150" s="681">
        <f t="shared" si="1912"/>
        <v>119.47972152999999</v>
      </c>
      <c r="GD1150" s="681">
        <f t="shared" si="1912"/>
        <v>79.516126696999805</v>
      </c>
      <c r="GE1150" s="681">
        <f t="shared" ref="GE1150:HL1150" si="1913">+GE822+GE799+GE804</f>
        <v>94.935381094000093</v>
      </c>
      <c r="GF1150" s="681">
        <f t="shared" si="1913"/>
        <v>86.334466156000005</v>
      </c>
      <c r="GG1150" s="681">
        <f t="shared" si="1913"/>
        <v>76.101960779999999</v>
      </c>
      <c r="GH1150" s="681">
        <f t="shared" si="1913"/>
        <v>49.196656843000007</v>
      </c>
      <c r="GI1150" s="681">
        <f t="shared" si="1913"/>
        <v>57.499332529429942</v>
      </c>
      <c r="GJ1150" s="681">
        <f t="shared" si="1913"/>
        <v>113.1724674960635</v>
      </c>
      <c r="GK1150" s="681">
        <f t="shared" si="1913"/>
        <v>109.81297340283089</v>
      </c>
      <c r="GL1150" s="681">
        <f t="shared" si="1913"/>
        <v>56.078114115959451</v>
      </c>
      <c r="GM1150" s="681">
        <f t="shared" si="1913"/>
        <v>60.492763610485106</v>
      </c>
      <c r="GN1150" s="681">
        <f t="shared" si="1913"/>
        <v>29.943225827028108</v>
      </c>
      <c r="GO1150" s="681">
        <f t="shared" si="1913"/>
        <v>118.81247804905666</v>
      </c>
      <c r="GP1150" s="681">
        <f t="shared" si="1913"/>
        <v>43.991895007972346</v>
      </c>
      <c r="GQ1150" s="681">
        <f t="shared" si="1913"/>
        <v>67.876412485859817</v>
      </c>
      <c r="GR1150" s="681">
        <f t="shared" si="1913"/>
        <v>195.09251726285765</v>
      </c>
      <c r="GS1150" s="681">
        <f t="shared" si="1913"/>
        <v>93.88467447953451</v>
      </c>
      <c r="GT1150" s="681">
        <f t="shared" si="1913"/>
        <v>36.302613396152957</v>
      </c>
      <c r="GU1150" s="681">
        <f t="shared" si="1913"/>
        <v>60.304457198999998</v>
      </c>
      <c r="GV1150" s="681">
        <f t="shared" si="1913"/>
        <v>72.659161435000001</v>
      </c>
      <c r="GW1150" s="681">
        <f t="shared" si="1913"/>
        <v>59.683114332999999</v>
      </c>
      <c r="GX1150" s="681">
        <f t="shared" si="1913"/>
        <v>60.479913273000001</v>
      </c>
      <c r="GY1150" s="681">
        <f t="shared" si="1913"/>
        <v>45.230784256999996</v>
      </c>
      <c r="GZ1150" s="681">
        <f t="shared" si="1913"/>
        <v>34.369167054000002</v>
      </c>
      <c r="HA1150" s="681">
        <f t="shared" si="1913"/>
        <v>126.289850317</v>
      </c>
      <c r="HB1150" s="681">
        <f t="shared" si="1913"/>
        <v>124.194103273</v>
      </c>
      <c r="HC1150" s="681">
        <f t="shared" si="1913"/>
        <v>73.593341761000005</v>
      </c>
      <c r="HD1150" s="681">
        <f t="shared" si="1913"/>
        <v>90.126418737999998</v>
      </c>
      <c r="HE1150" s="681">
        <f t="shared" si="1913"/>
        <v>97.534948024000016</v>
      </c>
      <c r="HF1150" s="681">
        <f t="shared" si="1913"/>
        <v>60.690974672999992</v>
      </c>
      <c r="HG1150" s="681">
        <f t="shared" si="1913"/>
        <v>68.149515762999997</v>
      </c>
      <c r="HH1150" s="681">
        <f t="shared" si="1913"/>
        <v>99.476259388000017</v>
      </c>
      <c r="HI1150" s="681">
        <f t="shared" si="1913"/>
        <v>67.638116187000008</v>
      </c>
      <c r="HJ1150" s="681">
        <f t="shared" si="1913"/>
        <v>44.166281266999988</v>
      </c>
      <c r="HK1150" s="681">
        <f t="shared" si="1913"/>
        <v>72.475166193999996</v>
      </c>
      <c r="HL1150" s="681">
        <f t="shared" si="1913"/>
        <v>96.926059307999992</v>
      </c>
    </row>
    <row r="1151" spans="4:220" ht="17.25" customHeight="1">
      <c r="D1151" s="1235" t="s">
        <v>602</v>
      </c>
      <c r="E1151" s="681">
        <f t="shared" ref="E1151:AJ1151" si="1914">+E543</f>
        <v>0</v>
      </c>
      <c r="F1151" s="681">
        <f t="shared" si="1914"/>
        <v>0</v>
      </c>
      <c r="G1151" s="681">
        <f t="shared" si="1914"/>
        <v>29.4</v>
      </c>
      <c r="H1151" s="681">
        <f t="shared" si="1914"/>
        <v>0</v>
      </c>
      <c r="I1151" s="681">
        <f t="shared" si="1914"/>
        <v>0</v>
      </c>
      <c r="J1151" s="681">
        <f t="shared" si="1914"/>
        <v>29.3</v>
      </c>
      <c r="K1151" s="681">
        <f t="shared" si="1914"/>
        <v>0</v>
      </c>
      <c r="L1151" s="681">
        <f t="shared" si="1914"/>
        <v>0</v>
      </c>
      <c r="M1151" s="681">
        <f t="shared" si="1914"/>
        <v>31.4</v>
      </c>
      <c r="N1151" s="681">
        <f t="shared" si="1914"/>
        <v>0</v>
      </c>
      <c r="O1151" s="681">
        <f t="shared" si="1914"/>
        <v>0</v>
      </c>
      <c r="P1151" s="681">
        <f t="shared" si="1914"/>
        <v>32.4</v>
      </c>
      <c r="Q1151" s="681">
        <f t="shared" si="1914"/>
        <v>0</v>
      </c>
      <c r="R1151" s="681">
        <f t="shared" si="1914"/>
        <v>0</v>
      </c>
      <c r="S1151" s="681">
        <f t="shared" si="1914"/>
        <v>21.242069999999998</v>
      </c>
      <c r="T1151" s="681">
        <f t="shared" si="1914"/>
        <v>0</v>
      </c>
      <c r="U1151" s="681">
        <f t="shared" si="1914"/>
        <v>0</v>
      </c>
      <c r="V1151" s="681">
        <f t="shared" si="1914"/>
        <v>29.22842</v>
      </c>
      <c r="W1151" s="681">
        <f t="shared" si="1914"/>
        <v>0</v>
      </c>
      <c r="X1151" s="681">
        <f t="shared" si="1914"/>
        <v>0</v>
      </c>
      <c r="Y1151" s="681">
        <f t="shared" si="1914"/>
        <v>30.385300000000001</v>
      </c>
      <c r="Z1151" s="681">
        <f t="shared" si="1914"/>
        <v>0</v>
      </c>
      <c r="AA1151" s="681">
        <f t="shared" si="1914"/>
        <v>0</v>
      </c>
      <c r="AB1151" s="681">
        <f t="shared" si="1914"/>
        <v>67.686899999999994</v>
      </c>
      <c r="AC1151" s="681">
        <f t="shared" si="1914"/>
        <v>0</v>
      </c>
      <c r="AD1151" s="681">
        <f t="shared" si="1914"/>
        <v>0</v>
      </c>
      <c r="AE1151" s="681">
        <f t="shared" si="1914"/>
        <v>39.441300000000005</v>
      </c>
      <c r="AF1151" s="681">
        <f t="shared" si="1914"/>
        <v>0</v>
      </c>
      <c r="AG1151" s="681">
        <f t="shared" si="1914"/>
        <v>0</v>
      </c>
      <c r="AH1151" s="681">
        <f t="shared" si="1914"/>
        <v>28.791571012000006</v>
      </c>
      <c r="AI1151" s="681">
        <f t="shared" si="1914"/>
        <v>0</v>
      </c>
      <c r="AJ1151" s="681">
        <f t="shared" si="1914"/>
        <v>0</v>
      </c>
      <c r="AK1151" s="681">
        <f t="shared" ref="AK1151:BP1151" si="1915">+AK543</f>
        <v>39.314281945000005</v>
      </c>
      <c r="AL1151" s="681">
        <f t="shared" si="1915"/>
        <v>0</v>
      </c>
      <c r="AM1151" s="681">
        <f t="shared" si="1915"/>
        <v>0</v>
      </c>
      <c r="AN1151" s="681">
        <f t="shared" si="1915"/>
        <v>48.320237470999992</v>
      </c>
      <c r="AO1151" s="681">
        <f t="shared" si="1915"/>
        <v>0</v>
      </c>
      <c r="AP1151" s="681">
        <f t="shared" si="1915"/>
        <v>0</v>
      </c>
      <c r="AQ1151" s="681">
        <f t="shared" si="1915"/>
        <v>32.635025601999999</v>
      </c>
      <c r="AR1151" s="681">
        <f t="shared" si="1915"/>
        <v>0</v>
      </c>
      <c r="AS1151" s="681">
        <f t="shared" si="1915"/>
        <v>0</v>
      </c>
      <c r="AT1151" s="681">
        <f t="shared" si="1915"/>
        <v>36.601549328000004</v>
      </c>
      <c r="AU1151" s="681">
        <f t="shared" si="1915"/>
        <v>0</v>
      </c>
      <c r="AV1151" s="681">
        <f t="shared" si="1915"/>
        <v>0</v>
      </c>
      <c r="AW1151" s="681">
        <f t="shared" si="1915"/>
        <v>40.564456559999996</v>
      </c>
      <c r="AX1151" s="681">
        <f t="shared" si="1915"/>
        <v>0</v>
      </c>
      <c r="AY1151" s="681">
        <f t="shared" si="1915"/>
        <v>0</v>
      </c>
      <c r="AZ1151" s="681">
        <f t="shared" si="1915"/>
        <v>47.876462140999998</v>
      </c>
      <c r="BA1151" s="681">
        <f t="shared" si="1915"/>
        <v>0</v>
      </c>
      <c r="BB1151" s="681">
        <f t="shared" si="1915"/>
        <v>0</v>
      </c>
      <c r="BC1151" s="681">
        <f t="shared" si="1915"/>
        <v>78.985767354999993</v>
      </c>
      <c r="BD1151" s="681">
        <f t="shared" si="1915"/>
        <v>0</v>
      </c>
      <c r="BE1151" s="681">
        <f t="shared" si="1915"/>
        <v>0</v>
      </c>
      <c r="BF1151" s="681">
        <f t="shared" si="1915"/>
        <v>52.305443629000003</v>
      </c>
      <c r="BG1151" s="681">
        <f t="shared" si="1915"/>
        <v>0</v>
      </c>
      <c r="BH1151" s="681">
        <f t="shared" si="1915"/>
        <v>0</v>
      </c>
      <c r="BI1151" s="681">
        <f t="shared" si="1915"/>
        <v>37.795994708999999</v>
      </c>
      <c r="BJ1151" s="681">
        <f t="shared" si="1915"/>
        <v>0</v>
      </c>
      <c r="BK1151" s="681">
        <f t="shared" si="1915"/>
        <v>0</v>
      </c>
      <c r="BL1151" s="681">
        <f t="shared" si="1915"/>
        <v>72.880383401000003</v>
      </c>
      <c r="BM1151" s="681">
        <f t="shared" si="1915"/>
        <v>0</v>
      </c>
      <c r="BN1151" s="681">
        <f t="shared" si="1915"/>
        <v>0</v>
      </c>
      <c r="BO1151" s="681">
        <f t="shared" si="1915"/>
        <v>74.443160237000001</v>
      </c>
      <c r="BP1151" s="681">
        <f t="shared" si="1915"/>
        <v>0</v>
      </c>
      <c r="BQ1151" s="681">
        <f t="shared" ref="BQ1151:CV1151" si="1916">+BQ543</f>
        <v>0</v>
      </c>
      <c r="BR1151" s="681">
        <f t="shared" si="1916"/>
        <v>79.585584824000009</v>
      </c>
      <c r="BS1151" s="681">
        <f t="shared" si="1916"/>
        <v>0</v>
      </c>
      <c r="BT1151" s="681">
        <f t="shared" si="1916"/>
        <v>0</v>
      </c>
      <c r="BU1151" s="681">
        <f t="shared" si="1916"/>
        <v>85.534600000000012</v>
      </c>
      <c r="BV1151" s="681">
        <f t="shared" si="1916"/>
        <v>0</v>
      </c>
      <c r="BW1151" s="681">
        <f t="shared" si="1916"/>
        <v>0</v>
      </c>
      <c r="BX1151" s="681">
        <f t="shared" si="1916"/>
        <v>0</v>
      </c>
      <c r="BY1151" s="681">
        <f t="shared" si="1916"/>
        <v>0</v>
      </c>
      <c r="BZ1151" s="681">
        <f t="shared" si="1916"/>
        <v>0</v>
      </c>
      <c r="CA1151" s="681">
        <f t="shared" si="1916"/>
        <v>0</v>
      </c>
      <c r="CB1151" s="681">
        <f t="shared" si="1916"/>
        <v>0</v>
      </c>
      <c r="CC1151" s="681">
        <f t="shared" si="1916"/>
        <v>0</v>
      </c>
      <c r="CD1151" s="681">
        <f t="shared" si="1916"/>
        <v>0</v>
      </c>
      <c r="CE1151" s="681">
        <f t="shared" si="1916"/>
        <v>33.442606270771698</v>
      </c>
      <c r="CF1151" s="681">
        <f t="shared" si="1916"/>
        <v>10.11084003473381</v>
      </c>
      <c r="CG1151" s="681">
        <f t="shared" si="1916"/>
        <v>40.029800420294492</v>
      </c>
      <c r="CH1151" s="681">
        <f t="shared" si="1916"/>
        <v>52.129023568949599</v>
      </c>
      <c r="CI1151" s="681">
        <f t="shared" si="1916"/>
        <v>36.938693920135449</v>
      </c>
      <c r="CJ1151" s="681">
        <f t="shared" si="1916"/>
        <v>30.216815742000946</v>
      </c>
      <c r="CK1151" s="681">
        <f t="shared" si="1916"/>
        <v>35.465421401968307</v>
      </c>
      <c r="CL1151" s="681">
        <f t="shared" si="1916"/>
        <v>17.270006588434697</v>
      </c>
      <c r="CM1151" s="681">
        <f t="shared" si="1916"/>
        <v>19.001184852918993</v>
      </c>
      <c r="CN1151" s="681">
        <f t="shared" si="1916"/>
        <v>62.239680572925209</v>
      </c>
      <c r="CO1151" s="681">
        <f t="shared" si="1916"/>
        <v>24.906248327884175</v>
      </c>
      <c r="CP1151" s="681">
        <f t="shared" si="1916"/>
        <v>30.627619857661593</v>
      </c>
      <c r="CQ1151" s="681">
        <f t="shared" si="1916"/>
        <v>22.634250257573093</v>
      </c>
      <c r="CR1151" s="681">
        <f t="shared" si="1916"/>
        <v>24.52159962765402</v>
      </c>
      <c r="CS1151" s="681">
        <f t="shared" si="1916"/>
        <v>26.668254940129891</v>
      </c>
      <c r="CT1151" s="681">
        <f t="shared" si="1916"/>
        <v>30.063085946442769</v>
      </c>
      <c r="CU1151" s="681">
        <f t="shared" si="1916"/>
        <v>37.895227394663344</v>
      </c>
      <c r="CV1151" s="681">
        <f t="shared" si="1916"/>
        <v>37.215800957066605</v>
      </c>
      <c r="CW1151" s="681">
        <f t="shared" ref="CW1151:EB1151" si="1917">+CW543</f>
        <v>27.254137346920125</v>
      </c>
      <c r="CX1151" s="681">
        <f t="shared" si="1917"/>
        <v>24.408593314944181</v>
      </c>
      <c r="CY1151" s="681">
        <f t="shared" si="1917"/>
        <v>27.545518918423681</v>
      </c>
      <c r="CZ1151" s="681">
        <f t="shared" si="1917"/>
        <v>16.514020665328591</v>
      </c>
      <c r="DA1151" s="681">
        <f t="shared" si="1917"/>
        <v>31.02010684723729</v>
      </c>
      <c r="DB1151" s="681">
        <f t="shared" si="1917"/>
        <v>34.526302365791111</v>
      </c>
      <c r="DC1151" s="681">
        <f t="shared" si="1917"/>
        <v>13.815378550313035</v>
      </c>
      <c r="DD1151" s="681">
        <f t="shared" si="1917"/>
        <v>22.733842588357085</v>
      </c>
      <c r="DE1151" s="681">
        <f t="shared" si="1917"/>
        <v>27.656144330049869</v>
      </c>
      <c r="DF1151" s="681">
        <f t="shared" si="1917"/>
        <v>11.279776217524869</v>
      </c>
      <c r="DG1151" s="681">
        <f t="shared" si="1917"/>
        <v>33.722199077256178</v>
      </c>
      <c r="DH1151" s="681">
        <f t="shared" si="1917"/>
        <v>39.096493741725958</v>
      </c>
      <c r="DI1151" s="681">
        <f t="shared" si="1917"/>
        <v>16.2369795516545</v>
      </c>
      <c r="DJ1151" s="681">
        <f t="shared" si="1917"/>
        <v>17.042901420444629</v>
      </c>
      <c r="DK1151" s="681">
        <f t="shared" si="1917"/>
        <v>28.86465210535188</v>
      </c>
      <c r="DL1151" s="681">
        <f t="shared" si="1917"/>
        <v>23.993006012909991</v>
      </c>
      <c r="DM1151" s="681">
        <f t="shared" si="1917"/>
        <v>26.171525515564543</v>
      </c>
      <c r="DN1151" s="681">
        <f t="shared" si="1917"/>
        <v>11.195116230480462</v>
      </c>
      <c r="DO1151" s="681">
        <f t="shared" si="1917"/>
        <v>7.8666976505732329</v>
      </c>
      <c r="DP1151" s="681">
        <f t="shared" si="1917"/>
        <v>10.426636676368915</v>
      </c>
      <c r="DQ1151" s="681">
        <f t="shared" si="1917"/>
        <v>39.534174137009401</v>
      </c>
      <c r="DR1151" s="681">
        <f t="shared" si="1917"/>
        <v>9.2505464423914212</v>
      </c>
      <c r="DS1151" s="681">
        <f t="shared" si="1917"/>
        <v>11.369225287213002</v>
      </c>
      <c r="DT1151" s="681">
        <f t="shared" si="1917"/>
        <v>20.325144909231</v>
      </c>
      <c r="DU1151" s="681">
        <f t="shared" si="1917"/>
        <v>27.096548810042002</v>
      </c>
      <c r="DV1151" s="681">
        <f t="shared" si="1917"/>
        <v>3.1183098931750002</v>
      </c>
      <c r="DW1151" s="681">
        <f t="shared" si="1917"/>
        <v>21.614232810366996</v>
      </c>
      <c r="DX1151" s="681">
        <f t="shared" si="1917"/>
        <v>33.695296073125377</v>
      </c>
      <c r="DY1151" s="681">
        <f t="shared" si="1917"/>
        <v>12.780071612072998</v>
      </c>
      <c r="DZ1151" s="681">
        <f t="shared" si="1917"/>
        <v>21.164277456465001</v>
      </c>
      <c r="EA1151" s="681">
        <f t="shared" si="1917"/>
        <v>21.74761611951476</v>
      </c>
      <c r="EB1151" s="681">
        <f t="shared" si="1917"/>
        <v>25.760209253194738</v>
      </c>
      <c r="EC1151" s="681">
        <f t="shared" ref="EC1151:EX1151" si="1918">+EC543</f>
        <v>23.0598770162485</v>
      </c>
      <c r="ED1151" s="681">
        <f t="shared" si="1918"/>
        <v>23.712366129118919</v>
      </c>
      <c r="EE1151" s="681">
        <f t="shared" si="1918"/>
        <v>26.735410227996319</v>
      </c>
      <c r="EF1151" s="681">
        <f t="shared" si="1918"/>
        <v>31.381530689116762</v>
      </c>
      <c r="EG1151" s="681">
        <f t="shared" si="1918"/>
        <v>27.909894950615559</v>
      </c>
      <c r="EH1151" s="681">
        <f t="shared" si="1918"/>
        <v>16.955218745007535</v>
      </c>
      <c r="EI1151" s="681">
        <f t="shared" si="1918"/>
        <v>40.070005726957909</v>
      </c>
      <c r="EJ1151" s="681">
        <f t="shared" si="1918"/>
        <v>15.661802557920968</v>
      </c>
      <c r="EK1151" s="681">
        <f t="shared" si="1918"/>
        <v>27.208560267357019</v>
      </c>
      <c r="EL1151" s="681">
        <f t="shared" si="1918"/>
        <v>58.857923823111022</v>
      </c>
      <c r="EM1151" s="681">
        <f t="shared" si="1918"/>
        <v>26.154033663094854</v>
      </c>
      <c r="EN1151" s="681">
        <f t="shared" si="1918"/>
        <v>18.445545378356144</v>
      </c>
      <c r="EO1151" s="681">
        <f t="shared" si="1918"/>
        <v>47.015260453214999</v>
      </c>
      <c r="EP1151" s="681">
        <f t="shared" si="1918"/>
        <v>29.197911488066648</v>
      </c>
      <c r="EQ1151" s="681">
        <f t="shared" si="1918"/>
        <v>21.519785242485</v>
      </c>
      <c r="ER1151" s="681">
        <f t="shared" si="1918"/>
        <v>58.928926885631995</v>
      </c>
      <c r="ES1151" s="681">
        <f t="shared" si="1918"/>
        <v>35.348274640719566</v>
      </c>
      <c r="ET1151" s="681">
        <f t="shared" si="1918"/>
        <v>30.552618112890165</v>
      </c>
      <c r="EU1151" s="681">
        <f t="shared" si="1918"/>
        <v>44.041510783832905</v>
      </c>
      <c r="EV1151" s="681">
        <f t="shared" si="1918"/>
        <v>31.903327200566636</v>
      </c>
      <c r="EW1151" s="681">
        <f t="shared" si="1918"/>
        <v>28.888202852077264</v>
      </c>
      <c r="EX1151" s="681">
        <f t="shared" si="1918"/>
        <v>76.008599532845508</v>
      </c>
      <c r="EY1151" s="1860">
        <f t="shared" ref="EY1151:GD1151" si="1919">+EY818</f>
        <v>33.280121402833174</v>
      </c>
      <c r="EZ1151" s="681">
        <f t="shared" si="1919"/>
        <v>46.962321956311172</v>
      </c>
      <c r="FA1151" s="681">
        <f t="shared" si="1919"/>
        <v>42.414009539210497</v>
      </c>
      <c r="FB1151" s="681">
        <f t="shared" si="1919"/>
        <v>34.784045042298231</v>
      </c>
      <c r="FC1151" s="681">
        <f t="shared" si="1919"/>
        <v>44.060011411470597</v>
      </c>
      <c r="FD1151" s="681">
        <f t="shared" si="1919"/>
        <v>65.340583448423502</v>
      </c>
      <c r="FE1151" s="681">
        <f t="shared" si="1919"/>
        <v>41.617049318678283</v>
      </c>
      <c r="FF1151" s="681">
        <f t="shared" si="1919"/>
        <v>45.92982365208664</v>
      </c>
      <c r="FG1151" s="681">
        <f t="shared" si="1919"/>
        <v>46.527671511998889</v>
      </c>
      <c r="FH1151" s="681">
        <f t="shared" si="1919"/>
        <v>44.396108784472418</v>
      </c>
      <c r="FI1151" s="681">
        <f t="shared" si="1919"/>
        <v>53.012151564884498</v>
      </c>
      <c r="FJ1151" s="681">
        <f t="shared" si="1919"/>
        <v>49.474995745698159</v>
      </c>
      <c r="FK1151" s="681">
        <f t="shared" si="1919"/>
        <v>135.59233209151731</v>
      </c>
      <c r="FL1151" s="681">
        <f t="shared" si="1919"/>
        <v>66.297949603163616</v>
      </c>
      <c r="FM1151" s="681">
        <f t="shared" si="1919"/>
        <v>48.100940610604894</v>
      </c>
      <c r="FN1151" s="681">
        <f t="shared" si="1919"/>
        <v>33.241717161059192</v>
      </c>
      <c r="FO1151" s="681">
        <f t="shared" si="1919"/>
        <v>50.094245062684081</v>
      </c>
      <c r="FP1151" s="681">
        <f t="shared" si="1919"/>
        <v>52.196346233816548</v>
      </c>
      <c r="FQ1151" s="681">
        <f t="shared" si="1919"/>
        <v>42.1215202837517</v>
      </c>
      <c r="FR1151" s="681">
        <f t="shared" si="1919"/>
        <v>39.847795074940699</v>
      </c>
      <c r="FS1151" s="681">
        <f t="shared" si="1919"/>
        <v>63.234253633886681</v>
      </c>
      <c r="FT1151" s="681">
        <f t="shared" si="1919"/>
        <v>50.963642747466423</v>
      </c>
      <c r="FU1151" s="681">
        <f t="shared" si="1919"/>
        <v>35.519792666794402</v>
      </c>
      <c r="FV1151" s="681">
        <f t="shared" si="1919"/>
        <v>68.107825459623427</v>
      </c>
      <c r="FW1151" s="681">
        <f t="shared" si="1919"/>
        <v>57.499992982449463</v>
      </c>
      <c r="FX1151" s="681">
        <f t="shared" si="1919"/>
        <v>46.967371096775459</v>
      </c>
      <c r="FY1151" s="681">
        <f t="shared" si="1919"/>
        <v>59.222417094667456</v>
      </c>
      <c r="FZ1151" s="681">
        <f t="shared" si="1919"/>
        <v>99.548669602563081</v>
      </c>
      <c r="GA1151" s="681">
        <f t="shared" si="1919"/>
        <v>65.538813469563081</v>
      </c>
      <c r="GB1151" s="681">
        <f t="shared" si="1919"/>
        <v>78.728683860563081</v>
      </c>
      <c r="GC1151" s="681">
        <f t="shared" si="1919"/>
        <v>36.247905315862894</v>
      </c>
      <c r="GD1151" s="681">
        <f t="shared" si="1919"/>
        <v>53.680754194829888</v>
      </c>
      <c r="GE1151" s="681">
        <f t="shared" ref="GE1151:HL1151" si="1920">+GE818</f>
        <v>50.823533909731886</v>
      </c>
      <c r="GF1151" s="681">
        <f t="shared" si="1920"/>
        <v>54.358792407878894</v>
      </c>
      <c r="GG1151" s="681">
        <f t="shared" si="1920"/>
        <v>59.080995569218892</v>
      </c>
      <c r="GH1151" s="681">
        <f t="shared" si="1920"/>
        <v>127.01112217822589</v>
      </c>
      <c r="GI1151" s="681">
        <f t="shared" si="1920"/>
        <v>46.023012419852897</v>
      </c>
      <c r="GJ1151" s="681">
        <f t="shared" si="1920"/>
        <v>43.0800780031229</v>
      </c>
      <c r="GK1151" s="681">
        <f t="shared" si="1920"/>
        <v>63.493861325522907</v>
      </c>
      <c r="GL1151" s="681">
        <f t="shared" si="1920"/>
        <v>59.725592532872909</v>
      </c>
      <c r="GM1151" s="681">
        <f t="shared" si="1920"/>
        <v>44.138338000512903</v>
      </c>
      <c r="GN1151" s="681">
        <f t="shared" si="1920"/>
        <v>78.569064449222893</v>
      </c>
      <c r="GO1151" s="681">
        <f t="shared" si="1920"/>
        <v>68.458457315448982</v>
      </c>
      <c r="GP1151" s="681">
        <f t="shared" si="1920"/>
        <v>68.136237739411968</v>
      </c>
      <c r="GQ1151" s="681">
        <f t="shared" si="1920"/>
        <v>103.41804583896895</v>
      </c>
      <c r="GR1151" s="681">
        <f t="shared" si="1920"/>
        <v>53.858104412314965</v>
      </c>
      <c r="GS1151" s="681">
        <f t="shared" si="1920"/>
        <v>59.054166320816975</v>
      </c>
      <c r="GT1151" s="681">
        <f t="shared" si="1920"/>
        <v>83.51569662422699</v>
      </c>
      <c r="GU1151" s="681">
        <f t="shared" si="1920"/>
        <v>21.910529276230999</v>
      </c>
      <c r="GV1151" s="681">
        <f t="shared" si="1920"/>
        <v>42.197749617607002</v>
      </c>
      <c r="GW1151" s="681">
        <f t="shared" si="1920"/>
        <v>167.27146023960344</v>
      </c>
      <c r="GX1151" s="681">
        <f t="shared" si="1920"/>
        <v>27.285226901001998</v>
      </c>
      <c r="GY1151" s="681">
        <f t="shared" si="1920"/>
        <v>66.984583489333005</v>
      </c>
      <c r="GZ1151" s="681">
        <f t="shared" si="1920"/>
        <v>217.69340567850844</v>
      </c>
      <c r="HA1151" s="681">
        <f t="shared" si="1920"/>
        <v>31.435793520262003</v>
      </c>
      <c r="HB1151" s="681">
        <f t="shared" si="1920"/>
        <v>21.236010936550997</v>
      </c>
      <c r="HC1151" s="681">
        <f t="shared" si="1920"/>
        <v>214.23244092003236</v>
      </c>
      <c r="HD1151" s="681">
        <f t="shared" si="1920"/>
        <v>40.509249266334002</v>
      </c>
      <c r="HE1151" s="681">
        <f t="shared" si="1920"/>
        <v>18.274648314265999</v>
      </c>
      <c r="HF1151" s="681">
        <f t="shared" si="1920"/>
        <v>228.72781350703133</v>
      </c>
      <c r="HG1151" s="681">
        <f t="shared" si="1920"/>
        <v>46.240074034787</v>
      </c>
      <c r="HH1151" s="681">
        <f t="shared" si="1920"/>
        <v>18.851928557981999</v>
      </c>
      <c r="HI1151" s="681">
        <f t="shared" si="1920"/>
        <v>154.49812107909929</v>
      </c>
      <c r="HJ1151" s="681">
        <f t="shared" si="1920"/>
        <v>54.545537799188999</v>
      </c>
      <c r="HK1151" s="681">
        <f t="shared" si="1920"/>
        <v>41.309979391441992</v>
      </c>
      <c r="HL1151" s="681">
        <f t="shared" si="1920"/>
        <v>247.50351245103437</v>
      </c>
    </row>
    <row r="1152" spans="4:220" ht="17.25" customHeight="1">
      <c r="D1152" s="1233" t="s">
        <v>167</v>
      </c>
      <c r="E1152" s="681">
        <f t="shared" ref="E1152:AJ1152" si="1921">+E550</f>
        <v>4.4808999999999992</v>
      </c>
      <c r="F1152" s="681">
        <f t="shared" si="1921"/>
        <v>0.57850000000000001</v>
      </c>
      <c r="G1152" s="681">
        <f t="shared" si="1921"/>
        <v>0.15159999999999998</v>
      </c>
      <c r="H1152" s="681">
        <f t="shared" si="1921"/>
        <v>0.72110000000000007</v>
      </c>
      <c r="I1152" s="681">
        <f t="shared" si="1921"/>
        <v>1.4757</v>
      </c>
      <c r="J1152" s="681">
        <f t="shared" si="1921"/>
        <v>0.59010000000000007</v>
      </c>
      <c r="K1152" s="681">
        <f t="shared" si="1921"/>
        <v>-0.26730000000000004</v>
      </c>
      <c r="L1152" s="681">
        <f t="shared" si="1921"/>
        <v>-1.0087000000000002</v>
      </c>
      <c r="M1152" s="681">
        <f t="shared" si="1921"/>
        <v>0.75060000000000004</v>
      </c>
      <c r="N1152" s="681">
        <f t="shared" si="1921"/>
        <v>4.8931000000000004</v>
      </c>
      <c r="O1152" s="681">
        <f t="shared" si="1921"/>
        <v>-21.798400000000001</v>
      </c>
      <c r="P1152" s="681">
        <f t="shared" si="1921"/>
        <v>1.3607</v>
      </c>
      <c r="Q1152" s="681">
        <f t="shared" si="1921"/>
        <v>0.31260000000000004</v>
      </c>
      <c r="R1152" s="681">
        <f t="shared" si="1921"/>
        <v>1.4419999999999999</v>
      </c>
      <c r="S1152" s="681">
        <f t="shared" si="1921"/>
        <v>1.0884</v>
      </c>
      <c r="T1152" s="681">
        <f t="shared" si="1921"/>
        <v>5.3588999999999993</v>
      </c>
      <c r="U1152" s="681">
        <f t="shared" si="1921"/>
        <v>0.35420000000000001</v>
      </c>
      <c r="V1152" s="681">
        <f t="shared" si="1921"/>
        <v>-7.8616999999999999</v>
      </c>
      <c r="W1152" s="681">
        <f t="shared" si="1921"/>
        <v>0.92549999999999999</v>
      </c>
      <c r="X1152" s="681">
        <f t="shared" si="1921"/>
        <v>1.9539000000000002</v>
      </c>
      <c r="Y1152" s="681">
        <f t="shared" si="1921"/>
        <v>4.4584999999999999</v>
      </c>
      <c r="Z1152" s="681">
        <f t="shared" si="1921"/>
        <v>3.9155000000000002</v>
      </c>
      <c r="AA1152" s="681">
        <f t="shared" si="1921"/>
        <v>4.3900000000000002E-2</v>
      </c>
      <c r="AB1152" s="681">
        <f t="shared" si="1921"/>
        <v>1.4965999999999999</v>
      </c>
      <c r="AC1152" s="681">
        <f t="shared" si="1921"/>
        <v>0.88112000000000001</v>
      </c>
      <c r="AD1152" s="681">
        <f t="shared" si="1921"/>
        <v>0.87414000000000003</v>
      </c>
      <c r="AE1152" s="681">
        <f t="shared" si="1921"/>
        <v>2.13029</v>
      </c>
      <c r="AF1152" s="681">
        <f t="shared" si="1921"/>
        <v>3.5615399999999999</v>
      </c>
      <c r="AG1152" s="681">
        <f t="shared" si="1921"/>
        <v>0.21575</v>
      </c>
      <c r="AH1152" s="681">
        <f t="shared" si="1921"/>
        <v>0.72760999999999998</v>
      </c>
      <c r="AI1152" s="681">
        <f t="shared" si="1921"/>
        <v>0.9607</v>
      </c>
      <c r="AJ1152" s="681">
        <f t="shared" si="1921"/>
        <v>2.2653000000000003</v>
      </c>
      <c r="AK1152" s="681">
        <f t="shared" ref="AK1152:BP1152" si="1922">+AK550</f>
        <v>18.787800000000001</v>
      </c>
      <c r="AL1152" s="681">
        <f t="shared" si="1922"/>
        <v>1.1427400000000001</v>
      </c>
      <c r="AM1152" s="681">
        <f t="shared" si="1922"/>
        <v>0</v>
      </c>
      <c r="AN1152" s="681">
        <f t="shared" si="1922"/>
        <v>3.13571</v>
      </c>
      <c r="AO1152" s="681">
        <f t="shared" si="1922"/>
        <v>-0.13950000000000001</v>
      </c>
      <c r="AP1152" s="681">
        <f t="shared" si="1922"/>
        <v>1.3267</v>
      </c>
      <c r="AQ1152" s="681">
        <f t="shared" si="1922"/>
        <v>3.6400999999999999</v>
      </c>
      <c r="AR1152" s="681">
        <f t="shared" si="1922"/>
        <v>2.0970999999999997</v>
      </c>
      <c r="AS1152" s="681">
        <f t="shared" si="1922"/>
        <v>-1.6924000000000001</v>
      </c>
      <c r="AT1152" s="681">
        <f t="shared" si="1922"/>
        <v>-1.0112999999999999</v>
      </c>
      <c r="AU1152" s="681">
        <f t="shared" si="1922"/>
        <v>3.3176300000000003</v>
      </c>
      <c r="AV1152" s="681">
        <f t="shared" si="1922"/>
        <v>11.5092</v>
      </c>
      <c r="AW1152" s="681">
        <f t="shared" si="1922"/>
        <v>4.6128</v>
      </c>
      <c r="AX1152" s="681">
        <f t="shared" si="1922"/>
        <v>2.8586999999999998</v>
      </c>
      <c r="AY1152" s="681">
        <f t="shared" si="1922"/>
        <v>-2.7444999999999999</v>
      </c>
      <c r="AZ1152" s="681">
        <f t="shared" si="1922"/>
        <v>4.5314399999999999</v>
      </c>
      <c r="BA1152" s="681">
        <f t="shared" si="1922"/>
        <v>-14.367799999999999</v>
      </c>
      <c r="BB1152" s="681">
        <f t="shared" si="1922"/>
        <v>1.4282000000000001</v>
      </c>
      <c r="BC1152" s="681">
        <f t="shared" si="1922"/>
        <v>3.7641</v>
      </c>
      <c r="BD1152" s="681">
        <f t="shared" si="1922"/>
        <v>2.3226999999999998</v>
      </c>
      <c r="BE1152" s="681">
        <f t="shared" si="1922"/>
        <v>0.3296</v>
      </c>
      <c r="BF1152" s="681">
        <f t="shared" si="1922"/>
        <v>0.90039999999999998</v>
      </c>
      <c r="BG1152" s="681">
        <f t="shared" si="1922"/>
        <v>2.0684</v>
      </c>
      <c r="BH1152" s="681">
        <f t="shared" si="1922"/>
        <v>2.0551399999999997</v>
      </c>
      <c r="BI1152" s="681">
        <f t="shared" si="1922"/>
        <v>-15.192024999999997</v>
      </c>
      <c r="BJ1152" s="681">
        <f t="shared" si="1922"/>
        <v>-9.2360449710000001</v>
      </c>
      <c r="BK1152" s="681">
        <f t="shared" si="1922"/>
        <v>2.0120999999999998</v>
      </c>
      <c r="BL1152" s="681">
        <f t="shared" si="1922"/>
        <v>1.6644000000000001</v>
      </c>
      <c r="BM1152" s="681">
        <f t="shared" si="1922"/>
        <v>1.6830000000000001</v>
      </c>
      <c r="BN1152" s="681">
        <f t="shared" si="1922"/>
        <v>2.7917700000000001</v>
      </c>
      <c r="BO1152" s="681">
        <f t="shared" si="1922"/>
        <v>4.0394603039999994</v>
      </c>
      <c r="BP1152" s="681">
        <f t="shared" si="1922"/>
        <v>4.2030000000000003</v>
      </c>
      <c r="BQ1152" s="681">
        <f t="shared" ref="BQ1152:CV1152" si="1923">+BQ550</f>
        <v>2.6143000000000001</v>
      </c>
      <c r="BR1152" s="681">
        <f t="shared" si="1923"/>
        <v>1.0662</v>
      </c>
      <c r="BS1152" s="681">
        <f t="shared" si="1923"/>
        <v>4.0785999999999998</v>
      </c>
      <c r="BT1152" s="681">
        <f t="shared" si="1923"/>
        <v>0.35580000000000001</v>
      </c>
      <c r="BU1152" s="681">
        <f t="shared" si="1923"/>
        <v>2.0322999999999998</v>
      </c>
      <c r="BV1152" s="681">
        <f t="shared" si="1923"/>
        <v>4.5972335040000001</v>
      </c>
      <c r="BW1152" s="681">
        <f t="shared" si="1923"/>
        <v>2.9477860690000002</v>
      </c>
      <c r="BX1152" s="681">
        <f t="shared" si="1923"/>
        <v>0.49817592700000002</v>
      </c>
      <c r="BY1152" s="681">
        <f t="shared" si="1923"/>
        <v>4.1115559690000003</v>
      </c>
      <c r="BZ1152" s="681">
        <f t="shared" si="1923"/>
        <v>3.1786107289999999</v>
      </c>
      <c r="CA1152" s="681">
        <f t="shared" si="1923"/>
        <v>1.199526503</v>
      </c>
      <c r="CB1152" s="681">
        <f t="shared" si="1923"/>
        <v>2.77495387</v>
      </c>
      <c r="CC1152" s="681">
        <f t="shared" si="1923"/>
        <v>108.363833485</v>
      </c>
      <c r="CD1152" s="681">
        <f t="shared" si="1923"/>
        <v>8.1158711050000001</v>
      </c>
      <c r="CE1152" s="681">
        <f t="shared" si="1923"/>
        <v>-31.756337806999998</v>
      </c>
      <c r="CF1152" s="681">
        <f t="shared" si="1923"/>
        <v>21.540410693999998</v>
      </c>
      <c r="CG1152" s="681">
        <f t="shared" si="1923"/>
        <v>4.644406139</v>
      </c>
      <c r="CH1152" s="681">
        <f t="shared" si="1923"/>
        <v>3.6906665100000002</v>
      </c>
      <c r="CI1152" s="681">
        <f t="shared" si="1923"/>
        <v>4.000771845</v>
      </c>
      <c r="CJ1152" s="681">
        <f t="shared" si="1923"/>
        <v>2.8386170709999998</v>
      </c>
      <c r="CK1152" s="681">
        <f t="shared" si="1923"/>
        <v>9.5043488400000005</v>
      </c>
      <c r="CL1152" s="681">
        <f t="shared" si="1923"/>
        <v>1.934691419</v>
      </c>
      <c r="CM1152" s="681">
        <f t="shared" si="1923"/>
        <v>13.501548335997581</v>
      </c>
      <c r="CN1152" s="681">
        <f t="shared" si="1923"/>
        <v>0.34203537899999997</v>
      </c>
      <c r="CO1152" s="681">
        <f t="shared" si="1923"/>
        <v>3.1439371009999997</v>
      </c>
      <c r="CP1152" s="681">
        <f t="shared" si="1923"/>
        <v>15.697589456000001</v>
      </c>
      <c r="CQ1152" s="681">
        <f t="shared" si="1923"/>
        <v>3.3484510189305601</v>
      </c>
      <c r="CR1152" s="681">
        <f t="shared" si="1923"/>
        <v>5.5814872209999997</v>
      </c>
      <c r="CS1152" s="681">
        <f t="shared" si="1923"/>
        <v>30.127451912000001</v>
      </c>
      <c r="CT1152" s="681">
        <f t="shared" si="1923"/>
        <v>1.7390629900000001</v>
      </c>
      <c r="CU1152" s="681">
        <f t="shared" si="1923"/>
        <v>4.0454566419999995</v>
      </c>
      <c r="CV1152" s="681">
        <f t="shared" si="1923"/>
        <v>2.8249999999999997</v>
      </c>
      <c r="CW1152" s="681">
        <f t="shared" ref="CW1152:EB1152" si="1924">+CW550</f>
        <v>3.7031724830000003</v>
      </c>
      <c r="CX1152" s="681">
        <f t="shared" si="1924"/>
        <v>6.7260049760000005</v>
      </c>
      <c r="CY1152" s="681">
        <f t="shared" si="1924"/>
        <v>6.6991230000000002</v>
      </c>
      <c r="CZ1152" s="681">
        <f t="shared" si="1924"/>
        <v>0</v>
      </c>
      <c r="DA1152" s="681">
        <f t="shared" si="1924"/>
        <v>3.4</v>
      </c>
      <c r="DB1152" s="681">
        <f t="shared" si="1924"/>
        <v>3.3</v>
      </c>
      <c r="DC1152" s="681">
        <f t="shared" si="1924"/>
        <v>5.3</v>
      </c>
      <c r="DD1152" s="681">
        <f t="shared" si="1924"/>
        <v>13.347593833000001</v>
      </c>
      <c r="DE1152" s="681">
        <f t="shared" si="1924"/>
        <v>8.9191911649999991</v>
      </c>
      <c r="DF1152" s="681">
        <f t="shared" si="1924"/>
        <v>3.5366866149999998</v>
      </c>
      <c r="DG1152" s="681">
        <f t="shared" si="1924"/>
        <v>4.3726213439999997</v>
      </c>
      <c r="DH1152" s="681">
        <f t="shared" si="1924"/>
        <v>3.514052623</v>
      </c>
      <c r="DI1152" s="681">
        <f t="shared" si="1924"/>
        <v>21.152643470999998</v>
      </c>
      <c r="DJ1152" s="681">
        <f t="shared" si="1924"/>
        <v>11.237692828</v>
      </c>
      <c r="DK1152" s="681">
        <f t="shared" si="1924"/>
        <v>2.812622325</v>
      </c>
      <c r="DL1152" s="681">
        <f t="shared" si="1924"/>
        <v>3.043442787</v>
      </c>
      <c r="DM1152" s="681">
        <f t="shared" si="1924"/>
        <v>2.875</v>
      </c>
      <c r="DN1152" s="681">
        <f t="shared" si="1924"/>
        <v>8.3103340330000002</v>
      </c>
      <c r="DO1152" s="681">
        <f t="shared" si="1924"/>
        <v>4.8980108539999998</v>
      </c>
      <c r="DP1152" s="681">
        <f t="shared" si="1924"/>
        <v>6.9066390129999995</v>
      </c>
      <c r="DQ1152" s="681">
        <f t="shared" si="1924"/>
        <v>6.81953502</v>
      </c>
      <c r="DR1152" s="681">
        <f t="shared" si="1924"/>
        <v>11.452914823999999</v>
      </c>
      <c r="DS1152" s="681">
        <f t="shared" si="1924"/>
        <v>7.6440726510000001</v>
      </c>
      <c r="DT1152" s="681">
        <f t="shared" si="1924"/>
        <v>5.9949982159999999</v>
      </c>
      <c r="DU1152" s="681">
        <f t="shared" si="1924"/>
        <v>16.884331552999999</v>
      </c>
      <c r="DV1152" s="681">
        <f t="shared" si="1924"/>
        <v>6.81953502</v>
      </c>
      <c r="DW1152" s="681">
        <f t="shared" si="1924"/>
        <v>11.516505986</v>
      </c>
      <c r="DX1152" s="681">
        <f t="shared" si="1924"/>
        <v>2.6007439900000016</v>
      </c>
      <c r="DY1152" s="681">
        <f t="shared" si="1924"/>
        <v>14.771810901</v>
      </c>
      <c r="DZ1152" s="681">
        <f t="shared" si="1924"/>
        <v>17.527823183999999</v>
      </c>
      <c r="EA1152" s="681">
        <f t="shared" si="1924"/>
        <v>9.8000000000000007</v>
      </c>
      <c r="EB1152" s="681">
        <f t="shared" si="1924"/>
        <v>13.576148472</v>
      </c>
      <c r="EC1152" s="681">
        <f t="shared" ref="EC1152:EX1152" si="1925">+EC550</f>
        <v>29.073563082</v>
      </c>
      <c r="ED1152" s="681">
        <f t="shared" si="1925"/>
        <v>7.6661447689999997</v>
      </c>
      <c r="EE1152" s="681">
        <f t="shared" si="1925"/>
        <v>10.20881591</v>
      </c>
      <c r="EF1152" s="681">
        <f t="shared" si="1925"/>
        <v>22.273047569999999</v>
      </c>
      <c r="EG1152" s="681">
        <f t="shared" si="1925"/>
        <v>10.686760800000002</v>
      </c>
      <c r="EH1152" s="681">
        <f t="shared" si="1925"/>
        <v>8.4656675769999996</v>
      </c>
      <c r="EI1152" s="681">
        <f t="shared" si="1925"/>
        <v>19.679205226000001</v>
      </c>
      <c r="EJ1152" s="681">
        <f t="shared" si="1925"/>
        <v>16.116149442000001</v>
      </c>
      <c r="EK1152" s="681">
        <f t="shared" si="1925"/>
        <v>13.329649810999999</v>
      </c>
      <c r="EL1152" s="681">
        <f t="shared" si="1925"/>
        <v>-0.83253643600000005</v>
      </c>
      <c r="EM1152" s="681">
        <f t="shared" si="1925"/>
        <v>18.295088931999999</v>
      </c>
      <c r="EN1152" s="681">
        <f t="shared" si="1925"/>
        <v>16.743440358000001</v>
      </c>
      <c r="EO1152" s="681">
        <f t="shared" si="1925"/>
        <v>24.034113318000003</v>
      </c>
      <c r="EP1152" s="681">
        <f t="shared" si="1925"/>
        <v>11.731862779</v>
      </c>
      <c r="EQ1152" s="681">
        <f t="shared" si="1925"/>
        <v>19.160632412999998</v>
      </c>
      <c r="ER1152" s="681">
        <f t="shared" si="1925"/>
        <v>6.2761232199999997</v>
      </c>
      <c r="ES1152" s="681">
        <f t="shared" si="1925"/>
        <v>21.636654608000001</v>
      </c>
      <c r="ET1152" s="681">
        <f t="shared" si="1925"/>
        <v>8.9863226449999996</v>
      </c>
      <c r="EU1152" s="681">
        <f t="shared" si="1925"/>
        <v>23.574493701000002</v>
      </c>
      <c r="EV1152" s="681">
        <f t="shared" si="1925"/>
        <v>11.875057798</v>
      </c>
      <c r="EW1152" s="681">
        <f t="shared" si="1925"/>
        <v>13.770363232999999</v>
      </c>
      <c r="EX1152" s="681">
        <f t="shared" si="1925"/>
        <v>20.239404674999999</v>
      </c>
      <c r="EY1152" s="1860">
        <f t="shared" ref="EY1152:GD1152" si="1926">(EY876+EY883+EY887+EY888+EY889)</f>
        <v>2.9627427580000001</v>
      </c>
      <c r="EZ1152" s="681">
        <f t="shared" si="1926"/>
        <v>1.464404676</v>
      </c>
      <c r="FA1152" s="681">
        <f t="shared" si="1926"/>
        <v>0</v>
      </c>
      <c r="FB1152" s="681">
        <f t="shared" si="1926"/>
        <v>82.901972736999994</v>
      </c>
      <c r="FC1152" s="681">
        <f t="shared" si="1926"/>
        <v>1.5526046760000001</v>
      </c>
      <c r="FD1152" s="681">
        <f t="shared" si="1926"/>
        <v>0</v>
      </c>
      <c r="FE1152" s="681">
        <f t="shared" si="1926"/>
        <v>11.865881414</v>
      </c>
      <c r="FF1152" s="681">
        <f t="shared" si="1926"/>
        <v>1.80821064</v>
      </c>
      <c r="FG1152" s="681">
        <f t="shared" si="1926"/>
        <v>5.3527981000000002E-2</v>
      </c>
      <c r="FH1152" s="681">
        <f t="shared" si="1926"/>
        <v>0</v>
      </c>
      <c r="FI1152" s="681">
        <f t="shared" si="1926"/>
        <v>0</v>
      </c>
      <c r="FJ1152" s="681">
        <f t="shared" si="1926"/>
        <v>11.03821905</v>
      </c>
      <c r="FK1152" s="681">
        <f t="shared" si="1926"/>
        <v>0</v>
      </c>
      <c r="FL1152" s="681">
        <f t="shared" si="1926"/>
        <v>0</v>
      </c>
      <c r="FM1152" s="681">
        <f t="shared" si="1926"/>
        <v>47.715494765000003</v>
      </c>
      <c r="FN1152" s="681">
        <f t="shared" si="1926"/>
        <v>4.1033333320000001</v>
      </c>
      <c r="FO1152" s="681">
        <f t="shared" si="1926"/>
        <v>1.0683389350000001</v>
      </c>
      <c r="FP1152" s="681">
        <f t="shared" si="1926"/>
        <v>7.1600264359999999</v>
      </c>
      <c r="FQ1152" s="681">
        <f t="shared" si="1926"/>
        <v>5.2808400000000004</v>
      </c>
      <c r="FR1152" s="681">
        <f t="shared" si="1926"/>
        <v>5.6999996880000001</v>
      </c>
      <c r="FS1152" s="681">
        <f t="shared" si="1926"/>
        <v>3.5096266109999998</v>
      </c>
      <c r="FT1152" s="681">
        <f t="shared" si="1926"/>
        <v>3.4183738990000001</v>
      </c>
      <c r="FU1152" s="681">
        <f t="shared" si="1926"/>
        <v>5.1646999559999998</v>
      </c>
      <c r="FV1152" s="681">
        <f t="shared" si="1926"/>
        <v>30.646021316999999</v>
      </c>
      <c r="FW1152" s="681">
        <f t="shared" si="1926"/>
        <v>2.3275000000000001</v>
      </c>
      <c r="FX1152" s="681">
        <f t="shared" si="1926"/>
        <v>0</v>
      </c>
      <c r="FY1152" s="681">
        <f t="shared" si="1926"/>
        <v>12.932594661</v>
      </c>
      <c r="FZ1152" s="681">
        <f t="shared" si="1926"/>
        <v>0.70497500000000002</v>
      </c>
      <c r="GA1152" s="681">
        <f t="shared" si="1926"/>
        <v>11.73360138</v>
      </c>
      <c r="GB1152" s="681">
        <f t="shared" si="1926"/>
        <v>12.804715346</v>
      </c>
      <c r="GC1152" s="681">
        <f t="shared" si="1926"/>
        <v>1</v>
      </c>
      <c r="GD1152" s="681">
        <f t="shared" si="1926"/>
        <v>11.404658732000001</v>
      </c>
      <c r="GE1152" s="681">
        <f t="shared" ref="GE1152:HL1152" si="1927">(GE876+GE883+GE887+GE888+GE889)</f>
        <v>7.2925649779999997</v>
      </c>
      <c r="GF1152" s="681">
        <f t="shared" si="1927"/>
        <v>17.543126211000001</v>
      </c>
      <c r="GG1152" s="681">
        <f t="shared" si="1927"/>
        <v>14.227502688000001</v>
      </c>
      <c r="GH1152" s="681">
        <f t="shared" si="1927"/>
        <v>64.959295971000003</v>
      </c>
      <c r="GI1152" s="681">
        <f t="shared" si="1927"/>
        <v>6.0993216676299999</v>
      </c>
      <c r="GJ1152" s="681">
        <f t="shared" si="1927"/>
        <v>0.76380206699999997</v>
      </c>
      <c r="GK1152" s="681">
        <f t="shared" si="1927"/>
        <v>71.944266262339994</v>
      </c>
      <c r="GL1152" s="681">
        <f t="shared" si="1927"/>
        <v>0</v>
      </c>
      <c r="GM1152" s="681">
        <f t="shared" si="1927"/>
        <v>0.57212499999999999</v>
      </c>
      <c r="GN1152" s="681">
        <f t="shared" si="1927"/>
        <v>20.300267109</v>
      </c>
      <c r="GO1152" s="681">
        <f t="shared" si="1927"/>
        <v>0.57212499999999999</v>
      </c>
      <c r="GP1152" s="681">
        <f t="shared" si="1927"/>
        <v>0</v>
      </c>
      <c r="GQ1152" s="681">
        <f t="shared" si="1927"/>
        <v>20.460227029000002</v>
      </c>
      <c r="GR1152" s="681">
        <f t="shared" si="1927"/>
        <v>0.499999998</v>
      </c>
      <c r="GS1152" s="681">
        <f t="shared" si="1927"/>
        <v>0.56497730000000002</v>
      </c>
      <c r="GT1152" s="681">
        <f t="shared" si="1927"/>
        <v>19.658055194999999</v>
      </c>
      <c r="GU1152" s="681">
        <f t="shared" si="1927"/>
        <v>3.6868372699999998</v>
      </c>
      <c r="GV1152" s="681">
        <f t="shared" si="1927"/>
        <v>5.1875473809999999</v>
      </c>
      <c r="GW1152" s="681">
        <f t="shared" si="1927"/>
        <v>10.891247843</v>
      </c>
      <c r="GX1152" s="681">
        <f t="shared" si="1927"/>
        <v>3.1026485639999999</v>
      </c>
      <c r="GY1152" s="681">
        <f t="shared" si="1927"/>
        <v>9.2027886630000015</v>
      </c>
      <c r="GZ1152" s="681">
        <f t="shared" si="1927"/>
        <v>24.888064716000002</v>
      </c>
      <c r="HA1152" s="681">
        <f t="shared" si="1927"/>
        <v>4.0574359040000001</v>
      </c>
      <c r="HB1152" s="681">
        <f t="shared" si="1927"/>
        <v>13.711449400999999</v>
      </c>
      <c r="HC1152" s="681">
        <f t="shared" si="1927"/>
        <v>21.071311098999999</v>
      </c>
      <c r="HD1152" s="681">
        <f t="shared" si="1927"/>
        <v>1.0527506180000001</v>
      </c>
      <c r="HE1152" s="681">
        <f t="shared" si="1927"/>
        <v>1.727570901</v>
      </c>
      <c r="HF1152" s="681">
        <f t="shared" si="1927"/>
        <v>12.826191958999999</v>
      </c>
      <c r="HG1152" s="681">
        <f t="shared" si="1927"/>
        <v>57.047772954999999</v>
      </c>
      <c r="HH1152" s="681">
        <f t="shared" si="1927"/>
        <v>3.6735634300000002</v>
      </c>
      <c r="HI1152" s="681">
        <f t="shared" si="1927"/>
        <v>47.475315634418997</v>
      </c>
      <c r="HJ1152" s="681">
        <f t="shared" si="1927"/>
        <v>-13.411335940762001</v>
      </c>
      <c r="HK1152" s="681">
        <f t="shared" si="1927"/>
        <v>1.843586537</v>
      </c>
      <c r="HL1152" s="681">
        <f t="shared" si="1927"/>
        <v>14.776836528</v>
      </c>
    </row>
    <row r="1153" spans="4:220" ht="17.25" customHeight="1">
      <c r="D1153" s="1238" t="s">
        <v>3355</v>
      </c>
      <c r="E1153" s="681">
        <f t="shared" ref="E1153:AJ1153" si="1928">+E584</f>
        <v>-0.50807036317380805</v>
      </c>
      <c r="F1153" s="681">
        <f t="shared" si="1928"/>
        <v>-3.3610918306800006E-2</v>
      </c>
      <c r="G1153" s="681">
        <f t="shared" si="1928"/>
        <v>10.397457793368302</v>
      </c>
      <c r="H1153" s="681">
        <f t="shared" si="1928"/>
        <v>-0.276455737578432</v>
      </c>
      <c r="I1153" s="681">
        <f t="shared" si="1928"/>
        <v>-0.12798318832220001</v>
      </c>
      <c r="J1153" s="681">
        <f t="shared" si="1928"/>
        <v>9.0944597461261001</v>
      </c>
      <c r="K1153" s="681">
        <f t="shared" si="1928"/>
        <v>-0.10911409420939988</v>
      </c>
      <c r="L1153" s="681">
        <f t="shared" si="1928"/>
        <v>-4.2709927436400001E-2</v>
      </c>
      <c r="M1153" s="681">
        <f t="shared" si="1928"/>
        <v>10.7865610018056</v>
      </c>
      <c r="N1153" s="681">
        <f t="shared" si="1928"/>
        <v>-3.807155156E-2</v>
      </c>
      <c r="O1153" s="681">
        <f t="shared" si="1928"/>
        <v>-0.77784387055999993</v>
      </c>
      <c r="P1153" s="681">
        <f t="shared" si="1928"/>
        <v>16.191599324879999</v>
      </c>
      <c r="Q1153" s="681">
        <f t="shared" si="1928"/>
        <v>-0.50161116085360002</v>
      </c>
      <c r="R1153" s="681">
        <f t="shared" si="1928"/>
        <v>-5.3357941889999996E-2</v>
      </c>
      <c r="S1153" s="681">
        <f t="shared" si="1928"/>
        <v>11.317881237878</v>
      </c>
      <c r="T1153" s="681">
        <f t="shared" si="1928"/>
        <v>0.67169293220400006</v>
      </c>
      <c r="U1153" s="681">
        <f t="shared" si="1928"/>
        <v>-0.163856145684</v>
      </c>
      <c r="V1153" s="681">
        <f t="shared" si="1928"/>
        <v>6.8213523351239997</v>
      </c>
      <c r="W1153" s="681">
        <f t="shared" si="1928"/>
        <v>1.3005350759400014E-2</v>
      </c>
      <c r="X1153" s="681">
        <f t="shared" si="1928"/>
        <v>3.998650096000006E-3</v>
      </c>
      <c r="Y1153" s="681">
        <f t="shared" si="1928"/>
        <v>9.6128784730768011</v>
      </c>
      <c r="Z1153" s="681">
        <f t="shared" si="1928"/>
        <v>-1.9543495164899977E-2</v>
      </c>
      <c r="AA1153" s="681">
        <f t="shared" si="1928"/>
        <v>-0.10399395625040002</v>
      </c>
      <c r="AB1153" s="681">
        <f t="shared" si="1928"/>
        <v>28.782368222892</v>
      </c>
      <c r="AC1153" s="681">
        <f t="shared" si="1928"/>
        <v>-0.52907199999999999</v>
      </c>
      <c r="AD1153" s="681">
        <f t="shared" si="1928"/>
        <v>-4.1878385000000004E-2</v>
      </c>
      <c r="AE1153" s="681">
        <f t="shared" si="1928"/>
        <v>12.106708015000001</v>
      </c>
      <c r="AF1153" s="681">
        <f t="shared" si="1928"/>
        <v>-0.26076719500000001</v>
      </c>
      <c r="AG1153" s="681">
        <f t="shared" si="1928"/>
        <v>-0.15922959</v>
      </c>
      <c r="AH1153" s="681">
        <f t="shared" si="1928"/>
        <v>12.245775637000001</v>
      </c>
      <c r="AI1153" s="681">
        <f t="shared" si="1928"/>
        <v>-0.54568328499999996</v>
      </c>
      <c r="AJ1153" s="681">
        <f t="shared" si="1928"/>
        <v>-4.7101027999999996E-2</v>
      </c>
      <c r="AK1153" s="681">
        <f t="shared" ref="AK1153:BP1153" si="1929">+AK584</f>
        <v>7.2460043950000008</v>
      </c>
      <c r="AL1153" s="681">
        <f t="shared" si="1929"/>
        <v>-0.17289784</v>
      </c>
      <c r="AM1153" s="681">
        <f t="shared" si="1929"/>
        <v>-0.21172326799999999</v>
      </c>
      <c r="AN1153" s="681">
        <f t="shared" si="1929"/>
        <v>8.1221169589999995</v>
      </c>
      <c r="AO1153" s="681">
        <f t="shared" si="1929"/>
        <v>-0.50290532316275993</v>
      </c>
      <c r="AP1153" s="681">
        <f t="shared" si="1929"/>
        <v>-0.15814870683429999</v>
      </c>
      <c r="AQ1153" s="681">
        <f t="shared" si="1929"/>
        <v>5.2097932474452797</v>
      </c>
      <c r="AR1153" s="681">
        <f t="shared" si="1929"/>
        <v>-0.2297994379254</v>
      </c>
      <c r="AS1153" s="681">
        <f t="shared" si="1929"/>
        <v>-0.20176501846710002</v>
      </c>
      <c r="AT1153" s="681">
        <f t="shared" si="1929"/>
        <v>7.0226782051887504</v>
      </c>
      <c r="AU1153" s="681">
        <f t="shared" si="1929"/>
        <v>-1.0774999999999999</v>
      </c>
      <c r="AV1153" s="681">
        <f t="shared" si="1929"/>
        <v>-0.1545</v>
      </c>
      <c r="AW1153" s="681">
        <f t="shared" si="1929"/>
        <v>6.3510565599999991</v>
      </c>
      <c r="AX1153" s="681">
        <f t="shared" si="1929"/>
        <v>-0.68194363155999993</v>
      </c>
      <c r="AY1153" s="681">
        <f t="shared" si="1929"/>
        <v>-0.38759797281340003</v>
      </c>
      <c r="AZ1153" s="681">
        <f t="shared" si="1929"/>
        <v>13.8662032493305</v>
      </c>
      <c r="BA1153" s="681">
        <f t="shared" si="1929"/>
        <v>-1.158766612</v>
      </c>
      <c r="BB1153" s="681">
        <f t="shared" si="1929"/>
        <v>-0.101139462</v>
      </c>
      <c r="BC1153" s="681">
        <f t="shared" si="1929"/>
        <v>19.235095475000001</v>
      </c>
      <c r="BD1153" s="681">
        <f t="shared" si="1929"/>
        <v>-0.155374504</v>
      </c>
      <c r="BE1153" s="681">
        <f t="shared" si="1929"/>
        <v>20.975846718000003</v>
      </c>
      <c r="BF1153" s="681">
        <f t="shared" si="1929"/>
        <v>11.376847363</v>
      </c>
      <c r="BG1153" s="681">
        <f t="shared" si="1929"/>
        <v>-1.2117479499999999</v>
      </c>
      <c r="BH1153" s="681">
        <f t="shared" si="1929"/>
        <v>-0.10368931131</v>
      </c>
      <c r="BI1153" s="681">
        <f t="shared" si="1929"/>
        <v>8.5563409086000011</v>
      </c>
      <c r="BJ1153" s="681">
        <f t="shared" si="1929"/>
        <v>3.3630518521599999</v>
      </c>
      <c r="BK1153" s="681">
        <f t="shared" si="1929"/>
        <v>-0.94509411099999996</v>
      </c>
      <c r="BL1153" s="681">
        <f t="shared" si="1929"/>
        <v>64.984093047999991</v>
      </c>
      <c r="BM1153" s="681">
        <f t="shared" si="1929"/>
        <v>-1.1393097170000002</v>
      </c>
      <c r="BN1153" s="681">
        <f t="shared" si="1929"/>
        <v>-0.10130504225</v>
      </c>
      <c r="BO1153" s="681">
        <f t="shared" si="1929"/>
        <v>12.096889067999999</v>
      </c>
      <c r="BP1153" s="681">
        <f t="shared" si="1929"/>
        <v>-0.37928600191000006</v>
      </c>
      <c r="BQ1153" s="681">
        <f t="shared" ref="BQ1153:CV1153" si="1930">+BQ584</f>
        <v>-1.1134900000000001</v>
      </c>
      <c r="BR1153" s="681">
        <f t="shared" si="1930"/>
        <v>11.045804823999999</v>
      </c>
      <c r="BS1153" s="681">
        <f t="shared" si="1930"/>
        <v>-1.2683</v>
      </c>
      <c r="BT1153" s="681">
        <f t="shared" si="1930"/>
        <v>-9.9900000000000003E-2</v>
      </c>
      <c r="BU1153" s="681">
        <f t="shared" si="1930"/>
        <v>35.908200000000001</v>
      </c>
      <c r="BV1153" s="681">
        <f t="shared" si="1930"/>
        <v>1.5956689506576198</v>
      </c>
      <c r="BW1153" s="681">
        <f t="shared" si="1930"/>
        <v>5.4647202718430172</v>
      </c>
      <c r="BX1153" s="681">
        <f t="shared" si="1930"/>
        <v>4.6916419250035108</v>
      </c>
      <c r="BY1153" s="681">
        <f t="shared" si="1930"/>
        <v>0.75260748222076534</v>
      </c>
      <c r="BZ1153" s="681">
        <f t="shared" si="1930"/>
        <v>4.077499622103451</v>
      </c>
      <c r="CA1153" s="681">
        <f t="shared" si="1930"/>
        <v>4.7181280788894915</v>
      </c>
      <c r="CB1153" s="681">
        <f t="shared" si="1930"/>
        <v>3.4099613564677433</v>
      </c>
      <c r="CC1153" s="681">
        <f t="shared" si="1930"/>
        <v>4.8829959041910262</v>
      </c>
      <c r="CD1153" s="681">
        <f t="shared" si="1930"/>
        <v>24.361956062990608</v>
      </c>
      <c r="CE1153" s="681">
        <f t="shared" si="1930"/>
        <v>6.0648673378900142</v>
      </c>
      <c r="CF1153" s="681">
        <f t="shared" si="1930"/>
        <v>3.7943198551050905</v>
      </c>
      <c r="CG1153" s="681">
        <f t="shared" si="1930"/>
        <v>3.4143455195842343</v>
      </c>
      <c r="CH1153" s="681">
        <f t="shared" si="1930"/>
        <v>4.8064493127320151</v>
      </c>
      <c r="CI1153" s="681">
        <f t="shared" si="1930"/>
        <v>2.9333864288658735</v>
      </c>
      <c r="CJ1153" s="681">
        <f t="shared" si="1930"/>
        <v>6.0664323475203208</v>
      </c>
      <c r="CK1153" s="681">
        <f t="shared" si="1930"/>
        <v>10.54974338072898</v>
      </c>
      <c r="CL1153" s="681">
        <f t="shared" si="1930"/>
        <v>1.6094141646601652</v>
      </c>
      <c r="CM1153" s="681">
        <f t="shared" si="1930"/>
        <v>2.0088474897454565</v>
      </c>
      <c r="CN1153" s="681">
        <f t="shared" si="1930"/>
        <v>1.2718415560240695</v>
      </c>
      <c r="CO1153" s="681">
        <f t="shared" si="1930"/>
        <v>38.10535375062684</v>
      </c>
      <c r="CP1153" s="681">
        <f t="shared" si="1930"/>
        <v>24.531914229255314</v>
      </c>
      <c r="CQ1153" s="681">
        <f t="shared" si="1930"/>
        <v>4.9420193008418858</v>
      </c>
      <c r="CR1153" s="681">
        <f t="shared" si="1930"/>
        <v>3.8308939451566677</v>
      </c>
      <c r="CS1153" s="681">
        <f t="shared" si="1930"/>
        <v>12.00286724258406</v>
      </c>
      <c r="CT1153" s="681">
        <f t="shared" si="1930"/>
        <v>5.1893339261600904</v>
      </c>
      <c r="CU1153" s="681">
        <f t="shared" si="1930"/>
        <v>10.46585883733734</v>
      </c>
      <c r="CV1153" s="681">
        <f t="shared" si="1930"/>
        <v>67.021078465884145</v>
      </c>
      <c r="CW1153" s="681">
        <f t="shared" ref="CW1153:EB1153" si="1931">+CW584</f>
        <v>7.8762359651259253</v>
      </c>
      <c r="CX1153" s="681">
        <f t="shared" si="1931"/>
        <v>3.5485909032750431</v>
      </c>
      <c r="CY1153" s="681">
        <f t="shared" si="1931"/>
        <v>8.6557670022827384</v>
      </c>
      <c r="CZ1153" s="681">
        <f t="shared" si="1931"/>
        <v>48.213086059450021</v>
      </c>
      <c r="DA1153" s="681">
        <f t="shared" si="1931"/>
        <v>4.8957815003413128</v>
      </c>
      <c r="DB1153" s="681">
        <f t="shared" si="1931"/>
        <v>11.545065657792968</v>
      </c>
      <c r="DC1153" s="681">
        <f t="shared" si="1931"/>
        <v>-0.32746269399886818</v>
      </c>
      <c r="DD1153" s="681">
        <f t="shared" si="1931"/>
        <v>3.5305284776444301</v>
      </c>
      <c r="DE1153" s="681">
        <f t="shared" si="1931"/>
        <v>55.40402819682587</v>
      </c>
      <c r="DF1153" s="681">
        <f t="shared" si="1931"/>
        <v>13.837937548729254</v>
      </c>
      <c r="DG1153" s="681">
        <f t="shared" si="1931"/>
        <v>4.0517228288185114</v>
      </c>
      <c r="DH1153" s="681">
        <f t="shared" si="1931"/>
        <v>90.018144492537417</v>
      </c>
      <c r="DI1153" s="681">
        <f t="shared" si="1931"/>
        <v>5.8757694289489741</v>
      </c>
      <c r="DJ1153" s="681">
        <f t="shared" si="1931"/>
        <v>21.472344372958734</v>
      </c>
      <c r="DK1153" s="681">
        <f t="shared" si="1931"/>
        <v>11.427946944314153</v>
      </c>
      <c r="DL1153" s="681">
        <f t="shared" si="1931"/>
        <v>10.494451571476269</v>
      </c>
      <c r="DM1153" s="681">
        <f t="shared" si="1931"/>
        <v>4.9315520607593966</v>
      </c>
      <c r="DN1153" s="681">
        <f t="shared" si="1931"/>
        <v>3.691164430675272</v>
      </c>
      <c r="DO1153" s="681">
        <f t="shared" si="1931"/>
        <v>2.4828976559227027</v>
      </c>
      <c r="DP1153" s="681">
        <f t="shared" si="1931"/>
        <v>8.2479295940122039</v>
      </c>
      <c r="DQ1153" s="681">
        <f t="shared" si="1931"/>
        <v>34.80290039343646</v>
      </c>
      <c r="DR1153" s="681">
        <f t="shared" si="1931"/>
        <v>68.234891521118072</v>
      </c>
      <c r="DS1153" s="681">
        <f t="shared" si="1931"/>
        <v>9.7368212350321457</v>
      </c>
      <c r="DT1153" s="681">
        <f t="shared" si="1931"/>
        <v>93.306756981791452</v>
      </c>
      <c r="DU1153" s="681">
        <f t="shared" si="1931"/>
        <v>10.523081388542748</v>
      </c>
      <c r="DV1153" s="681">
        <f t="shared" si="1931"/>
        <v>2.9753375645376945</v>
      </c>
      <c r="DW1153" s="681">
        <f t="shared" si="1931"/>
        <v>16.285524088676041</v>
      </c>
      <c r="DX1153" s="681">
        <f t="shared" si="1931"/>
        <v>19.930253277965207</v>
      </c>
      <c r="DY1153" s="681">
        <f t="shared" si="1931"/>
        <v>36.579671090306043</v>
      </c>
      <c r="DZ1153" s="681">
        <f t="shared" si="1931"/>
        <v>19.882869600030467</v>
      </c>
      <c r="EA1153" s="681">
        <f t="shared" si="1931"/>
        <v>8.4231752763884664</v>
      </c>
      <c r="EB1153" s="681">
        <f t="shared" si="1931"/>
        <v>31.683600606302893</v>
      </c>
      <c r="EC1153" s="681">
        <f t="shared" ref="EC1153:EX1153" si="1932">+EC584</f>
        <v>24.658814769659362</v>
      </c>
      <c r="ED1153" s="681">
        <f t="shared" si="1932"/>
        <v>18.683836442856141</v>
      </c>
      <c r="EE1153" s="681">
        <f t="shared" si="1932"/>
        <v>110.96608495911359</v>
      </c>
      <c r="EF1153" s="681">
        <f t="shared" si="1932"/>
        <v>14.51405999831908</v>
      </c>
      <c r="EG1153" s="681">
        <f t="shared" si="1932"/>
        <v>55.423346475873529</v>
      </c>
      <c r="EH1153" s="681">
        <f t="shared" si="1932"/>
        <v>3.8959698821168445</v>
      </c>
      <c r="EI1153" s="681">
        <f t="shared" si="1932"/>
        <v>14.580064284231812</v>
      </c>
      <c r="EJ1153" s="681">
        <f t="shared" si="1932"/>
        <v>8.8538571553240697</v>
      </c>
      <c r="EK1153" s="681">
        <f t="shared" si="1932"/>
        <v>38.389474378554652</v>
      </c>
      <c r="EL1153" s="681">
        <f t="shared" si="1932"/>
        <v>25.956846648486049</v>
      </c>
      <c r="EM1153" s="681">
        <f t="shared" si="1932"/>
        <v>9.1306091178664825</v>
      </c>
      <c r="EN1153" s="681">
        <f t="shared" si="1932"/>
        <v>1.63542145193674</v>
      </c>
      <c r="EO1153" s="681">
        <f t="shared" si="1932"/>
        <v>10.987169894132018</v>
      </c>
      <c r="EP1153" s="681">
        <f t="shared" si="1932"/>
        <v>4.562096771518064</v>
      </c>
      <c r="EQ1153" s="681">
        <f t="shared" si="1932"/>
        <v>13.176531811450971</v>
      </c>
      <c r="ER1153" s="681">
        <f t="shared" si="1932"/>
        <v>219.27680270007269</v>
      </c>
      <c r="ES1153" s="681">
        <f t="shared" si="1932"/>
        <v>22.37974998625814</v>
      </c>
      <c r="ET1153" s="681">
        <f t="shared" si="1932"/>
        <v>15.159283741393457</v>
      </c>
      <c r="EU1153" s="681">
        <f t="shared" si="1932"/>
        <v>11.394298316027328</v>
      </c>
      <c r="EV1153" s="681">
        <f t="shared" si="1932"/>
        <v>18.450060664160304</v>
      </c>
      <c r="EW1153" s="681">
        <f t="shared" si="1932"/>
        <v>16.139738200652342</v>
      </c>
      <c r="EX1153" s="681">
        <f t="shared" si="1932"/>
        <v>106.02020398827491</v>
      </c>
      <c r="EY1153" s="1860">
        <f t="shared" ref="EY1153:GD1153" si="1933">-EY890+EY920</f>
        <v>18.710324140762001</v>
      </c>
      <c r="EZ1153" s="681">
        <f t="shared" si="1933"/>
        <v>26.358275628537605</v>
      </c>
      <c r="FA1153" s="681">
        <f t="shared" si="1933"/>
        <v>25.66195521547359</v>
      </c>
      <c r="FB1153" s="681">
        <f t="shared" si="1933"/>
        <v>180.34086035425312</v>
      </c>
      <c r="FC1153" s="681">
        <f t="shared" si="1933"/>
        <v>35.460548031665894</v>
      </c>
      <c r="FD1153" s="681">
        <f t="shared" si="1933"/>
        <v>146.3197624468045</v>
      </c>
      <c r="FE1153" s="681">
        <f t="shared" si="1933"/>
        <v>60.226021596908097</v>
      </c>
      <c r="FF1153" s="681">
        <f t="shared" si="1933"/>
        <v>26.641361852016441</v>
      </c>
      <c r="FG1153" s="681">
        <f t="shared" si="1933"/>
        <v>11.705615638270633</v>
      </c>
      <c r="FH1153" s="681">
        <f t="shared" si="1933"/>
        <v>124.11776803524816</v>
      </c>
      <c r="FI1153" s="681">
        <f t="shared" si="1933"/>
        <v>32.936011562168424</v>
      </c>
      <c r="FJ1153" s="681">
        <f t="shared" si="1933"/>
        <v>265.54118707599042</v>
      </c>
      <c r="FK1153" s="681">
        <f t="shared" si="1933"/>
        <v>165.36716256293312</v>
      </c>
      <c r="FL1153" s="681">
        <f t="shared" si="1933"/>
        <v>42.676739492936349</v>
      </c>
      <c r="FM1153" s="681">
        <f t="shared" si="1933"/>
        <v>47.373704321396758</v>
      </c>
      <c r="FN1153" s="681">
        <f t="shared" si="1933"/>
        <v>29.80564258928019</v>
      </c>
      <c r="FO1153" s="681">
        <f t="shared" si="1933"/>
        <v>24.133098201211482</v>
      </c>
      <c r="FP1153" s="681">
        <f t="shared" si="1933"/>
        <v>142.03539291295886</v>
      </c>
      <c r="FQ1153" s="681">
        <f t="shared" si="1933"/>
        <v>8.1583712632049998</v>
      </c>
      <c r="FR1153" s="681">
        <f t="shared" si="1933"/>
        <v>30.696689018393997</v>
      </c>
      <c r="FS1153" s="681">
        <f t="shared" si="1933"/>
        <v>96.048654651339973</v>
      </c>
      <c r="FT1153" s="681">
        <f t="shared" si="1933"/>
        <v>24.229058993359722</v>
      </c>
      <c r="FU1153" s="681">
        <f t="shared" si="1933"/>
        <v>7.5483352215044688</v>
      </c>
      <c r="FV1153" s="681">
        <f t="shared" si="1933"/>
        <v>39.199590900966733</v>
      </c>
      <c r="FW1153" s="681">
        <f t="shared" si="1933"/>
        <v>27.624194789979462</v>
      </c>
      <c r="FX1153" s="681">
        <f t="shared" si="1933"/>
        <v>289.61078769430463</v>
      </c>
      <c r="FY1153" s="681">
        <f t="shared" si="1933"/>
        <v>17.41244602701115</v>
      </c>
      <c r="FZ1153" s="681">
        <f t="shared" si="1933"/>
        <v>87.691067920702139</v>
      </c>
      <c r="GA1153" s="681">
        <f t="shared" si="1933"/>
        <v>74.219736986734461</v>
      </c>
      <c r="GB1153" s="681">
        <f t="shared" si="1933"/>
        <v>259.05444236477047</v>
      </c>
      <c r="GC1153" s="681">
        <f t="shared" si="1933"/>
        <v>3.2885865871498829</v>
      </c>
      <c r="GD1153" s="681">
        <f t="shared" si="1933"/>
        <v>13.94239333506065</v>
      </c>
      <c r="GE1153" s="681">
        <f t="shared" ref="GE1153:HL1153" si="1934">-GE890+GE920</f>
        <v>82.658302674580867</v>
      </c>
      <c r="GF1153" s="681">
        <f t="shared" si="1934"/>
        <v>-114.26020505761939</v>
      </c>
      <c r="GG1153" s="681">
        <f t="shared" si="1934"/>
        <v>44.550087477578145</v>
      </c>
      <c r="GH1153" s="681">
        <f t="shared" si="1934"/>
        <v>92.012539414141031</v>
      </c>
      <c r="GI1153" s="681">
        <f t="shared" si="1934"/>
        <v>18.006083506541067</v>
      </c>
      <c r="GJ1153" s="681">
        <f t="shared" si="1934"/>
        <v>4.8089811679161691</v>
      </c>
      <c r="GK1153" s="681">
        <f t="shared" si="1934"/>
        <v>70.569208254395889</v>
      </c>
      <c r="GL1153" s="681">
        <f t="shared" si="1934"/>
        <v>27.560648542128696</v>
      </c>
      <c r="GM1153" s="681">
        <f t="shared" si="1934"/>
        <v>9.4039659277830996</v>
      </c>
      <c r="GN1153" s="681">
        <f t="shared" si="1934"/>
        <v>44.237588588376816</v>
      </c>
      <c r="GO1153" s="681">
        <f t="shared" si="1934"/>
        <v>27.288171702099547</v>
      </c>
      <c r="GP1153" s="681">
        <f t="shared" si="1934"/>
        <v>22.984808425351392</v>
      </c>
      <c r="GQ1153" s="681">
        <f t="shared" si="1934"/>
        <v>450.23539151328413</v>
      </c>
      <c r="GR1153" s="681">
        <f t="shared" si="1934"/>
        <v>10.375318925647001</v>
      </c>
      <c r="GS1153" s="681">
        <f t="shared" si="1934"/>
        <v>20.289536545420098</v>
      </c>
      <c r="GT1153" s="681">
        <f t="shared" si="1934"/>
        <v>170.86324463565049</v>
      </c>
      <c r="GU1153" s="681">
        <f t="shared" si="1934"/>
        <v>24.901617678619075</v>
      </c>
      <c r="GV1153" s="681">
        <f t="shared" si="1934"/>
        <v>29.396984788598399</v>
      </c>
      <c r="GW1153" s="681">
        <f t="shared" si="1934"/>
        <v>34.278652857079472</v>
      </c>
      <c r="GX1153" s="681">
        <f t="shared" si="1934"/>
        <v>34.569296173943322</v>
      </c>
      <c r="GY1153" s="681">
        <f t="shared" si="1934"/>
        <v>61.294792130506103</v>
      </c>
      <c r="GZ1153" s="681">
        <f t="shared" si="1934"/>
        <v>389.1169962807532</v>
      </c>
      <c r="HA1153" s="681">
        <f t="shared" si="1934"/>
        <v>23.587192673905697</v>
      </c>
      <c r="HB1153" s="681">
        <f t="shared" si="1934"/>
        <v>5.8263685015150024</v>
      </c>
      <c r="HC1153" s="681">
        <f t="shared" si="1934"/>
        <v>71.093702307219047</v>
      </c>
      <c r="HD1153" s="681">
        <f t="shared" si="1934"/>
        <v>91.193470368949306</v>
      </c>
      <c r="HE1153" s="681">
        <f t="shared" si="1934"/>
        <v>132.09520843442903</v>
      </c>
      <c r="HF1153" s="681">
        <f t="shared" si="1934"/>
        <v>409.85987118987839</v>
      </c>
      <c r="HG1153" s="681">
        <f t="shared" si="1934"/>
        <v>39.520296884400395</v>
      </c>
      <c r="HH1153" s="681">
        <f t="shared" si="1934"/>
        <v>0.90679020791951359</v>
      </c>
      <c r="HI1153" s="681">
        <f t="shared" si="1934"/>
        <v>36.108589938519167</v>
      </c>
      <c r="HJ1153" s="681">
        <f t="shared" si="1934"/>
        <v>51.541524999922316</v>
      </c>
      <c r="HK1153" s="681">
        <f t="shared" si="1934"/>
        <v>80.069460153539424</v>
      </c>
      <c r="HL1153" s="681">
        <f t="shared" si="1934"/>
        <v>823.4443101715209</v>
      </c>
    </row>
    <row r="1154" spans="4:220" ht="17.25" customHeight="1">
      <c r="D1154" s="1238" t="s">
        <v>873</v>
      </c>
      <c r="E1154" s="681">
        <f t="shared" ref="E1154:AJ1154" si="1935">+E596</f>
        <v>3.3985952380779314</v>
      </c>
      <c r="F1154" s="681">
        <f t="shared" si="1935"/>
        <v>9.2998979970267985</v>
      </c>
      <c r="G1154" s="681">
        <f t="shared" si="1935"/>
        <v>11.516824383664195</v>
      </c>
      <c r="H1154" s="681">
        <f t="shared" si="1935"/>
        <v>6.2476395107067049</v>
      </c>
      <c r="I1154" s="681">
        <f t="shared" si="1935"/>
        <v>-18.013913429779802</v>
      </c>
      <c r="J1154" s="681">
        <f t="shared" si="1935"/>
        <v>-54.064165934400215</v>
      </c>
      <c r="K1154" s="681">
        <f t="shared" si="1935"/>
        <v>14.645809234535708</v>
      </c>
      <c r="L1154" s="681">
        <f t="shared" si="1935"/>
        <v>4.9653835292860027</v>
      </c>
      <c r="M1154" s="681">
        <f t="shared" si="1935"/>
        <v>14.408701830078401</v>
      </c>
      <c r="N1154" s="681">
        <f t="shared" si="1935"/>
        <v>11.643373313300007</v>
      </c>
      <c r="O1154" s="681">
        <f t="shared" si="1935"/>
        <v>6.3408579906599947</v>
      </c>
      <c r="P1154" s="681">
        <f t="shared" si="1935"/>
        <v>-15.8843328948</v>
      </c>
      <c r="Q1154" s="681">
        <f t="shared" si="1935"/>
        <v>-3.9728840997547943</v>
      </c>
      <c r="R1154" s="681">
        <f t="shared" si="1935"/>
        <v>14.097380114232703</v>
      </c>
      <c r="S1154" s="681">
        <f t="shared" si="1935"/>
        <v>-39.433969753152986</v>
      </c>
      <c r="T1154" s="681">
        <f t="shared" si="1935"/>
        <v>25.16263547606</v>
      </c>
      <c r="U1154" s="681">
        <f t="shared" si="1935"/>
        <v>-16.927548442660505</v>
      </c>
      <c r="V1154" s="681">
        <f t="shared" si="1935"/>
        <v>-41.149097456732001</v>
      </c>
      <c r="W1154" s="681">
        <f t="shared" si="1935"/>
        <v>18.302697017590599</v>
      </c>
      <c r="X1154" s="681">
        <f t="shared" si="1935"/>
        <v>6.6565175943120041</v>
      </c>
      <c r="Y1154" s="681">
        <f t="shared" si="1935"/>
        <v>3.6098355915280074</v>
      </c>
      <c r="Z1154" s="681">
        <f t="shared" si="1935"/>
        <v>16.359524329738289</v>
      </c>
      <c r="AA1154" s="681">
        <f t="shared" si="1935"/>
        <v>25.620377379039802</v>
      </c>
      <c r="AB1154" s="681">
        <f t="shared" si="1935"/>
        <v>-67.69437469118499</v>
      </c>
      <c r="AC1154" s="681">
        <f t="shared" si="1935"/>
        <v>21.352505762</v>
      </c>
      <c r="AD1154" s="681">
        <f t="shared" si="1935"/>
        <v>-0.13600534200000231</v>
      </c>
      <c r="AE1154" s="681">
        <f t="shared" si="1935"/>
        <v>23.416125643000001</v>
      </c>
      <c r="AF1154" s="681">
        <f t="shared" si="1935"/>
        <v>-16.210330169999999</v>
      </c>
      <c r="AG1154" s="681">
        <f t="shared" si="1935"/>
        <v>11.471898870999997</v>
      </c>
      <c r="AH1154" s="681">
        <f t="shared" si="1935"/>
        <v>-45.741334597999973</v>
      </c>
      <c r="AI1154" s="681">
        <f t="shared" si="1935"/>
        <v>-9.0578524149999957</v>
      </c>
      <c r="AJ1154" s="681">
        <f t="shared" si="1935"/>
        <v>25.527026363999994</v>
      </c>
      <c r="AK1154" s="681">
        <f t="shared" ref="AK1154:BP1154" si="1936">+AK596</f>
        <v>-15.541188822999985</v>
      </c>
      <c r="AL1154" s="681">
        <f t="shared" si="1936"/>
        <v>-18.152366992999998</v>
      </c>
      <c r="AM1154" s="681">
        <f t="shared" si="1936"/>
        <v>25.816195620000009</v>
      </c>
      <c r="AN1154" s="681">
        <f t="shared" si="1936"/>
        <v>-1.9170796019999852</v>
      </c>
      <c r="AO1154" s="681">
        <f t="shared" si="1936"/>
        <v>-6.2510251935772461</v>
      </c>
      <c r="AP1154" s="681">
        <f t="shared" si="1936"/>
        <v>9.8349284088943101</v>
      </c>
      <c r="AQ1154" s="681">
        <f t="shared" si="1936"/>
        <v>4.2405595238819611</v>
      </c>
      <c r="AR1154" s="681">
        <f t="shared" si="1936"/>
        <v>16.327427416045406</v>
      </c>
      <c r="AS1154" s="681">
        <f t="shared" si="1936"/>
        <v>7.7633054718150838</v>
      </c>
      <c r="AT1154" s="681">
        <f t="shared" si="1936"/>
        <v>-43.057766096123146</v>
      </c>
      <c r="AU1154" s="681">
        <f t="shared" si="1936"/>
        <v>9.4577143252400013</v>
      </c>
      <c r="AV1154" s="681">
        <f t="shared" si="1936"/>
        <v>35.452255937880011</v>
      </c>
      <c r="AW1154" s="681">
        <f t="shared" si="1936"/>
        <v>-40.489017357449995</v>
      </c>
      <c r="AX1154" s="681">
        <f t="shared" si="1936"/>
        <v>31.429712341639988</v>
      </c>
      <c r="AY1154" s="681">
        <f t="shared" si="1936"/>
        <v>7.0068409957141897</v>
      </c>
      <c r="AZ1154" s="681">
        <f t="shared" si="1936"/>
        <v>-43.615841924962993</v>
      </c>
      <c r="BA1154" s="681">
        <f t="shared" si="1936"/>
        <v>-2.3517793430000085</v>
      </c>
      <c r="BB1154" s="681">
        <f t="shared" si="1936"/>
        <v>7.9077166799999983</v>
      </c>
      <c r="BC1154" s="681">
        <f t="shared" si="1936"/>
        <v>37.060328516000013</v>
      </c>
      <c r="BD1154" s="681">
        <f t="shared" si="1936"/>
        <v>-35.899823181759984</v>
      </c>
      <c r="BE1154" s="681">
        <f t="shared" si="1936"/>
        <v>29.951662761769992</v>
      </c>
      <c r="BF1154" s="681">
        <f t="shared" si="1936"/>
        <v>28.10170457100001</v>
      </c>
      <c r="BG1154" s="681">
        <f t="shared" si="1936"/>
        <v>-23.641803266800011</v>
      </c>
      <c r="BH1154" s="681">
        <f t="shared" si="1936"/>
        <v>-36.812236439890015</v>
      </c>
      <c r="BI1154" s="681">
        <f t="shared" si="1936"/>
        <v>-21.734622351500022</v>
      </c>
      <c r="BJ1154" s="681">
        <f t="shared" si="1936"/>
        <v>-60.706458082340006</v>
      </c>
      <c r="BK1154" s="681">
        <f t="shared" si="1936"/>
        <v>34.559707768000024</v>
      </c>
      <c r="BL1154" s="681">
        <f t="shared" si="1936"/>
        <v>-65.313882094000007</v>
      </c>
      <c r="BM1154" s="681">
        <f t="shared" si="1936"/>
        <v>17.769783936890015</v>
      </c>
      <c r="BN1154" s="681">
        <f t="shared" si="1936"/>
        <v>16.564837180729999</v>
      </c>
      <c r="BO1154" s="681">
        <f t="shared" si="1936"/>
        <v>39.005870830999996</v>
      </c>
      <c r="BP1154" s="681">
        <f t="shared" si="1936"/>
        <v>30.784395081910031</v>
      </c>
      <c r="BQ1154" s="681">
        <f t="shared" ref="BQ1154:CV1154" si="1937">+BQ596</f>
        <v>39.633908634850002</v>
      </c>
      <c r="BR1154" s="681">
        <f t="shared" si="1937"/>
        <v>1.5135633109542486</v>
      </c>
      <c r="BS1154" s="681">
        <f t="shared" si="1937"/>
        <v>-51.742099451901652</v>
      </c>
      <c r="BT1154" s="681">
        <f t="shared" si="1937"/>
        <v>6.4092905400688815</v>
      </c>
      <c r="BU1154" s="681">
        <f t="shared" si="1937"/>
        <v>37.151897323727887</v>
      </c>
      <c r="BV1154" s="681">
        <f t="shared" si="1937"/>
        <v>4.3162266734518848</v>
      </c>
      <c r="BW1154" s="681">
        <f t="shared" si="1937"/>
        <v>-23.600289945276739</v>
      </c>
      <c r="BX1154" s="681">
        <f t="shared" si="1937"/>
        <v>-65.478835017693868</v>
      </c>
      <c r="BY1154" s="681">
        <f t="shared" si="1937"/>
        <v>26.293153700906526</v>
      </c>
      <c r="BZ1154" s="681">
        <f t="shared" si="1937"/>
        <v>19.490525906617094</v>
      </c>
      <c r="CA1154" s="681">
        <f t="shared" si="1937"/>
        <v>-55.549898785757598</v>
      </c>
      <c r="CB1154" s="681">
        <f t="shared" si="1937"/>
        <v>32.326340549438086</v>
      </c>
      <c r="CC1154" s="681">
        <f t="shared" si="1937"/>
        <v>91.511362392529762</v>
      </c>
      <c r="CD1154" s="681">
        <f t="shared" si="1937"/>
        <v>-90.219466210144134</v>
      </c>
      <c r="CE1154" s="681">
        <f t="shared" si="1937"/>
        <v>-48.676024530513665</v>
      </c>
      <c r="CF1154" s="681">
        <f t="shared" si="1937"/>
        <v>14.87229584848064</v>
      </c>
      <c r="CG1154" s="681">
        <f t="shared" si="1937"/>
        <v>-41.423280011744637</v>
      </c>
      <c r="CH1154" s="681">
        <f t="shared" si="1937"/>
        <v>33.708219457028662</v>
      </c>
      <c r="CI1154" s="681">
        <f t="shared" si="1937"/>
        <v>18.845999615645546</v>
      </c>
      <c r="CJ1154" s="681">
        <f t="shared" si="1937"/>
        <v>-22.472552960669596</v>
      </c>
      <c r="CK1154" s="681">
        <f t="shared" si="1937"/>
        <v>25.251482231060667</v>
      </c>
      <c r="CL1154" s="681">
        <f t="shared" si="1937"/>
        <v>16.141239820024456</v>
      </c>
      <c r="CM1154" s="681">
        <f t="shared" si="1937"/>
        <v>11.611658253140829</v>
      </c>
      <c r="CN1154" s="681">
        <f t="shared" si="1937"/>
        <v>51.310244885528149</v>
      </c>
      <c r="CO1154" s="681">
        <f t="shared" si="1937"/>
        <v>6.941624222591571</v>
      </c>
      <c r="CP1154" s="681">
        <f t="shared" si="1937"/>
        <v>33.487758300310354</v>
      </c>
      <c r="CQ1154" s="681">
        <f t="shared" si="1937"/>
        <v>-17.020268294634384</v>
      </c>
      <c r="CR1154" s="681">
        <f t="shared" si="1937"/>
        <v>24.787145228813941</v>
      </c>
      <c r="CS1154" s="681">
        <f t="shared" si="1937"/>
        <v>32.62811460040556</v>
      </c>
      <c r="CT1154" s="681">
        <f t="shared" si="1937"/>
        <v>25.090853968634114</v>
      </c>
      <c r="CU1154" s="681">
        <f t="shared" si="1937"/>
        <v>0.88970047659143603</v>
      </c>
      <c r="CV1154" s="681">
        <f t="shared" si="1937"/>
        <v>-118.42980301391525</v>
      </c>
      <c r="CW1154" s="681">
        <f t="shared" ref="CW1154:EB1154" si="1938">+CW596</f>
        <v>21.35131870282321</v>
      </c>
      <c r="CX1154" s="681">
        <f t="shared" si="1938"/>
        <v>5.2050394811529213</v>
      </c>
      <c r="CY1154" s="681">
        <f t="shared" si="1938"/>
        <v>-4.5602298581177054</v>
      </c>
      <c r="CZ1154" s="681">
        <f t="shared" si="1938"/>
        <v>20.962678424001311</v>
      </c>
      <c r="DA1154" s="681">
        <f t="shared" si="1938"/>
        <v>28.810480108598611</v>
      </c>
      <c r="DB1154" s="681">
        <f t="shared" si="1938"/>
        <v>37.751951811483643</v>
      </c>
      <c r="DC1154" s="681">
        <f t="shared" si="1938"/>
        <v>-20.682880446004212</v>
      </c>
      <c r="DD1154" s="681">
        <f t="shared" si="1938"/>
        <v>36.107799488995575</v>
      </c>
      <c r="DE1154" s="681">
        <f t="shared" si="1938"/>
        <v>-41.801621006976596</v>
      </c>
      <c r="DF1154" s="681">
        <f t="shared" si="1938"/>
        <v>36.257283096242986</v>
      </c>
      <c r="DG1154" s="681">
        <f t="shared" si="1938"/>
        <v>-10.448141939469142</v>
      </c>
      <c r="DH1154" s="681">
        <f t="shared" si="1938"/>
        <v>-77.971889906901197</v>
      </c>
      <c r="DI1154" s="681">
        <f t="shared" si="1938"/>
        <v>63.795326566291905</v>
      </c>
      <c r="DJ1154" s="681">
        <f t="shared" si="1938"/>
        <v>19.097021386985485</v>
      </c>
      <c r="DK1154" s="681">
        <f t="shared" si="1938"/>
        <v>-44.627080589793117</v>
      </c>
      <c r="DL1154" s="681">
        <f t="shared" si="1938"/>
        <v>25.990661298897741</v>
      </c>
      <c r="DM1154" s="681">
        <f t="shared" si="1938"/>
        <v>20.786432652388573</v>
      </c>
      <c r="DN1154" s="681">
        <f t="shared" si="1938"/>
        <v>9.6892621397448409</v>
      </c>
      <c r="DO1154" s="681">
        <f t="shared" si="1938"/>
        <v>-21.093013536440399</v>
      </c>
      <c r="DP1154" s="681">
        <f t="shared" si="1938"/>
        <v>20.907133616416381</v>
      </c>
      <c r="DQ1154" s="681">
        <f t="shared" si="1938"/>
        <v>-47.020961539387798</v>
      </c>
      <c r="DR1154" s="681">
        <f t="shared" si="1938"/>
        <v>4.0940808819227259</v>
      </c>
      <c r="DS1154" s="681">
        <f t="shared" si="1938"/>
        <v>27.000719059530809</v>
      </c>
      <c r="DT1154" s="681">
        <f t="shared" si="1938"/>
        <v>-56.538026913373365</v>
      </c>
      <c r="DU1154" s="681">
        <f t="shared" si="1938"/>
        <v>1.6021299269673976</v>
      </c>
      <c r="DV1154" s="681">
        <f t="shared" si="1938"/>
        <v>60.899492118220948</v>
      </c>
      <c r="DW1154" s="681">
        <f t="shared" si="1938"/>
        <v>-13.417555758642813</v>
      </c>
      <c r="DX1154" s="681">
        <f t="shared" si="1938"/>
        <v>5.7793387725086625</v>
      </c>
      <c r="DY1154" s="681">
        <f t="shared" si="1938"/>
        <v>47.301045864280809</v>
      </c>
      <c r="DZ1154" s="681">
        <f t="shared" si="1938"/>
        <v>29.018672697043705</v>
      </c>
      <c r="EA1154" s="681">
        <f t="shared" si="1938"/>
        <v>-6.1847746777488055E-3</v>
      </c>
      <c r="EB1154" s="681">
        <f t="shared" si="1938"/>
        <v>27.404570468583216</v>
      </c>
      <c r="EC1154" s="681">
        <f t="shared" ref="EC1154:EX1154" si="1939">+EC596</f>
        <v>-24.372152769480202</v>
      </c>
      <c r="ED1154" s="681">
        <f t="shared" si="1939"/>
        <v>-15.928183055399018</v>
      </c>
      <c r="EE1154" s="681">
        <f t="shared" si="1939"/>
        <v>6.2077624642687681</v>
      </c>
      <c r="EF1154" s="681">
        <f t="shared" si="1939"/>
        <v>-101.26075153858211</v>
      </c>
      <c r="EG1154" s="681">
        <f t="shared" si="1939"/>
        <v>72.852746309116725</v>
      </c>
      <c r="EH1154" s="681">
        <f t="shared" si="1939"/>
        <v>8.8665991698843456</v>
      </c>
      <c r="EI1154" s="681">
        <f t="shared" si="1939"/>
        <v>-6.0770932618679723</v>
      </c>
      <c r="EJ1154" s="681">
        <f t="shared" si="1939"/>
        <v>20.202179392752903</v>
      </c>
      <c r="EK1154" s="681">
        <f t="shared" si="1939"/>
        <v>46.30664964409317</v>
      </c>
      <c r="EL1154" s="681">
        <f t="shared" si="1939"/>
        <v>39.12229868997899</v>
      </c>
      <c r="EM1154" s="681">
        <f t="shared" si="1939"/>
        <v>2.1549642678775314</v>
      </c>
      <c r="EN1154" s="681">
        <f t="shared" si="1939"/>
        <v>-14.35837091263776</v>
      </c>
      <c r="EO1154" s="681">
        <f t="shared" si="1939"/>
        <v>0.77494786556137996</v>
      </c>
      <c r="EP1154" s="681">
        <f t="shared" si="1939"/>
        <v>64.651635323504138</v>
      </c>
      <c r="EQ1154" s="681">
        <f t="shared" si="1939"/>
        <v>5.365506420231938</v>
      </c>
      <c r="ER1154" s="681">
        <f t="shared" si="1939"/>
        <v>-205.95274116765006</v>
      </c>
      <c r="ES1154" s="681">
        <f t="shared" si="1939"/>
        <v>44.179674333014972</v>
      </c>
      <c r="ET1154" s="681">
        <f t="shared" si="1939"/>
        <v>47.739402646034634</v>
      </c>
      <c r="EU1154" s="681">
        <f t="shared" si="1939"/>
        <v>33.994167048742071</v>
      </c>
      <c r="EV1154" s="681">
        <f t="shared" si="1939"/>
        <v>32.523673415515518</v>
      </c>
      <c r="EW1154" s="681">
        <f t="shared" si="1939"/>
        <v>30.679912088314229</v>
      </c>
      <c r="EX1154" s="681">
        <f t="shared" si="1939"/>
        <v>12.315935291807252</v>
      </c>
      <c r="EY1154" s="1860">
        <f t="shared" ref="EY1154:GD1154" si="1940">-EY856+EY892+EY1152-EY1153</f>
        <v>17.636678949012815</v>
      </c>
      <c r="EZ1154" s="681">
        <f t="shared" si="1940"/>
        <v>14.581073418802738</v>
      </c>
      <c r="FA1154" s="681">
        <f t="shared" si="1940"/>
        <v>32.503122456579995</v>
      </c>
      <c r="FB1154" s="681">
        <f t="shared" si="1940"/>
        <v>-49.989351577375743</v>
      </c>
      <c r="FC1154" s="681">
        <f t="shared" si="1940"/>
        <v>84.940979453252254</v>
      </c>
      <c r="FD1154" s="681">
        <f t="shared" si="1940"/>
        <v>-169.84439708155955</v>
      </c>
      <c r="FE1154" s="681">
        <f t="shared" si="1940"/>
        <v>6.8767202441938338</v>
      </c>
      <c r="FF1154" s="681">
        <f t="shared" si="1940"/>
        <v>57.687930202308081</v>
      </c>
      <c r="FG1154" s="681">
        <f t="shared" si="1940"/>
        <v>48.051758914193215</v>
      </c>
      <c r="FH1154" s="681">
        <f t="shared" si="1940"/>
        <v>-74.00129380175693</v>
      </c>
      <c r="FI1154" s="681">
        <f t="shared" si="1940"/>
        <v>149.36204868500135</v>
      </c>
      <c r="FJ1154" s="681">
        <f t="shared" si="1940"/>
        <v>-219.37634378285316</v>
      </c>
      <c r="FK1154" s="681">
        <f t="shared" si="1940"/>
        <v>-12.298054412617716</v>
      </c>
      <c r="FL1154" s="681">
        <f t="shared" si="1940"/>
        <v>37.14964886318387</v>
      </c>
      <c r="FM1154" s="681">
        <f t="shared" si="1940"/>
        <v>-66.363089481651784</v>
      </c>
      <c r="FN1154" s="681">
        <f t="shared" si="1940"/>
        <v>23.337867439051095</v>
      </c>
      <c r="FO1154" s="681">
        <f t="shared" si="1940"/>
        <v>113.88963977619392</v>
      </c>
      <c r="FP1154" s="681">
        <f t="shared" si="1940"/>
        <v>-67.976576081450744</v>
      </c>
      <c r="FQ1154" s="681">
        <f t="shared" si="1940"/>
        <v>92.637689821094469</v>
      </c>
      <c r="FR1154" s="681">
        <f t="shared" si="1940"/>
        <v>105.21832325050066</v>
      </c>
      <c r="FS1154" s="681">
        <f t="shared" si="1940"/>
        <v>-104.51179827414465</v>
      </c>
      <c r="FT1154" s="681">
        <f t="shared" si="1940"/>
        <v>-63.013427614548547</v>
      </c>
      <c r="FU1154" s="681">
        <f t="shared" si="1940"/>
        <v>201.53088546679376</v>
      </c>
      <c r="FV1154" s="681">
        <f t="shared" si="1940"/>
        <v>-49.299224549796342</v>
      </c>
      <c r="FW1154" s="681">
        <f t="shared" si="1940"/>
        <v>-72.078170372155768</v>
      </c>
      <c r="FX1154" s="681">
        <f t="shared" si="1940"/>
        <v>-261.03036714165808</v>
      </c>
      <c r="FY1154" s="681">
        <f t="shared" si="1940"/>
        <v>186.39425864951946</v>
      </c>
      <c r="FZ1154" s="681">
        <f t="shared" si="1940"/>
        <v>90.677149541418359</v>
      </c>
      <c r="GA1154" s="681">
        <f t="shared" si="1940"/>
        <v>29.899772372976088</v>
      </c>
      <c r="GB1154" s="681">
        <f t="shared" si="1940"/>
        <v>24.963960389774741</v>
      </c>
      <c r="GC1154" s="681">
        <f t="shared" si="1940"/>
        <v>151.01538213892695</v>
      </c>
      <c r="GD1154" s="681">
        <f t="shared" si="1940"/>
        <v>108.59065177167943</v>
      </c>
      <c r="GE1154" s="681">
        <f t="shared" ref="GE1154:HJ1154" si="1941">-GE856+GE892+GE1152-GE1153</f>
        <v>-249.02397196071405</v>
      </c>
      <c r="GF1154" s="681">
        <f t="shared" si="1941"/>
        <v>3.3580271974784637</v>
      </c>
      <c r="GG1154" s="681">
        <f t="shared" si="1941"/>
        <v>-53.990792858966074</v>
      </c>
      <c r="GH1154" s="681">
        <f t="shared" si="1941"/>
        <v>53.100996618674259</v>
      </c>
      <c r="GI1154" s="681">
        <f t="shared" si="1941"/>
        <v>10.118057465270681</v>
      </c>
      <c r="GJ1154" s="681">
        <f t="shared" si="1941"/>
        <v>182.13093141409647</v>
      </c>
      <c r="GK1154" s="681">
        <f t="shared" si="1941"/>
        <v>155.6685585175332</v>
      </c>
      <c r="GL1154" s="681">
        <f t="shared" si="1941"/>
        <v>69.03747225464673</v>
      </c>
      <c r="GM1154" s="681">
        <f t="shared" si="1941"/>
        <v>72.515612423972897</v>
      </c>
      <c r="GN1154" s="681">
        <f t="shared" si="1941"/>
        <v>-33.04231833580819</v>
      </c>
      <c r="GO1154" s="681">
        <f t="shared" si="1941"/>
        <v>4.6617180489287193</v>
      </c>
      <c r="GP1154" s="681">
        <f t="shared" si="1941"/>
        <v>65.755106614089883</v>
      </c>
      <c r="GQ1154" s="681">
        <f t="shared" si="1941"/>
        <v>-316.04194833276927</v>
      </c>
      <c r="GR1154" s="681">
        <f t="shared" si="1941"/>
        <v>-103.58756650338378</v>
      </c>
      <c r="GS1154" s="681">
        <f t="shared" si="1941"/>
        <v>44.174401767261948</v>
      </c>
      <c r="GT1154" s="681">
        <f t="shared" si="1941"/>
        <v>68.781242918487948</v>
      </c>
      <c r="GU1154" s="681">
        <f t="shared" si="1941"/>
        <v>96.271629761305761</v>
      </c>
      <c r="GV1154" s="681">
        <f t="shared" si="1941"/>
        <v>123.74275837738007</v>
      </c>
      <c r="GW1154" s="681">
        <f t="shared" si="1941"/>
        <v>7.5374453671986075</v>
      </c>
      <c r="GX1154" s="681">
        <f t="shared" si="1941"/>
        <v>80.76104014732914</v>
      </c>
      <c r="GY1154" s="681">
        <f t="shared" si="1941"/>
        <v>-15.992944421810229</v>
      </c>
      <c r="GZ1154" s="681">
        <f t="shared" si="1941"/>
        <v>-345.59813846922248</v>
      </c>
      <c r="HA1154" s="681">
        <f t="shared" si="1941"/>
        <v>262.84615545331087</v>
      </c>
      <c r="HB1154" s="681">
        <f t="shared" si="1941"/>
        <v>131.65360248670208</v>
      </c>
      <c r="HC1154" s="681">
        <f t="shared" si="1941"/>
        <v>-50.833149311735525</v>
      </c>
      <c r="HD1154" s="681">
        <f t="shared" si="1941"/>
        <v>-12.746287917201585</v>
      </c>
      <c r="HE1154" s="681">
        <f t="shared" si="1941"/>
        <v>-53.667234259547314</v>
      </c>
      <c r="HF1154" s="681">
        <f t="shared" si="1941"/>
        <v>-219.57224037795174</v>
      </c>
      <c r="HG1154" s="681">
        <f t="shared" si="1941"/>
        <v>110.1001372745193</v>
      </c>
      <c r="HH1154" s="681">
        <f t="shared" si="1941"/>
        <v>149.97126938049178</v>
      </c>
      <c r="HI1154" s="681">
        <f t="shared" si="1941"/>
        <v>21.134615985235726</v>
      </c>
      <c r="HJ1154" s="681">
        <f t="shared" si="1941"/>
        <v>77.596562970893061</v>
      </c>
      <c r="HK1154" s="681">
        <f t="shared" ref="HK1154:HL1154" si="1942">-HK856+HK892+HK1152-HK1153</f>
        <v>-35.884560050924492</v>
      </c>
      <c r="HL1154" s="681">
        <f t="shared" si="1942"/>
        <v>-746.39062215610841</v>
      </c>
    </row>
    <row r="1155" spans="4:220" ht="17.25" customHeight="1">
      <c r="D1155" s="1235" t="s">
        <v>878</v>
      </c>
      <c r="E1155" s="681">
        <f t="shared" ref="E1155:AJ1155" si="1943">+E598</f>
        <v>0</v>
      </c>
      <c r="F1155" s="681">
        <f t="shared" si="1943"/>
        <v>0</v>
      </c>
      <c r="G1155" s="681">
        <f t="shared" si="1943"/>
        <v>0</v>
      </c>
      <c r="H1155" s="681">
        <f t="shared" si="1943"/>
        <v>0</v>
      </c>
      <c r="I1155" s="681">
        <f t="shared" si="1943"/>
        <v>0</v>
      </c>
      <c r="J1155" s="681">
        <f t="shared" si="1943"/>
        <v>0</v>
      </c>
      <c r="K1155" s="681">
        <f t="shared" si="1943"/>
        <v>0</v>
      </c>
      <c r="L1155" s="681">
        <f t="shared" si="1943"/>
        <v>0</v>
      </c>
      <c r="M1155" s="681">
        <f t="shared" si="1943"/>
        <v>0</v>
      </c>
      <c r="N1155" s="681">
        <f t="shared" si="1943"/>
        <v>0</v>
      </c>
      <c r="O1155" s="681">
        <f t="shared" si="1943"/>
        <v>0</v>
      </c>
      <c r="P1155" s="681">
        <f t="shared" si="1943"/>
        <v>0</v>
      </c>
      <c r="Q1155" s="681">
        <f t="shared" si="1943"/>
        <v>0</v>
      </c>
      <c r="R1155" s="681">
        <f t="shared" si="1943"/>
        <v>0</v>
      </c>
      <c r="S1155" s="681">
        <f t="shared" si="1943"/>
        <v>0</v>
      </c>
      <c r="T1155" s="681">
        <f t="shared" si="1943"/>
        <v>0</v>
      </c>
      <c r="U1155" s="681">
        <f t="shared" si="1943"/>
        <v>0</v>
      </c>
      <c r="V1155" s="681">
        <f t="shared" si="1943"/>
        <v>0</v>
      </c>
      <c r="W1155" s="681">
        <f t="shared" si="1943"/>
        <v>0</v>
      </c>
      <c r="X1155" s="681">
        <f t="shared" si="1943"/>
        <v>0</v>
      </c>
      <c r="Y1155" s="681">
        <f t="shared" si="1943"/>
        <v>0</v>
      </c>
      <c r="Z1155" s="681">
        <f t="shared" si="1943"/>
        <v>0</v>
      </c>
      <c r="AA1155" s="681">
        <f t="shared" si="1943"/>
        <v>0</v>
      </c>
      <c r="AB1155" s="681">
        <f t="shared" si="1943"/>
        <v>0</v>
      </c>
      <c r="AC1155" s="681">
        <f t="shared" si="1943"/>
        <v>0</v>
      </c>
      <c r="AD1155" s="681">
        <f t="shared" si="1943"/>
        <v>0</v>
      </c>
      <c r="AE1155" s="681">
        <f t="shared" si="1943"/>
        <v>0</v>
      </c>
      <c r="AF1155" s="681">
        <f t="shared" si="1943"/>
        <v>0</v>
      </c>
      <c r="AG1155" s="681">
        <f t="shared" si="1943"/>
        <v>0</v>
      </c>
      <c r="AH1155" s="681">
        <f t="shared" si="1943"/>
        <v>0</v>
      </c>
      <c r="AI1155" s="681">
        <f t="shared" si="1943"/>
        <v>0</v>
      </c>
      <c r="AJ1155" s="681">
        <f t="shared" si="1943"/>
        <v>0</v>
      </c>
      <c r="AK1155" s="681">
        <f t="shared" ref="AK1155:BP1155" si="1944">+AK598</f>
        <v>0</v>
      </c>
      <c r="AL1155" s="681">
        <f t="shared" si="1944"/>
        <v>0</v>
      </c>
      <c r="AM1155" s="681">
        <f t="shared" si="1944"/>
        <v>0</v>
      </c>
      <c r="AN1155" s="681">
        <f t="shared" si="1944"/>
        <v>0</v>
      </c>
      <c r="AO1155" s="681">
        <f t="shared" si="1944"/>
        <v>0</v>
      </c>
      <c r="AP1155" s="681">
        <f t="shared" si="1944"/>
        <v>0</v>
      </c>
      <c r="AQ1155" s="681">
        <f t="shared" si="1944"/>
        <v>0</v>
      </c>
      <c r="AR1155" s="681">
        <f t="shared" si="1944"/>
        <v>0</v>
      </c>
      <c r="AS1155" s="681">
        <f t="shared" si="1944"/>
        <v>0</v>
      </c>
      <c r="AT1155" s="681">
        <f t="shared" si="1944"/>
        <v>0</v>
      </c>
      <c r="AU1155" s="681">
        <f t="shared" si="1944"/>
        <v>0</v>
      </c>
      <c r="AV1155" s="681">
        <f t="shared" si="1944"/>
        <v>0</v>
      </c>
      <c r="AW1155" s="681">
        <f t="shared" si="1944"/>
        <v>0</v>
      </c>
      <c r="AX1155" s="681">
        <f t="shared" si="1944"/>
        <v>0</v>
      </c>
      <c r="AY1155" s="681">
        <f t="shared" si="1944"/>
        <v>0</v>
      </c>
      <c r="AZ1155" s="681">
        <f t="shared" si="1944"/>
        <v>0</v>
      </c>
      <c r="BA1155" s="681">
        <f t="shared" si="1944"/>
        <v>0</v>
      </c>
      <c r="BB1155" s="681">
        <f t="shared" si="1944"/>
        <v>0</v>
      </c>
      <c r="BC1155" s="681">
        <f t="shared" si="1944"/>
        <v>0</v>
      </c>
      <c r="BD1155" s="681">
        <f t="shared" si="1944"/>
        <v>0</v>
      </c>
      <c r="BE1155" s="681">
        <f t="shared" si="1944"/>
        <v>0</v>
      </c>
      <c r="BF1155" s="681">
        <f t="shared" si="1944"/>
        <v>0</v>
      </c>
      <c r="BG1155" s="681">
        <f t="shared" si="1944"/>
        <v>0</v>
      </c>
      <c r="BH1155" s="681">
        <f t="shared" si="1944"/>
        <v>0</v>
      </c>
      <c r="BI1155" s="681">
        <f t="shared" si="1944"/>
        <v>0</v>
      </c>
      <c r="BJ1155" s="681">
        <f t="shared" si="1944"/>
        <v>0</v>
      </c>
      <c r="BK1155" s="681">
        <f t="shared" si="1944"/>
        <v>0</v>
      </c>
      <c r="BL1155" s="681">
        <f t="shared" si="1944"/>
        <v>0</v>
      </c>
      <c r="BM1155" s="681">
        <f t="shared" si="1944"/>
        <v>0</v>
      </c>
      <c r="BN1155" s="681">
        <f t="shared" si="1944"/>
        <v>0</v>
      </c>
      <c r="BO1155" s="681">
        <f t="shared" si="1944"/>
        <v>0</v>
      </c>
      <c r="BP1155" s="681">
        <f t="shared" si="1944"/>
        <v>0</v>
      </c>
      <c r="BQ1155" s="681">
        <f t="shared" ref="BQ1155:CV1155" si="1945">+BQ598</f>
        <v>0</v>
      </c>
      <c r="BR1155" s="681">
        <f t="shared" si="1945"/>
        <v>0</v>
      </c>
      <c r="BS1155" s="681">
        <f t="shared" si="1945"/>
        <v>0</v>
      </c>
      <c r="BT1155" s="681">
        <f t="shared" si="1945"/>
        <v>0</v>
      </c>
      <c r="BU1155" s="681">
        <f t="shared" si="1945"/>
        <v>0</v>
      </c>
      <c r="BV1155" s="681">
        <f t="shared" si="1945"/>
        <v>0</v>
      </c>
      <c r="BW1155" s="681">
        <f t="shared" si="1945"/>
        <v>0</v>
      </c>
      <c r="BX1155" s="681">
        <f t="shared" si="1945"/>
        <v>0</v>
      </c>
      <c r="BY1155" s="681">
        <f t="shared" si="1945"/>
        <v>0</v>
      </c>
      <c r="BZ1155" s="681">
        <f t="shared" si="1945"/>
        <v>0</v>
      </c>
      <c r="CA1155" s="681">
        <f t="shared" si="1945"/>
        <v>0</v>
      </c>
      <c r="CB1155" s="681">
        <f t="shared" si="1945"/>
        <v>0</v>
      </c>
      <c r="CC1155" s="681">
        <f t="shared" si="1945"/>
        <v>0</v>
      </c>
      <c r="CD1155" s="681">
        <f t="shared" si="1945"/>
        <v>0</v>
      </c>
      <c r="CE1155" s="681">
        <f t="shared" si="1945"/>
        <v>-41.170671326000033</v>
      </c>
      <c r="CF1155" s="681">
        <f t="shared" si="1945"/>
        <v>11.922575143000078</v>
      </c>
      <c r="CG1155" s="681">
        <f t="shared" si="1945"/>
        <v>-22.926783045000025</v>
      </c>
      <c r="CH1155" s="681">
        <f t="shared" si="1945"/>
        <v>-11.398425882</v>
      </c>
      <c r="CI1155" s="681">
        <f t="shared" si="1945"/>
        <v>23.338874671999982</v>
      </c>
      <c r="CJ1155" s="681">
        <f t="shared" si="1945"/>
        <v>-13.059848272000007</v>
      </c>
      <c r="CK1155" s="681">
        <f t="shared" si="1945"/>
        <v>24.898214388302378</v>
      </c>
      <c r="CL1155" s="681">
        <f t="shared" si="1945"/>
        <v>27.242638573511098</v>
      </c>
      <c r="CM1155" s="681">
        <f t="shared" si="1945"/>
        <v>6.7172435206434074</v>
      </c>
      <c r="CN1155" s="681">
        <f t="shared" si="1945"/>
        <v>18.836425920929031</v>
      </c>
      <c r="CO1155" s="681">
        <f t="shared" si="1945"/>
        <v>0.55550442947313339</v>
      </c>
      <c r="CP1155" s="681">
        <f t="shared" si="1945"/>
        <v>53.541338296288565</v>
      </c>
      <c r="CQ1155" s="681">
        <f t="shared" si="1945"/>
        <v>28.977871790395973</v>
      </c>
      <c r="CR1155" s="681">
        <f t="shared" si="1945"/>
        <v>-0.79787384793163607</v>
      </c>
      <c r="CS1155" s="681">
        <f t="shared" si="1945"/>
        <v>26.399793508802578</v>
      </c>
      <c r="CT1155" s="681">
        <f t="shared" si="1945"/>
        <v>27.780297227250578</v>
      </c>
      <c r="CU1155" s="681">
        <f t="shared" si="1945"/>
        <v>-15.246527991337558</v>
      </c>
      <c r="CV1155" s="681">
        <f t="shared" si="1945"/>
        <v>-88.056370374511175</v>
      </c>
      <c r="CW1155" s="681">
        <f t="shared" ref="CW1155:EB1155" si="1946">+CW598</f>
        <v>29.64517860848937</v>
      </c>
      <c r="CX1155" s="681">
        <f t="shared" si="1946"/>
        <v>-16.507817383659258</v>
      </c>
      <c r="CY1155" s="681">
        <f t="shared" si="1946"/>
        <v>-2.6519222317938871</v>
      </c>
      <c r="CZ1155" s="681">
        <f t="shared" si="1946"/>
        <v>21.379032618166445</v>
      </c>
      <c r="DA1155" s="681">
        <f t="shared" si="1946"/>
        <v>41.43465461674392</v>
      </c>
      <c r="DB1155" s="681">
        <f t="shared" si="1946"/>
        <v>57.350646447549742</v>
      </c>
      <c r="DC1155" s="681">
        <f t="shared" si="1946"/>
        <v>3.6101350954144777</v>
      </c>
      <c r="DD1155" s="681">
        <f t="shared" si="1946"/>
        <v>2.113980364082245</v>
      </c>
      <c r="DE1155" s="681">
        <f t="shared" si="1946"/>
        <v>-48.252695685131656</v>
      </c>
      <c r="DF1155" s="681">
        <f t="shared" si="1946"/>
        <v>40.716188364718803</v>
      </c>
      <c r="DG1155" s="681">
        <f t="shared" si="1946"/>
        <v>-17.293612730923506</v>
      </c>
      <c r="DH1155" s="681">
        <f t="shared" si="1946"/>
        <v>-85.015738029892162</v>
      </c>
      <c r="DI1155" s="681">
        <f t="shared" si="1946"/>
        <v>43.940070560294608</v>
      </c>
      <c r="DJ1155" s="681">
        <f t="shared" si="1946"/>
        <v>-10.275546578094861</v>
      </c>
      <c r="DK1155" s="681">
        <f t="shared" si="1946"/>
        <v>-3.1340840069590103</v>
      </c>
      <c r="DL1155" s="681">
        <f t="shared" si="1946"/>
        <v>-32.901960912631708</v>
      </c>
      <c r="DM1155" s="681">
        <f t="shared" si="1946"/>
        <v>27.74647742654739</v>
      </c>
      <c r="DN1155" s="681">
        <f t="shared" si="1946"/>
        <v>48.548934250210294</v>
      </c>
      <c r="DO1155" s="681">
        <f t="shared" si="1946"/>
        <v>-22.130719105574489</v>
      </c>
      <c r="DP1155" s="681">
        <f t="shared" si="1946"/>
        <v>1.6157589784163662</v>
      </c>
      <c r="DQ1155" s="681">
        <f t="shared" si="1946"/>
        <v>-51.080445879387796</v>
      </c>
      <c r="DR1155" s="681">
        <f t="shared" si="1946"/>
        <v>-0.44943958824041319</v>
      </c>
      <c r="DS1155" s="681">
        <f t="shared" si="1946"/>
        <v>19.331369006530817</v>
      </c>
      <c r="DT1155" s="681">
        <f t="shared" si="1946"/>
        <v>-49.316622722373367</v>
      </c>
      <c r="DU1155" s="681">
        <f t="shared" si="1946"/>
        <v>-1.9740807994948575</v>
      </c>
      <c r="DV1155" s="681">
        <f t="shared" si="1946"/>
        <v>56.809879230220943</v>
      </c>
      <c r="DW1155" s="681">
        <f t="shared" si="1946"/>
        <v>-7.4608903386428134</v>
      </c>
      <c r="DX1155" s="681">
        <f t="shared" si="1946"/>
        <v>7.3313522337679933</v>
      </c>
      <c r="DY1155" s="681">
        <f t="shared" si="1946"/>
        <v>42.165568500280806</v>
      </c>
      <c r="DZ1155" s="681">
        <f t="shared" si="1946"/>
        <v>43.362748058465783</v>
      </c>
      <c r="EA1155" s="681">
        <f t="shared" si="1946"/>
        <v>17.488664627597313</v>
      </c>
      <c r="EB1155" s="681">
        <f t="shared" si="1946"/>
        <v>26.939336042583211</v>
      </c>
      <c r="EC1155" s="681">
        <f t="shared" ref="EC1155:EX1155" si="1947">+EC598</f>
        <v>-18.214452912902377</v>
      </c>
      <c r="ED1155" s="681">
        <f t="shared" si="1947"/>
        <v>-7.5839176183990133</v>
      </c>
      <c r="EE1155" s="681">
        <f t="shared" si="1947"/>
        <v>2.9051516312687502</v>
      </c>
      <c r="EF1155" s="681">
        <f t="shared" si="1947"/>
        <v>-101.05358512258212</v>
      </c>
      <c r="EG1155" s="681">
        <f t="shared" si="1947"/>
        <v>56.093769017116827</v>
      </c>
      <c r="EH1155" s="681">
        <f t="shared" si="1947"/>
        <v>23.651856150884328</v>
      </c>
      <c r="EI1155" s="681">
        <f t="shared" si="1947"/>
        <v>-4.7204533158679673</v>
      </c>
      <c r="EJ1155" s="681">
        <f t="shared" si="1947"/>
        <v>-2.4002334222471133</v>
      </c>
      <c r="EK1155" s="681">
        <f t="shared" si="1947"/>
        <v>49.922034675093187</v>
      </c>
      <c r="EL1155" s="681">
        <f t="shared" si="1947"/>
        <v>16.300420027978983</v>
      </c>
      <c r="EM1155" s="681">
        <f t="shared" si="1947"/>
        <v>3.7327246438775337</v>
      </c>
      <c r="EN1155" s="681">
        <f t="shared" si="1947"/>
        <v>-15.68152072563775</v>
      </c>
      <c r="EO1155" s="681">
        <f t="shared" si="1947"/>
        <v>-13.802454912438574</v>
      </c>
      <c r="EP1155" s="681">
        <f t="shared" si="1947"/>
        <v>50.297001710504126</v>
      </c>
      <c r="EQ1155" s="681">
        <f t="shared" si="1947"/>
        <v>10.380202150231902</v>
      </c>
      <c r="ER1155" s="681">
        <f t="shared" si="1947"/>
        <v>-225.37732236665005</v>
      </c>
      <c r="ES1155" s="681">
        <f t="shared" si="1947"/>
        <v>46.759666343014977</v>
      </c>
      <c r="ET1155" s="681">
        <f t="shared" si="1947"/>
        <v>30.027595411034643</v>
      </c>
      <c r="EU1155" s="681">
        <f t="shared" si="1947"/>
        <v>36.192516067742069</v>
      </c>
      <c r="EV1155" s="681">
        <f t="shared" si="1947"/>
        <v>35.922027015515511</v>
      </c>
      <c r="EW1155" s="681">
        <f t="shared" si="1947"/>
        <v>35.585495105314209</v>
      </c>
      <c r="EX1155" s="681">
        <f t="shared" si="1947"/>
        <v>-0.46958969319274002</v>
      </c>
      <c r="EY1155" s="1860">
        <f t="shared" ref="EY1155:GD1155" si="1948">-EY859+EY899</f>
        <v>-22.874647750153898</v>
      </c>
      <c r="EZ1155" s="681">
        <f t="shared" si="1948"/>
        <v>-9.1041947153639455</v>
      </c>
      <c r="FA1155" s="681">
        <f t="shared" si="1948"/>
        <v>-17.7099724885867</v>
      </c>
      <c r="FB1155" s="681">
        <f t="shared" si="1948"/>
        <v>-10.152420383542335</v>
      </c>
      <c r="FC1155" s="681">
        <f t="shared" si="1948"/>
        <v>38.992015932085479</v>
      </c>
      <c r="FD1155" s="681">
        <f t="shared" si="1948"/>
        <v>-110.78169185472626</v>
      </c>
      <c r="FE1155" s="681">
        <f t="shared" si="1948"/>
        <v>6.6379197611938139</v>
      </c>
      <c r="FF1155" s="681">
        <f t="shared" si="1948"/>
        <v>66.917091749308099</v>
      </c>
      <c r="FG1155" s="681">
        <f t="shared" si="1948"/>
        <v>41.596143776193173</v>
      </c>
      <c r="FH1155" s="681">
        <f t="shared" si="1948"/>
        <v>-72.7778296937569</v>
      </c>
      <c r="FI1155" s="681">
        <f t="shared" si="1948"/>
        <v>87.703867425001363</v>
      </c>
      <c r="FJ1155" s="681">
        <f t="shared" si="1948"/>
        <v>-124.71123972985319</v>
      </c>
      <c r="FK1155" s="681">
        <f t="shared" si="1948"/>
        <v>-121.53956809261769</v>
      </c>
      <c r="FL1155" s="681">
        <f t="shared" si="1948"/>
        <v>9.1145594561838834</v>
      </c>
      <c r="FM1155" s="681">
        <f t="shared" si="1948"/>
        <v>-94.508816976651758</v>
      </c>
      <c r="FN1155" s="681">
        <f t="shared" si="1948"/>
        <v>15.222634063051117</v>
      </c>
      <c r="FO1155" s="681">
        <f t="shared" si="1948"/>
        <v>86.286309625193894</v>
      </c>
      <c r="FP1155" s="681">
        <f t="shared" si="1948"/>
        <v>-122.19648047045075</v>
      </c>
      <c r="FQ1155" s="681">
        <f t="shared" si="1948"/>
        <v>48.498379113094472</v>
      </c>
      <c r="FR1155" s="681">
        <f t="shared" si="1948"/>
        <v>96.940465186500717</v>
      </c>
      <c r="FS1155" s="681">
        <f t="shared" si="1948"/>
        <v>-43.393772801644673</v>
      </c>
      <c r="FT1155" s="681">
        <f t="shared" si="1948"/>
        <v>-48.126873886548537</v>
      </c>
      <c r="FU1155" s="681">
        <f t="shared" si="1948"/>
        <v>92.691488708293775</v>
      </c>
      <c r="FV1155" s="681">
        <f t="shared" si="1948"/>
        <v>160.83537507320364</v>
      </c>
      <c r="FW1155" s="681">
        <f t="shared" si="1948"/>
        <v>-90.137744616155771</v>
      </c>
      <c r="FX1155" s="681">
        <f t="shared" si="1948"/>
        <v>-176.73753636965807</v>
      </c>
      <c r="FY1155" s="681">
        <f t="shared" si="1948"/>
        <v>128.74338969451946</v>
      </c>
      <c r="FZ1155" s="681">
        <f t="shared" si="1948"/>
        <v>24.349591436418336</v>
      </c>
      <c r="GA1155" s="681">
        <f t="shared" si="1948"/>
        <v>40.786015999976087</v>
      </c>
      <c r="GB1155" s="681">
        <f t="shared" si="1948"/>
        <v>-24.211328426225293</v>
      </c>
      <c r="GC1155" s="681">
        <f t="shared" si="1948"/>
        <v>128.48696695392704</v>
      </c>
      <c r="GD1155" s="681">
        <f t="shared" si="1948"/>
        <v>75.288567285679449</v>
      </c>
      <c r="GE1155" s="681">
        <f t="shared" ref="GE1155:HL1155" si="1949">-GE859+GE899</f>
        <v>-169.93827472271408</v>
      </c>
      <c r="GF1155" s="681">
        <f t="shared" si="1949"/>
        <v>-1.2935413788548544</v>
      </c>
      <c r="GG1155" s="681">
        <f t="shared" si="1949"/>
        <v>-38.999985086299432</v>
      </c>
      <c r="GH1155" s="681">
        <f t="shared" si="1949"/>
        <v>91.352207961768386</v>
      </c>
      <c r="GI1155" s="681">
        <f t="shared" si="1949"/>
        <v>4.2060574652706464</v>
      </c>
      <c r="GJ1155" s="681">
        <f t="shared" si="1949"/>
        <v>174.55093141409645</v>
      </c>
      <c r="GK1155" s="681">
        <f t="shared" si="1949"/>
        <v>62.523809034533201</v>
      </c>
      <c r="GL1155" s="681">
        <f t="shared" si="1949"/>
        <v>44.905737254646738</v>
      </c>
      <c r="GM1155" s="681">
        <f t="shared" si="1949"/>
        <v>47.552312423972865</v>
      </c>
      <c r="GN1155" s="681">
        <f t="shared" si="1949"/>
        <v>-118.16628300480807</v>
      </c>
      <c r="GO1155" s="681">
        <f t="shared" si="1949"/>
        <v>133.20077992192864</v>
      </c>
      <c r="GP1155" s="681">
        <f t="shared" si="1949"/>
        <v>54.122906614089914</v>
      </c>
      <c r="GQ1155" s="681">
        <f t="shared" si="1949"/>
        <v>-227.73292680876921</v>
      </c>
      <c r="GR1155" s="681">
        <f t="shared" si="1949"/>
        <v>-128.26596650338394</v>
      </c>
      <c r="GS1155" s="681">
        <f t="shared" si="1949"/>
        <v>35.768962422261893</v>
      </c>
      <c r="GT1155" s="681">
        <f t="shared" si="1949"/>
        <v>37.380344108487975</v>
      </c>
      <c r="GU1155" s="681">
        <f t="shared" si="1949"/>
        <v>143.89134619007302</v>
      </c>
      <c r="GV1155" s="681">
        <f t="shared" si="1949"/>
        <v>99.968323377379988</v>
      </c>
      <c r="GW1155" s="681">
        <f t="shared" si="1949"/>
        <v>5.068805272198631</v>
      </c>
      <c r="GX1155" s="681">
        <f t="shared" si="1949"/>
        <v>58.269105147329128</v>
      </c>
      <c r="GY1155" s="681">
        <f t="shared" si="1949"/>
        <v>-39.614485627810154</v>
      </c>
      <c r="GZ1155" s="681">
        <f t="shared" si="1949"/>
        <v>-316.38817347122261</v>
      </c>
      <c r="HA1155" s="681">
        <f t="shared" si="1949"/>
        <v>236.20295545331084</v>
      </c>
      <c r="HB1155" s="681">
        <f t="shared" si="1949"/>
        <v>94.885802486702062</v>
      </c>
      <c r="HC1155" s="681">
        <f t="shared" si="1949"/>
        <v>-93.352089128735543</v>
      </c>
      <c r="HD1155" s="681">
        <f t="shared" si="1949"/>
        <v>-20.934487917201579</v>
      </c>
      <c r="HE1155" s="681">
        <f t="shared" si="1949"/>
        <v>70.327465740452681</v>
      </c>
      <c r="HF1155" s="681">
        <f t="shared" si="1949"/>
        <v>-172.49852065027028</v>
      </c>
      <c r="HG1155" s="681">
        <f t="shared" si="1949"/>
        <v>116.75390353751931</v>
      </c>
      <c r="HH1155" s="681">
        <f t="shared" si="1949"/>
        <v>135.18326938049182</v>
      </c>
      <c r="HI1155" s="681">
        <f t="shared" si="1949"/>
        <v>14.384679036235696</v>
      </c>
      <c r="HJ1155" s="681">
        <f t="shared" si="1949"/>
        <v>50.620562970893047</v>
      </c>
      <c r="HK1155" s="681">
        <f t="shared" si="1949"/>
        <v>30.160539949075599</v>
      </c>
      <c r="HL1155" s="681">
        <f t="shared" si="1949"/>
        <v>-779.99580776010851</v>
      </c>
    </row>
    <row r="1156" spans="4:220" ht="17.25" customHeight="1">
      <c r="D1156" s="1235" t="s">
        <v>876</v>
      </c>
      <c r="E1156" s="681">
        <f t="shared" ref="E1156:AJ1156" si="1950">E610</f>
        <v>1.5446500000000001</v>
      </c>
      <c r="F1156" s="681">
        <f t="shared" si="1950"/>
        <v>-1.4620000000000005E-2</v>
      </c>
      <c r="G1156" s="681">
        <f t="shared" si="1950"/>
        <v>3.7025000000000001</v>
      </c>
      <c r="H1156" s="681">
        <f t="shared" si="1950"/>
        <v>-0.69927000000000006</v>
      </c>
      <c r="I1156" s="681">
        <f t="shared" si="1950"/>
        <v>-2.84707</v>
      </c>
      <c r="J1156" s="681">
        <f t="shared" si="1950"/>
        <v>-4.02006</v>
      </c>
      <c r="K1156" s="681">
        <f t="shared" si="1950"/>
        <v>-1.10934</v>
      </c>
      <c r="L1156" s="681">
        <f t="shared" si="1950"/>
        <v>-0.87460000000000004</v>
      </c>
      <c r="M1156" s="681">
        <f t="shared" si="1950"/>
        <v>-3.5034000000000001</v>
      </c>
      <c r="N1156" s="681">
        <f t="shared" si="1950"/>
        <v>-0.97641000000000011</v>
      </c>
      <c r="O1156" s="681">
        <f t="shared" si="1950"/>
        <v>1.80935</v>
      </c>
      <c r="P1156" s="681">
        <f t="shared" si="1950"/>
        <v>-5.3193199999999994</v>
      </c>
      <c r="Q1156" s="681">
        <f t="shared" si="1950"/>
        <v>-5.0225</v>
      </c>
      <c r="R1156" s="681">
        <f t="shared" si="1950"/>
        <v>-2.7543699999999998</v>
      </c>
      <c r="S1156" s="681">
        <f t="shared" si="1950"/>
        <v>0.96004000000000012</v>
      </c>
      <c r="T1156" s="681">
        <f t="shared" si="1950"/>
        <v>-0.12595000000000003</v>
      </c>
      <c r="U1156" s="681">
        <f t="shared" si="1950"/>
        <v>-0.46615000000000006</v>
      </c>
      <c r="V1156" s="681">
        <f t="shared" si="1950"/>
        <v>4.5327431620000009</v>
      </c>
      <c r="W1156" s="681">
        <f t="shared" si="1950"/>
        <v>-1.6704100000000002</v>
      </c>
      <c r="X1156" s="681">
        <f t="shared" si="1950"/>
        <v>1.3991800000000001</v>
      </c>
      <c r="Y1156" s="681">
        <f t="shared" si="1950"/>
        <v>-2.9094699999999998</v>
      </c>
      <c r="Z1156" s="681">
        <f t="shared" si="1950"/>
        <v>-6.6022600000000002</v>
      </c>
      <c r="AA1156" s="681">
        <f t="shared" si="1950"/>
        <v>2.0030000000000001</v>
      </c>
      <c r="AB1156" s="681">
        <f t="shared" si="1950"/>
        <v>-5.0388600000000006</v>
      </c>
      <c r="AC1156" s="681">
        <f t="shared" si="1950"/>
        <v>-0.9</v>
      </c>
      <c r="AD1156" s="681">
        <f t="shared" si="1950"/>
        <v>-0.2</v>
      </c>
      <c r="AE1156" s="681">
        <f t="shared" si="1950"/>
        <v>-1.4</v>
      </c>
      <c r="AF1156" s="681">
        <f t="shared" si="1950"/>
        <v>-1.93472</v>
      </c>
      <c r="AG1156" s="681">
        <f t="shared" si="1950"/>
        <v>-0.83784000000000003</v>
      </c>
      <c r="AH1156" s="681">
        <f t="shared" si="1950"/>
        <v>-3.9935600000000004</v>
      </c>
      <c r="AI1156" s="681">
        <f t="shared" si="1950"/>
        <v>-1.0940399999999999</v>
      </c>
      <c r="AJ1156" s="681">
        <f t="shared" si="1950"/>
        <v>-2.88862</v>
      </c>
      <c r="AK1156" s="681">
        <f t="shared" ref="AK1156:BP1156" si="1951">AK610</f>
        <v>-0.54108000000000001</v>
      </c>
      <c r="AL1156" s="681">
        <f t="shared" si="1951"/>
        <v>-1.1647100000000001</v>
      </c>
      <c r="AM1156" s="681">
        <f t="shared" si="1951"/>
        <v>-0.27212000000000003</v>
      </c>
      <c r="AN1156" s="681">
        <f t="shared" si="1951"/>
        <v>-3.7279100000000001</v>
      </c>
      <c r="AO1156" s="681">
        <f t="shared" si="1951"/>
        <v>-0.53528999999999993</v>
      </c>
      <c r="AP1156" s="681">
        <f t="shared" si="1951"/>
        <v>-3.9380000000000002</v>
      </c>
      <c r="AQ1156" s="681">
        <f t="shared" si="1951"/>
        <v>-3.09334</v>
      </c>
      <c r="AR1156" s="681">
        <f t="shared" si="1951"/>
        <v>-1.8817200000000001</v>
      </c>
      <c r="AS1156" s="681">
        <f t="shared" si="1951"/>
        <v>3.6420000000000001E-2</v>
      </c>
      <c r="AT1156" s="681">
        <f t="shared" si="1951"/>
        <v>-0.93137999999999987</v>
      </c>
      <c r="AU1156" s="681">
        <f t="shared" si="1951"/>
        <v>-2.27536</v>
      </c>
      <c r="AV1156" s="681">
        <f t="shared" si="1951"/>
        <v>-0.19690999999999997</v>
      </c>
      <c r="AW1156" s="681">
        <f t="shared" si="1951"/>
        <v>1.25508</v>
      </c>
      <c r="AX1156" s="681">
        <f t="shared" si="1951"/>
        <v>-1.0966200000000002</v>
      </c>
      <c r="AY1156" s="681">
        <f t="shared" si="1951"/>
        <v>0.18771999999999991</v>
      </c>
      <c r="AZ1156" s="681">
        <f t="shared" si="1951"/>
        <v>-1.5063299999999999</v>
      </c>
      <c r="BA1156" s="681">
        <f t="shared" si="1951"/>
        <v>-1.77075</v>
      </c>
      <c r="BB1156" s="681">
        <f t="shared" si="1951"/>
        <v>-7.9225799999999991</v>
      </c>
      <c r="BC1156" s="681">
        <f t="shared" si="1951"/>
        <v>-0.84974000000000016</v>
      </c>
      <c r="BD1156" s="681">
        <f t="shared" si="1951"/>
        <v>-3.6012</v>
      </c>
      <c r="BE1156" s="681">
        <f t="shared" si="1951"/>
        <v>-0.73443000000000003</v>
      </c>
      <c r="BF1156" s="681">
        <f t="shared" si="1951"/>
        <v>-1.1054800000000002</v>
      </c>
      <c r="BG1156" s="681">
        <f t="shared" si="1951"/>
        <v>-1.6372280000000001</v>
      </c>
      <c r="BH1156" s="681">
        <f t="shared" si="1951"/>
        <v>-1.5547900000000001</v>
      </c>
      <c r="BI1156" s="681">
        <f t="shared" si="1951"/>
        <v>0.13500000000000001</v>
      </c>
      <c r="BJ1156" s="681">
        <f t="shared" si="1951"/>
        <v>-0.63022596600000003</v>
      </c>
      <c r="BK1156" s="681">
        <f t="shared" si="1951"/>
        <v>0.749320863</v>
      </c>
      <c r="BL1156" s="681">
        <f t="shared" si="1951"/>
        <v>-1.4891595820000001</v>
      </c>
      <c r="BM1156" s="681">
        <f t="shared" si="1951"/>
        <v>-3.3858699999999997</v>
      </c>
      <c r="BN1156" s="681">
        <f t="shared" si="1951"/>
        <v>-2.7693400000000001</v>
      </c>
      <c r="BO1156" s="681">
        <f t="shared" si="1951"/>
        <v>-2.18188</v>
      </c>
      <c r="BP1156" s="681">
        <f t="shared" si="1951"/>
        <v>-2.5423800000000001</v>
      </c>
      <c r="BQ1156" s="681">
        <f t="shared" ref="BQ1156:CV1156" si="1952">BQ610</f>
        <v>-1.7143699999999999</v>
      </c>
      <c r="BR1156" s="681">
        <f t="shared" si="1952"/>
        <v>-5.8809400000000007</v>
      </c>
      <c r="BS1156" s="681">
        <f t="shared" si="1952"/>
        <v>-0.76349999999999996</v>
      </c>
      <c r="BT1156" s="681">
        <f t="shared" si="1952"/>
        <v>12.0663</v>
      </c>
      <c r="BU1156" s="681">
        <f t="shared" si="1952"/>
        <v>6.2743000000000002</v>
      </c>
      <c r="BV1156" s="681">
        <f t="shared" si="1952"/>
        <v>0</v>
      </c>
      <c r="BW1156" s="681">
        <f t="shared" si="1952"/>
        <v>0</v>
      </c>
      <c r="BX1156" s="681">
        <f t="shared" si="1952"/>
        <v>0</v>
      </c>
      <c r="BY1156" s="681">
        <f t="shared" si="1952"/>
        <v>0</v>
      </c>
      <c r="BZ1156" s="681">
        <f t="shared" si="1952"/>
        <v>0</v>
      </c>
      <c r="CA1156" s="681">
        <f t="shared" si="1952"/>
        <v>0</v>
      </c>
      <c r="CB1156" s="681">
        <f t="shared" si="1952"/>
        <v>0</v>
      </c>
      <c r="CC1156" s="681">
        <f t="shared" si="1952"/>
        <v>0</v>
      </c>
      <c r="CD1156" s="681">
        <f t="shared" si="1952"/>
        <v>0</v>
      </c>
      <c r="CE1156" s="681">
        <f t="shared" si="1952"/>
        <v>-7.9970229590000264</v>
      </c>
      <c r="CF1156" s="681">
        <f t="shared" si="1952"/>
        <v>-12.793651817000004</v>
      </c>
      <c r="CG1156" s="681">
        <f t="shared" si="1952"/>
        <v>6.0645420180000009</v>
      </c>
      <c r="CH1156" s="681">
        <f t="shared" si="1952"/>
        <v>-12.472275056999999</v>
      </c>
      <c r="CI1156" s="681">
        <f t="shared" si="1952"/>
        <v>-5.4014813710000027</v>
      </c>
      <c r="CJ1156" s="681">
        <f t="shared" si="1952"/>
        <v>-3.9224582569999984</v>
      </c>
      <c r="CK1156" s="681">
        <f t="shared" si="1952"/>
        <v>0.13948036199999869</v>
      </c>
      <c r="CL1156" s="681">
        <f t="shared" si="1952"/>
        <v>6.5064000000000011</v>
      </c>
      <c r="CM1156" s="681">
        <f t="shared" si="1952"/>
        <v>-5.3870247939999967</v>
      </c>
      <c r="CN1156" s="681">
        <f t="shared" si="1952"/>
        <v>-0.95571863300000004</v>
      </c>
      <c r="CO1156" s="681">
        <f t="shared" si="1952"/>
        <v>9.2343999999999991</v>
      </c>
      <c r="CP1156" s="681">
        <f t="shared" si="1952"/>
        <v>-3.7926579819999997</v>
      </c>
      <c r="CQ1156" s="681">
        <f t="shared" si="1952"/>
        <v>-0.28826511620255502</v>
      </c>
      <c r="CR1156" s="681">
        <f t="shared" si="1952"/>
        <v>8.2294999999999998</v>
      </c>
      <c r="CS1156" s="681">
        <f t="shared" si="1952"/>
        <v>-1.3861579820000001</v>
      </c>
      <c r="CT1156" s="681">
        <f t="shared" si="1952"/>
        <v>3.2993390698449137</v>
      </c>
      <c r="CU1156" s="681">
        <f t="shared" si="1952"/>
        <v>7.084100000000003</v>
      </c>
      <c r="CV1156" s="681">
        <f t="shared" si="1952"/>
        <v>-1.073357981999999</v>
      </c>
      <c r="CW1156" s="681">
        <f t="shared" ref="CW1156:EB1156" si="1953">CW610</f>
        <v>-2.9510079417820263</v>
      </c>
      <c r="CX1156" s="681">
        <f t="shared" si="1953"/>
        <v>7.7061999999999991</v>
      </c>
      <c r="CY1156" s="681">
        <f t="shared" si="1953"/>
        <v>-8.4300000000000319E-2</v>
      </c>
      <c r="CZ1156" s="681">
        <f t="shared" si="1953"/>
        <v>-1.0044080410543001</v>
      </c>
      <c r="DA1156" s="681">
        <f t="shared" si="1953"/>
        <v>7.8123999999999985</v>
      </c>
      <c r="DB1156" s="681">
        <f t="shared" si="1953"/>
        <v>-0.80925797399999999</v>
      </c>
      <c r="DC1156" s="681">
        <f t="shared" si="1953"/>
        <v>-4.5324631415674794</v>
      </c>
      <c r="DD1156" s="681">
        <f t="shared" si="1953"/>
        <v>5.4028999999999998</v>
      </c>
      <c r="DE1156" s="681">
        <f t="shared" si="1953"/>
        <v>-0.88775798200000045</v>
      </c>
      <c r="DF1156" s="681">
        <f t="shared" si="1953"/>
        <v>-1.1786751808370697</v>
      </c>
      <c r="DG1156" s="681">
        <f t="shared" si="1953"/>
        <v>4.3503000000000043</v>
      </c>
      <c r="DH1156" s="681">
        <f t="shared" si="1953"/>
        <v>4.2070797710000001</v>
      </c>
      <c r="DI1156" s="681">
        <f t="shared" si="1953"/>
        <v>5.1854538799999998</v>
      </c>
      <c r="DJ1156" s="681">
        <f t="shared" si="1953"/>
        <v>8.7312999999999832</v>
      </c>
      <c r="DK1156" s="681">
        <f t="shared" si="1953"/>
        <v>0.28000000000000114</v>
      </c>
      <c r="DL1156" s="681">
        <f t="shared" si="1953"/>
        <v>11.222922052894996</v>
      </c>
      <c r="DM1156" s="681">
        <f t="shared" si="1953"/>
        <v>8.0632999999999981</v>
      </c>
      <c r="DN1156" s="681">
        <f t="shared" si="1953"/>
        <v>6.8730000000000011</v>
      </c>
      <c r="DO1156" s="681">
        <f t="shared" si="1953"/>
        <v>2.5929376351340894</v>
      </c>
      <c r="DP1156" s="681">
        <f t="shared" si="1953"/>
        <v>21.015247967000015</v>
      </c>
      <c r="DQ1156" s="681">
        <f t="shared" si="1953"/>
        <v>5.8203736469999976</v>
      </c>
      <c r="DR1156" s="681">
        <f t="shared" si="1953"/>
        <v>5.9876888881631389</v>
      </c>
      <c r="DS1156" s="681">
        <f t="shared" si="1953"/>
        <v>9.3489336149999929</v>
      </c>
      <c r="DT1156" s="681">
        <f t="shared" si="1953"/>
        <v>-5.2444954929999943</v>
      </c>
      <c r="DU1156" s="681">
        <f t="shared" si="1953"/>
        <v>5.519976130462255</v>
      </c>
      <c r="DV1156" s="681">
        <f t="shared" si="1953"/>
        <v>5.620087768000003</v>
      </c>
      <c r="DW1156" s="681">
        <f t="shared" si="1953"/>
        <v>-4.1149846369999992</v>
      </c>
      <c r="DX1156" s="681">
        <f t="shared" si="1953"/>
        <v>5.1006321740668881E-2</v>
      </c>
      <c r="DY1156" s="681">
        <f t="shared" si="1953"/>
        <v>6.9359000000000037</v>
      </c>
      <c r="DZ1156" s="681">
        <f t="shared" si="1953"/>
        <v>-12.342832052422075</v>
      </c>
      <c r="EA1156" s="681">
        <f t="shared" si="1953"/>
        <v>-15.851021655275062</v>
      </c>
      <c r="EB1156" s="681">
        <f t="shared" si="1953"/>
        <v>-0.26779999999999538</v>
      </c>
      <c r="EC1156" s="681">
        <f t="shared" ref="EC1156:EX1156" si="1954">EC610</f>
        <v>-6.5678439215778273</v>
      </c>
      <c r="ED1156" s="681">
        <f t="shared" si="1954"/>
        <v>-6.5429619260000047</v>
      </c>
      <c r="EE1156" s="681">
        <f t="shared" si="1954"/>
        <v>2.8764000000000181</v>
      </c>
      <c r="EF1156" s="681">
        <f t="shared" si="1954"/>
        <v>1.7313999939999976</v>
      </c>
      <c r="EG1156" s="681">
        <f t="shared" si="1954"/>
        <v>18.4838222999999</v>
      </c>
      <c r="EH1156" s="681">
        <f t="shared" si="1954"/>
        <v>-13.457299999999982</v>
      </c>
      <c r="EI1156" s="681">
        <f t="shared" si="1954"/>
        <v>0.52939999999999543</v>
      </c>
      <c r="EJ1156" s="681">
        <f t="shared" si="1954"/>
        <v>20.452328829000017</v>
      </c>
      <c r="EK1156" s="681">
        <f t="shared" si="1954"/>
        <v>-1.7375445670000147</v>
      </c>
      <c r="EL1156" s="681">
        <f t="shared" si="1954"/>
        <v>24.838800000000006</v>
      </c>
      <c r="EM1156" s="681">
        <f t="shared" si="1954"/>
        <v>0.29065543299999774</v>
      </c>
      <c r="EN1156" s="681">
        <f t="shared" si="1954"/>
        <v>-0.32800000000001006</v>
      </c>
      <c r="EO1156" s="681">
        <f t="shared" si="1954"/>
        <v>12.944899999999954</v>
      </c>
      <c r="EP1156" s="681">
        <f t="shared" si="1954"/>
        <v>16.181999882000017</v>
      </c>
      <c r="EQ1156" s="681">
        <f t="shared" si="1954"/>
        <v>-3.0241999999999649</v>
      </c>
      <c r="ER1156" s="681">
        <f t="shared" si="1954"/>
        <v>20.035399999999996</v>
      </c>
      <c r="ES1156" s="681">
        <f t="shared" si="1954"/>
        <v>-3.6547000000000054</v>
      </c>
      <c r="ET1156" s="681">
        <f t="shared" si="1954"/>
        <v>19.686799999999991</v>
      </c>
      <c r="EU1156" s="681">
        <f t="shared" si="1954"/>
        <v>-1.7055000000000007</v>
      </c>
      <c r="EV1156" s="681">
        <f t="shared" si="1954"/>
        <v>-4.2007421409999921</v>
      </c>
      <c r="EW1156" s="681">
        <f t="shared" si="1954"/>
        <v>-2.6754899699999832</v>
      </c>
      <c r="EX1156" s="681">
        <f t="shared" si="1954"/>
        <v>13.355551886999992</v>
      </c>
      <c r="EY1156" s="1860">
        <f>+EY1154-EY1155</f>
        <v>40.511326699166716</v>
      </c>
      <c r="EZ1156" s="681">
        <f t="shared" ref="EZ1156:FJ1156" si="1955">+EZ1154-EZ1155</f>
        <v>23.685268134166684</v>
      </c>
      <c r="FA1156" s="681">
        <f t="shared" si="1955"/>
        <v>50.213094945166695</v>
      </c>
      <c r="FB1156" s="681">
        <f t="shared" si="1955"/>
        <v>-39.836931193833408</v>
      </c>
      <c r="FC1156" s="681">
        <f t="shared" si="1955"/>
        <v>45.948963521166775</v>
      </c>
      <c r="FD1156" s="681">
        <f t="shared" si="1955"/>
        <v>-59.062705226833287</v>
      </c>
      <c r="FE1156" s="681">
        <f t="shared" si="1955"/>
        <v>0.23880048300001988</v>
      </c>
      <c r="FF1156" s="681">
        <f t="shared" si="1955"/>
        <v>-9.2291615470000181</v>
      </c>
      <c r="FG1156" s="681">
        <f t="shared" si="1955"/>
        <v>6.4556151380000415</v>
      </c>
      <c r="FH1156" s="681">
        <f t="shared" si="1955"/>
        <v>-1.2234641080000301</v>
      </c>
      <c r="FI1156" s="681">
        <f t="shared" si="1955"/>
        <v>61.658181259999992</v>
      </c>
      <c r="FJ1156" s="681">
        <f t="shared" si="1955"/>
        <v>-94.665104052999965</v>
      </c>
      <c r="FK1156" s="681">
        <f>+FK1154-FK1155</f>
        <v>109.24151367999997</v>
      </c>
      <c r="FL1156" s="681">
        <f>+FL1154-FL1155</f>
        <v>28.035089406999987</v>
      </c>
      <c r="FM1156" s="681">
        <f>+FM1154-FM1155</f>
        <v>28.145727494999974</v>
      </c>
      <c r="FN1156" s="681">
        <f>+FN1154-FN1155</f>
        <v>8.1152333759999777</v>
      </c>
      <c r="FO1156" s="681">
        <f>+FO1154-FO1155</f>
        <v>27.603330151000023</v>
      </c>
      <c r="FP1156" s="681">
        <f t="shared" ref="FP1156:FV1156" si="1956">+FP1154-FP1155</f>
        <v>54.219904389000007</v>
      </c>
      <c r="FQ1156" s="681">
        <f t="shared" si="1956"/>
        <v>44.139310707999996</v>
      </c>
      <c r="FR1156" s="681">
        <f t="shared" si="1956"/>
        <v>8.2778580639999433</v>
      </c>
      <c r="FS1156" s="681">
        <f t="shared" si="1956"/>
        <v>-61.11802547249998</v>
      </c>
      <c r="FT1156" s="681">
        <f t="shared" si="1956"/>
        <v>-14.88655372800001</v>
      </c>
      <c r="FU1156" s="681">
        <f t="shared" si="1956"/>
        <v>108.83939675849999</v>
      </c>
      <c r="FV1156" s="681">
        <f t="shared" si="1956"/>
        <v>-210.13459962299999</v>
      </c>
      <c r="FW1156" s="681">
        <f t="shared" ref="FW1156:GC1156" si="1957">+FW1154-FW1155</f>
        <v>18.059574244000004</v>
      </c>
      <c r="FX1156" s="681">
        <f t="shared" si="1957"/>
        <v>-84.292830772000002</v>
      </c>
      <c r="FY1156" s="681">
        <f t="shared" si="1957"/>
        <v>57.650868954999993</v>
      </c>
      <c r="FZ1156" s="681">
        <f t="shared" si="1957"/>
        <v>66.327558105000023</v>
      </c>
      <c r="GA1156" s="681">
        <f t="shared" si="1957"/>
        <v>-10.886243626999999</v>
      </c>
      <c r="GB1156" s="681">
        <f t="shared" si="1957"/>
        <v>49.175288816000034</v>
      </c>
      <c r="GC1156" s="681">
        <f t="shared" si="1957"/>
        <v>22.528415184999915</v>
      </c>
      <c r="GD1156" s="681">
        <f t="shared" ref="GD1156:HL1156" si="1958">+GD1154-GD1155</f>
        <v>33.302084485999984</v>
      </c>
      <c r="GE1156" s="681">
        <f t="shared" si="1958"/>
        <v>-79.085697237999966</v>
      </c>
      <c r="GF1156" s="681">
        <f t="shared" si="1958"/>
        <v>4.6515685763333181</v>
      </c>
      <c r="GG1156" s="681">
        <f t="shared" si="1958"/>
        <v>-14.990807772666642</v>
      </c>
      <c r="GH1156" s="681">
        <f t="shared" si="1958"/>
        <v>-38.251211343094127</v>
      </c>
      <c r="GI1156" s="681">
        <f t="shared" si="1958"/>
        <v>5.9120000000000346</v>
      </c>
      <c r="GJ1156" s="681">
        <f t="shared" si="1958"/>
        <v>7.5800000000000125</v>
      </c>
      <c r="GK1156" s="681">
        <f t="shared" si="1958"/>
        <v>93.144749482999998</v>
      </c>
      <c r="GL1156" s="681">
        <f t="shared" si="1958"/>
        <v>24.131734999999992</v>
      </c>
      <c r="GM1156" s="681">
        <f t="shared" si="1958"/>
        <v>24.963300000000032</v>
      </c>
      <c r="GN1156" s="681">
        <f t="shared" si="1958"/>
        <v>85.123964668999875</v>
      </c>
      <c r="GO1156" s="681">
        <f t="shared" si="1958"/>
        <v>-128.53906187299992</v>
      </c>
      <c r="GP1156" s="681">
        <f t="shared" si="1958"/>
        <v>11.632199999999969</v>
      </c>
      <c r="GQ1156" s="681">
        <f t="shared" si="1958"/>
        <v>-88.309021524000059</v>
      </c>
      <c r="GR1156" s="681">
        <f t="shared" si="1958"/>
        <v>24.678400000000153</v>
      </c>
      <c r="GS1156" s="681">
        <f t="shared" si="1958"/>
        <v>8.4054393450000546</v>
      </c>
      <c r="GT1156" s="681">
        <f t="shared" si="1958"/>
        <v>31.400898809999973</v>
      </c>
      <c r="GU1156" s="681">
        <f t="shared" si="1958"/>
        <v>-47.619716428767262</v>
      </c>
      <c r="GV1156" s="681">
        <f t="shared" si="1958"/>
        <v>23.774435000000082</v>
      </c>
      <c r="GW1156" s="681">
        <f t="shared" si="1958"/>
        <v>2.4686400949999765</v>
      </c>
      <c r="GX1156" s="681">
        <f t="shared" si="1958"/>
        <v>22.491935000000012</v>
      </c>
      <c r="GY1156" s="681">
        <f t="shared" si="1958"/>
        <v>23.621541205999925</v>
      </c>
      <c r="GZ1156" s="681">
        <f t="shared" si="1958"/>
        <v>-29.209964997999862</v>
      </c>
      <c r="HA1156" s="681">
        <f t="shared" si="1958"/>
        <v>26.643200000000036</v>
      </c>
      <c r="HB1156" s="681">
        <f t="shared" si="1958"/>
        <v>36.767800000000022</v>
      </c>
      <c r="HC1156" s="681">
        <f t="shared" si="1958"/>
        <v>42.518939817000017</v>
      </c>
      <c r="HD1156" s="681">
        <f t="shared" si="1958"/>
        <v>8.1881999999999948</v>
      </c>
      <c r="HE1156" s="681">
        <f t="shared" si="1958"/>
        <v>-123.99469999999999</v>
      </c>
      <c r="HF1156" s="681">
        <f t="shared" si="1958"/>
        <v>-47.073719727681464</v>
      </c>
      <c r="HG1156" s="681">
        <f t="shared" si="1958"/>
        <v>-6.6537662630000085</v>
      </c>
      <c r="HH1156" s="681">
        <f t="shared" si="1958"/>
        <v>14.787999999999954</v>
      </c>
      <c r="HI1156" s="681">
        <f t="shared" si="1958"/>
        <v>6.7499369490000305</v>
      </c>
      <c r="HJ1156" s="681">
        <f t="shared" si="1958"/>
        <v>26.976000000000013</v>
      </c>
      <c r="HK1156" s="681">
        <f t="shared" si="1958"/>
        <v>-66.04510000000009</v>
      </c>
      <c r="HL1156" s="681">
        <f t="shared" si="1958"/>
        <v>33.605185604000098</v>
      </c>
    </row>
    <row r="1157" spans="4:220">
      <c r="D1157" s="117" t="s">
        <v>3286</v>
      </c>
      <c r="E1157" s="895">
        <f t="shared" ref="E1157:BP1157" si="1959">+E1132+E1138-E1141+(E1153+E1154)</f>
        <v>-10.6554</v>
      </c>
      <c r="F1157" s="895">
        <f t="shared" si="1959"/>
        <v>-5.8456100000000006</v>
      </c>
      <c r="G1157" s="895">
        <f t="shared" si="1959"/>
        <v>15.183399999999999</v>
      </c>
      <c r="H1157" s="895">
        <f t="shared" si="1959"/>
        <v>-9.8549799999999994</v>
      </c>
      <c r="I1157" s="895">
        <f t="shared" si="1959"/>
        <v>9.1612800000000014</v>
      </c>
      <c r="J1157" s="895">
        <f t="shared" si="1959"/>
        <v>7.0667899999999975</v>
      </c>
      <c r="K1157" s="895">
        <f t="shared" si="1959"/>
        <v>-21.487389999999998</v>
      </c>
      <c r="L1157" s="895">
        <f t="shared" si="1959"/>
        <v>1.3441399999999994</v>
      </c>
      <c r="M1157" s="895">
        <f t="shared" si="1959"/>
        <v>12.68139</v>
      </c>
      <c r="N1157" s="895">
        <f t="shared" si="1959"/>
        <v>1.6419499999999996</v>
      </c>
      <c r="O1157" s="895">
        <f t="shared" si="1959"/>
        <v>-2.2091200000000004</v>
      </c>
      <c r="P1157" s="895">
        <f t="shared" si="1959"/>
        <v>11.5212</v>
      </c>
      <c r="Q1157" s="895">
        <f t="shared" si="1959"/>
        <v>-12.82325</v>
      </c>
      <c r="R1157" s="895">
        <f t="shared" si="1959"/>
        <v>0.33188999999999957</v>
      </c>
      <c r="S1157" s="895">
        <f t="shared" si="1959"/>
        <v>6.0977400000000017</v>
      </c>
      <c r="T1157" s="895">
        <f t="shared" si="1959"/>
        <v>-9.3417400000000015</v>
      </c>
      <c r="U1157" s="895">
        <f t="shared" si="1959"/>
        <v>10.999739999999999</v>
      </c>
      <c r="V1157" s="895">
        <f t="shared" si="1959"/>
        <v>8.7369800000000026</v>
      </c>
      <c r="W1157" s="895">
        <f t="shared" si="1959"/>
        <v>-14.96668</v>
      </c>
      <c r="X1157" s="895">
        <f t="shared" si="1959"/>
        <v>-2.7358400000000067</v>
      </c>
      <c r="Y1157" s="895">
        <f t="shared" si="1959"/>
        <v>9.1756099999999989</v>
      </c>
      <c r="Z1157" s="895">
        <f t="shared" si="1959"/>
        <v>-22.001330000000003</v>
      </c>
      <c r="AA1157" s="895">
        <f t="shared" si="1959"/>
        <v>24.827919999999999</v>
      </c>
      <c r="AB1157" s="895">
        <f t="shared" si="1959"/>
        <v>9.7205100000000044</v>
      </c>
      <c r="AC1157" s="895">
        <f t="shared" si="1959"/>
        <v>0.87727999999999895</v>
      </c>
      <c r="AD1157" s="895">
        <f t="shared" si="1959"/>
        <v>0.53175000000000117</v>
      </c>
      <c r="AE1157" s="895">
        <f t="shared" si="1959"/>
        <v>0.56568999999999647</v>
      </c>
      <c r="AF1157" s="895">
        <f t="shared" si="1959"/>
        <v>1.858869999999996</v>
      </c>
      <c r="AG1157" s="895">
        <f t="shared" si="1959"/>
        <v>0.91006999999999927</v>
      </c>
      <c r="AH1157" s="895">
        <f t="shared" si="1959"/>
        <v>-44.297064720999984</v>
      </c>
      <c r="AI1157" s="895">
        <f t="shared" si="1959"/>
        <v>-44.021481557999991</v>
      </c>
      <c r="AJ1157" s="895">
        <f t="shared" si="1959"/>
        <v>-19.033910137000007</v>
      </c>
      <c r="AK1157" s="895">
        <f t="shared" si="1959"/>
        <v>-33.728308838999993</v>
      </c>
      <c r="AL1157" s="895">
        <f t="shared" si="1959"/>
        <v>-40.046186261999992</v>
      </c>
      <c r="AM1157" s="895">
        <f t="shared" si="1959"/>
        <v>-19.637219999999992</v>
      </c>
      <c r="AN1157" s="895">
        <f t="shared" si="1959"/>
        <v>9.0562999999999985</v>
      </c>
      <c r="AO1157" s="895">
        <f t="shared" si="1959"/>
        <v>-21.638860000000001</v>
      </c>
      <c r="AP1157" s="895">
        <f t="shared" si="1959"/>
        <v>-2.7073199999999957</v>
      </c>
      <c r="AQ1157" s="895">
        <f t="shared" si="1959"/>
        <v>6.5569200000000141</v>
      </c>
      <c r="AR1157" s="895">
        <f t="shared" si="1959"/>
        <v>-7.6063799999999979</v>
      </c>
      <c r="AS1157" s="895">
        <f t="shared" si="1959"/>
        <v>-17.792059999999996</v>
      </c>
      <c r="AT1157" s="895">
        <f t="shared" si="1959"/>
        <v>49.276220000000009</v>
      </c>
      <c r="AU1157" s="895">
        <f t="shared" si="1959"/>
        <v>-5.9402000000000008</v>
      </c>
      <c r="AV1157" s="895">
        <f t="shared" si="1959"/>
        <v>0.78819999999999624</v>
      </c>
      <c r="AW1157" s="895">
        <f t="shared" si="1959"/>
        <v>-0.17479999999999762</v>
      </c>
      <c r="AX1157" s="895">
        <f t="shared" si="1959"/>
        <v>15.133499999999998</v>
      </c>
      <c r="AY1157" s="895">
        <f t="shared" si="1959"/>
        <v>-5.4844000000000008</v>
      </c>
      <c r="AZ1157" s="895">
        <f t="shared" si="1959"/>
        <v>2.8403000000000027</v>
      </c>
      <c r="BA1157" s="895">
        <f t="shared" si="1959"/>
        <v>-27.045399999999997</v>
      </c>
      <c r="BB1157" s="895">
        <f t="shared" si="1959"/>
        <v>-0.25485000000000024</v>
      </c>
      <c r="BC1157" s="895">
        <f t="shared" si="1959"/>
        <v>2.4120500000000007</v>
      </c>
      <c r="BD1157" s="895">
        <f t="shared" si="1959"/>
        <v>-16.939349999999997</v>
      </c>
      <c r="BE1157" s="895">
        <f t="shared" si="1959"/>
        <v>-0.30796000000000134</v>
      </c>
      <c r="BF1157" s="895">
        <f t="shared" si="1959"/>
        <v>46.825299999999999</v>
      </c>
      <c r="BG1157" s="895">
        <f t="shared" si="1959"/>
        <v>2.1658000000000008</v>
      </c>
      <c r="BH1157" s="895">
        <f t="shared" si="1959"/>
        <v>-41.469000000000001</v>
      </c>
      <c r="BI1157" s="895">
        <f t="shared" si="1959"/>
        <v>29.647799999999997</v>
      </c>
      <c r="BJ1157" s="895">
        <f t="shared" si="1959"/>
        <v>-31.784700000000001</v>
      </c>
      <c r="BK1157" s="895">
        <f t="shared" si="1959"/>
        <v>14.714100000000002</v>
      </c>
      <c r="BL1157" s="895">
        <f t="shared" si="1959"/>
        <v>34.624499999999998</v>
      </c>
      <c r="BM1157" s="895">
        <f t="shared" si="1959"/>
        <v>-22.7043</v>
      </c>
      <c r="BN1157" s="895">
        <f t="shared" si="1959"/>
        <v>5.3937400000000011</v>
      </c>
      <c r="BO1157" s="895">
        <f t="shared" si="1959"/>
        <v>19.661969999999997</v>
      </c>
      <c r="BP1157" s="895">
        <f t="shared" si="1959"/>
        <v>-36.031199999999998</v>
      </c>
      <c r="BQ1157" s="895">
        <f t="shared" ref="BQ1157:EB1157" si="1960">+BQ1132+BQ1138-BQ1141+(BQ1153+BQ1154)</f>
        <v>-16.442199999999993</v>
      </c>
      <c r="BR1157" s="895">
        <f t="shared" si="1960"/>
        <v>55.916100000000007</v>
      </c>
      <c r="BS1157" s="895">
        <f t="shared" si="1960"/>
        <v>-35.2239</v>
      </c>
      <c r="BT1157" s="895">
        <f t="shared" si="1960"/>
        <v>3.8731</v>
      </c>
      <c r="BU1157" s="895">
        <f t="shared" si="1960"/>
        <v>17.480199999999996</v>
      </c>
      <c r="BV1157" s="895">
        <f t="shared" si="1960"/>
        <v>0</v>
      </c>
      <c r="BW1157" s="895">
        <f t="shared" si="1960"/>
        <v>0</v>
      </c>
      <c r="BX1157" s="895">
        <f t="shared" si="1960"/>
        <v>0</v>
      </c>
      <c r="BY1157" s="895">
        <f t="shared" si="1960"/>
        <v>0</v>
      </c>
      <c r="BZ1157" s="895">
        <f t="shared" si="1960"/>
        <v>0</v>
      </c>
      <c r="CA1157" s="895">
        <f t="shared" si="1960"/>
        <v>0</v>
      </c>
      <c r="CB1157" s="895">
        <f t="shared" si="1960"/>
        <v>0</v>
      </c>
      <c r="CC1157" s="895">
        <f t="shared" si="1960"/>
        <v>0</v>
      </c>
      <c r="CD1157" s="895">
        <f t="shared" si="1960"/>
        <v>0</v>
      </c>
      <c r="CE1157" s="895">
        <f t="shared" si="1960"/>
        <v>-25.459926414999998</v>
      </c>
      <c r="CF1157" s="895">
        <f t="shared" si="1960"/>
        <v>2.1916458300000095</v>
      </c>
      <c r="CG1157" s="895">
        <f t="shared" si="1960"/>
        <v>-0.86049975999999617</v>
      </c>
      <c r="CH1157" s="895">
        <f t="shared" si="1960"/>
        <v>-15.230367964999999</v>
      </c>
      <c r="CI1157" s="895">
        <f t="shared" si="1960"/>
        <v>2.4902323450000026</v>
      </c>
      <c r="CJ1157" s="895">
        <f t="shared" si="1960"/>
        <v>44.462359226000011</v>
      </c>
      <c r="CK1157" s="895">
        <f t="shared" si="1960"/>
        <v>-33.882002667999998</v>
      </c>
      <c r="CL1157" s="895">
        <f t="shared" si="1960"/>
        <v>-1.5864573310000019</v>
      </c>
      <c r="CM1157" s="895">
        <f t="shared" si="1960"/>
        <v>2.2788276409999977</v>
      </c>
      <c r="CN1157" s="895">
        <f t="shared" si="1960"/>
        <v>-21.917290953999995</v>
      </c>
      <c r="CO1157" s="895">
        <f t="shared" si="1960"/>
        <v>-15.121927161999999</v>
      </c>
      <c r="CP1157" s="895">
        <f t="shared" si="1960"/>
        <v>77.886949827000009</v>
      </c>
      <c r="CQ1157" s="895">
        <f t="shared" si="1960"/>
        <v>-43.993544946</v>
      </c>
      <c r="CR1157" s="895">
        <f t="shared" si="1960"/>
        <v>-7.5001968780000041</v>
      </c>
      <c r="CS1157" s="895">
        <f t="shared" si="1960"/>
        <v>8.1648560100000012</v>
      </c>
      <c r="CT1157" s="895">
        <f t="shared" si="1960"/>
        <v>-7.7556771839999996</v>
      </c>
      <c r="CU1157" s="895">
        <f t="shared" si="1960"/>
        <v>-13.614128800999996</v>
      </c>
      <c r="CV1157" s="895">
        <f t="shared" si="1960"/>
        <v>15.375084401999999</v>
      </c>
      <c r="CW1157" s="895">
        <f t="shared" si="1960"/>
        <v>-9.5578973140000016</v>
      </c>
      <c r="CX1157" s="895">
        <f t="shared" si="1960"/>
        <v>-18.724819482000001</v>
      </c>
      <c r="CY1157" s="895">
        <f t="shared" si="1960"/>
        <v>5.0054926209999993</v>
      </c>
      <c r="CZ1157" s="895">
        <f t="shared" si="1960"/>
        <v>-34.482325734</v>
      </c>
      <c r="DA1157" s="895">
        <f t="shared" si="1960"/>
        <v>-0.97493965699999308</v>
      </c>
      <c r="DB1157" s="895">
        <f t="shared" si="1960"/>
        <v>84.906245957999985</v>
      </c>
      <c r="DC1157" s="895">
        <f t="shared" si="1960"/>
        <v>-45.051045941000005</v>
      </c>
      <c r="DD1157" s="895">
        <f t="shared" si="1960"/>
        <v>-2.4522030739999963</v>
      </c>
      <c r="DE1157" s="895">
        <f t="shared" si="1960"/>
        <v>11.525068235999996</v>
      </c>
      <c r="DF1157" s="895">
        <f t="shared" si="1960"/>
        <v>-24.155134145999995</v>
      </c>
      <c r="DG1157" s="895">
        <f t="shared" si="1960"/>
        <v>-4.7692401899999952</v>
      </c>
      <c r="DH1157" s="895">
        <f t="shared" si="1960"/>
        <v>50.081889140000001</v>
      </c>
      <c r="DI1157" s="895">
        <f t="shared" si="1960"/>
        <v>-39.043449918999983</v>
      </c>
      <c r="DJ1157" s="895">
        <f t="shared" si="1960"/>
        <v>12.661360148</v>
      </c>
      <c r="DK1157" s="895">
        <f t="shared" si="1960"/>
        <v>-2.5686521749999969</v>
      </c>
      <c r="DL1157" s="895">
        <f t="shared" si="1960"/>
        <v>-8.1482137590000008</v>
      </c>
      <c r="DM1157" s="895">
        <f t="shared" si="1960"/>
        <v>-27.100130161999999</v>
      </c>
      <c r="DN1157" s="895">
        <f t="shared" si="1960"/>
        <v>106.637777396</v>
      </c>
      <c r="DO1157" s="895">
        <f t="shared" si="1960"/>
        <v>-51.079245052123056</v>
      </c>
      <c r="DP1157" s="895">
        <f t="shared" si="1960"/>
        <v>-33.983256597094702</v>
      </c>
      <c r="DQ1157" s="895">
        <f t="shared" si="1960"/>
        <v>5.7774092138121205</v>
      </c>
      <c r="DR1157" s="895">
        <f t="shared" si="1960"/>
        <v>-24.490505329525561</v>
      </c>
      <c r="DS1157" s="895">
        <f t="shared" si="1960"/>
        <v>-1.3839869918823879</v>
      </c>
      <c r="DT1157" s="895">
        <f t="shared" si="1960"/>
        <v>110.50336088476527</v>
      </c>
      <c r="DU1157" s="895">
        <f t="shared" si="1960"/>
        <v>-80.984238503256094</v>
      </c>
      <c r="DV1157" s="895">
        <f t="shared" si="1960"/>
        <v>26.818858282746916</v>
      </c>
      <c r="DW1157" s="895">
        <f t="shared" si="1960"/>
        <v>63.32953519529827</v>
      </c>
      <c r="DX1157" s="895">
        <f t="shared" si="1960"/>
        <v>-96.292414462751069</v>
      </c>
      <c r="DY1157" s="895">
        <f t="shared" si="1960"/>
        <v>6.0270415580723125</v>
      </c>
      <c r="DZ1157" s="895">
        <f t="shared" si="1960"/>
        <v>116.45060660439606</v>
      </c>
      <c r="EA1157" s="895">
        <f t="shared" si="1960"/>
        <v>-40.83548964947714</v>
      </c>
      <c r="EB1157" s="895">
        <f t="shared" si="1960"/>
        <v>-19.661611005478491</v>
      </c>
      <c r="EC1157" s="895">
        <f t="shared" ref="EC1157:EX1157" si="1961">+EC1132+EC1138-EC1141+(EC1153+EC1154)</f>
        <v>-42.52745898822532</v>
      </c>
      <c r="ED1157" s="895">
        <f t="shared" si="1961"/>
        <v>-57.285678806494822</v>
      </c>
      <c r="EE1157" s="895">
        <f t="shared" si="1961"/>
        <v>70.419236011708094</v>
      </c>
      <c r="EF1157" s="895">
        <f t="shared" si="1961"/>
        <v>-16.032686917283669</v>
      </c>
      <c r="EG1157" s="895">
        <f t="shared" si="1961"/>
        <v>74.206715787720071</v>
      </c>
      <c r="EH1157" s="895">
        <f t="shared" si="1961"/>
        <v>-23.280208648971872</v>
      </c>
      <c r="EI1157" s="895">
        <f t="shared" si="1961"/>
        <v>2.2355675390933119</v>
      </c>
      <c r="EJ1157" s="895">
        <f t="shared" si="1961"/>
        <v>12.33916732922205</v>
      </c>
      <c r="EK1157" s="895">
        <f t="shared" si="1961"/>
        <v>9.345396101325619</v>
      </c>
      <c r="EL1157" s="895">
        <f t="shared" si="1961"/>
        <v>118.86209488891986</v>
      </c>
      <c r="EM1157" s="895">
        <f t="shared" si="1961"/>
        <v>-36.084720361542551</v>
      </c>
      <c r="EN1157" s="895">
        <f t="shared" si="1961"/>
        <v>-21.542430442078146</v>
      </c>
      <c r="EO1157" s="895">
        <f t="shared" si="1961"/>
        <v>3.6965959780399817</v>
      </c>
      <c r="EP1157" s="895">
        <f t="shared" si="1961"/>
        <v>-19.719904530866643</v>
      </c>
      <c r="EQ1157" s="895">
        <f t="shared" si="1961"/>
        <v>-65.618004074909294</v>
      </c>
      <c r="ER1157" s="895">
        <f t="shared" si="1961"/>
        <v>66.738478650927334</v>
      </c>
      <c r="ES1157" s="895">
        <f t="shared" si="1961"/>
        <v>18.164013377359026</v>
      </c>
      <c r="ET1157" s="895">
        <f t="shared" si="1961"/>
        <v>32.634380268234828</v>
      </c>
      <c r="EU1157" s="895">
        <f t="shared" si="1961"/>
        <v>-12.766095085986834</v>
      </c>
      <c r="EV1157" s="895">
        <f t="shared" si="1961"/>
        <v>-55.137921233034049</v>
      </c>
      <c r="EW1157" s="895">
        <f t="shared" si="1961"/>
        <v>-69.412459706002736</v>
      </c>
      <c r="EX1157" s="895">
        <f t="shared" si="1961"/>
        <v>114.76751126016691</v>
      </c>
      <c r="EY1157" s="895">
        <f>+EY1132+EY1138-EY1141+(EY1153+EY1154)</f>
        <v>-25.832106926181822</v>
      </c>
      <c r="EZ1157" s="895">
        <f t="shared" ref="EZ1157:GC1157" si="1962">+EZ1132+EZ1138-EZ1141+EZ1153+EZ1154</f>
        <v>-42.845015236387454</v>
      </c>
      <c r="FA1157" s="895">
        <f t="shared" si="1962"/>
        <v>40.066970002069567</v>
      </c>
      <c r="FB1157" s="895">
        <f t="shared" si="1962"/>
        <v>-15.111730798628145</v>
      </c>
      <c r="FC1157" s="895">
        <f t="shared" si="1962"/>
        <v>12.785278889865253</v>
      </c>
      <c r="FD1157" s="895">
        <f t="shared" si="1962"/>
        <v>13.988059023595724</v>
      </c>
      <c r="FE1157" s="895">
        <f t="shared" si="1962"/>
        <v>-1.2854610077525024</v>
      </c>
      <c r="FF1157" s="895">
        <f t="shared" si="1962"/>
        <v>-2.9944099748562678</v>
      </c>
      <c r="FG1157" s="895">
        <f t="shared" si="1962"/>
        <v>-25.601050784779105</v>
      </c>
      <c r="FH1157" s="895">
        <f t="shared" si="1962"/>
        <v>-8.2387497340205584</v>
      </c>
      <c r="FI1157" s="895">
        <f t="shared" si="1962"/>
        <v>-31.564510085961075</v>
      </c>
      <c r="FJ1157" s="895">
        <f t="shared" si="1962"/>
        <v>84.165969503801193</v>
      </c>
      <c r="FK1157" s="895">
        <f t="shared" si="1962"/>
        <v>-118.10314110320957</v>
      </c>
      <c r="FL1157" s="895">
        <f t="shared" si="1962"/>
        <v>-31.364378483003719</v>
      </c>
      <c r="FM1157" s="895">
        <f t="shared" si="1962"/>
        <v>15.526519434246282</v>
      </c>
      <c r="FN1157" s="895">
        <f t="shared" si="1962"/>
        <v>37.305428053825743</v>
      </c>
      <c r="FO1157" s="895">
        <f t="shared" si="1962"/>
        <v>9.5314509351693175</v>
      </c>
      <c r="FP1157" s="895">
        <f t="shared" si="1962"/>
        <v>58.847167518440003</v>
      </c>
      <c r="FQ1157" s="895">
        <f t="shared" si="1962"/>
        <v>11.232448687903187</v>
      </c>
      <c r="FR1157" s="895">
        <f t="shared" si="1962"/>
        <v>40.687810525280042</v>
      </c>
      <c r="FS1157" s="895">
        <f t="shared" si="1962"/>
        <v>-8.3717769103185873</v>
      </c>
      <c r="FT1157" s="895">
        <f t="shared" si="1962"/>
        <v>-54.757031170269748</v>
      </c>
      <c r="FU1157" s="895">
        <f t="shared" si="1962"/>
        <v>-22.267884216218476</v>
      </c>
      <c r="FV1157" s="895">
        <f t="shared" si="1962"/>
        <v>86.76942588772377</v>
      </c>
      <c r="FW1157" s="895">
        <f t="shared" si="1962"/>
        <v>-133.53924042924029</v>
      </c>
      <c r="FX1157" s="895">
        <f t="shared" si="1962"/>
        <v>-26.546114629070559</v>
      </c>
      <c r="FY1157" s="895">
        <f t="shared" si="1962"/>
        <v>50.081010358034121</v>
      </c>
      <c r="FZ1157" s="895">
        <f t="shared" si="1962"/>
        <v>22.902274414348767</v>
      </c>
      <c r="GA1157" s="895">
        <f t="shared" si="1962"/>
        <v>50.560585336712393</v>
      </c>
      <c r="GB1157" s="895">
        <f t="shared" si="1962"/>
        <v>190.34693553336729</v>
      </c>
      <c r="GC1157" s="895">
        <f t="shared" si="1962"/>
        <v>37.421698938500711</v>
      </c>
      <c r="GD1157" s="895">
        <f t="shared" ref="GD1157:HL1157" si="1963">+GD1132+GD1138-GD1141+GD1153+GD1154</f>
        <v>-44.737628796440845</v>
      </c>
      <c r="GE1157" s="895">
        <f t="shared" si="1963"/>
        <v>-137.69833692431689</v>
      </c>
      <c r="GF1157" s="895">
        <f t="shared" si="1963"/>
        <v>-252.98651917730228</v>
      </c>
      <c r="GG1157" s="895">
        <f t="shared" si="1963"/>
        <v>-42.679860179302281</v>
      </c>
      <c r="GH1157" s="895">
        <f t="shared" si="1963"/>
        <v>60.729568370542864</v>
      </c>
      <c r="GI1157" s="895">
        <f t="shared" si="1963"/>
        <v>-97.802393097344378</v>
      </c>
      <c r="GJ1157" s="895">
        <f t="shared" si="1963"/>
        <v>-20.636294211180967</v>
      </c>
      <c r="GK1157" s="895">
        <f t="shared" si="1963"/>
        <v>69.175310275726517</v>
      </c>
      <c r="GL1157" s="895">
        <f t="shared" si="1963"/>
        <v>5.3283614844658373</v>
      </c>
      <c r="GM1157" s="895">
        <f t="shared" si="1963"/>
        <v>-9.0947151357874532</v>
      </c>
      <c r="GN1157" s="895">
        <f t="shared" si="1963"/>
        <v>98.33996929210339</v>
      </c>
      <c r="GO1157" s="895">
        <f t="shared" si="1963"/>
        <v>-106.80354634529083</v>
      </c>
      <c r="GP1157" s="895">
        <f t="shared" si="1963"/>
        <v>-18.625267632301004</v>
      </c>
      <c r="GQ1157" s="895">
        <f t="shared" si="1963"/>
        <v>119.21772425653842</v>
      </c>
      <c r="GR1157" s="895">
        <f t="shared" si="1963"/>
        <v>-189.58716336308038</v>
      </c>
      <c r="GS1157" s="895">
        <f t="shared" si="1963"/>
        <v>-219.499311510251</v>
      </c>
      <c r="GT1157" s="895">
        <f t="shared" si="1963"/>
        <v>349.79471159983052</v>
      </c>
      <c r="GU1157" s="895">
        <f t="shared" si="1963"/>
        <v>104.32010732637096</v>
      </c>
      <c r="GV1157" s="895">
        <f t="shared" si="1963"/>
        <v>6.196581685677927</v>
      </c>
      <c r="GW1157" s="895">
        <f t="shared" si="1963"/>
        <v>5.4015814992060598</v>
      </c>
      <c r="GX1157" s="895">
        <f t="shared" si="1963"/>
        <v>40.207616194113804</v>
      </c>
      <c r="GY1157" s="895">
        <f t="shared" si="1963"/>
        <v>-97.845572983421278</v>
      </c>
      <c r="GZ1157" s="895">
        <f t="shared" si="1963"/>
        <v>24.984975032598584</v>
      </c>
      <c r="HA1157" s="895">
        <f t="shared" si="1963"/>
        <v>128.32845211876941</v>
      </c>
      <c r="HB1157" s="895">
        <f t="shared" si="1963"/>
        <v>-106.46088067679804</v>
      </c>
      <c r="HC1157" s="895">
        <f t="shared" si="1963"/>
        <v>-84.599290583900256</v>
      </c>
      <c r="HD1157" s="895">
        <f t="shared" si="1963"/>
        <v>43.079156313578721</v>
      </c>
      <c r="HE1157" s="895">
        <f t="shared" si="1963"/>
        <v>-54.393559857246345</v>
      </c>
      <c r="HF1157" s="895">
        <f t="shared" si="1963"/>
        <v>74.220182181498785</v>
      </c>
      <c r="HG1157" s="895">
        <f t="shared" si="1963"/>
        <v>22.963592345476002</v>
      </c>
      <c r="HH1157" s="895">
        <f t="shared" si="1963"/>
        <v>-16.968424639735417</v>
      </c>
      <c r="HI1157" s="895">
        <f t="shared" si="1963"/>
        <v>33.914016451796449</v>
      </c>
      <c r="HJ1157" s="895">
        <f t="shared" si="1963"/>
        <v>67.996773494778779</v>
      </c>
      <c r="HK1157" s="895">
        <f t="shared" si="1963"/>
        <v>-131.81246765812483</v>
      </c>
      <c r="HL1157" s="895">
        <f t="shared" si="1963"/>
        <v>54.457606760203134</v>
      </c>
    </row>
    <row r="1158" spans="4:220" ht="16.5">
      <c r="D1158" s="701"/>
    </row>
    <row r="1159" spans="4:220" ht="16.5">
      <c r="D1159" s="701"/>
    </row>
    <row r="1160" spans="4:220" ht="16.5">
      <c r="D1160" s="698"/>
    </row>
    <row r="1161" spans="4:220" ht="16.5">
      <c r="D1161" s="702"/>
      <c r="AH1161" s="346">
        <f>AH629</f>
        <v>2.7445247210000003</v>
      </c>
      <c r="AI1161" s="346">
        <f t="shared" ref="AI1161:AM1161" si="1964">AI629</f>
        <v>0.74884155799999996</v>
      </c>
      <c r="AJ1161" s="346">
        <f t="shared" si="1964"/>
        <v>0.67060013699999999</v>
      </c>
      <c r="AK1161" s="346">
        <f t="shared" si="1964"/>
        <v>1.9345288390000002</v>
      </c>
      <c r="AL1161" s="346">
        <f t="shared" si="1964"/>
        <v>0.62467626199999993</v>
      </c>
      <c r="AM1161" s="346">
        <f t="shared" si="1964"/>
        <v>1.0847</v>
      </c>
    </row>
    <row r="1162" spans="4:220" ht="16.5">
      <c r="D1162" s="701"/>
    </row>
    <row r="1163" spans="4:220">
      <c r="D1163" s="377" t="s">
        <v>656</v>
      </c>
      <c r="AH1163" s="302">
        <f>AG1163*(1+AH624)+AH1161</f>
        <v>2.7445247210000003</v>
      </c>
      <c r="AI1163" s="302">
        <f>(AH1163-AH1161)*(1+AI624)+AI1161</f>
        <v>0.74884155799999996</v>
      </c>
      <c r="AJ1163" s="302">
        <f>(AI1163-AI1161)*(1+AJ624)+AJ1161</f>
        <v>0.67060013699999999</v>
      </c>
      <c r="AK1163" s="302">
        <f>(AJ1163-AJ1161)*(1+AK624)+AK1161</f>
        <v>1.9345288390000002</v>
      </c>
      <c r="AL1163" s="302">
        <f>(AK1163-AK1161)*(1+AL624)+AL1161</f>
        <v>0.62467626199999993</v>
      </c>
      <c r="AM1163" s="302">
        <f>(AL1163-AL1161)*(1+AM624)+AM1161</f>
        <v>1.0847</v>
      </c>
    </row>
    <row r="1164" spans="4:220">
      <c r="D1164" s="378"/>
    </row>
    <row r="1165" spans="4:220">
      <c r="D1165" s="522" t="s">
        <v>493</v>
      </c>
    </row>
    <row r="1166" spans="4:220">
      <c r="D1166" s="525" t="s">
        <v>494</v>
      </c>
    </row>
    <row r="1167" spans="4:220">
      <c r="D1167" s="1462" t="s">
        <v>495</v>
      </c>
    </row>
    <row r="1168" spans="4:220">
      <c r="D1168" s="1462" t="s">
        <v>499</v>
      </c>
    </row>
    <row r="1169" spans="4:4">
      <c r="D1169" s="1462" t="s">
        <v>500</v>
      </c>
    </row>
    <row r="1170" spans="4:4">
      <c r="D1170" s="1462" t="s">
        <v>507</v>
      </c>
    </row>
    <row r="1171" spans="4:4">
      <c r="D1171" s="1462" t="s">
        <v>519</v>
      </c>
    </row>
    <row r="1172" spans="4:4">
      <c r="D1172" s="1462" t="s">
        <v>526</v>
      </c>
    </row>
    <row r="1173" spans="4:4">
      <c r="D1173" s="525" t="s">
        <v>528</v>
      </c>
    </row>
    <row r="1174" spans="4:4">
      <c r="D1174" s="525" t="s">
        <v>536</v>
      </c>
    </row>
    <row r="1175" spans="4:4">
      <c r="D1175" s="525" t="s">
        <v>3092</v>
      </c>
    </row>
    <row r="1176" spans="4:4">
      <c r="D1176" s="527" t="s">
        <v>538</v>
      </c>
    </row>
    <row r="1177" spans="4:4">
      <c r="D1177" s="527" t="s">
        <v>539</v>
      </c>
    </row>
    <row r="1178" spans="4:4">
      <c r="D1178" s="1461" t="s">
        <v>3093</v>
      </c>
    </row>
    <row r="1179" spans="4:4">
      <c r="D1179" s="527" t="s">
        <v>538</v>
      </c>
    </row>
    <row r="1180" spans="4:4">
      <c r="D1180" s="527" t="s">
        <v>539</v>
      </c>
    </row>
    <row r="1181" spans="4:4">
      <c r="D1181" s="1461" t="s">
        <v>3094</v>
      </c>
    </row>
    <row r="1182" spans="4:4">
      <c r="D1182" s="527" t="s">
        <v>3173</v>
      </c>
    </row>
    <row r="1183" spans="4:4">
      <c r="D1183" s="527" t="s">
        <v>539</v>
      </c>
    </row>
    <row r="1184" spans="4:4">
      <c r="D1184" s="1461" t="s">
        <v>3187</v>
      </c>
    </row>
    <row r="1185" spans="4:4">
      <c r="D1185" s="525" t="s">
        <v>542</v>
      </c>
    </row>
    <row r="1186" spans="4:4">
      <c r="D1186" s="527" t="s">
        <v>3095</v>
      </c>
    </row>
    <row r="1187" spans="4:4">
      <c r="D1187" s="527" t="s">
        <v>3096</v>
      </c>
    </row>
    <row r="1188" spans="4:4">
      <c r="D1188" s="527" t="s">
        <v>3097</v>
      </c>
    </row>
    <row r="1189" spans="4:4">
      <c r="D1189" s="527" t="s">
        <v>3098</v>
      </c>
    </row>
    <row r="1190" spans="4:4">
      <c r="D1190" s="527" t="s">
        <v>556</v>
      </c>
    </row>
    <row r="1191" spans="4:4">
      <c r="D1191" s="522" t="s">
        <v>590</v>
      </c>
    </row>
    <row r="1192" spans="4:4">
      <c r="D1192" s="531" t="s">
        <v>559</v>
      </c>
    </row>
    <row r="1193" spans="4:4">
      <c r="D1193" s="531" t="s">
        <v>560</v>
      </c>
    </row>
    <row r="1194" spans="4:4">
      <c r="D1194" s="531" t="s">
        <v>561</v>
      </c>
    </row>
    <row r="1195" spans="4:4">
      <c r="D1195" s="531" t="s">
        <v>544</v>
      </c>
    </row>
    <row r="1196" spans="4:4">
      <c r="D1196" s="531" t="s">
        <v>564</v>
      </c>
    </row>
    <row r="1197" spans="4:4">
      <c r="D1197" s="531" t="s">
        <v>536</v>
      </c>
    </row>
    <row r="1198" spans="4:4">
      <c r="D1198" s="531" t="s">
        <v>565</v>
      </c>
    </row>
    <row r="1199" spans="4:4">
      <c r="D1199" s="531" t="s">
        <v>566</v>
      </c>
    </row>
    <row r="1200" spans="4:4">
      <c r="D1200" s="522" t="s">
        <v>591</v>
      </c>
    </row>
    <row r="1201" spans="4:4">
      <c r="D1201" s="529" t="s">
        <v>592</v>
      </c>
    </row>
    <row r="1202" spans="4:4">
      <c r="D1202" s="529" t="s">
        <v>593</v>
      </c>
    </row>
    <row r="1203" spans="4:4">
      <c r="D1203" s="522" t="s">
        <v>3103</v>
      </c>
    </row>
    <row r="1204" spans="4:4">
      <c r="D1204" s="525" t="s">
        <v>594</v>
      </c>
    </row>
    <row r="1205" spans="4:4" ht="15.5" thickBot="1">
      <c r="D1205" s="525" t="s">
        <v>595</v>
      </c>
    </row>
    <row r="1206" spans="4:4">
      <c r="D1206" s="1674" t="s">
        <v>3104</v>
      </c>
    </row>
    <row r="1207" spans="4:4">
      <c r="D1207" s="1676" t="s">
        <v>592</v>
      </c>
    </row>
    <row r="1208" spans="4:4">
      <c r="D1208" s="1676" t="s">
        <v>593</v>
      </c>
    </row>
    <row r="1209" spans="4:4">
      <c r="D1209" s="528" t="s">
        <v>3104</v>
      </c>
    </row>
    <row r="1210" spans="4:4">
      <c r="D1210" s="1710" t="s">
        <v>3225</v>
      </c>
    </row>
    <row r="1211" spans="4:4">
      <c r="D1211" s="1682" t="s">
        <v>3246</v>
      </c>
    </row>
    <row r="1212" spans="4:4">
      <c r="D1212" s="1682" t="s">
        <v>3247</v>
      </c>
    </row>
    <row r="1213" spans="4:4">
      <c r="D1213" s="1682" t="s">
        <v>3226</v>
      </c>
    </row>
    <row r="1214" spans="4:4">
      <c r="D1214" s="1696" t="s">
        <v>3212</v>
      </c>
    </row>
    <row r="1215" spans="4:4">
      <c r="D1215" s="1697" t="s">
        <v>592</v>
      </c>
    </row>
    <row r="1216" spans="4:4">
      <c r="D1216" s="1697" t="s">
        <v>593</v>
      </c>
    </row>
    <row r="1217" spans="4:46">
      <c r="D1217" s="1699" t="s">
        <v>3212</v>
      </c>
    </row>
    <row r="1218" spans="4:46">
      <c r="D1218" s="1686" t="s">
        <v>3225</v>
      </c>
    </row>
    <row r="1219" spans="4:46">
      <c r="D1219" s="1686" t="s">
        <v>3246</v>
      </c>
    </row>
    <row r="1220" spans="4:46">
      <c r="D1220" s="1686" t="s">
        <v>3247</v>
      </c>
    </row>
    <row r="1221" spans="4:46" ht="15.5" thickBot="1">
      <c r="D1221" s="1687" t="s">
        <v>3226</v>
      </c>
    </row>
    <row r="1222" spans="4:46" ht="15.5" thickBot="1">
      <c r="D1222" s="1738" t="s">
        <v>3254</v>
      </c>
    </row>
    <row r="1223" spans="4:46">
      <c r="D1223" s="522" t="s">
        <v>596</v>
      </c>
    </row>
    <row r="1224" spans="4:46">
      <c r="D1224" s="531" t="s">
        <v>597</v>
      </c>
    </row>
    <row r="1225" spans="4:46">
      <c r="D1225" s="531" t="s">
        <v>3199</v>
      </c>
    </row>
    <row r="1226" spans="4:46">
      <c r="D1226" s="531" t="s">
        <v>602</v>
      </c>
    </row>
    <row r="1227" spans="4:46">
      <c r="D1227" s="522" t="s">
        <v>603</v>
      </c>
    </row>
    <row r="1228" spans="4:46">
      <c r="D1228" s="531" t="s">
        <v>597</v>
      </c>
      <c r="AO1228" s="491"/>
      <c r="AP1228" s="491"/>
      <c r="AQ1228" s="491"/>
      <c r="AR1228" s="491"/>
      <c r="AS1228" s="491"/>
      <c r="AT1228" s="491"/>
    </row>
    <row r="1229" spans="4:46" ht="15.5">
      <c r="D1229" s="531" t="s">
        <v>602</v>
      </c>
      <c r="AO1229"/>
      <c r="AP1229"/>
      <c r="AQ1229"/>
      <c r="AR1229"/>
      <c r="AS1229"/>
      <c r="AT1229"/>
    </row>
    <row r="1230" spans="4:46" ht="15.5" thickBot="1">
      <c r="D1230" s="532" t="s">
        <v>612</v>
      </c>
    </row>
    <row r="1231" spans="4:46" ht="15.5" thickTop="1">
      <c r="D1231" s="1630"/>
    </row>
    <row r="1232" spans="4:46">
      <c r="D1232" s="1630"/>
    </row>
    <row r="1233" spans="4:4">
      <c r="D1233" s="377" t="s">
        <v>3174</v>
      </c>
    </row>
    <row r="1234" spans="4:4">
      <c r="D1234" s="378"/>
    </row>
    <row r="1235" spans="4:4">
      <c r="D1235" s="522" t="s">
        <v>493</v>
      </c>
    </row>
    <row r="1236" spans="4:4">
      <c r="D1236" s="525" t="s">
        <v>494</v>
      </c>
    </row>
    <row r="1237" spans="4:4">
      <c r="D1237" s="1462" t="s">
        <v>495</v>
      </c>
    </row>
    <row r="1238" spans="4:4">
      <c r="D1238" s="1462" t="s">
        <v>499</v>
      </c>
    </row>
    <row r="1239" spans="4:4">
      <c r="D1239" s="1462" t="s">
        <v>500</v>
      </c>
    </row>
    <row r="1240" spans="4:4">
      <c r="D1240" s="1462" t="s">
        <v>507</v>
      </c>
    </row>
    <row r="1241" spans="4:4">
      <c r="D1241" s="1462" t="s">
        <v>519</v>
      </c>
    </row>
    <row r="1242" spans="4:4">
      <c r="D1242" s="1462" t="s">
        <v>526</v>
      </c>
    </row>
    <row r="1243" spans="4:4">
      <c r="D1243" s="525" t="s">
        <v>528</v>
      </c>
    </row>
    <row r="1244" spans="4:4">
      <c r="D1244" s="525" t="s">
        <v>536</v>
      </c>
    </row>
    <row r="1245" spans="4:4">
      <c r="D1245" s="525" t="s">
        <v>3092</v>
      </c>
    </row>
    <row r="1246" spans="4:4">
      <c r="D1246" s="527" t="s">
        <v>538</v>
      </c>
    </row>
    <row r="1247" spans="4:4">
      <c r="D1247" s="527" t="s">
        <v>539</v>
      </c>
    </row>
    <row r="1248" spans="4:4">
      <c r="D1248" s="1461" t="s">
        <v>3093</v>
      </c>
    </row>
    <row r="1249" spans="4:4">
      <c r="D1249" s="527" t="s">
        <v>538</v>
      </c>
    </row>
    <row r="1250" spans="4:4">
      <c r="D1250" s="527" t="s">
        <v>539</v>
      </c>
    </row>
    <row r="1251" spans="4:4">
      <c r="D1251" s="1461" t="s">
        <v>3094</v>
      </c>
    </row>
    <row r="1252" spans="4:4">
      <c r="D1252" s="527" t="s">
        <v>3173</v>
      </c>
    </row>
    <row r="1253" spans="4:4">
      <c r="D1253" s="527" t="s">
        <v>539</v>
      </c>
    </row>
    <row r="1254" spans="4:4">
      <c r="D1254" s="525" t="s">
        <v>542</v>
      </c>
    </row>
    <row r="1255" spans="4:4">
      <c r="D1255" s="527" t="s">
        <v>3095</v>
      </c>
    </row>
    <row r="1256" spans="4:4">
      <c r="D1256" s="527" t="s">
        <v>3096</v>
      </c>
    </row>
    <row r="1257" spans="4:4">
      <c r="D1257" s="527" t="s">
        <v>3097</v>
      </c>
    </row>
    <row r="1258" spans="4:4">
      <c r="D1258" s="527" t="s">
        <v>3098</v>
      </c>
    </row>
    <row r="1259" spans="4:4">
      <c r="D1259" s="527" t="s">
        <v>556</v>
      </c>
    </row>
    <row r="1260" spans="4:4">
      <c r="D1260" s="522" t="s">
        <v>590</v>
      </c>
    </row>
    <row r="1261" spans="4:4">
      <c r="D1261" s="531" t="s">
        <v>559</v>
      </c>
    </row>
    <row r="1262" spans="4:4">
      <c r="D1262" s="531" t="s">
        <v>560</v>
      </c>
    </row>
    <row r="1263" spans="4:4">
      <c r="D1263" s="531" t="s">
        <v>561</v>
      </c>
    </row>
    <row r="1264" spans="4:4">
      <c r="D1264" s="531" t="s">
        <v>544</v>
      </c>
    </row>
    <row r="1265" spans="4:4">
      <c r="D1265" s="531" t="s">
        <v>564</v>
      </c>
    </row>
    <row r="1266" spans="4:4">
      <c r="D1266" s="531" t="s">
        <v>536</v>
      </c>
    </row>
    <row r="1267" spans="4:4">
      <c r="D1267" s="531" t="s">
        <v>565</v>
      </c>
    </row>
    <row r="1268" spans="4:4">
      <c r="D1268" s="531" t="s">
        <v>566</v>
      </c>
    </row>
    <row r="1269" spans="4:4">
      <c r="D1269" s="522" t="s">
        <v>591</v>
      </c>
    </row>
    <row r="1270" spans="4:4">
      <c r="D1270" s="529" t="s">
        <v>592</v>
      </c>
    </row>
    <row r="1271" spans="4:4">
      <c r="D1271" s="529" t="s">
        <v>593</v>
      </c>
    </row>
    <row r="1272" spans="4:4">
      <c r="D1272" s="522" t="s">
        <v>3103</v>
      </c>
    </row>
    <row r="1273" spans="4:4">
      <c r="D1273" s="525" t="s">
        <v>594</v>
      </c>
    </row>
    <row r="1274" spans="4:4" ht="15.5" thickBot="1">
      <c r="D1274" s="525" t="s">
        <v>595</v>
      </c>
    </row>
    <row r="1275" spans="4:4">
      <c r="D1275" s="1674" t="s">
        <v>3104</v>
      </c>
    </row>
    <row r="1276" spans="4:4">
      <c r="D1276" s="1676" t="s">
        <v>592</v>
      </c>
    </row>
    <row r="1277" spans="4:4">
      <c r="D1277" s="1676" t="s">
        <v>593</v>
      </c>
    </row>
    <row r="1278" spans="4:4">
      <c r="D1278" s="1700" t="s">
        <v>3104</v>
      </c>
    </row>
    <row r="1279" spans="4:4">
      <c r="D1279" s="1682" t="s">
        <v>3225</v>
      </c>
    </row>
    <row r="1280" spans="4:4">
      <c r="D1280" s="1682" t="s">
        <v>3246</v>
      </c>
    </row>
    <row r="1281" spans="4:4">
      <c r="D1281" s="1682" t="s">
        <v>3247</v>
      </c>
    </row>
    <row r="1282" spans="4:4">
      <c r="D1282" s="1682" t="s">
        <v>3226</v>
      </c>
    </row>
    <row r="1283" spans="4:4">
      <c r="D1283" s="1696" t="s">
        <v>3212</v>
      </c>
    </row>
    <row r="1284" spans="4:4">
      <c r="D1284" s="1715" t="s">
        <v>592</v>
      </c>
    </row>
    <row r="1285" spans="4:4">
      <c r="D1285" s="1715" t="s">
        <v>593</v>
      </c>
    </row>
    <row r="1286" spans="4:4">
      <c r="D1286" s="1684" t="s">
        <v>3212</v>
      </c>
    </row>
    <row r="1287" spans="4:4">
      <c r="D1287" s="1686" t="s">
        <v>3225</v>
      </c>
    </row>
    <row r="1288" spans="4:4">
      <c r="D1288" s="1686" t="s">
        <v>3246</v>
      </c>
    </row>
    <row r="1289" spans="4:4">
      <c r="D1289" s="1686" t="s">
        <v>3247</v>
      </c>
    </row>
    <row r="1290" spans="4:4" ht="15.5" thickBot="1">
      <c r="D1290" s="1687" t="s">
        <v>3226</v>
      </c>
    </row>
    <row r="1291" spans="4:4" ht="15.5" thickBot="1">
      <c r="D1291" s="1738" t="s">
        <v>3254</v>
      </c>
    </row>
    <row r="1292" spans="4:4">
      <c r="D1292" s="522" t="s">
        <v>596</v>
      </c>
    </row>
    <row r="1293" spans="4:4">
      <c r="D1293" s="531" t="s">
        <v>597</v>
      </c>
    </row>
    <row r="1294" spans="4:4">
      <c r="D1294" s="1714" t="s">
        <v>3248</v>
      </c>
    </row>
    <row r="1295" spans="4:4">
      <c r="D1295" s="531" t="s">
        <v>602</v>
      </c>
    </row>
    <row r="1296" spans="4:4">
      <c r="D1296" s="522" t="s">
        <v>603</v>
      </c>
    </row>
    <row r="1297" spans="4:4">
      <c r="D1297" s="531" t="s">
        <v>597</v>
      </c>
    </row>
    <row r="1298" spans="4:4">
      <c r="D1298" s="531" t="s">
        <v>602</v>
      </c>
    </row>
    <row r="1299" spans="4:4" ht="15.5" thickBot="1">
      <c r="D1299" s="532" t="s">
        <v>612</v>
      </c>
    </row>
    <row r="1300" spans="4:4" ht="15.5" thickTop="1">
      <c r="D1300" s="1630"/>
    </row>
  </sheetData>
  <mergeCells count="4">
    <mergeCell ref="HO1:HO3"/>
    <mergeCell ref="KJ1:KJ3"/>
    <mergeCell ref="HO623:HO624"/>
    <mergeCell ref="HO462:HO463"/>
  </mergeCells>
  <pageMargins left="0.2" right="0.2" top="0.25" bottom="0.25" header="0.3" footer="0.3"/>
  <pageSetup scale="75" fitToHeight="0" orientation="landscape" horizontalDpi="4294967293" verticalDpi="300" r:id="rId1"/>
  <drawing r:id="rId2"/>
  <legacyDrawing r:id="rId3"/>
  <controls>
    <mc:AlternateContent xmlns:mc="http://schemas.openxmlformats.org/markup-compatibility/2006">
      <mc:Choice Requires="x14">
        <control shapeId="3154" r:id="rId4" name="CommandButton1">
          <controlPr autoFill="0" autoLine="0" r:id="rId5">
            <anchor moveWithCells="1">
              <from>
                <xdr:col>250</xdr:col>
                <xdr:colOff>0</xdr:colOff>
                <xdr:row>0</xdr:row>
                <xdr:rowOff>88900</xdr:rowOff>
              </from>
              <to>
                <xdr:col>252</xdr:col>
                <xdr:colOff>336550</xdr:colOff>
                <xdr:row>2</xdr:row>
                <xdr:rowOff>146050</xdr:rowOff>
              </to>
            </anchor>
          </controlPr>
        </control>
      </mc:Choice>
      <mc:Fallback>
        <control shapeId="3154" r:id="rId4" name="CommandButton1"/>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1DC074-7698-40C6-A173-5B8DF0AE3FCE}">
  <sheetPr codeName="Sheet9"/>
  <dimension ref="A1:AR127"/>
  <sheetViews>
    <sheetView zoomScaleNormal="100" workbookViewId="0">
      <pane xSplit="8" ySplit="1" topLeftCell="Q11" activePane="bottomRight" state="frozen"/>
      <selection pane="topRight" activeCell="I1" sqref="I1"/>
      <selection pane="bottomLeft" activeCell="A2" sqref="A2"/>
      <selection pane="bottomRight" activeCell="U11" sqref="U11:U58"/>
    </sheetView>
  </sheetViews>
  <sheetFormatPr defaultRowHeight="14.5"/>
  <cols>
    <col min="1" max="1" width="27.6328125" style="2019" customWidth="1"/>
    <col min="2" max="2" width="17.6328125" style="2019" customWidth="1"/>
    <col min="3" max="4" width="20.7265625" style="2018" hidden="1" customWidth="1"/>
    <col min="5" max="5" width="20.54296875" style="2018" hidden="1" customWidth="1"/>
    <col min="6" max="6" width="20.26953125" style="2018" hidden="1" customWidth="1"/>
    <col min="7" max="7" width="20" style="2018" hidden="1" customWidth="1"/>
    <col min="8" max="8" width="20" style="2020" hidden="1" customWidth="1"/>
    <col min="9" max="9" width="18.6328125" style="2018" bestFit="1" customWidth="1"/>
    <col min="10" max="10" width="19.453125" style="2018" customWidth="1"/>
    <col min="11" max="11" width="21.453125" style="2020" customWidth="1"/>
    <col min="12" max="12" width="19.54296875" style="2018" customWidth="1"/>
    <col min="13" max="13" width="18.7265625" style="2018" customWidth="1"/>
    <col min="14" max="14" width="21.453125" style="2020" customWidth="1"/>
    <col min="15" max="15" width="21" style="2018" customWidth="1"/>
    <col min="16" max="16" width="20.54296875" style="2018" customWidth="1"/>
    <col min="17" max="17" width="20.26953125" style="2020" customWidth="1"/>
    <col min="18" max="18" width="21.1796875" style="2018" customWidth="1"/>
    <col min="19" max="19" width="20.26953125" style="2018" customWidth="1"/>
    <col min="20" max="20" width="20.54296875" style="2020" customWidth="1"/>
    <col min="21" max="21" width="19.7265625" style="2018" customWidth="1"/>
    <col min="22" max="22" width="21" style="2018" customWidth="1"/>
    <col min="23" max="23" width="20.7265625" style="2020" customWidth="1"/>
    <col min="24" max="25" width="17.1796875" bestFit="1" customWidth="1"/>
    <col min="26" max="26" width="20.7265625" style="2020" customWidth="1"/>
    <col min="27" max="27" width="15.08984375" bestFit="1" customWidth="1"/>
    <col min="28" max="28" width="17.81640625" bestFit="1" customWidth="1"/>
    <col min="29" max="33" width="16.6328125" bestFit="1" customWidth="1"/>
    <col min="34" max="34" width="15.54296875" bestFit="1" customWidth="1"/>
    <col min="35" max="36" width="16.6328125" bestFit="1" customWidth="1"/>
    <col min="37" max="37" width="15.54296875" bestFit="1" customWidth="1"/>
    <col min="38" max="39" width="16.6328125" bestFit="1" customWidth="1"/>
    <col min="40" max="40" width="15.54296875" bestFit="1" customWidth="1"/>
    <col min="41" max="42" width="16.6328125" bestFit="1" customWidth="1"/>
    <col min="43" max="43" width="15.54296875" bestFit="1" customWidth="1"/>
    <col min="44" max="44" width="16.6328125" bestFit="1" customWidth="1"/>
  </cols>
  <sheetData>
    <row r="1" spans="1:44" s="2015" customFormat="1" ht="33" customHeight="1">
      <c r="C1" s="2015" t="s">
        <v>3407</v>
      </c>
      <c r="D1" s="2015" t="s">
        <v>3408</v>
      </c>
      <c r="E1" s="2015" t="s">
        <v>3409</v>
      </c>
      <c r="F1" s="2015" t="s">
        <v>3410</v>
      </c>
      <c r="G1" s="2015" t="s">
        <v>3411</v>
      </c>
      <c r="H1" s="2268" t="s">
        <v>3412</v>
      </c>
      <c r="I1" s="2269" t="s">
        <v>3588</v>
      </c>
      <c r="J1" s="2269" t="s">
        <v>3589</v>
      </c>
      <c r="K1" s="2270" t="s">
        <v>3413</v>
      </c>
      <c r="L1" s="2269" t="s">
        <v>3590</v>
      </c>
      <c r="M1" s="2269" t="s">
        <v>3591</v>
      </c>
      <c r="N1" s="2270" t="s">
        <v>3414</v>
      </c>
      <c r="O1" s="2269" t="s">
        <v>3592</v>
      </c>
      <c r="P1" s="2269" t="s">
        <v>3593</v>
      </c>
      <c r="Q1" s="2270" t="s">
        <v>3415</v>
      </c>
      <c r="R1" s="2269" t="s">
        <v>3594</v>
      </c>
      <c r="S1" s="2269" t="s">
        <v>3595</v>
      </c>
      <c r="T1" s="2270" t="s">
        <v>3416</v>
      </c>
      <c r="U1" s="2269" t="s">
        <v>3596</v>
      </c>
      <c r="V1" s="2269" t="s">
        <v>3597</v>
      </c>
      <c r="W1" s="2270" t="s">
        <v>3417</v>
      </c>
      <c r="X1" s="2269" t="s">
        <v>3598</v>
      </c>
      <c r="Y1" s="2269" t="s">
        <v>3649</v>
      </c>
      <c r="Z1" s="2270" t="s">
        <v>3650</v>
      </c>
      <c r="AA1" s="2269" t="s">
        <v>3753</v>
      </c>
      <c r="AB1" s="2269" t="s">
        <v>3754</v>
      </c>
      <c r="AC1" s="2270" t="s">
        <v>3755</v>
      </c>
      <c r="AD1" s="2269" t="s">
        <v>3756</v>
      </c>
      <c r="AE1" s="2269" t="s">
        <v>3757</v>
      </c>
      <c r="AF1" s="2270" t="s">
        <v>3758</v>
      </c>
      <c r="AG1" s="2269" t="s">
        <v>3759</v>
      </c>
      <c r="AH1" s="2269" t="s">
        <v>3760</v>
      </c>
      <c r="AI1" s="2270" t="s">
        <v>3761</v>
      </c>
      <c r="AJ1" s="2269" t="s">
        <v>3762</v>
      </c>
      <c r="AK1" s="2269" t="s">
        <v>3763</v>
      </c>
      <c r="AL1" s="2270" t="s">
        <v>3764</v>
      </c>
      <c r="AM1" s="2269" t="s">
        <v>3765</v>
      </c>
      <c r="AN1" s="2269" t="s">
        <v>3766</v>
      </c>
      <c r="AO1" s="2270" t="s">
        <v>3767</v>
      </c>
      <c r="AP1" s="2269" t="s">
        <v>3768</v>
      </c>
      <c r="AQ1" s="2269" t="s">
        <v>3769</v>
      </c>
      <c r="AR1" s="2270" t="s">
        <v>3770</v>
      </c>
    </row>
    <row r="2" spans="1:44" s="1925" customFormat="1" ht="13">
      <c r="A2" s="2271"/>
      <c r="B2" s="2271"/>
      <c r="C2" s="2266"/>
      <c r="D2" s="2266"/>
      <c r="E2" s="2266"/>
      <c r="F2" s="2266"/>
      <c r="G2" s="2266"/>
      <c r="H2" s="2272"/>
      <c r="I2" s="2273"/>
      <c r="J2" s="2273"/>
      <c r="K2" s="2274"/>
      <c r="L2" s="2273"/>
      <c r="M2" s="2273"/>
      <c r="N2" s="2274"/>
      <c r="O2" s="2273"/>
      <c r="P2" s="2273"/>
      <c r="Q2" s="2274"/>
      <c r="R2" s="2273"/>
      <c r="S2" s="2273"/>
      <c r="T2" s="2274"/>
      <c r="U2" s="2273"/>
      <c r="V2" s="2273"/>
      <c r="W2" s="2274"/>
      <c r="X2" s="2273"/>
      <c r="Z2" s="2274"/>
      <c r="AA2" s="2273"/>
      <c r="AC2" s="2274"/>
      <c r="AD2" s="2273"/>
      <c r="AF2" s="2274"/>
      <c r="AG2" s="2273"/>
      <c r="AI2" s="2274"/>
      <c r="AJ2" s="2273"/>
      <c r="AL2" s="2274"/>
      <c r="AM2" s="2273"/>
      <c r="AO2" s="2274"/>
      <c r="AP2" s="2273"/>
      <c r="AR2" s="2274"/>
    </row>
    <row r="3" spans="1:44">
      <c r="A3" s="2271" t="s">
        <v>3418</v>
      </c>
      <c r="B3" s="2271" t="s">
        <v>3357</v>
      </c>
      <c r="C3" s="2266">
        <f>SUM(C9:C25)</f>
        <v>15000000000</v>
      </c>
      <c r="D3" s="2266">
        <f>SUM(D9:D25)</f>
        <v>30000000000</v>
      </c>
      <c r="E3" s="2266">
        <f t="shared" ref="E3:H3" si="0">SUM(E4:E10,E59)</f>
        <v>44819514690</v>
      </c>
      <c r="F3" s="2266">
        <f t="shared" si="0"/>
        <v>52330650830</v>
      </c>
      <c r="G3" s="2266">
        <f t="shared" si="0"/>
        <v>107089185034.67999</v>
      </c>
      <c r="H3" s="2272">
        <f t="shared" si="0"/>
        <v>103146161841.36</v>
      </c>
      <c r="I3" s="2273">
        <f>SUM(I4:I10,I59)</f>
        <v>81707843710.679993</v>
      </c>
      <c r="J3" s="2273">
        <f>SUM(J4:J10,J59)</f>
        <v>14034717089.68</v>
      </c>
      <c r="K3" s="2274">
        <f>SUM(K4:K10,K59)</f>
        <v>95742560800.360001</v>
      </c>
      <c r="L3" s="2273">
        <f t="shared" ref="L3:AR3" si="1">SUM(L4:L10,L59)</f>
        <v>61321297088.68</v>
      </c>
      <c r="M3" s="2273">
        <f t="shared" si="1"/>
        <v>65604917088.68</v>
      </c>
      <c r="N3" s="2274">
        <f t="shared" si="1"/>
        <v>126926214177.36</v>
      </c>
      <c r="O3" s="2273">
        <f t="shared" si="1"/>
        <v>64878599676.68</v>
      </c>
      <c r="P3" s="2273">
        <f t="shared" si="1"/>
        <v>24067366355.68</v>
      </c>
      <c r="Q3" s="2274">
        <f t="shared" si="1"/>
        <v>88945966032.360001</v>
      </c>
      <c r="R3" s="2273">
        <f t="shared" si="1"/>
        <v>97675577986.679993</v>
      </c>
      <c r="S3" s="2273">
        <f t="shared" si="1"/>
        <v>66062386399.68</v>
      </c>
      <c r="T3" s="2274">
        <f t="shared" si="1"/>
        <v>163737964386.35999</v>
      </c>
      <c r="U3" s="2273">
        <f t="shared" si="1"/>
        <v>72881742717.679993</v>
      </c>
      <c r="V3" s="2273">
        <f t="shared" si="1"/>
        <v>22999894575.68</v>
      </c>
      <c r="W3" s="2274">
        <f t="shared" si="1"/>
        <v>95881637293.360001</v>
      </c>
      <c r="X3" s="2273">
        <f t="shared" si="1"/>
        <v>106085869477.67999</v>
      </c>
      <c r="Y3" s="2273">
        <f t="shared" si="1"/>
        <v>43245105151.68</v>
      </c>
      <c r="Z3" s="2274">
        <f t="shared" si="1"/>
        <v>149330974629.35999</v>
      </c>
      <c r="AA3" s="2273">
        <f t="shared" si="1"/>
        <v>43372663422.68</v>
      </c>
      <c r="AB3" s="2273">
        <f t="shared" si="1"/>
        <v>112057947354.67999</v>
      </c>
      <c r="AC3" s="2274">
        <f t="shared" si="1"/>
        <v>155430610777.35999</v>
      </c>
      <c r="AD3" s="2273">
        <f t="shared" si="1"/>
        <v>33676750013.68</v>
      </c>
      <c r="AE3" s="2273">
        <f t="shared" si="1"/>
        <v>123040589467.67999</v>
      </c>
      <c r="AF3" s="2274">
        <f t="shared" si="1"/>
        <v>156717339481.35999</v>
      </c>
      <c r="AG3" s="2273">
        <f t="shared" si="1"/>
        <v>4027665873.6800003</v>
      </c>
      <c r="AH3" s="2273">
        <f t="shared" si="1"/>
        <v>36786633679.68</v>
      </c>
      <c r="AI3" s="2274">
        <f t="shared" si="1"/>
        <v>40814299553.360001</v>
      </c>
      <c r="AJ3" s="2273">
        <f t="shared" si="1"/>
        <v>44426021498.68</v>
      </c>
      <c r="AK3" s="2273">
        <f t="shared" si="1"/>
        <v>34649765212.68</v>
      </c>
      <c r="AL3" s="2274">
        <f t="shared" si="1"/>
        <v>79075786711.360001</v>
      </c>
      <c r="AM3" s="2273">
        <f t="shared" si="1"/>
        <v>51321297088.68</v>
      </c>
      <c r="AN3" s="2273">
        <f t="shared" si="1"/>
        <v>86321297088.679993</v>
      </c>
      <c r="AO3" s="2274">
        <f t="shared" si="1"/>
        <v>137642594177.35999</v>
      </c>
      <c r="AP3" s="2273">
        <f t="shared" si="1"/>
        <v>1321297088.6800001</v>
      </c>
      <c r="AQ3" s="2273">
        <f t="shared" si="1"/>
        <v>82863297088.679993</v>
      </c>
      <c r="AR3" s="2274">
        <f t="shared" si="1"/>
        <v>84184594177.360001</v>
      </c>
    </row>
    <row r="4" spans="1:44">
      <c r="A4" s="2275" t="s">
        <v>3419</v>
      </c>
      <c r="B4" s="2275" t="s">
        <v>3357</v>
      </c>
      <c r="C4" s="2276">
        <v>1227929924</v>
      </c>
      <c r="D4" s="2276">
        <v>1419419000</v>
      </c>
      <c r="E4" s="2016">
        <v>1651130921</v>
      </c>
      <c r="F4" s="2016">
        <v>1909884461</v>
      </c>
      <c r="G4" s="2016">
        <v>2212887946</v>
      </c>
      <c r="H4" s="2017">
        <v>33410077794</v>
      </c>
      <c r="I4" s="2276">
        <v>1634334466</v>
      </c>
      <c r="J4" s="2276">
        <v>1686097064</v>
      </c>
      <c r="K4" s="2277">
        <v>3320431530</v>
      </c>
      <c r="L4" s="2276">
        <v>0</v>
      </c>
      <c r="M4" s="2276">
        <v>0</v>
      </c>
      <c r="N4" s="2277">
        <v>0</v>
      </c>
      <c r="O4" s="2276">
        <v>0</v>
      </c>
      <c r="P4" s="2276">
        <v>0</v>
      </c>
      <c r="Q4" s="2277">
        <v>0</v>
      </c>
      <c r="R4" s="2276">
        <v>0</v>
      </c>
      <c r="S4" s="2276">
        <v>0</v>
      </c>
      <c r="T4" s="2277">
        <v>0</v>
      </c>
      <c r="U4" s="2276"/>
      <c r="V4" s="2276"/>
      <c r="W4" s="2277">
        <v>0</v>
      </c>
      <c r="X4" s="2276"/>
      <c r="Y4" s="2276"/>
      <c r="Z4" s="2277">
        <v>0</v>
      </c>
      <c r="AA4" s="2276"/>
      <c r="AB4" s="2276"/>
      <c r="AC4" s="2277">
        <v>0</v>
      </c>
      <c r="AD4" s="2276"/>
      <c r="AE4" s="2276"/>
      <c r="AF4" s="2277">
        <v>0</v>
      </c>
      <c r="AG4" s="2276"/>
      <c r="AH4" s="2276"/>
      <c r="AI4" s="2277">
        <v>0</v>
      </c>
      <c r="AJ4" s="2276"/>
      <c r="AK4" s="2276"/>
      <c r="AL4" s="2277">
        <v>0</v>
      </c>
      <c r="AM4" s="2276"/>
      <c r="AN4" s="2276"/>
      <c r="AO4" s="2277">
        <v>0</v>
      </c>
      <c r="AP4" s="2276"/>
      <c r="AQ4" s="2276"/>
      <c r="AR4" s="2277">
        <v>0</v>
      </c>
    </row>
    <row r="5" spans="1:44">
      <c r="A5" s="2275" t="s">
        <v>3651</v>
      </c>
      <c r="B5" s="2275" t="s">
        <v>3357</v>
      </c>
      <c r="C5" s="2276"/>
      <c r="D5" s="2276"/>
      <c r="E5" s="2016"/>
      <c r="F5" s="2016"/>
      <c r="G5" s="2016"/>
      <c r="H5" s="2017"/>
      <c r="I5" s="2276">
        <v>0</v>
      </c>
      <c r="J5" s="2276">
        <v>0</v>
      </c>
      <c r="K5" s="2277">
        <v>0</v>
      </c>
      <c r="L5" s="2276">
        <v>0</v>
      </c>
      <c r="M5" s="2276">
        <v>0</v>
      </c>
      <c r="N5" s="2277">
        <v>0</v>
      </c>
      <c r="O5" s="2276">
        <v>1178902588</v>
      </c>
      <c r="P5" s="2276">
        <v>1276569267</v>
      </c>
      <c r="Q5" s="2277">
        <v>2455471855</v>
      </c>
      <c r="R5" s="2276">
        <v>1354280898</v>
      </c>
      <c r="S5" s="2276">
        <v>1456389311</v>
      </c>
      <c r="T5" s="2277">
        <v>2810670209</v>
      </c>
      <c r="U5" s="2276">
        <v>1560445629</v>
      </c>
      <c r="V5" s="2276">
        <v>1678597487</v>
      </c>
      <c r="W5" s="2277">
        <v>3239043116</v>
      </c>
      <c r="X5" s="2276">
        <v>1786372389</v>
      </c>
      <c r="Y5" s="2276">
        <v>1923808063</v>
      </c>
      <c r="Z5" s="2277">
        <v>3710180452</v>
      </c>
      <c r="AA5" s="2276">
        <v>2051366334</v>
      </c>
      <c r="AB5" s="2276">
        <v>2206150266</v>
      </c>
      <c r="AC5" s="2277">
        <v>4257516600</v>
      </c>
      <c r="AD5" s="2276">
        <v>2355452925</v>
      </c>
      <c r="AE5" s="2276">
        <v>2526592379</v>
      </c>
      <c r="AF5" s="2277">
        <v>4882045304</v>
      </c>
      <c r="AG5" s="2276">
        <v>2706368785</v>
      </c>
      <c r="AH5" s="2276">
        <v>2902136591</v>
      </c>
      <c r="AI5" s="2277">
        <v>5608505376</v>
      </c>
      <c r="AJ5" s="2276">
        <v>3104724410</v>
      </c>
      <c r="AK5" s="2276">
        <v>3328468124</v>
      </c>
      <c r="AL5" s="2277">
        <v>6433192534</v>
      </c>
      <c r="AM5" s="2276"/>
      <c r="AN5" s="2276"/>
      <c r="AO5" s="2277">
        <v>0</v>
      </c>
      <c r="AP5" s="2276"/>
      <c r="AQ5" s="2276"/>
      <c r="AR5" s="2277">
        <v>0</v>
      </c>
    </row>
    <row r="6" spans="1:44">
      <c r="A6" s="2275" t="s">
        <v>3771</v>
      </c>
      <c r="B6" s="2275" t="s">
        <v>3357</v>
      </c>
      <c r="C6" s="2276"/>
      <c r="D6" s="2276"/>
      <c r="E6" s="2016"/>
      <c r="F6" s="2016"/>
      <c r="G6" s="2016"/>
      <c r="H6" s="2017"/>
      <c r="I6" s="2276">
        <v>0</v>
      </c>
      <c r="J6" s="2276">
        <v>1027322937</v>
      </c>
      <c r="K6" s="2277">
        <v>1027322937</v>
      </c>
      <c r="L6" s="2276">
        <v>0</v>
      </c>
      <c r="M6" s="2276">
        <v>0</v>
      </c>
      <c r="N6" s="2277">
        <v>0</v>
      </c>
      <c r="O6" s="2276">
        <v>0</v>
      </c>
      <c r="P6" s="2276">
        <v>0</v>
      </c>
      <c r="Q6" s="2277">
        <v>0</v>
      </c>
      <c r="R6" s="2276">
        <v>0</v>
      </c>
      <c r="S6" s="2276">
        <v>0</v>
      </c>
      <c r="T6" s="2277">
        <v>0</v>
      </c>
      <c r="U6" s="2276"/>
      <c r="V6" s="2276"/>
      <c r="W6" s="2277"/>
      <c r="X6" s="2276"/>
      <c r="Y6" s="2276"/>
      <c r="Z6" s="2277"/>
      <c r="AA6" s="2276">
        <v>0</v>
      </c>
      <c r="AB6" s="2276">
        <v>0</v>
      </c>
      <c r="AC6" s="2277"/>
      <c r="AD6" s="2276"/>
      <c r="AE6" s="2276"/>
      <c r="AF6" s="2277"/>
      <c r="AG6" s="2276"/>
      <c r="AH6" s="2276"/>
      <c r="AI6" s="2277"/>
      <c r="AJ6" s="2276"/>
      <c r="AK6" s="2276"/>
      <c r="AL6" s="2277"/>
      <c r="AM6" s="2276"/>
      <c r="AN6" s="2276"/>
      <c r="AO6" s="2277"/>
      <c r="AP6" s="2276"/>
      <c r="AQ6" s="2276"/>
      <c r="AR6" s="2277"/>
    </row>
    <row r="7" spans="1:44">
      <c r="A7" s="2275" t="s">
        <v>3599</v>
      </c>
      <c r="B7" s="2275" t="s">
        <v>3357</v>
      </c>
      <c r="C7" s="2276" t="s">
        <v>821</v>
      </c>
      <c r="D7" s="2276">
        <v>2093489870</v>
      </c>
      <c r="E7" s="2016">
        <v>4671107081</v>
      </c>
      <c r="F7" s="2016">
        <v>5420766369</v>
      </c>
      <c r="G7" s="2016"/>
      <c r="H7" s="2017">
        <v>2093489870</v>
      </c>
      <c r="I7" s="2276">
        <v>23752212156</v>
      </c>
      <c r="J7" s="2276">
        <v>0</v>
      </c>
      <c r="K7" s="2277">
        <v>23752212156</v>
      </c>
      <c r="L7" s="2276">
        <v>0</v>
      </c>
      <c r="M7" s="2276">
        <v>0</v>
      </c>
      <c r="N7" s="2277">
        <v>0</v>
      </c>
      <c r="O7" s="2276">
        <v>0</v>
      </c>
      <c r="P7" s="2276">
        <v>0</v>
      </c>
      <c r="Q7" s="2277">
        <v>0</v>
      </c>
      <c r="R7" s="2276">
        <v>0</v>
      </c>
      <c r="S7" s="2276">
        <v>0</v>
      </c>
      <c r="T7" s="2277">
        <v>0</v>
      </c>
      <c r="U7" s="2276">
        <v>0</v>
      </c>
      <c r="V7" s="2276">
        <v>0</v>
      </c>
      <c r="W7" s="2277">
        <v>0</v>
      </c>
      <c r="X7" s="2276">
        <v>0</v>
      </c>
      <c r="Y7" s="2276">
        <v>0</v>
      </c>
      <c r="Z7" s="2277">
        <v>0</v>
      </c>
      <c r="AA7" s="2276">
        <v>0</v>
      </c>
      <c r="AB7" s="2276">
        <v>0</v>
      </c>
      <c r="AC7" s="2277">
        <v>0</v>
      </c>
      <c r="AD7" s="2276">
        <v>0</v>
      </c>
      <c r="AE7" s="2276">
        <v>0</v>
      </c>
      <c r="AF7" s="2277">
        <v>0</v>
      </c>
      <c r="AG7" s="2276">
        <v>0</v>
      </c>
      <c r="AH7" s="2276">
        <v>0</v>
      </c>
      <c r="AI7" s="2277">
        <v>0</v>
      </c>
      <c r="AJ7" s="2276">
        <v>0</v>
      </c>
      <c r="AK7" s="2276">
        <v>0</v>
      </c>
      <c r="AL7" s="2277">
        <v>0</v>
      </c>
      <c r="AM7" s="2276">
        <v>0</v>
      </c>
      <c r="AN7" s="2276">
        <v>0</v>
      </c>
      <c r="AO7" s="2277">
        <v>0</v>
      </c>
      <c r="AP7" s="2276">
        <v>0</v>
      </c>
      <c r="AQ7" s="2276">
        <v>0</v>
      </c>
      <c r="AR7" s="2277">
        <v>0</v>
      </c>
    </row>
    <row r="8" spans="1:44">
      <c r="A8" s="2275" t="s">
        <v>3420</v>
      </c>
      <c r="B8" s="2275" t="s">
        <v>3357</v>
      </c>
      <c r="C8" s="2276">
        <v>12443795893</v>
      </c>
      <c r="D8" s="2276">
        <v>4770256241</v>
      </c>
      <c r="E8" s="2016" t="s">
        <v>821</v>
      </c>
      <c r="F8" s="2016" t="s">
        <v>821</v>
      </c>
      <c r="G8" s="2016" t="s">
        <v>821</v>
      </c>
      <c r="H8" s="2017" t="s">
        <v>821</v>
      </c>
      <c r="I8" s="2276">
        <v>0</v>
      </c>
      <c r="J8" s="2276">
        <v>0</v>
      </c>
      <c r="K8" s="2277">
        <v>0</v>
      </c>
      <c r="L8" s="2276">
        <v>0</v>
      </c>
      <c r="M8" s="2276">
        <v>0</v>
      </c>
      <c r="N8" s="2277">
        <v>0</v>
      </c>
      <c r="O8" s="2276">
        <v>0</v>
      </c>
      <c r="P8" s="2276"/>
      <c r="Q8" s="2277">
        <v>0</v>
      </c>
      <c r="R8" s="2276"/>
      <c r="S8" s="2276"/>
      <c r="T8" s="2277">
        <v>0</v>
      </c>
      <c r="U8" s="2276"/>
      <c r="V8" s="2276"/>
      <c r="W8" s="2277">
        <v>0</v>
      </c>
      <c r="X8" s="2276">
        <v>0</v>
      </c>
      <c r="Y8" s="2276"/>
      <c r="Z8" s="2277">
        <v>0</v>
      </c>
      <c r="AA8" s="2276">
        <v>0</v>
      </c>
      <c r="AB8" s="2276">
        <v>0</v>
      </c>
      <c r="AC8" s="2277">
        <v>0</v>
      </c>
      <c r="AD8" s="2276">
        <v>0</v>
      </c>
      <c r="AE8" s="2276"/>
      <c r="AF8" s="2277">
        <v>0</v>
      </c>
      <c r="AG8" s="2276">
        <v>0</v>
      </c>
      <c r="AH8" s="2276"/>
      <c r="AI8" s="2277">
        <v>0</v>
      </c>
      <c r="AJ8" s="2276">
        <v>0</v>
      </c>
      <c r="AK8" s="2276"/>
      <c r="AL8" s="2277">
        <v>0</v>
      </c>
      <c r="AM8" s="2276">
        <v>0</v>
      </c>
      <c r="AN8" s="2276"/>
      <c r="AO8" s="2277">
        <v>0</v>
      </c>
      <c r="AP8" s="2276">
        <v>0</v>
      </c>
      <c r="AQ8" s="2276"/>
      <c r="AR8" s="2277">
        <v>0</v>
      </c>
    </row>
    <row r="9" spans="1:44">
      <c r="A9" s="2275" t="s">
        <v>3652</v>
      </c>
      <c r="B9" s="2275" t="s">
        <v>3357</v>
      </c>
      <c r="C9" s="2276">
        <v>0</v>
      </c>
      <c r="D9" s="2276">
        <v>0</v>
      </c>
      <c r="E9" s="2016">
        <v>0</v>
      </c>
      <c r="F9" s="2016">
        <v>0</v>
      </c>
      <c r="G9" s="2016">
        <v>0</v>
      </c>
      <c r="H9" s="2017">
        <v>0</v>
      </c>
      <c r="I9" s="2276">
        <v>0</v>
      </c>
      <c r="J9" s="2278">
        <v>0</v>
      </c>
      <c r="K9" s="2277">
        <v>0</v>
      </c>
      <c r="L9" s="2276">
        <v>0</v>
      </c>
      <c r="M9" s="2276">
        <v>0</v>
      </c>
      <c r="N9" s="2277">
        <v>0</v>
      </c>
      <c r="O9" s="2276">
        <v>0</v>
      </c>
      <c r="P9" s="2276"/>
      <c r="Q9" s="2277">
        <v>0</v>
      </c>
      <c r="R9" s="2276"/>
      <c r="S9" s="2276"/>
      <c r="T9" s="2277">
        <v>0</v>
      </c>
      <c r="U9" s="2276"/>
      <c r="V9" s="2276"/>
      <c r="W9" s="2277">
        <v>0</v>
      </c>
      <c r="X9" s="2276">
        <v>0</v>
      </c>
      <c r="Y9" s="2276"/>
      <c r="Z9" s="2277">
        <v>0</v>
      </c>
      <c r="AA9" s="2276">
        <v>0</v>
      </c>
      <c r="AB9" s="2276">
        <v>0</v>
      </c>
      <c r="AC9" s="2277">
        <v>0</v>
      </c>
      <c r="AD9" s="2276">
        <v>0</v>
      </c>
      <c r="AE9" s="2276"/>
      <c r="AF9" s="2277">
        <v>0</v>
      </c>
      <c r="AG9" s="2276">
        <v>0</v>
      </c>
      <c r="AH9" s="2276"/>
      <c r="AI9" s="2277">
        <v>0</v>
      </c>
      <c r="AJ9" s="2276">
        <v>0</v>
      </c>
      <c r="AK9" s="2276"/>
      <c r="AL9" s="2277">
        <v>0</v>
      </c>
      <c r="AM9" s="2276">
        <v>0</v>
      </c>
      <c r="AN9" s="2276"/>
      <c r="AO9" s="2277">
        <v>0</v>
      </c>
      <c r="AP9" s="2276">
        <v>0</v>
      </c>
      <c r="AQ9" s="2276"/>
      <c r="AR9" s="2277">
        <v>0</v>
      </c>
    </row>
    <row r="10" spans="1:44">
      <c r="A10" s="2275" t="s">
        <v>3653</v>
      </c>
      <c r="B10" s="2275" t="s">
        <v>3357</v>
      </c>
      <c r="C10" s="2276"/>
      <c r="D10" s="2276"/>
      <c r="E10" s="2016">
        <v>8497276688</v>
      </c>
      <c r="F10" s="2016">
        <v>0</v>
      </c>
      <c r="G10" s="2016">
        <v>1321297088.6800001</v>
      </c>
      <c r="H10" s="2017">
        <v>2642594177.3600001</v>
      </c>
      <c r="I10" s="2276">
        <v>1321297088.6800001</v>
      </c>
      <c r="J10" s="2276">
        <v>1321297088.6800001</v>
      </c>
      <c r="K10" s="2277">
        <v>2642594177.3600001</v>
      </c>
      <c r="L10" s="2276">
        <v>1321297088.6800001</v>
      </c>
      <c r="M10" s="2276">
        <v>1321297088.6800001</v>
      </c>
      <c r="N10" s="2277">
        <v>2642594177.3600001</v>
      </c>
      <c r="O10" s="2276">
        <v>1321297088.6800001</v>
      </c>
      <c r="P10" s="2276">
        <v>1321297088.6800001</v>
      </c>
      <c r="Q10" s="2277">
        <v>2642594177.3600001</v>
      </c>
      <c r="R10" s="2276">
        <v>1321297088.6800001</v>
      </c>
      <c r="S10" s="2276">
        <v>1321297088.6800001</v>
      </c>
      <c r="T10" s="2277">
        <v>2642594177.3600001</v>
      </c>
      <c r="U10" s="2276">
        <v>1321297088.6800001</v>
      </c>
      <c r="V10" s="2276">
        <v>1321297088.6800001</v>
      </c>
      <c r="W10" s="2277">
        <v>2642594177.3600001</v>
      </c>
      <c r="X10" s="2276">
        <v>1321297088.6800001</v>
      </c>
      <c r="Y10" s="2276">
        <v>1321297088.6800001</v>
      </c>
      <c r="Z10" s="2277">
        <v>2642594177.3600001</v>
      </c>
      <c r="AA10" s="2276">
        <v>1321297088.6800001</v>
      </c>
      <c r="AB10" s="2276">
        <v>1321297088.6800001</v>
      </c>
      <c r="AC10" s="2277">
        <v>2642594177.3600001</v>
      </c>
      <c r="AD10" s="2276">
        <v>1321297088.6800001</v>
      </c>
      <c r="AE10" s="2276">
        <v>1321297088.6800001</v>
      </c>
      <c r="AF10" s="2277">
        <v>2642594177.3600001</v>
      </c>
      <c r="AG10" s="2276">
        <v>1321297088.6800001</v>
      </c>
      <c r="AH10" s="2276">
        <v>1321297088.6800001</v>
      </c>
      <c r="AI10" s="2277">
        <v>2642594177.3600001</v>
      </c>
      <c r="AJ10" s="2276">
        <v>1321297088.6800001</v>
      </c>
      <c r="AK10" s="2276">
        <v>1321297088.6800001</v>
      </c>
      <c r="AL10" s="2277">
        <v>2642594177.3600001</v>
      </c>
      <c r="AM10" s="2276">
        <v>1321297088.6800001</v>
      </c>
      <c r="AN10" s="2276">
        <v>1321297088.6800001</v>
      </c>
      <c r="AO10" s="2277">
        <v>2642594177.3600001</v>
      </c>
      <c r="AP10" s="2276">
        <v>1321297088.6800001</v>
      </c>
      <c r="AQ10" s="2276">
        <v>1321297088.6800001</v>
      </c>
      <c r="AR10" s="2277">
        <v>2642594177.3600001</v>
      </c>
    </row>
    <row r="11" spans="1:44">
      <c r="A11" s="2275" t="s">
        <v>3421</v>
      </c>
      <c r="B11" s="2275" t="s">
        <v>3357</v>
      </c>
      <c r="C11" s="2276" t="s">
        <v>821</v>
      </c>
      <c r="D11" s="2276" t="s">
        <v>821</v>
      </c>
      <c r="E11" s="2016" t="s">
        <v>821</v>
      </c>
      <c r="F11" s="2016">
        <v>0</v>
      </c>
      <c r="G11" s="2016" t="s">
        <v>821</v>
      </c>
      <c r="H11" s="2017" t="s">
        <v>821</v>
      </c>
      <c r="I11" s="2276">
        <v>0</v>
      </c>
      <c r="J11" s="2276">
        <v>10000000000</v>
      </c>
      <c r="K11" s="2277">
        <v>10000000000</v>
      </c>
      <c r="L11" s="2276">
        <v>0</v>
      </c>
      <c r="M11" s="2276">
        <v>0</v>
      </c>
      <c r="N11" s="2277">
        <v>0</v>
      </c>
      <c r="O11" s="2276">
        <v>0</v>
      </c>
      <c r="P11" s="2276">
        <v>0</v>
      </c>
      <c r="Q11" s="2277">
        <v>0</v>
      </c>
      <c r="R11" s="2276">
        <v>0</v>
      </c>
      <c r="S11" s="2276">
        <v>0</v>
      </c>
      <c r="T11" s="2277">
        <v>0</v>
      </c>
      <c r="U11" s="2276">
        <v>0</v>
      </c>
      <c r="V11" s="2276">
        <v>0</v>
      </c>
      <c r="W11" s="2277">
        <v>0</v>
      </c>
      <c r="X11" s="2276">
        <v>0</v>
      </c>
      <c r="Y11" s="2276">
        <v>0</v>
      </c>
      <c r="Z11" s="2277">
        <v>0</v>
      </c>
      <c r="AA11" s="2276">
        <v>0</v>
      </c>
      <c r="AB11" s="2276">
        <v>0</v>
      </c>
      <c r="AC11" s="2277">
        <v>0</v>
      </c>
      <c r="AD11" s="2276">
        <v>0</v>
      </c>
      <c r="AE11" s="2276">
        <v>0</v>
      </c>
      <c r="AF11" s="2277">
        <v>0</v>
      </c>
      <c r="AG11" s="2276">
        <v>0</v>
      </c>
      <c r="AH11" s="2276">
        <v>0</v>
      </c>
      <c r="AI11" s="2277">
        <v>0</v>
      </c>
      <c r="AJ11" s="2276">
        <v>0</v>
      </c>
      <c r="AK11" s="2276">
        <v>0</v>
      </c>
      <c r="AL11" s="2277">
        <v>0</v>
      </c>
      <c r="AM11" s="2276">
        <v>0</v>
      </c>
      <c r="AN11" s="2276">
        <v>0</v>
      </c>
      <c r="AO11" s="2277">
        <v>0</v>
      </c>
      <c r="AP11" s="2276">
        <v>0</v>
      </c>
      <c r="AQ11" s="2276">
        <v>0</v>
      </c>
      <c r="AR11" s="2277">
        <v>0</v>
      </c>
    </row>
    <row r="12" spans="1:44">
      <c r="A12" s="2275" t="s">
        <v>3422</v>
      </c>
      <c r="B12" s="2275" t="s">
        <v>3357</v>
      </c>
      <c r="C12" s="2276" t="s">
        <v>821</v>
      </c>
      <c r="D12" s="2276" t="s">
        <v>821</v>
      </c>
      <c r="E12" s="2016" t="s">
        <v>821</v>
      </c>
      <c r="F12" s="2016">
        <v>0</v>
      </c>
      <c r="G12" s="2016" t="s">
        <v>821</v>
      </c>
      <c r="H12" s="2017" t="s">
        <v>821</v>
      </c>
      <c r="I12" s="2276">
        <v>0</v>
      </c>
      <c r="J12" s="2276">
        <v>0</v>
      </c>
      <c r="K12" s="2277">
        <v>0</v>
      </c>
      <c r="L12" s="2276">
        <v>0</v>
      </c>
      <c r="M12" s="2276">
        <v>0</v>
      </c>
      <c r="N12" s="2277">
        <v>0</v>
      </c>
      <c r="O12" s="2276">
        <v>0</v>
      </c>
      <c r="P12" s="2276">
        <v>0</v>
      </c>
      <c r="Q12" s="2277">
        <v>0</v>
      </c>
      <c r="R12" s="2276">
        <v>0</v>
      </c>
      <c r="S12" s="2276">
        <v>35000000000</v>
      </c>
      <c r="T12" s="2277">
        <v>35000000000</v>
      </c>
      <c r="U12" s="2276">
        <v>0</v>
      </c>
      <c r="V12" s="2276">
        <v>0</v>
      </c>
      <c r="W12" s="2277">
        <v>0</v>
      </c>
      <c r="X12" s="2276">
        <v>0</v>
      </c>
      <c r="Y12" s="2276">
        <v>0</v>
      </c>
      <c r="Z12" s="2277">
        <v>0</v>
      </c>
      <c r="AA12" s="2276">
        <v>0</v>
      </c>
      <c r="AB12" s="2276">
        <v>0</v>
      </c>
      <c r="AC12" s="2277">
        <v>0</v>
      </c>
      <c r="AD12" s="2276">
        <v>0</v>
      </c>
      <c r="AE12" s="2276">
        <v>0</v>
      </c>
      <c r="AF12" s="2277">
        <v>0</v>
      </c>
      <c r="AG12" s="2276">
        <v>0</v>
      </c>
      <c r="AH12" s="2276">
        <v>0</v>
      </c>
      <c r="AI12" s="2277">
        <v>0</v>
      </c>
      <c r="AJ12" s="2276">
        <v>0</v>
      </c>
      <c r="AK12" s="2276">
        <v>0</v>
      </c>
      <c r="AL12" s="2277">
        <v>0</v>
      </c>
      <c r="AM12" s="2276">
        <v>0</v>
      </c>
      <c r="AN12" s="2276">
        <v>0</v>
      </c>
      <c r="AO12" s="2277">
        <v>0</v>
      </c>
      <c r="AP12" s="2276">
        <v>0</v>
      </c>
      <c r="AQ12" s="2276">
        <v>0</v>
      </c>
      <c r="AR12" s="2277">
        <v>0</v>
      </c>
    </row>
    <row r="13" spans="1:44">
      <c r="A13" s="2275" t="s">
        <v>3437</v>
      </c>
      <c r="B13" s="2275" t="s">
        <v>3357</v>
      </c>
      <c r="C13" s="2276" t="s">
        <v>821</v>
      </c>
      <c r="D13" s="2276">
        <v>15000000000</v>
      </c>
      <c r="E13" s="2016" t="s">
        <v>821</v>
      </c>
      <c r="F13" s="2016">
        <v>0</v>
      </c>
      <c r="G13" s="2016" t="s">
        <v>821</v>
      </c>
      <c r="H13" s="2017" t="s">
        <v>821</v>
      </c>
      <c r="I13" s="2276">
        <v>0</v>
      </c>
      <c r="J13" s="2276">
        <v>0</v>
      </c>
      <c r="K13" s="2277">
        <v>0</v>
      </c>
      <c r="L13" s="2276">
        <v>25000000000</v>
      </c>
      <c r="M13" s="2276">
        <v>0</v>
      </c>
      <c r="N13" s="2277">
        <v>25000000000</v>
      </c>
      <c r="O13" s="2276">
        <v>0</v>
      </c>
      <c r="P13" s="2276">
        <v>0</v>
      </c>
      <c r="Q13" s="2277">
        <v>0</v>
      </c>
      <c r="R13" s="2276">
        <v>0</v>
      </c>
      <c r="S13" s="2276">
        <v>0</v>
      </c>
      <c r="T13" s="2277">
        <v>0</v>
      </c>
      <c r="U13" s="2276">
        <v>0</v>
      </c>
      <c r="V13" s="2276">
        <v>0</v>
      </c>
      <c r="W13" s="2277">
        <v>0</v>
      </c>
      <c r="X13" s="2276">
        <v>0</v>
      </c>
      <c r="Y13" s="2276">
        <v>0</v>
      </c>
      <c r="Z13" s="2277">
        <v>0</v>
      </c>
      <c r="AA13" s="2276">
        <v>0</v>
      </c>
      <c r="AB13" s="2276">
        <v>0</v>
      </c>
      <c r="AC13" s="2277">
        <v>0</v>
      </c>
      <c r="AD13" s="2276">
        <v>0</v>
      </c>
      <c r="AE13" s="2276">
        <v>0</v>
      </c>
      <c r="AF13" s="2277">
        <v>0</v>
      </c>
      <c r="AG13" s="2276">
        <v>0</v>
      </c>
      <c r="AH13" s="2276">
        <v>0</v>
      </c>
      <c r="AI13" s="2277">
        <v>0</v>
      </c>
      <c r="AJ13" s="2276">
        <v>0</v>
      </c>
      <c r="AK13" s="2276">
        <v>0</v>
      </c>
      <c r="AL13" s="2277">
        <v>0</v>
      </c>
      <c r="AM13" s="2276">
        <v>0</v>
      </c>
      <c r="AN13" s="2276">
        <v>0</v>
      </c>
      <c r="AO13" s="2277">
        <v>0</v>
      </c>
      <c r="AP13" s="2276">
        <v>0</v>
      </c>
      <c r="AQ13" s="2276">
        <v>0</v>
      </c>
      <c r="AR13" s="2277">
        <v>0</v>
      </c>
    </row>
    <row r="14" spans="1:44">
      <c r="A14" s="2275" t="s">
        <v>3455</v>
      </c>
      <c r="B14" s="2275" t="s">
        <v>3357</v>
      </c>
      <c r="C14" s="2276" t="s">
        <v>821</v>
      </c>
      <c r="D14" s="2276" t="s">
        <v>821</v>
      </c>
      <c r="E14" s="2016" t="s">
        <v>821</v>
      </c>
      <c r="F14" s="2016">
        <v>0</v>
      </c>
      <c r="G14" s="2016" t="s">
        <v>821</v>
      </c>
      <c r="H14" s="2017" t="s">
        <v>821</v>
      </c>
      <c r="I14" s="2276">
        <v>0</v>
      </c>
      <c r="J14" s="2276">
        <v>0</v>
      </c>
      <c r="K14" s="2277">
        <v>0</v>
      </c>
      <c r="L14" s="2276">
        <v>0</v>
      </c>
      <c r="M14" s="2276">
        <v>0</v>
      </c>
      <c r="N14" s="2277">
        <v>0</v>
      </c>
      <c r="O14" s="2276">
        <v>15902700000</v>
      </c>
      <c r="P14" s="2276">
        <v>0</v>
      </c>
      <c r="Q14" s="2277">
        <v>15902700000</v>
      </c>
      <c r="R14" s="2276">
        <v>0</v>
      </c>
      <c r="S14" s="2276">
        <v>0</v>
      </c>
      <c r="T14" s="2277">
        <v>0</v>
      </c>
      <c r="U14" s="2276">
        <v>0</v>
      </c>
      <c r="V14" s="2276">
        <v>0</v>
      </c>
      <c r="W14" s="2277">
        <v>0</v>
      </c>
      <c r="X14" s="2276">
        <v>0</v>
      </c>
      <c r="Y14" s="2276">
        <v>0</v>
      </c>
      <c r="Z14" s="2277">
        <v>0</v>
      </c>
      <c r="AA14" s="2276">
        <v>0</v>
      </c>
      <c r="AB14" s="2276">
        <v>0</v>
      </c>
      <c r="AC14" s="2277">
        <v>0</v>
      </c>
      <c r="AD14" s="2276">
        <v>0</v>
      </c>
      <c r="AE14" s="2276">
        <v>0</v>
      </c>
      <c r="AF14" s="2277">
        <v>0</v>
      </c>
      <c r="AG14" s="2276">
        <v>0</v>
      </c>
      <c r="AH14" s="2276">
        <v>0</v>
      </c>
      <c r="AI14" s="2277">
        <v>0</v>
      </c>
      <c r="AJ14" s="2276">
        <v>0</v>
      </c>
      <c r="AK14" s="2276">
        <v>0</v>
      </c>
      <c r="AL14" s="2277">
        <v>0</v>
      </c>
      <c r="AM14" s="2276">
        <v>0</v>
      </c>
      <c r="AN14" s="2276">
        <v>0</v>
      </c>
      <c r="AO14" s="2277">
        <v>0</v>
      </c>
      <c r="AP14" s="2276">
        <v>0</v>
      </c>
      <c r="AQ14" s="2276">
        <v>0</v>
      </c>
      <c r="AR14" s="2277">
        <v>0</v>
      </c>
    </row>
    <row r="15" spans="1:44">
      <c r="A15" s="2275" t="s">
        <v>3439</v>
      </c>
      <c r="B15" s="2275" t="s">
        <v>3357</v>
      </c>
      <c r="C15" s="2276" t="s">
        <v>821</v>
      </c>
      <c r="D15" s="2276" t="s">
        <v>821</v>
      </c>
      <c r="E15" s="2016" t="s">
        <v>821</v>
      </c>
      <c r="F15" s="2016">
        <v>0</v>
      </c>
      <c r="G15" s="2016" t="s">
        <v>821</v>
      </c>
      <c r="H15" s="2017" t="s">
        <v>821</v>
      </c>
      <c r="I15" s="2276">
        <v>35000000000</v>
      </c>
      <c r="J15" s="2276">
        <v>0</v>
      </c>
      <c r="K15" s="2277">
        <v>35000000000</v>
      </c>
      <c r="L15" s="2276">
        <v>0</v>
      </c>
      <c r="M15" s="2276">
        <v>0</v>
      </c>
      <c r="N15" s="2277">
        <v>0</v>
      </c>
      <c r="O15" s="2276">
        <v>0</v>
      </c>
      <c r="P15" s="2276">
        <v>0</v>
      </c>
      <c r="Q15" s="2277">
        <v>0</v>
      </c>
      <c r="R15" s="2276">
        <v>0</v>
      </c>
      <c r="S15" s="2276">
        <v>0</v>
      </c>
      <c r="T15" s="2277">
        <v>0</v>
      </c>
      <c r="U15" s="2276">
        <v>0</v>
      </c>
      <c r="V15" s="2276">
        <v>0</v>
      </c>
      <c r="W15" s="2277">
        <v>0</v>
      </c>
      <c r="X15" s="2276">
        <v>0</v>
      </c>
      <c r="Y15" s="2276">
        <v>0</v>
      </c>
      <c r="Z15" s="2277">
        <v>0</v>
      </c>
      <c r="AA15" s="2276">
        <v>0</v>
      </c>
      <c r="AB15" s="2276">
        <v>0</v>
      </c>
      <c r="AC15" s="2277">
        <v>0</v>
      </c>
      <c r="AD15" s="2276">
        <v>0</v>
      </c>
      <c r="AE15" s="2276">
        <v>0</v>
      </c>
      <c r="AF15" s="2277">
        <v>0</v>
      </c>
      <c r="AG15" s="2276">
        <v>0</v>
      </c>
      <c r="AH15" s="2276">
        <v>0</v>
      </c>
      <c r="AI15" s="2277">
        <v>0</v>
      </c>
      <c r="AJ15" s="2276">
        <v>0</v>
      </c>
      <c r="AK15" s="2276">
        <v>0</v>
      </c>
      <c r="AL15" s="2277">
        <v>0</v>
      </c>
      <c r="AM15" s="2276">
        <v>0</v>
      </c>
      <c r="AN15" s="2276">
        <v>0</v>
      </c>
      <c r="AO15" s="2277">
        <v>0</v>
      </c>
      <c r="AP15" s="2276">
        <v>0</v>
      </c>
      <c r="AQ15" s="2276">
        <v>0</v>
      </c>
      <c r="AR15" s="2277">
        <v>0</v>
      </c>
    </row>
    <row r="16" spans="1:44">
      <c r="A16" s="2275" t="s">
        <v>3441</v>
      </c>
      <c r="B16" s="2275" t="s">
        <v>3357</v>
      </c>
      <c r="C16" s="2276">
        <v>15000000000</v>
      </c>
      <c r="D16" s="2276" t="s">
        <v>821</v>
      </c>
      <c r="E16" s="2016" t="s">
        <v>821</v>
      </c>
      <c r="F16" s="2016">
        <v>0</v>
      </c>
      <c r="G16" s="2016" t="s">
        <v>821</v>
      </c>
      <c r="H16" s="2017" t="s">
        <v>821</v>
      </c>
      <c r="I16" s="2276">
        <v>0</v>
      </c>
      <c r="J16" s="2276">
        <v>0</v>
      </c>
      <c r="K16" s="2277">
        <v>0</v>
      </c>
      <c r="L16" s="2276">
        <v>0</v>
      </c>
      <c r="M16" s="2276">
        <v>14999920000</v>
      </c>
      <c r="N16" s="2277">
        <v>14999920000</v>
      </c>
      <c r="O16" s="2276">
        <v>0</v>
      </c>
      <c r="P16" s="2276">
        <v>0</v>
      </c>
      <c r="Q16" s="2277">
        <v>0</v>
      </c>
      <c r="R16" s="2276">
        <v>0</v>
      </c>
      <c r="S16" s="2276">
        <v>0</v>
      </c>
      <c r="T16" s="2277">
        <v>0</v>
      </c>
      <c r="U16" s="2276">
        <v>0</v>
      </c>
      <c r="V16" s="2276">
        <v>0</v>
      </c>
      <c r="W16" s="2277">
        <v>0</v>
      </c>
      <c r="X16" s="2276">
        <v>0</v>
      </c>
      <c r="Y16" s="2276">
        <v>0</v>
      </c>
      <c r="Z16" s="2277">
        <v>0</v>
      </c>
      <c r="AA16" s="2276">
        <v>0</v>
      </c>
      <c r="AB16" s="2276">
        <v>0</v>
      </c>
      <c r="AC16" s="2277">
        <v>0</v>
      </c>
      <c r="AD16" s="2276">
        <v>0</v>
      </c>
      <c r="AE16" s="2276">
        <v>0</v>
      </c>
      <c r="AF16" s="2277">
        <v>0</v>
      </c>
      <c r="AG16" s="2276">
        <v>0</v>
      </c>
      <c r="AH16" s="2276">
        <v>0</v>
      </c>
      <c r="AI16" s="2277">
        <v>0</v>
      </c>
      <c r="AJ16" s="2276">
        <v>0</v>
      </c>
      <c r="AK16" s="2276">
        <v>0</v>
      </c>
      <c r="AL16" s="2277">
        <v>0</v>
      </c>
      <c r="AM16" s="2276">
        <v>0</v>
      </c>
      <c r="AN16" s="2276">
        <v>0</v>
      </c>
      <c r="AO16" s="2277">
        <v>0</v>
      </c>
      <c r="AP16" s="2276">
        <v>0</v>
      </c>
      <c r="AQ16" s="2276">
        <v>0</v>
      </c>
      <c r="AR16" s="2277">
        <v>0</v>
      </c>
    </row>
    <row r="17" spans="1:44">
      <c r="A17" s="2275" t="s">
        <v>3442</v>
      </c>
      <c r="B17" s="2275" t="s">
        <v>3357</v>
      </c>
      <c r="C17" s="2276" t="s">
        <v>821</v>
      </c>
      <c r="D17" s="2276">
        <v>15000000000</v>
      </c>
      <c r="E17" s="2016" t="s">
        <v>821</v>
      </c>
      <c r="F17" s="2016">
        <v>0</v>
      </c>
      <c r="G17" s="2016" t="s">
        <v>821</v>
      </c>
      <c r="H17" s="2017" t="s">
        <v>821</v>
      </c>
      <c r="I17" s="2276">
        <v>0</v>
      </c>
      <c r="J17" s="2276">
        <v>0</v>
      </c>
      <c r="K17" s="2277">
        <v>0</v>
      </c>
      <c r="L17" s="2276">
        <v>0</v>
      </c>
      <c r="M17" s="2276">
        <v>0</v>
      </c>
      <c r="N17" s="2277">
        <v>0</v>
      </c>
      <c r="O17" s="2276">
        <v>0</v>
      </c>
      <c r="P17" s="2276">
        <v>21469500000</v>
      </c>
      <c r="Q17" s="2277">
        <v>21469500000</v>
      </c>
      <c r="R17" s="2276">
        <v>0</v>
      </c>
      <c r="S17" s="2276">
        <v>0</v>
      </c>
      <c r="T17" s="2277">
        <v>0</v>
      </c>
      <c r="U17" s="2276">
        <v>0</v>
      </c>
      <c r="V17" s="2276">
        <v>0</v>
      </c>
      <c r="W17" s="2277">
        <v>0</v>
      </c>
      <c r="X17" s="2276">
        <v>0</v>
      </c>
      <c r="Y17" s="2276">
        <v>0</v>
      </c>
      <c r="Z17" s="2277">
        <v>0</v>
      </c>
      <c r="AA17" s="2276">
        <v>0</v>
      </c>
      <c r="AB17" s="2276">
        <v>0</v>
      </c>
      <c r="AC17" s="2277">
        <v>0</v>
      </c>
      <c r="AD17" s="2276">
        <v>0</v>
      </c>
      <c r="AE17" s="2276">
        <v>0</v>
      </c>
      <c r="AF17" s="2277">
        <v>0</v>
      </c>
      <c r="AG17" s="2276">
        <v>0</v>
      </c>
      <c r="AH17" s="2276">
        <v>0</v>
      </c>
      <c r="AI17" s="2277">
        <v>0</v>
      </c>
      <c r="AJ17" s="2276">
        <v>0</v>
      </c>
      <c r="AK17" s="2276">
        <v>0</v>
      </c>
      <c r="AL17" s="2277">
        <v>0</v>
      </c>
      <c r="AM17" s="2276">
        <v>0</v>
      </c>
      <c r="AN17" s="2276">
        <v>0</v>
      </c>
      <c r="AO17" s="2277">
        <v>0</v>
      </c>
      <c r="AP17" s="2276">
        <v>0</v>
      </c>
      <c r="AQ17" s="2276">
        <v>0</v>
      </c>
      <c r="AR17" s="2277">
        <v>0</v>
      </c>
    </row>
    <row r="18" spans="1:44">
      <c r="A18" s="2275" t="s">
        <v>3443</v>
      </c>
      <c r="B18" s="2275" t="s">
        <v>3357</v>
      </c>
      <c r="C18" s="2276" t="s">
        <v>821</v>
      </c>
      <c r="D18" s="2276" t="s">
        <v>821</v>
      </c>
      <c r="E18" s="2016" t="s">
        <v>821</v>
      </c>
      <c r="F18" s="2016">
        <v>0</v>
      </c>
      <c r="G18" s="2016" t="s">
        <v>821</v>
      </c>
      <c r="H18" s="2017" t="s">
        <v>821</v>
      </c>
      <c r="I18" s="2276">
        <v>0</v>
      </c>
      <c r="J18" s="2276">
        <v>0</v>
      </c>
      <c r="K18" s="2277">
        <v>0</v>
      </c>
      <c r="L18" s="2276">
        <v>0</v>
      </c>
      <c r="M18" s="2276">
        <v>0</v>
      </c>
      <c r="N18" s="2277">
        <v>0</v>
      </c>
      <c r="O18" s="2276">
        <v>0</v>
      </c>
      <c r="P18" s="2276">
        <v>0</v>
      </c>
      <c r="Q18" s="2277">
        <v>0</v>
      </c>
      <c r="R18" s="2276">
        <v>0</v>
      </c>
      <c r="S18" s="2276">
        <v>0</v>
      </c>
      <c r="T18" s="2277">
        <v>0</v>
      </c>
      <c r="U18" s="2276">
        <v>0</v>
      </c>
      <c r="V18" s="2276">
        <v>0</v>
      </c>
      <c r="W18" s="2277">
        <v>0</v>
      </c>
      <c r="X18" s="2276">
        <v>0</v>
      </c>
      <c r="Y18" s="2276">
        <v>0</v>
      </c>
      <c r="Z18" s="2277">
        <v>0</v>
      </c>
      <c r="AA18" s="2276">
        <v>0</v>
      </c>
      <c r="AB18" s="2276">
        <v>0</v>
      </c>
      <c r="AC18" s="2277">
        <v>0</v>
      </c>
      <c r="AD18" s="2276">
        <v>0</v>
      </c>
      <c r="AE18" s="2276">
        <v>0</v>
      </c>
      <c r="AF18" s="2277">
        <v>0</v>
      </c>
      <c r="AG18" s="2276">
        <v>0</v>
      </c>
      <c r="AH18" s="2276">
        <v>0</v>
      </c>
      <c r="AI18" s="2277">
        <v>0</v>
      </c>
      <c r="AJ18" s="2276">
        <v>0</v>
      </c>
      <c r="AK18" s="2276">
        <v>0</v>
      </c>
      <c r="AL18" s="2277">
        <v>0</v>
      </c>
      <c r="AM18" s="2276">
        <v>0</v>
      </c>
      <c r="AN18" s="2276">
        <v>0</v>
      </c>
      <c r="AO18" s="2277">
        <v>0</v>
      </c>
      <c r="AP18" s="2276">
        <v>0</v>
      </c>
      <c r="AQ18" s="2276">
        <v>0</v>
      </c>
      <c r="AR18" s="2277">
        <v>0</v>
      </c>
    </row>
    <row r="19" spans="1:44">
      <c r="A19" s="2275" t="s">
        <v>3454</v>
      </c>
      <c r="B19" s="2275" t="s">
        <v>3357</v>
      </c>
      <c r="C19" s="2276" t="s">
        <v>821</v>
      </c>
      <c r="D19" s="2276" t="s">
        <v>821</v>
      </c>
      <c r="E19" s="2016" t="s">
        <v>821</v>
      </c>
      <c r="F19" s="2016">
        <v>0</v>
      </c>
      <c r="G19" s="2016" t="s">
        <v>821</v>
      </c>
      <c r="H19" s="2017" t="s">
        <v>821</v>
      </c>
      <c r="I19" s="2276">
        <v>0</v>
      </c>
      <c r="J19" s="2276">
        <v>0</v>
      </c>
      <c r="K19" s="2277">
        <v>0</v>
      </c>
      <c r="L19" s="2276">
        <v>0</v>
      </c>
      <c r="M19" s="2276">
        <v>0</v>
      </c>
      <c r="N19" s="2277">
        <v>0</v>
      </c>
      <c r="O19" s="2276">
        <v>0</v>
      </c>
      <c r="P19" s="2276">
        <v>0</v>
      </c>
      <c r="Q19" s="2277">
        <v>0</v>
      </c>
      <c r="R19" s="2276">
        <v>0</v>
      </c>
      <c r="S19" s="2276">
        <v>28284700000</v>
      </c>
      <c r="T19" s="2277">
        <v>28284700000</v>
      </c>
      <c r="U19" s="2276">
        <v>0</v>
      </c>
      <c r="V19" s="2276">
        <v>0</v>
      </c>
      <c r="W19" s="2277">
        <v>0</v>
      </c>
      <c r="X19" s="2276">
        <v>0</v>
      </c>
      <c r="Y19" s="2276">
        <v>0</v>
      </c>
      <c r="Z19" s="2277">
        <v>0</v>
      </c>
      <c r="AA19" s="2276">
        <v>0</v>
      </c>
      <c r="AB19" s="2276">
        <v>0</v>
      </c>
      <c r="AC19" s="2277">
        <v>0</v>
      </c>
      <c r="AD19" s="2276">
        <v>0</v>
      </c>
      <c r="AE19" s="2276">
        <v>0</v>
      </c>
      <c r="AF19" s="2277">
        <v>0</v>
      </c>
      <c r="AG19" s="2276">
        <v>0</v>
      </c>
      <c r="AH19" s="2276">
        <v>0</v>
      </c>
      <c r="AI19" s="2277">
        <v>0</v>
      </c>
      <c r="AJ19" s="2276">
        <v>0</v>
      </c>
      <c r="AK19" s="2276">
        <v>0</v>
      </c>
      <c r="AL19" s="2277">
        <v>0</v>
      </c>
      <c r="AM19" s="2276">
        <v>0</v>
      </c>
      <c r="AN19" s="2276">
        <v>0</v>
      </c>
      <c r="AO19" s="2277">
        <v>0</v>
      </c>
      <c r="AP19" s="2276">
        <v>0</v>
      </c>
      <c r="AQ19" s="2276">
        <v>0</v>
      </c>
      <c r="AR19" s="2277">
        <v>0</v>
      </c>
    </row>
    <row r="20" spans="1:44">
      <c r="A20" s="2275" t="s">
        <v>3445</v>
      </c>
      <c r="B20" s="2275" t="s">
        <v>3357</v>
      </c>
      <c r="C20" s="2276" t="s">
        <v>821</v>
      </c>
      <c r="D20" s="2276" t="s">
        <v>821</v>
      </c>
      <c r="E20" s="2016" t="s">
        <v>821</v>
      </c>
      <c r="F20" s="2016">
        <v>0</v>
      </c>
      <c r="G20" s="2016" t="s">
        <v>821</v>
      </c>
      <c r="H20" s="2017" t="s">
        <v>821</v>
      </c>
      <c r="I20" s="2276">
        <v>0</v>
      </c>
      <c r="J20" s="2276">
        <v>0</v>
      </c>
      <c r="K20" s="2277">
        <v>0</v>
      </c>
      <c r="L20" s="2276">
        <v>35000000000</v>
      </c>
      <c r="M20" s="2276">
        <v>0</v>
      </c>
      <c r="N20" s="2277">
        <v>35000000000</v>
      </c>
      <c r="O20" s="2276">
        <v>0</v>
      </c>
      <c r="P20" s="2276">
        <v>0</v>
      </c>
      <c r="Q20" s="2277">
        <v>0</v>
      </c>
      <c r="R20" s="2276">
        <v>0</v>
      </c>
      <c r="S20" s="2276">
        <v>0</v>
      </c>
      <c r="T20" s="2277">
        <v>0</v>
      </c>
      <c r="U20" s="2276">
        <v>0</v>
      </c>
      <c r="V20" s="2276">
        <v>0</v>
      </c>
      <c r="W20" s="2277">
        <v>0</v>
      </c>
      <c r="X20" s="2276">
        <v>0</v>
      </c>
      <c r="Y20" s="2276">
        <v>0</v>
      </c>
      <c r="Z20" s="2277">
        <v>0</v>
      </c>
      <c r="AA20" s="2276">
        <v>0</v>
      </c>
      <c r="AB20" s="2276">
        <v>0</v>
      </c>
      <c r="AC20" s="2277">
        <v>0</v>
      </c>
      <c r="AD20" s="2276">
        <v>0</v>
      </c>
      <c r="AE20" s="2276">
        <v>0</v>
      </c>
      <c r="AF20" s="2277">
        <v>0</v>
      </c>
      <c r="AG20" s="2276">
        <v>0</v>
      </c>
      <c r="AH20" s="2276">
        <v>0</v>
      </c>
      <c r="AI20" s="2277">
        <v>0</v>
      </c>
      <c r="AJ20" s="2276">
        <v>0</v>
      </c>
      <c r="AK20" s="2276">
        <v>0</v>
      </c>
      <c r="AL20" s="2277">
        <v>0</v>
      </c>
      <c r="AM20" s="2276">
        <v>0</v>
      </c>
      <c r="AN20" s="2276">
        <v>0</v>
      </c>
      <c r="AO20" s="2277">
        <v>0</v>
      </c>
      <c r="AP20" s="2276">
        <v>0</v>
      </c>
      <c r="AQ20" s="2276">
        <v>0</v>
      </c>
      <c r="AR20" s="2277">
        <v>0</v>
      </c>
    </row>
    <row r="21" spans="1:44">
      <c r="A21" s="2275" t="s">
        <v>3446</v>
      </c>
      <c r="B21" s="2275" t="s">
        <v>3357</v>
      </c>
      <c r="C21" s="2276" t="s">
        <v>821</v>
      </c>
      <c r="D21" s="2276" t="s">
        <v>821</v>
      </c>
      <c r="E21" s="2016" t="s">
        <v>821</v>
      </c>
      <c r="F21" s="2016">
        <v>0</v>
      </c>
      <c r="G21" s="2016" t="s">
        <v>821</v>
      </c>
      <c r="H21" s="2017" t="s">
        <v>821</v>
      </c>
      <c r="I21" s="2276">
        <v>0</v>
      </c>
      <c r="J21" s="2276">
        <v>0</v>
      </c>
      <c r="K21" s="2277">
        <v>0</v>
      </c>
      <c r="L21" s="2276">
        <v>0</v>
      </c>
      <c r="M21" s="2276">
        <v>49283700000</v>
      </c>
      <c r="N21" s="2277">
        <v>49283700000</v>
      </c>
      <c r="O21" s="2276">
        <v>0</v>
      </c>
      <c r="P21" s="2276">
        <v>0</v>
      </c>
      <c r="Q21" s="2277">
        <v>0</v>
      </c>
      <c r="R21" s="2276">
        <v>0</v>
      </c>
      <c r="S21" s="2276">
        <v>0</v>
      </c>
      <c r="T21" s="2277">
        <v>0</v>
      </c>
      <c r="U21" s="2276">
        <v>0</v>
      </c>
      <c r="V21" s="2276">
        <v>0</v>
      </c>
      <c r="W21" s="2277">
        <v>0</v>
      </c>
      <c r="X21" s="2276">
        <v>0</v>
      </c>
      <c r="Y21" s="2276">
        <v>0</v>
      </c>
      <c r="Z21" s="2277">
        <v>0</v>
      </c>
      <c r="AA21" s="2276">
        <v>0</v>
      </c>
      <c r="AB21" s="2276">
        <v>0</v>
      </c>
      <c r="AC21" s="2277">
        <v>0</v>
      </c>
      <c r="AD21" s="2276">
        <v>0</v>
      </c>
      <c r="AE21" s="2276">
        <v>0</v>
      </c>
      <c r="AF21" s="2277">
        <v>0</v>
      </c>
      <c r="AG21" s="2276">
        <v>0</v>
      </c>
      <c r="AH21" s="2276">
        <v>0</v>
      </c>
      <c r="AI21" s="2277">
        <v>0</v>
      </c>
      <c r="AJ21" s="2276">
        <v>0</v>
      </c>
      <c r="AK21" s="2276">
        <v>0</v>
      </c>
      <c r="AL21" s="2277">
        <v>0</v>
      </c>
      <c r="AM21" s="2276">
        <v>0</v>
      </c>
      <c r="AN21" s="2276">
        <v>0</v>
      </c>
      <c r="AO21" s="2277">
        <v>0</v>
      </c>
      <c r="AP21" s="2276">
        <v>0</v>
      </c>
      <c r="AQ21" s="2276">
        <v>0</v>
      </c>
      <c r="AR21" s="2277">
        <v>0</v>
      </c>
    </row>
    <row r="22" spans="1:44">
      <c r="A22" s="2275" t="s">
        <v>3447</v>
      </c>
      <c r="B22" s="2275" t="s">
        <v>3357</v>
      </c>
      <c r="C22" s="2276" t="s">
        <v>821</v>
      </c>
      <c r="D22" s="2276" t="s">
        <v>821</v>
      </c>
      <c r="E22" s="2016" t="s">
        <v>821</v>
      </c>
      <c r="F22" s="2016">
        <v>0</v>
      </c>
      <c r="G22" s="2016" t="s">
        <v>821</v>
      </c>
      <c r="H22" s="2017" t="s">
        <v>821</v>
      </c>
      <c r="I22" s="2276">
        <v>0</v>
      </c>
      <c r="J22" s="2276">
        <v>0</v>
      </c>
      <c r="K22" s="2277">
        <v>0</v>
      </c>
      <c r="L22" s="2276">
        <v>0</v>
      </c>
      <c r="M22" s="2276">
        <v>0</v>
      </c>
      <c r="N22" s="2277">
        <v>0</v>
      </c>
      <c r="O22" s="2276">
        <v>0</v>
      </c>
      <c r="P22" s="2276">
        <v>0</v>
      </c>
      <c r="Q22" s="2277">
        <v>0</v>
      </c>
      <c r="R22" s="2276">
        <v>0</v>
      </c>
      <c r="S22" s="2276">
        <v>0</v>
      </c>
      <c r="T22" s="2277">
        <v>0</v>
      </c>
      <c r="U22" s="2276">
        <v>0</v>
      </c>
      <c r="V22" s="2276">
        <v>0</v>
      </c>
      <c r="W22" s="2277">
        <v>0</v>
      </c>
      <c r="X22" s="2276">
        <v>0</v>
      </c>
      <c r="Y22" s="2276">
        <v>0</v>
      </c>
      <c r="Z22" s="2277">
        <v>0</v>
      </c>
      <c r="AA22" s="2276">
        <v>0</v>
      </c>
      <c r="AB22" s="2276">
        <v>0</v>
      </c>
      <c r="AC22" s="2277">
        <v>0</v>
      </c>
      <c r="AD22" s="2276">
        <v>0</v>
      </c>
      <c r="AE22" s="2276">
        <v>0</v>
      </c>
      <c r="AF22" s="2277">
        <v>0</v>
      </c>
      <c r="AG22" s="2276">
        <v>0</v>
      </c>
      <c r="AH22" s="2276">
        <v>0</v>
      </c>
      <c r="AI22" s="2277">
        <v>0</v>
      </c>
      <c r="AJ22" s="2276">
        <v>0</v>
      </c>
      <c r="AK22" s="2276">
        <v>0</v>
      </c>
      <c r="AL22" s="2277">
        <v>0</v>
      </c>
      <c r="AM22" s="2276">
        <v>0</v>
      </c>
      <c r="AN22" s="2276">
        <v>0</v>
      </c>
      <c r="AO22" s="2277">
        <v>0</v>
      </c>
      <c r="AP22" s="2276">
        <v>0</v>
      </c>
      <c r="AQ22" s="2276">
        <v>0</v>
      </c>
      <c r="AR22" s="2277">
        <v>0</v>
      </c>
    </row>
    <row r="23" spans="1:44">
      <c r="A23" s="2275" t="s">
        <v>3448</v>
      </c>
      <c r="B23" s="2275" t="s">
        <v>3357</v>
      </c>
      <c r="C23" s="2276"/>
      <c r="D23" s="2276"/>
      <c r="E23" s="2016">
        <v>15000000000</v>
      </c>
      <c r="F23" s="2016">
        <v>0</v>
      </c>
      <c r="G23" s="2016" t="s">
        <v>821</v>
      </c>
      <c r="H23" s="2017" t="s">
        <v>821</v>
      </c>
      <c r="I23" s="2276">
        <v>20000000000</v>
      </c>
      <c r="J23" s="2276">
        <v>0</v>
      </c>
      <c r="K23" s="2277">
        <v>20000000000</v>
      </c>
      <c r="L23" s="2276">
        <v>0</v>
      </c>
      <c r="M23" s="2276">
        <v>0</v>
      </c>
      <c r="N23" s="2277">
        <v>0</v>
      </c>
      <c r="O23" s="2276">
        <v>0</v>
      </c>
      <c r="P23" s="2276">
        <v>0</v>
      </c>
      <c r="Q23" s="2277">
        <v>0</v>
      </c>
      <c r="R23" s="2276">
        <v>0</v>
      </c>
      <c r="S23" s="2276">
        <v>0</v>
      </c>
      <c r="T23" s="2277">
        <v>0</v>
      </c>
      <c r="U23" s="2276">
        <v>0</v>
      </c>
      <c r="V23" s="2276">
        <v>0</v>
      </c>
      <c r="W23" s="2277">
        <v>0</v>
      </c>
      <c r="X23" s="2276">
        <v>0</v>
      </c>
      <c r="Y23" s="2276">
        <v>0</v>
      </c>
      <c r="Z23" s="2277">
        <v>0</v>
      </c>
      <c r="AA23" s="2276">
        <v>0</v>
      </c>
      <c r="AB23" s="2276">
        <v>0</v>
      </c>
      <c r="AC23" s="2277">
        <v>0</v>
      </c>
      <c r="AD23" s="2276">
        <v>0</v>
      </c>
      <c r="AE23" s="2276">
        <v>0</v>
      </c>
      <c r="AF23" s="2277">
        <v>0</v>
      </c>
      <c r="AG23" s="2276">
        <v>0</v>
      </c>
      <c r="AH23" s="2276">
        <v>0</v>
      </c>
      <c r="AI23" s="2277">
        <v>0</v>
      </c>
      <c r="AJ23" s="2276">
        <v>0</v>
      </c>
      <c r="AK23" s="2276">
        <v>0</v>
      </c>
      <c r="AL23" s="2277">
        <v>0</v>
      </c>
      <c r="AM23" s="2276">
        <v>0</v>
      </c>
      <c r="AN23" s="2276">
        <v>0</v>
      </c>
      <c r="AO23" s="2277">
        <v>0</v>
      </c>
      <c r="AP23" s="2276">
        <v>0</v>
      </c>
      <c r="AQ23" s="2276">
        <v>0</v>
      </c>
      <c r="AR23" s="2277">
        <v>0</v>
      </c>
    </row>
    <row r="24" spans="1:44">
      <c r="A24" s="2275" t="s">
        <v>3449</v>
      </c>
      <c r="B24" s="2275" t="s">
        <v>3357</v>
      </c>
      <c r="C24" s="2276"/>
      <c r="D24" s="2276"/>
      <c r="E24" s="2016" t="s">
        <v>821</v>
      </c>
      <c r="F24" s="2016">
        <v>0</v>
      </c>
      <c r="G24" s="2016" t="s">
        <v>821</v>
      </c>
      <c r="H24" s="2017" t="s">
        <v>821</v>
      </c>
      <c r="I24" s="2276">
        <v>0</v>
      </c>
      <c r="J24" s="2276">
        <v>0</v>
      </c>
      <c r="K24" s="2277">
        <v>0</v>
      </c>
      <c r="L24" s="2276">
        <v>0</v>
      </c>
      <c r="M24" s="2276">
        <v>0</v>
      </c>
      <c r="N24" s="2277">
        <v>0</v>
      </c>
      <c r="O24" s="2276">
        <v>46475700000</v>
      </c>
      <c r="P24" s="2276">
        <v>0</v>
      </c>
      <c r="Q24" s="2277">
        <v>46475700000</v>
      </c>
      <c r="R24" s="2276">
        <v>0</v>
      </c>
      <c r="S24" s="2276">
        <v>0</v>
      </c>
      <c r="T24" s="2277">
        <v>0</v>
      </c>
      <c r="U24" s="2276">
        <v>0</v>
      </c>
      <c r="V24" s="2276">
        <v>0</v>
      </c>
      <c r="W24" s="2277">
        <v>0</v>
      </c>
      <c r="X24" s="2276">
        <v>0</v>
      </c>
      <c r="Y24" s="2276">
        <v>0</v>
      </c>
      <c r="Z24" s="2277">
        <v>0</v>
      </c>
      <c r="AA24" s="2276">
        <v>0</v>
      </c>
      <c r="AB24" s="2276">
        <v>0</v>
      </c>
      <c r="AC24" s="2277">
        <v>0</v>
      </c>
      <c r="AD24" s="2276">
        <v>0</v>
      </c>
      <c r="AE24" s="2276">
        <v>0</v>
      </c>
      <c r="AF24" s="2277">
        <v>0</v>
      </c>
      <c r="AG24" s="2276">
        <v>0</v>
      </c>
      <c r="AH24" s="2276">
        <v>0</v>
      </c>
      <c r="AI24" s="2277">
        <v>0</v>
      </c>
      <c r="AJ24" s="2276">
        <v>0</v>
      </c>
      <c r="AK24" s="2276">
        <v>0</v>
      </c>
      <c r="AL24" s="2277">
        <v>0</v>
      </c>
      <c r="AM24" s="2276">
        <v>0</v>
      </c>
      <c r="AN24" s="2276">
        <v>0</v>
      </c>
      <c r="AO24" s="2277">
        <v>0</v>
      </c>
      <c r="AP24" s="2276">
        <v>0</v>
      </c>
      <c r="AQ24" s="2276">
        <v>0</v>
      </c>
      <c r="AR24" s="2277">
        <v>0</v>
      </c>
    </row>
    <row r="25" spans="1:44">
      <c r="A25" s="2275" t="s">
        <v>3450</v>
      </c>
      <c r="B25" s="2275" t="s">
        <v>3357</v>
      </c>
      <c r="C25" s="2276"/>
      <c r="D25" s="2276"/>
      <c r="E25" s="2016" t="s">
        <v>821</v>
      </c>
      <c r="F25" s="2016">
        <v>0</v>
      </c>
      <c r="G25" s="2016">
        <v>45000000000</v>
      </c>
      <c r="H25" s="2017" t="s">
        <v>821</v>
      </c>
      <c r="I25" s="2276">
        <v>0</v>
      </c>
      <c r="J25" s="2276">
        <v>0</v>
      </c>
      <c r="K25" s="2277">
        <v>0</v>
      </c>
      <c r="L25" s="2276">
        <v>0</v>
      </c>
      <c r="M25" s="2276">
        <v>0</v>
      </c>
      <c r="N25" s="2277">
        <v>0</v>
      </c>
      <c r="O25" s="2276">
        <v>0</v>
      </c>
      <c r="P25" s="2276">
        <v>0</v>
      </c>
      <c r="Q25" s="2277">
        <v>0</v>
      </c>
      <c r="R25" s="2276">
        <v>0</v>
      </c>
      <c r="S25" s="2276">
        <v>0</v>
      </c>
      <c r="T25" s="2277">
        <v>0</v>
      </c>
      <c r="U25" s="2276">
        <v>0</v>
      </c>
      <c r="V25" s="2276">
        <v>0</v>
      </c>
      <c r="W25" s="2277">
        <v>0</v>
      </c>
      <c r="X25" s="2276">
        <v>82978200000</v>
      </c>
      <c r="Y25" s="2276">
        <v>0</v>
      </c>
      <c r="Z25" s="2277">
        <v>82978200000</v>
      </c>
      <c r="AA25" s="2276">
        <v>0</v>
      </c>
      <c r="AB25" s="2276">
        <v>0</v>
      </c>
      <c r="AC25" s="2277">
        <v>0</v>
      </c>
      <c r="AD25" s="2276">
        <v>0</v>
      </c>
      <c r="AE25" s="2276">
        <v>0</v>
      </c>
      <c r="AF25" s="2277">
        <v>0</v>
      </c>
      <c r="AG25" s="2276">
        <v>0</v>
      </c>
      <c r="AH25" s="2276">
        <v>0</v>
      </c>
      <c r="AI25" s="2277">
        <v>0</v>
      </c>
      <c r="AJ25" s="2276">
        <v>0</v>
      </c>
      <c r="AK25" s="2276">
        <v>0</v>
      </c>
      <c r="AL25" s="2277">
        <v>0</v>
      </c>
      <c r="AM25" s="2276">
        <v>0</v>
      </c>
      <c r="AN25" s="2276">
        <v>0</v>
      </c>
      <c r="AO25" s="2277">
        <v>0</v>
      </c>
      <c r="AP25" s="2276">
        <v>0</v>
      </c>
      <c r="AQ25" s="2276">
        <v>0</v>
      </c>
      <c r="AR25" s="2277">
        <v>0</v>
      </c>
    </row>
    <row r="26" spans="1:44">
      <c r="A26" s="2275" t="s">
        <v>3451</v>
      </c>
      <c r="B26" s="2275" t="s">
        <v>3357</v>
      </c>
      <c r="C26" s="2276"/>
      <c r="D26" s="2276"/>
      <c r="E26" s="2016" t="s">
        <v>821</v>
      </c>
      <c r="F26" s="2016">
        <v>45000000000</v>
      </c>
      <c r="G26" s="2016">
        <v>33555000000</v>
      </c>
      <c r="H26" s="2017" t="s">
        <v>821</v>
      </c>
      <c r="I26" s="2276">
        <v>0</v>
      </c>
      <c r="J26" s="2276">
        <v>0</v>
      </c>
      <c r="K26" s="2277">
        <v>0</v>
      </c>
      <c r="L26" s="2276">
        <v>0</v>
      </c>
      <c r="M26" s="2276">
        <v>0</v>
      </c>
      <c r="N26" s="2277">
        <v>0</v>
      </c>
      <c r="O26" s="2276">
        <v>0</v>
      </c>
      <c r="P26" s="2276">
        <v>0</v>
      </c>
      <c r="Q26" s="2277">
        <v>0</v>
      </c>
      <c r="R26" s="2276">
        <v>0</v>
      </c>
      <c r="S26" s="2276">
        <v>0</v>
      </c>
      <c r="T26" s="2277">
        <v>0</v>
      </c>
      <c r="U26" s="2276">
        <v>70000000000</v>
      </c>
      <c r="V26" s="2276">
        <v>0</v>
      </c>
      <c r="W26" s="2277">
        <v>70000000000</v>
      </c>
      <c r="X26" s="2276">
        <v>0</v>
      </c>
      <c r="Y26" s="2276">
        <v>0</v>
      </c>
      <c r="Z26" s="2277">
        <v>0</v>
      </c>
      <c r="AA26" s="2276">
        <v>0</v>
      </c>
      <c r="AB26" s="2276">
        <v>0</v>
      </c>
      <c r="AC26" s="2277">
        <v>0</v>
      </c>
      <c r="AD26" s="2276">
        <v>0</v>
      </c>
      <c r="AE26" s="2276">
        <v>0</v>
      </c>
      <c r="AF26" s="2277">
        <v>0</v>
      </c>
      <c r="AG26" s="2276">
        <v>0</v>
      </c>
      <c r="AH26" s="2276">
        <v>0</v>
      </c>
      <c r="AI26" s="2277">
        <v>0</v>
      </c>
      <c r="AJ26" s="2276">
        <v>0</v>
      </c>
      <c r="AK26" s="2276">
        <v>0</v>
      </c>
      <c r="AL26" s="2277">
        <v>0</v>
      </c>
      <c r="AM26" s="2276">
        <v>0</v>
      </c>
      <c r="AN26" s="2276">
        <v>0</v>
      </c>
      <c r="AO26" s="2277">
        <v>0</v>
      </c>
      <c r="AP26" s="2276">
        <v>0</v>
      </c>
      <c r="AQ26" s="2276">
        <v>0</v>
      </c>
      <c r="AR26" s="2277">
        <v>0</v>
      </c>
    </row>
    <row r="27" spans="1:44">
      <c r="A27" s="2275" t="s">
        <v>3452</v>
      </c>
      <c r="B27" s="2275" t="s">
        <v>3357</v>
      </c>
      <c r="C27" s="2276"/>
      <c r="D27" s="2276"/>
      <c r="E27" s="2016">
        <v>15000000000</v>
      </c>
      <c r="F27" s="2016">
        <v>0</v>
      </c>
      <c r="G27" s="2016" t="s">
        <v>821</v>
      </c>
      <c r="H27" s="2017" t="s">
        <v>821</v>
      </c>
      <c r="I27" s="2276">
        <v>0</v>
      </c>
      <c r="J27" s="2276">
        <v>0</v>
      </c>
      <c r="K27" s="2277">
        <v>0</v>
      </c>
      <c r="L27" s="2276">
        <v>0</v>
      </c>
      <c r="M27" s="2276">
        <v>0</v>
      </c>
      <c r="N27" s="2277">
        <v>0</v>
      </c>
      <c r="O27" s="2276">
        <v>0</v>
      </c>
      <c r="P27" s="2276">
        <v>0</v>
      </c>
      <c r="Q27" s="2277">
        <v>0</v>
      </c>
      <c r="R27" s="2276">
        <v>60000000000</v>
      </c>
      <c r="S27" s="2276">
        <v>0</v>
      </c>
      <c r="T27" s="2277">
        <v>60000000000</v>
      </c>
      <c r="U27" s="2276">
        <v>0</v>
      </c>
      <c r="V27" s="2276">
        <v>0</v>
      </c>
      <c r="W27" s="2277">
        <v>0</v>
      </c>
      <c r="X27" s="2276">
        <v>0</v>
      </c>
      <c r="Y27" s="2276">
        <v>0</v>
      </c>
      <c r="Z27" s="2277">
        <v>0</v>
      </c>
      <c r="AA27" s="2276">
        <v>0</v>
      </c>
      <c r="AB27" s="2276">
        <v>0</v>
      </c>
      <c r="AC27" s="2277">
        <v>0</v>
      </c>
      <c r="AD27" s="2276">
        <v>0</v>
      </c>
      <c r="AE27" s="2276">
        <v>0</v>
      </c>
      <c r="AF27" s="2277">
        <v>0</v>
      </c>
      <c r="AG27" s="2276">
        <v>0</v>
      </c>
      <c r="AH27" s="2276">
        <v>0</v>
      </c>
      <c r="AI27" s="2277">
        <v>0</v>
      </c>
      <c r="AJ27" s="2276">
        <v>0</v>
      </c>
      <c r="AK27" s="2276">
        <v>0</v>
      </c>
      <c r="AL27" s="2277">
        <v>0</v>
      </c>
      <c r="AM27" s="2276">
        <v>0</v>
      </c>
      <c r="AN27" s="2276">
        <v>0</v>
      </c>
      <c r="AO27" s="2277">
        <v>0</v>
      </c>
      <c r="AP27" s="2276">
        <v>0</v>
      </c>
      <c r="AQ27" s="2276">
        <v>0</v>
      </c>
      <c r="AR27" s="2277">
        <v>0</v>
      </c>
    </row>
    <row r="28" spans="1:44">
      <c r="A28" s="2275" t="s">
        <v>3423</v>
      </c>
      <c r="B28" s="2275" t="s">
        <v>3357</v>
      </c>
      <c r="C28" s="2276"/>
      <c r="D28" s="2276"/>
      <c r="E28" s="2016" t="s">
        <v>821</v>
      </c>
      <c r="F28" s="2016">
        <v>0</v>
      </c>
      <c r="G28" s="2016" t="s">
        <v>821</v>
      </c>
      <c r="H28" s="2017" t="s">
        <v>821</v>
      </c>
      <c r="I28" s="2276">
        <v>0</v>
      </c>
      <c r="J28" s="2276">
        <v>0</v>
      </c>
      <c r="K28" s="2277">
        <v>0</v>
      </c>
      <c r="L28" s="2276">
        <v>0</v>
      </c>
      <c r="M28" s="2276">
        <v>0</v>
      </c>
      <c r="N28" s="2277">
        <v>0</v>
      </c>
      <c r="O28" s="2276">
        <v>0</v>
      </c>
      <c r="P28" s="2276">
        <v>0</v>
      </c>
      <c r="Q28" s="2277">
        <v>0</v>
      </c>
      <c r="R28" s="2276">
        <v>0</v>
      </c>
      <c r="S28" s="2276">
        <v>0</v>
      </c>
      <c r="T28" s="2277">
        <v>0</v>
      </c>
      <c r="U28" s="2276">
        <v>0</v>
      </c>
      <c r="V28" s="2276">
        <v>0</v>
      </c>
      <c r="W28" s="2277">
        <v>0</v>
      </c>
      <c r="X28" s="2276">
        <v>0</v>
      </c>
      <c r="Y28" s="2276">
        <v>0</v>
      </c>
      <c r="Z28" s="2277">
        <v>0</v>
      </c>
      <c r="AA28" s="2276">
        <v>0</v>
      </c>
      <c r="AB28" s="2276">
        <v>98530500000</v>
      </c>
      <c r="AC28" s="2277">
        <v>98530500000</v>
      </c>
      <c r="AD28" s="2276">
        <v>0</v>
      </c>
      <c r="AE28" s="2276">
        <v>0</v>
      </c>
      <c r="AF28" s="2277">
        <v>0</v>
      </c>
      <c r="AG28" s="2276">
        <v>0</v>
      </c>
      <c r="AH28" s="2276">
        <v>0</v>
      </c>
      <c r="AI28" s="2277">
        <v>0</v>
      </c>
      <c r="AJ28" s="2276">
        <v>0</v>
      </c>
      <c r="AK28" s="2276">
        <v>0</v>
      </c>
      <c r="AL28" s="2277">
        <v>0</v>
      </c>
      <c r="AM28" s="2276">
        <v>0</v>
      </c>
      <c r="AN28" s="2276">
        <v>0</v>
      </c>
      <c r="AO28" s="2277">
        <v>0</v>
      </c>
      <c r="AP28" s="2276">
        <v>0</v>
      </c>
      <c r="AQ28" s="2276">
        <v>0</v>
      </c>
      <c r="AR28" s="2277">
        <v>0</v>
      </c>
    </row>
    <row r="29" spans="1:44">
      <c r="A29" s="2275" t="s">
        <v>3424</v>
      </c>
      <c r="B29" s="2275" t="s">
        <v>3357</v>
      </c>
      <c r="C29" s="2276"/>
      <c r="D29" s="2276"/>
      <c r="E29" s="2016" t="s">
        <v>821</v>
      </c>
      <c r="F29" s="2016">
        <v>0</v>
      </c>
      <c r="G29" s="2016">
        <v>15000000000</v>
      </c>
      <c r="H29" s="2017" t="s">
        <v>821</v>
      </c>
      <c r="I29" s="2276">
        <v>0</v>
      </c>
      <c r="J29" s="2276">
        <v>0</v>
      </c>
      <c r="K29" s="2277">
        <v>0</v>
      </c>
      <c r="L29" s="2276">
        <v>0</v>
      </c>
      <c r="M29" s="2276">
        <v>0</v>
      </c>
      <c r="N29" s="2277">
        <v>0</v>
      </c>
      <c r="O29" s="2276">
        <v>0</v>
      </c>
      <c r="P29" s="2276">
        <v>0</v>
      </c>
      <c r="Q29" s="2277">
        <v>0</v>
      </c>
      <c r="R29" s="2276">
        <v>0</v>
      </c>
      <c r="S29" s="2276">
        <v>0</v>
      </c>
      <c r="T29" s="2277">
        <v>0</v>
      </c>
      <c r="U29" s="2276">
        <v>0</v>
      </c>
      <c r="V29" s="2276">
        <v>0</v>
      </c>
      <c r="W29" s="2277">
        <v>0</v>
      </c>
      <c r="X29" s="2276">
        <v>0</v>
      </c>
      <c r="Y29" s="2276">
        <v>0</v>
      </c>
      <c r="Z29" s="2277">
        <v>0</v>
      </c>
      <c r="AA29" s="2276">
        <v>0</v>
      </c>
      <c r="AB29" s="2276">
        <v>0</v>
      </c>
      <c r="AC29" s="2277">
        <v>0</v>
      </c>
      <c r="AD29" s="2276">
        <v>0</v>
      </c>
      <c r="AE29" s="2276">
        <v>119192700000</v>
      </c>
      <c r="AF29" s="2277">
        <v>119192700000</v>
      </c>
      <c r="AG29" s="2276">
        <v>0</v>
      </c>
      <c r="AH29" s="2276">
        <v>0</v>
      </c>
      <c r="AI29" s="2277">
        <v>0</v>
      </c>
      <c r="AJ29" s="2276">
        <v>0</v>
      </c>
      <c r="AK29" s="2276">
        <v>0</v>
      </c>
      <c r="AL29" s="2277">
        <v>0</v>
      </c>
      <c r="AM29" s="2276">
        <v>0</v>
      </c>
      <c r="AN29" s="2276">
        <v>0</v>
      </c>
      <c r="AO29" s="2277">
        <v>0</v>
      </c>
      <c r="AP29" s="2276">
        <v>0</v>
      </c>
      <c r="AQ29" s="2276">
        <v>0</v>
      </c>
      <c r="AR29" s="2277">
        <v>0</v>
      </c>
    </row>
    <row r="30" spans="1:44">
      <c r="A30" s="2275" t="s">
        <v>3425</v>
      </c>
      <c r="B30" s="2275" t="s">
        <v>3357</v>
      </c>
      <c r="C30" s="2276"/>
      <c r="D30" s="2276"/>
      <c r="E30" s="2016" t="s">
        <v>821</v>
      </c>
      <c r="F30" s="2016">
        <v>0</v>
      </c>
      <c r="G30" s="2016" t="s">
        <v>821</v>
      </c>
      <c r="H30" s="2017" t="s">
        <v>821</v>
      </c>
      <c r="I30" s="2276">
        <v>0</v>
      </c>
      <c r="J30" s="2276">
        <v>0</v>
      </c>
      <c r="K30" s="2277">
        <v>0</v>
      </c>
      <c r="L30" s="2276">
        <v>0</v>
      </c>
      <c r="M30" s="2276">
        <v>0</v>
      </c>
      <c r="N30" s="2277">
        <v>0</v>
      </c>
      <c r="O30" s="2276">
        <v>0</v>
      </c>
      <c r="P30" s="2276">
        <v>0</v>
      </c>
      <c r="Q30" s="2277">
        <v>0</v>
      </c>
      <c r="R30" s="2276">
        <v>0</v>
      </c>
      <c r="S30" s="2276">
        <v>0</v>
      </c>
      <c r="T30" s="2277">
        <v>0</v>
      </c>
      <c r="U30" s="2276">
        <v>0</v>
      </c>
      <c r="V30" s="2276">
        <v>0</v>
      </c>
      <c r="W30" s="2277">
        <v>0</v>
      </c>
      <c r="X30" s="2276">
        <v>0</v>
      </c>
      <c r="Y30" s="2276">
        <v>30000000000</v>
      </c>
      <c r="Z30" s="2277">
        <v>30000000000</v>
      </c>
      <c r="AA30" s="2276">
        <v>0</v>
      </c>
      <c r="AB30" s="2276">
        <v>0</v>
      </c>
      <c r="AC30" s="2277">
        <v>0</v>
      </c>
      <c r="AD30" s="2276">
        <v>0</v>
      </c>
      <c r="AE30" s="2276">
        <v>0</v>
      </c>
      <c r="AF30" s="2277">
        <v>0</v>
      </c>
      <c r="AG30" s="2276">
        <v>0</v>
      </c>
      <c r="AH30" s="2276">
        <v>0</v>
      </c>
      <c r="AI30" s="2277">
        <v>0</v>
      </c>
      <c r="AJ30" s="2276">
        <v>0</v>
      </c>
      <c r="AK30" s="2276">
        <v>0</v>
      </c>
      <c r="AL30" s="2277">
        <v>0</v>
      </c>
      <c r="AM30" s="2276">
        <v>0</v>
      </c>
      <c r="AN30" s="2276">
        <v>0</v>
      </c>
      <c r="AO30" s="2277">
        <v>0</v>
      </c>
      <c r="AP30" s="2276">
        <v>0</v>
      </c>
      <c r="AQ30" s="2276">
        <v>0</v>
      </c>
      <c r="AR30" s="2277">
        <v>0</v>
      </c>
    </row>
    <row r="31" spans="1:44">
      <c r="A31" s="2275" t="s">
        <v>3426</v>
      </c>
      <c r="B31" s="2275" t="s">
        <v>3357</v>
      </c>
      <c r="C31" s="2276"/>
      <c r="D31" s="2276"/>
      <c r="E31" s="2016" t="s">
        <v>821</v>
      </c>
      <c r="F31" s="2016">
        <v>0</v>
      </c>
      <c r="G31" s="2016" t="s">
        <v>821</v>
      </c>
      <c r="H31" s="2017" t="s">
        <v>821</v>
      </c>
      <c r="I31" s="2276">
        <v>0</v>
      </c>
      <c r="J31" s="2276">
        <v>0</v>
      </c>
      <c r="K31" s="2277">
        <v>0</v>
      </c>
      <c r="L31" s="2276">
        <v>0</v>
      </c>
      <c r="M31" s="2276">
        <v>0</v>
      </c>
      <c r="N31" s="2277">
        <v>0</v>
      </c>
      <c r="O31" s="2276">
        <v>0</v>
      </c>
      <c r="P31" s="2276">
        <v>0</v>
      </c>
      <c r="Q31" s="2277">
        <v>0</v>
      </c>
      <c r="R31" s="2276">
        <v>0</v>
      </c>
      <c r="S31" s="2276">
        <v>0</v>
      </c>
      <c r="T31" s="2277">
        <v>0</v>
      </c>
      <c r="U31" s="2276">
        <v>0</v>
      </c>
      <c r="V31" s="2276">
        <v>0</v>
      </c>
      <c r="W31" s="2277">
        <v>0</v>
      </c>
      <c r="X31" s="2276">
        <v>0</v>
      </c>
      <c r="Y31" s="2276">
        <v>0</v>
      </c>
      <c r="Z31" s="2277">
        <v>0</v>
      </c>
      <c r="AA31" s="2276">
        <v>0</v>
      </c>
      <c r="AB31" s="2276">
        <v>10000000000</v>
      </c>
      <c r="AC31" s="2277">
        <v>10000000000</v>
      </c>
      <c r="AD31" s="2276">
        <v>0</v>
      </c>
      <c r="AE31" s="2276">
        <v>0</v>
      </c>
      <c r="AF31" s="2277">
        <v>0</v>
      </c>
      <c r="AG31" s="2276">
        <v>0</v>
      </c>
      <c r="AH31" s="2276">
        <v>0</v>
      </c>
      <c r="AI31" s="2277">
        <v>0</v>
      </c>
      <c r="AJ31" s="2276">
        <v>0</v>
      </c>
      <c r="AK31" s="2276">
        <v>0</v>
      </c>
      <c r="AL31" s="2277">
        <v>0</v>
      </c>
      <c r="AM31" s="2276">
        <v>0</v>
      </c>
      <c r="AN31" s="2276">
        <v>0</v>
      </c>
      <c r="AO31" s="2277">
        <v>0</v>
      </c>
      <c r="AP31" s="2276">
        <v>0</v>
      </c>
      <c r="AQ31" s="2276">
        <v>0</v>
      </c>
      <c r="AR31" s="2277">
        <v>0</v>
      </c>
    </row>
    <row r="32" spans="1:44">
      <c r="A32" s="2275" t="s">
        <v>3427</v>
      </c>
      <c r="B32" s="2275" t="s">
        <v>3357</v>
      </c>
      <c r="C32" s="2276"/>
      <c r="D32" s="2276"/>
      <c r="E32" s="2016" t="s">
        <v>821</v>
      </c>
      <c r="F32" s="2016">
        <v>0</v>
      </c>
      <c r="G32" s="2016" t="s">
        <v>821</v>
      </c>
      <c r="H32" s="2017">
        <v>55000000000</v>
      </c>
      <c r="I32" s="2276">
        <v>0</v>
      </c>
      <c r="J32" s="2276">
        <v>0</v>
      </c>
      <c r="K32" s="2277">
        <v>0</v>
      </c>
      <c r="L32" s="2276">
        <v>0</v>
      </c>
      <c r="M32" s="2276">
        <v>0</v>
      </c>
      <c r="N32" s="2277">
        <v>0</v>
      </c>
      <c r="O32" s="2276">
        <v>0</v>
      </c>
      <c r="P32" s="2276">
        <v>0</v>
      </c>
      <c r="Q32" s="2277">
        <v>0</v>
      </c>
      <c r="R32" s="2276">
        <v>0</v>
      </c>
      <c r="S32" s="2276">
        <v>0</v>
      </c>
      <c r="T32" s="2277">
        <v>0</v>
      </c>
      <c r="U32" s="2276">
        <v>0</v>
      </c>
      <c r="V32" s="2276">
        <v>0</v>
      </c>
      <c r="W32" s="2277">
        <v>0</v>
      </c>
      <c r="X32" s="2276">
        <v>0</v>
      </c>
      <c r="Y32" s="2276">
        <v>0</v>
      </c>
      <c r="Z32" s="2277">
        <v>0</v>
      </c>
      <c r="AA32" s="2276">
        <v>0</v>
      </c>
      <c r="AB32" s="2276">
        <v>0</v>
      </c>
      <c r="AC32" s="2277">
        <v>0</v>
      </c>
      <c r="AD32" s="2276">
        <v>0</v>
      </c>
      <c r="AE32" s="2276">
        <v>0</v>
      </c>
      <c r="AF32" s="2277">
        <v>0</v>
      </c>
      <c r="AG32" s="2276">
        <v>0</v>
      </c>
      <c r="AH32" s="2276">
        <v>0</v>
      </c>
      <c r="AI32" s="2277">
        <v>0</v>
      </c>
      <c r="AJ32" s="2276">
        <v>0</v>
      </c>
      <c r="AK32" s="2276">
        <v>0</v>
      </c>
      <c r="AL32" s="2277">
        <v>0</v>
      </c>
      <c r="AM32" s="2276">
        <v>0</v>
      </c>
      <c r="AN32" s="2276">
        <v>75000000000</v>
      </c>
      <c r="AO32" s="2277">
        <v>75000000000</v>
      </c>
      <c r="AP32" s="2276">
        <v>0</v>
      </c>
      <c r="AQ32" s="2276">
        <v>0</v>
      </c>
      <c r="AR32" s="2277">
        <v>0</v>
      </c>
    </row>
    <row r="33" spans="1:44">
      <c r="A33" s="2275" t="s">
        <v>3428</v>
      </c>
      <c r="B33" s="2275" t="s">
        <v>3357</v>
      </c>
      <c r="C33" s="2276"/>
      <c r="D33" s="2276"/>
      <c r="E33" s="2016" t="s">
        <v>821</v>
      </c>
      <c r="F33" s="2016">
        <v>0</v>
      </c>
      <c r="G33" s="2016">
        <v>10000000000</v>
      </c>
      <c r="H33" s="2017" t="s">
        <v>821</v>
      </c>
      <c r="I33" s="2276">
        <v>0</v>
      </c>
      <c r="J33" s="2276">
        <v>0</v>
      </c>
      <c r="K33" s="2277">
        <v>0</v>
      </c>
      <c r="L33" s="2276">
        <v>0</v>
      </c>
      <c r="M33" s="2276">
        <v>0</v>
      </c>
      <c r="N33" s="2277">
        <v>0</v>
      </c>
      <c r="O33" s="2276">
        <v>0</v>
      </c>
      <c r="P33" s="2276">
        <v>0</v>
      </c>
      <c r="Q33" s="2277">
        <v>0</v>
      </c>
      <c r="R33" s="2276">
        <v>0</v>
      </c>
      <c r="S33" s="2276">
        <v>0</v>
      </c>
      <c r="T33" s="2277">
        <v>0</v>
      </c>
      <c r="U33" s="2276">
        <v>0</v>
      </c>
      <c r="V33" s="2276">
        <v>0</v>
      </c>
      <c r="W33" s="2277">
        <v>0</v>
      </c>
      <c r="X33" s="2276">
        <v>0</v>
      </c>
      <c r="Y33" s="2276">
        <v>0</v>
      </c>
      <c r="Z33" s="2277">
        <v>0</v>
      </c>
      <c r="AA33" s="2276">
        <v>0</v>
      </c>
      <c r="AB33" s="2276">
        <v>0</v>
      </c>
      <c r="AC33" s="2277">
        <v>0</v>
      </c>
      <c r="AD33" s="2276">
        <v>0</v>
      </c>
      <c r="AE33" s="2276">
        <v>0</v>
      </c>
      <c r="AF33" s="2277">
        <v>0</v>
      </c>
      <c r="AG33" s="2276">
        <v>0</v>
      </c>
      <c r="AH33" s="2276">
        <v>0</v>
      </c>
      <c r="AI33" s="2277">
        <v>0</v>
      </c>
      <c r="AJ33" s="2276">
        <v>40000000000</v>
      </c>
      <c r="AK33" s="2276">
        <v>0</v>
      </c>
      <c r="AL33" s="2277">
        <v>40000000000</v>
      </c>
      <c r="AM33" s="2276">
        <v>0</v>
      </c>
      <c r="AN33" s="2276">
        <v>0</v>
      </c>
      <c r="AO33" s="2277">
        <v>0</v>
      </c>
      <c r="AP33" s="2276">
        <v>0</v>
      </c>
      <c r="AQ33" s="2276">
        <v>0</v>
      </c>
      <c r="AR33" s="2277">
        <v>0</v>
      </c>
    </row>
    <row r="34" spans="1:44">
      <c r="A34" s="2275" t="s">
        <v>3429</v>
      </c>
      <c r="B34" s="2275" t="s">
        <v>3357</v>
      </c>
      <c r="C34" s="2276"/>
      <c r="D34" s="2276"/>
      <c r="E34" s="2016" t="s">
        <v>821</v>
      </c>
      <c r="F34" s="2016">
        <v>0</v>
      </c>
      <c r="G34" s="2016" t="s">
        <v>821</v>
      </c>
      <c r="H34" s="2017" t="s">
        <v>821</v>
      </c>
      <c r="I34" s="2276">
        <v>0</v>
      </c>
      <c r="J34" s="2276">
        <v>0</v>
      </c>
      <c r="K34" s="2277">
        <v>0</v>
      </c>
      <c r="L34" s="2276">
        <v>0</v>
      </c>
      <c r="M34" s="2276">
        <v>0</v>
      </c>
      <c r="N34" s="2277">
        <v>0</v>
      </c>
      <c r="O34" s="2276">
        <v>0</v>
      </c>
      <c r="P34" s="2276">
        <v>0</v>
      </c>
      <c r="Q34" s="2277">
        <v>0</v>
      </c>
      <c r="R34" s="2276">
        <v>0</v>
      </c>
      <c r="S34" s="2276">
        <v>0</v>
      </c>
      <c r="T34" s="2277">
        <v>0</v>
      </c>
      <c r="U34" s="2276">
        <v>0</v>
      </c>
      <c r="V34" s="2276">
        <v>0</v>
      </c>
      <c r="W34" s="2277">
        <v>0</v>
      </c>
      <c r="X34" s="2276">
        <v>0</v>
      </c>
      <c r="Y34" s="2276">
        <v>0</v>
      </c>
      <c r="Z34" s="2277">
        <v>0</v>
      </c>
      <c r="AA34" s="2276">
        <v>0</v>
      </c>
      <c r="AB34" s="2276">
        <v>0</v>
      </c>
      <c r="AC34" s="2277">
        <v>0</v>
      </c>
      <c r="AD34" s="2276">
        <v>0</v>
      </c>
      <c r="AE34" s="2276">
        <v>0</v>
      </c>
      <c r="AF34" s="2277">
        <v>0</v>
      </c>
      <c r="AG34" s="2276">
        <v>0</v>
      </c>
      <c r="AH34" s="2276">
        <v>0</v>
      </c>
      <c r="AI34" s="2277">
        <v>0</v>
      </c>
      <c r="AJ34" s="2276">
        <v>0</v>
      </c>
      <c r="AK34" s="2276">
        <v>0</v>
      </c>
      <c r="AL34" s="2277">
        <v>0</v>
      </c>
      <c r="AM34" s="2276">
        <v>0</v>
      </c>
      <c r="AN34" s="2276">
        <v>0</v>
      </c>
      <c r="AO34" s="2277">
        <v>0</v>
      </c>
      <c r="AP34" s="2276">
        <v>0</v>
      </c>
      <c r="AQ34" s="2276">
        <v>81542000000</v>
      </c>
      <c r="AR34" s="2277">
        <v>81542000000</v>
      </c>
    </row>
    <row r="35" spans="1:44">
      <c r="A35" s="2275" t="s">
        <v>3430</v>
      </c>
      <c r="B35" s="2275" t="s">
        <v>3357</v>
      </c>
      <c r="C35" s="2276"/>
      <c r="D35" s="2276"/>
      <c r="E35" s="2016">
        <v>0</v>
      </c>
      <c r="F35" s="2016">
        <v>0</v>
      </c>
      <c r="G35" s="2016" t="s">
        <v>821</v>
      </c>
      <c r="H35" s="2017" t="s">
        <v>821</v>
      </c>
      <c r="I35" s="2276">
        <v>0</v>
      </c>
      <c r="J35" s="2276">
        <v>0</v>
      </c>
      <c r="K35" s="2277">
        <v>0</v>
      </c>
      <c r="L35" s="2276">
        <v>0</v>
      </c>
      <c r="M35" s="2276">
        <v>0</v>
      </c>
      <c r="N35" s="2277">
        <v>0</v>
      </c>
      <c r="O35" s="2276">
        <v>0</v>
      </c>
      <c r="P35" s="2276">
        <v>0</v>
      </c>
      <c r="Q35" s="2277">
        <v>0</v>
      </c>
      <c r="R35" s="2276">
        <v>0</v>
      </c>
      <c r="S35" s="2276">
        <v>0</v>
      </c>
      <c r="T35" s="2277">
        <v>0</v>
      </c>
      <c r="U35" s="2276">
        <v>0</v>
      </c>
      <c r="V35" s="2276">
        <v>0</v>
      </c>
      <c r="W35" s="2277">
        <v>0</v>
      </c>
      <c r="X35" s="2276">
        <v>0</v>
      </c>
      <c r="Y35" s="2276">
        <v>0</v>
      </c>
      <c r="Z35" s="2277">
        <v>0</v>
      </c>
      <c r="AA35" s="2276">
        <v>0</v>
      </c>
      <c r="AB35" s="2276">
        <v>0</v>
      </c>
      <c r="AC35" s="2277">
        <v>0</v>
      </c>
      <c r="AD35" s="2276">
        <v>0</v>
      </c>
      <c r="AE35" s="2276">
        <v>0</v>
      </c>
      <c r="AF35" s="2277">
        <v>0</v>
      </c>
      <c r="AG35" s="2276">
        <v>0</v>
      </c>
      <c r="AH35" s="2276">
        <v>0</v>
      </c>
      <c r="AI35" s="2277">
        <v>0</v>
      </c>
      <c r="AJ35" s="2276">
        <v>0</v>
      </c>
      <c r="AK35" s="2276">
        <v>0</v>
      </c>
      <c r="AL35" s="2277">
        <v>0</v>
      </c>
      <c r="AM35" s="2276">
        <v>0</v>
      </c>
      <c r="AN35" s="2276">
        <v>0</v>
      </c>
      <c r="AO35" s="2277">
        <v>0</v>
      </c>
      <c r="AP35" s="2276">
        <v>0</v>
      </c>
      <c r="AQ35" s="2276">
        <v>0</v>
      </c>
      <c r="AR35" s="2277">
        <v>0</v>
      </c>
    </row>
    <row r="36" spans="1:44">
      <c r="A36" s="2275" t="s">
        <v>3431</v>
      </c>
      <c r="B36" s="2275" t="s">
        <v>3357</v>
      </c>
      <c r="C36" s="2276"/>
      <c r="D36" s="2276"/>
      <c r="E36" s="2016">
        <v>0</v>
      </c>
      <c r="F36" s="2016">
        <v>0</v>
      </c>
      <c r="G36" s="2016" t="s">
        <v>821</v>
      </c>
      <c r="H36" s="2017">
        <v>10000000000</v>
      </c>
      <c r="I36" s="2276">
        <v>0</v>
      </c>
      <c r="J36" s="2276">
        <v>0</v>
      </c>
      <c r="K36" s="2277">
        <v>0</v>
      </c>
      <c r="L36" s="2276">
        <v>0</v>
      </c>
      <c r="M36" s="2276">
        <v>0</v>
      </c>
      <c r="N36" s="2277">
        <v>0</v>
      </c>
      <c r="O36" s="2276">
        <v>0</v>
      </c>
      <c r="P36" s="2276">
        <v>0</v>
      </c>
      <c r="Q36" s="2277">
        <v>0</v>
      </c>
      <c r="R36" s="2276">
        <v>0</v>
      </c>
      <c r="S36" s="2276">
        <v>0</v>
      </c>
      <c r="T36" s="2277">
        <v>0</v>
      </c>
      <c r="U36" s="2276">
        <v>0</v>
      </c>
      <c r="V36" s="2276">
        <v>0</v>
      </c>
      <c r="W36" s="2277">
        <v>0</v>
      </c>
      <c r="X36" s="2276">
        <v>0</v>
      </c>
      <c r="Y36" s="2276">
        <v>0</v>
      </c>
      <c r="Z36" s="2277">
        <v>0</v>
      </c>
      <c r="AA36" s="2276">
        <v>0</v>
      </c>
      <c r="AB36" s="2276">
        <v>0</v>
      </c>
      <c r="AC36" s="2277">
        <v>0</v>
      </c>
      <c r="AD36" s="2276">
        <v>0</v>
      </c>
      <c r="AE36" s="2276">
        <v>0</v>
      </c>
      <c r="AF36" s="2277">
        <v>0</v>
      </c>
      <c r="AG36" s="2276">
        <v>0</v>
      </c>
      <c r="AH36" s="2276">
        <v>0</v>
      </c>
      <c r="AI36" s="2277">
        <v>0</v>
      </c>
      <c r="AJ36" s="2276">
        <v>0</v>
      </c>
      <c r="AK36" s="2276">
        <v>0</v>
      </c>
      <c r="AL36" s="2277">
        <v>0</v>
      </c>
      <c r="AM36" s="2276">
        <v>0</v>
      </c>
      <c r="AN36" s="2276">
        <v>0</v>
      </c>
      <c r="AO36" s="2277">
        <v>0</v>
      </c>
      <c r="AP36" s="2276">
        <v>0</v>
      </c>
      <c r="AQ36" s="2276">
        <v>0</v>
      </c>
      <c r="AR36" s="2277">
        <v>0</v>
      </c>
    </row>
    <row r="37" spans="1:44">
      <c r="A37" s="2275" t="s">
        <v>3432</v>
      </c>
      <c r="B37" s="2275" t="s">
        <v>3357</v>
      </c>
      <c r="C37" s="2276"/>
      <c r="D37" s="2276"/>
      <c r="E37" s="2016"/>
      <c r="F37" s="2016"/>
      <c r="G37" s="2016" t="s">
        <v>821</v>
      </c>
      <c r="H37" s="2017" t="s">
        <v>821</v>
      </c>
      <c r="I37" s="2276">
        <v>0</v>
      </c>
      <c r="J37" s="2276">
        <v>0</v>
      </c>
      <c r="K37" s="2277">
        <v>0</v>
      </c>
      <c r="L37" s="2276">
        <v>0</v>
      </c>
      <c r="M37" s="2276">
        <v>0</v>
      </c>
      <c r="N37" s="2277">
        <v>0</v>
      </c>
      <c r="O37" s="2276">
        <v>0</v>
      </c>
      <c r="P37" s="2276">
        <v>0</v>
      </c>
      <c r="Q37" s="2277">
        <v>0</v>
      </c>
      <c r="R37" s="2276">
        <v>0</v>
      </c>
      <c r="S37" s="2276">
        <v>0</v>
      </c>
      <c r="T37" s="2277">
        <v>0</v>
      </c>
      <c r="U37" s="2276">
        <v>0</v>
      </c>
      <c r="V37" s="2276">
        <v>0</v>
      </c>
      <c r="W37" s="2277">
        <v>0</v>
      </c>
      <c r="X37" s="2276">
        <v>0</v>
      </c>
      <c r="Y37" s="2276">
        <v>0</v>
      </c>
      <c r="Z37" s="2277">
        <v>0</v>
      </c>
      <c r="AA37" s="2276">
        <v>0</v>
      </c>
      <c r="AB37" s="2276">
        <v>0</v>
      </c>
      <c r="AC37" s="2277">
        <v>0</v>
      </c>
      <c r="AD37" s="2276">
        <v>0</v>
      </c>
      <c r="AE37" s="2276">
        <v>0</v>
      </c>
      <c r="AF37" s="2277">
        <v>0</v>
      </c>
      <c r="AG37" s="2276">
        <v>0</v>
      </c>
      <c r="AH37" s="2276">
        <v>0</v>
      </c>
      <c r="AI37" s="2277">
        <v>0</v>
      </c>
      <c r="AJ37" s="2276">
        <v>0</v>
      </c>
      <c r="AK37" s="2276">
        <v>0</v>
      </c>
      <c r="AL37" s="2277">
        <v>0</v>
      </c>
      <c r="AM37" s="2276">
        <v>0</v>
      </c>
      <c r="AN37" s="2276">
        <v>0</v>
      </c>
      <c r="AO37" s="2277">
        <v>0</v>
      </c>
      <c r="AP37" s="2276">
        <v>0</v>
      </c>
      <c r="AQ37" s="2276">
        <v>0</v>
      </c>
      <c r="AR37" s="2277">
        <v>0</v>
      </c>
    </row>
    <row r="38" spans="1:44">
      <c r="A38" s="2275" t="s">
        <v>3433</v>
      </c>
      <c r="B38" s="2275" t="s">
        <v>3357</v>
      </c>
      <c r="C38" s="2276"/>
      <c r="D38" s="2276"/>
      <c r="E38" s="2016"/>
      <c r="F38" s="2016"/>
      <c r="G38" s="2016" t="s">
        <v>821</v>
      </c>
      <c r="H38" s="2017" t="s">
        <v>821</v>
      </c>
      <c r="I38" s="2276">
        <v>0</v>
      </c>
      <c r="J38" s="2276">
        <v>0</v>
      </c>
      <c r="K38" s="2277">
        <v>0</v>
      </c>
      <c r="L38" s="2276">
        <v>0</v>
      </c>
      <c r="M38" s="2276">
        <v>0</v>
      </c>
      <c r="N38" s="2277">
        <v>0</v>
      </c>
      <c r="O38" s="2276">
        <v>0</v>
      </c>
      <c r="P38" s="2276">
        <v>0</v>
      </c>
      <c r="Q38" s="2277">
        <v>0</v>
      </c>
      <c r="R38" s="2276">
        <v>0</v>
      </c>
      <c r="S38" s="2276">
        <v>0</v>
      </c>
      <c r="T38" s="2277">
        <v>0</v>
      </c>
      <c r="U38" s="2276">
        <v>0</v>
      </c>
      <c r="V38" s="2276">
        <v>0</v>
      </c>
      <c r="W38" s="2277">
        <v>0</v>
      </c>
      <c r="X38" s="2276">
        <v>0</v>
      </c>
      <c r="Y38" s="2276">
        <v>0</v>
      </c>
      <c r="Z38" s="2277">
        <v>0</v>
      </c>
      <c r="AA38" s="2276">
        <v>0</v>
      </c>
      <c r="AB38" s="2276">
        <v>0</v>
      </c>
      <c r="AC38" s="2277">
        <v>0</v>
      </c>
      <c r="AD38" s="2276">
        <v>0</v>
      </c>
      <c r="AE38" s="2276">
        <v>0</v>
      </c>
      <c r="AF38" s="2277">
        <v>0</v>
      </c>
      <c r="AG38" s="2276">
        <v>0</v>
      </c>
      <c r="AH38" s="2276">
        <v>0</v>
      </c>
      <c r="AI38" s="2277">
        <v>0</v>
      </c>
      <c r="AJ38" s="2276">
        <v>0</v>
      </c>
      <c r="AK38" s="2276">
        <v>0</v>
      </c>
      <c r="AL38" s="2277">
        <v>0</v>
      </c>
      <c r="AM38" s="2276">
        <v>0</v>
      </c>
      <c r="AN38" s="2276">
        <v>0</v>
      </c>
      <c r="AO38" s="2277">
        <v>0</v>
      </c>
      <c r="AP38" s="2276">
        <v>0</v>
      </c>
      <c r="AQ38" s="2276">
        <v>0</v>
      </c>
      <c r="AR38" s="2277">
        <v>0</v>
      </c>
    </row>
    <row r="39" spans="1:44">
      <c r="A39" s="2275" t="s">
        <v>3434</v>
      </c>
      <c r="B39" s="2275" t="s">
        <v>3357</v>
      </c>
      <c r="C39" s="2276"/>
      <c r="D39" s="2276"/>
      <c r="E39" s="2016"/>
      <c r="F39" s="2016"/>
      <c r="G39" s="2016" t="s">
        <v>821</v>
      </c>
      <c r="H39" s="2017" t="s">
        <v>821</v>
      </c>
      <c r="I39" s="2276">
        <v>0</v>
      </c>
      <c r="J39" s="2276">
        <v>0</v>
      </c>
      <c r="K39" s="2277">
        <v>0</v>
      </c>
      <c r="L39" s="2276">
        <v>0</v>
      </c>
      <c r="M39" s="2276">
        <v>0</v>
      </c>
      <c r="N39" s="2277">
        <v>0</v>
      </c>
      <c r="O39" s="2276">
        <v>0</v>
      </c>
      <c r="P39" s="2276">
        <v>0</v>
      </c>
      <c r="Q39" s="2277">
        <v>0</v>
      </c>
      <c r="R39" s="2276">
        <v>0</v>
      </c>
      <c r="S39" s="2276">
        <v>0</v>
      </c>
      <c r="T39" s="2277">
        <v>0</v>
      </c>
      <c r="U39" s="2276">
        <v>0</v>
      </c>
      <c r="V39" s="2276">
        <v>0</v>
      </c>
      <c r="W39" s="2277">
        <v>0</v>
      </c>
      <c r="X39" s="2276">
        <v>0</v>
      </c>
      <c r="Y39" s="2276">
        <v>0</v>
      </c>
      <c r="Z39" s="2277">
        <v>0</v>
      </c>
      <c r="AA39" s="2276">
        <v>0</v>
      </c>
      <c r="AB39" s="2276">
        <v>0</v>
      </c>
      <c r="AC39" s="2277">
        <v>0</v>
      </c>
      <c r="AD39" s="2276">
        <v>0</v>
      </c>
      <c r="AE39" s="2276">
        <v>0</v>
      </c>
      <c r="AF39" s="2277">
        <v>0</v>
      </c>
      <c r="AG39" s="2276">
        <v>0</v>
      </c>
      <c r="AH39" s="2276">
        <v>0</v>
      </c>
      <c r="AI39" s="2277">
        <v>0</v>
      </c>
      <c r="AJ39" s="2276">
        <v>0</v>
      </c>
      <c r="AK39" s="2276">
        <v>0</v>
      </c>
      <c r="AL39" s="2277">
        <v>0</v>
      </c>
      <c r="AM39" s="2276">
        <v>0</v>
      </c>
      <c r="AN39" s="2276">
        <v>0</v>
      </c>
      <c r="AO39" s="2277">
        <v>0</v>
      </c>
      <c r="AP39" s="2276">
        <v>0</v>
      </c>
      <c r="AQ39" s="2276">
        <v>0</v>
      </c>
      <c r="AR39" s="2277">
        <v>0</v>
      </c>
    </row>
    <row r="40" spans="1:44">
      <c r="A40" s="2275" t="s">
        <v>3435</v>
      </c>
      <c r="B40" s="2275" t="s">
        <v>3357</v>
      </c>
      <c r="C40" s="2276"/>
      <c r="D40" s="2276"/>
      <c r="E40" s="2016"/>
      <c r="F40" s="2016"/>
      <c r="G40" s="2016" t="s">
        <v>821</v>
      </c>
      <c r="H40" s="2017" t="s">
        <v>821</v>
      </c>
      <c r="I40" s="2276">
        <v>0</v>
      </c>
      <c r="J40" s="2276">
        <v>0</v>
      </c>
      <c r="K40" s="2277">
        <v>0</v>
      </c>
      <c r="L40" s="2276">
        <v>0</v>
      </c>
      <c r="M40" s="2276">
        <v>0</v>
      </c>
      <c r="N40" s="2277">
        <v>0</v>
      </c>
      <c r="O40" s="2276">
        <v>0</v>
      </c>
      <c r="P40" s="2276">
        <v>0</v>
      </c>
      <c r="Q40" s="2277">
        <v>0</v>
      </c>
      <c r="R40" s="2276">
        <v>0</v>
      </c>
      <c r="S40" s="2276">
        <v>0</v>
      </c>
      <c r="T40" s="2277">
        <v>0</v>
      </c>
      <c r="U40" s="2276">
        <v>0</v>
      </c>
      <c r="V40" s="2276">
        <v>0</v>
      </c>
      <c r="W40" s="2277">
        <v>0</v>
      </c>
      <c r="X40" s="2276">
        <v>0</v>
      </c>
      <c r="Y40" s="2276">
        <v>0</v>
      </c>
      <c r="Z40" s="2277">
        <v>0</v>
      </c>
      <c r="AA40" s="2276">
        <v>0</v>
      </c>
      <c r="AB40" s="2276">
        <v>0</v>
      </c>
      <c r="AC40" s="2277">
        <v>0</v>
      </c>
      <c r="AD40" s="2276">
        <v>0</v>
      </c>
      <c r="AE40" s="2276">
        <v>0</v>
      </c>
      <c r="AF40" s="2277">
        <v>0</v>
      </c>
      <c r="AG40" s="2276">
        <v>0</v>
      </c>
      <c r="AH40" s="2276">
        <v>0</v>
      </c>
      <c r="AI40" s="2277">
        <v>0</v>
      </c>
      <c r="AJ40" s="2276">
        <v>0</v>
      </c>
      <c r="AK40" s="2276">
        <v>0</v>
      </c>
      <c r="AL40" s="2277">
        <v>0</v>
      </c>
      <c r="AM40" s="2276">
        <v>0</v>
      </c>
      <c r="AN40" s="2276">
        <v>0</v>
      </c>
      <c r="AO40" s="2277">
        <v>0</v>
      </c>
      <c r="AP40" s="2276">
        <v>0</v>
      </c>
      <c r="AQ40" s="2276">
        <v>0</v>
      </c>
      <c r="AR40" s="2277">
        <v>0</v>
      </c>
    </row>
    <row r="41" spans="1:44">
      <c r="A41" s="2275" t="s">
        <v>3436</v>
      </c>
      <c r="B41" s="2275" t="s">
        <v>3357</v>
      </c>
      <c r="C41" s="2276"/>
      <c r="D41" s="2276"/>
      <c r="E41" s="2016"/>
      <c r="F41" s="2016"/>
      <c r="G41" s="2016" t="s">
        <v>821</v>
      </c>
      <c r="H41" s="2017" t="s">
        <v>821</v>
      </c>
      <c r="I41" s="2276">
        <v>0</v>
      </c>
      <c r="J41" s="2276">
        <v>0</v>
      </c>
      <c r="K41" s="2277">
        <v>0</v>
      </c>
      <c r="L41" s="2276">
        <v>0</v>
      </c>
      <c r="M41" s="2276">
        <v>0</v>
      </c>
      <c r="N41" s="2277">
        <v>0</v>
      </c>
      <c r="O41" s="2276">
        <v>0</v>
      </c>
      <c r="P41" s="2276">
        <v>0</v>
      </c>
      <c r="Q41" s="2277">
        <v>0</v>
      </c>
      <c r="R41" s="2276">
        <v>0</v>
      </c>
      <c r="S41" s="2276">
        <v>0</v>
      </c>
      <c r="T41" s="2277">
        <v>0</v>
      </c>
      <c r="U41" s="2276">
        <v>0</v>
      </c>
      <c r="V41" s="2276">
        <v>0</v>
      </c>
      <c r="W41" s="2277">
        <v>0</v>
      </c>
      <c r="X41" s="2276">
        <v>0</v>
      </c>
      <c r="Y41" s="2276">
        <v>0</v>
      </c>
      <c r="Z41" s="2277">
        <v>0</v>
      </c>
      <c r="AA41" s="2276">
        <v>0</v>
      </c>
      <c r="AB41" s="2276">
        <v>0</v>
      </c>
      <c r="AC41" s="2277">
        <v>0</v>
      </c>
      <c r="AD41" s="2276">
        <v>0</v>
      </c>
      <c r="AE41" s="2276">
        <v>0</v>
      </c>
      <c r="AF41" s="2277">
        <v>0</v>
      </c>
      <c r="AG41" s="2276">
        <v>0</v>
      </c>
      <c r="AH41" s="2276">
        <v>0</v>
      </c>
      <c r="AI41" s="2277">
        <v>0</v>
      </c>
      <c r="AJ41" s="2276">
        <v>0</v>
      </c>
      <c r="AK41" s="2276">
        <v>0</v>
      </c>
      <c r="AL41" s="2277">
        <v>0</v>
      </c>
      <c r="AM41" s="2276">
        <v>0</v>
      </c>
      <c r="AN41" s="2276">
        <v>0</v>
      </c>
      <c r="AO41" s="2277">
        <v>0</v>
      </c>
      <c r="AP41" s="2276">
        <v>0</v>
      </c>
      <c r="AQ41" s="2276">
        <v>0</v>
      </c>
      <c r="AR41" s="2277">
        <v>0</v>
      </c>
    </row>
    <row r="42" spans="1:44">
      <c r="A42" s="2275" t="s">
        <v>3438</v>
      </c>
      <c r="B42" s="2275" t="s">
        <v>3357</v>
      </c>
      <c r="C42" s="2276"/>
      <c r="D42" s="2276"/>
      <c r="E42" s="2016"/>
      <c r="F42" s="2016"/>
      <c r="G42" s="2016"/>
      <c r="H42" s="2017"/>
      <c r="I42" s="2276">
        <v>0</v>
      </c>
      <c r="J42" s="2276">
        <v>0</v>
      </c>
      <c r="K42" s="2277">
        <v>0</v>
      </c>
      <c r="L42" s="2276">
        <v>0</v>
      </c>
      <c r="M42" s="2276">
        <v>0</v>
      </c>
      <c r="N42" s="2277">
        <v>0</v>
      </c>
      <c r="O42" s="2276">
        <v>0</v>
      </c>
      <c r="P42" s="2276">
        <v>0</v>
      </c>
      <c r="Q42" s="2277">
        <v>0</v>
      </c>
      <c r="R42" s="2276">
        <v>0</v>
      </c>
      <c r="S42" s="2276">
        <v>0</v>
      </c>
      <c r="T42" s="2277">
        <v>0</v>
      </c>
      <c r="U42" s="2276">
        <v>0</v>
      </c>
      <c r="V42" s="2276">
        <v>0</v>
      </c>
      <c r="W42" s="2277">
        <v>0</v>
      </c>
      <c r="X42" s="2276">
        <v>0</v>
      </c>
      <c r="Y42" s="2276">
        <v>0</v>
      </c>
      <c r="Z42" s="2277">
        <v>0</v>
      </c>
      <c r="AA42" s="2276">
        <v>0</v>
      </c>
      <c r="AB42" s="2276">
        <v>0</v>
      </c>
      <c r="AC42" s="2277">
        <v>0</v>
      </c>
      <c r="AD42" s="2276">
        <v>0</v>
      </c>
      <c r="AE42" s="2276">
        <v>0</v>
      </c>
      <c r="AF42" s="2277">
        <v>0</v>
      </c>
      <c r="AG42" s="2276">
        <v>0</v>
      </c>
      <c r="AH42" s="2276">
        <v>0</v>
      </c>
      <c r="AI42" s="2277">
        <v>0</v>
      </c>
      <c r="AJ42" s="2276">
        <v>0</v>
      </c>
      <c r="AK42" s="2276">
        <v>0</v>
      </c>
      <c r="AL42" s="2277">
        <v>0</v>
      </c>
      <c r="AM42" s="2276">
        <v>0</v>
      </c>
      <c r="AN42" s="2276">
        <v>0</v>
      </c>
      <c r="AO42" s="2277">
        <v>0</v>
      </c>
      <c r="AP42" s="2276">
        <v>0</v>
      </c>
      <c r="AQ42" s="2276">
        <v>0</v>
      </c>
      <c r="AR42" s="2277">
        <v>0</v>
      </c>
    </row>
    <row r="43" spans="1:44">
      <c r="A43" s="2275" t="s">
        <v>3440</v>
      </c>
      <c r="B43" s="2275" t="s">
        <v>3357</v>
      </c>
      <c r="C43" s="2276"/>
      <c r="D43" s="2276"/>
      <c r="E43" s="2016"/>
      <c r="F43" s="2016"/>
      <c r="G43" s="2016"/>
      <c r="H43" s="2017"/>
      <c r="I43" s="2276">
        <v>0</v>
      </c>
      <c r="J43" s="2276">
        <v>0</v>
      </c>
      <c r="K43" s="2277">
        <v>0</v>
      </c>
      <c r="L43" s="2276">
        <v>0</v>
      </c>
      <c r="M43" s="2276">
        <v>0</v>
      </c>
      <c r="N43" s="2277">
        <v>0</v>
      </c>
      <c r="O43" s="2276">
        <v>0</v>
      </c>
      <c r="P43" s="2276">
        <v>0</v>
      </c>
      <c r="Q43" s="2277">
        <v>0</v>
      </c>
      <c r="R43" s="2276">
        <v>0</v>
      </c>
      <c r="S43" s="2276">
        <v>0</v>
      </c>
      <c r="T43" s="2277">
        <v>0</v>
      </c>
      <c r="U43" s="2276">
        <v>0</v>
      </c>
      <c r="V43" s="2276">
        <v>0</v>
      </c>
      <c r="W43" s="2277">
        <v>0</v>
      </c>
      <c r="X43" s="2276">
        <v>0</v>
      </c>
      <c r="Y43" s="2276">
        <v>0</v>
      </c>
      <c r="Z43" s="2277">
        <v>0</v>
      </c>
      <c r="AA43" s="2276">
        <v>0</v>
      </c>
      <c r="AB43" s="2276">
        <v>0</v>
      </c>
      <c r="AC43" s="2277">
        <v>0</v>
      </c>
      <c r="AD43" s="2276">
        <v>0</v>
      </c>
      <c r="AE43" s="2276">
        <v>0</v>
      </c>
      <c r="AF43" s="2277">
        <v>0</v>
      </c>
      <c r="AG43" s="2276">
        <v>0</v>
      </c>
      <c r="AH43" s="2276">
        <v>0</v>
      </c>
      <c r="AI43" s="2277">
        <v>0</v>
      </c>
      <c r="AJ43" s="2276">
        <v>0</v>
      </c>
      <c r="AK43" s="2276">
        <v>0</v>
      </c>
      <c r="AL43" s="2277">
        <v>0</v>
      </c>
      <c r="AM43" s="2276">
        <v>0</v>
      </c>
      <c r="AN43" s="2276">
        <v>0</v>
      </c>
      <c r="AO43" s="2277">
        <v>0</v>
      </c>
      <c r="AP43" s="2276">
        <v>0</v>
      </c>
      <c r="AQ43" s="2276">
        <v>0</v>
      </c>
      <c r="AR43" s="2277">
        <v>0</v>
      </c>
    </row>
    <row r="44" spans="1:44">
      <c r="A44" s="2275" t="s">
        <v>3444</v>
      </c>
      <c r="B44" s="2275" t="s">
        <v>3357</v>
      </c>
      <c r="C44" s="2276"/>
      <c r="D44" s="2276"/>
      <c r="E44" s="2016"/>
      <c r="F44" s="2016"/>
      <c r="G44" s="2016"/>
      <c r="H44" s="2017"/>
      <c r="I44" s="2276">
        <v>0</v>
      </c>
      <c r="J44" s="2276">
        <v>0</v>
      </c>
      <c r="K44" s="2277">
        <v>0</v>
      </c>
      <c r="L44" s="2276">
        <v>0</v>
      </c>
      <c r="M44" s="2276">
        <v>0</v>
      </c>
      <c r="N44" s="2277">
        <v>0</v>
      </c>
      <c r="O44" s="2276">
        <v>0</v>
      </c>
      <c r="P44" s="2276">
        <v>0</v>
      </c>
      <c r="Q44" s="2277">
        <v>0</v>
      </c>
      <c r="R44" s="2276">
        <v>0</v>
      </c>
      <c r="S44" s="2276">
        <v>0</v>
      </c>
      <c r="T44" s="2277">
        <v>0</v>
      </c>
      <c r="U44" s="2276">
        <v>0</v>
      </c>
      <c r="V44" s="2276">
        <v>0</v>
      </c>
      <c r="W44" s="2277">
        <v>0</v>
      </c>
      <c r="X44" s="2276">
        <v>0</v>
      </c>
      <c r="Y44" s="2276">
        <v>0</v>
      </c>
      <c r="Z44" s="2277">
        <v>0</v>
      </c>
      <c r="AA44" s="2276">
        <v>0</v>
      </c>
      <c r="AB44" s="2276">
        <v>0</v>
      </c>
      <c r="AC44" s="2277">
        <v>0</v>
      </c>
      <c r="AD44" s="2276">
        <v>0</v>
      </c>
      <c r="AE44" s="2276">
        <v>0</v>
      </c>
      <c r="AF44" s="2277">
        <v>0</v>
      </c>
      <c r="AG44" s="2276">
        <v>0</v>
      </c>
      <c r="AH44" s="2276">
        <v>0</v>
      </c>
      <c r="AI44" s="2277">
        <v>0</v>
      </c>
      <c r="AJ44" s="2276">
        <v>0</v>
      </c>
      <c r="AK44" s="2276">
        <v>0</v>
      </c>
      <c r="AL44" s="2277">
        <v>0</v>
      </c>
      <c r="AM44" s="2276">
        <v>0</v>
      </c>
      <c r="AN44" s="2276">
        <v>0</v>
      </c>
      <c r="AO44" s="2277">
        <v>0</v>
      </c>
      <c r="AP44" s="2276">
        <v>0</v>
      </c>
      <c r="AQ44" s="2276">
        <v>0</v>
      </c>
      <c r="AR44" s="2277">
        <v>0</v>
      </c>
    </row>
    <row r="45" spans="1:44">
      <c r="A45" s="2275" t="s">
        <v>3453</v>
      </c>
      <c r="B45" s="2275" t="s">
        <v>3357</v>
      </c>
      <c r="C45" s="2276"/>
      <c r="D45" s="2276"/>
      <c r="E45" s="2016"/>
      <c r="F45" s="2016"/>
      <c r="G45" s="2016"/>
      <c r="H45" s="2017"/>
      <c r="I45" s="2276">
        <v>0</v>
      </c>
      <c r="J45" s="2276">
        <v>0</v>
      </c>
      <c r="K45" s="2277">
        <v>0</v>
      </c>
      <c r="L45" s="2276">
        <v>0</v>
      </c>
      <c r="M45" s="2276">
        <v>0</v>
      </c>
      <c r="N45" s="2277">
        <v>0</v>
      </c>
      <c r="O45" s="2276">
        <v>0</v>
      </c>
      <c r="P45" s="2276">
        <v>0</v>
      </c>
      <c r="Q45" s="2277">
        <v>0</v>
      </c>
      <c r="R45" s="2276">
        <v>0</v>
      </c>
      <c r="S45" s="2276">
        <v>0</v>
      </c>
      <c r="T45" s="2277">
        <v>0</v>
      </c>
      <c r="U45" s="2276">
        <v>0</v>
      </c>
      <c r="V45" s="2276">
        <v>0</v>
      </c>
      <c r="W45" s="2277">
        <v>0</v>
      </c>
      <c r="X45" s="2276">
        <v>0</v>
      </c>
      <c r="Y45" s="2276">
        <v>0</v>
      </c>
      <c r="Z45" s="2277">
        <v>0</v>
      </c>
      <c r="AA45" s="2276">
        <v>0</v>
      </c>
      <c r="AB45" s="2276">
        <v>0</v>
      </c>
      <c r="AC45" s="2277">
        <v>0</v>
      </c>
      <c r="AD45" s="2276">
        <v>0</v>
      </c>
      <c r="AE45" s="2276">
        <v>0</v>
      </c>
      <c r="AF45" s="2277">
        <v>0</v>
      </c>
      <c r="AG45" s="2276">
        <v>0</v>
      </c>
      <c r="AH45" s="2276">
        <v>32563200000</v>
      </c>
      <c r="AI45" s="2277">
        <v>32563200000</v>
      </c>
      <c r="AJ45" s="2276">
        <v>0</v>
      </c>
      <c r="AK45" s="2276">
        <v>0</v>
      </c>
      <c r="AL45" s="2277">
        <v>0</v>
      </c>
      <c r="AM45" s="2276">
        <v>0</v>
      </c>
      <c r="AN45" s="2276">
        <v>0</v>
      </c>
      <c r="AO45" s="2277">
        <v>0</v>
      </c>
      <c r="AP45" s="2276">
        <v>0</v>
      </c>
      <c r="AQ45" s="2276">
        <v>0</v>
      </c>
      <c r="AR45" s="2277">
        <v>0</v>
      </c>
    </row>
    <row r="46" spans="1:44">
      <c r="A46" s="2275" t="s">
        <v>3456</v>
      </c>
      <c r="B46" s="2275" t="s">
        <v>3357</v>
      </c>
      <c r="C46" s="2276"/>
      <c r="D46" s="2276"/>
      <c r="E46" s="2016"/>
      <c r="F46" s="2016"/>
      <c r="G46" s="2016"/>
      <c r="H46" s="2017"/>
      <c r="I46" s="2276">
        <v>0</v>
      </c>
      <c r="J46" s="2276">
        <v>0</v>
      </c>
      <c r="K46" s="2277">
        <v>0</v>
      </c>
      <c r="L46" s="2276">
        <v>0</v>
      </c>
      <c r="M46" s="2276">
        <v>0</v>
      </c>
      <c r="N46" s="2277">
        <v>0</v>
      </c>
      <c r="O46" s="2276">
        <v>0</v>
      </c>
      <c r="P46" s="2276">
        <v>0</v>
      </c>
      <c r="Q46" s="2277">
        <v>0</v>
      </c>
      <c r="R46" s="2276">
        <v>0</v>
      </c>
      <c r="S46" s="2276">
        <v>0</v>
      </c>
      <c r="T46" s="2277">
        <v>0</v>
      </c>
      <c r="U46" s="2276">
        <v>0</v>
      </c>
      <c r="V46" s="2276">
        <v>0</v>
      </c>
      <c r="W46" s="2277">
        <v>0</v>
      </c>
      <c r="X46" s="2276">
        <v>0</v>
      </c>
      <c r="Y46" s="2276">
        <v>0</v>
      </c>
      <c r="Z46" s="2277">
        <v>0</v>
      </c>
      <c r="AA46" s="2276">
        <v>0</v>
      </c>
      <c r="AB46" s="2276">
        <v>0</v>
      </c>
      <c r="AC46" s="2277">
        <v>0</v>
      </c>
      <c r="AD46" s="2276">
        <v>0</v>
      </c>
      <c r="AE46" s="2276">
        <v>0</v>
      </c>
      <c r="AF46" s="2277">
        <v>0</v>
      </c>
      <c r="AG46" s="2276">
        <v>0</v>
      </c>
      <c r="AH46" s="2276">
        <v>0</v>
      </c>
      <c r="AI46" s="2277">
        <v>0</v>
      </c>
      <c r="AJ46" s="2276">
        <v>0</v>
      </c>
      <c r="AK46" s="2276">
        <v>0</v>
      </c>
      <c r="AL46" s="2277">
        <v>0</v>
      </c>
      <c r="AM46" s="2276">
        <v>0</v>
      </c>
      <c r="AN46" s="2276">
        <v>0</v>
      </c>
      <c r="AO46" s="2277">
        <v>0</v>
      </c>
      <c r="AP46" s="2276">
        <v>0</v>
      </c>
      <c r="AQ46" s="2276">
        <v>0</v>
      </c>
      <c r="AR46" s="2277">
        <v>0</v>
      </c>
    </row>
    <row r="47" spans="1:44">
      <c r="A47" s="2275" t="s">
        <v>3457</v>
      </c>
      <c r="B47" s="2275" t="s">
        <v>3357</v>
      </c>
      <c r="C47" s="2276"/>
      <c r="D47" s="2276"/>
      <c r="E47" s="2016"/>
      <c r="F47" s="2016"/>
      <c r="G47" s="2016"/>
      <c r="H47" s="2017"/>
      <c r="I47" s="2276">
        <v>0</v>
      </c>
      <c r="J47" s="2276">
        <v>0</v>
      </c>
      <c r="K47" s="2277">
        <v>0</v>
      </c>
      <c r="L47" s="2276">
        <v>0</v>
      </c>
      <c r="M47" s="2276">
        <v>0</v>
      </c>
      <c r="N47" s="2277">
        <v>0</v>
      </c>
      <c r="O47" s="2276">
        <v>0</v>
      </c>
      <c r="P47" s="2276">
        <v>0</v>
      </c>
      <c r="Q47" s="2277">
        <v>0</v>
      </c>
      <c r="R47" s="2276">
        <v>0</v>
      </c>
      <c r="S47" s="2276">
        <v>0</v>
      </c>
      <c r="T47" s="2277">
        <v>0</v>
      </c>
      <c r="U47" s="2276">
        <v>0</v>
      </c>
      <c r="V47" s="2276">
        <v>0</v>
      </c>
      <c r="W47" s="2277">
        <v>0</v>
      </c>
      <c r="X47" s="2276">
        <v>0</v>
      </c>
      <c r="Y47" s="2276">
        <v>0</v>
      </c>
      <c r="Z47" s="2277">
        <v>0</v>
      </c>
      <c r="AA47" s="2276">
        <v>40000000000</v>
      </c>
      <c r="AB47" s="2276">
        <v>0</v>
      </c>
      <c r="AC47" s="2277">
        <v>40000000000</v>
      </c>
      <c r="AD47" s="2276">
        <v>0</v>
      </c>
      <c r="AE47" s="2276">
        <v>0</v>
      </c>
      <c r="AF47" s="2277">
        <v>0</v>
      </c>
      <c r="AG47" s="2276">
        <v>0</v>
      </c>
      <c r="AH47" s="2276">
        <v>0</v>
      </c>
      <c r="AI47" s="2277">
        <v>0</v>
      </c>
      <c r="AJ47" s="2276">
        <v>0</v>
      </c>
      <c r="AK47" s="2276">
        <v>0</v>
      </c>
      <c r="AL47" s="2277">
        <v>0</v>
      </c>
      <c r="AM47" s="2276">
        <v>0</v>
      </c>
      <c r="AN47" s="2276">
        <v>0</v>
      </c>
      <c r="AO47" s="2277">
        <v>0</v>
      </c>
      <c r="AP47" s="2276">
        <v>0</v>
      </c>
      <c r="AQ47" s="2276">
        <v>0</v>
      </c>
      <c r="AR47" s="2277">
        <v>0</v>
      </c>
    </row>
    <row r="48" spans="1:44">
      <c r="A48" s="2275" t="s">
        <v>3458</v>
      </c>
      <c r="B48" s="2275" t="s">
        <v>3357</v>
      </c>
      <c r="C48" s="2276"/>
      <c r="D48" s="2276"/>
      <c r="E48" s="2016"/>
      <c r="F48" s="2016"/>
      <c r="G48" s="2016"/>
      <c r="H48" s="2017"/>
      <c r="I48" s="2276">
        <v>0</v>
      </c>
      <c r="J48" s="2276">
        <v>0</v>
      </c>
      <c r="K48" s="2277">
        <v>0</v>
      </c>
      <c r="L48" s="2276">
        <v>0</v>
      </c>
      <c r="M48" s="2276">
        <v>0</v>
      </c>
      <c r="N48" s="2277">
        <v>0</v>
      </c>
      <c r="O48" s="2276">
        <v>0</v>
      </c>
      <c r="P48" s="2276">
        <v>0</v>
      </c>
      <c r="Q48" s="2277">
        <v>0</v>
      </c>
      <c r="R48" s="2276">
        <v>0</v>
      </c>
      <c r="S48" s="2276">
        <v>0</v>
      </c>
      <c r="T48" s="2277">
        <v>0</v>
      </c>
      <c r="U48" s="2276">
        <v>0</v>
      </c>
      <c r="V48" s="2276">
        <v>0</v>
      </c>
      <c r="W48" s="2277">
        <v>0</v>
      </c>
      <c r="X48" s="2276">
        <v>0</v>
      </c>
      <c r="Y48" s="2276">
        <v>0</v>
      </c>
      <c r="Z48" s="2277">
        <v>0</v>
      </c>
      <c r="AA48" s="2276">
        <v>0</v>
      </c>
      <c r="AB48" s="2276">
        <v>0</v>
      </c>
      <c r="AC48" s="2277">
        <v>0</v>
      </c>
      <c r="AD48" s="2276">
        <v>0</v>
      </c>
      <c r="AE48" s="2276">
        <v>0</v>
      </c>
      <c r="AF48" s="2277">
        <v>0</v>
      </c>
      <c r="AG48" s="2276">
        <v>0</v>
      </c>
      <c r="AH48" s="2276">
        <v>0</v>
      </c>
      <c r="AI48" s="2277">
        <v>0</v>
      </c>
      <c r="AJ48" s="2276">
        <v>0</v>
      </c>
      <c r="AK48" s="2276">
        <v>0</v>
      </c>
      <c r="AL48" s="2277">
        <v>0</v>
      </c>
      <c r="AM48" s="2276">
        <v>0</v>
      </c>
      <c r="AN48" s="2276">
        <v>0</v>
      </c>
      <c r="AO48" s="2277">
        <v>0</v>
      </c>
      <c r="AP48" s="2276">
        <v>0</v>
      </c>
      <c r="AQ48" s="2276">
        <v>0</v>
      </c>
      <c r="AR48" s="2277">
        <v>0</v>
      </c>
    </row>
    <row r="49" spans="1:44">
      <c r="A49" s="2275" t="s">
        <v>3459</v>
      </c>
      <c r="B49" s="2275" t="s">
        <v>3357</v>
      </c>
      <c r="C49" s="2276"/>
      <c r="D49" s="2276"/>
      <c r="E49" s="2016"/>
      <c r="F49" s="2016"/>
      <c r="G49" s="2016"/>
      <c r="H49" s="2017"/>
      <c r="I49" s="2276">
        <v>0</v>
      </c>
      <c r="J49" s="2276">
        <v>0</v>
      </c>
      <c r="K49" s="2277">
        <v>0</v>
      </c>
      <c r="L49" s="2276">
        <v>0</v>
      </c>
      <c r="M49" s="2276">
        <v>0</v>
      </c>
      <c r="N49" s="2277">
        <v>0</v>
      </c>
      <c r="O49" s="2276">
        <v>0</v>
      </c>
      <c r="P49" s="2276">
        <v>0</v>
      </c>
      <c r="Q49" s="2277">
        <v>0</v>
      </c>
      <c r="R49" s="2276">
        <v>0</v>
      </c>
      <c r="S49" s="2276">
        <v>0</v>
      </c>
      <c r="T49" s="2277">
        <v>0</v>
      </c>
      <c r="U49" s="2276">
        <v>0</v>
      </c>
      <c r="V49" s="2276">
        <v>20000000000</v>
      </c>
      <c r="W49" s="2277">
        <v>20000000000</v>
      </c>
      <c r="X49" s="2276">
        <v>0</v>
      </c>
      <c r="Y49" s="2276">
        <v>0</v>
      </c>
      <c r="Z49" s="2277">
        <v>0</v>
      </c>
      <c r="AA49" s="2276">
        <v>0</v>
      </c>
      <c r="AB49" s="2276">
        <v>0</v>
      </c>
      <c r="AC49" s="2277">
        <v>0</v>
      </c>
      <c r="AD49" s="2276">
        <v>0</v>
      </c>
      <c r="AE49" s="2276">
        <v>0</v>
      </c>
      <c r="AF49" s="2277">
        <v>0</v>
      </c>
      <c r="AG49" s="2276">
        <v>0</v>
      </c>
      <c r="AH49" s="2276">
        <v>0</v>
      </c>
      <c r="AI49" s="2277">
        <v>0</v>
      </c>
      <c r="AJ49" s="2276">
        <v>0</v>
      </c>
      <c r="AK49" s="2276">
        <v>0</v>
      </c>
      <c r="AL49" s="2277">
        <v>0</v>
      </c>
      <c r="AM49" s="2276">
        <v>0</v>
      </c>
      <c r="AN49" s="2276">
        <v>0</v>
      </c>
      <c r="AO49" s="2277">
        <v>0</v>
      </c>
      <c r="AP49" s="2276">
        <v>0</v>
      </c>
      <c r="AQ49" s="2276">
        <v>0</v>
      </c>
      <c r="AR49" s="2277">
        <v>0</v>
      </c>
    </row>
    <row r="50" spans="1:44">
      <c r="A50" s="2275" t="s">
        <v>3460</v>
      </c>
      <c r="B50" s="2275" t="s">
        <v>3357</v>
      </c>
      <c r="C50" s="2276"/>
      <c r="D50" s="2276"/>
      <c r="E50" s="2016"/>
      <c r="F50" s="2016"/>
      <c r="G50" s="2016"/>
      <c r="H50" s="2017"/>
      <c r="I50" s="2276">
        <v>0</v>
      </c>
      <c r="J50" s="2276">
        <v>0</v>
      </c>
      <c r="K50" s="2277">
        <v>0</v>
      </c>
      <c r="L50" s="2276">
        <v>0</v>
      </c>
      <c r="M50" s="2276">
        <v>0</v>
      </c>
      <c r="N50" s="2277">
        <v>0</v>
      </c>
      <c r="O50" s="2276">
        <v>0</v>
      </c>
      <c r="P50" s="2276">
        <v>0</v>
      </c>
      <c r="Q50" s="2277">
        <v>0</v>
      </c>
      <c r="R50" s="2276">
        <v>0</v>
      </c>
      <c r="S50" s="2276">
        <v>0</v>
      </c>
      <c r="T50" s="2277">
        <v>0</v>
      </c>
      <c r="U50" s="2276">
        <v>0</v>
      </c>
      <c r="V50" s="2276">
        <v>0</v>
      </c>
      <c r="W50" s="2277">
        <v>0</v>
      </c>
      <c r="X50" s="2276">
        <v>0</v>
      </c>
      <c r="Y50" s="2276">
        <v>0</v>
      </c>
      <c r="Z50" s="2277">
        <v>0</v>
      </c>
      <c r="AA50" s="2276">
        <v>0</v>
      </c>
      <c r="AB50" s="2276">
        <v>0</v>
      </c>
      <c r="AC50" s="2277">
        <v>0</v>
      </c>
      <c r="AD50" s="2276">
        <v>0</v>
      </c>
      <c r="AE50" s="2276">
        <v>0</v>
      </c>
      <c r="AF50" s="2277">
        <v>0</v>
      </c>
      <c r="AG50" s="2276">
        <v>0</v>
      </c>
      <c r="AH50" s="2276">
        <v>0</v>
      </c>
      <c r="AI50" s="2277">
        <v>0</v>
      </c>
      <c r="AJ50" s="2276">
        <v>0</v>
      </c>
      <c r="AK50" s="2276">
        <v>30000000000</v>
      </c>
      <c r="AL50" s="2277">
        <v>30000000000</v>
      </c>
      <c r="AM50" s="2276">
        <v>0</v>
      </c>
      <c r="AN50" s="2276">
        <v>0</v>
      </c>
      <c r="AO50" s="2277">
        <v>0</v>
      </c>
      <c r="AP50" s="2276">
        <v>0</v>
      </c>
      <c r="AQ50" s="2276">
        <v>0</v>
      </c>
      <c r="AR50" s="2277">
        <v>0</v>
      </c>
    </row>
    <row r="51" spans="1:44">
      <c r="A51" s="2275" t="s">
        <v>3654</v>
      </c>
      <c r="B51" s="2275" t="s">
        <v>3357</v>
      </c>
      <c r="C51" s="2276"/>
      <c r="D51" s="2276"/>
      <c r="E51" s="2016"/>
      <c r="F51" s="2016"/>
      <c r="G51" s="2016"/>
      <c r="H51" s="2017"/>
      <c r="I51" s="2276">
        <v>0</v>
      </c>
      <c r="J51" s="2276">
        <v>0</v>
      </c>
      <c r="K51" s="2277">
        <v>0</v>
      </c>
      <c r="L51" s="2276">
        <v>0</v>
      </c>
      <c r="M51" s="2276">
        <v>0</v>
      </c>
      <c r="N51" s="2277">
        <v>0</v>
      </c>
      <c r="O51" s="2276">
        <v>0</v>
      </c>
      <c r="P51" s="2276">
        <v>0</v>
      </c>
      <c r="Q51" s="2277">
        <v>0</v>
      </c>
      <c r="R51" s="2276">
        <v>0</v>
      </c>
      <c r="S51" s="2276">
        <v>0</v>
      </c>
      <c r="T51" s="2277">
        <v>0</v>
      </c>
      <c r="U51" s="2276">
        <v>0</v>
      </c>
      <c r="V51" s="2276">
        <v>0</v>
      </c>
      <c r="W51" s="2277">
        <v>0</v>
      </c>
      <c r="X51" s="2276">
        <v>20000000000</v>
      </c>
      <c r="Y51" s="2276">
        <v>0</v>
      </c>
      <c r="Z51" s="2277">
        <v>20000000000</v>
      </c>
      <c r="AA51" s="2276">
        <v>0</v>
      </c>
      <c r="AB51" s="2276">
        <v>0</v>
      </c>
      <c r="AC51" s="2277">
        <v>0</v>
      </c>
      <c r="AD51" s="2276">
        <v>0</v>
      </c>
      <c r="AE51" s="2276">
        <v>0</v>
      </c>
      <c r="AF51" s="2277">
        <v>0</v>
      </c>
      <c r="AG51" s="2276">
        <v>0</v>
      </c>
      <c r="AH51" s="2276">
        <v>0</v>
      </c>
      <c r="AI51" s="2277">
        <v>0</v>
      </c>
      <c r="AJ51" s="2276">
        <v>0</v>
      </c>
      <c r="AK51" s="2276">
        <v>0</v>
      </c>
      <c r="AL51" s="2277">
        <v>0</v>
      </c>
      <c r="AM51" s="2276">
        <v>0</v>
      </c>
      <c r="AN51" s="2276">
        <v>0</v>
      </c>
      <c r="AO51" s="2277">
        <v>0</v>
      </c>
      <c r="AP51" s="2276">
        <v>0</v>
      </c>
      <c r="AQ51" s="2276">
        <v>0</v>
      </c>
      <c r="AR51" s="2277">
        <v>0</v>
      </c>
    </row>
    <row r="52" spans="1:44">
      <c r="A52" s="2275" t="s">
        <v>3655</v>
      </c>
      <c r="B52" s="2275" t="s">
        <v>3357</v>
      </c>
      <c r="C52" s="2276"/>
      <c r="D52" s="2276"/>
      <c r="E52" s="2016"/>
      <c r="F52" s="2016"/>
      <c r="G52" s="2016"/>
      <c r="H52" s="2017"/>
      <c r="I52" s="2276">
        <v>0</v>
      </c>
      <c r="J52" s="2276">
        <v>0</v>
      </c>
      <c r="K52" s="2277">
        <v>0</v>
      </c>
      <c r="L52" s="2276">
        <v>0</v>
      </c>
      <c r="M52" s="2276">
        <v>0</v>
      </c>
      <c r="N52" s="2277">
        <v>0</v>
      </c>
      <c r="O52" s="2276">
        <v>0</v>
      </c>
      <c r="P52" s="2276">
        <v>0</v>
      </c>
      <c r="Q52" s="2277">
        <v>0</v>
      </c>
      <c r="R52" s="2276">
        <v>0</v>
      </c>
      <c r="S52" s="2276">
        <v>0</v>
      </c>
      <c r="T52" s="2277">
        <v>0</v>
      </c>
      <c r="U52" s="2276">
        <v>0</v>
      </c>
      <c r="V52" s="2276">
        <v>0</v>
      </c>
      <c r="W52" s="2277">
        <v>0</v>
      </c>
      <c r="X52" s="2276">
        <v>0</v>
      </c>
      <c r="Y52" s="2276">
        <v>0</v>
      </c>
      <c r="Z52" s="2277">
        <v>0</v>
      </c>
      <c r="AA52" s="2276">
        <v>0</v>
      </c>
      <c r="AB52" s="2276">
        <v>0</v>
      </c>
      <c r="AC52" s="2277">
        <v>0</v>
      </c>
      <c r="AD52" s="2276">
        <v>0</v>
      </c>
      <c r="AE52" s="2276">
        <v>0</v>
      </c>
      <c r="AF52" s="2277">
        <v>0</v>
      </c>
      <c r="AG52" s="2276">
        <v>0</v>
      </c>
      <c r="AH52" s="2276">
        <v>0</v>
      </c>
      <c r="AI52" s="2277">
        <v>0</v>
      </c>
      <c r="AJ52" s="2276">
        <v>0</v>
      </c>
      <c r="AK52" s="2276">
        <v>0</v>
      </c>
      <c r="AL52" s="2277">
        <v>0</v>
      </c>
      <c r="AM52" s="2276">
        <v>0</v>
      </c>
      <c r="AN52" s="2276">
        <v>0</v>
      </c>
      <c r="AO52" s="2277">
        <v>0</v>
      </c>
      <c r="AP52" s="2276">
        <v>0</v>
      </c>
      <c r="AQ52" s="2276">
        <v>0</v>
      </c>
      <c r="AR52" s="2277">
        <v>0</v>
      </c>
    </row>
    <row r="53" spans="1:44">
      <c r="A53" s="2275" t="s">
        <v>3772</v>
      </c>
      <c r="B53" s="2275" t="s">
        <v>3357</v>
      </c>
      <c r="C53" s="2276"/>
      <c r="D53" s="2276"/>
      <c r="E53" s="2016"/>
      <c r="F53" s="2016"/>
      <c r="G53" s="2016"/>
      <c r="H53" s="2017"/>
      <c r="I53" s="2276">
        <v>0</v>
      </c>
      <c r="J53" s="2276">
        <v>0</v>
      </c>
      <c r="K53" s="2277">
        <v>0</v>
      </c>
      <c r="L53" s="2276">
        <v>0</v>
      </c>
      <c r="M53" s="2276">
        <v>0</v>
      </c>
      <c r="N53" s="2277">
        <v>0</v>
      </c>
      <c r="O53" s="2276">
        <v>0</v>
      </c>
      <c r="P53" s="2276">
        <v>0</v>
      </c>
      <c r="Q53" s="2277">
        <v>0</v>
      </c>
      <c r="R53" s="2276">
        <v>0</v>
      </c>
      <c r="S53" s="2276">
        <v>0</v>
      </c>
      <c r="T53" s="2277">
        <v>0</v>
      </c>
      <c r="U53" s="2276">
        <v>0</v>
      </c>
      <c r="V53" s="2276">
        <v>0</v>
      </c>
      <c r="W53" s="2277">
        <v>0</v>
      </c>
      <c r="X53" s="2276">
        <v>0</v>
      </c>
      <c r="Y53" s="2276">
        <v>0</v>
      </c>
      <c r="Z53" s="2277">
        <v>0</v>
      </c>
      <c r="AA53" s="2276">
        <v>0</v>
      </c>
      <c r="AB53" s="2276">
        <v>0</v>
      </c>
      <c r="AC53" s="2277">
        <v>0</v>
      </c>
      <c r="AD53" s="2276">
        <v>30000000000</v>
      </c>
      <c r="AE53" s="2276">
        <v>0</v>
      </c>
      <c r="AF53" s="2277">
        <v>30000000000</v>
      </c>
      <c r="AG53" s="2276">
        <v>0</v>
      </c>
      <c r="AH53" s="2276">
        <v>0</v>
      </c>
      <c r="AI53" s="2277">
        <v>0</v>
      </c>
      <c r="AJ53" s="2276">
        <v>0</v>
      </c>
      <c r="AK53" s="2276">
        <v>0</v>
      </c>
      <c r="AL53" s="2277">
        <v>0</v>
      </c>
      <c r="AM53" s="2276">
        <v>0</v>
      </c>
      <c r="AN53" s="2276">
        <v>0</v>
      </c>
      <c r="AO53" s="2277">
        <v>0</v>
      </c>
      <c r="AP53" s="2276">
        <v>0</v>
      </c>
      <c r="AQ53" s="2276">
        <v>0</v>
      </c>
      <c r="AR53" s="2277">
        <v>0</v>
      </c>
    </row>
    <row r="54" spans="1:44">
      <c r="A54" s="2275" t="s">
        <v>3656</v>
      </c>
      <c r="B54" s="2275" t="s">
        <v>3357</v>
      </c>
      <c r="C54" s="2276"/>
      <c r="D54" s="2276"/>
      <c r="E54" s="2016"/>
      <c r="F54" s="2016"/>
      <c r="G54" s="2016"/>
      <c r="H54" s="2017"/>
      <c r="I54" s="2276">
        <v>0</v>
      </c>
      <c r="J54" s="2276">
        <v>0</v>
      </c>
      <c r="K54" s="2277">
        <v>0</v>
      </c>
      <c r="L54" s="2276">
        <v>0</v>
      </c>
      <c r="M54" s="2276">
        <v>0</v>
      </c>
      <c r="N54" s="2277">
        <v>0</v>
      </c>
      <c r="O54" s="2276">
        <v>0</v>
      </c>
      <c r="P54" s="2276">
        <v>0</v>
      </c>
      <c r="Q54" s="2277">
        <v>0</v>
      </c>
      <c r="R54" s="2276">
        <v>35000000000</v>
      </c>
      <c r="S54" s="2276">
        <v>0</v>
      </c>
      <c r="T54" s="2277">
        <v>35000000000</v>
      </c>
      <c r="U54" s="2276">
        <v>0</v>
      </c>
      <c r="V54" s="2276">
        <v>0</v>
      </c>
      <c r="W54" s="2277">
        <v>0</v>
      </c>
      <c r="X54" s="2276"/>
      <c r="Y54" s="2276">
        <v>0</v>
      </c>
      <c r="Z54" s="2277">
        <v>0</v>
      </c>
      <c r="AA54" s="2276">
        <v>0</v>
      </c>
      <c r="AB54" s="2276">
        <v>0</v>
      </c>
      <c r="AC54" s="2277">
        <v>0</v>
      </c>
      <c r="AD54" s="2276">
        <v>0</v>
      </c>
      <c r="AE54" s="2276">
        <v>0</v>
      </c>
      <c r="AF54" s="2277">
        <v>0</v>
      </c>
      <c r="AG54" s="2276">
        <v>0</v>
      </c>
      <c r="AH54" s="2276">
        <v>0</v>
      </c>
      <c r="AI54" s="2277">
        <v>0</v>
      </c>
      <c r="AJ54" s="2276">
        <v>0</v>
      </c>
      <c r="AK54" s="2276">
        <v>0</v>
      </c>
      <c r="AL54" s="2277">
        <v>0</v>
      </c>
      <c r="AM54" s="2276">
        <v>0</v>
      </c>
      <c r="AN54" s="2276">
        <v>0</v>
      </c>
      <c r="AO54" s="2277">
        <v>0</v>
      </c>
      <c r="AP54" s="2276">
        <v>0</v>
      </c>
      <c r="AQ54" s="2276">
        <v>0</v>
      </c>
      <c r="AR54" s="2277">
        <v>0</v>
      </c>
    </row>
    <row r="55" spans="1:44">
      <c r="A55" s="2275" t="s">
        <v>3773</v>
      </c>
      <c r="B55" s="2275" t="s">
        <v>3357</v>
      </c>
      <c r="C55" s="2276"/>
      <c r="D55" s="2276"/>
      <c r="E55" s="2016"/>
      <c r="F55" s="2016"/>
      <c r="G55" s="2016"/>
      <c r="H55" s="2017"/>
      <c r="I55" s="2276">
        <v>0</v>
      </c>
      <c r="J55" s="2276">
        <v>0</v>
      </c>
      <c r="K55" s="2277">
        <v>0</v>
      </c>
      <c r="L55" s="2276">
        <v>0</v>
      </c>
      <c r="M55" s="2276">
        <v>0</v>
      </c>
      <c r="N55" s="2277">
        <v>0</v>
      </c>
      <c r="O55" s="2276">
        <v>0</v>
      </c>
      <c r="P55" s="2276">
        <v>0</v>
      </c>
      <c r="Q55" s="2277">
        <v>0</v>
      </c>
      <c r="R55" s="2276">
        <v>0</v>
      </c>
      <c r="S55" s="2276">
        <v>0</v>
      </c>
      <c r="T55" s="2277">
        <v>0</v>
      </c>
      <c r="U55" s="2276">
        <v>0</v>
      </c>
      <c r="V55" s="2276">
        <v>0</v>
      </c>
      <c r="W55" s="2277">
        <v>0</v>
      </c>
      <c r="X55" s="2276">
        <v>0</v>
      </c>
      <c r="Y55" s="2276">
        <v>0</v>
      </c>
      <c r="Z55" s="2277">
        <v>0</v>
      </c>
      <c r="AA55" s="2276">
        <v>0</v>
      </c>
      <c r="AB55" s="2276">
        <v>0</v>
      </c>
      <c r="AC55" s="2277">
        <v>0</v>
      </c>
      <c r="AD55" s="2276">
        <v>0</v>
      </c>
      <c r="AE55" s="2276">
        <v>0</v>
      </c>
      <c r="AF55" s="2277">
        <v>0</v>
      </c>
      <c r="AG55" s="2276">
        <v>0</v>
      </c>
      <c r="AH55" s="2276">
        <v>0</v>
      </c>
      <c r="AI55" s="2277">
        <v>0</v>
      </c>
      <c r="AJ55" s="2276">
        <v>0</v>
      </c>
      <c r="AK55" s="2276">
        <v>0</v>
      </c>
      <c r="AL55" s="2277">
        <v>0</v>
      </c>
      <c r="AM55" s="2276">
        <v>0</v>
      </c>
      <c r="AN55" s="2276">
        <v>0</v>
      </c>
      <c r="AO55" s="2277">
        <v>0</v>
      </c>
      <c r="AP55" s="2276">
        <v>0</v>
      </c>
      <c r="AQ55" s="2276">
        <v>0</v>
      </c>
      <c r="AR55" s="2277">
        <v>0</v>
      </c>
    </row>
    <row r="56" spans="1:44">
      <c r="A56" s="2275" t="s">
        <v>3774</v>
      </c>
      <c r="B56" s="2275" t="s">
        <v>3357</v>
      </c>
      <c r="C56" s="2276"/>
      <c r="D56" s="2276"/>
      <c r="E56" s="2016"/>
      <c r="F56" s="2016"/>
      <c r="G56" s="2016"/>
      <c r="H56" s="2017"/>
      <c r="I56" s="2276">
        <v>0</v>
      </c>
      <c r="J56" s="2276">
        <v>0</v>
      </c>
      <c r="K56" s="2277">
        <v>0</v>
      </c>
      <c r="L56" s="2276">
        <v>0</v>
      </c>
      <c r="M56" s="2276">
        <v>0</v>
      </c>
      <c r="N56" s="2277">
        <v>0</v>
      </c>
      <c r="O56" s="2276">
        <v>0</v>
      </c>
      <c r="P56" s="2276">
        <v>0</v>
      </c>
      <c r="Q56" s="2277">
        <v>0</v>
      </c>
      <c r="R56" s="2276">
        <v>0</v>
      </c>
      <c r="S56" s="2276">
        <v>0</v>
      </c>
      <c r="T56" s="2277">
        <v>0</v>
      </c>
      <c r="U56" s="2276">
        <v>0</v>
      </c>
      <c r="V56" s="2276">
        <v>0</v>
      </c>
      <c r="W56" s="2277"/>
      <c r="X56" s="2276"/>
      <c r="Y56" s="2276">
        <v>0</v>
      </c>
      <c r="Z56" s="2277">
        <v>0</v>
      </c>
      <c r="AA56" s="2276">
        <v>0</v>
      </c>
      <c r="AB56" s="2276">
        <v>0</v>
      </c>
      <c r="AC56" s="2277">
        <v>0</v>
      </c>
      <c r="AD56" s="2276">
        <v>0</v>
      </c>
      <c r="AE56" s="2276">
        <v>0</v>
      </c>
      <c r="AF56" s="2277">
        <v>0</v>
      </c>
      <c r="AG56" s="2276">
        <v>0</v>
      </c>
      <c r="AH56" s="2276">
        <v>0</v>
      </c>
      <c r="AI56" s="2277">
        <v>0</v>
      </c>
      <c r="AJ56" s="2276"/>
      <c r="AK56" s="2276"/>
      <c r="AL56" s="2277">
        <v>0</v>
      </c>
      <c r="AM56" s="2276">
        <v>50000000000</v>
      </c>
      <c r="AN56" s="2276">
        <v>0</v>
      </c>
      <c r="AO56" s="2277">
        <v>50000000000</v>
      </c>
      <c r="AP56" s="2276">
        <v>0</v>
      </c>
      <c r="AQ56" s="2276"/>
      <c r="AR56" s="2277"/>
    </row>
    <row r="57" spans="1:44">
      <c r="A57" s="2275" t="s">
        <v>3775</v>
      </c>
      <c r="B57" s="2275" t="s">
        <v>3357</v>
      </c>
      <c r="C57" s="2276"/>
      <c r="D57" s="2276"/>
      <c r="E57" s="2016"/>
      <c r="F57" s="2016"/>
      <c r="G57" s="2016"/>
      <c r="H57" s="2017"/>
      <c r="I57" s="2276">
        <v>0</v>
      </c>
      <c r="J57" s="2276">
        <v>0</v>
      </c>
      <c r="K57" s="2277">
        <v>0</v>
      </c>
      <c r="L57" s="2276">
        <v>0</v>
      </c>
      <c r="M57" s="2276">
        <v>0</v>
      </c>
      <c r="N57" s="2277">
        <v>0</v>
      </c>
      <c r="O57" s="2276">
        <v>0</v>
      </c>
      <c r="P57" s="2276">
        <v>0</v>
      </c>
      <c r="Q57" s="2277">
        <v>0</v>
      </c>
      <c r="R57" s="2276">
        <v>0</v>
      </c>
      <c r="S57" s="2276">
        <v>0</v>
      </c>
      <c r="T57" s="2277">
        <v>0</v>
      </c>
      <c r="U57" s="2276">
        <v>0</v>
      </c>
      <c r="V57" s="2276">
        <v>0</v>
      </c>
      <c r="W57" s="2277"/>
      <c r="X57" s="2276">
        <v>0</v>
      </c>
      <c r="Y57" s="2276">
        <v>0</v>
      </c>
      <c r="Z57" s="2277">
        <v>0</v>
      </c>
      <c r="AA57" s="2276">
        <v>0</v>
      </c>
      <c r="AB57" s="2276">
        <v>0</v>
      </c>
      <c r="AC57" s="2277">
        <v>0</v>
      </c>
      <c r="AD57" s="2276">
        <v>0</v>
      </c>
      <c r="AE57" s="2276">
        <v>0</v>
      </c>
      <c r="AF57" s="2277">
        <v>0</v>
      </c>
      <c r="AG57" s="2276">
        <v>0</v>
      </c>
      <c r="AH57" s="2276">
        <v>0</v>
      </c>
      <c r="AI57" s="2277">
        <v>0</v>
      </c>
      <c r="AJ57" s="2276">
        <v>0</v>
      </c>
      <c r="AK57" s="2276">
        <v>0</v>
      </c>
      <c r="AL57" s="2277">
        <v>0</v>
      </c>
      <c r="AM57" s="2276">
        <v>0</v>
      </c>
      <c r="AN57" s="2276">
        <v>10000000000</v>
      </c>
      <c r="AO57" s="2277">
        <v>10000000000</v>
      </c>
      <c r="AP57" s="2276">
        <v>0</v>
      </c>
      <c r="AQ57" s="2276">
        <v>0</v>
      </c>
      <c r="AR57" s="2277">
        <v>0</v>
      </c>
    </row>
    <row r="58" spans="1:44">
      <c r="A58" s="2275" t="s">
        <v>3657</v>
      </c>
      <c r="B58" s="2275" t="s">
        <v>3357</v>
      </c>
      <c r="C58" s="2276"/>
      <c r="D58" s="2276"/>
      <c r="E58" s="2016"/>
      <c r="F58" s="2016"/>
      <c r="G58" s="2016"/>
      <c r="H58" s="2017"/>
      <c r="I58" s="2276">
        <v>0</v>
      </c>
      <c r="J58" s="2276">
        <v>0</v>
      </c>
      <c r="K58" s="2277">
        <v>0</v>
      </c>
      <c r="L58" s="2276">
        <v>0</v>
      </c>
      <c r="M58" s="2276">
        <v>0</v>
      </c>
      <c r="N58" s="2277">
        <v>0</v>
      </c>
      <c r="O58" s="2276">
        <v>0</v>
      </c>
      <c r="P58" s="2276">
        <v>0</v>
      </c>
      <c r="Q58" s="2277">
        <v>0</v>
      </c>
      <c r="R58" s="2276">
        <v>0</v>
      </c>
      <c r="S58" s="2276">
        <v>0</v>
      </c>
      <c r="T58" s="2277">
        <v>0</v>
      </c>
      <c r="U58" s="2276">
        <v>0</v>
      </c>
      <c r="V58" s="2276">
        <v>0</v>
      </c>
      <c r="W58" s="2277">
        <v>0</v>
      </c>
      <c r="X58" s="2276">
        <v>0</v>
      </c>
      <c r="Y58" s="2276">
        <v>10000000000</v>
      </c>
      <c r="Z58" s="2277">
        <v>10000000000</v>
      </c>
      <c r="AA58" s="2276">
        <v>0</v>
      </c>
      <c r="AB58" s="2276">
        <v>0</v>
      </c>
      <c r="AC58" s="2277">
        <v>0</v>
      </c>
      <c r="AD58" s="2276">
        <v>0</v>
      </c>
      <c r="AE58" s="2276">
        <v>0</v>
      </c>
      <c r="AF58" s="2277">
        <v>0</v>
      </c>
      <c r="AG58" s="2276">
        <v>0</v>
      </c>
      <c r="AH58" s="2276">
        <v>0</v>
      </c>
      <c r="AI58" s="2277">
        <v>0</v>
      </c>
      <c r="AJ58" s="2276">
        <v>0</v>
      </c>
      <c r="AK58" s="2276">
        <v>0</v>
      </c>
      <c r="AL58" s="2277">
        <v>0</v>
      </c>
      <c r="AM58" s="2276">
        <v>0</v>
      </c>
      <c r="AN58" s="2276">
        <v>0</v>
      </c>
      <c r="AO58" s="2277">
        <v>0</v>
      </c>
      <c r="AP58" s="2276">
        <v>0</v>
      </c>
      <c r="AQ58" s="2276">
        <v>0</v>
      </c>
      <c r="AR58" s="2277">
        <v>0</v>
      </c>
    </row>
    <row r="59" spans="1:44">
      <c r="A59" s="2279" t="s">
        <v>3461</v>
      </c>
      <c r="B59" s="2279" t="s">
        <v>3357</v>
      </c>
      <c r="C59" s="2280">
        <f>SUM(C11:C27)</f>
        <v>15000000000</v>
      </c>
      <c r="D59" s="2280">
        <f>SUM(D11:D27)</f>
        <v>30000000000</v>
      </c>
      <c r="E59" s="2281">
        <f>SUM(E11:E36)</f>
        <v>30000000000</v>
      </c>
      <c r="F59" s="2281">
        <f>SUM(F11:F36)</f>
        <v>45000000000</v>
      </c>
      <c r="G59" s="2281">
        <f>SUM(G11:G50)</f>
        <v>103555000000</v>
      </c>
      <c r="H59" s="2277">
        <f>SUM(H11:H50)</f>
        <v>65000000000</v>
      </c>
      <c r="I59" s="2281">
        <f>SUM(I11:I58)</f>
        <v>55000000000</v>
      </c>
      <c r="J59" s="2281">
        <f>SUM(J11:J58)</f>
        <v>10000000000</v>
      </c>
      <c r="K59" s="2277">
        <f>SUM(K11:K58)</f>
        <v>65000000000</v>
      </c>
      <c r="L59" s="2281">
        <f>SUM(L11:L58)</f>
        <v>60000000000</v>
      </c>
      <c r="M59" s="2281">
        <f>SUM(M11:M58)</f>
        <v>64283620000</v>
      </c>
      <c r="N59" s="2277">
        <f t="shared" ref="N59:AR59" si="2">SUM(N11:N58)</f>
        <v>124283620000</v>
      </c>
      <c r="O59" s="2281">
        <f t="shared" si="2"/>
        <v>62378400000</v>
      </c>
      <c r="P59" s="2281">
        <f t="shared" si="2"/>
        <v>21469500000</v>
      </c>
      <c r="Q59" s="2277">
        <f t="shared" si="2"/>
        <v>83847900000</v>
      </c>
      <c r="R59" s="2281">
        <f t="shared" si="2"/>
        <v>95000000000</v>
      </c>
      <c r="S59" s="2281">
        <f t="shared" si="2"/>
        <v>63284700000</v>
      </c>
      <c r="T59" s="2277">
        <f t="shared" si="2"/>
        <v>158284700000</v>
      </c>
      <c r="U59" s="2281">
        <f t="shared" si="2"/>
        <v>70000000000</v>
      </c>
      <c r="V59" s="2281">
        <f t="shared" si="2"/>
        <v>20000000000</v>
      </c>
      <c r="W59" s="2277">
        <f t="shared" si="2"/>
        <v>90000000000</v>
      </c>
      <c r="X59" s="2281">
        <f t="shared" si="2"/>
        <v>102978200000</v>
      </c>
      <c r="Y59" s="2281">
        <f t="shared" si="2"/>
        <v>40000000000</v>
      </c>
      <c r="Z59" s="2277">
        <f t="shared" si="2"/>
        <v>142978200000</v>
      </c>
      <c r="AA59" s="2281">
        <f t="shared" si="2"/>
        <v>40000000000</v>
      </c>
      <c r="AB59" s="2281">
        <f t="shared" si="2"/>
        <v>108530500000</v>
      </c>
      <c r="AC59" s="2277">
        <f t="shared" si="2"/>
        <v>148530500000</v>
      </c>
      <c r="AD59" s="2281">
        <f t="shared" si="2"/>
        <v>30000000000</v>
      </c>
      <c r="AE59" s="2281">
        <f t="shared" si="2"/>
        <v>119192700000</v>
      </c>
      <c r="AF59" s="2277">
        <f t="shared" si="2"/>
        <v>149192700000</v>
      </c>
      <c r="AG59" s="2281">
        <f t="shared" si="2"/>
        <v>0</v>
      </c>
      <c r="AH59" s="2281">
        <f t="shared" si="2"/>
        <v>32563200000</v>
      </c>
      <c r="AI59" s="2277">
        <f t="shared" si="2"/>
        <v>32563200000</v>
      </c>
      <c r="AJ59" s="2281">
        <f t="shared" si="2"/>
        <v>40000000000</v>
      </c>
      <c r="AK59" s="2281">
        <f t="shared" si="2"/>
        <v>30000000000</v>
      </c>
      <c r="AL59" s="2277">
        <f t="shared" si="2"/>
        <v>70000000000</v>
      </c>
      <c r="AM59" s="2281">
        <f t="shared" si="2"/>
        <v>50000000000</v>
      </c>
      <c r="AN59" s="2281">
        <f t="shared" si="2"/>
        <v>85000000000</v>
      </c>
      <c r="AO59" s="2277">
        <f t="shared" si="2"/>
        <v>135000000000</v>
      </c>
      <c r="AP59" s="2281">
        <f t="shared" si="2"/>
        <v>0</v>
      </c>
      <c r="AQ59" s="2281">
        <f t="shared" si="2"/>
        <v>81542000000</v>
      </c>
      <c r="AR59" s="2277">
        <f t="shared" si="2"/>
        <v>81542000000</v>
      </c>
    </row>
    <row r="60" spans="1:44">
      <c r="A60" s="2275"/>
      <c r="B60" s="2275"/>
      <c r="C60" s="2276"/>
      <c r="D60" s="2276"/>
      <c r="E60" s="2016"/>
      <c r="F60" s="2016"/>
      <c r="G60" s="2016"/>
      <c r="H60" s="2017"/>
      <c r="I60" s="2276"/>
      <c r="J60" s="2276"/>
      <c r="K60" s="2277"/>
      <c r="L60" s="2276"/>
      <c r="M60" s="2276"/>
      <c r="N60" s="2277"/>
      <c r="O60" s="2276"/>
      <c r="P60" s="2276"/>
      <c r="Q60" s="2277"/>
      <c r="R60" s="2276"/>
      <c r="S60" s="2276"/>
      <c r="T60" s="2277"/>
      <c r="U60" s="2276"/>
      <c r="V60" s="2276"/>
      <c r="W60" s="2277"/>
      <c r="X60" s="2276"/>
      <c r="Y60" s="2276"/>
      <c r="Z60" s="2277"/>
      <c r="AA60" s="2276"/>
      <c r="AB60" s="2276"/>
      <c r="AC60" s="2277"/>
      <c r="AD60" s="2276"/>
      <c r="AE60" s="2276"/>
      <c r="AF60" s="2277"/>
      <c r="AG60" s="2276"/>
      <c r="AH60" s="2276"/>
      <c r="AI60" s="2277"/>
      <c r="AJ60" s="2276"/>
      <c r="AK60" s="2276"/>
      <c r="AL60" s="2277"/>
      <c r="AM60" s="2276"/>
      <c r="AN60" s="2276"/>
      <c r="AO60" s="2277"/>
      <c r="AP60" s="2276"/>
      <c r="AQ60" s="2276"/>
      <c r="AR60" s="2277"/>
    </row>
    <row r="61" spans="1:44">
      <c r="A61" s="2275"/>
      <c r="B61" s="2275"/>
      <c r="C61" s="2276"/>
      <c r="D61" s="2276"/>
      <c r="E61" s="2016"/>
      <c r="F61" s="2016"/>
      <c r="G61" s="2016"/>
      <c r="H61" s="2017"/>
      <c r="I61" s="2276"/>
      <c r="J61" s="2276"/>
      <c r="K61" s="2277"/>
      <c r="L61" s="2276"/>
      <c r="M61" s="2276"/>
      <c r="N61" s="2277"/>
      <c r="O61" s="2276"/>
      <c r="P61" s="2276"/>
      <c r="Q61" s="2277"/>
      <c r="R61" s="2276"/>
      <c r="S61" s="2276"/>
      <c r="T61" s="2277"/>
      <c r="U61" s="2276"/>
      <c r="V61" s="2276"/>
      <c r="W61" s="2277"/>
      <c r="X61" s="2276"/>
      <c r="Y61" s="2276"/>
      <c r="Z61" s="2277"/>
      <c r="AA61" s="2276"/>
      <c r="AB61" s="2276"/>
      <c r="AC61" s="2277"/>
      <c r="AD61" s="2276"/>
      <c r="AE61" s="2276"/>
      <c r="AF61" s="2277"/>
      <c r="AG61" s="2276"/>
      <c r="AH61" s="2276"/>
      <c r="AI61" s="2277"/>
      <c r="AJ61" s="2276"/>
      <c r="AK61" s="2276"/>
      <c r="AL61" s="2277"/>
      <c r="AM61" s="2276"/>
      <c r="AN61" s="2276"/>
      <c r="AO61" s="2277"/>
      <c r="AP61" s="2276"/>
      <c r="AQ61" s="2276"/>
      <c r="AR61" s="2277"/>
    </row>
    <row r="62" spans="1:44">
      <c r="A62" s="2275"/>
      <c r="B62" s="2275"/>
      <c r="C62" s="2276"/>
      <c r="D62" s="2276"/>
      <c r="E62" s="2016"/>
      <c r="F62" s="2016"/>
      <c r="G62" s="2016"/>
      <c r="H62" s="2017"/>
      <c r="I62" s="2276"/>
      <c r="J62" s="2276"/>
      <c r="K62" s="2277"/>
      <c r="L62" s="2276"/>
      <c r="M62" s="2276"/>
      <c r="N62" s="2277"/>
      <c r="O62" s="2276"/>
      <c r="P62" s="2276"/>
      <c r="Q62" s="2277"/>
      <c r="R62" s="2276"/>
      <c r="S62" s="2276"/>
      <c r="T62" s="2277"/>
      <c r="U62" s="2276"/>
      <c r="V62" s="2276"/>
      <c r="W62" s="2277"/>
      <c r="X62" s="2276"/>
      <c r="Y62" s="2276"/>
      <c r="Z62" s="2277"/>
      <c r="AA62" s="2276"/>
      <c r="AB62" s="2276"/>
      <c r="AC62" s="2277"/>
      <c r="AD62" s="2276"/>
      <c r="AE62" s="2276"/>
      <c r="AF62" s="2277"/>
      <c r="AG62" s="2276"/>
      <c r="AH62" s="2276"/>
      <c r="AI62" s="2277"/>
      <c r="AJ62" s="2276"/>
      <c r="AK62" s="2276"/>
      <c r="AL62" s="2277"/>
      <c r="AM62" s="2276"/>
      <c r="AN62" s="2276"/>
      <c r="AO62" s="2277"/>
      <c r="AP62" s="2276"/>
      <c r="AQ62" s="2276"/>
      <c r="AR62" s="2277"/>
    </row>
    <row r="63" spans="1:44" s="2283" customFormat="1" ht="13">
      <c r="A63" s="2271" t="s">
        <v>3418</v>
      </c>
      <c r="B63" s="2271" t="s">
        <v>3358</v>
      </c>
      <c r="C63" s="2266">
        <f t="shared" ref="C63:H63" si="3">SUM(C64:C72,C121, C122,C125,C126)</f>
        <v>32220524965.84</v>
      </c>
      <c r="D63" s="2266">
        <f t="shared" si="3"/>
        <v>35943697690.839996</v>
      </c>
      <c r="E63" s="2266" t="e">
        <f t="shared" si="3"/>
        <v>#REF!</v>
      </c>
      <c r="F63" s="2266" t="e">
        <f t="shared" si="3"/>
        <v>#REF!</v>
      </c>
      <c r="G63" s="2266" t="e">
        <f t="shared" si="3"/>
        <v>#REF!</v>
      </c>
      <c r="H63" s="2272">
        <f t="shared" si="3"/>
        <v>239765893466.5946</v>
      </c>
      <c r="I63" s="2273">
        <f>SUM(I64:I72,I121,I122,I125,I126)</f>
        <v>126360977007.03845</v>
      </c>
      <c r="J63" s="2273">
        <f>SUM(J64:J72,J121,J122,J125,J126)</f>
        <v>137609872361</v>
      </c>
      <c r="K63" s="2274">
        <f>SUM(K64:K72,K121,K122,K125,K126)</f>
        <v>263970849368.03845</v>
      </c>
      <c r="L63" s="2273">
        <f t="shared" ref="L63:AR63" si="4">SUM(L64:L72,L121,L122,L125,L126)</f>
        <v>144917158600.60001</v>
      </c>
      <c r="M63" s="2273">
        <f t="shared" si="4"/>
        <v>131384813875.39999</v>
      </c>
      <c r="N63" s="2274">
        <f t="shared" si="4"/>
        <v>276301972476</v>
      </c>
      <c r="O63" s="2273">
        <f t="shared" si="4"/>
        <v>140241469807</v>
      </c>
      <c r="P63" s="2273">
        <f t="shared" si="4"/>
        <v>125539656831</v>
      </c>
      <c r="Q63" s="2274">
        <f t="shared" si="4"/>
        <v>265781126638</v>
      </c>
      <c r="R63" s="2273">
        <f t="shared" si="4"/>
        <v>138778120432</v>
      </c>
      <c r="S63" s="2273">
        <f t="shared" si="4"/>
        <v>121656783445</v>
      </c>
      <c r="T63" s="2274">
        <f t="shared" si="4"/>
        <v>260434903877</v>
      </c>
      <c r="U63" s="2273">
        <f t="shared" si="4"/>
        <v>132577756428</v>
      </c>
      <c r="V63" s="2273">
        <f t="shared" si="4"/>
        <v>115410382314</v>
      </c>
      <c r="W63" s="2274">
        <f t="shared" si="4"/>
        <v>247988138742</v>
      </c>
      <c r="X63" s="2273">
        <f t="shared" si="4"/>
        <v>130019863556</v>
      </c>
      <c r="Y63" s="2273">
        <f t="shared" si="4"/>
        <v>109824640826</v>
      </c>
      <c r="Z63" s="2274">
        <f t="shared" si="4"/>
        <v>239844504382</v>
      </c>
      <c r="AA63" s="2273">
        <f t="shared" si="4"/>
        <v>124081236508</v>
      </c>
      <c r="AB63" s="2273">
        <f t="shared" si="4"/>
        <v>106567312112</v>
      </c>
      <c r="AC63" s="2274">
        <f t="shared" si="4"/>
        <v>230648548620</v>
      </c>
      <c r="AD63" s="2273">
        <f t="shared" si="4"/>
        <v>117549907726</v>
      </c>
      <c r="AE63" s="2273">
        <f t="shared" si="4"/>
        <v>99737151595</v>
      </c>
      <c r="AF63" s="2274">
        <f t="shared" si="4"/>
        <v>217287059321</v>
      </c>
      <c r="AG63" s="2273">
        <f t="shared" si="4"/>
        <v>110798260603</v>
      </c>
      <c r="AH63" s="2273">
        <f t="shared" si="4"/>
        <v>93881297820</v>
      </c>
      <c r="AI63" s="2274">
        <f t="shared" si="4"/>
        <v>204679558423</v>
      </c>
      <c r="AJ63" s="2273">
        <f t="shared" si="4"/>
        <v>111166081415</v>
      </c>
      <c r="AK63" s="2273">
        <f t="shared" si="4"/>
        <v>90697000909</v>
      </c>
      <c r="AL63" s="2274">
        <f t="shared" si="4"/>
        <v>201863082324</v>
      </c>
      <c r="AM63" s="2273">
        <f>SUM(AM64:AM72,AM121,AM122,AM125,AM126)</f>
        <v>109123660244</v>
      </c>
      <c r="AN63" s="2273">
        <f t="shared" si="4"/>
        <v>87261285710</v>
      </c>
      <c r="AO63" s="2274">
        <f t="shared" si="4"/>
        <v>196384945954</v>
      </c>
      <c r="AP63" s="2273">
        <f t="shared" si="4"/>
        <v>103241812176</v>
      </c>
      <c r="AQ63" s="2273">
        <f t="shared" si="4"/>
        <v>83733428323</v>
      </c>
      <c r="AR63" s="2274">
        <f t="shared" si="4"/>
        <v>186975240499</v>
      </c>
    </row>
    <row r="64" spans="1:44" s="2283" customFormat="1" ht="13">
      <c r="A64" s="2275" t="s">
        <v>3419</v>
      </c>
      <c r="B64" s="2275" t="s">
        <v>3358</v>
      </c>
      <c r="C64" s="2276">
        <v>2478271168</v>
      </c>
      <c r="D64" s="2276">
        <v>2286782092</v>
      </c>
      <c r="E64" s="2276">
        <v>2055070171</v>
      </c>
      <c r="F64" s="2276">
        <v>1796316631</v>
      </c>
      <c r="G64" s="2276">
        <v>1493313146</v>
      </c>
      <c r="H64" s="2277">
        <v>2286782092</v>
      </c>
      <c r="I64" s="2276">
        <v>218766080</v>
      </c>
      <c r="J64" s="2276">
        <v>93099649</v>
      </c>
      <c r="K64" s="2277">
        <v>311865729</v>
      </c>
      <c r="L64" s="2276"/>
      <c r="M64" s="2276"/>
      <c r="N64" s="2277">
        <v>0</v>
      </c>
      <c r="O64" s="2276"/>
      <c r="P64" s="2276"/>
      <c r="Q64" s="2277">
        <v>0</v>
      </c>
      <c r="R64" s="2276"/>
      <c r="S64" s="2276"/>
      <c r="T64" s="2277">
        <v>0</v>
      </c>
      <c r="U64" s="2276"/>
      <c r="V64" s="2276"/>
      <c r="W64" s="2277">
        <v>0</v>
      </c>
      <c r="X64" s="2276"/>
      <c r="Y64" s="2276"/>
      <c r="Z64" s="2277">
        <v>0</v>
      </c>
      <c r="AA64" s="2276"/>
      <c r="AB64" s="2276"/>
      <c r="AC64" s="2277">
        <v>0</v>
      </c>
      <c r="AD64" s="2276"/>
      <c r="AE64" s="2276"/>
      <c r="AF64" s="2277">
        <v>0</v>
      </c>
      <c r="AG64" s="2276"/>
      <c r="AH64" s="2276"/>
      <c r="AI64" s="2277">
        <v>0</v>
      </c>
      <c r="AJ64" s="2276"/>
      <c r="AK64" s="2276"/>
      <c r="AL64" s="2277">
        <v>0</v>
      </c>
      <c r="AM64" s="2276"/>
      <c r="AN64" s="2276"/>
      <c r="AO64" s="2277">
        <v>0</v>
      </c>
      <c r="AP64" s="2276"/>
      <c r="AQ64" s="2276"/>
      <c r="AR64" s="2277">
        <v>0</v>
      </c>
    </row>
    <row r="65" spans="1:44" s="2283" customFormat="1" ht="13">
      <c r="A65" s="2275" t="s">
        <v>3651</v>
      </c>
      <c r="B65" s="2275" t="s">
        <v>3358</v>
      </c>
      <c r="C65" s="2276"/>
      <c r="D65" s="2276"/>
      <c r="E65" s="2276"/>
      <c r="F65" s="2276"/>
      <c r="G65" s="2276"/>
      <c r="H65" s="2277"/>
      <c r="I65" s="2276">
        <v>2337763781</v>
      </c>
      <c r="J65" s="2276">
        <v>2330273977</v>
      </c>
      <c r="K65" s="2277">
        <v>4668037758</v>
      </c>
      <c r="L65" s="2276">
        <v>2344168613</v>
      </c>
      <c r="M65" s="2276">
        <v>2331358949</v>
      </c>
      <c r="N65" s="2277">
        <v>4675527562</v>
      </c>
      <c r="O65" s="2276">
        <v>2324166966</v>
      </c>
      <c r="P65" s="2276">
        <v>2226500287</v>
      </c>
      <c r="Q65" s="2277">
        <v>4550667253</v>
      </c>
      <c r="R65" s="2276">
        <v>2148788656</v>
      </c>
      <c r="S65" s="2276">
        <v>2046680243</v>
      </c>
      <c r="T65" s="2277">
        <v>4195468899</v>
      </c>
      <c r="U65" s="2276">
        <v>1942623925</v>
      </c>
      <c r="V65" s="2276">
        <v>1824472067</v>
      </c>
      <c r="W65" s="2277">
        <v>3767095992</v>
      </c>
      <c r="X65" s="2276">
        <v>1716697165</v>
      </c>
      <c r="Y65" s="2276">
        <v>1579261491</v>
      </c>
      <c r="Z65" s="2277">
        <v>3295958656</v>
      </c>
      <c r="AA65" s="2276">
        <v>1451703220</v>
      </c>
      <c r="AB65" s="2276">
        <v>1296919288</v>
      </c>
      <c r="AC65" s="2277">
        <v>2748622508</v>
      </c>
      <c r="AD65" s="2276">
        <v>1147616629</v>
      </c>
      <c r="AE65" s="2276">
        <v>976477175</v>
      </c>
      <c r="AF65" s="2277">
        <v>2124093804</v>
      </c>
      <c r="AG65" s="2276">
        <v>796700769</v>
      </c>
      <c r="AH65" s="2276">
        <v>600932963</v>
      </c>
      <c r="AI65" s="2277">
        <v>1397633732</v>
      </c>
      <c r="AJ65" s="2276">
        <v>398345144</v>
      </c>
      <c r="AK65" s="2276">
        <v>174601421</v>
      </c>
      <c r="AL65" s="2277">
        <v>572946565</v>
      </c>
      <c r="AM65" s="2276"/>
      <c r="AN65" s="2276"/>
      <c r="AO65" s="2277"/>
      <c r="AP65" s="2276"/>
      <c r="AQ65" s="2276"/>
      <c r="AR65" s="2277">
        <v>0</v>
      </c>
    </row>
    <row r="66" spans="1:44" s="2283" customFormat="1" ht="13">
      <c r="A66" s="2275" t="s">
        <v>3771</v>
      </c>
      <c r="B66" s="2275" t="s">
        <v>3358</v>
      </c>
      <c r="C66" s="2276"/>
      <c r="D66" s="2276"/>
      <c r="E66" s="2276"/>
      <c r="F66" s="2276"/>
      <c r="G66" s="2276"/>
      <c r="H66" s="2277"/>
      <c r="I66" s="2276"/>
      <c r="J66" s="2276">
        <v>69511793</v>
      </c>
      <c r="K66" s="2277">
        <v>69511793</v>
      </c>
      <c r="M66" s="2276"/>
      <c r="N66" s="2277"/>
      <c r="O66" s="2276"/>
      <c r="P66" s="2276"/>
      <c r="Q66" s="2277"/>
      <c r="R66" s="2276"/>
      <c r="S66" s="2276"/>
      <c r="T66" s="2277"/>
      <c r="U66" s="2276"/>
      <c r="V66" s="2276"/>
      <c r="W66" s="2277"/>
      <c r="X66" s="2276"/>
      <c r="Y66" s="2276"/>
      <c r="Z66" s="2277"/>
      <c r="AA66" s="2276"/>
      <c r="AB66" s="2276"/>
      <c r="AC66" s="2277"/>
      <c r="AD66" s="2276"/>
      <c r="AE66" s="2276"/>
      <c r="AF66" s="2277"/>
      <c r="AG66" s="2276"/>
      <c r="AH66" s="2276"/>
      <c r="AI66" s="2277"/>
      <c r="AJ66" s="2276"/>
      <c r="AK66" s="2276"/>
      <c r="AL66" s="2277"/>
      <c r="AM66" s="2276"/>
      <c r="AN66" s="2276"/>
      <c r="AO66" s="2277"/>
      <c r="AP66" s="2276"/>
      <c r="AQ66" s="2276"/>
      <c r="AR66" s="2277"/>
    </row>
    <row r="67" spans="1:44" s="2283" customFormat="1" ht="13">
      <c r="A67" s="2275" t="s">
        <v>3599</v>
      </c>
      <c r="B67" s="2275" t="s">
        <v>3358</v>
      </c>
      <c r="C67" s="2276">
        <v>1737246576</v>
      </c>
      <c r="D67" s="2276">
        <v>3320670366</v>
      </c>
      <c r="E67" s="2276">
        <v>2774638047</v>
      </c>
      <c r="F67" s="2276">
        <v>2024978759</v>
      </c>
      <c r="G67" s="2276">
        <v>1149825252</v>
      </c>
      <c r="H67" s="2277">
        <v>3320670366</v>
      </c>
      <c r="I67" s="2276">
        <v>1649642799</v>
      </c>
      <c r="J67" s="2276">
        <v>0</v>
      </c>
      <c r="K67" s="2277">
        <v>1649642799</v>
      </c>
      <c r="L67" s="2276">
        <v>0</v>
      </c>
      <c r="M67" s="2276">
        <v>0</v>
      </c>
      <c r="N67" s="2277">
        <v>0</v>
      </c>
      <c r="O67" s="2276">
        <v>0</v>
      </c>
      <c r="P67" s="2276">
        <v>0</v>
      </c>
      <c r="Q67" s="2277">
        <v>0</v>
      </c>
      <c r="R67" s="2276">
        <v>0</v>
      </c>
      <c r="S67" s="2276">
        <v>0</v>
      </c>
      <c r="T67" s="2277">
        <v>0</v>
      </c>
      <c r="U67" s="2276">
        <v>0</v>
      </c>
      <c r="V67" s="2276">
        <v>0</v>
      </c>
      <c r="W67" s="2277">
        <v>0</v>
      </c>
      <c r="X67" s="2276">
        <v>0</v>
      </c>
      <c r="Y67" s="2276">
        <v>0</v>
      </c>
      <c r="Z67" s="2277">
        <v>0</v>
      </c>
      <c r="AA67" s="2276">
        <v>0</v>
      </c>
      <c r="AB67" s="2276">
        <v>0</v>
      </c>
      <c r="AC67" s="2277">
        <v>0</v>
      </c>
      <c r="AD67" s="2276">
        <v>0</v>
      </c>
      <c r="AE67" s="2276">
        <v>0</v>
      </c>
      <c r="AF67" s="2277">
        <v>0</v>
      </c>
      <c r="AG67" s="2276">
        <v>0</v>
      </c>
      <c r="AH67" s="2276">
        <v>0</v>
      </c>
      <c r="AI67" s="2277">
        <v>0</v>
      </c>
      <c r="AJ67" s="2276">
        <v>0</v>
      </c>
      <c r="AK67" s="2276">
        <v>0</v>
      </c>
      <c r="AL67" s="2277">
        <v>0</v>
      </c>
      <c r="AM67" s="2276">
        <v>0</v>
      </c>
      <c r="AN67" s="2276">
        <v>0</v>
      </c>
      <c r="AO67" s="2277">
        <v>0</v>
      </c>
      <c r="AP67" s="2276">
        <v>0</v>
      </c>
      <c r="AQ67" s="2276">
        <v>0</v>
      </c>
      <c r="AR67" s="2277">
        <v>0</v>
      </c>
    </row>
    <row r="68" spans="1:44" s="2283" customFormat="1" ht="13">
      <c r="A68" s="2275" t="s">
        <v>3658</v>
      </c>
      <c r="B68" s="2275" t="s">
        <v>3358</v>
      </c>
      <c r="C68" s="2276">
        <v>687871662.84000003</v>
      </c>
      <c r="D68" s="2276">
        <v>687871662.84000003</v>
      </c>
      <c r="E68" s="2276">
        <v>486066444.94</v>
      </c>
      <c r="F68" s="2276">
        <v>0</v>
      </c>
      <c r="G68" s="2276">
        <v>204669931.56999999</v>
      </c>
      <c r="H68" s="2277">
        <v>23852281</v>
      </c>
      <c r="I68" s="2276">
        <v>0</v>
      </c>
      <c r="J68" s="2276">
        <v>0</v>
      </c>
      <c r="K68" s="2277">
        <v>0</v>
      </c>
      <c r="L68" s="2276">
        <v>0</v>
      </c>
      <c r="M68" s="2276">
        <v>0</v>
      </c>
      <c r="N68" s="2277">
        <v>0</v>
      </c>
      <c r="O68" s="2276">
        <v>0</v>
      </c>
      <c r="P68" s="2276">
        <v>0</v>
      </c>
      <c r="Q68" s="2277">
        <v>0</v>
      </c>
      <c r="R68" s="2276">
        <v>0</v>
      </c>
      <c r="S68" s="2276">
        <v>0</v>
      </c>
      <c r="T68" s="2277">
        <v>0</v>
      </c>
      <c r="U68" s="2276">
        <v>0</v>
      </c>
      <c r="V68" s="2276">
        <v>0</v>
      </c>
      <c r="W68" s="2277">
        <v>0</v>
      </c>
      <c r="X68" s="2276">
        <v>0</v>
      </c>
      <c r="Y68" s="2276">
        <v>0</v>
      </c>
      <c r="Z68" s="2277">
        <v>0</v>
      </c>
      <c r="AA68" s="2276">
        <v>0</v>
      </c>
      <c r="AB68" s="2276">
        <v>0</v>
      </c>
      <c r="AC68" s="2277">
        <v>0</v>
      </c>
      <c r="AD68" s="2276">
        <v>0</v>
      </c>
      <c r="AE68" s="2276">
        <v>0</v>
      </c>
      <c r="AF68" s="2277">
        <v>0</v>
      </c>
      <c r="AG68" s="2276">
        <v>0</v>
      </c>
      <c r="AH68" s="2276">
        <v>0</v>
      </c>
      <c r="AI68" s="2277">
        <v>0</v>
      </c>
      <c r="AJ68" s="2276">
        <v>0</v>
      </c>
      <c r="AK68" s="2276">
        <v>0</v>
      </c>
      <c r="AL68" s="2277">
        <v>0</v>
      </c>
      <c r="AM68" s="2276">
        <v>0</v>
      </c>
      <c r="AN68" s="2276">
        <v>0</v>
      </c>
      <c r="AO68" s="2277">
        <v>0</v>
      </c>
      <c r="AP68" s="2276">
        <v>0</v>
      </c>
      <c r="AQ68" s="2276">
        <v>0</v>
      </c>
      <c r="AR68" s="2277">
        <v>0</v>
      </c>
    </row>
    <row r="69" spans="1:44" s="2283" customFormat="1" ht="13">
      <c r="A69" s="2275" t="s">
        <v>3659</v>
      </c>
      <c r="B69" s="2275" t="s">
        <v>3358</v>
      </c>
      <c r="C69" s="2276">
        <v>375000000</v>
      </c>
      <c r="D69" s="2276" t="s">
        <v>821</v>
      </c>
      <c r="E69" s="2276">
        <v>0</v>
      </c>
      <c r="F69" s="2276">
        <v>0</v>
      </c>
      <c r="G69" s="2276">
        <v>0</v>
      </c>
      <c r="H69" s="2277">
        <v>0</v>
      </c>
      <c r="I69" s="2276">
        <v>0</v>
      </c>
      <c r="J69" s="2276">
        <v>0</v>
      </c>
      <c r="K69" s="2277">
        <v>0</v>
      </c>
      <c r="L69" s="2276">
        <v>0</v>
      </c>
      <c r="M69" s="2276">
        <v>0</v>
      </c>
      <c r="N69" s="2277">
        <v>0</v>
      </c>
      <c r="O69" s="2276">
        <v>0</v>
      </c>
      <c r="P69" s="2276">
        <v>0</v>
      </c>
      <c r="Q69" s="2277">
        <v>0</v>
      </c>
      <c r="R69" s="2276">
        <v>0</v>
      </c>
      <c r="S69" s="2276">
        <v>0</v>
      </c>
      <c r="T69" s="2277">
        <v>0</v>
      </c>
      <c r="U69" s="2276">
        <v>0</v>
      </c>
      <c r="V69" s="2276">
        <v>0</v>
      </c>
      <c r="W69" s="2277">
        <v>0</v>
      </c>
      <c r="X69" s="2276">
        <v>0</v>
      </c>
      <c r="Y69" s="2276">
        <v>0</v>
      </c>
      <c r="Z69" s="2277">
        <v>0</v>
      </c>
      <c r="AA69" s="2276">
        <v>0</v>
      </c>
      <c r="AB69" s="2276">
        <v>0</v>
      </c>
      <c r="AC69" s="2277">
        <v>0</v>
      </c>
      <c r="AD69" s="2276">
        <v>0</v>
      </c>
      <c r="AE69" s="2276">
        <v>0</v>
      </c>
      <c r="AF69" s="2277">
        <v>0</v>
      </c>
      <c r="AG69" s="2276">
        <v>0</v>
      </c>
      <c r="AH69" s="2276">
        <v>0</v>
      </c>
      <c r="AI69" s="2277">
        <v>0</v>
      </c>
      <c r="AJ69" s="2276">
        <v>0</v>
      </c>
      <c r="AK69" s="2276">
        <v>0</v>
      </c>
      <c r="AL69" s="2277">
        <v>0</v>
      </c>
      <c r="AM69" s="2276">
        <v>0</v>
      </c>
      <c r="AN69" s="2276">
        <v>0</v>
      </c>
      <c r="AO69" s="2277">
        <v>0</v>
      </c>
      <c r="AP69" s="2276">
        <v>0</v>
      </c>
      <c r="AQ69" s="2276">
        <v>0</v>
      </c>
      <c r="AR69" s="2277">
        <v>0</v>
      </c>
    </row>
    <row r="70" spans="1:44" s="2283" customFormat="1" ht="13">
      <c r="A70" s="2275" t="s">
        <v>3652</v>
      </c>
      <c r="B70" s="2275" t="s">
        <v>3358</v>
      </c>
      <c r="C70" s="2276">
        <v>44635559</v>
      </c>
      <c r="D70" s="2276" t="s">
        <v>821</v>
      </c>
      <c r="E70" s="2276">
        <v>0</v>
      </c>
      <c r="F70" s="2276">
        <v>0</v>
      </c>
      <c r="G70" s="2276">
        <v>0</v>
      </c>
      <c r="H70" s="2277">
        <v>0</v>
      </c>
      <c r="I70" s="2276">
        <v>0</v>
      </c>
      <c r="J70" s="2276">
        <v>0</v>
      </c>
      <c r="K70" s="2277">
        <v>0</v>
      </c>
      <c r="L70" s="2276">
        <v>0</v>
      </c>
      <c r="M70" s="2276">
        <v>0</v>
      </c>
      <c r="N70" s="2277">
        <v>0</v>
      </c>
      <c r="O70" s="2276">
        <v>0</v>
      </c>
      <c r="P70" s="2276">
        <v>0</v>
      </c>
      <c r="Q70" s="2277">
        <v>0</v>
      </c>
      <c r="R70" s="2276">
        <v>0</v>
      </c>
      <c r="S70" s="2276">
        <v>0</v>
      </c>
      <c r="T70" s="2277">
        <v>0</v>
      </c>
      <c r="U70" s="2276">
        <v>0</v>
      </c>
      <c r="V70" s="2276">
        <v>0</v>
      </c>
      <c r="W70" s="2277">
        <v>0</v>
      </c>
      <c r="X70" s="2276">
        <v>0</v>
      </c>
      <c r="Y70" s="2276">
        <v>0</v>
      </c>
      <c r="Z70" s="2277">
        <v>0</v>
      </c>
      <c r="AA70" s="2276">
        <v>0</v>
      </c>
      <c r="AB70" s="2276">
        <v>0</v>
      </c>
      <c r="AC70" s="2277">
        <v>0</v>
      </c>
      <c r="AD70" s="2276">
        <v>0</v>
      </c>
      <c r="AE70" s="2276">
        <v>0</v>
      </c>
      <c r="AF70" s="2277">
        <v>0</v>
      </c>
      <c r="AG70" s="2276">
        <v>0</v>
      </c>
      <c r="AH70" s="2276">
        <v>0</v>
      </c>
      <c r="AI70" s="2277">
        <v>0</v>
      </c>
      <c r="AJ70" s="2276">
        <v>0</v>
      </c>
      <c r="AK70" s="2276">
        <v>0</v>
      </c>
      <c r="AL70" s="2277">
        <v>0</v>
      </c>
      <c r="AM70" s="2276">
        <v>0</v>
      </c>
      <c r="AN70" s="2276">
        <v>0</v>
      </c>
      <c r="AO70" s="2277">
        <v>0</v>
      </c>
      <c r="AP70" s="2276">
        <v>0</v>
      </c>
      <c r="AQ70" s="2276">
        <v>0</v>
      </c>
      <c r="AR70" s="2277">
        <v>0</v>
      </c>
    </row>
    <row r="71" spans="1:44" s="2283" customFormat="1" ht="13">
      <c r="A71" s="2275" t="s">
        <v>3660</v>
      </c>
      <c r="B71" s="2275" t="s">
        <v>3463</v>
      </c>
      <c r="C71" s="2276"/>
      <c r="D71" s="2276">
        <v>3196498570</v>
      </c>
      <c r="E71" s="2276">
        <v>3581855051</v>
      </c>
      <c r="F71" s="2276">
        <v>4071167492</v>
      </c>
      <c r="G71" s="2276">
        <v>4244378111</v>
      </c>
      <c r="H71" s="2277">
        <v>2828266800</v>
      </c>
      <c r="I71" s="2276">
        <v>2264324165</v>
      </c>
      <c r="J71" s="2276">
        <v>1499661200</v>
      </c>
      <c r="K71" s="2277">
        <v>3763985365</v>
      </c>
      <c r="L71" s="2276">
        <v>1338270435.5999999</v>
      </c>
      <c r="M71" s="2276">
        <v>1839651388.4000001</v>
      </c>
      <c r="N71" s="2277">
        <v>3177921824</v>
      </c>
      <c r="O71" s="2276">
        <v>1191389142</v>
      </c>
      <c r="P71" s="2276">
        <v>1809079180</v>
      </c>
      <c r="Q71" s="2277">
        <v>3000468322</v>
      </c>
      <c r="R71" s="2276">
        <v>1376911926</v>
      </c>
      <c r="S71" s="2276">
        <v>1978974365</v>
      </c>
      <c r="T71" s="2277">
        <v>3355886291</v>
      </c>
      <c r="U71" s="2276">
        <v>1365479040</v>
      </c>
      <c r="V71" s="2276">
        <v>2053297798</v>
      </c>
      <c r="W71" s="2277">
        <v>3418776838</v>
      </c>
      <c r="X71" s="2276">
        <v>1521388956</v>
      </c>
      <c r="Y71" s="2276">
        <v>2221862163</v>
      </c>
      <c r="Z71" s="2277">
        <v>3743251119</v>
      </c>
      <c r="AA71" s="2276">
        <v>1611851130</v>
      </c>
      <c r="AB71" s="2276">
        <v>2346001680</v>
      </c>
      <c r="AC71" s="2277">
        <v>3957852810</v>
      </c>
      <c r="AD71" s="2276">
        <v>1695564966</v>
      </c>
      <c r="AE71" s="2276">
        <v>2464739303</v>
      </c>
      <c r="AF71" s="2277">
        <v>4160304269</v>
      </c>
      <c r="AG71" s="2276">
        <v>1617416256</v>
      </c>
      <c r="AH71" s="2276">
        <v>2474512292</v>
      </c>
      <c r="AI71" s="2277">
        <v>4091928548</v>
      </c>
      <c r="AJ71" s="2276">
        <v>1751879040</v>
      </c>
      <c r="AK71" s="2276">
        <v>2624833271</v>
      </c>
      <c r="AL71" s="2277">
        <v>4376712311</v>
      </c>
      <c r="AM71" s="2276">
        <v>1924379040</v>
      </c>
      <c r="AN71" s="2276">
        <v>2807295520</v>
      </c>
      <c r="AO71" s="2277">
        <v>4731674560</v>
      </c>
      <c r="AP71" s="2276">
        <v>1933407000</v>
      </c>
      <c r="AQ71" s="2276">
        <v>2883314160</v>
      </c>
      <c r="AR71" s="2277">
        <v>4816721160</v>
      </c>
    </row>
    <row r="72" spans="1:44" s="2283" customFormat="1" ht="13">
      <c r="A72" s="2275" t="s">
        <v>3653</v>
      </c>
      <c r="B72" s="2275" t="s">
        <v>3358</v>
      </c>
      <c r="C72" s="2276"/>
      <c r="D72" s="2276"/>
      <c r="E72" s="2276">
        <v>17378746752</v>
      </c>
      <c r="F72" s="2276">
        <v>753700665</v>
      </c>
      <c r="G72" s="2276">
        <v>4438861270.0823288</v>
      </c>
      <c r="H72" s="2277">
        <v>4634471318.21</v>
      </c>
      <c r="I72" s="2276">
        <v>2177497602</v>
      </c>
      <c r="J72" s="2276">
        <v>2092934589</v>
      </c>
      <c r="K72" s="2277">
        <v>4270432191</v>
      </c>
      <c r="L72" s="2276">
        <v>2008371575</v>
      </c>
      <c r="M72" s="2276">
        <v>1923808561</v>
      </c>
      <c r="N72" s="2277">
        <v>3932180136</v>
      </c>
      <c r="O72" s="2276">
        <v>1839245547</v>
      </c>
      <c r="P72" s="2276">
        <v>1754682534</v>
      </c>
      <c r="Q72" s="2277">
        <v>3593928081</v>
      </c>
      <c r="R72" s="2276">
        <v>1670119520</v>
      </c>
      <c r="S72" s="2276">
        <v>1585556507</v>
      </c>
      <c r="T72" s="2277">
        <v>3255676027</v>
      </c>
      <c r="U72" s="2276">
        <v>1500993493</v>
      </c>
      <c r="V72" s="2276">
        <v>1416430479</v>
      </c>
      <c r="W72" s="2277">
        <v>2917423972</v>
      </c>
      <c r="X72" s="2276">
        <v>1331867465</v>
      </c>
      <c r="Y72" s="2276">
        <v>1247304452</v>
      </c>
      <c r="Z72" s="2277">
        <v>2579171917</v>
      </c>
      <c r="AA72" s="2276">
        <v>1162741438</v>
      </c>
      <c r="AB72" s="2276">
        <v>1078178424</v>
      </c>
      <c r="AC72" s="2277">
        <v>2240919862</v>
      </c>
      <c r="AD72" s="2276">
        <v>993615411</v>
      </c>
      <c r="AE72" s="2276">
        <v>909052397</v>
      </c>
      <c r="AF72" s="2277">
        <v>1902667808</v>
      </c>
      <c r="AG72" s="2276">
        <v>824489383</v>
      </c>
      <c r="AH72" s="2276">
        <v>739926370</v>
      </c>
      <c r="AI72" s="2277">
        <v>1564415753</v>
      </c>
      <c r="AJ72" s="2276">
        <v>655363356</v>
      </c>
      <c r="AK72" s="2276">
        <v>570800342</v>
      </c>
      <c r="AL72" s="2277">
        <v>1226163698</v>
      </c>
      <c r="AM72" s="2276">
        <v>486237329</v>
      </c>
      <c r="AN72" s="2276">
        <v>401674315</v>
      </c>
      <c r="AO72" s="2277">
        <v>887911644</v>
      </c>
      <c r="AP72" s="2276">
        <v>317111301</v>
      </c>
      <c r="AQ72" s="2276">
        <v>232548288</v>
      </c>
      <c r="AR72" s="2277">
        <v>549659589</v>
      </c>
    </row>
    <row r="73" spans="1:44" s="2283" customFormat="1" ht="13">
      <c r="A73" s="2275" t="s">
        <v>3421</v>
      </c>
      <c r="B73" s="2275" t="s">
        <v>3358</v>
      </c>
      <c r="C73" s="2276">
        <v>1292500000</v>
      </c>
      <c r="D73" s="2276">
        <v>1292500000</v>
      </c>
      <c r="E73" s="2276">
        <v>1292500000</v>
      </c>
      <c r="F73" s="2276">
        <v>344281044</v>
      </c>
      <c r="G73" s="2276">
        <v>1292500000</v>
      </c>
      <c r="H73" s="2277">
        <v>1292500000</v>
      </c>
      <c r="I73" s="2276">
        <v>646250000</v>
      </c>
      <c r="J73" s="2276">
        <v>646250000</v>
      </c>
      <c r="K73" s="2277">
        <v>1292500000</v>
      </c>
      <c r="L73" s="2276">
        <v>0</v>
      </c>
      <c r="M73" s="2276">
        <v>0</v>
      </c>
      <c r="N73" s="2277">
        <v>0</v>
      </c>
      <c r="O73" s="2276">
        <v>0</v>
      </c>
      <c r="P73" s="2276">
        <v>0</v>
      </c>
      <c r="Q73" s="2277">
        <v>0</v>
      </c>
      <c r="R73" s="2276">
        <v>0</v>
      </c>
      <c r="S73" s="2276">
        <v>0</v>
      </c>
      <c r="T73" s="2277">
        <v>0</v>
      </c>
      <c r="U73" s="2276">
        <v>0</v>
      </c>
      <c r="V73" s="2276">
        <v>0</v>
      </c>
      <c r="W73" s="2277">
        <v>0</v>
      </c>
      <c r="X73" s="2276">
        <v>0</v>
      </c>
      <c r="Y73" s="2276">
        <v>0</v>
      </c>
      <c r="Z73" s="2277">
        <v>0</v>
      </c>
      <c r="AA73" s="2276">
        <v>0</v>
      </c>
      <c r="AB73" s="2276">
        <v>0</v>
      </c>
      <c r="AC73" s="2277">
        <v>0</v>
      </c>
      <c r="AD73" s="2276">
        <v>0</v>
      </c>
      <c r="AE73" s="2276">
        <v>0</v>
      </c>
      <c r="AF73" s="2277">
        <v>0</v>
      </c>
      <c r="AG73" s="2276">
        <v>0</v>
      </c>
      <c r="AH73" s="2276">
        <v>0</v>
      </c>
      <c r="AI73" s="2277">
        <v>0</v>
      </c>
      <c r="AJ73" s="2276">
        <v>0</v>
      </c>
      <c r="AK73" s="2276">
        <v>0</v>
      </c>
      <c r="AL73" s="2277">
        <v>0</v>
      </c>
      <c r="AM73" s="2276">
        <v>0</v>
      </c>
      <c r="AN73" s="2276">
        <v>0</v>
      </c>
      <c r="AO73" s="2277">
        <v>0</v>
      </c>
      <c r="AP73" s="2276">
        <v>0</v>
      </c>
      <c r="AQ73" s="2276">
        <v>0</v>
      </c>
      <c r="AR73" s="2277">
        <v>0</v>
      </c>
    </row>
    <row r="74" spans="1:44" s="2283" customFormat="1" ht="13">
      <c r="A74" s="2275" t="s">
        <v>3422</v>
      </c>
      <c r="B74" s="2275" t="s">
        <v>3358</v>
      </c>
      <c r="C74" s="2276">
        <v>1350000000</v>
      </c>
      <c r="D74" s="2276">
        <v>1350000000</v>
      </c>
      <c r="E74" s="2276">
        <v>4375000000</v>
      </c>
      <c r="F74" s="2276">
        <v>2672000000</v>
      </c>
      <c r="G74" s="2276">
        <v>4375000000</v>
      </c>
      <c r="H74" s="2277">
        <v>4375000000</v>
      </c>
      <c r="I74" s="2276">
        <v>2187500000</v>
      </c>
      <c r="J74" s="2276">
        <v>2187500000</v>
      </c>
      <c r="K74" s="2277">
        <v>4375000000</v>
      </c>
      <c r="L74" s="2276">
        <v>2187500000</v>
      </c>
      <c r="M74" s="2276">
        <v>2187500000</v>
      </c>
      <c r="N74" s="2277">
        <v>4375000000</v>
      </c>
      <c r="O74" s="2276">
        <v>2187500000</v>
      </c>
      <c r="P74" s="2276">
        <v>2187500000</v>
      </c>
      <c r="Q74" s="2277">
        <v>4375000000</v>
      </c>
      <c r="R74" s="2276">
        <v>2187500000</v>
      </c>
      <c r="S74" s="2276">
        <v>2187500000</v>
      </c>
      <c r="T74" s="2277">
        <v>4375000000</v>
      </c>
      <c r="U74" s="2276">
        <v>0</v>
      </c>
      <c r="V74" s="2276">
        <v>0</v>
      </c>
      <c r="W74" s="2277">
        <v>0</v>
      </c>
      <c r="X74" s="2276">
        <v>0</v>
      </c>
      <c r="Y74" s="2276"/>
      <c r="Z74" s="2277">
        <v>0</v>
      </c>
      <c r="AA74" s="2276">
        <v>0</v>
      </c>
      <c r="AB74" s="2276"/>
      <c r="AC74" s="2277">
        <v>0</v>
      </c>
      <c r="AD74" s="2276"/>
      <c r="AE74" s="2276">
        <v>0</v>
      </c>
      <c r="AF74" s="2277">
        <v>0</v>
      </c>
      <c r="AG74" s="2276">
        <v>0</v>
      </c>
      <c r="AH74" s="2276"/>
      <c r="AI74" s="2277">
        <v>0</v>
      </c>
      <c r="AJ74" s="2276">
        <v>0</v>
      </c>
      <c r="AK74" s="2276"/>
      <c r="AL74" s="2277">
        <v>0</v>
      </c>
      <c r="AM74" s="2276">
        <v>0</v>
      </c>
      <c r="AN74" s="2276"/>
      <c r="AO74" s="2277">
        <v>0</v>
      </c>
      <c r="AP74" s="2276">
        <v>0</v>
      </c>
      <c r="AQ74" s="2276">
        <v>0</v>
      </c>
      <c r="AR74" s="2277">
        <v>0</v>
      </c>
    </row>
    <row r="75" spans="1:44" s="2283" customFormat="1" ht="13">
      <c r="A75" s="2275" t="s">
        <v>3423</v>
      </c>
      <c r="B75" s="2275" t="s">
        <v>3358</v>
      </c>
      <c r="C75" s="2276">
        <v>885000000</v>
      </c>
      <c r="D75" s="2276" t="s">
        <v>821</v>
      </c>
      <c r="E75" s="2276">
        <v>3314546703.3000002</v>
      </c>
      <c r="F75" s="2276">
        <v>2653092350</v>
      </c>
      <c r="G75" s="2276">
        <v>11823660000</v>
      </c>
      <c r="H75" s="2277">
        <v>11823660000</v>
      </c>
      <c r="I75" s="2276">
        <v>5911830000</v>
      </c>
      <c r="J75" s="2276">
        <v>5911830000</v>
      </c>
      <c r="K75" s="2277">
        <v>11823660000</v>
      </c>
      <c r="L75" s="2276">
        <v>5911830000</v>
      </c>
      <c r="M75" s="2276">
        <v>5911830000</v>
      </c>
      <c r="N75" s="2277">
        <v>11823660000</v>
      </c>
      <c r="O75" s="2276">
        <v>5911830000</v>
      </c>
      <c r="P75" s="2276">
        <v>5911830000</v>
      </c>
      <c r="Q75" s="2277">
        <v>11823660000</v>
      </c>
      <c r="R75" s="2276">
        <v>5911830000</v>
      </c>
      <c r="S75" s="2276">
        <v>5911830000</v>
      </c>
      <c r="T75" s="2277">
        <v>11823660000</v>
      </c>
      <c r="U75" s="2276">
        <v>5911830000</v>
      </c>
      <c r="V75" s="2276">
        <v>5911830000</v>
      </c>
      <c r="W75" s="2277">
        <v>11823660000</v>
      </c>
      <c r="X75" s="2276">
        <v>5911830000</v>
      </c>
      <c r="Y75" s="2276">
        <v>5911830000</v>
      </c>
      <c r="Z75" s="2277">
        <v>11823660000</v>
      </c>
      <c r="AA75" s="2276">
        <v>5911830000</v>
      </c>
      <c r="AB75" s="2276">
        <v>5911830000</v>
      </c>
      <c r="AC75" s="2277">
        <v>11823660000</v>
      </c>
      <c r="AD75" s="2276"/>
      <c r="AE75" s="2276">
        <v>0</v>
      </c>
      <c r="AF75" s="2277">
        <v>0</v>
      </c>
      <c r="AG75" s="2276"/>
      <c r="AH75" s="2276"/>
      <c r="AI75" s="2277">
        <v>0</v>
      </c>
      <c r="AJ75" s="2276"/>
      <c r="AK75" s="2276"/>
      <c r="AL75" s="2277">
        <v>0</v>
      </c>
      <c r="AM75" s="2276"/>
      <c r="AN75" s="2276"/>
      <c r="AO75" s="2277">
        <v>0</v>
      </c>
      <c r="AP75" s="2276">
        <v>0</v>
      </c>
      <c r="AQ75" s="2276">
        <v>0</v>
      </c>
      <c r="AR75" s="2277">
        <v>0</v>
      </c>
    </row>
    <row r="76" spans="1:44" s="2283" customFormat="1" ht="13">
      <c r="A76" s="2275" t="s">
        <v>3424</v>
      </c>
      <c r="B76" s="2275" t="s">
        <v>3358</v>
      </c>
      <c r="C76" s="2276">
        <v>1800000000</v>
      </c>
      <c r="D76" s="2276">
        <v>900000000</v>
      </c>
      <c r="E76" s="2276">
        <v>1350000000</v>
      </c>
      <c r="F76" s="2276">
        <v>1292500000</v>
      </c>
      <c r="G76" s="2276">
        <v>3037500000</v>
      </c>
      <c r="H76" s="2277">
        <v>16255369575</v>
      </c>
      <c r="I76" s="2276">
        <v>7240956525</v>
      </c>
      <c r="J76" s="2276">
        <v>7240956525</v>
      </c>
      <c r="K76" s="2277">
        <v>14481913050</v>
      </c>
      <c r="L76" s="2276">
        <v>7240956525</v>
      </c>
      <c r="M76" s="2276">
        <v>7240956525</v>
      </c>
      <c r="N76" s="2277">
        <v>14481913050</v>
      </c>
      <c r="O76" s="2276">
        <v>7240956525</v>
      </c>
      <c r="P76" s="2276">
        <v>7240956525</v>
      </c>
      <c r="Q76" s="2277">
        <v>14481913050</v>
      </c>
      <c r="R76" s="2276">
        <v>7240956525</v>
      </c>
      <c r="S76" s="2276">
        <v>7240956525</v>
      </c>
      <c r="T76" s="2277">
        <v>14481913050</v>
      </c>
      <c r="U76" s="2276">
        <v>7240956525</v>
      </c>
      <c r="V76" s="2276">
        <v>7240956525</v>
      </c>
      <c r="W76" s="2277">
        <v>14481913050</v>
      </c>
      <c r="X76" s="2276">
        <v>7240956525</v>
      </c>
      <c r="Y76" s="2276">
        <v>7240956525</v>
      </c>
      <c r="Z76" s="2277">
        <v>14481913050</v>
      </c>
      <c r="AA76" s="2276">
        <v>7240956525</v>
      </c>
      <c r="AB76" s="2276">
        <v>7240956525</v>
      </c>
      <c r="AC76" s="2277">
        <v>14481913050</v>
      </c>
      <c r="AD76" s="2276">
        <v>7240956525</v>
      </c>
      <c r="AE76" s="2276">
        <v>7240956525</v>
      </c>
      <c r="AF76" s="2277">
        <v>14481913050</v>
      </c>
      <c r="AG76" s="2276"/>
      <c r="AH76" s="2276"/>
      <c r="AI76" s="2277">
        <v>0</v>
      </c>
      <c r="AJ76" s="2276"/>
      <c r="AK76" s="2276"/>
      <c r="AL76" s="2277">
        <v>0</v>
      </c>
      <c r="AM76" s="2276"/>
      <c r="AN76" s="2276"/>
      <c r="AO76" s="2277">
        <v>0</v>
      </c>
      <c r="AP76" s="2276">
        <v>0</v>
      </c>
      <c r="AQ76" s="2276">
        <v>0</v>
      </c>
      <c r="AR76" s="2277">
        <v>0</v>
      </c>
    </row>
    <row r="77" spans="1:44" s="2283" customFormat="1" ht="13">
      <c r="A77" s="2275" t="s">
        <v>3453</v>
      </c>
      <c r="B77" s="2275" t="s">
        <v>3358</v>
      </c>
      <c r="C77" s="2276"/>
      <c r="D77" s="2276"/>
      <c r="E77" s="2276"/>
      <c r="F77" s="2276"/>
      <c r="G77" s="2276"/>
      <c r="H77" s="2277">
        <v>3839070640</v>
      </c>
      <c r="I77" s="2276">
        <v>2079160320</v>
      </c>
      <c r="J77" s="2276">
        <v>2079160320</v>
      </c>
      <c r="K77" s="2277">
        <v>4158320640</v>
      </c>
      <c r="L77" s="2276">
        <v>2079160320</v>
      </c>
      <c r="M77" s="2276">
        <v>2079160320</v>
      </c>
      <c r="N77" s="2277">
        <v>4158320640</v>
      </c>
      <c r="O77" s="2276">
        <v>2079160320</v>
      </c>
      <c r="P77" s="2276">
        <v>2079160320</v>
      </c>
      <c r="Q77" s="2277">
        <v>4158320640</v>
      </c>
      <c r="R77" s="2276">
        <v>2079160320</v>
      </c>
      <c r="S77" s="2276">
        <v>2079160320</v>
      </c>
      <c r="T77" s="2277">
        <v>4158320640</v>
      </c>
      <c r="U77" s="2276">
        <v>2079160320</v>
      </c>
      <c r="V77" s="2276">
        <v>2079160320</v>
      </c>
      <c r="W77" s="2277">
        <v>4158320640</v>
      </c>
      <c r="X77" s="2276">
        <v>2079160320</v>
      </c>
      <c r="Y77" s="2276">
        <v>2079160320</v>
      </c>
      <c r="Z77" s="2277">
        <v>4158320640</v>
      </c>
      <c r="AA77" s="2276">
        <v>2079160320</v>
      </c>
      <c r="AB77" s="2276">
        <v>2079160320</v>
      </c>
      <c r="AC77" s="2277">
        <v>4158320640</v>
      </c>
      <c r="AD77" s="2276">
        <v>2079160320</v>
      </c>
      <c r="AE77" s="2276">
        <v>2079160320</v>
      </c>
      <c r="AF77" s="2277">
        <v>4158320640</v>
      </c>
      <c r="AG77" s="2276">
        <v>2079160320</v>
      </c>
      <c r="AH77" s="2276">
        <v>2079160320</v>
      </c>
      <c r="AI77" s="2277">
        <v>4158320640</v>
      </c>
      <c r="AJ77" s="2276"/>
      <c r="AK77" s="2276"/>
      <c r="AL77" s="2277">
        <v>0</v>
      </c>
      <c r="AM77" s="2276"/>
      <c r="AN77" s="2276"/>
      <c r="AO77" s="2277">
        <v>0</v>
      </c>
      <c r="AP77" s="2276">
        <v>0</v>
      </c>
      <c r="AQ77" s="2276">
        <v>0</v>
      </c>
      <c r="AR77" s="2277">
        <v>0</v>
      </c>
    </row>
    <row r="78" spans="1:44" s="2283" customFormat="1" ht="13">
      <c r="A78" s="2275" t="s">
        <v>3425</v>
      </c>
      <c r="B78" s="2275" t="s">
        <v>3358</v>
      </c>
      <c r="C78" s="2276">
        <v>1800000000</v>
      </c>
      <c r="D78" s="2276">
        <v>1800000000</v>
      </c>
      <c r="E78" s="2276">
        <v>4392500000</v>
      </c>
      <c r="F78" s="2276">
        <v>4375000000</v>
      </c>
      <c r="G78" s="2276">
        <v>3645000000</v>
      </c>
      <c r="H78" s="2277">
        <v>3645000000</v>
      </c>
      <c r="I78" s="2276">
        <v>1822500000</v>
      </c>
      <c r="J78" s="2276">
        <v>1822500000</v>
      </c>
      <c r="K78" s="2277">
        <v>3645000000</v>
      </c>
      <c r="L78" s="2276">
        <v>1822500000</v>
      </c>
      <c r="M78" s="2276">
        <v>1822500000</v>
      </c>
      <c r="N78" s="2277">
        <v>3645000000</v>
      </c>
      <c r="O78" s="2276">
        <v>1822500000</v>
      </c>
      <c r="P78" s="2276">
        <v>1822500000</v>
      </c>
      <c r="Q78" s="2277">
        <v>3645000000</v>
      </c>
      <c r="R78" s="2276">
        <v>1822500000</v>
      </c>
      <c r="S78" s="2276">
        <v>1822500000</v>
      </c>
      <c r="T78" s="2277">
        <v>3645000000</v>
      </c>
      <c r="U78" s="2276">
        <v>1822500000</v>
      </c>
      <c r="V78" s="2276">
        <v>1822500000</v>
      </c>
      <c r="W78" s="2277">
        <v>3645000000</v>
      </c>
      <c r="X78" s="2276">
        <v>1822500000</v>
      </c>
      <c r="Y78" s="2276">
        <v>1822500000</v>
      </c>
      <c r="Z78" s="2277">
        <v>3645000000</v>
      </c>
      <c r="AA78" s="2276">
        <v>0</v>
      </c>
      <c r="AB78" s="2276">
        <v>0</v>
      </c>
      <c r="AC78" s="2277">
        <v>0</v>
      </c>
      <c r="AD78" s="2276">
        <v>0</v>
      </c>
      <c r="AE78" s="2276">
        <v>0</v>
      </c>
      <c r="AF78" s="2277">
        <v>0</v>
      </c>
      <c r="AG78" s="2276">
        <v>0</v>
      </c>
      <c r="AH78" s="2276">
        <v>0</v>
      </c>
      <c r="AI78" s="2277">
        <v>0</v>
      </c>
      <c r="AJ78" s="2276">
        <v>0</v>
      </c>
      <c r="AK78" s="2276">
        <v>0</v>
      </c>
      <c r="AL78" s="2277">
        <v>0</v>
      </c>
      <c r="AM78" s="2276">
        <v>0</v>
      </c>
      <c r="AN78" s="2276">
        <v>0</v>
      </c>
      <c r="AO78" s="2277">
        <v>0</v>
      </c>
      <c r="AP78" s="2276">
        <v>0</v>
      </c>
      <c r="AQ78" s="2276">
        <v>0</v>
      </c>
      <c r="AR78" s="2277">
        <v>0</v>
      </c>
    </row>
    <row r="79" spans="1:44" s="2283" customFormat="1" ht="13">
      <c r="A79" s="2275" t="s">
        <v>3426</v>
      </c>
      <c r="B79" s="2275" t="s">
        <v>3358</v>
      </c>
      <c r="C79" s="2276">
        <v>1237500000</v>
      </c>
      <c r="D79" s="2276">
        <v>1237500000</v>
      </c>
      <c r="E79" s="2276">
        <v>5160000000</v>
      </c>
      <c r="F79" s="2276">
        <v>8400000000</v>
      </c>
      <c r="G79" s="2276">
        <v>1350000000</v>
      </c>
      <c r="H79" s="2277">
        <v>1350000000</v>
      </c>
      <c r="I79" s="2276">
        <v>675000000</v>
      </c>
      <c r="J79" s="2276">
        <v>675000000</v>
      </c>
      <c r="K79" s="2277">
        <v>1350000000</v>
      </c>
      <c r="L79" s="2276">
        <v>675000000</v>
      </c>
      <c r="M79" s="2276">
        <v>675000000</v>
      </c>
      <c r="N79" s="2277">
        <v>1350000000</v>
      </c>
      <c r="O79" s="2276">
        <v>675000000</v>
      </c>
      <c r="P79" s="2276">
        <v>675000000</v>
      </c>
      <c r="Q79" s="2277">
        <v>1350000000</v>
      </c>
      <c r="R79" s="2276">
        <v>675000000</v>
      </c>
      <c r="S79" s="2276">
        <v>675000000</v>
      </c>
      <c r="T79" s="2277">
        <v>1350000000</v>
      </c>
      <c r="U79" s="2276">
        <v>675000000</v>
      </c>
      <c r="V79" s="2276">
        <v>675000000</v>
      </c>
      <c r="W79" s="2277">
        <v>1350000000</v>
      </c>
      <c r="X79" s="2276">
        <v>675000000</v>
      </c>
      <c r="Y79" s="2276">
        <v>675000000</v>
      </c>
      <c r="Z79" s="2277">
        <v>1350000000</v>
      </c>
      <c r="AA79" s="2276">
        <v>675000000</v>
      </c>
      <c r="AB79" s="2276">
        <v>675000000</v>
      </c>
      <c r="AC79" s="2277">
        <v>1350000000</v>
      </c>
      <c r="AD79" s="2276"/>
      <c r="AE79" s="2276"/>
      <c r="AF79" s="2277">
        <v>0</v>
      </c>
      <c r="AG79" s="2276"/>
      <c r="AH79" s="2276"/>
      <c r="AI79" s="2277">
        <v>0</v>
      </c>
      <c r="AJ79" s="2276"/>
      <c r="AK79" s="2276"/>
      <c r="AL79" s="2277">
        <v>0</v>
      </c>
      <c r="AM79" s="2276"/>
      <c r="AN79" s="2276"/>
      <c r="AO79" s="2277">
        <v>0</v>
      </c>
      <c r="AP79" s="2276">
        <v>0</v>
      </c>
      <c r="AQ79" s="2276">
        <v>0</v>
      </c>
      <c r="AR79" s="2277">
        <v>0</v>
      </c>
    </row>
    <row r="80" spans="1:44" s="2283" customFormat="1" ht="13">
      <c r="A80" s="2275" t="s">
        <v>3427</v>
      </c>
      <c r="B80" s="2275" t="s">
        <v>3358</v>
      </c>
      <c r="C80" s="2276">
        <v>1912500000</v>
      </c>
      <c r="D80" s="2276" t="s">
        <v>821</v>
      </c>
      <c r="E80" s="2276">
        <v>3975000000</v>
      </c>
      <c r="F80" s="2276">
        <v>3645000000</v>
      </c>
      <c r="G80" s="2276">
        <v>9412500000</v>
      </c>
      <c r="H80" s="2277">
        <v>9412500000</v>
      </c>
      <c r="I80" s="2276">
        <v>4706250000</v>
      </c>
      <c r="J80" s="2276">
        <v>4706250000</v>
      </c>
      <c r="K80" s="2277">
        <v>9412500000</v>
      </c>
      <c r="L80" s="2276">
        <v>4706250000</v>
      </c>
      <c r="M80" s="2276">
        <v>4706250000</v>
      </c>
      <c r="N80" s="2277">
        <v>9412500000</v>
      </c>
      <c r="O80" s="2276">
        <v>4706250000</v>
      </c>
      <c r="P80" s="2276">
        <v>4706250000</v>
      </c>
      <c r="Q80" s="2277">
        <v>9412500000</v>
      </c>
      <c r="R80" s="2276">
        <v>4706250000</v>
      </c>
      <c r="S80" s="2276">
        <v>4706250000</v>
      </c>
      <c r="T80" s="2277">
        <v>9412500000</v>
      </c>
      <c r="U80" s="2276">
        <v>4706250000</v>
      </c>
      <c r="V80" s="2276">
        <v>4706250000</v>
      </c>
      <c r="W80" s="2277">
        <v>9412500000</v>
      </c>
      <c r="X80" s="2276">
        <v>4706250000</v>
      </c>
      <c r="Y80" s="2276">
        <v>4706250000</v>
      </c>
      <c r="Z80" s="2277">
        <v>9412500000</v>
      </c>
      <c r="AA80" s="2276">
        <v>4706250000</v>
      </c>
      <c r="AB80" s="2276">
        <v>4706250000</v>
      </c>
      <c r="AC80" s="2277">
        <v>9412500000</v>
      </c>
      <c r="AD80" s="2276">
        <v>4706250000</v>
      </c>
      <c r="AE80" s="2276">
        <v>4706250000</v>
      </c>
      <c r="AF80" s="2277">
        <v>9412500000</v>
      </c>
      <c r="AG80" s="2276">
        <v>4706250000</v>
      </c>
      <c r="AH80" s="2276">
        <v>4706250000</v>
      </c>
      <c r="AI80" s="2277">
        <v>9412500000</v>
      </c>
      <c r="AJ80" s="2276">
        <v>4706250000</v>
      </c>
      <c r="AK80" s="2276">
        <v>4706250000</v>
      </c>
      <c r="AL80" s="2277">
        <v>9412500000</v>
      </c>
      <c r="AM80" s="2276">
        <v>4706250000</v>
      </c>
      <c r="AN80" s="2276">
        <v>4706250000</v>
      </c>
      <c r="AO80" s="2277">
        <v>9412500000</v>
      </c>
      <c r="AP80" s="2276">
        <v>0</v>
      </c>
      <c r="AQ80" s="2276">
        <v>0</v>
      </c>
      <c r="AR80" s="2277">
        <v>0</v>
      </c>
    </row>
    <row r="81" spans="1:44" s="2283" customFormat="1" ht="13">
      <c r="A81" s="2275" t="s">
        <v>3428</v>
      </c>
      <c r="B81" s="2275" t="s">
        <v>3358</v>
      </c>
      <c r="C81" s="2276">
        <v>1781250000</v>
      </c>
      <c r="D81" s="2276">
        <v>890625000</v>
      </c>
      <c r="E81" s="2276">
        <v>5245549450.5500002</v>
      </c>
      <c r="F81" s="2276">
        <v>1350000000</v>
      </c>
      <c r="G81" s="2276">
        <v>5160000000</v>
      </c>
      <c r="H81" s="2277">
        <v>5160000000</v>
      </c>
      <c r="I81" s="2276">
        <v>2580000000</v>
      </c>
      <c r="J81" s="2276">
        <v>2580000000</v>
      </c>
      <c r="K81" s="2277">
        <v>5160000000</v>
      </c>
      <c r="L81" s="2276">
        <v>2580000000</v>
      </c>
      <c r="M81" s="2276">
        <v>2580000000</v>
      </c>
      <c r="N81" s="2277">
        <v>5160000000</v>
      </c>
      <c r="O81" s="2276">
        <v>2580000000</v>
      </c>
      <c r="P81" s="2276">
        <v>2580000000</v>
      </c>
      <c r="Q81" s="2277">
        <v>5160000000</v>
      </c>
      <c r="R81" s="2276">
        <v>2580000000</v>
      </c>
      <c r="S81" s="2276">
        <v>2580000000</v>
      </c>
      <c r="T81" s="2277">
        <v>5160000000</v>
      </c>
      <c r="U81" s="2276">
        <v>2580000000</v>
      </c>
      <c r="V81" s="2276">
        <v>2580000000</v>
      </c>
      <c r="W81" s="2277">
        <v>5160000000</v>
      </c>
      <c r="X81" s="2276">
        <v>2580000000</v>
      </c>
      <c r="Y81" s="2276">
        <v>2580000000</v>
      </c>
      <c r="Z81" s="2277">
        <v>5160000000</v>
      </c>
      <c r="AA81" s="2276">
        <v>2580000000</v>
      </c>
      <c r="AB81" s="2276">
        <v>2580000000</v>
      </c>
      <c r="AC81" s="2277">
        <v>5160000000</v>
      </c>
      <c r="AD81" s="2276">
        <v>2580000000</v>
      </c>
      <c r="AE81" s="2276">
        <v>2580000000</v>
      </c>
      <c r="AF81" s="2277">
        <v>5160000000</v>
      </c>
      <c r="AG81" s="2276">
        <v>2580000000</v>
      </c>
      <c r="AH81" s="2276">
        <v>2580000000</v>
      </c>
      <c r="AI81" s="2277">
        <v>5160000000</v>
      </c>
      <c r="AJ81" s="2276">
        <v>2580000000</v>
      </c>
      <c r="AK81" s="2276"/>
      <c r="AL81" s="2277">
        <v>2580000000</v>
      </c>
      <c r="AM81" s="2276"/>
      <c r="AN81" s="2276"/>
      <c r="AO81" s="2277">
        <v>0</v>
      </c>
      <c r="AP81" s="2276">
        <v>0</v>
      </c>
      <c r="AQ81" s="2276">
        <v>0</v>
      </c>
      <c r="AR81" s="2277">
        <v>0</v>
      </c>
    </row>
    <row r="82" spans="1:44" s="2283" customFormat="1" ht="13">
      <c r="A82" s="2275" t="s">
        <v>3429</v>
      </c>
      <c r="B82" s="2275" t="s">
        <v>3358</v>
      </c>
      <c r="C82" s="2276">
        <v>1792500000</v>
      </c>
      <c r="D82" s="2276">
        <v>1792500000</v>
      </c>
      <c r="E82" s="2276">
        <v>4860000000</v>
      </c>
      <c r="F82" s="2276">
        <v>9412500000</v>
      </c>
      <c r="G82" s="2276">
        <v>10184000000</v>
      </c>
      <c r="H82" s="2277">
        <v>10192750000</v>
      </c>
      <c r="I82" s="2276">
        <v>5096375000</v>
      </c>
      <c r="J82" s="2276">
        <v>5096375000</v>
      </c>
      <c r="K82" s="2277">
        <v>10192750000</v>
      </c>
      <c r="L82" s="2276">
        <v>5096375000</v>
      </c>
      <c r="M82" s="2276">
        <v>5096375000</v>
      </c>
      <c r="N82" s="2277">
        <v>10192750000</v>
      </c>
      <c r="O82" s="2276">
        <v>5096375000</v>
      </c>
      <c r="P82" s="2276">
        <v>5096375000</v>
      </c>
      <c r="Q82" s="2277">
        <v>10192750000</v>
      </c>
      <c r="R82" s="2276">
        <v>5096375000</v>
      </c>
      <c r="S82" s="2276">
        <v>5096375000</v>
      </c>
      <c r="T82" s="2277">
        <v>10192750000</v>
      </c>
      <c r="U82" s="2276">
        <v>5096375000</v>
      </c>
      <c r="V82" s="2276">
        <v>5096375000</v>
      </c>
      <c r="W82" s="2277">
        <v>10192750000</v>
      </c>
      <c r="X82" s="2276">
        <v>5096375000</v>
      </c>
      <c r="Y82" s="2276">
        <v>5096375000</v>
      </c>
      <c r="Z82" s="2277">
        <v>10192750000</v>
      </c>
      <c r="AA82" s="2276">
        <v>5096375000</v>
      </c>
      <c r="AB82" s="2276">
        <v>5096375000</v>
      </c>
      <c r="AC82" s="2277">
        <v>10192750000</v>
      </c>
      <c r="AD82" s="2276">
        <v>5096375000</v>
      </c>
      <c r="AE82" s="2276">
        <v>5096375000</v>
      </c>
      <c r="AF82" s="2277">
        <v>10192750000</v>
      </c>
      <c r="AG82" s="2276">
        <v>5096375000</v>
      </c>
      <c r="AH82" s="2276">
        <v>5096375000</v>
      </c>
      <c r="AI82" s="2277">
        <v>10192750000</v>
      </c>
      <c r="AJ82" s="2276">
        <v>5096375000</v>
      </c>
      <c r="AK82" s="2276">
        <v>5096375000</v>
      </c>
      <c r="AL82" s="2277">
        <v>10192750000</v>
      </c>
      <c r="AM82" s="2276">
        <v>5096375000</v>
      </c>
      <c r="AN82" s="2276">
        <v>5096375000</v>
      </c>
      <c r="AO82" s="2277">
        <v>10192750000</v>
      </c>
      <c r="AP82" s="2276">
        <v>5096375000</v>
      </c>
      <c r="AQ82" s="2276">
        <v>5096375000</v>
      </c>
      <c r="AR82" s="2277">
        <v>10192750000</v>
      </c>
    </row>
    <row r="83" spans="1:44" s="2283" customFormat="1" ht="13">
      <c r="A83" s="2275" t="s">
        <v>3430</v>
      </c>
      <c r="B83" s="2275" t="s">
        <v>3358</v>
      </c>
      <c r="C83" s="2276">
        <v>1837500000</v>
      </c>
      <c r="D83" s="2276">
        <v>1837500000</v>
      </c>
      <c r="E83" s="2276">
        <v>3593242706.04</v>
      </c>
      <c r="F83" s="2276">
        <v>5160000000</v>
      </c>
      <c r="G83" s="2276">
        <v>3975000000</v>
      </c>
      <c r="H83" s="2277">
        <v>11307860250</v>
      </c>
      <c r="I83" s="2276">
        <v>5653930125</v>
      </c>
      <c r="J83" s="2276">
        <v>5653930125</v>
      </c>
      <c r="K83" s="2277">
        <v>11307860250</v>
      </c>
      <c r="L83" s="2276">
        <v>5653930125</v>
      </c>
      <c r="M83" s="2276">
        <v>5653930125</v>
      </c>
      <c r="N83" s="2277">
        <v>11307860250</v>
      </c>
      <c r="O83" s="2276">
        <v>5653930125</v>
      </c>
      <c r="P83" s="2276">
        <v>5653930125</v>
      </c>
      <c r="Q83" s="2277">
        <v>11307860250</v>
      </c>
      <c r="R83" s="2276">
        <v>5653930125</v>
      </c>
      <c r="S83" s="2276">
        <v>5653930125</v>
      </c>
      <c r="T83" s="2277">
        <v>11307860250</v>
      </c>
      <c r="U83" s="2276">
        <v>5653930125</v>
      </c>
      <c r="V83" s="2276">
        <v>5653930125</v>
      </c>
      <c r="W83" s="2277">
        <v>11307860250</v>
      </c>
      <c r="X83" s="2276">
        <v>5653930125</v>
      </c>
      <c r="Y83" s="2276">
        <v>5653930125</v>
      </c>
      <c r="Z83" s="2277">
        <v>11307860250</v>
      </c>
      <c r="AA83" s="2276">
        <v>5653930125</v>
      </c>
      <c r="AB83" s="2276">
        <v>5653930125</v>
      </c>
      <c r="AC83" s="2277">
        <v>11307860250</v>
      </c>
      <c r="AD83" s="2276">
        <v>5653930125</v>
      </c>
      <c r="AE83" s="2276">
        <v>5653930125</v>
      </c>
      <c r="AF83" s="2277">
        <v>11307860250</v>
      </c>
      <c r="AG83" s="2276">
        <v>5653930125</v>
      </c>
      <c r="AH83" s="2276">
        <v>5653930125</v>
      </c>
      <c r="AI83" s="2277">
        <v>11307860250</v>
      </c>
      <c r="AJ83" s="2276">
        <v>5653930125</v>
      </c>
      <c r="AK83" s="2276">
        <v>5653930125</v>
      </c>
      <c r="AL83" s="2277">
        <v>11307860250</v>
      </c>
      <c r="AM83" s="2276">
        <v>5653930125</v>
      </c>
      <c r="AN83" s="2276">
        <v>5653930125</v>
      </c>
      <c r="AO83" s="2277">
        <v>11307860250</v>
      </c>
      <c r="AP83" s="2276">
        <v>5653930125</v>
      </c>
      <c r="AQ83" s="2276">
        <v>5653930125</v>
      </c>
      <c r="AR83" s="2277">
        <v>11307860250</v>
      </c>
    </row>
    <row r="84" spans="1:44" s="2283" customFormat="1" ht="13">
      <c r="A84" s="2275" t="s">
        <v>3456</v>
      </c>
      <c r="B84" s="2275" t="s">
        <v>3358</v>
      </c>
      <c r="C84" s="2276"/>
      <c r="D84" s="2276"/>
      <c r="E84" s="2276"/>
      <c r="F84" s="2276"/>
      <c r="G84" s="2276"/>
      <c r="H84" s="2277">
        <v>1950000000</v>
      </c>
      <c r="I84" s="2276">
        <v>3440801000</v>
      </c>
      <c r="J84" s="2276">
        <v>3440801000</v>
      </c>
      <c r="K84" s="2277">
        <v>6881602000</v>
      </c>
      <c r="L84" s="2276">
        <v>3440801000</v>
      </c>
      <c r="M84" s="2276">
        <v>3440801000</v>
      </c>
      <c r="N84" s="2277">
        <v>6881602000</v>
      </c>
      <c r="O84" s="2276">
        <v>3440801000</v>
      </c>
      <c r="P84" s="2276">
        <v>3440801000</v>
      </c>
      <c r="Q84" s="2277">
        <v>6881602000</v>
      </c>
      <c r="R84" s="2276">
        <v>3440801000</v>
      </c>
      <c r="S84" s="2276">
        <v>3440801000</v>
      </c>
      <c r="T84" s="2277">
        <v>6881602000</v>
      </c>
      <c r="U84" s="2276">
        <v>3440801000</v>
      </c>
      <c r="V84" s="2276">
        <v>3440801000</v>
      </c>
      <c r="W84" s="2277">
        <v>6881602000</v>
      </c>
      <c r="X84" s="2276">
        <v>3440801000</v>
      </c>
      <c r="Y84" s="2276">
        <v>3440801000</v>
      </c>
      <c r="Z84" s="2277">
        <v>6881602000</v>
      </c>
      <c r="AA84" s="2276">
        <v>3440801000</v>
      </c>
      <c r="AB84" s="2276">
        <v>3440801000</v>
      </c>
      <c r="AC84" s="2277">
        <v>6881602000</v>
      </c>
      <c r="AD84" s="2276">
        <v>3440801000</v>
      </c>
      <c r="AE84" s="2276">
        <v>3440801000</v>
      </c>
      <c r="AF84" s="2277">
        <v>6881602000</v>
      </c>
      <c r="AG84" s="2276">
        <v>3440801000</v>
      </c>
      <c r="AH84" s="2276">
        <v>3440801000</v>
      </c>
      <c r="AI84" s="2277">
        <v>6881602000</v>
      </c>
      <c r="AJ84" s="2276">
        <v>3440801000</v>
      </c>
      <c r="AK84" s="2276">
        <v>3440801000</v>
      </c>
      <c r="AL84" s="2277">
        <v>6881602000</v>
      </c>
      <c r="AM84" s="2276">
        <v>3440801000</v>
      </c>
      <c r="AN84" s="2276">
        <v>3440801000</v>
      </c>
      <c r="AO84" s="2277">
        <v>6881602000</v>
      </c>
      <c r="AP84" s="2276">
        <v>3440801000</v>
      </c>
      <c r="AQ84" s="2276">
        <v>3440801000</v>
      </c>
      <c r="AR84" s="2277">
        <v>6881602000</v>
      </c>
    </row>
    <row r="85" spans="1:44" s="2283" customFormat="1" ht="13">
      <c r="A85" s="2275" t="s">
        <v>3431</v>
      </c>
      <c r="B85" s="2275" t="s">
        <v>3358</v>
      </c>
      <c r="C85" s="2276">
        <v>1220000000</v>
      </c>
      <c r="D85" s="2276">
        <v>1220000000</v>
      </c>
      <c r="E85" s="2276">
        <v>1672500000</v>
      </c>
      <c r="F85" s="2276">
        <v>7500000000</v>
      </c>
      <c r="G85" s="2276">
        <v>8624969450</v>
      </c>
      <c r="H85" s="2277">
        <v>9015705750</v>
      </c>
      <c r="I85" s="2276">
        <v>4990753750</v>
      </c>
      <c r="J85" s="2276">
        <v>4990753750</v>
      </c>
      <c r="K85" s="2277">
        <v>9981507500</v>
      </c>
      <c r="L85" s="2276">
        <v>4990753750</v>
      </c>
      <c r="M85" s="2276">
        <v>4990753750</v>
      </c>
      <c r="N85" s="2277">
        <v>9981507500</v>
      </c>
      <c r="O85" s="2276">
        <v>4990753750</v>
      </c>
      <c r="P85" s="2276">
        <v>4990753750</v>
      </c>
      <c r="Q85" s="2277">
        <v>9981507500</v>
      </c>
      <c r="R85" s="2276">
        <v>4990753750</v>
      </c>
      <c r="S85" s="2276">
        <v>4990753750</v>
      </c>
      <c r="T85" s="2277">
        <v>9981507500</v>
      </c>
      <c r="U85" s="2276">
        <v>4990753750</v>
      </c>
      <c r="V85" s="2276">
        <v>4990753750</v>
      </c>
      <c r="W85" s="2277">
        <v>9981507500</v>
      </c>
      <c r="X85" s="2276">
        <v>4990753750</v>
      </c>
      <c r="Y85" s="2276">
        <v>4990753750</v>
      </c>
      <c r="Z85" s="2277">
        <v>9981507500</v>
      </c>
      <c r="AA85" s="2276">
        <v>4990753750</v>
      </c>
      <c r="AB85" s="2276">
        <v>4990753750</v>
      </c>
      <c r="AC85" s="2277">
        <v>9981507500</v>
      </c>
      <c r="AD85" s="2276">
        <v>4990753750</v>
      </c>
      <c r="AE85" s="2276">
        <v>4990753750</v>
      </c>
      <c r="AF85" s="2277">
        <v>9981507500</v>
      </c>
      <c r="AG85" s="2276">
        <v>4990753750</v>
      </c>
      <c r="AH85" s="2276">
        <v>4990753750</v>
      </c>
      <c r="AI85" s="2277">
        <v>9981507500</v>
      </c>
      <c r="AJ85" s="2276">
        <v>4990753750</v>
      </c>
      <c r="AK85" s="2276">
        <v>4990753750</v>
      </c>
      <c r="AL85" s="2277">
        <v>9981507500</v>
      </c>
      <c r="AM85" s="2276">
        <v>4990753750</v>
      </c>
      <c r="AN85" s="2276">
        <v>4990753750</v>
      </c>
      <c r="AO85" s="2277">
        <v>9981507500</v>
      </c>
      <c r="AP85" s="2276">
        <v>4990753750</v>
      </c>
      <c r="AQ85" s="2276">
        <v>4990753750</v>
      </c>
      <c r="AR85" s="2277">
        <v>9981507500</v>
      </c>
    </row>
    <row r="86" spans="1:44" s="2283" customFormat="1" ht="13">
      <c r="A86" s="2275" t="s">
        <v>3432</v>
      </c>
      <c r="B86" s="2275" t="s">
        <v>3358</v>
      </c>
      <c r="C86" s="2276">
        <v>1267500000</v>
      </c>
      <c r="D86" s="2276">
        <v>1267500000</v>
      </c>
      <c r="E86" s="2276">
        <v>3285000000</v>
      </c>
      <c r="F86" s="2276">
        <v>3975000000</v>
      </c>
      <c r="G86" s="2276">
        <v>7890000000</v>
      </c>
      <c r="H86" s="2277">
        <v>3975000000</v>
      </c>
      <c r="I86" s="2276">
        <v>1987500000</v>
      </c>
      <c r="J86" s="2276">
        <v>1987500000</v>
      </c>
      <c r="K86" s="2277">
        <v>3975000000</v>
      </c>
      <c r="L86" s="2276">
        <v>1987500000</v>
      </c>
      <c r="M86" s="2276">
        <v>1987500000</v>
      </c>
      <c r="N86" s="2277">
        <v>3975000000</v>
      </c>
      <c r="O86" s="2276">
        <v>1987500000</v>
      </c>
      <c r="P86" s="2276">
        <v>1987500000</v>
      </c>
      <c r="Q86" s="2277">
        <v>3975000000</v>
      </c>
      <c r="R86" s="2276">
        <v>1987500000</v>
      </c>
      <c r="S86" s="2276">
        <v>1987500000</v>
      </c>
      <c r="T86" s="2277">
        <v>3975000000</v>
      </c>
      <c r="U86" s="2276">
        <v>1987500000</v>
      </c>
      <c r="V86" s="2276">
        <v>1987500000</v>
      </c>
      <c r="W86" s="2277">
        <v>3975000000</v>
      </c>
      <c r="X86" s="2276">
        <v>1987500000</v>
      </c>
      <c r="Y86" s="2276">
        <v>1987500000</v>
      </c>
      <c r="Z86" s="2277">
        <v>3975000000</v>
      </c>
      <c r="AA86" s="2276">
        <v>1987500000</v>
      </c>
      <c r="AB86" s="2276">
        <v>1987500000</v>
      </c>
      <c r="AC86" s="2277">
        <v>3975000000</v>
      </c>
      <c r="AD86" s="2276">
        <v>1987500000</v>
      </c>
      <c r="AE86" s="2276">
        <v>1987500000</v>
      </c>
      <c r="AF86" s="2277">
        <v>3975000000</v>
      </c>
      <c r="AG86" s="2276">
        <v>1987500000</v>
      </c>
      <c r="AH86" s="2276">
        <v>1987500000</v>
      </c>
      <c r="AI86" s="2277">
        <v>3975000000</v>
      </c>
      <c r="AJ86" s="2276">
        <v>1987500000</v>
      </c>
      <c r="AK86" s="2276">
        <v>1987500000</v>
      </c>
      <c r="AL86" s="2277">
        <v>3975000000</v>
      </c>
      <c r="AM86" s="2276">
        <v>1987500000</v>
      </c>
      <c r="AN86" s="2276">
        <v>1987500000</v>
      </c>
      <c r="AO86" s="2277">
        <v>3975000000</v>
      </c>
      <c r="AP86" s="2276">
        <v>1987500000</v>
      </c>
      <c r="AQ86" s="2276">
        <v>1987500000</v>
      </c>
      <c r="AR86" s="2277">
        <v>3975000000</v>
      </c>
    </row>
    <row r="87" spans="1:44" s="2283" customFormat="1" ht="13">
      <c r="A87" s="2275" t="s">
        <v>3433</v>
      </c>
      <c r="B87" s="2275" t="s">
        <v>3358</v>
      </c>
      <c r="C87" s="2276">
        <v>1871250000</v>
      </c>
      <c r="D87" s="2276">
        <v>1871250000</v>
      </c>
      <c r="E87" s="2276">
        <v>1800000000</v>
      </c>
      <c r="F87" s="2276">
        <v>6499969450</v>
      </c>
      <c r="G87" s="2276">
        <v>4860000000</v>
      </c>
      <c r="H87" s="2277">
        <v>13650000000</v>
      </c>
      <c r="I87" s="2276">
        <v>6825000000</v>
      </c>
      <c r="J87" s="2276">
        <v>6825000000</v>
      </c>
      <c r="K87" s="2277">
        <v>13650000000</v>
      </c>
      <c r="L87" s="2276">
        <v>6825000000</v>
      </c>
      <c r="M87" s="2276">
        <v>6825000000</v>
      </c>
      <c r="N87" s="2277">
        <v>13650000000</v>
      </c>
      <c r="O87" s="2276">
        <v>6825000000</v>
      </c>
      <c r="P87" s="2276">
        <v>6825000000</v>
      </c>
      <c r="Q87" s="2277">
        <v>13650000000</v>
      </c>
      <c r="R87" s="2276">
        <v>6825000000</v>
      </c>
      <c r="S87" s="2276">
        <v>6825000000</v>
      </c>
      <c r="T87" s="2277">
        <v>13650000000</v>
      </c>
      <c r="U87" s="2276">
        <v>6825000000</v>
      </c>
      <c r="V87" s="2276">
        <v>6825000000</v>
      </c>
      <c r="W87" s="2277">
        <v>13650000000</v>
      </c>
      <c r="X87" s="2276">
        <v>6825000000</v>
      </c>
      <c r="Y87" s="2276">
        <v>6825000000</v>
      </c>
      <c r="Z87" s="2277">
        <v>13650000000</v>
      </c>
      <c r="AA87" s="2276">
        <v>6825000000</v>
      </c>
      <c r="AB87" s="2276">
        <v>6825000000</v>
      </c>
      <c r="AC87" s="2277">
        <v>13650000000</v>
      </c>
      <c r="AD87" s="2276">
        <v>6825000000</v>
      </c>
      <c r="AE87" s="2276">
        <v>6825000000</v>
      </c>
      <c r="AF87" s="2277">
        <v>13650000000</v>
      </c>
      <c r="AG87" s="2276">
        <v>6825000000</v>
      </c>
      <c r="AH87" s="2276">
        <v>6825000000</v>
      </c>
      <c r="AI87" s="2277">
        <v>13650000000</v>
      </c>
      <c r="AJ87" s="2276">
        <v>6825000000</v>
      </c>
      <c r="AK87" s="2276">
        <v>6825000000</v>
      </c>
      <c r="AL87" s="2277">
        <v>13650000000</v>
      </c>
      <c r="AM87" s="2276">
        <v>6825000000</v>
      </c>
      <c r="AN87" s="2276">
        <v>6825000000</v>
      </c>
      <c r="AO87" s="2277">
        <v>13650000000</v>
      </c>
      <c r="AP87" s="2276">
        <v>6825000000</v>
      </c>
      <c r="AQ87" s="2276">
        <v>6825000000</v>
      </c>
      <c r="AR87" s="2277">
        <v>13650000000</v>
      </c>
    </row>
    <row r="88" spans="1:44" s="2283" customFormat="1" ht="13">
      <c r="A88" s="2275" t="s">
        <v>3434</v>
      </c>
      <c r="B88" s="2275" t="s">
        <v>3358</v>
      </c>
      <c r="C88" s="2276">
        <v>1240000000</v>
      </c>
      <c r="D88" s="2276">
        <v>1240000000</v>
      </c>
      <c r="E88" s="2276">
        <v>1237500000</v>
      </c>
      <c r="F88" s="2276">
        <v>7890000000</v>
      </c>
      <c r="G88" s="2276">
        <v>3573607500</v>
      </c>
      <c r="H88" s="2277">
        <v>7890000000</v>
      </c>
      <c r="I88" s="2276">
        <v>3945000000</v>
      </c>
      <c r="J88" s="2276">
        <v>3945000000</v>
      </c>
      <c r="K88" s="2277">
        <v>7890000000</v>
      </c>
      <c r="L88" s="2276">
        <v>3945000000</v>
      </c>
      <c r="M88" s="2276">
        <v>3945000000</v>
      </c>
      <c r="N88" s="2277">
        <v>7890000000</v>
      </c>
      <c r="O88" s="2276">
        <v>3945000000</v>
      </c>
      <c r="P88" s="2276">
        <v>3945000000</v>
      </c>
      <c r="Q88" s="2277">
        <v>7890000000</v>
      </c>
      <c r="R88" s="2276">
        <v>3945000000</v>
      </c>
      <c r="S88" s="2276">
        <v>3945000000</v>
      </c>
      <c r="T88" s="2277">
        <v>7890000000</v>
      </c>
      <c r="U88" s="2276">
        <v>3945000000</v>
      </c>
      <c r="V88" s="2276">
        <v>3945000000</v>
      </c>
      <c r="W88" s="2277">
        <v>7890000000</v>
      </c>
      <c r="X88" s="2276">
        <v>3945000000</v>
      </c>
      <c r="Y88" s="2276">
        <v>3945000000</v>
      </c>
      <c r="Z88" s="2277">
        <v>7890000000</v>
      </c>
      <c r="AA88" s="2276">
        <v>3945000000</v>
      </c>
      <c r="AB88" s="2276">
        <v>3945000000</v>
      </c>
      <c r="AC88" s="2277">
        <v>7890000000</v>
      </c>
      <c r="AD88" s="2276">
        <v>3945000000</v>
      </c>
      <c r="AE88" s="2276">
        <v>3945000000</v>
      </c>
      <c r="AF88" s="2277">
        <v>7890000000</v>
      </c>
      <c r="AG88" s="2276">
        <v>3945000000</v>
      </c>
      <c r="AH88" s="2276">
        <v>3945000000</v>
      </c>
      <c r="AI88" s="2277">
        <v>7890000000</v>
      </c>
      <c r="AJ88" s="2276">
        <v>3945000000</v>
      </c>
      <c r="AK88" s="2276">
        <v>3945000000</v>
      </c>
      <c r="AL88" s="2277">
        <v>7890000000</v>
      </c>
      <c r="AM88" s="2276">
        <v>3945000000</v>
      </c>
      <c r="AN88" s="2276">
        <v>3945000000</v>
      </c>
      <c r="AO88" s="2277">
        <v>7890000000</v>
      </c>
      <c r="AP88" s="2276">
        <v>3945000000</v>
      </c>
      <c r="AQ88" s="2276">
        <v>3945000000</v>
      </c>
      <c r="AR88" s="2277">
        <v>7890000000</v>
      </c>
    </row>
    <row r="89" spans="1:44" s="2283" customFormat="1" ht="13">
      <c r="A89" s="2275" t="s">
        <v>3435</v>
      </c>
      <c r="B89" s="2275" t="s">
        <v>3358</v>
      </c>
      <c r="C89" s="2276">
        <v>1770000000</v>
      </c>
      <c r="D89" s="2276">
        <v>1770000000</v>
      </c>
      <c r="E89" s="2276">
        <v>1770000000</v>
      </c>
      <c r="F89" s="2276">
        <v>4860000000</v>
      </c>
      <c r="G89" s="2276">
        <v>1642500000</v>
      </c>
      <c r="H89" s="2277" t="s">
        <v>821</v>
      </c>
      <c r="I89" s="2276">
        <v>0</v>
      </c>
      <c r="J89" s="2276">
        <v>0</v>
      </c>
      <c r="K89" s="2277">
        <v>0</v>
      </c>
      <c r="L89" s="2276">
        <v>0</v>
      </c>
      <c r="M89" s="2276">
        <v>0</v>
      </c>
      <c r="N89" s="2277">
        <v>0</v>
      </c>
      <c r="O89" s="2276">
        <v>0</v>
      </c>
      <c r="P89" s="2276">
        <v>0</v>
      </c>
      <c r="Q89" s="2277">
        <v>0</v>
      </c>
      <c r="R89" s="2276">
        <v>0</v>
      </c>
      <c r="S89" s="2276">
        <v>0</v>
      </c>
      <c r="T89" s="2277">
        <v>0</v>
      </c>
      <c r="U89" s="2276">
        <v>0</v>
      </c>
      <c r="V89" s="2276">
        <v>0</v>
      </c>
      <c r="W89" s="2277">
        <v>0</v>
      </c>
      <c r="X89" s="2276">
        <v>0</v>
      </c>
      <c r="Y89" s="2276">
        <v>0</v>
      </c>
      <c r="Z89" s="2277">
        <v>0</v>
      </c>
      <c r="AA89" s="2276">
        <v>0</v>
      </c>
      <c r="AB89" s="2276">
        <v>0</v>
      </c>
      <c r="AC89" s="2277">
        <v>0</v>
      </c>
      <c r="AD89" s="2276">
        <v>0</v>
      </c>
      <c r="AE89" s="2276">
        <v>0</v>
      </c>
      <c r="AF89" s="2277">
        <v>0</v>
      </c>
      <c r="AG89" s="2276">
        <v>0</v>
      </c>
      <c r="AH89" s="2276">
        <v>0</v>
      </c>
      <c r="AI89" s="2277">
        <v>0</v>
      </c>
      <c r="AJ89" s="2276">
        <v>0</v>
      </c>
      <c r="AK89" s="2276">
        <v>0</v>
      </c>
      <c r="AL89" s="2277">
        <v>0</v>
      </c>
      <c r="AM89" s="2276">
        <v>0</v>
      </c>
      <c r="AN89" s="2276">
        <v>0</v>
      </c>
      <c r="AO89" s="2277">
        <v>0</v>
      </c>
      <c r="AP89" s="2276">
        <v>0</v>
      </c>
      <c r="AQ89" s="2276">
        <v>0</v>
      </c>
      <c r="AR89" s="2277">
        <v>0</v>
      </c>
    </row>
    <row r="90" spans="1:44" s="2283" customFormat="1" ht="13">
      <c r="A90" s="2275" t="s">
        <v>3436</v>
      </c>
      <c r="B90" s="2275" t="s">
        <v>3358</v>
      </c>
      <c r="C90" s="2276">
        <v>1250000000</v>
      </c>
      <c r="D90" s="2276">
        <v>4375000000</v>
      </c>
      <c r="E90" s="2276">
        <v>6215000000</v>
      </c>
      <c r="F90" s="2276">
        <v>3573607500</v>
      </c>
      <c r="G90" s="2276">
        <v>3727500000</v>
      </c>
      <c r="H90" s="2277" t="s">
        <v>821</v>
      </c>
      <c r="I90" s="2276">
        <v>0</v>
      </c>
      <c r="J90" s="2276">
        <v>0</v>
      </c>
      <c r="K90" s="2277">
        <v>0</v>
      </c>
      <c r="L90" s="2276">
        <v>0</v>
      </c>
      <c r="M90" s="2276">
        <v>0</v>
      </c>
      <c r="N90" s="2277">
        <v>0</v>
      </c>
      <c r="O90" s="2276">
        <v>0</v>
      </c>
      <c r="P90" s="2276">
        <v>0</v>
      </c>
      <c r="Q90" s="2277">
        <v>0</v>
      </c>
      <c r="R90" s="2276">
        <v>0</v>
      </c>
      <c r="S90" s="2276">
        <v>0</v>
      </c>
      <c r="T90" s="2277">
        <v>0</v>
      </c>
      <c r="U90" s="2276">
        <v>0</v>
      </c>
      <c r="V90" s="2276">
        <v>0</v>
      </c>
      <c r="W90" s="2277">
        <v>0</v>
      </c>
      <c r="X90" s="2276">
        <v>0</v>
      </c>
      <c r="Y90" s="2276">
        <v>0</v>
      </c>
      <c r="Z90" s="2277">
        <v>0</v>
      </c>
      <c r="AA90" s="2276">
        <v>0</v>
      </c>
      <c r="AB90" s="2276">
        <v>0</v>
      </c>
      <c r="AC90" s="2277">
        <v>0</v>
      </c>
      <c r="AD90" s="2276">
        <v>0</v>
      </c>
      <c r="AE90" s="2276">
        <v>0</v>
      </c>
      <c r="AF90" s="2277">
        <v>0</v>
      </c>
      <c r="AG90" s="2276">
        <v>0</v>
      </c>
      <c r="AH90" s="2276">
        <v>0</v>
      </c>
      <c r="AI90" s="2277">
        <v>0</v>
      </c>
      <c r="AJ90" s="2276">
        <v>0</v>
      </c>
      <c r="AK90" s="2276">
        <v>0</v>
      </c>
      <c r="AL90" s="2277">
        <v>0</v>
      </c>
      <c r="AM90" s="2276">
        <v>0</v>
      </c>
      <c r="AN90" s="2276">
        <v>0</v>
      </c>
      <c r="AO90" s="2277">
        <v>0</v>
      </c>
      <c r="AP90" s="2276">
        <v>0</v>
      </c>
      <c r="AQ90" s="2276">
        <v>0</v>
      </c>
      <c r="AR90" s="2277">
        <v>0</v>
      </c>
    </row>
    <row r="91" spans="1:44" s="2283" customFormat="1" ht="13">
      <c r="A91" s="2275" t="s">
        <v>3437</v>
      </c>
      <c r="B91" s="2275" t="s">
        <v>3358</v>
      </c>
      <c r="C91" s="2276"/>
      <c r="D91" s="2276">
        <v>1935000000</v>
      </c>
      <c r="E91" s="2276">
        <v>896250000</v>
      </c>
      <c r="F91" s="2276">
        <v>1642500000</v>
      </c>
      <c r="G91" s="2276">
        <v>1770000000</v>
      </c>
      <c r="H91" s="2277">
        <v>2712500000</v>
      </c>
      <c r="I91" s="2276">
        <v>1356250000</v>
      </c>
      <c r="J91" s="2276">
        <v>1356250000</v>
      </c>
      <c r="K91" s="2277">
        <v>2712500000</v>
      </c>
      <c r="L91" s="2276">
        <v>1356250000</v>
      </c>
      <c r="M91" s="2276">
        <v>0</v>
      </c>
      <c r="N91" s="2277">
        <v>1356250000</v>
      </c>
      <c r="O91" s="2276">
        <v>0</v>
      </c>
      <c r="P91" s="2276">
        <v>0</v>
      </c>
      <c r="Q91" s="2277">
        <v>0</v>
      </c>
      <c r="R91" s="2276">
        <v>0</v>
      </c>
      <c r="S91" s="2276">
        <v>0</v>
      </c>
      <c r="T91" s="2277">
        <v>0</v>
      </c>
      <c r="U91" s="2276">
        <v>0</v>
      </c>
      <c r="V91" s="2276">
        <v>0</v>
      </c>
      <c r="W91" s="2277">
        <v>0</v>
      </c>
      <c r="X91" s="2276">
        <v>0</v>
      </c>
      <c r="Y91" s="2276">
        <v>0</v>
      </c>
      <c r="Z91" s="2277">
        <v>0</v>
      </c>
      <c r="AA91" s="2276">
        <v>0</v>
      </c>
      <c r="AB91" s="2276">
        <v>0</v>
      </c>
      <c r="AC91" s="2277">
        <v>0</v>
      </c>
      <c r="AD91" s="2276">
        <v>0</v>
      </c>
      <c r="AE91" s="2276">
        <v>0</v>
      </c>
      <c r="AF91" s="2277">
        <v>0</v>
      </c>
      <c r="AG91" s="2276">
        <v>0</v>
      </c>
      <c r="AH91" s="2276">
        <v>0</v>
      </c>
      <c r="AI91" s="2277">
        <v>0</v>
      </c>
      <c r="AJ91" s="2276">
        <v>0</v>
      </c>
      <c r="AK91" s="2276">
        <v>0</v>
      </c>
      <c r="AL91" s="2277">
        <v>0</v>
      </c>
      <c r="AM91" s="2276">
        <v>0</v>
      </c>
      <c r="AN91" s="2276">
        <v>0</v>
      </c>
      <c r="AO91" s="2277">
        <v>0</v>
      </c>
      <c r="AP91" s="2276">
        <v>0</v>
      </c>
      <c r="AQ91" s="2276">
        <v>0</v>
      </c>
      <c r="AR91" s="2277">
        <v>0</v>
      </c>
    </row>
    <row r="92" spans="1:44" s="2283" customFormat="1" ht="13">
      <c r="A92" s="2275" t="s">
        <v>3455</v>
      </c>
      <c r="B92" s="2275" t="s">
        <v>3358</v>
      </c>
      <c r="C92" s="2276"/>
      <c r="D92" s="2276"/>
      <c r="E92" s="2276"/>
      <c r="F92" s="2276"/>
      <c r="G92" s="2276"/>
      <c r="H92" s="2277">
        <v>919573627.5</v>
      </c>
      <c r="I92" s="2276">
        <v>919573647</v>
      </c>
      <c r="J92" s="2276">
        <v>919573647</v>
      </c>
      <c r="K92" s="2277">
        <v>1839147294</v>
      </c>
      <c r="L92" s="2276">
        <v>919573647</v>
      </c>
      <c r="M92" s="2276">
        <v>919573647</v>
      </c>
      <c r="N92" s="2277">
        <v>1839147294</v>
      </c>
      <c r="O92" s="2276">
        <v>919573647</v>
      </c>
      <c r="P92" s="2276">
        <v>0</v>
      </c>
      <c r="Q92" s="2277">
        <v>919573647</v>
      </c>
      <c r="R92" s="2276">
        <v>0</v>
      </c>
      <c r="S92" s="2276">
        <v>0</v>
      </c>
      <c r="T92" s="2277">
        <v>0</v>
      </c>
      <c r="U92" s="2276">
        <v>0</v>
      </c>
      <c r="V92" s="2276">
        <v>0</v>
      </c>
      <c r="W92" s="2277">
        <v>0</v>
      </c>
      <c r="X92" s="2276">
        <v>0</v>
      </c>
      <c r="Y92" s="2276">
        <v>0</v>
      </c>
      <c r="Z92" s="2277">
        <v>0</v>
      </c>
      <c r="AA92" s="2276">
        <v>0</v>
      </c>
      <c r="AB92" s="2276">
        <v>0</v>
      </c>
      <c r="AC92" s="2277">
        <v>0</v>
      </c>
      <c r="AD92" s="2276">
        <v>0</v>
      </c>
      <c r="AE92" s="2276">
        <v>0</v>
      </c>
      <c r="AF92" s="2277">
        <v>0</v>
      </c>
      <c r="AG92" s="2276">
        <v>0</v>
      </c>
      <c r="AH92" s="2276">
        <v>0</v>
      </c>
      <c r="AI92" s="2277">
        <v>0</v>
      </c>
      <c r="AJ92" s="2276">
        <v>0</v>
      </c>
      <c r="AK92" s="2276">
        <v>0</v>
      </c>
      <c r="AL92" s="2277">
        <v>0</v>
      </c>
      <c r="AM92" s="2276">
        <v>0</v>
      </c>
      <c r="AN92" s="2276">
        <v>0</v>
      </c>
      <c r="AO92" s="2277">
        <v>0</v>
      </c>
      <c r="AP92" s="2276">
        <v>0</v>
      </c>
      <c r="AQ92" s="2276">
        <v>0</v>
      </c>
      <c r="AR92" s="2277">
        <v>0</v>
      </c>
    </row>
    <row r="93" spans="1:44" s="2283" customFormat="1" ht="13">
      <c r="A93" s="2275" t="s">
        <v>3438</v>
      </c>
      <c r="B93" s="2275" t="s">
        <v>3358</v>
      </c>
      <c r="C93" s="2276"/>
      <c r="D93" s="2276">
        <v>1672500000</v>
      </c>
      <c r="E93" s="2276">
        <v>1837500000</v>
      </c>
      <c r="F93" s="2276">
        <v>3727500000</v>
      </c>
      <c r="G93" s="2276">
        <v>1649991200</v>
      </c>
      <c r="H93" s="2277" t="s">
        <v>821</v>
      </c>
      <c r="I93" s="2276">
        <v>0</v>
      </c>
      <c r="J93" s="2276">
        <v>0</v>
      </c>
      <c r="K93" s="2277">
        <v>0</v>
      </c>
      <c r="L93" s="2276">
        <v>0</v>
      </c>
      <c r="M93" s="2276">
        <v>0</v>
      </c>
      <c r="N93" s="2277">
        <v>0</v>
      </c>
      <c r="O93" s="2276">
        <v>0</v>
      </c>
      <c r="P93" s="2276">
        <v>0</v>
      </c>
      <c r="Q93" s="2277">
        <v>0</v>
      </c>
      <c r="R93" s="2276"/>
      <c r="S93" s="2276"/>
      <c r="T93" s="2277">
        <v>0</v>
      </c>
      <c r="U93" s="2276"/>
      <c r="V93" s="2276"/>
      <c r="W93" s="2277">
        <v>0</v>
      </c>
      <c r="X93" s="2276">
        <v>0</v>
      </c>
      <c r="Y93" s="2276">
        <v>0</v>
      </c>
      <c r="Z93" s="2277">
        <v>0</v>
      </c>
      <c r="AA93" s="2276">
        <v>0</v>
      </c>
      <c r="AB93" s="2276">
        <v>0</v>
      </c>
      <c r="AC93" s="2277">
        <v>0</v>
      </c>
      <c r="AD93" s="2276">
        <v>0</v>
      </c>
      <c r="AE93" s="2276">
        <v>0</v>
      </c>
      <c r="AF93" s="2277">
        <v>0</v>
      </c>
      <c r="AG93" s="2276">
        <v>0</v>
      </c>
      <c r="AH93" s="2276">
        <v>0</v>
      </c>
      <c r="AI93" s="2277">
        <v>0</v>
      </c>
      <c r="AJ93" s="2276">
        <v>0</v>
      </c>
      <c r="AK93" s="2276">
        <v>0</v>
      </c>
      <c r="AL93" s="2277">
        <v>0</v>
      </c>
      <c r="AM93" s="2276">
        <v>0</v>
      </c>
      <c r="AN93" s="2276">
        <v>0</v>
      </c>
      <c r="AO93" s="2277">
        <v>0</v>
      </c>
      <c r="AP93" s="2276">
        <v>0</v>
      </c>
      <c r="AQ93" s="2276">
        <v>0</v>
      </c>
      <c r="AR93" s="2277">
        <v>0</v>
      </c>
    </row>
    <row r="94" spans="1:44" s="2283" customFormat="1" ht="13">
      <c r="A94" s="2275" t="s">
        <v>3439</v>
      </c>
      <c r="B94" s="2275" t="s">
        <v>3358</v>
      </c>
      <c r="C94" s="2276">
        <v>1240000000</v>
      </c>
      <c r="D94" s="2276">
        <v>0</v>
      </c>
      <c r="E94" s="2276">
        <v>1220000000</v>
      </c>
      <c r="F94" s="2276">
        <v>0</v>
      </c>
      <c r="G94" s="2276">
        <v>2361645000</v>
      </c>
      <c r="H94" s="2277">
        <v>3727500000</v>
      </c>
      <c r="I94" s="2276">
        <v>1863750000</v>
      </c>
      <c r="J94" s="2276">
        <v>0</v>
      </c>
      <c r="K94" s="2277">
        <v>1863750000</v>
      </c>
      <c r="L94" s="2276">
        <v>0</v>
      </c>
      <c r="M94" s="2276">
        <v>0</v>
      </c>
      <c r="N94" s="2277">
        <v>0</v>
      </c>
      <c r="O94" s="2276">
        <v>0</v>
      </c>
      <c r="P94" s="2276">
        <v>0</v>
      </c>
      <c r="Q94" s="2277">
        <v>0</v>
      </c>
      <c r="R94" s="2276">
        <v>0</v>
      </c>
      <c r="S94" s="2276">
        <v>0</v>
      </c>
      <c r="T94" s="2277">
        <v>0</v>
      </c>
      <c r="U94" s="2276">
        <v>0</v>
      </c>
      <c r="V94" s="2276">
        <v>0</v>
      </c>
      <c r="W94" s="2277">
        <v>0</v>
      </c>
      <c r="X94" s="2276">
        <v>0</v>
      </c>
      <c r="Y94" s="2276">
        <v>0</v>
      </c>
      <c r="Z94" s="2277">
        <v>0</v>
      </c>
      <c r="AA94" s="2276">
        <v>0</v>
      </c>
      <c r="AB94" s="2276">
        <v>0</v>
      </c>
      <c r="AC94" s="2277">
        <v>0</v>
      </c>
      <c r="AD94" s="2276">
        <v>0</v>
      </c>
      <c r="AE94" s="2276">
        <v>0</v>
      </c>
      <c r="AF94" s="2277">
        <v>0</v>
      </c>
      <c r="AG94" s="2276">
        <v>0</v>
      </c>
      <c r="AH94" s="2276">
        <v>0</v>
      </c>
      <c r="AI94" s="2277">
        <v>0</v>
      </c>
      <c r="AJ94" s="2276">
        <v>0</v>
      </c>
      <c r="AK94" s="2276">
        <v>0</v>
      </c>
      <c r="AL94" s="2277">
        <v>0</v>
      </c>
      <c r="AM94" s="2276">
        <v>0</v>
      </c>
      <c r="AN94" s="2276">
        <v>0</v>
      </c>
      <c r="AO94" s="2277">
        <v>0</v>
      </c>
      <c r="AP94" s="2276">
        <v>0</v>
      </c>
      <c r="AQ94" s="2276">
        <v>0</v>
      </c>
      <c r="AR94" s="2277">
        <v>0</v>
      </c>
    </row>
    <row r="95" spans="1:44" s="2283" customFormat="1" ht="13">
      <c r="A95" s="2275" t="s">
        <v>3440</v>
      </c>
      <c r="B95" s="2275" t="s">
        <v>3358</v>
      </c>
      <c r="C95" s="2276">
        <v>675000000</v>
      </c>
      <c r="D95" s="2276">
        <v>0</v>
      </c>
      <c r="E95" s="2276">
        <v>2359127060.4400001</v>
      </c>
      <c r="F95" s="2276">
        <v>1770000000</v>
      </c>
      <c r="G95" s="2276">
        <v>6215000000</v>
      </c>
      <c r="H95" s="2277" t="s">
        <v>821</v>
      </c>
      <c r="I95" s="2276"/>
      <c r="J95" s="2276"/>
      <c r="K95" s="2277">
        <v>0</v>
      </c>
      <c r="L95" s="2276">
        <v>0</v>
      </c>
      <c r="M95" s="2276">
        <v>0</v>
      </c>
      <c r="N95" s="2277">
        <v>0</v>
      </c>
      <c r="O95" s="2276">
        <v>0</v>
      </c>
      <c r="P95" s="2276">
        <v>0</v>
      </c>
      <c r="Q95" s="2277">
        <v>0</v>
      </c>
      <c r="R95" s="2276"/>
      <c r="S95" s="2276"/>
      <c r="T95" s="2277">
        <v>0</v>
      </c>
      <c r="U95" s="2276"/>
      <c r="V95" s="2276"/>
      <c r="W95" s="2277">
        <v>0</v>
      </c>
      <c r="X95" s="2276">
        <v>0</v>
      </c>
      <c r="Y95" s="2276">
        <v>0</v>
      </c>
      <c r="Z95" s="2277">
        <v>0</v>
      </c>
      <c r="AA95" s="2276">
        <v>0</v>
      </c>
      <c r="AB95" s="2276">
        <v>0</v>
      </c>
      <c r="AC95" s="2277">
        <v>0</v>
      </c>
      <c r="AD95" s="2276">
        <v>0</v>
      </c>
      <c r="AE95" s="2276">
        <v>0</v>
      </c>
      <c r="AF95" s="2277">
        <v>0</v>
      </c>
      <c r="AG95" s="2276">
        <v>0</v>
      </c>
      <c r="AH95" s="2276">
        <v>0</v>
      </c>
      <c r="AI95" s="2277">
        <v>0</v>
      </c>
      <c r="AJ95" s="2276">
        <v>0</v>
      </c>
      <c r="AK95" s="2276">
        <v>0</v>
      </c>
      <c r="AL95" s="2277">
        <v>0</v>
      </c>
      <c r="AM95" s="2276">
        <v>0</v>
      </c>
      <c r="AN95" s="2276">
        <v>0</v>
      </c>
      <c r="AO95" s="2277">
        <v>0</v>
      </c>
      <c r="AP95" s="2276">
        <v>0</v>
      </c>
      <c r="AQ95" s="2276">
        <v>0</v>
      </c>
      <c r="AR95" s="2277">
        <v>0</v>
      </c>
    </row>
    <row r="96" spans="1:44" s="2283" customFormat="1" ht="13">
      <c r="A96" s="2275" t="s">
        <v>3441</v>
      </c>
      <c r="B96" s="2275" t="s">
        <v>3358</v>
      </c>
      <c r="C96" s="2276">
        <v>675000000</v>
      </c>
      <c r="D96" s="2276">
        <v>0</v>
      </c>
      <c r="E96" s="2276">
        <v>5840118450</v>
      </c>
      <c r="F96" s="2276">
        <v>1649991200</v>
      </c>
      <c r="G96" s="2276">
        <v>610000000</v>
      </c>
      <c r="H96" s="2277">
        <v>1649991200</v>
      </c>
      <c r="I96" s="2276">
        <v>824995600</v>
      </c>
      <c r="J96" s="2276">
        <v>824995600</v>
      </c>
      <c r="K96" s="2277">
        <v>1649991200</v>
      </c>
      <c r="L96" s="2276">
        <v>824995600</v>
      </c>
      <c r="M96" s="2276">
        <v>824995600</v>
      </c>
      <c r="N96" s="2277">
        <v>1649991200</v>
      </c>
      <c r="O96" s="2276">
        <v>0</v>
      </c>
      <c r="P96" s="2276">
        <v>0</v>
      </c>
      <c r="Q96" s="2277">
        <v>0</v>
      </c>
      <c r="R96" s="2276">
        <v>0</v>
      </c>
      <c r="S96" s="2276">
        <v>0</v>
      </c>
      <c r="T96" s="2277">
        <v>0</v>
      </c>
      <c r="U96" s="2276">
        <v>0</v>
      </c>
      <c r="V96" s="2276">
        <v>0</v>
      </c>
      <c r="W96" s="2277">
        <v>0</v>
      </c>
      <c r="X96" s="2276">
        <v>0</v>
      </c>
      <c r="Y96" s="2276">
        <v>0</v>
      </c>
      <c r="Z96" s="2277">
        <v>0</v>
      </c>
      <c r="AA96" s="2276">
        <v>0</v>
      </c>
      <c r="AB96" s="2276">
        <v>0</v>
      </c>
      <c r="AC96" s="2277">
        <v>0</v>
      </c>
      <c r="AD96" s="2276">
        <v>0</v>
      </c>
      <c r="AE96" s="2276">
        <v>0</v>
      </c>
      <c r="AF96" s="2277">
        <v>0</v>
      </c>
      <c r="AG96" s="2276">
        <v>0</v>
      </c>
      <c r="AH96" s="2276">
        <v>0</v>
      </c>
      <c r="AI96" s="2277">
        <v>0</v>
      </c>
      <c r="AJ96" s="2276">
        <v>0</v>
      </c>
      <c r="AK96" s="2276">
        <v>0</v>
      </c>
      <c r="AL96" s="2277">
        <v>0</v>
      </c>
      <c r="AM96" s="2276">
        <v>0</v>
      </c>
      <c r="AN96" s="2276">
        <v>0</v>
      </c>
      <c r="AO96" s="2277">
        <v>0</v>
      </c>
      <c r="AP96" s="2276">
        <v>0</v>
      </c>
      <c r="AQ96" s="2276">
        <v>0</v>
      </c>
      <c r="AR96" s="2277">
        <v>0</v>
      </c>
    </row>
    <row r="97" spans="1:44" s="2283" customFormat="1" ht="13">
      <c r="A97" s="2275" t="s">
        <v>3442</v>
      </c>
      <c r="B97" s="2275" t="s">
        <v>3358</v>
      </c>
      <c r="C97" s="2276"/>
      <c r="D97" s="2276"/>
      <c r="E97" s="2276">
        <v>1267500000</v>
      </c>
      <c r="F97" s="2276">
        <v>6215000000</v>
      </c>
      <c r="G97" s="2276">
        <v>3900750000</v>
      </c>
      <c r="H97" s="2277">
        <v>2361645000</v>
      </c>
      <c r="I97" s="2276">
        <v>1180822500</v>
      </c>
      <c r="J97" s="2276">
        <v>1180822500</v>
      </c>
      <c r="K97" s="2277">
        <v>2361645000</v>
      </c>
      <c r="L97" s="2276">
        <v>1180822500</v>
      </c>
      <c r="M97" s="2276">
        <v>1180822500</v>
      </c>
      <c r="N97" s="2277">
        <v>2361645000</v>
      </c>
      <c r="O97" s="2276">
        <v>1180822500</v>
      </c>
      <c r="P97" s="2276">
        <v>1180822500</v>
      </c>
      <c r="Q97" s="2277">
        <v>2361645000</v>
      </c>
      <c r="R97" s="2276">
        <v>0</v>
      </c>
      <c r="S97" s="2276">
        <v>0</v>
      </c>
      <c r="T97" s="2277">
        <v>0</v>
      </c>
      <c r="U97" s="2276">
        <v>0</v>
      </c>
      <c r="V97" s="2276">
        <v>0</v>
      </c>
      <c r="W97" s="2277">
        <v>0</v>
      </c>
      <c r="X97" s="2276">
        <v>0</v>
      </c>
      <c r="Y97" s="2276">
        <v>0</v>
      </c>
      <c r="Z97" s="2277">
        <v>0</v>
      </c>
      <c r="AA97" s="2276">
        <v>0</v>
      </c>
      <c r="AB97" s="2276">
        <v>0</v>
      </c>
      <c r="AC97" s="2277">
        <v>0</v>
      </c>
      <c r="AD97" s="2276">
        <v>0</v>
      </c>
      <c r="AE97" s="2276">
        <v>0</v>
      </c>
      <c r="AF97" s="2277">
        <v>0</v>
      </c>
      <c r="AG97" s="2276">
        <v>0</v>
      </c>
      <c r="AH97" s="2276">
        <v>0</v>
      </c>
      <c r="AI97" s="2277">
        <v>0</v>
      </c>
      <c r="AJ97" s="2276">
        <v>0</v>
      </c>
      <c r="AK97" s="2276">
        <v>0</v>
      </c>
      <c r="AL97" s="2277">
        <v>0</v>
      </c>
      <c r="AM97" s="2276">
        <v>0</v>
      </c>
      <c r="AN97" s="2276">
        <v>0</v>
      </c>
      <c r="AO97" s="2277">
        <v>0</v>
      </c>
      <c r="AP97" s="2276">
        <v>0</v>
      </c>
      <c r="AQ97" s="2276">
        <v>0</v>
      </c>
      <c r="AR97" s="2277">
        <v>0</v>
      </c>
    </row>
    <row r="98" spans="1:44" s="2283" customFormat="1" ht="13">
      <c r="A98" s="2275" t="s">
        <v>3443</v>
      </c>
      <c r="B98" s="2275" t="s">
        <v>3358</v>
      </c>
      <c r="C98" s="2276"/>
      <c r="D98" s="2276"/>
      <c r="E98" s="2276">
        <v>1871250000</v>
      </c>
      <c r="F98" s="2276">
        <v>610000000</v>
      </c>
      <c r="G98" s="2276">
        <v>5840118450</v>
      </c>
      <c r="H98" s="2277">
        <v>6215000000</v>
      </c>
      <c r="I98" s="2276">
        <v>0</v>
      </c>
      <c r="J98" s="2276">
        <v>0</v>
      </c>
      <c r="K98" s="2277">
        <v>0</v>
      </c>
      <c r="L98" s="2276">
        <v>0</v>
      </c>
      <c r="M98" s="2276">
        <v>0</v>
      </c>
      <c r="N98" s="2277">
        <v>0</v>
      </c>
      <c r="O98" s="2276">
        <v>0</v>
      </c>
      <c r="P98" s="2276">
        <v>0</v>
      </c>
      <c r="Q98" s="2277">
        <v>0</v>
      </c>
      <c r="R98" s="2276">
        <v>0</v>
      </c>
      <c r="S98" s="2276">
        <v>0</v>
      </c>
      <c r="T98" s="2277">
        <v>0</v>
      </c>
      <c r="U98" s="2276">
        <v>0</v>
      </c>
      <c r="V98" s="2276">
        <v>0</v>
      </c>
      <c r="W98" s="2277">
        <v>0</v>
      </c>
      <c r="X98" s="2276">
        <v>0</v>
      </c>
      <c r="Y98" s="2276">
        <v>0</v>
      </c>
      <c r="Z98" s="2277">
        <v>0</v>
      </c>
      <c r="AA98" s="2276">
        <v>0</v>
      </c>
      <c r="AB98" s="2276">
        <v>0</v>
      </c>
      <c r="AC98" s="2277">
        <v>0</v>
      </c>
      <c r="AD98" s="2276">
        <v>0</v>
      </c>
      <c r="AE98" s="2276">
        <v>0</v>
      </c>
      <c r="AF98" s="2277">
        <v>0</v>
      </c>
      <c r="AG98" s="2276">
        <v>0</v>
      </c>
      <c r="AH98" s="2276">
        <v>0</v>
      </c>
      <c r="AI98" s="2277">
        <v>0</v>
      </c>
      <c r="AJ98" s="2276">
        <v>0</v>
      </c>
      <c r="AK98" s="2276">
        <v>0</v>
      </c>
      <c r="AL98" s="2277">
        <v>0</v>
      </c>
      <c r="AM98" s="2276">
        <v>0</v>
      </c>
      <c r="AN98" s="2276">
        <v>0</v>
      </c>
      <c r="AO98" s="2277">
        <v>0</v>
      </c>
      <c r="AP98" s="2276">
        <v>0</v>
      </c>
      <c r="AQ98" s="2276">
        <v>0</v>
      </c>
      <c r="AR98" s="2277">
        <v>0</v>
      </c>
    </row>
    <row r="99" spans="1:44" s="2283" customFormat="1" ht="13">
      <c r="A99" s="2275" t="s">
        <v>3454</v>
      </c>
      <c r="B99" s="2275" t="s">
        <v>3358</v>
      </c>
      <c r="C99" s="2276"/>
      <c r="D99" s="2276"/>
      <c r="E99" s="2276"/>
      <c r="F99" s="2276"/>
      <c r="G99" s="2276"/>
      <c r="H99" s="2277">
        <v>3326280720</v>
      </c>
      <c r="I99" s="2276">
        <v>1663140360</v>
      </c>
      <c r="J99" s="2276">
        <v>1663140360</v>
      </c>
      <c r="K99" s="2277">
        <v>3326280720</v>
      </c>
      <c r="L99" s="2276">
        <v>1663140360</v>
      </c>
      <c r="M99" s="2276">
        <v>1663140360</v>
      </c>
      <c r="N99" s="2277">
        <v>3326280720</v>
      </c>
      <c r="O99" s="2276">
        <v>1663140360</v>
      </c>
      <c r="P99" s="2276">
        <v>1663140360</v>
      </c>
      <c r="Q99" s="2277">
        <v>3326280720</v>
      </c>
      <c r="R99" s="2276">
        <v>1663140360</v>
      </c>
      <c r="S99" s="2276">
        <v>1663140360</v>
      </c>
      <c r="T99" s="2277">
        <v>3326280720</v>
      </c>
      <c r="U99" s="2276">
        <v>0</v>
      </c>
      <c r="V99" s="2276">
        <v>0</v>
      </c>
      <c r="W99" s="2277">
        <v>0</v>
      </c>
      <c r="X99" s="2276">
        <v>0</v>
      </c>
      <c r="Y99" s="2276">
        <v>0</v>
      </c>
      <c r="Z99" s="2277">
        <v>0</v>
      </c>
      <c r="AA99" s="2276">
        <v>0</v>
      </c>
      <c r="AB99" s="2276">
        <v>0</v>
      </c>
      <c r="AC99" s="2277">
        <v>0</v>
      </c>
      <c r="AD99" s="2276">
        <v>0</v>
      </c>
      <c r="AE99" s="2276">
        <v>0</v>
      </c>
      <c r="AF99" s="2277">
        <v>0</v>
      </c>
      <c r="AG99" s="2276">
        <v>0</v>
      </c>
      <c r="AH99" s="2276">
        <v>0</v>
      </c>
      <c r="AI99" s="2277">
        <v>0</v>
      </c>
      <c r="AJ99" s="2276">
        <v>0</v>
      </c>
      <c r="AK99" s="2276">
        <v>0</v>
      </c>
      <c r="AL99" s="2277">
        <v>0</v>
      </c>
      <c r="AM99" s="2276">
        <v>0</v>
      </c>
      <c r="AN99" s="2276">
        <v>0</v>
      </c>
      <c r="AO99" s="2277">
        <v>0</v>
      </c>
      <c r="AP99" s="2276">
        <v>0</v>
      </c>
      <c r="AQ99" s="2276">
        <v>0</v>
      </c>
      <c r="AR99" s="2277">
        <v>0</v>
      </c>
    </row>
    <row r="100" spans="1:44" s="2284" customFormat="1" ht="13">
      <c r="A100" s="2275" t="s">
        <v>3444</v>
      </c>
      <c r="B100" s="2275" t="s">
        <v>3358</v>
      </c>
      <c r="C100" s="2276"/>
      <c r="D100" s="2276"/>
      <c r="E100" s="2276">
        <v>2480000000</v>
      </c>
      <c r="F100" s="2276">
        <v>3900750000</v>
      </c>
      <c r="G100" s="2276">
        <v>1267500000</v>
      </c>
      <c r="H100" s="2277">
        <v>3326280720</v>
      </c>
      <c r="I100" s="2276">
        <v>0</v>
      </c>
      <c r="J100" s="2276">
        <v>0</v>
      </c>
      <c r="K100" s="2277">
        <v>0</v>
      </c>
      <c r="L100" s="2276">
        <v>0</v>
      </c>
      <c r="M100" s="2276">
        <v>0</v>
      </c>
      <c r="N100" s="2277">
        <v>0</v>
      </c>
      <c r="O100" s="2276">
        <v>0</v>
      </c>
      <c r="P100" s="2276">
        <v>0</v>
      </c>
      <c r="Q100" s="2277">
        <v>0</v>
      </c>
      <c r="R100" s="2276">
        <v>0</v>
      </c>
      <c r="S100" s="2276">
        <v>0</v>
      </c>
      <c r="T100" s="2277">
        <v>0</v>
      </c>
      <c r="U100" s="2276">
        <v>0</v>
      </c>
      <c r="V100" s="2276">
        <v>0</v>
      </c>
      <c r="W100" s="2277">
        <v>0</v>
      </c>
      <c r="X100" s="2276">
        <v>0</v>
      </c>
      <c r="Y100" s="2276">
        <v>0</v>
      </c>
      <c r="Z100" s="2277">
        <v>0</v>
      </c>
      <c r="AA100" s="2276">
        <v>0</v>
      </c>
      <c r="AB100" s="2276">
        <v>0</v>
      </c>
      <c r="AC100" s="2277">
        <v>0</v>
      </c>
      <c r="AD100" s="2276">
        <v>0</v>
      </c>
      <c r="AE100" s="2276">
        <v>0</v>
      </c>
      <c r="AF100" s="2277">
        <v>0</v>
      </c>
      <c r="AG100" s="2276">
        <v>0</v>
      </c>
      <c r="AH100" s="2276">
        <v>0</v>
      </c>
      <c r="AI100" s="2277">
        <v>0</v>
      </c>
      <c r="AJ100" s="2276">
        <v>0</v>
      </c>
      <c r="AK100" s="2276">
        <v>0</v>
      </c>
      <c r="AL100" s="2277">
        <v>0</v>
      </c>
      <c r="AM100" s="2276">
        <v>0</v>
      </c>
      <c r="AN100" s="2276">
        <v>0</v>
      </c>
      <c r="AO100" s="2277">
        <v>0</v>
      </c>
      <c r="AP100" s="2276">
        <v>0</v>
      </c>
      <c r="AQ100" s="2276">
        <v>0</v>
      </c>
      <c r="AR100" s="2277">
        <v>0</v>
      </c>
    </row>
    <row r="101" spans="1:44" s="2283" customFormat="1" ht="13">
      <c r="A101" s="2275" t="s">
        <v>3445</v>
      </c>
      <c r="B101" s="2275" t="s">
        <v>3358</v>
      </c>
      <c r="C101" s="2276"/>
      <c r="D101" s="2276"/>
      <c r="E101" s="2276">
        <v>5367943350</v>
      </c>
      <c r="F101" s="2276">
        <v>5840118450</v>
      </c>
      <c r="G101" s="2276">
        <v>2480000000</v>
      </c>
      <c r="H101" s="2277">
        <v>3900750000</v>
      </c>
      <c r="I101" s="2276">
        <v>1950375000</v>
      </c>
      <c r="J101" s="2276">
        <v>1950375000</v>
      </c>
      <c r="K101" s="2277">
        <v>3900750000</v>
      </c>
      <c r="L101" s="2276">
        <v>1950375000</v>
      </c>
      <c r="M101" s="2276">
        <v>0</v>
      </c>
      <c r="N101" s="2277">
        <v>1950375000</v>
      </c>
      <c r="O101" s="2276">
        <v>0</v>
      </c>
      <c r="P101" s="2276">
        <v>0</v>
      </c>
      <c r="Q101" s="2277">
        <v>0</v>
      </c>
      <c r="R101" s="2276">
        <v>0</v>
      </c>
      <c r="S101" s="2276">
        <v>0</v>
      </c>
      <c r="T101" s="2277">
        <v>0</v>
      </c>
      <c r="U101" s="2276">
        <v>0</v>
      </c>
      <c r="V101" s="2276">
        <v>0</v>
      </c>
      <c r="W101" s="2277">
        <v>0</v>
      </c>
      <c r="X101" s="2276">
        <v>0</v>
      </c>
      <c r="Y101" s="2276">
        <v>0</v>
      </c>
      <c r="Z101" s="2277">
        <v>0</v>
      </c>
      <c r="AA101" s="2276">
        <v>0</v>
      </c>
      <c r="AB101" s="2276">
        <v>0</v>
      </c>
      <c r="AC101" s="2277">
        <v>0</v>
      </c>
      <c r="AD101" s="2276">
        <v>0</v>
      </c>
      <c r="AE101" s="2276">
        <v>0</v>
      </c>
      <c r="AF101" s="2277">
        <v>0</v>
      </c>
      <c r="AG101" s="2276">
        <v>0</v>
      </c>
      <c r="AH101" s="2276">
        <v>0</v>
      </c>
      <c r="AI101" s="2277">
        <v>0</v>
      </c>
      <c r="AJ101" s="2276">
        <v>0</v>
      </c>
      <c r="AK101" s="2276">
        <v>0</v>
      </c>
      <c r="AL101" s="2277">
        <v>0</v>
      </c>
      <c r="AM101" s="2276">
        <v>0</v>
      </c>
      <c r="AN101" s="2276">
        <v>0</v>
      </c>
      <c r="AO101" s="2277">
        <v>0</v>
      </c>
      <c r="AP101" s="2276">
        <v>0</v>
      </c>
      <c r="AQ101" s="2276">
        <v>0</v>
      </c>
      <c r="AR101" s="2277">
        <v>0</v>
      </c>
    </row>
    <row r="102" spans="1:44" s="2283" customFormat="1" ht="13">
      <c r="A102" s="2275" t="s">
        <v>3446</v>
      </c>
      <c r="B102" s="2275" t="s">
        <v>3358</v>
      </c>
      <c r="C102" s="2276"/>
      <c r="D102" s="2276"/>
      <c r="E102" s="2276">
        <v>2310000000</v>
      </c>
      <c r="F102" s="2276">
        <v>1267500000</v>
      </c>
      <c r="G102" s="2276">
        <v>5367943350</v>
      </c>
      <c r="H102" s="2277">
        <v>5840118450</v>
      </c>
      <c r="I102" s="2276">
        <v>2920059225</v>
      </c>
      <c r="J102" s="2276">
        <v>2920059225</v>
      </c>
      <c r="K102" s="2277">
        <v>5840118450</v>
      </c>
      <c r="L102" s="2276">
        <v>2920059225</v>
      </c>
      <c r="M102" s="2276">
        <v>2920059225</v>
      </c>
      <c r="N102" s="2277">
        <v>5840118450</v>
      </c>
      <c r="O102" s="2276">
        <v>0</v>
      </c>
      <c r="P102" s="2276">
        <v>0</v>
      </c>
      <c r="Q102" s="2277">
        <v>0</v>
      </c>
      <c r="R102" s="2276">
        <v>0</v>
      </c>
      <c r="S102" s="2276">
        <v>0</v>
      </c>
      <c r="T102" s="2277">
        <v>0</v>
      </c>
      <c r="U102" s="2276">
        <v>0</v>
      </c>
      <c r="V102" s="2276">
        <v>0</v>
      </c>
      <c r="W102" s="2277">
        <v>0</v>
      </c>
      <c r="X102" s="2276">
        <v>0</v>
      </c>
      <c r="Y102" s="2276">
        <v>0</v>
      </c>
      <c r="Z102" s="2277">
        <v>0</v>
      </c>
      <c r="AA102" s="2276">
        <v>0</v>
      </c>
      <c r="AB102" s="2276">
        <v>0</v>
      </c>
      <c r="AC102" s="2277">
        <v>0</v>
      </c>
      <c r="AD102" s="2276">
        <v>0</v>
      </c>
      <c r="AE102" s="2276">
        <v>0</v>
      </c>
      <c r="AF102" s="2277">
        <v>0</v>
      </c>
      <c r="AG102" s="2276">
        <v>0</v>
      </c>
      <c r="AH102" s="2276">
        <v>0</v>
      </c>
      <c r="AI102" s="2277">
        <v>0</v>
      </c>
      <c r="AJ102" s="2276">
        <v>0</v>
      </c>
      <c r="AK102" s="2276">
        <v>0</v>
      </c>
      <c r="AL102" s="2277">
        <v>0</v>
      </c>
      <c r="AM102" s="2276">
        <v>0</v>
      </c>
      <c r="AN102" s="2276">
        <v>0</v>
      </c>
      <c r="AO102" s="2277">
        <v>0</v>
      </c>
      <c r="AP102" s="2276">
        <v>0</v>
      </c>
      <c r="AQ102" s="2276">
        <v>0</v>
      </c>
      <c r="AR102" s="2277">
        <v>0</v>
      </c>
    </row>
    <row r="103" spans="1:44" s="2283" customFormat="1" ht="13">
      <c r="A103" s="2275" t="s">
        <v>3447</v>
      </c>
      <c r="B103" s="2275" t="s">
        <v>3358</v>
      </c>
      <c r="C103" s="2276"/>
      <c r="D103" s="2276"/>
      <c r="E103" s="2276">
        <v>835875000</v>
      </c>
      <c r="F103" s="2276">
        <v>2480000000</v>
      </c>
      <c r="G103" s="2276">
        <v>7283437500</v>
      </c>
      <c r="H103" s="2277">
        <v>1267500000</v>
      </c>
      <c r="I103" s="2276">
        <v>0</v>
      </c>
      <c r="J103" s="2276">
        <v>0</v>
      </c>
      <c r="K103" s="2277">
        <v>0</v>
      </c>
      <c r="L103" s="2276">
        <v>0</v>
      </c>
      <c r="M103" s="2276">
        <v>0</v>
      </c>
      <c r="N103" s="2277">
        <v>0</v>
      </c>
      <c r="O103" s="2276">
        <v>0</v>
      </c>
      <c r="P103" s="2276">
        <v>0</v>
      </c>
      <c r="Q103" s="2277">
        <v>0</v>
      </c>
      <c r="R103" s="2276">
        <v>0</v>
      </c>
      <c r="S103" s="2276">
        <v>0</v>
      </c>
      <c r="T103" s="2277">
        <v>0</v>
      </c>
      <c r="U103" s="2276">
        <v>0</v>
      </c>
      <c r="V103" s="2276">
        <v>0</v>
      </c>
      <c r="W103" s="2277">
        <v>0</v>
      </c>
      <c r="X103" s="2276">
        <v>0</v>
      </c>
      <c r="Y103" s="2276">
        <v>0</v>
      </c>
      <c r="Z103" s="2277">
        <v>0</v>
      </c>
      <c r="AA103" s="2276">
        <v>0</v>
      </c>
      <c r="AB103" s="2276">
        <v>0</v>
      </c>
      <c r="AC103" s="2277">
        <v>0</v>
      </c>
      <c r="AD103" s="2276">
        <v>0</v>
      </c>
      <c r="AE103" s="2276">
        <v>0</v>
      </c>
      <c r="AF103" s="2277">
        <v>0</v>
      </c>
      <c r="AG103" s="2276">
        <v>0</v>
      </c>
      <c r="AH103" s="2276">
        <v>0</v>
      </c>
      <c r="AI103" s="2277">
        <v>0</v>
      </c>
      <c r="AJ103" s="2276">
        <v>0</v>
      </c>
      <c r="AK103" s="2276">
        <v>0</v>
      </c>
      <c r="AL103" s="2277">
        <v>0</v>
      </c>
      <c r="AM103" s="2276">
        <v>0</v>
      </c>
      <c r="AN103" s="2276">
        <v>0</v>
      </c>
      <c r="AO103" s="2277">
        <v>0</v>
      </c>
      <c r="AP103" s="2276">
        <v>0</v>
      </c>
      <c r="AQ103" s="2276">
        <v>0</v>
      </c>
      <c r="AR103" s="2277">
        <v>0</v>
      </c>
    </row>
    <row r="104" spans="1:44" s="2283" customFormat="1" ht="13">
      <c r="A104" s="2275" t="s">
        <v>3448</v>
      </c>
      <c r="B104" s="2275" t="s">
        <v>3358</v>
      </c>
      <c r="C104" s="2276"/>
      <c r="D104" s="2276"/>
      <c r="E104" s="2276"/>
      <c r="F104" s="2276"/>
      <c r="G104" s="2276">
        <v>6861000000</v>
      </c>
      <c r="H104" s="2277">
        <v>2480000000</v>
      </c>
      <c r="I104" s="2276">
        <v>1240000000</v>
      </c>
      <c r="J104" s="2276">
        <v>0</v>
      </c>
      <c r="K104" s="2277">
        <v>1240000000</v>
      </c>
      <c r="L104" s="2276">
        <v>0</v>
      </c>
      <c r="M104" s="2276">
        <v>0</v>
      </c>
      <c r="N104" s="2277">
        <v>0</v>
      </c>
      <c r="O104" s="2276">
        <v>0</v>
      </c>
      <c r="P104" s="2276">
        <v>0</v>
      </c>
      <c r="Q104" s="2277">
        <v>0</v>
      </c>
      <c r="R104" s="2276">
        <v>0</v>
      </c>
      <c r="S104" s="2276">
        <v>0</v>
      </c>
      <c r="T104" s="2277">
        <v>0</v>
      </c>
      <c r="U104" s="2276">
        <v>0</v>
      </c>
      <c r="V104" s="2276">
        <v>0</v>
      </c>
      <c r="W104" s="2277">
        <v>0</v>
      </c>
      <c r="X104" s="2276">
        <v>0</v>
      </c>
      <c r="Y104" s="2276">
        <v>0</v>
      </c>
      <c r="Z104" s="2277">
        <v>0</v>
      </c>
      <c r="AA104" s="2276">
        <v>0</v>
      </c>
      <c r="AB104" s="2276">
        <v>0</v>
      </c>
      <c r="AC104" s="2277">
        <v>0</v>
      </c>
      <c r="AD104" s="2276">
        <v>0</v>
      </c>
      <c r="AE104" s="2276">
        <v>0</v>
      </c>
      <c r="AF104" s="2277">
        <v>0</v>
      </c>
      <c r="AG104" s="2276">
        <v>0</v>
      </c>
      <c r="AH104" s="2276">
        <v>0</v>
      </c>
      <c r="AI104" s="2277">
        <v>0</v>
      </c>
      <c r="AJ104" s="2276">
        <v>0</v>
      </c>
      <c r="AK104" s="2276">
        <v>0</v>
      </c>
      <c r="AL104" s="2277">
        <v>0</v>
      </c>
      <c r="AM104" s="2276">
        <v>0</v>
      </c>
      <c r="AN104" s="2276">
        <v>0</v>
      </c>
      <c r="AO104" s="2277">
        <v>0</v>
      </c>
      <c r="AP104" s="2276">
        <v>0</v>
      </c>
      <c r="AQ104" s="2276">
        <v>0</v>
      </c>
      <c r="AR104" s="2277">
        <v>0</v>
      </c>
    </row>
    <row r="105" spans="1:44" s="2283" customFormat="1" ht="13">
      <c r="A105" s="2275" t="s">
        <v>3449</v>
      </c>
      <c r="B105" s="2275" t="s">
        <v>3358</v>
      </c>
      <c r="C105" s="2276"/>
      <c r="D105" s="2276"/>
      <c r="E105" s="2276"/>
      <c r="F105" s="2276"/>
      <c r="G105" s="2276">
        <v>3900000000</v>
      </c>
      <c r="H105" s="2277">
        <v>5367943350</v>
      </c>
      <c r="I105" s="2276">
        <v>2683971675</v>
      </c>
      <c r="J105" s="2276">
        <v>2683971675</v>
      </c>
      <c r="K105" s="2277">
        <v>5367943350</v>
      </c>
      <c r="L105" s="2276">
        <v>2683971675</v>
      </c>
      <c r="M105" s="2276">
        <v>2683971675</v>
      </c>
      <c r="N105" s="2277">
        <v>5367943350</v>
      </c>
      <c r="O105" s="2276">
        <v>2683971675</v>
      </c>
      <c r="P105" s="2276">
        <v>0</v>
      </c>
      <c r="Q105" s="2277">
        <v>2683971675</v>
      </c>
      <c r="R105" s="2276">
        <v>0</v>
      </c>
      <c r="S105" s="2276">
        <v>0</v>
      </c>
      <c r="T105" s="2277">
        <v>0</v>
      </c>
      <c r="U105" s="2276">
        <v>0</v>
      </c>
      <c r="V105" s="2276">
        <v>0</v>
      </c>
      <c r="W105" s="2277">
        <v>0</v>
      </c>
      <c r="X105" s="2276">
        <v>0</v>
      </c>
      <c r="Y105" s="2276">
        <v>0</v>
      </c>
      <c r="Z105" s="2277">
        <v>0</v>
      </c>
      <c r="AA105" s="2276">
        <v>0</v>
      </c>
      <c r="AB105" s="2276">
        <v>0</v>
      </c>
      <c r="AC105" s="2277">
        <v>0</v>
      </c>
      <c r="AD105" s="2276">
        <v>0</v>
      </c>
      <c r="AE105" s="2276">
        <v>0</v>
      </c>
      <c r="AF105" s="2277">
        <v>0</v>
      </c>
      <c r="AG105" s="2276">
        <v>0</v>
      </c>
      <c r="AH105" s="2276">
        <v>0</v>
      </c>
      <c r="AI105" s="2277">
        <v>0</v>
      </c>
      <c r="AJ105" s="2276">
        <v>0</v>
      </c>
      <c r="AK105" s="2276">
        <v>0</v>
      </c>
      <c r="AL105" s="2277">
        <v>0</v>
      </c>
      <c r="AM105" s="2276">
        <v>0</v>
      </c>
      <c r="AN105" s="2276">
        <v>0</v>
      </c>
      <c r="AO105" s="2277">
        <v>0</v>
      </c>
      <c r="AP105" s="2276">
        <v>0</v>
      </c>
      <c r="AQ105" s="2276">
        <v>0</v>
      </c>
      <c r="AR105" s="2277">
        <v>0</v>
      </c>
    </row>
    <row r="106" spans="1:44" s="2283" customFormat="1" ht="13">
      <c r="A106" s="2275" t="s">
        <v>3450</v>
      </c>
      <c r="B106" s="2275" t="s">
        <v>3358</v>
      </c>
      <c r="C106" s="2276"/>
      <c r="D106" s="2276"/>
      <c r="E106" s="2276"/>
      <c r="F106" s="2276"/>
      <c r="G106" s="2276">
        <v>856875000</v>
      </c>
      <c r="H106" s="2277">
        <v>9749938500</v>
      </c>
      <c r="I106" s="2276">
        <v>4874969250</v>
      </c>
      <c r="J106" s="2276">
        <v>4874969250</v>
      </c>
      <c r="K106" s="2277">
        <v>9749938500</v>
      </c>
      <c r="L106" s="2276">
        <v>4874969250</v>
      </c>
      <c r="M106" s="2276">
        <v>4874969250</v>
      </c>
      <c r="N106" s="2277">
        <v>9749938500</v>
      </c>
      <c r="O106" s="2276">
        <v>4874969250</v>
      </c>
      <c r="P106" s="2276">
        <v>4874969250</v>
      </c>
      <c r="Q106" s="2277">
        <v>9749938500</v>
      </c>
      <c r="R106" s="2276">
        <v>4874969250</v>
      </c>
      <c r="S106" s="2276">
        <v>4874969250</v>
      </c>
      <c r="T106" s="2277">
        <v>9749938500</v>
      </c>
      <c r="U106" s="2276">
        <v>4874969250</v>
      </c>
      <c r="V106" s="2276">
        <v>4874969250</v>
      </c>
      <c r="W106" s="2277">
        <v>9749938500</v>
      </c>
      <c r="X106" s="2276">
        <v>4874969250</v>
      </c>
      <c r="Y106" s="2276">
        <v>0</v>
      </c>
      <c r="Z106" s="2277">
        <v>4874969250</v>
      </c>
      <c r="AA106" s="2276">
        <v>0</v>
      </c>
      <c r="AB106" s="2276">
        <v>0</v>
      </c>
      <c r="AC106" s="2277">
        <v>0</v>
      </c>
      <c r="AD106" s="2276">
        <v>0</v>
      </c>
      <c r="AE106" s="2276">
        <v>0</v>
      </c>
      <c r="AF106" s="2277">
        <v>0</v>
      </c>
      <c r="AG106" s="2276">
        <v>0</v>
      </c>
      <c r="AH106" s="2276">
        <v>0</v>
      </c>
      <c r="AI106" s="2277">
        <v>0</v>
      </c>
      <c r="AJ106" s="2276">
        <v>0</v>
      </c>
      <c r="AK106" s="2276">
        <v>0</v>
      </c>
      <c r="AL106" s="2277">
        <v>0</v>
      </c>
      <c r="AM106" s="2276">
        <v>0</v>
      </c>
      <c r="AN106" s="2276">
        <v>0</v>
      </c>
      <c r="AO106" s="2277">
        <v>0</v>
      </c>
      <c r="AP106" s="2276">
        <v>0</v>
      </c>
      <c r="AQ106" s="2276">
        <v>0</v>
      </c>
      <c r="AR106" s="2277">
        <v>0</v>
      </c>
    </row>
    <row r="107" spans="1:44" s="2283" customFormat="1" ht="13">
      <c r="A107" s="2275" t="s">
        <v>3451</v>
      </c>
      <c r="B107" s="2275" t="s">
        <v>3358</v>
      </c>
      <c r="C107" s="2276"/>
      <c r="D107" s="2276"/>
      <c r="E107" s="2276"/>
      <c r="F107" s="2276"/>
      <c r="G107" s="2276">
        <v>1593750000</v>
      </c>
      <c r="H107" s="2277">
        <v>7997500000</v>
      </c>
      <c r="I107" s="2276">
        <v>3998750000</v>
      </c>
      <c r="J107" s="2276">
        <v>3998750000</v>
      </c>
      <c r="K107" s="2277">
        <v>7997500000</v>
      </c>
      <c r="L107" s="2276">
        <v>3998750000</v>
      </c>
      <c r="M107" s="2276">
        <v>3998750000</v>
      </c>
      <c r="N107" s="2277">
        <v>7997500000</v>
      </c>
      <c r="O107" s="2276">
        <v>3998750000</v>
      </c>
      <c r="P107" s="2276">
        <v>3998750000</v>
      </c>
      <c r="Q107" s="2277">
        <v>7997500000</v>
      </c>
      <c r="R107" s="2276">
        <v>3998750000</v>
      </c>
      <c r="S107" s="2276">
        <v>3998750000</v>
      </c>
      <c r="T107" s="2277">
        <v>7997500000</v>
      </c>
      <c r="U107" s="2276">
        <v>3998750000</v>
      </c>
      <c r="V107" s="2276">
        <v>0</v>
      </c>
      <c r="W107" s="2277">
        <v>3998750000</v>
      </c>
      <c r="X107" s="2276">
        <v>0</v>
      </c>
      <c r="Y107" s="2276">
        <v>0</v>
      </c>
      <c r="Z107" s="2277">
        <v>0</v>
      </c>
      <c r="AA107" s="2276">
        <v>0</v>
      </c>
      <c r="AB107" s="2276">
        <v>0</v>
      </c>
      <c r="AC107" s="2277">
        <v>0</v>
      </c>
      <c r="AD107" s="2276">
        <v>0</v>
      </c>
      <c r="AE107" s="2276">
        <v>0</v>
      </c>
      <c r="AF107" s="2277">
        <v>0</v>
      </c>
      <c r="AG107" s="2276">
        <v>0</v>
      </c>
      <c r="AH107" s="2276">
        <v>0</v>
      </c>
      <c r="AI107" s="2277">
        <v>0</v>
      </c>
      <c r="AJ107" s="2276">
        <v>0</v>
      </c>
      <c r="AK107" s="2276">
        <v>0</v>
      </c>
      <c r="AL107" s="2277">
        <v>0</v>
      </c>
      <c r="AM107" s="2276">
        <v>0</v>
      </c>
      <c r="AN107" s="2276">
        <v>0</v>
      </c>
      <c r="AO107" s="2277">
        <v>0</v>
      </c>
      <c r="AP107" s="2276">
        <v>0</v>
      </c>
      <c r="AQ107" s="2276">
        <v>0</v>
      </c>
      <c r="AR107" s="2277">
        <v>0</v>
      </c>
    </row>
    <row r="108" spans="1:44" s="2283" customFormat="1" ht="13">
      <c r="A108" s="2275" t="s">
        <v>3457</v>
      </c>
      <c r="B108" s="2275" t="s">
        <v>3358</v>
      </c>
      <c r="C108" s="2276"/>
      <c r="D108" s="2276"/>
      <c r="E108" s="2276"/>
      <c r="F108" s="2276"/>
      <c r="G108" s="2276"/>
      <c r="H108" s="2277">
        <v>900000000</v>
      </c>
      <c r="I108" s="2276">
        <v>2435000000</v>
      </c>
      <c r="J108" s="2276">
        <v>2435000000</v>
      </c>
      <c r="K108" s="2277">
        <v>4870000000</v>
      </c>
      <c r="L108" s="2276">
        <v>2435000000</v>
      </c>
      <c r="M108" s="2276">
        <v>2435000000</v>
      </c>
      <c r="N108" s="2277">
        <v>4870000000</v>
      </c>
      <c r="O108" s="2276">
        <v>2435000000</v>
      </c>
      <c r="P108" s="2276">
        <v>2435000000</v>
      </c>
      <c r="Q108" s="2277">
        <v>4870000000</v>
      </c>
      <c r="R108" s="2276">
        <v>2435000000</v>
      </c>
      <c r="S108" s="2276">
        <v>2435000000</v>
      </c>
      <c r="T108" s="2277">
        <v>4870000000</v>
      </c>
      <c r="U108" s="2276">
        <v>2435000000</v>
      </c>
      <c r="V108" s="2276">
        <v>2435000000</v>
      </c>
      <c r="W108" s="2277">
        <v>4870000000</v>
      </c>
      <c r="X108" s="2276">
        <v>2435000000</v>
      </c>
      <c r="Y108" s="2276">
        <v>2435000000</v>
      </c>
      <c r="Z108" s="2277">
        <v>4870000000</v>
      </c>
      <c r="AA108" s="2276">
        <v>2435000000</v>
      </c>
      <c r="AB108" s="2276">
        <v>0</v>
      </c>
      <c r="AC108" s="2277">
        <v>2435000000</v>
      </c>
      <c r="AD108" s="2276">
        <v>0</v>
      </c>
      <c r="AE108" s="2276">
        <v>0</v>
      </c>
      <c r="AF108" s="2277">
        <v>0</v>
      </c>
      <c r="AG108" s="2276">
        <v>0</v>
      </c>
      <c r="AH108" s="2276">
        <v>0</v>
      </c>
      <c r="AI108" s="2277">
        <v>0</v>
      </c>
      <c r="AJ108" s="2276">
        <v>0</v>
      </c>
      <c r="AK108" s="2276">
        <v>0</v>
      </c>
      <c r="AL108" s="2277">
        <v>0</v>
      </c>
      <c r="AM108" s="2276">
        <v>0</v>
      </c>
      <c r="AN108" s="2276">
        <v>0</v>
      </c>
      <c r="AO108" s="2277">
        <v>0</v>
      </c>
      <c r="AP108" s="2276">
        <v>0</v>
      </c>
      <c r="AQ108" s="2276">
        <v>0</v>
      </c>
      <c r="AR108" s="2277">
        <v>0</v>
      </c>
    </row>
    <row r="109" spans="1:44" s="2283" customFormat="1" ht="13">
      <c r="A109" s="2275" t="s">
        <v>3452</v>
      </c>
      <c r="B109" s="2275" t="s">
        <v>3358</v>
      </c>
      <c r="C109" s="2276"/>
      <c r="D109" s="2276"/>
      <c r="E109" s="2276"/>
      <c r="F109" s="2276"/>
      <c r="G109" s="2276">
        <v>1356250000</v>
      </c>
      <c r="H109" s="2277">
        <v>6861000000</v>
      </c>
      <c r="I109" s="2276">
        <v>3430500000</v>
      </c>
      <c r="J109" s="2276">
        <v>3430500000</v>
      </c>
      <c r="K109" s="2277">
        <v>6861000000</v>
      </c>
      <c r="L109" s="2276">
        <v>3430500000</v>
      </c>
      <c r="M109" s="2276">
        <v>3430500000</v>
      </c>
      <c r="N109" s="2277">
        <v>6861000000</v>
      </c>
      <c r="O109" s="2276">
        <v>3430500000</v>
      </c>
      <c r="P109" s="2276">
        <v>3430500000</v>
      </c>
      <c r="Q109" s="2277">
        <v>6861000000</v>
      </c>
      <c r="R109" s="2276">
        <v>3430500000</v>
      </c>
      <c r="S109" s="2276">
        <v>0</v>
      </c>
      <c r="T109" s="2277">
        <v>3430500000</v>
      </c>
      <c r="U109" s="2276">
        <v>0</v>
      </c>
      <c r="V109" s="2276">
        <v>0</v>
      </c>
      <c r="W109" s="2277">
        <v>0</v>
      </c>
      <c r="X109" s="2276">
        <v>0</v>
      </c>
      <c r="Y109" s="2276">
        <v>0</v>
      </c>
      <c r="Z109" s="2277">
        <v>0</v>
      </c>
      <c r="AA109" s="2276">
        <v>0</v>
      </c>
      <c r="AB109" s="2276">
        <v>0</v>
      </c>
      <c r="AC109" s="2277">
        <v>0</v>
      </c>
      <c r="AD109" s="2276">
        <v>0</v>
      </c>
      <c r="AE109" s="2276">
        <v>0</v>
      </c>
      <c r="AF109" s="2277">
        <v>0</v>
      </c>
      <c r="AG109" s="2276">
        <v>0</v>
      </c>
      <c r="AH109" s="2276">
        <v>0</v>
      </c>
      <c r="AI109" s="2277">
        <v>0</v>
      </c>
      <c r="AJ109" s="2276">
        <v>0</v>
      </c>
      <c r="AK109" s="2276">
        <v>0</v>
      </c>
      <c r="AL109" s="2277">
        <v>0</v>
      </c>
      <c r="AM109" s="2276">
        <v>0</v>
      </c>
      <c r="AN109" s="2276">
        <v>0</v>
      </c>
      <c r="AO109" s="2277">
        <v>0</v>
      </c>
      <c r="AP109" s="2276">
        <v>0</v>
      </c>
      <c r="AQ109" s="2276">
        <v>0</v>
      </c>
      <c r="AR109" s="2277">
        <v>0</v>
      </c>
    </row>
    <row r="110" spans="1:44" s="2283" customFormat="1" ht="13">
      <c r="A110" s="2275" t="s">
        <v>3458</v>
      </c>
      <c r="B110" s="2275" t="s">
        <v>3358</v>
      </c>
      <c r="C110" s="2276"/>
      <c r="D110" s="2276"/>
      <c r="E110" s="2276"/>
      <c r="F110" s="2276"/>
      <c r="G110" s="2276"/>
      <c r="H110" s="2277">
        <v>0</v>
      </c>
      <c r="I110" s="2276">
        <v>664500000</v>
      </c>
      <c r="J110" s="2276">
        <v>1993500000</v>
      </c>
      <c r="K110" s="2277">
        <v>2658000000</v>
      </c>
      <c r="L110" s="2276">
        <v>1993500000</v>
      </c>
      <c r="M110" s="2276">
        <v>1993500000</v>
      </c>
      <c r="N110" s="2277">
        <v>3987000000</v>
      </c>
      <c r="O110" s="2276">
        <v>1993500000</v>
      </c>
      <c r="P110" s="2276">
        <v>1993500000</v>
      </c>
      <c r="Q110" s="2277">
        <v>3987000000</v>
      </c>
      <c r="R110" s="2276">
        <v>1993500000</v>
      </c>
      <c r="S110" s="2276">
        <v>1993500000</v>
      </c>
      <c r="T110" s="2277">
        <v>3987000000</v>
      </c>
      <c r="U110" s="2276">
        <v>1993500000</v>
      </c>
      <c r="V110" s="2276">
        <v>1993500000</v>
      </c>
      <c r="W110" s="2277">
        <v>3987000000</v>
      </c>
      <c r="X110" s="2276">
        <v>1993500000</v>
      </c>
      <c r="Y110" s="2276">
        <v>1993500000</v>
      </c>
      <c r="Z110" s="2277">
        <v>3987000000</v>
      </c>
      <c r="AA110" s="2276">
        <v>1993500000</v>
      </c>
      <c r="AB110" s="2276">
        <v>1993500000</v>
      </c>
      <c r="AC110" s="2277">
        <v>3987000000</v>
      </c>
      <c r="AD110" s="2276">
        <v>1993500000</v>
      </c>
      <c r="AE110" s="2276">
        <v>1993500000</v>
      </c>
      <c r="AF110" s="2277">
        <v>3987000000</v>
      </c>
      <c r="AG110" s="2276">
        <v>1993500000</v>
      </c>
      <c r="AH110" s="2276">
        <v>1993500000</v>
      </c>
      <c r="AI110" s="2277">
        <v>3987000000</v>
      </c>
      <c r="AJ110" s="2276">
        <v>1993500000</v>
      </c>
      <c r="AK110" s="2276">
        <v>1993500000</v>
      </c>
      <c r="AL110" s="2277">
        <v>3987000000</v>
      </c>
      <c r="AM110" s="2276">
        <v>1993500000</v>
      </c>
      <c r="AN110" s="2276">
        <v>1993500000</v>
      </c>
      <c r="AO110" s="2277">
        <v>3987000000</v>
      </c>
      <c r="AP110" s="2276">
        <v>1993500000</v>
      </c>
      <c r="AQ110" s="2276">
        <v>1993500000</v>
      </c>
      <c r="AR110" s="2277">
        <v>3987000000</v>
      </c>
    </row>
    <row r="111" spans="1:44" s="2283" customFormat="1" ht="13">
      <c r="A111" s="2275" t="s">
        <v>3459</v>
      </c>
      <c r="B111" s="2275" t="s">
        <v>3358</v>
      </c>
      <c r="C111" s="2276"/>
      <c r="D111" s="2276"/>
      <c r="E111" s="2276"/>
      <c r="F111" s="2276"/>
      <c r="G111" s="2276"/>
      <c r="H111" s="2277">
        <v>0</v>
      </c>
      <c r="I111" s="2276">
        <v>1200000000</v>
      </c>
      <c r="J111" s="2276">
        <v>1200000000</v>
      </c>
      <c r="K111" s="2277">
        <v>2400000000</v>
      </c>
      <c r="L111" s="2276">
        <v>1200000000</v>
      </c>
      <c r="M111" s="2276">
        <v>1200000000</v>
      </c>
      <c r="N111" s="2277">
        <v>2400000000</v>
      </c>
      <c r="O111" s="2276">
        <v>1200000000</v>
      </c>
      <c r="P111" s="2276">
        <v>1200000000</v>
      </c>
      <c r="Q111" s="2277">
        <v>2400000000</v>
      </c>
      <c r="R111" s="2276">
        <v>1200000000</v>
      </c>
      <c r="S111" s="2276">
        <v>1200000000</v>
      </c>
      <c r="T111" s="2277">
        <v>2400000000</v>
      </c>
      <c r="U111" s="2276">
        <v>1200000000</v>
      </c>
      <c r="V111" s="2276">
        <v>1200000000</v>
      </c>
      <c r="W111" s="2277">
        <v>2400000000</v>
      </c>
      <c r="X111" s="2276">
        <v>0</v>
      </c>
      <c r="Y111" s="2276">
        <v>0</v>
      </c>
      <c r="Z111" s="2277">
        <v>0</v>
      </c>
      <c r="AA111" s="2276">
        <v>0</v>
      </c>
      <c r="AB111" s="2276">
        <v>0</v>
      </c>
      <c r="AC111" s="2277">
        <v>0</v>
      </c>
      <c r="AD111" s="2276">
        <v>0</v>
      </c>
      <c r="AE111" s="2276">
        <v>0</v>
      </c>
      <c r="AF111" s="2277">
        <v>0</v>
      </c>
      <c r="AG111" s="2276">
        <v>0</v>
      </c>
      <c r="AH111" s="2276">
        <v>0</v>
      </c>
      <c r="AI111" s="2277">
        <v>0</v>
      </c>
      <c r="AJ111" s="2276">
        <v>0</v>
      </c>
      <c r="AK111" s="2276">
        <v>0</v>
      </c>
      <c r="AL111" s="2277">
        <v>0</v>
      </c>
      <c r="AM111" s="2276">
        <v>0</v>
      </c>
      <c r="AN111" s="2276">
        <v>0</v>
      </c>
      <c r="AO111" s="2277">
        <v>0</v>
      </c>
      <c r="AP111" s="2276">
        <v>0</v>
      </c>
      <c r="AQ111" s="2276">
        <v>0</v>
      </c>
      <c r="AR111" s="2277">
        <v>0</v>
      </c>
    </row>
    <row r="112" spans="1:44" s="2283" customFormat="1" ht="13">
      <c r="A112" s="2275" t="s">
        <v>3460</v>
      </c>
      <c r="B112" s="2275" t="s">
        <v>3358</v>
      </c>
      <c r="C112" s="2276"/>
      <c r="D112" s="2276"/>
      <c r="E112" s="2276"/>
      <c r="F112" s="2276"/>
      <c r="G112" s="2276"/>
      <c r="H112" s="2277">
        <v>0</v>
      </c>
      <c r="I112" s="2276">
        <v>1947450000</v>
      </c>
      <c r="J112" s="2276">
        <v>1947450000</v>
      </c>
      <c r="K112" s="2277">
        <v>3894900000</v>
      </c>
      <c r="L112" s="2276">
        <v>1947450000</v>
      </c>
      <c r="M112" s="2276">
        <v>1947450000</v>
      </c>
      <c r="N112" s="2277">
        <v>3894900000</v>
      </c>
      <c r="O112" s="2276">
        <v>1947450000</v>
      </c>
      <c r="P112" s="2276">
        <v>1947450000</v>
      </c>
      <c r="Q112" s="2277">
        <v>3894900000</v>
      </c>
      <c r="R112" s="2276">
        <v>1947450000</v>
      </c>
      <c r="S112" s="2276">
        <v>1947450000</v>
      </c>
      <c r="T112" s="2277">
        <v>3894900000</v>
      </c>
      <c r="U112" s="2276">
        <v>1947450000</v>
      </c>
      <c r="V112" s="2276">
        <v>1947450000</v>
      </c>
      <c r="W112" s="2277">
        <v>3894900000</v>
      </c>
      <c r="X112" s="2276">
        <v>1947450000</v>
      </c>
      <c r="Y112" s="2276">
        <v>1947450000</v>
      </c>
      <c r="Z112" s="2277">
        <v>3894900000</v>
      </c>
      <c r="AA112" s="2276">
        <v>1947450000</v>
      </c>
      <c r="AB112" s="2276">
        <v>1947450000</v>
      </c>
      <c r="AC112" s="2277">
        <v>3894900000</v>
      </c>
      <c r="AD112" s="2276">
        <v>1947450000</v>
      </c>
      <c r="AE112" s="2276">
        <v>1947450000</v>
      </c>
      <c r="AF112" s="2277">
        <v>3894900000</v>
      </c>
      <c r="AG112" s="2276">
        <v>1947450000</v>
      </c>
      <c r="AH112" s="2276">
        <v>1947450000</v>
      </c>
      <c r="AI112" s="2277">
        <v>3894900000</v>
      </c>
      <c r="AJ112" s="2276">
        <v>1947450000</v>
      </c>
      <c r="AK112" s="2276">
        <v>1947450000</v>
      </c>
      <c r="AL112" s="2277">
        <v>3894900000</v>
      </c>
      <c r="AM112" s="2276"/>
      <c r="AN112" s="2276"/>
      <c r="AO112" s="2277">
        <v>0</v>
      </c>
      <c r="AP112" s="2276"/>
      <c r="AQ112" s="2276"/>
      <c r="AR112" s="2277">
        <v>0</v>
      </c>
    </row>
    <row r="113" spans="1:44" s="2283" customFormat="1" ht="13">
      <c r="A113" s="2275" t="s">
        <v>3654</v>
      </c>
      <c r="B113" s="2275" t="s">
        <v>3358</v>
      </c>
      <c r="C113" s="2276"/>
      <c r="D113" s="2276"/>
      <c r="E113" s="2276"/>
      <c r="F113" s="2276"/>
      <c r="G113" s="2276"/>
      <c r="H113" s="2277"/>
      <c r="I113" s="2276">
        <v>0</v>
      </c>
      <c r="J113" s="2276">
        <v>1185000000</v>
      </c>
      <c r="K113" s="2277">
        <v>1185000000</v>
      </c>
      <c r="L113" s="2276">
        <v>1185000000</v>
      </c>
      <c r="M113" s="2276">
        <v>1185000000</v>
      </c>
      <c r="N113" s="2277">
        <v>2370000000</v>
      </c>
      <c r="O113" s="2276">
        <v>1185000000</v>
      </c>
      <c r="P113" s="2276">
        <v>1185000000</v>
      </c>
      <c r="Q113" s="2277">
        <v>2370000000</v>
      </c>
      <c r="R113" s="2276">
        <v>1185000000</v>
      </c>
      <c r="S113" s="2276">
        <v>1185000000</v>
      </c>
      <c r="T113" s="2277">
        <v>2370000000</v>
      </c>
      <c r="U113" s="2276">
        <v>1185000000</v>
      </c>
      <c r="V113" s="2276">
        <v>1185000000</v>
      </c>
      <c r="W113" s="2277">
        <v>2370000000</v>
      </c>
      <c r="X113" s="2276">
        <v>1185000000</v>
      </c>
      <c r="Y113" s="2276">
        <v>0</v>
      </c>
      <c r="Z113" s="2277">
        <v>1185000000</v>
      </c>
      <c r="AA113" s="2276">
        <v>0</v>
      </c>
      <c r="AB113" s="2276">
        <v>0</v>
      </c>
      <c r="AC113" s="2277">
        <v>0</v>
      </c>
      <c r="AD113" s="2276">
        <v>0</v>
      </c>
      <c r="AE113" s="2276">
        <v>0</v>
      </c>
      <c r="AF113" s="2277">
        <v>0</v>
      </c>
      <c r="AG113" s="2276">
        <v>0</v>
      </c>
      <c r="AH113" s="2276">
        <v>0</v>
      </c>
      <c r="AI113" s="2277">
        <v>0</v>
      </c>
      <c r="AJ113" s="2276">
        <v>0</v>
      </c>
      <c r="AK113" s="2276">
        <v>0</v>
      </c>
      <c r="AL113" s="2277">
        <v>0</v>
      </c>
      <c r="AM113" s="2276">
        <v>0</v>
      </c>
      <c r="AN113" s="2276">
        <v>0</v>
      </c>
      <c r="AO113" s="2277">
        <v>0</v>
      </c>
      <c r="AP113" s="2276">
        <v>0</v>
      </c>
      <c r="AQ113" s="2276">
        <v>0</v>
      </c>
      <c r="AR113" s="2277">
        <v>0</v>
      </c>
    </row>
    <row r="114" spans="1:44" s="2283" customFormat="1" ht="13">
      <c r="A114" s="2275" t="s">
        <v>3772</v>
      </c>
      <c r="B114" s="2275" t="s">
        <v>3358</v>
      </c>
      <c r="C114" s="2276"/>
      <c r="D114" s="2276"/>
      <c r="E114" s="2276"/>
      <c r="F114" s="2276"/>
      <c r="G114" s="2276"/>
      <c r="H114" s="2277"/>
      <c r="I114" s="2276">
        <v>0</v>
      </c>
      <c r="J114" s="2276">
        <v>1792500000</v>
      </c>
      <c r="K114" s="2277">
        <v>1792500000</v>
      </c>
      <c r="L114" s="2276">
        <v>1792500000</v>
      </c>
      <c r="M114" s="2276">
        <v>1792500000</v>
      </c>
      <c r="N114" s="2277">
        <v>3585000000</v>
      </c>
      <c r="O114" s="2276">
        <v>1792500000</v>
      </c>
      <c r="P114" s="2276">
        <v>1792500000</v>
      </c>
      <c r="Q114" s="2277">
        <v>3585000000</v>
      </c>
      <c r="R114" s="2276">
        <v>1792500000</v>
      </c>
      <c r="S114" s="2276">
        <v>1792500000</v>
      </c>
      <c r="T114" s="2277">
        <v>3585000000</v>
      </c>
      <c r="U114" s="2276">
        <v>1792500000</v>
      </c>
      <c r="V114" s="2276">
        <v>1792500000</v>
      </c>
      <c r="W114" s="2277">
        <v>3585000000</v>
      </c>
      <c r="X114" s="2276">
        <v>1792500000</v>
      </c>
      <c r="Y114" s="2276">
        <v>1792500000</v>
      </c>
      <c r="Z114" s="2277">
        <v>3585000000</v>
      </c>
      <c r="AA114" s="2276">
        <v>1792500000</v>
      </c>
      <c r="AB114" s="2276">
        <v>1792500000</v>
      </c>
      <c r="AC114" s="2277">
        <v>3585000000</v>
      </c>
      <c r="AD114" s="2276">
        <v>1792500000</v>
      </c>
      <c r="AE114" s="2276">
        <v>0</v>
      </c>
      <c r="AF114" s="2277">
        <v>1792500000</v>
      </c>
      <c r="AG114" s="2276"/>
      <c r="AH114" s="2276"/>
      <c r="AI114" s="2277">
        <v>0</v>
      </c>
      <c r="AJ114" s="2276"/>
      <c r="AK114" s="2276"/>
      <c r="AL114" s="2277">
        <v>0</v>
      </c>
      <c r="AM114" s="2276"/>
      <c r="AN114" s="2276"/>
      <c r="AO114" s="2277">
        <v>0</v>
      </c>
      <c r="AP114" s="2276"/>
      <c r="AQ114" s="2276"/>
      <c r="AR114" s="2277">
        <v>0</v>
      </c>
    </row>
    <row r="115" spans="1:44" s="2283" customFormat="1" ht="13">
      <c r="A115" s="2275" t="s">
        <v>3656</v>
      </c>
      <c r="B115" s="2275" t="s">
        <v>3358</v>
      </c>
      <c r="C115" s="2276"/>
      <c r="D115" s="2276"/>
      <c r="E115" s="2276"/>
      <c r="F115" s="2276"/>
      <c r="G115" s="2276"/>
      <c r="H115" s="2277"/>
      <c r="I115" s="2276">
        <v>0</v>
      </c>
      <c r="J115" s="2276">
        <v>1412500000</v>
      </c>
      <c r="K115" s="2277">
        <v>1412500000</v>
      </c>
      <c r="L115" s="2276">
        <v>1412500000</v>
      </c>
      <c r="M115" s="2276">
        <v>1412500000</v>
      </c>
      <c r="N115" s="2277">
        <v>2825000000</v>
      </c>
      <c r="O115" s="2276">
        <v>1412500000</v>
      </c>
      <c r="P115" s="2276">
        <v>1412500000</v>
      </c>
      <c r="Q115" s="2277">
        <v>2825000000</v>
      </c>
      <c r="R115" s="2276">
        <v>1412500000</v>
      </c>
      <c r="S115" s="2276">
        <v>0</v>
      </c>
      <c r="T115" s="2277">
        <v>1412500000</v>
      </c>
      <c r="U115" s="2276">
        <v>0</v>
      </c>
      <c r="V115" s="2276">
        <v>0</v>
      </c>
      <c r="W115" s="2277">
        <v>0</v>
      </c>
      <c r="X115" s="2276">
        <v>0</v>
      </c>
      <c r="Y115" s="2276">
        <v>0</v>
      </c>
      <c r="Z115" s="2277">
        <v>0</v>
      </c>
      <c r="AA115" s="2276">
        <v>0</v>
      </c>
      <c r="AB115" s="2276">
        <v>0</v>
      </c>
      <c r="AC115" s="2277">
        <v>0</v>
      </c>
      <c r="AD115" s="2276">
        <v>0</v>
      </c>
      <c r="AE115" s="2276">
        <v>0</v>
      </c>
      <c r="AF115" s="2277">
        <v>0</v>
      </c>
      <c r="AG115" s="2276">
        <v>0</v>
      </c>
      <c r="AH115" s="2276">
        <v>0</v>
      </c>
      <c r="AI115" s="2277">
        <v>0</v>
      </c>
      <c r="AJ115" s="2276">
        <v>0</v>
      </c>
      <c r="AK115" s="2276">
        <v>0</v>
      </c>
      <c r="AL115" s="2277">
        <v>0</v>
      </c>
      <c r="AM115" s="2276">
        <v>0</v>
      </c>
      <c r="AN115" s="2276">
        <v>0</v>
      </c>
      <c r="AO115" s="2277">
        <v>0</v>
      </c>
      <c r="AP115" s="2276">
        <v>0</v>
      </c>
      <c r="AQ115" s="2276">
        <v>0</v>
      </c>
      <c r="AR115" s="2277">
        <v>0</v>
      </c>
    </row>
    <row r="116" spans="1:44" s="2283" customFormat="1" ht="13">
      <c r="A116" s="2275" t="s">
        <v>3773</v>
      </c>
      <c r="B116" s="2275" t="s">
        <v>3358</v>
      </c>
      <c r="C116" s="2276"/>
      <c r="D116" s="2276"/>
      <c r="E116" s="2276"/>
      <c r="F116" s="2276"/>
      <c r="G116" s="2276"/>
      <c r="H116" s="2277"/>
      <c r="I116" s="2276">
        <v>0</v>
      </c>
      <c r="J116" s="2276">
        <v>663500000</v>
      </c>
      <c r="K116" s="2277">
        <v>663500000</v>
      </c>
      <c r="L116" s="2276">
        <v>663500000</v>
      </c>
      <c r="M116" s="2276">
        <v>663500000</v>
      </c>
      <c r="N116" s="2277">
        <v>1327000000</v>
      </c>
      <c r="O116" s="2276">
        <v>663500000</v>
      </c>
      <c r="P116" s="2276">
        <v>663500000</v>
      </c>
      <c r="Q116" s="2277">
        <v>1327000000</v>
      </c>
      <c r="R116" s="2276">
        <v>663500000</v>
      </c>
      <c r="S116" s="2276">
        <v>663500000</v>
      </c>
      <c r="T116" s="2277">
        <v>1327000000</v>
      </c>
      <c r="U116" s="2276">
        <v>663500000</v>
      </c>
      <c r="V116" s="2276">
        <v>663500000</v>
      </c>
      <c r="W116" s="2277">
        <v>1327000000</v>
      </c>
      <c r="X116" s="2276">
        <v>663500000</v>
      </c>
      <c r="Y116" s="2276">
        <v>663500000</v>
      </c>
      <c r="Z116" s="2277">
        <v>1327000000</v>
      </c>
      <c r="AA116" s="2276">
        <v>663500000</v>
      </c>
      <c r="AB116" s="2276">
        <v>663500000</v>
      </c>
      <c r="AC116" s="2277">
        <v>1327000000</v>
      </c>
      <c r="AD116" s="2276">
        <v>663500000</v>
      </c>
      <c r="AE116" s="2276">
        <v>663500000</v>
      </c>
      <c r="AF116" s="2277">
        <v>1327000000</v>
      </c>
      <c r="AG116" s="2276">
        <v>663500000</v>
      </c>
      <c r="AH116" s="2276">
        <v>663500000</v>
      </c>
      <c r="AI116" s="2277">
        <v>1327000000</v>
      </c>
      <c r="AJ116" s="2276">
        <v>663500000</v>
      </c>
      <c r="AK116" s="2276">
        <v>663500000</v>
      </c>
      <c r="AL116" s="2277">
        <v>1327000000</v>
      </c>
      <c r="AM116" s="2276">
        <v>663500000</v>
      </c>
      <c r="AN116" s="2276">
        <v>663500000</v>
      </c>
      <c r="AO116" s="2277">
        <v>1327000000</v>
      </c>
      <c r="AP116" s="2276">
        <v>663500000</v>
      </c>
      <c r="AQ116" s="2276">
        <v>663500000</v>
      </c>
      <c r="AR116" s="2277">
        <v>1327000000</v>
      </c>
    </row>
    <row r="117" spans="1:44" s="2283" customFormat="1" ht="13">
      <c r="A117" s="2275" t="s">
        <v>3774</v>
      </c>
      <c r="B117" s="2275" t="s">
        <v>3358</v>
      </c>
      <c r="C117" s="2276"/>
      <c r="D117" s="2276"/>
      <c r="E117" s="2276"/>
      <c r="F117" s="2276"/>
      <c r="G117" s="2276"/>
      <c r="H117" s="2277"/>
      <c r="I117" s="2276">
        <v>0</v>
      </c>
      <c r="J117" s="2276">
        <v>3247000000</v>
      </c>
      <c r="K117" s="2277">
        <v>3247000000</v>
      </c>
      <c r="L117" s="2276">
        <v>3247000000</v>
      </c>
      <c r="M117" s="2276">
        <v>3247000000</v>
      </c>
      <c r="N117" s="2277">
        <v>6494000000</v>
      </c>
      <c r="O117" s="2276">
        <v>3247000000</v>
      </c>
      <c r="P117" s="2276">
        <v>3247000000</v>
      </c>
      <c r="Q117" s="2277">
        <v>6494000000</v>
      </c>
      <c r="R117" s="2276">
        <v>3247000000</v>
      </c>
      <c r="S117" s="2276">
        <v>3247000000</v>
      </c>
      <c r="T117" s="2277">
        <v>6494000000</v>
      </c>
      <c r="U117" s="2276">
        <v>3247000000</v>
      </c>
      <c r="V117" s="2276">
        <v>3247000000</v>
      </c>
      <c r="W117" s="2277">
        <v>6494000000</v>
      </c>
      <c r="X117" s="2276">
        <v>3247000000</v>
      </c>
      <c r="Y117" s="2276">
        <v>3247000000</v>
      </c>
      <c r="Z117" s="2277">
        <v>6494000000</v>
      </c>
      <c r="AA117" s="2276">
        <v>3247000000</v>
      </c>
      <c r="AB117" s="2276">
        <v>3247000000</v>
      </c>
      <c r="AC117" s="2277">
        <v>6494000000</v>
      </c>
      <c r="AD117" s="2276">
        <v>3247000000</v>
      </c>
      <c r="AE117" s="2276">
        <v>3247000000</v>
      </c>
      <c r="AF117" s="2277">
        <v>6494000000</v>
      </c>
      <c r="AG117" s="2276">
        <v>3247000000</v>
      </c>
      <c r="AH117" s="2276">
        <v>3247000000</v>
      </c>
      <c r="AI117" s="2277">
        <v>6494000000</v>
      </c>
      <c r="AJ117" s="2276">
        <v>3247000000</v>
      </c>
      <c r="AK117" s="2276">
        <v>3247000000</v>
      </c>
      <c r="AL117" s="2277">
        <v>6494000000</v>
      </c>
      <c r="AM117" s="2276">
        <v>3247000000</v>
      </c>
      <c r="AN117" s="2276"/>
      <c r="AO117" s="2277">
        <v>3247000000</v>
      </c>
      <c r="AP117" s="2276"/>
      <c r="AQ117" s="2276"/>
      <c r="AR117" s="2277">
        <v>0</v>
      </c>
    </row>
    <row r="118" spans="1:44" s="2283" customFormat="1" ht="13">
      <c r="A118" s="2275" t="s">
        <v>3655</v>
      </c>
      <c r="B118" s="2275" t="s">
        <v>3358</v>
      </c>
      <c r="C118" s="2276"/>
      <c r="D118" s="2276"/>
      <c r="E118" s="2276"/>
      <c r="F118" s="2276"/>
      <c r="G118" s="2276"/>
      <c r="H118" s="2277"/>
      <c r="I118" s="2276">
        <v>0</v>
      </c>
      <c r="J118" s="2276">
        <v>3616250000</v>
      </c>
      <c r="K118" s="2277">
        <v>3616250000</v>
      </c>
      <c r="L118" s="2276">
        <v>4273750000</v>
      </c>
      <c r="M118" s="2276">
        <v>4273750000</v>
      </c>
      <c r="N118" s="2277">
        <v>8547500000</v>
      </c>
      <c r="O118" s="2276">
        <v>4273750000</v>
      </c>
      <c r="P118" s="2276">
        <v>4273750000</v>
      </c>
      <c r="Q118" s="2277">
        <v>8547500000</v>
      </c>
      <c r="R118" s="2276">
        <v>4273750000</v>
      </c>
      <c r="S118" s="2276">
        <v>4273750000</v>
      </c>
      <c r="T118" s="2277">
        <v>8547500000</v>
      </c>
      <c r="U118" s="2276">
        <v>4273750000</v>
      </c>
      <c r="V118" s="2276">
        <v>4273750000</v>
      </c>
      <c r="W118" s="2277">
        <v>8547500000</v>
      </c>
      <c r="X118" s="2276">
        <v>4273750000</v>
      </c>
      <c r="Y118" s="2276">
        <v>4273750000</v>
      </c>
      <c r="Z118" s="2277">
        <v>8547500000</v>
      </c>
      <c r="AA118" s="2276">
        <v>4273750000</v>
      </c>
      <c r="AB118" s="2276">
        <v>4273750000</v>
      </c>
      <c r="AC118" s="2277">
        <v>8547500000</v>
      </c>
      <c r="AD118" s="2276">
        <v>4273750000</v>
      </c>
      <c r="AE118" s="2276">
        <v>4273750000</v>
      </c>
      <c r="AF118" s="2277">
        <v>8547500000</v>
      </c>
      <c r="AG118" s="2276">
        <v>4273750000</v>
      </c>
      <c r="AH118" s="2276">
        <v>4273750000</v>
      </c>
      <c r="AI118" s="2277">
        <v>8547500000</v>
      </c>
      <c r="AJ118" s="2276">
        <v>4273750000</v>
      </c>
      <c r="AK118" s="2276">
        <v>4273750000</v>
      </c>
      <c r="AL118" s="2277">
        <v>8547500000</v>
      </c>
      <c r="AM118" s="2276">
        <v>4273750000</v>
      </c>
      <c r="AN118" s="2276">
        <v>4273750000</v>
      </c>
      <c r="AO118" s="2277">
        <v>8547500000</v>
      </c>
      <c r="AP118" s="2276">
        <v>4273750000</v>
      </c>
      <c r="AQ118" s="2276">
        <v>4273750000</v>
      </c>
      <c r="AR118" s="2277">
        <v>8547500000</v>
      </c>
    </row>
    <row r="119" spans="1:44" s="2283" customFormat="1" ht="13">
      <c r="A119" s="2275" t="s">
        <v>3775</v>
      </c>
      <c r="B119" s="2275" t="s">
        <v>3358</v>
      </c>
      <c r="C119" s="2276"/>
      <c r="D119" s="2276"/>
      <c r="E119" s="2276"/>
      <c r="F119" s="2276"/>
      <c r="G119" s="2276"/>
      <c r="H119" s="2277"/>
      <c r="I119" s="2276">
        <v>0</v>
      </c>
      <c r="J119" s="2276">
        <v>0</v>
      </c>
      <c r="K119" s="2277">
        <v>0</v>
      </c>
      <c r="L119" s="2276">
        <v>648500000</v>
      </c>
      <c r="M119" s="2276">
        <v>648500000</v>
      </c>
      <c r="N119" s="2277">
        <v>1297000000</v>
      </c>
      <c r="O119" s="2276">
        <v>648500000</v>
      </c>
      <c r="P119" s="2276">
        <v>648500000</v>
      </c>
      <c r="Q119" s="2277">
        <v>1297000000</v>
      </c>
      <c r="R119" s="2276">
        <v>648500000</v>
      </c>
      <c r="S119" s="2276">
        <v>648500000</v>
      </c>
      <c r="T119" s="2277">
        <v>1297000000</v>
      </c>
      <c r="U119" s="2276">
        <v>648500000</v>
      </c>
      <c r="V119" s="2276">
        <v>648500000</v>
      </c>
      <c r="W119" s="2277">
        <v>1297000000</v>
      </c>
      <c r="X119" s="2276">
        <v>648500000</v>
      </c>
      <c r="Y119" s="2276">
        <v>648500000</v>
      </c>
      <c r="Z119" s="2277">
        <v>1297000000</v>
      </c>
      <c r="AA119" s="2276">
        <v>648500000</v>
      </c>
      <c r="AB119" s="2276">
        <v>648500000</v>
      </c>
      <c r="AC119" s="2277">
        <v>1297000000</v>
      </c>
      <c r="AD119" s="2276">
        <v>648500000</v>
      </c>
      <c r="AE119" s="2276">
        <v>648500000</v>
      </c>
      <c r="AF119" s="2277">
        <v>1297000000</v>
      </c>
      <c r="AG119" s="2276">
        <v>648500000</v>
      </c>
      <c r="AH119" s="2276">
        <v>648500000</v>
      </c>
      <c r="AI119" s="2277">
        <v>1297000000</v>
      </c>
      <c r="AJ119" s="2276">
        <v>648500000</v>
      </c>
      <c r="AK119" s="2276">
        <v>648500000</v>
      </c>
      <c r="AL119" s="2277">
        <v>1297000000</v>
      </c>
      <c r="AM119" s="2276">
        <v>648500000</v>
      </c>
      <c r="AN119" s="2276">
        <v>648500000</v>
      </c>
      <c r="AO119" s="2277">
        <v>1297000000</v>
      </c>
      <c r="AP119" s="2276"/>
      <c r="AQ119" s="2276"/>
      <c r="AR119" s="2277">
        <v>0</v>
      </c>
    </row>
    <row r="120" spans="1:44" s="2283" customFormat="1" ht="13">
      <c r="A120" s="2275" t="s">
        <v>3657</v>
      </c>
      <c r="B120" s="2275" t="s">
        <v>3358</v>
      </c>
      <c r="C120" s="2276"/>
      <c r="D120" s="2276"/>
      <c r="E120" s="2276"/>
      <c r="F120" s="2276"/>
      <c r="G120" s="2276"/>
      <c r="H120" s="2277"/>
      <c r="I120" s="2276">
        <v>0</v>
      </c>
      <c r="J120" s="2276">
        <v>0</v>
      </c>
      <c r="K120" s="2277">
        <v>0</v>
      </c>
      <c r="L120" s="2276">
        <v>592500000</v>
      </c>
      <c r="M120" s="2276">
        <v>592500000</v>
      </c>
      <c r="N120" s="2277">
        <v>1185000000</v>
      </c>
      <c r="O120" s="2276">
        <v>592500000</v>
      </c>
      <c r="P120" s="2276">
        <v>592500000</v>
      </c>
      <c r="Q120" s="2277">
        <v>1185000000</v>
      </c>
      <c r="R120" s="2276">
        <v>592500000</v>
      </c>
      <c r="S120" s="2276">
        <v>592500000</v>
      </c>
      <c r="T120" s="2277">
        <v>1185000000</v>
      </c>
      <c r="U120" s="2276">
        <v>592500000</v>
      </c>
      <c r="V120" s="2276">
        <v>592500000</v>
      </c>
      <c r="W120" s="2277">
        <v>1185000000</v>
      </c>
      <c r="X120" s="2276">
        <v>592500000</v>
      </c>
      <c r="Y120" s="2276">
        <v>592500000</v>
      </c>
      <c r="Z120" s="2277">
        <v>1185000000</v>
      </c>
      <c r="AA120" s="2276"/>
      <c r="AB120" s="2276"/>
      <c r="AC120" s="2277">
        <v>0</v>
      </c>
      <c r="AD120" s="2276"/>
      <c r="AE120" s="2276"/>
      <c r="AF120" s="2277">
        <v>0</v>
      </c>
      <c r="AG120" s="2276"/>
      <c r="AH120" s="2276"/>
      <c r="AI120" s="2277">
        <v>0</v>
      </c>
      <c r="AJ120" s="2276"/>
      <c r="AK120" s="2276"/>
      <c r="AL120" s="2277">
        <v>0</v>
      </c>
      <c r="AM120" s="2276"/>
      <c r="AN120" s="2276"/>
      <c r="AO120" s="2277">
        <v>0</v>
      </c>
      <c r="AP120" s="2276"/>
      <c r="AQ120" s="2276"/>
      <c r="AR120" s="2277">
        <v>0</v>
      </c>
    </row>
    <row r="121" spans="1:44">
      <c r="A121" s="2267" t="s">
        <v>3464</v>
      </c>
      <c r="B121" s="2267" t="s">
        <v>3358</v>
      </c>
      <c r="C121" s="2276"/>
      <c r="D121" s="2276"/>
      <c r="E121" s="2266">
        <v>25486803750</v>
      </c>
      <c r="F121" s="2266">
        <v>6755000000.0000038</v>
      </c>
      <c r="G121" s="2266">
        <v>42321184000</v>
      </c>
      <c r="H121" s="2272"/>
      <c r="I121" s="2266"/>
      <c r="J121" s="2266"/>
      <c r="K121" s="2272">
        <f>SUM(I121:J121)</f>
        <v>0</v>
      </c>
      <c r="L121" s="2266">
        <v>8868000000</v>
      </c>
      <c r="M121" s="2266">
        <v>5912000000</v>
      </c>
      <c r="N121" s="2272">
        <f t="shared" ref="N121:N125" si="5">SUM(L121:M121)</f>
        <v>14780000000</v>
      </c>
      <c r="O121" s="2266">
        <v>9300000000</v>
      </c>
      <c r="P121" s="2266">
        <v>6200000000</v>
      </c>
      <c r="Q121" s="2272">
        <f t="shared" ref="Q121:Q125" si="6">SUM(O121:P121)</f>
        <v>15500000000</v>
      </c>
      <c r="R121" s="2266">
        <v>9300000000</v>
      </c>
      <c r="S121" s="2266">
        <v>6200000000</v>
      </c>
      <c r="T121" s="2272">
        <f t="shared" ref="T121:T126" si="7">SUM(R121:S121)</f>
        <v>15500000000</v>
      </c>
      <c r="U121" s="2266">
        <v>9300000000</v>
      </c>
      <c r="V121" s="2266">
        <v>6200000000</v>
      </c>
      <c r="W121" s="2272">
        <f t="shared" ref="W121:W125" si="8">SUM(U121:V121)</f>
        <v>15500000000</v>
      </c>
      <c r="X121" s="2266">
        <v>9300000000</v>
      </c>
      <c r="Y121" s="2266">
        <v>6200000000</v>
      </c>
      <c r="Z121" s="2272">
        <f t="shared" ref="Z121:Z125" si="9">SUM(X121:Y121)</f>
        <v>15500000000</v>
      </c>
      <c r="AA121" s="2266">
        <v>9300000000</v>
      </c>
      <c r="AB121" s="2266">
        <v>6200000000</v>
      </c>
      <c r="AC121" s="2272">
        <f t="shared" ref="AC121:AC125" si="10">SUM(AA121:AB121)</f>
        <v>15500000000</v>
      </c>
      <c r="AD121" s="2266">
        <v>9300000000</v>
      </c>
      <c r="AE121" s="2266">
        <v>6200000000</v>
      </c>
      <c r="AF121" s="2272">
        <f t="shared" ref="AF121" si="11">SUM(AD121:AE121)</f>
        <v>15500000000</v>
      </c>
      <c r="AG121" s="2266">
        <v>9300000000</v>
      </c>
      <c r="AH121" s="2266">
        <v>6200000000</v>
      </c>
      <c r="AI121" s="2272">
        <f t="shared" ref="AI121" si="12">SUM(AG121:AH121)</f>
        <v>15500000000</v>
      </c>
      <c r="AJ121" s="2266">
        <v>9300000000</v>
      </c>
      <c r="AK121" s="2266">
        <v>6200000000</v>
      </c>
      <c r="AL121" s="2272">
        <f t="shared" ref="AL121" si="13">SUM(AJ121:AK121)</f>
        <v>15500000000</v>
      </c>
      <c r="AM121" s="2266">
        <v>9300000000</v>
      </c>
      <c r="AN121" s="2266">
        <v>6200000000</v>
      </c>
      <c r="AO121" s="2272">
        <f t="shared" ref="AO121" si="14">SUM(AM121:AN121)</f>
        <v>15500000000</v>
      </c>
      <c r="AP121" s="2266">
        <v>9300000000</v>
      </c>
      <c r="AQ121" s="2266">
        <v>6200000000</v>
      </c>
      <c r="AR121" s="2272">
        <f t="shared" ref="AR121" si="15">SUM(AP121:AQ121)</f>
        <v>15500000000</v>
      </c>
    </row>
    <row r="122" spans="1:44" ht="26.5">
      <c r="A122" s="2267" t="s">
        <v>3465</v>
      </c>
      <c r="B122" s="2267" t="s">
        <v>3358</v>
      </c>
      <c r="C122" s="2276"/>
      <c r="D122" s="2276"/>
      <c r="E122" s="2266">
        <v>21042723682.165382</v>
      </c>
      <c r="F122" s="2266">
        <v>2672000000</v>
      </c>
      <c r="G122" s="2266" t="e">
        <v>#REF!</v>
      </c>
      <c r="H122" s="2272">
        <f>H123+H124</f>
        <v>39933912826.884598</v>
      </c>
      <c r="I122" s="2266">
        <f>I123+I124</f>
        <v>21770068603.038452</v>
      </c>
      <c r="J122" s="2266">
        <f>J123+J124</f>
        <v>25439477176</v>
      </c>
      <c r="K122" s="2272">
        <f>SUM(I122:J122)</f>
        <v>47209545779.038452</v>
      </c>
      <c r="L122" s="2266">
        <f>L123+L124</f>
        <v>23021184000</v>
      </c>
      <c r="M122" s="2266">
        <f t="shared" ref="M122:V122" si="16">M123+M124</f>
        <v>15347456000</v>
      </c>
      <c r="N122" s="2272">
        <f t="shared" si="5"/>
        <v>38368640000</v>
      </c>
      <c r="O122" s="2266">
        <f t="shared" si="16"/>
        <v>25301184000</v>
      </c>
      <c r="P122" s="2266">
        <f t="shared" si="16"/>
        <v>16867456000</v>
      </c>
      <c r="Q122" s="2272">
        <f t="shared" si="6"/>
        <v>42168640000</v>
      </c>
      <c r="R122" s="2266">
        <f t="shared" si="16"/>
        <v>28781184000</v>
      </c>
      <c r="S122" s="2266">
        <f t="shared" si="16"/>
        <v>19187456000</v>
      </c>
      <c r="T122" s="2272">
        <f t="shared" si="7"/>
        <v>47968640000</v>
      </c>
      <c r="U122" s="2266">
        <f>U123+U124</f>
        <v>31661184000</v>
      </c>
      <c r="V122" s="2266">
        <f t="shared" si="16"/>
        <v>21107456000</v>
      </c>
      <c r="W122" s="2272">
        <f t="shared" si="8"/>
        <v>52768640000</v>
      </c>
      <c r="X122" s="2266">
        <f>X123+X124</f>
        <v>34541184000</v>
      </c>
      <c r="Y122" s="2266">
        <f>Y123+Y124</f>
        <v>23027456000</v>
      </c>
      <c r="Z122" s="2272">
        <f t="shared" si="9"/>
        <v>57568640000</v>
      </c>
      <c r="AA122" s="2266">
        <f>AA123+AA124</f>
        <v>37421184000</v>
      </c>
      <c r="AB122" s="2266">
        <f>AB123+AB124</f>
        <v>24947456000</v>
      </c>
      <c r="AC122" s="2272">
        <f>SUM(AA122:AB122)</f>
        <v>62368640000</v>
      </c>
      <c r="AD122" s="2266">
        <f>AD123+AD124</f>
        <v>40301184000</v>
      </c>
      <c r="AE122" s="2266">
        <f>AE123+AE124</f>
        <v>26867456000</v>
      </c>
      <c r="AF122" s="2272">
        <f>SUM(AD122:AE122)</f>
        <v>67168640000</v>
      </c>
      <c r="AG122" s="2266">
        <f>AG123+AG124</f>
        <v>43181184000</v>
      </c>
      <c r="AH122" s="2266">
        <f>AH123+AH124</f>
        <v>28787456000</v>
      </c>
      <c r="AI122" s="2272">
        <f>SUM(AG122:AH122)</f>
        <v>71968640000</v>
      </c>
      <c r="AJ122" s="2266">
        <f>AJ123+AJ124</f>
        <v>46061184000</v>
      </c>
      <c r="AK122" s="2266">
        <f>AK123+AK124</f>
        <v>30707456000</v>
      </c>
      <c r="AL122" s="2272">
        <f>SUM(AJ122:AK122)</f>
        <v>76768640000</v>
      </c>
      <c r="AM122" s="2266">
        <f>AM123+AM124</f>
        <v>48941184000</v>
      </c>
      <c r="AN122" s="2266">
        <f>AN123+AN124</f>
        <v>32627456000</v>
      </c>
      <c r="AO122" s="2272">
        <f>SUM(AM122:AN122)</f>
        <v>81568640000</v>
      </c>
      <c r="AP122" s="2266">
        <f>AP123+AP124</f>
        <v>51821184000</v>
      </c>
      <c r="AQ122" s="2266">
        <f>AQ123+AQ124</f>
        <v>34547456000</v>
      </c>
      <c r="AR122" s="2272">
        <f>SUM(AP122:AQ122)</f>
        <v>86368640000</v>
      </c>
    </row>
    <row r="123" spans="1:44">
      <c r="A123" s="2287" t="s">
        <v>3466</v>
      </c>
      <c r="B123" s="2282" t="s">
        <v>3462</v>
      </c>
      <c r="C123" s="2276"/>
      <c r="D123" s="2276"/>
      <c r="E123" s="2266"/>
      <c r="F123" s="2266"/>
      <c r="G123" s="2266"/>
      <c r="H123" s="2285">
        <v>31588548526.884602</v>
      </c>
      <c r="I123" s="2286">
        <v>19855677281</v>
      </c>
      <c r="J123" s="2286">
        <v>22310498214</v>
      </c>
      <c r="K123" s="2285">
        <f>SUM(I123:J123)</f>
        <v>42166175495</v>
      </c>
      <c r="L123" s="2286">
        <v>20141184000</v>
      </c>
      <c r="M123" s="2286">
        <v>13427456000</v>
      </c>
      <c r="N123" s="2285">
        <f t="shared" si="5"/>
        <v>33568640000</v>
      </c>
      <c r="O123" s="2286">
        <v>22421184000</v>
      </c>
      <c r="P123" s="2286">
        <v>14947456000</v>
      </c>
      <c r="Q123" s="2285">
        <f t="shared" si="6"/>
        <v>37368640000</v>
      </c>
      <c r="R123" s="2286">
        <v>25901184000</v>
      </c>
      <c r="S123" s="2286">
        <v>17267456000</v>
      </c>
      <c r="T123" s="2285">
        <f t="shared" si="7"/>
        <v>43168640000</v>
      </c>
      <c r="U123" s="2286">
        <v>28781184000</v>
      </c>
      <c r="V123" s="2286">
        <v>19187456000</v>
      </c>
      <c r="W123" s="2285">
        <f t="shared" si="8"/>
        <v>47968640000</v>
      </c>
      <c r="X123" s="2286">
        <v>31661184000</v>
      </c>
      <c r="Y123" s="2286">
        <v>21107456000</v>
      </c>
      <c r="Z123" s="2285">
        <f t="shared" si="9"/>
        <v>52768640000</v>
      </c>
      <c r="AA123" s="2286">
        <v>34541184000</v>
      </c>
      <c r="AB123" s="2286">
        <v>23027456000</v>
      </c>
      <c r="AC123" s="2285">
        <f t="shared" si="10"/>
        <v>57568640000</v>
      </c>
      <c r="AD123" s="2286">
        <v>37421184000</v>
      </c>
      <c r="AE123" s="2286">
        <v>24947456000</v>
      </c>
      <c r="AF123" s="2285">
        <f t="shared" ref="AF123:AF125" si="17">SUM(AD123:AE123)</f>
        <v>62368640000</v>
      </c>
      <c r="AG123" s="2286">
        <v>40301184000</v>
      </c>
      <c r="AH123" s="2286">
        <v>26867456000</v>
      </c>
      <c r="AI123" s="2285">
        <f t="shared" ref="AI123:AI125" si="18">SUM(AG123:AH123)</f>
        <v>67168640000</v>
      </c>
      <c r="AJ123" s="2286">
        <v>43181184000</v>
      </c>
      <c r="AK123" s="2286">
        <v>28787456000</v>
      </c>
      <c r="AL123" s="2285">
        <f t="shared" ref="AL123:AL125" si="19">SUM(AJ123:AK123)</f>
        <v>71968640000</v>
      </c>
      <c r="AM123" s="2286">
        <v>46061184000</v>
      </c>
      <c r="AN123" s="2286">
        <v>30707456000</v>
      </c>
      <c r="AO123" s="2285">
        <f t="shared" ref="AO123:AO125" si="20">SUM(AM123:AN123)</f>
        <v>76768640000</v>
      </c>
      <c r="AP123" s="2286">
        <v>48941184000</v>
      </c>
      <c r="AQ123" s="2286">
        <v>32627456000</v>
      </c>
      <c r="AR123" s="2285">
        <f t="shared" ref="AR123:AR125" si="21">SUM(AP123:AQ123)</f>
        <v>81568640000</v>
      </c>
    </row>
    <row r="124" spans="1:44">
      <c r="A124" s="2287" t="s">
        <v>3467</v>
      </c>
      <c r="B124" s="2282" t="s">
        <v>3462</v>
      </c>
      <c r="C124" s="2276"/>
      <c r="D124" s="2276"/>
      <c r="E124" s="2266">
        <v>0</v>
      </c>
      <c r="F124" s="2266">
        <v>2672000000</v>
      </c>
      <c r="G124" s="2266">
        <v>25321385424.30769</v>
      </c>
      <c r="H124" s="2285">
        <v>8345364299.9999981</v>
      </c>
      <c r="I124" s="2286">
        <v>1914391322.0384521</v>
      </c>
      <c r="J124" s="2286">
        <v>3128978962</v>
      </c>
      <c r="K124" s="2285">
        <f t="shared" ref="K124:K125" si="22">SUM(I124:J124)</f>
        <v>5043370284.0384521</v>
      </c>
      <c r="L124" s="2286">
        <v>2880000000</v>
      </c>
      <c r="M124" s="2286">
        <v>1920000000</v>
      </c>
      <c r="N124" s="2285">
        <f>SUM(L124:M124)</f>
        <v>4800000000</v>
      </c>
      <c r="O124" s="2286">
        <v>2880000000</v>
      </c>
      <c r="P124" s="2286">
        <v>1920000000</v>
      </c>
      <c r="Q124" s="2285">
        <f t="shared" si="6"/>
        <v>4800000000</v>
      </c>
      <c r="R124" s="2286">
        <v>2880000000</v>
      </c>
      <c r="S124" s="2286">
        <v>1920000000</v>
      </c>
      <c r="T124" s="2285">
        <f t="shared" si="7"/>
        <v>4800000000</v>
      </c>
      <c r="U124" s="2286">
        <v>2880000000</v>
      </c>
      <c r="V124" s="2286">
        <v>1920000000</v>
      </c>
      <c r="W124" s="2285">
        <f t="shared" si="8"/>
        <v>4800000000</v>
      </c>
      <c r="X124" s="2286">
        <v>2880000000</v>
      </c>
      <c r="Y124" s="2286">
        <v>1920000000</v>
      </c>
      <c r="Z124" s="2285">
        <f t="shared" si="9"/>
        <v>4800000000</v>
      </c>
      <c r="AA124" s="2286">
        <v>2880000000</v>
      </c>
      <c r="AB124" s="2286">
        <v>1920000000</v>
      </c>
      <c r="AC124" s="2285">
        <f t="shared" si="10"/>
        <v>4800000000</v>
      </c>
      <c r="AD124" s="2286">
        <v>2880000000</v>
      </c>
      <c r="AE124" s="2286">
        <v>1920000000</v>
      </c>
      <c r="AF124" s="2285">
        <f t="shared" si="17"/>
        <v>4800000000</v>
      </c>
      <c r="AG124" s="2286">
        <v>2880000000</v>
      </c>
      <c r="AH124" s="2286">
        <v>1920000000</v>
      </c>
      <c r="AI124" s="2285">
        <f t="shared" si="18"/>
        <v>4800000000</v>
      </c>
      <c r="AJ124" s="2286">
        <v>2880000000</v>
      </c>
      <c r="AK124" s="2286">
        <v>1920000000</v>
      </c>
      <c r="AL124" s="2285">
        <f t="shared" si="19"/>
        <v>4800000000</v>
      </c>
      <c r="AM124" s="2286">
        <v>2880000000</v>
      </c>
      <c r="AN124" s="2286">
        <v>1920000000</v>
      </c>
      <c r="AO124" s="2285">
        <f t="shared" si="20"/>
        <v>4800000000</v>
      </c>
      <c r="AP124" s="2286">
        <v>2880000000</v>
      </c>
      <c r="AQ124" s="2286">
        <v>1920000000</v>
      </c>
      <c r="AR124" s="2285">
        <f t="shared" si="21"/>
        <v>4800000000</v>
      </c>
    </row>
    <row r="125" spans="1:44" s="715" customFormat="1">
      <c r="A125" s="2267" t="s">
        <v>3468</v>
      </c>
      <c r="B125" s="2267" t="s">
        <v>3462</v>
      </c>
      <c r="C125" s="2266"/>
      <c r="D125" s="2266"/>
      <c r="E125" s="2266" t="e">
        <v>#REF!</v>
      </c>
      <c r="F125" s="2266" t="e">
        <v>#REF!</v>
      </c>
      <c r="G125" s="2266" t="e">
        <v>#REF!</v>
      </c>
      <c r="H125" s="2272">
        <v>3000000000</v>
      </c>
      <c r="I125" s="2266">
        <v>1000000000</v>
      </c>
      <c r="J125" s="2266">
        <v>1000000000</v>
      </c>
      <c r="K125" s="2272">
        <f t="shared" si="22"/>
        <v>2000000000</v>
      </c>
      <c r="L125" s="2266">
        <v>1000000000</v>
      </c>
      <c r="M125" s="2266">
        <v>1000000000</v>
      </c>
      <c r="N125" s="2272">
        <f t="shared" si="5"/>
        <v>2000000000</v>
      </c>
      <c r="O125" s="2266">
        <v>1000000000</v>
      </c>
      <c r="P125" s="2266">
        <v>1000000000</v>
      </c>
      <c r="Q125" s="2272">
        <f t="shared" si="6"/>
        <v>2000000000</v>
      </c>
      <c r="R125" s="2266">
        <v>1000000000</v>
      </c>
      <c r="S125" s="2266">
        <v>1000000000</v>
      </c>
      <c r="T125" s="2272">
        <f t="shared" si="7"/>
        <v>2000000000</v>
      </c>
      <c r="U125" s="2266">
        <v>1000000000</v>
      </c>
      <c r="V125" s="2266">
        <v>1000000000</v>
      </c>
      <c r="W125" s="2272">
        <f t="shared" si="8"/>
        <v>2000000000</v>
      </c>
      <c r="X125" s="2266">
        <v>1000000000</v>
      </c>
      <c r="Y125" s="2266">
        <v>1000000000</v>
      </c>
      <c r="Z125" s="2272">
        <f t="shared" si="9"/>
        <v>2000000000</v>
      </c>
      <c r="AA125" s="2266">
        <v>1000000000</v>
      </c>
      <c r="AB125" s="2266">
        <v>1000000000</v>
      </c>
      <c r="AC125" s="2272">
        <f t="shared" si="10"/>
        <v>2000000000</v>
      </c>
      <c r="AD125" s="2266">
        <v>1000000000</v>
      </c>
      <c r="AE125" s="2266">
        <v>1000000000</v>
      </c>
      <c r="AF125" s="2272">
        <f t="shared" si="17"/>
        <v>2000000000</v>
      </c>
      <c r="AG125" s="2266">
        <v>1000000000</v>
      </c>
      <c r="AH125" s="2266">
        <v>1000000000</v>
      </c>
      <c r="AI125" s="2272">
        <f t="shared" si="18"/>
        <v>2000000000</v>
      </c>
      <c r="AJ125" s="2266">
        <v>1000000000</v>
      </c>
      <c r="AK125" s="2266">
        <v>1000000000</v>
      </c>
      <c r="AL125" s="2272">
        <f t="shared" si="19"/>
        <v>2000000000</v>
      </c>
      <c r="AM125" s="2266">
        <v>1000000000</v>
      </c>
      <c r="AN125" s="2266">
        <v>1000000000</v>
      </c>
      <c r="AO125" s="2272">
        <f t="shared" si="20"/>
        <v>2000000000</v>
      </c>
      <c r="AP125" s="2266">
        <v>1000000000</v>
      </c>
      <c r="AQ125" s="2266">
        <v>1000000000</v>
      </c>
      <c r="AR125" s="2272">
        <f t="shared" si="21"/>
        <v>2000000000</v>
      </c>
    </row>
    <row r="126" spans="1:44">
      <c r="A126" s="2287" t="s">
        <v>3600</v>
      </c>
      <c r="B126" s="2287" t="s">
        <v>3462</v>
      </c>
      <c r="C126" s="2281">
        <f>SUM(C73:C96)</f>
        <v>26897500000</v>
      </c>
      <c r="D126" s="2281">
        <f>SUM(D73:D96)</f>
        <v>26451875000</v>
      </c>
      <c r="E126" s="2281">
        <v>35140209664</v>
      </c>
      <c r="F126" s="2281">
        <f>SUM(F73:F103)</f>
        <v>102706309994</v>
      </c>
      <c r="G126" s="2281">
        <f>SUM(G73:G121)</f>
        <v>180209181450</v>
      </c>
      <c r="H126" s="2277">
        <f>SUM(H73:H112)</f>
        <v>183737937782.5</v>
      </c>
      <c r="I126" s="2281">
        <f>SUM(I73:I120)</f>
        <v>94942913977</v>
      </c>
      <c r="J126" s="2281">
        <f>SUM(J73:J120)</f>
        <v>105084913977</v>
      </c>
      <c r="K126" s="2277">
        <f>SUM(I126:J126)</f>
        <v>200027827954</v>
      </c>
      <c r="L126" s="2281">
        <f>SUM(L73:L120)</f>
        <v>106337163977</v>
      </c>
      <c r="M126" s="2281">
        <f>SUM(M73:M120)</f>
        <v>103030538977</v>
      </c>
      <c r="N126" s="2277">
        <f>SUM(L126:M126)</f>
        <v>209367702954</v>
      </c>
      <c r="O126" s="2281">
        <f>SUM(O73:O120)</f>
        <v>99285484152</v>
      </c>
      <c r="P126" s="2281">
        <f>SUM(P73:P120)</f>
        <v>95681938830</v>
      </c>
      <c r="Q126" s="2277">
        <f>SUM(O126:P126)</f>
        <v>194967422982</v>
      </c>
      <c r="R126" s="2281">
        <f>SUM(R73:R120)</f>
        <v>94501116330</v>
      </c>
      <c r="S126" s="2281">
        <f>SUM(S73:S120)</f>
        <v>89658116330</v>
      </c>
      <c r="T126" s="2277">
        <f t="shared" si="7"/>
        <v>184159232660</v>
      </c>
      <c r="U126" s="2281">
        <f>SUM(U73:U120)</f>
        <v>85807475970</v>
      </c>
      <c r="V126" s="2281">
        <f>SUM(V73:V120)</f>
        <v>81808725970</v>
      </c>
      <c r="W126" s="2277">
        <f>SUM(U126:V126)</f>
        <v>167616201940</v>
      </c>
      <c r="X126" s="2281">
        <f>SUM(X73:X120)</f>
        <v>80608725970</v>
      </c>
      <c r="Y126" s="2281">
        <f>SUM(Y73:Y120)</f>
        <v>74548756720</v>
      </c>
      <c r="Z126" s="2277">
        <f>SUM(X126:Y126)</f>
        <v>155157482690</v>
      </c>
      <c r="AA126" s="2281">
        <f>SUM(AA73:AA120)</f>
        <v>72133756720</v>
      </c>
      <c r="AB126" s="2281">
        <f>SUM(AB73:AB120)</f>
        <v>69698756720</v>
      </c>
      <c r="AC126" s="2277">
        <f>SUM(AA126:AB126)</f>
        <v>141832513440</v>
      </c>
      <c r="AD126" s="2281">
        <f>SUM(AD73:AD120)</f>
        <v>63111926720</v>
      </c>
      <c r="AE126" s="2281">
        <f>SUM(AE73:AE120)</f>
        <v>61319426720</v>
      </c>
      <c r="AF126" s="2277">
        <f>SUM(AD126:AE126)</f>
        <v>124431353440</v>
      </c>
      <c r="AG126" s="2281">
        <f>SUM(AG73:AG120)</f>
        <v>54078470195</v>
      </c>
      <c r="AH126" s="2281">
        <f>SUM(AH73:AH120)</f>
        <v>54078470195</v>
      </c>
      <c r="AI126" s="2277">
        <f>SUM(AG126:AH126)</f>
        <v>108156940390</v>
      </c>
      <c r="AJ126" s="2281">
        <f>SUM(AJ73:AJ120)</f>
        <v>51999309875</v>
      </c>
      <c r="AK126" s="2281">
        <f>SUM(AK73:AK120)</f>
        <v>49419309875</v>
      </c>
      <c r="AL126" s="2277">
        <f>SUM(AJ126:AK126)</f>
        <v>101418619750</v>
      </c>
      <c r="AM126" s="2281">
        <f>SUM(AM73:AM120)</f>
        <v>47471859875</v>
      </c>
      <c r="AN126" s="2281">
        <f>SUM(AN73:AN120)</f>
        <v>44224859875</v>
      </c>
      <c r="AO126" s="2277">
        <f>SUM(AM126:AN126)</f>
        <v>91696719750</v>
      </c>
      <c r="AP126" s="2281">
        <f>SUM(AP73:AP120)</f>
        <v>38870109875</v>
      </c>
      <c r="AQ126" s="2281">
        <f>SUM(AQ73:AQ120)</f>
        <v>38870109875</v>
      </c>
      <c r="AR126" s="2277">
        <f>SUM(AP126:AQ126)</f>
        <v>77740219750</v>
      </c>
    </row>
    <row r="127" spans="1:44">
      <c r="K127" s="2018"/>
    </row>
  </sheetData>
  <pageMargins left="0.7" right="0.7" top="0.75" bottom="0.75" header="0.3" footer="0.3"/>
  <pageSetup orientation="portrait" horizontalDpi="4294967294" verticalDpi="4294967294"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dimension ref="A1:CW388"/>
  <sheetViews>
    <sheetView workbookViewId="0">
      <pane xSplit="4" ySplit="2" topLeftCell="E9" activePane="bottomRight" state="frozen"/>
      <selection pane="topRight" activeCell="E1" sqref="E1"/>
      <selection pane="bottomLeft" activeCell="A3" sqref="A3"/>
      <selection pane="bottomRight" activeCell="C10" sqref="C10"/>
    </sheetView>
  </sheetViews>
  <sheetFormatPr defaultRowHeight="14.5"/>
  <cols>
    <col min="1" max="1" width="10.08984375" bestFit="1" customWidth="1"/>
    <col min="2" max="2" width="89.7265625" style="14" customWidth="1"/>
    <col min="3" max="3" width="13.26953125" style="14" bestFit="1" customWidth="1"/>
    <col min="4" max="4" width="84.7265625" style="14" customWidth="1"/>
  </cols>
  <sheetData>
    <row r="1" spans="1:101">
      <c r="C1" s="2353"/>
      <c r="D1" s="2353"/>
    </row>
    <row r="2" spans="1:101">
      <c r="C2" s="2353"/>
      <c r="D2" s="2353"/>
      <c r="E2" s="1441">
        <v>41456</v>
      </c>
      <c r="F2" s="1441">
        <v>41487</v>
      </c>
      <c r="G2" s="1441">
        <v>41518</v>
      </c>
      <c r="H2" s="1441">
        <v>41548</v>
      </c>
      <c r="I2" s="1441">
        <v>41579</v>
      </c>
      <c r="J2" s="1441">
        <v>41609</v>
      </c>
      <c r="K2" s="1441">
        <v>41640</v>
      </c>
      <c r="L2" s="1441">
        <v>41671</v>
      </c>
      <c r="M2" s="1441">
        <v>41699</v>
      </c>
      <c r="N2" s="1441">
        <v>41730</v>
      </c>
      <c r="O2" s="1441">
        <v>41760</v>
      </c>
      <c r="P2" s="1441">
        <v>41791</v>
      </c>
      <c r="Q2" s="1441">
        <v>41821</v>
      </c>
      <c r="R2" s="1441">
        <v>41852</v>
      </c>
      <c r="S2" s="1441">
        <v>41883</v>
      </c>
      <c r="T2" s="1441">
        <v>41913</v>
      </c>
      <c r="U2" s="1441">
        <v>41944</v>
      </c>
      <c r="V2" s="1441">
        <v>41974</v>
      </c>
      <c r="W2" s="1441">
        <v>42005</v>
      </c>
      <c r="X2" s="1441">
        <v>42036</v>
      </c>
      <c r="Y2" s="1441">
        <v>42064</v>
      </c>
      <c r="Z2" s="1441">
        <v>42095</v>
      </c>
      <c r="AA2" s="1441">
        <v>42125</v>
      </c>
      <c r="AB2" s="1441">
        <v>42156</v>
      </c>
      <c r="AC2" s="1441">
        <v>42186</v>
      </c>
      <c r="AD2" s="1441">
        <v>42217</v>
      </c>
      <c r="AE2" s="1441">
        <v>42248</v>
      </c>
      <c r="AF2" s="1441">
        <v>42278</v>
      </c>
      <c r="AG2" s="1441">
        <v>42309</v>
      </c>
      <c r="AH2" s="1441">
        <v>42339</v>
      </c>
      <c r="AI2" s="1441">
        <v>42370</v>
      </c>
      <c r="AJ2" s="1441">
        <v>42401</v>
      </c>
      <c r="AK2" s="1441">
        <v>42430</v>
      </c>
      <c r="AL2" s="1441">
        <v>42461</v>
      </c>
      <c r="AM2" s="1441">
        <v>42491</v>
      </c>
      <c r="AN2" s="1441">
        <v>42522</v>
      </c>
      <c r="AO2" s="1441">
        <v>42552</v>
      </c>
      <c r="AP2" s="1441">
        <v>42583</v>
      </c>
      <c r="AQ2" s="1441">
        <v>42614</v>
      </c>
      <c r="AR2" s="1441">
        <v>42644</v>
      </c>
      <c r="AS2" s="1441">
        <v>42675</v>
      </c>
      <c r="AT2" s="1441">
        <v>42705</v>
      </c>
      <c r="AU2" s="1441">
        <v>42736</v>
      </c>
      <c r="AV2" s="1441">
        <v>42767</v>
      </c>
      <c r="AW2" s="1441">
        <v>42795</v>
      </c>
      <c r="AX2" s="1441">
        <v>42826</v>
      </c>
      <c r="AY2" s="1441">
        <v>42856</v>
      </c>
      <c r="AZ2" s="1441">
        <v>42887</v>
      </c>
      <c r="BA2" s="1441">
        <v>42917</v>
      </c>
      <c r="BB2" s="1441">
        <v>42948</v>
      </c>
      <c r="BC2" s="1441">
        <v>42979</v>
      </c>
      <c r="BD2" s="1441">
        <v>43009</v>
      </c>
      <c r="BE2" s="1441">
        <v>43040</v>
      </c>
      <c r="BF2" s="1441">
        <v>43070</v>
      </c>
      <c r="BG2" s="1441">
        <v>43101</v>
      </c>
      <c r="BH2" s="1441">
        <v>43132</v>
      </c>
      <c r="BI2" s="1441">
        <v>43160</v>
      </c>
      <c r="BJ2" s="1441">
        <v>43191</v>
      </c>
      <c r="BK2" s="1441">
        <v>43221</v>
      </c>
      <c r="BL2" s="1441">
        <v>43252</v>
      </c>
      <c r="BM2" s="1441">
        <v>43282</v>
      </c>
      <c r="BN2" s="1441">
        <v>43313</v>
      </c>
      <c r="BO2" s="1441">
        <v>43344</v>
      </c>
      <c r="BP2" s="1441">
        <v>43374</v>
      </c>
      <c r="BQ2" s="1441">
        <v>43405</v>
      </c>
      <c r="BR2" s="1441">
        <v>43435</v>
      </c>
      <c r="BS2" s="1441">
        <v>43466</v>
      </c>
      <c r="BT2" s="1441">
        <v>43497</v>
      </c>
      <c r="BU2" s="1441">
        <v>43525</v>
      </c>
      <c r="BV2" s="1441">
        <v>43556</v>
      </c>
      <c r="BW2" s="1441">
        <v>43586</v>
      </c>
      <c r="BX2" s="1441">
        <v>43617</v>
      </c>
      <c r="BY2" s="1441">
        <v>43647</v>
      </c>
      <c r="BZ2" s="1441">
        <v>43678</v>
      </c>
      <c r="CA2" s="1441">
        <v>43709</v>
      </c>
      <c r="CB2" s="1441">
        <v>43739</v>
      </c>
      <c r="CC2" s="1441">
        <v>43770</v>
      </c>
      <c r="CD2" s="1441">
        <v>43800</v>
      </c>
      <c r="CE2" s="1441">
        <v>43831</v>
      </c>
      <c r="CF2" s="1441">
        <v>43862</v>
      </c>
      <c r="CG2" s="1441">
        <v>43891</v>
      </c>
      <c r="CH2" s="1441">
        <v>43922</v>
      </c>
      <c r="CI2" s="1441">
        <v>43952</v>
      </c>
      <c r="CJ2" s="1441">
        <v>43983</v>
      </c>
      <c r="CK2" s="1441">
        <v>44013</v>
      </c>
      <c r="CL2" s="1441">
        <v>44044</v>
      </c>
      <c r="CM2" s="1441">
        <v>44075</v>
      </c>
      <c r="CN2" s="1441">
        <v>44105</v>
      </c>
      <c r="CO2" s="1441">
        <v>44136</v>
      </c>
      <c r="CP2" s="1441">
        <v>44166</v>
      </c>
      <c r="CQ2" s="1441">
        <v>44197</v>
      </c>
      <c r="CR2" s="1441">
        <v>44228</v>
      </c>
      <c r="CS2" s="1441">
        <v>44256</v>
      </c>
      <c r="CT2" s="1441">
        <v>44287</v>
      </c>
      <c r="CU2" s="1441">
        <v>44317</v>
      </c>
      <c r="CV2" s="1441">
        <v>44348</v>
      </c>
      <c r="CW2" s="1441">
        <v>44378</v>
      </c>
    </row>
    <row r="3" spans="1:101">
      <c r="A3" s="1442" t="s">
        <v>1283</v>
      </c>
      <c r="B3" s="1442" t="s">
        <v>1284</v>
      </c>
      <c r="C3" s="1443" t="s">
        <v>2469</v>
      </c>
      <c r="D3" s="1443" t="s">
        <v>2470</v>
      </c>
    </row>
    <row r="4" spans="1:101">
      <c r="A4" s="1440">
        <v>1</v>
      </c>
      <c r="B4" s="1444" t="s">
        <v>1285</v>
      </c>
      <c r="C4" s="1131"/>
      <c r="D4" s="1131"/>
    </row>
    <row r="5" spans="1:101">
      <c r="A5" s="1440">
        <v>11</v>
      </c>
      <c r="B5" s="1444" t="s">
        <v>1286</v>
      </c>
      <c r="C5" s="1131"/>
      <c r="D5" s="1131"/>
    </row>
    <row r="6" spans="1:101">
      <c r="A6" s="1440">
        <v>111</v>
      </c>
      <c r="B6" s="1444" t="s">
        <v>1287</v>
      </c>
      <c r="C6" s="1131"/>
      <c r="D6" s="1131"/>
    </row>
    <row r="7" spans="1:101">
      <c r="A7" s="1440">
        <v>1111</v>
      </c>
      <c r="B7" s="1444" t="s">
        <v>1288</v>
      </c>
      <c r="C7" s="1444"/>
      <c r="D7" s="1444"/>
      <c r="E7">
        <f>SUM(E8:E18)</f>
        <v>0</v>
      </c>
    </row>
    <row r="8" spans="1:101">
      <c r="A8" s="1440"/>
      <c r="B8" s="1444"/>
      <c r="C8" s="1444" t="s">
        <v>2471</v>
      </c>
      <c r="D8" s="1444" t="s">
        <v>2472</v>
      </c>
    </row>
    <row r="9" spans="1:101">
      <c r="A9" s="1440"/>
      <c r="B9" s="1444"/>
      <c r="C9" s="1444" t="s">
        <v>2473</v>
      </c>
      <c r="D9" s="1444" t="s">
        <v>2474</v>
      </c>
    </row>
    <row r="10" spans="1:101">
      <c r="A10" s="1440"/>
      <c r="B10" s="1444"/>
      <c r="C10" s="1444" t="s">
        <v>2475</v>
      </c>
      <c r="D10" s="1444" t="s">
        <v>2476</v>
      </c>
    </row>
    <row r="11" spans="1:101">
      <c r="A11" s="1440"/>
      <c r="B11" s="1444"/>
      <c r="C11" s="1444" t="s">
        <v>2477</v>
      </c>
      <c r="D11" s="1444" t="s">
        <v>2478</v>
      </c>
    </row>
    <row r="12" spans="1:101">
      <c r="A12" s="1440"/>
      <c r="B12" s="1444"/>
      <c r="C12" s="1444" t="s">
        <v>2479</v>
      </c>
      <c r="D12" s="1444" t="s">
        <v>2480</v>
      </c>
    </row>
    <row r="13" spans="1:101">
      <c r="A13" s="1440"/>
      <c r="B13" s="1444"/>
      <c r="C13" s="1444" t="s">
        <v>2481</v>
      </c>
      <c r="D13" s="1444" t="s">
        <v>2482</v>
      </c>
    </row>
    <row r="14" spans="1:101">
      <c r="A14" s="1440"/>
      <c r="B14" s="1444"/>
      <c r="C14" s="1444" t="s">
        <v>2483</v>
      </c>
      <c r="D14" s="1444" t="s">
        <v>2484</v>
      </c>
    </row>
    <row r="15" spans="1:101">
      <c r="A15" s="1440"/>
      <c r="B15" s="1444"/>
      <c r="C15" s="1444" t="s">
        <v>2485</v>
      </c>
      <c r="D15" s="1444" t="s">
        <v>2486</v>
      </c>
    </row>
    <row r="16" spans="1:101">
      <c r="A16" s="1440"/>
      <c r="B16" s="1444"/>
      <c r="C16" s="1444" t="s">
        <v>2487</v>
      </c>
      <c r="D16" s="1444" t="s">
        <v>2488</v>
      </c>
    </row>
    <row r="17" spans="1:5">
      <c r="A17" s="1440"/>
      <c r="B17" s="1444"/>
      <c r="C17" s="1444" t="s">
        <v>2489</v>
      </c>
      <c r="D17" s="1444" t="s">
        <v>2490</v>
      </c>
    </row>
    <row r="18" spans="1:5">
      <c r="A18" s="1440"/>
      <c r="B18" s="1444"/>
      <c r="C18" s="1444" t="s">
        <v>2491</v>
      </c>
      <c r="D18" s="1444" t="s">
        <v>2492</v>
      </c>
    </row>
    <row r="19" spans="1:5">
      <c r="A19" s="1440">
        <v>1112</v>
      </c>
      <c r="B19" s="1444" t="s">
        <v>1289</v>
      </c>
      <c r="C19" s="1445" t="s">
        <v>2493</v>
      </c>
      <c r="D19" s="1445" t="s">
        <v>2493</v>
      </c>
      <c r="E19">
        <f>SUM(E20:E23)</f>
        <v>0</v>
      </c>
    </row>
    <row r="20" spans="1:5">
      <c r="A20" s="1440"/>
      <c r="B20" s="1444"/>
      <c r="C20" s="1444" t="s">
        <v>2494</v>
      </c>
      <c r="D20" s="1444" t="s">
        <v>2495</v>
      </c>
    </row>
    <row r="21" spans="1:5">
      <c r="A21" s="1440"/>
      <c r="B21" s="1444"/>
      <c r="C21" s="1444" t="s">
        <v>2496</v>
      </c>
      <c r="D21" s="1444" t="s">
        <v>2497</v>
      </c>
    </row>
    <row r="22" spans="1:5">
      <c r="A22" s="1440"/>
      <c r="B22" s="1444"/>
      <c r="C22" s="1444" t="s">
        <v>2498</v>
      </c>
      <c r="D22" s="1444" t="s">
        <v>2488</v>
      </c>
    </row>
    <row r="23" spans="1:5">
      <c r="A23" s="1440"/>
      <c r="B23" s="1444"/>
      <c r="C23" s="1444" t="s">
        <v>2499</v>
      </c>
      <c r="D23" s="1444" t="s">
        <v>2500</v>
      </c>
    </row>
    <row r="24" spans="1:5">
      <c r="A24" s="1440">
        <v>1113</v>
      </c>
      <c r="B24" s="1444" t="s">
        <v>1290</v>
      </c>
      <c r="C24" s="1445" t="s">
        <v>2493</v>
      </c>
      <c r="D24" s="1445" t="s">
        <v>2493</v>
      </c>
      <c r="E24">
        <f>E25</f>
        <v>0</v>
      </c>
    </row>
    <row r="25" spans="1:5">
      <c r="A25" s="1440"/>
      <c r="B25" s="1444"/>
      <c r="C25" s="1444" t="s">
        <v>2501</v>
      </c>
      <c r="D25" s="1444" t="s">
        <v>2502</v>
      </c>
    </row>
    <row r="26" spans="1:5">
      <c r="A26" s="1440">
        <v>112</v>
      </c>
      <c r="B26" s="1444" t="s">
        <v>499</v>
      </c>
      <c r="C26" s="1445" t="s">
        <v>2493</v>
      </c>
      <c r="D26" s="1445" t="s">
        <v>2493</v>
      </c>
      <c r="E26">
        <v>0</v>
      </c>
    </row>
    <row r="27" spans="1:5">
      <c r="A27" s="1440">
        <v>113</v>
      </c>
      <c r="B27" s="1444" t="s">
        <v>1291</v>
      </c>
      <c r="C27" s="1445" t="s">
        <v>2493</v>
      </c>
      <c r="D27" s="1445" t="s">
        <v>2493</v>
      </c>
    </row>
    <row r="28" spans="1:5">
      <c r="A28" s="1440">
        <v>1131</v>
      </c>
      <c r="B28" s="1444" t="s">
        <v>1292</v>
      </c>
      <c r="C28" s="1445" t="s">
        <v>2493</v>
      </c>
      <c r="D28" s="1445" t="s">
        <v>2493</v>
      </c>
      <c r="E28">
        <f>E29+E30</f>
        <v>0</v>
      </c>
    </row>
    <row r="29" spans="1:5">
      <c r="A29" s="1440"/>
      <c r="B29" s="1444"/>
      <c r="C29" s="1444" t="s">
        <v>2503</v>
      </c>
      <c r="D29" s="1444" t="s">
        <v>2504</v>
      </c>
    </row>
    <row r="30" spans="1:5">
      <c r="A30" s="1440"/>
      <c r="B30" s="1444"/>
      <c r="C30" s="1444" t="s">
        <v>2505</v>
      </c>
      <c r="D30" s="1444" t="s">
        <v>2506</v>
      </c>
    </row>
    <row r="31" spans="1:5">
      <c r="A31" s="1440">
        <v>1132</v>
      </c>
      <c r="B31" s="1444" t="s">
        <v>1293</v>
      </c>
      <c r="C31" s="1445" t="s">
        <v>2493</v>
      </c>
      <c r="D31" s="1445" t="s">
        <v>2493</v>
      </c>
      <c r="E31">
        <v>0</v>
      </c>
    </row>
    <row r="32" spans="1:5">
      <c r="A32" s="1440">
        <v>1133</v>
      </c>
      <c r="B32" s="1444" t="s">
        <v>1294</v>
      </c>
      <c r="C32" s="1445" t="s">
        <v>2493</v>
      </c>
      <c r="D32" s="1445" t="s">
        <v>2493</v>
      </c>
      <c r="E32">
        <v>0</v>
      </c>
    </row>
    <row r="33" spans="1:5">
      <c r="A33" s="1440">
        <v>1135</v>
      </c>
      <c r="B33" s="1444" t="s">
        <v>1295</v>
      </c>
      <c r="C33" s="1445" t="s">
        <v>2493</v>
      </c>
      <c r="D33" s="1445" t="s">
        <v>2493</v>
      </c>
      <c r="E33">
        <v>0</v>
      </c>
    </row>
    <row r="34" spans="1:5">
      <c r="A34" s="1440">
        <v>1136</v>
      </c>
      <c r="B34" s="1444" t="s">
        <v>1296</v>
      </c>
      <c r="C34" s="1444"/>
      <c r="D34" s="1444"/>
      <c r="E34">
        <f>E35</f>
        <v>0</v>
      </c>
    </row>
    <row r="35" spans="1:5">
      <c r="A35" s="1440"/>
      <c r="B35" s="1444"/>
      <c r="C35" s="1444" t="s">
        <v>2507</v>
      </c>
      <c r="D35" s="1444" t="s">
        <v>2508</v>
      </c>
    </row>
    <row r="36" spans="1:5">
      <c r="A36" s="1440">
        <v>114</v>
      </c>
      <c r="B36" s="1444" t="s">
        <v>507</v>
      </c>
      <c r="C36" s="1445" t="s">
        <v>2493</v>
      </c>
      <c r="D36" s="1445" t="s">
        <v>2493</v>
      </c>
    </row>
    <row r="37" spans="1:5">
      <c r="A37" s="1440">
        <v>1141</v>
      </c>
      <c r="B37" s="1444" t="s">
        <v>1297</v>
      </c>
      <c r="C37" s="1445" t="s">
        <v>2493</v>
      </c>
      <c r="D37" s="1445" t="s">
        <v>2493</v>
      </c>
    </row>
    <row r="38" spans="1:5">
      <c r="A38" s="1440">
        <v>11411</v>
      </c>
      <c r="B38" s="1444" t="s">
        <v>1298</v>
      </c>
      <c r="C38" s="1445" t="s">
        <v>2493</v>
      </c>
      <c r="D38" s="1445" t="s">
        <v>2493</v>
      </c>
    </row>
    <row r="39" spans="1:5">
      <c r="A39" s="1440"/>
      <c r="B39" s="1444"/>
      <c r="C39" s="1444" t="s">
        <v>2509</v>
      </c>
      <c r="D39" s="1444" t="s">
        <v>2510</v>
      </c>
    </row>
    <row r="40" spans="1:5">
      <c r="A40" s="1440"/>
      <c r="B40" s="1444"/>
      <c r="C40" s="1444" t="s">
        <v>2511</v>
      </c>
      <c r="D40" s="1444" t="s">
        <v>2512</v>
      </c>
    </row>
    <row r="41" spans="1:5">
      <c r="A41" s="1440"/>
      <c r="B41" s="1444"/>
      <c r="C41" s="1446" t="s">
        <v>2513</v>
      </c>
      <c r="D41" s="1446" t="s">
        <v>2514</v>
      </c>
    </row>
    <row r="42" spans="1:5">
      <c r="A42" s="1440">
        <v>11412</v>
      </c>
      <c r="B42" s="1444" t="s">
        <v>1299</v>
      </c>
      <c r="C42" s="1445" t="s">
        <v>2493</v>
      </c>
      <c r="D42" s="1445" t="s">
        <v>2493</v>
      </c>
    </row>
    <row r="43" spans="1:5">
      <c r="A43" s="1440">
        <v>11413</v>
      </c>
      <c r="B43" s="1444" t="s">
        <v>1300</v>
      </c>
      <c r="C43" s="1445" t="s">
        <v>2493</v>
      </c>
      <c r="D43" s="1445" t="s">
        <v>2493</v>
      </c>
    </row>
    <row r="44" spans="1:5">
      <c r="A44" s="1440">
        <v>11414</v>
      </c>
      <c r="B44" s="1444" t="s">
        <v>1301</v>
      </c>
      <c r="C44" s="1445" t="s">
        <v>2493</v>
      </c>
      <c r="D44" s="1445" t="s">
        <v>2493</v>
      </c>
    </row>
    <row r="45" spans="1:5">
      <c r="A45" s="1440"/>
      <c r="B45" s="1444"/>
      <c r="C45" s="1444" t="s">
        <v>2515</v>
      </c>
      <c r="D45" s="1444" t="s">
        <v>2516</v>
      </c>
    </row>
    <row r="46" spans="1:5">
      <c r="A46" s="1440"/>
      <c r="B46" s="1444"/>
      <c r="C46" s="1444" t="s">
        <v>2517</v>
      </c>
      <c r="D46" s="1444" t="s">
        <v>2518</v>
      </c>
    </row>
    <row r="47" spans="1:5">
      <c r="A47" s="1440"/>
      <c r="B47" s="1444"/>
      <c r="C47" s="1444" t="s">
        <v>2519</v>
      </c>
      <c r="D47" s="1444" t="s">
        <v>2520</v>
      </c>
    </row>
    <row r="48" spans="1:5">
      <c r="A48" s="1440"/>
      <c r="B48" s="1444"/>
      <c r="C48" s="1444" t="s">
        <v>2521</v>
      </c>
      <c r="D48" s="1444" t="s">
        <v>2522</v>
      </c>
    </row>
    <row r="49" spans="1:4">
      <c r="A49" s="1440"/>
      <c r="B49" s="1444"/>
      <c r="C49" s="1444" t="s">
        <v>2523</v>
      </c>
      <c r="D49" s="1444" t="s">
        <v>2524</v>
      </c>
    </row>
    <row r="50" spans="1:4">
      <c r="A50" s="1440">
        <v>1142</v>
      </c>
      <c r="B50" s="1444" t="s">
        <v>1302</v>
      </c>
      <c r="C50" s="1445" t="s">
        <v>2493</v>
      </c>
      <c r="D50" s="1445" t="s">
        <v>2493</v>
      </c>
    </row>
    <row r="51" spans="1:4">
      <c r="A51" s="1440"/>
      <c r="B51" s="1444"/>
      <c r="C51" s="1444" t="s">
        <v>2525</v>
      </c>
      <c r="D51" s="1444" t="s">
        <v>2526</v>
      </c>
    </row>
    <row r="52" spans="1:4">
      <c r="A52" s="1440"/>
      <c r="B52" s="1444"/>
      <c r="C52" s="1446" t="s">
        <v>2527</v>
      </c>
      <c r="D52" s="1446" t="s">
        <v>2528</v>
      </c>
    </row>
    <row r="53" spans="1:4">
      <c r="A53" s="1440"/>
      <c r="B53" s="1444"/>
      <c r="C53" s="1444" t="s">
        <v>2529</v>
      </c>
      <c r="D53" s="1444" t="s">
        <v>2530</v>
      </c>
    </row>
    <row r="54" spans="1:4">
      <c r="A54" s="1440"/>
      <c r="B54" s="1444"/>
      <c r="C54" s="1444" t="s">
        <v>2531</v>
      </c>
      <c r="D54" s="1444" t="s">
        <v>2532</v>
      </c>
    </row>
    <row r="55" spans="1:4">
      <c r="A55" s="1440"/>
      <c r="B55" s="1444"/>
      <c r="C55" s="1444" t="s">
        <v>2533</v>
      </c>
      <c r="D55" s="1444" t="s">
        <v>2534</v>
      </c>
    </row>
    <row r="56" spans="1:4">
      <c r="A56" s="1440"/>
      <c r="B56" s="1444"/>
      <c r="C56" s="1446" t="s">
        <v>2535</v>
      </c>
      <c r="D56" s="1446" t="s">
        <v>2536</v>
      </c>
    </row>
    <row r="57" spans="1:4">
      <c r="A57" s="1440"/>
      <c r="B57" s="1444"/>
      <c r="C57" s="1444" t="s">
        <v>2537</v>
      </c>
      <c r="D57" s="1444" t="s">
        <v>2538</v>
      </c>
    </row>
    <row r="58" spans="1:4">
      <c r="A58" s="1440"/>
      <c r="B58" s="1444"/>
      <c r="C58" s="1446" t="s">
        <v>2539</v>
      </c>
      <c r="D58" s="1446" t="s">
        <v>2540</v>
      </c>
    </row>
    <row r="59" spans="1:4">
      <c r="A59" s="1440"/>
      <c r="B59" s="1444"/>
      <c r="C59" s="1444" t="s">
        <v>2541</v>
      </c>
      <c r="D59" s="1444" t="s">
        <v>2542</v>
      </c>
    </row>
    <row r="60" spans="1:4">
      <c r="A60" s="1440"/>
      <c r="B60" s="1444"/>
      <c r="C60" s="1446" t="s">
        <v>2543</v>
      </c>
      <c r="D60" s="1446" t="s">
        <v>2544</v>
      </c>
    </row>
    <row r="61" spans="1:4">
      <c r="A61" s="1440"/>
      <c r="B61" s="1444"/>
      <c r="C61" s="1444" t="s">
        <v>2545</v>
      </c>
      <c r="D61" s="1444" t="s">
        <v>2546</v>
      </c>
    </row>
    <row r="62" spans="1:4">
      <c r="A62" s="1440"/>
      <c r="B62" s="1444"/>
      <c r="C62" s="1446" t="s">
        <v>2547</v>
      </c>
      <c r="D62" s="1446" t="s">
        <v>2548</v>
      </c>
    </row>
    <row r="63" spans="1:4">
      <c r="A63" s="1440"/>
      <c r="B63" s="1444"/>
      <c r="C63" s="1444" t="s">
        <v>2549</v>
      </c>
      <c r="D63" s="1444" t="s">
        <v>2550</v>
      </c>
    </row>
    <row r="64" spans="1:4">
      <c r="A64" s="1440"/>
      <c r="B64" s="1444"/>
      <c r="C64" s="1446" t="s">
        <v>2551</v>
      </c>
      <c r="D64" s="1446" t="s">
        <v>2552</v>
      </c>
    </row>
    <row r="65" spans="1:4">
      <c r="A65" s="1440"/>
      <c r="B65" s="1444"/>
      <c r="C65" s="1446" t="s">
        <v>2553</v>
      </c>
      <c r="D65" s="1446" t="s">
        <v>2554</v>
      </c>
    </row>
    <row r="66" spans="1:4">
      <c r="A66" s="1440"/>
      <c r="B66" s="1444"/>
      <c r="C66" s="1446" t="s">
        <v>2555</v>
      </c>
      <c r="D66" s="1446" t="s">
        <v>2556</v>
      </c>
    </row>
    <row r="67" spans="1:4">
      <c r="A67" s="1440"/>
      <c r="B67" s="1444"/>
      <c r="C67" s="1444" t="s">
        <v>2557</v>
      </c>
      <c r="D67" s="1444" t="s">
        <v>2558</v>
      </c>
    </row>
    <row r="68" spans="1:4">
      <c r="A68" s="1440"/>
      <c r="B68" s="1444"/>
      <c r="C68" s="1444" t="s">
        <v>2559</v>
      </c>
      <c r="D68" s="1444" t="s">
        <v>2560</v>
      </c>
    </row>
    <row r="69" spans="1:4">
      <c r="A69" s="1440"/>
      <c r="B69" s="1444"/>
      <c r="C69" s="1444" t="s">
        <v>2561</v>
      </c>
      <c r="D69" s="1444" t="s">
        <v>2562</v>
      </c>
    </row>
    <row r="70" spans="1:4">
      <c r="A70" s="1440"/>
      <c r="B70" s="1444"/>
      <c r="C70" s="1444" t="s">
        <v>2563</v>
      </c>
      <c r="D70" s="1444" t="s">
        <v>2564</v>
      </c>
    </row>
    <row r="71" spans="1:4">
      <c r="A71" s="1440">
        <v>1143</v>
      </c>
      <c r="B71" s="1444" t="s">
        <v>1303</v>
      </c>
      <c r="C71" s="1445" t="s">
        <v>2493</v>
      </c>
      <c r="D71" s="1445" t="s">
        <v>2493</v>
      </c>
    </row>
    <row r="72" spans="1:4">
      <c r="A72" s="1440">
        <v>1144</v>
      </c>
      <c r="B72" s="1444" t="s">
        <v>1304</v>
      </c>
      <c r="C72" s="1444"/>
      <c r="D72" s="1444"/>
    </row>
    <row r="73" spans="1:4">
      <c r="A73" s="1440"/>
      <c r="B73" s="1444"/>
      <c r="C73" s="1444" t="s">
        <v>2565</v>
      </c>
      <c r="D73" s="1444" t="s">
        <v>2566</v>
      </c>
    </row>
    <row r="74" spans="1:4">
      <c r="A74" s="1440">
        <v>1145</v>
      </c>
      <c r="B74" s="1444" t="s">
        <v>1305</v>
      </c>
      <c r="C74" s="1445" t="s">
        <v>2493</v>
      </c>
      <c r="D74" s="1445" t="s">
        <v>2493</v>
      </c>
    </row>
    <row r="75" spans="1:4">
      <c r="A75" s="1440">
        <v>11451</v>
      </c>
      <c r="B75" s="1444" t="s">
        <v>1306</v>
      </c>
      <c r="C75" s="1445" t="s">
        <v>2493</v>
      </c>
      <c r="D75" s="1445" t="s">
        <v>2493</v>
      </c>
    </row>
    <row r="76" spans="1:4">
      <c r="A76" s="1440">
        <v>11452</v>
      </c>
      <c r="B76" s="1444" t="s">
        <v>1307</v>
      </c>
      <c r="C76" s="1445" t="s">
        <v>2493</v>
      </c>
      <c r="D76" s="1445" t="s">
        <v>2493</v>
      </c>
    </row>
    <row r="77" spans="1:4">
      <c r="A77" s="1440"/>
      <c r="B77" s="1444"/>
      <c r="C77" s="1444" t="s">
        <v>2567</v>
      </c>
      <c r="D77" s="1444" t="s">
        <v>2568</v>
      </c>
    </row>
    <row r="78" spans="1:4">
      <c r="A78" s="1440">
        <v>1146</v>
      </c>
      <c r="B78" s="1444" t="s">
        <v>1308</v>
      </c>
      <c r="C78" s="1445" t="s">
        <v>2493</v>
      </c>
      <c r="D78" s="1445" t="s">
        <v>2493</v>
      </c>
    </row>
    <row r="79" spans="1:4">
      <c r="A79" s="1440"/>
      <c r="B79" s="1444"/>
      <c r="C79" s="1444" t="s">
        <v>2569</v>
      </c>
      <c r="D79" s="1444" t="s">
        <v>2570</v>
      </c>
    </row>
    <row r="80" spans="1:4">
      <c r="A80" s="1440"/>
      <c r="B80" s="1444"/>
      <c r="C80" s="1444" t="s">
        <v>2571</v>
      </c>
      <c r="D80" s="1444" t="s">
        <v>2572</v>
      </c>
    </row>
    <row r="81" spans="1:4">
      <c r="A81" s="1440"/>
      <c r="B81" s="1444"/>
      <c r="C81" s="1444" t="s">
        <v>2573</v>
      </c>
      <c r="D81" s="1444" t="s">
        <v>2574</v>
      </c>
    </row>
    <row r="82" spans="1:4">
      <c r="A82" s="1440"/>
      <c r="B82" s="1444"/>
      <c r="C82" s="1444" t="s">
        <v>2575</v>
      </c>
      <c r="D82" s="1444" t="s">
        <v>2576</v>
      </c>
    </row>
    <row r="83" spans="1:4">
      <c r="A83" s="1440"/>
      <c r="B83" s="1444"/>
      <c r="C83" s="1444" t="s">
        <v>2577</v>
      </c>
      <c r="D83" s="1444" t="s">
        <v>2570</v>
      </c>
    </row>
    <row r="84" spans="1:4">
      <c r="A84" s="1440"/>
      <c r="B84" s="1444"/>
      <c r="C84" s="1444" t="s">
        <v>2578</v>
      </c>
      <c r="D84" s="1444" t="s">
        <v>2579</v>
      </c>
    </row>
    <row r="85" spans="1:4">
      <c r="A85" s="1440"/>
      <c r="B85" s="1444"/>
      <c r="C85" s="1444" t="s">
        <v>2580</v>
      </c>
      <c r="D85" s="1444" t="s">
        <v>2581</v>
      </c>
    </row>
    <row r="86" spans="1:4">
      <c r="A86" s="1440">
        <v>115</v>
      </c>
      <c r="B86" s="1444" t="s">
        <v>1309</v>
      </c>
      <c r="C86" s="1445" t="s">
        <v>2493</v>
      </c>
      <c r="D86" s="1445" t="s">
        <v>2493</v>
      </c>
    </row>
    <row r="87" spans="1:4">
      <c r="A87" s="1440">
        <v>1151</v>
      </c>
      <c r="B87" s="1444" t="s">
        <v>1310</v>
      </c>
      <c r="C87" s="1445" t="s">
        <v>2493</v>
      </c>
      <c r="D87" s="1445" t="s">
        <v>2493</v>
      </c>
    </row>
    <row r="88" spans="1:4">
      <c r="A88" s="1440"/>
      <c r="B88" s="1444"/>
      <c r="C88" s="1446" t="s">
        <v>2582</v>
      </c>
      <c r="D88" s="1446" t="s">
        <v>2583</v>
      </c>
    </row>
    <row r="89" spans="1:4">
      <c r="A89" s="1440"/>
      <c r="B89" s="1444"/>
      <c r="C89" s="1446" t="s">
        <v>2584</v>
      </c>
      <c r="D89" s="1446" t="s">
        <v>2585</v>
      </c>
    </row>
    <row r="90" spans="1:4">
      <c r="A90" s="1440"/>
      <c r="B90" s="1444"/>
      <c r="C90" s="1446" t="s">
        <v>2586</v>
      </c>
      <c r="D90" s="1446" t="s">
        <v>2587</v>
      </c>
    </row>
    <row r="91" spans="1:4">
      <c r="A91" s="1440"/>
      <c r="B91" s="1444"/>
      <c r="C91" s="1446" t="s">
        <v>2588</v>
      </c>
      <c r="D91" s="1446" t="s">
        <v>2589</v>
      </c>
    </row>
    <row r="92" spans="1:4">
      <c r="A92" s="1440"/>
      <c r="B92" s="1444"/>
      <c r="C92" s="1446" t="s">
        <v>2590</v>
      </c>
      <c r="D92" s="1446" t="s">
        <v>2591</v>
      </c>
    </row>
    <row r="93" spans="1:4">
      <c r="A93" s="1440"/>
      <c r="B93" s="1444"/>
      <c r="C93" s="1444" t="s">
        <v>2592</v>
      </c>
      <c r="D93" s="1444" t="s">
        <v>2593</v>
      </c>
    </row>
    <row r="94" spans="1:4">
      <c r="A94" s="1440"/>
      <c r="B94" s="1444"/>
      <c r="C94" s="1446" t="s">
        <v>2594</v>
      </c>
      <c r="D94" s="1446" t="s">
        <v>2595</v>
      </c>
    </row>
    <row r="95" spans="1:4">
      <c r="A95" s="1440"/>
      <c r="B95" s="1444"/>
      <c r="C95" s="1444" t="s">
        <v>2596</v>
      </c>
      <c r="D95" s="1444" t="s">
        <v>2597</v>
      </c>
    </row>
    <row r="96" spans="1:4">
      <c r="A96" s="1440"/>
      <c r="B96" s="1444"/>
      <c r="C96" s="1444" t="s">
        <v>2598</v>
      </c>
      <c r="D96" s="1444" t="s">
        <v>2599</v>
      </c>
    </row>
    <row r="97" spans="1:4">
      <c r="A97" s="1440">
        <v>1152</v>
      </c>
      <c r="B97" s="1444" t="s">
        <v>1311</v>
      </c>
      <c r="C97" s="1445" t="s">
        <v>2493</v>
      </c>
      <c r="D97" s="1445" t="s">
        <v>2493</v>
      </c>
    </row>
    <row r="98" spans="1:4">
      <c r="A98" s="1440"/>
      <c r="B98" s="1444"/>
      <c r="C98" s="1444" t="s">
        <v>2600</v>
      </c>
      <c r="D98" s="1444" t="s">
        <v>2601</v>
      </c>
    </row>
    <row r="99" spans="1:4">
      <c r="A99" s="1440"/>
      <c r="B99" s="1444"/>
      <c r="C99" s="1444" t="s">
        <v>2602</v>
      </c>
      <c r="D99" s="1444" t="s">
        <v>2603</v>
      </c>
    </row>
    <row r="100" spans="1:4">
      <c r="A100" s="1440"/>
      <c r="B100" s="1444"/>
      <c r="C100" s="1444" t="s">
        <v>2604</v>
      </c>
      <c r="D100" s="1444" t="s">
        <v>2605</v>
      </c>
    </row>
    <row r="101" spans="1:4">
      <c r="A101" s="1440"/>
      <c r="B101" s="1444"/>
      <c r="C101" s="1446" t="s">
        <v>2606</v>
      </c>
      <c r="D101" s="1446" t="s">
        <v>2607</v>
      </c>
    </row>
    <row r="102" spans="1:4">
      <c r="A102" s="1440">
        <v>1153</v>
      </c>
      <c r="B102" s="1444" t="s">
        <v>1312</v>
      </c>
      <c r="C102" s="1445" t="s">
        <v>2493</v>
      </c>
      <c r="D102" s="1445" t="s">
        <v>2493</v>
      </c>
    </row>
    <row r="103" spans="1:4">
      <c r="A103" s="1440">
        <v>1154</v>
      </c>
      <c r="B103" s="1444" t="s">
        <v>1313</v>
      </c>
      <c r="C103" s="1445" t="s">
        <v>2493</v>
      </c>
      <c r="D103" s="1445" t="s">
        <v>2493</v>
      </c>
    </row>
    <row r="104" spans="1:4">
      <c r="A104" s="1440">
        <v>1155</v>
      </c>
      <c r="B104" s="1444" t="s">
        <v>1314</v>
      </c>
      <c r="C104" s="1445" t="s">
        <v>2493</v>
      </c>
      <c r="D104" s="1445" t="s">
        <v>2493</v>
      </c>
    </row>
    <row r="105" spans="1:4">
      <c r="A105" s="1440">
        <v>1156</v>
      </c>
      <c r="B105" s="1444" t="s">
        <v>1315</v>
      </c>
      <c r="C105" s="1445" t="s">
        <v>2493</v>
      </c>
      <c r="D105" s="1445" t="s">
        <v>2493</v>
      </c>
    </row>
    <row r="106" spans="1:4">
      <c r="A106" s="1440">
        <v>116</v>
      </c>
      <c r="B106" s="1444" t="s">
        <v>526</v>
      </c>
      <c r="C106" s="1445" t="s">
        <v>2493</v>
      </c>
      <c r="D106" s="1445" t="s">
        <v>2493</v>
      </c>
    </row>
    <row r="107" spans="1:4">
      <c r="A107" s="1440">
        <v>12</v>
      </c>
      <c r="B107" s="1444" t="s">
        <v>1316</v>
      </c>
      <c r="C107" s="1445" t="s">
        <v>2493</v>
      </c>
      <c r="D107" s="1445" t="s">
        <v>2493</v>
      </c>
    </row>
    <row r="108" spans="1:4">
      <c r="A108" s="1440">
        <v>121</v>
      </c>
      <c r="B108" s="1444" t="s">
        <v>1317</v>
      </c>
      <c r="C108" s="1445" t="s">
        <v>2493</v>
      </c>
      <c r="D108" s="1445" t="s">
        <v>2493</v>
      </c>
    </row>
    <row r="109" spans="1:4">
      <c r="A109" s="1440">
        <v>1211</v>
      </c>
      <c r="B109" s="1444" t="s">
        <v>1318</v>
      </c>
      <c r="C109" s="1445" t="s">
        <v>2493</v>
      </c>
      <c r="D109" s="1445" t="s">
        <v>2493</v>
      </c>
    </row>
    <row r="110" spans="1:4">
      <c r="A110" s="1440">
        <v>1212</v>
      </c>
      <c r="B110" s="1444" t="s">
        <v>1319</v>
      </c>
      <c r="C110" s="1445" t="s">
        <v>2493</v>
      </c>
      <c r="D110" s="1445" t="s">
        <v>2493</v>
      </c>
    </row>
    <row r="111" spans="1:4">
      <c r="A111" s="1440">
        <v>1213</v>
      </c>
      <c r="B111" s="1444" t="s">
        <v>1320</v>
      </c>
      <c r="C111" s="1445" t="s">
        <v>2493</v>
      </c>
      <c r="D111" s="1445" t="s">
        <v>2493</v>
      </c>
    </row>
    <row r="112" spans="1:4">
      <c r="A112" s="1440">
        <v>1214</v>
      </c>
      <c r="B112" s="1444" t="s">
        <v>1321</v>
      </c>
      <c r="C112" s="1445" t="s">
        <v>2493</v>
      </c>
      <c r="D112" s="1445" t="s">
        <v>2493</v>
      </c>
    </row>
    <row r="113" spans="1:4">
      <c r="A113" s="1440">
        <v>122</v>
      </c>
      <c r="B113" s="1444" t="s">
        <v>1322</v>
      </c>
      <c r="C113" s="1445" t="s">
        <v>2493</v>
      </c>
      <c r="D113" s="1445" t="s">
        <v>2493</v>
      </c>
    </row>
    <row r="114" spans="1:4">
      <c r="A114" s="1440">
        <v>1221</v>
      </c>
      <c r="B114" s="1444" t="s">
        <v>1323</v>
      </c>
      <c r="C114" s="1445" t="s">
        <v>2493</v>
      </c>
      <c r="D114" s="1445" t="s">
        <v>2493</v>
      </c>
    </row>
    <row r="115" spans="1:4">
      <c r="A115" s="1440">
        <v>1222</v>
      </c>
      <c r="B115" s="1444" t="s">
        <v>1324</v>
      </c>
      <c r="C115" s="1445" t="s">
        <v>2493</v>
      </c>
      <c r="D115" s="1445" t="s">
        <v>2493</v>
      </c>
    </row>
    <row r="116" spans="1:4">
      <c r="A116" s="1440">
        <v>1223</v>
      </c>
      <c r="B116" s="1444" t="s">
        <v>1325</v>
      </c>
      <c r="C116" s="1445" t="s">
        <v>2493</v>
      </c>
      <c r="D116" s="1445" t="s">
        <v>2493</v>
      </c>
    </row>
    <row r="117" spans="1:4">
      <c r="A117" s="1440">
        <v>13</v>
      </c>
      <c r="B117" s="1444" t="s">
        <v>1326</v>
      </c>
      <c r="C117" s="1445" t="s">
        <v>2493</v>
      </c>
      <c r="D117" s="1445" t="s">
        <v>2493</v>
      </c>
    </row>
    <row r="118" spans="1:4">
      <c r="A118" s="1440">
        <v>131</v>
      </c>
      <c r="B118" s="1444" t="s">
        <v>1327</v>
      </c>
      <c r="C118" s="1445" t="s">
        <v>2493</v>
      </c>
      <c r="D118" s="1445" t="s">
        <v>2493</v>
      </c>
    </row>
    <row r="119" spans="1:4">
      <c r="A119" s="1440">
        <v>1311</v>
      </c>
      <c r="B119" s="1444" t="s">
        <v>1328</v>
      </c>
      <c r="C119" s="1445" t="s">
        <v>2493</v>
      </c>
      <c r="D119" s="1445" t="s">
        <v>2493</v>
      </c>
    </row>
    <row r="120" spans="1:4">
      <c r="A120" s="1440">
        <v>1312</v>
      </c>
      <c r="B120" s="1444" t="s">
        <v>1329</v>
      </c>
      <c r="C120" s="1445" t="s">
        <v>2493</v>
      </c>
      <c r="D120" s="1445" t="s">
        <v>2493</v>
      </c>
    </row>
    <row r="121" spans="1:4">
      <c r="A121" s="1440">
        <v>132</v>
      </c>
      <c r="B121" s="1444" t="s">
        <v>1330</v>
      </c>
      <c r="C121" s="1445" t="s">
        <v>2493</v>
      </c>
      <c r="D121" s="1445" t="s">
        <v>2493</v>
      </c>
    </row>
    <row r="122" spans="1:4">
      <c r="A122" s="1440">
        <v>1321</v>
      </c>
      <c r="B122" s="1444" t="s">
        <v>1331</v>
      </c>
      <c r="C122" s="1445" t="s">
        <v>2493</v>
      </c>
      <c r="D122" s="1445" t="s">
        <v>2493</v>
      </c>
    </row>
    <row r="123" spans="1:4">
      <c r="A123" s="1440">
        <v>1322</v>
      </c>
      <c r="B123" s="1444" t="s">
        <v>1332</v>
      </c>
      <c r="C123" s="1445" t="s">
        <v>2493</v>
      </c>
      <c r="D123" s="1445" t="s">
        <v>2493</v>
      </c>
    </row>
    <row r="124" spans="1:4">
      <c r="A124" s="1440">
        <v>133</v>
      </c>
      <c r="B124" s="1444" t="s">
        <v>1333</v>
      </c>
      <c r="C124" s="1445" t="s">
        <v>2493</v>
      </c>
      <c r="D124" s="1445" t="s">
        <v>2493</v>
      </c>
    </row>
    <row r="125" spans="1:4">
      <c r="A125" s="1440">
        <v>1331</v>
      </c>
      <c r="B125" s="1444" t="s">
        <v>1334</v>
      </c>
      <c r="C125" s="1445" t="s">
        <v>2493</v>
      </c>
      <c r="D125" s="1445" t="s">
        <v>2493</v>
      </c>
    </row>
    <row r="126" spans="1:4">
      <c r="A126" s="1440">
        <v>1332</v>
      </c>
      <c r="B126" s="1444" t="s">
        <v>1335</v>
      </c>
      <c r="C126" s="1445" t="s">
        <v>2493</v>
      </c>
      <c r="D126" s="1445" t="s">
        <v>2493</v>
      </c>
    </row>
    <row r="127" spans="1:4">
      <c r="A127" s="1440">
        <v>14</v>
      </c>
      <c r="B127" s="1444" t="s">
        <v>1336</v>
      </c>
      <c r="C127" s="1445" t="s">
        <v>2493</v>
      </c>
      <c r="D127" s="1445" t="s">
        <v>2493</v>
      </c>
    </row>
    <row r="128" spans="1:4">
      <c r="A128" s="1440">
        <v>141</v>
      </c>
      <c r="B128" s="1444" t="s">
        <v>1337</v>
      </c>
      <c r="C128" s="1445" t="s">
        <v>2493</v>
      </c>
      <c r="D128" s="1445" t="s">
        <v>2493</v>
      </c>
    </row>
    <row r="129" spans="1:4">
      <c r="A129" s="1440">
        <v>1411</v>
      </c>
      <c r="B129" s="1444" t="s">
        <v>1338</v>
      </c>
      <c r="C129" s="1445" t="s">
        <v>2493</v>
      </c>
      <c r="D129" s="1445" t="s">
        <v>2493</v>
      </c>
    </row>
    <row r="130" spans="1:4">
      <c r="A130" s="1440"/>
      <c r="B130" s="1444"/>
      <c r="C130" s="1444" t="s">
        <v>2608</v>
      </c>
      <c r="D130" s="1444" t="s">
        <v>2609</v>
      </c>
    </row>
    <row r="131" spans="1:4">
      <c r="A131" s="1440"/>
      <c r="B131" s="1444"/>
      <c r="C131" s="1444" t="s">
        <v>2610</v>
      </c>
      <c r="D131" s="1444" t="s">
        <v>2611</v>
      </c>
    </row>
    <row r="132" spans="1:4">
      <c r="A132" s="1440"/>
      <c r="B132" s="1444"/>
      <c r="C132" s="1444" t="s">
        <v>2612</v>
      </c>
      <c r="D132" s="1444" t="s">
        <v>2613</v>
      </c>
    </row>
    <row r="133" spans="1:4">
      <c r="A133" s="1440"/>
      <c r="B133" s="1444"/>
      <c r="C133" s="1444" t="s">
        <v>2614</v>
      </c>
      <c r="D133" s="1444" t="s">
        <v>2615</v>
      </c>
    </row>
    <row r="134" spans="1:4">
      <c r="A134" s="1440"/>
      <c r="B134" s="1444"/>
      <c r="C134" s="1444" t="s">
        <v>2616</v>
      </c>
      <c r="D134" s="1444" t="s">
        <v>2617</v>
      </c>
    </row>
    <row r="135" spans="1:4">
      <c r="A135" s="1440"/>
      <c r="B135" s="1444"/>
      <c r="C135" s="1444" t="s">
        <v>2618</v>
      </c>
      <c r="D135" s="1444" t="s">
        <v>2619</v>
      </c>
    </row>
    <row r="136" spans="1:4">
      <c r="A136" s="1440"/>
      <c r="B136" s="1444"/>
      <c r="C136" s="1444" t="s">
        <v>2620</v>
      </c>
      <c r="D136" s="1444" t="s">
        <v>2621</v>
      </c>
    </row>
    <row r="137" spans="1:4">
      <c r="A137" s="1440"/>
      <c r="B137" s="1444"/>
      <c r="C137" s="1444" t="s">
        <v>2622</v>
      </c>
      <c r="D137" s="1444" t="s">
        <v>2623</v>
      </c>
    </row>
    <row r="138" spans="1:4">
      <c r="A138" s="1440"/>
      <c r="B138" s="1444"/>
      <c r="C138" s="1444" t="s">
        <v>2624</v>
      </c>
      <c r="D138" s="1444" t="s">
        <v>2625</v>
      </c>
    </row>
    <row r="139" spans="1:4">
      <c r="A139" s="1440"/>
      <c r="B139" s="1444"/>
      <c r="C139" s="1444" t="s">
        <v>2626</v>
      </c>
      <c r="D139" s="1444" t="s">
        <v>2627</v>
      </c>
    </row>
    <row r="140" spans="1:4">
      <c r="A140" s="1440"/>
      <c r="B140" s="1444"/>
      <c r="C140" s="1444" t="s">
        <v>2628</v>
      </c>
      <c r="D140" s="1444" t="s">
        <v>2629</v>
      </c>
    </row>
    <row r="141" spans="1:4">
      <c r="A141" s="1440"/>
      <c r="B141" s="1444"/>
      <c r="C141" s="1444" t="s">
        <v>2630</v>
      </c>
      <c r="D141" s="1444" t="s">
        <v>2631</v>
      </c>
    </row>
    <row r="142" spans="1:4">
      <c r="A142" s="1440"/>
      <c r="B142" s="1444"/>
      <c r="C142" s="1444" t="s">
        <v>2632</v>
      </c>
      <c r="D142" s="1444" t="s">
        <v>2633</v>
      </c>
    </row>
    <row r="143" spans="1:4">
      <c r="A143" s="1440"/>
      <c r="B143" s="1444"/>
      <c r="C143" s="1444" t="s">
        <v>2634</v>
      </c>
      <c r="D143" s="1444" t="s">
        <v>2635</v>
      </c>
    </row>
    <row r="144" spans="1:4">
      <c r="A144" s="1440"/>
      <c r="B144" s="1444"/>
      <c r="C144" s="1444" t="s">
        <v>2636</v>
      </c>
      <c r="D144" s="1444" t="s">
        <v>2633</v>
      </c>
    </row>
    <row r="145" spans="1:4">
      <c r="A145" s="1440"/>
      <c r="B145" s="1444"/>
      <c r="C145" s="1444" t="s">
        <v>2637</v>
      </c>
      <c r="D145" s="1444" t="s">
        <v>2638</v>
      </c>
    </row>
    <row r="146" spans="1:4">
      <c r="A146" s="1440"/>
      <c r="B146" s="1444"/>
      <c r="C146" s="1444" t="s">
        <v>2639</v>
      </c>
      <c r="D146" s="1444" t="s">
        <v>2640</v>
      </c>
    </row>
    <row r="147" spans="1:4">
      <c r="A147" s="1440"/>
      <c r="B147" s="1444"/>
      <c r="C147" s="1444" t="s">
        <v>2641</v>
      </c>
      <c r="D147" s="1444" t="s">
        <v>2642</v>
      </c>
    </row>
    <row r="148" spans="1:4">
      <c r="A148" s="1440"/>
      <c r="B148" s="1444"/>
      <c r="C148" s="1444" t="s">
        <v>2509</v>
      </c>
      <c r="D148" s="1444" t="s">
        <v>2510</v>
      </c>
    </row>
    <row r="149" spans="1:4">
      <c r="A149" s="1440"/>
      <c r="B149" s="1444"/>
      <c r="C149" s="1444" t="s">
        <v>2643</v>
      </c>
      <c r="D149" s="1444" t="s">
        <v>2644</v>
      </c>
    </row>
    <row r="150" spans="1:4">
      <c r="A150" s="1440"/>
      <c r="B150" s="1444"/>
      <c r="C150" s="1444" t="s">
        <v>2645</v>
      </c>
      <c r="D150" s="1444" t="s">
        <v>2646</v>
      </c>
    </row>
    <row r="151" spans="1:4">
      <c r="A151" s="1440"/>
      <c r="B151" s="1444"/>
      <c r="C151" s="1444" t="s">
        <v>2647</v>
      </c>
      <c r="D151" s="1444" t="s">
        <v>2648</v>
      </c>
    </row>
    <row r="152" spans="1:4">
      <c r="A152" s="1440"/>
      <c r="B152" s="1444"/>
      <c r="C152" s="1444" t="s">
        <v>2649</v>
      </c>
      <c r="D152" s="1444" t="s">
        <v>2650</v>
      </c>
    </row>
    <row r="153" spans="1:4">
      <c r="A153" s="1440"/>
      <c r="B153" s="1444"/>
      <c r="C153" s="1444" t="s">
        <v>2651</v>
      </c>
      <c r="D153" s="1444" t="s">
        <v>2652</v>
      </c>
    </row>
    <row r="154" spans="1:4">
      <c r="A154" s="1440"/>
      <c r="B154" s="1444"/>
      <c r="C154" s="1444" t="s">
        <v>2653</v>
      </c>
      <c r="D154" s="1444" t="s">
        <v>2654</v>
      </c>
    </row>
    <row r="155" spans="1:4">
      <c r="A155" s="1440"/>
      <c r="B155" s="1444"/>
      <c r="C155" s="1444" t="s">
        <v>2655</v>
      </c>
      <c r="D155" s="1444" t="s">
        <v>2656</v>
      </c>
    </row>
    <row r="156" spans="1:4">
      <c r="A156" s="1440"/>
      <c r="B156" s="1444"/>
      <c r="C156" s="1444" t="s">
        <v>2657</v>
      </c>
      <c r="D156" s="1444" t="s">
        <v>2658</v>
      </c>
    </row>
    <row r="157" spans="1:4">
      <c r="A157" s="1440"/>
      <c r="B157" s="1444"/>
      <c r="C157" s="1444" t="s">
        <v>2659</v>
      </c>
      <c r="D157" s="1444" t="s">
        <v>2660</v>
      </c>
    </row>
    <row r="158" spans="1:4">
      <c r="A158" s="1440"/>
      <c r="B158" s="1444"/>
      <c r="C158" s="1444" t="s">
        <v>2661</v>
      </c>
      <c r="D158" s="1444" t="s">
        <v>2662</v>
      </c>
    </row>
    <row r="159" spans="1:4">
      <c r="A159" s="1440"/>
      <c r="B159" s="1444"/>
      <c r="C159" s="1444" t="s">
        <v>2663</v>
      </c>
      <c r="D159" s="1444" t="s">
        <v>2664</v>
      </c>
    </row>
    <row r="160" spans="1:4">
      <c r="A160" s="1440"/>
      <c r="B160" s="1444"/>
      <c r="C160" s="1444" t="s">
        <v>2665</v>
      </c>
      <c r="D160" s="1444" t="s">
        <v>2666</v>
      </c>
    </row>
    <row r="161" spans="1:4">
      <c r="A161" s="1440"/>
      <c r="B161" s="1444"/>
      <c r="C161" s="1444" t="s">
        <v>2667</v>
      </c>
      <c r="D161" s="1444" t="s">
        <v>2668</v>
      </c>
    </row>
    <row r="162" spans="1:4">
      <c r="A162" s="1440"/>
      <c r="B162" s="1444"/>
      <c r="C162" s="1444" t="s">
        <v>2669</v>
      </c>
      <c r="D162" s="1444" t="s">
        <v>2670</v>
      </c>
    </row>
    <row r="163" spans="1:4">
      <c r="A163" s="1440"/>
      <c r="B163" s="1444"/>
      <c r="C163" s="1444" t="s">
        <v>2671</v>
      </c>
      <c r="D163" s="1444" t="s">
        <v>2672</v>
      </c>
    </row>
    <row r="164" spans="1:4">
      <c r="A164" s="1440"/>
      <c r="B164" s="1444"/>
      <c r="C164" s="1444" t="s">
        <v>2673</v>
      </c>
      <c r="D164" s="1444" t="s">
        <v>2674</v>
      </c>
    </row>
    <row r="165" spans="1:4">
      <c r="A165" s="1440"/>
      <c r="B165" s="1444"/>
      <c r="C165" s="1444" t="s">
        <v>2675</v>
      </c>
      <c r="D165" s="1444" t="s">
        <v>2676</v>
      </c>
    </row>
    <row r="166" spans="1:4">
      <c r="A166" s="1440"/>
      <c r="B166" s="1444"/>
      <c r="C166" s="1444" t="s">
        <v>2677</v>
      </c>
      <c r="D166" s="1444" t="s">
        <v>2678</v>
      </c>
    </row>
    <row r="167" spans="1:4">
      <c r="A167" s="1440"/>
      <c r="B167" s="1444"/>
      <c r="C167" s="1444" t="s">
        <v>2679</v>
      </c>
      <c r="D167" s="1444" t="s">
        <v>2680</v>
      </c>
    </row>
    <row r="168" spans="1:4">
      <c r="A168" s="1440"/>
      <c r="B168" s="1444"/>
      <c r="C168" s="1444" t="s">
        <v>2681</v>
      </c>
      <c r="D168" s="1444" t="s">
        <v>2682</v>
      </c>
    </row>
    <row r="169" spans="1:4">
      <c r="A169" s="1440">
        <v>14111</v>
      </c>
      <c r="B169" s="1444" t="s">
        <v>1339</v>
      </c>
      <c r="C169" s="1445" t="s">
        <v>2493</v>
      </c>
      <c r="D169" s="1445" t="s">
        <v>2493</v>
      </c>
    </row>
    <row r="170" spans="1:4">
      <c r="A170" s="1440">
        <v>14112</v>
      </c>
      <c r="B170" s="1444" t="s">
        <v>1340</v>
      </c>
      <c r="C170" s="1445" t="s">
        <v>2493</v>
      </c>
      <c r="D170" s="1445" t="s">
        <v>2493</v>
      </c>
    </row>
    <row r="171" spans="1:4">
      <c r="A171" s="1440">
        <v>14113</v>
      </c>
      <c r="B171" s="1444" t="s">
        <v>1341</v>
      </c>
      <c r="C171" s="1445" t="s">
        <v>2493</v>
      </c>
      <c r="D171" s="1445" t="s">
        <v>2493</v>
      </c>
    </row>
    <row r="172" spans="1:4">
      <c r="A172" s="1440">
        <v>1412</v>
      </c>
      <c r="B172" s="1444" t="s">
        <v>1342</v>
      </c>
      <c r="C172" s="1445" t="s">
        <v>2493</v>
      </c>
      <c r="D172" s="1445" t="s">
        <v>2493</v>
      </c>
    </row>
    <row r="173" spans="1:4">
      <c r="A173" s="1440">
        <v>1413</v>
      </c>
      <c r="B173" s="1444" t="s">
        <v>1343</v>
      </c>
      <c r="C173" s="1445" t="s">
        <v>2493</v>
      </c>
      <c r="D173" s="1445" t="s">
        <v>2493</v>
      </c>
    </row>
    <row r="174" spans="1:4">
      <c r="A174" s="1440">
        <v>1414</v>
      </c>
      <c r="B174" s="1444" t="s">
        <v>1344</v>
      </c>
      <c r="C174" s="1445" t="s">
        <v>2493</v>
      </c>
      <c r="D174" s="1445" t="s">
        <v>2493</v>
      </c>
    </row>
    <row r="175" spans="1:4">
      <c r="A175" s="1440">
        <v>1415</v>
      </c>
      <c r="B175" s="1444" t="s">
        <v>1345</v>
      </c>
      <c r="C175" s="1445" t="s">
        <v>2493</v>
      </c>
      <c r="D175" s="1445" t="s">
        <v>2493</v>
      </c>
    </row>
    <row r="176" spans="1:4">
      <c r="A176" s="1440"/>
      <c r="B176" s="1444"/>
      <c r="C176" s="1444" t="s">
        <v>2683</v>
      </c>
      <c r="D176" s="1444" t="s">
        <v>2684</v>
      </c>
    </row>
    <row r="177" spans="1:4">
      <c r="A177" s="1440"/>
      <c r="B177" s="1444"/>
      <c r="C177" s="1444" t="s">
        <v>2685</v>
      </c>
      <c r="D177" s="1444" t="s">
        <v>2686</v>
      </c>
    </row>
    <row r="178" spans="1:4">
      <c r="A178" s="1440">
        <v>1416</v>
      </c>
      <c r="B178" s="1444" t="s">
        <v>1346</v>
      </c>
      <c r="C178" s="1445" t="s">
        <v>2493</v>
      </c>
      <c r="D178" s="1445" t="s">
        <v>2493</v>
      </c>
    </row>
    <row r="179" spans="1:4">
      <c r="A179" s="1440">
        <v>142</v>
      </c>
      <c r="B179" s="1444" t="s">
        <v>1347</v>
      </c>
      <c r="C179" s="1445" t="s">
        <v>2493</v>
      </c>
      <c r="D179" s="1445" t="s">
        <v>2493</v>
      </c>
    </row>
    <row r="180" spans="1:4">
      <c r="A180" s="1440">
        <v>1421</v>
      </c>
      <c r="B180" s="1444" t="s">
        <v>1348</v>
      </c>
      <c r="C180" s="1445" t="s">
        <v>2493</v>
      </c>
      <c r="D180" s="1445" t="s">
        <v>2493</v>
      </c>
    </row>
    <row r="181" spans="1:4">
      <c r="A181" s="1440">
        <v>1422</v>
      </c>
      <c r="B181" s="1444" t="s">
        <v>1349</v>
      </c>
      <c r="C181" s="1445" t="s">
        <v>2493</v>
      </c>
      <c r="D181" s="1445" t="s">
        <v>2493</v>
      </c>
    </row>
    <row r="182" spans="1:4">
      <c r="A182" s="1440"/>
      <c r="B182" s="1444"/>
      <c r="C182" s="1444" t="s">
        <v>2687</v>
      </c>
      <c r="D182" s="1444" t="s">
        <v>2688</v>
      </c>
    </row>
    <row r="183" spans="1:4">
      <c r="A183" s="1440"/>
      <c r="B183" s="1444"/>
      <c r="C183" s="1444" t="s">
        <v>2689</v>
      </c>
      <c r="D183" s="1444" t="s">
        <v>2690</v>
      </c>
    </row>
    <row r="184" spans="1:4">
      <c r="A184" s="1440"/>
      <c r="B184" s="1444"/>
      <c r="C184" s="1444" t="s">
        <v>2691</v>
      </c>
      <c r="D184" s="1444" t="s">
        <v>2692</v>
      </c>
    </row>
    <row r="185" spans="1:4">
      <c r="A185" s="1440"/>
      <c r="B185" s="1444"/>
      <c r="C185" s="1444" t="s">
        <v>2693</v>
      </c>
      <c r="D185" s="1444" t="s">
        <v>2694</v>
      </c>
    </row>
    <row r="186" spans="1:4">
      <c r="A186" s="1440"/>
      <c r="B186" s="1444"/>
      <c r="C186" s="1444" t="s">
        <v>2695</v>
      </c>
      <c r="D186" s="1444" t="s">
        <v>2696</v>
      </c>
    </row>
    <row r="187" spans="1:4">
      <c r="A187" s="1440"/>
      <c r="B187" s="1444"/>
      <c r="C187" s="1444" t="s">
        <v>2697</v>
      </c>
      <c r="D187" s="1444" t="s">
        <v>2698</v>
      </c>
    </row>
    <row r="188" spans="1:4">
      <c r="A188" s="1440"/>
      <c r="B188" s="1444"/>
      <c r="C188" s="1444" t="s">
        <v>2699</v>
      </c>
      <c r="D188" s="1444" t="s">
        <v>2700</v>
      </c>
    </row>
    <row r="189" spans="1:4">
      <c r="A189" s="1440"/>
      <c r="B189" s="1444"/>
      <c r="C189" s="1444" t="s">
        <v>2701</v>
      </c>
      <c r="D189" s="1444" t="s">
        <v>2702</v>
      </c>
    </row>
    <row r="190" spans="1:4">
      <c r="A190" s="1440"/>
      <c r="B190" s="1444"/>
      <c r="C190" s="1444" t="s">
        <v>2703</v>
      </c>
      <c r="D190" s="1444" t="s">
        <v>2704</v>
      </c>
    </row>
    <row r="191" spans="1:4">
      <c r="A191" s="1440"/>
      <c r="B191" s="1444"/>
      <c r="C191" s="1444" t="s">
        <v>2705</v>
      </c>
      <c r="D191" s="1444" t="s">
        <v>2706</v>
      </c>
    </row>
    <row r="192" spans="1:4">
      <c r="A192" s="1440"/>
      <c r="B192" s="1444"/>
      <c r="C192" s="1444" t="s">
        <v>2707</v>
      </c>
      <c r="D192" s="1444" t="s">
        <v>2708</v>
      </c>
    </row>
    <row r="193" spans="1:4">
      <c r="A193" s="1440"/>
      <c r="B193" s="1444"/>
      <c r="C193" s="1444" t="s">
        <v>2709</v>
      </c>
      <c r="D193" s="1444" t="s">
        <v>2710</v>
      </c>
    </row>
    <row r="194" spans="1:4">
      <c r="A194" s="1440"/>
      <c r="B194" s="1444"/>
      <c r="C194" s="1446" t="s">
        <v>2711</v>
      </c>
      <c r="D194" s="1446" t="s">
        <v>2712</v>
      </c>
    </row>
    <row r="195" spans="1:4">
      <c r="A195" s="1440"/>
      <c r="B195" s="1444"/>
      <c r="C195" s="1446" t="s">
        <v>2713</v>
      </c>
      <c r="D195" s="1446" t="s">
        <v>2714</v>
      </c>
    </row>
    <row r="196" spans="1:4">
      <c r="A196" s="1440"/>
      <c r="B196" s="1444"/>
      <c r="C196" s="1446" t="s">
        <v>2715</v>
      </c>
      <c r="D196" s="1446" t="s">
        <v>2716</v>
      </c>
    </row>
    <row r="197" spans="1:4">
      <c r="A197" s="1440"/>
      <c r="B197" s="1444"/>
      <c r="C197" s="1444" t="s">
        <v>2717</v>
      </c>
      <c r="D197" s="1444" t="s">
        <v>2718</v>
      </c>
    </row>
    <row r="198" spans="1:4">
      <c r="A198" s="1440"/>
      <c r="B198" s="1444"/>
      <c r="C198" s="1444" t="s">
        <v>2719</v>
      </c>
      <c r="D198" s="1444" t="s">
        <v>2720</v>
      </c>
    </row>
    <row r="199" spans="1:4">
      <c r="A199" s="1440"/>
      <c r="B199" s="1444"/>
      <c r="C199" s="1444" t="s">
        <v>2721</v>
      </c>
      <c r="D199" s="1444" t="s">
        <v>2722</v>
      </c>
    </row>
    <row r="200" spans="1:4">
      <c r="A200" s="1440"/>
      <c r="B200" s="1444"/>
      <c r="C200" s="1444" t="s">
        <v>2723</v>
      </c>
      <c r="D200" s="1444" t="s">
        <v>2724</v>
      </c>
    </row>
    <row r="201" spans="1:4">
      <c r="A201" s="1440"/>
      <c r="B201" s="1444"/>
      <c r="C201" s="1444" t="s">
        <v>2725</v>
      </c>
      <c r="D201" s="1444" t="s">
        <v>2726</v>
      </c>
    </row>
    <row r="202" spans="1:4">
      <c r="A202" s="1440"/>
      <c r="B202" s="1444"/>
      <c r="C202" s="1444" t="s">
        <v>2727</v>
      </c>
      <c r="D202" s="1444" t="s">
        <v>2728</v>
      </c>
    </row>
    <row r="203" spans="1:4">
      <c r="A203" s="1440"/>
      <c r="B203" s="1444"/>
      <c r="C203" s="1444" t="s">
        <v>2729</v>
      </c>
      <c r="D203" s="1444" t="s">
        <v>2730</v>
      </c>
    </row>
    <row r="204" spans="1:4">
      <c r="A204" s="1440"/>
      <c r="B204" s="1444"/>
      <c r="C204" s="1444" t="s">
        <v>2731</v>
      </c>
      <c r="D204" s="1444" t="s">
        <v>2732</v>
      </c>
    </row>
    <row r="205" spans="1:4">
      <c r="A205" s="1440"/>
      <c r="B205" s="1444"/>
      <c r="C205" s="1444" t="s">
        <v>2733</v>
      </c>
      <c r="D205" s="1444" t="s">
        <v>2734</v>
      </c>
    </row>
    <row r="206" spans="1:4">
      <c r="A206" s="1440"/>
      <c r="B206" s="1444"/>
      <c r="C206" s="1444" t="s">
        <v>2735</v>
      </c>
      <c r="D206" s="1444" t="s">
        <v>2736</v>
      </c>
    </row>
    <row r="207" spans="1:4">
      <c r="A207" s="1440"/>
      <c r="B207" s="1444"/>
      <c r="C207" s="1444" t="s">
        <v>2737</v>
      </c>
      <c r="D207" s="1444" t="s">
        <v>2738</v>
      </c>
    </row>
    <row r="208" spans="1:4">
      <c r="A208" s="1440"/>
      <c r="B208" s="1444"/>
      <c r="C208" s="1444" t="s">
        <v>2739</v>
      </c>
      <c r="D208" s="1444" t="s">
        <v>2740</v>
      </c>
    </row>
    <row r="209" spans="1:4">
      <c r="A209" s="1440"/>
      <c r="B209" s="1444"/>
      <c r="C209" s="1444" t="s">
        <v>2741</v>
      </c>
      <c r="D209" s="1444" t="s">
        <v>2742</v>
      </c>
    </row>
    <row r="210" spans="1:4">
      <c r="A210" s="1440"/>
      <c r="B210" s="1444"/>
      <c r="C210" s="1444" t="s">
        <v>2743</v>
      </c>
      <c r="D210" s="1444" t="s">
        <v>2744</v>
      </c>
    </row>
    <row r="211" spans="1:4">
      <c r="A211" s="1440"/>
      <c r="B211" s="1444"/>
      <c r="C211" s="1444" t="s">
        <v>2745</v>
      </c>
      <c r="D211" s="1444" t="s">
        <v>2746</v>
      </c>
    </row>
    <row r="212" spans="1:4">
      <c r="A212" s="1440"/>
      <c r="B212" s="1444"/>
      <c r="C212" s="1444" t="s">
        <v>2747</v>
      </c>
      <c r="D212" s="1444" t="s">
        <v>2748</v>
      </c>
    </row>
    <row r="213" spans="1:4">
      <c r="A213" s="1440"/>
      <c r="B213" s="1444"/>
      <c r="C213" s="1444" t="s">
        <v>2749</v>
      </c>
      <c r="D213" s="1444" t="s">
        <v>2750</v>
      </c>
    </row>
    <row r="214" spans="1:4">
      <c r="A214" s="1440"/>
      <c r="B214" s="1444"/>
      <c r="C214" s="1444" t="s">
        <v>2751</v>
      </c>
      <c r="D214" s="1444" t="s">
        <v>2752</v>
      </c>
    </row>
    <row r="215" spans="1:4">
      <c r="A215" s="1440"/>
      <c r="B215" s="1444"/>
      <c r="C215" s="1444" t="s">
        <v>2753</v>
      </c>
      <c r="D215" s="1444" t="s">
        <v>2754</v>
      </c>
    </row>
    <row r="216" spans="1:4">
      <c r="A216" s="1440"/>
      <c r="B216" s="1444"/>
      <c r="C216" s="1444" t="s">
        <v>2755</v>
      </c>
      <c r="D216" s="1444" t="s">
        <v>2756</v>
      </c>
    </row>
    <row r="217" spans="1:4">
      <c r="A217" s="1440"/>
      <c r="B217" s="1444"/>
      <c r="C217" s="1444" t="s">
        <v>2757</v>
      </c>
      <c r="D217" s="1444" t="s">
        <v>2758</v>
      </c>
    </row>
    <row r="218" spans="1:4">
      <c r="A218" s="1440"/>
      <c r="B218" s="1444"/>
      <c r="C218" s="1444" t="s">
        <v>2759</v>
      </c>
      <c r="D218" s="1444" t="s">
        <v>2760</v>
      </c>
    </row>
    <row r="219" spans="1:4">
      <c r="A219" s="1440"/>
      <c r="B219" s="1444"/>
      <c r="C219" s="1444" t="s">
        <v>2761</v>
      </c>
      <c r="D219" s="1444" t="s">
        <v>2762</v>
      </c>
    </row>
    <row r="220" spans="1:4">
      <c r="A220" s="1440"/>
      <c r="B220" s="1444"/>
      <c r="C220" s="1444" t="s">
        <v>2763</v>
      </c>
      <c r="D220" s="1444" t="s">
        <v>2764</v>
      </c>
    </row>
    <row r="221" spans="1:4">
      <c r="A221" s="1440"/>
      <c r="B221" s="1444"/>
      <c r="C221" s="1444" t="s">
        <v>2765</v>
      </c>
      <c r="D221" s="1444" t="s">
        <v>2766</v>
      </c>
    </row>
    <row r="222" spans="1:4">
      <c r="A222" s="1440"/>
      <c r="B222" s="1444"/>
      <c r="C222" s="1444" t="s">
        <v>2767</v>
      </c>
      <c r="D222" s="1444" t="s">
        <v>2768</v>
      </c>
    </row>
    <row r="223" spans="1:4">
      <c r="A223" s="1440"/>
      <c r="B223" s="1444"/>
      <c r="C223" s="1444" t="s">
        <v>2769</v>
      </c>
      <c r="D223" s="1444" t="s">
        <v>2770</v>
      </c>
    </row>
    <row r="224" spans="1:4">
      <c r="A224" s="1440"/>
      <c r="B224" s="1444"/>
      <c r="C224" s="1444" t="s">
        <v>2771</v>
      </c>
      <c r="D224" s="1444" t="s">
        <v>2772</v>
      </c>
    </row>
    <row r="225" spans="1:4">
      <c r="A225" s="1440"/>
      <c r="B225" s="1444"/>
      <c r="C225" s="1444" t="s">
        <v>2773</v>
      </c>
      <c r="D225" s="1444" t="s">
        <v>2774</v>
      </c>
    </row>
    <row r="226" spans="1:4">
      <c r="A226" s="1440"/>
      <c r="B226" s="1444"/>
      <c r="C226" s="1444" t="s">
        <v>2775</v>
      </c>
      <c r="D226" s="1444" t="s">
        <v>2776</v>
      </c>
    </row>
    <row r="227" spans="1:4">
      <c r="A227" s="1440"/>
      <c r="B227" s="1444"/>
      <c r="C227" s="1444" t="s">
        <v>2777</v>
      </c>
      <c r="D227" s="1444" t="s">
        <v>2778</v>
      </c>
    </row>
    <row r="228" spans="1:4">
      <c r="A228" s="1440"/>
      <c r="B228" s="1444"/>
      <c r="C228" s="1444" t="s">
        <v>2779</v>
      </c>
      <c r="D228" s="1444" t="s">
        <v>2780</v>
      </c>
    </row>
    <row r="229" spans="1:4">
      <c r="A229" s="1440"/>
      <c r="B229" s="1444"/>
      <c r="C229" s="1444" t="s">
        <v>2781</v>
      </c>
      <c r="D229" s="1444" t="s">
        <v>2782</v>
      </c>
    </row>
    <row r="230" spans="1:4">
      <c r="A230" s="1440"/>
      <c r="B230" s="1444"/>
      <c r="C230" s="1444" t="s">
        <v>2783</v>
      </c>
      <c r="D230" s="1444" t="s">
        <v>2784</v>
      </c>
    </row>
    <row r="231" spans="1:4">
      <c r="A231" s="1440"/>
      <c r="B231" s="1444"/>
      <c r="C231" s="1444" t="s">
        <v>2785</v>
      </c>
      <c r="D231" s="1444" t="s">
        <v>2786</v>
      </c>
    </row>
    <row r="232" spans="1:4">
      <c r="A232" s="1440"/>
      <c r="B232" s="1444"/>
      <c r="C232" s="1444" t="s">
        <v>2787</v>
      </c>
      <c r="D232" s="1444" t="s">
        <v>2788</v>
      </c>
    </row>
    <row r="233" spans="1:4">
      <c r="A233" s="1440"/>
      <c r="B233" s="1444"/>
      <c r="C233" s="1444" t="s">
        <v>2789</v>
      </c>
      <c r="D233" s="1444" t="s">
        <v>2790</v>
      </c>
    </row>
    <row r="234" spans="1:4">
      <c r="A234" s="1440"/>
      <c r="B234" s="1444"/>
      <c r="C234" s="1444" t="s">
        <v>2791</v>
      </c>
      <c r="D234" s="1444" t="s">
        <v>2792</v>
      </c>
    </row>
    <row r="235" spans="1:4">
      <c r="A235" s="1440"/>
      <c r="B235" s="1444"/>
      <c r="C235" s="1444" t="s">
        <v>2793</v>
      </c>
      <c r="D235" s="1444" t="s">
        <v>2794</v>
      </c>
    </row>
    <row r="236" spans="1:4">
      <c r="A236" s="1440"/>
      <c r="B236" s="1444"/>
      <c r="C236" s="1444" t="s">
        <v>2795</v>
      </c>
      <c r="D236" s="1444" t="s">
        <v>2796</v>
      </c>
    </row>
    <row r="237" spans="1:4">
      <c r="A237" s="1440"/>
      <c r="B237" s="1444"/>
      <c r="C237" s="1444" t="s">
        <v>2797</v>
      </c>
      <c r="D237" s="1444" t="s">
        <v>2798</v>
      </c>
    </row>
    <row r="238" spans="1:4">
      <c r="A238" s="1440"/>
      <c r="B238" s="1444"/>
      <c r="C238" s="1444" t="s">
        <v>2799</v>
      </c>
      <c r="D238" s="1444" t="s">
        <v>2800</v>
      </c>
    </row>
    <row r="239" spans="1:4">
      <c r="A239" s="1440"/>
      <c r="B239" s="1444"/>
      <c r="C239" s="1444" t="s">
        <v>2801</v>
      </c>
      <c r="D239" s="1444" t="s">
        <v>2802</v>
      </c>
    </row>
    <row r="240" spans="1:4">
      <c r="A240" s="1440"/>
      <c r="B240" s="1444"/>
      <c r="C240" s="1444" t="s">
        <v>2803</v>
      </c>
      <c r="D240" s="1444" t="s">
        <v>2804</v>
      </c>
    </row>
    <row r="241" spans="1:4">
      <c r="A241" s="1440"/>
      <c r="B241" s="1444"/>
      <c r="C241" s="1444" t="s">
        <v>2805</v>
      </c>
      <c r="D241" s="1444" t="s">
        <v>2806</v>
      </c>
    </row>
    <row r="242" spans="1:4">
      <c r="A242" s="1440"/>
      <c r="B242" s="1444"/>
      <c r="C242" s="1444" t="s">
        <v>2807</v>
      </c>
      <c r="D242" s="1444" t="s">
        <v>2808</v>
      </c>
    </row>
    <row r="243" spans="1:4">
      <c r="A243" s="1440"/>
      <c r="B243" s="1444"/>
      <c r="C243" s="1444" t="s">
        <v>2809</v>
      </c>
      <c r="D243" s="1444" t="s">
        <v>2716</v>
      </c>
    </row>
    <row r="244" spans="1:4">
      <c r="A244" s="1440"/>
      <c r="B244" s="1444"/>
      <c r="C244" s="1444" t="s">
        <v>2810</v>
      </c>
      <c r="D244" s="1444" t="s">
        <v>2811</v>
      </c>
    </row>
    <row r="245" spans="1:4">
      <c r="A245" s="1440"/>
      <c r="B245" s="1444"/>
      <c r="C245" s="1444" t="s">
        <v>2812</v>
      </c>
      <c r="D245" s="1444" t="s">
        <v>2813</v>
      </c>
    </row>
    <row r="246" spans="1:4">
      <c r="A246" s="1440"/>
      <c r="B246" s="1444"/>
      <c r="C246" s="1444" t="s">
        <v>2814</v>
      </c>
      <c r="D246" s="1444" t="s">
        <v>2815</v>
      </c>
    </row>
    <row r="247" spans="1:4">
      <c r="A247" s="1440"/>
      <c r="B247" s="1444"/>
      <c r="C247" s="1444" t="s">
        <v>2816</v>
      </c>
      <c r="D247" s="1444" t="s">
        <v>2817</v>
      </c>
    </row>
    <row r="248" spans="1:4">
      <c r="A248" s="1440"/>
      <c r="B248" s="1444"/>
      <c r="C248" s="1444" t="s">
        <v>2818</v>
      </c>
      <c r="D248" s="1444" t="s">
        <v>2819</v>
      </c>
    </row>
    <row r="249" spans="1:4">
      <c r="A249" s="1440"/>
      <c r="B249" s="1444"/>
      <c r="C249" s="1444" t="s">
        <v>2820</v>
      </c>
      <c r="D249" s="1444" t="s">
        <v>2821</v>
      </c>
    </row>
    <row r="250" spans="1:4">
      <c r="A250" s="1440"/>
      <c r="B250" s="1444"/>
      <c r="C250" s="1444" t="s">
        <v>2822</v>
      </c>
      <c r="D250" s="1444" t="s">
        <v>2823</v>
      </c>
    </row>
    <row r="251" spans="1:4">
      <c r="A251" s="1440"/>
      <c r="B251" s="1444"/>
      <c r="C251" s="1444" t="s">
        <v>2824</v>
      </c>
      <c r="D251" s="1444" t="s">
        <v>2825</v>
      </c>
    </row>
    <row r="252" spans="1:4">
      <c r="A252" s="1440"/>
      <c r="B252" s="1444"/>
      <c r="C252" s="1444" t="s">
        <v>2826</v>
      </c>
      <c r="D252" s="1444" t="s">
        <v>2827</v>
      </c>
    </row>
    <row r="253" spans="1:4">
      <c r="A253" s="1440"/>
      <c r="B253" s="1444"/>
      <c r="C253" s="1444" t="s">
        <v>2828</v>
      </c>
      <c r="D253" s="1444" t="s">
        <v>2829</v>
      </c>
    </row>
    <row r="254" spans="1:4">
      <c r="A254" s="1440"/>
      <c r="B254" s="1444"/>
      <c r="C254" s="1444" t="s">
        <v>2830</v>
      </c>
      <c r="D254" s="1444" t="s">
        <v>2831</v>
      </c>
    </row>
    <row r="255" spans="1:4">
      <c r="A255" s="1440"/>
      <c r="B255" s="1444"/>
      <c r="C255" s="1444" t="s">
        <v>2832</v>
      </c>
      <c r="D255" s="1444" t="s">
        <v>2833</v>
      </c>
    </row>
    <row r="256" spans="1:4">
      <c r="A256" s="1440"/>
      <c r="B256" s="1444"/>
      <c r="C256" s="1444" t="s">
        <v>2834</v>
      </c>
      <c r="D256" s="1444" t="s">
        <v>2835</v>
      </c>
    </row>
    <row r="257" spans="1:4">
      <c r="A257" s="1440"/>
      <c r="B257" s="1444"/>
      <c r="C257" s="1444" t="s">
        <v>2836</v>
      </c>
      <c r="D257" s="1444" t="s">
        <v>2837</v>
      </c>
    </row>
    <row r="258" spans="1:4">
      <c r="A258" s="1440"/>
      <c r="B258" s="1444"/>
      <c r="C258" s="1444" t="s">
        <v>2838</v>
      </c>
      <c r="D258" s="1444" t="s">
        <v>2839</v>
      </c>
    </row>
    <row r="259" spans="1:4">
      <c r="A259" s="1440"/>
      <c r="B259" s="1444"/>
      <c r="C259" s="1444" t="s">
        <v>2840</v>
      </c>
      <c r="D259" s="1444" t="s">
        <v>2841</v>
      </c>
    </row>
    <row r="260" spans="1:4">
      <c r="A260" s="1440"/>
      <c r="B260" s="1444"/>
      <c r="C260" s="1444" t="s">
        <v>2842</v>
      </c>
      <c r="D260" s="1444" t="s">
        <v>2843</v>
      </c>
    </row>
    <row r="261" spans="1:4">
      <c r="A261" s="1440"/>
      <c r="B261" s="1444"/>
      <c r="C261" s="1444" t="s">
        <v>2844</v>
      </c>
      <c r="D261" s="1444" t="s">
        <v>2845</v>
      </c>
    </row>
    <row r="262" spans="1:4">
      <c r="A262" s="1440"/>
      <c r="B262" s="1444"/>
      <c r="C262" s="1444" t="s">
        <v>2846</v>
      </c>
      <c r="D262" s="1444" t="s">
        <v>2847</v>
      </c>
    </row>
    <row r="263" spans="1:4">
      <c r="A263" s="1440"/>
      <c r="B263" s="1444"/>
      <c r="C263" s="1444" t="s">
        <v>2848</v>
      </c>
      <c r="D263" s="1444" t="s">
        <v>2849</v>
      </c>
    </row>
    <row r="264" spans="1:4">
      <c r="A264" s="1440"/>
      <c r="B264" s="1444"/>
      <c r="C264" s="1444" t="s">
        <v>2850</v>
      </c>
      <c r="D264" s="1444" t="s">
        <v>2851</v>
      </c>
    </row>
    <row r="265" spans="1:4">
      <c r="A265" s="1440"/>
      <c r="B265" s="1444"/>
      <c r="C265" s="1444" t="s">
        <v>2852</v>
      </c>
      <c r="D265" s="1444" t="s">
        <v>2853</v>
      </c>
    </row>
    <row r="266" spans="1:4">
      <c r="A266" s="1440"/>
      <c r="B266" s="1444"/>
      <c r="C266" s="1444" t="s">
        <v>2854</v>
      </c>
      <c r="D266" s="1444" t="s">
        <v>2855</v>
      </c>
    </row>
    <row r="267" spans="1:4">
      <c r="A267" s="1440"/>
      <c r="B267" s="1444"/>
      <c r="C267" s="1444" t="s">
        <v>2856</v>
      </c>
      <c r="D267" s="1444" t="s">
        <v>2857</v>
      </c>
    </row>
    <row r="268" spans="1:4">
      <c r="A268" s="1440"/>
      <c r="B268" s="1444"/>
      <c r="C268" s="1444" t="s">
        <v>2858</v>
      </c>
      <c r="D268" s="1444" t="s">
        <v>2859</v>
      </c>
    </row>
    <row r="269" spans="1:4">
      <c r="A269" s="1440"/>
      <c r="B269" s="1444"/>
      <c r="C269" s="1444" t="s">
        <v>2860</v>
      </c>
      <c r="D269" s="1444" t="s">
        <v>2861</v>
      </c>
    </row>
    <row r="270" spans="1:4">
      <c r="A270" s="1440"/>
      <c r="B270" s="1444"/>
      <c r="C270" s="1444" t="s">
        <v>2862</v>
      </c>
      <c r="D270" s="1444" t="s">
        <v>2863</v>
      </c>
    </row>
    <row r="271" spans="1:4">
      <c r="A271" s="1440"/>
      <c r="B271" s="1444"/>
      <c r="C271" s="1444" t="s">
        <v>2864</v>
      </c>
      <c r="D271" s="1444" t="s">
        <v>2865</v>
      </c>
    </row>
    <row r="272" spans="1:4">
      <c r="A272" s="1440"/>
      <c r="B272" s="1444"/>
      <c r="C272" s="1444" t="s">
        <v>2866</v>
      </c>
      <c r="D272" s="1444" t="s">
        <v>2867</v>
      </c>
    </row>
    <row r="273" spans="1:4">
      <c r="A273" s="1440"/>
      <c r="B273" s="1444"/>
      <c r="C273" s="1444" t="s">
        <v>2868</v>
      </c>
      <c r="D273" s="1444" t="s">
        <v>2869</v>
      </c>
    </row>
    <row r="274" spans="1:4">
      <c r="A274" s="1440"/>
      <c r="B274" s="1444"/>
      <c r="C274" s="1444" t="s">
        <v>2870</v>
      </c>
      <c r="D274" s="1444" t="s">
        <v>2871</v>
      </c>
    </row>
    <row r="275" spans="1:4">
      <c r="A275" s="1440"/>
      <c r="B275" s="1444"/>
      <c r="C275" s="1444" t="s">
        <v>2872</v>
      </c>
      <c r="D275" s="1444" t="s">
        <v>2873</v>
      </c>
    </row>
    <row r="276" spans="1:4">
      <c r="A276" s="1440"/>
      <c r="B276" s="1444"/>
      <c r="C276" s="1444" t="s">
        <v>2874</v>
      </c>
      <c r="D276" s="1444" t="s">
        <v>2875</v>
      </c>
    </row>
    <row r="277" spans="1:4">
      <c r="A277" s="1440"/>
      <c r="B277" s="1444"/>
      <c r="C277" s="1444" t="s">
        <v>2876</v>
      </c>
      <c r="D277" s="1444" t="s">
        <v>2877</v>
      </c>
    </row>
    <row r="278" spans="1:4">
      <c r="A278" s="1440"/>
      <c r="B278" s="1444"/>
      <c r="C278" s="1444" t="s">
        <v>2878</v>
      </c>
      <c r="D278" s="1444" t="s">
        <v>2879</v>
      </c>
    </row>
    <row r="279" spans="1:4">
      <c r="A279" s="1440"/>
      <c r="B279" s="1444"/>
      <c r="C279" s="1444" t="s">
        <v>2880</v>
      </c>
      <c r="D279" s="1444" t="s">
        <v>2881</v>
      </c>
    </row>
    <row r="280" spans="1:4">
      <c r="A280" s="1440"/>
      <c r="B280" s="1444"/>
      <c r="C280" s="1444" t="s">
        <v>2882</v>
      </c>
      <c r="D280" s="1444" t="s">
        <v>2883</v>
      </c>
    </row>
    <row r="281" spans="1:4">
      <c r="A281" s="1440"/>
      <c r="B281" s="1444"/>
      <c r="C281" s="1444" t="s">
        <v>2884</v>
      </c>
      <c r="D281" s="1444" t="s">
        <v>2885</v>
      </c>
    </row>
    <row r="282" spans="1:4">
      <c r="A282" s="1440"/>
      <c r="B282" s="1444"/>
      <c r="C282" s="1444" t="s">
        <v>2886</v>
      </c>
      <c r="D282" s="1444" t="s">
        <v>2887</v>
      </c>
    </row>
    <row r="283" spans="1:4">
      <c r="A283" s="1440"/>
      <c r="B283" s="1444"/>
      <c r="C283" s="1444" t="s">
        <v>2888</v>
      </c>
      <c r="D283" s="1444" t="s">
        <v>2889</v>
      </c>
    </row>
    <row r="284" spans="1:4">
      <c r="A284" s="1440"/>
      <c r="B284" s="1444"/>
      <c r="C284" s="1444" t="s">
        <v>2890</v>
      </c>
      <c r="D284" s="1444" t="s">
        <v>2891</v>
      </c>
    </row>
    <row r="285" spans="1:4">
      <c r="A285" s="1440"/>
      <c r="B285" s="1444"/>
      <c r="C285" s="1444" t="s">
        <v>2892</v>
      </c>
      <c r="D285" s="1444" t="s">
        <v>2893</v>
      </c>
    </row>
    <row r="286" spans="1:4">
      <c r="A286" s="1440"/>
      <c r="B286" s="1444"/>
      <c r="C286" s="1444" t="s">
        <v>2894</v>
      </c>
      <c r="D286" s="1444" t="s">
        <v>2895</v>
      </c>
    </row>
    <row r="287" spans="1:4">
      <c r="A287" s="1440"/>
      <c r="B287" s="1444"/>
      <c r="C287" s="1444" t="s">
        <v>2896</v>
      </c>
      <c r="D287" s="1444" t="s">
        <v>2897</v>
      </c>
    </row>
    <row r="288" spans="1:4">
      <c r="A288" s="1440"/>
      <c r="B288" s="1444"/>
      <c r="C288" s="1444" t="s">
        <v>2898</v>
      </c>
      <c r="D288" s="1444" t="s">
        <v>2899</v>
      </c>
    </row>
    <row r="289" spans="1:4">
      <c r="A289" s="1440"/>
      <c r="B289" s="1444"/>
      <c r="C289" s="1444" t="s">
        <v>2900</v>
      </c>
      <c r="D289" s="1444" t="s">
        <v>2901</v>
      </c>
    </row>
    <row r="290" spans="1:4">
      <c r="A290" s="1440"/>
      <c r="B290" s="1444"/>
      <c r="C290" s="1444" t="s">
        <v>2902</v>
      </c>
      <c r="D290" s="1444" t="s">
        <v>2903</v>
      </c>
    </row>
    <row r="291" spans="1:4">
      <c r="A291" s="1440"/>
      <c r="B291" s="1444"/>
      <c r="C291" s="1444" t="s">
        <v>2904</v>
      </c>
      <c r="D291" s="1444" t="s">
        <v>2905</v>
      </c>
    </row>
    <row r="292" spans="1:4">
      <c r="A292" s="1440"/>
      <c r="B292" s="1444"/>
      <c r="C292" s="1444" t="s">
        <v>2906</v>
      </c>
      <c r="D292" s="1444" t="s">
        <v>2907</v>
      </c>
    </row>
    <row r="293" spans="1:4">
      <c r="A293" s="1440"/>
      <c r="B293" s="1444"/>
      <c r="C293" s="1444" t="s">
        <v>2908</v>
      </c>
      <c r="D293" s="1444" t="s">
        <v>2909</v>
      </c>
    </row>
    <row r="294" spans="1:4">
      <c r="A294" s="1440"/>
      <c r="B294" s="1444"/>
      <c r="C294" s="1444" t="s">
        <v>2910</v>
      </c>
      <c r="D294" s="1444" t="s">
        <v>2911</v>
      </c>
    </row>
    <row r="295" spans="1:4">
      <c r="A295" s="1440"/>
      <c r="B295" s="1444"/>
      <c r="C295" s="1444" t="s">
        <v>2912</v>
      </c>
      <c r="D295" s="1444" t="s">
        <v>2913</v>
      </c>
    </row>
    <row r="296" spans="1:4">
      <c r="A296" s="1440"/>
      <c r="B296" s="1444"/>
      <c r="C296" s="1444" t="s">
        <v>2914</v>
      </c>
      <c r="D296" s="1444" t="s">
        <v>2915</v>
      </c>
    </row>
    <row r="297" spans="1:4">
      <c r="A297" s="1440"/>
      <c r="B297" s="1444"/>
      <c r="C297" s="1444" t="s">
        <v>2916</v>
      </c>
      <c r="D297" s="1444" t="s">
        <v>2917</v>
      </c>
    </row>
    <row r="298" spans="1:4">
      <c r="A298" s="1440"/>
      <c r="B298" s="1444"/>
      <c r="C298" s="1444" t="s">
        <v>2918</v>
      </c>
      <c r="D298" s="1444" t="s">
        <v>2919</v>
      </c>
    </row>
    <row r="299" spans="1:4">
      <c r="A299" s="1440"/>
      <c r="B299" s="1444"/>
      <c r="C299" s="1444" t="s">
        <v>2920</v>
      </c>
      <c r="D299" s="1444" t="s">
        <v>2921</v>
      </c>
    </row>
    <row r="300" spans="1:4">
      <c r="A300" s="1440"/>
      <c r="B300" s="1444"/>
      <c r="C300" s="1444" t="s">
        <v>2922</v>
      </c>
      <c r="D300" s="1444" t="s">
        <v>2923</v>
      </c>
    </row>
    <row r="301" spans="1:4">
      <c r="A301" s="1440"/>
      <c r="B301" s="1444"/>
      <c r="C301" s="1444" t="s">
        <v>2924</v>
      </c>
      <c r="D301" s="1444" t="s">
        <v>2925</v>
      </c>
    </row>
    <row r="302" spans="1:4">
      <c r="A302" s="1440"/>
      <c r="B302" s="1444"/>
      <c r="C302" s="1444" t="s">
        <v>2926</v>
      </c>
      <c r="D302" s="1444" t="s">
        <v>2927</v>
      </c>
    </row>
    <row r="303" spans="1:4">
      <c r="A303" s="1440"/>
      <c r="B303" s="1444"/>
      <c r="C303" s="1444" t="s">
        <v>2928</v>
      </c>
      <c r="D303" s="1444" t="s">
        <v>2929</v>
      </c>
    </row>
    <row r="304" spans="1:4">
      <c r="A304" s="1440"/>
      <c r="B304" s="1444"/>
      <c r="C304" s="1444" t="s">
        <v>2930</v>
      </c>
      <c r="D304" s="1444" t="s">
        <v>2931</v>
      </c>
    </row>
    <row r="305" spans="1:4">
      <c r="A305" s="1440"/>
      <c r="B305" s="1444"/>
      <c r="C305" s="1444" t="s">
        <v>2932</v>
      </c>
      <c r="D305" s="1444" t="s">
        <v>2933</v>
      </c>
    </row>
    <row r="306" spans="1:4">
      <c r="A306" s="1440"/>
      <c r="B306" s="1444"/>
      <c r="C306" s="1444" t="s">
        <v>2934</v>
      </c>
      <c r="D306" s="1444" t="s">
        <v>2935</v>
      </c>
    </row>
    <row r="307" spans="1:4">
      <c r="A307" s="1440"/>
      <c r="B307" s="1444"/>
      <c r="C307" s="1444" t="s">
        <v>2936</v>
      </c>
      <c r="D307" s="1444" t="s">
        <v>2937</v>
      </c>
    </row>
    <row r="308" spans="1:4">
      <c r="A308" s="1440"/>
      <c r="B308" s="1444"/>
      <c r="C308" s="1444" t="s">
        <v>2938</v>
      </c>
      <c r="D308" s="1444" t="s">
        <v>2939</v>
      </c>
    </row>
    <row r="309" spans="1:4">
      <c r="A309" s="1440"/>
      <c r="B309" s="1444"/>
      <c r="C309" s="1444" t="s">
        <v>2940</v>
      </c>
      <c r="D309" s="1444" t="s">
        <v>2941</v>
      </c>
    </row>
    <row r="310" spans="1:4">
      <c r="A310" s="1440"/>
      <c r="B310" s="1444"/>
      <c r="C310" s="1444" t="s">
        <v>2942</v>
      </c>
      <c r="D310" s="1444" t="s">
        <v>2943</v>
      </c>
    </row>
    <row r="311" spans="1:4">
      <c r="A311" s="1440">
        <v>1423</v>
      </c>
      <c r="B311" s="1444" t="s">
        <v>1350</v>
      </c>
      <c r="C311" s="1445" t="s">
        <v>2493</v>
      </c>
      <c r="D311" s="1445" t="s">
        <v>2493</v>
      </c>
    </row>
    <row r="312" spans="1:4">
      <c r="A312" s="1440"/>
      <c r="B312" s="1444"/>
      <c r="C312" s="1444" t="s">
        <v>2944</v>
      </c>
      <c r="D312" s="1444" t="s">
        <v>2945</v>
      </c>
    </row>
    <row r="313" spans="1:4">
      <c r="A313" s="1440"/>
      <c r="B313" s="1444"/>
      <c r="C313" s="1444" t="s">
        <v>2946</v>
      </c>
      <c r="D313" s="1444" t="s">
        <v>2947</v>
      </c>
    </row>
    <row r="314" spans="1:4">
      <c r="A314" s="1440"/>
      <c r="B314" s="1444"/>
      <c r="C314" s="1444" t="s">
        <v>2948</v>
      </c>
      <c r="D314" s="1444" t="s">
        <v>2949</v>
      </c>
    </row>
    <row r="315" spans="1:4">
      <c r="A315" s="1440"/>
      <c r="B315" s="1444"/>
      <c r="C315" s="1444" t="s">
        <v>2950</v>
      </c>
      <c r="D315" s="1444" t="s">
        <v>2951</v>
      </c>
    </row>
    <row r="316" spans="1:4">
      <c r="A316" s="1440"/>
      <c r="B316" s="1444"/>
      <c r="C316" s="1444" t="s">
        <v>2952</v>
      </c>
      <c r="D316" s="1444" t="s">
        <v>2953</v>
      </c>
    </row>
    <row r="317" spans="1:4">
      <c r="A317" s="1440"/>
      <c r="B317" s="1444"/>
      <c r="C317" s="1444" t="s">
        <v>2954</v>
      </c>
      <c r="D317" s="1444" t="s">
        <v>2955</v>
      </c>
    </row>
    <row r="318" spans="1:4">
      <c r="A318" s="1440"/>
      <c r="B318" s="1444"/>
      <c r="C318" s="1444" t="s">
        <v>2956</v>
      </c>
      <c r="D318" s="1444" t="s">
        <v>2957</v>
      </c>
    </row>
    <row r="319" spans="1:4">
      <c r="A319" s="1440"/>
      <c r="B319" s="1444"/>
      <c r="C319" s="1444" t="s">
        <v>2958</v>
      </c>
      <c r="D319" s="1444" t="s">
        <v>2959</v>
      </c>
    </row>
    <row r="320" spans="1:4">
      <c r="A320" s="1440"/>
      <c r="B320" s="1444"/>
      <c r="C320" s="1444" t="s">
        <v>2960</v>
      </c>
      <c r="D320" s="1444" t="s">
        <v>2961</v>
      </c>
    </row>
    <row r="321" spans="1:4">
      <c r="A321" s="1440"/>
      <c r="B321" s="1444"/>
      <c r="C321" s="1444" t="s">
        <v>2962</v>
      </c>
      <c r="D321" s="1444" t="s">
        <v>2963</v>
      </c>
    </row>
    <row r="322" spans="1:4">
      <c r="A322" s="1440"/>
      <c r="B322" s="1444"/>
      <c r="C322" s="1444" t="s">
        <v>2964</v>
      </c>
      <c r="D322" s="1444" t="s">
        <v>2965</v>
      </c>
    </row>
    <row r="323" spans="1:4">
      <c r="A323" s="1440"/>
      <c r="B323" s="1444"/>
      <c r="C323" s="1444" t="s">
        <v>2966</v>
      </c>
      <c r="D323" s="1444" t="s">
        <v>2961</v>
      </c>
    </row>
    <row r="324" spans="1:4">
      <c r="A324" s="1440"/>
      <c r="B324" s="1444"/>
      <c r="C324" s="1444" t="s">
        <v>2967</v>
      </c>
      <c r="D324" s="1444" t="s">
        <v>2968</v>
      </c>
    </row>
    <row r="325" spans="1:4">
      <c r="A325" s="1440"/>
      <c r="B325" s="1444"/>
      <c r="C325" s="1444" t="s">
        <v>2969</v>
      </c>
      <c r="D325" s="1444" t="s">
        <v>2970</v>
      </c>
    </row>
    <row r="326" spans="1:4">
      <c r="A326" s="1440"/>
      <c r="B326" s="1444"/>
      <c r="C326" s="1444" t="s">
        <v>2971</v>
      </c>
      <c r="D326" s="1444" t="s">
        <v>2802</v>
      </c>
    </row>
    <row r="327" spans="1:4">
      <c r="A327" s="1440"/>
      <c r="B327" s="1444"/>
      <c r="C327" s="1444" t="s">
        <v>2972</v>
      </c>
      <c r="D327" s="1444" t="s">
        <v>2973</v>
      </c>
    </row>
    <row r="328" spans="1:4">
      <c r="A328" s="1440"/>
      <c r="B328" s="1444"/>
      <c r="C328" s="1444" t="s">
        <v>2974</v>
      </c>
      <c r="D328" s="1444" t="s">
        <v>2975</v>
      </c>
    </row>
    <row r="329" spans="1:4">
      <c r="A329" s="1440"/>
      <c r="B329" s="1444"/>
      <c r="C329" s="1444" t="s">
        <v>2976</v>
      </c>
      <c r="D329" s="1444" t="s">
        <v>2977</v>
      </c>
    </row>
    <row r="330" spans="1:4">
      <c r="A330" s="1440"/>
      <c r="B330" s="1444"/>
      <c r="C330" s="1444" t="s">
        <v>2978</v>
      </c>
      <c r="D330" s="1444" t="s">
        <v>2979</v>
      </c>
    </row>
    <row r="331" spans="1:4">
      <c r="A331" s="1440"/>
      <c r="B331" s="1444"/>
      <c r="C331" s="1444" t="s">
        <v>2980</v>
      </c>
      <c r="D331" s="1444" t="s">
        <v>2981</v>
      </c>
    </row>
    <row r="332" spans="1:4">
      <c r="A332" s="1440"/>
      <c r="B332" s="1444"/>
      <c r="C332" s="1444" t="s">
        <v>2982</v>
      </c>
      <c r="D332" s="1444" t="s">
        <v>2983</v>
      </c>
    </row>
    <row r="333" spans="1:4">
      <c r="A333" s="1440"/>
      <c r="B333" s="1444"/>
      <c r="C333" s="1444" t="s">
        <v>2984</v>
      </c>
      <c r="D333" s="1444" t="s">
        <v>2985</v>
      </c>
    </row>
    <row r="334" spans="1:4">
      <c r="A334" s="1440"/>
      <c r="B334" s="1444"/>
      <c r="C334" s="1444" t="s">
        <v>2986</v>
      </c>
      <c r="D334" s="1444" t="s">
        <v>2987</v>
      </c>
    </row>
    <row r="335" spans="1:4">
      <c r="A335" s="1440"/>
      <c r="B335" s="1444"/>
      <c r="C335" s="1444" t="s">
        <v>2988</v>
      </c>
      <c r="D335" s="1444" t="s">
        <v>2989</v>
      </c>
    </row>
    <row r="336" spans="1:4">
      <c r="A336" s="1440"/>
      <c r="B336" s="1444"/>
      <c r="C336" s="1444" t="s">
        <v>2990</v>
      </c>
      <c r="D336" s="1444" t="s">
        <v>2991</v>
      </c>
    </row>
    <row r="337" spans="1:4">
      <c r="A337" s="1440"/>
      <c r="B337" s="1444"/>
      <c r="C337" s="1444" t="s">
        <v>2992</v>
      </c>
      <c r="D337" s="1444" t="s">
        <v>2993</v>
      </c>
    </row>
    <row r="338" spans="1:4">
      <c r="A338" s="1440"/>
      <c r="B338" s="1444"/>
      <c r="C338" s="1444" t="s">
        <v>2994</v>
      </c>
      <c r="D338" s="1444" t="s">
        <v>2995</v>
      </c>
    </row>
    <row r="339" spans="1:4">
      <c r="A339" s="1440">
        <v>1424</v>
      </c>
      <c r="B339" s="1444" t="s">
        <v>1351</v>
      </c>
      <c r="C339" s="1445" t="s">
        <v>2493</v>
      </c>
      <c r="D339" s="1445" t="s">
        <v>2493</v>
      </c>
    </row>
    <row r="340" spans="1:4">
      <c r="A340" s="1440">
        <v>143</v>
      </c>
      <c r="B340" s="1444" t="s">
        <v>1352</v>
      </c>
      <c r="C340" s="1445" t="s">
        <v>2493</v>
      </c>
      <c r="D340" s="1445" t="s">
        <v>2493</v>
      </c>
    </row>
    <row r="341" spans="1:4">
      <c r="A341" s="1440"/>
      <c r="B341" s="1444"/>
      <c r="C341" s="1444" t="s">
        <v>2996</v>
      </c>
      <c r="D341" s="1444" t="s">
        <v>2997</v>
      </c>
    </row>
    <row r="342" spans="1:4">
      <c r="A342" s="1440"/>
      <c r="B342" s="1444"/>
      <c r="C342" s="1444" t="s">
        <v>2998</v>
      </c>
      <c r="D342" s="1444" t="s">
        <v>2999</v>
      </c>
    </row>
    <row r="343" spans="1:4">
      <c r="A343" s="1440"/>
      <c r="B343" s="1444"/>
      <c r="C343" s="1444" t="s">
        <v>3000</v>
      </c>
      <c r="D343" s="1444" t="s">
        <v>3001</v>
      </c>
    </row>
    <row r="344" spans="1:4">
      <c r="A344" s="1440"/>
      <c r="B344" s="1444"/>
      <c r="C344" s="1444" t="s">
        <v>3002</v>
      </c>
      <c r="D344" s="1444" t="s">
        <v>3003</v>
      </c>
    </row>
    <row r="345" spans="1:4">
      <c r="A345" s="1440"/>
      <c r="B345" s="1444"/>
      <c r="C345" s="1444" t="s">
        <v>3004</v>
      </c>
      <c r="D345" s="1444" t="s">
        <v>3005</v>
      </c>
    </row>
    <row r="346" spans="1:4">
      <c r="A346" s="1440"/>
      <c r="B346" s="1444"/>
      <c r="C346" s="1444" t="s">
        <v>3006</v>
      </c>
      <c r="D346" s="1444" t="s">
        <v>3007</v>
      </c>
    </row>
    <row r="347" spans="1:4">
      <c r="A347" s="1440"/>
      <c r="B347" s="1444"/>
      <c r="C347" s="1444" t="s">
        <v>3008</v>
      </c>
      <c r="D347" s="1444" t="s">
        <v>3009</v>
      </c>
    </row>
    <row r="348" spans="1:4">
      <c r="A348" s="1440"/>
      <c r="B348" s="1444"/>
      <c r="C348" s="1444" t="s">
        <v>3010</v>
      </c>
      <c r="D348" s="1444" t="s">
        <v>3011</v>
      </c>
    </row>
    <row r="349" spans="1:4">
      <c r="A349" s="1440"/>
      <c r="B349" s="1444"/>
      <c r="C349" s="1444" t="s">
        <v>3012</v>
      </c>
      <c r="D349" s="1444" t="s">
        <v>3013</v>
      </c>
    </row>
    <row r="350" spans="1:4">
      <c r="A350" s="1440"/>
      <c r="B350" s="1444"/>
      <c r="C350" s="1444" t="s">
        <v>3014</v>
      </c>
      <c r="D350" s="1444" t="s">
        <v>3015</v>
      </c>
    </row>
    <row r="351" spans="1:4">
      <c r="A351" s="1440"/>
      <c r="B351" s="1444"/>
      <c r="C351" s="1444" t="s">
        <v>3016</v>
      </c>
      <c r="D351" s="1444" t="s">
        <v>3017</v>
      </c>
    </row>
    <row r="352" spans="1:4">
      <c r="A352" s="1440"/>
      <c r="B352" s="1444"/>
      <c r="C352" s="1444" t="s">
        <v>3018</v>
      </c>
      <c r="D352" s="1444" t="s">
        <v>3019</v>
      </c>
    </row>
    <row r="353" spans="1:4">
      <c r="A353" s="1440"/>
      <c r="B353" s="1444"/>
      <c r="C353" s="1444" t="s">
        <v>3020</v>
      </c>
      <c r="D353" s="1444" t="s">
        <v>3021</v>
      </c>
    </row>
    <row r="354" spans="1:4">
      <c r="A354" s="1440"/>
      <c r="B354" s="1444"/>
      <c r="C354" s="1444" t="s">
        <v>3022</v>
      </c>
      <c r="D354" s="1444" t="s">
        <v>2635</v>
      </c>
    </row>
    <row r="355" spans="1:4">
      <c r="A355" s="1440"/>
      <c r="B355" s="1444"/>
      <c r="C355" s="1444" t="s">
        <v>3023</v>
      </c>
      <c r="D355" s="1444" t="s">
        <v>3024</v>
      </c>
    </row>
    <row r="356" spans="1:4">
      <c r="A356" s="1440"/>
      <c r="B356" s="1444"/>
      <c r="C356" s="1444" t="s">
        <v>3025</v>
      </c>
      <c r="D356" s="1444" t="s">
        <v>3026</v>
      </c>
    </row>
    <row r="357" spans="1:4">
      <c r="A357" s="1440"/>
      <c r="B357" s="1444"/>
      <c r="C357" s="1444" t="s">
        <v>3027</v>
      </c>
      <c r="D357" s="1444" t="s">
        <v>3028</v>
      </c>
    </row>
    <row r="358" spans="1:4">
      <c r="A358" s="1440"/>
      <c r="B358" s="1444"/>
      <c r="C358" s="1444" t="s">
        <v>3029</v>
      </c>
      <c r="D358" s="1444" t="s">
        <v>3030</v>
      </c>
    </row>
    <row r="359" spans="1:4">
      <c r="A359" s="1440"/>
      <c r="B359" s="1444"/>
      <c r="C359" s="1444" t="s">
        <v>3031</v>
      </c>
      <c r="D359" s="1444" t="s">
        <v>3032</v>
      </c>
    </row>
    <row r="360" spans="1:4">
      <c r="A360" s="1440"/>
      <c r="B360" s="1444"/>
      <c r="C360" s="1444" t="s">
        <v>3033</v>
      </c>
      <c r="D360" s="1444" t="s">
        <v>3034</v>
      </c>
    </row>
    <row r="361" spans="1:4">
      <c r="A361" s="1440"/>
      <c r="B361" s="1444"/>
      <c r="C361" s="1444" t="s">
        <v>3035</v>
      </c>
      <c r="D361" s="1444" t="s">
        <v>3036</v>
      </c>
    </row>
    <row r="362" spans="1:4">
      <c r="A362" s="1440"/>
      <c r="B362" s="1444"/>
      <c r="C362" s="1444" t="s">
        <v>3037</v>
      </c>
      <c r="D362" s="1444" t="s">
        <v>3038</v>
      </c>
    </row>
    <row r="363" spans="1:4">
      <c r="A363" s="1440"/>
      <c r="B363" s="1444"/>
      <c r="C363" s="1444" t="s">
        <v>3039</v>
      </c>
      <c r="D363" s="1444" t="s">
        <v>3040</v>
      </c>
    </row>
    <row r="364" spans="1:4">
      <c r="A364" s="1440"/>
      <c r="B364" s="1444"/>
      <c r="C364" s="1444" t="s">
        <v>3041</v>
      </c>
      <c r="D364" s="1444" t="s">
        <v>3042</v>
      </c>
    </row>
    <row r="365" spans="1:4">
      <c r="A365" s="1440"/>
      <c r="B365" s="1444"/>
      <c r="C365" s="1444" t="s">
        <v>3043</v>
      </c>
      <c r="D365" s="1444" t="s">
        <v>3044</v>
      </c>
    </row>
    <row r="366" spans="1:4">
      <c r="A366" s="1440"/>
      <c r="B366" s="1444"/>
      <c r="C366" s="1444" t="s">
        <v>3045</v>
      </c>
      <c r="D366" s="1444" t="s">
        <v>3046</v>
      </c>
    </row>
    <row r="367" spans="1:4">
      <c r="A367" s="1440"/>
      <c r="B367" s="1444"/>
      <c r="C367" s="1444" t="s">
        <v>3047</v>
      </c>
      <c r="D367" s="1444" t="s">
        <v>3048</v>
      </c>
    </row>
    <row r="368" spans="1:4">
      <c r="A368" s="1440"/>
      <c r="B368" s="1444"/>
      <c r="C368" s="1444" t="s">
        <v>3049</v>
      </c>
      <c r="D368" s="1444" t="s">
        <v>3050</v>
      </c>
    </row>
    <row r="369" spans="1:4">
      <c r="A369" s="1440"/>
      <c r="B369" s="1444"/>
      <c r="C369" s="1444" t="s">
        <v>3051</v>
      </c>
      <c r="D369" s="1444" t="s">
        <v>3052</v>
      </c>
    </row>
    <row r="370" spans="1:4">
      <c r="A370" s="1440"/>
      <c r="B370" s="1444"/>
      <c r="C370" s="1444" t="s">
        <v>3053</v>
      </c>
      <c r="D370" s="1444" t="s">
        <v>3054</v>
      </c>
    </row>
    <row r="371" spans="1:4">
      <c r="A371" s="1440"/>
      <c r="B371" s="1444"/>
      <c r="C371" s="1444" t="s">
        <v>3055</v>
      </c>
      <c r="D371" s="1444" t="s">
        <v>3056</v>
      </c>
    </row>
    <row r="372" spans="1:4">
      <c r="A372" s="1440"/>
      <c r="B372" s="1444"/>
      <c r="C372" s="1444" t="s">
        <v>3057</v>
      </c>
      <c r="D372" s="1444" t="s">
        <v>3058</v>
      </c>
    </row>
    <row r="373" spans="1:4">
      <c r="A373" s="1440"/>
      <c r="B373" s="1444"/>
      <c r="C373" s="1444" t="s">
        <v>3059</v>
      </c>
      <c r="D373" s="1444" t="s">
        <v>3060</v>
      </c>
    </row>
    <row r="374" spans="1:4">
      <c r="A374" s="1440"/>
      <c r="B374" s="1444"/>
      <c r="C374" s="1444" t="s">
        <v>3061</v>
      </c>
      <c r="D374" s="1444" t="s">
        <v>3062</v>
      </c>
    </row>
    <row r="375" spans="1:4">
      <c r="A375" s="1440"/>
      <c r="B375" s="1444"/>
      <c r="C375" s="1444" t="s">
        <v>3063</v>
      </c>
      <c r="D375" s="1444" t="s">
        <v>3064</v>
      </c>
    </row>
    <row r="376" spans="1:4">
      <c r="A376" s="1440"/>
      <c r="B376" s="1444"/>
      <c r="C376" s="1444" t="s">
        <v>3065</v>
      </c>
      <c r="D376" s="1444" t="s">
        <v>3066</v>
      </c>
    </row>
    <row r="377" spans="1:4">
      <c r="A377" s="1440"/>
      <c r="B377" s="1444"/>
      <c r="C377" s="1444" t="s">
        <v>3067</v>
      </c>
      <c r="D377" s="1444" t="s">
        <v>3068</v>
      </c>
    </row>
    <row r="378" spans="1:4">
      <c r="A378" s="1440"/>
      <c r="B378" s="1444"/>
      <c r="C378" s="1444" t="s">
        <v>3069</v>
      </c>
      <c r="D378" s="1444" t="s">
        <v>3070</v>
      </c>
    </row>
    <row r="379" spans="1:4">
      <c r="A379" s="1440"/>
      <c r="B379" s="1444"/>
      <c r="C379" s="1444" t="s">
        <v>3071</v>
      </c>
      <c r="D379" s="1444" t="s">
        <v>3072</v>
      </c>
    </row>
    <row r="380" spans="1:4">
      <c r="A380" s="1440"/>
      <c r="B380" s="1444"/>
      <c r="C380" s="1444" t="s">
        <v>3073</v>
      </c>
      <c r="D380" s="1444" t="s">
        <v>3074</v>
      </c>
    </row>
    <row r="381" spans="1:4">
      <c r="A381" s="1440"/>
      <c r="B381" s="1444"/>
      <c r="C381" s="1444" t="s">
        <v>3075</v>
      </c>
      <c r="D381" s="1444" t="s">
        <v>3076</v>
      </c>
    </row>
    <row r="382" spans="1:4">
      <c r="A382" s="1440"/>
      <c r="B382" s="1444"/>
      <c r="C382" s="1444" t="s">
        <v>3077</v>
      </c>
      <c r="D382" s="1444" t="s">
        <v>3078</v>
      </c>
    </row>
    <row r="383" spans="1:4">
      <c r="A383" s="1440"/>
      <c r="B383" s="1444"/>
      <c r="C383" s="1444" t="s">
        <v>3079</v>
      </c>
      <c r="D383" s="1444" t="s">
        <v>3080</v>
      </c>
    </row>
    <row r="384" spans="1:4">
      <c r="A384" s="1440"/>
      <c r="B384" s="1444"/>
      <c r="C384" s="1444" t="s">
        <v>3081</v>
      </c>
      <c r="D384" s="1444" t="s">
        <v>3082</v>
      </c>
    </row>
    <row r="385" spans="1:4">
      <c r="A385" s="1440"/>
      <c r="B385" s="1444"/>
      <c r="C385" s="1444" t="s">
        <v>3083</v>
      </c>
      <c r="D385" s="1444" t="s">
        <v>3068</v>
      </c>
    </row>
    <row r="386" spans="1:4">
      <c r="A386" s="1440"/>
      <c r="B386" s="1444"/>
      <c r="C386" s="1444" t="s">
        <v>3084</v>
      </c>
      <c r="D386" s="1444" t="s">
        <v>3085</v>
      </c>
    </row>
    <row r="387" spans="1:4">
      <c r="A387" s="1440"/>
      <c r="B387" s="1444"/>
      <c r="C387" s="1444" t="s">
        <v>3086</v>
      </c>
      <c r="D387" s="1444" t="s">
        <v>3087</v>
      </c>
    </row>
    <row r="388" spans="1:4">
      <c r="C388" s="1447"/>
      <c r="D388" s="1447"/>
    </row>
  </sheetData>
  <mergeCells count="1">
    <mergeCell ref="C1:D2"/>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2:X148"/>
  <sheetViews>
    <sheetView zoomScale="85" zoomScaleNormal="85" workbookViewId="0">
      <pane xSplit="1" ySplit="3" topLeftCell="L106" activePane="bottomRight" state="frozen"/>
      <selection activeCell="X126" sqref="X126"/>
      <selection pane="topRight" activeCell="X126" sqref="X126"/>
      <selection pane="bottomLeft" activeCell="X126" sqref="X126"/>
      <selection pane="bottomRight" activeCell="X126" sqref="X126"/>
    </sheetView>
  </sheetViews>
  <sheetFormatPr defaultRowHeight="14.5"/>
  <cols>
    <col min="1" max="1" width="92.90625" bestFit="1" customWidth="1"/>
    <col min="2" max="2" width="8.7265625" customWidth="1"/>
    <col min="3" max="4" width="11.54296875" bestFit="1" customWidth="1"/>
    <col min="5" max="5" width="11.54296875" customWidth="1"/>
    <col min="6" max="7" width="11.54296875" bestFit="1" customWidth="1"/>
    <col min="8" max="8" width="11.54296875" customWidth="1"/>
    <col min="9" max="10" width="11.54296875" bestFit="1" customWidth="1"/>
    <col min="11" max="11" width="11.54296875" customWidth="1"/>
  </cols>
  <sheetData>
    <row r="2" spans="1:24" ht="15.5">
      <c r="A2" s="870" t="s">
        <v>655</v>
      </c>
      <c r="B2" s="941"/>
      <c r="C2" s="941" t="s">
        <v>198</v>
      </c>
      <c r="D2" s="941" t="s">
        <v>199</v>
      </c>
      <c r="E2" s="1102" t="s">
        <v>1169</v>
      </c>
      <c r="F2" s="941" t="s">
        <v>199</v>
      </c>
      <c r="G2" s="941" t="s">
        <v>200</v>
      </c>
      <c r="H2" s="1102" t="s">
        <v>1170</v>
      </c>
      <c r="I2" s="941" t="s">
        <v>200</v>
      </c>
      <c r="J2" s="941" t="s">
        <v>201</v>
      </c>
      <c r="K2" s="1102" t="s">
        <v>1177</v>
      </c>
      <c r="L2" s="941"/>
      <c r="M2" s="941" t="s">
        <v>201</v>
      </c>
      <c r="N2" s="941" t="s">
        <v>202</v>
      </c>
      <c r="O2" s="941"/>
      <c r="P2" s="941" t="s">
        <v>202</v>
      </c>
      <c r="Q2" s="941" t="s">
        <v>203</v>
      </c>
      <c r="R2" s="941"/>
      <c r="S2" s="941" t="s">
        <v>203</v>
      </c>
      <c r="T2" s="941" t="s">
        <v>357</v>
      </c>
    </row>
    <row r="3" spans="1:24" ht="15.5">
      <c r="A3" s="351"/>
      <c r="B3" s="942"/>
      <c r="C3" s="942" t="s">
        <v>359</v>
      </c>
      <c r="D3" s="942" t="s">
        <v>646</v>
      </c>
      <c r="E3" s="1104" t="s">
        <v>1168</v>
      </c>
      <c r="F3" s="942" t="s">
        <v>647</v>
      </c>
      <c r="G3" s="942" t="s">
        <v>358</v>
      </c>
      <c r="H3" s="1104" t="s">
        <v>1168</v>
      </c>
      <c r="I3" s="942" t="s">
        <v>359</v>
      </c>
      <c r="J3" s="942" t="s">
        <v>358</v>
      </c>
      <c r="K3" s="1104" t="s">
        <v>1168</v>
      </c>
      <c r="L3" s="942" t="s">
        <v>359</v>
      </c>
      <c r="M3" s="942" t="s">
        <v>244</v>
      </c>
      <c r="N3" s="942" t="s">
        <v>358</v>
      </c>
      <c r="O3" s="942" t="s">
        <v>359</v>
      </c>
      <c r="P3" s="942" t="s">
        <v>244</v>
      </c>
      <c r="Q3" s="942" t="s">
        <v>358</v>
      </c>
      <c r="R3" s="942" t="s">
        <v>359</v>
      </c>
      <c r="S3" s="942" t="s">
        <v>244</v>
      </c>
      <c r="T3" s="942" t="s">
        <v>244</v>
      </c>
    </row>
    <row r="4" spans="1:24" ht="15.5">
      <c r="A4" s="351"/>
      <c r="B4" s="1101"/>
      <c r="C4" s="1101"/>
      <c r="D4" s="1101"/>
      <c r="E4" s="1103"/>
      <c r="F4" s="1101"/>
      <c r="G4" s="1101"/>
      <c r="H4" s="1103"/>
      <c r="I4" s="1101"/>
      <c r="J4" s="1101"/>
      <c r="K4" s="1103"/>
      <c r="L4" s="1101"/>
      <c r="M4" s="1101"/>
      <c r="N4" s="1101"/>
    </row>
    <row r="5" spans="1:24" ht="15.5">
      <c r="A5" s="345" t="s">
        <v>135</v>
      </c>
      <c r="B5" s="302"/>
      <c r="C5" s="302">
        <f>FISCinyear!HT465</f>
        <v>717.24162993072173</v>
      </c>
      <c r="D5" s="302">
        <f>FISCinyear!HV465</f>
        <v>740.76778454788428</v>
      </c>
      <c r="E5" s="1105">
        <f>C5+D5</f>
        <v>1458.009414478606</v>
      </c>
      <c r="F5" s="302">
        <f>FISCinyear!HW465</f>
        <v>800.88942382839832</v>
      </c>
      <c r="G5" s="302">
        <f>FISCinyear!HY465</f>
        <v>720.97120938773105</v>
      </c>
      <c r="H5" s="1105">
        <f>F5+G5</f>
        <v>1521.8606332161294</v>
      </c>
      <c r="I5" s="302">
        <f>FISCinyear!HZ465</f>
        <v>806.28270469243023</v>
      </c>
      <c r="J5" s="302">
        <f>FISCinyear!IB465</f>
        <v>885.45202754865852</v>
      </c>
      <c r="K5" s="1105">
        <f>I5+J5</f>
        <v>1691.7347322410888</v>
      </c>
      <c r="L5" s="302">
        <f>FISCinyear!IC465</f>
        <v>934.96040524238811</v>
      </c>
      <c r="M5" s="302">
        <f>FISCinyear!ID465</f>
        <v>1820.4124327910465</v>
      </c>
      <c r="N5" s="302">
        <f>FISCinyear!IE465</f>
        <v>1040.4265588403266</v>
      </c>
      <c r="O5" s="302">
        <f>FISCinyear!IF465</f>
        <v>1024.5501064419122</v>
      </c>
      <c r="P5" s="302">
        <f>FISCinyear!IG465</f>
        <v>2064.9766652822391</v>
      </c>
      <c r="Q5" s="302" t="e">
        <f>FISCinyear!IH465</f>
        <v>#REF!</v>
      </c>
      <c r="R5" s="302" t="e">
        <f>FISCinyear!II465</f>
        <v>#REF!</v>
      </c>
      <c r="S5" s="302">
        <f>FISCinyear!IJ465</f>
        <v>2082.0309719952802</v>
      </c>
      <c r="T5" s="302">
        <f>FISCinyear!IM465</f>
        <v>2171.5351257992602</v>
      </c>
      <c r="U5" s="1101"/>
      <c r="V5" s="1101"/>
      <c r="W5" s="1101"/>
      <c r="X5" s="1101"/>
    </row>
    <row r="6" spans="1:24" ht="15.5">
      <c r="A6" s="351"/>
      <c r="B6" s="302"/>
      <c r="C6" s="302">
        <f>FISCinyear!HT466</f>
        <v>0</v>
      </c>
      <c r="D6" s="302">
        <f>FISCinyear!HV466</f>
        <v>0</v>
      </c>
      <c r="E6" s="1105">
        <f t="shared" ref="E6:E69" si="0">C6+D6</f>
        <v>0</v>
      </c>
      <c r="F6" s="302">
        <f>FISCinyear!HW466</f>
        <v>0</v>
      </c>
      <c r="G6" s="302">
        <f>FISCinyear!HY466</f>
        <v>0</v>
      </c>
      <c r="H6" s="1105">
        <f t="shared" ref="H6:H69" si="1">F6+G6</f>
        <v>0</v>
      </c>
      <c r="I6" s="302">
        <f>FISCinyear!HZ466</f>
        <v>0</v>
      </c>
      <c r="J6" s="302">
        <f>FISCinyear!IB466</f>
        <v>0</v>
      </c>
      <c r="K6" s="1105">
        <f t="shared" ref="K6:K69" si="2">I6+J6</f>
        <v>0</v>
      </c>
      <c r="L6" s="302">
        <f>FISCinyear!IC466</f>
        <v>0</v>
      </c>
      <c r="M6" s="302">
        <f>FISCinyear!ID466</f>
        <v>0</v>
      </c>
      <c r="N6" s="302">
        <f>FISCinyear!IE466</f>
        <v>0</v>
      </c>
      <c r="O6" s="302">
        <f>FISCinyear!IF466</f>
        <v>0</v>
      </c>
      <c r="P6" s="302">
        <f>FISCinyear!IG466</f>
        <v>0</v>
      </c>
      <c r="Q6" s="302">
        <f>FISCinyear!IH466</f>
        <v>0</v>
      </c>
      <c r="R6" s="302">
        <f>FISCinyear!II466</f>
        <v>0</v>
      </c>
      <c r="S6" s="302">
        <f>FISCinyear!IJ466</f>
        <v>0</v>
      </c>
      <c r="T6" s="302">
        <f>FISCinyear!IM466</f>
        <v>0</v>
      </c>
      <c r="U6" s="1101"/>
      <c r="V6" s="1101"/>
      <c r="W6" s="1101"/>
      <c r="X6" s="1101"/>
    </row>
    <row r="7" spans="1:24" ht="15.5">
      <c r="A7" s="345" t="s">
        <v>137</v>
      </c>
      <c r="B7" s="302"/>
      <c r="C7" s="302">
        <f>FISCinyear!HT467</f>
        <v>542.26718141273159</v>
      </c>
      <c r="D7" s="302">
        <f>FISCinyear!HV467</f>
        <v>541.140670756904</v>
      </c>
      <c r="E7" s="1105">
        <f t="shared" si="0"/>
        <v>1083.4078521696356</v>
      </c>
      <c r="F7" s="302">
        <f>FISCinyear!HW467</f>
        <v>626.76952734165161</v>
      </c>
      <c r="G7" s="302">
        <f>FISCinyear!HY467</f>
        <v>599.0553496942498</v>
      </c>
      <c r="H7" s="1105">
        <f t="shared" si="1"/>
        <v>1225.8248770359014</v>
      </c>
      <c r="I7" s="302">
        <f>FISCinyear!HZ467</f>
        <v>686.52449585118757</v>
      </c>
      <c r="J7" s="302">
        <f>FISCinyear!IB467</f>
        <v>690.68740843367004</v>
      </c>
      <c r="K7" s="1105">
        <f t="shared" si="2"/>
        <v>1377.2119042848576</v>
      </c>
      <c r="L7" s="302">
        <f>FISCinyear!IC467</f>
        <v>770.81634748866611</v>
      </c>
      <c r="M7" s="302">
        <f>FISCinyear!ID467</f>
        <v>1461.503755922336</v>
      </c>
      <c r="N7" s="302">
        <f>FISCinyear!IE467</f>
        <v>805.87437132404148</v>
      </c>
      <c r="O7" s="302">
        <f>FISCinyear!IF467</f>
        <v>864.32866945388218</v>
      </c>
      <c r="P7" s="302">
        <f>FISCinyear!IG467</f>
        <v>1670.2030407779237</v>
      </c>
      <c r="Q7" s="302" t="e">
        <f>FISCinyear!IH467</f>
        <v>#REF!</v>
      </c>
      <c r="R7" s="302" t="e">
        <f>FISCinyear!II467</f>
        <v>#REF!</v>
      </c>
      <c r="S7" s="302">
        <f>FISCinyear!IJ467</f>
        <v>1649.9486941171201</v>
      </c>
      <c r="T7" s="302">
        <f>FISCinyear!IM467</f>
        <v>1679.2114408085199</v>
      </c>
      <c r="U7" s="1101"/>
      <c r="V7" s="1101"/>
      <c r="W7" s="1101"/>
      <c r="X7" s="1101"/>
    </row>
    <row r="8" spans="1:24" ht="15.5">
      <c r="A8" s="351" t="s">
        <v>138</v>
      </c>
      <c r="B8" s="302"/>
      <c r="C8" s="302">
        <f>FISCinyear!HT468</f>
        <v>452.2013072704064</v>
      </c>
      <c r="D8" s="302">
        <f>FISCinyear!HV468</f>
        <v>464.30063517529999</v>
      </c>
      <c r="E8" s="1105">
        <f t="shared" si="0"/>
        <v>916.50194244570639</v>
      </c>
      <c r="F8" s="302">
        <f>FISCinyear!HW468</f>
        <v>536.01331465680903</v>
      </c>
      <c r="G8" s="302">
        <f>FISCinyear!HY468</f>
        <v>508.60624254264599</v>
      </c>
      <c r="H8" s="1105">
        <f t="shared" si="1"/>
        <v>1044.6195571994549</v>
      </c>
      <c r="I8" s="302">
        <f>FISCinyear!HZ468</f>
        <v>595.53690253220998</v>
      </c>
      <c r="J8" s="302">
        <f>FISCinyear!IB468</f>
        <v>584.41358418865161</v>
      </c>
      <c r="K8" s="1105">
        <f t="shared" si="2"/>
        <v>1179.9504867208616</v>
      </c>
      <c r="L8" s="302">
        <f>FISCinyear!IC468</f>
        <v>668.47004690119115</v>
      </c>
      <c r="M8" s="302">
        <f>FISCinyear!ID468</f>
        <v>1252.8836310898428</v>
      </c>
      <c r="N8" s="302">
        <f>FISCinyear!IE468</f>
        <v>656.18269585033011</v>
      </c>
      <c r="O8" s="302">
        <f>FISCinyear!IF468</f>
        <v>762.60808662894533</v>
      </c>
      <c r="P8" s="302">
        <f>FISCinyear!IG468</f>
        <v>1418.7907824792755</v>
      </c>
      <c r="Q8" s="302" t="e">
        <f>FISCinyear!IH468</f>
        <v>#REF!</v>
      </c>
      <c r="R8" s="302" t="e">
        <f>FISCinyear!II468</f>
        <v>#REF!</v>
      </c>
      <c r="S8" s="302">
        <f>FISCinyear!IJ468</f>
        <v>1408.2817965614299</v>
      </c>
      <c r="T8" s="302">
        <f>FISCinyear!IM468</f>
        <v>1459.87322506286</v>
      </c>
      <c r="U8" s="1101"/>
      <c r="V8" s="1101"/>
      <c r="W8" s="1101"/>
      <c r="X8" s="1101"/>
    </row>
    <row r="9" spans="1:24" ht="15.5">
      <c r="A9" s="351" t="s">
        <v>139</v>
      </c>
      <c r="B9" s="302"/>
      <c r="C9" s="302">
        <f>FISCinyear!HT469</f>
        <v>0</v>
      </c>
      <c r="D9" s="302">
        <f>FISCinyear!HV469</f>
        <v>0</v>
      </c>
      <c r="E9" s="1105">
        <f t="shared" si="0"/>
        <v>0</v>
      </c>
      <c r="F9" s="302">
        <f>FISCinyear!HW469</f>
        <v>0</v>
      </c>
      <c r="G9" s="302">
        <f>FISCinyear!HY469</f>
        <v>0</v>
      </c>
      <c r="H9" s="1105">
        <f t="shared" si="1"/>
        <v>0</v>
      </c>
      <c r="I9" s="302">
        <f>FISCinyear!HZ469</f>
        <v>0</v>
      </c>
      <c r="J9" s="302">
        <f>FISCinyear!IB469</f>
        <v>0</v>
      </c>
      <c r="K9" s="1105">
        <f t="shared" si="2"/>
        <v>0</v>
      </c>
      <c r="L9" s="302">
        <f>FISCinyear!IC469</f>
        <v>0</v>
      </c>
      <c r="M9" s="302">
        <f>FISCinyear!ID469</f>
        <v>0</v>
      </c>
      <c r="N9" s="302">
        <f>FISCinyear!IE469</f>
        <v>0</v>
      </c>
      <c r="O9" s="302">
        <f>FISCinyear!IF469</f>
        <v>0</v>
      </c>
      <c r="P9" s="302">
        <f>FISCinyear!IG469</f>
        <v>0</v>
      </c>
      <c r="Q9" s="302">
        <f>FISCinyear!IH469</f>
        <v>0</v>
      </c>
      <c r="R9" s="302">
        <f>FISCinyear!II469</f>
        <v>0</v>
      </c>
      <c r="S9" s="302">
        <f>FISCinyear!IJ469</f>
        <v>0</v>
      </c>
      <c r="T9" s="302">
        <f>FISCinyear!IM469</f>
        <v>0</v>
      </c>
      <c r="U9" s="1101"/>
      <c r="V9" s="1101"/>
      <c r="W9" s="1101"/>
      <c r="X9" s="1101"/>
    </row>
    <row r="10" spans="1:24" ht="15.5">
      <c r="A10" s="345" t="s">
        <v>140</v>
      </c>
      <c r="B10" s="302"/>
      <c r="C10" s="302">
        <f>FISCinyear!HT470</f>
        <v>196.31890773800001</v>
      </c>
      <c r="D10" s="302">
        <f>FISCinyear!HV470</f>
        <v>177.73019196461075</v>
      </c>
      <c r="E10" s="1105">
        <f t="shared" si="0"/>
        <v>374.04909970261076</v>
      </c>
      <c r="F10" s="302">
        <f>FISCinyear!HW470</f>
        <v>228.42871272664172</v>
      </c>
      <c r="G10" s="302">
        <f>FISCinyear!HY470</f>
        <v>207.73140381302602</v>
      </c>
      <c r="H10" s="1105">
        <f t="shared" si="1"/>
        <v>436.16011653966774</v>
      </c>
      <c r="I10" s="302">
        <f>FISCinyear!HZ470</f>
        <v>260.65209118651001</v>
      </c>
      <c r="J10" s="302">
        <f>FISCinyear!IB470</f>
        <v>236.73928052337163</v>
      </c>
      <c r="K10" s="1105">
        <f t="shared" si="2"/>
        <v>497.39137170988164</v>
      </c>
      <c r="L10" s="302">
        <f>FISCinyear!IC470</f>
        <v>301.95562087033233</v>
      </c>
      <c r="M10" s="302">
        <f>FISCinyear!ID470</f>
        <v>538.69490139370396</v>
      </c>
      <c r="N10" s="302">
        <f>FISCinyear!IE470</f>
        <v>273.72236713984006</v>
      </c>
      <c r="O10" s="302">
        <f>FISCinyear!IF470</f>
        <v>343.36103832809994</v>
      </c>
      <c r="P10" s="302">
        <f>FISCinyear!IG470</f>
        <v>617.08340546794</v>
      </c>
      <c r="Q10" s="302">
        <f>FISCinyear!IH470</f>
        <v>310.28067460400001</v>
      </c>
      <c r="R10" s="302">
        <f>FISCinyear!II470</f>
        <v>310.46518133784701</v>
      </c>
      <c r="S10" s="302">
        <f>FISCinyear!IJ470</f>
        <v>620.74585594184703</v>
      </c>
      <c r="T10" s="302">
        <f>FISCinyear!IM470</f>
        <v>650.69384798833801</v>
      </c>
      <c r="U10" s="1101"/>
      <c r="V10" s="1101"/>
      <c r="W10" s="1101"/>
      <c r="X10" s="1101"/>
    </row>
    <row r="11" spans="1:24" ht="15.5">
      <c r="A11" s="351" t="s">
        <v>973</v>
      </c>
      <c r="B11" s="302"/>
      <c r="C11" s="302">
        <f>FISCinyear!HT471</f>
        <v>12.377246438999999</v>
      </c>
      <c r="D11" s="302">
        <f>FISCinyear!HV471</f>
        <v>0.82119409100000007</v>
      </c>
      <c r="E11" s="1105">
        <f t="shared" si="0"/>
        <v>13.198440529999999</v>
      </c>
      <c r="F11" s="302">
        <f>FISCinyear!HW471</f>
        <v>12.820510296109074</v>
      </c>
      <c r="G11" s="302">
        <f>FISCinyear!HY471</f>
        <v>1.4695750066187592</v>
      </c>
      <c r="H11" s="1105">
        <f t="shared" si="1"/>
        <v>14.290085302727833</v>
      </c>
      <c r="I11" s="302">
        <f>FISCinyear!HZ471</f>
        <v>15.970966013</v>
      </c>
      <c r="J11" s="302">
        <f>FISCinyear!IB471</f>
        <v>1.3108825066516154</v>
      </c>
      <c r="K11" s="1105">
        <f t="shared" si="2"/>
        <v>17.281848519651614</v>
      </c>
      <c r="L11" s="302">
        <f>FISCinyear!IC471</f>
        <v>17.520231922572361</v>
      </c>
      <c r="M11" s="302">
        <f>FISCinyear!ID471</f>
        <v>18.831114429223977</v>
      </c>
      <c r="N11" s="302">
        <f>FISCinyear!IE471</f>
        <v>1.847170032</v>
      </c>
      <c r="O11" s="302">
        <f>FISCinyear!IF471</f>
        <v>17.521627146000004</v>
      </c>
      <c r="P11" s="302">
        <f>FISCinyear!IG471</f>
        <v>19.368797178000005</v>
      </c>
      <c r="Q11" s="302">
        <f>FISCinyear!IH471</f>
        <v>0</v>
      </c>
      <c r="R11" s="302">
        <f>FISCinyear!II471</f>
        <v>32.093181158512103</v>
      </c>
      <c r="S11" s="302">
        <f>FISCinyear!IJ471</f>
        <v>32.093181158512103</v>
      </c>
      <c r="T11" s="302">
        <f>FISCinyear!IM471</f>
        <v>38.474756828241603</v>
      </c>
      <c r="U11" s="1101"/>
      <c r="V11" s="1101"/>
      <c r="W11" s="1101"/>
      <c r="X11" s="1101"/>
    </row>
    <row r="12" spans="1:24" ht="15.5">
      <c r="A12" s="351" t="s">
        <v>347</v>
      </c>
      <c r="B12" s="302"/>
      <c r="C12" s="302">
        <f>FISCinyear!HT472</f>
        <v>2.414154167</v>
      </c>
      <c r="D12" s="302">
        <f>FISCinyear!HV472</f>
        <v>0</v>
      </c>
      <c r="E12" s="1105">
        <f t="shared" si="0"/>
        <v>2.414154167</v>
      </c>
      <c r="F12" s="302">
        <f>FISCinyear!HW472</f>
        <v>0</v>
      </c>
      <c r="G12" s="302">
        <f>FISCinyear!HY472</f>
        <v>7.9125338029999996</v>
      </c>
      <c r="H12" s="1105">
        <f t="shared" si="1"/>
        <v>7.9125338029999996</v>
      </c>
      <c r="I12" s="302">
        <f>FISCinyear!HZ472</f>
        <v>0</v>
      </c>
      <c r="J12" s="302">
        <f>FISCinyear!IB472</f>
        <v>0</v>
      </c>
      <c r="K12" s="1105">
        <f t="shared" si="2"/>
        <v>0</v>
      </c>
      <c r="L12" s="302">
        <f>FISCinyear!IC472</f>
        <v>0</v>
      </c>
      <c r="M12" s="302">
        <f>FISCinyear!ID472</f>
        <v>0</v>
      </c>
      <c r="N12" s="302">
        <f>FISCinyear!IE472</f>
        <v>0</v>
      </c>
      <c r="O12" s="302">
        <f>FISCinyear!IF472</f>
        <v>0</v>
      </c>
      <c r="P12" s="302">
        <f>FISCinyear!IG472</f>
        <v>0</v>
      </c>
      <c r="Q12" s="302">
        <f>FISCinyear!IH472</f>
        <v>0</v>
      </c>
      <c r="R12" s="302">
        <f>FISCinyear!II472</f>
        <v>0</v>
      </c>
      <c r="S12" s="302">
        <f>FISCinyear!IJ472</f>
        <v>0</v>
      </c>
      <c r="T12" s="302">
        <f>FISCinyear!IM472</f>
        <v>0</v>
      </c>
      <c r="U12" s="1101"/>
      <c r="V12" s="1101"/>
      <c r="W12" s="1101"/>
      <c r="X12" s="1101"/>
    </row>
    <row r="13" spans="1:24" ht="15.5">
      <c r="A13" s="345" t="s">
        <v>142</v>
      </c>
      <c r="B13" s="302"/>
      <c r="C13" s="302">
        <f>FISCinyear!HT473</f>
        <v>221.20239457340645</v>
      </c>
      <c r="D13" s="302">
        <f>FISCinyear!HV473</f>
        <v>245.39647681484718</v>
      </c>
      <c r="E13" s="1105">
        <f t="shared" si="0"/>
        <v>466.59887138825366</v>
      </c>
      <c r="F13" s="302">
        <f>FISCinyear!HW473</f>
        <v>264.87348128637285</v>
      </c>
      <c r="G13" s="302">
        <f>FISCinyear!HY473</f>
        <v>258.06655880661998</v>
      </c>
      <c r="H13" s="1105">
        <f t="shared" si="1"/>
        <v>522.94004009299283</v>
      </c>
      <c r="I13" s="302">
        <f>FISCinyear!HZ473</f>
        <v>286.48921797970002</v>
      </c>
      <c r="J13" s="302">
        <f>FISCinyear!IB473</f>
        <v>299.27920369027999</v>
      </c>
      <c r="K13" s="1105">
        <f t="shared" si="2"/>
        <v>585.76842166997994</v>
      </c>
      <c r="L13" s="302">
        <f>FISCinyear!IC473</f>
        <v>316.77824587085883</v>
      </c>
      <c r="M13" s="302">
        <f>FISCinyear!ID473</f>
        <v>616.05744956113881</v>
      </c>
      <c r="N13" s="302">
        <f>FISCinyear!IE473</f>
        <v>328.84612541949002</v>
      </c>
      <c r="O13" s="302">
        <f>FISCinyear!IF473</f>
        <v>361.13343147290004</v>
      </c>
      <c r="P13" s="302">
        <f>FISCinyear!IG473</f>
        <v>689.97955689239006</v>
      </c>
      <c r="Q13" s="302" t="e">
        <f>FISCinyear!IH473</f>
        <v>#REF!</v>
      </c>
      <c r="R13" s="302" t="e">
        <f>FISCinyear!II473</f>
        <v>#REF!</v>
      </c>
      <c r="S13" s="302">
        <f>FISCinyear!IJ473</f>
        <v>679.27478904485804</v>
      </c>
      <c r="T13" s="302">
        <f>FISCinyear!IM473</f>
        <v>700.81398470026704</v>
      </c>
      <c r="U13" s="1101"/>
      <c r="V13" s="1101"/>
      <c r="W13" s="1101"/>
      <c r="X13" s="1101"/>
    </row>
    <row r="14" spans="1:24" ht="15.5">
      <c r="A14" s="351" t="s">
        <v>1134</v>
      </c>
      <c r="B14" s="302"/>
      <c r="C14" s="302">
        <f>FISCinyear!HT474</f>
        <v>5.7311765149999996</v>
      </c>
      <c r="D14" s="302">
        <f>FISCinyear!HV474</f>
        <v>5.9059052612341381</v>
      </c>
      <c r="E14" s="1105">
        <f t="shared" si="0"/>
        <v>11.637081776234137</v>
      </c>
      <c r="F14" s="302">
        <f>FISCinyear!HW474</f>
        <v>5.8042130028320873</v>
      </c>
      <c r="G14" s="302">
        <f>FISCinyear!HY474</f>
        <v>0</v>
      </c>
      <c r="H14" s="1105">
        <f t="shared" si="1"/>
        <v>5.8042130028320873</v>
      </c>
      <c r="I14" s="302">
        <f>FISCinyear!HZ474</f>
        <v>0</v>
      </c>
      <c r="J14" s="302">
        <f>FISCinyear!IB474</f>
        <v>0</v>
      </c>
      <c r="K14" s="1105">
        <f t="shared" si="2"/>
        <v>0</v>
      </c>
      <c r="L14" s="302">
        <f>FISCinyear!IC474</f>
        <v>0</v>
      </c>
      <c r="M14" s="302">
        <f>FISCinyear!ID474</f>
        <v>0</v>
      </c>
      <c r="N14" s="302">
        <f>FISCinyear!IE474</f>
        <v>0</v>
      </c>
      <c r="O14" s="302">
        <f>FISCinyear!IF474</f>
        <v>0</v>
      </c>
      <c r="P14" s="302">
        <f>FISCinyear!IG474</f>
        <v>0</v>
      </c>
      <c r="Q14" s="302">
        <f>FISCinyear!IH474</f>
        <v>5.6914107684999999</v>
      </c>
      <c r="R14" s="302">
        <f>FISCinyear!II474</f>
        <v>5.6914107684999999</v>
      </c>
      <c r="S14" s="302">
        <f>FISCinyear!IJ474</f>
        <v>11.382821537</v>
      </c>
      <c r="T14" s="302">
        <f>FISCinyear!IM474</f>
        <v>12.352068791000001</v>
      </c>
      <c r="U14" s="1101"/>
      <c r="V14" s="1101"/>
      <c r="W14" s="1101"/>
      <c r="X14" s="1101"/>
    </row>
    <row r="15" spans="1:24" ht="15.5">
      <c r="A15" s="351" t="s">
        <v>327</v>
      </c>
      <c r="B15" s="302"/>
      <c r="C15" s="302">
        <f>FISCinyear!HT475</f>
        <v>147.44559412900645</v>
      </c>
      <c r="D15" s="302">
        <f>FISCinyear!HV475</f>
        <v>134.90330722992758</v>
      </c>
      <c r="E15" s="1105">
        <f t="shared" si="0"/>
        <v>282.34890135893403</v>
      </c>
      <c r="F15" s="302">
        <f>FISCinyear!HW475</f>
        <v>149.77468806979579</v>
      </c>
      <c r="G15" s="302">
        <f>FISCinyear!HY475</f>
        <v>142.36109981161999</v>
      </c>
      <c r="H15" s="1105">
        <f t="shared" si="1"/>
        <v>292.13578788141581</v>
      </c>
      <c r="I15" s="302">
        <f>FISCinyear!HZ475</f>
        <v>174.15362935990004</v>
      </c>
      <c r="J15" s="302">
        <f>FISCinyear!IB475</f>
        <v>0</v>
      </c>
      <c r="K15" s="1105">
        <f t="shared" si="2"/>
        <v>174.15362935990004</v>
      </c>
      <c r="L15" s="302">
        <f>FISCinyear!IC475</f>
        <v>0</v>
      </c>
      <c r="M15" s="302">
        <f>FISCinyear!ID475</f>
        <v>367.84438556264797</v>
      </c>
      <c r="N15" s="302">
        <f>FISCinyear!IE475</f>
        <v>194.07264669808001</v>
      </c>
      <c r="O15" s="302">
        <f>FISCinyear!IF475</f>
        <v>225.75699007869562</v>
      </c>
      <c r="P15" s="302">
        <f>FISCinyear!IG475</f>
        <v>419.8296367767756</v>
      </c>
      <c r="Q15" s="302">
        <f>FISCinyear!IH475</f>
        <v>0</v>
      </c>
      <c r="R15" s="302">
        <f>FISCinyear!II475</f>
        <v>0</v>
      </c>
      <c r="S15" s="302">
        <f>FISCinyear!IJ475</f>
        <v>427.00197743470397</v>
      </c>
      <c r="T15" s="302">
        <f>FISCinyear!IM475</f>
        <v>337.15350616777903</v>
      </c>
      <c r="U15" s="1101"/>
      <c r="V15" s="1101"/>
      <c r="W15" s="1101"/>
      <c r="X15" s="1101"/>
    </row>
    <row r="16" spans="1:24" ht="15.5">
      <c r="A16" s="351" t="s">
        <v>256</v>
      </c>
      <c r="B16" s="302"/>
      <c r="C16" s="302">
        <f>FISCinyear!HT476</f>
        <v>51.942512606400001</v>
      </c>
      <c r="D16" s="302">
        <f>FISCinyear!HV476</f>
        <v>52.698028425919603</v>
      </c>
      <c r="E16" s="1105">
        <f t="shared" si="0"/>
        <v>104.6405410323196</v>
      </c>
      <c r="F16" s="302">
        <f>FISCinyear!HW476</f>
        <v>56.396031371577109</v>
      </c>
      <c r="G16" s="302">
        <f>FISCinyear!HY476</f>
        <v>63.028867612999996</v>
      </c>
      <c r="H16" s="1105">
        <f t="shared" si="1"/>
        <v>119.42489898457711</v>
      </c>
      <c r="I16" s="302">
        <f>FISCinyear!HZ476</f>
        <v>61.042391178800003</v>
      </c>
      <c r="J16" s="302">
        <f>FISCinyear!IB476</f>
        <v>0</v>
      </c>
      <c r="K16" s="1105">
        <f t="shared" si="2"/>
        <v>61.042391178800003</v>
      </c>
      <c r="L16" s="302">
        <f>FISCinyear!IC476</f>
        <v>0</v>
      </c>
      <c r="M16" s="302">
        <f>FISCinyear!ID476</f>
        <v>142.49295850171748</v>
      </c>
      <c r="N16" s="302">
        <f>FISCinyear!IE476</f>
        <v>75.22717085008</v>
      </c>
      <c r="O16" s="302">
        <f>FISCinyear!IF476</f>
        <v>75.621551908000001</v>
      </c>
      <c r="P16" s="302">
        <f>FISCinyear!IG476</f>
        <v>150.84872275807999</v>
      </c>
      <c r="Q16" s="302">
        <f>FISCinyear!IH476</f>
        <v>0</v>
      </c>
      <c r="R16" s="302">
        <f>FISCinyear!II476</f>
        <v>0</v>
      </c>
      <c r="S16" s="302">
        <f>FISCinyear!IJ476</f>
        <v>140.79556880066454</v>
      </c>
      <c r="T16" s="302">
        <f>FISCinyear!IM476</f>
        <v>140.93113582954922</v>
      </c>
      <c r="U16" s="1101"/>
      <c r="V16" s="1101"/>
      <c r="W16" s="1101"/>
      <c r="X16" s="1101"/>
    </row>
    <row r="17" spans="1:24" ht="15.5">
      <c r="A17" s="351" t="s">
        <v>843</v>
      </c>
      <c r="B17" s="302"/>
      <c r="C17" s="302">
        <f>FISCinyear!HT477</f>
        <v>21.814287837999998</v>
      </c>
      <c r="D17" s="302">
        <f>FISCinyear!HV477</f>
        <v>36.811584088000004</v>
      </c>
      <c r="E17" s="1105">
        <f t="shared" si="0"/>
        <v>58.625871926000002</v>
      </c>
      <c r="F17" s="302">
        <f>FISCinyear!HW477</f>
        <v>33.726235435</v>
      </c>
      <c r="G17" s="302">
        <f>FISCinyear!HY477</f>
        <v>24.861945535</v>
      </c>
      <c r="H17" s="1105">
        <f t="shared" si="1"/>
        <v>58.588180969999996</v>
      </c>
      <c r="I17" s="302">
        <f>FISCinyear!HZ477</f>
        <v>24.299204169999999</v>
      </c>
      <c r="J17" s="302">
        <f>FISCinyear!IB477</f>
        <v>0</v>
      </c>
      <c r="K17" s="1105">
        <f t="shared" si="2"/>
        <v>24.299204169999999</v>
      </c>
      <c r="L17" s="302">
        <f>FISCinyear!IC477</f>
        <v>0</v>
      </c>
      <c r="M17" s="302">
        <f>FISCinyear!ID477</f>
        <v>45.414855609714145</v>
      </c>
      <c r="N17" s="302">
        <f>FISCinyear!IE477</f>
        <v>28.898815235000001</v>
      </c>
      <c r="O17" s="302">
        <f>FISCinyear!IF477</f>
        <v>28.698473391534428</v>
      </c>
      <c r="P17" s="302">
        <f>FISCinyear!IG477</f>
        <v>57.597288626534429</v>
      </c>
      <c r="Q17" s="302">
        <f>FISCinyear!IH477</f>
        <v>0</v>
      </c>
      <c r="R17" s="302">
        <f>FISCinyear!II477</f>
        <v>0</v>
      </c>
      <c r="S17" s="302">
        <f>FISCinyear!IJ477</f>
        <v>52.237534284038475</v>
      </c>
      <c r="T17" s="302">
        <f>FISCinyear!IM477</f>
        <v>56.255635505275059</v>
      </c>
      <c r="U17" s="1101"/>
      <c r="V17" s="1101"/>
      <c r="W17" s="1101"/>
      <c r="X17" s="1101"/>
    </row>
    <row r="18" spans="1:24" ht="15.5">
      <c r="A18" s="351" t="s">
        <v>842</v>
      </c>
      <c r="B18" s="302"/>
      <c r="C18" s="302">
        <f>FISCinyear!HT478</f>
        <v>12.587091518106444</v>
      </c>
      <c r="D18" s="302">
        <f>FISCinyear!HV478</f>
        <v>20.983557071</v>
      </c>
      <c r="E18" s="1105">
        <f t="shared" si="0"/>
        <v>33.57064858910644</v>
      </c>
      <c r="F18" s="302">
        <f>FISCinyear!HW478</f>
        <v>24.976526410000005</v>
      </c>
      <c r="G18" s="302">
        <f>FISCinyear!HY478</f>
        <v>27.814645847000001</v>
      </c>
      <c r="H18" s="1105">
        <f t="shared" si="1"/>
        <v>52.791172257000007</v>
      </c>
      <c r="I18" s="302">
        <f>FISCinyear!HZ478</f>
        <v>26.993993271000001</v>
      </c>
      <c r="J18" s="302">
        <f>FISCinyear!IB478</f>
        <v>29.047557370090001</v>
      </c>
      <c r="K18" s="1105">
        <f t="shared" si="2"/>
        <v>56.041550641089998</v>
      </c>
      <c r="L18" s="302">
        <f>FISCinyear!IC478</f>
        <v>28.659181542909995</v>
      </c>
      <c r="M18" s="302">
        <f>FISCinyear!ID478</f>
        <v>57.706738912999995</v>
      </c>
      <c r="N18" s="302">
        <f>FISCinyear!IE478</f>
        <v>30.647492636330004</v>
      </c>
      <c r="O18" s="302">
        <f>FISCinyear!IF478</f>
        <v>31.056416094670002</v>
      </c>
      <c r="P18" s="302">
        <f>FISCinyear!IG478</f>
        <v>61.703908731000006</v>
      </c>
      <c r="Q18" s="302">
        <f>FISCinyear!IH478</f>
        <v>29.61985426272544</v>
      </c>
      <c r="R18" s="302">
        <f>FISCinyear!II478</f>
        <v>29.61985426272544</v>
      </c>
      <c r="S18" s="302">
        <f>FISCinyear!IJ478</f>
        <v>59.23970852545088</v>
      </c>
      <c r="T18" s="302">
        <f>FISCinyear!IM478</f>
        <v>166.4737071976636</v>
      </c>
      <c r="U18" s="1101"/>
      <c r="V18" s="1101"/>
      <c r="W18" s="1101"/>
      <c r="X18" s="1101"/>
    </row>
    <row r="19" spans="1:24" ht="15.5">
      <c r="A19" s="351"/>
      <c r="B19" s="302"/>
      <c r="C19" s="302">
        <f>FISCinyear!HT479</f>
        <v>0</v>
      </c>
      <c r="D19" s="302">
        <f>FISCinyear!HV479</f>
        <v>0</v>
      </c>
      <c r="E19" s="1105">
        <f t="shared" si="0"/>
        <v>0</v>
      </c>
      <c r="F19" s="302">
        <f>FISCinyear!HW479</f>
        <v>0</v>
      </c>
      <c r="G19" s="302">
        <f>FISCinyear!HY479</f>
        <v>0</v>
      </c>
      <c r="H19" s="1105">
        <f t="shared" si="1"/>
        <v>0</v>
      </c>
      <c r="I19" s="302">
        <f>FISCinyear!HZ479</f>
        <v>0</v>
      </c>
      <c r="J19" s="302">
        <f>FISCinyear!IB479</f>
        <v>0</v>
      </c>
      <c r="K19" s="1105">
        <f t="shared" si="2"/>
        <v>0</v>
      </c>
      <c r="L19" s="302">
        <f>FISCinyear!IC479</f>
        <v>0</v>
      </c>
      <c r="M19" s="302">
        <f>FISCinyear!ID479</f>
        <v>0</v>
      </c>
      <c r="N19" s="302">
        <f>FISCinyear!IE479</f>
        <v>0</v>
      </c>
      <c r="O19" s="302">
        <f>FISCinyear!IF479</f>
        <v>0</v>
      </c>
      <c r="P19" s="302">
        <f>FISCinyear!IG479</f>
        <v>0</v>
      </c>
      <c r="Q19" s="302">
        <f>FISCinyear!IH479</f>
        <v>0</v>
      </c>
      <c r="R19" s="302">
        <f>FISCinyear!II479</f>
        <v>0</v>
      </c>
      <c r="S19" s="302">
        <f>FISCinyear!IJ479</f>
        <v>0</v>
      </c>
      <c r="T19" s="302">
        <f>FISCinyear!IM479</f>
        <v>0</v>
      </c>
      <c r="U19" s="1101"/>
      <c r="V19" s="1101"/>
      <c r="W19" s="1101"/>
      <c r="X19" s="1101"/>
    </row>
    <row r="20" spans="1:24" ht="15.5">
      <c r="A20" s="345" t="s">
        <v>144</v>
      </c>
      <c r="B20" s="302"/>
      <c r="C20" s="302">
        <f>FISCinyear!HT480</f>
        <v>34.680004958999994</v>
      </c>
      <c r="D20" s="302">
        <f>FISCinyear!HV480</f>
        <v>41.173966395842065</v>
      </c>
      <c r="E20" s="1105">
        <f t="shared" si="0"/>
        <v>75.853971354842059</v>
      </c>
      <c r="F20" s="302">
        <f>FISCinyear!HW480</f>
        <v>42.711120643794501</v>
      </c>
      <c r="G20" s="302">
        <f>FISCinyear!HY480</f>
        <v>42.808279922999994</v>
      </c>
      <c r="H20" s="1105">
        <f t="shared" si="1"/>
        <v>85.519400566794502</v>
      </c>
      <c r="I20" s="302">
        <f>FISCinyear!HZ480</f>
        <v>48.395593366</v>
      </c>
      <c r="J20" s="302">
        <f>FISCinyear!IB480</f>
        <v>48.395099975000001</v>
      </c>
      <c r="K20" s="1105">
        <f t="shared" si="2"/>
        <v>96.790693341000008</v>
      </c>
      <c r="L20" s="302">
        <f>FISCinyear!IC480</f>
        <v>49.736180159999996</v>
      </c>
      <c r="M20" s="302">
        <f>FISCinyear!ID480</f>
        <v>98.131280134999997</v>
      </c>
      <c r="N20" s="302">
        <f>FISCinyear!IE480</f>
        <v>53.614203290999995</v>
      </c>
      <c r="O20" s="302">
        <f>FISCinyear!IF480</f>
        <v>58.113616827945251</v>
      </c>
      <c r="P20" s="302">
        <f>FISCinyear!IG480</f>
        <v>111.72782011894525</v>
      </c>
      <c r="Q20" s="302" t="e">
        <f>FISCinyear!IH480</f>
        <v>#REF!</v>
      </c>
      <c r="R20" s="302" t="e">
        <f>FISCinyear!II480</f>
        <v>#REF!</v>
      </c>
      <c r="S20" s="302">
        <f>FISCinyear!IJ480</f>
        <v>108.26115157472482</v>
      </c>
      <c r="T20" s="302">
        <f>FISCinyear!IM480</f>
        <v>108.36539237425878</v>
      </c>
      <c r="U20" s="1101"/>
      <c r="V20" s="1101"/>
      <c r="W20" s="1101"/>
      <c r="X20" s="1101"/>
    </row>
    <row r="21" spans="1:24" ht="15.5">
      <c r="A21" s="351" t="s">
        <v>143</v>
      </c>
      <c r="B21" s="302"/>
      <c r="C21" s="302">
        <f>FISCinyear!HT481</f>
        <v>3.48655348</v>
      </c>
      <c r="D21" s="302">
        <f>FISCinyear!HV481</f>
        <v>3.8414197063896056</v>
      </c>
      <c r="E21" s="1105">
        <f t="shared" si="0"/>
        <v>7.327973186389606</v>
      </c>
      <c r="F21" s="302">
        <f>FISCinyear!HW481</f>
        <v>4.9115567251281078</v>
      </c>
      <c r="G21" s="302">
        <f>FISCinyear!HY481</f>
        <v>0</v>
      </c>
      <c r="H21" s="1105">
        <f t="shared" si="1"/>
        <v>4.9115567251281078</v>
      </c>
      <c r="I21" s="302">
        <f>FISCinyear!HZ481</f>
        <v>0</v>
      </c>
      <c r="J21" s="302">
        <f>FISCinyear!IB481</f>
        <v>0</v>
      </c>
      <c r="K21" s="1105">
        <f t="shared" si="2"/>
        <v>0</v>
      </c>
      <c r="L21" s="302">
        <f>FISCinyear!IC481</f>
        <v>0</v>
      </c>
      <c r="M21" s="302">
        <f>FISCinyear!ID481</f>
        <v>0</v>
      </c>
      <c r="N21" s="302">
        <f>FISCinyear!IE481</f>
        <v>0</v>
      </c>
      <c r="O21" s="302">
        <f>FISCinyear!IF481</f>
        <v>0</v>
      </c>
      <c r="P21" s="302">
        <f>FISCinyear!IG481</f>
        <v>0</v>
      </c>
      <c r="Q21" s="302">
        <f>FISCinyear!IH481</f>
        <v>0</v>
      </c>
      <c r="R21" s="302">
        <f>FISCinyear!II481</f>
        <v>0</v>
      </c>
      <c r="S21" s="302">
        <f>FISCinyear!IJ481</f>
        <v>0</v>
      </c>
      <c r="T21" s="302">
        <f>FISCinyear!IM481</f>
        <v>0</v>
      </c>
      <c r="U21" s="1101"/>
      <c r="V21" s="1101"/>
      <c r="W21" s="1101"/>
      <c r="X21" s="1101"/>
    </row>
    <row r="22" spans="1:24" ht="15.5">
      <c r="A22" s="351" t="s">
        <v>304</v>
      </c>
      <c r="B22" s="302"/>
      <c r="C22" s="302">
        <f>FISCinyear!HT482</f>
        <v>0</v>
      </c>
      <c r="D22" s="302">
        <f>FISCinyear!HV482</f>
        <v>4.4000000000000004</v>
      </c>
      <c r="E22" s="1105">
        <f t="shared" si="0"/>
        <v>4.4000000000000004</v>
      </c>
      <c r="F22" s="302">
        <f>FISCinyear!HW482</f>
        <v>4.4000000000000004</v>
      </c>
      <c r="G22" s="302">
        <f>FISCinyear!HY482</f>
        <v>5.1531479639999995</v>
      </c>
      <c r="H22" s="1105">
        <f t="shared" si="1"/>
        <v>9.5531479640000008</v>
      </c>
      <c r="I22" s="302">
        <f>FISCinyear!HZ482</f>
        <v>5.4669661290000002</v>
      </c>
      <c r="J22" s="302">
        <f>FISCinyear!IB482</f>
        <v>5.4</v>
      </c>
      <c r="K22" s="1105">
        <f t="shared" si="2"/>
        <v>10.866966129000001</v>
      </c>
      <c r="L22" s="302">
        <f>FISCinyear!IC482</f>
        <v>6.0352793899999995</v>
      </c>
      <c r="M22" s="302">
        <f>FISCinyear!ID482</f>
        <v>11.43527939</v>
      </c>
      <c r="N22" s="302">
        <f>FISCinyear!IE482</f>
        <v>6.4895929419999998</v>
      </c>
      <c r="O22" s="302">
        <f>FISCinyear!IF482</f>
        <v>6.5243584779999999</v>
      </c>
      <c r="P22" s="302">
        <f>FISCinyear!IG482</f>
        <v>13.01395142</v>
      </c>
      <c r="Q22" s="302">
        <f>FISCinyear!IH482</f>
        <v>7.1663822449999994</v>
      </c>
      <c r="R22" s="302">
        <f>FISCinyear!II482</f>
        <v>7.1663822449999994</v>
      </c>
      <c r="S22" s="302">
        <f>FISCinyear!IJ482</f>
        <v>14.332764489999999</v>
      </c>
      <c r="T22" s="302">
        <f>FISCinyear!IM482</f>
        <v>14.850065997</v>
      </c>
      <c r="U22" s="1101"/>
      <c r="V22" s="1101"/>
      <c r="W22" s="1101"/>
      <c r="X22" s="1101"/>
    </row>
    <row r="23" spans="1:24" ht="15.5">
      <c r="A23" s="351" t="s">
        <v>858</v>
      </c>
      <c r="B23" s="302"/>
      <c r="C23" s="302">
        <f>FISCinyear!HT483</f>
        <v>0</v>
      </c>
      <c r="D23" s="302">
        <f>FISCinyear!HV483</f>
        <v>0</v>
      </c>
      <c r="E23" s="1105">
        <f t="shared" si="0"/>
        <v>0</v>
      </c>
      <c r="F23" s="302">
        <f>FISCinyear!HW483</f>
        <v>0</v>
      </c>
      <c r="G23" s="302">
        <f>FISCinyear!HY483</f>
        <v>0</v>
      </c>
      <c r="H23" s="1105">
        <f t="shared" si="1"/>
        <v>0</v>
      </c>
      <c r="I23" s="302">
        <f>FISCinyear!HZ483</f>
        <v>0</v>
      </c>
      <c r="J23" s="302">
        <f>FISCinyear!IB483</f>
        <v>0</v>
      </c>
      <c r="K23" s="1105">
        <f t="shared" si="2"/>
        <v>0</v>
      </c>
      <c r="L23" s="302">
        <f>FISCinyear!IC483</f>
        <v>0</v>
      </c>
      <c r="M23" s="302">
        <f>FISCinyear!ID483</f>
        <v>0</v>
      </c>
      <c r="N23" s="302">
        <f>FISCinyear!IE483</f>
        <v>0</v>
      </c>
      <c r="O23" s="302">
        <f>FISCinyear!IF483</f>
        <v>0</v>
      </c>
      <c r="P23" s="302">
        <f>FISCinyear!IG483</f>
        <v>0</v>
      </c>
      <c r="Q23" s="302">
        <f>FISCinyear!IH483</f>
        <v>0</v>
      </c>
      <c r="R23" s="302">
        <f>FISCinyear!II483</f>
        <v>0</v>
      </c>
      <c r="S23" s="302">
        <f>FISCinyear!IJ483</f>
        <v>0</v>
      </c>
      <c r="T23" s="302">
        <f>FISCinyear!IM483</f>
        <v>0</v>
      </c>
      <c r="U23" s="1101"/>
      <c r="V23" s="1101"/>
      <c r="W23" s="1101"/>
      <c r="X23" s="1101"/>
    </row>
    <row r="24" spans="1:24" ht="15.5">
      <c r="A24" s="345" t="s">
        <v>145</v>
      </c>
      <c r="B24" s="302"/>
      <c r="C24" s="302">
        <f>FISCinyear!HT485</f>
        <v>90.065874142325129</v>
      </c>
      <c r="D24" s="302">
        <f>FISCinyear!HV485</f>
        <v>76.840035581604042</v>
      </c>
      <c r="E24" s="1105">
        <f t="shared" si="0"/>
        <v>166.90590972392917</v>
      </c>
      <c r="F24" s="302">
        <f>FISCinyear!HW485</f>
        <v>90.756212684842524</v>
      </c>
      <c r="G24" s="302">
        <f>FISCinyear!HY485</f>
        <v>90.449107151603783</v>
      </c>
      <c r="H24" s="1105">
        <f t="shared" si="1"/>
        <v>181.20531983644631</v>
      </c>
      <c r="I24" s="302">
        <f>FISCinyear!HZ485</f>
        <v>90.98759331897763</v>
      </c>
      <c r="J24" s="302">
        <f>FISCinyear!IB485</f>
        <v>106.2738242450184</v>
      </c>
      <c r="K24" s="1105">
        <f t="shared" si="2"/>
        <v>197.26141756399602</v>
      </c>
      <c r="L24" s="302">
        <f>FISCinyear!IC485</f>
        <v>102.34630058747493</v>
      </c>
      <c r="M24" s="302">
        <f>FISCinyear!ID485</f>
        <v>208.62012483249333</v>
      </c>
      <c r="N24" s="302">
        <f>FISCinyear!IE485</f>
        <v>149.69167547371146</v>
      </c>
      <c r="O24" s="302">
        <f>FISCinyear!IF485</f>
        <v>101.72058282493688</v>
      </c>
      <c r="P24" s="302">
        <f>FISCinyear!IG485</f>
        <v>251.41225829864834</v>
      </c>
      <c r="Q24" s="302">
        <f>FISCinyear!IH485</f>
        <v>145.298990572523</v>
      </c>
      <c r="R24" s="302">
        <f>FISCinyear!II485</f>
        <v>96.367906983169632</v>
      </c>
      <c r="S24" s="302">
        <f>FISCinyear!IJ485</f>
        <v>241.66689755569263</v>
      </c>
      <c r="T24" s="302">
        <f>FISCinyear!IM485</f>
        <v>219.33821574565292</v>
      </c>
      <c r="U24" s="1101"/>
      <c r="V24" s="1101"/>
      <c r="W24" s="1101"/>
      <c r="X24" s="1101"/>
    </row>
    <row r="25" spans="1:24" ht="15.5">
      <c r="A25" s="351" t="s">
        <v>823</v>
      </c>
      <c r="B25" s="302"/>
      <c r="C25" s="302">
        <f>FISCinyear!HT486</f>
        <v>59.061789243735134</v>
      </c>
      <c r="D25" s="302">
        <f>FISCinyear!HV486</f>
        <v>57.098744767604046</v>
      </c>
      <c r="E25" s="1105">
        <f t="shared" si="0"/>
        <v>116.16053401133918</v>
      </c>
      <c r="F25" s="302">
        <f>FISCinyear!HW486</f>
        <v>65.777742788951599</v>
      </c>
      <c r="G25" s="302">
        <f>FISCinyear!HY486</f>
        <v>66.997889641222542</v>
      </c>
      <c r="H25" s="1105">
        <f t="shared" si="1"/>
        <v>132.77563243017414</v>
      </c>
      <c r="I25" s="302">
        <f>FISCinyear!HZ486</f>
        <v>61.501410915837631</v>
      </c>
      <c r="J25" s="302">
        <f>FISCinyear!IB486</f>
        <v>77.381789827000006</v>
      </c>
      <c r="K25" s="1105">
        <f t="shared" si="2"/>
        <v>138.88320074283763</v>
      </c>
      <c r="L25" s="302">
        <f>FISCinyear!IC486</f>
        <v>72.670963542999999</v>
      </c>
      <c r="M25" s="302">
        <f>FISCinyear!ID486</f>
        <v>150.05275337</v>
      </c>
      <c r="N25" s="302">
        <f>FISCinyear!IE486</f>
        <v>98.833311996711444</v>
      </c>
      <c r="O25" s="302">
        <f>FISCinyear!IF486</f>
        <v>52.194492686836881</v>
      </c>
      <c r="P25" s="302">
        <f>FISCinyear!IG486</f>
        <v>151.02780468354831</v>
      </c>
      <c r="Q25" s="302">
        <f>FISCinyear!IH486</f>
        <v>95.510138100523207</v>
      </c>
      <c r="R25" s="302">
        <f>FISCinyear!II486</f>
        <v>73.767482580684018</v>
      </c>
      <c r="S25" s="302">
        <f>FISCinyear!IJ486</f>
        <v>169.27762068120722</v>
      </c>
      <c r="T25" s="302">
        <f>FISCinyear!IM486</f>
        <v>141.91716108631363</v>
      </c>
      <c r="U25" s="1101"/>
      <c r="V25" s="1101"/>
      <c r="W25" s="1101"/>
      <c r="X25" s="1101"/>
    </row>
    <row r="26" spans="1:24" ht="15.5">
      <c r="A26" s="351" t="s">
        <v>1064</v>
      </c>
      <c r="B26" s="302"/>
      <c r="C26" s="302">
        <f>FISCinyear!HT487</f>
        <v>31.004084898589994</v>
      </c>
      <c r="D26" s="302">
        <f>FISCinyear!HV487</f>
        <v>19.741290814000003</v>
      </c>
      <c r="E26" s="1105">
        <f t="shared" si="0"/>
        <v>50.745375712589997</v>
      </c>
      <c r="F26" s="302">
        <f>FISCinyear!HW487</f>
        <v>24.978469895890932</v>
      </c>
      <c r="G26" s="302">
        <f>FISCinyear!HY487</f>
        <v>23.451217510381241</v>
      </c>
      <c r="H26" s="1105">
        <f t="shared" si="1"/>
        <v>48.429687406272173</v>
      </c>
      <c r="I26" s="302">
        <f>FISCinyear!HZ487</f>
        <v>29.486182403139992</v>
      </c>
      <c r="J26" s="302">
        <f>FISCinyear!IB487</f>
        <v>28.892034418018401</v>
      </c>
      <c r="K26" s="1105">
        <f t="shared" si="2"/>
        <v>58.378216821158389</v>
      </c>
      <c r="L26" s="302">
        <f>FISCinyear!IC487</f>
        <v>29.675337044474926</v>
      </c>
      <c r="M26" s="302">
        <f>FISCinyear!ID487</f>
        <v>58.567371462493327</v>
      </c>
      <c r="N26" s="302">
        <f>FISCinyear!IE487</f>
        <v>37.205459984000001</v>
      </c>
      <c r="O26" s="302">
        <f>FISCinyear!IF487</f>
        <v>34.821561939099993</v>
      </c>
      <c r="P26" s="302">
        <f>FISCinyear!IG487</f>
        <v>72.027021923099994</v>
      </c>
      <c r="Q26" s="302">
        <f>FISCinyear!IH487</f>
        <v>49.788852472000002</v>
      </c>
      <c r="R26" s="302">
        <f>FISCinyear!II487</f>
        <v>22.600424402485388</v>
      </c>
      <c r="S26" s="302">
        <f>FISCinyear!IJ487</f>
        <v>72.38927687448539</v>
      </c>
      <c r="T26" s="302">
        <f>FISCinyear!IM487</f>
        <v>77.421054659339276</v>
      </c>
      <c r="U26" s="1101"/>
      <c r="V26" s="1101"/>
      <c r="W26" s="1101"/>
      <c r="X26" s="1101"/>
    </row>
    <row r="27" spans="1:24" ht="15.5">
      <c r="A27" s="351" t="s">
        <v>349</v>
      </c>
      <c r="B27" s="302"/>
      <c r="C27" s="302">
        <f>FISCinyear!HT488</f>
        <v>17.86608489859</v>
      </c>
      <c r="D27" s="302">
        <f>FISCinyear!HV488</f>
        <v>12.254290814000001</v>
      </c>
      <c r="E27" s="1105">
        <f t="shared" si="0"/>
        <v>30.12037571259</v>
      </c>
      <c r="F27" s="302">
        <f>FISCinyear!HW488</f>
        <v>14.492469895890931</v>
      </c>
      <c r="G27" s="302">
        <f>FISCinyear!HY488</f>
        <v>15.075029069381241</v>
      </c>
      <c r="H27" s="1105">
        <f t="shared" si="1"/>
        <v>29.567498965272172</v>
      </c>
      <c r="I27" s="302">
        <f>FISCinyear!HZ488</f>
        <v>15.372309022819994</v>
      </c>
      <c r="J27" s="302">
        <f>FISCinyear!IB488</f>
        <v>18.498162561348384</v>
      </c>
      <c r="K27" s="1105">
        <f t="shared" si="2"/>
        <v>33.870471584168378</v>
      </c>
      <c r="L27" s="302">
        <f>FISCinyear!IC488</f>
        <v>16.453426911267623</v>
      </c>
      <c r="M27" s="302">
        <f>FISCinyear!ID488</f>
        <v>34.951589472616007</v>
      </c>
      <c r="N27" s="302">
        <f>FISCinyear!IE488</f>
        <v>20.893044108000002</v>
      </c>
      <c r="O27" s="302">
        <f>FISCinyear!IF488</f>
        <v>20.348588618000001</v>
      </c>
      <c r="P27" s="302">
        <f>FISCinyear!IG488</f>
        <v>41.241632726000006</v>
      </c>
      <c r="Q27" s="302">
        <f>FISCinyear!IH488</f>
        <v>17.600000000000001</v>
      </c>
      <c r="R27" s="302">
        <f>FISCinyear!II488</f>
        <v>11.023589416551399</v>
      </c>
      <c r="S27" s="302">
        <f>FISCinyear!IJ488</f>
        <v>28.6235894165514</v>
      </c>
      <c r="T27" s="302">
        <f>FISCinyear!IM488</f>
        <v>34.968337825143301</v>
      </c>
      <c r="U27" s="1101"/>
      <c r="V27" s="1101"/>
      <c r="W27" s="1101"/>
      <c r="X27" s="1101"/>
    </row>
    <row r="28" spans="1:24" ht="15.5">
      <c r="A28" s="345" t="s">
        <v>146</v>
      </c>
      <c r="B28" s="302"/>
      <c r="C28" s="302">
        <f>FISCinyear!HT491</f>
        <v>174.9744485179902</v>
      </c>
      <c r="D28" s="302">
        <f>FISCinyear!HV491</f>
        <v>199.62711379098033</v>
      </c>
      <c r="E28" s="1105">
        <f t="shared" si="0"/>
        <v>374.60156230897053</v>
      </c>
      <c r="F28" s="302">
        <f>FISCinyear!HW491</f>
        <v>174.11989648674677</v>
      </c>
      <c r="G28" s="302">
        <f>FISCinyear!HY491</f>
        <v>121.91585969348124</v>
      </c>
      <c r="H28" s="1105">
        <f t="shared" si="1"/>
        <v>296.03575618022802</v>
      </c>
      <c r="I28" s="302">
        <f>FISCinyear!HZ491</f>
        <v>119.75820884124263</v>
      </c>
      <c r="J28" s="302">
        <f>FISCinyear!IB491</f>
        <v>194.76461911498851</v>
      </c>
      <c r="K28" s="1105">
        <f t="shared" si="2"/>
        <v>314.52282795623114</v>
      </c>
      <c r="L28" s="302">
        <f>FISCinyear!IC491</f>
        <v>164.14405775372194</v>
      </c>
      <c r="M28" s="302">
        <f>FISCinyear!ID491</f>
        <v>358.90867686871047</v>
      </c>
      <c r="N28" s="302">
        <f>FISCinyear!IE491</f>
        <v>234.55218751628504</v>
      </c>
      <c r="O28" s="302">
        <f>FISCinyear!IF491</f>
        <v>160.22143698803012</v>
      </c>
      <c r="P28" s="302">
        <f>FISCinyear!IG491</f>
        <v>394.77362450431519</v>
      </c>
      <c r="Q28" s="302">
        <f>FISCinyear!IH491</f>
        <v>221.14359889992647</v>
      </c>
      <c r="R28" s="302">
        <f>FISCinyear!II491</f>
        <v>210.93867897822892</v>
      </c>
      <c r="S28" s="302">
        <f>FISCinyear!IJ491</f>
        <v>432.08227787815542</v>
      </c>
      <c r="T28" s="302">
        <f>FISCinyear!IM491</f>
        <v>492.32368499074391</v>
      </c>
      <c r="U28" s="1101"/>
      <c r="V28" s="1101"/>
      <c r="W28" s="1101"/>
      <c r="X28" s="1101"/>
    </row>
    <row r="29" spans="1:24" ht="15.5">
      <c r="A29" s="599" t="s">
        <v>147</v>
      </c>
      <c r="B29" s="302"/>
      <c r="C29" s="302">
        <f>FISCinyear!HT492</f>
        <v>59.418795960626198</v>
      </c>
      <c r="D29" s="302">
        <f>FISCinyear!HV492</f>
        <v>102.88711379098034</v>
      </c>
      <c r="E29" s="1105">
        <f t="shared" si="0"/>
        <v>162.30590975160652</v>
      </c>
      <c r="F29" s="302">
        <f>FISCinyear!HW492</f>
        <v>101.91989648674678</v>
      </c>
      <c r="G29" s="302">
        <f>FISCinyear!HY492</f>
        <v>92.465924165473268</v>
      </c>
      <c r="H29" s="1105">
        <f t="shared" si="1"/>
        <v>194.38582065222005</v>
      </c>
      <c r="I29" s="302">
        <f>FISCinyear!HZ492</f>
        <v>91.716159781045263</v>
      </c>
      <c r="J29" s="302">
        <f>FISCinyear!IB492</f>
        <v>109.6096191149885</v>
      </c>
      <c r="K29" s="1105">
        <f t="shared" si="2"/>
        <v>201.32577889603377</v>
      </c>
      <c r="L29" s="302">
        <f>FISCinyear!IC492</f>
        <v>80.589057753721931</v>
      </c>
      <c r="M29" s="302">
        <f>FISCinyear!ID492</f>
        <v>190.19867686871044</v>
      </c>
      <c r="N29" s="302">
        <f>FISCinyear!IE492</f>
        <v>106.75215897313839</v>
      </c>
      <c r="O29" s="302">
        <f>FISCinyear!IF492</f>
        <v>54.945933537007093</v>
      </c>
      <c r="P29" s="302">
        <f>FISCinyear!IG492</f>
        <v>161.6980925101455</v>
      </c>
      <c r="Q29" s="302">
        <f>FISCinyear!IH492</f>
        <v>91.34218276878147</v>
      </c>
      <c r="R29" s="302">
        <f>FISCinyear!II492</f>
        <v>81.045469537872549</v>
      </c>
      <c r="S29" s="302">
        <f>FISCinyear!IJ492</f>
        <v>172.38765230665402</v>
      </c>
      <c r="T29" s="302">
        <f>FISCinyear!IM492</f>
        <v>203.37815939767054</v>
      </c>
      <c r="U29" s="1101"/>
      <c r="V29" s="1101"/>
      <c r="W29" s="1101"/>
      <c r="X29" s="1101"/>
    </row>
    <row r="30" spans="1:24" ht="15.5">
      <c r="A30" s="351" t="s">
        <v>822</v>
      </c>
      <c r="B30" s="302"/>
      <c r="C30" s="302">
        <f>FISCinyear!HT493</f>
        <v>23.604926840818479</v>
      </c>
      <c r="D30" s="302">
        <f>FISCinyear!HV493</f>
        <v>61.937308701320454</v>
      </c>
      <c r="E30" s="1105">
        <f t="shared" si="0"/>
        <v>85.54223554213894</v>
      </c>
      <c r="F30" s="302">
        <f>FISCinyear!HW493</f>
        <v>72.48733506835643</v>
      </c>
      <c r="G30" s="302">
        <f>FISCinyear!HY493</f>
        <v>66.454530582311804</v>
      </c>
      <c r="H30" s="1105">
        <f t="shared" si="1"/>
        <v>138.94186565066823</v>
      </c>
      <c r="I30" s="302">
        <f>FISCinyear!HZ493</f>
        <v>63.674110720847899</v>
      </c>
      <c r="J30" s="302">
        <f>FISCinyear!IB493</f>
        <v>73.093899166988507</v>
      </c>
      <c r="K30" s="1105">
        <f t="shared" si="2"/>
        <v>136.7680098878364</v>
      </c>
      <c r="L30" s="302">
        <f>FISCinyear!IC493</f>
        <v>46.116443428721951</v>
      </c>
      <c r="M30" s="302">
        <f>FISCinyear!ID493</f>
        <v>119.21034259571046</v>
      </c>
      <c r="N30" s="302">
        <f>FISCinyear!IE493</f>
        <v>75.679391917454709</v>
      </c>
      <c r="O30" s="302">
        <f>FISCinyear!IF493</f>
        <v>0.41398817423962608</v>
      </c>
      <c r="P30" s="302">
        <f>FISCinyear!IG493</f>
        <v>76.093380091694328</v>
      </c>
      <c r="Q30" s="302">
        <f>FISCinyear!IH493</f>
        <v>59.537980413445503</v>
      </c>
      <c r="R30" s="302">
        <f>FISCinyear!II493</f>
        <v>36.339740893699307</v>
      </c>
      <c r="S30" s="302">
        <f>FISCinyear!IJ493</f>
        <v>95.87772130714481</v>
      </c>
      <c r="T30" s="302">
        <f>FISCinyear!IM493</f>
        <v>79.709373117889641</v>
      </c>
      <c r="U30" s="1101"/>
      <c r="V30" s="1101"/>
      <c r="W30" s="1101"/>
      <c r="X30" s="1101"/>
    </row>
    <row r="31" spans="1:24" ht="15.5">
      <c r="A31" s="351" t="s">
        <v>150</v>
      </c>
      <c r="B31" s="302"/>
      <c r="C31" s="302">
        <f>FISCinyear!HT494</f>
        <v>35.81386911980772</v>
      </c>
      <c r="D31" s="302">
        <f>FISCinyear!HV494</f>
        <v>40.949805089659883</v>
      </c>
      <c r="E31" s="1105">
        <f t="shared" si="0"/>
        <v>76.763674209467609</v>
      </c>
      <c r="F31" s="302">
        <f>FISCinyear!HW494</f>
        <v>29.43256141839035</v>
      </c>
      <c r="G31" s="302">
        <f>FISCinyear!HY494</f>
        <v>26.01139358316146</v>
      </c>
      <c r="H31" s="1105">
        <f t="shared" si="1"/>
        <v>55.443955001551814</v>
      </c>
      <c r="I31" s="302">
        <f>FISCinyear!HZ494</f>
        <v>28.042049060197375</v>
      </c>
      <c r="J31" s="302">
        <f>FISCinyear!IB494</f>
        <v>36.515719947999997</v>
      </c>
      <c r="K31" s="1105">
        <f t="shared" si="2"/>
        <v>64.557769008197369</v>
      </c>
      <c r="L31" s="302">
        <f>FISCinyear!IC494</f>
        <v>33.055933906000007</v>
      </c>
      <c r="M31" s="302">
        <f>FISCinyear!ID494</f>
        <v>69.571653854000004</v>
      </c>
      <c r="N31" s="302">
        <f>FISCinyear!IE494</f>
        <v>29.906014974000001</v>
      </c>
      <c r="O31" s="302">
        <f>FISCinyear!IF494</f>
        <v>53.089370699131393</v>
      </c>
      <c r="P31" s="302">
        <f>FISCinyear!IG494</f>
        <v>82.995385673131395</v>
      </c>
      <c r="Q31" s="302">
        <f>FISCinyear!IH494</f>
        <v>31.804202355335967</v>
      </c>
      <c r="R31" s="302">
        <f>FISCinyear!II494</f>
        <v>34.57366317529921</v>
      </c>
      <c r="S31" s="302">
        <f>FISCinyear!IJ494</f>
        <v>66.377865530635177</v>
      </c>
      <c r="T31" s="302">
        <f>FISCinyear!IM494</f>
        <v>68.286440499139502</v>
      </c>
      <c r="U31" s="1101"/>
      <c r="V31" s="1101"/>
      <c r="W31" s="1101"/>
      <c r="X31" s="1101"/>
    </row>
    <row r="32" spans="1:24" ht="15.5">
      <c r="A32" s="351" t="s">
        <v>779</v>
      </c>
      <c r="B32" s="302"/>
      <c r="C32" s="302">
        <f>FISCinyear!HT496</f>
        <v>0</v>
      </c>
      <c r="D32" s="302">
        <f>FISCinyear!HV496</f>
        <v>0</v>
      </c>
      <c r="E32" s="1105">
        <f t="shared" si="0"/>
        <v>0</v>
      </c>
      <c r="F32" s="302">
        <f>FISCinyear!HW496</f>
        <v>0</v>
      </c>
      <c r="G32" s="302">
        <f>FISCinyear!HY496</f>
        <v>0</v>
      </c>
      <c r="H32" s="1105">
        <f t="shared" si="1"/>
        <v>0</v>
      </c>
      <c r="I32" s="302">
        <f>FISCinyear!HZ496</f>
        <v>0</v>
      </c>
      <c r="J32" s="302">
        <f>FISCinyear!IB496</f>
        <v>0</v>
      </c>
      <c r="K32" s="1105">
        <f t="shared" si="2"/>
        <v>0</v>
      </c>
      <c r="L32" s="302">
        <f>FISCinyear!IC496</f>
        <v>1.4166804189999738</v>
      </c>
      <c r="M32" s="302">
        <f>FISCinyear!ID496</f>
        <v>0</v>
      </c>
      <c r="N32" s="302">
        <f>FISCinyear!IE496</f>
        <v>0</v>
      </c>
      <c r="O32" s="302">
        <f>FISCinyear!IF496</f>
        <v>0</v>
      </c>
      <c r="P32" s="302">
        <f>FISCinyear!IG496</f>
        <v>0</v>
      </c>
      <c r="Q32" s="302">
        <f>FISCinyear!IH496</f>
        <v>0</v>
      </c>
      <c r="R32" s="302">
        <f>FISCinyear!II496</f>
        <v>0</v>
      </c>
      <c r="S32" s="302">
        <f>FISCinyear!IJ496</f>
        <v>0</v>
      </c>
      <c r="T32" s="302">
        <f>FISCinyear!IM496</f>
        <v>55.382345780641401</v>
      </c>
      <c r="U32" s="1101"/>
      <c r="V32" s="1101"/>
      <c r="W32" s="1101"/>
      <c r="X32" s="1101"/>
    </row>
    <row r="33" spans="1:24" ht="15.5">
      <c r="A33" s="599" t="s">
        <v>148</v>
      </c>
      <c r="B33" s="302"/>
      <c r="C33" s="302">
        <f>FISCinyear!HT497</f>
        <v>115.555652557364</v>
      </c>
      <c r="D33" s="302">
        <f>FISCinyear!HV497</f>
        <v>96.739999999999981</v>
      </c>
      <c r="E33" s="1105">
        <f t="shared" si="0"/>
        <v>212.29565255736398</v>
      </c>
      <c r="F33" s="302">
        <f>FISCinyear!HW497</f>
        <v>72.2</v>
      </c>
      <c r="G33" s="302">
        <f>FISCinyear!HY497</f>
        <v>29.449935528007973</v>
      </c>
      <c r="H33" s="1105">
        <f t="shared" si="1"/>
        <v>101.64993552800797</v>
      </c>
      <c r="I33" s="302">
        <f>FISCinyear!HZ497</f>
        <v>28.042049060197375</v>
      </c>
      <c r="J33" s="302">
        <f>FISCinyear!IB497</f>
        <v>85.155000000000001</v>
      </c>
      <c r="K33" s="1105">
        <f t="shared" si="2"/>
        <v>113.19704906019737</v>
      </c>
      <c r="L33" s="302">
        <f>FISCinyear!IC497</f>
        <v>83.555000000000007</v>
      </c>
      <c r="M33" s="302">
        <f>FISCinyear!ID497</f>
        <v>168.71</v>
      </c>
      <c r="N33" s="302">
        <f>FISCinyear!IE497</f>
        <v>127.80002854314665</v>
      </c>
      <c r="O33" s="302">
        <f>FISCinyear!IF497</f>
        <v>105.27550345102301</v>
      </c>
      <c r="P33" s="302">
        <f>FISCinyear!IG497</f>
        <v>233.07553199416967</v>
      </c>
      <c r="Q33" s="302">
        <f>FISCinyear!IH497</f>
        <v>129.801416131145</v>
      </c>
      <c r="R33" s="302">
        <f>FISCinyear!II497</f>
        <v>129.89320944035637</v>
      </c>
      <c r="S33" s="302">
        <f>FISCinyear!IJ497</f>
        <v>259.69462557150138</v>
      </c>
      <c r="T33" s="302">
        <f>FISCinyear!IM497</f>
        <v>288.9455255930734</v>
      </c>
      <c r="U33" s="1101"/>
      <c r="V33" s="1101"/>
      <c r="W33" s="1101"/>
      <c r="X33" s="1101"/>
    </row>
    <row r="34" spans="1:24" ht="15.5">
      <c r="A34" s="351" t="s">
        <v>149</v>
      </c>
      <c r="B34" s="302"/>
      <c r="C34" s="302">
        <f>FISCinyear!HT498</f>
        <v>115.555652557364</v>
      </c>
      <c r="D34" s="302">
        <f>FISCinyear!HV498</f>
        <v>96.739999999999981</v>
      </c>
      <c r="E34" s="1105">
        <f t="shared" si="0"/>
        <v>212.29565255736398</v>
      </c>
      <c r="F34" s="302">
        <f>FISCinyear!HW498</f>
        <v>72.2</v>
      </c>
      <c r="G34" s="302">
        <f>FISCinyear!HY498</f>
        <v>29.449935528007973</v>
      </c>
      <c r="H34" s="1105">
        <f t="shared" si="1"/>
        <v>101.64993552800797</v>
      </c>
      <c r="I34" s="302">
        <f>FISCinyear!HZ498</f>
        <v>28.042049060197375</v>
      </c>
      <c r="J34" s="302">
        <f>FISCinyear!IB498</f>
        <v>85.155000000000001</v>
      </c>
      <c r="K34" s="1105">
        <f t="shared" si="2"/>
        <v>113.19704906019737</v>
      </c>
      <c r="L34" s="302">
        <f>FISCinyear!IC498</f>
        <v>83.555000000000007</v>
      </c>
      <c r="M34" s="302">
        <f>FISCinyear!ID498</f>
        <v>168.71</v>
      </c>
      <c r="N34" s="302">
        <f>FISCinyear!IE498</f>
        <v>127.80002854314665</v>
      </c>
      <c r="O34" s="302">
        <f>FISCinyear!IF498</f>
        <v>105.27550345102301</v>
      </c>
      <c r="P34" s="302">
        <f>FISCinyear!IG498</f>
        <v>233.07553199416967</v>
      </c>
      <c r="Q34" s="302">
        <f>FISCinyear!IH498</f>
        <v>129.801416131145</v>
      </c>
      <c r="R34" s="302">
        <f>FISCinyear!II498</f>
        <v>129.89320944035637</v>
      </c>
      <c r="S34" s="302">
        <f>FISCinyear!IJ498</f>
        <v>259.69462557150138</v>
      </c>
      <c r="T34" s="302">
        <f>FISCinyear!IM498</f>
        <v>288.9455255930734</v>
      </c>
      <c r="U34" s="1101"/>
      <c r="V34" s="1101"/>
      <c r="W34" s="1101"/>
      <c r="X34" s="1101"/>
    </row>
    <row r="35" spans="1:24" ht="15.5">
      <c r="A35" s="688" t="s">
        <v>812</v>
      </c>
      <c r="B35" s="302"/>
      <c r="C35" s="302">
        <f>FISCinyear!HT499</f>
        <v>0</v>
      </c>
      <c r="D35" s="302">
        <f>FISCinyear!HV499</f>
        <v>0</v>
      </c>
      <c r="E35" s="1105">
        <f t="shared" si="0"/>
        <v>0</v>
      </c>
      <c r="F35" s="302">
        <f>FISCinyear!HW499</f>
        <v>0</v>
      </c>
      <c r="G35" s="302">
        <f>FISCinyear!HY499</f>
        <v>0</v>
      </c>
      <c r="H35" s="1105">
        <f t="shared" si="1"/>
        <v>0</v>
      </c>
      <c r="I35" s="302">
        <f>FISCinyear!HZ499</f>
        <v>0</v>
      </c>
      <c r="J35" s="302">
        <f>FISCinyear!IB499</f>
        <v>0</v>
      </c>
      <c r="K35" s="1105">
        <f t="shared" si="2"/>
        <v>0</v>
      </c>
      <c r="L35" s="302">
        <f>FISCinyear!IC499</f>
        <v>0</v>
      </c>
      <c r="M35" s="302">
        <f>FISCinyear!ID499</f>
        <v>0</v>
      </c>
      <c r="N35" s="302">
        <f>FISCinyear!IE499</f>
        <v>0</v>
      </c>
      <c r="O35" s="302">
        <f>FISCinyear!IF499</f>
        <v>0</v>
      </c>
      <c r="P35" s="302">
        <f>FISCinyear!IG499</f>
        <v>0</v>
      </c>
      <c r="Q35" s="302">
        <f>FISCinyear!IH499</f>
        <v>0</v>
      </c>
      <c r="R35" s="302">
        <f>FISCinyear!II499</f>
        <v>0</v>
      </c>
      <c r="S35" s="302">
        <f>FISCinyear!IJ499</f>
        <v>0</v>
      </c>
      <c r="T35" s="302">
        <f>FISCinyear!IM499</f>
        <v>0</v>
      </c>
      <c r="U35" s="1101"/>
      <c r="V35" s="1101"/>
      <c r="W35" s="1101"/>
      <c r="X35" s="1101"/>
    </row>
    <row r="36" spans="1:24" ht="15.5">
      <c r="A36" s="688" t="s">
        <v>813</v>
      </c>
      <c r="B36" s="302"/>
      <c r="C36" s="302">
        <f>FISCinyear!HT500</f>
        <v>0</v>
      </c>
      <c r="D36" s="302">
        <f>FISCinyear!HV500</f>
        <v>0</v>
      </c>
      <c r="E36" s="1105">
        <f t="shared" si="0"/>
        <v>0</v>
      </c>
      <c r="F36" s="302">
        <f>FISCinyear!HW500</f>
        <v>0</v>
      </c>
      <c r="G36" s="302">
        <f>FISCinyear!HY500</f>
        <v>0</v>
      </c>
      <c r="H36" s="1105">
        <f t="shared" si="1"/>
        <v>0</v>
      </c>
      <c r="I36" s="302">
        <f>FISCinyear!HZ500</f>
        <v>0</v>
      </c>
      <c r="J36" s="302">
        <f>FISCinyear!IB500</f>
        <v>0</v>
      </c>
      <c r="K36" s="1105">
        <f t="shared" si="2"/>
        <v>0</v>
      </c>
      <c r="L36" s="302">
        <f>FISCinyear!IC500</f>
        <v>0</v>
      </c>
      <c r="M36" s="302">
        <f>FISCinyear!ID500</f>
        <v>0</v>
      </c>
      <c r="N36" s="302">
        <f>FISCinyear!IE500</f>
        <v>0</v>
      </c>
      <c r="O36" s="302">
        <f>FISCinyear!IF500</f>
        <v>0</v>
      </c>
      <c r="P36" s="302">
        <f>FISCinyear!IG500</f>
        <v>0</v>
      </c>
      <c r="Q36" s="302">
        <f>FISCinyear!IH500</f>
        <v>0</v>
      </c>
      <c r="R36" s="302">
        <f>FISCinyear!II500</f>
        <v>0</v>
      </c>
      <c r="S36" s="302">
        <f>FISCinyear!IJ500</f>
        <v>0</v>
      </c>
      <c r="T36" s="302">
        <f>FISCinyear!IM500</f>
        <v>0</v>
      </c>
      <c r="U36" s="1101"/>
      <c r="V36" s="1101"/>
      <c r="W36" s="1101"/>
      <c r="X36" s="1101"/>
    </row>
    <row r="37" spans="1:24" ht="15.5">
      <c r="A37" s="351" t="s">
        <v>150</v>
      </c>
      <c r="B37" s="302"/>
      <c r="C37" s="302">
        <f>FISCinyear!HT501</f>
        <v>0</v>
      </c>
      <c r="D37" s="302">
        <f>FISCinyear!HV501</f>
        <v>0</v>
      </c>
      <c r="E37" s="1105">
        <f t="shared" si="0"/>
        <v>0</v>
      </c>
      <c r="F37" s="302">
        <f>FISCinyear!HW501</f>
        <v>0</v>
      </c>
      <c r="G37" s="302">
        <f>FISCinyear!HY501</f>
        <v>0</v>
      </c>
      <c r="H37" s="1105">
        <f t="shared" si="1"/>
        <v>0</v>
      </c>
      <c r="I37" s="302">
        <f>FISCinyear!HZ501</f>
        <v>0</v>
      </c>
      <c r="J37" s="302">
        <f>FISCinyear!IB501</f>
        <v>0</v>
      </c>
      <c r="K37" s="1105">
        <f t="shared" si="2"/>
        <v>0</v>
      </c>
      <c r="L37" s="302">
        <f>FISCinyear!IC501</f>
        <v>0</v>
      </c>
      <c r="M37" s="302">
        <f>FISCinyear!ID501</f>
        <v>0</v>
      </c>
      <c r="N37" s="302">
        <f>FISCinyear!IE501</f>
        <v>0</v>
      </c>
      <c r="O37" s="302">
        <f>FISCinyear!IF501</f>
        <v>0</v>
      </c>
      <c r="P37" s="302">
        <f>FISCinyear!IG501</f>
        <v>0</v>
      </c>
      <c r="Q37" s="302">
        <f>FISCinyear!IH501</f>
        <v>0</v>
      </c>
      <c r="R37" s="302">
        <f>FISCinyear!II501</f>
        <v>0</v>
      </c>
      <c r="S37" s="302">
        <f>FISCinyear!IJ501</f>
        <v>0</v>
      </c>
      <c r="T37" s="302">
        <f>FISCinyear!IM501</f>
        <v>0</v>
      </c>
      <c r="U37" s="1101"/>
      <c r="V37" s="1101"/>
      <c r="W37" s="1101"/>
      <c r="X37" s="1101"/>
    </row>
    <row r="38" spans="1:24" ht="15.5">
      <c r="A38" s="351"/>
      <c r="B38" s="302"/>
      <c r="C38" s="302">
        <f>FISCinyear!HT502</f>
        <v>0</v>
      </c>
      <c r="D38" s="302">
        <f>FISCinyear!HV502</f>
        <v>0</v>
      </c>
      <c r="E38" s="1105">
        <f t="shared" si="0"/>
        <v>0</v>
      </c>
      <c r="F38" s="302">
        <f>FISCinyear!HW502</f>
        <v>0</v>
      </c>
      <c r="G38" s="302">
        <f>FISCinyear!HY502</f>
        <v>0</v>
      </c>
      <c r="H38" s="1105">
        <f t="shared" si="1"/>
        <v>0</v>
      </c>
      <c r="I38" s="302">
        <f>FISCinyear!HZ502</f>
        <v>0</v>
      </c>
      <c r="J38" s="302">
        <f>FISCinyear!IB502</f>
        <v>0</v>
      </c>
      <c r="K38" s="1105">
        <f t="shared" si="2"/>
        <v>0</v>
      </c>
      <c r="L38" s="302">
        <f>FISCinyear!IC502</f>
        <v>0</v>
      </c>
      <c r="M38" s="302">
        <f>FISCinyear!ID502</f>
        <v>0</v>
      </c>
      <c r="N38" s="302">
        <f>FISCinyear!IE502</f>
        <v>0</v>
      </c>
      <c r="O38" s="302">
        <f>FISCinyear!IF502</f>
        <v>0</v>
      </c>
      <c r="P38" s="302">
        <f>FISCinyear!IG502</f>
        <v>0</v>
      </c>
      <c r="Q38" s="302">
        <f>FISCinyear!IH502</f>
        <v>0</v>
      </c>
      <c r="R38" s="302">
        <f>FISCinyear!II502</f>
        <v>0</v>
      </c>
      <c r="S38" s="302">
        <f>FISCinyear!IJ502</f>
        <v>0</v>
      </c>
      <c r="T38" s="302">
        <f>FISCinyear!IM502</f>
        <v>0</v>
      </c>
      <c r="U38" s="1101"/>
      <c r="V38" s="1101"/>
      <c r="W38" s="1101"/>
      <c r="X38" s="1101"/>
    </row>
    <row r="39" spans="1:24" ht="15.5">
      <c r="A39" s="345" t="s">
        <v>151</v>
      </c>
      <c r="B39" s="302"/>
      <c r="C39" s="302">
        <f>FISCinyear!HT503</f>
        <v>885.32563929693174</v>
      </c>
      <c r="D39" s="302">
        <f>FISCinyear!HV503</f>
        <v>843.56389865932829</v>
      </c>
      <c r="E39" s="1105">
        <f t="shared" si="0"/>
        <v>1728.88953795626</v>
      </c>
      <c r="F39" s="302">
        <f>FISCinyear!HW503</f>
        <v>911.07558456304662</v>
      </c>
      <c r="G39" s="302">
        <f>FISCinyear!HY503</f>
        <v>859.78956220976079</v>
      </c>
      <c r="H39" s="1105">
        <f t="shared" si="1"/>
        <v>1770.8651467728073</v>
      </c>
      <c r="I39" s="302">
        <f>FISCinyear!HZ503</f>
        <v>1008.2931766483607</v>
      </c>
      <c r="J39" s="302">
        <f>FISCinyear!IB503</f>
        <v>1052.9234134562407</v>
      </c>
      <c r="K39" s="1105">
        <f t="shared" si="2"/>
        <v>2061.2165901046014</v>
      </c>
      <c r="L39" s="302">
        <f>FISCinyear!IC503</f>
        <v>1134.61636743181</v>
      </c>
      <c r="M39" s="302">
        <f>FISCinyear!ID503</f>
        <v>2187.5397808880507</v>
      </c>
      <c r="N39" s="302">
        <f>FISCinyear!IE503</f>
        <v>1224.3611171646201</v>
      </c>
      <c r="O39" s="302">
        <f>FISCinyear!IF503</f>
        <v>1387.2767772813704</v>
      </c>
      <c r="P39" s="302">
        <f>FISCinyear!IG503</f>
        <v>2611.6378944459902</v>
      </c>
      <c r="Q39" s="302" t="e">
        <f>FISCinyear!IH503</f>
        <v>#REF!</v>
      </c>
      <c r="R39" s="302" t="e">
        <f>FISCinyear!II503</f>
        <v>#REF!</v>
      </c>
      <c r="S39" s="302">
        <f>FISCinyear!IJ503</f>
        <v>3253.1281054531019</v>
      </c>
      <c r="T39" s="302">
        <f>FISCinyear!IM503</f>
        <v>3110.264227358336</v>
      </c>
      <c r="U39" s="1101"/>
      <c r="V39" s="1101"/>
      <c r="W39" s="1101"/>
      <c r="X39" s="1101"/>
    </row>
    <row r="40" spans="1:24" ht="15.5">
      <c r="A40" s="351"/>
      <c r="B40" s="302"/>
      <c r="C40" s="302">
        <f>FISCinyear!HT504</f>
        <v>0</v>
      </c>
      <c r="D40" s="302">
        <f>FISCinyear!HV504</f>
        <v>0</v>
      </c>
      <c r="E40" s="1105">
        <f t="shared" si="0"/>
        <v>0</v>
      </c>
      <c r="F40" s="302">
        <f>FISCinyear!HW504</f>
        <v>0</v>
      </c>
      <c r="G40" s="302">
        <f>FISCinyear!HY504</f>
        <v>0</v>
      </c>
      <c r="H40" s="1105">
        <f t="shared" si="1"/>
        <v>0</v>
      </c>
      <c r="I40" s="302">
        <f>FISCinyear!HZ504</f>
        <v>0</v>
      </c>
      <c r="J40" s="302">
        <f>FISCinyear!IB504</f>
        <v>0</v>
      </c>
      <c r="K40" s="1105">
        <f t="shared" si="2"/>
        <v>0</v>
      </c>
      <c r="L40" s="302">
        <f>FISCinyear!IC504</f>
        <v>0</v>
      </c>
      <c r="M40" s="302" t="str">
        <f>FISCinyear!ID504</f>
        <v/>
      </c>
      <c r="N40" s="302">
        <f>FISCinyear!IE504</f>
        <v>0</v>
      </c>
      <c r="O40" s="302">
        <f>FISCinyear!IF504</f>
        <v>0</v>
      </c>
      <c r="P40" s="302">
        <f>FISCinyear!IG504</f>
        <v>0</v>
      </c>
      <c r="Q40" s="302">
        <f>FISCinyear!IH504</f>
        <v>0</v>
      </c>
      <c r="R40" s="302">
        <f>FISCinyear!II504</f>
        <v>0</v>
      </c>
      <c r="S40" s="302">
        <f>FISCinyear!IJ504</f>
        <v>0</v>
      </c>
      <c r="T40" s="302">
        <f>FISCinyear!IM504</f>
        <v>0</v>
      </c>
      <c r="U40" s="1101"/>
      <c r="V40" s="1101"/>
      <c r="W40" s="1101"/>
      <c r="X40" s="1101"/>
    </row>
    <row r="41" spans="1:24" ht="15.5">
      <c r="A41" s="345" t="s">
        <v>152</v>
      </c>
      <c r="B41" s="302"/>
      <c r="C41" s="302">
        <f>FISCinyear!HT505</f>
        <v>439.10343693028676</v>
      </c>
      <c r="D41" s="302">
        <f>FISCinyear!HV505</f>
        <v>478.16496710710135</v>
      </c>
      <c r="E41" s="1105">
        <f t="shared" si="0"/>
        <v>917.26840403738811</v>
      </c>
      <c r="F41" s="302">
        <f>FISCinyear!HW505</f>
        <v>469.36710244464064</v>
      </c>
      <c r="G41" s="302">
        <f>FISCinyear!HY505</f>
        <v>550.42291397097392</v>
      </c>
      <c r="H41" s="1105">
        <f t="shared" si="1"/>
        <v>1019.7900164156146</v>
      </c>
      <c r="I41" s="302">
        <f>FISCinyear!HZ505</f>
        <v>584.60464433511333</v>
      </c>
      <c r="J41" s="302">
        <f>FISCinyear!IB505</f>
        <v>595.93787275805084</v>
      </c>
      <c r="K41" s="1105">
        <f t="shared" si="2"/>
        <v>1180.5425170931642</v>
      </c>
      <c r="L41" s="302">
        <f>FISCinyear!IC505</f>
        <v>581.33939151983975</v>
      </c>
      <c r="M41" s="302">
        <f>FISCinyear!ID505</f>
        <v>1177.2772642778905</v>
      </c>
      <c r="N41" s="302">
        <f>FISCinyear!IE505</f>
        <v>674.03108442477037</v>
      </c>
      <c r="O41" s="302">
        <f>FISCinyear!IF505</f>
        <v>669.5740068294383</v>
      </c>
      <c r="P41" s="302">
        <f>FISCinyear!IG505</f>
        <v>1343.6050912542087</v>
      </c>
      <c r="Q41" s="302" t="e">
        <f>FISCinyear!IH505</f>
        <v>#REF!</v>
      </c>
      <c r="R41" s="302" t="e">
        <f>FISCinyear!II505</f>
        <v>#REF!</v>
      </c>
      <c r="S41" s="302">
        <f>FISCinyear!IJ505</f>
        <v>1558.3598845633098</v>
      </c>
      <c r="T41" s="302">
        <f>FISCinyear!IM505</f>
        <v>1670.0482916625929</v>
      </c>
      <c r="U41" s="1101"/>
      <c r="V41" s="1101"/>
      <c r="W41" s="1101"/>
      <c r="X41" s="1101"/>
    </row>
    <row r="42" spans="1:24" ht="15.5">
      <c r="A42" s="345" t="s">
        <v>83</v>
      </c>
      <c r="B42" s="302"/>
      <c r="C42" s="302">
        <f>FISCinyear!HT506</f>
        <v>101.979762897</v>
      </c>
      <c r="D42" s="302">
        <f>FISCinyear!HV506</f>
        <v>115.310157242</v>
      </c>
      <c r="E42" s="1105">
        <f t="shared" si="0"/>
        <v>217.289920139</v>
      </c>
      <c r="F42" s="302">
        <f>FISCinyear!HW506</f>
        <v>127.02507995000001</v>
      </c>
      <c r="G42" s="302">
        <f>FISCinyear!HY506</f>
        <v>148.08520156700001</v>
      </c>
      <c r="H42" s="1105">
        <f t="shared" si="1"/>
        <v>275.11028151700003</v>
      </c>
      <c r="I42" s="302">
        <f>FISCinyear!HZ506</f>
        <v>170.00650897999998</v>
      </c>
      <c r="J42" s="302">
        <f>FISCinyear!IB506</f>
        <v>159.05800048399999</v>
      </c>
      <c r="K42" s="1105">
        <f t="shared" si="2"/>
        <v>329.06450946399997</v>
      </c>
      <c r="L42" s="302">
        <f>FISCinyear!IC506</f>
        <v>165.23246653500001</v>
      </c>
      <c r="M42" s="302">
        <f>FISCinyear!ID506</f>
        <v>324.290467019</v>
      </c>
      <c r="N42" s="302">
        <f>FISCinyear!IE506</f>
        <v>168.584875907</v>
      </c>
      <c r="O42" s="302">
        <f>FISCinyear!IF506</f>
        <v>197.566388545</v>
      </c>
      <c r="P42" s="302">
        <f>FISCinyear!IG506</f>
        <v>366.15126445199996</v>
      </c>
      <c r="Q42" s="302" t="e">
        <f>FISCinyear!IH506</f>
        <v>#REF!</v>
      </c>
      <c r="R42" s="302" t="e">
        <f>FISCinyear!II506</f>
        <v>#REF!</v>
      </c>
      <c r="S42" s="302">
        <f>FISCinyear!IJ506</f>
        <v>423.32212288353531</v>
      </c>
      <c r="T42" s="302">
        <f>FISCinyear!IM506</f>
        <v>491.54640949593744</v>
      </c>
      <c r="U42" s="1101"/>
      <c r="V42" s="1101"/>
      <c r="W42" s="1101"/>
      <c r="X42" s="1101"/>
    </row>
    <row r="43" spans="1:24" ht="15.5">
      <c r="A43" s="351" t="s">
        <v>153</v>
      </c>
      <c r="B43" s="302"/>
      <c r="C43" s="302">
        <f>FISCinyear!HT507</f>
        <v>80.043997231999995</v>
      </c>
      <c r="D43" s="302">
        <f>FISCinyear!HV507</f>
        <v>0</v>
      </c>
      <c r="E43" s="1105">
        <f t="shared" si="0"/>
        <v>80.043997231999995</v>
      </c>
      <c r="F43" s="302">
        <f>FISCinyear!HW507</f>
        <v>0</v>
      </c>
      <c r="G43" s="302">
        <f>FISCinyear!HY507</f>
        <v>0</v>
      </c>
      <c r="H43" s="1105">
        <f t="shared" si="1"/>
        <v>0</v>
      </c>
      <c r="I43" s="302">
        <f>FISCinyear!HZ507</f>
        <v>0</v>
      </c>
      <c r="J43" s="302">
        <f>FISCinyear!IB507</f>
        <v>0</v>
      </c>
      <c r="K43" s="1105">
        <f t="shared" si="2"/>
        <v>0</v>
      </c>
      <c r="L43" s="302">
        <f>FISCinyear!IC507</f>
        <v>0</v>
      </c>
      <c r="M43" s="302">
        <f>FISCinyear!ID507</f>
        <v>0</v>
      </c>
      <c r="N43" s="302">
        <f>FISCinyear!IE507</f>
        <v>0</v>
      </c>
      <c r="O43" s="302">
        <f>FISCinyear!IF507</f>
        <v>0</v>
      </c>
      <c r="P43" s="302">
        <f>FISCinyear!IG507</f>
        <v>0</v>
      </c>
      <c r="Q43" s="302">
        <f>FISCinyear!IH507</f>
        <v>0</v>
      </c>
      <c r="R43" s="302">
        <f>FISCinyear!II507</f>
        <v>0</v>
      </c>
      <c r="S43" s="302">
        <f>FISCinyear!IJ507</f>
        <v>0</v>
      </c>
      <c r="T43" s="302">
        <f>FISCinyear!IM507</f>
        <v>0</v>
      </c>
      <c r="U43" s="1101"/>
      <c r="V43" s="1101"/>
      <c r="W43" s="1101"/>
      <c r="X43" s="1101"/>
    </row>
    <row r="44" spans="1:24" ht="15.5">
      <c r="A44" s="351" t="s">
        <v>139</v>
      </c>
      <c r="B44" s="302"/>
      <c r="C44" s="302">
        <f>FISCinyear!HT508</f>
        <v>0</v>
      </c>
      <c r="D44" s="302">
        <f>FISCinyear!HV508</f>
        <v>0</v>
      </c>
      <c r="E44" s="1105">
        <f t="shared" si="0"/>
        <v>0</v>
      </c>
      <c r="F44" s="302">
        <f>FISCinyear!HW508</f>
        <v>0</v>
      </c>
      <c r="G44" s="302">
        <f>FISCinyear!HY508</f>
        <v>0</v>
      </c>
      <c r="H44" s="1105">
        <f t="shared" si="1"/>
        <v>0</v>
      </c>
      <c r="I44" s="302">
        <f>FISCinyear!HZ508</f>
        <v>0</v>
      </c>
      <c r="J44" s="302">
        <f>FISCinyear!IB508</f>
        <v>0</v>
      </c>
      <c r="K44" s="1105">
        <f t="shared" si="2"/>
        <v>0</v>
      </c>
      <c r="L44" s="302">
        <f>FISCinyear!IC508</f>
        <v>0</v>
      </c>
      <c r="M44" s="302">
        <f>FISCinyear!ID508</f>
        <v>0</v>
      </c>
      <c r="N44" s="302">
        <f>FISCinyear!IE508</f>
        <v>0</v>
      </c>
      <c r="O44" s="302">
        <f>FISCinyear!IF508</f>
        <v>0</v>
      </c>
      <c r="P44" s="302">
        <f>FISCinyear!IG508</f>
        <v>0</v>
      </c>
      <c r="Q44" s="302">
        <f>FISCinyear!IH508</f>
        <v>0</v>
      </c>
      <c r="R44" s="302">
        <f>FISCinyear!II508</f>
        <v>0</v>
      </c>
      <c r="S44" s="302">
        <f>FISCinyear!IJ508</f>
        <v>0</v>
      </c>
      <c r="T44" s="302">
        <f>FISCinyear!IM508</f>
        <v>0</v>
      </c>
      <c r="U44" s="1101"/>
      <c r="V44" s="1101"/>
      <c r="W44" s="1101"/>
      <c r="X44" s="1101"/>
    </row>
    <row r="45" spans="1:24" ht="15.5">
      <c r="A45" s="351" t="s">
        <v>154</v>
      </c>
      <c r="B45" s="302"/>
      <c r="C45" s="302">
        <f>FISCinyear!HT509</f>
        <v>21.935765665000002</v>
      </c>
      <c r="D45" s="302">
        <f>FISCinyear!HV509</f>
        <v>0</v>
      </c>
      <c r="E45" s="1105">
        <f t="shared" si="0"/>
        <v>21.935765665000002</v>
      </c>
      <c r="F45" s="302">
        <f>FISCinyear!HW509</f>
        <v>0</v>
      </c>
      <c r="G45" s="302">
        <f>FISCinyear!HY509</f>
        <v>0</v>
      </c>
      <c r="H45" s="1105">
        <f t="shared" si="1"/>
        <v>0</v>
      </c>
      <c r="I45" s="302">
        <f>FISCinyear!HZ509</f>
        <v>0</v>
      </c>
      <c r="J45" s="302">
        <f>FISCinyear!IB509</f>
        <v>0</v>
      </c>
      <c r="K45" s="1105">
        <f t="shared" si="2"/>
        <v>0</v>
      </c>
      <c r="L45" s="302">
        <f>FISCinyear!IC509</f>
        <v>0</v>
      </c>
      <c r="M45" s="302">
        <f>FISCinyear!ID509</f>
        <v>0</v>
      </c>
      <c r="N45" s="302">
        <f>FISCinyear!IE509</f>
        <v>0</v>
      </c>
      <c r="O45" s="302">
        <f>FISCinyear!IF509</f>
        <v>0</v>
      </c>
      <c r="P45" s="302">
        <f>FISCinyear!IG509</f>
        <v>0</v>
      </c>
      <c r="Q45" s="302">
        <f>FISCinyear!IH509</f>
        <v>0</v>
      </c>
      <c r="R45" s="302">
        <f>FISCinyear!II509</f>
        <v>0</v>
      </c>
      <c r="S45" s="302">
        <f>FISCinyear!IJ509</f>
        <v>0</v>
      </c>
      <c r="T45" s="302">
        <f>FISCinyear!IM509</f>
        <v>0</v>
      </c>
      <c r="U45" s="1101"/>
      <c r="V45" s="1101"/>
      <c r="W45" s="1101"/>
      <c r="X45" s="1101"/>
    </row>
    <row r="46" spans="1:24" ht="15.5">
      <c r="A46" s="345" t="s">
        <v>84</v>
      </c>
      <c r="B46" s="302"/>
      <c r="C46" s="302">
        <f>FISCinyear!HT510</f>
        <v>89.678631566000007</v>
      </c>
      <c r="D46" s="302">
        <f>FISCinyear!HV510</f>
        <v>99.698833081000004</v>
      </c>
      <c r="E46" s="1105">
        <f t="shared" si="0"/>
        <v>189.37746464700001</v>
      </c>
      <c r="F46" s="302">
        <f>FISCinyear!HW510</f>
        <v>80.922579729000006</v>
      </c>
      <c r="G46" s="302">
        <f>FISCinyear!HY510</f>
        <v>99.173237982000003</v>
      </c>
      <c r="H46" s="1105">
        <f t="shared" si="1"/>
        <v>180.095817711</v>
      </c>
      <c r="I46" s="302">
        <f>FISCinyear!HZ510</f>
        <v>119.978635123</v>
      </c>
      <c r="J46" s="302">
        <f>FISCinyear!IB510</f>
        <v>117.74994841900001</v>
      </c>
      <c r="K46" s="1105">
        <f t="shared" si="2"/>
        <v>237.72858354200002</v>
      </c>
      <c r="L46" s="302">
        <f>FISCinyear!IC510</f>
        <v>98.530712982999987</v>
      </c>
      <c r="M46" s="302">
        <f>FISCinyear!ID510</f>
        <v>216.28066140199999</v>
      </c>
      <c r="N46" s="302">
        <f>FISCinyear!IE510</f>
        <v>118.2681582</v>
      </c>
      <c r="O46" s="302">
        <f>FISCinyear!IF510</f>
        <v>111.58402615999999</v>
      </c>
      <c r="P46" s="302">
        <f>FISCinyear!IG510</f>
        <v>229.85218436</v>
      </c>
      <c r="Q46" s="302" t="e">
        <f>FISCinyear!IH510</f>
        <v>#REF!</v>
      </c>
      <c r="R46" s="302" t="e">
        <f>FISCinyear!II510</f>
        <v>#REF!</v>
      </c>
      <c r="S46" s="302">
        <f>FISCinyear!IJ510</f>
        <v>328.54582443162445</v>
      </c>
      <c r="T46" s="302">
        <f>FISCinyear!IM510</f>
        <v>343.14254236569695</v>
      </c>
      <c r="U46" s="1101"/>
      <c r="V46" s="1101"/>
      <c r="W46" s="1101"/>
      <c r="X46" s="1101"/>
    </row>
    <row r="47" spans="1:24" ht="15.5">
      <c r="A47" s="351" t="s">
        <v>153</v>
      </c>
      <c r="B47" s="302"/>
      <c r="C47" s="302">
        <f>FISCinyear!HT511</f>
        <v>80.124246360000001</v>
      </c>
      <c r="D47" s="302">
        <f>FISCinyear!HV511</f>
        <v>0</v>
      </c>
      <c r="E47" s="1105">
        <f t="shared" si="0"/>
        <v>80.124246360000001</v>
      </c>
      <c r="F47" s="302">
        <f>FISCinyear!HW511</f>
        <v>0</v>
      </c>
      <c r="G47" s="302">
        <f>FISCinyear!HY511</f>
        <v>0</v>
      </c>
      <c r="H47" s="1105">
        <f t="shared" si="1"/>
        <v>0</v>
      </c>
      <c r="I47" s="302">
        <f>FISCinyear!HZ511</f>
        <v>0</v>
      </c>
      <c r="J47" s="302">
        <f>FISCinyear!IB511</f>
        <v>0</v>
      </c>
      <c r="K47" s="1105">
        <f t="shared" si="2"/>
        <v>0</v>
      </c>
      <c r="L47" s="302">
        <f>FISCinyear!IC511</f>
        <v>0</v>
      </c>
      <c r="M47" s="302">
        <f>FISCinyear!ID511</f>
        <v>0</v>
      </c>
      <c r="N47" s="302">
        <f>FISCinyear!IE511</f>
        <v>0</v>
      </c>
      <c r="O47" s="302">
        <f>FISCinyear!IF511</f>
        <v>0</v>
      </c>
      <c r="P47" s="302">
        <f>FISCinyear!IG511</f>
        <v>0</v>
      </c>
      <c r="Q47" s="302">
        <f>FISCinyear!IH511</f>
        <v>0</v>
      </c>
      <c r="R47" s="302">
        <f>FISCinyear!II511</f>
        <v>0</v>
      </c>
      <c r="S47" s="302">
        <f>FISCinyear!IJ511</f>
        <v>0</v>
      </c>
      <c r="T47" s="302">
        <f>FISCinyear!IM511</f>
        <v>0</v>
      </c>
      <c r="U47" s="1101"/>
      <c r="V47" s="1101"/>
      <c r="W47" s="1101"/>
      <c r="X47" s="1101"/>
    </row>
    <row r="48" spans="1:24" ht="15.5">
      <c r="A48" s="351" t="s">
        <v>915</v>
      </c>
      <c r="B48" s="302"/>
      <c r="C48" s="302">
        <f>FISCinyear!HT512</f>
        <v>0</v>
      </c>
      <c r="D48" s="302">
        <f>FISCinyear!HV512</f>
        <v>0</v>
      </c>
      <c r="E48" s="1105">
        <f t="shared" si="0"/>
        <v>0</v>
      </c>
      <c r="F48" s="302">
        <f>FISCinyear!HW512</f>
        <v>0</v>
      </c>
      <c r="G48" s="302">
        <f>FISCinyear!HY512</f>
        <v>22.827138431000002</v>
      </c>
      <c r="H48" s="1105">
        <f t="shared" si="1"/>
        <v>22.827138431000002</v>
      </c>
      <c r="I48" s="302">
        <f>FISCinyear!HZ512</f>
        <v>21.740352604999998</v>
      </c>
      <c r="J48" s="302">
        <f>FISCinyear!IB512</f>
        <v>23.758723343</v>
      </c>
      <c r="K48" s="1105">
        <f t="shared" si="2"/>
        <v>45.499075947999998</v>
      </c>
      <c r="L48" s="302">
        <f>FISCinyear!IC512</f>
        <v>23.758723343</v>
      </c>
      <c r="M48" s="302">
        <f>FISCinyear!ID512</f>
        <v>47.517446686</v>
      </c>
      <c r="N48" s="302">
        <f>FISCinyear!IE512</f>
        <v>0</v>
      </c>
      <c r="O48" s="302">
        <f>FISCinyear!IF512</f>
        <v>0</v>
      </c>
      <c r="P48" s="302">
        <f>FISCinyear!IG512</f>
        <v>0</v>
      </c>
      <c r="Q48" s="302">
        <f>FISCinyear!IH512</f>
        <v>28.860089286000001</v>
      </c>
      <c r="R48" s="302">
        <f>FISCinyear!II512</f>
        <v>122.91192620705553</v>
      </c>
      <c r="S48" s="302">
        <f>FISCinyear!IJ514</f>
        <v>151.77201549305553</v>
      </c>
      <c r="T48" s="302">
        <f>FISCinyear!IM512</f>
        <v>7.4542889289999996</v>
      </c>
      <c r="U48" s="1101"/>
      <c r="V48" s="1101"/>
      <c r="W48" s="1101"/>
      <c r="X48" s="1101"/>
    </row>
    <row r="49" spans="1:24" ht="15.5">
      <c r="A49" s="351" t="s">
        <v>154</v>
      </c>
      <c r="B49" s="302"/>
      <c r="C49" s="302">
        <f>FISCinyear!HT513</f>
        <v>9.5543852059999992</v>
      </c>
      <c r="D49" s="302">
        <f>FISCinyear!HV513</f>
        <v>0</v>
      </c>
      <c r="E49" s="1105">
        <f t="shared" si="0"/>
        <v>9.5543852059999992</v>
      </c>
      <c r="F49" s="302">
        <f>FISCinyear!HW513</f>
        <v>0</v>
      </c>
      <c r="G49" s="302">
        <f>FISCinyear!HY513</f>
        <v>0</v>
      </c>
      <c r="H49" s="1105">
        <f t="shared" si="1"/>
        <v>0</v>
      </c>
      <c r="I49" s="302">
        <f>FISCinyear!HZ513</f>
        <v>0</v>
      </c>
      <c r="J49" s="302">
        <f>FISCinyear!IB513</f>
        <v>0</v>
      </c>
      <c r="K49" s="1105">
        <f t="shared" si="2"/>
        <v>0</v>
      </c>
      <c r="L49" s="302">
        <f>FISCinyear!IC513</f>
        <v>0</v>
      </c>
      <c r="M49" s="302">
        <f>FISCinyear!ID513</f>
        <v>0</v>
      </c>
      <c r="N49" s="302">
        <f>FISCinyear!IE513</f>
        <v>0</v>
      </c>
      <c r="O49" s="302">
        <f>FISCinyear!IF513</f>
        <v>0</v>
      </c>
      <c r="P49" s="302">
        <f>FISCinyear!IG513</f>
        <v>0</v>
      </c>
      <c r="Q49" s="302">
        <f>FISCinyear!IH513</f>
        <v>0</v>
      </c>
      <c r="R49" s="302">
        <f>FISCinyear!II513</f>
        <v>0</v>
      </c>
      <c r="S49" s="302">
        <f>FISCinyear!IJ513</f>
        <v>0</v>
      </c>
      <c r="T49" s="302">
        <f>FISCinyear!IM513</f>
        <v>0</v>
      </c>
      <c r="U49" s="1101"/>
      <c r="V49" s="1101"/>
      <c r="W49" s="1101"/>
      <c r="X49" s="1101"/>
    </row>
    <row r="50" spans="1:24" ht="15.5">
      <c r="A50" s="345" t="s">
        <v>155</v>
      </c>
      <c r="B50" s="302"/>
      <c r="C50" s="302">
        <f>FISCinyear!HT514</f>
        <v>23.930412384286768</v>
      </c>
      <c r="D50" s="302">
        <f>FISCinyear!HV514</f>
        <v>27.615432299855804</v>
      </c>
      <c r="E50" s="1105">
        <f t="shared" si="0"/>
        <v>51.545844684142573</v>
      </c>
      <c r="F50" s="302">
        <f>FISCinyear!HW514</f>
        <v>29.083181159640599</v>
      </c>
      <c r="G50" s="302">
        <f>FISCinyear!HY514</f>
        <v>37.612929563973886</v>
      </c>
      <c r="H50" s="1105">
        <f t="shared" si="1"/>
        <v>66.696110723614481</v>
      </c>
      <c r="I50" s="302">
        <f>FISCinyear!HZ514</f>
        <v>39.913746888293439</v>
      </c>
      <c r="J50" s="302">
        <f>FISCinyear!IB514</f>
        <v>44.516631755050831</v>
      </c>
      <c r="K50" s="1105">
        <f t="shared" si="2"/>
        <v>84.43037864334427</v>
      </c>
      <c r="L50" s="302">
        <f>FISCinyear!IC514</f>
        <v>47.06195089699979</v>
      </c>
      <c r="M50" s="302">
        <f>FISCinyear!ID514</f>
        <v>91.578582652050613</v>
      </c>
      <c r="N50" s="302">
        <f>FISCinyear!IE514</f>
        <v>50.546341172770411</v>
      </c>
      <c r="O50" s="302">
        <f>FISCinyear!IF514</f>
        <v>52.125126474438318</v>
      </c>
      <c r="P50" s="302">
        <f>FISCinyear!IG514</f>
        <v>102.67146764720873</v>
      </c>
      <c r="Q50" s="302" t="e">
        <f>FISCinyear!IH514</f>
        <v>#REF!</v>
      </c>
      <c r="R50" s="302" t="e">
        <f>FISCinyear!II514</f>
        <v>#REF!</v>
      </c>
      <c r="S50" s="302" t="e">
        <f>FISCinyear!#REF!</f>
        <v>#REF!</v>
      </c>
      <c r="T50" s="302">
        <f>FISCinyear!IM514</f>
        <v>193.28431160236877</v>
      </c>
      <c r="U50" s="1101"/>
      <c r="V50" s="1101"/>
      <c r="W50" s="1101"/>
      <c r="X50" s="1101"/>
    </row>
    <row r="51" spans="1:24" ht="15.5">
      <c r="A51" s="351" t="s">
        <v>156</v>
      </c>
      <c r="B51" s="302"/>
      <c r="C51" s="302">
        <f>FISCinyear!HT515</f>
        <v>9.9275457670000264</v>
      </c>
      <c r="D51" s="302">
        <f>FISCinyear!HV515</f>
        <v>12.457215488831801</v>
      </c>
      <c r="E51" s="1105">
        <f t="shared" si="0"/>
        <v>22.384761255831826</v>
      </c>
      <c r="F51" s="302">
        <f>FISCinyear!HW515</f>
        <v>12.894158406045348</v>
      </c>
      <c r="G51" s="302">
        <f>FISCinyear!HY515</f>
        <v>19.121185225920648</v>
      </c>
      <c r="H51" s="1105">
        <f t="shared" si="1"/>
        <v>32.015343631965997</v>
      </c>
      <c r="I51" s="302">
        <f>FISCinyear!HZ515</f>
        <v>21.46687182315102</v>
      </c>
      <c r="J51" s="302">
        <f>FISCinyear!IB515</f>
        <v>23.655134132000001</v>
      </c>
      <c r="K51" s="1105">
        <f t="shared" si="2"/>
        <v>45.122005955151025</v>
      </c>
      <c r="L51" s="302">
        <f>FISCinyear!IC515</f>
        <v>25.244878396000004</v>
      </c>
      <c r="M51" s="302">
        <f>FISCinyear!ID515</f>
        <v>48.900012528000005</v>
      </c>
      <c r="N51" s="302">
        <f>FISCinyear!IE515</f>
        <v>27.4615443832732</v>
      </c>
      <c r="O51" s="302">
        <f>FISCinyear!IF515</f>
        <v>27.321706551000005</v>
      </c>
      <c r="P51" s="302">
        <f>FISCinyear!IG515</f>
        <v>54.783250934273205</v>
      </c>
      <c r="Q51" s="302" t="e">
        <f>FISCinyear!IH515</f>
        <v>#REF!</v>
      </c>
      <c r="R51" s="302" t="e">
        <f>FISCinyear!II515</f>
        <v>#REF!</v>
      </c>
      <c r="S51" s="302">
        <f>FISCinyear!IJ515</f>
        <v>101.443059386</v>
      </c>
      <c r="T51" s="302">
        <f>FISCinyear!IM515</f>
        <v>133.94411085620101</v>
      </c>
      <c r="U51" s="1101"/>
      <c r="V51" s="1101"/>
      <c r="W51" s="1101"/>
      <c r="X51" s="1101"/>
    </row>
    <row r="52" spans="1:24" ht="15.5">
      <c r="A52" s="351" t="s">
        <v>157</v>
      </c>
      <c r="B52" s="302"/>
      <c r="C52" s="302">
        <f>FISCinyear!HT516</f>
        <v>3.9838751559999999</v>
      </c>
      <c r="D52" s="302">
        <f>FISCinyear!HV516</f>
        <v>0</v>
      </c>
      <c r="E52" s="1105">
        <f t="shared" si="0"/>
        <v>3.9838751559999999</v>
      </c>
      <c r="F52" s="302">
        <f>FISCinyear!HW516</f>
        <v>0</v>
      </c>
      <c r="G52" s="302">
        <f>FISCinyear!HY516</f>
        <v>8.619449326364979</v>
      </c>
      <c r="H52" s="1105">
        <f t="shared" si="1"/>
        <v>8.619449326364979</v>
      </c>
      <c r="I52" s="302">
        <f>FISCinyear!HZ516</f>
        <v>10.558510729533818</v>
      </c>
      <c r="J52" s="302">
        <f>FISCinyear!IB516</f>
        <v>0</v>
      </c>
      <c r="K52" s="1105">
        <f t="shared" si="2"/>
        <v>10.558510729533818</v>
      </c>
      <c r="L52" s="302">
        <f>FISCinyear!IC516</f>
        <v>0</v>
      </c>
      <c r="M52" s="302">
        <f>FISCinyear!ID516</f>
        <v>0</v>
      </c>
      <c r="N52" s="302">
        <f>FISCinyear!IE516</f>
        <v>12.0125531842732</v>
      </c>
      <c r="O52" s="302">
        <f>FISCinyear!IF516</f>
        <v>0</v>
      </c>
      <c r="P52" s="302">
        <f>FISCinyear!IG516</f>
        <v>12.0125531842732</v>
      </c>
      <c r="Q52" s="302">
        <f>FISCinyear!IH516</f>
        <v>0</v>
      </c>
      <c r="R52" s="302">
        <f>FISCinyear!II516</f>
        <v>0</v>
      </c>
      <c r="S52" s="302">
        <f>FISCinyear!IJ516</f>
        <v>0</v>
      </c>
      <c r="T52" s="302">
        <f>FISCinyear!IM516</f>
        <v>0</v>
      </c>
      <c r="U52" s="1101"/>
      <c r="V52" s="1101"/>
      <c r="W52" s="1101"/>
      <c r="X52" s="1101"/>
    </row>
    <row r="53" spans="1:24" ht="15.5">
      <c r="A53" s="351" t="s">
        <v>158</v>
      </c>
      <c r="B53" s="302"/>
      <c r="C53" s="302">
        <f>FISCinyear!HT518</f>
        <v>14.002866617286744</v>
      </c>
      <c r="D53" s="302">
        <f>FISCinyear!HV518</f>
        <v>15.158216811024001</v>
      </c>
      <c r="E53" s="1105">
        <f t="shared" si="0"/>
        <v>29.161083428310747</v>
      </c>
      <c r="F53" s="302">
        <f>FISCinyear!HW518</f>
        <v>16.189022753595253</v>
      </c>
      <c r="G53" s="302">
        <f>FISCinyear!HY518</f>
        <v>18.491744338053238</v>
      </c>
      <c r="H53" s="1105">
        <f t="shared" si="1"/>
        <v>34.680767091648491</v>
      </c>
      <c r="I53" s="302">
        <f>FISCinyear!HZ518</f>
        <v>18.446875065142414</v>
      </c>
      <c r="J53" s="302">
        <f>FISCinyear!IB518</f>
        <v>20.86149762305083</v>
      </c>
      <c r="K53" s="1105">
        <f t="shared" si="2"/>
        <v>39.308372688193245</v>
      </c>
      <c r="L53" s="302">
        <f>FISCinyear!IC518</f>
        <v>21.817072500999785</v>
      </c>
      <c r="M53" s="302">
        <f>FISCinyear!ID518</f>
        <v>42.678570124050616</v>
      </c>
      <c r="N53" s="302">
        <f>FISCinyear!IE518</f>
        <v>23.084796789497211</v>
      </c>
      <c r="O53" s="302">
        <f>FISCinyear!IF518</f>
        <v>24.803419923438312</v>
      </c>
      <c r="P53" s="302">
        <f>FISCinyear!IG518</f>
        <v>47.888216712935524</v>
      </c>
      <c r="Q53" s="302">
        <f>FISCinyear!IH518</f>
        <v>28.439409572287801</v>
      </c>
      <c r="R53" s="302">
        <f>FISCinyear!II518</f>
        <v>21.889546534767732</v>
      </c>
      <c r="S53" s="302">
        <f>FISCinyear!IJ518</f>
        <v>50.328956107055532</v>
      </c>
      <c r="T53" s="302">
        <f>FISCinyear!IM518</f>
        <v>59.340200746167774</v>
      </c>
      <c r="U53" s="1101"/>
      <c r="V53" s="1101"/>
      <c r="W53" s="1101"/>
      <c r="X53" s="1101"/>
    </row>
    <row r="54" spans="1:24" ht="15.5">
      <c r="A54" s="351" t="s">
        <v>159</v>
      </c>
      <c r="B54" s="302"/>
      <c r="C54" s="302">
        <f>FISCinyear!HT520</f>
        <v>9.5079388690000002</v>
      </c>
      <c r="D54" s="302">
        <f>FISCinyear!HV520</f>
        <v>9.8369785430000007</v>
      </c>
      <c r="E54" s="1105">
        <f t="shared" si="0"/>
        <v>19.344917412000001</v>
      </c>
      <c r="F54" s="302">
        <f>FISCinyear!HW520</f>
        <v>10.3495371315</v>
      </c>
      <c r="G54" s="302">
        <f>FISCinyear!HY520</f>
        <v>10.886030837250001</v>
      </c>
      <c r="H54" s="1105">
        <f t="shared" si="1"/>
        <v>21.235567968750001</v>
      </c>
      <c r="I54" s="302">
        <f>FISCinyear!HZ520</f>
        <v>11.069082250499999</v>
      </c>
      <c r="J54" s="302">
        <f>FISCinyear!IB520</f>
        <v>11.340783961374999</v>
      </c>
      <c r="K54" s="1105">
        <f t="shared" si="2"/>
        <v>22.409866211874998</v>
      </c>
      <c r="L54" s="302">
        <f>FISCinyear!IC520</f>
        <v>11.340783961374999</v>
      </c>
      <c r="M54" s="302">
        <f>FISCinyear!ID520</f>
        <v>22.681567922749998</v>
      </c>
      <c r="N54" s="302">
        <f>FISCinyear!IE520</f>
        <v>11.684674574000001</v>
      </c>
      <c r="O54" s="302">
        <f>FISCinyear!IF520</f>
        <v>11.93172017475</v>
      </c>
      <c r="P54" s="302">
        <f>FISCinyear!IG520</f>
        <v>23.61639474875</v>
      </c>
      <c r="Q54" s="302">
        <f>FISCinyear!IH520</f>
        <v>12.217051440851874</v>
      </c>
      <c r="R54" s="302">
        <f>FISCinyear!II520</f>
        <v>12.217051440851874</v>
      </c>
      <c r="S54" s="302">
        <f>FISCinyear!IJ520</f>
        <v>24.434102881703748</v>
      </c>
      <c r="T54" s="302">
        <f>FISCinyear!IM520</f>
        <v>25.559190299819164</v>
      </c>
      <c r="U54" s="1101"/>
      <c r="V54" s="1101"/>
      <c r="W54" s="1101"/>
      <c r="X54" s="1101"/>
    </row>
    <row r="55" spans="1:24" ht="15.5">
      <c r="A55" s="345" t="s">
        <v>85</v>
      </c>
      <c r="B55" s="302"/>
      <c r="C55" s="302">
        <f>FISCinyear!HT521</f>
        <v>124.400827376</v>
      </c>
      <c r="D55" s="302">
        <f>FISCinyear!HV521</f>
        <v>158.54241693724552</v>
      </c>
      <c r="E55" s="1105">
        <f t="shared" si="0"/>
        <v>282.94324431324549</v>
      </c>
      <c r="F55" s="302">
        <f>FISCinyear!HW521</f>
        <v>150.12240252900003</v>
      </c>
      <c r="G55" s="302">
        <f>FISCinyear!HY521</f>
        <v>162.17288795099998</v>
      </c>
      <c r="H55" s="1105">
        <f t="shared" si="1"/>
        <v>312.29529048000001</v>
      </c>
      <c r="I55" s="302">
        <f>FISCinyear!HZ521</f>
        <v>198.73052720881998</v>
      </c>
      <c r="J55" s="302">
        <f>FISCinyear!IB521</f>
        <v>169.15383799899999</v>
      </c>
      <c r="K55" s="1105">
        <f t="shared" si="2"/>
        <v>367.88436520782</v>
      </c>
      <c r="L55" s="302">
        <f>FISCinyear!IC521</f>
        <v>194.13459270083999</v>
      </c>
      <c r="M55" s="302">
        <f>FISCinyear!ID521</f>
        <v>363.28843069983998</v>
      </c>
      <c r="N55" s="302">
        <f>FISCinyear!IE521</f>
        <v>224.661645201</v>
      </c>
      <c r="O55" s="302">
        <f>FISCinyear!IF521</f>
        <v>182.56935211899997</v>
      </c>
      <c r="P55" s="302">
        <f>FISCinyear!IG521</f>
        <v>407.23099731999997</v>
      </c>
      <c r="Q55" s="302" t="e">
        <f>FISCinyear!IH521</f>
        <v>#REF!</v>
      </c>
      <c r="R55" s="302" t="e">
        <f>FISCinyear!II521</f>
        <v>#REF!</v>
      </c>
      <c r="S55" s="302">
        <f>FISCinyear!IJ521</f>
        <v>424.35991078043662</v>
      </c>
      <c r="T55" s="302">
        <f>FISCinyear!IM521</f>
        <v>457.30460277533575</v>
      </c>
      <c r="U55" s="1101"/>
      <c r="V55" s="1101"/>
      <c r="W55" s="1101"/>
      <c r="X55" s="1101"/>
    </row>
    <row r="56" spans="1:24" ht="15.5">
      <c r="A56" s="351" t="s">
        <v>267</v>
      </c>
      <c r="B56" s="302"/>
      <c r="C56" s="302">
        <f>FISCinyear!HT522</f>
        <v>0</v>
      </c>
      <c r="D56" s="302">
        <f>FISCinyear!HV522</f>
        <v>89.366932032245529</v>
      </c>
      <c r="E56" s="1105">
        <f t="shared" si="0"/>
        <v>89.366932032245529</v>
      </c>
      <c r="F56" s="302">
        <f>FISCinyear!HW522</f>
        <v>122.80942233700003</v>
      </c>
      <c r="G56" s="302">
        <f>FISCinyear!HY522</f>
        <v>88.278283874999971</v>
      </c>
      <c r="H56" s="1105">
        <f t="shared" si="1"/>
        <v>211.087706212</v>
      </c>
      <c r="I56" s="302">
        <f>FISCinyear!HZ522</f>
        <v>110.03725217299998</v>
      </c>
      <c r="J56" s="302">
        <f>FISCinyear!IB522</f>
        <v>83.754696786873268</v>
      </c>
      <c r="K56" s="1105">
        <f t="shared" si="2"/>
        <v>193.79194895987325</v>
      </c>
      <c r="L56" s="302">
        <f>FISCinyear!IC522</f>
        <v>108.73545148871327</v>
      </c>
      <c r="M56" s="302">
        <f>FISCinyear!ID522</f>
        <v>192.49014827558653</v>
      </c>
      <c r="N56" s="302">
        <f>FISCinyear!IE522</f>
        <v>0</v>
      </c>
      <c r="O56" s="302">
        <f>FISCinyear!IF522</f>
        <v>0</v>
      </c>
      <c r="P56" s="302">
        <f>FISCinyear!IG522</f>
        <v>0</v>
      </c>
      <c r="Q56" s="302" t="e">
        <f>FISCinyear!IH522</f>
        <v>#REF!</v>
      </c>
      <c r="R56" s="302" t="e">
        <f>FISCinyear!II522</f>
        <v>#REF!</v>
      </c>
      <c r="S56" s="302">
        <f>FISCinyear!IJ522</f>
        <v>210.99833405420122</v>
      </c>
      <c r="T56" s="302">
        <f>FISCinyear!IM522</f>
        <v>206.61585443223143</v>
      </c>
      <c r="U56" s="1101"/>
      <c r="V56" s="1101"/>
      <c r="W56" s="1101"/>
      <c r="X56" s="1101"/>
    </row>
    <row r="57" spans="1:24" ht="15.5">
      <c r="A57" s="351" t="s">
        <v>160</v>
      </c>
      <c r="B57" s="302"/>
      <c r="C57" s="302">
        <f>FISCinyear!HT523</f>
        <v>30.24333133759</v>
      </c>
      <c r="D57" s="302">
        <f>FISCinyear!HV523</f>
        <v>13.075484905</v>
      </c>
      <c r="E57" s="1105">
        <f t="shared" si="0"/>
        <v>43.318816242590003</v>
      </c>
      <c r="F57" s="302">
        <f>FISCinyear!HW523</f>
        <v>27.312980192000005</v>
      </c>
      <c r="G57" s="302">
        <f>FISCinyear!HY523</f>
        <v>16.544604075999999</v>
      </c>
      <c r="H57" s="1105">
        <f t="shared" si="1"/>
        <v>43.857584268000004</v>
      </c>
      <c r="I57" s="302">
        <f>FISCinyear!HZ523</f>
        <v>31.343275035819993</v>
      </c>
      <c r="J57" s="302">
        <f>FISCinyear!IB523</f>
        <v>26.93154313622</v>
      </c>
      <c r="K57" s="1105">
        <f t="shared" si="2"/>
        <v>58.274818172039993</v>
      </c>
      <c r="L57" s="302">
        <f>FISCinyear!IC523</f>
        <v>26.93154313622</v>
      </c>
      <c r="M57" s="302">
        <f>FISCinyear!ID523</f>
        <v>53.86308627244</v>
      </c>
      <c r="N57" s="302">
        <f>FISCinyear!IE523</f>
        <v>22.740214139999999</v>
      </c>
      <c r="O57" s="302">
        <f>FISCinyear!IF523</f>
        <v>37.870215764000008</v>
      </c>
      <c r="P57" s="302">
        <f>FISCinyear!IG523</f>
        <v>60.610429904000007</v>
      </c>
      <c r="Q57" s="302">
        <f>FISCinyear!IH523</f>
        <v>30.358385287531753</v>
      </c>
      <c r="R57" s="302">
        <f>FISCinyear!II523</f>
        <v>30.358385287531753</v>
      </c>
      <c r="S57" s="302">
        <f>FISCinyear!IJ523</f>
        <v>60.716770575063506</v>
      </c>
      <c r="T57" s="302">
        <f>FISCinyear!IM523</f>
        <v>73.443094653384904</v>
      </c>
      <c r="U57" s="1101"/>
      <c r="V57" s="1101"/>
      <c r="W57" s="1101"/>
      <c r="X57" s="1101"/>
    </row>
    <row r="58" spans="1:24" ht="15.5">
      <c r="A58" s="351" t="s">
        <v>1165</v>
      </c>
      <c r="B58" s="302"/>
      <c r="C58" s="302">
        <f>FISCinyear!HT524</f>
        <v>0</v>
      </c>
      <c r="D58" s="302">
        <f>FISCinyear!HV524</f>
        <v>0</v>
      </c>
      <c r="E58" s="1105">
        <f t="shared" si="0"/>
        <v>0</v>
      </c>
      <c r="F58" s="302">
        <f>FISCinyear!HW524</f>
        <v>0</v>
      </c>
      <c r="G58" s="302">
        <f>FISCinyear!HY524</f>
        <v>0</v>
      </c>
      <c r="H58" s="1105">
        <f t="shared" si="1"/>
        <v>0</v>
      </c>
      <c r="I58" s="302">
        <f>FISCinyear!HZ524</f>
        <v>0</v>
      </c>
      <c r="J58" s="302">
        <f>FISCinyear!IB524</f>
        <v>0</v>
      </c>
      <c r="K58" s="1105">
        <f t="shared" si="2"/>
        <v>0</v>
      </c>
      <c r="L58" s="302">
        <f>FISCinyear!IC524</f>
        <v>0</v>
      </c>
      <c r="M58" s="302">
        <f>FISCinyear!ID524</f>
        <v>0</v>
      </c>
      <c r="N58" s="302">
        <f>FISCinyear!IE524</f>
        <v>0</v>
      </c>
      <c r="O58" s="302">
        <f>FISCinyear!IF524</f>
        <v>0</v>
      </c>
      <c r="P58" s="302">
        <f>FISCinyear!IG524</f>
        <v>0</v>
      </c>
      <c r="Q58" s="302">
        <f>FISCinyear!IH524</f>
        <v>0</v>
      </c>
      <c r="R58" s="302">
        <f>FISCinyear!II524</f>
        <v>0</v>
      </c>
      <c r="S58" s="302">
        <f>FISCinyear!IJ524</f>
        <v>0</v>
      </c>
      <c r="T58" s="302">
        <f>FISCinyear!IM524</f>
        <v>0</v>
      </c>
      <c r="U58" s="1101"/>
      <c r="V58" s="1101"/>
      <c r="W58" s="1101"/>
      <c r="X58" s="1101"/>
    </row>
    <row r="59" spans="1:24" ht="15.5">
      <c r="A59" s="351" t="s">
        <v>161</v>
      </c>
      <c r="B59" s="302"/>
      <c r="C59" s="302">
        <f>FISCinyear!HT525</f>
        <v>0</v>
      </c>
      <c r="D59" s="302">
        <f>FISCinyear!HV525</f>
        <v>56.099999999999994</v>
      </c>
      <c r="E59" s="1105">
        <f t="shared" si="0"/>
        <v>56.099999999999994</v>
      </c>
      <c r="F59" s="302">
        <f>FISCinyear!HW525</f>
        <v>0</v>
      </c>
      <c r="G59" s="302">
        <f>FISCinyear!HY525</f>
        <v>57.35</v>
      </c>
      <c r="H59" s="1105">
        <f t="shared" si="1"/>
        <v>57.35</v>
      </c>
      <c r="I59" s="302">
        <f>FISCinyear!HZ525</f>
        <v>57.35</v>
      </c>
      <c r="J59" s="302">
        <f>FISCinyear!IB525</f>
        <v>58.467598075906714</v>
      </c>
      <c r="K59" s="1105">
        <f t="shared" si="2"/>
        <v>115.81759807590672</v>
      </c>
      <c r="L59" s="302">
        <f>FISCinyear!IC525</f>
        <v>58.467598075906714</v>
      </c>
      <c r="M59" s="302">
        <f>FISCinyear!ID525</f>
        <v>116.93519615181343</v>
      </c>
      <c r="N59" s="302">
        <f>FISCinyear!IE525</f>
        <v>0</v>
      </c>
      <c r="O59" s="302">
        <f>FISCinyear!IF525</f>
        <v>0</v>
      </c>
      <c r="P59" s="302">
        <f>FISCinyear!IG525</f>
        <v>0</v>
      </c>
      <c r="Q59" s="302">
        <f>FISCinyear!IH525</f>
        <v>76.322403075585953</v>
      </c>
      <c r="R59" s="302">
        <f>FISCinyear!II525</f>
        <v>76.322403075585953</v>
      </c>
      <c r="S59" s="302">
        <f>FISCinyear!IJ525</f>
        <v>152.64480615117191</v>
      </c>
      <c r="T59" s="302">
        <f>FISCinyear!IM525</f>
        <v>177.24565368971938</v>
      </c>
      <c r="U59" s="1101"/>
      <c r="V59" s="1101"/>
      <c r="W59" s="1101"/>
      <c r="X59" s="1101"/>
    </row>
    <row r="60" spans="1:24" ht="15.5">
      <c r="A60" s="351" t="s">
        <v>139</v>
      </c>
      <c r="B60" s="302"/>
      <c r="C60" s="302">
        <f>FISCinyear!HT526</f>
        <v>0</v>
      </c>
      <c r="D60" s="302">
        <f>FISCinyear!HV526</f>
        <v>0</v>
      </c>
      <c r="E60" s="1105">
        <f t="shared" si="0"/>
        <v>0</v>
      </c>
      <c r="F60" s="302">
        <f>FISCinyear!HW526</f>
        <v>0</v>
      </c>
      <c r="G60" s="302">
        <f>FISCinyear!HY526</f>
        <v>0</v>
      </c>
      <c r="H60" s="1105">
        <f t="shared" si="1"/>
        <v>0</v>
      </c>
      <c r="I60" s="302">
        <f>FISCinyear!HZ526</f>
        <v>0</v>
      </c>
      <c r="J60" s="302">
        <f>FISCinyear!IB526</f>
        <v>0</v>
      </c>
      <c r="K60" s="1105">
        <f t="shared" si="2"/>
        <v>0</v>
      </c>
      <c r="L60" s="302">
        <f>FISCinyear!IC526</f>
        <v>0</v>
      </c>
      <c r="M60" s="302">
        <f>FISCinyear!ID526</f>
        <v>0</v>
      </c>
      <c r="N60" s="302">
        <f>FISCinyear!IE526</f>
        <v>0</v>
      </c>
      <c r="O60" s="302">
        <f>FISCinyear!IF526</f>
        <v>0</v>
      </c>
      <c r="P60" s="302">
        <f>FISCinyear!IG526</f>
        <v>0</v>
      </c>
      <c r="Q60" s="302">
        <f>FISCinyear!IH526</f>
        <v>0</v>
      </c>
      <c r="R60" s="302">
        <f>FISCinyear!II526</f>
        <v>0</v>
      </c>
      <c r="S60" s="302">
        <f>FISCinyear!IJ526</f>
        <v>0</v>
      </c>
      <c r="T60" s="302">
        <f>FISCinyear!IM526</f>
        <v>0</v>
      </c>
      <c r="U60" s="1101"/>
      <c r="V60" s="1101"/>
      <c r="W60" s="1101"/>
      <c r="X60" s="1101"/>
    </row>
    <row r="61" spans="1:24" ht="15.5">
      <c r="A61" s="345" t="s">
        <v>162</v>
      </c>
      <c r="B61" s="302"/>
      <c r="C61" s="302">
        <f>FISCinyear!HT529</f>
        <v>99.113802707000005</v>
      </c>
      <c r="D61" s="302">
        <f>FISCinyear!HV529</f>
        <v>76.998127546999996</v>
      </c>
      <c r="E61" s="1105">
        <f t="shared" si="0"/>
        <v>176.11193025400001</v>
      </c>
      <c r="F61" s="302">
        <f>FISCinyear!HW529</f>
        <v>82.213859076999995</v>
      </c>
      <c r="G61" s="302">
        <f>FISCinyear!HY529</f>
        <v>103.37865690700002</v>
      </c>
      <c r="H61" s="1105">
        <f t="shared" si="1"/>
        <v>185.59251598400002</v>
      </c>
      <c r="I61" s="302">
        <f>FISCinyear!HZ529</f>
        <v>55.975226134999993</v>
      </c>
      <c r="J61" s="302">
        <f>FISCinyear!IB529</f>
        <v>105.45945410100001</v>
      </c>
      <c r="K61" s="1105">
        <f t="shared" si="2"/>
        <v>161.43468023599999</v>
      </c>
      <c r="L61" s="302">
        <f>FISCinyear!IC529</f>
        <v>76.379668403999986</v>
      </c>
      <c r="M61" s="302">
        <f>FISCinyear!ID529</f>
        <v>181.83912250499998</v>
      </c>
      <c r="N61" s="302">
        <f>FISCinyear!IE529</f>
        <v>111.97006394399999</v>
      </c>
      <c r="O61" s="302">
        <f>FISCinyear!IF529</f>
        <v>125.72911353100001</v>
      </c>
      <c r="P61" s="302">
        <f>FISCinyear!IG529</f>
        <v>237.699177475</v>
      </c>
      <c r="Q61" s="302" t="e">
        <f>FISCinyear!IH529</f>
        <v>#REF!</v>
      </c>
      <c r="R61" s="302">
        <f>FISCinyear!II529</f>
        <v>119.29723612865781</v>
      </c>
      <c r="S61" s="302">
        <f>FISCinyear!IJ529</f>
        <v>230.36001097465783</v>
      </c>
      <c r="T61" s="302">
        <f>FISCinyear!IM529</f>
        <v>184.7704254232541</v>
      </c>
      <c r="U61" s="1101"/>
      <c r="V61" s="1101"/>
      <c r="W61" s="1101"/>
      <c r="X61" s="1101"/>
    </row>
    <row r="62" spans="1:24" ht="15.5">
      <c r="A62" s="351" t="s">
        <v>163</v>
      </c>
      <c r="B62" s="302"/>
      <c r="C62" s="302">
        <f>FISCinyear!HT530</f>
        <v>15.501716636999999</v>
      </c>
      <c r="D62" s="302">
        <f>FISCinyear!HV530</f>
        <v>11.563159019999999</v>
      </c>
      <c r="E62" s="1105">
        <f t="shared" si="0"/>
        <v>27.064875656999998</v>
      </c>
      <c r="F62" s="302">
        <f>FISCinyear!HW530</f>
        <v>15.416167654999999</v>
      </c>
      <c r="G62" s="302">
        <f>FISCinyear!HY530</f>
        <v>10.305865706000001</v>
      </c>
      <c r="H62" s="1105">
        <f t="shared" si="1"/>
        <v>25.722033361000001</v>
      </c>
      <c r="I62" s="302">
        <f>FISCinyear!HZ530</f>
        <v>18.233557717</v>
      </c>
      <c r="J62" s="302">
        <f>FISCinyear!IB530</f>
        <v>12.169666252000001</v>
      </c>
      <c r="K62" s="1105">
        <f t="shared" si="2"/>
        <v>30.403223969000003</v>
      </c>
      <c r="L62" s="302">
        <f>FISCinyear!IC530</f>
        <v>20.266150621000001</v>
      </c>
      <c r="M62" s="302">
        <f>FISCinyear!ID530</f>
        <v>32.435816873</v>
      </c>
      <c r="N62" s="302">
        <f>FISCinyear!IE530</f>
        <v>14.161645885999999</v>
      </c>
      <c r="O62" s="302">
        <f>FISCinyear!IF530</f>
        <v>8.1213142700000009</v>
      </c>
      <c r="P62" s="302">
        <f>FISCinyear!IG530</f>
        <v>22.282960156000001</v>
      </c>
      <c r="Q62" s="302">
        <f>FISCinyear!IH530</f>
        <v>17.196633493</v>
      </c>
      <c r="R62" s="302">
        <f>FISCinyear!II530</f>
        <v>21.253366507000003</v>
      </c>
      <c r="S62" s="302">
        <f>FISCinyear!IJ530</f>
        <v>38.450000000000003</v>
      </c>
      <c r="T62" s="302">
        <f>FISCinyear!IM530</f>
        <v>40.359881165658898</v>
      </c>
      <c r="U62" s="1101"/>
      <c r="V62" s="1101"/>
      <c r="W62" s="1101"/>
      <c r="X62" s="1101"/>
    </row>
    <row r="63" spans="1:24" ht="15.5">
      <c r="A63" s="351" t="s">
        <v>307</v>
      </c>
      <c r="B63" s="302"/>
      <c r="C63" s="302">
        <f>FISCinyear!HT531</f>
        <v>2.7896897309999997</v>
      </c>
      <c r="D63" s="302">
        <f>FISCinyear!HV531</f>
        <v>1.9245534990000002</v>
      </c>
      <c r="E63" s="1105">
        <f t="shared" si="0"/>
        <v>4.7142432300000001</v>
      </c>
      <c r="F63" s="302">
        <f>FISCinyear!HW531</f>
        <v>2.451382792</v>
      </c>
      <c r="G63" s="302">
        <f>FISCinyear!HY531</f>
        <v>1.2118217819999999</v>
      </c>
      <c r="H63" s="1105">
        <f t="shared" si="1"/>
        <v>3.6632045739999999</v>
      </c>
      <c r="I63" s="302">
        <f>FISCinyear!HZ531</f>
        <v>1.4511757729999999</v>
      </c>
      <c r="J63" s="302">
        <f>FISCinyear!IB531</f>
        <v>1.267074316</v>
      </c>
      <c r="K63" s="1105">
        <f t="shared" si="2"/>
        <v>2.7182500889999996</v>
      </c>
      <c r="L63" s="302">
        <f>FISCinyear!IC531</f>
        <v>2.3655927969999997</v>
      </c>
      <c r="M63" s="302">
        <f>FISCinyear!ID531</f>
        <v>3.6326671129999997</v>
      </c>
      <c r="N63" s="302">
        <f>FISCinyear!IE531</f>
        <v>1.7350064700000001</v>
      </c>
      <c r="O63" s="302">
        <f>FISCinyear!IF531</f>
        <v>1.0788024870000001</v>
      </c>
      <c r="P63" s="302">
        <f>FISCinyear!IG531</f>
        <v>2.813808957</v>
      </c>
      <c r="Q63" s="302">
        <f>FISCinyear!IH531</f>
        <v>1.8035484079999999</v>
      </c>
      <c r="R63" s="302">
        <f>FISCinyear!II531</f>
        <v>5.8364515919999995</v>
      </c>
      <c r="S63" s="302">
        <f>FISCinyear!IJ531</f>
        <v>7.64</v>
      </c>
      <c r="T63" s="302">
        <f>FISCinyear!IM531</f>
        <v>8.7106168881134316</v>
      </c>
      <c r="U63" s="1101"/>
      <c r="V63" s="1101"/>
      <c r="W63" s="1101"/>
      <c r="X63" s="1101"/>
    </row>
    <row r="64" spans="1:24" ht="15.5">
      <c r="A64" s="351" t="s">
        <v>164</v>
      </c>
      <c r="B64" s="302"/>
      <c r="C64" s="302">
        <f>FISCinyear!HT532</f>
        <v>80.822396339000008</v>
      </c>
      <c r="D64" s="302">
        <f>FISCinyear!HV532</f>
        <v>63.510415028000004</v>
      </c>
      <c r="E64" s="1105">
        <f t="shared" si="0"/>
        <v>144.33281136700001</v>
      </c>
      <c r="F64" s="302">
        <f>FISCinyear!HW532</f>
        <v>64.346308629999996</v>
      </c>
      <c r="G64" s="302">
        <f>FISCinyear!HY532</f>
        <v>91.860969419000014</v>
      </c>
      <c r="H64" s="1105">
        <f t="shared" si="1"/>
        <v>156.20727804900002</v>
      </c>
      <c r="I64" s="302">
        <f>FISCinyear!HZ532</f>
        <v>36.290492645000008</v>
      </c>
      <c r="J64" s="302">
        <f>FISCinyear!IB532</f>
        <v>92.022713533000001</v>
      </c>
      <c r="K64" s="1105">
        <f t="shared" si="2"/>
        <v>128.313206178</v>
      </c>
      <c r="L64" s="302">
        <f>FISCinyear!IC532</f>
        <v>53.747924985999987</v>
      </c>
      <c r="M64" s="302">
        <f>FISCinyear!ID532</f>
        <v>145.77063851899999</v>
      </c>
      <c r="N64" s="302">
        <f>FISCinyear!IE532</f>
        <v>96.073411587999999</v>
      </c>
      <c r="O64" s="302">
        <f>FISCinyear!IF532</f>
        <v>116.52899677400001</v>
      </c>
      <c r="P64" s="302">
        <f>FISCinyear!IG532</f>
        <v>212.60240836200001</v>
      </c>
      <c r="Q64" s="302">
        <f>FISCinyear!IH532</f>
        <v>92.062592945000006</v>
      </c>
      <c r="R64" s="302">
        <f>FISCinyear!II532</f>
        <v>92.207418029657816</v>
      </c>
      <c r="S64" s="302">
        <f>FISCinyear!IJ532</f>
        <v>184.27001097465782</v>
      </c>
      <c r="T64" s="302">
        <f>FISCinyear!IM532</f>
        <v>135.69992736948177</v>
      </c>
      <c r="U64" s="1101"/>
      <c r="V64" s="1101"/>
      <c r="W64" s="1101"/>
      <c r="X64" s="1101"/>
    </row>
    <row r="65" spans="1:24" ht="15.5">
      <c r="A65" s="351" t="s">
        <v>1082</v>
      </c>
      <c r="B65" s="302"/>
      <c r="C65" s="302">
        <f>FISCinyear!HT533</f>
        <v>0</v>
      </c>
      <c r="D65" s="302">
        <f>FISCinyear!HV533</f>
        <v>0</v>
      </c>
      <c r="E65" s="1105">
        <f t="shared" si="0"/>
        <v>0</v>
      </c>
      <c r="F65" s="302">
        <f>FISCinyear!HW533</f>
        <v>0</v>
      </c>
      <c r="G65" s="302">
        <f>FISCinyear!HY533</f>
        <v>0</v>
      </c>
      <c r="H65" s="1105">
        <f t="shared" si="1"/>
        <v>0</v>
      </c>
      <c r="I65" s="302">
        <f>FISCinyear!HZ533</f>
        <v>0</v>
      </c>
      <c r="J65" s="302">
        <f>FISCinyear!IB533</f>
        <v>0</v>
      </c>
      <c r="K65" s="1105">
        <f t="shared" si="2"/>
        <v>0</v>
      </c>
      <c r="L65" s="302">
        <f>FISCinyear!IC533</f>
        <v>0</v>
      </c>
      <c r="M65" s="302">
        <f>FISCinyear!ID533</f>
        <v>0</v>
      </c>
      <c r="N65" s="302">
        <f>FISCinyear!IE533</f>
        <v>0</v>
      </c>
      <c r="O65" s="302">
        <f>FISCinyear!IF533</f>
        <v>0</v>
      </c>
      <c r="P65" s="302">
        <f>FISCinyear!IG533</f>
        <v>0</v>
      </c>
      <c r="Q65" s="302">
        <f>FISCinyear!IH533</f>
        <v>0</v>
      </c>
      <c r="R65" s="302">
        <f>FISCinyear!II533</f>
        <v>0</v>
      </c>
      <c r="S65" s="302">
        <f>FISCinyear!IJ533</f>
        <v>0</v>
      </c>
      <c r="T65" s="302">
        <f>FISCinyear!IM533</f>
        <v>0</v>
      </c>
      <c r="U65" s="1101"/>
      <c r="V65" s="1101"/>
      <c r="W65" s="1101"/>
      <c r="X65" s="1101"/>
    </row>
    <row r="66" spans="1:24" ht="15.5">
      <c r="A66" s="351" t="s">
        <v>1166</v>
      </c>
      <c r="B66" s="302"/>
      <c r="C66" s="302">
        <f>FISCinyear!HT534</f>
        <v>0</v>
      </c>
      <c r="D66" s="302">
        <f>FISCinyear!HV534</f>
        <v>0</v>
      </c>
      <c r="E66" s="1105">
        <f t="shared" si="0"/>
        <v>0</v>
      </c>
      <c r="F66" s="302">
        <f>FISCinyear!HW534</f>
        <v>0</v>
      </c>
      <c r="G66" s="302">
        <f>FISCinyear!HY534</f>
        <v>0</v>
      </c>
      <c r="H66" s="1105">
        <f t="shared" si="1"/>
        <v>0</v>
      </c>
      <c r="I66" s="302">
        <f>FISCinyear!HZ534</f>
        <v>0</v>
      </c>
      <c r="J66" s="302">
        <f>FISCinyear!IB534</f>
        <v>14.640923705999995</v>
      </c>
      <c r="K66" s="1105">
        <f t="shared" si="2"/>
        <v>14.640923705999995</v>
      </c>
      <c r="L66" s="302">
        <f>FISCinyear!IC534</f>
        <v>-14.640923705999995</v>
      </c>
      <c r="M66" s="302">
        <f>FISCinyear!ID534</f>
        <v>0</v>
      </c>
      <c r="N66" s="302">
        <f>FISCinyear!IE534</f>
        <v>0</v>
      </c>
      <c r="O66" s="302">
        <f>FISCinyear!IF534</f>
        <v>0</v>
      </c>
      <c r="P66" s="302">
        <f>FISCinyear!IG534</f>
        <v>0</v>
      </c>
      <c r="Q66" s="302">
        <f>FISCinyear!IH534</f>
        <v>-3.4475451555232013</v>
      </c>
      <c r="R66" s="302">
        <f>FISCinyear!II534</f>
        <v>3.4475451555232013</v>
      </c>
      <c r="S66" s="302">
        <f>FISCinyear!IJ534</f>
        <v>0</v>
      </c>
      <c r="T66" s="302">
        <f>FISCinyear!IM534</f>
        <v>0</v>
      </c>
      <c r="U66" s="1101"/>
      <c r="V66" s="1101"/>
      <c r="W66" s="1101"/>
      <c r="X66" s="1101"/>
    </row>
    <row r="67" spans="1:24" ht="15.5">
      <c r="A67" s="351" t="s">
        <v>778</v>
      </c>
      <c r="B67" s="302"/>
      <c r="C67" s="302">
        <f>FISCinyear!HT535</f>
        <v>0</v>
      </c>
      <c r="D67" s="302">
        <f>FISCinyear!HV535</f>
        <v>0</v>
      </c>
      <c r="E67" s="1105">
        <f t="shared" si="0"/>
        <v>0</v>
      </c>
      <c r="F67" s="302">
        <f>FISCinyear!HW535</f>
        <v>0</v>
      </c>
      <c r="G67" s="302">
        <f>FISCinyear!HY535</f>
        <v>0</v>
      </c>
      <c r="H67" s="1105">
        <f t="shared" si="1"/>
        <v>0</v>
      </c>
      <c r="I67" s="302">
        <f>FISCinyear!HZ535</f>
        <v>0</v>
      </c>
      <c r="J67" s="302">
        <f>FISCinyear!IB535</f>
        <v>0</v>
      </c>
      <c r="K67" s="1105">
        <f t="shared" si="2"/>
        <v>0</v>
      </c>
      <c r="L67" s="302">
        <f>FISCinyear!IC535</f>
        <v>0</v>
      </c>
      <c r="M67" s="302">
        <f>FISCinyear!ID535</f>
        <v>0</v>
      </c>
      <c r="N67" s="302">
        <f>FISCinyear!IE535</f>
        <v>0</v>
      </c>
      <c r="O67" s="302">
        <f>FISCinyear!IF535</f>
        <v>0</v>
      </c>
      <c r="P67" s="302">
        <f>FISCinyear!IG535</f>
        <v>0</v>
      </c>
      <c r="Q67" s="302">
        <f>FISCinyear!IH535</f>
        <v>0</v>
      </c>
      <c r="R67" s="302">
        <f>FISCinyear!II535</f>
        <v>0</v>
      </c>
      <c r="S67" s="302">
        <f>FISCinyear!IJ535</f>
        <v>0</v>
      </c>
      <c r="T67" s="302">
        <f>FISCinyear!IM535</f>
        <v>0</v>
      </c>
      <c r="U67" s="1101"/>
      <c r="V67" s="1101"/>
      <c r="W67" s="1101"/>
      <c r="X67" s="1101"/>
    </row>
    <row r="68" spans="1:24" ht="15.5">
      <c r="A68" s="345" t="s">
        <v>165</v>
      </c>
      <c r="B68" s="302"/>
      <c r="C68" s="302">
        <f>FISCinyear!HT536</f>
        <v>422.39390190764493</v>
      </c>
      <c r="D68" s="302">
        <f>FISCinyear!HV536</f>
        <v>326.40878597222695</v>
      </c>
      <c r="E68" s="1105">
        <f t="shared" si="0"/>
        <v>748.80268787987188</v>
      </c>
      <c r="F68" s="302">
        <f>FISCinyear!HW536</f>
        <v>392.27674667440601</v>
      </c>
      <c r="G68" s="302">
        <f>FISCinyear!HY536</f>
        <v>265.65047766078698</v>
      </c>
      <c r="H68" s="1105">
        <f t="shared" si="1"/>
        <v>657.92722433519293</v>
      </c>
      <c r="I68" s="302">
        <f>FISCinyear!HZ536</f>
        <v>353.56778167924733</v>
      </c>
      <c r="J68" s="302">
        <f>FISCinyear!IB536</f>
        <v>364.38782089518998</v>
      </c>
      <c r="K68" s="1105">
        <f t="shared" si="2"/>
        <v>717.95560257443731</v>
      </c>
      <c r="L68" s="302">
        <f>FISCinyear!IC536</f>
        <v>485.83207949197003</v>
      </c>
      <c r="M68" s="302">
        <f>FISCinyear!ID536</f>
        <v>850.21990038716001</v>
      </c>
      <c r="N68" s="302">
        <f>FISCinyear!IE536</f>
        <v>454.08877171984966</v>
      </c>
      <c r="O68" s="302">
        <f>FISCinyear!IF536</f>
        <v>617.62047379193211</v>
      </c>
      <c r="P68" s="302">
        <f>FISCinyear!IG536</f>
        <v>1071.7092455117818</v>
      </c>
      <c r="Q68" s="302" t="e">
        <f>FISCinyear!IH536</f>
        <v>#REF!</v>
      </c>
      <c r="R68" s="302" t="e">
        <f>FISCinyear!II536</f>
        <v>#REF!</v>
      </c>
      <c r="S68" s="302">
        <f>FISCinyear!IJ536</f>
        <v>1294.7440302694517</v>
      </c>
      <c r="T68" s="302">
        <f>FISCinyear!IM536</f>
        <v>1140.4189543084346</v>
      </c>
      <c r="U68" s="1101"/>
      <c r="V68" s="1101"/>
      <c r="W68" s="1101"/>
      <c r="X68" s="1101"/>
    </row>
    <row r="69" spans="1:24" ht="15.5">
      <c r="A69" s="345" t="s">
        <v>35</v>
      </c>
      <c r="B69" s="302"/>
      <c r="C69" s="302">
        <f>FISCinyear!HT537</f>
        <v>261.12522244899998</v>
      </c>
      <c r="D69" s="302">
        <f>FISCinyear!HV537</f>
        <v>178.10495146699998</v>
      </c>
      <c r="E69" s="1105">
        <f t="shared" si="0"/>
        <v>439.23017391599996</v>
      </c>
      <c r="F69" s="302">
        <f>FISCinyear!HW537</f>
        <v>268.77256583799999</v>
      </c>
      <c r="G69" s="302">
        <f>FISCinyear!HY537</f>
        <v>166.87805255800001</v>
      </c>
      <c r="H69" s="1105">
        <f t="shared" si="1"/>
        <v>435.65061839600003</v>
      </c>
      <c r="I69" s="302">
        <f>FISCinyear!HZ537</f>
        <v>234.09904502399999</v>
      </c>
      <c r="J69" s="302">
        <f>FISCinyear!IB537</f>
        <v>211.99081146</v>
      </c>
      <c r="K69" s="1105">
        <f t="shared" si="2"/>
        <v>446.08985648399999</v>
      </c>
      <c r="L69" s="302">
        <f>FISCinyear!IC537</f>
        <v>251.16867342100002</v>
      </c>
      <c r="M69" s="302">
        <f>FISCinyear!ID537</f>
        <v>463.15948488100003</v>
      </c>
      <c r="N69" s="302">
        <f>FISCinyear!IE537</f>
        <v>252.82730860900003</v>
      </c>
      <c r="O69" s="302">
        <f>FISCinyear!IF537</f>
        <v>370.87794066900005</v>
      </c>
      <c r="P69" s="302">
        <f>FISCinyear!IG537</f>
        <v>623.70524927800011</v>
      </c>
      <c r="Q69" s="302" t="e">
        <f>FISCinyear!IH537</f>
        <v>#REF!</v>
      </c>
      <c r="R69" s="302" t="e">
        <f>FISCinyear!II537</f>
        <v>#REF!</v>
      </c>
      <c r="S69" s="302">
        <f>FISCinyear!IJ537</f>
        <v>747.07835400183399</v>
      </c>
      <c r="T69" s="302">
        <f>FISCinyear!IM537</f>
        <v>545.49045762463243</v>
      </c>
      <c r="U69" s="1101"/>
      <c r="V69" s="1101"/>
      <c r="W69" s="1101"/>
      <c r="X69" s="1101"/>
    </row>
    <row r="70" spans="1:24" ht="15.5">
      <c r="A70" s="351" t="s">
        <v>139</v>
      </c>
      <c r="B70" s="302"/>
      <c r="C70" s="302">
        <f>FISCinyear!HT538</f>
        <v>0</v>
      </c>
      <c r="D70" s="302">
        <f>FISCinyear!HV538</f>
        <v>0</v>
      </c>
      <c r="E70" s="1105">
        <f t="shared" ref="E70:E133" si="3">C70+D70</f>
        <v>0</v>
      </c>
      <c r="F70" s="302">
        <f>FISCinyear!HW538</f>
        <v>0</v>
      </c>
      <c r="G70" s="302">
        <f>FISCinyear!HY538</f>
        <v>0</v>
      </c>
      <c r="H70" s="1105">
        <f t="shared" ref="H70:H133" si="4">F70+G70</f>
        <v>0</v>
      </c>
      <c r="I70" s="302">
        <f>FISCinyear!HZ538</f>
        <v>0</v>
      </c>
      <c r="J70" s="302">
        <f>FISCinyear!IB538</f>
        <v>0</v>
      </c>
      <c r="K70" s="1105">
        <f t="shared" ref="K70:K133" si="5">I70+J70</f>
        <v>0</v>
      </c>
      <c r="L70" s="302">
        <f>FISCinyear!IC538</f>
        <v>0</v>
      </c>
      <c r="M70" s="302">
        <f>FISCinyear!ID538</f>
        <v>0</v>
      </c>
      <c r="N70" s="302">
        <f>FISCinyear!IE538</f>
        <v>0</v>
      </c>
      <c r="O70" s="302">
        <f>FISCinyear!IF538</f>
        <v>0</v>
      </c>
      <c r="P70" s="302">
        <f>FISCinyear!IG538</f>
        <v>0</v>
      </c>
      <c r="Q70" s="302">
        <f>FISCinyear!IH538</f>
        <v>0</v>
      </c>
      <c r="R70" s="302">
        <f>FISCinyear!II538</f>
        <v>0</v>
      </c>
      <c r="S70" s="302">
        <f>FISCinyear!IJ538</f>
        <v>0</v>
      </c>
      <c r="T70" s="302">
        <f>FISCinyear!IM538</f>
        <v>0</v>
      </c>
      <c r="U70" s="1101"/>
      <c r="V70" s="1101"/>
      <c r="W70" s="1101"/>
      <c r="X70" s="1101"/>
    </row>
    <row r="71" spans="1:24" ht="15.5">
      <c r="A71" s="351" t="s">
        <v>669</v>
      </c>
      <c r="B71" s="302"/>
      <c r="C71" s="302">
        <f>FISCinyear!HT539</f>
        <v>0</v>
      </c>
      <c r="D71" s="302">
        <f>FISCinyear!HV539</f>
        <v>0</v>
      </c>
      <c r="E71" s="1105">
        <f t="shared" si="3"/>
        <v>0</v>
      </c>
      <c r="F71" s="302">
        <f>FISCinyear!HW539</f>
        <v>0</v>
      </c>
      <c r="G71" s="302">
        <f>FISCinyear!HY539</f>
        <v>0</v>
      </c>
      <c r="H71" s="1105">
        <f t="shared" si="4"/>
        <v>0</v>
      </c>
      <c r="I71" s="302">
        <f>FISCinyear!HZ539</f>
        <v>0</v>
      </c>
      <c r="J71" s="302">
        <f>FISCinyear!IB539</f>
        <v>0</v>
      </c>
      <c r="K71" s="1105">
        <f t="shared" si="5"/>
        <v>0</v>
      </c>
      <c r="L71" s="302">
        <f>FISCinyear!IC539</f>
        <v>0</v>
      </c>
      <c r="M71" s="302">
        <f>FISCinyear!ID539</f>
        <v>0</v>
      </c>
      <c r="N71" s="302">
        <f>FISCinyear!IE539</f>
        <v>0</v>
      </c>
      <c r="O71" s="302">
        <f>FISCinyear!IF539</f>
        <v>0</v>
      </c>
      <c r="P71" s="302">
        <f>FISCinyear!IG539</f>
        <v>0</v>
      </c>
      <c r="Q71" s="302">
        <f>FISCinyear!IH539</f>
        <v>0</v>
      </c>
      <c r="R71" s="302">
        <f>FISCinyear!II539</f>
        <v>0</v>
      </c>
      <c r="S71" s="302">
        <f>FISCinyear!IJ539</f>
        <v>0</v>
      </c>
      <c r="T71" s="302">
        <f>FISCinyear!IM539</f>
        <v>0</v>
      </c>
      <c r="U71" s="1101"/>
      <c r="V71" s="1101"/>
      <c r="W71" s="1101"/>
      <c r="X71" s="1101"/>
    </row>
    <row r="72" spans="1:24" ht="15.5">
      <c r="A72" s="351" t="s">
        <v>668</v>
      </c>
      <c r="B72" s="302"/>
      <c r="C72" s="302">
        <f>FISCinyear!HT540</f>
        <v>12.294604118999999</v>
      </c>
      <c r="D72" s="302">
        <f>FISCinyear!HV540</f>
        <v>0.89146418400000005</v>
      </c>
      <c r="E72" s="1105">
        <f t="shared" si="3"/>
        <v>13.186068302999999</v>
      </c>
      <c r="F72" s="302">
        <f>FISCinyear!HW540</f>
        <v>2.0451809480000001</v>
      </c>
      <c r="G72" s="302">
        <f>FISCinyear!HY540</f>
        <v>0.49947828100000002</v>
      </c>
      <c r="H72" s="1105">
        <f t="shared" si="4"/>
        <v>2.5446592290000001</v>
      </c>
      <c r="I72" s="302">
        <f>FISCinyear!HZ540</f>
        <v>0</v>
      </c>
      <c r="J72" s="302">
        <f>FISCinyear!IB540</f>
        <v>0</v>
      </c>
      <c r="K72" s="1105">
        <f t="shared" si="5"/>
        <v>0</v>
      </c>
      <c r="L72" s="302">
        <f>FISCinyear!IC540</f>
        <v>0</v>
      </c>
      <c r="M72" s="302">
        <f>FISCinyear!ID540</f>
        <v>0</v>
      </c>
      <c r="N72" s="302">
        <f>FISCinyear!IE540</f>
        <v>0</v>
      </c>
      <c r="O72" s="302">
        <f>FISCinyear!IF540</f>
        <v>0</v>
      </c>
      <c r="P72" s="302">
        <f>FISCinyear!IG540</f>
        <v>0</v>
      </c>
      <c r="Q72" s="302">
        <f>FISCinyear!IH540</f>
        <v>0</v>
      </c>
      <c r="R72" s="302">
        <f>FISCinyear!II540</f>
        <v>0</v>
      </c>
      <c r="S72" s="302">
        <f>FISCinyear!IJ540</f>
        <v>0</v>
      </c>
      <c r="T72" s="302">
        <f>FISCinyear!IM540</f>
        <v>0</v>
      </c>
      <c r="U72" s="1101"/>
      <c r="V72" s="1101"/>
      <c r="W72" s="1101"/>
      <c r="X72" s="1101"/>
    </row>
    <row r="73" spans="1:24" ht="15.5">
      <c r="A73" s="351" t="s">
        <v>667</v>
      </c>
      <c r="B73" s="302"/>
      <c r="C73" s="302">
        <f>FISCinyear!HT541</f>
        <v>38.924185115</v>
      </c>
      <c r="D73" s="302">
        <f>FISCinyear!HV541</f>
        <v>40.949805089659883</v>
      </c>
      <c r="E73" s="1105">
        <f t="shared" si="3"/>
        <v>79.87399020465989</v>
      </c>
      <c r="F73" s="302">
        <f>FISCinyear!HW541</f>
        <v>29.43256141839035</v>
      </c>
      <c r="G73" s="302">
        <f>FISCinyear!HY541</f>
        <v>26.01139358316146</v>
      </c>
      <c r="H73" s="1105">
        <f t="shared" si="4"/>
        <v>55.443955001551814</v>
      </c>
      <c r="I73" s="302">
        <f>FISCinyear!HZ541</f>
        <v>28.042049060197375</v>
      </c>
      <c r="J73" s="302">
        <f>FISCinyear!IB541</f>
        <v>36.419320210000002</v>
      </c>
      <c r="K73" s="1105">
        <f t="shared" si="5"/>
        <v>64.46136927019738</v>
      </c>
      <c r="L73" s="302">
        <f>FISCinyear!IC541</f>
        <v>36.999027930999993</v>
      </c>
      <c r="M73" s="302">
        <f>FISCinyear!ID541</f>
        <v>73.418348140999996</v>
      </c>
      <c r="N73" s="302">
        <f>FISCinyear!IE541</f>
        <v>22.991782425000004</v>
      </c>
      <c r="O73" s="302">
        <f>FISCinyear!IF541</f>
        <v>40.041605824999998</v>
      </c>
      <c r="P73" s="302">
        <f>FISCinyear!IG541</f>
        <v>63.033388250000002</v>
      </c>
      <c r="Q73" s="302">
        <f>FISCinyear!IH541</f>
        <v>31.804202355335967</v>
      </c>
      <c r="R73" s="302">
        <f>FISCinyear!II541</f>
        <v>34.57366317529921</v>
      </c>
      <c r="S73" s="302">
        <f>FISCinyear!IJ541</f>
        <v>66.377865530635177</v>
      </c>
      <c r="T73" s="302">
        <f>FISCinyear!IM541</f>
        <v>68.286440499139502</v>
      </c>
      <c r="U73" s="1101"/>
      <c r="V73" s="1101"/>
      <c r="W73" s="1101"/>
      <c r="X73" s="1101"/>
    </row>
    <row r="74" spans="1:24" ht="15.5">
      <c r="A74" s="351" t="s">
        <v>666</v>
      </c>
      <c r="B74" s="302"/>
      <c r="C74" s="302">
        <f>FISCinyear!HT542</f>
        <v>15.815438266000001</v>
      </c>
      <c r="D74" s="302">
        <f>FISCinyear!HV542</f>
        <v>3.2776260099999996</v>
      </c>
      <c r="E74" s="1105">
        <f t="shared" si="3"/>
        <v>19.093064276</v>
      </c>
      <c r="F74" s="302">
        <f>FISCinyear!HW542</f>
        <v>6.9431294900000005</v>
      </c>
      <c r="G74" s="302">
        <f>FISCinyear!HY542</f>
        <v>0</v>
      </c>
      <c r="H74" s="1105">
        <f t="shared" si="4"/>
        <v>6.9431294900000005</v>
      </c>
      <c r="I74" s="302">
        <f>FISCinyear!HZ542</f>
        <v>0</v>
      </c>
      <c r="J74" s="302">
        <f>FISCinyear!IB542</f>
        <v>0</v>
      </c>
      <c r="K74" s="1105">
        <f t="shared" si="5"/>
        <v>0</v>
      </c>
      <c r="L74" s="302">
        <f>FISCinyear!IC542</f>
        <v>0</v>
      </c>
      <c r="M74" s="302">
        <f>FISCinyear!ID542</f>
        <v>0</v>
      </c>
      <c r="N74" s="302">
        <f>FISCinyear!IE542</f>
        <v>0</v>
      </c>
      <c r="O74" s="302">
        <f>FISCinyear!IF542</f>
        <v>0</v>
      </c>
      <c r="P74" s="302">
        <f>FISCinyear!IG542</f>
        <v>0</v>
      </c>
      <c r="Q74" s="302">
        <f>FISCinyear!IH542</f>
        <v>0</v>
      </c>
      <c r="R74" s="302">
        <f>FISCinyear!II542</f>
        <v>0</v>
      </c>
      <c r="S74" s="302">
        <f>FISCinyear!IJ542</f>
        <v>0</v>
      </c>
      <c r="T74" s="302">
        <f>FISCinyear!IM542</f>
        <v>0</v>
      </c>
      <c r="U74" s="1101"/>
      <c r="V74" s="1101"/>
      <c r="W74" s="1101"/>
      <c r="X74" s="1101"/>
    </row>
    <row r="75" spans="1:24" ht="15.5">
      <c r="A75" s="345" t="s">
        <v>166</v>
      </c>
      <c r="B75" s="302"/>
      <c r="C75" s="302">
        <f>FISCinyear!HT543</f>
        <v>161.26867945864495</v>
      </c>
      <c r="D75" s="302">
        <f>FISCinyear!HV543</f>
        <v>148.30383450522697</v>
      </c>
      <c r="E75" s="1105">
        <f t="shared" si="3"/>
        <v>309.57251396387193</v>
      </c>
      <c r="F75" s="302">
        <f>FISCinyear!HW543</f>
        <v>123.50418083640601</v>
      </c>
      <c r="G75" s="302">
        <f>FISCinyear!HY543</f>
        <v>98.772425102786968</v>
      </c>
      <c r="H75" s="1105">
        <f t="shared" si="4"/>
        <v>222.27660593919296</v>
      </c>
      <c r="I75" s="302">
        <f>FISCinyear!HZ543</f>
        <v>119.46873665524737</v>
      </c>
      <c r="J75" s="302">
        <f>FISCinyear!IB543</f>
        <v>152.39700943519</v>
      </c>
      <c r="K75" s="1105">
        <f t="shared" si="5"/>
        <v>271.86574609043737</v>
      </c>
      <c r="L75" s="302">
        <f>FISCinyear!IC543</f>
        <v>234.66340607097001</v>
      </c>
      <c r="M75" s="302">
        <f>FISCinyear!ID543</f>
        <v>387.06041550615998</v>
      </c>
      <c r="N75" s="302">
        <f>FISCinyear!IE543</f>
        <v>201.26146311084966</v>
      </c>
      <c r="O75" s="302">
        <f>FISCinyear!IF543</f>
        <v>246.742533122932</v>
      </c>
      <c r="P75" s="302">
        <f>FISCinyear!IG543</f>
        <v>448.00399623378166</v>
      </c>
      <c r="Q75" s="302">
        <f>FISCinyear!IH543</f>
        <v>266.84588300710197</v>
      </c>
      <c r="R75" s="302">
        <f>FISCinyear!II543</f>
        <v>281.042362888198</v>
      </c>
      <c r="S75" s="302">
        <f>FISCinyear!IJ543</f>
        <v>547.66567626761776</v>
      </c>
      <c r="T75" s="302">
        <f>FISCinyear!IM543</f>
        <v>594.92849668380222</v>
      </c>
      <c r="U75" s="1101"/>
      <c r="V75" s="1101"/>
      <c r="W75" s="1101"/>
      <c r="X75" s="1101"/>
    </row>
    <row r="76" spans="1:24" ht="15.5">
      <c r="A76" s="687" t="s">
        <v>812</v>
      </c>
      <c r="B76" s="302"/>
      <c r="C76" s="302">
        <f>FISCinyear!HT544</f>
        <v>0</v>
      </c>
      <c r="D76" s="302">
        <f>FISCinyear!HV544</f>
        <v>0</v>
      </c>
      <c r="E76" s="1105">
        <f t="shared" si="3"/>
        <v>0</v>
      </c>
      <c r="F76" s="302">
        <f>FISCinyear!HW544</f>
        <v>0</v>
      </c>
      <c r="G76" s="302">
        <f>FISCinyear!HY544</f>
        <v>0</v>
      </c>
      <c r="H76" s="1105">
        <f t="shared" si="4"/>
        <v>0</v>
      </c>
      <c r="I76" s="302">
        <f>FISCinyear!HZ544</f>
        <v>0</v>
      </c>
      <c r="J76" s="302">
        <f>FISCinyear!IB544</f>
        <v>0</v>
      </c>
      <c r="K76" s="1105">
        <f t="shared" si="5"/>
        <v>0</v>
      </c>
      <c r="L76" s="302">
        <f>FISCinyear!IC544</f>
        <v>0</v>
      </c>
      <c r="M76" s="302">
        <f>FISCinyear!ID544</f>
        <v>0</v>
      </c>
      <c r="N76" s="302">
        <f>FISCinyear!IE544</f>
        <v>0</v>
      </c>
      <c r="O76" s="302">
        <f>FISCinyear!IF544</f>
        <v>0</v>
      </c>
      <c r="P76" s="302">
        <f>FISCinyear!IG544</f>
        <v>0</v>
      </c>
      <c r="Q76" s="302">
        <f>FISCinyear!IH544</f>
        <v>0</v>
      </c>
      <c r="R76" s="302">
        <f>FISCinyear!II544</f>
        <v>0</v>
      </c>
      <c r="S76" s="302">
        <f>FISCinyear!IJ544</f>
        <v>0</v>
      </c>
      <c r="T76" s="302">
        <f>FISCinyear!IM544</f>
        <v>0</v>
      </c>
      <c r="U76" s="1101"/>
      <c r="V76" s="1101"/>
      <c r="W76" s="1101"/>
      <c r="X76" s="1101"/>
    </row>
    <row r="77" spans="1:24" ht="15.5">
      <c r="A77" s="687" t="s">
        <v>813</v>
      </c>
      <c r="B77" s="302"/>
      <c r="C77" s="302">
        <f>FISCinyear!HT545</f>
        <v>0</v>
      </c>
      <c r="D77" s="302">
        <f>FISCinyear!HV545</f>
        <v>0</v>
      </c>
      <c r="E77" s="1105">
        <f t="shared" si="3"/>
        <v>0</v>
      </c>
      <c r="F77" s="302">
        <f>FISCinyear!HW545</f>
        <v>0</v>
      </c>
      <c r="G77" s="302">
        <f>FISCinyear!HY545</f>
        <v>0</v>
      </c>
      <c r="H77" s="1105">
        <f t="shared" si="4"/>
        <v>0</v>
      </c>
      <c r="I77" s="302">
        <f>FISCinyear!HZ545</f>
        <v>0</v>
      </c>
      <c r="J77" s="302">
        <f>FISCinyear!IB545</f>
        <v>0</v>
      </c>
      <c r="K77" s="1105">
        <f t="shared" si="5"/>
        <v>0</v>
      </c>
      <c r="L77" s="302">
        <f>FISCinyear!IC545</f>
        <v>0</v>
      </c>
      <c r="M77" s="302">
        <f>FISCinyear!ID545</f>
        <v>0</v>
      </c>
      <c r="N77" s="302">
        <f>FISCinyear!IE545</f>
        <v>0</v>
      </c>
      <c r="O77" s="302">
        <f>FISCinyear!IF545</f>
        <v>0</v>
      </c>
      <c r="P77" s="302">
        <f>FISCinyear!IG545</f>
        <v>0</v>
      </c>
      <c r="Q77" s="302">
        <f>FISCinyear!IH545</f>
        <v>0</v>
      </c>
      <c r="R77" s="302">
        <f>FISCinyear!II545</f>
        <v>0</v>
      </c>
      <c r="S77" s="302">
        <f>FISCinyear!IJ545</f>
        <v>0</v>
      </c>
      <c r="T77" s="302">
        <f>FISCinyear!IM545</f>
        <v>0</v>
      </c>
      <c r="U77" s="1101"/>
      <c r="V77" s="1101"/>
      <c r="W77" s="1101"/>
      <c r="X77" s="1101"/>
    </row>
    <row r="78" spans="1:24" ht="15.5">
      <c r="A78" s="351" t="s">
        <v>667</v>
      </c>
      <c r="B78" s="302"/>
      <c r="C78" s="302">
        <f>FISCinyear!HT546</f>
        <v>0</v>
      </c>
      <c r="D78" s="302">
        <f>FISCinyear!HV546</f>
        <v>0</v>
      </c>
      <c r="E78" s="1105">
        <f t="shared" si="3"/>
        <v>0</v>
      </c>
      <c r="F78" s="302">
        <f>FISCinyear!HW546</f>
        <v>0</v>
      </c>
      <c r="G78" s="302">
        <f>FISCinyear!HY546</f>
        <v>0</v>
      </c>
      <c r="H78" s="1105">
        <f t="shared" si="4"/>
        <v>0</v>
      </c>
      <c r="I78" s="302">
        <f>FISCinyear!HZ546</f>
        <v>0</v>
      </c>
      <c r="J78" s="302">
        <f>FISCinyear!IB546</f>
        <v>0</v>
      </c>
      <c r="K78" s="1105">
        <f t="shared" si="5"/>
        <v>0</v>
      </c>
      <c r="L78" s="302">
        <f>FISCinyear!IC546</f>
        <v>0</v>
      </c>
      <c r="M78" s="302">
        <f>FISCinyear!ID546</f>
        <v>0</v>
      </c>
      <c r="N78" s="302">
        <f>FISCinyear!IE546</f>
        <v>0</v>
      </c>
      <c r="O78" s="302">
        <f>FISCinyear!IF546</f>
        <v>0</v>
      </c>
      <c r="P78" s="302">
        <f>FISCinyear!IG546</f>
        <v>0</v>
      </c>
      <c r="Q78" s="302">
        <f>FISCinyear!IH546</f>
        <v>0</v>
      </c>
      <c r="R78" s="302">
        <f>FISCinyear!II546</f>
        <v>0</v>
      </c>
      <c r="S78" s="302">
        <f>FISCinyear!IJ546</f>
        <v>0</v>
      </c>
      <c r="T78" s="302">
        <f>FISCinyear!IM546</f>
        <v>0</v>
      </c>
      <c r="U78" s="1101"/>
      <c r="V78" s="1101"/>
      <c r="W78" s="1101"/>
      <c r="X78" s="1101"/>
    </row>
    <row r="79" spans="1:24" ht="15.5">
      <c r="A79" s="351" t="s">
        <v>670</v>
      </c>
      <c r="B79" s="302"/>
      <c r="C79" s="302">
        <f>FISCinyear!HT547</f>
        <v>0</v>
      </c>
      <c r="D79" s="302">
        <f>FISCinyear!HV547</f>
        <v>0</v>
      </c>
      <c r="E79" s="1105">
        <f t="shared" si="3"/>
        <v>0</v>
      </c>
      <c r="F79" s="302">
        <f>FISCinyear!HW547</f>
        <v>0</v>
      </c>
      <c r="G79" s="302">
        <f>FISCinyear!HY547</f>
        <v>0</v>
      </c>
      <c r="H79" s="1105">
        <f t="shared" si="4"/>
        <v>0</v>
      </c>
      <c r="I79" s="302">
        <f>FISCinyear!HZ547</f>
        <v>0</v>
      </c>
      <c r="J79" s="302">
        <f>FISCinyear!IB547</f>
        <v>0</v>
      </c>
      <c r="K79" s="1105">
        <f t="shared" si="5"/>
        <v>0</v>
      </c>
      <c r="L79" s="302">
        <f>FISCinyear!IC547</f>
        <v>0</v>
      </c>
      <c r="M79" s="302">
        <f>FISCinyear!ID547</f>
        <v>0</v>
      </c>
      <c r="N79" s="302">
        <f>FISCinyear!IE547</f>
        <v>0</v>
      </c>
      <c r="O79" s="302">
        <f>FISCinyear!IF547</f>
        <v>0</v>
      </c>
      <c r="P79" s="302">
        <f>FISCinyear!IG547</f>
        <v>0</v>
      </c>
      <c r="Q79" s="302">
        <f>FISCinyear!IH547</f>
        <v>0</v>
      </c>
      <c r="R79" s="302">
        <f>FISCinyear!II547</f>
        <v>0</v>
      </c>
      <c r="S79" s="302">
        <f>FISCinyear!IJ547</f>
        <v>0</v>
      </c>
      <c r="T79" s="302">
        <f>FISCinyear!IM547</f>
        <v>0</v>
      </c>
      <c r="U79" s="1101"/>
      <c r="V79" s="1101"/>
      <c r="W79" s="1101"/>
      <c r="X79" s="1101"/>
    </row>
    <row r="80" spans="1:24" ht="15.5">
      <c r="A80" s="351" t="s">
        <v>666</v>
      </c>
      <c r="B80" s="302"/>
      <c r="C80" s="302">
        <f>FISCinyear!HT548</f>
        <v>0</v>
      </c>
      <c r="D80" s="302">
        <f>FISCinyear!HV548</f>
        <v>0</v>
      </c>
      <c r="E80" s="1105">
        <f t="shared" si="3"/>
        <v>0</v>
      </c>
      <c r="F80" s="302">
        <f>FISCinyear!HW548</f>
        <v>0</v>
      </c>
      <c r="G80" s="302">
        <f>FISCinyear!HY548</f>
        <v>0</v>
      </c>
      <c r="H80" s="1105">
        <f t="shared" si="4"/>
        <v>0</v>
      </c>
      <c r="I80" s="302">
        <f>FISCinyear!HZ548</f>
        <v>0</v>
      </c>
      <c r="J80" s="302">
        <f>FISCinyear!IB548</f>
        <v>0</v>
      </c>
      <c r="K80" s="1105">
        <f t="shared" si="5"/>
        <v>0</v>
      </c>
      <c r="L80" s="302">
        <f>FISCinyear!IC548</f>
        <v>0</v>
      </c>
      <c r="M80" s="302">
        <f>FISCinyear!ID548</f>
        <v>0</v>
      </c>
      <c r="N80" s="302">
        <f>FISCinyear!IE548</f>
        <v>0</v>
      </c>
      <c r="O80" s="302">
        <f>FISCinyear!IF548</f>
        <v>0</v>
      </c>
      <c r="P80" s="302">
        <f>FISCinyear!IG548</f>
        <v>0</v>
      </c>
      <c r="Q80" s="302">
        <f>FISCinyear!IH548</f>
        <v>0</v>
      </c>
      <c r="R80" s="302">
        <f>FISCinyear!II548</f>
        <v>0</v>
      </c>
      <c r="S80" s="302">
        <f>FISCinyear!IJ548</f>
        <v>0</v>
      </c>
      <c r="T80" s="302">
        <f>FISCinyear!IM548</f>
        <v>0</v>
      </c>
      <c r="U80" s="1101"/>
      <c r="V80" s="1101"/>
      <c r="W80" s="1101"/>
      <c r="X80" s="1101"/>
    </row>
    <row r="81" spans="1:24" ht="15.5">
      <c r="A81" s="351" t="s">
        <v>671</v>
      </c>
      <c r="B81" s="302"/>
      <c r="C81" s="302">
        <f>FISCinyear!HT549</f>
        <v>0</v>
      </c>
      <c r="D81" s="302">
        <f>FISCinyear!HV549</f>
        <v>0</v>
      </c>
      <c r="E81" s="1105">
        <f t="shared" si="3"/>
        <v>0</v>
      </c>
      <c r="F81" s="302">
        <f>FISCinyear!HW549</f>
        <v>0</v>
      </c>
      <c r="G81" s="302">
        <f>FISCinyear!HY549</f>
        <v>0</v>
      </c>
      <c r="H81" s="1105">
        <f t="shared" si="4"/>
        <v>0</v>
      </c>
      <c r="I81" s="302">
        <f>FISCinyear!HZ549</f>
        <v>0</v>
      </c>
      <c r="J81" s="302">
        <f>FISCinyear!IB549</f>
        <v>0</v>
      </c>
      <c r="K81" s="1105">
        <f t="shared" si="5"/>
        <v>0</v>
      </c>
      <c r="L81" s="302">
        <f>FISCinyear!IC549</f>
        <v>0</v>
      </c>
      <c r="M81" s="302">
        <f>FISCinyear!ID549</f>
        <v>48</v>
      </c>
      <c r="N81" s="302">
        <f>FISCinyear!IE549</f>
        <v>0</v>
      </c>
      <c r="O81" s="302">
        <f>FISCinyear!IF549</f>
        <v>0</v>
      </c>
      <c r="P81" s="302">
        <f>FISCinyear!IG549</f>
        <v>0</v>
      </c>
      <c r="Q81" s="302">
        <f>FISCinyear!IH549</f>
        <v>0</v>
      </c>
      <c r="R81" s="302">
        <f>FISCinyear!II549</f>
        <v>0</v>
      </c>
      <c r="S81" s="302">
        <f>FISCinyear!IJ549</f>
        <v>16.604127645284251</v>
      </c>
      <c r="T81" s="302">
        <f>FISCinyear!IM549</f>
        <v>6.7554251173838518</v>
      </c>
      <c r="U81" s="1101"/>
      <c r="V81" s="1101"/>
      <c r="W81" s="1101"/>
      <c r="X81" s="1101"/>
    </row>
    <row r="82" spans="1:24" ht="15.5">
      <c r="A82" s="345" t="s">
        <v>167</v>
      </c>
      <c r="B82" s="302"/>
      <c r="C82" s="302">
        <f>FISCinyear!HT550</f>
        <v>23.828300458999998</v>
      </c>
      <c r="D82" s="302">
        <f>FISCinyear!HV550</f>
        <v>38.990145579999997</v>
      </c>
      <c r="E82" s="1105">
        <f t="shared" si="3"/>
        <v>62.818446038999994</v>
      </c>
      <c r="F82" s="302">
        <f>FISCinyear!HW550</f>
        <v>49.431735443999997</v>
      </c>
      <c r="G82" s="302">
        <f>FISCinyear!HY550</f>
        <v>43.716170577999996</v>
      </c>
      <c r="H82" s="1105">
        <f t="shared" si="4"/>
        <v>93.147906022000001</v>
      </c>
      <c r="I82" s="302">
        <f>FISCinyear!HZ550</f>
        <v>70.120750634000004</v>
      </c>
      <c r="J82" s="302">
        <f>FISCinyear!IB550</f>
        <v>92.59771980299999</v>
      </c>
      <c r="K82" s="1105">
        <f t="shared" si="5"/>
        <v>162.71847043700001</v>
      </c>
      <c r="L82" s="302">
        <f>FISCinyear!IC550</f>
        <v>67.444896419999992</v>
      </c>
      <c r="M82" s="302">
        <f>FISCinyear!ID550</f>
        <v>160.04261622299998</v>
      </c>
      <c r="N82" s="302">
        <f>FISCinyear!IE550</f>
        <v>96.24126102000001</v>
      </c>
      <c r="O82" s="302">
        <f>FISCinyear!IF550</f>
        <v>100.08229666000001</v>
      </c>
      <c r="P82" s="302">
        <f>FISCinyear!IG550</f>
        <v>196.32355768000002</v>
      </c>
      <c r="Q82" s="302">
        <f>FISCinyear!IH550</f>
        <v>175.60526630199999</v>
      </c>
      <c r="R82" s="302">
        <f>FISCinyear!II550</f>
        <v>224.41892431833983</v>
      </c>
      <c r="S82" s="302">
        <f>FISCinyear!IJ550</f>
        <v>400.02419062033982</v>
      </c>
      <c r="T82" s="302">
        <f>FISCinyear!IM550</f>
        <v>299.79698138730896</v>
      </c>
      <c r="U82" s="1101"/>
      <c r="V82" s="1101"/>
      <c r="W82" s="1101"/>
      <c r="X82" s="1101"/>
    </row>
    <row r="83" spans="1:24" ht="15.5">
      <c r="A83" s="351" t="s">
        <v>860</v>
      </c>
      <c r="B83" s="302"/>
      <c r="C83" s="302">
        <f>FISCinyear!HT551</f>
        <v>0</v>
      </c>
      <c r="D83" s="302">
        <f>FISCinyear!HV551</f>
        <v>0</v>
      </c>
      <c r="E83" s="1105">
        <f t="shared" si="3"/>
        <v>0</v>
      </c>
      <c r="F83" s="302">
        <f>FISCinyear!HW551</f>
        <v>3</v>
      </c>
      <c r="G83" s="302">
        <f>FISCinyear!HY551</f>
        <v>1.1499999999999999</v>
      </c>
      <c r="H83" s="1105">
        <f t="shared" si="4"/>
        <v>4.1500000000000004</v>
      </c>
      <c r="I83" s="302">
        <f>FISCinyear!HZ551</f>
        <v>1</v>
      </c>
      <c r="J83" s="302">
        <f>FISCinyear!IB551</f>
        <v>0</v>
      </c>
      <c r="K83" s="1105">
        <f t="shared" si="5"/>
        <v>1</v>
      </c>
      <c r="L83" s="302">
        <f>FISCinyear!IC551</f>
        <v>0</v>
      </c>
      <c r="M83" s="302">
        <f>FISCinyear!ID551</f>
        <v>0</v>
      </c>
      <c r="N83" s="302">
        <f>FISCinyear!IE551</f>
        <v>3.06</v>
      </c>
      <c r="O83" s="302">
        <f>FISCinyear!IF551</f>
        <v>0</v>
      </c>
      <c r="P83" s="302">
        <f>FISCinyear!IG551</f>
        <v>3.06</v>
      </c>
      <c r="Q83" s="302">
        <f>FISCinyear!IH551</f>
        <v>0</v>
      </c>
      <c r="R83" s="302">
        <f>FISCinyear!II551</f>
        <v>0</v>
      </c>
      <c r="S83" s="302">
        <f>FISCinyear!IJ551</f>
        <v>0</v>
      </c>
      <c r="T83" s="302">
        <f>FISCinyear!IM551</f>
        <v>0</v>
      </c>
      <c r="U83" s="1101"/>
      <c r="V83" s="1101"/>
      <c r="W83" s="1101"/>
      <c r="X83" s="1101"/>
    </row>
    <row r="84" spans="1:24" ht="15.5">
      <c r="A84" s="351" t="s">
        <v>517</v>
      </c>
      <c r="B84" s="302"/>
      <c r="C84" s="302">
        <f>FISCinyear!HT552</f>
        <v>0</v>
      </c>
      <c r="D84" s="302">
        <f>FISCinyear!HV552</f>
        <v>0.97780663700000003</v>
      </c>
      <c r="E84" s="1105">
        <f t="shared" si="3"/>
        <v>0.97780663700000003</v>
      </c>
      <c r="F84" s="302">
        <f>FISCinyear!HW552</f>
        <v>0.76832138100000003</v>
      </c>
      <c r="G84" s="302">
        <f>FISCinyear!HY552</f>
        <v>0.61827218900000003</v>
      </c>
      <c r="H84" s="1105">
        <f t="shared" si="4"/>
        <v>1.3865935700000001</v>
      </c>
      <c r="I84" s="302">
        <f>FISCinyear!HZ552</f>
        <v>1.9568333739999999</v>
      </c>
      <c r="J84" s="302">
        <f>FISCinyear!IB552</f>
        <v>2.4466097649999998</v>
      </c>
      <c r="K84" s="1105">
        <f t="shared" si="5"/>
        <v>4.4034431390000002</v>
      </c>
      <c r="L84" s="302">
        <f>FISCinyear!IC552</f>
        <v>0.42909492099999991</v>
      </c>
      <c r="M84" s="302">
        <f>FISCinyear!ID552</f>
        <v>2.8757046859999997</v>
      </c>
      <c r="N84" s="302">
        <f>FISCinyear!IE552</f>
        <v>0.35287024899999997</v>
      </c>
      <c r="O84" s="302">
        <f>FISCinyear!IF552</f>
        <v>0.82680172100000004</v>
      </c>
      <c r="P84" s="302">
        <f>FISCinyear!IG552</f>
        <v>1.17967197</v>
      </c>
      <c r="Q84" s="302">
        <f>FISCinyear!IH552</f>
        <v>80</v>
      </c>
      <c r="R84" s="302">
        <f>FISCinyear!II552</f>
        <v>0</v>
      </c>
      <c r="S84" s="302" t="e">
        <f>FISCinyear!#REF!</f>
        <v>#REF!</v>
      </c>
      <c r="T84" s="302">
        <f>FISCinyear!IM552</f>
        <v>0</v>
      </c>
      <c r="U84" s="1101"/>
      <c r="V84" s="1101"/>
      <c r="W84" s="1101"/>
      <c r="X84" s="1101"/>
    </row>
    <row r="85" spans="1:24" ht="15.5">
      <c r="A85" s="351" t="s">
        <v>168</v>
      </c>
      <c r="B85" s="302"/>
      <c r="C85" s="302">
        <f>FISCinyear!HT553</f>
        <v>0</v>
      </c>
      <c r="D85" s="302">
        <f>FISCinyear!HV553</f>
        <v>0</v>
      </c>
      <c r="E85" s="1105">
        <f t="shared" si="3"/>
        <v>0</v>
      </c>
      <c r="F85" s="302">
        <f>FISCinyear!HW553</f>
        <v>0</v>
      </c>
      <c r="G85" s="302">
        <f>FISCinyear!HY553</f>
        <v>0</v>
      </c>
      <c r="H85" s="1105">
        <f t="shared" si="4"/>
        <v>0</v>
      </c>
      <c r="I85" s="302">
        <f>FISCinyear!HZ553</f>
        <v>0</v>
      </c>
      <c r="J85" s="302">
        <f>FISCinyear!IB553</f>
        <v>0</v>
      </c>
      <c r="K85" s="1105">
        <f t="shared" si="5"/>
        <v>0</v>
      </c>
      <c r="L85" s="302">
        <f>FISCinyear!IC553</f>
        <v>0</v>
      </c>
      <c r="M85" s="302">
        <f>FISCinyear!ID553</f>
        <v>0</v>
      </c>
      <c r="N85" s="302">
        <f>FISCinyear!IE553</f>
        <v>0</v>
      </c>
      <c r="O85" s="302">
        <f>FISCinyear!IF553</f>
        <v>0</v>
      </c>
      <c r="P85" s="302">
        <f>FISCinyear!IG553</f>
        <v>0</v>
      </c>
      <c r="Q85" s="302">
        <f>FISCinyear!IH553</f>
        <v>0</v>
      </c>
      <c r="R85" s="302">
        <f>FISCinyear!II553</f>
        <v>0</v>
      </c>
      <c r="S85" s="302">
        <f>FISCinyear!IJ553</f>
        <v>0</v>
      </c>
      <c r="T85" s="302">
        <f>FISCinyear!IM553</f>
        <v>0</v>
      </c>
      <c r="U85" s="1101"/>
      <c r="V85" s="1101"/>
      <c r="W85" s="1101"/>
      <c r="X85" s="1101"/>
    </row>
    <row r="86" spans="1:24" ht="15.5">
      <c r="A86" s="351" t="s">
        <v>169</v>
      </c>
      <c r="B86" s="302"/>
      <c r="C86" s="302">
        <f>FISCinyear!HT554</f>
        <v>20.404397117999999</v>
      </c>
      <c r="D86" s="302">
        <f>FISCinyear!HV554</f>
        <v>21.2</v>
      </c>
      <c r="E86" s="1105">
        <f t="shared" si="3"/>
        <v>41.604397117999994</v>
      </c>
      <c r="F86" s="302">
        <f>FISCinyear!HW554</f>
        <v>18.891221956000003</v>
      </c>
      <c r="G86" s="302">
        <f>FISCinyear!HY554</f>
        <v>38.776151759999998</v>
      </c>
      <c r="H86" s="1105">
        <f t="shared" si="4"/>
        <v>57.667373716</v>
      </c>
      <c r="I86" s="302">
        <f>FISCinyear!HZ554</f>
        <v>42.085587293000003</v>
      </c>
      <c r="J86" s="302">
        <f>FISCinyear!IB554</f>
        <v>55.897675092</v>
      </c>
      <c r="K86" s="1105">
        <f t="shared" si="5"/>
        <v>97.983262385000003</v>
      </c>
      <c r="L86" s="302">
        <f>FISCinyear!IC554</f>
        <v>39.384381872999995</v>
      </c>
      <c r="M86" s="302">
        <f>FISCinyear!ID554</f>
        <v>95.282056964999995</v>
      </c>
      <c r="N86" s="302">
        <f>FISCinyear!IE554</f>
        <v>63.917935884999999</v>
      </c>
      <c r="O86" s="302">
        <f>FISCinyear!IF554</f>
        <v>53.917935887999995</v>
      </c>
      <c r="P86" s="302">
        <f>FISCinyear!IG554</f>
        <v>117.83587177299999</v>
      </c>
      <c r="Q86" s="302">
        <f>FISCinyear!IH554</f>
        <v>59.703843662433599</v>
      </c>
      <c r="R86" s="302">
        <f>FISCinyear!II554</f>
        <v>80.140735240492404</v>
      </c>
      <c r="S86" s="302">
        <f>FISCinyear!IJ554</f>
        <v>139.844578902926</v>
      </c>
      <c r="T86" s="302">
        <f>FISCinyear!IM554</f>
        <v>145.08552917251436</v>
      </c>
      <c r="U86" s="1101"/>
      <c r="V86" s="1101"/>
      <c r="W86" s="1101"/>
      <c r="X86" s="1101"/>
    </row>
    <row r="87" spans="1:24" ht="15.5">
      <c r="A87" s="351" t="s">
        <v>644</v>
      </c>
      <c r="B87" s="302"/>
      <c r="C87" s="302">
        <f>FISCinyear!HT555</f>
        <v>0</v>
      </c>
      <c r="D87" s="302">
        <f>FISCinyear!HV555</f>
        <v>0</v>
      </c>
      <c r="E87" s="1105">
        <f t="shared" si="3"/>
        <v>0</v>
      </c>
      <c r="F87" s="302">
        <f>FISCinyear!HW555</f>
        <v>0</v>
      </c>
      <c r="G87" s="302">
        <f>FISCinyear!HY555</f>
        <v>0</v>
      </c>
      <c r="H87" s="1105">
        <f t="shared" si="4"/>
        <v>0</v>
      </c>
      <c r="I87" s="302">
        <f>FISCinyear!HZ555</f>
        <v>0</v>
      </c>
      <c r="J87" s="302">
        <f>FISCinyear!IB555</f>
        <v>0</v>
      </c>
      <c r="K87" s="1105">
        <f t="shared" si="5"/>
        <v>0</v>
      </c>
      <c r="L87" s="302">
        <f>FISCinyear!IC555</f>
        <v>0</v>
      </c>
      <c r="M87" s="302">
        <f>FISCinyear!ID555</f>
        <v>0</v>
      </c>
      <c r="N87" s="302">
        <f>FISCinyear!IE555</f>
        <v>0</v>
      </c>
      <c r="O87" s="302">
        <f>FISCinyear!IF555</f>
        <v>0</v>
      </c>
      <c r="P87" s="302">
        <f>FISCinyear!IG555</f>
        <v>0</v>
      </c>
      <c r="Q87" s="302">
        <f>FISCinyear!IH555</f>
        <v>7</v>
      </c>
      <c r="R87" s="302">
        <f>FISCinyear!II555</f>
        <v>-6.4</v>
      </c>
      <c r="S87" s="302">
        <f>FISCinyear!IJ555</f>
        <v>0.59999999999999964</v>
      </c>
      <c r="T87" s="302">
        <f>FISCinyear!IM555</f>
        <v>0</v>
      </c>
      <c r="U87" s="1101"/>
      <c r="V87" s="1101"/>
      <c r="W87" s="1101"/>
      <c r="X87" s="1101"/>
    </row>
    <row r="88" spans="1:24" ht="15.5">
      <c r="A88" s="351" t="s">
        <v>170</v>
      </c>
      <c r="B88" s="302"/>
      <c r="C88" s="302">
        <f>FISCinyear!HT557</f>
        <v>0</v>
      </c>
      <c r="D88" s="302">
        <f>FISCinyear!HV557</f>
        <v>0</v>
      </c>
      <c r="E88" s="1105">
        <f t="shared" si="3"/>
        <v>0</v>
      </c>
      <c r="F88" s="302">
        <f>FISCinyear!HW557</f>
        <v>0</v>
      </c>
      <c r="G88" s="302">
        <f>FISCinyear!HY557</f>
        <v>0</v>
      </c>
      <c r="H88" s="1105">
        <f t="shared" si="4"/>
        <v>0</v>
      </c>
      <c r="I88" s="302">
        <f>FISCinyear!HZ557</f>
        <v>0</v>
      </c>
      <c r="J88" s="302">
        <f>FISCinyear!IB557</f>
        <v>0</v>
      </c>
      <c r="K88" s="1105">
        <f t="shared" si="5"/>
        <v>0</v>
      </c>
      <c r="L88" s="302">
        <f>FISCinyear!IC557</f>
        <v>0</v>
      </c>
      <c r="M88" s="302">
        <f>FISCinyear!ID557</f>
        <v>0</v>
      </c>
      <c r="N88" s="302">
        <f>FISCinyear!IE557</f>
        <v>0</v>
      </c>
      <c r="O88" s="302">
        <f>FISCinyear!IF557</f>
        <v>0</v>
      </c>
      <c r="P88" s="302">
        <f>FISCinyear!IG557</f>
        <v>0</v>
      </c>
      <c r="Q88" s="302">
        <f>FISCinyear!IH557</f>
        <v>5</v>
      </c>
      <c r="R88" s="302">
        <f>FISCinyear!II557</f>
        <v>5</v>
      </c>
      <c r="S88" s="302">
        <f>FISCinyear!IJ557</f>
        <v>10</v>
      </c>
      <c r="T88" s="302">
        <f>FISCinyear!IM557</f>
        <v>7.5194208804500002</v>
      </c>
      <c r="U88" s="1101"/>
      <c r="V88" s="1101"/>
      <c r="W88" s="1101"/>
      <c r="X88" s="1101"/>
    </row>
    <row r="89" spans="1:24" ht="15.5">
      <c r="A89" s="351" t="s">
        <v>999</v>
      </c>
      <c r="B89" s="302"/>
      <c r="C89" s="302">
        <f>FISCinyear!HT558</f>
        <v>-2.0337204000000001E-2</v>
      </c>
      <c r="D89" s="302">
        <f>FISCinyear!HV558</f>
        <v>-1.190265855</v>
      </c>
      <c r="E89" s="1105">
        <f t="shared" si="3"/>
        <v>-1.2106030590000001</v>
      </c>
      <c r="F89" s="302">
        <f>FISCinyear!HW558</f>
        <v>-0.28379643199999999</v>
      </c>
      <c r="G89" s="302">
        <f>FISCinyear!HY558</f>
        <v>0</v>
      </c>
      <c r="H89" s="1105">
        <f t="shared" si="4"/>
        <v>-0.28379643199999999</v>
      </c>
      <c r="I89" s="302">
        <f>FISCinyear!HZ558</f>
        <v>-9.0864968659999992</v>
      </c>
      <c r="J89" s="302">
        <f>FISCinyear!IB558</f>
        <v>0</v>
      </c>
      <c r="K89" s="1105">
        <f t="shared" si="5"/>
        <v>-9.0864968659999992</v>
      </c>
      <c r="L89" s="302">
        <f>FISCinyear!IC558</f>
        <v>-0.98998876200000008</v>
      </c>
      <c r="M89" s="302">
        <f>FISCinyear!ID558</f>
        <v>-0.98998876200000008</v>
      </c>
      <c r="N89" s="302">
        <f>FISCinyear!IE558</f>
        <v>-0.27783086600000001</v>
      </c>
      <c r="O89" s="302">
        <f>FISCinyear!IF558</f>
        <v>0</v>
      </c>
      <c r="P89" s="302">
        <f>FISCinyear!IG558</f>
        <v>-0.27783086600000001</v>
      </c>
      <c r="Q89" s="302">
        <f>FISCinyear!IH558</f>
        <v>0</v>
      </c>
      <c r="R89" s="302">
        <f>FISCinyear!II558</f>
        <v>0</v>
      </c>
      <c r="S89" s="302">
        <f>FISCinyear!IJ558</f>
        <v>0</v>
      </c>
      <c r="T89" s="302">
        <f>FISCinyear!IM558</f>
        <v>0</v>
      </c>
      <c r="U89" s="1101"/>
      <c r="V89" s="1101"/>
      <c r="W89" s="1101"/>
      <c r="X89" s="1101"/>
    </row>
    <row r="90" spans="1:24" ht="15.5">
      <c r="A90" s="351" t="s">
        <v>844</v>
      </c>
      <c r="B90" s="302"/>
      <c r="C90" s="302">
        <f>FISCinyear!HT559</f>
        <v>0</v>
      </c>
      <c r="D90" s="302">
        <f>FISCinyear!HV559</f>
        <v>0</v>
      </c>
      <c r="E90" s="1105">
        <f t="shared" si="3"/>
        <v>0</v>
      </c>
      <c r="F90" s="302">
        <f>FISCinyear!HW559</f>
        <v>0</v>
      </c>
      <c r="G90" s="302">
        <f>FISCinyear!HY559</f>
        <v>0</v>
      </c>
      <c r="H90" s="1105">
        <f t="shared" si="4"/>
        <v>0</v>
      </c>
      <c r="I90" s="302">
        <f>FISCinyear!HZ559</f>
        <v>11.5</v>
      </c>
      <c r="J90" s="302">
        <f>FISCinyear!IB559</f>
        <v>9.6253578439999998</v>
      </c>
      <c r="K90" s="1105">
        <f t="shared" si="5"/>
        <v>21.125357844</v>
      </c>
      <c r="L90" s="302">
        <f>FISCinyear!IC559</f>
        <v>0</v>
      </c>
      <c r="M90" s="302">
        <f>FISCinyear!ID559</f>
        <v>9.6253578439999998</v>
      </c>
      <c r="N90" s="302">
        <f>FISCinyear!IE559</f>
        <v>5</v>
      </c>
      <c r="O90" s="302">
        <f>FISCinyear!IF559</f>
        <v>0</v>
      </c>
      <c r="P90" s="302">
        <f>FISCinyear!IG559</f>
        <v>5</v>
      </c>
      <c r="Q90" s="302">
        <f>FISCinyear!IH559</f>
        <v>0</v>
      </c>
      <c r="R90" s="302">
        <f>FISCinyear!II559</f>
        <v>0</v>
      </c>
      <c r="S90" s="302">
        <f>FISCinyear!IJ559</f>
        <v>0</v>
      </c>
      <c r="T90" s="302">
        <f>FISCinyear!IM559</f>
        <v>0</v>
      </c>
      <c r="U90" s="1101"/>
      <c r="V90" s="1101"/>
      <c r="W90" s="1101"/>
      <c r="X90" s="1101"/>
    </row>
    <row r="91" spans="1:24" ht="15.5">
      <c r="A91" s="351" t="s">
        <v>171</v>
      </c>
      <c r="B91" s="302"/>
      <c r="C91" s="302">
        <f>FISCinyear!HT560</f>
        <v>0</v>
      </c>
      <c r="D91" s="302">
        <f>FISCinyear!HV560</f>
        <v>0</v>
      </c>
      <c r="E91" s="1105">
        <f t="shared" si="3"/>
        <v>0</v>
      </c>
      <c r="F91" s="302">
        <f>FISCinyear!HW560</f>
        <v>0</v>
      </c>
      <c r="G91" s="302">
        <f>FISCinyear!HY560</f>
        <v>0</v>
      </c>
      <c r="H91" s="1105">
        <f t="shared" si="4"/>
        <v>0</v>
      </c>
      <c r="I91" s="302">
        <f>FISCinyear!HZ560</f>
        <v>0</v>
      </c>
      <c r="J91" s="302">
        <f>FISCinyear!IB560</f>
        <v>0</v>
      </c>
      <c r="K91" s="1105">
        <f t="shared" si="5"/>
        <v>0</v>
      </c>
      <c r="L91" s="302">
        <f>FISCinyear!IC560</f>
        <v>0</v>
      </c>
      <c r="M91" s="302">
        <f>FISCinyear!ID560</f>
        <v>0</v>
      </c>
      <c r="N91" s="302">
        <f>FISCinyear!IE560</f>
        <v>0</v>
      </c>
      <c r="O91" s="302">
        <f>FISCinyear!IF560</f>
        <v>0</v>
      </c>
      <c r="P91" s="302">
        <f>FISCinyear!IG560</f>
        <v>0</v>
      </c>
      <c r="Q91" s="302">
        <f>FISCinyear!IH560</f>
        <v>0</v>
      </c>
      <c r="R91" s="302">
        <f>FISCinyear!II560</f>
        <v>0</v>
      </c>
      <c r="S91" s="302">
        <f>FISCinyear!IJ560</f>
        <v>0</v>
      </c>
      <c r="T91" s="302">
        <f>FISCinyear!IM560</f>
        <v>0</v>
      </c>
      <c r="U91" s="1101"/>
      <c r="V91" s="1101"/>
      <c r="W91" s="1101"/>
      <c r="X91" s="1101"/>
    </row>
    <row r="92" spans="1:24" ht="15.5">
      <c r="A92" s="351" t="s">
        <v>1135</v>
      </c>
      <c r="B92" s="302"/>
      <c r="C92" s="302">
        <f>FISCinyear!HT561</f>
        <v>0</v>
      </c>
      <c r="D92" s="302">
        <f>FISCinyear!HV561</f>
        <v>15.346579886000001</v>
      </c>
      <c r="E92" s="1105">
        <f t="shared" si="3"/>
        <v>15.346579886000001</v>
      </c>
      <c r="F92" s="302">
        <f>FISCinyear!HW561</f>
        <v>4</v>
      </c>
      <c r="G92" s="302">
        <f>FISCinyear!HY561</f>
        <v>0</v>
      </c>
      <c r="H92" s="1105">
        <f t="shared" si="4"/>
        <v>4</v>
      </c>
      <c r="I92" s="302">
        <f>FISCinyear!HZ561</f>
        <v>0</v>
      </c>
      <c r="J92" s="302">
        <f>FISCinyear!IB561</f>
        <v>6.9843766939999998</v>
      </c>
      <c r="K92" s="1105">
        <f t="shared" si="5"/>
        <v>6.9843766939999998</v>
      </c>
      <c r="L92" s="302">
        <f>FISCinyear!IC561</f>
        <v>4.1423668280000001</v>
      </c>
      <c r="M92" s="302">
        <f>FISCinyear!ID561</f>
        <v>11.126743522</v>
      </c>
      <c r="N92" s="302">
        <f>FISCinyear!IE561</f>
        <v>8.890239266</v>
      </c>
      <c r="O92" s="302">
        <f>FISCinyear!IF561</f>
        <v>8.7035184660000002</v>
      </c>
      <c r="P92" s="302">
        <f>FISCinyear!IG561</f>
        <v>17.593757732</v>
      </c>
      <c r="Q92" s="302">
        <f>FISCinyear!IH561</f>
        <v>8.8817248469999992</v>
      </c>
      <c r="R92" s="302">
        <f>FISCinyear!II561</f>
        <v>0.15428301113949949</v>
      </c>
      <c r="S92" s="302">
        <f>FISCinyear!IJ561</f>
        <v>9.0360078581394987</v>
      </c>
      <c r="T92" s="302">
        <f>FISCinyear!IM561</f>
        <v>16.028132310064361</v>
      </c>
      <c r="U92" s="1101"/>
      <c r="V92" s="1101"/>
      <c r="W92" s="1101"/>
      <c r="X92" s="1101"/>
    </row>
    <row r="93" spans="1:24" ht="15.5">
      <c r="A93" s="351" t="s">
        <v>1162</v>
      </c>
      <c r="B93" s="302"/>
      <c r="C93" s="302">
        <f>FISCinyear!HT562</f>
        <v>0</v>
      </c>
      <c r="D93" s="302">
        <f>FISCinyear!HV562</f>
        <v>0</v>
      </c>
      <c r="E93" s="1105">
        <f t="shared" si="3"/>
        <v>0</v>
      </c>
      <c r="F93" s="302">
        <f>FISCinyear!HW562</f>
        <v>0</v>
      </c>
      <c r="G93" s="302">
        <f>FISCinyear!HY562</f>
        <v>0</v>
      </c>
      <c r="H93" s="1105">
        <f t="shared" si="4"/>
        <v>0</v>
      </c>
      <c r="I93" s="302">
        <f>FISCinyear!HZ562</f>
        <v>0</v>
      </c>
      <c r="J93" s="302">
        <f>FISCinyear!IB562</f>
        <v>2.4750000000000001</v>
      </c>
      <c r="K93" s="1105">
        <f t="shared" si="5"/>
        <v>2.4750000000000001</v>
      </c>
      <c r="L93" s="302">
        <f>FISCinyear!IC562</f>
        <v>4.9500000000000011</v>
      </c>
      <c r="M93" s="302">
        <f>FISCinyear!ID562</f>
        <v>7.4250000000000007</v>
      </c>
      <c r="N93" s="302">
        <f>FISCinyear!IE562</f>
        <v>7.4250000000000007</v>
      </c>
      <c r="O93" s="302">
        <f>FISCinyear!IF562</f>
        <v>4.95</v>
      </c>
      <c r="P93" s="302">
        <f>FISCinyear!IG562</f>
        <v>12.375</v>
      </c>
      <c r="Q93" s="302">
        <f>FISCinyear!IH562</f>
        <v>0</v>
      </c>
      <c r="R93" s="302">
        <f>FISCinyear!II562</f>
        <v>0</v>
      </c>
      <c r="S93" s="302">
        <f>FISCinyear!IJ552</f>
        <v>80</v>
      </c>
      <c r="T93" s="302">
        <f>FISCinyear!IM562</f>
        <v>0</v>
      </c>
      <c r="U93" s="1101"/>
      <c r="V93" s="1101"/>
      <c r="W93" s="1101"/>
      <c r="X93" s="1101"/>
    </row>
    <row r="94" spans="1:24" ht="15.5">
      <c r="A94" s="351" t="s">
        <v>172</v>
      </c>
      <c r="B94" s="302"/>
      <c r="C94" s="302">
        <f>FISCinyear!HT564</f>
        <v>3.444240545</v>
      </c>
      <c r="D94" s="302">
        <f>FISCinyear!HV564</f>
        <v>2.6560249119999999</v>
      </c>
      <c r="E94" s="1105">
        <f t="shared" si="3"/>
        <v>6.1002654569999999</v>
      </c>
      <c r="F94" s="302">
        <f>FISCinyear!HW564</f>
        <v>23.055988538999998</v>
      </c>
      <c r="G94" s="302">
        <f>FISCinyear!HY564</f>
        <v>3.1717466289999998</v>
      </c>
      <c r="H94" s="1105">
        <f t="shared" si="4"/>
        <v>26.227735167999999</v>
      </c>
      <c r="I94" s="302">
        <f>FISCinyear!HZ564</f>
        <v>22.664826832999999</v>
      </c>
      <c r="J94" s="302">
        <f>FISCinyear!IB564</f>
        <v>15.168700407999999</v>
      </c>
      <c r="K94" s="1105">
        <f t="shared" si="5"/>
        <v>37.833527240999999</v>
      </c>
      <c r="L94" s="302">
        <f>FISCinyear!IC564</f>
        <v>19.529041560000003</v>
      </c>
      <c r="M94" s="302">
        <f>FISCinyear!ID564</f>
        <v>34.697741968000003</v>
      </c>
      <c r="N94" s="302">
        <f>FISCinyear!IE564</f>
        <v>7.8730464859999998</v>
      </c>
      <c r="O94" s="302">
        <f>FISCinyear!IF564</f>
        <v>31.684040584999998</v>
      </c>
      <c r="P94" s="302">
        <f>FISCinyear!IG564</f>
        <v>39.557087070999998</v>
      </c>
      <c r="Q94" s="302">
        <f>FISCinyear!IH564</f>
        <v>16.639381263000001</v>
      </c>
      <c r="R94" s="302">
        <f>FISCinyear!II564</f>
        <v>87.670076218525296</v>
      </c>
      <c r="S94" s="302">
        <f>FISCinyear!IJ564</f>
        <v>104.3094574815253</v>
      </c>
      <c r="T94" s="302">
        <f>FISCinyear!IM564</f>
        <v>92.283989137760699</v>
      </c>
      <c r="U94" s="1101"/>
      <c r="V94" s="1101"/>
      <c r="W94" s="1101"/>
      <c r="X94" s="1101"/>
    </row>
    <row r="95" spans="1:24" ht="15.5">
      <c r="A95" s="351" t="s">
        <v>173</v>
      </c>
      <c r="B95" s="302"/>
      <c r="C95" s="302">
        <f>FISCinyear!HT565</f>
        <v>0</v>
      </c>
      <c r="D95" s="302">
        <f>FISCinyear!HV565</f>
        <v>0</v>
      </c>
      <c r="E95" s="1105">
        <f t="shared" si="3"/>
        <v>0</v>
      </c>
      <c r="F95" s="302">
        <f>FISCinyear!HW565</f>
        <v>0</v>
      </c>
      <c r="G95" s="302">
        <f>FISCinyear!HY565</f>
        <v>0</v>
      </c>
      <c r="H95" s="1105">
        <f t="shared" si="4"/>
        <v>0</v>
      </c>
      <c r="I95" s="302">
        <f>FISCinyear!HZ565</f>
        <v>0</v>
      </c>
      <c r="J95" s="302">
        <f>FISCinyear!IB565</f>
        <v>0</v>
      </c>
      <c r="K95" s="1105">
        <f t="shared" si="5"/>
        <v>0</v>
      </c>
      <c r="L95" s="302">
        <f>FISCinyear!IC565</f>
        <v>0</v>
      </c>
      <c r="M95" s="302">
        <f>FISCinyear!ID565</f>
        <v>0</v>
      </c>
      <c r="N95" s="302">
        <f>FISCinyear!IE565</f>
        <v>0</v>
      </c>
      <c r="O95" s="302">
        <f>FISCinyear!IF565</f>
        <v>0</v>
      </c>
      <c r="P95" s="302">
        <f>FISCinyear!IG565</f>
        <v>0</v>
      </c>
      <c r="Q95" s="302">
        <f>FISCinyear!IH565</f>
        <v>0</v>
      </c>
      <c r="R95" s="302">
        <f>FISCinyear!II565</f>
        <v>0</v>
      </c>
      <c r="S95" s="302">
        <f>FISCinyear!IJ565</f>
        <v>0</v>
      </c>
      <c r="T95" s="302">
        <f>FISCinyear!IM565</f>
        <v>0</v>
      </c>
      <c r="U95" s="1101"/>
      <c r="V95" s="1101"/>
      <c r="W95" s="1101"/>
      <c r="X95" s="1101"/>
    </row>
    <row r="96" spans="1:24" ht="15.5">
      <c r="A96" s="351" t="s">
        <v>174</v>
      </c>
      <c r="B96" s="302"/>
      <c r="C96" s="302">
        <f>FISCinyear!HT566</f>
        <v>0</v>
      </c>
      <c r="D96" s="302">
        <f>FISCinyear!HV566</f>
        <v>0</v>
      </c>
      <c r="E96" s="1105">
        <f t="shared" si="3"/>
        <v>0</v>
      </c>
      <c r="F96" s="302">
        <f>FISCinyear!HW566</f>
        <v>0</v>
      </c>
      <c r="G96" s="302">
        <f>FISCinyear!HY566</f>
        <v>0</v>
      </c>
      <c r="H96" s="1105">
        <f t="shared" si="4"/>
        <v>0</v>
      </c>
      <c r="I96" s="302">
        <f>FISCinyear!HZ566</f>
        <v>0</v>
      </c>
      <c r="J96" s="302">
        <f>FISCinyear!IB566</f>
        <v>0</v>
      </c>
      <c r="K96" s="1105">
        <f t="shared" si="5"/>
        <v>0</v>
      </c>
      <c r="L96" s="302">
        <f>FISCinyear!IC566</f>
        <v>0</v>
      </c>
      <c r="M96" s="302">
        <f>FISCinyear!ID566</f>
        <v>0</v>
      </c>
      <c r="N96" s="302">
        <f>FISCinyear!IE566</f>
        <v>0</v>
      </c>
      <c r="O96" s="302">
        <f>FISCinyear!IF566</f>
        <v>0</v>
      </c>
      <c r="P96" s="302">
        <f>FISCinyear!IG566</f>
        <v>0</v>
      </c>
      <c r="Q96" s="302">
        <f>FISCinyear!IH566</f>
        <v>0</v>
      </c>
      <c r="R96" s="302">
        <f>FISCinyear!II566</f>
        <v>0</v>
      </c>
      <c r="S96" s="302">
        <f>FISCinyear!IJ566</f>
        <v>0</v>
      </c>
      <c r="T96" s="302">
        <f>FISCinyear!IM566</f>
        <v>0</v>
      </c>
      <c r="U96" s="1101"/>
      <c r="V96" s="1101"/>
      <c r="W96" s="1101"/>
      <c r="X96" s="1101"/>
    </row>
    <row r="97" spans="1:24" ht="15.5">
      <c r="A97" s="345" t="s">
        <v>239</v>
      </c>
      <c r="B97" s="302"/>
      <c r="C97" s="302">
        <f>FISCinyear!HT567</f>
        <v>-134.03106558226835</v>
      </c>
      <c r="D97" s="302">
        <f>FISCinyear!HV567</f>
        <v>-87.513815517341527</v>
      </c>
      <c r="E97" s="1105">
        <f t="shared" si="3"/>
        <v>-221.54488109960988</v>
      </c>
      <c r="F97" s="302">
        <f>FISCinyear!HW567</f>
        <v>-82.286959781348401</v>
      </c>
      <c r="G97" s="302">
        <f>FISCinyear!HY567</f>
        <v>-80.63268727075021</v>
      </c>
      <c r="H97" s="1105">
        <f t="shared" si="4"/>
        <v>-162.91964705209861</v>
      </c>
      <c r="I97" s="302">
        <f>FISCinyear!HZ567</f>
        <v>-92.265446619632343</v>
      </c>
      <c r="J97" s="302">
        <f>FISCinyear!IB567</f>
        <v>-72.724644029329937</v>
      </c>
      <c r="K97" s="1105">
        <f t="shared" si="5"/>
        <v>-164.99009064896228</v>
      </c>
      <c r="L97" s="302">
        <f>FISCinyear!IC567</f>
        <v>-14.629766555173916</v>
      </c>
      <c r="M97" s="302">
        <f>FISCinyear!ID567</f>
        <v>-87.354410584503853</v>
      </c>
      <c r="N97" s="302">
        <f>FISCinyear!IE567</f>
        <v>-70.437680536958496</v>
      </c>
      <c r="O97" s="302">
        <f>FISCinyear!IF567</f>
        <v>-123.99815157011776</v>
      </c>
      <c r="P97" s="302">
        <f>FISCinyear!IG567</f>
        <v>-194.43583210707624</v>
      </c>
      <c r="Q97" s="302" t="e">
        <f>FISCinyear!IH567</f>
        <v>#REF!</v>
      </c>
      <c r="R97" s="302" t="e">
        <f>FISCinyear!II567</f>
        <v>#REF!</v>
      </c>
      <c r="S97" s="302">
        <f>FISCinyear!IJ567</f>
        <v>-503.7175289549682</v>
      </c>
      <c r="T97" s="302">
        <f>FISCinyear!IM567</f>
        <v>-343.04299687633659</v>
      </c>
      <c r="U97" s="1101"/>
      <c r="V97" s="1101"/>
      <c r="W97" s="1101"/>
      <c r="X97" s="1101"/>
    </row>
    <row r="98" spans="1:24" ht="15.5">
      <c r="A98" s="345" t="s">
        <v>175</v>
      </c>
      <c r="B98" s="302"/>
      <c r="C98" s="302">
        <f>FISCinyear!HT568</f>
        <v>-34.917262875268364</v>
      </c>
      <c r="D98" s="302">
        <f>FISCinyear!HV568</f>
        <v>-10.51568797034156</v>
      </c>
      <c r="E98" s="1105">
        <f t="shared" si="3"/>
        <v>-45.432950845609923</v>
      </c>
      <c r="F98" s="302">
        <f>FISCinyear!HW568</f>
        <v>-7.3100704348405543E-2</v>
      </c>
      <c r="G98" s="302">
        <f>FISCinyear!HY568</f>
        <v>22.745969636249839</v>
      </c>
      <c r="H98" s="1105">
        <f t="shared" si="4"/>
        <v>22.672868931901434</v>
      </c>
      <c r="I98" s="302">
        <f>FISCinyear!HZ568</f>
        <v>-36.290220484632329</v>
      </c>
      <c r="J98" s="302">
        <f>FISCinyear!IB568</f>
        <v>0</v>
      </c>
      <c r="K98" s="1105">
        <f t="shared" si="5"/>
        <v>-36.290220484632329</v>
      </c>
      <c r="L98" s="302">
        <f>FISCinyear!IC568</f>
        <v>0</v>
      </c>
      <c r="M98" s="302">
        <f>FISCinyear!ID568</f>
        <v>94.484711920496125</v>
      </c>
      <c r="N98" s="302">
        <f>FISCinyear!IE568</f>
        <v>41.532383407041493</v>
      </c>
      <c r="O98" s="302">
        <f>FISCinyear!IF568</f>
        <v>1.7309619608822118</v>
      </c>
      <c r="P98" s="302">
        <f>FISCinyear!IG568</f>
        <v>43.263345367923705</v>
      </c>
      <c r="Q98" s="302" t="e">
        <f>FISCinyear!IH568</f>
        <v>#REF!</v>
      </c>
      <c r="R98" s="302" t="e">
        <f>FISCinyear!II568</f>
        <v>#REF!</v>
      </c>
      <c r="S98" s="302">
        <f>FISCinyear!IJ568</f>
        <v>-273.35751798031038</v>
      </c>
      <c r="T98" s="302">
        <f>FISCinyear!IM568</f>
        <v>-158.27257145308249</v>
      </c>
      <c r="U98" s="1101"/>
      <c r="V98" s="1101"/>
      <c r="W98" s="1101"/>
      <c r="X98" s="1101"/>
    </row>
    <row r="99" spans="1:24" ht="15.5">
      <c r="A99" s="351" t="s">
        <v>240</v>
      </c>
      <c r="B99" s="302"/>
      <c r="C99" s="302">
        <f>FISCinyear!HT569</f>
        <v>-98.177692355555109</v>
      </c>
      <c r="D99" s="302">
        <f>FISCinyear!HV569</f>
        <v>-88.68442487019729</v>
      </c>
      <c r="E99" s="1105">
        <f t="shared" si="3"/>
        <v>-186.8621172257524</v>
      </c>
      <c r="F99" s="302">
        <f>FISCinyear!HW569</f>
        <v>-94.004184962989001</v>
      </c>
      <c r="G99" s="302">
        <f>FISCinyear!HY569</f>
        <v>-68.888996211724105</v>
      </c>
      <c r="H99" s="1105">
        <f t="shared" si="4"/>
        <v>-162.89318117471311</v>
      </c>
      <c r="I99" s="302">
        <f>FISCinyear!HZ569</f>
        <v>-164.55827572392576</v>
      </c>
      <c r="J99" s="302">
        <f>FISCinyear!IB569</f>
        <v>0</v>
      </c>
      <c r="K99" s="1105">
        <f t="shared" si="5"/>
        <v>-164.55827572392576</v>
      </c>
      <c r="L99" s="302">
        <f>FISCinyear!IC569</f>
        <v>0</v>
      </c>
      <c r="M99" s="302">
        <f>FISCinyear!ID569</f>
        <v>-189.57230382755449</v>
      </c>
      <c r="N99" s="302">
        <f>FISCinyear!IE569</f>
        <v>-119.41686467172894</v>
      </c>
      <c r="O99" s="302">
        <f>FISCinyear!IF569</f>
        <v>-158.59777544355612</v>
      </c>
      <c r="P99" s="302">
        <f>FISCinyear!IG569</f>
        <v>-278.01464011528503</v>
      </c>
      <c r="Q99" s="302" t="e">
        <f>FISCinyear!IH569</f>
        <v>#REF!</v>
      </c>
      <c r="R99" s="302" t="e">
        <f>FISCinyear!II569</f>
        <v>#REF!</v>
      </c>
      <c r="S99" s="302">
        <f>FISCinyear!IJ569</f>
        <v>-863.60372409370552</v>
      </c>
      <c r="T99" s="302">
        <f>FISCinyear!IM569</f>
        <v>-691.713745608419</v>
      </c>
      <c r="U99" s="1101"/>
      <c r="V99" s="1101"/>
      <c r="W99" s="1101"/>
      <c r="X99" s="1101"/>
    </row>
    <row r="100" spans="1:24" ht="15.5">
      <c r="A100" s="351"/>
      <c r="B100" s="302"/>
      <c r="C100" s="302">
        <f>FISCinyear!HT570</f>
        <v>0</v>
      </c>
      <c r="D100" s="302">
        <f>FISCinyear!HV570</f>
        <v>0</v>
      </c>
      <c r="E100" s="1105">
        <f t="shared" si="3"/>
        <v>0</v>
      </c>
      <c r="F100" s="302">
        <f>FISCinyear!HW570</f>
        <v>0</v>
      </c>
      <c r="G100" s="302">
        <f>FISCinyear!HY570</f>
        <v>0</v>
      </c>
      <c r="H100" s="1105">
        <f t="shared" si="4"/>
        <v>0</v>
      </c>
      <c r="I100" s="302">
        <f>FISCinyear!HZ570</f>
        <v>0</v>
      </c>
      <c r="J100" s="302">
        <f>FISCinyear!IB570</f>
        <v>0</v>
      </c>
      <c r="K100" s="1105">
        <f t="shared" si="5"/>
        <v>0</v>
      </c>
      <c r="L100" s="302">
        <f>FISCinyear!IC570</f>
        <v>0</v>
      </c>
      <c r="M100" s="302">
        <f>FISCinyear!ID570</f>
        <v>0</v>
      </c>
      <c r="N100" s="302">
        <f>FISCinyear!IE570</f>
        <v>0</v>
      </c>
      <c r="O100" s="302">
        <f>FISCinyear!IF570</f>
        <v>0</v>
      </c>
      <c r="P100" s="302">
        <f>FISCinyear!IG570</f>
        <v>0</v>
      </c>
      <c r="Q100" s="302">
        <f>FISCinyear!IH570</f>
        <v>0</v>
      </c>
      <c r="R100" s="302">
        <f>FISCinyear!II570</f>
        <v>0</v>
      </c>
      <c r="S100" s="302">
        <f>FISCinyear!IJ570</f>
        <v>0</v>
      </c>
      <c r="T100" s="302">
        <f>FISCinyear!IM570</f>
        <v>0</v>
      </c>
      <c r="U100" s="1101"/>
      <c r="V100" s="1101"/>
      <c r="W100" s="1101"/>
      <c r="X100" s="1101"/>
    </row>
    <row r="101" spans="1:24" ht="15.5">
      <c r="A101" s="345" t="s">
        <v>176</v>
      </c>
      <c r="B101" s="302"/>
      <c r="C101" s="302">
        <f>FISCinyear!HT571</f>
        <v>0</v>
      </c>
      <c r="D101" s="302">
        <f>FISCinyear!HV571</f>
        <v>0</v>
      </c>
      <c r="E101" s="1105">
        <f t="shared" si="3"/>
        <v>0</v>
      </c>
      <c r="F101" s="302">
        <f>FISCinyear!HW571</f>
        <v>0</v>
      </c>
      <c r="G101" s="302">
        <f>FISCinyear!HY571</f>
        <v>0</v>
      </c>
      <c r="H101" s="1105">
        <f t="shared" si="4"/>
        <v>0</v>
      </c>
      <c r="I101" s="302">
        <f>FISCinyear!HZ571</f>
        <v>0</v>
      </c>
      <c r="J101" s="302">
        <f>FISCinyear!IB571</f>
        <v>0</v>
      </c>
      <c r="K101" s="1105">
        <f t="shared" si="5"/>
        <v>0</v>
      </c>
      <c r="L101" s="302">
        <f>FISCinyear!IC571</f>
        <v>0</v>
      </c>
      <c r="M101" s="302">
        <f>FISCinyear!ID571</f>
        <v>0</v>
      </c>
      <c r="N101" s="302">
        <f>FISCinyear!IE571</f>
        <v>0</v>
      </c>
      <c r="O101" s="302">
        <f>FISCinyear!IF571</f>
        <v>0</v>
      </c>
      <c r="P101" s="302">
        <f>FISCinyear!IG571</f>
        <v>0</v>
      </c>
      <c r="Q101" s="302">
        <f>FISCinyear!IH571</f>
        <v>0</v>
      </c>
      <c r="R101" s="302">
        <f>FISCinyear!II571</f>
        <v>0</v>
      </c>
      <c r="S101" s="302">
        <f>FISCinyear!IJ571</f>
        <v>0</v>
      </c>
      <c r="T101" s="302">
        <f>FISCinyear!IM571</f>
        <v>0</v>
      </c>
      <c r="U101" s="1101"/>
      <c r="V101" s="1101"/>
      <c r="W101" s="1101"/>
      <c r="X101" s="1101"/>
    </row>
    <row r="102" spans="1:24" ht="15.5">
      <c r="A102" s="351" t="s">
        <v>177</v>
      </c>
      <c r="B102" s="302"/>
      <c r="C102" s="302">
        <f>FISCinyear!HT572</f>
        <v>-168.08400936621001</v>
      </c>
      <c r="D102" s="302">
        <f>FISCinyear!HV572</f>
        <v>-102.79611411144401</v>
      </c>
      <c r="E102" s="1105">
        <f t="shared" si="3"/>
        <v>-270.88012347765402</v>
      </c>
      <c r="F102" s="302">
        <f>FISCinyear!HW572</f>
        <v>-110.1861607346483</v>
      </c>
      <c r="G102" s="302">
        <f>FISCinyear!HY572</f>
        <v>-138.81835282202974</v>
      </c>
      <c r="H102" s="1105">
        <f t="shared" si="4"/>
        <v>-249.00451355667803</v>
      </c>
      <c r="I102" s="302">
        <f>FISCinyear!HZ572</f>
        <v>-202.01047195593048</v>
      </c>
      <c r="J102" s="302">
        <f>FISCinyear!IB572</f>
        <v>-167.4713859075822</v>
      </c>
      <c r="K102" s="1105">
        <f t="shared" si="5"/>
        <v>-369.48185786351269</v>
      </c>
      <c r="L102" s="302">
        <f>FISCinyear!IC572</f>
        <v>-199.65596218942187</v>
      </c>
      <c r="M102" s="302">
        <f>FISCinyear!ID572</f>
        <v>-367.12734809700419</v>
      </c>
      <c r="N102" s="302">
        <f>FISCinyear!IE572</f>
        <v>-183.93455832429345</v>
      </c>
      <c r="O102" s="302">
        <f>FISCinyear!IF572</f>
        <v>-362.726670839458</v>
      </c>
      <c r="P102" s="302">
        <f>FISCinyear!IG572</f>
        <v>-546.66122916375139</v>
      </c>
      <c r="Q102" s="302" t="e">
        <f>FISCinyear!IH572</f>
        <v>#REF!</v>
      </c>
      <c r="R102" s="302" t="e">
        <f>FISCinyear!II572</f>
        <v>#REF!</v>
      </c>
      <c r="S102" s="302">
        <f>FISCinyear!IJ572</f>
        <v>-1171.0971334578217</v>
      </c>
      <c r="T102" s="302">
        <f>FISCinyear!IM572</f>
        <v>-938.72910155907584</v>
      </c>
      <c r="U102" s="1101"/>
      <c r="V102" s="1101"/>
      <c r="W102" s="1101"/>
      <c r="X102" s="1101"/>
    </row>
    <row r="103" spans="1:24" ht="15.5">
      <c r="A103" s="351" t="s">
        <v>178</v>
      </c>
      <c r="B103" s="302"/>
      <c r="C103" s="302">
        <f>FISCinyear!HT573</f>
        <v>-343.05845788420015</v>
      </c>
      <c r="D103" s="302">
        <f>FISCinyear!HV573</f>
        <v>-302.42322790242429</v>
      </c>
      <c r="E103" s="1105">
        <f t="shared" si="3"/>
        <v>-645.48168578662444</v>
      </c>
      <c r="F103" s="302">
        <f>FISCinyear!HW573</f>
        <v>-284.30605722139501</v>
      </c>
      <c r="G103" s="302">
        <f>FISCinyear!HY573</f>
        <v>-260.73421251551099</v>
      </c>
      <c r="H103" s="1105">
        <f t="shared" si="4"/>
        <v>-545.040269736906</v>
      </c>
      <c r="I103" s="302">
        <f>FISCinyear!HZ573</f>
        <v>-321.76868079717315</v>
      </c>
      <c r="J103" s="302">
        <f>FISCinyear!IB573</f>
        <v>-362.23600502257068</v>
      </c>
      <c r="K103" s="1105">
        <f t="shared" si="5"/>
        <v>-684.00468581974383</v>
      </c>
      <c r="L103" s="302">
        <f>FISCinyear!IC573</f>
        <v>-363.80001994314387</v>
      </c>
      <c r="M103" s="302">
        <f>FISCinyear!ID573</f>
        <v>-726.03602496571466</v>
      </c>
      <c r="N103" s="302">
        <f>FISCinyear!IE573</f>
        <v>-418.48674584057858</v>
      </c>
      <c r="O103" s="302">
        <f>FISCinyear!IF573</f>
        <v>-522.94810782748812</v>
      </c>
      <c r="P103" s="302">
        <f>FISCinyear!IG573</f>
        <v>-941.43485366806669</v>
      </c>
      <c r="Q103" s="302" t="e">
        <f>FISCinyear!IH573</f>
        <v>#REF!</v>
      </c>
      <c r="R103" s="302" t="e">
        <f>FISCinyear!II573</f>
        <v>#REF!</v>
      </c>
      <c r="S103" s="302">
        <f>FISCinyear!IJ573</f>
        <v>-1603.1794113359817</v>
      </c>
      <c r="T103" s="302">
        <f>FISCinyear!IM573</f>
        <v>-1431.0527865498161</v>
      </c>
      <c r="U103" s="1101"/>
      <c r="V103" s="1101"/>
      <c r="W103" s="1101"/>
      <c r="X103" s="1101"/>
    </row>
    <row r="104" spans="1:24" ht="15.5">
      <c r="A104" s="351"/>
      <c r="B104" s="302"/>
      <c r="C104" s="302">
        <f>FISCinyear!HT574</f>
        <v>0</v>
      </c>
      <c r="D104" s="302">
        <f>FISCinyear!HV574</f>
        <v>0</v>
      </c>
      <c r="E104" s="1105">
        <f t="shared" si="3"/>
        <v>0</v>
      </c>
      <c r="F104" s="302">
        <f>FISCinyear!HW574</f>
        <v>0</v>
      </c>
      <c r="G104" s="302">
        <f>FISCinyear!HY574</f>
        <v>0</v>
      </c>
      <c r="H104" s="1105">
        <f t="shared" si="4"/>
        <v>0</v>
      </c>
      <c r="I104" s="302">
        <f>FISCinyear!HZ574</f>
        <v>0</v>
      </c>
      <c r="J104" s="302">
        <f>FISCinyear!IB574</f>
        <v>0</v>
      </c>
      <c r="K104" s="1105">
        <f t="shared" si="5"/>
        <v>0</v>
      </c>
      <c r="L104" s="302">
        <f>FISCinyear!IC574</f>
        <v>0</v>
      </c>
      <c r="M104" s="302">
        <f>FISCinyear!ID574</f>
        <v>-371.40946294800415</v>
      </c>
      <c r="N104" s="302">
        <f>FISCinyear!IE574</f>
        <v>0</v>
      </c>
      <c r="O104" s="302">
        <f>FISCinyear!IF574</f>
        <v>0</v>
      </c>
      <c r="P104" s="302">
        <f>FISCinyear!IG574</f>
        <v>0</v>
      </c>
      <c r="Q104" s="302">
        <f>FISCinyear!IH574</f>
        <v>0</v>
      </c>
      <c r="R104" s="302">
        <f>FISCinyear!II574</f>
        <v>0</v>
      </c>
      <c r="S104" s="302">
        <f>FISCinyear!IJ574</f>
        <v>-1156.104743164371</v>
      </c>
      <c r="T104" s="302">
        <f>FISCinyear!IM574</f>
        <v>-944.94633527590759</v>
      </c>
      <c r="U104" s="1101"/>
      <c r="V104" s="1101"/>
      <c r="W104" s="1101"/>
      <c r="X104" s="1101"/>
    </row>
    <row r="105" spans="1:24" ht="15.5">
      <c r="A105" s="351" t="s">
        <v>179</v>
      </c>
      <c r="B105" s="302"/>
      <c r="C105" s="302">
        <f>FISCinyear!HT575</f>
        <v>-26.171756391999992</v>
      </c>
      <c r="D105" s="302">
        <f>FISCinyear!HV575</f>
        <v>14.820665974999997</v>
      </c>
      <c r="E105" s="1105">
        <f t="shared" si="3"/>
        <v>-11.351090416999995</v>
      </c>
      <c r="F105" s="302">
        <f>FISCinyear!HW575</f>
        <v>-42.43869152900001</v>
      </c>
      <c r="G105" s="302">
        <f>FISCinyear!HY575</f>
        <v>-12.182844620999987</v>
      </c>
      <c r="H105" s="1105">
        <f t="shared" si="4"/>
        <v>-54.621536149999997</v>
      </c>
      <c r="I105" s="302">
        <f>FISCinyear!HZ575</f>
        <v>52.148074446999999</v>
      </c>
      <c r="J105" s="302">
        <f>FISCinyear!IB575</f>
        <v>34.976006456</v>
      </c>
      <c r="K105" s="1105">
        <f t="shared" si="5"/>
        <v>87.124080902999992</v>
      </c>
      <c r="L105" s="302">
        <f>FISCinyear!IC575</f>
        <v>-60.037238744000014</v>
      </c>
      <c r="M105" s="302">
        <f>FISCinyear!ID575</f>
        <v>-25.061232288000014</v>
      </c>
      <c r="N105" s="302">
        <f>FISCinyear!IE575</f>
        <v>52.259514259000056</v>
      </c>
      <c r="O105" s="302">
        <f>FISCinyear!IF575</f>
        <v>2.8631059329999857</v>
      </c>
      <c r="P105" s="302">
        <f>FISCinyear!IG575</f>
        <v>55.122620192000042</v>
      </c>
      <c r="Q105" s="302">
        <f>FISCinyear!IH575</f>
        <v>66.228221879000003</v>
      </c>
      <c r="R105" s="302">
        <f>FISCinyear!II575</f>
        <v>-121.32822187900001</v>
      </c>
      <c r="S105" s="302">
        <f>FISCinyear!IJ575</f>
        <v>-55.1</v>
      </c>
      <c r="T105" s="302">
        <f>FISCinyear!IM575</f>
        <v>-35.228921278959099</v>
      </c>
      <c r="U105" s="1101"/>
      <c r="V105" s="1101"/>
      <c r="W105" s="1101"/>
      <c r="X105" s="1101"/>
    </row>
    <row r="106" spans="1:24" ht="15.5">
      <c r="A106" s="351" t="s">
        <v>35</v>
      </c>
      <c r="B106" s="302"/>
      <c r="C106" s="302">
        <f>FISCinyear!HT576</f>
        <v>-26.171756391999992</v>
      </c>
      <c r="D106" s="302">
        <f>FISCinyear!HV576</f>
        <v>14.820665974999997</v>
      </c>
      <c r="E106" s="1105">
        <f t="shared" si="3"/>
        <v>-11.351090416999995</v>
      </c>
      <c r="F106" s="302">
        <f>FISCinyear!HW576</f>
        <v>-42.43869152900001</v>
      </c>
      <c r="G106" s="302">
        <f>FISCinyear!HY576</f>
        <v>-12.182844620999987</v>
      </c>
      <c r="H106" s="1105">
        <f t="shared" si="4"/>
        <v>-54.621536149999997</v>
      </c>
      <c r="I106" s="302">
        <f>FISCinyear!HZ576</f>
        <v>52.148074446999999</v>
      </c>
      <c r="J106" s="302">
        <f>FISCinyear!IB576</f>
        <v>34.976006456</v>
      </c>
      <c r="K106" s="1105">
        <f t="shared" si="5"/>
        <v>87.124080902999992</v>
      </c>
      <c r="L106" s="302">
        <f>FISCinyear!IC576</f>
        <v>-60.037238744000014</v>
      </c>
      <c r="M106" s="302">
        <f>FISCinyear!ID576</f>
        <v>-25.061232288000014</v>
      </c>
      <c r="N106" s="302">
        <f>FISCinyear!IE576</f>
        <v>52.259514259000056</v>
      </c>
      <c r="O106" s="302">
        <f>FISCinyear!IF576</f>
        <v>2.8631059329999857</v>
      </c>
      <c r="P106" s="302">
        <f>FISCinyear!IG576</f>
        <v>55.122620192000042</v>
      </c>
      <c r="Q106" s="302">
        <f>FISCinyear!IH576</f>
        <v>66.228221879000003</v>
      </c>
      <c r="R106" s="302">
        <f>FISCinyear!II576</f>
        <v>-121.32822187900001</v>
      </c>
      <c r="S106" s="302">
        <f>FISCinyear!IJ576</f>
        <v>-55.1</v>
      </c>
      <c r="T106" s="302">
        <f>FISCinyear!IM576</f>
        <v>-35.228921278959099</v>
      </c>
      <c r="U106" s="1101"/>
      <c r="V106" s="1101"/>
      <c r="W106" s="1101"/>
      <c r="X106" s="1101"/>
    </row>
    <row r="107" spans="1:24" ht="15.5">
      <c r="A107" s="353"/>
      <c r="B107" s="302"/>
      <c r="C107" s="302">
        <f>FISCinyear!HT577</f>
        <v>0</v>
      </c>
      <c r="D107" s="302">
        <f>FISCinyear!HV577</f>
        <v>0</v>
      </c>
      <c r="E107" s="1105">
        <f t="shared" si="3"/>
        <v>0</v>
      </c>
      <c r="F107" s="302">
        <f>FISCinyear!HW577</f>
        <v>0</v>
      </c>
      <c r="G107" s="302">
        <f>FISCinyear!HY577</f>
        <v>0</v>
      </c>
      <c r="H107" s="1105">
        <f t="shared" si="4"/>
        <v>0</v>
      </c>
      <c r="I107" s="302">
        <f>FISCinyear!HZ577</f>
        <v>0</v>
      </c>
      <c r="J107" s="302">
        <f>FISCinyear!IB577</f>
        <v>0</v>
      </c>
      <c r="K107" s="1105">
        <f t="shared" si="5"/>
        <v>0</v>
      </c>
      <c r="L107" s="302">
        <f>FISCinyear!IC577</f>
        <v>0</v>
      </c>
      <c r="M107" s="302">
        <f>FISCinyear!ID577</f>
        <v>0</v>
      </c>
      <c r="N107" s="302">
        <f>FISCinyear!IE577</f>
        <v>0</v>
      </c>
      <c r="O107" s="302">
        <f>FISCinyear!IF577</f>
        <v>0</v>
      </c>
      <c r="P107" s="302">
        <f>FISCinyear!IG577</f>
        <v>0</v>
      </c>
      <c r="Q107" s="302">
        <f>FISCinyear!IH577</f>
        <v>0</v>
      </c>
      <c r="R107" s="302">
        <f>FISCinyear!II577</f>
        <v>0</v>
      </c>
      <c r="S107" s="302">
        <f>FISCinyear!IJ577</f>
        <v>0</v>
      </c>
      <c r="T107" s="302">
        <f>FISCinyear!IM577</f>
        <v>0</v>
      </c>
      <c r="U107" s="1101"/>
      <c r="V107" s="1101"/>
      <c r="W107" s="1101"/>
      <c r="X107" s="1101"/>
    </row>
    <row r="108" spans="1:24" ht="15.5">
      <c r="A108" s="345" t="s">
        <v>180</v>
      </c>
      <c r="B108" s="302"/>
      <c r="C108" s="302">
        <f>FISCinyear!HT578</f>
        <v>0</v>
      </c>
      <c r="D108" s="302">
        <f>FISCinyear!HV578</f>
        <v>0</v>
      </c>
      <c r="E108" s="1105">
        <f t="shared" si="3"/>
        <v>0</v>
      </c>
      <c r="F108" s="302">
        <f>FISCinyear!HW578</f>
        <v>0</v>
      </c>
      <c r="G108" s="302">
        <f>FISCinyear!HY578</f>
        <v>0</v>
      </c>
      <c r="H108" s="1105">
        <f t="shared" si="4"/>
        <v>0</v>
      </c>
      <c r="I108" s="302">
        <f>FISCinyear!HZ578</f>
        <v>0</v>
      </c>
      <c r="J108" s="302">
        <f>FISCinyear!IB578</f>
        <v>0</v>
      </c>
      <c r="K108" s="1105">
        <f t="shared" si="5"/>
        <v>0</v>
      </c>
      <c r="L108" s="302">
        <f>FISCinyear!IC578</f>
        <v>0</v>
      </c>
      <c r="M108" s="302">
        <f>FISCinyear!ID578</f>
        <v>0</v>
      </c>
      <c r="N108" s="302">
        <f>FISCinyear!IE578</f>
        <v>0</v>
      </c>
      <c r="O108" s="302">
        <f>FISCinyear!IF578</f>
        <v>0</v>
      </c>
      <c r="P108" s="302">
        <f>FISCinyear!IG578</f>
        <v>0</v>
      </c>
      <c r="Q108" s="302">
        <f>FISCinyear!IH578</f>
        <v>0</v>
      </c>
      <c r="R108" s="302">
        <f>FISCinyear!II578</f>
        <v>0</v>
      </c>
      <c r="S108" s="302">
        <f>FISCinyear!IJ578</f>
        <v>0</v>
      </c>
      <c r="T108" s="302">
        <f>FISCinyear!IM578</f>
        <v>0</v>
      </c>
      <c r="U108" s="1101"/>
      <c r="V108" s="1101"/>
      <c r="W108" s="1101"/>
      <c r="X108" s="1101"/>
    </row>
    <row r="109" spans="1:24" ht="15.5">
      <c r="A109" s="351" t="s">
        <v>177</v>
      </c>
      <c r="B109" s="302"/>
      <c r="C109" s="302">
        <f>FISCinyear!HT579</f>
        <v>-194.25576575821</v>
      </c>
      <c r="D109" s="302">
        <f>FISCinyear!HV579</f>
        <v>-87.975448136444015</v>
      </c>
      <c r="E109" s="1105">
        <f t="shared" si="3"/>
        <v>-282.23121389465405</v>
      </c>
      <c r="F109" s="302">
        <f>FISCinyear!HW579</f>
        <v>-152.62485226364831</v>
      </c>
      <c r="G109" s="302">
        <f>FISCinyear!HY579</f>
        <v>-151.00119744302972</v>
      </c>
      <c r="H109" s="1105">
        <f t="shared" si="4"/>
        <v>-303.62604970667803</v>
      </c>
      <c r="I109" s="302">
        <f>FISCinyear!HZ579</f>
        <v>-149.86239750893048</v>
      </c>
      <c r="J109" s="302">
        <f>FISCinyear!IB579</f>
        <v>-132.49537945158221</v>
      </c>
      <c r="K109" s="1105">
        <f t="shared" si="5"/>
        <v>-282.35777696051269</v>
      </c>
      <c r="L109" s="302">
        <f>FISCinyear!IC579</f>
        <v>-259.69320093342191</v>
      </c>
      <c r="M109" s="302">
        <f>FISCinyear!ID579</f>
        <v>-392.18858038500423</v>
      </c>
      <c r="N109" s="302">
        <f>FISCinyear!IE579</f>
        <v>-131.67504406529343</v>
      </c>
      <c r="O109" s="302">
        <f>FISCinyear!IF579</f>
        <v>-359.86356490645801</v>
      </c>
      <c r="P109" s="302">
        <f>FISCinyear!IG579</f>
        <v>-491.53860897175144</v>
      </c>
      <c r="Q109" s="302" t="e">
        <f>FISCinyear!IH579</f>
        <v>#REF!</v>
      </c>
      <c r="R109" s="302" t="e">
        <f>FISCinyear!II579</f>
        <v>#REF!</v>
      </c>
      <c r="S109" s="302">
        <f>FISCinyear!IJ579</f>
        <v>-1226.1971334578216</v>
      </c>
      <c r="T109" s="302">
        <f>FISCinyear!IM579</f>
        <v>-973.95802283803494</v>
      </c>
      <c r="U109" s="1101"/>
      <c r="V109" s="1101"/>
      <c r="W109" s="1101"/>
      <c r="X109" s="1101"/>
    </row>
    <row r="110" spans="1:24" ht="15.5">
      <c r="A110" s="351" t="s">
        <v>178</v>
      </c>
      <c r="B110" s="302"/>
      <c r="C110" s="302">
        <f>FISCinyear!HT580</f>
        <v>-369.23021427620017</v>
      </c>
      <c r="D110" s="302">
        <f>FISCinyear!HV580</f>
        <v>-287.60256192742429</v>
      </c>
      <c r="E110" s="1105">
        <f t="shared" si="3"/>
        <v>-656.83277620362446</v>
      </c>
      <c r="F110" s="302">
        <f>FISCinyear!HW580</f>
        <v>-326.74474875039505</v>
      </c>
      <c r="G110" s="302">
        <f>FISCinyear!HY580</f>
        <v>-272.91705713651095</v>
      </c>
      <c r="H110" s="1105">
        <f t="shared" si="4"/>
        <v>-599.661805886906</v>
      </c>
      <c r="I110" s="302">
        <f>FISCinyear!HZ580</f>
        <v>-269.62060635017315</v>
      </c>
      <c r="J110" s="302">
        <f>FISCinyear!IB580</f>
        <v>-327.25999856657069</v>
      </c>
      <c r="K110" s="1105">
        <f t="shared" si="5"/>
        <v>-596.88060491674378</v>
      </c>
      <c r="L110" s="302">
        <f>FISCinyear!IC580</f>
        <v>-423.8372586871439</v>
      </c>
      <c r="M110" s="302">
        <f>FISCinyear!ID580</f>
        <v>-751.0972572537147</v>
      </c>
      <c r="N110" s="302">
        <f>FISCinyear!IE580</f>
        <v>-366.22723158157851</v>
      </c>
      <c r="O110" s="302">
        <f>FISCinyear!IF580</f>
        <v>-520.08500189448819</v>
      </c>
      <c r="P110" s="302">
        <f>FISCinyear!IG580</f>
        <v>-886.31223347606669</v>
      </c>
      <c r="Q110" s="302" t="e">
        <f>FISCinyear!IH580</f>
        <v>#REF!</v>
      </c>
      <c r="R110" s="302" t="e">
        <f>FISCinyear!II580</f>
        <v>#REF!</v>
      </c>
      <c r="S110" s="302">
        <f>FISCinyear!IJ580</f>
        <v>-1658.2794113359816</v>
      </c>
      <c r="T110" s="302">
        <f>FISCinyear!IM580</f>
        <v>-1466.2817078287753</v>
      </c>
      <c r="U110" s="1101"/>
      <c r="V110" s="1101"/>
      <c r="W110" s="1101"/>
      <c r="X110" s="1101"/>
    </row>
    <row r="111" spans="1:24" ht="15.5">
      <c r="A111" s="351"/>
      <c r="B111" s="302"/>
      <c r="C111" s="302">
        <f>FISCinyear!HT581</f>
        <v>0</v>
      </c>
      <c r="D111" s="302">
        <f>FISCinyear!HV581</f>
        <v>0</v>
      </c>
      <c r="E111" s="1105">
        <f t="shared" si="3"/>
        <v>0</v>
      </c>
      <c r="F111" s="302">
        <f>FISCinyear!HW581</f>
        <v>0</v>
      </c>
      <c r="G111" s="302">
        <f>FISCinyear!HY581</f>
        <v>0</v>
      </c>
      <c r="H111" s="1105">
        <f t="shared" si="4"/>
        <v>0</v>
      </c>
      <c r="I111" s="302">
        <f>FISCinyear!HZ581</f>
        <v>0</v>
      </c>
      <c r="J111" s="302">
        <f>FISCinyear!IB581</f>
        <v>0</v>
      </c>
      <c r="K111" s="1105">
        <f t="shared" si="5"/>
        <v>0</v>
      </c>
      <c r="L111" s="302">
        <f>FISCinyear!IC581</f>
        <v>0</v>
      </c>
      <c r="M111" s="302">
        <f>FISCinyear!ID581</f>
        <v>0</v>
      </c>
      <c r="N111" s="302">
        <f>FISCinyear!IE581</f>
        <v>0</v>
      </c>
      <c r="O111" s="302">
        <f>FISCinyear!IF581</f>
        <v>0</v>
      </c>
      <c r="P111" s="302">
        <f>FISCinyear!IG581</f>
        <v>0</v>
      </c>
      <c r="Q111" s="302">
        <f>FISCinyear!IH581</f>
        <v>0</v>
      </c>
      <c r="R111" s="302">
        <f>FISCinyear!II581</f>
        <v>0</v>
      </c>
      <c r="S111" s="302">
        <f>FISCinyear!IJ581</f>
        <v>0</v>
      </c>
      <c r="T111" s="302">
        <f>FISCinyear!IM581</f>
        <v>0</v>
      </c>
      <c r="U111" s="1101"/>
      <c r="V111" s="1101"/>
      <c r="W111" s="1101"/>
      <c r="X111" s="1101"/>
    </row>
    <row r="112" spans="1:24" ht="15.5">
      <c r="A112" s="345" t="s">
        <v>181</v>
      </c>
      <c r="B112" s="302"/>
      <c r="C112" s="302">
        <f>FISCinyear!HT582</f>
        <v>194.25576575821</v>
      </c>
      <c r="D112" s="302">
        <f>FISCinyear!HV582</f>
        <v>88.378745591420241</v>
      </c>
      <c r="E112" s="1105">
        <f t="shared" si="3"/>
        <v>282.63451134963026</v>
      </c>
      <c r="F112" s="302">
        <f>FISCinyear!HW582</f>
        <v>183.11622497139447</v>
      </c>
      <c r="G112" s="302">
        <f>FISCinyear!HY582</f>
        <v>144.16212894998142</v>
      </c>
      <c r="H112" s="1105">
        <f t="shared" si="4"/>
        <v>327.27835392137592</v>
      </c>
      <c r="I112" s="302">
        <f>FISCinyear!HZ582</f>
        <v>237.35986063043688</v>
      </c>
      <c r="J112" s="302">
        <f>FISCinyear!IB582</f>
        <v>132.49537945158221</v>
      </c>
      <c r="K112" s="1105">
        <f t="shared" si="5"/>
        <v>369.85524008201912</v>
      </c>
      <c r="L112" s="302">
        <f>FISCinyear!IC582</f>
        <v>259.69320093342191</v>
      </c>
      <c r="M112" s="302">
        <f>FISCinyear!ID582</f>
        <v>398.9867656101726</v>
      </c>
      <c r="N112" s="302">
        <f>FISCinyear!IE582</f>
        <v>111.40457354386415</v>
      </c>
      <c r="O112" s="302">
        <f>FISCinyear!IF582</f>
        <v>390.97609972019518</v>
      </c>
      <c r="P112" s="302">
        <f>FISCinyear!IG582</f>
        <v>502.38067326405934</v>
      </c>
      <c r="Q112" s="302" t="e">
        <f>FISCinyear!IH582</f>
        <v>#REF!</v>
      </c>
      <c r="R112" s="302" t="e">
        <f>FISCinyear!II582</f>
        <v>#REF!</v>
      </c>
      <c r="S112" s="302">
        <f>FISCinyear!IJ582</f>
        <v>1226.1509467500846</v>
      </c>
      <c r="T112" s="302">
        <f>FISCinyear!IM582</f>
        <v>973.99842550595372</v>
      </c>
      <c r="U112" s="1101"/>
      <c r="V112" s="1101"/>
      <c r="W112" s="1101"/>
      <c r="X112" s="1101"/>
    </row>
    <row r="113" spans="1:24" ht="15.5">
      <c r="A113" s="351"/>
      <c r="B113" s="302"/>
      <c r="C113" s="302">
        <f>FISCinyear!HT583</f>
        <v>0</v>
      </c>
      <c r="D113" s="302">
        <f>FISCinyear!HV583</f>
        <v>0</v>
      </c>
      <c r="E113" s="1105">
        <f t="shared" si="3"/>
        <v>0</v>
      </c>
      <c r="F113" s="302">
        <f>FISCinyear!HW583</f>
        <v>0</v>
      </c>
      <c r="G113" s="302">
        <f>FISCinyear!HY583</f>
        <v>0</v>
      </c>
      <c r="H113" s="1105">
        <f t="shared" si="4"/>
        <v>0</v>
      </c>
      <c r="I113" s="302">
        <f>FISCinyear!HZ583</f>
        <v>0</v>
      </c>
      <c r="J113" s="302">
        <f>FISCinyear!IB583</f>
        <v>0</v>
      </c>
      <c r="K113" s="1105">
        <f t="shared" si="5"/>
        <v>0</v>
      </c>
      <c r="L113" s="302">
        <f>FISCinyear!IC583</f>
        <v>0</v>
      </c>
      <c r="M113" s="302">
        <f>FISCinyear!ID583</f>
        <v>0</v>
      </c>
      <c r="N113" s="302">
        <f>FISCinyear!IE583</f>
        <v>0</v>
      </c>
      <c r="O113" s="302">
        <f>FISCinyear!IF583</f>
        <v>0</v>
      </c>
      <c r="P113" s="302">
        <f>FISCinyear!IG583</f>
        <v>0</v>
      </c>
      <c r="Q113" s="302">
        <f>FISCinyear!IH583</f>
        <v>0</v>
      </c>
      <c r="R113" s="302">
        <f>FISCinyear!II583</f>
        <v>0</v>
      </c>
      <c r="S113" s="302" t="str">
        <f>FISCinyear!IJ583</f>
        <v xml:space="preserve"> </v>
      </c>
      <c r="T113" s="302">
        <f>FISCinyear!IM583</f>
        <v>0</v>
      </c>
      <c r="U113" s="1101"/>
      <c r="V113" s="1101"/>
      <c r="W113" s="1101"/>
      <c r="X113" s="1101"/>
    </row>
    <row r="114" spans="1:24" ht="15.5">
      <c r="A114" s="345" t="s">
        <v>182</v>
      </c>
      <c r="B114" s="302"/>
      <c r="C114" s="302">
        <f>FISCinyear!HT584</f>
        <v>84.73452708826801</v>
      </c>
      <c r="D114" s="302">
        <f>FISCinyear!HV584</f>
        <v>166.51489885055659</v>
      </c>
      <c r="E114" s="1105">
        <f t="shared" si="3"/>
        <v>251.2494259388246</v>
      </c>
      <c r="F114" s="302">
        <f>FISCinyear!HW584</f>
        <v>57.893228809132779</v>
      </c>
      <c r="G114" s="302">
        <f>FISCinyear!HY584</f>
        <v>216.81219738131307</v>
      </c>
      <c r="H114" s="1105">
        <f t="shared" si="4"/>
        <v>274.70542619044585</v>
      </c>
      <c r="I114" s="302">
        <f>FISCinyear!HZ584</f>
        <v>106.17673701005819</v>
      </c>
      <c r="J114" s="302">
        <f>FISCinyear!IB584</f>
        <v>209.00894326395954</v>
      </c>
      <c r="K114" s="1105">
        <f t="shared" si="5"/>
        <v>315.18568027401773</v>
      </c>
      <c r="L114" s="302">
        <f>FISCinyear!IC584</f>
        <v>147.02018761326696</v>
      </c>
      <c r="M114" s="302">
        <f>FISCinyear!ID584</f>
        <v>356.02913087722652</v>
      </c>
      <c r="N114" s="302">
        <f>FISCinyear!IE584</f>
        <v>258.76863174697695</v>
      </c>
      <c r="O114" s="302">
        <f>FISCinyear!IF584</f>
        <v>189.54333489676651</v>
      </c>
      <c r="P114" s="302">
        <f>FISCinyear!IG584</f>
        <v>448.31196664374346</v>
      </c>
      <c r="Q114" s="302">
        <f>FISCinyear!IH584</f>
        <v>432.88968834181458</v>
      </c>
      <c r="R114" s="302">
        <f>FISCinyear!II584</f>
        <v>704.60893334524667</v>
      </c>
      <c r="S114" s="302">
        <f>FISCinyear!IJ584</f>
        <v>1137.4986216870611</v>
      </c>
      <c r="T114" s="302">
        <f>FISCinyear!IM584</f>
        <v>708.41842834695376</v>
      </c>
      <c r="U114" s="1101"/>
      <c r="V114" s="1101"/>
      <c r="W114" s="1101"/>
      <c r="X114" s="1101"/>
    </row>
    <row r="115" spans="1:24" ht="15.5">
      <c r="A115" s="599" t="s">
        <v>183</v>
      </c>
      <c r="B115" s="302"/>
      <c r="C115" s="302">
        <f>FISCinyear!HT585</f>
        <v>92.621132323234661</v>
      </c>
      <c r="D115" s="302">
        <f>FISCinyear!HV585</f>
        <v>174.17673368599714</v>
      </c>
      <c r="E115" s="1105">
        <f t="shared" si="3"/>
        <v>266.79786600923183</v>
      </c>
      <c r="F115" s="302">
        <f>FISCinyear!HW585</f>
        <v>67.352848918405982</v>
      </c>
      <c r="G115" s="302">
        <f>FISCinyear!HY585</f>
        <v>227.18335127502195</v>
      </c>
      <c r="H115" s="1105">
        <f t="shared" si="4"/>
        <v>294.53620019342793</v>
      </c>
      <c r="I115" s="302">
        <f>FISCinyear!HZ585</f>
        <v>117.38616403445856</v>
      </c>
      <c r="J115" s="302">
        <f>FISCinyear!IB585</f>
        <v>221.472406917173</v>
      </c>
      <c r="K115" s="1105">
        <f t="shared" si="5"/>
        <v>338.85857095163158</v>
      </c>
      <c r="L115" s="302">
        <f>FISCinyear!IC585</f>
        <v>160.37448244597002</v>
      </c>
      <c r="M115" s="302">
        <f>FISCinyear!ID585</f>
        <v>381.84688936314302</v>
      </c>
      <c r="N115" s="302">
        <f>FISCinyear!IE585</f>
        <v>272.06780849639836</v>
      </c>
      <c r="O115" s="302">
        <f>FISCinyear!IF585</f>
        <v>204.90916444539539</v>
      </c>
      <c r="P115" s="302">
        <f>FISCinyear!IG585</f>
        <v>476.97697294179375</v>
      </c>
      <c r="Q115" s="302">
        <f>FISCinyear!IH585</f>
        <v>451.54193455558487</v>
      </c>
      <c r="R115" s="302">
        <f>FISCinyear!II585</f>
        <v>742.31398899936721</v>
      </c>
      <c r="S115" s="302">
        <f>FISCinyear!IJ585</f>
        <v>1193.8559235549519</v>
      </c>
      <c r="T115" s="302">
        <f>FISCinyear!IM585</f>
        <v>783.40935593640756</v>
      </c>
      <c r="U115" s="1101"/>
      <c r="V115" s="1101"/>
      <c r="W115" s="1101"/>
      <c r="X115" s="1101"/>
    </row>
    <row r="116" spans="1:24" ht="15.5">
      <c r="A116" s="345" t="s">
        <v>1108</v>
      </c>
      <c r="B116" s="302"/>
      <c r="C116" s="302">
        <f>FISCinyear!HT586</f>
        <v>46.908105421953671</v>
      </c>
      <c r="D116" s="302">
        <f>FISCinyear!HV586</f>
        <v>122.61289918077014</v>
      </c>
      <c r="E116" s="1105">
        <f t="shared" si="3"/>
        <v>169.52100460272382</v>
      </c>
      <c r="F116" s="302">
        <f>FISCinyear!HW586</f>
        <v>16.048668081999999</v>
      </c>
      <c r="G116" s="302">
        <f>FISCinyear!HY586</f>
        <v>157.86086170024294</v>
      </c>
      <c r="H116" s="1105">
        <f t="shared" si="4"/>
        <v>173.90952978224294</v>
      </c>
      <c r="I116" s="302">
        <f>FISCinyear!HZ586</f>
        <v>25.959476439408562</v>
      </c>
      <c r="J116" s="302">
        <f>FISCinyear!IB586</f>
        <v>154.230397481983</v>
      </c>
      <c r="K116" s="1105">
        <f t="shared" si="5"/>
        <v>180.18987392139155</v>
      </c>
      <c r="L116" s="302">
        <f>FISCinyear!IC586</f>
        <v>57.266076375000011</v>
      </c>
      <c r="M116" s="302">
        <f>FISCinyear!ID586</f>
        <v>211.49647385698302</v>
      </c>
      <c r="N116" s="302">
        <f>FISCinyear!IE586</f>
        <v>198.60637392869535</v>
      </c>
      <c r="O116" s="302">
        <f>FISCinyear!IF586</f>
        <v>63.442134773486394</v>
      </c>
      <c r="P116" s="302">
        <f>FISCinyear!IG586</f>
        <v>262.04850870218172</v>
      </c>
      <c r="Q116" s="302">
        <f>FISCinyear!IH586</f>
        <v>314.72003730731018</v>
      </c>
      <c r="R116" s="302">
        <f>FISCinyear!II586</f>
        <v>591.16483555152558</v>
      </c>
      <c r="S116" s="302">
        <f>FISCinyear!IJ586</f>
        <v>905.88487285883571</v>
      </c>
      <c r="T116" s="302">
        <f>FISCinyear!IM586</f>
        <v>343.07164259517788</v>
      </c>
      <c r="U116" s="1101"/>
      <c r="V116" s="1101"/>
      <c r="W116" s="1101"/>
      <c r="X116" s="1101"/>
    </row>
    <row r="117" spans="1:24" ht="15.5">
      <c r="A117" s="351" t="s">
        <v>184</v>
      </c>
      <c r="B117" s="302"/>
      <c r="C117" s="302">
        <f>FISCinyear!HT588</f>
        <v>0</v>
      </c>
      <c r="D117" s="302">
        <f>FISCinyear!HV588</f>
        <v>0</v>
      </c>
      <c r="E117" s="1105">
        <f t="shared" si="3"/>
        <v>0</v>
      </c>
      <c r="F117" s="302">
        <f>FISCinyear!HW588</f>
        <v>0</v>
      </c>
      <c r="G117" s="302">
        <f>FISCinyear!HY588</f>
        <v>40.211763817859129</v>
      </c>
      <c r="H117" s="1105">
        <f t="shared" si="4"/>
        <v>40.211763817859129</v>
      </c>
      <c r="I117" s="302">
        <f>FISCinyear!HZ588</f>
        <v>0</v>
      </c>
      <c r="J117" s="302">
        <f>FISCinyear!IB588</f>
        <v>0</v>
      </c>
      <c r="K117" s="1105">
        <f t="shared" si="5"/>
        <v>0</v>
      </c>
      <c r="L117" s="302">
        <f>FISCinyear!IC588</f>
        <v>0</v>
      </c>
      <c r="M117" s="302">
        <f>FISCinyear!ID588</f>
        <v>54.065289391982986</v>
      </c>
      <c r="N117" s="302">
        <f>FISCinyear!IE588</f>
        <v>76.131426722094361</v>
      </c>
      <c r="O117" s="302">
        <f>FISCinyear!IF588</f>
        <v>46.932652862980397</v>
      </c>
      <c r="P117" s="302">
        <f>FISCinyear!IG588</f>
        <v>123.06407958507475</v>
      </c>
      <c r="Q117" s="302">
        <f>FISCinyear!IH588</f>
        <v>0</v>
      </c>
      <c r="R117" s="302">
        <f>FISCinyear!II588</f>
        <v>0</v>
      </c>
      <c r="S117" s="302">
        <f>FISCinyear!IJ588</f>
        <v>86.43933586343168</v>
      </c>
      <c r="T117" s="302">
        <f>FISCinyear!IM588</f>
        <v>112.28298244284116</v>
      </c>
      <c r="U117" s="1101"/>
      <c r="V117" s="1101"/>
      <c r="W117" s="1101"/>
      <c r="X117" s="1101"/>
    </row>
    <row r="118" spans="1:24" ht="15.5">
      <c r="A118" s="351" t="s">
        <v>185</v>
      </c>
      <c r="B118" s="302"/>
      <c r="C118" s="302">
        <f>FISCinyear!HT589</f>
        <v>46.908105421953671</v>
      </c>
      <c r="D118" s="302">
        <f>FISCinyear!HV589</f>
        <v>0</v>
      </c>
      <c r="E118" s="1105">
        <f t="shared" si="3"/>
        <v>46.908105421953671</v>
      </c>
      <c r="F118" s="302">
        <f>FISCinyear!HW589</f>
        <v>0</v>
      </c>
      <c r="G118" s="302">
        <f>FISCinyear!HY589</f>
        <v>117.64909788238378</v>
      </c>
      <c r="H118" s="1105">
        <f t="shared" si="4"/>
        <v>117.64909788238378</v>
      </c>
      <c r="I118" s="302">
        <f>FISCinyear!HZ589</f>
        <v>25.959476439408562</v>
      </c>
      <c r="J118" s="302">
        <f>FISCinyear!IB589</f>
        <v>154.230397481983</v>
      </c>
      <c r="K118" s="1105">
        <f t="shared" si="5"/>
        <v>180.18987392139155</v>
      </c>
      <c r="L118" s="302">
        <f>FISCinyear!IC589</f>
        <v>0</v>
      </c>
      <c r="M118" s="302">
        <f>FISCinyear!ID589</f>
        <v>157.43118446500003</v>
      </c>
      <c r="N118" s="302">
        <f>FISCinyear!IE589</f>
        <v>122.474947206601</v>
      </c>
      <c r="O118" s="302">
        <f>FISCinyear!IF589</f>
        <v>16.20009202</v>
      </c>
      <c r="P118" s="302">
        <f>FISCinyear!IG589</f>
        <v>138.675039226601</v>
      </c>
      <c r="Q118" s="302">
        <f>FISCinyear!IH589</f>
        <v>0</v>
      </c>
      <c r="R118" s="302">
        <f>FISCinyear!II589</f>
        <v>0</v>
      </c>
      <c r="S118" s="302">
        <f>FISCinyear!IJ589</f>
        <v>1</v>
      </c>
      <c r="T118" s="302">
        <f>FISCinyear!IM589</f>
        <v>2</v>
      </c>
      <c r="U118" s="1101"/>
      <c r="V118" s="1101"/>
      <c r="W118" s="1101"/>
      <c r="X118" s="1101"/>
    </row>
    <row r="119" spans="1:24" ht="15.5">
      <c r="A119" s="351" t="s">
        <v>779</v>
      </c>
      <c r="B119" s="302"/>
      <c r="C119" s="302">
        <f>FISCinyear!HT590</f>
        <v>0</v>
      </c>
      <c r="D119" s="302">
        <f>FISCinyear!HV590</f>
        <v>0</v>
      </c>
      <c r="E119" s="1105">
        <f t="shared" si="3"/>
        <v>0</v>
      </c>
      <c r="F119" s="302">
        <f>FISCinyear!HW590</f>
        <v>0</v>
      </c>
      <c r="G119" s="302">
        <f>FISCinyear!HY590</f>
        <v>0</v>
      </c>
      <c r="H119" s="1105">
        <f t="shared" si="4"/>
        <v>0</v>
      </c>
      <c r="I119" s="302">
        <f>FISCinyear!HZ590</f>
        <v>0</v>
      </c>
      <c r="J119" s="302">
        <f>FISCinyear!IB590</f>
        <v>0</v>
      </c>
      <c r="K119" s="1105">
        <f t="shared" si="5"/>
        <v>0</v>
      </c>
      <c r="L119" s="302">
        <f>FISCinyear!IC590</f>
        <v>0</v>
      </c>
      <c r="M119" s="302">
        <f>FISCinyear!ID590</f>
        <v>0</v>
      </c>
      <c r="N119" s="302">
        <f>FISCinyear!IE590</f>
        <v>0</v>
      </c>
      <c r="O119" s="302">
        <f>FISCinyear!IF590</f>
        <v>0</v>
      </c>
      <c r="P119" s="302">
        <f>FISCinyear!IG590</f>
        <v>0</v>
      </c>
      <c r="Q119" s="302">
        <f>FISCinyear!IK590</f>
        <v>0</v>
      </c>
      <c r="R119" s="302">
        <f>FISCinyear!IL590</f>
        <v>0</v>
      </c>
      <c r="S119" s="302">
        <f>FISCinyear!IM590</f>
        <v>0</v>
      </c>
      <c r="T119" s="302">
        <f>FISCinyear!IP590</f>
        <v>0</v>
      </c>
      <c r="U119" s="1101"/>
      <c r="V119" s="1101"/>
      <c r="W119" s="1101"/>
      <c r="X119" s="1101"/>
    </row>
    <row r="120" spans="1:24" ht="15.5">
      <c r="A120" s="345" t="s">
        <v>186</v>
      </c>
      <c r="B120" s="302"/>
      <c r="C120" s="302">
        <f>FISCinyear!HT591</f>
        <v>45.713026901280998</v>
      </c>
      <c r="D120" s="302">
        <f>FISCinyear!HV591</f>
        <v>51.563834505227</v>
      </c>
      <c r="E120" s="1105">
        <f t="shared" si="3"/>
        <v>97.276861406508004</v>
      </c>
      <c r="F120" s="302">
        <f>FISCinyear!HW591</f>
        <v>51.30418083640599</v>
      </c>
      <c r="G120" s="302">
        <f>FISCinyear!HY591</f>
        <v>69.322489574778999</v>
      </c>
      <c r="H120" s="1105">
        <f t="shared" si="4"/>
        <v>120.62667041118499</v>
      </c>
      <c r="I120" s="302">
        <f>FISCinyear!HZ591</f>
        <v>91.426687595049998</v>
      </c>
      <c r="J120" s="302">
        <f>FISCinyear!IB591</f>
        <v>67.242009435189999</v>
      </c>
      <c r="K120" s="1105">
        <f t="shared" si="5"/>
        <v>158.66869703024</v>
      </c>
      <c r="L120" s="302">
        <f>FISCinyear!IC591</f>
        <v>103.10840607097001</v>
      </c>
      <c r="M120" s="302">
        <f>FISCinyear!ID591</f>
        <v>170.35041550616</v>
      </c>
      <c r="N120" s="302">
        <f>FISCinyear!IE591</f>
        <v>73.46143456770298</v>
      </c>
      <c r="O120" s="302">
        <f>FISCinyear!IF591</f>
        <v>141.46702967190902</v>
      </c>
      <c r="P120" s="302">
        <f>FISCinyear!IG591</f>
        <v>214.928464239612</v>
      </c>
      <c r="Q120" s="302">
        <f>FISCinyear!IH591</f>
        <v>136.82189724827469</v>
      </c>
      <c r="R120" s="302">
        <f>FISCinyear!II591</f>
        <v>151.14915344784163</v>
      </c>
      <c r="S120" s="302">
        <f>FISCinyear!IJ591</f>
        <v>287.97105069611632</v>
      </c>
      <c r="T120" s="302">
        <f>FISCinyear!IM591</f>
        <v>390.57003784890901</v>
      </c>
      <c r="U120" s="1101"/>
      <c r="V120" s="1101"/>
      <c r="W120" s="1101"/>
      <c r="X120" s="1101"/>
    </row>
    <row r="121" spans="1:24" ht="15.5">
      <c r="A121" s="351" t="s">
        <v>187</v>
      </c>
      <c r="B121" s="302"/>
      <c r="C121" s="302">
        <f>FISCinyear!HT592</f>
        <v>0</v>
      </c>
      <c r="D121" s="302">
        <f>FISCinyear!HV592</f>
        <v>0</v>
      </c>
      <c r="E121" s="1105">
        <f t="shared" si="3"/>
        <v>0</v>
      </c>
      <c r="F121" s="302">
        <f>FISCinyear!HW592</f>
        <v>0</v>
      </c>
      <c r="G121" s="302">
        <f>FISCinyear!HY592</f>
        <v>0</v>
      </c>
      <c r="H121" s="1105">
        <f t="shared" si="4"/>
        <v>0</v>
      </c>
      <c r="I121" s="302">
        <f>FISCinyear!HZ592</f>
        <v>0</v>
      </c>
      <c r="J121" s="302">
        <f>FISCinyear!IB592</f>
        <v>0</v>
      </c>
      <c r="K121" s="1105">
        <f t="shared" si="5"/>
        <v>0</v>
      </c>
      <c r="L121" s="302">
        <f>FISCinyear!IC592</f>
        <v>0</v>
      </c>
      <c r="M121" s="302">
        <f>FISCinyear!ID592</f>
        <v>0</v>
      </c>
      <c r="N121" s="302">
        <f>FISCinyear!IE592</f>
        <v>0</v>
      </c>
      <c r="O121" s="302">
        <f>FISCinyear!IF592</f>
        <v>0</v>
      </c>
      <c r="P121" s="302">
        <f>FISCinyear!IG592</f>
        <v>0</v>
      </c>
      <c r="Q121" s="302">
        <f>FISCinyear!IH592</f>
        <v>0</v>
      </c>
      <c r="R121" s="302">
        <f>FISCinyear!II592</f>
        <v>0</v>
      </c>
      <c r="S121" s="302">
        <f>FISCinyear!IJ592</f>
        <v>0</v>
      </c>
      <c r="T121" s="302">
        <f>FISCinyear!IM592</f>
        <v>0</v>
      </c>
      <c r="U121" s="1101"/>
      <c r="V121" s="1101"/>
      <c r="W121" s="1101"/>
      <c r="X121" s="1101"/>
    </row>
    <row r="122" spans="1:24" ht="15.5">
      <c r="A122" s="351" t="s">
        <v>188</v>
      </c>
      <c r="B122" s="302"/>
      <c r="C122" s="302">
        <f>FISCinyear!HT593</f>
        <v>0</v>
      </c>
      <c r="D122" s="302">
        <f>FISCinyear!HV593</f>
        <v>0</v>
      </c>
      <c r="E122" s="1105">
        <f t="shared" si="3"/>
        <v>0</v>
      </c>
      <c r="F122" s="302">
        <f>FISCinyear!HW593</f>
        <v>0</v>
      </c>
      <c r="G122" s="302">
        <f>FISCinyear!HY593</f>
        <v>0</v>
      </c>
      <c r="H122" s="1105">
        <f t="shared" si="4"/>
        <v>0</v>
      </c>
      <c r="I122" s="302">
        <f>FISCinyear!HZ593</f>
        <v>0</v>
      </c>
      <c r="J122" s="302">
        <f>FISCinyear!IB593</f>
        <v>0</v>
      </c>
      <c r="K122" s="1105">
        <f t="shared" si="5"/>
        <v>0</v>
      </c>
      <c r="L122" s="302">
        <f>FISCinyear!IC593</f>
        <v>0</v>
      </c>
      <c r="M122" s="302">
        <f>FISCinyear!ID593</f>
        <v>0</v>
      </c>
      <c r="N122" s="302">
        <f>FISCinyear!IE593</f>
        <v>0</v>
      </c>
      <c r="O122" s="302">
        <f>FISCinyear!IF593</f>
        <v>0</v>
      </c>
      <c r="P122" s="302">
        <f>FISCinyear!IG593</f>
        <v>0</v>
      </c>
      <c r="Q122" s="302">
        <f>FISCinyear!IH593</f>
        <v>0</v>
      </c>
      <c r="R122" s="302">
        <f>FISCinyear!II593</f>
        <v>0</v>
      </c>
      <c r="S122" s="302">
        <f>FISCinyear!IJ593</f>
        <v>0</v>
      </c>
      <c r="T122" s="302">
        <f>FISCinyear!IM593</f>
        <v>0</v>
      </c>
      <c r="U122" s="1101"/>
      <c r="V122" s="1101"/>
      <c r="W122" s="1101"/>
      <c r="X122" s="1101"/>
    </row>
    <row r="123" spans="1:24" ht="15.5">
      <c r="A123" s="351" t="s">
        <v>189</v>
      </c>
      <c r="B123" s="302"/>
      <c r="C123" s="302">
        <f>FISCinyear!HT594</f>
        <v>0</v>
      </c>
      <c r="D123" s="302">
        <f>FISCinyear!HV594</f>
        <v>0</v>
      </c>
      <c r="E123" s="1105">
        <f t="shared" si="3"/>
        <v>0</v>
      </c>
      <c r="F123" s="302">
        <f>FISCinyear!HW594</f>
        <v>0</v>
      </c>
      <c r="G123" s="302">
        <f>FISCinyear!HY594</f>
        <v>0</v>
      </c>
      <c r="H123" s="1105">
        <f t="shared" si="4"/>
        <v>0</v>
      </c>
      <c r="I123" s="302">
        <f>FISCinyear!HZ594</f>
        <v>0</v>
      </c>
      <c r="J123" s="302">
        <f>FISCinyear!IB594</f>
        <v>0</v>
      </c>
      <c r="K123" s="1105">
        <f t="shared" si="5"/>
        <v>0</v>
      </c>
      <c r="L123" s="302">
        <f>FISCinyear!IC594</f>
        <v>0</v>
      </c>
      <c r="M123" s="302">
        <f>FISCinyear!ID594</f>
        <v>0</v>
      </c>
      <c r="N123" s="302">
        <f>FISCinyear!IE594</f>
        <v>0</v>
      </c>
      <c r="O123" s="302">
        <f>FISCinyear!IF594</f>
        <v>0</v>
      </c>
      <c r="P123" s="302">
        <f>FISCinyear!IG594</f>
        <v>0</v>
      </c>
      <c r="Q123" s="302">
        <f>FISCinyear!IH594</f>
        <v>0</v>
      </c>
      <c r="R123" s="302">
        <f>FISCinyear!II594</f>
        <v>0</v>
      </c>
      <c r="S123" s="302">
        <f>FISCinyear!IJ594</f>
        <v>0</v>
      </c>
      <c r="T123" s="302">
        <f>FISCinyear!IM594</f>
        <v>0</v>
      </c>
      <c r="U123" s="1101"/>
      <c r="V123" s="1101"/>
      <c r="W123" s="1101"/>
      <c r="X123" s="1101"/>
    </row>
    <row r="124" spans="1:24" ht="15.5">
      <c r="A124" s="351" t="s">
        <v>190</v>
      </c>
      <c r="B124" s="302"/>
      <c r="C124" s="302">
        <f>FISCinyear!HT595</f>
        <v>-7.8866052349666589</v>
      </c>
      <c r="D124" s="302">
        <f>FISCinyear!HV595</f>
        <v>-7.6618348354405335</v>
      </c>
      <c r="E124" s="1105">
        <f t="shared" si="3"/>
        <v>-15.548440070407192</v>
      </c>
      <c r="F124" s="302">
        <f>FISCinyear!HW595</f>
        <v>-9.4596201092731995</v>
      </c>
      <c r="G124" s="302">
        <f>FISCinyear!HY595</f>
        <v>-10.371153893708872</v>
      </c>
      <c r="H124" s="1105">
        <f t="shared" si="4"/>
        <v>-19.830774002982071</v>
      </c>
      <c r="I124" s="302">
        <f>FISCinyear!HZ595</f>
        <v>-11.209427024400362</v>
      </c>
      <c r="J124" s="302">
        <f>FISCinyear!IB595</f>
        <v>-12.463463653213461</v>
      </c>
      <c r="K124" s="1105">
        <f t="shared" si="5"/>
        <v>-23.672890677613822</v>
      </c>
      <c r="L124" s="302">
        <f>FISCinyear!IC595</f>
        <v>-13.354294832703053</v>
      </c>
      <c r="M124" s="302">
        <f>FISCinyear!ID595</f>
        <v>-25.817758485916514</v>
      </c>
      <c r="N124" s="302">
        <f>FISCinyear!IE595</f>
        <v>-13.299176749421351</v>
      </c>
      <c r="O124" s="302">
        <f>FISCinyear!IF595</f>
        <v>-15.365829548628913</v>
      </c>
      <c r="P124" s="302">
        <f>FISCinyear!IG595</f>
        <v>-28.665006298050265</v>
      </c>
      <c r="Q124" s="302">
        <f>FISCinyear!IH595</f>
        <v>-18.652246213770301</v>
      </c>
      <c r="R124" s="302">
        <f>FISCinyear!II595</f>
        <v>-37.705055654120514</v>
      </c>
      <c r="S124" s="302">
        <f>FISCinyear!IJ595</f>
        <v>-56.357301867890811</v>
      </c>
      <c r="T124" s="302">
        <f>FISCinyear!IM595</f>
        <v>76.369240314600148</v>
      </c>
      <c r="U124" s="1101"/>
      <c r="V124" s="1101"/>
      <c r="W124" s="1101"/>
      <c r="X124" s="1101"/>
    </row>
    <row r="125" spans="1:24" ht="15.5">
      <c r="A125" s="578" t="s">
        <v>873</v>
      </c>
      <c r="B125" s="302"/>
      <c r="C125" s="302">
        <f>FISCinyear!HT596</f>
        <v>109.52123866994199</v>
      </c>
      <c r="D125" s="302">
        <f>FISCinyear!HV596</f>
        <v>-78.13615325913635</v>
      </c>
      <c r="E125" s="1105">
        <f t="shared" si="3"/>
        <v>31.385085410805644</v>
      </c>
      <c r="F125" s="302">
        <f>FISCinyear!HW596</f>
        <v>125.22299616226169</v>
      </c>
      <c r="G125" s="302">
        <f>FISCinyear!HY596</f>
        <v>-72.650068431331647</v>
      </c>
      <c r="H125" s="1105">
        <f t="shared" si="4"/>
        <v>52.572927730930047</v>
      </c>
      <c r="I125" s="302">
        <f>FISCinyear!HZ596</f>
        <v>131.18312362037869</v>
      </c>
      <c r="J125" s="302">
        <f>FISCinyear!IB596</f>
        <v>-76.513563812377328</v>
      </c>
      <c r="K125" s="1105">
        <f t="shared" si="5"/>
        <v>54.669559808001367</v>
      </c>
      <c r="L125" s="302">
        <f>FISCinyear!IC596</f>
        <v>112.67301332015495</v>
      </c>
      <c r="M125" s="302">
        <f>FISCinyear!ID596</f>
        <v>42.957634732946076</v>
      </c>
      <c r="N125" s="302">
        <f>FISCinyear!IE596</f>
        <v>-147.36405820311285</v>
      </c>
      <c r="O125" s="302">
        <f>FISCinyear!IF596</f>
        <v>201.4327648234287</v>
      </c>
      <c r="P125" s="302">
        <f>FISCinyear!IG596</f>
        <v>54.068706620315851</v>
      </c>
      <c r="Q125" s="302" t="e">
        <f>FISCinyear!IH596</f>
        <v>#REF!</v>
      </c>
      <c r="R125" s="302" t="e">
        <f>FISCinyear!II596</f>
        <v>#REF!</v>
      </c>
      <c r="S125" s="302">
        <f>FISCinyear!IJ596</f>
        <v>88.652325063023426</v>
      </c>
      <c r="T125" s="302">
        <f>FISCinyear!IM596</f>
        <v>265.5799971589999</v>
      </c>
      <c r="U125" s="1101"/>
      <c r="V125" s="1101"/>
      <c r="W125" s="1101"/>
      <c r="X125" s="1101"/>
    </row>
    <row r="126" spans="1:24" ht="15.5">
      <c r="A126" s="351" t="s">
        <v>878</v>
      </c>
      <c r="B126" s="302"/>
      <c r="C126" s="302">
        <f>FISCinyear!HT597</f>
        <v>146.46521094149634</v>
      </c>
      <c r="D126" s="302">
        <f>FISCinyear!HV597</f>
        <v>-85.497536725731806</v>
      </c>
      <c r="E126" s="1105">
        <f t="shared" si="3"/>
        <v>60.967674215764532</v>
      </c>
      <c r="F126" s="302">
        <f>FISCinyear!HW597</f>
        <v>84.867020229366716</v>
      </c>
      <c r="G126" s="302">
        <f>FISCinyear!HY597</f>
        <v>-112.17075469062888</v>
      </c>
      <c r="H126" s="1105">
        <f t="shared" si="4"/>
        <v>-27.303734461262167</v>
      </c>
      <c r="I126" s="302">
        <f>FISCinyear!HZ597</f>
        <v>129.51397008959785</v>
      </c>
      <c r="J126" s="302">
        <f>FISCinyear!IB597</f>
        <v>-83.333111696434202</v>
      </c>
      <c r="K126" s="1105">
        <f t="shared" si="5"/>
        <v>46.180858393163646</v>
      </c>
      <c r="L126" s="302">
        <f>FISCinyear!IC597</f>
        <v>132.16387338195821</v>
      </c>
      <c r="M126" s="302">
        <f>FISCinyear!ID597</f>
        <v>48.83076168552401</v>
      </c>
      <c r="N126" s="302">
        <f>FISCinyear!IE597</f>
        <v>-193.46481351811281</v>
      </c>
      <c r="O126" s="302">
        <f>FISCinyear!IF597</f>
        <v>180.62684504742867</v>
      </c>
      <c r="P126" s="302">
        <f>FISCinyear!IG597</f>
        <v>-12.837968470684132</v>
      </c>
      <c r="Q126" s="302" t="e">
        <f>FISCinyear!IH597</f>
        <v>#REF!</v>
      </c>
      <c r="R126" s="302" t="e">
        <f>FISCinyear!II597</f>
        <v>#REF!</v>
      </c>
      <c r="S126" s="302">
        <f>FISCinyear!IJ597</f>
        <v>88.652325063023426</v>
      </c>
      <c r="T126" s="302">
        <f>FISCinyear!IM597</f>
        <v>265.5799971589999</v>
      </c>
      <c r="U126" s="1101"/>
      <c r="V126" s="1101"/>
      <c r="W126" s="1101"/>
      <c r="X126" s="1101"/>
    </row>
    <row r="127" spans="1:24" ht="15.5">
      <c r="A127" s="351" t="s">
        <v>879</v>
      </c>
      <c r="B127" s="302"/>
      <c r="C127" s="302">
        <f>FISCinyear!HT598</f>
        <v>130.64977267549634</v>
      </c>
      <c r="D127" s="302">
        <f>FISCinyear!HV598</f>
        <v>-95.371742621731812</v>
      </c>
      <c r="E127" s="1105">
        <f t="shared" si="3"/>
        <v>35.278030053764525</v>
      </c>
      <c r="F127" s="302">
        <f>FISCinyear!HW598</f>
        <v>82.673890739366712</v>
      </c>
      <c r="G127" s="302">
        <f>FISCinyear!HY598</f>
        <v>-102.03009931062888</v>
      </c>
      <c r="H127" s="1105">
        <f t="shared" si="4"/>
        <v>-19.356208571262172</v>
      </c>
      <c r="I127" s="302">
        <f>FISCinyear!HZ598</f>
        <v>140.23457688459786</v>
      </c>
      <c r="J127" s="302">
        <f>FISCinyear!IB598</f>
        <v>-28.560000000000002</v>
      </c>
      <c r="K127" s="1105">
        <f t="shared" si="5"/>
        <v>111.67457688459785</v>
      </c>
      <c r="L127" s="302">
        <f>FISCinyear!IC598</f>
        <v>68.929999999999993</v>
      </c>
      <c r="M127" s="302">
        <f>FISCinyear!ID598</f>
        <v>40.36999999999999</v>
      </c>
      <c r="N127" s="302">
        <f>FISCinyear!IE598</f>
        <v>-190.4513695001128</v>
      </c>
      <c r="O127" s="302">
        <f>FISCinyear!IF598</f>
        <v>184.01771024942866</v>
      </c>
      <c r="P127" s="302">
        <f>FISCinyear!IG598</f>
        <v>-6.4336592506841441</v>
      </c>
      <c r="Q127" s="302">
        <f>FISCinyear!IH598</f>
        <v>82.3</v>
      </c>
      <c r="R127" s="302">
        <f>FISCinyear!II598</f>
        <v>29.100000000000094</v>
      </c>
      <c r="S127" s="302">
        <f>FISCinyear!IJ598</f>
        <v>111.40000000000009</v>
      </c>
      <c r="T127" s="302">
        <f>FISCinyear!IM598</f>
        <v>284.39999999999992</v>
      </c>
      <c r="U127" s="1101"/>
      <c r="V127" s="1101"/>
      <c r="W127" s="1101"/>
      <c r="X127" s="1101"/>
    </row>
    <row r="128" spans="1:24" ht="15.5">
      <c r="A128" s="688" t="s">
        <v>825</v>
      </c>
      <c r="B128" s="302"/>
      <c r="C128" s="302">
        <f>FISCinyear!HT599</f>
        <v>0</v>
      </c>
      <c r="D128" s="302">
        <f>FISCinyear!HV599</f>
        <v>0</v>
      </c>
      <c r="E128" s="1105">
        <f t="shared" si="3"/>
        <v>0</v>
      </c>
      <c r="F128" s="302">
        <f>FISCinyear!HW599</f>
        <v>0</v>
      </c>
      <c r="G128" s="302">
        <f>FISCinyear!HY599</f>
        <v>0</v>
      </c>
      <c r="H128" s="1105">
        <f t="shared" si="4"/>
        <v>0</v>
      </c>
      <c r="I128" s="302">
        <f>FISCinyear!HZ599</f>
        <v>0</v>
      </c>
      <c r="J128" s="302">
        <f>FISCinyear!IB599</f>
        <v>0</v>
      </c>
      <c r="K128" s="1105">
        <f t="shared" si="5"/>
        <v>0</v>
      </c>
      <c r="L128" s="302">
        <f>FISCinyear!IC599</f>
        <v>40.36999999999999</v>
      </c>
      <c r="M128" s="302">
        <f>FISCinyear!ID599</f>
        <v>40.36999999999999</v>
      </c>
      <c r="N128" s="302">
        <f>FISCinyear!IE599</f>
        <v>0</v>
      </c>
      <c r="O128" s="302">
        <f>FISCinyear!IF599</f>
        <v>0</v>
      </c>
      <c r="P128" s="302">
        <f>FISCinyear!IG599</f>
        <v>0</v>
      </c>
      <c r="Q128" s="302">
        <f>FISCinyear!IH599</f>
        <v>55.700000000000045</v>
      </c>
      <c r="R128" s="302">
        <f>FISCinyear!II599</f>
        <v>55.700000000000045</v>
      </c>
      <c r="S128" s="302">
        <f>FISCinyear!IJ599</f>
        <v>111.40000000000009</v>
      </c>
      <c r="T128" s="302">
        <f>FISCinyear!IM599</f>
        <v>284.39999999999992</v>
      </c>
      <c r="U128" s="1101"/>
      <c r="V128" s="1101"/>
      <c r="W128" s="1101"/>
      <c r="X128" s="1101"/>
    </row>
    <row r="129" spans="1:24" ht="15.5">
      <c r="A129" s="351" t="s">
        <v>880</v>
      </c>
      <c r="B129" s="302"/>
      <c r="C129" s="302">
        <f>FISCinyear!HT600</f>
        <v>0</v>
      </c>
      <c r="D129" s="302">
        <f>FISCinyear!HV600</f>
        <v>15.346579886000001</v>
      </c>
      <c r="E129" s="1105">
        <f t="shared" si="3"/>
        <v>15.346579886000001</v>
      </c>
      <c r="F129" s="302">
        <f>FISCinyear!HW600</f>
        <v>4</v>
      </c>
      <c r="G129" s="302">
        <f>FISCinyear!HY600</f>
        <v>0</v>
      </c>
      <c r="H129" s="1105">
        <f t="shared" si="4"/>
        <v>4</v>
      </c>
      <c r="I129" s="302">
        <f>FISCinyear!HZ600</f>
        <v>0</v>
      </c>
      <c r="J129" s="302">
        <f>FISCinyear!IB600</f>
        <v>0</v>
      </c>
      <c r="K129" s="1105">
        <f t="shared" si="5"/>
        <v>0</v>
      </c>
      <c r="L129" s="302">
        <f>FISCinyear!IC600</f>
        <v>0</v>
      </c>
      <c r="M129" s="302">
        <f>FISCinyear!ID600</f>
        <v>0</v>
      </c>
      <c r="N129" s="302">
        <f>FISCinyear!IE600</f>
        <v>8.890239266</v>
      </c>
      <c r="O129" s="302">
        <f>FISCinyear!IF600</f>
        <v>8.7035184660000002</v>
      </c>
      <c r="P129" s="302">
        <f>FISCinyear!IG600</f>
        <v>17.593757732</v>
      </c>
      <c r="Q129" s="302">
        <f>FISCinyear!IH600</f>
        <v>0</v>
      </c>
      <c r="R129" s="302">
        <f>FISCinyear!II600</f>
        <v>0</v>
      </c>
      <c r="S129" s="302">
        <f>FISCinyear!IJ600</f>
        <v>0</v>
      </c>
      <c r="T129" s="302">
        <f>FISCinyear!IM600</f>
        <v>0</v>
      </c>
      <c r="U129" s="1101"/>
      <c r="V129" s="1101"/>
      <c r="W129" s="1101"/>
      <c r="X129" s="1101"/>
    </row>
    <row r="130" spans="1:24" ht="15.5">
      <c r="A130" s="351" t="s">
        <v>1167</v>
      </c>
      <c r="B130" s="302"/>
      <c r="C130" s="302">
        <f>FISCinyear!HT601</f>
        <v>15.815438266000001</v>
      </c>
      <c r="D130" s="302">
        <f>FISCinyear!HV601</f>
        <v>3.2776260099999996</v>
      </c>
      <c r="E130" s="1105">
        <f t="shared" si="3"/>
        <v>19.093064276</v>
      </c>
      <c r="F130" s="302">
        <f>FISCinyear!HW601</f>
        <v>6.9431294900000005</v>
      </c>
      <c r="G130" s="302">
        <f>FISCinyear!HY601</f>
        <v>0</v>
      </c>
      <c r="H130" s="1105">
        <f t="shared" si="4"/>
        <v>6.9431294900000005</v>
      </c>
      <c r="I130" s="302">
        <f>FISCinyear!HZ601</f>
        <v>0</v>
      </c>
      <c r="J130" s="302">
        <f>FISCinyear!IB601</f>
        <v>0</v>
      </c>
      <c r="K130" s="1105">
        <f t="shared" si="5"/>
        <v>0</v>
      </c>
      <c r="L130" s="302">
        <f>FISCinyear!IC601</f>
        <v>3.8466942869999912</v>
      </c>
      <c r="M130" s="302">
        <f>FISCinyear!ID601</f>
        <v>3.8466942869999912</v>
      </c>
      <c r="N130" s="302">
        <f>FISCinyear!IE601</f>
        <v>0</v>
      </c>
      <c r="O130" s="302">
        <f>FISCinyear!IF601</f>
        <v>0</v>
      </c>
      <c r="P130" s="302">
        <f>FISCinyear!IG601</f>
        <v>0</v>
      </c>
      <c r="Q130" s="302">
        <f>FISCinyear!IH601</f>
        <v>0</v>
      </c>
      <c r="R130" s="302">
        <f>FISCinyear!II601</f>
        <v>0</v>
      </c>
      <c r="S130" s="302">
        <f>FISCinyear!IJ601</f>
        <v>0</v>
      </c>
      <c r="T130" s="302">
        <f>FISCinyear!IM601</f>
        <v>0</v>
      </c>
      <c r="U130" s="1101"/>
      <c r="V130" s="1101"/>
      <c r="W130" s="1101"/>
      <c r="X130" s="1101"/>
    </row>
    <row r="131" spans="1:24" ht="15.5">
      <c r="A131" s="351" t="s">
        <v>882</v>
      </c>
      <c r="B131" s="302"/>
      <c r="C131" s="302">
        <f>FISCinyear!HT602</f>
        <v>0</v>
      </c>
      <c r="D131" s="302">
        <f>FISCinyear!HV602</f>
        <v>0</v>
      </c>
      <c r="E131" s="1105">
        <f t="shared" si="3"/>
        <v>0</v>
      </c>
      <c r="F131" s="302">
        <f>FISCinyear!HW602</f>
        <v>0</v>
      </c>
      <c r="G131" s="302">
        <f>FISCinyear!HY602</f>
        <v>0</v>
      </c>
      <c r="H131" s="1105">
        <f t="shared" si="4"/>
        <v>0</v>
      </c>
      <c r="I131" s="302">
        <f>FISCinyear!HZ602</f>
        <v>0</v>
      </c>
      <c r="J131" s="302">
        <f>FISCinyear!IB602</f>
        <v>0</v>
      </c>
      <c r="K131" s="1105">
        <f t="shared" si="5"/>
        <v>0</v>
      </c>
      <c r="L131" s="302">
        <f>FISCinyear!IC602</f>
        <v>0</v>
      </c>
      <c r="M131" s="302">
        <f>FISCinyear!ID602</f>
        <v>0</v>
      </c>
      <c r="N131" s="302">
        <f>FISCinyear!IE602</f>
        <v>0</v>
      </c>
      <c r="O131" s="302">
        <f>FISCinyear!IF602</f>
        <v>0</v>
      </c>
      <c r="P131" s="302">
        <f>FISCinyear!IG602</f>
        <v>0</v>
      </c>
      <c r="Q131" s="302">
        <f>FISCinyear!IH602</f>
        <v>0</v>
      </c>
      <c r="R131" s="302">
        <f>FISCinyear!II602</f>
        <v>0</v>
      </c>
      <c r="S131" s="302">
        <f>FISCinyear!IJ602</f>
        <v>0</v>
      </c>
      <c r="T131" s="302">
        <f>FISCinyear!IM602</f>
        <v>0</v>
      </c>
      <c r="U131" s="1101"/>
      <c r="V131" s="1101"/>
      <c r="W131" s="1101"/>
      <c r="X131" s="1101"/>
    </row>
    <row r="132" spans="1:24" ht="15.5">
      <c r="A132" s="351" t="s">
        <v>883</v>
      </c>
      <c r="B132" s="302"/>
      <c r="C132" s="302">
        <f>FISCinyear!HT605</f>
        <v>0</v>
      </c>
      <c r="D132" s="302">
        <f>FISCinyear!HV605</f>
        <v>0</v>
      </c>
      <c r="E132" s="1105">
        <f t="shared" si="3"/>
        <v>0</v>
      </c>
      <c r="F132" s="302">
        <f>FISCinyear!HW605</f>
        <v>0</v>
      </c>
      <c r="G132" s="302">
        <f>FISCinyear!HY605</f>
        <v>0</v>
      </c>
      <c r="H132" s="1105">
        <f t="shared" si="4"/>
        <v>0</v>
      </c>
      <c r="I132" s="302">
        <f>FISCinyear!HZ605</f>
        <v>0</v>
      </c>
      <c r="J132" s="302">
        <f>FISCinyear!IB605</f>
        <v>0</v>
      </c>
      <c r="K132" s="1105">
        <f t="shared" si="5"/>
        <v>0</v>
      </c>
      <c r="L132" s="302">
        <f>FISCinyear!IC605</f>
        <v>0</v>
      </c>
      <c r="M132" s="302">
        <f>FISCinyear!ID605</f>
        <v>0</v>
      </c>
      <c r="N132" s="302">
        <f>FISCinyear!IE605</f>
        <v>0</v>
      </c>
      <c r="O132" s="302">
        <f>FISCinyear!IF605</f>
        <v>0</v>
      </c>
      <c r="P132" s="302">
        <f>FISCinyear!IG605</f>
        <v>0</v>
      </c>
      <c r="Q132" s="302">
        <f>FISCinyear!IH605</f>
        <v>0</v>
      </c>
      <c r="R132" s="302">
        <f>FISCinyear!II605</f>
        <v>0</v>
      </c>
      <c r="S132" s="302">
        <f>FISCinyear!IJ605</f>
        <v>0</v>
      </c>
      <c r="T132" s="302">
        <f>FISCinyear!IM605</f>
        <v>0</v>
      </c>
      <c r="U132" s="1101"/>
      <c r="V132" s="1101"/>
      <c r="W132" s="1101"/>
      <c r="X132" s="1101"/>
    </row>
    <row r="133" spans="1:24" ht="15.5">
      <c r="A133" s="688" t="s">
        <v>815</v>
      </c>
      <c r="B133" s="302"/>
      <c r="C133" s="302">
        <f>FISCinyear!HT606</f>
        <v>0</v>
      </c>
      <c r="D133" s="302">
        <f>FISCinyear!HV606</f>
        <v>0</v>
      </c>
      <c r="E133" s="1105">
        <f t="shared" si="3"/>
        <v>0</v>
      </c>
      <c r="F133" s="302">
        <f>FISCinyear!HW606</f>
        <v>0</v>
      </c>
      <c r="G133" s="302">
        <f>FISCinyear!HY606</f>
        <v>0</v>
      </c>
      <c r="H133" s="1105">
        <f t="shared" si="4"/>
        <v>0</v>
      </c>
      <c r="I133" s="302">
        <f>FISCinyear!HZ606</f>
        <v>0</v>
      </c>
      <c r="J133" s="302">
        <f>FISCinyear!IB606</f>
        <v>0</v>
      </c>
      <c r="K133" s="1105">
        <f t="shared" si="5"/>
        <v>0</v>
      </c>
      <c r="L133" s="302">
        <f>FISCinyear!IC606</f>
        <v>0</v>
      </c>
      <c r="M133" s="302">
        <f>FISCinyear!ID606</f>
        <v>0</v>
      </c>
      <c r="N133" s="302">
        <f>FISCinyear!IE606</f>
        <v>0</v>
      </c>
      <c r="O133" s="302">
        <f>FISCinyear!IF606</f>
        <v>0</v>
      </c>
      <c r="P133" s="302">
        <f>FISCinyear!IG606</f>
        <v>0</v>
      </c>
      <c r="Q133" s="302">
        <f>FISCinyear!IH606</f>
        <v>0</v>
      </c>
      <c r="R133" s="302">
        <f>FISCinyear!II606</f>
        <v>0</v>
      </c>
      <c r="S133" s="302">
        <f>FISCinyear!IJ606</f>
        <v>0</v>
      </c>
      <c r="T133" s="302">
        <f>FISCinyear!IM606</f>
        <v>0</v>
      </c>
      <c r="U133" s="1101"/>
      <c r="V133" s="1101"/>
      <c r="W133" s="1101"/>
      <c r="X133" s="1101"/>
    </row>
    <row r="134" spans="1:24" ht="15.5">
      <c r="A134" s="688" t="s">
        <v>817</v>
      </c>
      <c r="B134" s="302"/>
      <c r="C134" s="302">
        <f>FISCinyear!HT607</f>
        <v>0</v>
      </c>
      <c r="D134" s="302">
        <f>FISCinyear!HV607</f>
        <v>0</v>
      </c>
      <c r="E134" s="1105">
        <f t="shared" ref="E134:E142" si="6">C134+D134</f>
        <v>0</v>
      </c>
      <c r="F134" s="302">
        <f>FISCinyear!HW607</f>
        <v>0</v>
      </c>
      <c r="G134" s="302">
        <f>FISCinyear!HY607</f>
        <v>0</v>
      </c>
      <c r="H134" s="1105">
        <f t="shared" ref="H134:H142" si="7">F134+G134</f>
        <v>0</v>
      </c>
      <c r="I134" s="302">
        <f>FISCinyear!HZ607</f>
        <v>0</v>
      </c>
      <c r="J134" s="302">
        <f>FISCinyear!IB607</f>
        <v>0</v>
      </c>
      <c r="K134" s="1105">
        <f t="shared" ref="K134:K142" si="8">I134+J134</f>
        <v>0</v>
      </c>
      <c r="L134" s="302">
        <f>FISCinyear!IC607</f>
        <v>0</v>
      </c>
      <c r="M134" s="302">
        <f>FISCinyear!ID607</f>
        <v>0</v>
      </c>
      <c r="N134" s="302">
        <f>FISCinyear!IE607</f>
        <v>0</v>
      </c>
      <c r="O134" s="302">
        <f>FISCinyear!IF607</f>
        <v>0</v>
      </c>
      <c r="P134" s="302">
        <f>FISCinyear!IG607</f>
        <v>0</v>
      </c>
      <c r="Q134" s="302">
        <f>FISCinyear!IH607</f>
        <v>0</v>
      </c>
      <c r="R134" s="302">
        <f>FISCinyear!II607</f>
        <v>0</v>
      </c>
      <c r="S134" s="302">
        <f>FISCinyear!IJ607</f>
        <v>0</v>
      </c>
      <c r="T134" s="302">
        <f>FISCinyear!IM607</f>
        <v>0</v>
      </c>
      <c r="U134" s="1101"/>
      <c r="V134" s="1101"/>
      <c r="W134" s="1101"/>
      <c r="X134" s="1101"/>
    </row>
    <row r="135" spans="1:24" ht="15.5">
      <c r="A135" s="351" t="s">
        <v>884</v>
      </c>
      <c r="B135" s="302"/>
      <c r="C135" s="302">
        <f>FISCinyear!HT608</f>
        <v>0</v>
      </c>
      <c r="D135" s="302">
        <f>FISCinyear!HV608</f>
        <v>-4.3499999999999996</v>
      </c>
      <c r="E135" s="1105">
        <f t="shared" si="6"/>
        <v>-4.3499999999999996</v>
      </c>
      <c r="F135" s="302">
        <f>FISCinyear!HW608</f>
        <v>-4.3499999999999996</v>
      </c>
      <c r="G135" s="302">
        <f>FISCinyear!HY608</f>
        <v>-4.9875074160000006</v>
      </c>
      <c r="H135" s="1105">
        <f t="shared" si="7"/>
        <v>-9.3375074160000011</v>
      </c>
      <c r="I135" s="302">
        <f>FISCinyear!HZ608</f>
        <v>-5.2536406659999999</v>
      </c>
      <c r="J135" s="302">
        <f>FISCinyear!IB608</f>
        <v>1.143047465</v>
      </c>
      <c r="K135" s="1105">
        <f t="shared" si="8"/>
        <v>-4.1105932010000004</v>
      </c>
      <c r="L135" s="302">
        <f>FISCinyear!IC608</f>
        <v>2.1898058840000005</v>
      </c>
      <c r="M135" s="302">
        <f>FISCinyear!ID608</f>
        <v>3.3328533490000005</v>
      </c>
      <c r="N135" s="302">
        <f>FISCinyear!IE608</f>
        <v>-5.4140903420000006</v>
      </c>
      <c r="O135" s="302">
        <f>FISCinyear!IF608</f>
        <v>-5.57002519</v>
      </c>
      <c r="P135" s="302">
        <f>FISCinyear!IG608</f>
        <v>-10.984115532000001</v>
      </c>
      <c r="Q135" s="302" t="e">
        <f>FISCinyear!IH608</f>
        <v>#REF!</v>
      </c>
      <c r="R135" s="302" t="e">
        <f>FISCinyear!II608</f>
        <v>#REF!</v>
      </c>
      <c r="S135" s="302">
        <f>FISCinyear!IJ608</f>
        <v>-0.88282153700000165</v>
      </c>
      <c r="T135" s="302">
        <f>FISCinyear!IM608</f>
        <v>-3.3520687910000007</v>
      </c>
      <c r="U135" s="1101"/>
      <c r="V135" s="1101"/>
      <c r="W135" s="1101"/>
      <c r="X135" s="1101"/>
    </row>
    <row r="136" spans="1:24" ht="15.5">
      <c r="A136" s="351" t="s">
        <v>885</v>
      </c>
      <c r="B136" s="302"/>
      <c r="C136" s="302">
        <f>FISCinyear!HT609</f>
        <v>0</v>
      </c>
      <c r="D136" s="302">
        <f>FISCinyear!HV609</f>
        <v>-4.4000000000000004</v>
      </c>
      <c r="E136" s="1105">
        <f t="shared" si="6"/>
        <v>-4.4000000000000004</v>
      </c>
      <c r="F136" s="302">
        <f>FISCinyear!HW609</f>
        <v>-4.4000000000000004</v>
      </c>
      <c r="G136" s="302">
        <f>FISCinyear!HY609</f>
        <v>-5.1531479639999995</v>
      </c>
      <c r="H136" s="1105">
        <f t="shared" si="7"/>
        <v>-9.5531479640000008</v>
      </c>
      <c r="I136" s="302">
        <f>FISCinyear!HZ609</f>
        <v>-5.4669661290000002</v>
      </c>
      <c r="J136" s="302">
        <f>FISCinyear!IB609</f>
        <v>-5.7065401065000003</v>
      </c>
      <c r="K136" s="1105">
        <f t="shared" si="8"/>
        <v>-11.1735062355</v>
      </c>
      <c r="L136" s="302">
        <f>FISCinyear!IC609</f>
        <v>-5.7065401065000003</v>
      </c>
      <c r="M136" s="302">
        <f>FISCinyear!ID609</f>
        <v>-11.413080213000001</v>
      </c>
      <c r="N136" s="302">
        <f>FISCinyear!IE609</f>
        <v>-6.4895929419999998</v>
      </c>
      <c r="O136" s="302">
        <f>FISCinyear!IF609</f>
        <v>-6.5243584779999999</v>
      </c>
      <c r="P136" s="302">
        <f>FISCinyear!IG609</f>
        <v>-13.01395142</v>
      </c>
      <c r="Q136" s="302" t="e">
        <f>FISCinyear!IH609</f>
        <v>#REF!</v>
      </c>
      <c r="R136" s="302" t="e">
        <f>FISCinyear!II609</f>
        <v>#REF!</v>
      </c>
      <c r="S136" s="302">
        <f>FISCinyear!IJ609</f>
        <v>-14.332764489999999</v>
      </c>
      <c r="T136" s="302">
        <f>FISCinyear!IM609</f>
        <v>-15.46793405</v>
      </c>
      <c r="U136" s="1101"/>
      <c r="V136" s="1101"/>
      <c r="W136" s="1101"/>
      <c r="X136" s="1101"/>
    </row>
    <row r="137" spans="1:24" ht="15.5">
      <c r="A137" s="345" t="s">
        <v>876</v>
      </c>
      <c r="B137" s="302"/>
      <c r="C137" s="302">
        <f>FISCinyear!HT610</f>
        <v>10.669626043163671</v>
      </c>
      <c r="D137" s="302">
        <f>FISCinyear!HV610</f>
        <v>7.3613834665954556</v>
      </c>
      <c r="E137" s="1105">
        <f t="shared" si="6"/>
        <v>18.031009509759127</v>
      </c>
      <c r="F137" s="302">
        <f>FISCinyear!HW610</f>
        <v>40.355975932894978</v>
      </c>
      <c r="G137" s="302">
        <f>FISCinyear!HY610</f>
        <v>39.520686259297236</v>
      </c>
      <c r="H137" s="1105">
        <f t="shared" si="7"/>
        <v>79.876662192192214</v>
      </c>
      <c r="I137" s="302">
        <f>FISCinyear!HZ610</f>
        <v>1.6691535307808563</v>
      </c>
      <c r="J137" s="302">
        <f>FISCinyear!IB610</f>
        <v>-24.621827508577802</v>
      </c>
      <c r="K137" s="1105">
        <f t="shared" si="8"/>
        <v>-22.952673977796945</v>
      </c>
      <c r="L137" s="302">
        <f>FISCinyear!IC610</f>
        <v>18.748700555999868</v>
      </c>
      <c r="M137" s="302">
        <f>FISCinyear!ID610</f>
        <v>-5.8731269525779339</v>
      </c>
      <c r="N137" s="302">
        <f>FISCinyear!IE610</f>
        <v>46.100755314999986</v>
      </c>
      <c r="O137" s="302">
        <f>FISCinyear!IF610</f>
        <v>20.805919776000003</v>
      </c>
      <c r="P137" s="302">
        <f>FISCinyear!IG610</f>
        <v>66.906675090999983</v>
      </c>
      <c r="Q137" s="302">
        <f>FISCinyear!IH610</f>
        <v>0.22709999999995034</v>
      </c>
      <c r="R137" s="302">
        <f>FISCinyear!II610</f>
        <v>-0.22709999999995034</v>
      </c>
      <c r="S137" s="302">
        <f>FISCinyear!IJ610</f>
        <v>0</v>
      </c>
      <c r="T137" s="302">
        <f>FISCinyear!IM610</f>
        <v>0</v>
      </c>
      <c r="U137" s="1101"/>
      <c r="V137" s="1101"/>
      <c r="W137" s="1101"/>
      <c r="X137" s="1101"/>
    </row>
    <row r="138" spans="1:24" ht="15.5">
      <c r="A138" s="351" t="s">
        <v>877</v>
      </c>
      <c r="B138" s="302"/>
      <c r="C138" s="302">
        <f>FISCinyear!HT611</f>
        <v>12.880599999999996</v>
      </c>
      <c r="D138" s="302">
        <f>FISCinyear!HV611</f>
        <v>16.802700000000005</v>
      </c>
      <c r="E138" s="1105">
        <f t="shared" si="6"/>
        <v>29.683300000000003</v>
      </c>
      <c r="F138" s="302">
        <f>FISCinyear!HW611</f>
        <v>42.454099999999983</v>
      </c>
      <c r="G138" s="302">
        <f>FISCinyear!HY611</f>
        <v>44.544243921577923</v>
      </c>
      <c r="H138" s="1105">
        <f t="shared" si="7"/>
        <v>86.998343921577913</v>
      </c>
      <c r="I138" s="302">
        <f>FISCinyear!HZ611</f>
        <v>8.4030000000000058</v>
      </c>
      <c r="J138" s="302">
        <f>FISCinyear!IB611</f>
        <v>-12.653143921577801</v>
      </c>
      <c r="K138" s="1105">
        <f t="shared" si="8"/>
        <v>-4.250143921577795</v>
      </c>
      <c r="L138" s="302">
        <f>FISCinyear!IC611</f>
        <v>29.125483031000002</v>
      </c>
      <c r="M138" s="302">
        <f>FISCinyear!ID611</f>
        <v>23.252356078422068</v>
      </c>
      <c r="N138" s="302">
        <f>FISCinyear!IE611</f>
        <v>63.684599999999989</v>
      </c>
      <c r="O138" s="302">
        <f>FISCinyear!IF611</f>
        <v>51.732900000000001</v>
      </c>
      <c r="P138" s="302">
        <f>FISCinyear!IG611</f>
        <v>115.41749999999999</v>
      </c>
      <c r="Q138" s="302">
        <f>FISCinyear!IH611</f>
        <v>5.2270999999999503</v>
      </c>
      <c r="R138" s="302">
        <f>FISCinyear!II611</f>
        <v>44.565886081200048</v>
      </c>
      <c r="S138" s="302">
        <f>FISCinyear!IJ611</f>
        <v>49.792986081199999</v>
      </c>
      <c r="T138" s="302">
        <f>FISCinyear!IM611</f>
        <v>57.334954867739597</v>
      </c>
      <c r="U138" s="1101"/>
      <c r="V138" s="1101"/>
      <c r="W138" s="1101"/>
      <c r="X138" s="1101"/>
    </row>
    <row r="139" spans="1:24" ht="15.5">
      <c r="A139" s="351" t="s">
        <v>192</v>
      </c>
      <c r="B139" s="302"/>
      <c r="C139" s="302">
        <f>FISCinyear!HT612</f>
        <v>-2.8145000000000007</v>
      </c>
      <c r="D139" s="302">
        <f>FISCinyear!HV612</f>
        <v>2.8942000000000005</v>
      </c>
      <c r="E139" s="1105">
        <f t="shared" si="6"/>
        <v>7.9699999999999882E-2</v>
      </c>
      <c r="F139" s="302">
        <f>FISCinyear!HW612</f>
        <v>26.736300000000004</v>
      </c>
      <c r="G139" s="302">
        <f>FISCinyear!HY612</f>
        <v>22.475243921577921</v>
      </c>
      <c r="H139" s="1105">
        <f t="shared" si="7"/>
        <v>49.211543921577928</v>
      </c>
      <c r="I139" s="302">
        <f>FISCinyear!HZ612</f>
        <v>-1.109099999999998</v>
      </c>
      <c r="J139" s="302">
        <f>FISCinyear!IB612</f>
        <v>0</v>
      </c>
      <c r="K139" s="1105">
        <f t="shared" si="8"/>
        <v>-1.109099999999998</v>
      </c>
      <c r="L139" s="302">
        <f>FISCinyear!IC612</f>
        <v>14.562741515500001</v>
      </c>
      <c r="M139" s="302">
        <f>FISCinyear!ID612</f>
        <v>14.562741515500001</v>
      </c>
      <c r="N139" s="302">
        <f>FISCinyear!IE612</f>
        <v>37.564099999999996</v>
      </c>
      <c r="O139" s="302">
        <f>FISCinyear!IF612</f>
        <v>16.226699999999994</v>
      </c>
      <c r="P139" s="302">
        <f>FISCinyear!IG612</f>
        <v>53.79079999999999</v>
      </c>
      <c r="Q139" s="302">
        <f>FISCinyear!IH612</f>
        <v>5.2270999999999503</v>
      </c>
      <c r="R139" s="302">
        <f>FISCinyear!II612</f>
        <v>19.669393040600049</v>
      </c>
      <c r="S139" s="302">
        <f>FISCinyear!IJ612</f>
        <v>24.896493040599999</v>
      </c>
      <c r="T139" s="302">
        <f>FISCinyear!IM612</f>
        <v>28.667477433869799</v>
      </c>
      <c r="U139" s="1101"/>
      <c r="V139" s="1101"/>
      <c r="W139" s="1101"/>
      <c r="X139" s="1101"/>
    </row>
    <row r="140" spans="1:24" ht="15.5">
      <c r="A140" s="351" t="s">
        <v>193</v>
      </c>
      <c r="B140" s="302"/>
      <c r="C140" s="302">
        <f>FISCinyear!HT613</f>
        <v>15.695099999999996</v>
      </c>
      <c r="D140" s="302">
        <f>FISCinyear!HV613</f>
        <v>13.908500000000004</v>
      </c>
      <c r="E140" s="1105">
        <f t="shared" si="6"/>
        <v>29.6036</v>
      </c>
      <c r="F140" s="302">
        <f>FISCinyear!HW613</f>
        <v>15.717799999999983</v>
      </c>
      <c r="G140" s="302">
        <f>FISCinyear!HY613</f>
        <v>22.069000000000003</v>
      </c>
      <c r="H140" s="1105">
        <f t="shared" si="7"/>
        <v>37.786799999999985</v>
      </c>
      <c r="I140" s="302">
        <f>FISCinyear!HZ613</f>
        <v>9.5121000000000038</v>
      </c>
      <c r="J140" s="302">
        <f>FISCinyear!IB613</f>
        <v>0</v>
      </c>
      <c r="K140" s="1105">
        <f t="shared" si="8"/>
        <v>9.5121000000000038</v>
      </c>
      <c r="L140" s="302">
        <f>FISCinyear!IC613</f>
        <v>14.562741515500001</v>
      </c>
      <c r="M140" s="302">
        <f>FISCinyear!ID613</f>
        <v>14.562741515500001</v>
      </c>
      <c r="N140" s="302">
        <f>FISCinyear!IE613</f>
        <v>26.120499999999993</v>
      </c>
      <c r="O140" s="302">
        <f>FISCinyear!IF613</f>
        <v>35.506200000000007</v>
      </c>
      <c r="P140" s="302">
        <f>FISCinyear!IG613</f>
        <v>61.6267</v>
      </c>
      <c r="Q140" s="302">
        <f>FISCinyear!IH613</f>
        <v>0</v>
      </c>
      <c r="R140" s="302">
        <f>FISCinyear!II613</f>
        <v>24.896493040599999</v>
      </c>
      <c r="S140" s="302">
        <f>FISCinyear!IJ613</f>
        <v>24.896493040599999</v>
      </c>
      <c r="T140" s="302">
        <f>FISCinyear!IM613</f>
        <v>28.667477433869799</v>
      </c>
      <c r="U140" s="1101"/>
      <c r="V140" s="1101"/>
      <c r="W140" s="1101"/>
      <c r="X140" s="1101"/>
    </row>
    <row r="141" spans="1:24" ht="15.5">
      <c r="A141" s="351" t="s">
        <v>1111</v>
      </c>
      <c r="B141" s="302"/>
      <c r="C141" s="302">
        <f>FISCinyear!HT614</f>
        <v>-2.2109739568363254</v>
      </c>
      <c r="D141" s="302">
        <f>FISCinyear!HV614</f>
        <v>-9.4413165334045495</v>
      </c>
      <c r="E141" s="1105">
        <f t="shared" si="6"/>
        <v>-11.652290490240874</v>
      </c>
      <c r="F141" s="302">
        <f>FISCinyear!HW614</f>
        <v>-2.098124067105005</v>
      </c>
      <c r="G141" s="302">
        <f>FISCinyear!HY614</f>
        <v>-5.0235576622806848</v>
      </c>
      <c r="H141" s="1105">
        <f t="shared" si="7"/>
        <v>-7.1216817293856902</v>
      </c>
      <c r="I141" s="302">
        <f>FISCinyear!HZ614</f>
        <v>-6.7338464692191495</v>
      </c>
      <c r="J141" s="302">
        <f>FISCinyear!IB614</f>
        <v>-11.968683586999999</v>
      </c>
      <c r="K141" s="1105">
        <f t="shared" si="8"/>
        <v>-18.70253005621915</v>
      </c>
      <c r="L141" s="302">
        <f>FISCinyear!IC614</f>
        <v>-17.156799444000001</v>
      </c>
      <c r="M141" s="302">
        <f>FISCinyear!ID614</f>
        <v>-29.125483031000002</v>
      </c>
      <c r="N141" s="302">
        <f>FISCinyear!IE614</f>
        <v>-17.583844684999999</v>
      </c>
      <c r="O141" s="302">
        <f>FISCinyear!IF614</f>
        <v>-30.926980223999998</v>
      </c>
      <c r="P141" s="302">
        <f>FISCinyear!IG614</f>
        <v>-48.510824908999993</v>
      </c>
      <c r="Q141" s="302">
        <f>FISCinyear!IH614</f>
        <v>-5</v>
      </c>
      <c r="R141" s="302">
        <f>FISCinyear!II614</f>
        <v>-44.792986081199999</v>
      </c>
      <c r="S141" s="302">
        <f>FISCinyear!IJ614</f>
        <v>-49.792986081199999</v>
      </c>
      <c r="T141" s="302">
        <f>FISCinyear!IM614</f>
        <v>-57.334954867739597</v>
      </c>
      <c r="U141" s="1101"/>
      <c r="V141" s="1101"/>
      <c r="W141" s="1101"/>
      <c r="X141" s="1101"/>
    </row>
    <row r="142" spans="1:24" ht="15.5">
      <c r="A142" s="351" t="s">
        <v>348</v>
      </c>
      <c r="B142" s="302"/>
      <c r="C142" s="302">
        <f>FISCinyear!HT615</f>
        <v>-47.613598314718018</v>
      </c>
      <c r="D142" s="302">
        <f>FISCinyear!HV615</f>
        <v>-0.4032974549762347</v>
      </c>
      <c r="E142" s="1105">
        <f t="shared" si="6"/>
        <v>-48.016895769694251</v>
      </c>
      <c r="F142" s="302">
        <f>FISCinyear!HW615</f>
        <v>-30.491372707746269</v>
      </c>
      <c r="G142" s="302">
        <f>FISCinyear!HY615</f>
        <v>6.8390684930483019</v>
      </c>
      <c r="H142" s="1105">
        <f t="shared" si="7"/>
        <v>-23.652304214697967</v>
      </c>
      <c r="I142" s="302">
        <f>FISCinyear!HZ615</f>
        <v>-87.497463121506399</v>
      </c>
      <c r="J142" s="302">
        <f>FISCinyear!IB615</f>
        <v>31.441375392634676</v>
      </c>
      <c r="K142" s="1105">
        <f t="shared" si="8"/>
        <v>-56.056087728871724</v>
      </c>
      <c r="L142" s="302">
        <f>FISCinyear!IC615</f>
        <v>-38.239560617803129</v>
      </c>
      <c r="M142" s="302">
        <f>FISCinyear!ID615</f>
        <v>-6.7981852251683677</v>
      </c>
      <c r="N142" s="302" t="e">
        <f>FISCinyear!IE615</f>
        <v>#REF!</v>
      </c>
      <c r="O142" s="302">
        <f>FISCinyear!IF615</f>
        <v>-31.112534813737142</v>
      </c>
      <c r="P142" s="302" t="e">
        <f>FISCinyear!IG615</f>
        <v>#REF!</v>
      </c>
      <c r="Q142" s="302" t="e">
        <f>FISCinyear!IH615</f>
        <v>#REF!</v>
      </c>
      <c r="R142" s="302" t="e">
        <f>FISCinyear!II615</f>
        <v>#REF!</v>
      </c>
      <c r="S142" s="302">
        <f>FISCinyear!IJ615</f>
        <v>4.618670773697886E-2</v>
      </c>
      <c r="T142" s="302">
        <f>FISCinyear!IM615</f>
        <v>-4.0402667918783663E-2</v>
      </c>
      <c r="U142" s="1101"/>
      <c r="V142" s="1101"/>
      <c r="W142" s="1101"/>
      <c r="X142" s="1101"/>
    </row>
    <row r="145" spans="1:1">
      <c r="A145" t="s">
        <v>913</v>
      </c>
    </row>
    <row r="146" spans="1:1">
      <c r="A146" t="s">
        <v>859</v>
      </c>
    </row>
    <row r="148" spans="1:1">
      <c r="A148" s="1130"/>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pageSetUpPr fitToPage="1"/>
  </sheetPr>
  <dimension ref="B2:O157"/>
  <sheetViews>
    <sheetView topLeftCell="A124" workbookViewId="0">
      <selection activeCell="X126" sqref="X126"/>
    </sheetView>
  </sheetViews>
  <sheetFormatPr defaultRowHeight="14.5"/>
  <cols>
    <col min="2" max="2" width="74.81640625" bestFit="1" customWidth="1"/>
  </cols>
  <sheetData>
    <row r="2" spans="2:14">
      <c r="C2" s="373">
        <v>2016</v>
      </c>
      <c r="D2" s="373"/>
      <c r="E2" s="373">
        <v>2017</v>
      </c>
      <c r="F2" s="373"/>
      <c r="G2" s="373">
        <v>2018</v>
      </c>
      <c r="H2" s="373"/>
      <c r="I2" s="373"/>
      <c r="J2" s="373">
        <v>2019</v>
      </c>
      <c r="K2" s="373"/>
      <c r="L2" s="373">
        <v>2020</v>
      </c>
      <c r="M2" s="373"/>
      <c r="N2" s="373">
        <v>2021</v>
      </c>
    </row>
    <row r="3" spans="2:14" ht="15.5">
      <c r="B3" s="795" t="s">
        <v>933</v>
      </c>
      <c r="C3" s="712" t="s">
        <v>199</v>
      </c>
      <c r="D3" s="2354" t="s">
        <v>200</v>
      </c>
      <c r="E3" s="2355"/>
      <c r="F3" s="2355" t="s">
        <v>201</v>
      </c>
      <c r="G3" s="2355"/>
      <c r="H3" s="1142"/>
      <c r="I3" s="2355" t="s">
        <v>202</v>
      </c>
      <c r="J3" s="2355"/>
      <c r="K3" s="2355" t="s">
        <v>203</v>
      </c>
      <c r="L3" s="2355"/>
      <c r="M3" s="2355" t="s">
        <v>1114</v>
      </c>
      <c r="N3" s="2355"/>
    </row>
    <row r="4" spans="2:14" ht="32.5">
      <c r="B4" s="127"/>
      <c r="C4" s="141"/>
      <c r="D4" s="1133" t="s">
        <v>1176</v>
      </c>
      <c r="E4" s="1133" t="s">
        <v>1180</v>
      </c>
      <c r="F4" s="1133" t="s">
        <v>1176</v>
      </c>
      <c r="G4" s="1133" t="s">
        <v>1179</v>
      </c>
      <c r="H4" s="1133"/>
      <c r="I4" s="1133" t="s">
        <v>1176</v>
      </c>
      <c r="J4" s="1133" t="s">
        <v>1179</v>
      </c>
      <c r="K4" s="1133" t="s">
        <v>1176</v>
      </c>
      <c r="L4" s="1133" t="s">
        <v>1179</v>
      </c>
      <c r="M4" s="1133" t="s">
        <v>1176</v>
      </c>
      <c r="N4" s="1133" t="s">
        <v>1179</v>
      </c>
    </row>
    <row r="5" spans="2:14" ht="15" customHeight="1">
      <c r="B5" s="125" t="s">
        <v>653</v>
      </c>
      <c r="C5" s="141"/>
      <c r="D5" s="1132"/>
      <c r="E5" s="1094"/>
      <c r="F5" s="1132"/>
      <c r="G5" s="374"/>
      <c r="H5" s="374"/>
      <c r="I5" s="1132"/>
      <c r="J5" s="374"/>
      <c r="K5" s="1132"/>
      <c r="L5" s="374"/>
      <c r="M5" s="1132"/>
      <c r="N5" s="374"/>
    </row>
    <row r="6" spans="2:14" ht="15" customHeight="1">
      <c r="B6" s="125" t="s">
        <v>135</v>
      </c>
      <c r="C6" s="141">
        <v>1541.6572083762826</v>
      </c>
      <c r="D6" s="1101">
        <v>1598.5392411444034</v>
      </c>
      <c r="E6" s="1094">
        <v>1615.7619294919559</v>
      </c>
      <c r="F6" s="1101">
        <v>1771.5152556855039</v>
      </c>
      <c r="G6" s="126">
        <f>FISC!AC671</f>
        <v>1820.4124327910465</v>
      </c>
      <c r="H6" s="126">
        <f>G6-F6</f>
        <v>48.897177105542596</v>
      </c>
      <c r="I6" s="1101">
        <v>1929.1584714882906</v>
      </c>
      <c r="J6" s="126">
        <v>1902.4502184177475</v>
      </c>
      <c r="K6" s="1101">
        <v>2227.9665336612379</v>
      </c>
      <c r="L6" s="126">
        <v>2188.4379314146263</v>
      </c>
      <c r="M6" s="1101">
        <v>2433.8147519082545</v>
      </c>
      <c r="N6" s="126">
        <v>2613.5678422466726</v>
      </c>
    </row>
    <row r="7" spans="2:14" ht="15" customHeight="1">
      <c r="B7" s="127"/>
      <c r="C7" s="713"/>
      <c r="D7" s="1101"/>
      <c r="E7" s="1094"/>
      <c r="F7" s="1101"/>
      <c r="G7" s="126">
        <f>FISC!AC672</f>
        <v>0</v>
      </c>
      <c r="H7" s="126">
        <f t="shared" ref="H7:H70" si="0">G7-F7</f>
        <v>0</v>
      </c>
      <c r="I7" s="1101"/>
      <c r="J7" s="126"/>
      <c r="K7" s="1101"/>
      <c r="L7" s="126"/>
      <c r="M7" s="1101"/>
      <c r="N7" s="126"/>
    </row>
    <row r="8" spans="2:14">
      <c r="B8" s="128" t="s">
        <v>137</v>
      </c>
      <c r="C8" s="141">
        <v>1167.9101980985556</v>
      </c>
      <c r="D8" s="1101">
        <v>1265.3580729117375</v>
      </c>
      <c r="E8" s="1094">
        <v>1285.5798455454374</v>
      </c>
      <c r="F8" s="1101">
        <v>1414.8318506519786</v>
      </c>
      <c r="G8" s="126">
        <f>FISC!AC673</f>
        <v>1461.503755922336</v>
      </c>
      <c r="H8" s="126">
        <f t="shared" si="0"/>
        <v>46.671905270357456</v>
      </c>
      <c r="I8" s="1101">
        <v>1543.0001074928862</v>
      </c>
      <c r="J8" s="126">
        <v>1537.2076497146127</v>
      </c>
      <c r="K8" s="1101">
        <v>1796.7225313209719</v>
      </c>
      <c r="L8" s="126">
        <v>1789.9069807073029</v>
      </c>
      <c r="M8" s="1101">
        <v>2032.61401626777</v>
      </c>
      <c r="N8" s="126">
        <v>2217.3623138778808</v>
      </c>
    </row>
    <row r="9" spans="2:14">
      <c r="B9" s="708" t="s">
        <v>138</v>
      </c>
      <c r="C9" s="126">
        <v>1000.3139498321091</v>
      </c>
      <c r="D9" s="1101">
        <v>1101.4000000000001</v>
      </c>
      <c r="E9" s="1094">
        <v>1104.143145074856</v>
      </c>
      <c r="F9" s="1101">
        <v>1229.852523997391</v>
      </c>
      <c r="G9" s="126">
        <f>FISC!AC674</f>
        <v>1252.8836310898428</v>
      </c>
      <c r="H9" s="126">
        <f t="shared" si="0"/>
        <v>23.031107092451748</v>
      </c>
      <c r="I9" s="1101">
        <v>1356.3394189763394</v>
      </c>
      <c r="J9" s="126">
        <v>1356.2387215889808</v>
      </c>
      <c r="K9" s="1101">
        <v>1593.3094701140981</v>
      </c>
      <c r="L9" s="126">
        <v>1593.3188121205901</v>
      </c>
      <c r="M9" s="1101">
        <v>1824.4285410898426</v>
      </c>
      <c r="N9" s="126">
        <v>1951.3388667051358</v>
      </c>
    </row>
    <row r="10" spans="2:14">
      <c r="B10" s="130" t="s">
        <v>139</v>
      </c>
      <c r="C10" s="155"/>
      <c r="D10" s="1101"/>
      <c r="E10" s="1094"/>
      <c r="F10" s="1101"/>
      <c r="G10" s="154">
        <f>FISC!AC675</f>
        <v>0</v>
      </c>
      <c r="H10" s="126">
        <f t="shared" si="0"/>
        <v>0</v>
      </c>
      <c r="I10" s="1101"/>
      <c r="J10" s="154"/>
      <c r="K10" s="1101"/>
      <c r="L10" s="154"/>
      <c r="M10" s="1101"/>
      <c r="N10" s="154"/>
    </row>
    <row r="11" spans="2:14">
      <c r="B11" s="709" t="s">
        <v>140</v>
      </c>
      <c r="C11" s="683">
        <v>406.15890469125247</v>
      </c>
      <c r="D11" s="1101">
        <v>448.6</v>
      </c>
      <c r="E11" s="1094">
        <v>468.38349499953603</v>
      </c>
      <c r="F11" s="1101">
        <v>518.4274289</v>
      </c>
      <c r="G11" s="573">
        <f>FISC!AC676</f>
        <v>538.69490139370396</v>
      </c>
      <c r="H11" s="126">
        <f t="shared" si="0"/>
        <v>20.267472493703963</v>
      </c>
      <c r="I11" s="1101">
        <v>587.13040421934295</v>
      </c>
      <c r="J11" s="573">
        <v>587.09365041830199</v>
      </c>
      <c r="K11" s="1101">
        <v>669.78943160999461</v>
      </c>
      <c r="L11" s="573">
        <v>669.88334829931182</v>
      </c>
      <c r="M11" s="1101">
        <v>790.38470655673939</v>
      </c>
      <c r="N11" s="126">
        <v>838.53802580804017</v>
      </c>
    </row>
    <row r="12" spans="2:14">
      <c r="B12" s="130" t="s">
        <v>973</v>
      </c>
      <c r="C12" s="683">
        <v>13.641704387109074</v>
      </c>
      <c r="D12" s="1101">
        <v>20</v>
      </c>
      <c r="E12" s="1094">
        <v>17.44054101961876</v>
      </c>
      <c r="F12" s="1101">
        <v>29.3</v>
      </c>
      <c r="G12" s="126">
        <f>FISC!AC677</f>
        <v>18.831114429223977</v>
      </c>
      <c r="H12" s="126">
        <f t="shared" si="0"/>
        <v>-10.468885570776024</v>
      </c>
      <c r="I12" s="1101">
        <v>42.133917105027997</v>
      </c>
      <c r="J12" s="126">
        <v>42.032520234786688</v>
      </c>
      <c r="K12" s="1101">
        <v>59.612278625087647</v>
      </c>
      <c r="L12" s="126">
        <v>46.836508349635196</v>
      </c>
      <c r="M12" s="1101">
        <v>80.767937256125066</v>
      </c>
      <c r="N12" s="126">
        <v>67.169495726523749</v>
      </c>
    </row>
    <row r="13" spans="2:14">
      <c r="B13" s="130" t="s">
        <v>347</v>
      </c>
      <c r="C13" s="683">
        <v>0</v>
      </c>
      <c r="D13" s="1101"/>
      <c r="E13" s="1094">
        <v>7.9125338029999996</v>
      </c>
      <c r="F13" s="1101"/>
      <c r="G13" s="126">
        <f>FISC!AC678</f>
        <v>0</v>
      </c>
      <c r="H13" s="126">
        <f t="shared" si="0"/>
        <v>0</v>
      </c>
      <c r="I13" s="1101"/>
      <c r="J13" s="126"/>
      <c r="K13" s="1101"/>
      <c r="L13" s="126"/>
      <c r="M13" s="1101"/>
      <c r="N13" s="126"/>
    </row>
    <row r="14" spans="2:14">
      <c r="B14" s="709" t="s">
        <v>142</v>
      </c>
      <c r="C14" s="683">
        <v>510.26995810122003</v>
      </c>
      <c r="D14" s="1101">
        <v>560.29999999999995</v>
      </c>
      <c r="E14" s="1094">
        <v>544.55577678631994</v>
      </c>
      <c r="F14" s="1101">
        <v>602.98421894458897</v>
      </c>
      <c r="G14" s="573">
        <f>FISC!AC679</f>
        <v>616.05744956113881</v>
      </c>
      <c r="H14" s="126">
        <f t="shared" si="0"/>
        <v>13.073230616549836</v>
      </c>
      <c r="I14" s="1101">
        <v>672.08548500686845</v>
      </c>
      <c r="J14" s="573">
        <v>672.07162236782654</v>
      </c>
      <c r="K14" s="1101">
        <v>801.72367295330127</v>
      </c>
      <c r="L14" s="573">
        <v>801.70532389973869</v>
      </c>
      <c r="M14" s="1101">
        <v>878.39017659325236</v>
      </c>
      <c r="N14" s="573">
        <v>929.39776034387501</v>
      </c>
    </row>
    <row r="15" spans="2:14">
      <c r="B15" s="991" t="s">
        <v>1134</v>
      </c>
      <c r="C15" s="683">
        <v>11.710118264066224</v>
      </c>
      <c r="D15" s="1101">
        <v>20</v>
      </c>
      <c r="E15" s="1094">
        <v>0</v>
      </c>
      <c r="F15" s="1101">
        <v>27.8313025123575</v>
      </c>
      <c r="G15" s="163">
        <f>FISC!AC680</f>
        <v>0</v>
      </c>
      <c r="H15" s="126">
        <f t="shared" si="0"/>
        <v>-27.8313025123575</v>
      </c>
      <c r="I15" s="1101">
        <v>27.8313025123575</v>
      </c>
      <c r="J15" s="163">
        <v>27.8313025123575</v>
      </c>
      <c r="K15" s="1101">
        <v>27.8313025123575</v>
      </c>
      <c r="L15" s="163">
        <v>27.8313025123575</v>
      </c>
      <c r="M15" s="1101">
        <v>27.8313025123575</v>
      </c>
      <c r="N15" s="163">
        <v>27.8313025123575</v>
      </c>
    </row>
    <row r="16" spans="2:14">
      <c r="B16" s="255" t="s">
        <v>327</v>
      </c>
      <c r="C16" s="683">
        <v>284.67799529972336</v>
      </c>
      <c r="D16" s="1101">
        <v>342.03288283523972</v>
      </c>
      <c r="E16" s="1094">
        <v>316.51472917152</v>
      </c>
      <c r="F16" s="1101">
        <v>362.62450475529744</v>
      </c>
      <c r="G16" s="1097">
        <f>FISC!AC681</f>
        <v>367.84438556264797</v>
      </c>
      <c r="H16" s="126">
        <f t="shared" si="0"/>
        <v>5.2198808073505347</v>
      </c>
      <c r="I16" s="1101">
        <v>439.44747725838545</v>
      </c>
      <c r="J16" s="1097">
        <v>445.40696900673191</v>
      </c>
      <c r="K16" s="1101">
        <v>529.33614822351126</v>
      </c>
      <c r="L16" s="1097">
        <v>532.88749954819127</v>
      </c>
      <c r="M16" s="1101">
        <v>553.86335872278153</v>
      </c>
      <c r="N16" s="160">
        <v>566.19698618480254</v>
      </c>
    </row>
    <row r="17" spans="2:14">
      <c r="B17" s="130" t="s">
        <v>256</v>
      </c>
      <c r="C17" s="683">
        <v>109.09405979749671</v>
      </c>
      <c r="D17" s="1101">
        <v>125</v>
      </c>
      <c r="E17" s="1094">
        <v>124.07125879180001</v>
      </c>
      <c r="F17" s="1101">
        <v>141.02930383700746</v>
      </c>
      <c r="G17" s="1097">
        <f>FISC!AC682</f>
        <v>142.49295850171748</v>
      </c>
      <c r="H17" s="126">
        <f t="shared" si="0"/>
        <v>1.4636546647100204</v>
      </c>
      <c r="I17" s="1101">
        <v>126.31089191452922</v>
      </c>
      <c r="J17" s="1097">
        <v>126.24576074462023</v>
      </c>
      <c r="K17" s="1101">
        <v>158.39835726985189</v>
      </c>
      <c r="L17" s="1097">
        <v>158.31222965153668</v>
      </c>
      <c r="M17" s="1101">
        <v>202.4303731003528</v>
      </c>
      <c r="N17" s="160">
        <v>238.51899477035877</v>
      </c>
    </row>
    <row r="18" spans="2:14">
      <c r="B18" s="130" t="s">
        <v>843</v>
      </c>
      <c r="C18" s="683">
        <v>70.537819522999996</v>
      </c>
      <c r="D18" s="1101">
        <v>45.177133977636473</v>
      </c>
      <c r="E18" s="1094">
        <v>49.161149705</v>
      </c>
      <c r="F18" s="1101">
        <v>48.114098440626748</v>
      </c>
      <c r="G18" s="149">
        <f>FISC!AC683</f>
        <v>45.414855609714145</v>
      </c>
      <c r="H18" s="126">
        <f t="shared" si="0"/>
        <v>-2.6992428309126026</v>
      </c>
      <c r="I18" s="1101">
        <v>51.50319323154941</v>
      </c>
      <c r="J18" s="149">
        <v>47.939339374624097</v>
      </c>
      <c r="K18" s="1101">
        <v>55.166132859557749</v>
      </c>
      <c r="L18" s="149">
        <v>52.754666667668197</v>
      </c>
      <c r="M18" s="1101">
        <v>59.141609725414021</v>
      </c>
      <c r="N18" s="161">
        <v>59.522286894517713</v>
      </c>
    </row>
    <row r="19" spans="2:14">
      <c r="B19" s="130" t="s">
        <v>842</v>
      </c>
      <c r="C19" s="683">
        <v>45.960083481000005</v>
      </c>
      <c r="D19" s="1101">
        <v>48.089983187123792</v>
      </c>
      <c r="E19" s="1094">
        <v>54.808639118000002</v>
      </c>
      <c r="F19" s="1101">
        <v>51.216311911657272</v>
      </c>
      <c r="G19" s="149">
        <f>FISC!AC684</f>
        <v>57.706738912999995</v>
      </c>
      <c r="H19" s="126">
        <f t="shared" si="0"/>
        <v>6.4904270013427237</v>
      </c>
      <c r="I19" s="1101">
        <v>54.823922602404465</v>
      </c>
      <c r="J19" s="149">
        <v>52.479553241850354</v>
      </c>
      <c r="K19" s="1101">
        <v>58.72303460038043</v>
      </c>
      <c r="L19" s="149">
        <v>57.750928032342529</v>
      </c>
      <c r="M19" s="1101">
        <v>62.954835044704005</v>
      </c>
      <c r="N19" s="161">
        <v>65.159492494195987</v>
      </c>
    </row>
    <row r="20" spans="2:14">
      <c r="B20" s="130"/>
      <c r="C20" s="683"/>
      <c r="D20" s="1101"/>
      <c r="E20" s="1094"/>
      <c r="F20" s="1101"/>
      <c r="G20" s="161">
        <f>FISC!AC685</f>
        <v>0</v>
      </c>
      <c r="H20" s="126">
        <f t="shared" si="0"/>
        <v>0</v>
      </c>
      <c r="I20" s="1101"/>
      <c r="J20" s="161"/>
      <c r="K20" s="1101"/>
      <c r="L20" s="161"/>
      <c r="M20" s="1101"/>
      <c r="N20" s="161"/>
    </row>
    <row r="21" spans="2:14">
      <c r="B21" s="709" t="s">
        <v>144</v>
      </c>
      <c r="C21" s="707">
        <v>83.885087039636574</v>
      </c>
      <c r="D21" s="1101">
        <v>92.5</v>
      </c>
      <c r="E21" s="1094">
        <v>91.203873289000001</v>
      </c>
      <c r="F21" s="1101">
        <v>108.44087615280206</v>
      </c>
      <c r="G21" s="573">
        <f>FISC!AC686</f>
        <v>98.131280134999997</v>
      </c>
      <c r="H21" s="126">
        <f t="shared" si="0"/>
        <v>-10.309596017802065</v>
      </c>
      <c r="I21" s="1101">
        <v>97.123529750127958</v>
      </c>
      <c r="J21" s="573">
        <v>97.073448802852269</v>
      </c>
      <c r="K21" s="1101">
        <v>121.79636555080214</v>
      </c>
      <c r="L21" s="126">
        <v>121.73013992153965</v>
      </c>
      <c r="M21" s="1101">
        <v>155.65365793985094</v>
      </c>
      <c r="N21" s="163">
        <v>183.40308055322069</v>
      </c>
    </row>
    <row r="22" spans="2:14">
      <c r="B22" s="130" t="s">
        <v>143</v>
      </c>
      <c r="C22" s="683">
        <v>8.7529764315177125</v>
      </c>
      <c r="D22" s="1101">
        <v>15.428946572326799</v>
      </c>
      <c r="E22" s="1094">
        <v>0</v>
      </c>
      <c r="F22" s="1101">
        <v>18</v>
      </c>
      <c r="G22" s="149">
        <f>FISC!AC687</f>
        <v>0</v>
      </c>
      <c r="H22" s="126">
        <f t="shared" si="0"/>
        <v>-18</v>
      </c>
      <c r="I22" s="1101"/>
      <c r="J22" s="149"/>
      <c r="K22" s="1101"/>
      <c r="L22" s="149"/>
      <c r="M22" s="1101"/>
      <c r="N22" s="149"/>
    </row>
    <row r="23" spans="2:14">
      <c r="B23" s="130" t="s">
        <v>304</v>
      </c>
      <c r="C23" s="683">
        <v>8.8000000000000007</v>
      </c>
      <c r="D23" s="1101">
        <v>10.7</v>
      </c>
      <c r="E23" s="1094">
        <v>10.620114093</v>
      </c>
      <c r="F23" s="1101">
        <v>11.3</v>
      </c>
      <c r="G23" s="126">
        <f>FISC!AC688</f>
        <v>11.43527939</v>
      </c>
      <c r="H23" s="126">
        <f t="shared" si="0"/>
        <v>0.13527938999999911</v>
      </c>
      <c r="I23" s="1101">
        <v>10.7</v>
      </c>
      <c r="J23" s="126">
        <v>10.7</v>
      </c>
      <c r="K23" s="1101">
        <v>12.293340450198169</v>
      </c>
      <c r="L23" s="126">
        <v>12.754566417714031</v>
      </c>
      <c r="M23" s="1101">
        <v>14.282434012779554</v>
      </c>
      <c r="N23" s="126">
        <v>15.927473027274898</v>
      </c>
    </row>
    <row r="24" spans="2:14">
      <c r="B24" s="130" t="s">
        <v>858</v>
      </c>
      <c r="C24" s="707"/>
      <c r="D24" s="1101"/>
      <c r="E24" s="1094"/>
      <c r="F24" s="1101"/>
      <c r="G24" s="126">
        <f>FISC!AC689</f>
        <v>0</v>
      </c>
      <c r="H24" s="126">
        <f t="shared" si="0"/>
        <v>0</v>
      </c>
      <c r="I24" s="1101"/>
      <c r="J24" s="126"/>
      <c r="K24" s="1101"/>
      <c r="L24" s="126"/>
      <c r="M24" s="1101"/>
      <c r="N24" s="126"/>
    </row>
    <row r="25" spans="2:14">
      <c r="B25" s="708" t="s">
        <v>145</v>
      </c>
      <c r="C25" s="126">
        <v>167.59624826644659</v>
      </c>
      <c r="D25" s="1101">
        <v>163.95807291173753</v>
      </c>
      <c r="E25" s="1094">
        <v>181.4367004705814</v>
      </c>
      <c r="F25" s="1101">
        <v>184.97932665458748</v>
      </c>
      <c r="G25" s="126">
        <f>FISC!AC691</f>
        <v>208.62012483249333</v>
      </c>
      <c r="H25" s="126">
        <f t="shared" si="0"/>
        <v>23.64079817790585</v>
      </c>
      <c r="I25" s="1101">
        <v>186.66068851654674</v>
      </c>
      <c r="J25" s="126">
        <v>180.968928125632</v>
      </c>
      <c r="K25" s="1101">
        <v>203.41306120687381</v>
      </c>
      <c r="L25" s="126">
        <v>196.58816858671275</v>
      </c>
      <c r="M25" s="1101">
        <v>208.1854751779274</v>
      </c>
      <c r="N25" s="126">
        <v>266.02344717274497</v>
      </c>
    </row>
    <row r="26" spans="2:14">
      <c r="B26" s="131" t="s">
        <v>823</v>
      </c>
      <c r="C26" s="683">
        <v>122.87648755655565</v>
      </c>
      <c r="D26" s="1101">
        <v>109.75807291173751</v>
      </c>
      <c r="E26" s="1094">
        <v>128.49930055706017</v>
      </c>
      <c r="F26" s="1101">
        <v>116.37932665458749</v>
      </c>
      <c r="G26" s="573">
        <f>FISC!AC692</f>
        <v>150.05275337</v>
      </c>
      <c r="H26" s="126">
        <f t="shared" si="0"/>
        <v>33.673426715412518</v>
      </c>
      <c r="I26" s="1101">
        <v>110.36068851654674</v>
      </c>
      <c r="J26" s="573">
        <v>104.66892812563201</v>
      </c>
      <c r="K26" s="1101">
        <v>117.49618221536507</v>
      </c>
      <c r="L26" s="1042">
        <v>108.85568525065729</v>
      </c>
      <c r="M26" s="1101">
        <v>123.92216375355385</v>
      </c>
      <c r="N26" s="573">
        <v>113.20991266068357</v>
      </c>
    </row>
    <row r="27" spans="2:14">
      <c r="B27" s="131" t="s">
        <v>1064</v>
      </c>
      <c r="C27" s="683">
        <v>44.719760709890934</v>
      </c>
      <c r="D27" s="1101">
        <v>54.2</v>
      </c>
      <c r="E27" s="1094">
        <v>52.937399913521233</v>
      </c>
      <c r="F27" s="1101">
        <v>68.599999999999994</v>
      </c>
      <c r="G27" s="163">
        <f>FISC!AC693</f>
        <v>58.567371462493327</v>
      </c>
      <c r="H27" s="126">
        <f t="shared" si="0"/>
        <v>-10.032628537506667</v>
      </c>
      <c r="I27" s="1101">
        <v>76.3</v>
      </c>
      <c r="J27" s="163">
        <v>76.3</v>
      </c>
      <c r="K27" s="1101">
        <v>85.916878991508725</v>
      </c>
      <c r="L27" s="126">
        <v>87.732483336055452</v>
      </c>
      <c r="M27" s="1101">
        <v>84.263311424373541</v>
      </c>
      <c r="N27" s="573">
        <v>152.81353451206138</v>
      </c>
    </row>
    <row r="28" spans="2:14">
      <c r="B28" s="131" t="s">
        <v>349</v>
      </c>
      <c r="C28" s="683">
        <v>26.746760709890932</v>
      </c>
      <c r="D28" s="1101">
        <v>34.200000000000003</v>
      </c>
      <c r="E28" s="1094">
        <v>30.447338092201235</v>
      </c>
      <c r="F28" s="1101">
        <v>45.9</v>
      </c>
      <c r="G28" s="163">
        <f>FISC!AC694</f>
        <v>34.951589472616007</v>
      </c>
      <c r="H28" s="126">
        <f t="shared" si="0"/>
        <v>-10.948410527383992</v>
      </c>
      <c r="I28" s="1101">
        <v>50.6</v>
      </c>
      <c r="J28" s="163">
        <v>50.6</v>
      </c>
      <c r="K28" s="1101">
        <v>56.916878991508732</v>
      </c>
      <c r="L28" s="149">
        <v>58.732483336055445</v>
      </c>
      <c r="M28" s="1101">
        <v>64.263311424373541</v>
      </c>
      <c r="N28" s="149">
        <v>70.191527710954105</v>
      </c>
    </row>
    <row r="29" spans="2:14">
      <c r="B29" s="128" t="s">
        <v>146</v>
      </c>
      <c r="C29" s="126">
        <v>373.7470102777271</v>
      </c>
      <c r="D29" s="1101">
        <v>333.18116823266587</v>
      </c>
      <c r="E29" s="1094">
        <v>330.18208394651856</v>
      </c>
      <c r="F29" s="1101">
        <v>356.68340503352533</v>
      </c>
      <c r="G29" s="163">
        <f>FISC!AC700</f>
        <v>358.90867686871047</v>
      </c>
      <c r="H29" s="126">
        <f t="shared" si="0"/>
        <v>2.2252718351851399</v>
      </c>
      <c r="I29" s="1101">
        <v>386.15836399540433</v>
      </c>
      <c r="J29" s="163">
        <v>365.24256870313474</v>
      </c>
      <c r="K29" s="1101">
        <v>431.24400234026575</v>
      </c>
      <c r="L29" s="146">
        <v>398.5309507073232</v>
      </c>
      <c r="M29" s="1101">
        <v>401.20073564048448</v>
      </c>
      <c r="N29" s="146">
        <v>396.20552836879182</v>
      </c>
    </row>
    <row r="30" spans="2:14">
      <c r="B30" s="129" t="s">
        <v>147</v>
      </c>
      <c r="C30" s="126">
        <v>204.80701027772713</v>
      </c>
      <c r="D30" s="1101">
        <v>187.21197792679084</v>
      </c>
      <c r="E30" s="1094">
        <v>184.18208394651853</v>
      </c>
      <c r="F30" s="1101">
        <v>180.92683372355032</v>
      </c>
      <c r="G30" s="573">
        <f>FISC!AC701</f>
        <v>190.19867686871044</v>
      </c>
      <c r="H30" s="126">
        <f t="shared" si="0"/>
        <v>9.2718431451601191</v>
      </c>
      <c r="I30" s="1101">
        <v>193.96241916362163</v>
      </c>
      <c r="J30" s="573">
        <v>183.95896929790271</v>
      </c>
      <c r="K30" s="1101">
        <v>215.0709416711492</v>
      </c>
      <c r="L30" s="573">
        <v>199.25493996225799</v>
      </c>
      <c r="M30" s="1101">
        <v>153.88150204758676</v>
      </c>
      <c r="N30" s="573">
        <v>183.7527361704266</v>
      </c>
    </row>
    <row r="31" spans="2:14">
      <c r="B31" s="131" t="s">
        <v>822</v>
      </c>
      <c r="C31" s="683">
        <v>134.42464376967689</v>
      </c>
      <c r="D31" s="1101">
        <v>133.36394997192056</v>
      </c>
      <c r="E31" s="1094">
        <v>130.1286413031597</v>
      </c>
      <c r="F31" s="1101">
        <v>117.34830267837864</v>
      </c>
      <c r="G31" s="126">
        <f>FISC!AC702</f>
        <v>119.21034259571046</v>
      </c>
      <c r="H31" s="126">
        <f t="shared" si="0"/>
        <v>1.8620399173318134</v>
      </c>
      <c r="I31" s="1101">
        <v>128.46984871603263</v>
      </c>
      <c r="J31" s="126">
        <v>121.84412350375213</v>
      </c>
      <c r="K31" s="1101">
        <v>114.89822213894043</v>
      </c>
      <c r="L31" s="126">
        <v>106.44877534906843</v>
      </c>
      <c r="M31" s="1101">
        <v>48.862719205591958</v>
      </c>
      <c r="N31" s="126">
        <v>44.638860443315423</v>
      </c>
    </row>
    <row r="32" spans="2:14" ht="15" thickBot="1">
      <c r="B32" s="131" t="s">
        <v>150</v>
      </c>
      <c r="C32" s="683">
        <v>70.382366508050239</v>
      </c>
      <c r="D32" s="1101">
        <v>53.848027954870275</v>
      </c>
      <c r="E32" s="1094">
        <v>54.053442643358835</v>
      </c>
      <c r="F32" s="1101">
        <v>63.578531045171673</v>
      </c>
      <c r="G32" s="126">
        <f>FISC!AC703</f>
        <v>69.571653854000004</v>
      </c>
      <c r="H32" s="126">
        <f t="shared" si="0"/>
        <v>5.9931228088283319</v>
      </c>
      <c r="I32" s="1101">
        <v>65.492570447589017</v>
      </c>
      <c r="J32" s="126">
        <v>62.114845794150582</v>
      </c>
      <c r="K32" s="1101">
        <v>69.727065810293468</v>
      </c>
      <c r="L32" s="126">
        <v>64.599439625916602</v>
      </c>
      <c r="M32" s="1101">
        <v>0</v>
      </c>
      <c r="N32" s="146">
        <v>0</v>
      </c>
    </row>
    <row r="33" spans="2:14" ht="15" thickBot="1">
      <c r="B33" s="131" t="s">
        <v>779</v>
      </c>
      <c r="C33" s="683">
        <v>0</v>
      </c>
      <c r="D33" s="1101"/>
      <c r="E33" s="1094">
        <v>0</v>
      </c>
      <c r="F33" s="1101">
        <v>0</v>
      </c>
      <c r="G33" s="628">
        <f>FISC!AC706</f>
        <v>0</v>
      </c>
      <c r="H33" s="126">
        <f t="shared" si="0"/>
        <v>0</v>
      </c>
      <c r="I33" s="1101">
        <v>0</v>
      </c>
      <c r="J33" s="628">
        <v>0</v>
      </c>
      <c r="K33" s="1101">
        <v>30.445653721915313</v>
      </c>
      <c r="L33" s="628">
        <v>28.206724987272967</v>
      </c>
      <c r="M33" s="1101">
        <v>105.01878284199479</v>
      </c>
      <c r="N33" s="628">
        <v>139.11387572711118</v>
      </c>
    </row>
    <row r="34" spans="2:14">
      <c r="B34" s="129" t="s">
        <v>148</v>
      </c>
      <c r="C34" s="126">
        <v>168.94</v>
      </c>
      <c r="D34" s="1101">
        <v>145.96919030587503</v>
      </c>
      <c r="E34" s="1094">
        <v>146.00000000000003</v>
      </c>
      <c r="F34" s="1101">
        <v>175.75657130997499</v>
      </c>
      <c r="G34" s="163">
        <f>FISC!AC707</f>
        <v>168.71</v>
      </c>
      <c r="H34" s="126">
        <f t="shared" si="0"/>
        <v>-7.0465713099749792</v>
      </c>
      <c r="I34" s="1101">
        <v>192.1959448317827</v>
      </c>
      <c r="J34" s="163">
        <v>181.28359940523202</v>
      </c>
      <c r="K34" s="1101">
        <v>216.17306066911658</v>
      </c>
      <c r="L34" s="126">
        <v>199.27601074506524</v>
      </c>
      <c r="M34" s="1101">
        <v>247.31923359289775</v>
      </c>
      <c r="N34" s="146">
        <v>212.45279219836522</v>
      </c>
    </row>
    <row r="35" spans="2:14">
      <c r="B35" s="131" t="s">
        <v>149</v>
      </c>
      <c r="C35" s="683">
        <v>168.94</v>
      </c>
      <c r="D35" s="1101">
        <v>145.96919030587503</v>
      </c>
      <c r="E35" s="1094">
        <v>146.00000000000003</v>
      </c>
      <c r="F35" s="1101">
        <v>175.75657130997499</v>
      </c>
      <c r="G35" s="707">
        <f>FISC!AC708</f>
        <v>168.71</v>
      </c>
      <c r="H35" s="126">
        <f t="shared" si="0"/>
        <v>-7.0465713099749792</v>
      </c>
      <c r="I35" s="1101">
        <v>192.1959448317827</v>
      </c>
      <c r="J35" s="707">
        <v>181.28359940523202</v>
      </c>
      <c r="K35" s="1101">
        <v>216.17306066911658</v>
      </c>
      <c r="L35" s="707">
        <v>199.27601074506524</v>
      </c>
      <c r="M35" s="1101">
        <v>247.31923359289775</v>
      </c>
      <c r="N35" s="146">
        <v>212.45279219836522</v>
      </c>
    </row>
    <row r="36" spans="2:14">
      <c r="B36" s="576" t="s">
        <v>812</v>
      </c>
      <c r="C36" s="574"/>
      <c r="D36" s="1101"/>
      <c r="E36" s="1094"/>
      <c r="F36" s="1101"/>
      <c r="G36" s="573">
        <f>FISC!AC709</f>
        <v>0</v>
      </c>
      <c r="H36" s="126">
        <f t="shared" si="0"/>
        <v>0</v>
      </c>
      <c r="I36" s="1101"/>
      <c r="J36" s="573"/>
      <c r="K36" s="1101"/>
      <c r="L36" s="573"/>
      <c r="M36" s="1101"/>
      <c r="N36" s="573"/>
    </row>
    <row r="37" spans="2:14">
      <c r="B37" s="576" t="s">
        <v>814</v>
      </c>
      <c r="C37" s="574"/>
      <c r="D37" s="1101"/>
      <c r="E37" s="1094"/>
      <c r="F37" s="1101"/>
      <c r="G37" s="573">
        <f>FISC!AC710</f>
        <v>0</v>
      </c>
      <c r="H37" s="126">
        <f t="shared" si="0"/>
        <v>0</v>
      </c>
      <c r="I37" s="1101"/>
      <c r="J37" s="573"/>
      <c r="K37" s="1101"/>
      <c r="L37" s="573"/>
      <c r="M37" s="1101"/>
      <c r="N37" s="573"/>
    </row>
    <row r="38" spans="2:14">
      <c r="B38" s="131" t="s">
        <v>150</v>
      </c>
      <c r="C38" s="141"/>
      <c r="D38" s="1101">
        <v>0</v>
      </c>
      <c r="E38" s="1094"/>
      <c r="F38" s="1101">
        <v>0</v>
      </c>
      <c r="G38" s="126">
        <f>FISC!AC711</f>
        <v>0</v>
      </c>
      <c r="H38" s="126">
        <f t="shared" si="0"/>
        <v>0</v>
      </c>
      <c r="I38" s="1101"/>
      <c r="J38" s="126"/>
      <c r="K38" s="1101"/>
      <c r="L38" s="126"/>
      <c r="M38" s="1101"/>
      <c r="N38" s="126"/>
    </row>
    <row r="39" spans="2:14">
      <c r="B39" s="127" t="s">
        <v>136</v>
      </c>
      <c r="C39" s="141"/>
      <c r="D39" s="1101"/>
      <c r="E39" s="1094"/>
      <c r="F39" s="1101"/>
      <c r="G39" s="126">
        <f>FISC!AC713</f>
        <v>0</v>
      </c>
      <c r="H39" s="126">
        <f t="shared" si="0"/>
        <v>0</v>
      </c>
      <c r="I39" s="1101"/>
      <c r="J39" s="126"/>
      <c r="K39" s="1101"/>
      <c r="L39" s="126"/>
      <c r="M39" s="1101"/>
      <c r="N39" s="126"/>
    </row>
    <row r="40" spans="2:14">
      <c r="B40" s="125" t="s">
        <v>151</v>
      </c>
      <c r="C40" s="126">
        <v>1757.6597972453751</v>
      </c>
      <c r="D40" s="1101">
        <v>1854.7059365140583</v>
      </c>
      <c r="E40" s="1094">
        <v>1913.6941026959162</v>
      </c>
      <c r="F40" s="1101">
        <v>2069.4611421754248</v>
      </c>
      <c r="G40" s="126">
        <f>FISC!AC714</f>
        <v>2187.5397808880507</v>
      </c>
      <c r="H40" s="126">
        <f t="shared" si="0"/>
        <v>118.07863871262589</v>
      </c>
      <c r="I40" s="1101">
        <v>2281.3684727543227</v>
      </c>
      <c r="J40" s="126">
        <v>2310.2698491777419</v>
      </c>
      <c r="K40" s="1101">
        <v>2601.778934506764</v>
      </c>
      <c r="L40" s="126">
        <v>2636.1461768913991</v>
      </c>
      <c r="M40" s="1101">
        <v>2990.5931056642967</v>
      </c>
      <c r="N40" s="126">
        <v>3288.9804111458675</v>
      </c>
    </row>
    <row r="41" spans="2:14">
      <c r="B41" s="127" t="s">
        <v>136</v>
      </c>
      <c r="C41" s="141"/>
      <c r="D41" s="1101" t="s">
        <v>136</v>
      </c>
      <c r="E41" s="1094"/>
      <c r="F41" s="1101" t="s">
        <v>136</v>
      </c>
      <c r="G41" s="126" t="str">
        <f>FISC!AC715</f>
        <v/>
      </c>
      <c r="H41" s="126"/>
      <c r="I41" s="1101" t="s">
        <v>136</v>
      </c>
      <c r="J41" s="126" t="s">
        <v>136</v>
      </c>
      <c r="K41" s="1101" t="s">
        <v>136</v>
      </c>
      <c r="L41" s="126" t="s">
        <v>136</v>
      </c>
      <c r="M41" s="1101" t="s">
        <v>136</v>
      </c>
      <c r="N41" s="126" t="s">
        <v>136</v>
      </c>
    </row>
    <row r="42" spans="2:14">
      <c r="B42" s="128" t="s">
        <v>152</v>
      </c>
      <c r="C42" s="126">
        <v>947.5320695517421</v>
      </c>
      <c r="D42" s="1101">
        <v>1063.7364019510196</v>
      </c>
      <c r="E42" s="1094">
        <v>1074.9321727050874</v>
      </c>
      <c r="F42" s="1101">
        <v>1136.364713297834</v>
      </c>
      <c r="G42" s="126">
        <f>FISC!AC716</f>
        <v>1177.2772642778905</v>
      </c>
      <c r="H42" s="126">
        <f t="shared" si="0"/>
        <v>40.912550980056494</v>
      </c>
      <c r="I42" s="1101">
        <v>1276.4168752240155</v>
      </c>
      <c r="J42" s="126">
        <v>1273.2386851306239</v>
      </c>
      <c r="K42" s="1101">
        <v>1435.4780123845687</v>
      </c>
      <c r="L42" s="126">
        <v>1421.8647117233972</v>
      </c>
      <c r="M42" s="1101">
        <v>1568.9133828061945</v>
      </c>
      <c r="N42" s="126">
        <v>1622.8804783858095</v>
      </c>
    </row>
    <row r="43" spans="2:14">
      <c r="B43" s="129" t="s">
        <v>83</v>
      </c>
      <c r="C43" s="683">
        <v>242.33523719200002</v>
      </c>
      <c r="D43" s="1101">
        <v>258.3</v>
      </c>
      <c r="E43" s="1094">
        <v>295.75537904600003</v>
      </c>
      <c r="F43" s="1101">
        <v>301.10000000000002</v>
      </c>
      <c r="G43" s="126">
        <f>FISC!AC717</f>
        <v>324.290467019</v>
      </c>
      <c r="H43" s="126">
        <f t="shared" si="0"/>
        <v>23.190467018999982</v>
      </c>
      <c r="I43" s="1101">
        <v>341.44</v>
      </c>
      <c r="J43" s="126">
        <v>342.43414692278003</v>
      </c>
      <c r="K43" s="1101">
        <v>384</v>
      </c>
      <c r="L43" s="126">
        <v>384.98048115834303</v>
      </c>
      <c r="M43" s="1101">
        <v>415.33440000000007</v>
      </c>
      <c r="N43" s="126">
        <v>432.56406862951428</v>
      </c>
    </row>
    <row r="44" spans="2:14">
      <c r="B44" s="131" t="s">
        <v>153</v>
      </c>
      <c r="C44" s="141">
        <v>0</v>
      </c>
      <c r="D44" s="1101">
        <v>0</v>
      </c>
      <c r="E44" s="1094">
        <v>0</v>
      </c>
      <c r="F44" s="1101">
        <v>0</v>
      </c>
      <c r="G44" s="126">
        <f>FISC!AC718</f>
        <v>0</v>
      </c>
      <c r="H44" s="126">
        <f t="shared" si="0"/>
        <v>0</v>
      </c>
      <c r="I44" s="1101"/>
      <c r="J44" s="126"/>
      <c r="K44" s="1101"/>
      <c r="L44" s="126"/>
      <c r="M44" s="1101"/>
      <c r="N44" s="126"/>
    </row>
    <row r="45" spans="2:14">
      <c r="B45" s="130" t="s">
        <v>139</v>
      </c>
      <c r="C45" s="141">
        <v>0</v>
      </c>
      <c r="D45" s="1101">
        <v>0</v>
      </c>
      <c r="E45" s="1094">
        <v>0</v>
      </c>
      <c r="F45" s="1101">
        <v>0</v>
      </c>
      <c r="G45" s="126">
        <f>FISC!AC719</f>
        <v>0</v>
      </c>
      <c r="H45" s="126">
        <f t="shared" si="0"/>
        <v>0</v>
      </c>
      <c r="I45" s="1101"/>
      <c r="J45" s="126"/>
      <c r="K45" s="1101"/>
      <c r="L45" s="126"/>
      <c r="M45" s="1101"/>
      <c r="N45" s="126"/>
    </row>
    <row r="46" spans="2:14">
      <c r="B46" s="131" t="s">
        <v>154</v>
      </c>
      <c r="C46" s="141">
        <v>0</v>
      </c>
      <c r="D46" s="1101">
        <v>0</v>
      </c>
      <c r="E46" s="1094">
        <v>0</v>
      </c>
      <c r="F46" s="1101">
        <v>0</v>
      </c>
      <c r="G46" s="126">
        <f>FISC!AC720</f>
        <v>0</v>
      </c>
      <c r="H46" s="126">
        <f t="shared" si="0"/>
        <v>0</v>
      </c>
      <c r="I46" s="1101"/>
      <c r="J46" s="126"/>
      <c r="K46" s="1101"/>
      <c r="L46" s="126"/>
      <c r="M46" s="1101"/>
      <c r="N46" s="126"/>
    </row>
    <row r="47" spans="2:14">
      <c r="B47" s="129" t="s">
        <v>84</v>
      </c>
      <c r="C47" s="683">
        <v>180.62141281000001</v>
      </c>
      <c r="D47" s="1101">
        <v>207.4</v>
      </c>
      <c r="E47" s="1094">
        <v>194.10476785</v>
      </c>
      <c r="F47" s="1101">
        <v>218</v>
      </c>
      <c r="G47" s="573">
        <f>FISC!AC721</f>
        <v>216.28066140199999</v>
      </c>
      <c r="H47" s="126">
        <f t="shared" si="0"/>
        <v>-1.7193385980000073</v>
      </c>
      <c r="I47" s="1101">
        <v>240.74</v>
      </c>
      <c r="J47" s="573">
        <v>243.19396327811938</v>
      </c>
      <c r="K47" s="1101">
        <v>270.73375489167944</v>
      </c>
      <c r="L47" s="573">
        <v>274.22854940278614</v>
      </c>
      <c r="M47" s="1101">
        <v>305.67817336382069</v>
      </c>
      <c r="N47" s="577">
        <v>327.83911942904291</v>
      </c>
    </row>
    <row r="48" spans="2:14">
      <c r="B48" s="131" t="s">
        <v>153</v>
      </c>
      <c r="C48" s="141"/>
      <c r="D48" s="1101"/>
      <c r="E48" s="1094">
        <v>0</v>
      </c>
      <c r="F48" s="1101"/>
      <c r="G48" s="250">
        <f>FISC!AC722</f>
        <v>0</v>
      </c>
      <c r="H48" s="126">
        <f t="shared" si="0"/>
        <v>0</v>
      </c>
      <c r="I48" s="1101"/>
      <c r="J48" s="250"/>
      <c r="K48" s="1101"/>
      <c r="L48" s="126"/>
      <c r="M48" s="1101"/>
      <c r="N48" s="126"/>
    </row>
    <row r="49" spans="2:14">
      <c r="B49" s="132" t="s">
        <v>915</v>
      </c>
      <c r="C49" s="141"/>
      <c r="D49" s="1101">
        <v>42.5</v>
      </c>
      <c r="E49" s="1094">
        <v>44.567491036</v>
      </c>
      <c r="F49" s="1101">
        <v>48.7</v>
      </c>
      <c r="G49" s="126">
        <f>FISC!AC725</f>
        <v>47.517446686</v>
      </c>
      <c r="H49" s="126">
        <f t="shared" si="0"/>
        <v>-1.1825533140000033</v>
      </c>
      <c r="I49" s="1101">
        <v>51.7</v>
      </c>
      <c r="J49" s="126">
        <v>51.7</v>
      </c>
      <c r="K49" s="1101">
        <v>51.7</v>
      </c>
      <c r="L49" s="126">
        <v>58.1</v>
      </c>
      <c r="M49" s="1101">
        <v>51.7</v>
      </c>
      <c r="N49" s="126">
        <v>58.1</v>
      </c>
    </row>
    <row r="50" spans="2:14">
      <c r="B50" s="131" t="s">
        <v>154</v>
      </c>
      <c r="C50" s="141"/>
      <c r="D50" s="1101"/>
      <c r="E50" s="1094">
        <v>0</v>
      </c>
      <c r="F50" s="1101"/>
      <c r="G50" s="126">
        <f>FISC!AC728</f>
        <v>0</v>
      </c>
      <c r="H50" s="126">
        <f t="shared" si="0"/>
        <v>0</v>
      </c>
      <c r="I50" s="1101"/>
      <c r="J50" s="126"/>
      <c r="K50" s="1101"/>
      <c r="L50" s="126"/>
      <c r="M50" s="1101"/>
      <c r="N50" s="126"/>
    </row>
    <row r="51" spans="2:14">
      <c r="B51" s="129" t="s">
        <v>155</v>
      </c>
      <c r="C51" s="126">
        <v>56.6986134594964</v>
      </c>
      <c r="D51" s="1101">
        <v>77.452369388595883</v>
      </c>
      <c r="E51" s="1123">
        <v>77.526676452267324</v>
      </c>
      <c r="F51" s="1101">
        <v>92.99079547089255</v>
      </c>
      <c r="G51" s="126">
        <f>FISC!AC729</f>
        <v>91.578582652050613</v>
      </c>
      <c r="H51" s="126">
        <f t="shared" si="0"/>
        <v>-1.4122128188419367</v>
      </c>
      <c r="I51" s="1101">
        <v>105.35437112353274</v>
      </c>
      <c r="J51" s="126">
        <v>104.35537737825308</v>
      </c>
      <c r="K51" s="1101">
        <v>118.5217899620508</v>
      </c>
      <c r="L51" s="126">
        <v>115.50098140509272</v>
      </c>
      <c r="M51" s="1101">
        <v>129.90157149063833</v>
      </c>
      <c r="N51" s="126">
        <v>127.87695219690636</v>
      </c>
    </row>
    <row r="52" spans="2:14">
      <c r="B52" s="131" t="s">
        <v>156</v>
      </c>
      <c r="C52" s="683">
        <v>25.351373894877149</v>
      </c>
      <c r="D52" s="1101">
        <v>40.6</v>
      </c>
      <c r="E52" s="1094">
        <v>40.588057049071665</v>
      </c>
      <c r="F52" s="1101">
        <v>50.15</v>
      </c>
      <c r="G52" s="126">
        <f>FISC!AC730</f>
        <v>48.900012528000005</v>
      </c>
      <c r="H52" s="126">
        <f t="shared" si="0"/>
        <v>-1.2499874719999937</v>
      </c>
      <c r="I52" s="1101">
        <v>56.9</v>
      </c>
      <c r="J52" s="126">
        <v>58.4</v>
      </c>
      <c r="K52" s="1101">
        <v>63.972569606341011</v>
      </c>
      <c r="L52" s="126">
        <v>64.5</v>
      </c>
      <c r="M52" s="1101">
        <v>66.811592044058514</v>
      </c>
      <c r="N52" s="573">
        <v>70.240684022023132</v>
      </c>
    </row>
    <row r="53" spans="2:14">
      <c r="B53" s="132" t="s">
        <v>157</v>
      </c>
      <c r="C53" s="683">
        <v>0</v>
      </c>
      <c r="D53" s="1101">
        <v>0</v>
      </c>
      <c r="E53" s="1094">
        <v>19.177960055898797</v>
      </c>
      <c r="F53" s="1101">
        <v>0</v>
      </c>
      <c r="G53" s="126">
        <f>FISC!AC731</f>
        <v>0</v>
      </c>
      <c r="H53" s="126">
        <f t="shared" si="0"/>
        <v>0</v>
      </c>
      <c r="I53" s="1101"/>
      <c r="J53" s="126"/>
      <c r="K53" s="1101"/>
      <c r="L53" s="126"/>
      <c r="M53" s="1101"/>
      <c r="N53" s="126"/>
    </row>
    <row r="54" spans="2:14">
      <c r="B54" s="131" t="s">
        <v>158</v>
      </c>
      <c r="C54" s="683">
        <v>31.347239564619255</v>
      </c>
      <c r="D54" s="1101">
        <v>36.852369388595875</v>
      </c>
      <c r="E54" s="1094">
        <v>36.938619403195652</v>
      </c>
      <c r="F54" s="1101">
        <v>42.840795470892544</v>
      </c>
      <c r="G54" s="126">
        <f>FISC!AC733</f>
        <v>42.678570124050616</v>
      </c>
      <c r="H54" s="126">
        <f t="shared" si="0"/>
        <v>-0.1622253468419288</v>
      </c>
      <c r="I54" s="1101">
        <v>48.454371123532745</v>
      </c>
      <c r="J54" s="126">
        <v>45.95537737825309</v>
      </c>
      <c r="K54" s="1101">
        <v>54.549220355709785</v>
      </c>
      <c r="L54" s="126">
        <v>51.000981405092723</v>
      </c>
      <c r="M54" s="1101">
        <v>63.089979446579825</v>
      </c>
      <c r="N54" s="126">
        <v>57.636268174883234</v>
      </c>
    </row>
    <row r="55" spans="2:14">
      <c r="B55" s="132" t="s">
        <v>159</v>
      </c>
      <c r="C55" s="683">
        <v>20.186515674500001</v>
      </c>
      <c r="D55" s="1101">
        <v>21.597898063125001</v>
      </c>
      <c r="E55" s="1094">
        <v>21.95511308775</v>
      </c>
      <c r="F55" s="1101">
        <v>23.188362077793748</v>
      </c>
      <c r="G55" s="126">
        <f>FISC!AC735</f>
        <v>22.681567922749998</v>
      </c>
      <c r="H55" s="126">
        <f t="shared" si="0"/>
        <v>-0.50679415504374958</v>
      </c>
      <c r="I55" s="1101">
        <v>24.784391912614311</v>
      </c>
      <c r="J55" s="126">
        <v>23.506157587536002</v>
      </c>
      <c r="K55" s="1101">
        <v>26.386854480569276</v>
      </c>
      <c r="L55" s="126">
        <v>24.446403891037441</v>
      </c>
      <c r="M55" s="1101">
        <v>27.82997745312862</v>
      </c>
      <c r="N55" s="126">
        <v>25.424260046678942</v>
      </c>
    </row>
    <row r="56" spans="2:14">
      <c r="B56" s="129" t="s">
        <v>85</v>
      </c>
      <c r="C56" s="683">
        <v>308.66481946624555</v>
      </c>
      <c r="D56" s="1101">
        <v>360.29160514918601</v>
      </c>
      <c r="E56" s="1094">
        <v>348.19146631481999</v>
      </c>
      <c r="F56" s="1101">
        <v>400.20779059396011</v>
      </c>
      <c r="G56" s="126">
        <f>FISC!AC736</f>
        <v>363.28843069983998</v>
      </c>
      <c r="H56" s="126">
        <f t="shared" si="0"/>
        <v>-36.919359894120134</v>
      </c>
      <c r="I56" s="1101">
        <v>436.61892547567481</v>
      </c>
      <c r="J56" s="126">
        <v>438.0862694258393</v>
      </c>
      <c r="K56" s="1101">
        <v>490.95138177470824</v>
      </c>
      <c r="L56" s="126">
        <v>492.7090145065182</v>
      </c>
      <c r="M56" s="1101">
        <v>551.7270741981813</v>
      </c>
      <c r="N56" s="126">
        <v>579.04042546966252</v>
      </c>
    </row>
    <row r="57" spans="2:14">
      <c r="B57" s="162" t="s">
        <v>267</v>
      </c>
      <c r="C57" s="683">
        <v>212.17635436924556</v>
      </c>
      <c r="D57" s="1101">
        <v>186.5</v>
      </c>
      <c r="E57" s="1094">
        <v>185.60358720299996</v>
      </c>
      <c r="F57" s="1101">
        <v>167.6</v>
      </c>
      <c r="G57" s="126">
        <f>FISC!AC737</f>
        <v>192.49014827558653</v>
      </c>
      <c r="H57" s="126">
        <f t="shared" si="0"/>
        <v>24.89014827558654</v>
      </c>
      <c r="I57" s="1101">
        <v>185.8</v>
      </c>
      <c r="J57" s="126">
        <v>212.65076593260125</v>
      </c>
      <c r="K57" s="1101">
        <v>196.63214913957756</v>
      </c>
      <c r="L57" s="126">
        <v>238.01043149143442</v>
      </c>
      <c r="M57" s="1101">
        <v>214.39808037763589</v>
      </c>
      <c r="N57" s="126">
        <v>272.46683415643651</v>
      </c>
    </row>
    <row r="58" spans="2:14">
      <c r="B58" s="130" t="s">
        <v>160</v>
      </c>
      <c r="C58" s="707">
        <v>40.388465097000008</v>
      </c>
      <c r="D58" s="1101">
        <v>54.2</v>
      </c>
      <c r="E58" s="1094">
        <v>47.887879111819991</v>
      </c>
      <c r="F58" s="1101">
        <v>75.2</v>
      </c>
      <c r="G58" s="126">
        <f>FISC!AC738</f>
        <v>53.86308627244</v>
      </c>
      <c r="H58" s="126">
        <f t="shared" si="0"/>
        <v>-21.336913727560002</v>
      </c>
      <c r="I58" s="1101">
        <v>92.733917105027999</v>
      </c>
      <c r="J58" s="126">
        <v>92.632520234786682</v>
      </c>
      <c r="K58" s="1101">
        <v>116.52915761659638</v>
      </c>
      <c r="L58" s="126">
        <v>104.1</v>
      </c>
      <c r="M58" s="1101">
        <v>145.03124868049861</v>
      </c>
      <c r="N58" s="126">
        <v>137.36102343747785</v>
      </c>
    </row>
    <row r="59" spans="2:14">
      <c r="B59" s="993" t="s">
        <v>1165</v>
      </c>
      <c r="C59" s="683"/>
      <c r="D59" s="1101"/>
      <c r="E59" s="1094">
        <v>0</v>
      </c>
      <c r="F59" s="1101">
        <v>18</v>
      </c>
      <c r="G59" s="126">
        <f>FISC!AC743</f>
        <v>0</v>
      </c>
      <c r="H59" s="126">
        <f t="shared" si="0"/>
        <v>-18</v>
      </c>
      <c r="I59" s="1101"/>
      <c r="J59" s="126"/>
      <c r="K59" s="1101"/>
      <c r="L59" s="126"/>
      <c r="M59" s="1101"/>
      <c r="N59" s="126"/>
    </row>
    <row r="60" spans="2:14">
      <c r="B60" s="130" t="s">
        <v>161</v>
      </c>
      <c r="C60" s="575">
        <v>112.19999999999999</v>
      </c>
      <c r="D60" s="1101">
        <v>119.59160514918599</v>
      </c>
      <c r="E60" s="1094">
        <v>114.7</v>
      </c>
      <c r="F60" s="1101">
        <v>139.40779059396013</v>
      </c>
      <c r="G60" s="573">
        <f>FISC!AC744</f>
        <v>116.93519615181343</v>
      </c>
      <c r="H60" s="126">
        <f t="shared" si="0"/>
        <v>-22.472594442146701</v>
      </c>
      <c r="I60" s="1101">
        <v>158.08500837064676</v>
      </c>
      <c r="J60" s="573">
        <v>132.80298325845135</v>
      </c>
      <c r="K60" s="1101">
        <v>177.79007501853434</v>
      </c>
      <c r="L60" s="573">
        <v>150.59858301508385</v>
      </c>
      <c r="M60" s="1101">
        <v>192.29774514004677</v>
      </c>
      <c r="N60" s="1095">
        <v>169.21256787574822</v>
      </c>
    </row>
    <row r="61" spans="2:14">
      <c r="B61" s="130" t="s">
        <v>139</v>
      </c>
      <c r="C61" s="141">
        <v>0</v>
      </c>
      <c r="D61" s="1101"/>
      <c r="E61" s="1094">
        <v>0</v>
      </c>
      <c r="F61" s="1101"/>
      <c r="G61" s="126">
        <f>FISC!AC745</f>
        <v>0</v>
      </c>
      <c r="H61" s="126">
        <f t="shared" si="0"/>
        <v>0</v>
      </c>
      <c r="I61" s="1101"/>
      <c r="J61" s="126"/>
      <c r="K61" s="1101"/>
      <c r="L61" s="126"/>
      <c r="M61" s="1101"/>
      <c r="N61" s="126"/>
    </row>
    <row r="62" spans="2:14">
      <c r="B62" s="129" t="s">
        <v>162</v>
      </c>
      <c r="C62" s="126">
        <v>159.21198662399999</v>
      </c>
      <c r="D62" s="1101">
        <v>160.29242741323753</v>
      </c>
      <c r="E62" s="1094">
        <v>159.35388304200001</v>
      </c>
      <c r="F62" s="1101">
        <v>124.06612723298124</v>
      </c>
      <c r="G62" s="163">
        <f>FISC!AC746</f>
        <v>181.83912250499998</v>
      </c>
      <c r="H62" s="126">
        <f t="shared" si="0"/>
        <v>57.772995272018733</v>
      </c>
      <c r="I62" s="1101">
        <v>152.26357862480793</v>
      </c>
      <c r="J62" s="163">
        <v>145.16892812563202</v>
      </c>
      <c r="K62" s="1101">
        <v>171.27108575613033</v>
      </c>
      <c r="L62" s="163">
        <v>154.44568525065728</v>
      </c>
      <c r="M62" s="1101">
        <v>166.27216375355385</v>
      </c>
      <c r="N62" s="126">
        <v>155.55991266068358</v>
      </c>
    </row>
    <row r="63" spans="2:14">
      <c r="B63" s="131" t="s">
        <v>163</v>
      </c>
      <c r="C63" s="683">
        <v>26.979326674999996</v>
      </c>
      <c r="D63" s="1101">
        <v>27.9</v>
      </c>
      <c r="E63" s="1094">
        <v>28.539423423000002</v>
      </c>
      <c r="F63" s="1101">
        <v>22.7</v>
      </c>
      <c r="G63" s="126">
        <f>FISC!AC747</f>
        <v>32.435816873</v>
      </c>
      <c r="H63" s="126">
        <f t="shared" si="0"/>
        <v>9.735816873000001</v>
      </c>
      <c r="I63" s="1101">
        <v>33.799999999999997</v>
      </c>
      <c r="J63" s="126">
        <v>33.799999999999997</v>
      </c>
      <c r="K63" s="1101">
        <v>37.950000000000003</v>
      </c>
      <c r="L63" s="126">
        <v>37.950000000000003</v>
      </c>
      <c r="M63" s="1101">
        <v>37.950000000000003</v>
      </c>
      <c r="N63" s="126">
        <v>37.950000000000003</v>
      </c>
    </row>
    <row r="64" spans="2:14">
      <c r="B64" s="131" t="s">
        <v>307</v>
      </c>
      <c r="C64" s="683">
        <v>4.3759362910000004</v>
      </c>
      <c r="D64" s="1101">
        <v>3.4</v>
      </c>
      <c r="E64" s="1094">
        <v>2.6629975549999996</v>
      </c>
      <c r="F64" s="1101">
        <v>3.8</v>
      </c>
      <c r="G64" s="126">
        <f>FISC!AC748</f>
        <v>3.6326671129999997</v>
      </c>
      <c r="H64" s="126">
        <f t="shared" si="0"/>
        <v>-0.16733288700000015</v>
      </c>
      <c r="I64" s="1101">
        <v>6.7</v>
      </c>
      <c r="J64" s="126">
        <v>6.7</v>
      </c>
      <c r="K64" s="1101">
        <v>7.64</v>
      </c>
      <c r="L64" s="126">
        <v>7.64</v>
      </c>
      <c r="M64" s="1101">
        <v>4.4000000000000004</v>
      </c>
      <c r="N64" s="126">
        <v>4.4000000000000004</v>
      </c>
    </row>
    <row r="65" spans="2:14">
      <c r="B65" s="131" t="s">
        <v>164</v>
      </c>
      <c r="C65" s="684">
        <v>127.85672365799999</v>
      </c>
      <c r="D65" s="1101">
        <v>128.99242741323752</v>
      </c>
      <c r="E65" s="1094">
        <v>128.15146206400001</v>
      </c>
      <c r="F65" s="1101">
        <v>97.566127232981245</v>
      </c>
      <c r="G65" s="629">
        <f>FISC!AC749</f>
        <v>145.77063851899999</v>
      </c>
      <c r="H65" s="126">
        <f t="shared" si="0"/>
        <v>48.204511286018743</v>
      </c>
      <c r="I65" s="1101">
        <v>111.76357862480793</v>
      </c>
      <c r="J65" s="629">
        <v>104.66892812563201</v>
      </c>
      <c r="K65" s="1101">
        <v>125.68108575613033</v>
      </c>
      <c r="L65" s="629">
        <v>108.85568525065729</v>
      </c>
      <c r="M65" s="1101">
        <v>123.92216375355385</v>
      </c>
      <c r="N65" s="629">
        <v>113.20991266068357</v>
      </c>
    </row>
    <row r="66" spans="2:14">
      <c r="B66" s="131" t="s">
        <v>1082</v>
      </c>
      <c r="C66" s="141"/>
      <c r="D66" s="1101"/>
      <c r="E66" s="1094">
        <v>0</v>
      </c>
      <c r="F66" s="1101"/>
      <c r="G66" s="126">
        <f>FISC!AC750</f>
        <v>0</v>
      </c>
      <c r="H66" s="126">
        <f t="shared" si="0"/>
        <v>0</v>
      </c>
      <c r="I66" s="1101"/>
      <c r="J66" s="126"/>
      <c r="K66" s="1101"/>
      <c r="L66" s="126"/>
      <c r="M66" s="1101"/>
      <c r="N66" s="126"/>
    </row>
    <row r="67" spans="2:14">
      <c r="B67" s="131" t="s">
        <v>1173</v>
      </c>
      <c r="C67" s="141"/>
      <c r="D67" s="1101">
        <v>19.2343545015</v>
      </c>
      <c r="E67" s="1094">
        <v>-0.34783849306015213</v>
      </c>
      <c r="F67" s="1101">
        <v>-18.813199421606249</v>
      </c>
      <c r="G67" s="989">
        <f>FISC!AC751</f>
        <v>0</v>
      </c>
      <c r="H67" s="126">
        <f t="shared" si="0"/>
        <v>18.813199421606249</v>
      </c>
      <c r="I67" s="1101">
        <v>1.4028901082611873</v>
      </c>
      <c r="J67" s="989"/>
      <c r="K67" s="1101">
        <v>8.1849035407652622</v>
      </c>
      <c r="L67" s="989"/>
      <c r="M67" s="1101"/>
      <c r="N67" s="126"/>
    </row>
    <row r="68" spans="2:14">
      <c r="B68" s="129" t="s">
        <v>778</v>
      </c>
      <c r="C68" s="141"/>
      <c r="D68" s="1101"/>
      <c r="E68" s="1094">
        <v>0</v>
      </c>
      <c r="F68" s="1101"/>
      <c r="G68" s="126">
        <f>FISC!AC752</f>
        <v>0</v>
      </c>
      <c r="H68" s="126">
        <f t="shared" si="0"/>
        <v>0</v>
      </c>
      <c r="I68" s="1101"/>
      <c r="J68" s="126"/>
      <c r="K68" s="1101"/>
      <c r="L68" s="126"/>
      <c r="M68" s="1101"/>
      <c r="N68" s="126"/>
    </row>
    <row r="69" spans="2:14">
      <c r="B69" s="128" t="s">
        <v>165</v>
      </c>
      <c r="C69" s="126">
        <v>721.70584666963293</v>
      </c>
      <c r="D69" s="1101">
        <v>675.16953456303861</v>
      </c>
      <c r="E69" s="1094">
        <v>724.92500877882901</v>
      </c>
      <c r="F69" s="1101">
        <v>773.99655281597825</v>
      </c>
      <c r="G69" s="126">
        <f>FISC!AC753</f>
        <v>850.21990038716001</v>
      </c>
      <c r="H69" s="126">
        <f t="shared" si="0"/>
        <v>76.223347571181762</v>
      </c>
      <c r="I69" s="1101">
        <v>835.16335319250948</v>
      </c>
      <c r="J69" s="126">
        <v>848.38016552097179</v>
      </c>
      <c r="K69" s="1101">
        <v>981.4448636964778</v>
      </c>
      <c r="L69" s="126">
        <v>1011.5415722484473</v>
      </c>
      <c r="M69" s="1101">
        <v>1269.2377164218915</v>
      </c>
      <c r="N69" s="126">
        <v>1489.7390447766131</v>
      </c>
    </row>
    <row r="70" spans="2:14">
      <c r="B70" s="129" t="s">
        <v>35</v>
      </c>
      <c r="C70" s="683">
        <v>446.87751730499997</v>
      </c>
      <c r="D70" s="1101">
        <v>398</v>
      </c>
      <c r="E70" s="1094">
        <v>418.175831609</v>
      </c>
      <c r="F70" s="1101">
        <v>461.53970305881637</v>
      </c>
      <c r="G70" s="126">
        <f>FISC!AC754</f>
        <v>463.15948488100003</v>
      </c>
      <c r="H70" s="126">
        <f t="shared" si="0"/>
        <v>1.6197818221836542</v>
      </c>
      <c r="I70" s="1101">
        <v>455.76514508494336</v>
      </c>
      <c r="J70" s="126">
        <v>456.80691071683265</v>
      </c>
      <c r="K70" s="1101">
        <v>522.6538407424456</v>
      </c>
      <c r="L70" s="126">
        <v>523.61771854631172</v>
      </c>
      <c r="M70" s="1101">
        <v>563.13014086457088</v>
      </c>
      <c r="N70" s="126">
        <v>779.01976914468696</v>
      </c>
    </row>
    <row r="71" spans="2:14">
      <c r="B71" s="130" t="s">
        <v>139</v>
      </c>
      <c r="C71" s="683">
        <v>0</v>
      </c>
      <c r="D71" s="1101">
        <v>0</v>
      </c>
      <c r="E71" s="1094">
        <v>0</v>
      </c>
      <c r="F71" s="1101">
        <v>0</v>
      </c>
      <c r="G71" s="126">
        <f>FISC!AC757</f>
        <v>0</v>
      </c>
      <c r="H71" s="126">
        <f t="shared" ref="H71:H134" si="1">G71-F71</f>
        <v>0</v>
      </c>
      <c r="I71" s="1101"/>
      <c r="J71" s="126"/>
      <c r="K71" s="1101"/>
      <c r="L71" s="126"/>
      <c r="M71" s="1101"/>
      <c r="N71" s="126"/>
    </row>
    <row r="72" spans="2:14">
      <c r="B72" s="131" t="s">
        <v>669</v>
      </c>
      <c r="C72" s="683">
        <v>0</v>
      </c>
      <c r="D72" s="1101">
        <v>0</v>
      </c>
      <c r="E72" s="1094">
        <v>0</v>
      </c>
      <c r="F72" s="1101">
        <v>0</v>
      </c>
      <c r="G72" s="126">
        <f>FISC!AC758</f>
        <v>0</v>
      </c>
      <c r="H72" s="126">
        <f t="shared" si="1"/>
        <v>0</v>
      </c>
      <c r="I72" s="1101"/>
      <c r="J72" s="126"/>
      <c r="K72" s="1101"/>
      <c r="L72" s="126"/>
      <c r="M72" s="1101"/>
      <c r="N72" s="126"/>
    </row>
    <row r="73" spans="2:14">
      <c r="B73" s="131" t="s">
        <v>668</v>
      </c>
      <c r="C73" s="683">
        <v>2.9366451320000002</v>
      </c>
      <c r="D73" s="1101"/>
      <c r="E73" s="1094">
        <v>0.49947828100000002</v>
      </c>
      <c r="F73" s="1101"/>
      <c r="G73" s="126">
        <f>FISC!AC759</f>
        <v>0</v>
      </c>
      <c r="H73" s="126">
        <f t="shared" si="1"/>
        <v>0</v>
      </c>
      <c r="I73" s="1101"/>
      <c r="J73" s="126"/>
      <c r="K73" s="1101"/>
      <c r="L73" s="126"/>
      <c r="M73" s="1101"/>
      <c r="N73" s="126"/>
    </row>
    <row r="74" spans="2:14">
      <c r="B74" s="131" t="s">
        <v>667</v>
      </c>
      <c r="C74" s="683">
        <v>70.382366508050239</v>
      </c>
      <c r="D74" s="1101">
        <v>74.498027954870281</v>
      </c>
      <c r="E74" s="573">
        <v>73.253442643358838</v>
      </c>
      <c r="F74" s="1101">
        <v>63.578531045171673</v>
      </c>
      <c r="G74" s="126">
        <f>FISC!AC760</f>
        <v>73.418348140999996</v>
      </c>
      <c r="H74" s="126">
        <f t="shared" si="1"/>
        <v>9.8398170958283231</v>
      </c>
      <c r="I74" s="1101">
        <v>65.492570447589017</v>
      </c>
      <c r="J74" s="126">
        <v>62.114845794150582</v>
      </c>
      <c r="K74" s="1101">
        <v>69.727065810293468</v>
      </c>
      <c r="L74" s="126">
        <v>64.599439625916602</v>
      </c>
      <c r="M74" s="1101">
        <v>0</v>
      </c>
      <c r="N74" s="126">
        <v>0</v>
      </c>
    </row>
    <row r="75" spans="2:14">
      <c r="B75" s="131" t="s">
        <v>666</v>
      </c>
      <c r="C75" s="683">
        <v>10.220755499999999</v>
      </c>
      <c r="D75" s="1101"/>
      <c r="E75" s="1094">
        <v>0</v>
      </c>
      <c r="F75" s="1101"/>
      <c r="G75" s="126">
        <f>FISC!AC761</f>
        <v>0</v>
      </c>
      <c r="H75" s="126">
        <f t="shared" si="1"/>
        <v>0</v>
      </c>
      <c r="I75" s="1101"/>
      <c r="J75" s="126"/>
      <c r="K75" s="1101"/>
      <c r="L75" s="126"/>
      <c r="M75" s="1101"/>
      <c r="N75" s="126"/>
    </row>
    <row r="76" spans="2:14">
      <c r="B76" s="129" t="s">
        <v>166</v>
      </c>
      <c r="C76" s="683">
        <v>274.82832936463296</v>
      </c>
      <c r="D76" s="1101">
        <v>277.16953456303861</v>
      </c>
      <c r="E76" s="1094">
        <v>306.74917716982901</v>
      </c>
      <c r="F76" s="1101">
        <v>312.45684975716182</v>
      </c>
      <c r="G76" s="126">
        <f>FISC!AC762</f>
        <v>387.06041550615998</v>
      </c>
      <c r="H76" s="126">
        <f t="shared" si="1"/>
        <v>74.603565748998165</v>
      </c>
      <c r="I76" s="1101">
        <v>379.39820810756606</v>
      </c>
      <c r="J76" s="126">
        <v>391.57325480413908</v>
      </c>
      <c r="K76" s="1101">
        <v>458.7910229540322</v>
      </c>
      <c r="L76" s="126">
        <v>487.9238537021356</v>
      </c>
      <c r="M76" s="1101">
        <v>706.1075755573205</v>
      </c>
      <c r="N76" s="126">
        <v>710.71927563192617</v>
      </c>
    </row>
    <row r="77" spans="2:14">
      <c r="B77" s="687" t="s">
        <v>812</v>
      </c>
      <c r="C77" s="574"/>
      <c r="D77" s="1101"/>
      <c r="E77" s="1094">
        <v>0</v>
      </c>
      <c r="F77" s="1101"/>
      <c r="G77" s="573">
        <f>FISC!AC763</f>
        <v>0</v>
      </c>
      <c r="H77" s="126">
        <f t="shared" si="1"/>
        <v>0</v>
      </c>
      <c r="I77" s="1101"/>
      <c r="J77" s="573"/>
      <c r="K77" s="1101"/>
      <c r="L77" s="573"/>
      <c r="M77" s="1101"/>
      <c r="N77" s="573"/>
    </row>
    <row r="78" spans="2:14">
      <c r="B78" s="687" t="s">
        <v>814</v>
      </c>
      <c r="C78" s="574"/>
      <c r="D78" s="1101"/>
      <c r="E78" s="1094">
        <v>0</v>
      </c>
      <c r="F78" s="1101"/>
      <c r="G78" s="573">
        <f>FISC!AC764</f>
        <v>0</v>
      </c>
      <c r="H78" s="126">
        <f t="shared" si="1"/>
        <v>0</v>
      </c>
      <c r="I78" s="1101"/>
      <c r="J78" s="573"/>
      <c r="K78" s="1101"/>
      <c r="L78" s="573"/>
      <c r="M78" s="1101"/>
      <c r="N78" s="573"/>
    </row>
    <row r="79" spans="2:14">
      <c r="B79" s="131" t="s">
        <v>667</v>
      </c>
      <c r="C79" s="683">
        <v>0</v>
      </c>
      <c r="D79" s="1101">
        <v>0</v>
      </c>
      <c r="E79" s="1094">
        <v>0</v>
      </c>
      <c r="F79" s="1101">
        <v>0</v>
      </c>
      <c r="G79" s="126">
        <f>FISC!AC765</f>
        <v>0</v>
      </c>
      <c r="H79" s="126">
        <f t="shared" si="1"/>
        <v>0</v>
      </c>
      <c r="I79" s="1101"/>
      <c r="J79" s="126"/>
      <c r="K79" s="1101"/>
      <c r="L79" s="126"/>
      <c r="M79" s="1101"/>
      <c r="N79" s="126"/>
    </row>
    <row r="80" spans="2:14">
      <c r="B80" s="131" t="s">
        <v>670</v>
      </c>
      <c r="C80" s="683">
        <v>0</v>
      </c>
      <c r="D80" s="1101">
        <v>0</v>
      </c>
      <c r="E80" s="1094">
        <v>0</v>
      </c>
      <c r="F80" s="1101">
        <v>0</v>
      </c>
      <c r="G80" s="126">
        <f>FISC!AC766</f>
        <v>0</v>
      </c>
      <c r="H80" s="126">
        <f t="shared" si="1"/>
        <v>0</v>
      </c>
      <c r="I80" s="1101"/>
      <c r="J80" s="126"/>
      <c r="K80" s="1101"/>
      <c r="L80" s="126"/>
      <c r="M80" s="1101"/>
      <c r="N80" s="126"/>
    </row>
    <row r="81" spans="2:14">
      <c r="B81" s="131" t="s">
        <v>666</v>
      </c>
      <c r="C81" s="683">
        <v>0</v>
      </c>
      <c r="D81" s="1101">
        <v>0</v>
      </c>
      <c r="E81" s="1094">
        <v>0</v>
      </c>
      <c r="F81" s="1101">
        <v>0</v>
      </c>
      <c r="G81" s="126">
        <f>FISC!AC767</f>
        <v>0</v>
      </c>
      <c r="H81" s="126">
        <f t="shared" si="1"/>
        <v>0</v>
      </c>
      <c r="I81" s="1101"/>
      <c r="J81" s="126"/>
      <c r="K81" s="1101"/>
      <c r="L81" s="126"/>
      <c r="M81" s="1101"/>
      <c r="N81" s="126"/>
    </row>
    <row r="82" spans="2:14">
      <c r="B82" s="131" t="s">
        <v>671</v>
      </c>
      <c r="C82" s="683">
        <v>0</v>
      </c>
      <c r="D82" s="1101">
        <v>0</v>
      </c>
      <c r="E82" s="1094">
        <v>0</v>
      </c>
      <c r="F82" s="1101">
        <v>0</v>
      </c>
      <c r="G82" s="126">
        <f>FISC!AC768</f>
        <v>48</v>
      </c>
      <c r="H82" s="126">
        <f t="shared" si="1"/>
        <v>48</v>
      </c>
      <c r="I82" s="1101"/>
      <c r="J82" s="126"/>
      <c r="K82" s="1101"/>
      <c r="L82" s="126"/>
      <c r="M82" s="1101"/>
      <c r="N82" s="126"/>
    </row>
    <row r="83" spans="2:14">
      <c r="B83" s="128" t="s">
        <v>167</v>
      </c>
      <c r="C83" s="126">
        <v>88.421881023999987</v>
      </c>
      <c r="D83" s="1101">
        <v>115.8</v>
      </c>
      <c r="E83" s="1094">
        <v>113.83692121199999</v>
      </c>
      <c r="F83" s="1101">
        <v>159.09987606161249</v>
      </c>
      <c r="G83" s="163">
        <f>FISC!AC770</f>
        <v>160.04261622299998</v>
      </c>
      <c r="H83" s="126">
        <f t="shared" si="1"/>
        <v>0.94274016138749062</v>
      </c>
      <c r="I83" s="1101">
        <v>169.78824433779812</v>
      </c>
      <c r="J83" s="163">
        <v>188.65099852614637</v>
      </c>
      <c r="K83" s="1101">
        <v>184.85605842571761</v>
      </c>
      <c r="L83" s="163">
        <v>202.73989291955462</v>
      </c>
      <c r="M83" s="1101">
        <v>152.4420064362109</v>
      </c>
      <c r="N83" s="163">
        <v>176.36088798344508</v>
      </c>
    </row>
    <row r="84" spans="2:14">
      <c r="B84" s="129" t="s">
        <v>860</v>
      </c>
      <c r="C84" s="683">
        <v>3</v>
      </c>
      <c r="D84" s="1101"/>
      <c r="E84" s="1094">
        <v>2.15</v>
      </c>
      <c r="F84" s="1101"/>
      <c r="G84" s="126">
        <f>FISC!AC771</f>
        <v>0</v>
      </c>
      <c r="H84" s="126">
        <f t="shared" si="1"/>
        <v>0</v>
      </c>
      <c r="I84" s="1101"/>
      <c r="J84" s="126"/>
      <c r="K84" s="1101"/>
      <c r="L84" s="126"/>
      <c r="M84" s="1101"/>
      <c r="N84" s="126"/>
    </row>
    <row r="85" spans="2:14">
      <c r="B85" s="131" t="s">
        <v>517</v>
      </c>
      <c r="C85" s="683">
        <v>1.7461280180000001</v>
      </c>
      <c r="D85" s="1101">
        <v>0</v>
      </c>
      <c r="E85" s="1094">
        <v>2.5751055630000002</v>
      </c>
      <c r="F85" s="1101">
        <v>0</v>
      </c>
      <c r="G85" s="126">
        <f>FISC!AC772</f>
        <v>2.8757046859999997</v>
      </c>
      <c r="H85" s="126">
        <f t="shared" si="1"/>
        <v>2.8757046859999997</v>
      </c>
      <c r="I85" s="1101"/>
      <c r="J85" s="126"/>
      <c r="K85" s="1101"/>
      <c r="L85" s="126"/>
      <c r="M85" s="1101"/>
      <c r="N85" s="126"/>
    </row>
    <row r="86" spans="2:14">
      <c r="B86" s="131" t="s">
        <v>168</v>
      </c>
      <c r="C86" s="683">
        <v>0</v>
      </c>
      <c r="D86" s="1101">
        <v>4</v>
      </c>
      <c r="E86" s="1094">
        <v>0</v>
      </c>
      <c r="F86" s="1101">
        <v>7.85</v>
      </c>
      <c r="G86" s="126">
        <f>FISC!AC773</f>
        <v>0</v>
      </c>
      <c r="H86" s="126">
        <f t="shared" si="1"/>
        <v>-7.85</v>
      </c>
      <c r="I86" s="1101">
        <v>10</v>
      </c>
      <c r="J86" s="126">
        <v>10</v>
      </c>
      <c r="K86" s="1101">
        <v>10</v>
      </c>
      <c r="L86" s="126">
        <v>10</v>
      </c>
      <c r="M86" s="1101">
        <v>0</v>
      </c>
      <c r="N86" s="126">
        <v>0</v>
      </c>
    </row>
    <row r="87" spans="2:14">
      <c r="B87" s="131" t="s">
        <v>169</v>
      </c>
      <c r="C87" s="683">
        <v>40.091221955999998</v>
      </c>
      <c r="D87" s="1101">
        <v>73.55</v>
      </c>
      <c r="E87" s="1094">
        <v>80.861739053000008</v>
      </c>
      <c r="F87" s="1101">
        <v>78.45</v>
      </c>
      <c r="G87" s="126">
        <f>FISC!AC774</f>
        <v>95.282056964999995</v>
      </c>
      <c r="H87" s="126">
        <f t="shared" si="1"/>
        <v>16.832056964999992</v>
      </c>
      <c r="I87" s="1101">
        <v>98.037245811651786</v>
      </c>
      <c r="J87" s="126">
        <v>107</v>
      </c>
      <c r="K87" s="1101">
        <v>118.991731671163</v>
      </c>
      <c r="L87" s="126">
        <v>119.3</v>
      </c>
      <c r="M87" s="1101">
        <v>124.50984305893358</v>
      </c>
      <c r="N87" s="126">
        <v>148.42872460616778</v>
      </c>
    </row>
    <row r="88" spans="2:14">
      <c r="B88" s="131" t="s">
        <v>644</v>
      </c>
      <c r="C88" s="683">
        <v>0</v>
      </c>
      <c r="D88" s="1101">
        <v>0</v>
      </c>
      <c r="E88" s="1094">
        <v>0</v>
      </c>
      <c r="F88" s="1101">
        <v>0</v>
      </c>
      <c r="G88" s="126">
        <f>FISC!AC775</f>
        <v>0</v>
      </c>
      <c r="H88" s="126">
        <f t="shared" si="1"/>
        <v>0</v>
      </c>
      <c r="I88" s="1101">
        <v>0</v>
      </c>
      <c r="J88" s="126">
        <v>0</v>
      </c>
      <c r="K88" s="1101">
        <v>0</v>
      </c>
      <c r="L88" s="126">
        <v>0</v>
      </c>
      <c r="M88" s="1101">
        <v>0</v>
      </c>
      <c r="N88" s="126">
        <v>0</v>
      </c>
    </row>
    <row r="89" spans="2:14">
      <c r="B89" s="131" t="s">
        <v>170</v>
      </c>
      <c r="C89" s="683">
        <v>0</v>
      </c>
      <c r="D89" s="1101">
        <v>7</v>
      </c>
      <c r="E89" s="1094">
        <v>0</v>
      </c>
      <c r="F89" s="1101">
        <v>7.95</v>
      </c>
      <c r="G89" s="126">
        <f>FISC!AC776</f>
        <v>0</v>
      </c>
      <c r="H89" s="126">
        <f t="shared" si="1"/>
        <v>-7.95</v>
      </c>
      <c r="I89" s="1101">
        <v>0</v>
      </c>
      <c r="J89" s="126">
        <v>0</v>
      </c>
      <c r="K89" s="1101">
        <v>0</v>
      </c>
      <c r="L89" s="126">
        <v>8.7379999999999995</v>
      </c>
      <c r="M89" s="1101">
        <v>0</v>
      </c>
      <c r="N89" s="126">
        <v>0</v>
      </c>
    </row>
    <row r="90" spans="2:14">
      <c r="B90" s="131" t="s">
        <v>999</v>
      </c>
      <c r="C90" s="683">
        <v>-1.474062287</v>
      </c>
      <c r="D90" s="1101">
        <v>-11.510210297499999</v>
      </c>
      <c r="E90" s="1094">
        <v>-9.0864968659999992</v>
      </c>
      <c r="F90" s="1101">
        <v>0</v>
      </c>
      <c r="G90" s="126">
        <f>FISC!AC780</f>
        <v>-0.98998876200000008</v>
      </c>
      <c r="H90" s="126">
        <f t="shared" si="1"/>
        <v>-0.98998876200000008</v>
      </c>
      <c r="I90" s="1101">
        <v>0</v>
      </c>
      <c r="J90" s="126">
        <v>0</v>
      </c>
      <c r="K90" s="1101">
        <v>0</v>
      </c>
      <c r="L90" s="126">
        <v>0</v>
      </c>
      <c r="M90" s="1101">
        <v>0</v>
      </c>
      <c r="N90" s="126">
        <v>0</v>
      </c>
    </row>
    <row r="91" spans="2:14">
      <c r="B91" s="131" t="s">
        <v>844</v>
      </c>
      <c r="C91" s="683"/>
      <c r="D91" s="1101">
        <v>11.510210297499999</v>
      </c>
      <c r="E91" s="1094">
        <v>11.5</v>
      </c>
      <c r="F91" s="1101">
        <v>9.6253578436124982</v>
      </c>
      <c r="G91" s="126">
        <f>FISC!AC781</f>
        <v>9.6253578439999998</v>
      </c>
      <c r="H91" s="126">
        <f t="shared" si="1"/>
        <v>3.8750158637412824E-10</v>
      </c>
      <c r="I91" s="1101">
        <v>0</v>
      </c>
      <c r="J91" s="126">
        <v>0</v>
      </c>
      <c r="K91" s="1101">
        <v>0</v>
      </c>
      <c r="L91" s="126">
        <v>0</v>
      </c>
      <c r="M91" s="1101">
        <v>0</v>
      </c>
      <c r="N91" s="126">
        <v>0</v>
      </c>
    </row>
    <row r="92" spans="2:14">
      <c r="B92" s="131" t="s">
        <v>1175</v>
      </c>
      <c r="C92" s="683">
        <v>0</v>
      </c>
      <c r="D92" s="1101">
        <v>0</v>
      </c>
      <c r="E92" s="1094">
        <v>0</v>
      </c>
      <c r="F92" s="1101">
        <v>0</v>
      </c>
      <c r="G92" s="126">
        <f>FISC!AC782</f>
        <v>0</v>
      </c>
      <c r="H92" s="126">
        <f t="shared" si="1"/>
        <v>0</v>
      </c>
      <c r="I92" s="1101">
        <v>0</v>
      </c>
      <c r="J92" s="126">
        <v>0</v>
      </c>
      <c r="K92" s="1101">
        <v>0</v>
      </c>
      <c r="L92" s="126">
        <v>0</v>
      </c>
      <c r="M92" s="1101">
        <v>0</v>
      </c>
      <c r="N92" s="126">
        <v>0</v>
      </c>
    </row>
    <row r="93" spans="2:14">
      <c r="B93" s="131" t="s">
        <v>1135</v>
      </c>
      <c r="C93" s="683">
        <v>19.346579886000001</v>
      </c>
      <c r="D93" s="1101">
        <v>0</v>
      </c>
      <c r="E93" s="1094">
        <v>0</v>
      </c>
      <c r="F93" s="1101">
        <v>11.464518217999998</v>
      </c>
      <c r="G93" s="163">
        <f>FISC!AC783</f>
        <v>11.126743522</v>
      </c>
      <c r="H93" s="126">
        <f t="shared" si="1"/>
        <v>-0.33777469599999854</v>
      </c>
      <c r="I93" s="1101">
        <v>12.076627862</v>
      </c>
      <c r="J93" s="163">
        <v>12.076627862</v>
      </c>
      <c r="K93" s="1101">
        <v>0</v>
      </c>
      <c r="L93" s="126">
        <v>0</v>
      </c>
      <c r="M93" s="1101">
        <v>0</v>
      </c>
      <c r="N93" s="126">
        <v>0</v>
      </c>
    </row>
    <row r="94" spans="2:14">
      <c r="B94" s="1125" t="s">
        <v>1174</v>
      </c>
      <c r="C94" s="707"/>
      <c r="D94" s="1101"/>
      <c r="E94" s="1094">
        <v>0</v>
      </c>
      <c r="F94" s="1101"/>
      <c r="G94" s="989">
        <f>FISC!AC785</f>
        <v>7.4250000000000007</v>
      </c>
      <c r="H94" s="126">
        <f t="shared" si="1"/>
        <v>7.4250000000000007</v>
      </c>
      <c r="I94" s="1101"/>
      <c r="J94" s="989">
        <v>9.9</v>
      </c>
      <c r="K94" s="1101"/>
      <c r="L94" s="989">
        <v>8.8375661650000001</v>
      </c>
      <c r="M94" s="1101"/>
      <c r="N94" s="126"/>
    </row>
    <row r="95" spans="2:14">
      <c r="B95" s="131" t="s">
        <v>172</v>
      </c>
      <c r="C95" s="683">
        <v>25.712013450999997</v>
      </c>
      <c r="D95" s="1101">
        <v>31.25</v>
      </c>
      <c r="E95" s="1094">
        <v>25.836573462</v>
      </c>
      <c r="F95" s="1101">
        <v>43.76</v>
      </c>
      <c r="G95" s="163">
        <f>FISC!AC787</f>
        <v>34.697741968000003</v>
      </c>
      <c r="H95" s="126">
        <f t="shared" si="1"/>
        <v>-9.0622580319999955</v>
      </c>
      <c r="I95" s="1101">
        <v>49.674370664146352</v>
      </c>
      <c r="J95" s="163">
        <v>49.674370664146352</v>
      </c>
      <c r="K95" s="1101">
        <v>55.864326754554618</v>
      </c>
      <c r="L95" s="126">
        <v>55.864326754554618</v>
      </c>
      <c r="M95" s="1101">
        <v>27.932163377277309</v>
      </c>
      <c r="N95" s="126">
        <v>27.932163377277309</v>
      </c>
    </row>
    <row r="96" spans="2:14">
      <c r="B96" s="130" t="s">
        <v>173</v>
      </c>
      <c r="C96" s="683">
        <v>0</v>
      </c>
      <c r="D96" s="1101"/>
      <c r="E96" s="1094">
        <v>0</v>
      </c>
      <c r="F96" s="1101"/>
      <c r="G96" s="126">
        <f>FISC!AC788</f>
        <v>0</v>
      </c>
      <c r="H96" s="126">
        <f t="shared" si="1"/>
        <v>0</v>
      </c>
      <c r="I96" s="1101"/>
      <c r="J96" s="126"/>
      <c r="K96" s="1101"/>
      <c r="L96" s="126"/>
      <c r="M96" s="1101"/>
      <c r="N96" s="126"/>
    </row>
    <row r="97" spans="2:14">
      <c r="B97" s="130" t="s">
        <v>174</v>
      </c>
      <c r="C97" s="683">
        <v>0</v>
      </c>
      <c r="D97" s="1101"/>
      <c r="E97" s="1094">
        <v>0</v>
      </c>
      <c r="F97" s="1101"/>
      <c r="G97" s="126">
        <f>FISC!AC789</f>
        <v>0</v>
      </c>
      <c r="H97" s="126">
        <f t="shared" si="1"/>
        <v>0</v>
      </c>
      <c r="I97" s="1101"/>
      <c r="J97" s="126"/>
      <c r="K97" s="1101"/>
      <c r="L97" s="126"/>
      <c r="M97" s="1101"/>
      <c r="N97" s="126"/>
    </row>
    <row r="98" spans="2:14">
      <c r="B98" s="127" t="s">
        <v>239</v>
      </c>
      <c r="C98" s="921">
        <v>-169.80077529869004</v>
      </c>
      <c r="D98" s="1101">
        <v>-118.9259596506862</v>
      </c>
      <c r="E98" s="1094">
        <v>-130.00148231638258</v>
      </c>
      <c r="F98" s="1101">
        <v>-90.081770233779253</v>
      </c>
      <c r="G98" s="126">
        <f>FISC!AC790</f>
        <v>-87.354410584503853</v>
      </c>
      <c r="H98" s="126">
        <f t="shared" si="1"/>
        <v>2.7273596492753995</v>
      </c>
      <c r="I98" s="1101">
        <v>-83.82754169253991</v>
      </c>
      <c r="J98" s="126">
        <v>-88.482568754590829</v>
      </c>
      <c r="K98" s="1101">
        <v>-42.88753184399161</v>
      </c>
      <c r="L98" s="126">
        <v>-40.07446815731339</v>
      </c>
      <c r="M98" s="1101">
        <v>30.472064087643048</v>
      </c>
      <c r="N98" s="126">
        <v>-56.660981455709361</v>
      </c>
    </row>
    <row r="99" spans="2:14">
      <c r="B99" s="127" t="s">
        <v>175</v>
      </c>
      <c r="C99" s="683">
        <v>-10.588788674690022</v>
      </c>
      <c r="D99" s="1101">
        <v>41.366467762551338</v>
      </c>
      <c r="E99" s="1094">
        <v>29.352400725617485</v>
      </c>
      <c r="F99" s="1101">
        <v>5.6221689038613931</v>
      </c>
      <c r="G99" s="573">
        <f>FISC!AC791</f>
        <v>94.484711920496125</v>
      </c>
      <c r="H99" s="126">
        <f t="shared" si="1"/>
        <v>88.862543016634731</v>
      </c>
      <c r="I99" s="1101">
        <v>5.6221689038613931</v>
      </c>
      <c r="J99" s="573">
        <v>5.6221689038613931</v>
      </c>
      <c r="K99" s="1101">
        <v>5.6221689038613931</v>
      </c>
      <c r="L99" s="573">
        <v>5.6221689038613931</v>
      </c>
      <c r="M99" s="1101">
        <v>5.6221689038613931</v>
      </c>
      <c r="N99" s="149">
        <v>98.898931204974218</v>
      </c>
    </row>
    <row r="100" spans="2:14">
      <c r="B100" s="127" t="s">
        <v>240</v>
      </c>
      <c r="C100" s="141">
        <v>-182.68860983318646</v>
      </c>
      <c r="D100" s="1101">
        <v>-179.78590162604468</v>
      </c>
      <c r="E100" s="1094">
        <v>-190.55062036164981</v>
      </c>
      <c r="F100" s="1101">
        <v>-179.27783109613901</v>
      </c>
      <c r="G100" s="126">
        <f>FISC!AC792</f>
        <v>-189.57230382755449</v>
      </c>
      <c r="H100" s="126">
        <f t="shared" si="1"/>
        <v>-10.294472731415482</v>
      </c>
      <c r="I100" s="1101">
        <v>-179.27783109613867</v>
      </c>
      <c r="J100" s="126">
        <v>-179.27783109613867</v>
      </c>
      <c r="K100" s="1101">
        <v>-179.27783109613867</v>
      </c>
      <c r="L100" s="126">
        <v>-179.27783109613867</v>
      </c>
      <c r="M100" s="1101">
        <v>-179.27783109613867</v>
      </c>
      <c r="N100" s="149">
        <v>-243.28890897537713</v>
      </c>
    </row>
    <row r="101" spans="2:14">
      <c r="B101" s="127" t="s">
        <v>136</v>
      </c>
      <c r="C101" s="141"/>
      <c r="D101" s="1101"/>
      <c r="E101" s="1094">
        <v>0</v>
      </c>
      <c r="F101" s="1101"/>
      <c r="G101" s="126" t="e">
        <f>FISC!#REF!</f>
        <v>#REF!</v>
      </c>
      <c r="H101" s="126" t="e">
        <f t="shared" si="1"/>
        <v>#REF!</v>
      </c>
      <c r="I101" s="1101"/>
      <c r="J101" s="126"/>
      <c r="K101" s="1101"/>
      <c r="L101" s="126"/>
      <c r="M101" s="1101"/>
      <c r="N101" s="126"/>
    </row>
    <row r="102" spans="2:14">
      <c r="B102" s="127" t="s">
        <v>176</v>
      </c>
      <c r="C102" s="141"/>
      <c r="D102" s="1101"/>
      <c r="E102" s="1094">
        <v>0</v>
      </c>
      <c r="F102" s="1101"/>
      <c r="G102" s="126">
        <f>FISC!AC793</f>
        <v>0</v>
      </c>
      <c r="H102" s="126">
        <f t="shared" si="1"/>
        <v>0</v>
      </c>
      <c r="I102" s="1101"/>
      <c r="J102" s="126"/>
      <c r="K102" s="1101"/>
      <c r="L102" s="126"/>
      <c r="M102" s="1101"/>
      <c r="N102" s="126"/>
    </row>
    <row r="103" spans="2:14">
      <c r="B103" s="133" t="s">
        <v>177</v>
      </c>
      <c r="C103" s="141">
        <v>-216.00258886909251</v>
      </c>
      <c r="D103" s="1101">
        <v>-256.16669536965492</v>
      </c>
      <c r="E103" s="1094">
        <v>-297.93217320396036</v>
      </c>
      <c r="F103" s="1101">
        <v>-297.94588648992089</v>
      </c>
      <c r="G103" s="126">
        <f>FISC!AC794</f>
        <v>-367.12734809700419</v>
      </c>
      <c r="H103" s="126">
        <f t="shared" si="1"/>
        <v>-69.181461607083293</v>
      </c>
      <c r="I103" s="1101">
        <v>-352.21000126603212</v>
      </c>
      <c r="J103" s="126">
        <v>-407.81963075999442</v>
      </c>
      <c r="K103" s="1101">
        <v>-373.8124008455261</v>
      </c>
      <c r="L103" s="126">
        <v>-447.70824547677284</v>
      </c>
      <c r="M103" s="1101">
        <v>-556.77835375604218</v>
      </c>
      <c r="N103" s="126">
        <v>-675.41256889919487</v>
      </c>
    </row>
    <row r="104" spans="2:14">
      <c r="B104" s="133" t="s">
        <v>178</v>
      </c>
      <c r="C104" s="141">
        <v>-589.74959914681949</v>
      </c>
      <c r="D104" s="1101">
        <v>-589.34786360232079</v>
      </c>
      <c r="E104" s="1094">
        <v>-628.11425715047892</v>
      </c>
      <c r="F104" s="1101">
        <v>-654.62929152344623</v>
      </c>
      <c r="G104" s="126">
        <f>FISC!AC795</f>
        <v>-726.03602496571466</v>
      </c>
      <c r="H104" s="126">
        <f t="shared" si="1"/>
        <v>-71.406733442268433</v>
      </c>
      <c r="I104" s="1101">
        <v>-738.36836526143657</v>
      </c>
      <c r="J104" s="126">
        <v>-773.06219946312922</v>
      </c>
      <c r="K104" s="1101">
        <v>-805.05640318579208</v>
      </c>
      <c r="L104" s="126">
        <v>-846.23919618409627</v>
      </c>
      <c r="M104" s="1101">
        <v>-957.97908939652666</v>
      </c>
      <c r="N104" s="126">
        <v>-1071.6180972679867</v>
      </c>
    </row>
    <row r="105" spans="2:14">
      <c r="B105" s="127" t="s">
        <v>136</v>
      </c>
      <c r="C105" s="141"/>
      <c r="D105" s="1101"/>
      <c r="E105" s="1094">
        <v>0</v>
      </c>
      <c r="F105" s="1101"/>
      <c r="G105" s="126">
        <f>FISC!AC796</f>
        <v>-371.40946294800415</v>
      </c>
      <c r="H105" s="126">
        <f t="shared" si="1"/>
        <v>-371.40946294800415</v>
      </c>
      <c r="I105" s="1101"/>
      <c r="J105" s="126"/>
      <c r="K105" s="1101"/>
      <c r="L105" s="126"/>
      <c r="M105" s="1101"/>
      <c r="N105" s="126"/>
    </row>
    <row r="106" spans="2:14">
      <c r="B106" s="127" t="s">
        <v>179</v>
      </c>
      <c r="C106" s="141">
        <v>-27.618025554000013</v>
      </c>
      <c r="D106" s="1101">
        <v>-20</v>
      </c>
      <c r="E106" s="1094">
        <v>-20.115283078999965</v>
      </c>
      <c r="F106" s="1101">
        <v>-24.2</v>
      </c>
      <c r="G106" s="126">
        <f>FISC!AC800</f>
        <v>-25.061232288000014</v>
      </c>
      <c r="H106" s="126">
        <f t="shared" si="1"/>
        <v>-0.86123228800001428</v>
      </c>
      <c r="I106" s="1101">
        <v>-37.475999999999999</v>
      </c>
      <c r="J106" s="126">
        <v>-27.2039452994782</v>
      </c>
      <c r="K106" s="1101">
        <v>-42.145909076705699</v>
      </c>
      <c r="L106" s="126">
        <v>-30.594829819704</v>
      </c>
      <c r="M106" s="1101">
        <v>0</v>
      </c>
      <c r="N106" s="126">
        <v>0</v>
      </c>
    </row>
    <row r="107" spans="2:14">
      <c r="B107" s="133" t="s">
        <v>35</v>
      </c>
      <c r="C107" s="683">
        <v>-27.618025554000013</v>
      </c>
      <c r="D107" s="1101">
        <v>-20</v>
      </c>
      <c r="E107" s="1094">
        <v>-20.115283078999965</v>
      </c>
      <c r="F107" s="1101">
        <v>-24.2</v>
      </c>
      <c r="G107" s="163">
        <f>FISC!AC801</f>
        <v>-25.061232288000014</v>
      </c>
      <c r="H107" s="126">
        <f t="shared" si="1"/>
        <v>-0.86123228800001428</v>
      </c>
      <c r="I107" s="1101">
        <v>-37.475999999999999</v>
      </c>
      <c r="J107" s="163">
        <v>-27.2039452994782</v>
      </c>
      <c r="K107" s="1101">
        <v>-42.145909076705699</v>
      </c>
      <c r="L107" s="163">
        <v>-30.594829819704</v>
      </c>
      <c r="M107" s="1101">
        <v>0</v>
      </c>
      <c r="N107" s="146">
        <v>0</v>
      </c>
    </row>
    <row r="108" spans="2:14">
      <c r="B108" s="133"/>
      <c r="C108" s="141"/>
      <c r="D108" s="1101"/>
      <c r="E108" s="1094">
        <v>0</v>
      </c>
      <c r="F108" s="1101"/>
      <c r="G108" s="126">
        <f>FISC!AC802</f>
        <v>0</v>
      </c>
      <c r="H108" s="126">
        <f t="shared" si="1"/>
        <v>0</v>
      </c>
      <c r="I108" s="1101"/>
      <c r="J108" s="126"/>
      <c r="K108" s="1101"/>
      <c r="L108" s="126"/>
      <c r="M108" s="1101"/>
      <c r="N108" s="126"/>
    </row>
    <row r="109" spans="2:14">
      <c r="B109" s="127" t="s">
        <v>180</v>
      </c>
      <c r="C109" s="141"/>
      <c r="D109" s="1101"/>
      <c r="E109" s="1094">
        <v>0</v>
      </c>
      <c r="F109" s="1101"/>
      <c r="G109" s="126">
        <f>FISC!AC803</f>
        <v>0</v>
      </c>
      <c r="H109" s="126">
        <f t="shared" si="1"/>
        <v>0</v>
      </c>
      <c r="I109" s="1101"/>
      <c r="J109" s="126"/>
      <c r="K109" s="1101"/>
      <c r="L109" s="126"/>
      <c r="M109" s="1101"/>
      <c r="N109" s="126"/>
    </row>
    <row r="110" spans="2:14">
      <c r="B110" s="133" t="s">
        <v>177</v>
      </c>
      <c r="C110" s="126">
        <v>-243.62061442309252</v>
      </c>
      <c r="D110" s="1101">
        <v>-276.16669536965492</v>
      </c>
      <c r="E110" s="1094">
        <v>-318.0474562829603</v>
      </c>
      <c r="F110" s="1101">
        <v>-322.14588648992088</v>
      </c>
      <c r="G110" s="126">
        <f>FISC!AC804</f>
        <v>-392.18858038500423</v>
      </c>
      <c r="H110" s="126">
        <f t="shared" si="1"/>
        <v>-70.042693895083346</v>
      </c>
      <c r="I110" s="1101">
        <v>-389.68600126603212</v>
      </c>
      <c r="J110" s="126">
        <v>-435.02357605947265</v>
      </c>
      <c r="K110" s="1101">
        <v>-415.95830992223182</v>
      </c>
      <c r="L110" s="126">
        <v>-478.30307529647683</v>
      </c>
      <c r="M110" s="1101">
        <v>-556.77835375604218</v>
      </c>
      <c r="N110" s="126">
        <v>-675.41256889919487</v>
      </c>
    </row>
    <row r="111" spans="2:14">
      <c r="B111" s="133" t="s">
        <v>178</v>
      </c>
      <c r="C111" s="141">
        <v>-597.22220111559091</v>
      </c>
      <c r="D111" s="1101">
        <v>-609.34786360232079</v>
      </c>
      <c r="E111" s="1094">
        <v>-648.22954022947886</v>
      </c>
      <c r="F111" s="1101">
        <v>-678.82929152344627</v>
      </c>
      <c r="G111" s="126">
        <f>FISC!AC805</f>
        <v>-751.0972572537147</v>
      </c>
      <c r="H111" s="126">
        <f t="shared" si="1"/>
        <v>-72.267965730268429</v>
      </c>
      <c r="I111" s="1101">
        <v>-775.84436526143656</v>
      </c>
      <c r="J111" s="126">
        <v>-1546.1243989262584</v>
      </c>
      <c r="K111" s="1101">
        <v>-847.2023122624978</v>
      </c>
      <c r="L111" s="126">
        <v>-1692.4783923681925</v>
      </c>
      <c r="M111" s="1101">
        <v>-957.97908939652666</v>
      </c>
      <c r="N111" s="126">
        <v>-1071.6180972679867</v>
      </c>
    </row>
    <row r="112" spans="2:14">
      <c r="B112" s="127"/>
      <c r="C112" s="141"/>
      <c r="D112" s="1101"/>
      <c r="E112" s="1094">
        <v>0</v>
      </c>
      <c r="F112" s="1101"/>
      <c r="G112" s="126">
        <f>FISC!AC806</f>
        <v>0</v>
      </c>
      <c r="H112" s="126">
        <f t="shared" si="1"/>
        <v>0</v>
      </c>
      <c r="I112" s="1101"/>
      <c r="J112" s="126"/>
      <c r="K112" s="1101"/>
      <c r="L112" s="126"/>
      <c r="M112" s="1101"/>
      <c r="N112" s="126"/>
    </row>
    <row r="113" spans="2:14">
      <c r="B113" s="125" t="s">
        <v>181</v>
      </c>
      <c r="C113" s="126">
        <v>274.51528458581475</v>
      </c>
      <c r="D113" s="1101">
        <v>276.16291363358272</v>
      </c>
      <c r="E113" s="1094">
        <v>387.00846340597525</v>
      </c>
      <c r="F113" s="1101">
        <v>322.18408177040249</v>
      </c>
      <c r="G113" s="146">
        <f>FISC!AC807</f>
        <v>398.9867656101726</v>
      </c>
      <c r="H113" s="126">
        <f t="shared" si="1"/>
        <v>76.802683839770111</v>
      </c>
      <c r="I113" s="1101">
        <v>389.6813169486893</v>
      </c>
      <c r="J113" s="146">
        <v>434.98296024389822</v>
      </c>
      <c r="K113" s="1101">
        <v>415.94360454934349</v>
      </c>
      <c r="L113" s="146">
        <v>478.32759268203426</v>
      </c>
      <c r="M113" s="1101">
        <v>556.74206375284268</v>
      </c>
      <c r="N113" s="146">
        <v>675.45086196915963</v>
      </c>
    </row>
    <row r="114" spans="2:14">
      <c r="B114" s="127"/>
      <c r="C114" s="126"/>
      <c r="D114" s="1101"/>
      <c r="E114" s="1094">
        <v>0</v>
      </c>
      <c r="F114" s="1101"/>
      <c r="G114" s="146">
        <f>FISC!AC808</f>
        <v>0</v>
      </c>
      <c r="H114" s="126">
        <f t="shared" si="1"/>
        <v>0</v>
      </c>
      <c r="I114" s="1101"/>
      <c r="J114" s="146"/>
      <c r="K114" s="1101"/>
      <c r="L114" s="146"/>
      <c r="M114" s="1101"/>
      <c r="N114" s="146"/>
    </row>
    <row r="115" spans="2:14">
      <c r="B115" s="133" t="s">
        <v>182</v>
      </c>
      <c r="C115" s="126">
        <v>227.42844168268942</v>
      </c>
      <c r="D115" s="1101">
        <v>292.21291363358273</v>
      </c>
      <c r="E115" s="1094">
        <v>322.68615213850569</v>
      </c>
      <c r="F115" s="1101">
        <v>336.9140817704025</v>
      </c>
      <c r="G115" s="126">
        <f>FISC!AC809</f>
        <v>356.02913087722652</v>
      </c>
      <c r="H115" s="126">
        <f t="shared" si="1"/>
        <v>19.115049106824017</v>
      </c>
      <c r="I115" s="1101">
        <v>343.98131694868931</v>
      </c>
      <c r="J115" s="126">
        <v>358.98296024389816</v>
      </c>
      <c r="K115" s="1101">
        <v>382.58576522232846</v>
      </c>
      <c r="L115" s="126">
        <v>417.30351127740244</v>
      </c>
      <c r="M115" s="1101">
        <v>566.81998170354927</v>
      </c>
      <c r="N115" s="126">
        <v>694.33921574600618</v>
      </c>
    </row>
    <row r="116" spans="2:14">
      <c r="B116" s="129" t="s">
        <v>183</v>
      </c>
      <c r="C116" s="126">
        <v>244.54989662740314</v>
      </c>
      <c r="D116" s="1101">
        <v>314.59502433883858</v>
      </c>
      <c r="E116" s="1094">
        <v>344.56951530948049</v>
      </c>
      <c r="F116" s="1101">
        <v>362.81612229547233</v>
      </c>
      <c r="G116" s="126">
        <f>FISC!AC810</f>
        <v>381.84688936314302</v>
      </c>
      <c r="H116" s="126">
        <f t="shared" si="1"/>
        <v>19.030767067670695</v>
      </c>
      <c r="I116" s="1101">
        <v>374.4453045803499</v>
      </c>
      <c r="J116" s="126">
        <v>387.87579314209398</v>
      </c>
      <c r="K116" s="1101">
        <v>425.30411315747432</v>
      </c>
      <c r="L116" s="126">
        <v>457.89952215279465</v>
      </c>
      <c r="M116" s="1101">
        <v>633.02500457757628</v>
      </c>
      <c r="N116" s="126">
        <v>754.8212524555388</v>
      </c>
    </row>
    <row r="117" spans="2:14">
      <c r="B117" s="131" t="s">
        <v>1108</v>
      </c>
      <c r="C117" s="683">
        <v>138.66156726277015</v>
      </c>
      <c r="D117" s="1101">
        <v>183.39468008167501</v>
      </c>
      <c r="E117" s="1094">
        <v>183.82033813965148</v>
      </c>
      <c r="F117" s="1101">
        <v>226.11584384828549</v>
      </c>
      <c r="G117" s="573">
        <f>FISC!AC811</f>
        <v>211.49647385698302</v>
      </c>
      <c r="H117" s="126">
        <f t="shared" si="1"/>
        <v>-14.619369991302477</v>
      </c>
      <c r="I117" s="1101">
        <v>187.24304130456656</v>
      </c>
      <c r="J117" s="573">
        <v>177.58613774318695</v>
      </c>
      <c r="K117" s="1101">
        <v>182.68615087255867</v>
      </c>
      <c r="L117" s="573">
        <v>169.25167919572431</v>
      </c>
      <c r="M117" s="1101">
        <v>174.23666261315356</v>
      </c>
      <c r="N117" s="573">
        <v>256.5547690219779</v>
      </c>
    </row>
    <row r="118" spans="2:14">
      <c r="B118" s="132" t="s">
        <v>184</v>
      </c>
      <c r="C118" s="683">
        <v>0</v>
      </c>
      <c r="D118" s="1101">
        <v>0</v>
      </c>
      <c r="E118" s="1094">
        <v>40.211763817859129</v>
      </c>
      <c r="F118" s="1101">
        <v>0</v>
      </c>
      <c r="G118" s="573">
        <f>FISC!AC813</f>
        <v>54.065289391982986</v>
      </c>
      <c r="H118" s="126">
        <f t="shared" si="1"/>
        <v>54.065289391982986</v>
      </c>
      <c r="I118" s="1101"/>
      <c r="J118" s="573"/>
      <c r="K118" s="1101"/>
      <c r="L118" s="126"/>
      <c r="M118" s="1101"/>
      <c r="N118" s="126"/>
    </row>
    <row r="119" spans="2:14" ht="15" thickBot="1">
      <c r="B119" s="132" t="s">
        <v>185</v>
      </c>
      <c r="C119" s="683">
        <v>0</v>
      </c>
      <c r="D119" s="1101">
        <v>0</v>
      </c>
      <c r="E119" s="1094">
        <v>143.60857432179233</v>
      </c>
      <c r="F119" s="1101">
        <v>0</v>
      </c>
      <c r="G119" s="573">
        <f>FISC!AC814</f>
        <v>157.43118446500003</v>
      </c>
      <c r="H119" s="126">
        <f t="shared" si="1"/>
        <v>157.43118446500003</v>
      </c>
      <c r="I119" s="1101"/>
      <c r="J119" s="573"/>
      <c r="K119" s="1101"/>
      <c r="L119" s="126"/>
      <c r="M119" s="1101"/>
      <c r="N119" s="126"/>
    </row>
    <row r="120" spans="2:14" ht="15" thickBot="1">
      <c r="B120" s="132" t="s">
        <v>791</v>
      </c>
      <c r="C120" s="683"/>
      <c r="D120" s="1101"/>
      <c r="E120" s="1094">
        <v>0</v>
      </c>
      <c r="F120" s="1101">
        <v>0</v>
      </c>
      <c r="G120" s="628">
        <f>FISC!AC819</f>
        <v>0</v>
      </c>
      <c r="H120" s="126">
        <f t="shared" si="1"/>
        <v>0</v>
      </c>
      <c r="I120" s="1101">
        <v>0</v>
      </c>
      <c r="J120" s="628"/>
      <c r="K120" s="1101">
        <v>0</v>
      </c>
      <c r="L120" s="628"/>
      <c r="M120" s="1101">
        <v>105.01878284199479</v>
      </c>
      <c r="N120" s="631">
        <v>193.32031695870967</v>
      </c>
    </row>
    <row r="121" spans="2:14">
      <c r="B121" s="131" t="s">
        <v>186</v>
      </c>
      <c r="C121" s="683">
        <v>105.88832936463299</v>
      </c>
      <c r="D121" s="1101">
        <v>131.20034425716355</v>
      </c>
      <c r="E121" s="1094">
        <v>160.74917716982901</v>
      </c>
      <c r="F121" s="1101">
        <v>136.70027844718683</v>
      </c>
      <c r="G121" s="126">
        <f>FISC!AC822</f>
        <v>170.35041550616</v>
      </c>
      <c r="H121" s="126">
        <f t="shared" si="1"/>
        <v>33.650137058973172</v>
      </c>
      <c r="I121" s="1101">
        <v>187.20226327578337</v>
      </c>
      <c r="J121" s="126">
        <v>210.28965539890703</v>
      </c>
      <c r="K121" s="1101">
        <v>242.61796228491565</v>
      </c>
      <c r="L121" s="126">
        <v>288.64784295707034</v>
      </c>
      <c r="M121" s="1101">
        <v>458.78834196442273</v>
      </c>
      <c r="N121" s="146">
        <v>498.26648343356095</v>
      </c>
    </row>
    <row r="122" spans="2:14">
      <c r="B122" s="132" t="s">
        <v>187</v>
      </c>
      <c r="C122" s="683">
        <v>0</v>
      </c>
      <c r="D122" s="1101">
        <v>0</v>
      </c>
      <c r="E122" s="1094">
        <v>0</v>
      </c>
      <c r="F122" s="1101">
        <v>0</v>
      </c>
      <c r="G122" s="126">
        <f>FISC!AC823</f>
        <v>0</v>
      </c>
      <c r="H122" s="126">
        <f t="shared" si="1"/>
        <v>0</v>
      </c>
      <c r="I122" s="1101"/>
      <c r="J122" s="126"/>
      <c r="K122" s="1101"/>
      <c r="L122" s="126"/>
      <c r="M122" s="1101"/>
      <c r="N122" s="126"/>
    </row>
    <row r="123" spans="2:14">
      <c r="B123" s="132" t="s">
        <v>188</v>
      </c>
      <c r="C123" s="683">
        <v>0</v>
      </c>
      <c r="D123" s="1101">
        <v>0</v>
      </c>
      <c r="E123" s="1094">
        <v>0</v>
      </c>
      <c r="F123" s="1101">
        <v>0</v>
      </c>
      <c r="G123" s="126">
        <f>FISC!AC824</f>
        <v>0</v>
      </c>
      <c r="H123" s="126">
        <f t="shared" si="1"/>
        <v>0</v>
      </c>
      <c r="I123" s="1101"/>
      <c r="J123" s="126"/>
      <c r="K123" s="1101"/>
      <c r="L123" s="126"/>
      <c r="M123" s="1101"/>
      <c r="N123" s="126"/>
    </row>
    <row r="124" spans="2:14">
      <c r="B124" s="132" t="s">
        <v>189</v>
      </c>
      <c r="C124" s="683">
        <v>0</v>
      </c>
      <c r="D124" s="1101">
        <v>0</v>
      </c>
      <c r="E124" s="1094">
        <v>0</v>
      </c>
      <c r="F124" s="1101">
        <v>0</v>
      </c>
      <c r="G124" s="126">
        <f>FISC!AC825</f>
        <v>0</v>
      </c>
      <c r="H124" s="126">
        <f t="shared" si="1"/>
        <v>0</v>
      </c>
      <c r="I124" s="1101"/>
      <c r="J124" s="126"/>
      <c r="K124" s="1101"/>
      <c r="L124" s="126"/>
      <c r="M124" s="1101"/>
      <c r="N124" s="126"/>
    </row>
    <row r="125" spans="2:14">
      <c r="B125" s="129" t="s">
        <v>190</v>
      </c>
      <c r="C125" s="683">
        <v>-17.121454944713733</v>
      </c>
      <c r="D125" s="1101">
        <v>-22.382110705255826</v>
      </c>
      <c r="E125" s="1094">
        <v>-21.883363170974814</v>
      </c>
      <c r="F125" s="1101">
        <v>-25.902040525069797</v>
      </c>
      <c r="G125" s="126">
        <f>FISC!AC826</f>
        <v>-25.817758485916514</v>
      </c>
      <c r="H125" s="126">
        <f t="shared" si="1"/>
        <v>8.428203915328325E-2</v>
      </c>
      <c r="I125" s="1101">
        <v>-30.463987631660565</v>
      </c>
      <c r="J125" s="126">
        <v>-28.89283289819581</v>
      </c>
      <c r="K125" s="1101">
        <v>-42.71834793514585</v>
      </c>
      <c r="L125" s="126">
        <v>-40.59601087539221</v>
      </c>
      <c r="M125" s="1101">
        <v>-66.205022874027023</v>
      </c>
      <c r="N125" s="126">
        <v>-60.482036709532629</v>
      </c>
    </row>
    <row r="126" spans="2:14">
      <c r="B126" s="133" t="s">
        <v>873</v>
      </c>
      <c r="C126" s="141">
        <v>47.086842903125344</v>
      </c>
      <c r="D126" s="1101">
        <v>-16.04999999999999</v>
      </c>
      <c r="E126" s="1094">
        <v>64.322311267469587</v>
      </c>
      <c r="F126" s="1101">
        <v>-14.73</v>
      </c>
      <c r="G126" s="126">
        <f>FISC!AC828</f>
        <v>42.957634732946076</v>
      </c>
      <c r="H126" s="126">
        <f t="shared" si="1"/>
        <v>57.68763473294608</v>
      </c>
      <c r="I126" s="1101">
        <v>45.700000000000017</v>
      </c>
      <c r="J126" s="126">
        <v>76.000000000000028</v>
      </c>
      <c r="K126" s="1101">
        <v>33.357839327015057</v>
      </c>
      <c r="L126" s="126">
        <v>61.024081404631815</v>
      </c>
      <c r="M126" s="1101">
        <v>-10.077917950706562</v>
      </c>
      <c r="N126" s="126">
        <v>-18.8883537768466</v>
      </c>
    </row>
    <row r="127" spans="2:14">
      <c r="B127" s="129" t="s">
        <v>878</v>
      </c>
      <c r="C127" s="683">
        <v>-0.63051649636508955</v>
      </c>
      <c r="D127" s="1101">
        <v>-16.04999999999999</v>
      </c>
      <c r="E127" s="1094">
        <v>17.34321539896942</v>
      </c>
      <c r="F127" s="1101">
        <v>-14.73</v>
      </c>
      <c r="G127" s="126">
        <f>FISC!AC829</f>
        <v>48.83076168552401</v>
      </c>
      <c r="H127" s="126">
        <f t="shared" si="1"/>
        <v>63.560761685524014</v>
      </c>
      <c r="I127" s="1101">
        <v>45.700000000000017</v>
      </c>
      <c r="J127" s="126">
        <v>76.000000000000028</v>
      </c>
      <c r="K127" s="1101">
        <v>33.357839327015057</v>
      </c>
      <c r="L127" s="126">
        <v>61.024081404631815</v>
      </c>
      <c r="M127" s="1101">
        <v>-10.077917950706562</v>
      </c>
      <c r="N127" s="126">
        <v>-18.8883537768466</v>
      </c>
    </row>
    <row r="128" spans="2:14">
      <c r="B128" s="131" t="s">
        <v>879</v>
      </c>
      <c r="C128" s="683">
        <v>-12.6978518823651</v>
      </c>
      <c r="D128" s="1101">
        <v>-16.299999999999997</v>
      </c>
      <c r="E128" s="1094">
        <v>38.204477573969427</v>
      </c>
      <c r="F128" s="1101">
        <v>7.87</v>
      </c>
      <c r="G128" s="146">
        <f>FISC!AC830</f>
        <v>40.36999999999999</v>
      </c>
      <c r="H128" s="126">
        <f t="shared" si="1"/>
        <v>32.499999999999993</v>
      </c>
      <c r="I128" s="1101">
        <v>68.500000000000014</v>
      </c>
      <c r="J128" s="146">
        <v>98.800000000000026</v>
      </c>
      <c r="K128" s="1101">
        <v>57.399999999999991</v>
      </c>
      <c r="L128" s="146">
        <v>85</v>
      </c>
      <c r="M128" s="1101">
        <v>16.79999999999999</v>
      </c>
      <c r="N128" s="148">
        <v>9.7000000000000011</v>
      </c>
    </row>
    <row r="129" spans="2:14">
      <c r="B129" s="131" t="s">
        <v>825</v>
      </c>
      <c r="C129" s="683"/>
      <c r="D129" s="1101">
        <v>-16.299999999999997</v>
      </c>
      <c r="E129" s="1094">
        <v>0</v>
      </c>
      <c r="F129" s="1101">
        <v>7.87</v>
      </c>
      <c r="G129" s="716">
        <f>FISC!AC831</f>
        <v>40.36999999999999</v>
      </c>
      <c r="H129" s="126">
        <f t="shared" si="1"/>
        <v>32.499999999999993</v>
      </c>
      <c r="I129" s="1101">
        <v>68.500000000000014</v>
      </c>
      <c r="J129" s="716">
        <v>98.800000000000026</v>
      </c>
      <c r="K129" s="1101">
        <v>57.399999999999991</v>
      </c>
      <c r="L129" s="716">
        <v>85</v>
      </c>
      <c r="M129" s="1101">
        <v>16.79999999999999</v>
      </c>
      <c r="N129" s="716">
        <v>9.7000000000000011</v>
      </c>
    </row>
    <row r="130" spans="2:14">
      <c r="B130" s="131" t="s">
        <v>880</v>
      </c>
      <c r="C130" s="683">
        <v>19.346579886000001</v>
      </c>
      <c r="D130" s="1101">
        <v>0</v>
      </c>
      <c r="E130" s="1094">
        <v>0</v>
      </c>
      <c r="F130" s="1101">
        <v>0</v>
      </c>
      <c r="G130" s="126">
        <f>FISC!AC832</f>
        <v>0</v>
      </c>
      <c r="H130" s="126">
        <f t="shared" si="1"/>
        <v>0</v>
      </c>
      <c r="I130" s="1101"/>
      <c r="J130" s="126">
        <v>0</v>
      </c>
      <c r="K130" s="1101"/>
      <c r="L130" s="126">
        <v>0</v>
      </c>
      <c r="M130" s="1101"/>
      <c r="N130" s="126"/>
    </row>
    <row r="131" spans="2:14">
      <c r="B131" s="576" t="s">
        <v>1167</v>
      </c>
      <c r="C131" s="683">
        <v>10.220755499999999</v>
      </c>
      <c r="D131" s="1101">
        <v>20.650000000000006</v>
      </c>
      <c r="E131" s="1094">
        <v>19.200000000000003</v>
      </c>
      <c r="F131" s="1101">
        <v>0</v>
      </c>
      <c r="G131" s="126">
        <f>FISC!AC833</f>
        <v>3.8466942869999912</v>
      </c>
      <c r="H131" s="126">
        <f t="shared" si="1"/>
        <v>3.8466942869999912</v>
      </c>
      <c r="I131" s="1101"/>
      <c r="J131" s="126">
        <v>0</v>
      </c>
      <c r="K131" s="1101"/>
      <c r="L131" s="126">
        <v>0</v>
      </c>
      <c r="M131" s="1101"/>
      <c r="N131" s="126"/>
    </row>
    <row r="132" spans="2:14">
      <c r="B132" s="131" t="s">
        <v>882</v>
      </c>
      <c r="C132" s="683">
        <v>0</v>
      </c>
      <c r="D132" s="1101"/>
      <c r="E132" s="1094">
        <v>0</v>
      </c>
      <c r="F132" s="1101"/>
      <c r="G132" s="126">
        <f>FISC!AC834</f>
        <v>0</v>
      </c>
      <c r="H132" s="126">
        <f t="shared" si="1"/>
        <v>0</v>
      </c>
      <c r="I132" s="1101"/>
      <c r="J132" s="126"/>
      <c r="K132" s="1101"/>
      <c r="L132" s="126"/>
      <c r="M132" s="1101"/>
      <c r="N132" s="126"/>
    </row>
    <row r="133" spans="2:14">
      <c r="B133" s="131" t="s">
        <v>883</v>
      </c>
      <c r="C133" s="683">
        <v>0</v>
      </c>
      <c r="D133" s="1101"/>
      <c r="E133" s="1094">
        <v>0</v>
      </c>
      <c r="F133" s="1101"/>
      <c r="G133" s="126">
        <f>FISC!AC837</f>
        <v>0</v>
      </c>
      <c r="H133" s="126">
        <f t="shared" si="1"/>
        <v>0</v>
      </c>
      <c r="I133" s="1101"/>
      <c r="J133" s="126"/>
      <c r="K133" s="1101"/>
      <c r="L133" s="126"/>
      <c r="M133" s="1101"/>
      <c r="N133" s="126"/>
    </row>
    <row r="134" spans="2:14">
      <c r="B134" s="576" t="s">
        <v>815</v>
      </c>
      <c r="C134" s="573"/>
      <c r="D134" s="1101"/>
      <c r="E134" s="1094">
        <v>0</v>
      </c>
      <c r="F134" s="1101"/>
      <c r="G134" s="573">
        <f>FISC!AC838</f>
        <v>0</v>
      </c>
      <c r="H134" s="126">
        <f t="shared" si="1"/>
        <v>0</v>
      </c>
      <c r="I134" s="1101"/>
      <c r="J134" s="573"/>
      <c r="K134" s="1101"/>
      <c r="L134" s="573"/>
      <c r="M134" s="1101"/>
      <c r="N134" s="573"/>
    </row>
    <row r="135" spans="2:14">
      <c r="B135" s="576" t="s">
        <v>816</v>
      </c>
      <c r="C135" s="573"/>
      <c r="D135" s="1101"/>
      <c r="E135" s="1094">
        <v>0</v>
      </c>
      <c r="F135" s="1101"/>
      <c r="G135" s="573">
        <f>FISC!AC839</f>
        <v>0</v>
      </c>
      <c r="H135" s="126">
        <f t="shared" ref="H135:H148" si="2">G135-F135</f>
        <v>0</v>
      </c>
      <c r="I135" s="1101"/>
      <c r="J135" s="573"/>
      <c r="K135" s="1101"/>
      <c r="L135" s="573"/>
      <c r="M135" s="1101"/>
      <c r="N135" s="573"/>
    </row>
    <row r="136" spans="2:14">
      <c r="B136" s="131" t="s">
        <v>884</v>
      </c>
      <c r="C136" s="683">
        <v>-8.6999999999999993</v>
      </c>
      <c r="D136" s="1101">
        <v>-9.6999999999999993</v>
      </c>
      <c r="E136" s="1094">
        <v>-10.241148082</v>
      </c>
      <c r="F136" s="1101">
        <v>-11.3</v>
      </c>
      <c r="G136" s="126">
        <f>FISC!AC840</f>
        <v>3.3328533490000005</v>
      </c>
      <c r="H136" s="126">
        <f t="shared" si="2"/>
        <v>14.632853349000001</v>
      </c>
      <c r="I136" s="1101">
        <v>-12.1</v>
      </c>
      <c r="J136" s="126">
        <v>-12.1</v>
      </c>
      <c r="K136" s="1101">
        <v>-11.748820222786758</v>
      </c>
      <c r="L136" s="126">
        <v>-11.221352177654161</v>
      </c>
      <c r="M136" s="1101">
        <v>-12.595483937926998</v>
      </c>
      <c r="N136" s="126">
        <v>-12.660880749571701</v>
      </c>
    </row>
    <row r="137" spans="2:14">
      <c r="B137" s="131" t="s">
        <v>885</v>
      </c>
      <c r="C137" s="683">
        <v>-8.8000000000000007</v>
      </c>
      <c r="D137" s="1101">
        <v>-10.7</v>
      </c>
      <c r="E137" s="1094">
        <v>-10.620114093</v>
      </c>
      <c r="F137" s="1101">
        <v>-11.3</v>
      </c>
      <c r="G137" s="126">
        <f>FISC!AC842</f>
        <v>-11.413080213000001</v>
      </c>
      <c r="H137" s="126">
        <f t="shared" si="2"/>
        <v>-0.11308021299999993</v>
      </c>
      <c r="I137" s="1101">
        <v>-10.7</v>
      </c>
      <c r="J137" s="126">
        <v>-10.7</v>
      </c>
      <c r="K137" s="1101">
        <v>-12.293340450198169</v>
      </c>
      <c r="L137" s="126">
        <v>-12.754566417714031</v>
      </c>
      <c r="M137" s="1101">
        <v>-14.282434012779554</v>
      </c>
      <c r="N137" s="126">
        <v>-15.927473027274898</v>
      </c>
    </row>
    <row r="138" spans="2:14">
      <c r="B138" s="129" t="s">
        <v>876</v>
      </c>
      <c r="C138" s="126">
        <v>47.717359399490434</v>
      </c>
      <c r="D138" s="1101">
        <v>0</v>
      </c>
      <c r="E138" s="1094">
        <v>46.979095868500167</v>
      </c>
      <c r="F138" s="1101">
        <v>0</v>
      </c>
      <c r="G138" s="126">
        <f>FISC!AC843</f>
        <v>-5.8731269525779339</v>
      </c>
      <c r="H138" s="126">
        <f t="shared" si="2"/>
        <v>-5.8731269525779339</v>
      </c>
      <c r="I138" s="1101">
        <v>0</v>
      </c>
      <c r="J138" s="126">
        <v>0</v>
      </c>
      <c r="K138" s="1101">
        <v>0</v>
      </c>
      <c r="L138" s="126">
        <v>0</v>
      </c>
      <c r="M138" s="1101">
        <v>0</v>
      </c>
      <c r="N138" s="126">
        <v>0</v>
      </c>
    </row>
    <row r="139" spans="2:14">
      <c r="B139" s="131" t="s">
        <v>877</v>
      </c>
      <c r="C139" s="141">
        <v>59.256799999999984</v>
      </c>
      <c r="D139" s="1101">
        <v>34</v>
      </c>
      <c r="E139" s="1094">
        <v>58.736500000000007</v>
      </c>
      <c r="F139" s="1101">
        <v>36</v>
      </c>
      <c r="G139" s="126">
        <f>FISC!AC844</f>
        <v>23.252356078422068</v>
      </c>
      <c r="H139" s="126">
        <f t="shared" si="2"/>
        <v>-12.747643921577932</v>
      </c>
      <c r="I139" s="1101">
        <v>43.8</v>
      </c>
      <c r="J139" s="126">
        <v>2.3756446790000001</v>
      </c>
      <c r="K139" s="1101">
        <v>43.8</v>
      </c>
      <c r="L139" s="126">
        <v>0</v>
      </c>
      <c r="M139" s="1101">
        <v>43.7</v>
      </c>
      <c r="N139" s="126">
        <v>0</v>
      </c>
    </row>
    <row r="140" spans="2:14">
      <c r="B140" s="132" t="s">
        <v>192</v>
      </c>
      <c r="C140" s="683">
        <v>29.630500000000005</v>
      </c>
      <c r="D140" s="1101">
        <v>17</v>
      </c>
      <c r="E140" s="1094">
        <v>27.1554</v>
      </c>
      <c r="F140" s="1101">
        <v>18</v>
      </c>
      <c r="G140" s="126">
        <f>FISC!AC845</f>
        <v>14.562741515500001</v>
      </c>
      <c r="H140" s="126">
        <f t="shared" si="2"/>
        <v>-3.4372584844999992</v>
      </c>
      <c r="I140" s="1101">
        <v>21.9</v>
      </c>
      <c r="J140" s="126">
        <v>1.1878223395</v>
      </c>
      <c r="K140" s="1101">
        <v>21.9</v>
      </c>
      <c r="L140" s="126">
        <v>0</v>
      </c>
      <c r="M140" s="1101">
        <v>21.85</v>
      </c>
      <c r="N140" s="126">
        <v>0</v>
      </c>
    </row>
    <row r="141" spans="2:14">
      <c r="B141" s="132" t="s">
        <v>193</v>
      </c>
      <c r="C141" s="683">
        <v>29.626299999999986</v>
      </c>
      <c r="D141" s="1101">
        <v>17</v>
      </c>
      <c r="E141" s="1094">
        <v>31.581100000000006</v>
      </c>
      <c r="F141" s="1101">
        <v>18</v>
      </c>
      <c r="G141" s="126">
        <f>FISC!AC846</f>
        <v>14.562741515500001</v>
      </c>
      <c r="H141" s="126">
        <f t="shared" si="2"/>
        <v>-3.4372584844999992</v>
      </c>
      <c r="I141" s="1101">
        <v>21.9</v>
      </c>
      <c r="J141" s="126">
        <v>1.1878223395</v>
      </c>
      <c r="K141" s="1101">
        <v>21.9</v>
      </c>
      <c r="L141" s="126">
        <v>0</v>
      </c>
      <c r="M141" s="1101">
        <v>21.85</v>
      </c>
      <c r="N141" s="126">
        <v>0</v>
      </c>
    </row>
    <row r="142" spans="2:14">
      <c r="B142" s="131" t="s">
        <v>1111</v>
      </c>
      <c r="C142" s="683">
        <v>-11.539440600509554</v>
      </c>
      <c r="D142" s="1101">
        <v>-34</v>
      </c>
      <c r="E142" s="1094">
        <v>-11.757404131499834</v>
      </c>
      <c r="F142" s="1101">
        <v>-36</v>
      </c>
      <c r="G142" s="573">
        <f>FISC!AC847</f>
        <v>-29.125483031000002</v>
      </c>
      <c r="H142" s="126">
        <f t="shared" si="2"/>
        <v>6.8745169689999983</v>
      </c>
      <c r="I142" s="1101">
        <v>-43.8</v>
      </c>
      <c r="J142" s="573">
        <v>-2.3756446790000001</v>
      </c>
      <c r="K142" s="1101">
        <v>-43.8</v>
      </c>
      <c r="L142" s="573">
        <v>0</v>
      </c>
      <c r="M142" s="1101">
        <v>-43.7</v>
      </c>
      <c r="N142" s="126">
        <v>0</v>
      </c>
    </row>
    <row r="143" spans="2:14">
      <c r="B143" s="129" t="s">
        <v>348</v>
      </c>
      <c r="C143" s="683">
        <v>-30.894670162722527</v>
      </c>
      <c r="D143" s="1101">
        <v>3.7817360721987825E-3</v>
      </c>
      <c r="E143" s="1094">
        <v>-68.961007123014952</v>
      </c>
      <c r="F143" s="1101">
        <v>-3.8195280481602367E-2</v>
      </c>
      <c r="G143" s="1039">
        <f>FISC!AC848</f>
        <v>-6.7981852251683677</v>
      </c>
      <c r="H143" s="126">
        <f t="shared" si="2"/>
        <v>-6.7599899446867653</v>
      </c>
      <c r="I143" s="1101">
        <v>4.6843173428214868E-3</v>
      </c>
      <c r="J143" s="1039">
        <v>4.0615815574426506E-2</v>
      </c>
      <c r="K143" s="1101">
        <v>1.4705372888329293E-2</v>
      </c>
      <c r="L143" s="1039">
        <v>-2.4517385557430771E-2</v>
      </c>
      <c r="M143" s="1101">
        <v>3.6290003199496823E-2</v>
      </c>
      <c r="N143" s="1092">
        <v>-3.8293069964765891E-2</v>
      </c>
    </row>
    <row r="144" spans="2:14">
      <c r="B144" s="689" t="s">
        <v>1109</v>
      </c>
      <c r="C144" s="126">
        <v>0</v>
      </c>
      <c r="D144" s="1101">
        <v>-19.234354501500007</v>
      </c>
      <c r="E144" s="1096">
        <v>0.34783849306015213</v>
      </c>
      <c r="F144" s="1101">
        <v>18.813199421606242</v>
      </c>
      <c r="G144" s="1096">
        <f>FISC!AC849</f>
        <v>4.2821148510000171</v>
      </c>
      <c r="H144" s="126">
        <f t="shared" si="2"/>
        <v>-14.531084570606225</v>
      </c>
      <c r="I144" s="1101">
        <v>-1.4028901082611895</v>
      </c>
      <c r="J144" s="1096">
        <v>0</v>
      </c>
      <c r="K144" s="1101">
        <v>-8.1849035407652622</v>
      </c>
      <c r="L144" s="1096">
        <v>0</v>
      </c>
      <c r="M144" s="1101">
        <v>0</v>
      </c>
      <c r="N144" s="126">
        <v>0</v>
      </c>
    </row>
    <row r="145" spans="2:15">
      <c r="B145" s="689" t="s">
        <v>1110</v>
      </c>
      <c r="C145" s="126"/>
      <c r="D145" s="1101"/>
      <c r="E145" s="1094" t="s">
        <v>136</v>
      </c>
      <c r="F145" s="1101"/>
      <c r="G145" s="573">
        <f>FISC!AC850</f>
        <v>0</v>
      </c>
      <c r="H145" s="126">
        <f t="shared" si="2"/>
        <v>0</v>
      </c>
      <c r="I145" s="1101"/>
      <c r="J145" s="573"/>
      <c r="K145" s="1101"/>
      <c r="L145" s="573"/>
      <c r="M145" s="1101"/>
      <c r="N145" s="126"/>
    </row>
    <row r="146" spans="2:15">
      <c r="B146" s="152" t="s">
        <v>853</v>
      </c>
      <c r="C146" s="126"/>
      <c r="D146" s="1101">
        <v>0</v>
      </c>
      <c r="E146" s="1094">
        <v>0</v>
      </c>
      <c r="F146" s="1101">
        <v>0</v>
      </c>
      <c r="G146" s="632">
        <f>FISC!AC852</f>
        <v>0</v>
      </c>
      <c r="H146" s="126">
        <f t="shared" si="2"/>
        <v>0</v>
      </c>
      <c r="I146" s="1101">
        <v>0</v>
      </c>
      <c r="J146" s="632">
        <v>0</v>
      </c>
      <c r="K146" s="1101">
        <v>30.445653721915313</v>
      </c>
      <c r="L146" s="1124">
        <v>28.206724987272967</v>
      </c>
      <c r="M146" s="1101">
        <v>210.03756568398958</v>
      </c>
      <c r="N146" s="632">
        <v>332.43419268582085</v>
      </c>
    </row>
    <row r="147" spans="2:15">
      <c r="B147" s="268" t="s">
        <v>270</v>
      </c>
      <c r="C147" s="126"/>
      <c r="D147" s="1101"/>
      <c r="E147" s="1094">
        <v>0</v>
      </c>
      <c r="F147" s="1101">
        <v>0</v>
      </c>
      <c r="G147" s="146">
        <f>FISC!AC853</f>
        <v>0</v>
      </c>
      <c r="H147" s="126">
        <f t="shared" si="2"/>
        <v>0</v>
      </c>
      <c r="I147" s="1101">
        <v>0</v>
      </c>
      <c r="J147" s="146">
        <v>0</v>
      </c>
      <c r="K147" s="1101">
        <v>0.91336961165745933</v>
      </c>
      <c r="L147" s="146">
        <v>0.84620174961818895</v>
      </c>
      <c r="M147" s="1101">
        <v>6.3011269705196868</v>
      </c>
      <c r="N147" s="146">
        <v>9.9730257805746252</v>
      </c>
    </row>
    <row r="148" spans="2:15">
      <c r="B148" s="1027" t="s">
        <v>1178</v>
      </c>
      <c r="C148" s="1036">
        <v>46.558948117634898</v>
      </c>
      <c r="D148" s="1101">
        <v>17.700000000000003</v>
      </c>
      <c r="E148" s="92"/>
      <c r="F148" s="1101">
        <v>43.87</v>
      </c>
      <c r="G148" s="1036">
        <f>FISC!AC854</f>
        <v>63.622356078422058</v>
      </c>
      <c r="H148" s="126">
        <f t="shared" si="2"/>
        <v>19.752356078422061</v>
      </c>
      <c r="I148" s="1101">
        <v>112.30000000000001</v>
      </c>
      <c r="J148" s="1036">
        <v>101.17564467900003</v>
      </c>
      <c r="K148" s="1101">
        <v>101.19999999999999</v>
      </c>
      <c r="L148" s="1036">
        <v>85</v>
      </c>
      <c r="M148" s="1101">
        <v>60.499999999999993</v>
      </c>
      <c r="N148" s="1036">
        <v>9.7000000000000011</v>
      </c>
    </row>
    <row r="150" spans="2:15">
      <c r="B150" s="1134" t="s">
        <v>913</v>
      </c>
      <c r="F150" s="1135">
        <v>875.03253123749994</v>
      </c>
      <c r="G150" s="1136">
        <v>852.90847559999997</v>
      </c>
      <c r="H150" s="1136"/>
      <c r="I150" s="1135">
        <v>935.26007217412496</v>
      </c>
      <c r="J150" s="1136">
        <v>887.0248146240001</v>
      </c>
      <c r="K150" s="1135">
        <v>995.73035775733115</v>
      </c>
      <c r="L150" s="1136">
        <v>922.50580720896005</v>
      </c>
      <c r="M150" s="1135">
        <v>1050.1878284199479</v>
      </c>
      <c r="N150" s="1136">
        <v>959.40603949731849</v>
      </c>
    </row>
    <row r="151" spans="2:15">
      <c r="B151" s="1134" t="s">
        <v>859</v>
      </c>
      <c r="F151" s="1137">
        <v>8025.8688269003096</v>
      </c>
      <c r="G151" s="1138">
        <v>7861.5195080270241</v>
      </c>
      <c r="H151" s="1138"/>
      <c r="I151" s="1137">
        <v>9023.7224540408861</v>
      </c>
      <c r="J151" s="1138">
        <v>8880.1558086941004</v>
      </c>
      <c r="K151" s="1137">
        <v>10150.239505328169</v>
      </c>
      <c r="L151" s="1138">
        <v>10307.383459598857</v>
      </c>
      <c r="M151" s="1137">
        <v>11460.361388757741</v>
      </c>
      <c r="N151" s="1138">
        <v>12318.413093350633</v>
      </c>
    </row>
    <row r="156" spans="2:15" ht="15.5">
      <c r="E156" s="1129"/>
      <c r="F156" s="1128"/>
      <c r="G156" s="1128"/>
      <c r="H156" s="1128"/>
      <c r="I156" s="1128"/>
      <c r="J156" s="1128"/>
      <c r="L156" s="1128"/>
      <c r="M156" s="1128"/>
      <c r="O156" s="1128"/>
    </row>
    <row r="157" spans="2:15" ht="15.5">
      <c r="C157" s="477">
        <v>0</v>
      </c>
      <c r="D157" s="477">
        <v>0</v>
      </c>
      <c r="E157" s="477">
        <v>0</v>
      </c>
      <c r="F157" s="477">
        <v>0</v>
      </c>
      <c r="G157" s="477">
        <v>0</v>
      </c>
      <c r="H157" s="477">
        <v>0</v>
      </c>
      <c r="I157" s="477">
        <v>0</v>
      </c>
      <c r="J157" s="477">
        <v>0</v>
      </c>
      <c r="K157" s="477">
        <v>0</v>
      </c>
      <c r="L157" s="477">
        <v>0.91167791899999995</v>
      </c>
      <c r="M157" s="477">
        <v>0</v>
      </c>
      <c r="N157" s="477">
        <v>0.50500250000000002</v>
      </c>
    </row>
  </sheetData>
  <mergeCells count="5">
    <mergeCell ref="D3:E3"/>
    <mergeCell ref="F3:G3"/>
    <mergeCell ref="I3:J3"/>
    <mergeCell ref="K3:L3"/>
    <mergeCell ref="M3:N3"/>
  </mergeCells>
  <pageMargins left="0.7" right="0.7" top="0.75" bottom="0.75" header="0.3" footer="0.3"/>
  <pageSetup paperSize="9" scale="45" fitToHeight="0" orientation="portrait" horizontalDpi="4294967294" verticalDpi="4294967294"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
  <sheetViews>
    <sheetView workbookViewId="0">
      <selection activeCell="X126" sqref="X126"/>
    </sheetView>
  </sheetViews>
  <sheetFormatPr defaultRowHeight="14.5"/>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dimension ref="A1:B888"/>
  <sheetViews>
    <sheetView topLeftCell="A733" workbookViewId="0">
      <selection activeCell="B719" sqref="B719"/>
    </sheetView>
  </sheetViews>
  <sheetFormatPr defaultRowHeight="14.5"/>
  <cols>
    <col min="1" max="1" width="11.453125" bestFit="1" customWidth="1"/>
    <col min="2" max="2" width="128.7265625" bestFit="1" customWidth="1"/>
  </cols>
  <sheetData>
    <row r="1" spans="1:2">
      <c r="A1" s="1249" t="s">
        <v>1283</v>
      </c>
      <c r="B1" s="1249" t="s">
        <v>1284</v>
      </c>
    </row>
    <row r="2" spans="1:2">
      <c r="A2" s="1250">
        <v>1</v>
      </c>
      <c r="B2" s="1251" t="s">
        <v>1285</v>
      </c>
    </row>
    <row r="3" spans="1:2">
      <c r="A3" s="1250">
        <v>11</v>
      </c>
      <c r="B3" s="1251" t="s">
        <v>1286</v>
      </c>
    </row>
    <row r="4" spans="1:2">
      <c r="A4" s="1250">
        <v>111</v>
      </c>
      <c r="B4" s="1251" t="s">
        <v>1287</v>
      </c>
    </row>
    <row r="5" spans="1:2">
      <c r="A5" s="1250">
        <v>1111</v>
      </c>
      <c r="B5" s="1251" t="s">
        <v>1288</v>
      </c>
    </row>
    <row r="6" spans="1:2">
      <c r="A6" s="1250">
        <v>1112</v>
      </c>
      <c r="B6" s="1251" t="s">
        <v>1289</v>
      </c>
    </row>
    <row r="7" spans="1:2">
      <c r="A7" s="1250">
        <v>1113</v>
      </c>
      <c r="B7" s="1251" t="s">
        <v>1290</v>
      </c>
    </row>
    <row r="8" spans="1:2">
      <c r="A8" s="1250">
        <v>112</v>
      </c>
      <c r="B8" s="1251" t="s">
        <v>499</v>
      </c>
    </row>
    <row r="9" spans="1:2">
      <c r="A9" s="1250">
        <v>113</v>
      </c>
      <c r="B9" s="1251" t="s">
        <v>1291</v>
      </c>
    </row>
    <row r="10" spans="1:2">
      <c r="A10" s="1250">
        <v>1131</v>
      </c>
      <c r="B10" s="1251" t="s">
        <v>1292</v>
      </c>
    </row>
    <row r="11" spans="1:2">
      <c r="A11" s="1250">
        <v>1132</v>
      </c>
      <c r="B11" s="1251" t="s">
        <v>1293</v>
      </c>
    </row>
    <row r="12" spans="1:2">
      <c r="A12" s="1250">
        <v>1133</v>
      </c>
      <c r="B12" s="1251" t="s">
        <v>1294</v>
      </c>
    </row>
    <row r="13" spans="1:2">
      <c r="A13" s="1250">
        <v>1135</v>
      </c>
      <c r="B13" s="1251" t="s">
        <v>1295</v>
      </c>
    </row>
    <row r="14" spans="1:2">
      <c r="A14" s="1250">
        <v>1136</v>
      </c>
      <c r="B14" s="1251" t="s">
        <v>1296</v>
      </c>
    </row>
    <row r="15" spans="1:2">
      <c r="A15" s="1250">
        <v>114</v>
      </c>
      <c r="B15" s="1251" t="s">
        <v>507</v>
      </c>
    </row>
    <row r="16" spans="1:2">
      <c r="A16" s="1250">
        <v>1141</v>
      </c>
      <c r="B16" s="1251" t="s">
        <v>1297</v>
      </c>
    </row>
    <row r="17" spans="1:2">
      <c r="A17" s="1250">
        <v>11411</v>
      </c>
      <c r="B17" s="1251" t="s">
        <v>1298</v>
      </c>
    </row>
    <row r="18" spans="1:2">
      <c r="A18" s="1250">
        <v>11412</v>
      </c>
      <c r="B18" s="1251" t="s">
        <v>1299</v>
      </c>
    </row>
    <row r="19" spans="1:2">
      <c r="A19" s="1250">
        <v>11413</v>
      </c>
      <c r="B19" s="1251" t="s">
        <v>1300</v>
      </c>
    </row>
    <row r="20" spans="1:2">
      <c r="A20" s="1250">
        <v>11414</v>
      </c>
      <c r="B20" s="1251" t="s">
        <v>1301</v>
      </c>
    </row>
    <row r="21" spans="1:2">
      <c r="A21" s="1250">
        <v>1142</v>
      </c>
      <c r="B21" s="1251" t="s">
        <v>1302</v>
      </c>
    </row>
    <row r="22" spans="1:2">
      <c r="A22" s="1250">
        <v>1143</v>
      </c>
      <c r="B22" s="1251" t="s">
        <v>1303</v>
      </c>
    </row>
    <row r="23" spans="1:2">
      <c r="A23" s="1250">
        <v>1144</v>
      </c>
      <c r="B23" s="1251" t="s">
        <v>1304</v>
      </c>
    </row>
    <row r="24" spans="1:2">
      <c r="A24" s="1250">
        <v>1145</v>
      </c>
      <c r="B24" s="1251" t="s">
        <v>1305</v>
      </c>
    </row>
    <row r="25" spans="1:2">
      <c r="A25" s="1250">
        <v>11451</v>
      </c>
      <c r="B25" s="1251" t="s">
        <v>1306</v>
      </c>
    </row>
    <row r="26" spans="1:2">
      <c r="A26" s="1250">
        <v>11452</v>
      </c>
      <c r="B26" s="1251" t="s">
        <v>1307</v>
      </c>
    </row>
    <row r="27" spans="1:2">
      <c r="A27" s="1250">
        <v>1146</v>
      </c>
      <c r="B27" s="1251" t="s">
        <v>1308</v>
      </c>
    </row>
    <row r="28" spans="1:2">
      <c r="A28" s="1250">
        <v>115</v>
      </c>
      <c r="B28" s="1251" t="s">
        <v>1309</v>
      </c>
    </row>
    <row r="29" spans="1:2">
      <c r="A29" s="1250">
        <v>1151</v>
      </c>
      <c r="B29" s="1251" t="s">
        <v>1310</v>
      </c>
    </row>
    <row r="30" spans="1:2">
      <c r="A30" s="1250">
        <v>1152</v>
      </c>
      <c r="B30" s="1251" t="s">
        <v>1311</v>
      </c>
    </row>
    <row r="31" spans="1:2">
      <c r="A31" s="1250">
        <v>1153</v>
      </c>
      <c r="B31" s="1251" t="s">
        <v>1312</v>
      </c>
    </row>
    <row r="32" spans="1:2">
      <c r="A32" s="1250">
        <v>1154</v>
      </c>
      <c r="B32" s="1251" t="s">
        <v>1313</v>
      </c>
    </row>
    <row r="33" spans="1:2">
      <c r="A33" s="1250">
        <v>1155</v>
      </c>
      <c r="B33" s="1251" t="s">
        <v>1314</v>
      </c>
    </row>
    <row r="34" spans="1:2">
      <c r="A34" s="1250">
        <v>1156</v>
      </c>
      <c r="B34" s="1251" t="s">
        <v>1315</v>
      </c>
    </row>
    <row r="35" spans="1:2">
      <c r="A35" s="1250">
        <v>116</v>
      </c>
      <c r="B35" s="1251" t="s">
        <v>526</v>
      </c>
    </row>
    <row r="36" spans="1:2">
      <c r="A36" s="1250">
        <v>12</v>
      </c>
      <c r="B36" s="1251" t="s">
        <v>1316</v>
      </c>
    </row>
    <row r="37" spans="1:2">
      <c r="A37" s="1250">
        <v>121</v>
      </c>
      <c r="B37" s="1251" t="s">
        <v>1317</v>
      </c>
    </row>
    <row r="38" spans="1:2">
      <c r="A38" s="1250">
        <v>1211</v>
      </c>
      <c r="B38" s="1251" t="s">
        <v>1318</v>
      </c>
    </row>
    <row r="39" spans="1:2">
      <c r="A39" s="1250">
        <v>1212</v>
      </c>
      <c r="B39" s="1251" t="s">
        <v>1319</v>
      </c>
    </row>
    <row r="40" spans="1:2">
      <c r="A40" s="1250">
        <v>1213</v>
      </c>
      <c r="B40" s="1251" t="s">
        <v>1320</v>
      </c>
    </row>
    <row r="41" spans="1:2">
      <c r="A41" s="1250">
        <v>1214</v>
      </c>
      <c r="B41" s="1251" t="s">
        <v>1321</v>
      </c>
    </row>
    <row r="42" spans="1:2">
      <c r="A42" s="1250">
        <v>122</v>
      </c>
      <c r="B42" s="1251" t="s">
        <v>1322</v>
      </c>
    </row>
    <row r="43" spans="1:2">
      <c r="A43" s="1250">
        <v>1221</v>
      </c>
      <c r="B43" s="1251" t="s">
        <v>1323</v>
      </c>
    </row>
    <row r="44" spans="1:2">
      <c r="A44" s="1250">
        <v>1222</v>
      </c>
      <c r="B44" s="1251" t="s">
        <v>1324</v>
      </c>
    </row>
    <row r="45" spans="1:2">
      <c r="A45" s="1250">
        <v>1223</v>
      </c>
      <c r="B45" s="1251" t="s">
        <v>1325</v>
      </c>
    </row>
    <row r="46" spans="1:2">
      <c r="A46" s="1250">
        <v>13</v>
      </c>
      <c r="B46" s="1251" t="s">
        <v>1326</v>
      </c>
    </row>
    <row r="47" spans="1:2">
      <c r="A47" s="1250">
        <v>131</v>
      </c>
      <c r="B47" s="1251" t="s">
        <v>1327</v>
      </c>
    </row>
    <row r="48" spans="1:2">
      <c r="A48" s="1250">
        <v>1311</v>
      </c>
      <c r="B48" s="1251" t="s">
        <v>1328</v>
      </c>
    </row>
    <row r="49" spans="1:2">
      <c r="A49" s="1250">
        <v>1312</v>
      </c>
      <c r="B49" s="1251" t="s">
        <v>1329</v>
      </c>
    </row>
    <row r="50" spans="1:2">
      <c r="A50" s="1250">
        <v>132</v>
      </c>
      <c r="B50" s="1251" t="s">
        <v>1330</v>
      </c>
    </row>
    <row r="51" spans="1:2">
      <c r="A51" s="1250">
        <v>1321</v>
      </c>
      <c r="B51" s="1251" t="s">
        <v>1331</v>
      </c>
    </row>
    <row r="52" spans="1:2">
      <c r="A52" s="1250">
        <v>1322</v>
      </c>
      <c r="B52" s="1251" t="s">
        <v>1332</v>
      </c>
    </row>
    <row r="53" spans="1:2">
      <c r="A53" s="1250">
        <v>133</v>
      </c>
      <c r="B53" s="1251" t="s">
        <v>1333</v>
      </c>
    </row>
    <row r="54" spans="1:2">
      <c r="A54" s="1250">
        <v>1331</v>
      </c>
      <c r="B54" s="1251" t="s">
        <v>1334</v>
      </c>
    </row>
    <row r="55" spans="1:2">
      <c r="A55" s="1250">
        <v>1332</v>
      </c>
      <c r="B55" s="1251" t="s">
        <v>1335</v>
      </c>
    </row>
    <row r="56" spans="1:2">
      <c r="A56" s="1250">
        <v>14</v>
      </c>
      <c r="B56" s="1251" t="s">
        <v>1336</v>
      </c>
    </row>
    <row r="57" spans="1:2">
      <c r="A57" s="1250">
        <v>141</v>
      </c>
      <c r="B57" s="1251" t="s">
        <v>1337</v>
      </c>
    </row>
    <row r="58" spans="1:2">
      <c r="A58" s="1250">
        <v>1411</v>
      </c>
      <c r="B58" s="1251" t="s">
        <v>1338</v>
      </c>
    </row>
    <row r="59" spans="1:2">
      <c r="A59" s="1250">
        <v>14111</v>
      </c>
      <c r="B59" s="1251" t="s">
        <v>1339</v>
      </c>
    </row>
    <row r="60" spans="1:2">
      <c r="A60" s="1250">
        <v>14112</v>
      </c>
      <c r="B60" s="1251" t="s">
        <v>1340</v>
      </c>
    </row>
    <row r="61" spans="1:2">
      <c r="A61" s="1250">
        <v>14113</v>
      </c>
      <c r="B61" s="1251" t="s">
        <v>1341</v>
      </c>
    </row>
    <row r="62" spans="1:2">
      <c r="A62" s="1250">
        <v>1412</v>
      </c>
      <c r="B62" s="1251" t="s">
        <v>1342</v>
      </c>
    </row>
    <row r="63" spans="1:2">
      <c r="A63" s="1250">
        <v>1413</v>
      </c>
      <c r="B63" s="1251" t="s">
        <v>1343</v>
      </c>
    </row>
    <row r="64" spans="1:2">
      <c r="A64" s="1250">
        <v>1414</v>
      </c>
      <c r="B64" s="1251" t="s">
        <v>1344</v>
      </c>
    </row>
    <row r="65" spans="1:2">
      <c r="A65" s="1250">
        <v>1415</v>
      </c>
      <c r="B65" s="1251" t="s">
        <v>1345</v>
      </c>
    </row>
    <row r="66" spans="1:2">
      <c r="A66" s="1250">
        <v>1416</v>
      </c>
      <c r="B66" s="1251" t="s">
        <v>1346</v>
      </c>
    </row>
    <row r="67" spans="1:2">
      <c r="A67" s="1250">
        <v>142</v>
      </c>
      <c r="B67" s="1251" t="s">
        <v>1347</v>
      </c>
    </row>
    <row r="68" spans="1:2">
      <c r="A68" s="1250">
        <v>1421</v>
      </c>
      <c r="B68" s="1251" t="s">
        <v>1348</v>
      </c>
    </row>
    <row r="69" spans="1:2">
      <c r="A69" s="1250">
        <v>1422</v>
      </c>
      <c r="B69" s="1251" t="s">
        <v>1349</v>
      </c>
    </row>
    <row r="70" spans="1:2">
      <c r="A70" s="1250">
        <v>1423</v>
      </c>
      <c r="B70" s="1251" t="s">
        <v>1350</v>
      </c>
    </row>
    <row r="71" spans="1:2">
      <c r="A71" s="1250">
        <v>1424</v>
      </c>
      <c r="B71" s="1251" t="s">
        <v>1351</v>
      </c>
    </row>
    <row r="72" spans="1:2">
      <c r="A72" s="1250">
        <v>143</v>
      </c>
      <c r="B72" s="1251" t="s">
        <v>1352</v>
      </c>
    </row>
    <row r="73" spans="1:2">
      <c r="A73" s="1250">
        <v>144</v>
      </c>
      <c r="B73" s="1251" t="s">
        <v>1353</v>
      </c>
    </row>
    <row r="74" spans="1:2">
      <c r="A74" s="1250">
        <v>1441</v>
      </c>
      <c r="B74" s="1251" t="s">
        <v>1354</v>
      </c>
    </row>
    <row r="75" spans="1:2">
      <c r="A75" s="1250">
        <v>14411</v>
      </c>
      <c r="B75" s="1251" t="s">
        <v>1355</v>
      </c>
    </row>
    <row r="76" spans="1:2">
      <c r="A76" s="1250">
        <v>14412</v>
      </c>
      <c r="B76" s="1251" t="s">
        <v>1356</v>
      </c>
    </row>
    <row r="77" spans="1:2">
      <c r="A77" s="1250">
        <v>1442</v>
      </c>
      <c r="B77" s="1251" t="s">
        <v>1357</v>
      </c>
    </row>
    <row r="78" spans="1:2">
      <c r="A78" s="1250">
        <v>145</v>
      </c>
      <c r="B78" s="1251" t="s">
        <v>1358</v>
      </c>
    </row>
    <row r="79" spans="1:2">
      <c r="A79" s="1250">
        <v>1451</v>
      </c>
      <c r="B79" s="1251" t="s">
        <v>1359</v>
      </c>
    </row>
    <row r="80" spans="1:2">
      <c r="A80" s="1250">
        <v>14511</v>
      </c>
      <c r="B80" s="1251" t="s">
        <v>1360</v>
      </c>
    </row>
    <row r="81" spans="1:2">
      <c r="A81" s="1250">
        <v>14512</v>
      </c>
      <c r="B81" s="1251" t="s">
        <v>1361</v>
      </c>
    </row>
    <row r="82" spans="1:2">
      <c r="A82" s="1250">
        <v>14513</v>
      </c>
      <c r="B82" s="1251" t="s">
        <v>1362</v>
      </c>
    </row>
    <row r="83" spans="1:2">
      <c r="A83" s="1250">
        <v>1452</v>
      </c>
      <c r="B83" s="1251" t="s">
        <v>1363</v>
      </c>
    </row>
    <row r="84" spans="1:2">
      <c r="A84" s="1250">
        <v>2</v>
      </c>
      <c r="B84" s="1251" t="s">
        <v>1364</v>
      </c>
    </row>
    <row r="85" spans="1:2">
      <c r="A85" s="1250">
        <v>21</v>
      </c>
      <c r="B85" s="1251" t="s">
        <v>1365</v>
      </c>
    </row>
    <row r="86" spans="1:2">
      <c r="A86" s="1250">
        <v>211</v>
      </c>
      <c r="B86" s="1251" t="s">
        <v>1366</v>
      </c>
    </row>
    <row r="87" spans="1:2">
      <c r="A87" s="1250">
        <v>212</v>
      </c>
      <c r="B87" s="1251" t="s">
        <v>1367</v>
      </c>
    </row>
    <row r="88" spans="1:2">
      <c r="A88" s="1250">
        <v>2121</v>
      </c>
      <c r="B88" s="1251" t="s">
        <v>1368</v>
      </c>
    </row>
    <row r="89" spans="1:2">
      <c r="A89" s="1250">
        <v>2122</v>
      </c>
      <c r="B89" s="1251" t="s">
        <v>1369</v>
      </c>
    </row>
    <row r="90" spans="1:2">
      <c r="A90" s="1250">
        <v>22</v>
      </c>
      <c r="B90" s="1251" t="s">
        <v>560</v>
      </c>
    </row>
    <row r="91" spans="1:2">
      <c r="A91" s="1250">
        <v>23</v>
      </c>
      <c r="B91" s="1251" t="s">
        <v>561</v>
      </c>
    </row>
    <row r="92" spans="1:2">
      <c r="A92" s="1250">
        <v>24</v>
      </c>
      <c r="B92" s="1251" t="s">
        <v>1370</v>
      </c>
    </row>
    <row r="93" spans="1:2">
      <c r="A93" s="1250">
        <v>241</v>
      </c>
      <c r="B93" s="1251" t="s">
        <v>1371</v>
      </c>
    </row>
    <row r="94" spans="1:2">
      <c r="A94" s="1250">
        <v>242</v>
      </c>
      <c r="B94" s="1251" t="s">
        <v>1372</v>
      </c>
    </row>
    <row r="95" spans="1:2">
      <c r="A95" s="1250">
        <v>243</v>
      </c>
      <c r="B95" s="1251" t="s">
        <v>1373</v>
      </c>
    </row>
    <row r="96" spans="1:2">
      <c r="A96" s="1250">
        <v>25</v>
      </c>
      <c r="B96" s="1251" t="s">
        <v>1374</v>
      </c>
    </row>
    <row r="97" spans="1:2">
      <c r="A97" s="1250">
        <v>251</v>
      </c>
      <c r="B97" s="1251" t="s">
        <v>1375</v>
      </c>
    </row>
    <row r="98" spans="1:2">
      <c r="A98" s="1250">
        <v>252</v>
      </c>
      <c r="B98" s="1251" t="s">
        <v>1376</v>
      </c>
    </row>
    <row r="99" spans="1:2">
      <c r="A99" s="1250">
        <v>26</v>
      </c>
      <c r="B99" s="1251" t="s">
        <v>1377</v>
      </c>
    </row>
    <row r="100" spans="1:2">
      <c r="A100" s="1250">
        <v>261</v>
      </c>
      <c r="B100" s="1251" t="s">
        <v>1378</v>
      </c>
    </row>
    <row r="101" spans="1:2">
      <c r="A101" s="1250">
        <v>2611</v>
      </c>
      <c r="B101" s="1251" t="s">
        <v>1379</v>
      </c>
    </row>
    <row r="102" spans="1:2">
      <c r="A102" s="1250">
        <v>2612</v>
      </c>
      <c r="B102" s="1251" t="s">
        <v>1380</v>
      </c>
    </row>
    <row r="103" spans="1:2">
      <c r="A103" s="1250">
        <v>262</v>
      </c>
      <c r="B103" s="1251" t="s">
        <v>1381</v>
      </c>
    </row>
    <row r="104" spans="1:2">
      <c r="A104" s="1250">
        <v>2621</v>
      </c>
      <c r="B104" s="1251" t="s">
        <v>1382</v>
      </c>
    </row>
    <row r="105" spans="1:2">
      <c r="A105" s="1250">
        <v>2622</v>
      </c>
      <c r="B105" s="1251" t="s">
        <v>1383</v>
      </c>
    </row>
    <row r="106" spans="1:2">
      <c r="A106" s="1250">
        <v>263</v>
      </c>
      <c r="B106" s="1251" t="s">
        <v>1384</v>
      </c>
    </row>
    <row r="107" spans="1:2">
      <c r="A107" s="1250">
        <v>2631</v>
      </c>
      <c r="B107" s="1251" t="s">
        <v>1385</v>
      </c>
    </row>
    <row r="108" spans="1:2">
      <c r="A108" s="1250">
        <v>2632</v>
      </c>
      <c r="B108" s="1251" t="s">
        <v>1386</v>
      </c>
    </row>
    <row r="109" spans="1:2">
      <c r="A109" s="1250">
        <v>27</v>
      </c>
      <c r="B109" s="1251" t="s">
        <v>1387</v>
      </c>
    </row>
    <row r="110" spans="1:2">
      <c r="A110" s="1250">
        <v>271</v>
      </c>
      <c r="B110" s="1251" t="s">
        <v>1388</v>
      </c>
    </row>
    <row r="111" spans="1:2">
      <c r="A111" s="1250">
        <v>272</v>
      </c>
      <c r="B111" s="1251" t="s">
        <v>1389</v>
      </c>
    </row>
    <row r="112" spans="1:2">
      <c r="A112" s="1250">
        <v>273</v>
      </c>
      <c r="B112" s="1251" t="s">
        <v>1390</v>
      </c>
    </row>
    <row r="113" spans="1:2">
      <c r="A113" s="1250">
        <v>28</v>
      </c>
      <c r="B113" s="1251" t="s">
        <v>1391</v>
      </c>
    </row>
    <row r="114" spans="1:2">
      <c r="A114" s="1250">
        <v>281</v>
      </c>
      <c r="B114" s="1251" t="s">
        <v>1392</v>
      </c>
    </row>
    <row r="115" spans="1:2">
      <c r="A115" s="1250">
        <v>2811</v>
      </c>
      <c r="B115" s="1251" t="s">
        <v>1393</v>
      </c>
    </row>
    <row r="116" spans="1:2">
      <c r="A116" s="1250">
        <v>2812</v>
      </c>
      <c r="B116" s="1251" t="s">
        <v>1394</v>
      </c>
    </row>
    <row r="117" spans="1:2">
      <c r="A117" s="1250">
        <v>2813</v>
      </c>
      <c r="B117" s="1251" t="s">
        <v>1395</v>
      </c>
    </row>
    <row r="118" spans="1:2">
      <c r="A118" s="1250">
        <v>2814</v>
      </c>
      <c r="B118" s="1251" t="s">
        <v>1396</v>
      </c>
    </row>
    <row r="119" spans="1:2">
      <c r="A119" s="1250">
        <v>2815</v>
      </c>
      <c r="B119" s="1251" t="s">
        <v>1397</v>
      </c>
    </row>
    <row r="120" spans="1:2">
      <c r="A120" s="1250">
        <v>282</v>
      </c>
      <c r="B120" s="1251" t="s">
        <v>1398</v>
      </c>
    </row>
    <row r="121" spans="1:2">
      <c r="A121" s="1250">
        <v>2821</v>
      </c>
      <c r="B121" s="1251" t="s">
        <v>1399</v>
      </c>
    </row>
    <row r="122" spans="1:2">
      <c r="A122" s="1250">
        <v>2822</v>
      </c>
      <c r="B122" s="1251" t="s">
        <v>1400</v>
      </c>
    </row>
    <row r="123" spans="1:2">
      <c r="A123" s="1250">
        <v>283</v>
      </c>
      <c r="B123" s="1251" t="s">
        <v>1401</v>
      </c>
    </row>
    <row r="124" spans="1:2">
      <c r="A124" s="1250">
        <v>2831</v>
      </c>
      <c r="B124" s="1251" t="s">
        <v>1402</v>
      </c>
    </row>
    <row r="125" spans="1:2">
      <c r="A125" s="1250">
        <v>28311</v>
      </c>
      <c r="B125" s="1251" t="s">
        <v>1403</v>
      </c>
    </row>
    <row r="126" spans="1:2">
      <c r="A126" s="1250">
        <v>28312</v>
      </c>
      <c r="B126" s="1251" t="s">
        <v>1404</v>
      </c>
    </row>
    <row r="127" spans="1:2">
      <c r="A127" s="1250">
        <v>28313</v>
      </c>
      <c r="B127" s="1251" t="s">
        <v>1405</v>
      </c>
    </row>
    <row r="128" spans="1:2">
      <c r="A128" s="1250">
        <v>2832</v>
      </c>
      <c r="B128" s="1251" t="s">
        <v>1406</v>
      </c>
    </row>
    <row r="129" spans="1:2">
      <c r="A129" s="1250">
        <v>3</v>
      </c>
      <c r="B129" s="1251" t="s">
        <v>1407</v>
      </c>
    </row>
    <row r="130" spans="1:2">
      <c r="A130" s="1250">
        <v>31</v>
      </c>
      <c r="B130" s="1251" t="s">
        <v>1408</v>
      </c>
    </row>
    <row r="131" spans="1:2">
      <c r="A131" s="1250">
        <v>311</v>
      </c>
      <c r="B131" s="1251" t="s">
        <v>1409</v>
      </c>
    </row>
    <row r="132" spans="1:2">
      <c r="A132" s="1250" t="s">
        <v>1410</v>
      </c>
      <c r="B132" s="1251" t="s">
        <v>1411</v>
      </c>
    </row>
    <row r="133" spans="1:2">
      <c r="A133" s="1250" t="s">
        <v>1412</v>
      </c>
      <c r="B133" s="1251" t="s">
        <v>1413</v>
      </c>
    </row>
    <row r="134" spans="1:2">
      <c r="A134" s="1250" t="s">
        <v>1414</v>
      </c>
      <c r="B134" s="1251" t="s">
        <v>1415</v>
      </c>
    </row>
    <row r="135" spans="1:2">
      <c r="A135" s="1250">
        <v>3111</v>
      </c>
      <c r="B135" s="1251" t="s">
        <v>1416</v>
      </c>
    </row>
    <row r="136" spans="1:2">
      <c r="A136" s="1250" t="s">
        <v>1417</v>
      </c>
      <c r="B136" s="1251" t="s">
        <v>1418</v>
      </c>
    </row>
    <row r="137" spans="1:2">
      <c r="A137" s="1250" t="s">
        <v>1419</v>
      </c>
      <c r="B137" s="1251" t="s">
        <v>1420</v>
      </c>
    </row>
    <row r="138" spans="1:2">
      <c r="A138" s="1250" t="s">
        <v>1421</v>
      </c>
      <c r="B138" s="1251" t="s">
        <v>1422</v>
      </c>
    </row>
    <row r="139" spans="1:2">
      <c r="A139" s="1250">
        <v>3112</v>
      </c>
      <c r="B139" s="1251" t="s">
        <v>1423</v>
      </c>
    </row>
    <row r="140" spans="1:2">
      <c r="A140" s="1250" t="s">
        <v>1424</v>
      </c>
      <c r="B140" s="1251" t="s">
        <v>1425</v>
      </c>
    </row>
    <row r="141" spans="1:2">
      <c r="A141" s="1250" t="s">
        <v>1426</v>
      </c>
      <c r="B141" s="1251" t="s">
        <v>1427</v>
      </c>
    </row>
    <row r="142" spans="1:2">
      <c r="A142" s="1250" t="s">
        <v>1428</v>
      </c>
      <c r="B142" s="1251" t="s">
        <v>1429</v>
      </c>
    </row>
    <row r="143" spans="1:2">
      <c r="A143" s="1250">
        <v>3113</v>
      </c>
      <c r="B143" s="1251" t="s">
        <v>1430</v>
      </c>
    </row>
    <row r="144" spans="1:2">
      <c r="A144" s="1250" t="s">
        <v>1431</v>
      </c>
      <c r="B144" s="1251" t="s">
        <v>1432</v>
      </c>
    </row>
    <row r="145" spans="1:2">
      <c r="A145" s="1250" t="s">
        <v>1433</v>
      </c>
      <c r="B145" s="1251" t="s">
        <v>1434</v>
      </c>
    </row>
    <row r="146" spans="1:2">
      <c r="A146" s="1250" t="s">
        <v>1435</v>
      </c>
      <c r="B146" s="1251" t="s">
        <v>1436</v>
      </c>
    </row>
    <row r="147" spans="1:2">
      <c r="A147" s="1250">
        <v>3114</v>
      </c>
      <c r="B147" s="1251" t="s">
        <v>1437</v>
      </c>
    </row>
    <row r="148" spans="1:2">
      <c r="A148" s="1250" t="s">
        <v>1438</v>
      </c>
      <c r="B148" s="1251" t="s">
        <v>1439</v>
      </c>
    </row>
    <row r="149" spans="1:2">
      <c r="A149" s="1250" t="s">
        <v>1440</v>
      </c>
      <c r="B149" s="1251" t="s">
        <v>1441</v>
      </c>
    </row>
    <row r="150" spans="1:2">
      <c r="A150" s="1250" t="s">
        <v>1442</v>
      </c>
      <c r="B150" s="1251" t="s">
        <v>1443</v>
      </c>
    </row>
    <row r="151" spans="1:2">
      <c r="A151" s="1250">
        <v>312</v>
      </c>
      <c r="B151" s="1251" t="s">
        <v>1444</v>
      </c>
    </row>
    <row r="152" spans="1:2">
      <c r="A152" s="1250" t="s">
        <v>1445</v>
      </c>
      <c r="B152" s="1251" t="s">
        <v>1446</v>
      </c>
    </row>
    <row r="153" spans="1:2">
      <c r="A153" s="1250" t="s">
        <v>1447</v>
      </c>
      <c r="B153" s="1251" t="s">
        <v>1448</v>
      </c>
    </row>
    <row r="154" spans="1:2">
      <c r="A154" s="1250">
        <v>313</v>
      </c>
      <c r="B154" s="1251" t="s">
        <v>1449</v>
      </c>
    </row>
    <row r="155" spans="1:2">
      <c r="A155" s="1250" t="s">
        <v>1450</v>
      </c>
      <c r="B155" s="1251" t="s">
        <v>1451</v>
      </c>
    </row>
    <row r="156" spans="1:2">
      <c r="A156" s="1250" t="s">
        <v>1452</v>
      </c>
      <c r="B156" s="1251" t="s">
        <v>1453</v>
      </c>
    </row>
    <row r="157" spans="1:2">
      <c r="A157" s="1250">
        <v>314</v>
      </c>
      <c r="B157" s="1251" t="s">
        <v>1454</v>
      </c>
    </row>
    <row r="158" spans="1:2">
      <c r="A158" s="1250" t="s">
        <v>1455</v>
      </c>
      <c r="B158" s="1251" t="s">
        <v>1456</v>
      </c>
    </row>
    <row r="159" spans="1:2">
      <c r="A159" s="1250" t="s">
        <v>1457</v>
      </c>
      <c r="B159" s="1251" t="s">
        <v>1458</v>
      </c>
    </row>
    <row r="160" spans="1:2">
      <c r="A160" s="1250">
        <v>3141</v>
      </c>
      <c r="B160" s="1251" t="s">
        <v>1459</v>
      </c>
    </row>
    <row r="161" spans="1:2">
      <c r="A161" s="1250" t="s">
        <v>1460</v>
      </c>
      <c r="B161" s="1251" t="s">
        <v>1461</v>
      </c>
    </row>
    <row r="162" spans="1:2">
      <c r="A162" s="1250" t="s">
        <v>1462</v>
      </c>
      <c r="B162" s="1251" t="s">
        <v>1463</v>
      </c>
    </row>
    <row r="163" spans="1:2">
      <c r="A163" s="1250">
        <v>3142</v>
      </c>
      <c r="B163" s="1251" t="s">
        <v>1464</v>
      </c>
    </row>
    <row r="164" spans="1:2">
      <c r="A164" s="1250" t="s">
        <v>1465</v>
      </c>
      <c r="B164" s="1251" t="s">
        <v>1466</v>
      </c>
    </row>
    <row r="165" spans="1:2">
      <c r="A165" s="1250" t="s">
        <v>1467</v>
      </c>
      <c r="B165" s="1251" t="s">
        <v>1468</v>
      </c>
    </row>
    <row r="166" spans="1:2">
      <c r="A166" s="1250">
        <v>3143</v>
      </c>
      <c r="B166" s="1251" t="s">
        <v>1469</v>
      </c>
    </row>
    <row r="167" spans="1:2">
      <c r="A167" s="1250" t="s">
        <v>1470</v>
      </c>
      <c r="B167" s="1251" t="s">
        <v>1471</v>
      </c>
    </row>
    <row r="168" spans="1:2">
      <c r="A168" s="1250" t="s">
        <v>1472</v>
      </c>
      <c r="B168" s="1251" t="s">
        <v>1473</v>
      </c>
    </row>
    <row r="169" spans="1:2">
      <c r="A169" s="1250">
        <v>3144</v>
      </c>
      <c r="B169" s="1251" t="s">
        <v>1474</v>
      </c>
    </row>
    <row r="170" spans="1:2">
      <c r="A170" s="1250" t="s">
        <v>1475</v>
      </c>
      <c r="B170" s="1251" t="s">
        <v>1476</v>
      </c>
    </row>
    <row r="171" spans="1:2">
      <c r="A171" s="1250" t="s">
        <v>1477</v>
      </c>
      <c r="B171" s="1251" t="s">
        <v>1478</v>
      </c>
    </row>
    <row r="172" spans="1:2">
      <c r="A172" s="1250">
        <v>32</v>
      </c>
      <c r="B172" s="1251" t="s">
        <v>1479</v>
      </c>
    </row>
    <row r="173" spans="1:2">
      <c r="A173" s="1250" t="s">
        <v>1480</v>
      </c>
      <c r="B173" s="1251" t="s">
        <v>1481</v>
      </c>
    </row>
    <row r="174" spans="1:2">
      <c r="A174" s="1250" t="s">
        <v>1482</v>
      </c>
      <c r="B174" s="1251" t="s">
        <v>1483</v>
      </c>
    </row>
    <row r="175" spans="1:2">
      <c r="A175" s="1250">
        <v>3201</v>
      </c>
      <c r="B175" s="1251" t="s">
        <v>1484</v>
      </c>
    </row>
    <row r="176" spans="1:2">
      <c r="A176" s="1250">
        <v>3202</v>
      </c>
      <c r="B176" s="1251" t="s">
        <v>1485</v>
      </c>
    </row>
    <row r="177" spans="1:2">
      <c r="A177" s="1250" t="s">
        <v>1486</v>
      </c>
      <c r="B177" s="1251" t="s">
        <v>1487</v>
      </c>
    </row>
    <row r="178" spans="1:2">
      <c r="A178" s="1250" t="s">
        <v>1488</v>
      </c>
      <c r="B178" s="1251" t="s">
        <v>1489</v>
      </c>
    </row>
    <row r="179" spans="1:2">
      <c r="A179" s="1250">
        <v>3203</v>
      </c>
      <c r="B179" s="1251" t="s">
        <v>1490</v>
      </c>
    </row>
    <row r="180" spans="1:2">
      <c r="A180" s="1250" t="s">
        <v>1491</v>
      </c>
      <c r="B180" s="1251" t="s">
        <v>1492</v>
      </c>
    </row>
    <row r="181" spans="1:2">
      <c r="A181" s="1250" t="s">
        <v>1493</v>
      </c>
      <c r="B181" s="1251" t="s">
        <v>1494</v>
      </c>
    </row>
    <row r="182" spans="1:2">
      <c r="A182" s="1250">
        <v>3204</v>
      </c>
      <c r="B182" s="1251" t="s">
        <v>1495</v>
      </c>
    </row>
    <row r="183" spans="1:2">
      <c r="A183" s="1250" t="s">
        <v>1496</v>
      </c>
      <c r="B183" s="1251" t="s">
        <v>1497</v>
      </c>
    </row>
    <row r="184" spans="1:2">
      <c r="A184" s="1250" t="s">
        <v>1498</v>
      </c>
      <c r="B184" s="1251" t="s">
        <v>1499</v>
      </c>
    </row>
    <row r="185" spans="1:2">
      <c r="A185" s="1250">
        <v>3205</v>
      </c>
      <c r="B185" s="1251" t="s">
        <v>1500</v>
      </c>
    </row>
    <row r="186" spans="1:2">
      <c r="A186" s="1250" t="s">
        <v>1501</v>
      </c>
      <c r="B186" s="1251" t="s">
        <v>1502</v>
      </c>
    </row>
    <row r="187" spans="1:2">
      <c r="A187" s="1250" t="s">
        <v>1503</v>
      </c>
      <c r="B187" s="1251" t="s">
        <v>1504</v>
      </c>
    </row>
    <row r="188" spans="1:2">
      <c r="A188" s="1250">
        <v>3206</v>
      </c>
      <c r="B188" s="1251" t="s">
        <v>1505</v>
      </c>
    </row>
    <row r="189" spans="1:2">
      <c r="A189" s="1250" t="s">
        <v>1506</v>
      </c>
      <c r="B189" s="1251" t="s">
        <v>1507</v>
      </c>
    </row>
    <row r="190" spans="1:2">
      <c r="A190" s="1250" t="s">
        <v>1508</v>
      </c>
      <c r="B190" s="1251" t="s">
        <v>1509</v>
      </c>
    </row>
    <row r="191" spans="1:2">
      <c r="A191" s="1250">
        <v>3207</v>
      </c>
      <c r="B191" s="1251" t="s">
        <v>1510</v>
      </c>
    </row>
    <row r="192" spans="1:2">
      <c r="A192" s="1250" t="s">
        <v>1511</v>
      </c>
      <c r="B192" s="1251" t="s">
        <v>1512</v>
      </c>
    </row>
    <row r="193" spans="1:2">
      <c r="A193" s="1250" t="s">
        <v>1513</v>
      </c>
      <c r="B193" s="1251" t="s">
        <v>1514</v>
      </c>
    </row>
    <row r="194" spans="1:2">
      <c r="A194" s="1250">
        <v>3208</v>
      </c>
      <c r="B194" s="1251" t="s">
        <v>1515</v>
      </c>
    </row>
    <row r="195" spans="1:2">
      <c r="A195" s="1250" t="s">
        <v>1516</v>
      </c>
      <c r="B195" s="1251" t="s">
        <v>1517</v>
      </c>
    </row>
    <row r="196" spans="1:2">
      <c r="A196" s="1250" t="s">
        <v>1518</v>
      </c>
      <c r="B196" s="1251" t="s">
        <v>1519</v>
      </c>
    </row>
    <row r="197" spans="1:2">
      <c r="A197" s="1250">
        <v>321</v>
      </c>
      <c r="B197" s="1251" t="s">
        <v>1520</v>
      </c>
    </row>
    <row r="198" spans="1:2">
      <c r="A198" s="1250" t="s">
        <v>1521</v>
      </c>
      <c r="B198" s="1251" t="s">
        <v>1522</v>
      </c>
    </row>
    <row r="199" spans="1:2">
      <c r="A199" s="1250" t="s">
        <v>1523</v>
      </c>
      <c r="B199" s="1251" t="s">
        <v>1524</v>
      </c>
    </row>
    <row r="200" spans="1:2">
      <c r="A200" s="1250">
        <v>3212</v>
      </c>
      <c r="B200" s="1251" t="s">
        <v>1525</v>
      </c>
    </row>
    <row r="201" spans="1:2">
      <c r="A201" s="1250" t="s">
        <v>1526</v>
      </c>
      <c r="B201" s="1251" t="s">
        <v>1527</v>
      </c>
    </row>
    <row r="202" spans="1:2">
      <c r="A202" s="1250" t="s">
        <v>1528</v>
      </c>
      <c r="B202" s="1251" t="s">
        <v>1529</v>
      </c>
    </row>
    <row r="203" spans="1:2">
      <c r="A203" s="1250">
        <v>3213</v>
      </c>
      <c r="B203" s="1251" t="s">
        <v>1530</v>
      </c>
    </row>
    <row r="204" spans="1:2">
      <c r="A204" s="1250" t="s">
        <v>1531</v>
      </c>
      <c r="B204" s="1251" t="s">
        <v>1532</v>
      </c>
    </row>
    <row r="205" spans="1:2">
      <c r="A205" s="1250" t="s">
        <v>1533</v>
      </c>
      <c r="B205" s="1251" t="s">
        <v>1534</v>
      </c>
    </row>
    <row r="206" spans="1:2">
      <c r="A206" s="1250">
        <v>3214</v>
      </c>
      <c r="B206" s="1251" t="s">
        <v>1535</v>
      </c>
    </row>
    <row r="207" spans="1:2">
      <c r="A207" s="1250" t="s">
        <v>1536</v>
      </c>
      <c r="B207" s="1251" t="s">
        <v>1537</v>
      </c>
    </row>
    <row r="208" spans="1:2">
      <c r="A208" s="1250" t="s">
        <v>1538</v>
      </c>
      <c r="B208" s="1251" t="s">
        <v>1539</v>
      </c>
    </row>
    <row r="209" spans="1:2">
      <c r="A209" s="1250">
        <v>3215</v>
      </c>
      <c r="B209" s="1251" t="s">
        <v>1540</v>
      </c>
    </row>
    <row r="210" spans="1:2">
      <c r="A210" s="1250" t="s">
        <v>1541</v>
      </c>
      <c r="B210" s="1251" t="s">
        <v>1542</v>
      </c>
    </row>
    <row r="211" spans="1:2">
      <c r="A211" s="1250" t="s">
        <v>1543</v>
      </c>
      <c r="B211" s="1251" t="s">
        <v>1544</v>
      </c>
    </row>
    <row r="212" spans="1:2">
      <c r="A212" s="1250">
        <v>3216</v>
      </c>
      <c r="B212" s="1251" t="s">
        <v>1545</v>
      </c>
    </row>
    <row r="213" spans="1:2">
      <c r="A213" s="1250" t="s">
        <v>1546</v>
      </c>
      <c r="B213" s="1251" t="s">
        <v>1547</v>
      </c>
    </row>
    <row r="214" spans="1:2">
      <c r="A214" s="1250" t="s">
        <v>1548</v>
      </c>
      <c r="B214" s="1251" t="s">
        <v>1549</v>
      </c>
    </row>
    <row r="215" spans="1:2">
      <c r="A215" s="1250">
        <v>3217</v>
      </c>
      <c r="B215" s="1251" t="s">
        <v>1550</v>
      </c>
    </row>
    <row r="216" spans="1:2">
      <c r="A216" s="1250" t="s">
        <v>1551</v>
      </c>
      <c r="B216" s="1251" t="s">
        <v>1552</v>
      </c>
    </row>
    <row r="217" spans="1:2">
      <c r="A217" s="1250" t="s">
        <v>1553</v>
      </c>
      <c r="B217" s="1251" t="s">
        <v>1554</v>
      </c>
    </row>
    <row r="218" spans="1:2">
      <c r="A218" s="1250">
        <v>3218</v>
      </c>
      <c r="B218" s="1251" t="s">
        <v>1555</v>
      </c>
    </row>
    <row r="219" spans="1:2">
      <c r="A219" s="1250" t="s">
        <v>1556</v>
      </c>
      <c r="B219" s="1251" t="s">
        <v>1557</v>
      </c>
    </row>
    <row r="220" spans="1:2">
      <c r="A220" s="1250" t="s">
        <v>1558</v>
      </c>
      <c r="B220" s="1251" t="s">
        <v>1559</v>
      </c>
    </row>
    <row r="221" spans="1:2">
      <c r="A221" s="1250">
        <v>322</v>
      </c>
      <c r="B221" s="1251" t="s">
        <v>1560</v>
      </c>
    </row>
    <row r="222" spans="1:2">
      <c r="A222" s="1250" t="s">
        <v>1561</v>
      </c>
      <c r="B222" s="1251" t="s">
        <v>1562</v>
      </c>
    </row>
    <row r="223" spans="1:2">
      <c r="A223" s="1250" t="s">
        <v>1563</v>
      </c>
      <c r="B223" s="1251" t="s">
        <v>1564</v>
      </c>
    </row>
    <row r="224" spans="1:2">
      <c r="A224" s="1250">
        <v>3221</v>
      </c>
      <c r="B224" s="1251" t="s">
        <v>1565</v>
      </c>
    </row>
    <row r="225" spans="1:2">
      <c r="A225" s="1250">
        <v>3222</v>
      </c>
      <c r="B225" s="1251" t="s">
        <v>1566</v>
      </c>
    </row>
    <row r="226" spans="1:2">
      <c r="A226" s="1250" t="s">
        <v>1567</v>
      </c>
      <c r="B226" s="1251" t="s">
        <v>1568</v>
      </c>
    </row>
    <row r="227" spans="1:2">
      <c r="A227" s="1250" t="s">
        <v>1569</v>
      </c>
      <c r="B227" s="1251" t="s">
        <v>1570</v>
      </c>
    </row>
    <row r="228" spans="1:2">
      <c r="A228" s="1250">
        <v>3223</v>
      </c>
      <c r="B228" s="1251" t="s">
        <v>1571</v>
      </c>
    </row>
    <row r="229" spans="1:2">
      <c r="A229" s="1250" t="s">
        <v>1572</v>
      </c>
      <c r="B229" s="1251" t="s">
        <v>1573</v>
      </c>
    </row>
    <row r="230" spans="1:2">
      <c r="A230" s="1250" t="s">
        <v>1574</v>
      </c>
      <c r="B230" s="1251" t="s">
        <v>1575</v>
      </c>
    </row>
    <row r="231" spans="1:2">
      <c r="A231" s="1250">
        <v>3224</v>
      </c>
      <c r="B231" s="1251" t="s">
        <v>1576</v>
      </c>
    </row>
    <row r="232" spans="1:2">
      <c r="A232" s="1250" t="s">
        <v>1577</v>
      </c>
      <c r="B232" s="1251" t="s">
        <v>1578</v>
      </c>
    </row>
    <row r="233" spans="1:2">
      <c r="A233" s="1250" t="s">
        <v>1579</v>
      </c>
      <c r="B233" s="1251" t="s">
        <v>1580</v>
      </c>
    </row>
    <row r="234" spans="1:2">
      <c r="A234" s="1250">
        <v>3225</v>
      </c>
      <c r="B234" s="1251" t="s">
        <v>1581</v>
      </c>
    </row>
    <row r="235" spans="1:2">
      <c r="A235" s="1250" t="s">
        <v>1582</v>
      </c>
      <c r="B235" s="1251" t="s">
        <v>1583</v>
      </c>
    </row>
    <row r="236" spans="1:2">
      <c r="A236" s="1250" t="s">
        <v>1584</v>
      </c>
      <c r="B236" s="1251" t="s">
        <v>1585</v>
      </c>
    </row>
    <row r="237" spans="1:2">
      <c r="A237" s="1250">
        <v>3226</v>
      </c>
      <c r="B237" s="1251" t="s">
        <v>1586</v>
      </c>
    </row>
    <row r="238" spans="1:2">
      <c r="A238" s="1250" t="s">
        <v>1587</v>
      </c>
      <c r="B238" s="1251" t="s">
        <v>1588</v>
      </c>
    </row>
    <row r="239" spans="1:2">
      <c r="A239" s="1250" t="s">
        <v>1589</v>
      </c>
      <c r="B239" s="1251" t="s">
        <v>1590</v>
      </c>
    </row>
    <row r="240" spans="1:2">
      <c r="A240" s="1250">
        <v>3227</v>
      </c>
      <c r="B240" s="1251" t="s">
        <v>1591</v>
      </c>
    </row>
    <row r="241" spans="1:2">
      <c r="A241" s="1250" t="s">
        <v>1592</v>
      </c>
      <c r="B241" s="1251" t="s">
        <v>1593</v>
      </c>
    </row>
    <row r="242" spans="1:2">
      <c r="A242" s="1250" t="s">
        <v>1594</v>
      </c>
      <c r="B242" s="1251" t="s">
        <v>1595</v>
      </c>
    </row>
    <row r="243" spans="1:2">
      <c r="A243" s="1250">
        <v>3228</v>
      </c>
      <c r="B243" s="1251" t="s">
        <v>1596</v>
      </c>
    </row>
    <row r="244" spans="1:2">
      <c r="A244" s="1250" t="s">
        <v>1597</v>
      </c>
      <c r="B244" s="1251" t="s">
        <v>1598</v>
      </c>
    </row>
    <row r="245" spans="1:2">
      <c r="A245" s="1250" t="s">
        <v>1599</v>
      </c>
      <c r="B245" s="1251" t="s">
        <v>1600</v>
      </c>
    </row>
    <row r="246" spans="1:2">
      <c r="A246" s="1250">
        <v>33</v>
      </c>
      <c r="B246" s="1251" t="s">
        <v>1601</v>
      </c>
    </row>
    <row r="247" spans="1:2">
      <c r="A247" s="1250" t="s">
        <v>1602</v>
      </c>
      <c r="B247" s="1251" t="s">
        <v>1603</v>
      </c>
    </row>
    <row r="248" spans="1:2">
      <c r="A248" s="1250" t="s">
        <v>1604</v>
      </c>
      <c r="B248" s="1251" t="s">
        <v>1605</v>
      </c>
    </row>
    <row r="249" spans="1:2">
      <c r="A249" s="1250">
        <v>3301</v>
      </c>
      <c r="B249" s="1251" t="s">
        <v>1606</v>
      </c>
    </row>
    <row r="250" spans="1:2">
      <c r="A250" s="1250">
        <v>3302</v>
      </c>
      <c r="B250" s="1251" t="s">
        <v>1607</v>
      </c>
    </row>
    <row r="251" spans="1:2">
      <c r="A251" s="1250" t="s">
        <v>1608</v>
      </c>
      <c r="B251" s="1251" t="s">
        <v>1609</v>
      </c>
    </row>
    <row r="252" spans="1:2">
      <c r="A252" s="1250" t="s">
        <v>1610</v>
      </c>
      <c r="B252" s="1251" t="s">
        <v>1611</v>
      </c>
    </row>
    <row r="253" spans="1:2">
      <c r="A253" s="1250">
        <v>3303</v>
      </c>
      <c r="B253" s="1251" t="s">
        <v>1612</v>
      </c>
    </row>
    <row r="254" spans="1:2">
      <c r="A254" s="1250" t="s">
        <v>1613</v>
      </c>
      <c r="B254" s="1251" t="s">
        <v>1614</v>
      </c>
    </row>
    <row r="255" spans="1:2">
      <c r="A255" s="1250" t="s">
        <v>1615</v>
      </c>
      <c r="B255" s="1251" t="s">
        <v>1616</v>
      </c>
    </row>
    <row r="256" spans="1:2">
      <c r="A256" s="1250">
        <v>3304</v>
      </c>
      <c r="B256" s="1251" t="s">
        <v>1617</v>
      </c>
    </row>
    <row r="257" spans="1:2">
      <c r="A257" s="1250" t="s">
        <v>1618</v>
      </c>
      <c r="B257" s="1251" t="s">
        <v>1619</v>
      </c>
    </row>
    <row r="258" spans="1:2">
      <c r="A258" s="1250" t="s">
        <v>1620</v>
      </c>
      <c r="B258" s="1251" t="s">
        <v>1621</v>
      </c>
    </row>
    <row r="259" spans="1:2">
      <c r="A259" s="1250">
        <v>3305</v>
      </c>
      <c r="B259" s="1251" t="s">
        <v>1622</v>
      </c>
    </row>
    <row r="260" spans="1:2">
      <c r="A260" s="1250" t="s">
        <v>1623</v>
      </c>
      <c r="B260" s="1251" t="s">
        <v>1624</v>
      </c>
    </row>
    <row r="261" spans="1:2">
      <c r="A261" s="1250" t="s">
        <v>1625</v>
      </c>
      <c r="B261" s="1251" t="s">
        <v>1626</v>
      </c>
    </row>
    <row r="262" spans="1:2">
      <c r="A262" s="1250">
        <v>3306</v>
      </c>
      <c r="B262" s="1251" t="s">
        <v>1627</v>
      </c>
    </row>
    <row r="263" spans="1:2">
      <c r="A263" s="1250" t="s">
        <v>1628</v>
      </c>
      <c r="B263" s="1251" t="s">
        <v>1629</v>
      </c>
    </row>
    <row r="264" spans="1:2">
      <c r="A264" s="1250" t="s">
        <v>1630</v>
      </c>
      <c r="B264" s="1251" t="s">
        <v>1631</v>
      </c>
    </row>
    <row r="265" spans="1:2">
      <c r="A265" s="1250">
        <v>3307</v>
      </c>
      <c r="B265" s="1251" t="s">
        <v>1632</v>
      </c>
    </row>
    <row r="266" spans="1:2">
      <c r="A266" s="1250" t="s">
        <v>1633</v>
      </c>
      <c r="B266" s="1251" t="s">
        <v>1634</v>
      </c>
    </row>
    <row r="267" spans="1:2">
      <c r="A267" s="1250" t="s">
        <v>1635</v>
      </c>
      <c r="B267" s="1251" t="s">
        <v>1636</v>
      </c>
    </row>
    <row r="268" spans="1:2">
      <c r="A268" s="1250">
        <v>3308</v>
      </c>
      <c r="B268" s="1251" t="s">
        <v>1637</v>
      </c>
    </row>
    <row r="269" spans="1:2">
      <c r="A269" s="1250" t="s">
        <v>1638</v>
      </c>
      <c r="B269" s="1251" t="s">
        <v>1639</v>
      </c>
    </row>
    <row r="270" spans="1:2">
      <c r="A270" s="1250" t="s">
        <v>1640</v>
      </c>
      <c r="B270" s="1251" t="s">
        <v>1641</v>
      </c>
    </row>
    <row r="271" spans="1:2">
      <c r="A271" s="1250">
        <v>331</v>
      </c>
      <c r="B271" s="1251" t="s">
        <v>1642</v>
      </c>
    </row>
    <row r="272" spans="1:2">
      <c r="A272" s="1250" t="s">
        <v>1643</v>
      </c>
      <c r="B272" s="1251" t="s">
        <v>1644</v>
      </c>
    </row>
    <row r="273" spans="1:2">
      <c r="A273" s="1250" t="s">
        <v>1645</v>
      </c>
      <c r="B273" s="1251" t="s">
        <v>1646</v>
      </c>
    </row>
    <row r="274" spans="1:2">
      <c r="A274" s="1250">
        <v>3312</v>
      </c>
      <c r="B274" s="1251" t="s">
        <v>1647</v>
      </c>
    </row>
    <row r="275" spans="1:2">
      <c r="A275" s="1250" t="s">
        <v>1648</v>
      </c>
      <c r="B275" s="1251" t="s">
        <v>1649</v>
      </c>
    </row>
    <row r="276" spans="1:2">
      <c r="A276" s="1250" t="s">
        <v>1650</v>
      </c>
      <c r="B276" s="1251" t="s">
        <v>1651</v>
      </c>
    </row>
    <row r="277" spans="1:2">
      <c r="A277" s="1250">
        <v>3313</v>
      </c>
      <c r="B277" s="1251" t="s">
        <v>1652</v>
      </c>
    </row>
    <row r="278" spans="1:2">
      <c r="A278" s="1250" t="s">
        <v>1653</v>
      </c>
      <c r="B278" s="1251" t="s">
        <v>1654</v>
      </c>
    </row>
    <row r="279" spans="1:2">
      <c r="A279" s="1250" t="s">
        <v>1655</v>
      </c>
      <c r="B279" s="1251" t="s">
        <v>1656</v>
      </c>
    </row>
    <row r="280" spans="1:2">
      <c r="A280" s="1250">
        <v>3314</v>
      </c>
      <c r="B280" s="1251" t="s">
        <v>1657</v>
      </c>
    </row>
    <row r="281" spans="1:2">
      <c r="A281" s="1250" t="s">
        <v>1658</v>
      </c>
      <c r="B281" s="1251" t="s">
        <v>1659</v>
      </c>
    </row>
    <row r="282" spans="1:2">
      <c r="A282" s="1250" t="s">
        <v>1660</v>
      </c>
      <c r="B282" s="1251" t="s">
        <v>1661</v>
      </c>
    </row>
    <row r="283" spans="1:2">
      <c r="A283" s="1250">
        <v>3315</v>
      </c>
      <c r="B283" s="1251" t="s">
        <v>1662</v>
      </c>
    </row>
    <row r="284" spans="1:2">
      <c r="A284" s="1250" t="s">
        <v>1663</v>
      </c>
      <c r="B284" s="1251" t="s">
        <v>1664</v>
      </c>
    </row>
    <row r="285" spans="1:2">
      <c r="A285" s="1250" t="s">
        <v>1665</v>
      </c>
      <c r="B285" s="1251" t="s">
        <v>1666</v>
      </c>
    </row>
    <row r="286" spans="1:2">
      <c r="A286" s="1250">
        <v>3316</v>
      </c>
      <c r="B286" s="1251" t="s">
        <v>1667</v>
      </c>
    </row>
    <row r="287" spans="1:2">
      <c r="A287" s="1250" t="s">
        <v>1668</v>
      </c>
      <c r="B287" s="1251" t="s">
        <v>1669</v>
      </c>
    </row>
    <row r="288" spans="1:2">
      <c r="A288" s="1250" t="s">
        <v>1670</v>
      </c>
      <c r="B288" s="1251" t="s">
        <v>1671</v>
      </c>
    </row>
    <row r="289" spans="1:2">
      <c r="A289" s="1250">
        <v>3317</v>
      </c>
      <c r="B289" s="1251" t="s">
        <v>1672</v>
      </c>
    </row>
    <row r="290" spans="1:2">
      <c r="A290" s="1250" t="s">
        <v>1673</v>
      </c>
      <c r="B290" s="1251" t="s">
        <v>1674</v>
      </c>
    </row>
    <row r="291" spans="1:2">
      <c r="A291" s="1250" t="s">
        <v>1675</v>
      </c>
      <c r="B291" s="1251" t="s">
        <v>1676</v>
      </c>
    </row>
    <row r="292" spans="1:2">
      <c r="A292" s="1250">
        <v>3318</v>
      </c>
      <c r="B292" s="1251" t="s">
        <v>1677</v>
      </c>
    </row>
    <row r="293" spans="1:2">
      <c r="A293" s="1250" t="s">
        <v>1678</v>
      </c>
      <c r="B293" s="1251" t="s">
        <v>1679</v>
      </c>
    </row>
    <row r="294" spans="1:2">
      <c r="A294" s="1250" t="s">
        <v>1680</v>
      </c>
      <c r="B294" s="1251" t="s">
        <v>1681</v>
      </c>
    </row>
    <row r="295" spans="1:2">
      <c r="A295" s="1250">
        <v>332</v>
      </c>
      <c r="B295" s="1251" t="s">
        <v>1682</v>
      </c>
    </row>
    <row r="296" spans="1:2">
      <c r="A296" s="1250" t="s">
        <v>1683</v>
      </c>
      <c r="B296" s="1251" t="s">
        <v>1684</v>
      </c>
    </row>
    <row r="297" spans="1:2">
      <c r="A297" s="1250" t="s">
        <v>1685</v>
      </c>
      <c r="B297" s="1251" t="s">
        <v>1686</v>
      </c>
    </row>
    <row r="298" spans="1:2">
      <c r="A298" s="1250">
        <v>3321</v>
      </c>
      <c r="B298" s="1251" t="s">
        <v>1687</v>
      </c>
    </row>
    <row r="299" spans="1:2">
      <c r="A299" s="1250">
        <v>3322</v>
      </c>
      <c r="B299" s="1251" t="s">
        <v>1688</v>
      </c>
    </row>
    <row r="300" spans="1:2">
      <c r="A300" s="1250" t="s">
        <v>1689</v>
      </c>
      <c r="B300" s="1251" t="s">
        <v>1690</v>
      </c>
    </row>
    <row r="301" spans="1:2">
      <c r="A301" s="1250" t="s">
        <v>1691</v>
      </c>
      <c r="B301" s="1251" t="s">
        <v>1692</v>
      </c>
    </row>
    <row r="302" spans="1:2">
      <c r="A302" s="1250">
        <v>3323</v>
      </c>
      <c r="B302" s="1251" t="s">
        <v>1693</v>
      </c>
    </row>
    <row r="303" spans="1:2">
      <c r="A303" s="1250" t="s">
        <v>1694</v>
      </c>
      <c r="B303" s="1251" t="s">
        <v>1695</v>
      </c>
    </row>
    <row r="304" spans="1:2">
      <c r="A304" s="1250" t="s">
        <v>1696</v>
      </c>
      <c r="B304" s="1251" t="s">
        <v>1697</v>
      </c>
    </row>
    <row r="305" spans="1:2">
      <c r="A305" s="1250">
        <v>3324</v>
      </c>
      <c r="B305" s="1251" t="s">
        <v>1698</v>
      </c>
    </row>
    <row r="306" spans="1:2">
      <c r="A306" s="1250" t="s">
        <v>1699</v>
      </c>
      <c r="B306" s="1251" t="s">
        <v>1700</v>
      </c>
    </row>
    <row r="307" spans="1:2">
      <c r="A307" s="1250" t="s">
        <v>1701</v>
      </c>
      <c r="B307" s="1251" t="s">
        <v>1702</v>
      </c>
    </row>
    <row r="308" spans="1:2">
      <c r="A308" s="1250">
        <v>3325</v>
      </c>
      <c r="B308" s="1251" t="s">
        <v>1703</v>
      </c>
    </row>
    <row r="309" spans="1:2">
      <c r="A309" s="1250" t="s">
        <v>1704</v>
      </c>
      <c r="B309" s="1251" t="s">
        <v>1705</v>
      </c>
    </row>
    <row r="310" spans="1:2">
      <c r="A310" s="1250" t="s">
        <v>1706</v>
      </c>
      <c r="B310" s="1251" t="s">
        <v>1707</v>
      </c>
    </row>
    <row r="311" spans="1:2">
      <c r="A311" s="1250">
        <v>3326</v>
      </c>
      <c r="B311" s="1251" t="s">
        <v>1708</v>
      </c>
    </row>
    <row r="312" spans="1:2">
      <c r="A312" s="1250" t="s">
        <v>1709</v>
      </c>
      <c r="B312" s="1251" t="s">
        <v>1710</v>
      </c>
    </row>
    <row r="313" spans="1:2">
      <c r="A313" s="1250" t="s">
        <v>1711</v>
      </c>
      <c r="B313" s="1251" t="s">
        <v>1712</v>
      </c>
    </row>
    <row r="314" spans="1:2">
      <c r="A314" s="1250">
        <v>3327</v>
      </c>
      <c r="B314" s="1251" t="s">
        <v>1713</v>
      </c>
    </row>
    <row r="315" spans="1:2">
      <c r="A315" s="1250" t="s">
        <v>1714</v>
      </c>
      <c r="B315" s="1251" t="s">
        <v>1715</v>
      </c>
    </row>
    <row r="316" spans="1:2">
      <c r="A316" s="1250" t="s">
        <v>1716</v>
      </c>
      <c r="B316" s="1251" t="s">
        <v>1717</v>
      </c>
    </row>
    <row r="317" spans="1:2">
      <c r="A317" s="1250">
        <v>3328</v>
      </c>
      <c r="B317" s="1251" t="s">
        <v>1718</v>
      </c>
    </row>
    <row r="318" spans="1:2">
      <c r="A318" s="1250" t="s">
        <v>1719</v>
      </c>
      <c r="B318" s="1251" t="s">
        <v>1720</v>
      </c>
    </row>
    <row r="319" spans="1:2">
      <c r="A319" s="1250" t="s">
        <v>1721</v>
      </c>
      <c r="B319" s="1251" t="s">
        <v>1722</v>
      </c>
    </row>
    <row r="320" spans="1:2">
      <c r="A320" s="1250" t="s">
        <v>1723</v>
      </c>
      <c r="B320" s="1251" t="s">
        <v>1724</v>
      </c>
    </row>
    <row r="321" spans="1:2">
      <c r="A321" s="1250" t="s">
        <v>1725</v>
      </c>
      <c r="B321" s="1251" t="s">
        <v>1726</v>
      </c>
    </row>
    <row r="322" spans="1:2">
      <c r="A322" s="1250" t="s">
        <v>1727</v>
      </c>
      <c r="B322" s="1251" t="s">
        <v>1728</v>
      </c>
    </row>
    <row r="323" spans="1:2">
      <c r="A323" s="1250" t="s">
        <v>1729</v>
      </c>
      <c r="B323" s="1251" t="s">
        <v>1730</v>
      </c>
    </row>
    <row r="324" spans="1:2">
      <c r="A324" s="1250" t="s">
        <v>1731</v>
      </c>
      <c r="B324" s="1251" t="s">
        <v>1732</v>
      </c>
    </row>
    <row r="325" spans="1:2">
      <c r="A325" s="1250" t="s">
        <v>1733</v>
      </c>
      <c r="B325" s="1251" t="s">
        <v>1734</v>
      </c>
    </row>
    <row r="326" spans="1:2">
      <c r="A326" s="1250" t="s">
        <v>1735</v>
      </c>
      <c r="B326" s="1251" t="s">
        <v>1736</v>
      </c>
    </row>
    <row r="327" spans="1:2">
      <c r="A327" s="1250">
        <v>4</v>
      </c>
      <c r="B327" s="1251" t="s">
        <v>1737</v>
      </c>
    </row>
    <row r="328" spans="1:2">
      <c r="A328" s="1250">
        <v>41</v>
      </c>
      <c r="B328" s="1251" t="s">
        <v>1738</v>
      </c>
    </row>
    <row r="329" spans="1:2">
      <c r="A329" s="1250">
        <v>411</v>
      </c>
      <c r="B329" s="1251" t="s">
        <v>1739</v>
      </c>
    </row>
    <row r="330" spans="1:2">
      <c r="A330" s="1250">
        <v>4111</v>
      </c>
      <c r="B330" s="1251" t="s">
        <v>1740</v>
      </c>
    </row>
    <row r="331" spans="1:2">
      <c r="A331" s="1250">
        <v>4112</v>
      </c>
      <c r="B331" s="1251" t="s">
        <v>1741</v>
      </c>
    </row>
    <row r="332" spans="1:2">
      <c r="A332" s="1250">
        <v>4113</v>
      </c>
      <c r="B332" s="1251" t="s">
        <v>1742</v>
      </c>
    </row>
    <row r="333" spans="1:2">
      <c r="A333" s="1250">
        <v>4114</v>
      </c>
      <c r="B333" s="1251" t="s">
        <v>1743</v>
      </c>
    </row>
    <row r="334" spans="1:2">
      <c r="A334" s="1250">
        <v>412</v>
      </c>
      <c r="B334" s="1251" t="s">
        <v>1744</v>
      </c>
    </row>
    <row r="335" spans="1:2">
      <c r="A335" s="1250">
        <v>413</v>
      </c>
      <c r="B335" s="1251" t="s">
        <v>1745</v>
      </c>
    </row>
    <row r="336" spans="1:2">
      <c r="A336" s="1250">
        <v>414</v>
      </c>
      <c r="B336" s="1251" t="s">
        <v>1746</v>
      </c>
    </row>
    <row r="337" spans="1:2">
      <c r="A337" s="1250">
        <v>4141</v>
      </c>
      <c r="B337" s="1251" t="s">
        <v>1747</v>
      </c>
    </row>
    <row r="338" spans="1:2">
      <c r="A338" s="1250">
        <v>4142</v>
      </c>
      <c r="B338" s="1251" t="s">
        <v>1748</v>
      </c>
    </row>
    <row r="339" spans="1:2">
      <c r="A339" s="1250">
        <v>4143</v>
      </c>
      <c r="B339" s="1251" t="s">
        <v>1749</v>
      </c>
    </row>
    <row r="340" spans="1:2">
      <c r="A340" s="1250">
        <v>4144</v>
      </c>
      <c r="B340" s="1251" t="s">
        <v>1750</v>
      </c>
    </row>
    <row r="341" spans="1:2">
      <c r="A341" s="1250">
        <v>42</v>
      </c>
      <c r="B341" s="1251" t="s">
        <v>1751</v>
      </c>
    </row>
    <row r="342" spans="1:2">
      <c r="A342" s="1250">
        <v>4201</v>
      </c>
      <c r="B342" s="1251" t="s">
        <v>1752</v>
      </c>
    </row>
    <row r="343" spans="1:2">
      <c r="A343" s="1250">
        <v>4202</v>
      </c>
      <c r="B343" s="1251" t="s">
        <v>1753</v>
      </c>
    </row>
    <row r="344" spans="1:2">
      <c r="A344" s="1250">
        <v>4203</v>
      </c>
      <c r="B344" s="1251" t="s">
        <v>1754</v>
      </c>
    </row>
    <row r="345" spans="1:2">
      <c r="A345" s="1250">
        <v>4204</v>
      </c>
      <c r="B345" s="1251" t="s">
        <v>1755</v>
      </c>
    </row>
    <row r="346" spans="1:2">
      <c r="A346" s="1250">
        <v>4205</v>
      </c>
      <c r="B346" s="1251" t="s">
        <v>1756</v>
      </c>
    </row>
    <row r="347" spans="1:2">
      <c r="A347" s="1250">
        <v>4206</v>
      </c>
      <c r="B347" s="1251" t="s">
        <v>1757</v>
      </c>
    </row>
    <row r="348" spans="1:2">
      <c r="A348" s="1250">
        <v>4207</v>
      </c>
      <c r="B348" s="1251" t="s">
        <v>1758</v>
      </c>
    </row>
    <row r="349" spans="1:2">
      <c r="A349" s="1250">
        <v>4208</v>
      </c>
      <c r="B349" s="1251" t="s">
        <v>1759</v>
      </c>
    </row>
    <row r="350" spans="1:2">
      <c r="A350" s="1250">
        <v>421</v>
      </c>
      <c r="B350" s="1251" t="s">
        <v>1760</v>
      </c>
    </row>
    <row r="351" spans="1:2">
      <c r="A351" s="1250">
        <v>4212</v>
      </c>
      <c r="B351" s="1251" t="s">
        <v>1761</v>
      </c>
    </row>
    <row r="352" spans="1:2">
      <c r="A352" s="1250">
        <v>4213</v>
      </c>
      <c r="B352" s="1251" t="s">
        <v>1762</v>
      </c>
    </row>
    <row r="353" spans="1:2">
      <c r="A353" s="1250">
        <v>4214</v>
      </c>
      <c r="B353" s="1251" t="s">
        <v>1763</v>
      </c>
    </row>
    <row r="354" spans="1:2">
      <c r="A354" s="1250">
        <v>4215</v>
      </c>
      <c r="B354" s="1251" t="s">
        <v>1764</v>
      </c>
    </row>
    <row r="355" spans="1:2">
      <c r="A355" s="1250">
        <v>4216</v>
      </c>
      <c r="B355" s="1251" t="s">
        <v>1765</v>
      </c>
    </row>
    <row r="356" spans="1:2">
      <c r="A356" s="1250">
        <v>4217</v>
      </c>
      <c r="B356" s="1251" t="s">
        <v>1766</v>
      </c>
    </row>
    <row r="357" spans="1:2">
      <c r="A357" s="1250">
        <v>4218</v>
      </c>
      <c r="B357" s="1251" t="s">
        <v>1767</v>
      </c>
    </row>
    <row r="358" spans="1:2">
      <c r="A358" s="1250">
        <v>422</v>
      </c>
      <c r="B358" s="1251" t="s">
        <v>1768</v>
      </c>
    </row>
    <row r="359" spans="1:2">
      <c r="A359" s="1250">
        <v>4221</v>
      </c>
      <c r="B359" s="1251" t="s">
        <v>1769</v>
      </c>
    </row>
    <row r="360" spans="1:2">
      <c r="A360" s="1250">
        <v>4222</v>
      </c>
      <c r="B360" s="1251" t="s">
        <v>1770</v>
      </c>
    </row>
    <row r="361" spans="1:2">
      <c r="A361" s="1250">
        <v>4223</v>
      </c>
      <c r="B361" s="1251" t="s">
        <v>1771</v>
      </c>
    </row>
    <row r="362" spans="1:2">
      <c r="A362" s="1250">
        <v>4224</v>
      </c>
      <c r="B362" s="1251" t="s">
        <v>1772</v>
      </c>
    </row>
    <row r="363" spans="1:2">
      <c r="A363" s="1250">
        <v>4225</v>
      </c>
      <c r="B363" s="1251" t="s">
        <v>1773</v>
      </c>
    </row>
    <row r="364" spans="1:2">
      <c r="A364" s="1250">
        <v>4226</v>
      </c>
      <c r="B364" s="1251" t="s">
        <v>1774</v>
      </c>
    </row>
    <row r="365" spans="1:2">
      <c r="A365" s="1250">
        <v>4227</v>
      </c>
      <c r="B365" s="1251" t="s">
        <v>1775</v>
      </c>
    </row>
    <row r="366" spans="1:2">
      <c r="A366" s="1250">
        <v>4228</v>
      </c>
      <c r="B366" s="1251" t="s">
        <v>1776</v>
      </c>
    </row>
    <row r="367" spans="1:2">
      <c r="A367" s="1250">
        <v>43</v>
      </c>
      <c r="B367" s="1251" t="s">
        <v>1777</v>
      </c>
    </row>
    <row r="368" spans="1:2">
      <c r="A368" s="1250">
        <v>4301</v>
      </c>
      <c r="B368" s="1251" t="s">
        <v>1778</v>
      </c>
    </row>
    <row r="369" spans="1:2">
      <c r="A369" s="1250">
        <v>4302</v>
      </c>
      <c r="B369" s="1251" t="s">
        <v>1779</v>
      </c>
    </row>
    <row r="370" spans="1:2">
      <c r="A370" s="1250">
        <v>4303</v>
      </c>
      <c r="B370" s="1251" t="s">
        <v>1780</v>
      </c>
    </row>
    <row r="371" spans="1:2">
      <c r="A371" s="1250">
        <v>4304</v>
      </c>
      <c r="B371" s="1251" t="s">
        <v>1781</v>
      </c>
    </row>
    <row r="372" spans="1:2">
      <c r="A372" s="1250">
        <v>4305</v>
      </c>
      <c r="B372" s="1251" t="s">
        <v>1782</v>
      </c>
    </row>
    <row r="373" spans="1:2">
      <c r="A373" s="1250">
        <v>4306</v>
      </c>
      <c r="B373" s="1251" t="s">
        <v>1783</v>
      </c>
    </row>
    <row r="374" spans="1:2">
      <c r="A374" s="1250">
        <v>4307</v>
      </c>
      <c r="B374" s="1251" t="s">
        <v>1784</v>
      </c>
    </row>
    <row r="375" spans="1:2">
      <c r="A375" s="1250">
        <v>4308</v>
      </c>
      <c r="B375" s="1251" t="s">
        <v>1785</v>
      </c>
    </row>
    <row r="376" spans="1:2">
      <c r="A376" s="1250">
        <v>431</v>
      </c>
      <c r="B376" s="1251" t="s">
        <v>1786</v>
      </c>
    </row>
    <row r="377" spans="1:2">
      <c r="A377" s="1250">
        <v>4312</v>
      </c>
      <c r="B377" s="1251" t="s">
        <v>1787</v>
      </c>
    </row>
    <row r="378" spans="1:2">
      <c r="A378" s="1250">
        <v>4313</v>
      </c>
      <c r="B378" s="1251" t="s">
        <v>1788</v>
      </c>
    </row>
    <row r="379" spans="1:2">
      <c r="A379" s="1250">
        <v>4314</v>
      </c>
      <c r="B379" s="1251" t="s">
        <v>1789</v>
      </c>
    </row>
    <row r="380" spans="1:2">
      <c r="A380" s="1250">
        <v>4315</v>
      </c>
      <c r="B380" s="1251" t="s">
        <v>1790</v>
      </c>
    </row>
    <row r="381" spans="1:2">
      <c r="A381" s="1250">
        <v>4316</v>
      </c>
      <c r="B381" s="1251" t="s">
        <v>1791</v>
      </c>
    </row>
    <row r="382" spans="1:2">
      <c r="A382" s="1250">
        <v>4317</v>
      </c>
      <c r="B382" s="1251" t="s">
        <v>1792</v>
      </c>
    </row>
    <row r="383" spans="1:2">
      <c r="A383" s="1250">
        <v>4318</v>
      </c>
      <c r="B383" s="1251" t="s">
        <v>1793</v>
      </c>
    </row>
    <row r="384" spans="1:2">
      <c r="A384" s="1250">
        <v>432</v>
      </c>
      <c r="B384" s="1251" t="s">
        <v>1794</v>
      </c>
    </row>
    <row r="385" spans="1:2">
      <c r="A385" s="1250">
        <v>4321</v>
      </c>
      <c r="B385" s="1251" t="s">
        <v>1795</v>
      </c>
    </row>
    <row r="386" spans="1:2">
      <c r="A386" s="1250">
        <v>4322</v>
      </c>
      <c r="B386" s="1251" t="s">
        <v>1796</v>
      </c>
    </row>
    <row r="387" spans="1:2">
      <c r="A387" s="1250">
        <v>4323</v>
      </c>
      <c r="B387" s="1251" t="s">
        <v>1797</v>
      </c>
    </row>
    <row r="388" spans="1:2">
      <c r="A388" s="1250">
        <v>4324</v>
      </c>
      <c r="B388" s="1251" t="s">
        <v>1798</v>
      </c>
    </row>
    <row r="389" spans="1:2">
      <c r="A389" s="1250">
        <v>4325</v>
      </c>
      <c r="B389" s="1251" t="s">
        <v>1799</v>
      </c>
    </row>
    <row r="390" spans="1:2">
      <c r="A390" s="1250">
        <v>4326</v>
      </c>
      <c r="B390" s="1251" t="s">
        <v>1800</v>
      </c>
    </row>
    <row r="391" spans="1:2">
      <c r="A391" s="1250">
        <v>4327</v>
      </c>
      <c r="B391" s="1251" t="s">
        <v>1801</v>
      </c>
    </row>
    <row r="392" spans="1:2">
      <c r="A392" s="1250">
        <v>4328</v>
      </c>
      <c r="B392" s="1251" t="s">
        <v>1802</v>
      </c>
    </row>
    <row r="393" spans="1:2">
      <c r="A393" s="1250" t="s">
        <v>1803</v>
      </c>
      <c r="B393" s="1251" t="s">
        <v>1804</v>
      </c>
    </row>
    <row r="394" spans="1:2">
      <c r="A394" s="1250">
        <v>5</v>
      </c>
      <c r="B394" s="1251" t="s">
        <v>1805</v>
      </c>
    </row>
    <row r="395" spans="1:2">
      <c r="A395" s="1250">
        <v>51</v>
      </c>
      <c r="B395" s="1251" t="s">
        <v>1806</v>
      </c>
    </row>
    <row r="396" spans="1:2">
      <c r="A396" s="1250">
        <v>511</v>
      </c>
      <c r="B396" s="1251" t="s">
        <v>1807</v>
      </c>
    </row>
    <row r="397" spans="1:2">
      <c r="A397" s="1250">
        <v>5111</v>
      </c>
      <c r="B397" s="1251" t="s">
        <v>1808</v>
      </c>
    </row>
    <row r="398" spans="1:2">
      <c r="A398" s="1250">
        <v>5112</v>
      </c>
      <c r="B398" s="1251" t="s">
        <v>1809</v>
      </c>
    </row>
    <row r="399" spans="1:2">
      <c r="A399" s="1250">
        <v>5113</v>
      </c>
      <c r="B399" s="1251" t="s">
        <v>1810</v>
      </c>
    </row>
    <row r="400" spans="1:2">
      <c r="A400" s="1250">
        <v>5114</v>
      </c>
      <c r="B400" s="1251" t="s">
        <v>1811</v>
      </c>
    </row>
    <row r="401" spans="1:2">
      <c r="A401" s="1250">
        <v>512</v>
      </c>
      <c r="B401" s="1251" t="s">
        <v>1812</v>
      </c>
    </row>
    <row r="402" spans="1:2">
      <c r="A402" s="1250">
        <v>513</v>
      </c>
      <c r="B402" s="1251" t="s">
        <v>1813</v>
      </c>
    </row>
    <row r="403" spans="1:2">
      <c r="A403" s="1250">
        <v>514</v>
      </c>
      <c r="B403" s="1251" t="s">
        <v>1814</v>
      </c>
    </row>
    <row r="404" spans="1:2">
      <c r="A404" s="1250">
        <v>5141</v>
      </c>
      <c r="B404" s="1251" t="s">
        <v>1815</v>
      </c>
    </row>
    <row r="405" spans="1:2">
      <c r="A405" s="1250">
        <v>5142</v>
      </c>
      <c r="B405" s="1251" t="s">
        <v>1816</v>
      </c>
    </row>
    <row r="406" spans="1:2">
      <c r="A406" s="1250">
        <v>5143</v>
      </c>
      <c r="B406" s="1251" t="s">
        <v>1817</v>
      </c>
    </row>
    <row r="407" spans="1:2">
      <c r="A407" s="1250">
        <v>5144</v>
      </c>
      <c r="B407" s="1251" t="s">
        <v>1818</v>
      </c>
    </row>
    <row r="408" spans="1:2">
      <c r="A408" s="1250">
        <v>52</v>
      </c>
      <c r="B408" s="1251" t="s">
        <v>1819</v>
      </c>
    </row>
    <row r="409" spans="1:2">
      <c r="A409" s="1250">
        <v>5201</v>
      </c>
      <c r="B409" s="1251" t="s">
        <v>1820</v>
      </c>
    </row>
    <row r="410" spans="1:2">
      <c r="A410" s="1250">
        <v>5202</v>
      </c>
      <c r="B410" s="1251" t="s">
        <v>1821</v>
      </c>
    </row>
    <row r="411" spans="1:2">
      <c r="A411" s="1250">
        <v>5203</v>
      </c>
      <c r="B411" s="1251" t="s">
        <v>1822</v>
      </c>
    </row>
    <row r="412" spans="1:2">
      <c r="A412" s="1250">
        <v>5204</v>
      </c>
      <c r="B412" s="1251" t="s">
        <v>1823</v>
      </c>
    </row>
    <row r="413" spans="1:2">
      <c r="A413" s="1250">
        <v>5205</v>
      </c>
      <c r="B413" s="1251" t="s">
        <v>1824</v>
      </c>
    </row>
    <row r="414" spans="1:2">
      <c r="A414" s="1250">
        <v>5206</v>
      </c>
      <c r="B414" s="1251" t="s">
        <v>1825</v>
      </c>
    </row>
    <row r="415" spans="1:2">
      <c r="A415" s="1250">
        <v>5207</v>
      </c>
      <c r="B415" s="1251" t="s">
        <v>1826</v>
      </c>
    </row>
    <row r="416" spans="1:2">
      <c r="A416" s="1250">
        <v>5208</v>
      </c>
      <c r="B416" s="1251" t="s">
        <v>1827</v>
      </c>
    </row>
    <row r="417" spans="1:2">
      <c r="A417" s="1250">
        <v>521</v>
      </c>
      <c r="B417" s="1251" t="s">
        <v>1828</v>
      </c>
    </row>
    <row r="418" spans="1:2">
      <c r="A418" s="1250">
        <v>5212</v>
      </c>
      <c r="B418" s="1251" t="s">
        <v>1829</v>
      </c>
    </row>
    <row r="419" spans="1:2">
      <c r="A419" s="1250">
        <v>5213</v>
      </c>
      <c r="B419" s="1251" t="s">
        <v>1830</v>
      </c>
    </row>
    <row r="420" spans="1:2">
      <c r="A420" s="1250">
        <v>5214</v>
      </c>
      <c r="B420" s="1251" t="s">
        <v>1831</v>
      </c>
    </row>
    <row r="421" spans="1:2">
      <c r="A421" s="1250">
        <v>5215</v>
      </c>
      <c r="B421" s="1251" t="s">
        <v>1832</v>
      </c>
    </row>
    <row r="422" spans="1:2">
      <c r="A422" s="1250">
        <v>5216</v>
      </c>
      <c r="B422" s="1251" t="s">
        <v>1833</v>
      </c>
    </row>
    <row r="423" spans="1:2">
      <c r="A423" s="1250">
        <v>5217</v>
      </c>
      <c r="B423" s="1251" t="s">
        <v>1834</v>
      </c>
    </row>
    <row r="424" spans="1:2">
      <c r="A424" s="1250">
        <v>5218</v>
      </c>
      <c r="B424" s="1251" t="s">
        <v>1835</v>
      </c>
    </row>
    <row r="425" spans="1:2">
      <c r="A425" s="1250">
        <v>522</v>
      </c>
      <c r="B425" s="1251" t="s">
        <v>1836</v>
      </c>
    </row>
    <row r="426" spans="1:2">
      <c r="A426" s="1250">
        <v>5221</v>
      </c>
      <c r="B426" s="1251" t="s">
        <v>1837</v>
      </c>
    </row>
    <row r="427" spans="1:2">
      <c r="A427" s="1250">
        <v>5222</v>
      </c>
      <c r="B427" s="1251" t="s">
        <v>1838</v>
      </c>
    </row>
    <row r="428" spans="1:2">
      <c r="A428" s="1250">
        <v>5223</v>
      </c>
      <c r="B428" s="1251" t="s">
        <v>1839</v>
      </c>
    </row>
    <row r="429" spans="1:2">
      <c r="A429" s="1250">
        <v>5224</v>
      </c>
      <c r="B429" s="1251" t="s">
        <v>1840</v>
      </c>
    </row>
    <row r="430" spans="1:2">
      <c r="A430" s="1250">
        <v>5225</v>
      </c>
      <c r="B430" s="1251" t="s">
        <v>1841</v>
      </c>
    </row>
    <row r="431" spans="1:2">
      <c r="A431" s="1250">
        <v>5226</v>
      </c>
      <c r="B431" s="1251" t="s">
        <v>1842</v>
      </c>
    </row>
    <row r="432" spans="1:2">
      <c r="A432" s="1250">
        <v>5227</v>
      </c>
      <c r="B432" s="1251" t="s">
        <v>1843</v>
      </c>
    </row>
    <row r="433" spans="1:2">
      <c r="A433" s="1250">
        <v>5228</v>
      </c>
      <c r="B433" s="1251" t="s">
        <v>1844</v>
      </c>
    </row>
    <row r="434" spans="1:2">
      <c r="A434" s="1250">
        <v>53</v>
      </c>
      <c r="B434" s="1251" t="s">
        <v>1845</v>
      </c>
    </row>
    <row r="435" spans="1:2">
      <c r="A435" s="1250">
        <v>5301</v>
      </c>
      <c r="B435" s="1251" t="s">
        <v>1846</v>
      </c>
    </row>
    <row r="436" spans="1:2">
      <c r="A436" s="1250">
        <v>5302</v>
      </c>
      <c r="B436" s="1251" t="s">
        <v>1847</v>
      </c>
    </row>
    <row r="437" spans="1:2">
      <c r="A437" s="1250">
        <v>5303</v>
      </c>
      <c r="B437" s="1251" t="s">
        <v>1848</v>
      </c>
    </row>
    <row r="438" spans="1:2">
      <c r="A438" s="1250">
        <v>5304</v>
      </c>
      <c r="B438" s="1251" t="s">
        <v>1849</v>
      </c>
    </row>
    <row r="439" spans="1:2">
      <c r="A439" s="1250">
        <v>5305</v>
      </c>
      <c r="B439" s="1251" t="s">
        <v>1850</v>
      </c>
    </row>
    <row r="440" spans="1:2">
      <c r="A440" s="1250">
        <v>5306</v>
      </c>
      <c r="B440" s="1251" t="s">
        <v>1851</v>
      </c>
    </row>
    <row r="441" spans="1:2">
      <c r="A441" s="1250">
        <v>5307</v>
      </c>
      <c r="B441" s="1251" t="s">
        <v>1852</v>
      </c>
    </row>
    <row r="442" spans="1:2">
      <c r="A442" s="1250">
        <v>5308</v>
      </c>
      <c r="B442" s="1251" t="s">
        <v>1853</v>
      </c>
    </row>
    <row r="443" spans="1:2">
      <c r="A443" s="1250">
        <v>531</v>
      </c>
      <c r="B443" s="1251" t="s">
        <v>1854</v>
      </c>
    </row>
    <row r="444" spans="1:2">
      <c r="A444" s="1250">
        <v>5312</v>
      </c>
      <c r="B444" s="1251" t="s">
        <v>1855</v>
      </c>
    </row>
    <row r="445" spans="1:2">
      <c r="A445" s="1250">
        <v>5313</v>
      </c>
      <c r="B445" s="1251" t="s">
        <v>1856</v>
      </c>
    </row>
    <row r="446" spans="1:2">
      <c r="A446" s="1250">
        <v>5314</v>
      </c>
      <c r="B446" s="1251" t="s">
        <v>1857</v>
      </c>
    </row>
    <row r="447" spans="1:2">
      <c r="A447" s="1250">
        <v>5315</v>
      </c>
      <c r="B447" s="1251" t="s">
        <v>1858</v>
      </c>
    </row>
    <row r="448" spans="1:2">
      <c r="A448" s="1250">
        <v>5316</v>
      </c>
      <c r="B448" s="1251" t="s">
        <v>1859</v>
      </c>
    </row>
    <row r="449" spans="1:2">
      <c r="A449" s="1250">
        <v>5317</v>
      </c>
      <c r="B449" s="1251" t="s">
        <v>1860</v>
      </c>
    </row>
    <row r="450" spans="1:2">
      <c r="A450" s="1250">
        <v>5318</v>
      </c>
      <c r="B450" s="1251" t="s">
        <v>1861</v>
      </c>
    </row>
    <row r="451" spans="1:2">
      <c r="A451" s="1250">
        <v>532</v>
      </c>
      <c r="B451" s="1251" t="s">
        <v>1862</v>
      </c>
    </row>
    <row r="452" spans="1:2">
      <c r="A452" s="1250">
        <v>5321</v>
      </c>
      <c r="B452" s="1251" t="s">
        <v>1863</v>
      </c>
    </row>
    <row r="453" spans="1:2">
      <c r="A453" s="1250">
        <v>5322</v>
      </c>
      <c r="B453" s="1251" t="s">
        <v>1864</v>
      </c>
    </row>
    <row r="454" spans="1:2">
      <c r="A454" s="1250">
        <v>5323</v>
      </c>
      <c r="B454" s="1251" t="s">
        <v>1865</v>
      </c>
    </row>
    <row r="455" spans="1:2">
      <c r="A455" s="1250">
        <v>5324</v>
      </c>
      <c r="B455" s="1251" t="s">
        <v>1866</v>
      </c>
    </row>
    <row r="456" spans="1:2">
      <c r="A456" s="1250">
        <v>5325</v>
      </c>
      <c r="B456" s="1251" t="s">
        <v>1867</v>
      </c>
    </row>
    <row r="457" spans="1:2">
      <c r="A457" s="1250">
        <v>5326</v>
      </c>
      <c r="B457" s="1251" t="s">
        <v>1868</v>
      </c>
    </row>
    <row r="458" spans="1:2">
      <c r="A458" s="1250">
        <v>5327</v>
      </c>
      <c r="B458" s="1251" t="s">
        <v>1869</v>
      </c>
    </row>
    <row r="459" spans="1:2">
      <c r="A459" s="1250">
        <v>5328</v>
      </c>
      <c r="B459" s="1251" t="s">
        <v>1870</v>
      </c>
    </row>
    <row r="460" spans="1:2">
      <c r="A460" s="1250" t="s">
        <v>1871</v>
      </c>
      <c r="B460" s="1251" t="s">
        <v>1872</v>
      </c>
    </row>
    <row r="461" spans="1:2">
      <c r="A461" s="1250">
        <v>6</v>
      </c>
      <c r="B461" s="1251" t="s">
        <v>1873</v>
      </c>
    </row>
    <row r="462" spans="1:2">
      <c r="A462" s="1250">
        <v>61</v>
      </c>
      <c r="B462" s="1251" t="s">
        <v>1874</v>
      </c>
    </row>
    <row r="463" spans="1:2">
      <c r="A463" s="1250">
        <v>611</v>
      </c>
      <c r="B463" s="1251" t="s">
        <v>1875</v>
      </c>
    </row>
    <row r="464" spans="1:2">
      <c r="A464" s="1250">
        <v>6111</v>
      </c>
      <c r="B464" s="1251" t="s">
        <v>1876</v>
      </c>
    </row>
    <row r="465" spans="1:2">
      <c r="A465" s="1250">
        <v>6112</v>
      </c>
      <c r="B465" s="1251" t="s">
        <v>1877</v>
      </c>
    </row>
    <row r="466" spans="1:2">
      <c r="A466" s="1250">
        <v>6113</v>
      </c>
      <c r="B466" s="1251" t="s">
        <v>1878</v>
      </c>
    </row>
    <row r="467" spans="1:2">
      <c r="A467" s="1250">
        <v>6114</v>
      </c>
      <c r="B467" s="1251" t="s">
        <v>1879</v>
      </c>
    </row>
    <row r="468" spans="1:2">
      <c r="A468" s="1250">
        <v>612</v>
      </c>
      <c r="B468" s="1251" t="s">
        <v>1880</v>
      </c>
    </row>
    <row r="469" spans="1:2">
      <c r="A469" s="1250">
        <v>613</v>
      </c>
      <c r="B469" s="1251" t="s">
        <v>1881</v>
      </c>
    </row>
    <row r="470" spans="1:2">
      <c r="A470" s="1250">
        <v>614</v>
      </c>
      <c r="B470" s="1251" t="s">
        <v>1882</v>
      </c>
    </row>
    <row r="471" spans="1:2">
      <c r="A471" s="1250">
        <v>6141</v>
      </c>
      <c r="B471" s="1251" t="s">
        <v>1883</v>
      </c>
    </row>
    <row r="472" spans="1:2">
      <c r="A472" s="1250">
        <v>6142</v>
      </c>
      <c r="B472" s="1251" t="s">
        <v>1884</v>
      </c>
    </row>
    <row r="473" spans="1:2">
      <c r="A473" s="1250">
        <v>6143</v>
      </c>
      <c r="B473" s="1251" t="s">
        <v>1885</v>
      </c>
    </row>
    <row r="474" spans="1:2">
      <c r="A474" s="1250">
        <v>6144</v>
      </c>
      <c r="B474" s="1251" t="s">
        <v>1886</v>
      </c>
    </row>
    <row r="475" spans="1:2">
      <c r="A475" s="1250">
        <v>62</v>
      </c>
      <c r="B475" s="1251" t="s">
        <v>1887</v>
      </c>
    </row>
    <row r="476" spans="1:2">
      <c r="A476" s="1250">
        <v>6201</v>
      </c>
      <c r="B476" s="1251" t="s">
        <v>1888</v>
      </c>
    </row>
    <row r="477" spans="1:2">
      <c r="A477" s="1250">
        <v>6202</v>
      </c>
      <c r="B477" s="1251" t="s">
        <v>1889</v>
      </c>
    </row>
    <row r="478" spans="1:2">
      <c r="A478" s="1250">
        <v>6203</v>
      </c>
      <c r="B478" s="1251" t="s">
        <v>1890</v>
      </c>
    </row>
    <row r="479" spans="1:2">
      <c r="A479" s="1250">
        <v>6204</v>
      </c>
      <c r="B479" s="1251" t="s">
        <v>1891</v>
      </c>
    </row>
    <row r="480" spans="1:2">
      <c r="A480" s="1250">
        <v>6205</v>
      </c>
      <c r="B480" s="1251" t="s">
        <v>1892</v>
      </c>
    </row>
    <row r="481" spans="1:2">
      <c r="A481" s="1250">
        <v>6206</v>
      </c>
      <c r="B481" s="1251" t="s">
        <v>1893</v>
      </c>
    </row>
    <row r="482" spans="1:2">
      <c r="A482" s="1250">
        <v>6207</v>
      </c>
      <c r="B482" s="1251" t="s">
        <v>1894</v>
      </c>
    </row>
    <row r="483" spans="1:2">
      <c r="A483" s="1250">
        <v>6208</v>
      </c>
      <c r="B483" s="1251" t="s">
        <v>1895</v>
      </c>
    </row>
    <row r="484" spans="1:2">
      <c r="A484" s="1250">
        <v>621</v>
      </c>
      <c r="B484" s="1251" t="s">
        <v>1896</v>
      </c>
    </row>
    <row r="485" spans="1:2">
      <c r="A485" s="1250">
        <v>6212</v>
      </c>
      <c r="B485" s="1251" t="s">
        <v>1897</v>
      </c>
    </row>
    <row r="486" spans="1:2">
      <c r="A486" s="1250">
        <v>6213</v>
      </c>
      <c r="B486" s="1251" t="s">
        <v>1898</v>
      </c>
    </row>
    <row r="487" spans="1:2">
      <c r="A487" s="1250">
        <v>6214</v>
      </c>
      <c r="B487" s="1251" t="s">
        <v>1899</v>
      </c>
    </row>
    <row r="488" spans="1:2">
      <c r="A488" s="1250">
        <v>6215</v>
      </c>
      <c r="B488" s="1251" t="s">
        <v>1900</v>
      </c>
    </row>
    <row r="489" spans="1:2">
      <c r="A489" s="1250">
        <v>6216</v>
      </c>
      <c r="B489" s="1251" t="s">
        <v>1901</v>
      </c>
    </row>
    <row r="490" spans="1:2">
      <c r="A490" s="1250">
        <v>6217</v>
      </c>
      <c r="B490" s="1251" t="s">
        <v>1902</v>
      </c>
    </row>
    <row r="491" spans="1:2">
      <c r="A491" s="1250">
        <v>6218</v>
      </c>
      <c r="B491" s="1251" t="s">
        <v>1903</v>
      </c>
    </row>
    <row r="492" spans="1:2">
      <c r="A492" s="1250">
        <v>622</v>
      </c>
      <c r="B492" s="1251" t="s">
        <v>1904</v>
      </c>
    </row>
    <row r="493" spans="1:2">
      <c r="A493" s="1250">
        <v>6221</v>
      </c>
      <c r="B493" s="1251" t="s">
        <v>1905</v>
      </c>
    </row>
    <row r="494" spans="1:2">
      <c r="A494" s="1250">
        <v>6222</v>
      </c>
      <c r="B494" s="1251" t="s">
        <v>1906</v>
      </c>
    </row>
    <row r="495" spans="1:2">
      <c r="A495" s="1250">
        <v>6223</v>
      </c>
      <c r="B495" s="1251" t="s">
        <v>1907</v>
      </c>
    </row>
    <row r="496" spans="1:2">
      <c r="A496" s="1250">
        <v>6224</v>
      </c>
      <c r="B496" s="1251" t="s">
        <v>1908</v>
      </c>
    </row>
    <row r="497" spans="1:2">
      <c r="A497" s="1250">
        <v>6225</v>
      </c>
      <c r="B497" s="1251" t="s">
        <v>1909</v>
      </c>
    </row>
    <row r="498" spans="1:2">
      <c r="A498" s="1250">
        <v>6226</v>
      </c>
      <c r="B498" s="1251" t="s">
        <v>1910</v>
      </c>
    </row>
    <row r="499" spans="1:2">
      <c r="A499" s="1250">
        <v>6227</v>
      </c>
      <c r="B499" s="1251" t="s">
        <v>1911</v>
      </c>
    </row>
    <row r="500" spans="1:2">
      <c r="A500" s="1250">
        <v>6228</v>
      </c>
      <c r="B500" s="1251" t="s">
        <v>1912</v>
      </c>
    </row>
    <row r="501" spans="1:2">
      <c r="A501" s="1250">
        <v>63</v>
      </c>
      <c r="B501" s="1251" t="s">
        <v>1913</v>
      </c>
    </row>
    <row r="502" spans="1:2">
      <c r="A502" s="1250">
        <v>6301</v>
      </c>
      <c r="B502" s="1251" t="s">
        <v>1914</v>
      </c>
    </row>
    <row r="503" spans="1:2">
      <c r="A503" s="1250">
        <v>6302</v>
      </c>
      <c r="B503" s="1251" t="s">
        <v>1915</v>
      </c>
    </row>
    <row r="504" spans="1:2">
      <c r="A504" s="1250">
        <v>6303</v>
      </c>
      <c r="B504" s="1251" t="s">
        <v>1916</v>
      </c>
    </row>
    <row r="505" spans="1:2">
      <c r="A505" s="1250">
        <v>6304</v>
      </c>
      <c r="B505" s="1251" t="s">
        <v>1917</v>
      </c>
    </row>
    <row r="506" spans="1:2">
      <c r="A506" s="1250">
        <v>6305</v>
      </c>
      <c r="B506" s="1251" t="s">
        <v>1918</v>
      </c>
    </row>
    <row r="507" spans="1:2">
      <c r="A507" s="1250">
        <v>6306</v>
      </c>
      <c r="B507" s="1251" t="s">
        <v>1919</v>
      </c>
    </row>
    <row r="508" spans="1:2">
      <c r="A508" s="1250">
        <v>6307</v>
      </c>
      <c r="B508" s="1251" t="s">
        <v>1920</v>
      </c>
    </row>
    <row r="509" spans="1:2">
      <c r="A509" s="1250">
        <v>6308</v>
      </c>
      <c r="B509" s="1251" t="s">
        <v>1921</v>
      </c>
    </row>
    <row r="510" spans="1:2">
      <c r="A510" s="1250">
        <v>631</v>
      </c>
      <c r="B510" s="1251" t="s">
        <v>1922</v>
      </c>
    </row>
    <row r="511" spans="1:2">
      <c r="A511" s="1250">
        <v>6312</v>
      </c>
      <c r="B511" s="1251" t="s">
        <v>1923</v>
      </c>
    </row>
    <row r="512" spans="1:2">
      <c r="A512" s="1250">
        <v>6313</v>
      </c>
      <c r="B512" s="1251" t="s">
        <v>1924</v>
      </c>
    </row>
    <row r="513" spans="1:2">
      <c r="A513" s="1250">
        <v>6314</v>
      </c>
      <c r="B513" s="1251" t="s">
        <v>1925</v>
      </c>
    </row>
    <row r="514" spans="1:2">
      <c r="A514" s="1250">
        <v>6315</v>
      </c>
      <c r="B514" s="1251" t="s">
        <v>1926</v>
      </c>
    </row>
    <row r="515" spans="1:2">
      <c r="A515" s="1250">
        <v>6316</v>
      </c>
      <c r="B515" s="1251" t="s">
        <v>1927</v>
      </c>
    </row>
    <row r="516" spans="1:2">
      <c r="A516" s="1250">
        <v>6317</v>
      </c>
      <c r="B516" s="1251" t="s">
        <v>1928</v>
      </c>
    </row>
    <row r="517" spans="1:2">
      <c r="A517" s="1250">
        <v>6318</v>
      </c>
      <c r="B517" s="1251" t="s">
        <v>1929</v>
      </c>
    </row>
    <row r="518" spans="1:2">
      <c r="A518" s="1250">
        <v>632</v>
      </c>
      <c r="B518" s="1251" t="s">
        <v>1930</v>
      </c>
    </row>
    <row r="519" spans="1:2">
      <c r="A519" s="1250">
        <v>6321</v>
      </c>
      <c r="B519" s="1251" t="s">
        <v>1931</v>
      </c>
    </row>
    <row r="520" spans="1:2">
      <c r="A520" s="1250">
        <v>6322</v>
      </c>
      <c r="B520" s="1251" t="s">
        <v>1932</v>
      </c>
    </row>
    <row r="521" spans="1:2">
      <c r="A521" s="1250">
        <v>6323</v>
      </c>
      <c r="B521" s="1251" t="s">
        <v>1933</v>
      </c>
    </row>
    <row r="522" spans="1:2">
      <c r="A522" s="1250">
        <v>6324</v>
      </c>
      <c r="B522" s="1251" t="s">
        <v>1934</v>
      </c>
    </row>
    <row r="523" spans="1:2">
      <c r="A523" s="1250">
        <v>6325</v>
      </c>
      <c r="B523" s="1251" t="s">
        <v>1935</v>
      </c>
    </row>
    <row r="524" spans="1:2">
      <c r="A524" s="1250">
        <v>6326</v>
      </c>
      <c r="B524" s="1251" t="s">
        <v>1936</v>
      </c>
    </row>
    <row r="525" spans="1:2">
      <c r="A525" s="1250">
        <v>6327</v>
      </c>
      <c r="B525" s="1251" t="s">
        <v>1937</v>
      </c>
    </row>
    <row r="526" spans="1:2">
      <c r="A526" s="1250">
        <v>6328</v>
      </c>
      <c r="B526" s="1251" t="s">
        <v>1938</v>
      </c>
    </row>
    <row r="527" spans="1:2">
      <c r="A527" s="1250" t="s">
        <v>1939</v>
      </c>
      <c r="B527" s="1251" t="s">
        <v>1940</v>
      </c>
    </row>
    <row r="528" spans="1:2">
      <c r="A528" s="1250" t="s">
        <v>1941</v>
      </c>
      <c r="B528" s="1251" t="s">
        <v>1942</v>
      </c>
    </row>
    <row r="529" spans="1:2">
      <c r="A529" s="1250" t="s">
        <v>1943</v>
      </c>
      <c r="B529" s="1251" t="s">
        <v>1944</v>
      </c>
    </row>
    <row r="530" spans="1:2">
      <c r="A530" s="1250" t="s">
        <v>1945</v>
      </c>
      <c r="B530" s="1251" t="s">
        <v>1946</v>
      </c>
    </row>
    <row r="531" spans="1:2">
      <c r="A531" s="1250" t="s">
        <v>1947</v>
      </c>
      <c r="B531" s="1251" t="s">
        <v>1948</v>
      </c>
    </row>
    <row r="532" spans="1:2">
      <c r="A532" s="1250" t="s">
        <v>1949</v>
      </c>
      <c r="B532" s="1251" t="s">
        <v>1950</v>
      </c>
    </row>
    <row r="533" spans="1:2">
      <c r="A533" s="1250" t="s">
        <v>1951</v>
      </c>
      <c r="B533" s="1251" t="s">
        <v>1952</v>
      </c>
    </row>
    <row r="534" spans="1:2">
      <c r="A534" s="1250">
        <v>7</v>
      </c>
      <c r="B534" s="1251" t="s">
        <v>1953</v>
      </c>
    </row>
    <row r="535" spans="1:2">
      <c r="A535" s="1250">
        <v>701</v>
      </c>
      <c r="B535" s="1251" t="s">
        <v>1954</v>
      </c>
    </row>
    <row r="536" spans="1:2">
      <c r="A536" s="1250">
        <v>7011</v>
      </c>
      <c r="B536" s="1251" t="s">
        <v>1955</v>
      </c>
    </row>
    <row r="537" spans="1:2">
      <c r="A537" s="1250">
        <v>7012</v>
      </c>
      <c r="B537" s="1251" t="s">
        <v>1956</v>
      </c>
    </row>
    <row r="538" spans="1:2">
      <c r="A538" s="1250">
        <v>7013</v>
      </c>
      <c r="B538" s="1251" t="s">
        <v>1957</v>
      </c>
    </row>
    <row r="539" spans="1:2">
      <c r="A539" s="1250">
        <v>7014</v>
      </c>
      <c r="B539" s="1251" t="s">
        <v>1958</v>
      </c>
    </row>
    <row r="540" spans="1:2">
      <c r="A540" s="1250">
        <v>7015</v>
      </c>
      <c r="B540" s="1251" t="s">
        <v>1959</v>
      </c>
    </row>
    <row r="541" spans="1:2">
      <c r="A541" s="1250">
        <v>7016</v>
      </c>
      <c r="B541" s="1251" t="s">
        <v>1960</v>
      </c>
    </row>
    <row r="542" spans="1:2">
      <c r="A542" s="1250">
        <v>7017</v>
      </c>
      <c r="B542" s="1251" t="s">
        <v>1961</v>
      </c>
    </row>
    <row r="543" spans="1:2">
      <c r="A543" s="1250">
        <v>7018</v>
      </c>
      <c r="B543" s="1251" t="s">
        <v>1962</v>
      </c>
    </row>
    <row r="544" spans="1:2">
      <c r="A544" s="1250">
        <v>702</v>
      </c>
      <c r="B544" s="1251" t="s">
        <v>1963</v>
      </c>
    </row>
    <row r="545" spans="1:2">
      <c r="A545" s="1250">
        <v>7021</v>
      </c>
      <c r="B545" s="1251" t="s">
        <v>1964</v>
      </c>
    </row>
    <row r="546" spans="1:2">
      <c r="A546" s="1250">
        <v>7022</v>
      </c>
      <c r="B546" s="1251" t="s">
        <v>1965</v>
      </c>
    </row>
    <row r="547" spans="1:2">
      <c r="A547" s="1250">
        <v>7023</v>
      </c>
      <c r="B547" s="1251" t="s">
        <v>1966</v>
      </c>
    </row>
    <row r="548" spans="1:2">
      <c r="A548" s="1250">
        <v>7024</v>
      </c>
      <c r="B548" s="1251" t="s">
        <v>1967</v>
      </c>
    </row>
    <row r="549" spans="1:2">
      <c r="A549" s="1250">
        <v>7025</v>
      </c>
      <c r="B549" s="1251" t="s">
        <v>1968</v>
      </c>
    </row>
    <row r="550" spans="1:2">
      <c r="A550" s="1250">
        <v>703</v>
      </c>
      <c r="B550" s="1251" t="s">
        <v>1969</v>
      </c>
    </row>
    <row r="551" spans="1:2">
      <c r="A551" s="1250">
        <v>7031</v>
      </c>
      <c r="B551" s="1251" t="s">
        <v>1970</v>
      </c>
    </row>
    <row r="552" spans="1:2">
      <c r="A552" s="1250">
        <v>7032</v>
      </c>
      <c r="B552" s="1251" t="s">
        <v>1971</v>
      </c>
    </row>
    <row r="553" spans="1:2">
      <c r="A553" s="1250">
        <v>7033</v>
      </c>
      <c r="B553" s="1251" t="s">
        <v>1972</v>
      </c>
    </row>
    <row r="554" spans="1:2">
      <c r="A554" s="1250">
        <v>7034</v>
      </c>
      <c r="B554" s="1251" t="s">
        <v>1973</v>
      </c>
    </row>
    <row r="555" spans="1:2">
      <c r="A555" s="1250">
        <v>7035</v>
      </c>
      <c r="B555" s="1251" t="s">
        <v>1974</v>
      </c>
    </row>
    <row r="556" spans="1:2">
      <c r="A556" s="1250">
        <v>7036</v>
      </c>
      <c r="B556" s="1251" t="s">
        <v>1975</v>
      </c>
    </row>
    <row r="557" spans="1:2">
      <c r="A557" s="1250">
        <v>704</v>
      </c>
      <c r="B557" s="1251" t="s">
        <v>1976</v>
      </c>
    </row>
    <row r="558" spans="1:2">
      <c r="A558" s="1250">
        <v>7041</v>
      </c>
      <c r="B558" s="1251" t="s">
        <v>1977</v>
      </c>
    </row>
    <row r="559" spans="1:2">
      <c r="A559" s="1250">
        <v>7042</v>
      </c>
      <c r="B559" s="1251" t="s">
        <v>1978</v>
      </c>
    </row>
    <row r="560" spans="1:2">
      <c r="A560" s="1250">
        <v>7043</v>
      </c>
      <c r="B560" s="1251" t="s">
        <v>1979</v>
      </c>
    </row>
    <row r="561" spans="1:2">
      <c r="A561" s="1250">
        <v>7044</v>
      </c>
      <c r="B561" s="1251" t="s">
        <v>1980</v>
      </c>
    </row>
    <row r="562" spans="1:2">
      <c r="A562" s="1250">
        <v>7045</v>
      </c>
      <c r="B562" s="1251" t="s">
        <v>1981</v>
      </c>
    </row>
    <row r="563" spans="1:2">
      <c r="A563" s="1250">
        <v>7046</v>
      </c>
      <c r="B563" s="1251" t="s">
        <v>1982</v>
      </c>
    </row>
    <row r="564" spans="1:2">
      <c r="A564" s="1250">
        <v>7047</v>
      </c>
      <c r="B564" s="1251" t="s">
        <v>1983</v>
      </c>
    </row>
    <row r="565" spans="1:2">
      <c r="A565" s="1250">
        <v>7048</v>
      </c>
      <c r="B565" s="1251" t="s">
        <v>1984</v>
      </c>
    </row>
    <row r="566" spans="1:2">
      <c r="A566" s="1250">
        <v>7049</v>
      </c>
      <c r="B566" s="1251" t="s">
        <v>1985</v>
      </c>
    </row>
    <row r="567" spans="1:2">
      <c r="A567" s="1250">
        <v>705</v>
      </c>
      <c r="B567" s="1251" t="s">
        <v>1986</v>
      </c>
    </row>
    <row r="568" spans="1:2">
      <c r="A568" s="1250">
        <v>7051</v>
      </c>
      <c r="B568" s="1251" t="s">
        <v>1987</v>
      </c>
    </row>
    <row r="569" spans="1:2">
      <c r="A569" s="1250">
        <v>7052</v>
      </c>
      <c r="B569" s="1251" t="s">
        <v>1988</v>
      </c>
    </row>
    <row r="570" spans="1:2">
      <c r="A570" s="1250">
        <v>7053</v>
      </c>
      <c r="B570" s="1251" t="s">
        <v>1989</v>
      </c>
    </row>
    <row r="571" spans="1:2">
      <c r="A571" s="1250">
        <v>7054</v>
      </c>
      <c r="B571" s="1251" t="s">
        <v>1990</v>
      </c>
    </row>
    <row r="572" spans="1:2">
      <c r="A572" s="1250">
        <v>7055</v>
      </c>
      <c r="B572" s="1251" t="s">
        <v>1991</v>
      </c>
    </row>
    <row r="573" spans="1:2">
      <c r="A573" s="1250">
        <v>7056</v>
      </c>
      <c r="B573" s="1251" t="s">
        <v>1992</v>
      </c>
    </row>
    <row r="574" spans="1:2">
      <c r="A574" s="1250">
        <v>706</v>
      </c>
      <c r="B574" s="1251" t="s">
        <v>1993</v>
      </c>
    </row>
    <row r="575" spans="1:2">
      <c r="A575" s="1250">
        <v>7061</v>
      </c>
      <c r="B575" s="1251" t="s">
        <v>1994</v>
      </c>
    </row>
    <row r="576" spans="1:2">
      <c r="A576" s="1250">
        <v>7062</v>
      </c>
      <c r="B576" s="1251" t="s">
        <v>1995</v>
      </c>
    </row>
    <row r="577" spans="1:2">
      <c r="A577" s="1250">
        <v>7063</v>
      </c>
      <c r="B577" s="1251" t="s">
        <v>1996</v>
      </c>
    </row>
    <row r="578" spans="1:2">
      <c r="A578" s="1250">
        <v>7064</v>
      </c>
      <c r="B578" s="1251" t="s">
        <v>1997</v>
      </c>
    </row>
    <row r="579" spans="1:2">
      <c r="A579" s="1250">
        <v>7065</v>
      </c>
      <c r="B579" s="1251" t="s">
        <v>1998</v>
      </c>
    </row>
    <row r="580" spans="1:2">
      <c r="A580" s="1250">
        <v>7066</v>
      </c>
      <c r="B580" s="1251" t="s">
        <v>1999</v>
      </c>
    </row>
    <row r="581" spans="1:2">
      <c r="A581" s="1250">
        <v>707</v>
      </c>
      <c r="B581" s="1251" t="s">
        <v>2000</v>
      </c>
    </row>
    <row r="582" spans="1:2">
      <c r="A582" s="1250">
        <v>7071</v>
      </c>
      <c r="B582" s="1251" t="s">
        <v>2001</v>
      </c>
    </row>
    <row r="583" spans="1:2">
      <c r="A583" s="1250">
        <v>7072</v>
      </c>
      <c r="B583" s="1251" t="s">
        <v>2002</v>
      </c>
    </row>
    <row r="584" spans="1:2">
      <c r="A584" s="1250">
        <v>7073</v>
      </c>
      <c r="B584" s="1251" t="s">
        <v>2003</v>
      </c>
    </row>
    <row r="585" spans="1:2">
      <c r="A585" s="1250">
        <v>7074</v>
      </c>
      <c r="B585" s="1251" t="s">
        <v>2004</v>
      </c>
    </row>
    <row r="586" spans="1:2">
      <c r="A586" s="1250">
        <v>7075</v>
      </c>
      <c r="B586" s="1251" t="s">
        <v>2005</v>
      </c>
    </row>
    <row r="587" spans="1:2">
      <c r="A587" s="1250">
        <v>7076</v>
      </c>
      <c r="B587" s="1251" t="s">
        <v>2006</v>
      </c>
    </row>
    <row r="588" spans="1:2">
      <c r="A588" s="1250">
        <v>708</v>
      </c>
      <c r="B588" s="1251" t="s">
        <v>2007</v>
      </c>
    </row>
    <row r="589" spans="1:2">
      <c r="A589" s="1250">
        <v>7081</v>
      </c>
      <c r="B589" s="1251" t="s">
        <v>2008</v>
      </c>
    </row>
    <row r="590" spans="1:2">
      <c r="A590" s="1250">
        <v>7082</v>
      </c>
      <c r="B590" s="1251" t="s">
        <v>2009</v>
      </c>
    </row>
    <row r="591" spans="1:2">
      <c r="A591" s="1250">
        <v>7083</v>
      </c>
      <c r="B591" s="1251" t="s">
        <v>2010</v>
      </c>
    </row>
    <row r="592" spans="1:2">
      <c r="A592" s="1250">
        <v>7084</v>
      </c>
      <c r="B592" s="1251" t="s">
        <v>2011</v>
      </c>
    </row>
    <row r="593" spans="1:2">
      <c r="A593" s="1250">
        <v>7085</v>
      </c>
      <c r="B593" s="1251" t="s">
        <v>2012</v>
      </c>
    </row>
    <row r="594" spans="1:2">
      <c r="A594" s="1250">
        <v>7086</v>
      </c>
      <c r="B594" s="1251" t="s">
        <v>2013</v>
      </c>
    </row>
    <row r="595" spans="1:2">
      <c r="A595" s="1250">
        <v>709</v>
      </c>
      <c r="B595" s="1251" t="s">
        <v>2014</v>
      </c>
    </row>
    <row r="596" spans="1:2">
      <c r="A596" s="1250">
        <v>7091</v>
      </c>
      <c r="B596" s="1251" t="s">
        <v>2015</v>
      </c>
    </row>
    <row r="597" spans="1:2">
      <c r="A597" s="1250">
        <v>7092</v>
      </c>
      <c r="B597" s="1251" t="s">
        <v>2016</v>
      </c>
    </row>
    <row r="598" spans="1:2">
      <c r="A598" s="1250">
        <v>7093</v>
      </c>
      <c r="B598" s="1251" t="s">
        <v>2017</v>
      </c>
    </row>
    <row r="599" spans="1:2">
      <c r="A599" s="1250">
        <v>7094</v>
      </c>
      <c r="B599" s="1251" t="s">
        <v>2018</v>
      </c>
    </row>
    <row r="600" spans="1:2">
      <c r="A600" s="1250">
        <v>7095</v>
      </c>
      <c r="B600" s="1251" t="s">
        <v>2019</v>
      </c>
    </row>
    <row r="601" spans="1:2">
      <c r="A601" s="1250">
        <v>7096</v>
      </c>
      <c r="B601" s="1251" t="s">
        <v>2020</v>
      </c>
    </row>
    <row r="602" spans="1:2">
      <c r="A602" s="1250">
        <v>7097</v>
      </c>
      <c r="B602" s="1251" t="s">
        <v>2021</v>
      </c>
    </row>
    <row r="603" spans="1:2">
      <c r="A603" s="1250">
        <v>7098</v>
      </c>
      <c r="B603" s="1251" t="s">
        <v>2022</v>
      </c>
    </row>
    <row r="604" spans="1:2">
      <c r="A604" s="1250">
        <v>710</v>
      </c>
      <c r="B604" s="1251" t="s">
        <v>2023</v>
      </c>
    </row>
    <row r="605" spans="1:2">
      <c r="A605" s="1250">
        <v>7101</v>
      </c>
      <c r="B605" s="1251" t="s">
        <v>2024</v>
      </c>
    </row>
    <row r="606" spans="1:2">
      <c r="A606" s="1250">
        <v>7102</v>
      </c>
      <c r="B606" s="1251" t="s">
        <v>2025</v>
      </c>
    </row>
    <row r="607" spans="1:2">
      <c r="A607" s="1250">
        <v>7103</v>
      </c>
      <c r="B607" s="1251" t="s">
        <v>2026</v>
      </c>
    </row>
    <row r="608" spans="1:2">
      <c r="A608" s="1250">
        <v>7104</v>
      </c>
      <c r="B608" s="1251" t="s">
        <v>2027</v>
      </c>
    </row>
    <row r="609" spans="1:2">
      <c r="A609" s="1250">
        <v>7105</v>
      </c>
      <c r="B609" s="1251" t="s">
        <v>2028</v>
      </c>
    </row>
    <row r="610" spans="1:2">
      <c r="A610" s="1250">
        <v>7106</v>
      </c>
      <c r="B610" s="1251" t="s">
        <v>2029</v>
      </c>
    </row>
    <row r="611" spans="1:2">
      <c r="A611" s="1250">
        <v>7107</v>
      </c>
      <c r="B611" s="1251" t="s">
        <v>2030</v>
      </c>
    </row>
    <row r="612" spans="1:2">
      <c r="A612" s="1250">
        <v>7108</v>
      </c>
      <c r="B612" s="1251" t="s">
        <v>2031</v>
      </c>
    </row>
    <row r="613" spans="1:2">
      <c r="A613" s="1250">
        <v>7109</v>
      </c>
      <c r="B613" s="1251" t="s">
        <v>2032</v>
      </c>
    </row>
    <row r="614" spans="1:2">
      <c r="A614" s="1250">
        <v>8</v>
      </c>
      <c r="B614" s="1251" t="s">
        <v>2033</v>
      </c>
    </row>
    <row r="615" spans="1:2">
      <c r="A615" s="1250">
        <v>82</v>
      </c>
      <c r="B615" s="1251" t="s">
        <v>2034</v>
      </c>
    </row>
    <row r="616" spans="1:2">
      <c r="A616" s="1250">
        <v>821</v>
      </c>
      <c r="B616" s="1251" t="s">
        <v>2035</v>
      </c>
    </row>
    <row r="617" spans="1:2">
      <c r="A617" s="1250">
        <v>8211</v>
      </c>
      <c r="B617" s="1251" t="s">
        <v>2036</v>
      </c>
    </row>
    <row r="618" spans="1:2">
      <c r="A618" s="1250">
        <v>82111</v>
      </c>
      <c r="B618" s="1251" t="s">
        <v>2037</v>
      </c>
    </row>
    <row r="619" spans="1:2">
      <c r="A619" s="1250">
        <v>821111</v>
      </c>
      <c r="B619" s="1251" t="s">
        <v>2038</v>
      </c>
    </row>
    <row r="620" spans="1:2">
      <c r="A620" s="1250">
        <v>821112</v>
      </c>
      <c r="B620" s="1251" t="s">
        <v>2039</v>
      </c>
    </row>
    <row r="621" spans="1:2">
      <c r="A621" s="1250">
        <v>82112</v>
      </c>
      <c r="B621" s="1251" t="s">
        <v>2040</v>
      </c>
    </row>
    <row r="622" spans="1:2">
      <c r="A622" s="1250">
        <v>82113</v>
      </c>
      <c r="B622" s="1251" t="s">
        <v>2041</v>
      </c>
    </row>
    <row r="623" spans="1:2">
      <c r="A623" s="1250">
        <v>82114</v>
      </c>
      <c r="B623" s="1251" t="s">
        <v>2042</v>
      </c>
    </row>
    <row r="624" spans="1:2">
      <c r="A624" s="1250">
        <v>8212</v>
      </c>
      <c r="B624" s="1251" t="s">
        <v>2043</v>
      </c>
    </row>
    <row r="625" spans="1:2">
      <c r="A625" s="1250">
        <v>8213</v>
      </c>
      <c r="B625" s="1251" t="s">
        <v>2044</v>
      </c>
    </row>
    <row r="626" spans="1:2">
      <c r="A626" s="1250">
        <v>8214</v>
      </c>
      <c r="B626" s="1251" t="s">
        <v>2045</v>
      </c>
    </row>
    <row r="627" spans="1:2">
      <c r="A627" s="1250">
        <v>8215</v>
      </c>
      <c r="B627" s="1251" t="s">
        <v>2046</v>
      </c>
    </row>
    <row r="628" spans="1:2">
      <c r="A628" s="1250">
        <v>8216</v>
      </c>
      <c r="B628" s="1251" t="s">
        <v>2047</v>
      </c>
    </row>
    <row r="629" spans="1:2">
      <c r="A629" s="1250">
        <v>822</v>
      </c>
      <c r="B629" s="1251" t="s">
        <v>2048</v>
      </c>
    </row>
    <row r="630" spans="1:2">
      <c r="A630" s="1250">
        <v>8221</v>
      </c>
      <c r="B630" s="1251" t="s">
        <v>2049</v>
      </c>
    </row>
    <row r="631" spans="1:2">
      <c r="A631" s="1250">
        <v>8227</v>
      </c>
      <c r="B631" s="1251" t="s">
        <v>2050</v>
      </c>
    </row>
    <row r="632" spans="1:2">
      <c r="A632" s="1250">
        <v>8228</v>
      </c>
      <c r="B632" s="1251" t="s">
        <v>2051</v>
      </c>
    </row>
    <row r="633" spans="1:2">
      <c r="A633" s="1250">
        <v>8229</v>
      </c>
      <c r="B633" s="1251" t="s">
        <v>2052</v>
      </c>
    </row>
    <row r="634" spans="1:2">
      <c r="A634" s="1250">
        <v>823</v>
      </c>
      <c r="B634" s="1251" t="s">
        <v>2053</v>
      </c>
    </row>
    <row r="635" spans="1:2">
      <c r="A635" s="1250">
        <v>83</v>
      </c>
      <c r="B635" s="1251" t="s">
        <v>2054</v>
      </c>
    </row>
    <row r="636" spans="1:2">
      <c r="A636" s="1250">
        <v>831</v>
      </c>
      <c r="B636" s="1251" t="s">
        <v>2055</v>
      </c>
    </row>
    <row r="637" spans="1:2">
      <c r="A637" s="1250">
        <v>8311</v>
      </c>
      <c r="B637" s="1251" t="s">
        <v>2056</v>
      </c>
    </row>
    <row r="638" spans="1:2">
      <c r="A638" s="1250">
        <v>83111</v>
      </c>
      <c r="B638" s="1251" t="s">
        <v>2057</v>
      </c>
    </row>
    <row r="639" spans="1:2">
      <c r="A639" s="1250">
        <v>831111</v>
      </c>
      <c r="B639" s="1251" t="s">
        <v>2058</v>
      </c>
    </row>
    <row r="640" spans="1:2">
      <c r="A640" s="1250">
        <v>831112</v>
      </c>
      <c r="B640" s="1251" t="s">
        <v>2059</v>
      </c>
    </row>
    <row r="641" spans="1:2">
      <c r="A641" s="1250">
        <v>83112</v>
      </c>
      <c r="B641" s="1251" t="s">
        <v>2060</v>
      </c>
    </row>
    <row r="642" spans="1:2">
      <c r="A642" s="1250">
        <v>83113</v>
      </c>
      <c r="B642" s="1251" t="s">
        <v>2061</v>
      </c>
    </row>
    <row r="643" spans="1:2">
      <c r="A643" s="1250">
        <v>83114</v>
      </c>
      <c r="B643" s="1251" t="s">
        <v>2062</v>
      </c>
    </row>
    <row r="644" spans="1:2">
      <c r="A644" s="1250">
        <v>8312</v>
      </c>
      <c r="B644" s="1251" t="s">
        <v>2063</v>
      </c>
    </row>
    <row r="645" spans="1:2">
      <c r="A645" s="1250">
        <v>8313</v>
      </c>
      <c r="B645" s="1251" t="s">
        <v>2064</v>
      </c>
    </row>
    <row r="646" spans="1:2">
      <c r="A646" s="1250">
        <v>8314</v>
      </c>
      <c r="B646" s="1251" t="s">
        <v>2065</v>
      </c>
    </row>
    <row r="647" spans="1:2">
      <c r="A647" s="1250">
        <v>8315</v>
      </c>
      <c r="B647" s="1251" t="s">
        <v>2066</v>
      </c>
    </row>
    <row r="648" spans="1:2">
      <c r="A648" s="1250">
        <v>8316</v>
      </c>
      <c r="B648" s="1251" t="s">
        <v>2067</v>
      </c>
    </row>
    <row r="649" spans="1:2">
      <c r="A649" s="1250">
        <v>832</v>
      </c>
      <c r="B649" s="1251" t="s">
        <v>2068</v>
      </c>
    </row>
    <row r="650" spans="1:2">
      <c r="A650" s="1250">
        <v>8321</v>
      </c>
      <c r="B650" s="1251" t="s">
        <v>2069</v>
      </c>
    </row>
    <row r="651" spans="1:2">
      <c r="A651" s="1250">
        <v>8327</v>
      </c>
      <c r="B651" s="1251" t="s">
        <v>2070</v>
      </c>
    </row>
    <row r="652" spans="1:2">
      <c r="A652" s="1250">
        <v>8328</v>
      </c>
      <c r="B652" s="1251" t="s">
        <v>2071</v>
      </c>
    </row>
    <row r="653" spans="1:2">
      <c r="A653" s="1250">
        <v>8329</v>
      </c>
      <c r="B653" s="1251" t="s">
        <v>2072</v>
      </c>
    </row>
    <row r="654" spans="1:2">
      <c r="A654" s="1250">
        <v>682</v>
      </c>
      <c r="B654" s="1251" t="s">
        <v>2073</v>
      </c>
    </row>
    <row r="655" spans="1:2">
      <c r="A655" s="1250">
        <v>6821</v>
      </c>
      <c r="B655" s="1251" t="s">
        <v>2074</v>
      </c>
    </row>
    <row r="656" spans="1:2">
      <c r="A656" s="1250">
        <v>68211</v>
      </c>
      <c r="B656" s="1251" t="s">
        <v>2075</v>
      </c>
    </row>
    <row r="657" spans="1:2">
      <c r="A657" s="1250">
        <v>682111</v>
      </c>
      <c r="B657" s="1251" t="s">
        <v>2076</v>
      </c>
    </row>
    <row r="658" spans="1:2">
      <c r="A658" s="1250">
        <v>6821111</v>
      </c>
      <c r="B658" s="1251" t="s">
        <v>2077</v>
      </c>
    </row>
    <row r="659" spans="1:2">
      <c r="A659" s="1250">
        <v>6821112</v>
      </c>
      <c r="B659" s="1251" t="s">
        <v>2078</v>
      </c>
    </row>
    <row r="660" spans="1:2">
      <c r="A660" s="1250">
        <v>682112</v>
      </c>
      <c r="B660" s="1251" t="s">
        <v>2079</v>
      </c>
    </row>
    <row r="661" spans="1:2">
      <c r="A661" s="1250">
        <v>682113</v>
      </c>
      <c r="B661" s="1251" t="s">
        <v>2080</v>
      </c>
    </row>
    <row r="662" spans="1:2">
      <c r="A662" s="1250">
        <v>682114</v>
      </c>
      <c r="B662" s="1251" t="s">
        <v>2081</v>
      </c>
    </row>
    <row r="663" spans="1:2">
      <c r="A663" s="1250">
        <v>68212</v>
      </c>
      <c r="B663" s="1251" t="s">
        <v>2082</v>
      </c>
    </row>
    <row r="664" spans="1:2">
      <c r="A664" s="1250">
        <v>68213</v>
      </c>
      <c r="B664" s="1251" t="s">
        <v>2083</v>
      </c>
    </row>
    <row r="665" spans="1:2">
      <c r="A665" s="1250">
        <v>68214</v>
      </c>
      <c r="B665" s="1251" t="s">
        <v>2084</v>
      </c>
    </row>
    <row r="666" spans="1:2">
      <c r="A666" s="1250">
        <v>68215</v>
      </c>
      <c r="B666" s="1251" t="s">
        <v>2085</v>
      </c>
    </row>
    <row r="667" spans="1:2">
      <c r="A667" s="1250">
        <v>68216</v>
      </c>
      <c r="B667" s="1251" t="s">
        <v>2086</v>
      </c>
    </row>
    <row r="668" spans="1:2">
      <c r="A668" s="1250">
        <v>6822</v>
      </c>
      <c r="B668" s="1251" t="s">
        <v>2087</v>
      </c>
    </row>
    <row r="669" spans="1:2">
      <c r="A669" s="1250">
        <v>68221</v>
      </c>
      <c r="B669" s="1251" t="s">
        <v>2088</v>
      </c>
    </row>
    <row r="670" spans="1:2">
      <c r="A670" s="1250">
        <v>68227</v>
      </c>
      <c r="B670" s="1251" t="s">
        <v>2089</v>
      </c>
    </row>
    <row r="671" spans="1:2">
      <c r="A671" s="1250">
        <v>68228</v>
      </c>
      <c r="B671" s="1251" t="s">
        <v>2090</v>
      </c>
    </row>
    <row r="672" spans="1:2">
      <c r="A672" s="1250">
        <v>68229</v>
      </c>
      <c r="B672" s="1251" t="s">
        <v>2091</v>
      </c>
    </row>
    <row r="673" spans="1:2">
      <c r="A673" s="1250">
        <v>683</v>
      </c>
      <c r="B673" s="1251" t="s">
        <v>2092</v>
      </c>
    </row>
    <row r="674" spans="1:2">
      <c r="A674" s="1250">
        <v>6831</v>
      </c>
      <c r="B674" s="1251" t="s">
        <v>2093</v>
      </c>
    </row>
    <row r="675" spans="1:2">
      <c r="A675" s="1250">
        <v>68311</v>
      </c>
      <c r="B675" s="1251" t="s">
        <v>2094</v>
      </c>
    </row>
    <row r="676" spans="1:2">
      <c r="A676" s="1250">
        <v>683111</v>
      </c>
      <c r="B676" s="1251" t="s">
        <v>2095</v>
      </c>
    </row>
    <row r="677" spans="1:2">
      <c r="A677" s="1250">
        <v>6831111</v>
      </c>
      <c r="B677" s="1251" t="s">
        <v>2096</v>
      </c>
    </row>
    <row r="678" spans="1:2">
      <c r="A678" s="1250">
        <v>6831112</v>
      </c>
      <c r="B678" s="1251" t="s">
        <v>2097</v>
      </c>
    </row>
    <row r="679" spans="1:2">
      <c r="A679" s="1250">
        <v>683112</v>
      </c>
      <c r="B679" s="1251" t="s">
        <v>2098</v>
      </c>
    </row>
    <row r="680" spans="1:2">
      <c r="A680" s="1250">
        <v>683113</v>
      </c>
      <c r="B680" s="1251" t="s">
        <v>2099</v>
      </c>
    </row>
    <row r="681" spans="1:2">
      <c r="A681" s="1250">
        <v>683114</v>
      </c>
      <c r="B681" s="1251" t="s">
        <v>2100</v>
      </c>
    </row>
    <row r="682" spans="1:2">
      <c r="A682" s="1250">
        <v>68312</v>
      </c>
      <c r="B682" s="1251" t="s">
        <v>2101</v>
      </c>
    </row>
    <row r="683" spans="1:2">
      <c r="A683" s="1250">
        <v>68313</v>
      </c>
      <c r="B683" s="1251" t="s">
        <v>2102</v>
      </c>
    </row>
    <row r="684" spans="1:2">
      <c r="A684" s="1250">
        <v>68314</v>
      </c>
      <c r="B684" s="1251" t="s">
        <v>2103</v>
      </c>
    </row>
    <row r="685" spans="1:2">
      <c r="A685" s="1250">
        <v>68315</v>
      </c>
      <c r="B685" s="1251" t="s">
        <v>2104</v>
      </c>
    </row>
    <row r="686" spans="1:2">
      <c r="A686" s="1250">
        <v>68316</v>
      </c>
      <c r="B686" s="1251" t="s">
        <v>2105</v>
      </c>
    </row>
    <row r="687" spans="1:2">
      <c r="A687" s="1250">
        <v>6832</v>
      </c>
      <c r="B687" s="1251" t="s">
        <v>2106</v>
      </c>
    </row>
    <row r="688" spans="1:2">
      <c r="A688" s="1250">
        <v>68321</v>
      </c>
      <c r="B688" s="1251" t="s">
        <v>2107</v>
      </c>
    </row>
    <row r="689" spans="1:2">
      <c r="A689" s="1250">
        <v>68327</v>
      </c>
      <c r="B689" s="1251" t="s">
        <v>2108</v>
      </c>
    </row>
    <row r="690" spans="1:2">
      <c r="A690" s="1250">
        <v>68328</v>
      </c>
      <c r="B690" s="1251" t="s">
        <v>2109</v>
      </c>
    </row>
    <row r="691" spans="1:2">
      <c r="A691" s="1250">
        <v>68329</v>
      </c>
      <c r="B691" s="1251" t="s">
        <v>2110</v>
      </c>
    </row>
    <row r="692" spans="1:2">
      <c r="A692" s="1250" t="s">
        <v>2111</v>
      </c>
      <c r="B692" s="1251" t="s">
        <v>2112</v>
      </c>
    </row>
    <row r="693" spans="1:2">
      <c r="A693" s="1250" t="s">
        <v>2113</v>
      </c>
      <c r="B693" s="1251" t="s">
        <v>2114</v>
      </c>
    </row>
    <row r="694" spans="1:2">
      <c r="A694" s="1250" t="s">
        <v>2115</v>
      </c>
      <c r="B694" s="1251" t="s">
        <v>2116</v>
      </c>
    </row>
    <row r="695" spans="1:2">
      <c r="A695" s="1250" t="s">
        <v>2117</v>
      </c>
      <c r="B695" s="1251" t="s">
        <v>2118</v>
      </c>
    </row>
    <row r="696" spans="1:2">
      <c r="A696" s="1250" t="s">
        <v>2119</v>
      </c>
      <c r="B696" s="1251" t="s">
        <v>2120</v>
      </c>
    </row>
    <row r="697" spans="1:2">
      <c r="A697" s="1250" t="s">
        <v>2121</v>
      </c>
      <c r="B697" s="1251" t="s">
        <v>598</v>
      </c>
    </row>
    <row r="698" spans="1:2">
      <c r="A698" s="1250" t="s">
        <v>2122</v>
      </c>
      <c r="B698" s="1251" t="s">
        <v>2123</v>
      </c>
    </row>
    <row r="699" spans="1:2">
      <c r="A699" s="1250" t="s">
        <v>2124</v>
      </c>
      <c r="B699" s="1251" t="s">
        <v>2114</v>
      </c>
    </row>
    <row r="700" spans="1:2">
      <c r="A700" s="1250" t="s">
        <v>2125</v>
      </c>
      <c r="B700" s="1251" t="s">
        <v>2126</v>
      </c>
    </row>
    <row r="701" spans="1:2">
      <c r="A701" s="1250" t="s">
        <v>2127</v>
      </c>
      <c r="B701" s="1251" t="s">
        <v>2128</v>
      </c>
    </row>
    <row r="702" spans="1:2">
      <c r="A702" s="1250" t="s">
        <v>2129</v>
      </c>
      <c r="B702" s="1251" t="s">
        <v>2116</v>
      </c>
    </row>
    <row r="703" spans="1:2">
      <c r="A703" s="1250" t="s">
        <v>2130</v>
      </c>
      <c r="B703" s="1251" t="s">
        <v>2131</v>
      </c>
    </row>
    <row r="704" spans="1:2">
      <c r="A704" s="1250" t="s">
        <v>2132</v>
      </c>
      <c r="B704" s="1251" t="s">
        <v>2118</v>
      </c>
    </row>
    <row r="705" spans="1:2">
      <c r="A705" s="1250" t="s">
        <v>2133</v>
      </c>
      <c r="B705" s="1251" t="s">
        <v>2134</v>
      </c>
    </row>
    <row r="706" spans="1:2">
      <c r="A706" s="1250" t="s">
        <v>2135</v>
      </c>
      <c r="B706" s="1251" t="s">
        <v>2120</v>
      </c>
    </row>
    <row r="707" spans="1:2">
      <c r="A707" s="1250" t="s">
        <v>2136</v>
      </c>
      <c r="B707" s="1251" t="s">
        <v>2137</v>
      </c>
    </row>
    <row r="708" spans="1:2">
      <c r="A708" s="1250" t="s">
        <v>2138</v>
      </c>
      <c r="B708" s="1251" t="s">
        <v>2123</v>
      </c>
    </row>
    <row r="709" spans="1:2">
      <c r="A709" s="1250" t="s">
        <v>2139</v>
      </c>
      <c r="B709" s="1251" t="s">
        <v>2114</v>
      </c>
    </row>
    <row r="710" spans="1:2">
      <c r="A710" s="1250" t="s">
        <v>2140</v>
      </c>
      <c r="B710" s="1251" t="s">
        <v>2126</v>
      </c>
    </row>
    <row r="711" spans="1:2">
      <c r="A711" s="1250" t="s">
        <v>2141</v>
      </c>
      <c r="B711" s="1251" t="s">
        <v>2142</v>
      </c>
    </row>
    <row r="712" spans="1:2">
      <c r="A712" s="1250" t="s">
        <v>2143</v>
      </c>
      <c r="B712" s="1251" t="s">
        <v>2128</v>
      </c>
    </row>
    <row r="713" spans="1:2">
      <c r="A713" s="1250" t="s">
        <v>2144</v>
      </c>
      <c r="B713" s="1251" t="s">
        <v>2142</v>
      </c>
    </row>
    <row r="714" spans="1:2">
      <c r="A714" s="1250" t="s">
        <v>2145</v>
      </c>
      <c r="B714" s="1251" t="s">
        <v>2116</v>
      </c>
    </row>
    <row r="715" spans="1:2">
      <c r="A715" s="1250" t="s">
        <v>2146</v>
      </c>
      <c r="B715" s="1251" t="s">
        <v>2131</v>
      </c>
    </row>
    <row r="716" spans="1:2">
      <c r="A716" s="1250" t="s">
        <v>2147</v>
      </c>
      <c r="B716" s="1251" t="s">
        <v>2118</v>
      </c>
    </row>
    <row r="717" spans="1:2">
      <c r="A717" s="1250" t="s">
        <v>2148</v>
      </c>
      <c r="B717" s="1251" t="s">
        <v>2134</v>
      </c>
    </row>
    <row r="718" spans="1:2">
      <c r="A718" s="1250" t="s">
        <v>2149</v>
      </c>
      <c r="B718" s="1251" t="s">
        <v>2120</v>
      </c>
    </row>
    <row r="719" spans="1:2">
      <c r="A719" s="1250" t="s">
        <v>2150</v>
      </c>
      <c r="B719" s="1251" t="s">
        <v>2151</v>
      </c>
    </row>
    <row r="720" spans="1:2">
      <c r="A720" s="1250" t="s">
        <v>2152</v>
      </c>
      <c r="B720" s="1251" t="s">
        <v>2123</v>
      </c>
    </row>
    <row r="721" spans="1:2">
      <c r="A721" s="1250" t="s">
        <v>2153</v>
      </c>
      <c r="B721" s="1251" t="s">
        <v>2114</v>
      </c>
    </row>
    <row r="722" spans="1:2">
      <c r="A722" s="1250" t="s">
        <v>2154</v>
      </c>
      <c r="B722" s="1251" t="s">
        <v>2126</v>
      </c>
    </row>
    <row r="723" spans="1:2">
      <c r="A723" s="1250" t="s">
        <v>2155</v>
      </c>
      <c r="B723" s="1251" t="s">
        <v>2142</v>
      </c>
    </row>
    <row r="724" spans="1:2">
      <c r="A724" s="1250" t="s">
        <v>2156</v>
      </c>
      <c r="B724" s="1251" t="s">
        <v>2128</v>
      </c>
    </row>
    <row r="725" spans="1:2">
      <c r="A725" s="1250" t="s">
        <v>2157</v>
      </c>
      <c r="B725" s="1251" t="s">
        <v>2142</v>
      </c>
    </row>
    <row r="726" spans="1:2">
      <c r="A726" s="1250" t="s">
        <v>2158</v>
      </c>
      <c r="B726" s="1251" t="s">
        <v>2116</v>
      </c>
    </row>
    <row r="727" spans="1:2">
      <c r="A727" s="1250" t="s">
        <v>2159</v>
      </c>
      <c r="B727" s="1251" t="s">
        <v>2131</v>
      </c>
    </row>
    <row r="728" spans="1:2">
      <c r="A728" s="1250" t="s">
        <v>2160</v>
      </c>
      <c r="B728" s="1251" t="s">
        <v>2118</v>
      </c>
    </row>
    <row r="729" spans="1:2">
      <c r="A729" s="1250" t="s">
        <v>2161</v>
      </c>
      <c r="B729" s="1251" t="s">
        <v>2134</v>
      </c>
    </row>
    <row r="730" spans="1:2">
      <c r="A730" s="1250" t="s">
        <v>2162</v>
      </c>
      <c r="B730" s="1251" t="s">
        <v>2120</v>
      </c>
    </row>
    <row r="731" spans="1:2">
      <c r="A731" s="1250" t="s">
        <v>2163</v>
      </c>
      <c r="B731" s="1251" t="s">
        <v>601</v>
      </c>
    </row>
    <row r="732" spans="1:2">
      <c r="A732" s="1250" t="s">
        <v>2164</v>
      </c>
      <c r="B732" s="1251" t="s">
        <v>2123</v>
      </c>
    </row>
    <row r="733" spans="1:2">
      <c r="A733" s="1250" t="s">
        <v>2165</v>
      </c>
      <c r="B733" s="1251" t="s">
        <v>2114</v>
      </c>
    </row>
    <row r="734" spans="1:2">
      <c r="A734" s="1250" t="s">
        <v>2166</v>
      </c>
      <c r="B734" s="1251" t="s">
        <v>2126</v>
      </c>
    </row>
    <row r="735" spans="1:2">
      <c r="A735" s="1250" t="s">
        <v>2167</v>
      </c>
      <c r="B735" s="1251" t="s">
        <v>2142</v>
      </c>
    </row>
    <row r="736" spans="1:2">
      <c r="A736" s="1250" t="s">
        <v>2168</v>
      </c>
      <c r="B736" s="1251" t="s">
        <v>2128</v>
      </c>
    </row>
    <row r="737" spans="1:2">
      <c r="A737" s="1250" t="s">
        <v>2169</v>
      </c>
      <c r="B737" s="1251" t="s">
        <v>2142</v>
      </c>
    </row>
    <row r="738" spans="1:2">
      <c r="A738" s="1250" t="s">
        <v>2170</v>
      </c>
      <c r="B738" s="1251" t="s">
        <v>2116</v>
      </c>
    </row>
    <row r="739" spans="1:2">
      <c r="A739" s="1250" t="s">
        <v>2171</v>
      </c>
      <c r="B739" s="1251" t="s">
        <v>2131</v>
      </c>
    </row>
    <row r="740" spans="1:2">
      <c r="A740" s="1250" t="s">
        <v>2172</v>
      </c>
      <c r="B740" s="1251" t="s">
        <v>2118</v>
      </c>
    </row>
    <row r="741" spans="1:2">
      <c r="A741" s="1250" t="s">
        <v>2173</v>
      </c>
      <c r="B741" s="1251" t="s">
        <v>2134</v>
      </c>
    </row>
    <row r="742" spans="1:2">
      <c r="A742" s="1250" t="s">
        <v>2174</v>
      </c>
      <c r="B742" s="1251" t="s">
        <v>2120</v>
      </c>
    </row>
    <row r="743" spans="1:2">
      <c r="A743" s="1250" t="s">
        <v>2175</v>
      </c>
      <c r="B743" s="1251" t="s">
        <v>2176</v>
      </c>
    </row>
    <row r="744" spans="1:2">
      <c r="A744" s="1250" t="s">
        <v>2177</v>
      </c>
      <c r="B744" s="1251" t="s">
        <v>2123</v>
      </c>
    </row>
    <row r="745" spans="1:2">
      <c r="A745" s="1250" t="s">
        <v>2178</v>
      </c>
      <c r="B745" s="1251" t="s">
        <v>2114</v>
      </c>
    </row>
    <row r="746" spans="1:2">
      <c r="A746" s="1250" t="s">
        <v>2179</v>
      </c>
      <c r="B746" s="1251" t="s">
        <v>2126</v>
      </c>
    </row>
    <row r="747" spans="1:2">
      <c r="A747" s="1250" t="s">
        <v>2180</v>
      </c>
      <c r="B747" s="1251" t="s">
        <v>2128</v>
      </c>
    </row>
    <row r="748" spans="1:2">
      <c r="A748" s="1250" t="s">
        <v>2181</v>
      </c>
      <c r="B748" s="1251" t="s">
        <v>2116</v>
      </c>
    </row>
    <row r="749" spans="1:2">
      <c r="A749" s="1250" t="s">
        <v>2182</v>
      </c>
      <c r="B749" s="1251" t="s">
        <v>2131</v>
      </c>
    </row>
    <row r="750" spans="1:2">
      <c r="A750" s="1250" t="s">
        <v>2183</v>
      </c>
      <c r="B750" s="1251" t="s">
        <v>2118</v>
      </c>
    </row>
    <row r="751" spans="1:2">
      <c r="A751" s="1250" t="s">
        <v>2184</v>
      </c>
      <c r="B751" s="1251" t="s">
        <v>2134</v>
      </c>
    </row>
    <row r="752" spans="1:2">
      <c r="A752" s="1250" t="s">
        <v>2185</v>
      </c>
      <c r="B752" s="1251" t="s">
        <v>2120</v>
      </c>
    </row>
    <row r="753" spans="1:2">
      <c r="A753" s="1250" t="s">
        <v>2186</v>
      </c>
      <c r="B753" s="1251" t="s">
        <v>609</v>
      </c>
    </row>
    <row r="754" spans="1:2">
      <c r="A754" s="1250" t="s">
        <v>2187</v>
      </c>
      <c r="B754" s="1251" t="s">
        <v>2123</v>
      </c>
    </row>
    <row r="755" spans="1:2">
      <c r="A755" s="1250" t="s">
        <v>2188</v>
      </c>
      <c r="B755" s="1251" t="s">
        <v>2114</v>
      </c>
    </row>
    <row r="756" spans="1:2">
      <c r="A756" s="1250" t="s">
        <v>2189</v>
      </c>
      <c r="B756" s="1251" t="s">
        <v>2126</v>
      </c>
    </row>
    <row r="757" spans="1:2">
      <c r="A757" s="1250" t="s">
        <v>2190</v>
      </c>
      <c r="B757" s="1251" t="s">
        <v>2128</v>
      </c>
    </row>
    <row r="758" spans="1:2">
      <c r="A758" s="1250" t="s">
        <v>2191</v>
      </c>
      <c r="B758" s="1251" t="s">
        <v>2116</v>
      </c>
    </row>
    <row r="759" spans="1:2">
      <c r="A759" s="1250" t="s">
        <v>2192</v>
      </c>
      <c r="B759" s="1251" t="s">
        <v>2131</v>
      </c>
    </row>
    <row r="760" spans="1:2">
      <c r="A760" s="1250" t="s">
        <v>2193</v>
      </c>
      <c r="B760" s="1251" t="s">
        <v>2118</v>
      </c>
    </row>
    <row r="761" spans="1:2">
      <c r="A761" s="1250" t="s">
        <v>2194</v>
      </c>
      <c r="B761" s="1251" t="s">
        <v>2134</v>
      </c>
    </row>
    <row r="762" spans="1:2">
      <c r="A762" s="1250" t="s">
        <v>2195</v>
      </c>
      <c r="B762" s="1251" t="s">
        <v>2120</v>
      </c>
    </row>
    <row r="763" spans="1:2">
      <c r="A763" s="1250" t="s">
        <v>2196</v>
      </c>
      <c r="B763" s="1251" t="s">
        <v>2112</v>
      </c>
    </row>
    <row r="764" spans="1:2">
      <c r="A764" s="1250" t="s">
        <v>2197</v>
      </c>
      <c r="B764" s="1251" t="s">
        <v>2198</v>
      </c>
    </row>
    <row r="765" spans="1:2">
      <c r="A765" s="1250" t="s">
        <v>2199</v>
      </c>
      <c r="B765" s="1251" t="s">
        <v>2116</v>
      </c>
    </row>
    <row r="766" spans="1:2">
      <c r="A766" s="1250" t="s">
        <v>2200</v>
      </c>
      <c r="B766" s="1251" t="s">
        <v>2201</v>
      </c>
    </row>
    <row r="767" spans="1:2">
      <c r="A767" s="1250" t="s">
        <v>2202</v>
      </c>
      <c r="B767" s="1251" t="s">
        <v>2203</v>
      </c>
    </row>
    <row r="768" spans="1:2">
      <c r="A768" s="1250" t="s">
        <v>2204</v>
      </c>
      <c r="B768" s="1251" t="s">
        <v>2205</v>
      </c>
    </row>
    <row r="769" spans="1:2">
      <c r="A769" s="1250" t="s">
        <v>2206</v>
      </c>
      <c r="B769" s="1251" t="s">
        <v>2207</v>
      </c>
    </row>
    <row r="770" spans="1:2">
      <c r="A770" s="1250" t="s">
        <v>2208</v>
      </c>
      <c r="B770" s="1251" t="s">
        <v>2209</v>
      </c>
    </row>
    <row r="771" spans="1:2">
      <c r="A771" s="1250" t="s">
        <v>2210</v>
      </c>
      <c r="B771" s="1251" t="s">
        <v>2211</v>
      </c>
    </row>
    <row r="772" spans="1:2">
      <c r="A772" s="1250" t="s">
        <v>2212</v>
      </c>
      <c r="B772" s="1251" t="s">
        <v>2213</v>
      </c>
    </row>
    <row r="773" spans="1:2">
      <c r="A773" s="1250" t="s">
        <v>2214</v>
      </c>
      <c r="B773" s="1251" t="s">
        <v>2215</v>
      </c>
    </row>
    <row r="774" spans="1:2">
      <c r="A774" s="1250" t="s">
        <v>2216</v>
      </c>
      <c r="B774" s="1251" t="s">
        <v>2217</v>
      </c>
    </row>
    <row r="775" spans="1:2">
      <c r="A775" s="1250" t="s">
        <v>2218</v>
      </c>
      <c r="B775" s="1251" t="s">
        <v>2219</v>
      </c>
    </row>
    <row r="776" spans="1:2">
      <c r="A776" s="1250" t="s">
        <v>2220</v>
      </c>
      <c r="B776" s="1251" t="s">
        <v>2221</v>
      </c>
    </row>
    <row r="777" spans="1:2">
      <c r="A777" s="1250" t="s">
        <v>2222</v>
      </c>
      <c r="B777" s="1251" t="s">
        <v>2223</v>
      </c>
    </row>
    <row r="778" spans="1:2">
      <c r="A778" s="1250" t="s">
        <v>2224</v>
      </c>
      <c r="B778" s="1251" t="s">
        <v>2225</v>
      </c>
    </row>
    <row r="779" spans="1:2">
      <c r="A779" s="1250" t="s">
        <v>2226</v>
      </c>
      <c r="B779" s="1251" t="s">
        <v>2227</v>
      </c>
    </row>
    <row r="780" spans="1:2">
      <c r="A780" s="1250" t="s">
        <v>2228</v>
      </c>
      <c r="B780" s="1251" t="s">
        <v>2229</v>
      </c>
    </row>
    <row r="781" spans="1:2">
      <c r="A781" s="1250" t="s">
        <v>2230</v>
      </c>
      <c r="B781" s="1251" t="s">
        <v>2231</v>
      </c>
    </row>
    <row r="782" spans="1:2">
      <c r="A782" s="1250" t="s">
        <v>2232</v>
      </c>
      <c r="B782" s="1251" t="s">
        <v>2233</v>
      </c>
    </row>
    <row r="783" spans="1:2">
      <c r="A783" s="1250" t="s">
        <v>2234</v>
      </c>
      <c r="B783" s="1251" t="s">
        <v>2235</v>
      </c>
    </row>
    <row r="784" spans="1:2">
      <c r="A784" s="1250" t="s">
        <v>2236</v>
      </c>
      <c r="B784" s="1251" t="s">
        <v>2233</v>
      </c>
    </row>
    <row r="785" spans="1:2">
      <c r="A785" s="1250" t="s">
        <v>2237</v>
      </c>
      <c r="B785" s="1251" t="s">
        <v>2238</v>
      </c>
    </row>
    <row r="786" spans="1:2">
      <c r="A786" s="1250" t="s">
        <v>2239</v>
      </c>
      <c r="B786" s="1251" t="s">
        <v>2240</v>
      </c>
    </row>
    <row r="787" spans="1:2">
      <c r="A787" s="1250" t="s">
        <v>2241</v>
      </c>
      <c r="B787" s="1251" t="s">
        <v>2242</v>
      </c>
    </row>
    <row r="788" spans="1:2">
      <c r="A788" s="1250" t="s">
        <v>2243</v>
      </c>
      <c r="B788" s="1251" t="s">
        <v>2244</v>
      </c>
    </row>
    <row r="789" spans="1:2">
      <c r="A789" s="1250" t="s">
        <v>2245</v>
      </c>
      <c r="B789" s="1251" t="s">
        <v>2246</v>
      </c>
    </row>
    <row r="790" spans="1:2">
      <c r="A790" s="1250" t="s">
        <v>2247</v>
      </c>
      <c r="B790" s="1251" t="s">
        <v>2248</v>
      </c>
    </row>
    <row r="791" spans="1:2">
      <c r="A791" s="1250" t="s">
        <v>2249</v>
      </c>
      <c r="B791" s="1251" t="s">
        <v>2250</v>
      </c>
    </row>
    <row r="792" spans="1:2">
      <c r="A792" s="1250" t="s">
        <v>2251</v>
      </c>
      <c r="B792" s="1251" t="s">
        <v>2252</v>
      </c>
    </row>
    <row r="793" spans="1:2">
      <c r="A793" s="1250" t="s">
        <v>2253</v>
      </c>
      <c r="B793" s="1251" t="s">
        <v>2254</v>
      </c>
    </row>
    <row r="794" spans="1:2">
      <c r="A794" s="1250" t="s">
        <v>2255</v>
      </c>
      <c r="B794" s="1251" t="s">
        <v>2256</v>
      </c>
    </row>
    <row r="795" spans="1:2">
      <c r="A795" s="1250" t="s">
        <v>2257</v>
      </c>
      <c r="B795" s="1251" t="s">
        <v>2258</v>
      </c>
    </row>
    <row r="796" spans="1:2">
      <c r="A796" s="1250" t="s">
        <v>2259</v>
      </c>
      <c r="B796" s="1251" t="s">
        <v>2256</v>
      </c>
    </row>
    <row r="797" spans="1:2">
      <c r="A797" s="1250" t="s">
        <v>2260</v>
      </c>
      <c r="B797" s="1251" t="s">
        <v>2261</v>
      </c>
    </row>
    <row r="798" spans="1:2">
      <c r="A798" s="1250" t="s">
        <v>2262</v>
      </c>
      <c r="B798" s="1251" t="s">
        <v>2263</v>
      </c>
    </row>
    <row r="799" spans="1:2">
      <c r="A799" s="1250" t="s">
        <v>2264</v>
      </c>
      <c r="B799" s="1251" t="s">
        <v>2265</v>
      </c>
    </row>
    <row r="800" spans="1:2">
      <c r="A800" s="1250" t="s">
        <v>2266</v>
      </c>
      <c r="B800" s="1251" t="s">
        <v>2267</v>
      </c>
    </row>
    <row r="801" spans="1:2">
      <c r="A801" s="1250" t="s">
        <v>2268</v>
      </c>
      <c r="B801" s="1251" t="s">
        <v>2269</v>
      </c>
    </row>
    <row r="802" spans="1:2">
      <c r="A802" s="1250" t="s">
        <v>2270</v>
      </c>
      <c r="B802" s="1251" t="s">
        <v>2271</v>
      </c>
    </row>
    <row r="803" spans="1:2">
      <c r="A803" s="1250" t="s">
        <v>2272</v>
      </c>
      <c r="B803" s="1251" t="s">
        <v>2273</v>
      </c>
    </row>
    <row r="804" spans="1:2">
      <c r="A804" s="1250" t="s">
        <v>2274</v>
      </c>
      <c r="B804" s="1251" t="s">
        <v>2275</v>
      </c>
    </row>
    <row r="805" spans="1:2">
      <c r="A805" s="1250" t="s">
        <v>2276</v>
      </c>
      <c r="B805" s="1251" t="s">
        <v>2277</v>
      </c>
    </row>
    <row r="806" spans="1:2">
      <c r="A806" s="1250" t="s">
        <v>2278</v>
      </c>
      <c r="B806" s="1251" t="s">
        <v>2279</v>
      </c>
    </row>
    <row r="807" spans="1:2">
      <c r="A807" s="1250" t="s">
        <v>2280</v>
      </c>
      <c r="B807" s="1251" t="s">
        <v>2281</v>
      </c>
    </row>
    <row r="808" spans="1:2">
      <c r="A808" s="1250" t="s">
        <v>2282</v>
      </c>
      <c r="B808" s="1251" t="s">
        <v>2283</v>
      </c>
    </row>
    <row r="809" spans="1:2">
      <c r="A809" s="1250" t="s">
        <v>2284</v>
      </c>
      <c r="B809" s="1251" t="s">
        <v>2285</v>
      </c>
    </row>
    <row r="810" spans="1:2">
      <c r="A810" s="1250" t="s">
        <v>2286</v>
      </c>
      <c r="B810" s="1251" t="s">
        <v>2287</v>
      </c>
    </row>
    <row r="811" spans="1:2">
      <c r="A811" s="1250" t="s">
        <v>2288</v>
      </c>
      <c r="B811" s="1251" t="s">
        <v>2289</v>
      </c>
    </row>
    <row r="812" spans="1:2">
      <c r="A812" s="1250" t="s">
        <v>2290</v>
      </c>
      <c r="B812" s="1251" t="s">
        <v>2291</v>
      </c>
    </row>
    <row r="813" spans="1:2">
      <c r="A813" s="1250" t="s">
        <v>2292</v>
      </c>
      <c r="B813" s="1251" t="s">
        <v>2293</v>
      </c>
    </row>
    <row r="814" spans="1:2">
      <c r="A814" s="1250" t="s">
        <v>2294</v>
      </c>
      <c r="B814" s="1251" t="s">
        <v>2295</v>
      </c>
    </row>
    <row r="815" spans="1:2">
      <c r="A815" s="1250" t="s">
        <v>2296</v>
      </c>
      <c r="B815" s="1251" t="s">
        <v>2297</v>
      </c>
    </row>
    <row r="816" spans="1:2">
      <c r="A816" s="1250" t="s">
        <v>2298</v>
      </c>
      <c r="B816" s="1251" t="s">
        <v>2299</v>
      </c>
    </row>
    <row r="817" spans="1:2">
      <c r="A817" s="1250" t="s">
        <v>2300</v>
      </c>
      <c r="B817" s="1251" t="s">
        <v>2301</v>
      </c>
    </row>
    <row r="818" spans="1:2">
      <c r="A818" s="1250" t="s">
        <v>2302</v>
      </c>
      <c r="B818" s="1251" t="s">
        <v>2303</v>
      </c>
    </row>
    <row r="819" spans="1:2">
      <c r="A819" s="1250" t="s">
        <v>2304</v>
      </c>
      <c r="B819" s="1251" t="s">
        <v>2305</v>
      </c>
    </row>
    <row r="820" spans="1:2">
      <c r="A820" s="1250" t="s">
        <v>2306</v>
      </c>
      <c r="B820" s="1251" t="s">
        <v>2307</v>
      </c>
    </row>
    <row r="821" spans="1:2">
      <c r="A821" s="1250" t="s">
        <v>2308</v>
      </c>
      <c r="B821" s="1251" t="s">
        <v>2309</v>
      </c>
    </row>
    <row r="822" spans="1:2">
      <c r="A822" s="1250">
        <v>9</v>
      </c>
      <c r="B822" s="1251" t="s">
        <v>2310</v>
      </c>
    </row>
    <row r="823" spans="1:2">
      <c r="A823" s="1250">
        <v>91</v>
      </c>
      <c r="B823" s="1251" t="s">
        <v>2311</v>
      </c>
    </row>
    <row r="824" spans="1:2">
      <c r="A824" s="1250">
        <v>911</v>
      </c>
      <c r="B824" s="1251" t="s">
        <v>2312</v>
      </c>
    </row>
    <row r="825" spans="1:2">
      <c r="A825" s="1250">
        <v>9111</v>
      </c>
      <c r="B825" s="1251" t="s">
        <v>2313</v>
      </c>
    </row>
    <row r="826" spans="1:2">
      <c r="A826" s="1250">
        <v>9112</v>
      </c>
      <c r="B826" s="1251" t="s">
        <v>2314</v>
      </c>
    </row>
    <row r="827" spans="1:2">
      <c r="A827" s="1250">
        <v>9113</v>
      </c>
      <c r="B827" s="1251" t="s">
        <v>2315</v>
      </c>
    </row>
    <row r="828" spans="1:2">
      <c r="A828" s="1250">
        <v>9114</v>
      </c>
      <c r="B828" s="1251" t="s">
        <v>2316</v>
      </c>
    </row>
    <row r="829" spans="1:2">
      <c r="A829" s="1250">
        <v>912</v>
      </c>
      <c r="B829" s="1251" t="s">
        <v>2317</v>
      </c>
    </row>
    <row r="830" spans="1:2">
      <c r="A830" s="1250">
        <v>913</v>
      </c>
      <c r="B830" s="1251" t="s">
        <v>2318</v>
      </c>
    </row>
    <row r="831" spans="1:2">
      <c r="A831" s="1250">
        <v>914</v>
      </c>
      <c r="B831" s="1251" t="s">
        <v>2319</v>
      </c>
    </row>
    <row r="832" spans="1:2">
      <c r="A832" s="1250">
        <v>9141</v>
      </c>
      <c r="B832" s="1251" t="s">
        <v>2320</v>
      </c>
    </row>
    <row r="833" spans="1:2">
      <c r="A833" s="1250">
        <v>9142</v>
      </c>
      <c r="B833" s="1251" t="s">
        <v>2321</v>
      </c>
    </row>
    <row r="834" spans="1:2">
      <c r="A834" s="1250">
        <v>9143</v>
      </c>
      <c r="B834" s="1251" t="s">
        <v>2322</v>
      </c>
    </row>
    <row r="835" spans="1:2">
      <c r="A835" s="1250">
        <v>9144</v>
      </c>
      <c r="B835" s="1251" t="s">
        <v>2323</v>
      </c>
    </row>
    <row r="836" spans="1:2">
      <c r="A836" s="1250">
        <v>92</v>
      </c>
      <c r="B836" s="1251" t="s">
        <v>2324</v>
      </c>
    </row>
    <row r="837" spans="1:2">
      <c r="A837" s="1250">
        <v>9201</v>
      </c>
      <c r="B837" s="1251" t="s">
        <v>2325</v>
      </c>
    </row>
    <row r="838" spans="1:2">
      <c r="A838" s="1250">
        <v>9202</v>
      </c>
      <c r="B838" s="1251" t="s">
        <v>2326</v>
      </c>
    </row>
    <row r="839" spans="1:2">
      <c r="A839" s="1250">
        <v>9203</v>
      </c>
      <c r="B839" s="1251" t="s">
        <v>2327</v>
      </c>
    </row>
    <row r="840" spans="1:2">
      <c r="A840" s="1250">
        <v>9204</v>
      </c>
      <c r="B840" s="1251" t="s">
        <v>2328</v>
      </c>
    </row>
    <row r="841" spans="1:2">
      <c r="A841" s="1250">
        <v>9205</v>
      </c>
      <c r="B841" s="1251" t="s">
        <v>2329</v>
      </c>
    </row>
    <row r="842" spans="1:2">
      <c r="A842" s="1250">
        <v>9206</v>
      </c>
      <c r="B842" s="1251" t="s">
        <v>2330</v>
      </c>
    </row>
    <row r="843" spans="1:2">
      <c r="A843" s="1250">
        <v>9207</v>
      </c>
      <c r="B843" s="1251" t="s">
        <v>2331</v>
      </c>
    </row>
    <row r="844" spans="1:2">
      <c r="A844" s="1250">
        <v>9208</v>
      </c>
      <c r="B844" s="1251" t="s">
        <v>2332</v>
      </c>
    </row>
    <row r="845" spans="1:2">
      <c r="A845" s="1250">
        <v>921</v>
      </c>
      <c r="B845" s="1251" t="s">
        <v>2333</v>
      </c>
    </row>
    <row r="846" spans="1:2">
      <c r="A846" s="1250">
        <v>9212</v>
      </c>
      <c r="B846" s="1251" t="s">
        <v>2334</v>
      </c>
    </row>
    <row r="847" spans="1:2">
      <c r="A847" s="1250">
        <v>9213</v>
      </c>
      <c r="B847" s="1251" t="s">
        <v>2335</v>
      </c>
    </row>
    <row r="848" spans="1:2">
      <c r="A848" s="1250">
        <v>9214</v>
      </c>
      <c r="B848" s="1251" t="s">
        <v>2336</v>
      </c>
    </row>
    <row r="849" spans="1:2">
      <c r="A849" s="1250">
        <v>9215</v>
      </c>
      <c r="B849" s="1251" t="s">
        <v>2337</v>
      </c>
    </row>
    <row r="850" spans="1:2">
      <c r="A850" s="1250">
        <v>9216</v>
      </c>
      <c r="B850" s="1251" t="s">
        <v>2338</v>
      </c>
    </row>
    <row r="851" spans="1:2">
      <c r="A851" s="1250">
        <v>9217</v>
      </c>
      <c r="B851" s="1251" t="s">
        <v>2339</v>
      </c>
    </row>
    <row r="852" spans="1:2">
      <c r="A852" s="1250">
        <v>9218</v>
      </c>
      <c r="B852" s="1251" t="s">
        <v>2340</v>
      </c>
    </row>
    <row r="853" spans="1:2">
      <c r="A853" s="1250">
        <v>922</v>
      </c>
      <c r="B853" s="1251" t="s">
        <v>2341</v>
      </c>
    </row>
    <row r="854" spans="1:2">
      <c r="A854" s="1250">
        <v>9221</v>
      </c>
      <c r="B854" s="1251" t="s">
        <v>2342</v>
      </c>
    </row>
    <row r="855" spans="1:2">
      <c r="A855" s="1250">
        <v>9222</v>
      </c>
      <c r="B855" s="1251" t="s">
        <v>2343</v>
      </c>
    </row>
    <row r="856" spans="1:2">
      <c r="A856" s="1250">
        <v>9223</v>
      </c>
      <c r="B856" s="1251" t="s">
        <v>2344</v>
      </c>
    </row>
    <row r="857" spans="1:2">
      <c r="A857" s="1250">
        <v>9224</v>
      </c>
      <c r="B857" s="1251" t="s">
        <v>2345</v>
      </c>
    </row>
    <row r="858" spans="1:2">
      <c r="A858" s="1250">
        <v>9225</v>
      </c>
      <c r="B858" s="1251" t="s">
        <v>2346</v>
      </c>
    </row>
    <row r="859" spans="1:2">
      <c r="A859" s="1250">
        <v>9226</v>
      </c>
      <c r="B859" s="1251" t="s">
        <v>2347</v>
      </c>
    </row>
    <row r="860" spans="1:2">
      <c r="A860" s="1250">
        <v>9227</v>
      </c>
      <c r="B860" s="1251" t="s">
        <v>2348</v>
      </c>
    </row>
    <row r="861" spans="1:2">
      <c r="A861" s="1250">
        <v>9228</v>
      </c>
      <c r="B861" s="1251" t="s">
        <v>2349</v>
      </c>
    </row>
    <row r="862" spans="1:2">
      <c r="A862" s="1250">
        <v>93</v>
      </c>
      <c r="B862" s="1251" t="s">
        <v>2350</v>
      </c>
    </row>
    <row r="863" spans="1:2">
      <c r="A863" s="1250">
        <v>9301</v>
      </c>
      <c r="B863" s="1251" t="s">
        <v>2351</v>
      </c>
    </row>
    <row r="864" spans="1:2">
      <c r="A864" s="1250">
        <v>9302</v>
      </c>
      <c r="B864" s="1251" t="s">
        <v>2352</v>
      </c>
    </row>
    <row r="865" spans="1:2">
      <c r="A865" s="1250">
        <v>9303</v>
      </c>
      <c r="B865" s="1251" t="s">
        <v>2353</v>
      </c>
    </row>
    <row r="866" spans="1:2">
      <c r="A866" s="1250">
        <v>9304</v>
      </c>
      <c r="B866" s="1251" t="s">
        <v>2354</v>
      </c>
    </row>
    <row r="867" spans="1:2">
      <c r="A867" s="1250">
        <v>9305</v>
      </c>
      <c r="B867" s="1251" t="s">
        <v>2355</v>
      </c>
    </row>
    <row r="868" spans="1:2">
      <c r="A868" s="1250">
        <v>9306</v>
      </c>
      <c r="B868" s="1251" t="s">
        <v>2356</v>
      </c>
    </row>
    <row r="869" spans="1:2">
      <c r="A869" s="1250">
        <v>9307</v>
      </c>
      <c r="B869" s="1251" t="s">
        <v>2357</v>
      </c>
    </row>
    <row r="870" spans="1:2">
      <c r="A870" s="1250">
        <v>9308</v>
      </c>
      <c r="B870" s="1251" t="s">
        <v>2358</v>
      </c>
    </row>
    <row r="871" spans="1:2">
      <c r="A871" s="1250">
        <v>931</v>
      </c>
      <c r="B871" s="1251" t="s">
        <v>2359</v>
      </c>
    </row>
    <row r="872" spans="1:2">
      <c r="A872" s="1250">
        <v>9312</v>
      </c>
      <c r="B872" s="1251" t="s">
        <v>2360</v>
      </c>
    </row>
    <row r="873" spans="1:2">
      <c r="A873" s="1250">
        <v>9313</v>
      </c>
      <c r="B873" s="1251" t="s">
        <v>2361</v>
      </c>
    </row>
    <row r="874" spans="1:2">
      <c r="A874" s="1250">
        <v>9314</v>
      </c>
      <c r="B874" s="1251" t="s">
        <v>2362</v>
      </c>
    </row>
    <row r="875" spans="1:2">
      <c r="A875" s="1250">
        <v>9315</v>
      </c>
      <c r="B875" s="1251" t="s">
        <v>2363</v>
      </c>
    </row>
    <row r="876" spans="1:2">
      <c r="A876" s="1250">
        <v>9316</v>
      </c>
      <c r="B876" s="1251" t="s">
        <v>2364</v>
      </c>
    </row>
    <row r="877" spans="1:2">
      <c r="A877" s="1250">
        <v>9317</v>
      </c>
      <c r="B877" s="1251" t="s">
        <v>2365</v>
      </c>
    </row>
    <row r="878" spans="1:2">
      <c r="A878" s="1250">
        <v>9318</v>
      </c>
      <c r="B878" s="1251" t="s">
        <v>2366</v>
      </c>
    </row>
    <row r="879" spans="1:2">
      <c r="A879" s="1250">
        <v>932</v>
      </c>
      <c r="B879" s="1251" t="s">
        <v>2367</v>
      </c>
    </row>
    <row r="880" spans="1:2">
      <c r="A880" s="1250">
        <v>9322</v>
      </c>
      <c r="B880" s="1251" t="s">
        <v>2368</v>
      </c>
    </row>
    <row r="881" spans="1:2">
      <c r="A881" s="1250">
        <v>9322</v>
      </c>
      <c r="B881" s="1251" t="s">
        <v>2369</v>
      </c>
    </row>
    <row r="882" spans="1:2">
      <c r="A882" s="1250">
        <v>9323</v>
      </c>
      <c r="B882" s="1251" t="s">
        <v>2370</v>
      </c>
    </row>
    <row r="883" spans="1:2">
      <c r="A883" s="1250">
        <v>9324</v>
      </c>
      <c r="B883" s="1251" t="s">
        <v>2371</v>
      </c>
    </row>
    <row r="884" spans="1:2">
      <c r="A884" s="1250">
        <v>9325</v>
      </c>
      <c r="B884" s="1251" t="s">
        <v>2372</v>
      </c>
    </row>
    <row r="885" spans="1:2">
      <c r="A885" s="1250">
        <v>9326</v>
      </c>
      <c r="B885" s="1251" t="s">
        <v>2373</v>
      </c>
    </row>
    <row r="886" spans="1:2">
      <c r="A886" s="1250">
        <v>9327</v>
      </c>
      <c r="B886" s="1251" t="s">
        <v>2374</v>
      </c>
    </row>
    <row r="887" spans="1:2">
      <c r="A887" s="1250">
        <v>9328</v>
      </c>
      <c r="B887" s="1251" t="s">
        <v>2375</v>
      </c>
    </row>
    <row r="888" spans="1:2">
      <c r="A888" s="1250" t="s">
        <v>2376</v>
      </c>
      <c r="B888" s="1251" t="s">
        <v>2377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10</vt:i4>
      </vt:variant>
      <vt:variant>
        <vt:lpstr>Named Ranges</vt:lpstr>
      </vt:variant>
      <vt:variant>
        <vt:i4>54</vt:i4>
      </vt:variant>
    </vt:vector>
  </HeadingPairs>
  <TitlesOfParts>
    <vt:vector size="64" baseType="lpstr">
      <vt:lpstr>TOC</vt:lpstr>
      <vt:lpstr>FISC</vt:lpstr>
      <vt:lpstr>For Comparison</vt:lpstr>
      <vt:lpstr>FISCinyear</vt:lpstr>
      <vt:lpstr>PRINCIPAL DOMDEBT</vt:lpstr>
      <vt:lpstr>RRA Tax </vt:lpstr>
      <vt:lpstr>Sheet1</vt:lpstr>
      <vt:lpstr>Sheet2</vt:lpstr>
      <vt:lpstr>Sheet4</vt:lpstr>
      <vt:lpstr>Sheet3</vt:lpstr>
      <vt:lpstr>BNR_OTR_RecPyt_FISCinyear</vt:lpstr>
      <vt:lpstr>BOP_FISC</vt:lpstr>
      <vt:lpstr>BudgetFL_GFS1986</vt:lpstr>
      <vt:lpstr>DMO_DebDisb_FISCinyear</vt:lpstr>
      <vt:lpstr>DOMDEBT_FISC</vt:lpstr>
      <vt:lpstr>EXTDEBT_ALL</vt:lpstr>
      <vt:lpstr>EXTDEBT_PRINT</vt:lpstr>
      <vt:lpstr>EXTFIN_ALL</vt:lpstr>
      <vt:lpstr>EXTFIN_PRINT</vt:lpstr>
      <vt:lpstr>FISC_BOP</vt:lpstr>
      <vt:lpstr>FISC_MON</vt:lpstr>
      <vt:lpstr>FISC_REAL</vt:lpstr>
      <vt:lpstr>FISCAL_annual_DOMDEBT</vt:lpstr>
      <vt:lpstr>FISCAL_assumptions</vt:lpstr>
      <vt:lpstr>FISCAL_DEBT_OUTPUT</vt:lpstr>
      <vt:lpstr>FISCAL_inyear_DOMDEBT1415</vt:lpstr>
      <vt:lpstr>FISCAL_inyear_DOMDEBTproj</vt:lpstr>
      <vt:lpstr>FISCAL_MON_PRINT</vt:lpstr>
      <vt:lpstr>FISCAL_OUTPUT</vt:lpstr>
      <vt:lpstr>FISCAL_OUTPUT_progr_act</vt:lpstr>
      <vt:lpstr>FISCAL_PCI4_may2021</vt:lpstr>
      <vt:lpstr>FISCAL_Rwametric_Mdat</vt:lpstr>
      <vt:lpstr>FISCAL_TOFE_inyear_201415</vt:lpstr>
      <vt:lpstr>FISCAL_TOFE_inyear_201418</vt:lpstr>
      <vt:lpstr>FISCAL1986_TOFE</vt:lpstr>
      <vt:lpstr>FISCAL2014_OUTPUT</vt:lpstr>
      <vt:lpstr>FISCAL2014_OUTPUT_inyear</vt:lpstr>
      <vt:lpstr>FISCAL2014_TOFE</vt:lpstr>
      <vt:lpstr>FISCAL2014_TOFE_inyear</vt:lpstr>
      <vt:lpstr>GEE_ALL</vt:lpstr>
      <vt:lpstr>GEE_PRINT</vt:lpstr>
      <vt:lpstr>guidance_FISC</vt:lpstr>
      <vt:lpstr>IFMIS_DEBT_FISCinyear</vt:lpstr>
      <vt:lpstr>IFMIS_Ex_FISCinyear</vt:lpstr>
      <vt:lpstr>IFMIS_EXP_Ord_FISCinyear</vt:lpstr>
      <vt:lpstr>IFMIS_EXP_Pyt_FISCinyear</vt:lpstr>
      <vt:lpstr>IFMIS_TaxExp_FISCinyear</vt:lpstr>
      <vt:lpstr>MON_MF</vt:lpstr>
      <vt:lpstr>MonSur_FISCinyear</vt:lpstr>
      <vt:lpstr>FISC!Print_Area</vt:lpstr>
      <vt:lpstr>FISCinyear!Print_Area</vt:lpstr>
      <vt:lpstr>'For Comparison'!Print_Area</vt:lpstr>
      <vt:lpstr>'For Comparison'!Print_Titles</vt:lpstr>
      <vt:lpstr>Privat_Rec_FISCinyear</vt:lpstr>
      <vt:lpstr>REAL_FISC</vt:lpstr>
      <vt:lpstr>REAL_MF</vt:lpstr>
      <vt:lpstr>RRA_tax_FISCinyear</vt:lpstr>
      <vt:lpstr>RRA_taxDECENTR_FISCinyear</vt:lpstr>
      <vt:lpstr>TAB_FISC_complete</vt:lpstr>
      <vt:lpstr>TOC_guidance</vt:lpstr>
      <vt:lpstr>TreBNR_DomDeb_FISCinyear</vt:lpstr>
      <vt:lpstr>TreBNR_ExtDeb_FISCinyear</vt:lpstr>
      <vt:lpstr>WEO_ALL</vt:lpstr>
      <vt:lpstr>WEO_PRINT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2025-04-15T14:35:51Z</dcterms:modified>
</cp:coreProperties>
</file>